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D7DB46A2-D643-4A12-BC90-5E43C2230EEA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</calcChain>
</file>

<file path=xl/sharedStrings.xml><?xml version="1.0" encoding="utf-8"?>
<sst xmlns="http://schemas.openxmlformats.org/spreadsheetml/2006/main" count="16430" uniqueCount="67">
  <si>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</si>
  <si>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</si>
  <si>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</si>
  <si>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</si>
  <si>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</si>
  <si>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</si>
  <si>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</si>
  <si>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</si>
  <si>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</si>
  <si>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</si>
  <si>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</si>
  <si>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</si>
  <si>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</si>
  <si>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</si>
  <si>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</si>
  <si>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</si>
  <si>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</si>
  <si>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</si>
  <si>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</si>
  <si>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</si>
  <si>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</si>
  <si>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</si>
  <si>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</si>
  <si>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</si>
  <si>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</si>
  <si>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</si>
  <si>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</si>
  <si>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</si>
  <si>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</si>
  <si>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</si>
  <si>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</si>
  <si>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</si>
  <si>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</si>
  <si>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</si>
  <si>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</si>
  <si>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</si>
  <si>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</si>
  <si>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</si>
  <si>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</si>
  <si>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</si>
  <si>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TestNight_on</t>
  </si>
  <si>
    <t>Kooper</t>
  </si>
  <si>
    <t>mcp_road_part_02</t>
  </si>
  <si>
    <t>Plane_01</t>
  </si>
  <si>
    <t>mcp_roads_turn_01 (1)</t>
  </si>
  <si>
    <t>mcp_roads_T_cross_01</t>
  </si>
  <si>
    <t>mcp_road_part_01</t>
  </si>
  <si>
    <t>mcp_roads_cross_01</t>
  </si>
  <si>
    <t>mcp_roads_cross_02</t>
  </si>
  <si>
    <t>mcp_roads_turn_01</t>
  </si>
  <si>
    <t>mcp_road_part_02 (1)</t>
  </si>
  <si>
    <t>mcp_road_part_02 (2)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</si>
  <si>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</si>
  <si>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</si>
  <si>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</si>
  <si>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</si>
  <si>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</si>
  <si>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</si>
  <si>
    <t>Building 15 (22)</t>
  </si>
  <si>
    <t>Building 15 (24)</t>
  </si>
  <si>
    <t>FAR</t>
  </si>
  <si>
    <t>Building 15 (34)</t>
  </si>
  <si>
    <t>Tree 04 (25)</t>
  </si>
  <si>
    <t>Building 18 (9)</t>
  </si>
  <si>
    <t>Canopi 01 (4)</t>
  </si>
  <si>
    <t>Building 24</t>
  </si>
  <si>
    <t>Building 07 (17)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</si>
</sst>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196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"20190304164824557"</f>
        <v>20190304164824557</v>
      </c>
      <c r="B2" t="str">
        <f>"1551689304546960"</f>
        <v>1551689304546960</v>
      </c>
      <c r="C2" t="s">
        <v>40</v>
      </c>
      <c r="D2">
        <v>5.0200940000000003</v>
      </c>
      <c r="E2">
        <v>0.5293563</v>
      </c>
      <c r="F2" t="s">
        <v>41</v>
      </c>
      <c r="G2">
        <v>-475.88060000000002</v>
      </c>
      <c r="H2">
        <v>1.037852</v>
      </c>
      <c r="I2">
        <v>367.22190000000001</v>
      </c>
      <c r="J2">
        <v>-476.608</v>
      </c>
      <c r="K2">
        <v>1.1095980000000001</v>
      </c>
      <c r="L2">
        <v>367.2176</v>
      </c>
      <c r="M2">
        <v>0.99996969999999996</v>
      </c>
      <c r="N2">
        <v>-7.7787339999999998E-3</v>
      </c>
      <c r="O2">
        <v>1.3205700000000001E-4</v>
      </c>
      <c r="P2">
        <v>0.96657680000000001</v>
      </c>
      <c r="Q2">
        <v>0.25168059999999998</v>
      </c>
      <c r="R2">
        <v>4.8849450000000003E-2</v>
      </c>
      <c r="S2">
        <v>3.18222</v>
      </c>
      <c r="T2">
        <v>-0.31012640000000002</v>
      </c>
      <c r="U2">
        <v>1.8981930000000001E-2</v>
      </c>
      <c r="V2">
        <v>-4.8719650000000003E-2</v>
      </c>
      <c r="W2">
        <v>0.25919189999999998</v>
      </c>
      <c r="X2">
        <v>0.96459629999999996</v>
      </c>
      <c r="Y2">
        <v>-5.8036619999999898E-3</v>
      </c>
      <c r="Z2">
        <v>2.9294649999999999E-4</v>
      </c>
      <c r="AA2">
        <v>0.99998310000000001</v>
      </c>
      <c r="AB2">
        <v>1</v>
      </c>
      <c r="AC2">
        <v>0.72739999999998795</v>
      </c>
      <c r="AD2">
        <v>-7.1745999999999796E-2</v>
      </c>
      <c r="AE2">
        <v>4.3000000000006297E-3</v>
      </c>
      <c r="AF2">
        <v>-4.1634359482827102E-3</v>
      </c>
      <c r="AG2">
        <v>-7.1745999999999796E-2</v>
      </c>
      <c r="AH2">
        <v>0.72039242179129903</v>
      </c>
      <c r="AI2">
        <v>95.6874060065701</v>
      </c>
      <c r="AJ2">
        <v>90.3311315402605</v>
      </c>
      <c r="AK2">
        <v>0.72396827560966204</v>
      </c>
      <c r="AL2">
        <v>74.9778827554739</v>
      </c>
      <c r="AM2">
        <v>92.8914274999958</v>
      </c>
      <c r="AN2">
        <v>1.00000003364771</v>
      </c>
    </row>
    <row r="3" spans="1:40" x14ac:dyDescent="0.25">
      <c r="A3" t="str">
        <f>"20190304164824580"</f>
        <v>20190304164824580</v>
      </c>
      <c r="B3" t="str">
        <f>"1551689304566477"</f>
        <v>1551689304566477</v>
      </c>
      <c r="C3" t="s">
        <v>40</v>
      </c>
      <c r="D3">
        <v>5.0230389999999998</v>
      </c>
      <c r="E3">
        <v>0.529219199999999</v>
      </c>
      <c r="F3" t="s">
        <v>41</v>
      </c>
      <c r="G3">
        <v>-475.8646</v>
      </c>
      <c r="H3">
        <v>1.0425679999999999</v>
      </c>
      <c r="I3">
        <v>367.22320000000002</v>
      </c>
      <c r="J3">
        <v>-476.59390000000002</v>
      </c>
      <c r="K3">
        <v>1.10944</v>
      </c>
      <c r="L3">
        <v>367.21769999999998</v>
      </c>
      <c r="M3">
        <v>0.99997789999999998</v>
      </c>
      <c r="N3">
        <v>-6.6493630000000001E-3</v>
      </c>
      <c r="O3">
        <v>1.605814E-4</v>
      </c>
      <c r="P3">
        <v>0.96638559999999996</v>
      </c>
      <c r="Q3">
        <v>0.25250070000000002</v>
      </c>
      <c r="R3">
        <v>4.8396729999999999E-2</v>
      </c>
      <c r="S3">
        <v>3.1771240000000001</v>
      </c>
      <c r="T3">
        <v>-0.28679959999999999</v>
      </c>
      <c r="U3">
        <v>2.5665279999999999E-2</v>
      </c>
      <c r="V3">
        <v>-4.8239850000000001E-2</v>
      </c>
      <c r="W3">
        <v>0.25892150000000003</v>
      </c>
      <c r="X3">
        <v>0.96469300000000002</v>
      </c>
      <c r="Y3">
        <v>-7.8834419999999992E-3</v>
      </c>
      <c r="Z3">
        <v>3.6795950000000001E-4</v>
      </c>
      <c r="AA3">
        <v>0.99996890000000005</v>
      </c>
      <c r="AB3">
        <v>1</v>
      </c>
      <c r="AC3">
        <v>0.72930000000002304</v>
      </c>
      <c r="AD3">
        <v>-6.6872000000000001E-2</v>
      </c>
      <c r="AE3">
        <v>5.5000000000404699E-3</v>
      </c>
      <c r="AF3">
        <v>-5.3380076174464001E-3</v>
      </c>
      <c r="AG3">
        <v>-6.6872000000000001E-2</v>
      </c>
      <c r="AH3">
        <v>0.72322061182041897</v>
      </c>
      <c r="AI3">
        <v>95.282643020627305</v>
      </c>
      <c r="AJ3">
        <v>90.422885837018697</v>
      </c>
      <c r="AK3">
        <v>0.72632527979633599</v>
      </c>
      <c r="AL3">
        <v>74.993922681937704</v>
      </c>
      <c r="AM3">
        <v>92.862713298198798</v>
      </c>
      <c r="AN3">
        <v>1.0000000052696301</v>
      </c>
    </row>
    <row r="4" spans="1:40" x14ac:dyDescent="0.25">
      <c r="A4" t="str">
        <f>"20190304164824602"</f>
        <v>20190304164824602</v>
      </c>
      <c r="B4" t="str">
        <f>"1551689304596733"</f>
        <v>1551689304596733</v>
      </c>
      <c r="C4" t="s">
        <v>40</v>
      </c>
      <c r="D4">
        <v>5.0313460000000001</v>
      </c>
      <c r="E4">
        <v>0.52907280000000001</v>
      </c>
      <c r="F4" t="s">
        <v>41</v>
      </c>
      <c r="G4">
        <v>-475.85050000000001</v>
      </c>
      <c r="H4">
        <v>1.04244</v>
      </c>
      <c r="I4">
        <v>367.22379999999998</v>
      </c>
      <c r="J4">
        <v>-476.57650000000001</v>
      </c>
      <c r="K4">
        <v>1.109286</v>
      </c>
      <c r="L4">
        <v>367.21769999999998</v>
      </c>
      <c r="M4">
        <v>0.99998489999999995</v>
      </c>
      <c r="N4">
        <v>-5.4811399999999998E-3</v>
      </c>
      <c r="O4">
        <v>1.9208450000000001E-4</v>
      </c>
      <c r="P4">
        <v>0.96606349999999996</v>
      </c>
      <c r="Q4">
        <v>0.25373509999999999</v>
      </c>
      <c r="R4">
        <v>4.8369040000000002E-2</v>
      </c>
      <c r="S4">
        <v>3.1778870000000001</v>
      </c>
      <c r="T4">
        <v>-0.28644199999999997</v>
      </c>
      <c r="U4">
        <v>2.6123049999999998E-2</v>
      </c>
      <c r="V4">
        <v>-4.8181870000000002E-2</v>
      </c>
      <c r="W4">
        <v>0.25902700000000001</v>
      </c>
      <c r="X4">
        <v>0.96466759999999996</v>
      </c>
      <c r="Y4">
        <v>-7.9942009999999994E-3</v>
      </c>
      <c r="Z4">
        <v>3.6527640000000002E-4</v>
      </c>
      <c r="AA4">
        <v>0.99996799999999997</v>
      </c>
      <c r="AB4">
        <v>1</v>
      </c>
      <c r="AC4">
        <v>0.72599999999999898</v>
      </c>
      <c r="AD4">
        <v>-6.6845999999999905E-2</v>
      </c>
      <c r="AE4">
        <v>6.1000000000035401E-3</v>
      </c>
      <c r="AF4">
        <v>-5.9104410784194799E-3</v>
      </c>
      <c r="AG4">
        <v>-6.6845999999999905E-2</v>
      </c>
      <c r="AH4">
        <v>0.71989851168700403</v>
      </c>
      <c r="AI4">
        <v>95.304796203374707</v>
      </c>
      <c r="AJ4">
        <v>90.470393694143695</v>
      </c>
      <c r="AK4">
        <v>0.72301949362303197</v>
      </c>
      <c r="AL4">
        <v>74.987664836820898</v>
      </c>
      <c r="AM4">
        <v>92.859353445813696</v>
      </c>
      <c r="AN4">
        <v>1.00000002890772</v>
      </c>
    </row>
    <row r="5" spans="1:40" x14ac:dyDescent="0.25">
      <c r="A5" t="str">
        <f>"20190304164824625"</f>
        <v>20190304164824625</v>
      </c>
      <c r="B5" t="str">
        <f>"1551689304616253"</f>
        <v>1551689304616253</v>
      </c>
      <c r="C5" t="s">
        <v>40</v>
      </c>
      <c r="D5">
        <v>5.051272</v>
      </c>
      <c r="E5">
        <v>0.52928149999999996</v>
      </c>
      <c r="F5" t="s">
        <v>41</v>
      </c>
      <c r="G5">
        <v>-475.83359999999999</v>
      </c>
      <c r="H5">
        <v>1.042562</v>
      </c>
      <c r="I5">
        <v>367.22390000000001</v>
      </c>
      <c r="J5">
        <v>-476.55560000000003</v>
      </c>
      <c r="K5">
        <v>1.1091500000000001</v>
      </c>
      <c r="L5">
        <v>367.21769999999998</v>
      </c>
      <c r="M5">
        <v>0.99999079999999996</v>
      </c>
      <c r="N5">
        <v>-4.3259220000000003E-3</v>
      </c>
      <c r="O5">
        <v>2.2931699999999999E-4</v>
      </c>
      <c r="P5">
        <v>0.96561090000000005</v>
      </c>
      <c r="Q5">
        <v>0.2554342</v>
      </c>
      <c r="R5">
        <v>4.8467830000000003E-2</v>
      </c>
      <c r="S5">
        <v>3.1790769999999999</v>
      </c>
      <c r="T5">
        <v>-0.28591349999999999</v>
      </c>
      <c r="U5">
        <v>2.8717039999999999E-2</v>
      </c>
      <c r="V5">
        <v>-4.8244889999999999E-2</v>
      </c>
      <c r="W5">
        <v>0.25960909999999998</v>
      </c>
      <c r="X5">
        <v>0.96450789999999997</v>
      </c>
      <c r="Y5">
        <v>-8.7672069999999904E-3</v>
      </c>
      <c r="Z5">
        <v>3.9285360000000002E-4</v>
      </c>
      <c r="AA5">
        <v>0.99996149999999995</v>
      </c>
      <c r="AB5">
        <v>2</v>
      </c>
      <c r="AC5">
        <v>0.72200000000003595</v>
      </c>
      <c r="AD5">
        <v>-6.6587999999999994E-2</v>
      </c>
      <c r="AE5">
        <v>6.2000000000352797E-3</v>
      </c>
      <c r="AF5">
        <v>-5.9835401224520397E-3</v>
      </c>
      <c r="AG5">
        <v>-6.6587999999999994E-2</v>
      </c>
      <c r="AH5">
        <v>0.71591241065194999</v>
      </c>
      <c r="AI5">
        <v>95.313686443837994</v>
      </c>
      <c r="AJ5">
        <v>90.478862508848295</v>
      </c>
      <c r="AK5">
        <v>0.71902735985627397</v>
      </c>
      <c r="AL5">
        <v>74.953130770788405</v>
      </c>
      <c r="AM5">
        <v>92.863560421013602</v>
      </c>
      <c r="AN5">
        <v>0.99999997168816501</v>
      </c>
    </row>
    <row r="6" spans="1:40" x14ac:dyDescent="0.25">
      <c r="A6" t="str">
        <f>"20190304164824648"</f>
        <v>20190304164824648</v>
      </c>
      <c r="B6" t="str">
        <f>"1551689304636752"</f>
        <v>1551689304636752</v>
      </c>
      <c r="C6" t="s">
        <v>40</v>
      </c>
      <c r="D6">
        <v>5.0623469999999999</v>
      </c>
      <c r="E6">
        <v>0.52937179999999995</v>
      </c>
      <c r="F6" t="s">
        <v>41</v>
      </c>
      <c r="G6">
        <v>-475.81420000000003</v>
      </c>
      <c r="H6">
        <v>1.0428519999999999</v>
      </c>
      <c r="I6">
        <v>367.22430000000003</v>
      </c>
      <c r="J6">
        <v>-476.53140000000002</v>
      </c>
      <c r="K6">
        <v>1.109062</v>
      </c>
      <c r="L6">
        <v>367.21769999999998</v>
      </c>
      <c r="M6">
        <v>0.99999459999999996</v>
      </c>
      <c r="N6">
        <v>-3.2899600000000002E-3</v>
      </c>
      <c r="O6">
        <v>2.726025E-4</v>
      </c>
      <c r="P6">
        <v>0.965082</v>
      </c>
      <c r="Q6">
        <v>0.257434</v>
      </c>
      <c r="R6">
        <v>4.8422350000000003E-2</v>
      </c>
      <c r="S6">
        <v>3.180634</v>
      </c>
      <c r="T6">
        <v>-0.28439179999999997</v>
      </c>
      <c r="U6">
        <v>2.8320310000000001E-2</v>
      </c>
      <c r="V6">
        <v>-4.8158340000000001E-2</v>
      </c>
      <c r="W6">
        <v>0.26060830000000001</v>
      </c>
      <c r="X6">
        <v>0.96424279999999996</v>
      </c>
      <c r="Y6">
        <v>-8.5964879999999994E-3</v>
      </c>
      <c r="Z6">
        <v>3.7428899999999998E-4</v>
      </c>
      <c r="AA6">
        <v>0.99996300000000005</v>
      </c>
      <c r="AB6">
        <v>2</v>
      </c>
      <c r="AC6">
        <v>0.71719999999999096</v>
      </c>
      <c r="AD6">
        <v>-6.6209999999999797E-2</v>
      </c>
      <c r="AE6">
        <v>6.6000000000485601E-3</v>
      </c>
      <c r="AF6">
        <v>-6.3503717820014597E-3</v>
      </c>
      <c r="AG6">
        <v>-6.6209999999999797E-2</v>
      </c>
      <c r="AH6">
        <v>0.71114158709443898</v>
      </c>
      <c r="AI6">
        <v>95.318911307782898</v>
      </c>
      <c r="AJ6">
        <v>90.511627834980501</v>
      </c>
      <c r="AK6">
        <v>0.71424536975535702</v>
      </c>
      <c r="AL6">
        <v>74.893841122340604</v>
      </c>
      <c r="AM6">
        <v>92.859216367012493</v>
      </c>
      <c r="AN6">
        <v>1.0000000445461401</v>
      </c>
    </row>
    <row r="7" spans="1:40" x14ac:dyDescent="0.25">
      <c r="A7" t="str">
        <f>"20190304164824670"</f>
        <v>20190304164824670</v>
      </c>
      <c r="B7" t="str">
        <f>"1551689304656269"</f>
        <v>1551689304656269</v>
      </c>
      <c r="C7" t="s">
        <v>40</v>
      </c>
      <c r="D7">
        <v>5.1011150000000001</v>
      </c>
      <c r="E7">
        <v>0.53007899999999997</v>
      </c>
      <c r="F7" t="s">
        <v>41</v>
      </c>
      <c r="G7">
        <v>-475.7919</v>
      </c>
      <c r="H7">
        <v>1.044038</v>
      </c>
      <c r="I7">
        <v>367.22399999999999</v>
      </c>
      <c r="J7">
        <v>-476.50599999999997</v>
      </c>
      <c r="K7">
        <v>1.109008</v>
      </c>
      <c r="L7">
        <v>367.21780000000001</v>
      </c>
      <c r="M7">
        <v>0.99999700000000002</v>
      </c>
      <c r="N7">
        <v>-2.4554160000000002E-3</v>
      </c>
      <c r="O7">
        <v>3.1749589999999998E-4</v>
      </c>
      <c r="P7">
        <v>0.96470860000000003</v>
      </c>
      <c r="Q7">
        <v>0.25888</v>
      </c>
      <c r="R7">
        <v>4.8150249999999999E-2</v>
      </c>
      <c r="S7">
        <v>3.1818240000000002</v>
      </c>
      <c r="T7">
        <v>-0.28011209999999997</v>
      </c>
      <c r="U7">
        <v>2.8289789999999999E-2</v>
      </c>
      <c r="V7">
        <v>-4.7844009999999999E-2</v>
      </c>
      <c r="W7">
        <v>0.26124809999999998</v>
      </c>
      <c r="X7">
        <v>0.96408530000000003</v>
      </c>
      <c r="Y7">
        <v>-8.5404330000000001E-3</v>
      </c>
      <c r="Z7">
        <v>3.5858400000000001E-4</v>
      </c>
      <c r="AA7">
        <v>0.99996350000000001</v>
      </c>
      <c r="AB7">
        <v>2</v>
      </c>
      <c r="AC7">
        <v>0.71409999999997298</v>
      </c>
      <c r="AD7">
        <v>-6.4969999999999903E-2</v>
      </c>
      <c r="AE7">
        <v>6.1999999999784398E-3</v>
      </c>
      <c r="AF7">
        <v>-5.9242400386884603E-3</v>
      </c>
      <c r="AG7">
        <v>-6.4969999999999903E-2</v>
      </c>
      <c r="AH7">
        <v>0.70823980495581895</v>
      </c>
      <c r="AI7">
        <v>95.241145930438194</v>
      </c>
      <c r="AJ7">
        <v>90.479252976742202</v>
      </c>
      <c r="AK7">
        <v>0.71123822931834302</v>
      </c>
      <c r="AL7">
        <v>74.855867786527199</v>
      </c>
      <c r="AM7">
        <v>92.841048194952904</v>
      </c>
      <c r="AN7">
        <v>1.00000004236128</v>
      </c>
    </row>
    <row r="8" spans="1:40" x14ac:dyDescent="0.25">
      <c r="A8" t="str">
        <f>"20190304164824694"</f>
        <v>20190304164824694</v>
      </c>
      <c r="B8" t="str">
        <f>"1551689304686525"</f>
        <v>1551689304686525</v>
      </c>
      <c r="C8" t="s">
        <v>40</v>
      </c>
      <c r="D8">
        <v>5.131697</v>
      </c>
      <c r="E8">
        <v>0.55040449999999996</v>
      </c>
      <c r="F8" t="s">
        <v>41</v>
      </c>
      <c r="G8">
        <v>-475.76949999999999</v>
      </c>
      <c r="H8">
        <v>1.042573</v>
      </c>
      <c r="I8">
        <v>367.22329999999999</v>
      </c>
      <c r="J8">
        <v>-476.47559999999999</v>
      </c>
      <c r="K8">
        <v>1.1089560000000001</v>
      </c>
      <c r="L8">
        <v>367.21789999999999</v>
      </c>
      <c r="M8">
        <v>0.99999859999999896</v>
      </c>
      <c r="N8">
        <v>-1.660106E-3</v>
      </c>
      <c r="O8">
        <v>3.7070910000000002E-4</v>
      </c>
      <c r="P8">
        <v>0.9643661</v>
      </c>
      <c r="Q8">
        <v>0.2602448</v>
      </c>
      <c r="R8">
        <v>4.7653870000000001E-2</v>
      </c>
      <c r="S8">
        <v>3.1856080000000002</v>
      </c>
      <c r="T8">
        <v>-0.2872304</v>
      </c>
      <c r="U8">
        <v>2.3559569999999998E-2</v>
      </c>
      <c r="V8">
        <v>-4.7296820000000003E-2</v>
      </c>
      <c r="W8">
        <v>0.26184539999999901</v>
      </c>
      <c r="X8">
        <v>0.96395019999999998</v>
      </c>
      <c r="Y8">
        <v>-6.9972669999999997E-3</v>
      </c>
      <c r="Z8">
        <v>2.8788899999999999E-4</v>
      </c>
      <c r="AA8">
        <v>0.99997550000000002</v>
      </c>
      <c r="AB8">
        <v>2</v>
      </c>
      <c r="AC8">
        <v>0.70609999999999196</v>
      </c>
      <c r="AD8">
        <v>-6.6382999999999998E-2</v>
      </c>
      <c r="AE8">
        <v>5.4000000000087303E-3</v>
      </c>
      <c r="AF8">
        <v>-5.0932274407332204E-3</v>
      </c>
      <c r="AG8">
        <v>-6.6382999999999998E-2</v>
      </c>
      <c r="AH8">
        <v>0.69991606760749203</v>
      </c>
      <c r="AI8">
        <v>95.417824601617497</v>
      </c>
      <c r="AJ8">
        <v>90.416928970711595</v>
      </c>
      <c r="AK8">
        <v>0.70307549050574802</v>
      </c>
      <c r="AL8">
        <v>74.820410058608999</v>
      </c>
      <c r="AM8">
        <v>92.809000571816497</v>
      </c>
      <c r="AN8">
        <v>0.99999999538165596</v>
      </c>
    </row>
    <row r="9" spans="1:40" x14ac:dyDescent="0.25">
      <c r="A9" t="str">
        <f>"20190304164824714"</f>
        <v>20190304164824714</v>
      </c>
      <c r="B9" t="str">
        <f>"1551689304707021"</f>
        <v>1551689304707021</v>
      </c>
      <c r="C9" t="s">
        <v>40</v>
      </c>
      <c r="D9">
        <v>5.147462</v>
      </c>
      <c r="E9">
        <v>0.55047579999999996</v>
      </c>
      <c r="F9" t="s">
        <v>41</v>
      </c>
      <c r="G9">
        <v>-475.78919999999999</v>
      </c>
      <c r="H9">
        <v>0.95129319999999895</v>
      </c>
      <c r="I9">
        <v>367.2</v>
      </c>
      <c r="J9">
        <v>-476.44569999999999</v>
      </c>
      <c r="K9">
        <v>1.108948</v>
      </c>
      <c r="L9">
        <v>367.21789999999999</v>
      </c>
      <c r="M9">
        <v>0.99999950000000004</v>
      </c>
      <c r="N9">
        <v>-1.0868329999999999E-3</v>
      </c>
      <c r="O9">
        <v>4.2117199999999999E-4</v>
      </c>
      <c r="P9">
        <v>0.96410479999999998</v>
      </c>
      <c r="Q9">
        <v>0.26128580000000001</v>
      </c>
      <c r="R9">
        <v>4.7245530000000001E-2</v>
      </c>
      <c r="S9">
        <v>3.3209840000000002</v>
      </c>
      <c r="T9">
        <v>-0.76309110000000002</v>
      </c>
      <c r="U9">
        <v>-8.5052489999999994E-2</v>
      </c>
      <c r="V9">
        <v>-4.6840859999999998E-2</v>
      </c>
      <c r="W9">
        <v>0.26233329999999999</v>
      </c>
      <c r="X9">
        <v>0.96383980000000002</v>
      </c>
      <c r="Y9">
        <v>2.534904E-2</v>
      </c>
      <c r="Z9">
        <v>-2.9834409999999999E-3</v>
      </c>
      <c r="AA9">
        <v>0.99967419999999996</v>
      </c>
      <c r="AB9">
        <v>3</v>
      </c>
      <c r="AC9">
        <v>0.65649999999999398</v>
      </c>
      <c r="AD9">
        <v>-0.15765480000000001</v>
      </c>
      <c r="AE9">
        <v>-1.78999999999973E-2</v>
      </c>
      <c r="AF9">
        <v>1.7186122005442402E-2</v>
      </c>
      <c r="AG9">
        <v>-0.15765480000000001</v>
      </c>
      <c r="AH9">
        <v>0.62072235062558601</v>
      </c>
      <c r="AI9">
        <v>104.245752086029</v>
      </c>
      <c r="AJ9">
        <v>88.414040102455004</v>
      </c>
      <c r="AK9">
        <v>0.64066109240282298</v>
      </c>
      <c r="AL9">
        <v>74.791442825533494</v>
      </c>
      <c r="AM9">
        <v>92.782281596516299</v>
      </c>
      <c r="AN9">
        <v>0.99999999325923405</v>
      </c>
    </row>
    <row r="10" spans="1:40" x14ac:dyDescent="0.25">
      <c r="A10" t="str">
        <f>"20190304164824739"</f>
        <v>20190304164824739</v>
      </c>
      <c r="B10" t="str">
        <f>"1551689304726544"</f>
        <v>1551689304726544</v>
      </c>
      <c r="C10" t="s">
        <v>40</v>
      </c>
      <c r="D10">
        <v>5.0942639999999999</v>
      </c>
      <c r="E10">
        <v>0.55122899999999997</v>
      </c>
      <c r="F10" t="s">
        <v>41</v>
      </c>
      <c r="G10">
        <v>-475.76940000000002</v>
      </c>
      <c r="H10">
        <v>0.93116940000000004</v>
      </c>
      <c r="I10">
        <v>367.20299999999997</v>
      </c>
      <c r="J10">
        <v>-476.40890000000002</v>
      </c>
      <c r="K10">
        <v>1.108968</v>
      </c>
      <c r="L10">
        <v>367.21800000000002</v>
      </c>
      <c r="M10">
        <v>0.99999959999999999</v>
      </c>
      <c r="N10">
        <v>-6.6091049999999997E-4</v>
      </c>
      <c r="O10">
        <v>4.769671E-4</v>
      </c>
      <c r="P10">
        <v>0.96372029999999997</v>
      </c>
      <c r="Q10">
        <v>0.26274599999999998</v>
      </c>
      <c r="R10">
        <v>4.6985239999999998E-2</v>
      </c>
      <c r="S10">
        <v>3.354279</v>
      </c>
      <c r="T10">
        <v>-0.8818203</v>
      </c>
      <c r="U10">
        <v>-7.2662350000000001E-2</v>
      </c>
      <c r="V10">
        <v>-4.6526489999999997E-2</v>
      </c>
      <c r="W10">
        <v>0.26338260000000002</v>
      </c>
      <c r="X10">
        <v>0.9635688</v>
      </c>
      <c r="Y10">
        <v>2.1389869999999998E-2</v>
      </c>
      <c r="Z10">
        <v>-2.894518E-3</v>
      </c>
      <c r="AA10">
        <v>0.99976699999999996</v>
      </c>
      <c r="AB10">
        <v>3</v>
      </c>
      <c r="AC10">
        <v>0.63949999999999796</v>
      </c>
      <c r="AD10">
        <v>-0.1777986</v>
      </c>
      <c r="AE10">
        <v>-1.49999999999863E-2</v>
      </c>
      <c r="AF10">
        <v>1.42074005672409E-2</v>
      </c>
      <c r="AG10">
        <v>-0.1777986</v>
      </c>
      <c r="AH10">
        <v>0.59363076101914203</v>
      </c>
      <c r="AI10">
        <v>106.668997829387</v>
      </c>
      <c r="AJ10">
        <v>88.628998402369604</v>
      </c>
      <c r="AK10">
        <v>0.61984810463613105</v>
      </c>
      <c r="AL10">
        <v>74.729130782021002</v>
      </c>
      <c r="AM10">
        <v>92.764413561922893</v>
      </c>
      <c r="AN10">
        <v>0.99999997029395904</v>
      </c>
    </row>
    <row r="11" spans="1:40" x14ac:dyDescent="0.25">
      <c r="A11" t="str">
        <f>"20190304164824761"</f>
        <v>20190304164824761</v>
      </c>
      <c r="B11" t="str">
        <f>"1551689304756505"</f>
        <v>1551689304756505</v>
      </c>
      <c r="C11" t="s">
        <v>40</v>
      </c>
      <c r="D11">
        <v>5.1057629999999996</v>
      </c>
      <c r="E11">
        <v>0.5515468</v>
      </c>
      <c r="F11" t="s">
        <v>41</v>
      </c>
      <c r="G11">
        <v>-475.71289999999999</v>
      </c>
      <c r="H11">
        <v>0.92151090000000002</v>
      </c>
      <c r="I11">
        <v>367.2022</v>
      </c>
      <c r="J11">
        <v>-476.37549999999999</v>
      </c>
      <c r="K11">
        <v>1.109227</v>
      </c>
      <c r="L11">
        <v>367.21800000000002</v>
      </c>
      <c r="M11">
        <v>0.99999919999999998</v>
      </c>
      <c r="N11">
        <v>-1.2338749999999999E-3</v>
      </c>
      <c r="O11">
        <v>5.0636819999999995E-4</v>
      </c>
      <c r="P11">
        <v>0.96388269999999998</v>
      </c>
      <c r="Q11">
        <v>0.26218809999999998</v>
      </c>
      <c r="R11">
        <v>4.6774059999999999E-2</v>
      </c>
      <c r="S11">
        <v>3.3636780000000002</v>
      </c>
      <c r="T11">
        <v>-0.90601489999999996</v>
      </c>
      <c r="U11">
        <v>-7.6141360000000005E-2</v>
      </c>
      <c r="V11">
        <v>-4.6282120000000003E-2</v>
      </c>
      <c r="W11">
        <v>0.2633781</v>
      </c>
      <c r="X11">
        <v>0.96358189999999999</v>
      </c>
      <c r="Y11">
        <v>2.2320039999999999E-2</v>
      </c>
      <c r="Z11">
        <v>-3.100378E-3</v>
      </c>
      <c r="AA11">
        <v>0.99974609999999997</v>
      </c>
      <c r="AB11">
        <v>4</v>
      </c>
      <c r="AC11">
        <v>0.66259999999999697</v>
      </c>
      <c r="AD11">
        <v>-0.187716099999999</v>
      </c>
      <c r="AE11">
        <v>-1.5800000000012901E-2</v>
      </c>
      <c r="AF11">
        <v>1.49373264148084E-2</v>
      </c>
      <c r="AG11">
        <v>-0.187716099999999</v>
      </c>
      <c r="AH11">
        <v>0.61338916093460405</v>
      </c>
      <c r="AI11">
        <v>107.010983012933</v>
      </c>
      <c r="AJ11">
        <v>88.605002018421999</v>
      </c>
      <c r="AK11">
        <v>0.64164376461685502</v>
      </c>
      <c r="AL11">
        <v>74.729399579653204</v>
      </c>
      <c r="AM11">
        <v>92.749879114682003</v>
      </c>
      <c r="AN11">
        <v>1.0000000680994501</v>
      </c>
    </row>
    <row r="12" spans="1:40" x14ac:dyDescent="0.25">
      <c r="A12" t="str">
        <f>"20190304164824782"</f>
        <v>20190304164824782</v>
      </c>
      <c r="B12" t="str">
        <f>"1551689304776026"</f>
        <v>1551689304776026</v>
      </c>
      <c r="C12" t="s">
        <v>40</v>
      </c>
      <c r="D12">
        <v>5.2431130000000001</v>
      </c>
      <c r="E12">
        <v>0.55167619999999995</v>
      </c>
      <c r="F12" t="s">
        <v>41</v>
      </c>
      <c r="G12">
        <v>-475.68150000000003</v>
      </c>
      <c r="H12">
        <v>0.91831099999999999</v>
      </c>
      <c r="I12">
        <v>367.20179999999999</v>
      </c>
      <c r="J12">
        <v>-476.3383</v>
      </c>
      <c r="K12">
        <v>1.109194</v>
      </c>
      <c r="L12">
        <v>367.21820000000002</v>
      </c>
      <c r="M12">
        <v>0.99999939999999998</v>
      </c>
      <c r="N12">
        <v>-9.7370319999999998E-4</v>
      </c>
      <c r="O12">
        <v>5.4304910000000002E-4</v>
      </c>
      <c r="P12">
        <v>0.96377990000000002</v>
      </c>
      <c r="Q12">
        <v>0.26255800000000001</v>
      </c>
      <c r="R12">
        <v>4.6815049999999997E-2</v>
      </c>
      <c r="S12">
        <v>3.3681950000000001</v>
      </c>
      <c r="T12">
        <v>-0.92654510000000001</v>
      </c>
      <c r="U12">
        <v>-7.7423099999999995E-2</v>
      </c>
      <c r="V12">
        <v>-4.6286069999999999E-2</v>
      </c>
      <c r="W12">
        <v>0.26349729999999999</v>
      </c>
      <c r="X12">
        <v>0.96354910000000005</v>
      </c>
      <c r="Y12">
        <v>2.2658979999999999E-2</v>
      </c>
      <c r="Z12">
        <v>-3.2167379999999998E-3</v>
      </c>
      <c r="AA12">
        <v>0.99973809999999996</v>
      </c>
      <c r="AB12">
        <v>3</v>
      </c>
      <c r="AC12">
        <v>0.65679999999997496</v>
      </c>
      <c r="AD12">
        <v>-0.190882999999999</v>
      </c>
      <c r="AE12">
        <v>-1.6400000000032802E-2</v>
      </c>
      <c r="AF12">
        <v>1.54523302997722E-2</v>
      </c>
      <c r="AG12">
        <v>-0.190882999999999</v>
      </c>
      <c r="AH12">
        <v>0.605666279575092</v>
      </c>
      <c r="AI12">
        <v>107.487527882471</v>
      </c>
      <c r="AJ12">
        <v>88.538532985166199</v>
      </c>
      <c r="AK12">
        <v>0.63522180096012604</v>
      </c>
      <c r="AL12">
        <v>74.722319522946606</v>
      </c>
      <c r="AM12">
        <v>92.750206918335607</v>
      </c>
      <c r="AN12">
        <v>1.0000000477470701</v>
      </c>
    </row>
    <row r="13" spans="1:40" x14ac:dyDescent="0.25">
      <c r="A13" t="str">
        <f>"20190304164824804"</f>
        <v>20190304164824804</v>
      </c>
      <c r="B13" t="str">
        <f>"1551689304796522"</f>
        <v>1551689304796522</v>
      </c>
      <c r="C13" t="s">
        <v>40</v>
      </c>
      <c r="D13">
        <v>5.1131379999999904</v>
      </c>
      <c r="E13">
        <v>0.55151380000000005</v>
      </c>
      <c r="F13" t="s">
        <v>41</v>
      </c>
      <c r="G13">
        <v>-475.64589999999998</v>
      </c>
      <c r="H13">
        <v>0.91747610000000002</v>
      </c>
      <c r="I13">
        <v>367.20229999999998</v>
      </c>
      <c r="J13">
        <v>-476.29750000000001</v>
      </c>
      <c r="K13">
        <v>1.109078</v>
      </c>
      <c r="L13">
        <v>367.21820000000002</v>
      </c>
      <c r="M13">
        <v>0.99999990000000005</v>
      </c>
      <c r="N13">
        <v>-4.2449300000000002E-4</v>
      </c>
      <c r="O13">
        <v>5.8979829999999999E-4</v>
      </c>
      <c r="P13">
        <v>0.96361870000000005</v>
      </c>
      <c r="Q13">
        <v>0.26318330000000001</v>
      </c>
      <c r="R13">
        <v>4.6624180000000001E-2</v>
      </c>
      <c r="S13">
        <v>3.3706969999999998</v>
      </c>
      <c r="T13">
        <v>-0.93334099999999998</v>
      </c>
      <c r="U13">
        <v>-7.6019290000000003E-2</v>
      </c>
      <c r="V13">
        <v>-4.6050489999999999E-2</v>
      </c>
      <c r="W13">
        <v>0.26359339999999998</v>
      </c>
      <c r="X13">
        <v>0.96353409999999995</v>
      </c>
      <c r="Y13">
        <v>2.2275670000000001E-2</v>
      </c>
      <c r="Z13">
        <v>-3.1915839999999999E-3</v>
      </c>
      <c r="AA13">
        <v>0.99974680000000005</v>
      </c>
      <c r="AB13">
        <v>4</v>
      </c>
      <c r="AC13">
        <v>0.65160000000003004</v>
      </c>
      <c r="AD13">
        <v>-0.19160189999999999</v>
      </c>
      <c r="AE13">
        <v>-1.5900000000044601E-2</v>
      </c>
      <c r="AF13">
        <v>1.49890604746873E-2</v>
      </c>
      <c r="AG13">
        <v>-0.19160189999999999</v>
      </c>
      <c r="AH13">
        <v>0.59976318770346604</v>
      </c>
      <c r="AI13">
        <v>107.71155147716399</v>
      </c>
      <c r="AJ13">
        <v>88.568383005693605</v>
      </c>
      <c r="AK13">
        <v>0.62980301788872595</v>
      </c>
      <c r="AL13">
        <v>74.716611564012894</v>
      </c>
      <c r="AM13">
        <v>92.736273180637298</v>
      </c>
      <c r="AN13">
        <v>1.0000000450077999</v>
      </c>
    </row>
    <row r="14" spans="1:40" x14ac:dyDescent="0.25">
      <c r="A14" t="str">
        <f>"20190304164824828"</f>
        <v>20190304164824828</v>
      </c>
      <c r="B14" t="str">
        <f>"1551689304816042"</f>
        <v>1551689304816042</v>
      </c>
      <c r="C14" t="s">
        <v>40</v>
      </c>
      <c r="D14">
        <v>5.2929969999999997</v>
      </c>
      <c r="E14">
        <v>0.55133719999999997</v>
      </c>
      <c r="F14" t="s">
        <v>41</v>
      </c>
      <c r="G14">
        <v>-475.60750000000002</v>
      </c>
      <c r="H14">
        <v>0.91758689999999998</v>
      </c>
      <c r="I14">
        <v>367.20260000000002</v>
      </c>
      <c r="J14">
        <v>-476.25119999999998</v>
      </c>
      <c r="K14">
        <v>1.108981</v>
      </c>
      <c r="L14">
        <v>367.2183</v>
      </c>
      <c r="M14">
        <v>0.99999990000000005</v>
      </c>
      <c r="N14" s="1">
        <v>8.1167879999999998E-5</v>
      </c>
      <c r="O14">
        <v>6.4831860000000004E-4</v>
      </c>
      <c r="P14">
        <v>0.96352720000000003</v>
      </c>
      <c r="Q14">
        <v>0.26349489999999998</v>
      </c>
      <c r="R14">
        <v>4.6754049999999998E-2</v>
      </c>
      <c r="S14">
        <v>3.3724669999999999</v>
      </c>
      <c r="T14">
        <v>-0.93591679999999999</v>
      </c>
      <c r="U14">
        <v>-7.3974609999999996E-2</v>
      </c>
      <c r="V14">
        <v>-4.6125380000000001E-2</v>
      </c>
      <c r="W14">
        <v>0.26341720000000002</v>
      </c>
      <c r="X14">
        <v>0.96357859999999995</v>
      </c>
      <c r="Y14">
        <v>2.1732520000000002E-2</v>
      </c>
      <c r="Z14">
        <v>-3.1350240000000001E-3</v>
      </c>
      <c r="AA14">
        <v>0.99975890000000001</v>
      </c>
      <c r="AB14">
        <v>4</v>
      </c>
      <c r="AC14">
        <v>0.64369999999996697</v>
      </c>
      <c r="AD14">
        <v>-0.19139409999999901</v>
      </c>
      <c r="AE14">
        <v>-1.5699999999981101E-2</v>
      </c>
      <c r="AF14">
        <v>1.4808878845582799E-2</v>
      </c>
      <c r="AG14">
        <v>-0.19139409999999901</v>
      </c>
      <c r="AH14">
        <v>0.59143349935483203</v>
      </c>
      <c r="AI14">
        <v>107.926867292686</v>
      </c>
      <c r="AJ14">
        <v>88.565673054635099</v>
      </c>
      <c r="AK14">
        <v>0.62180751729661099</v>
      </c>
      <c r="AL14">
        <v>74.727075385845595</v>
      </c>
      <c r="AM14">
        <v>92.740589909904699</v>
      </c>
      <c r="AN14">
        <v>0.99999994515696999</v>
      </c>
    </row>
    <row r="15" spans="1:40" x14ac:dyDescent="0.25">
      <c r="A15" t="str">
        <f>"20190304164824847"</f>
        <v>20190304164824847</v>
      </c>
      <c r="B15" t="str">
        <f>"1551689304836541"</f>
        <v>1551689304836541</v>
      </c>
      <c r="C15" t="s">
        <v>40</v>
      </c>
      <c r="D15">
        <v>5.1221800000000002</v>
      </c>
      <c r="E15">
        <v>0.55112159999999999</v>
      </c>
      <c r="F15" t="s">
        <v>41</v>
      </c>
      <c r="G15">
        <v>-475.56670000000003</v>
      </c>
      <c r="H15">
        <v>0.91845200000000005</v>
      </c>
      <c r="I15">
        <v>367.20370000000003</v>
      </c>
      <c r="J15">
        <v>-476.21039999999999</v>
      </c>
      <c r="K15">
        <v>1.1089370000000001</v>
      </c>
      <c r="L15">
        <v>367.21839999999997</v>
      </c>
      <c r="M15">
        <v>0.99999979999999999</v>
      </c>
      <c r="N15">
        <v>4.0126829999999997E-4</v>
      </c>
      <c r="O15">
        <v>7.0204459999999996E-4</v>
      </c>
      <c r="P15">
        <v>0.96340930000000002</v>
      </c>
      <c r="Q15">
        <v>0.26389459999999998</v>
      </c>
      <c r="R15">
        <v>4.6929180000000001E-2</v>
      </c>
      <c r="S15">
        <v>3.373901</v>
      </c>
      <c r="T15">
        <v>-0.93911489999999997</v>
      </c>
      <c r="U15">
        <v>-7.1807860000000001E-2</v>
      </c>
      <c r="V15">
        <v>-4.6250529999999998E-2</v>
      </c>
      <c r="W15">
        <v>0.26350869999999998</v>
      </c>
      <c r="X15">
        <v>0.96354759999999995</v>
      </c>
      <c r="Y15">
        <v>2.1151119999999999E-2</v>
      </c>
      <c r="Z15">
        <v>-3.0761550000000001E-3</v>
      </c>
      <c r="AA15">
        <v>0.99977150000000004</v>
      </c>
      <c r="AB15">
        <v>4</v>
      </c>
      <c r="AC15">
        <v>0.64369999999996697</v>
      </c>
      <c r="AD15">
        <v>-0.19048499999999999</v>
      </c>
      <c r="AE15">
        <v>-1.4699999999947901E-2</v>
      </c>
      <c r="AF15">
        <v>1.3932473931894E-2</v>
      </c>
      <c r="AG15">
        <v>-0.19048499999999999</v>
      </c>
      <c r="AH15">
        <v>0.59188524321845704</v>
      </c>
      <c r="AI15">
        <v>107.83498032727699</v>
      </c>
      <c r="AJ15">
        <v>88.651555222809094</v>
      </c>
      <c r="AK15">
        <v>0.62193793114316098</v>
      </c>
      <c r="AL15">
        <v>74.721641079064</v>
      </c>
      <c r="AM15">
        <v>92.748102726953803</v>
      </c>
      <c r="AN15">
        <v>0.99999996198336405</v>
      </c>
    </row>
    <row r="16" spans="1:40" x14ac:dyDescent="0.25">
      <c r="A16" t="str">
        <f>"20190304164824871"</f>
        <v>20190304164824871</v>
      </c>
      <c r="B16" t="str">
        <f>"1551689304866368"</f>
        <v>1551689304866368</v>
      </c>
      <c r="C16" t="s">
        <v>40</v>
      </c>
      <c r="D16">
        <v>5.116714</v>
      </c>
      <c r="E16">
        <v>0.54204200000000002</v>
      </c>
      <c r="F16" t="s">
        <v>41</v>
      </c>
      <c r="G16">
        <v>-475.52460000000002</v>
      </c>
      <c r="H16">
        <v>0.91754599999999997</v>
      </c>
      <c r="I16">
        <v>367.20400000000001</v>
      </c>
      <c r="J16">
        <v>-476.15949999999998</v>
      </c>
      <c r="K16">
        <v>1.108892</v>
      </c>
      <c r="L16">
        <v>367.21850000000001</v>
      </c>
      <c r="M16">
        <v>0.99999959999999999</v>
      </c>
      <c r="N16">
        <v>7.5153729999999895E-4</v>
      </c>
      <c r="O16">
        <v>7.703683E-4</v>
      </c>
      <c r="P16">
        <v>0.96327929999999995</v>
      </c>
      <c r="Q16">
        <v>0.2643123</v>
      </c>
      <c r="R16">
        <v>4.7249119999999999E-2</v>
      </c>
      <c r="S16">
        <v>3.3753359999999999</v>
      </c>
      <c r="T16">
        <v>-0.94202799999999998</v>
      </c>
      <c r="U16">
        <v>-6.8511959999999997E-2</v>
      </c>
      <c r="V16">
        <v>-4.6506779999999998E-2</v>
      </c>
      <c r="W16">
        <v>0.2635883</v>
      </c>
      <c r="X16">
        <v>0.96351359999999997</v>
      </c>
      <c r="Y16">
        <v>2.0262390000000002E-2</v>
      </c>
      <c r="Z16">
        <v>-2.9780100000000001E-3</v>
      </c>
      <c r="AA16">
        <v>0.99979030000000002</v>
      </c>
      <c r="AB16">
        <v>5</v>
      </c>
      <c r="AC16">
        <v>0.63489999999995905</v>
      </c>
      <c r="AD16">
        <v>-0.19134599999999999</v>
      </c>
      <c r="AE16">
        <v>-1.4499999999998099E-2</v>
      </c>
      <c r="AF16">
        <v>1.3741606560398001E-2</v>
      </c>
      <c r="AG16">
        <v>-0.19134599999999999</v>
      </c>
      <c r="AH16">
        <v>0.58204884985156702</v>
      </c>
      <c r="AI16">
        <v>108.19331673838801</v>
      </c>
      <c r="AJ16">
        <v>88.647553679822195</v>
      </c>
      <c r="AK16">
        <v>0.61284825779339003</v>
      </c>
      <c r="AL16">
        <v>74.716914797385002</v>
      </c>
      <c r="AM16">
        <v>92.763402351613493</v>
      </c>
      <c r="AN16">
        <v>1.0000000649339</v>
      </c>
    </row>
    <row r="17" spans="1:40" x14ac:dyDescent="0.25">
      <c r="A17" t="str">
        <f>"20190304164824894"</f>
        <v>20190304164824894</v>
      </c>
      <c r="B17" t="str">
        <f>"1551689304886864"</f>
        <v>1551689304886864</v>
      </c>
      <c r="C17" t="s">
        <v>40</v>
      </c>
      <c r="D17">
        <v>5.2677959999999997</v>
      </c>
      <c r="E17">
        <v>0.54231700000000005</v>
      </c>
      <c r="F17" t="s">
        <v>41</v>
      </c>
      <c r="G17">
        <v>-475.48509999999999</v>
      </c>
      <c r="H17">
        <v>0.90235299999999996</v>
      </c>
      <c r="I17">
        <v>367.22160000000002</v>
      </c>
      <c r="J17">
        <v>-476.10379999999998</v>
      </c>
      <c r="K17">
        <v>1.1088290000000001</v>
      </c>
      <c r="L17">
        <v>367.21859999999998</v>
      </c>
      <c r="M17">
        <v>0.99999910000000003</v>
      </c>
      <c r="N17">
        <v>1.1471750000000001E-3</v>
      </c>
      <c r="O17">
        <v>8.4736380000000001E-4</v>
      </c>
      <c r="P17">
        <v>0.96321299999999999</v>
      </c>
      <c r="Q17">
        <v>0.26459539999999998</v>
      </c>
      <c r="R17">
        <v>4.701292E-2</v>
      </c>
      <c r="S17">
        <v>3.3992610000000001</v>
      </c>
      <c r="T17">
        <v>-1.0411820000000001</v>
      </c>
      <c r="U17">
        <v>1.6357420000000001E-2</v>
      </c>
      <c r="V17">
        <v>-4.6198389999999999E-2</v>
      </c>
      <c r="W17">
        <v>0.26349030000000001</v>
      </c>
      <c r="X17">
        <v>0.96355519999999995</v>
      </c>
      <c r="Y17">
        <v>-3.8288969999999999E-3</v>
      </c>
      <c r="Z17">
        <v>3.1632129999999999E-4</v>
      </c>
      <c r="AA17">
        <v>0.99999260000000001</v>
      </c>
      <c r="AB17">
        <v>5</v>
      </c>
      <c r="AC17">
        <v>0.61869999999998904</v>
      </c>
      <c r="AD17">
        <v>-0.20647599999999999</v>
      </c>
      <c r="AE17">
        <v>3.0000000000427402E-3</v>
      </c>
      <c r="AF17">
        <v>-2.2276418962675201E-3</v>
      </c>
      <c r="AG17">
        <v>-0.20647599999999999</v>
      </c>
      <c r="AH17">
        <v>0.55670231289364802</v>
      </c>
      <c r="AI17">
        <v>110.349225488245</v>
      </c>
      <c r="AJ17">
        <v>90.229267590140495</v>
      </c>
      <c r="AK17">
        <v>0.59376322397531101</v>
      </c>
      <c r="AL17">
        <v>74.722734952539795</v>
      </c>
      <c r="AM17">
        <v>92.744987808252304</v>
      </c>
      <c r="AN17">
        <v>1.0000000264398601</v>
      </c>
    </row>
    <row r="18" spans="1:40" x14ac:dyDescent="0.25">
      <c r="A18" t="str">
        <f>"20190304164824917"</f>
        <v>20190304164824917</v>
      </c>
      <c r="B18" t="str">
        <f>"1551689304906384"</f>
        <v>1551689304906384</v>
      </c>
      <c r="C18" t="s">
        <v>40</v>
      </c>
      <c r="D18">
        <v>5.0922859999999996</v>
      </c>
      <c r="E18">
        <v>0.54268380000000005</v>
      </c>
      <c r="F18" t="s">
        <v>41</v>
      </c>
      <c r="G18">
        <v>-475.43680000000001</v>
      </c>
      <c r="H18">
        <v>0.90487410000000001</v>
      </c>
      <c r="I18">
        <v>367.22109999999998</v>
      </c>
      <c r="J18">
        <v>-476.05</v>
      </c>
      <c r="K18">
        <v>1.1087720000000001</v>
      </c>
      <c r="L18">
        <v>367.21870000000001</v>
      </c>
      <c r="M18">
        <v>0.99999839999999995</v>
      </c>
      <c r="N18">
        <v>1.5275919999999999E-3</v>
      </c>
      <c r="O18">
        <v>9.2411220000000001E-4</v>
      </c>
      <c r="P18">
        <v>0.96308000000000005</v>
      </c>
      <c r="Q18">
        <v>0.26502710000000002</v>
      </c>
      <c r="R18">
        <v>4.7303610000000003E-2</v>
      </c>
      <c r="S18">
        <v>3.3994450000000001</v>
      </c>
      <c r="T18">
        <v>-1.039574</v>
      </c>
      <c r="U18">
        <v>1.3732909999999999E-2</v>
      </c>
      <c r="V18">
        <v>-4.6417180000000002E-2</v>
      </c>
      <c r="W18">
        <v>0.26355469999999998</v>
      </c>
      <c r="X18">
        <v>0.96352700000000002</v>
      </c>
      <c r="Y18">
        <v>-3.020904E-3</v>
      </c>
      <c r="Z18">
        <v>1.715609E-4</v>
      </c>
      <c r="AA18">
        <v>0.99999539999999998</v>
      </c>
      <c r="AB18">
        <v>5</v>
      </c>
      <c r="AC18">
        <v>0.61320000000000596</v>
      </c>
      <c r="AD18">
        <v>-0.20389789999999899</v>
      </c>
      <c r="AE18">
        <v>2.3999999999659801E-3</v>
      </c>
      <c r="AF18">
        <v>-1.65081198876419E-3</v>
      </c>
      <c r="AG18">
        <v>-0.20389789999999899</v>
      </c>
      <c r="AH18">
        <v>0.55215353729977501</v>
      </c>
      <c r="AI18">
        <v>110.267972486909</v>
      </c>
      <c r="AJ18">
        <v>90.171300682719703</v>
      </c>
      <c r="AK18">
        <v>0.58860055008238499</v>
      </c>
      <c r="AL18">
        <v>74.718908816022505</v>
      </c>
      <c r="AM18">
        <v>92.758048308974097</v>
      </c>
      <c r="AN18">
        <v>0.99999995711012002</v>
      </c>
    </row>
    <row r="19" spans="1:40" x14ac:dyDescent="0.25">
      <c r="A19" t="str">
        <f>"20190304164824937"</f>
        <v>20190304164824937</v>
      </c>
      <c r="B19" t="str">
        <f>"1551689304926883"</f>
        <v>1551689304926883</v>
      </c>
      <c r="C19" t="s">
        <v>40</v>
      </c>
      <c r="D19">
        <v>5.1198030000000001</v>
      </c>
      <c r="E19">
        <v>0.54273019999999905</v>
      </c>
      <c r="F19" t="s">
        <v>41</v>
      </c>
      <c r="G19">
        <v>-475.33980000000003</v>
      </c>
      <c r="H19">
        <v>0.89314189999999904</v>
      </c>
      <c r="I19">
        <v>367.22059999999999</v>
      </c>
      <c r="J19">
        <v>-475.99349999999998</v>
      </c>
      <c r="K19">
        <v>1.1087129999999901</v>
      </c>
      <c r="L19">
        <v>367.21879999999999</v>
      </c>
      <c r="M19">
        <v>0.99999780000000005</v>
      </c>
      <c r="N19">
        <v>1.8797729999999999E-3</v>
      </c>
      <c r="O19">
        <v>1.0061779999999999E-3</v>
      </c>
      <c r="P19">
        <v>0.96297379999999999</v>
      </c>
      <c r="Q19">
        <v>0.26538850000000003</v>
      </c>
      <c r="R19">
        <v>4.7441829999999997E-2</v>
      </c>
      <c r="S19">
        <v>3.3984070000000002</v>
      </c>
      <c r="T19">
        <v>-1.031733</v>
      </c>
      <c r="U19">
        <v>1.1230469999999999E-2</v>
      </c>
      <c r="V19">
        <v>-4.6477530000000003E-2</v>
      </c>
      <c r="W19">
        <v>0.2635768</v>
      </c>
      <c r="X19">
        <v>0.96351810000000004</v>
      </c>
      <c r="Y19">
        <v>-2.2438699999999998E-3</v>
      </c>
      <c r="Z19" s="1">
        <v>3.0363970000000001E-5</v>
      </c>
      <c r="AA19">
        <v>0.99999749999999998</v>
      </c>
      <c r="AB19">
        <v>6</v>
      </c>
      <c r="AC19">
        <v>0.65369999999995798</v>
      </c>
      <c r="AD19">
        <v>-0.21557109999999899</v>
      </c>
      <c r="AE19">
        <v>1.8000000000029099E-3</v>
      </c>
      <c r="AF19">
        <v>-1.0302246644805001E-3</v>
      </c>
      <c r="AG19">
        <v>-0.21557109999999899</v>
      </c>
      <c r="AH19">
        <v>0.58958532414014597</v>
      </c>
      <c r="AI19">
        <v>110.083987485074</v>
      </c>
      <c r="AJ19">
        <v>90.100116917317706</v>
      </c>
      <c r="AK19">
        <v>0.62776015719342204</v>
      </c>
      <c r="AL19">
        <v>74.717596988504397</v>
      </c>
      <c r="AM19">
        <v>92.761654149226601</v>
      </c>
      <c r="AN19">
        <v>1.0000000096603701</v>
      </c>
    </row>
    <row r="20" spans="1:40" x14ac:dyDescent="0.25">
      <c r="A20" t="str">
        <f>"20190304164824960"</f>
        <v>20190304164824960</v>
      </c>
      <c r="B20" t="str">
        <f>"1551689304956160"</f>
        <v>1551689304956160</v>
      </c>
      <c r="C20" t="s">
        <v>40</v>
      </c>
      <c r="D20">
        <v>5.0784649999999996</v>
      </c>
      <c r="E20">
        <v>0.54271130000000001</v>
      </c>
      <c r="F20" t="s">
        <v>41</v>
      </c>
      <c r="G20">
        <v>-475.28519999999997</v>
      </c>
      <c r="H20">
        <v>0.89257119999999901</v>
      </c>
      <c r="I20">
        <v>367.22140000000002</v>
      </c>
      <c r="J20">
        <v>-475.93290000000002</v>
      </c>
      <c r="K20">
        <v>1.108663</v>
      </c>
      <c r="L20">
        <v>367.21899999999999</v>
      </c>
      <c r="M20">
        <v>0.99999709999999997</v>
      </c>
      <c r="N20">
        <v>2.1943940000000001E-3</v>
      </c>
      <c r="O20">
        <v>1.094481E-3</v>
      </c>
      <c r="P20">
        <v>0.96293890000000004</v>
      </c>
      <c r="Q20">
        <v>0.26544879999999998</v>
      </c>
      <c r="R20">
        <v>4.7810730000000003E-2</v>
      </c>
      <c r="S20">
        <v>3.4007869999999998</v>
      </c>
      <c r="T20">
        <v>-1.0378810000000001</v>
      </c>
      <c r="U20">
        <v>1.190186E-2</v>
      </c>
      <c r="V20">
        <v>-4.6763289999999999E-2</v>
      </c>
      <c r="W20">
        <v>0.26333390000000001</v>
      </c>
      <c r="X20">
        <v>0.9635707</v>
      </c>
      <c r="Y20">
        <v>-2.3496089999999999E-3</v>
      </c>
      <c r="Z20" s="1">
        <v>1.8985560000000001E-5</v>
      </c>
      <c r="AA20">
        <v>0.99999729999999998</v>
      </c>
      <c r="AB20">
        <v>6</v>
      </c>
      <c r="AC20">
        <v>0.64770000000004302</v>
      </c>
      <c r="AD20">
        <v>-0.2160918</v>
      </c>
      <c r="AE20">
        <v>2.4000000000228201E-3</v>
      </c>
      <c r="AF20">
        <v>-1.52172302990001E-3</v>
      </c>
      <c r="AG20">
        <v>-0.2160918</v>
      </c>
      <c r="AH20">
        <v>0.582829216493017</v>
      </c>
      <c r="AI20">
        <v>110.342878198656</v>
      </c>
      <c r="AJ20">
        <v>90.149594609562996</v>
      </c>
      <c r="AK20">
        <v>0.62160105957606304</v>
      </c>
      <c r="AL20">
        <v>74.732023987866</v>
      </c>
      <c r="AM20">
        <v>92.778455786955405</v>
      </c>
      <c r="AN20">
        <v>1.00000002103966</v>
      </c>
    </row>
    <row r="21" spans="1:40" x14ac:dyDescent="0.25">
      <c r="A21" t="str">
        <f>"20190304164824983"</f>
        <v>20190304164824983</v>
      </c>
      <c r="B21" t="str">
        <f>"1551689304976656"</f>
        <v>1551689304976656</v>
      </c>
      <c r="C21" t="s">
        <v>40</v>
      </c>
      <c r="D21">
        <v>5.189559</v>
      </c>
      <c r="E21">
        <v>0.54285950000000005</v>
      </c>
      <c r="F21" t="s">
        <v>41</v>
      </c>
      <c r="G21">
        <v>-475.22800000000001</v>
      </c>
      <c r="H21">
        <v>0.89325299999999996</v>
      </c>
      <c r="I21">
        <v>367.22140000000002</v>
      </c>
      <c r="J21">
        <v>-475.86559999999997</v>
      </c>
      <c r="K21">
        <v>1.1086240000000001</v>
      </c>
      <c r="L21">
        <v>367.2192</v>
      </c>
      <c r="M21">
        <v>0.9999962</v>
      </c>
      <c r="N21">
        <v>2.4859980000000001E-3</v>
      </c>
      <c r="O21">
        <v>1.19206E-3</v>
      </c>
      <c r="P21">
        <v>0.96292239999999996</v>
      </c>
      <c r="Q21">
        <v>0.26548870000000002</v>
      </c>
      <c r="R21">
        <v>4.7921320000000003E-2</v>
      </c>
      <c r="S21">
        <v>3.401367</v>
      </c>
      <c r="T21">
        <v>-1.0394049999999999</v>
      </c>
      <c r="U21">
        <v>1.2969970000000001E-2</v>
      </c>
      <c r="V21">
        <v>-4.6781200000000002E-2</v>
      </c>
      <c r="W21">
        <v>0.2630924</v>
      </c>
      <c r="X21">
        <v>0.96363580000000004</v>
      </c>
      <c r="Y21">
        <v>-2.5604949999999999E-3</v>
      </c>
      <c r="Z21" s="1">
        <v>2.019768E-5</v>
      </c>
      <c r="AA21">
        <v>0.99999669999999896</v>
      </c>
      <c r="AB21">
        <v>6</v>
      </c>
      <c r="AC21">
        <v>0.63759999999996297</v>
      </c>
      <c r="AD21">
        <v>-0.21537100000000001</v>
      </c>
      <c r="AE21">
        <v>2.2000000000161799E-3</v>
      </c>
      <c r="AF21">
        <v>-1.29247198730131E-3</v>
      </c>
      <c r="AG21">
        <v>-0.21537100000000001</v>
      </c>
      <c r="AH21">
        <v>0.57230421105038498</v>
      </c>
      <c r="AI21">
        <v>110.62240412042399</v>
      </c>
      <c r="AJ21">
        <v>90.129394581913004</v>
      </c>
      <c r="AK21">
        <v>0.61148871462263399</v>
      </c>
      <c r="AL21">
        <v>74.746366710136499</v>
      </c>
      <c r="AM21">
        <v>92.779330766395603</v>
      </c>
      <c r="AN21">
        <v>1.0000000233264199</v>
      </c>
    </row>
    <row r="22" spans="1:40" x14ac:dyDescent="0.25">
      <c r="A22" t="str">
        <f>"20190304164825005"</f>
        <v>20190304164825005</v>
      </c>
      <c r="B22" t="str">
        <f>"1551689304997152"</f>
        <v>1551689304997152</v>
      </c>
      <c r="C22" t="s">
        <v>40</v>
      </c>
      <c r="D22">
        <v>5.0364190000000004</v>
      </c>
      <c r="E22">
        <v>0.54298440000000003</v>
      </c>
      <c r="F22" t="s">
        <v>41</v>
      </c>
      <c r="G22">
        <v>-475.16739999999999</v>
      </c>
      <c r="H22">
        <v>0.8959222</v>
      </c>
      <c r="I22">
        <v>367.22190000000001</v>
      </c>
      <c r="J22">
        <v>-475.79759999999999</v>
      </c>
      <c r="K22">
        <v>1.1085940000000001</v>
      </c>
      <c r="L22">
        <v>367.21940000000001</v>
      </c>
      <c r="M22">
        <v>0.99999550000000004</v>
      </c>
      <c r="N22">
        <v>2.743307E-3</v>
      </c>
      <c r="O22">
        <v>1.2897640000000001E-3</v>
      </c>
      <c r="P22">
        <v>0.96282570000000001</v>
      </c>
      <c r="Q22">
        <v>0.26581690000000002</v>
      </c>
      <c r="R22">
        <v>4.804348E-2</v>
      </c>
      <c r="S22">
        <v>3.4004210000000001</v>
      </c>
      <c r="T22">
        <v>-1.035855</v>
      </c>
      <c r="U22">
        <v>1.287842E-2</v>
      </c>
      <c r="V22">
        <v>-4.6809999999999997E-2</v>
      </c>
      <c r="W22">
        <v>0.26317289999999999</v>
      </c>
      <c r="X22">
        <v>0.96361240000000004</v>
      </c>
      <c r="Y22">
        <v>-2.4471079999999999E-3</v>
      </c>
      <c r="Z22" s="1">
        <v>-2.6610939999999999E-5</v>
      </c>
      <c r="AA22">
        <v>0.99999700000000002</v>
      </c>
      <c r="AB22">
        <v>6</v>
      </c>
      <c r="AC22">
        <v>0.63020000000000198</v>
      </c>
      <c r="AD22">
        <v>-0.21267179999999999</v>
      </c>
      <c r="AE22">
        <v>2.4999999999977202E-3</v>
      </c>
      <c r="AF22">
        <v>-1.51468937547606E-3</v>
      </c>
      <c r="AG22">
        <v>-0.21267179999999999</v>
      </c>
      <c r="AH22">
        <v>0.56577136327098798</v>
      </c>
      <c r="AI22">
        <v>110.601026041897</v>
      </c>
      <c r="AJ22">
        <v>90.153392530586601</v>
      </c>
      <c r="AK22">
        <v>0.60442437434029395</v>
      </c>
      <c r="AL22">
        <v>74.741585627875807</v>
      </c>
      <c r="AM22">
        <v>92.781106553461498</v>
      </c>
      <c r="AN22">
        <v>1.00000000441408</v>
      </c>
    </row>
    <row r="23" spans="1:40" x14ac:dyDescent="0.25">
      <c r="A23" t="str">
        <f>"20190304164825027"</f>
        <v>20190304164825027</v>
      </c>
      <c r="B23" t="str">
        <f>"1551689305016672"</f>
        <v>1551689305016672</v>
      </c>
      <c r="C23" t="s">
        <v>40</v>
      </c>
      <c r="D23">
        <v>5.0149999999999997</v>
      </c>
      <c r="E23">
        <v>0.54304770000000002</v>
      </c>
      <c r="F23" t="s">
        <v>41</v>
      </c>
      <c r="G23">
        <v>-475.1046</v>
      </c>
      <c r="H23">
        <v>0.89796909999999897</v>
      </c>
      <c r="I23">
        <v>367.2217</v>
      </c>
      <c r="J23">
        <v>-475.72890000000001</v>
      </c>
      <c r="K23">
        <v>1.1085560000000001</v>
      </c>
      <c r="L23">
        <v>367.21960000000001</v>
      </c>
      <c r="M23">
        <v>0.99999470000000001</v>
      </c>
      <c r="N23">
        <v>2.9778970000000002E-3</v>
      </c>
      <c r="O23">
        <v>1.386934E-3</v>
      </c>
      <c r="P23">
        <v>0.96265140000000005</v>
      </c>
      <c r="Q23">
        <v>0.26640710000000001</v>
      </c>
      <c r="R23">
        <v>4.8267299999999999E-2</v>
      </c>
      <c r="S23">
        <v>3.400452</v>
      </c>
      <c r="T23">
        <v>-1.033509</v>
      </c>
      <c r="U23">
        <v>1.364136E-2</v>
      </c>
      <c r="V23">
        <v>-4.6941169999999997E-2</v>
      </c>
      <c r="W23">
        <v>0.26353720000000003</v>
      </c>
      <c r="X23">
        <v>0.96350650000000004</v>
      </c>
      <c r="Y23">
        <v>-2.5734970000000001E-3</v>
      </c>
      <c r="Z23" s="1">
        <v>-3.7730179999999999E-5</v>
      </c>
      <c r="AA23">
        <v>0.99999669999999896</v>
      </c>
      <c r="AB23">
        <v>7</v>
      </c>
      <c r="AC23">
        <v>0.62430000000000496</v>
      </c>
      <c r="AD23">
        <v>-0.21058689999999999</v>
      </c>
      <c r="AE23">
        <v>2.0999999999844398E-3</v>
      </c>
      <c r="AF23">
        <v>-1.1080552902102501E-3</v>
      </c>
      <c r="AG23">
        <v>-0.21058689999999999</v>
      </c>
      <c r="AH23">
        <v>0.56052501392041698</v>
      </c>
      <c r="AI23">
        <v>110.590952312187</v>
      </c>
      <c r="AJ23">
        <v>90.113263114618505</v>
      </c>
      <c r="AK23">
        <v>0.59877905897636396</v>
      </c>
      <c r="AL23">
        <v>74.7199497304033</v>
      </c>
      <c r="AM23">
        <v>92.789193470915507</v>
      </c>
      <c r="AN23">
        <v>1.00000005238352</v>
      </c>
    </row>
    <row r="24" spans="1:40" x14ac:dyDescent="0.25">
      <c r="A24" t="str">
        <f>"20190304164825048"</f>
        <v>20190304164825048</v>
      </c>
      <c r="B24" t="str">
        <f>"1551689305036196"</f>
        <v>1551689305036196</v>
      </c>
      <c r="C24" t="s">
        <v>40</v>
      </c>
      <c r="D24">
        <v>5.0168879999999998</v>
      </c>
      <c r="E24">
        <v>0.54309830000000003</v>
      </c>
      <c r="F24" t="s">
        <v>41</v>
      </c>
      <c r="G24">
        <v>-475.03960000000001</v>
      </c>
      <c r="H24">
        <v>0.8992386</v>
      </c>
      <c r="I24">
        <v>367.22190000000001</v>
      </c>
      <c r="J24">
        <v>-475.6567</v>
      </c>
      <c r="K24">
        <v>1.1085309999999999</v>
      </c>
      <c r="L24">
        <v>367.21980000000002</v>
      </c>
      <c r="M24">
        <v>0.99999380000000004</v>
      </c>
      <c r="N24">
        <v>3.1994670000000001E-3</v>
      </c>
      <c r="O24">
        <v>1.487316E-3</v>
      </c>
      <c r="P24">
        <v>0.96274119999999996</v>
      </c>
      <c r="Q24">
        <v>0.2660382</v>
      </c>
      <c r="R24">
        <v>4.850869E-2</v>
      </c>
      <c r="S24">
        <v>3.401672</v>
      </c>
      <c r="T24">
        <v>-1.033053</v>
      </c>
      <c r="U24">
        <v>1.211548E-2</v>
      </c>
      <c r="V24">
        <v>-4.7086290000000003E-2</v>
      </c>
      <c r="W24">
        <v>0.26295479999999999</v>
      </c>
      <c r="X24">
        <v>0.96365849999999997</v>
      </c>
      <c r="Y24">
        <v>-2.051289E-3</v>
      </c>
      <c r="Z24">
        <v>-1.451182E-4</v>
      </c>
      <c r="AA24">
        <v>0.9999979</v>
      </c>
      <c r="AB24">
        <v>7</v>
      </c>
      <c r="AC24">
        <v>0.61709999999999299</v>
      </c>
      <c r="AD24">
        <v>-0.20929239999999999</v>
      </c>
      <c r="AE24">
        <v>2.0999999999844398E-3</v>
      </c>
      <c r="AF24">
        <v>-1.06021901286975E-3</v>
      </c>
      <c r="AG24">
        <v>-0.20929239999999999</v>
      </c>
      <c r="AH24">
        <v>0.55344288517433504</v>
      </c>
      <c r="AI24">
        <v>110.71479901731701</v>
      </c>
      <c r="AJ24">
        <v>90.109760197691898</v>
      </c>
      <c r="AK24">
        <v>0.59169541143413296</v>
      </c>
      <c r="AL24">
        <v>74.754538364569896</v>
      </c>
      <c r="AM24">
        <v>92.797362061847195</v>
      </c>
      <c r="AN24">
        <v>1.00000002508562</v>
      </c>
    </row>
    <row r="25" spans="1:40" x14ac:dyDescent="0.25">
      <c r="A25" t="str">
        <f>"20190304164825061"</f>
        <v>20190304164825061</v>
      </c>
      <c r="B25" t="str">
        <f>"1551689305056364"</f>
        <v>1551689305056364</v>
      </c>
      <c r="C25" t="s">
        <v>40</v>
      </c>
      <c r="D25">
        <v>5.0015660000000004</v>
      </c>
      <c r="E25">
        <v>0.5431165</v>
      </c>
      <c r="F25" t="s">
        <v>41</v>
      </c>
      <c r="G25">
        <v>-474.97230000000002</v>
      </c>
      <c r="H25">
        <v>0.90012150000000002</v>
      </c>
      <c r="I25">
        <v>367.22179999999997</v>
      </c>
      <c r="J25">
        <v>-475.61579999999998</v>
      </c>
      <c r="K25">
        <v>1.108514</v>
      </c>
      <c r="L25">
        <v>367.2199</v>
      </c>
      <c r="M25">
        <v>0.99999340000000003</v>
      </c>
      <c r="N25">
        <v>3.3142250000000001E-3</v>
      </c>
      <c r="O25">
        <v>1.5435710000000001E-3</v>
      </c>
      <c r="P25">
        <v>0.96271050000000002</v>
      </c>
      <c r="Q25">
        <v>0.26618019999999998</v>
      </c>
      <c r="R25">
        <v>4.8339170000000001E-2</v>
      </c>
      <c r="S25">
        <v>3.4017940000000002</v>
      </c>
      <c r="T25">
        <v>-1.035952</v>
      </c>
      <c r="U25">
        <v>1.2207030000000001E-2</v>
      </c>
      <c r="V25">
        <v>-4.6862559999999998E-2</v>
      </c>
      <c r="W25">
        <v>0.2629861</v>
      </c>
      <c r="X25">
        <v>0.96366079999999998</v>
      </c>
      <c r="Y25">
        <v>-2.0255360000000001E-3</v>
      </c>
      <c r="Z25">
        <v>-1.664929E-4</v>
      </c>
      <c r="AA25">
        <v>0.9999979</v>
      </c>
      <c r="AB25">
        <v>7</v>
      </c>
      <c r="AC25">
        <v>0.64349999999995999</v>
      </c>
      <c r="AD25">
        <v>-0.20839250000000001</v>
      </c>
      <c r="AE25">
        <v>1.8999999999778001E-3</v>
      </c>
      <c r="AF25">
        <v>-8.2064138317131802E-4</v>
      </c>
      <c r="AG25">
        <v>-0.20839250000000001</v>
      </c>
      <c r="AH25">
        <v>0.58242189278825796</v>
      </c>
      <c r="AI25">
        <v>109.68736113353501</v>
      </c>
      <c r="AJ25">
        <v>90.080730579010705</v>
      </c>
      <c r="AK25">
        <v>0.61858173971399</v>
      </c>
      <c r="AL25">
        <v>74.752678613543594</v>
      </c>
      <c r="AM25">
        <v>92.784084753891193</v>
      </c>
      <c r="AN25">
        <v>0.99999996288980098</v>
      </c>
    </row>
    <row r="26" spans="1:40" x14ac:dyDescent="0.25">
      <c r="A26" t="str">
        <f>"20190304164825084"</f>
        <v>20190304164825084</v>
      </c>
      <c r="B26" t="str">
        <f>"1551689305076859"</f>
        <v>1551689305076859</v>
      </c>
      <c r="C26" t="s">
        <v>40</v>
      </c>
      <c r="D26">
        <v>5.0003929999999999</v>
      </c>
      <c r="E26">
        <v>0.54305230000000004</v>
      </c>
      <c r="F26" t="s">
        <v>41</v>
      </c>
      <c r="G26">
        <v>-474.90609999999998</v>
      </c>
      <c r="H26">
        <v>0.89218839999999999</v>
      </c>
      <c r="I26">
        <v>367.22239999999999</v>
      </c>
      <c r="J26">
        <v>-475.53480000000002</v>
      </c>
      <c r="K26">
        <v>1.108481</v>
      </c>
      <c r="L26">
        <v>367.22019999999998</v>
      </c>
      <c r="M26">
        <v>0.99999249999999995</v>
      </c>
      <c r="N26">
        <v>3.5178700000000002E-3</v>
      </c>
      <c r="O26">
        <v>1.653248E-3</v>
      </c>
      <c r="P26">
        <v>0.96278509999999995</v>
      </c>
      <c r="Q26">
        <v>0.26595590000000002</v>
      </c>
      <c r="R26">
        <v>4.8089470000000002E-2</v>
      </c>
      <c r="S26">
        <v>3.4023129999999999</v>
      </c>
      <c r="T26">
        <v>-1.0371049999999999</v>
      </c>
      <c r="U26">
        <v>1.184082E-2</v>
      </c>
      <c r="V26">
        <v>-4.6507819999999998E-2</v>
      </c>
      <c r="W26">
        <v>0.2625651</v>
      </c>
      <c r="X26">
        <v>0.96379280000000001</v>
      </c>
      <c r="Y26">
        <v>-1.8220269999999999E-3</v>
      </c>
      <c r="Z26">
        <v>-2.301847E-4</v>
      </c>
      <c r="AA26">
        <v>0.99999830000000001</v>
      </c>
      <c r="AB26">
        <v>8</v>
      </c>
      <c r="AC26">
        <v>0.62870000000003701</v>
      </c>
      <c r="AD26">
        <v>-0.2162926</v>
      </c>
      <c r="AE26">
        <v>2.2000000000161799E-3</v>
      </c>
      <c r="AF26">
        <v>-1.0377673774739399E-3</v>
      </c>
      <c r="AG26">
        <v>-0.2162926</v>
      </c>
      <c r="AH26">
        <v>0.56216683657909206</v>
      </c>
      <c r="AI26">
        <v>111.04410016761101</v>
      </c>
      <c r="AJ26">
        <v>90.105768642750306</v>
      </c>
      <c r="AK26">
        <v>0.60234136328599697</v>
      </c>
      <c r="AL26">
        <v>74.777679064922296</v>
      </c>
      <c r="AM26">
        <v>92.762664747709394</v>
      </c>
      <c r="AN26">
        <v>0.99999998519550104</v>
      </c>
    </row>
    <row r="27" spans="1:40" x14ac:dyDescent="0.25">
      <c r="A27" t="str">
        <f>"20190304164825107"</f>
        <v>20190304164825107</v>
      </c>
      <c r="B27" t="str">
        <f>"1551689305096379"</f>
        <v>1551689305096379</v>
      </c>
      <c r="C27" t="s">
        <v>40</v>
      </c>
      <c r="D27">
        <v>4.9853880000000004</v>
      </c>
      <c r="E27">
        <v>0.54310829999999999</v>
      </c>
      <c r="F27" t="s">
        <v>41</v>
      </c>
      <c r="G27">
        <v>-474.83339999999998</v>
      </c>
      <c r="H27">
        <v>0.89418980000000003</v>
      </c>
      <c r="I27">
        <v>367.2226</v>
      </c>
      <c r="J27">
        <v>-475.45150000000001</v>
      </c>
      <c r="K27">
        <v>1.108449</v>
      </c>
      <c r="L27">
        <v>367.22050000000002</v>
      </c>
      <c r="M27">
        <v>0.99999170000000004</v>
      </c>
      <c r="N27">
        <v>3.7000869999999999E-3</v>
      </c>
      <c r="O27">
        <v>1.7637200000000001E-3</v>
      </c>
      <c r="P27">
        <v>0.96294310000000005</v>
      </c>
      <c r="Q27">
        <v>0.26537359999999999</v>
      </c>
      <c r="R27">
        <v>4.8143020000000002E-2</v>
      </c>
      <c r="S27">
        <v>3.4024350000000001</v>
      </c>
      <c r="T27">
        <v>-1.0395570000000001</v>
      </c>
      <c r="U27">
        <v>1.358032E-2</v>
      </c>
      <c r="V27">
        <v>-4.6454780000000001E-2</v>
      </c>
      <c r="W27">
        <v>0.26180679999999901</v>
      </c>
      <c r="X27">
        <v>0.96400169999999996</v>
      </c>
      <c r="Y27">
        <v>-2.210451E-3</v>
      </c>
      <c r="Z27">
        <v>-2.0726039999999999E-4</v>
      </c>
      <c r="AA27">
        <v>0.99999760000000004</v>
      </c>
      <c r="AB27">
        <v>8</v>
      </c>
      <c r="AC27">
        <v>0.61810000000002596</v>
      </c>
      <c r="AD27">
        <v>-0.21425919999999901</v>
      </c>
      <c r="AE27">
        <v>2.0999999999844398E-3</v>
      </c>
      <c r="AF27">
        <v>-9.0150952759698204E-4</v>
      </c>
      <c r="AG27">
        <v>-0.21425919999999901</v>
      </c>
      <c r="AH27">
        <v>0.55179909208084599</v>
      </c>
      <c r="AI27">
        <v>111.22076959223</v>
      </c>
      <c r="AJ27">
        <v>90.093607702344201</v>
      </c>
      <c r="AK27">
        <v>0.59193754360178397</v>
      </c>
      <c r="AL27">
        <v>74.822702657520693</v>
      </c>
      <c r="AM27">
        <v>92.758921864114001</v>
      </c>
      <c r="AN27">
        <v>1.00000006235698</v>
      </c>
    </row>
    <row r="28" spans="1:40" x14ac:dyDescent="0.25">
      <c r="A28" t="str">
        <f>"20190304164825129"</f>
        <v>20190304164825129</v>
      </c>
      <c r="B28" t="str">
        <f>"1551689305116875"</f>
        <v>1551689305116875</v>
      </c>
      <c r="C28" t="s">
        <v>40</v>
      </c>
      <c r="D28">
        <v>5.1600070000000002</v>
      </c>
      <c r="E28">
        <v>0.54316960000000003</v>
      </c>
      <c r="F28" t="s">
        <v>41</v>
      </c>
      <c r="G28">
        <v>-474.75819999999999</v>
      </c>
      <c r="H28">
        <v>0.89611359999999995</v>
      </c>
      <c r="I28">
        <v>367.22250000000003</v>
      </c>
      <c r="J28">
        <v>-475.36649999999997</v>
      </c>
      <c r="K28">
        <v>1.108425</v>
      </c>
      <c r="L28">
        <v>367.22070000000002</v>
      </c>
      <c r="M28">
        <v>0.99999079999999996</v>
      </c>
      <c r="N28">
        <v>3.8612379999999999E-3</v>
      </c>
      <c r="O28">
        <v>1.873382E-3</v>
      </c>
      <c r="P28">
        <v>0.96300889999999995</v>
      </c>
      <c r="Q28">
        <v>0.26499050000000002</v>
      </c>
      <c r="R28">
        <v>4.8929970000000003E-2</v>
      </c>
      <c r="S28">
        <v>3.4020389999999998</v>
      </c>
      <c r="T28">
        <v>-1.0420830000000001</v>
      </c>
      <c r="U28">
        <v>1.217651E-2</v>
      </c>
      <c r="V28">
        <v>-4.713531E-2</v>
      </c>
      <c r="W28">
        <v>0.26126830000000001</v>
      </c>
      <c r="X28">
        <v>0.96411469999999999</v>
      </c>
      <c r="Y28">
        <v>-1.7161940000000001E-3</v>
      </c>
      <c r="Z28">
        <v>-3.1447639999999998E-4</v>
      </c>
      <c r="AA28">
        <v>0.99999850000000001</v>
      </c>
      <c r="AB28">
        <v>8</v>
      </c>
      <c r="AC28">
        <v>0.60829999999998496</v>
      </c>
      <c r="AD28">
        <v>-0.21231140000000001</v>
      </c>
      <c r="AE28">
        <v>1.8000000000029099E-3</v>
      </c>
      <c r="AF28">
        <v>-5.8869691142364401E-4</v>
      </c>
      <c r="AG28">
        <v>-0.21231140000000001</v>
      </c>
      <c r="AH28">
        <v>0.54224745412041198</v>
      </c>
      <c r="AI28">
        <v>111.382303463684</v>
      </c>
      <c r="AJ28">
        <v>90.062203768645901</v>
      </c>
      <c r="AK28">
        <v>0.58233047201231103</v>
      </c>
      <c r="AL28">
        <v>74.854668241930895</v>
      </c>
      <c r="AM28">
        <v>92.798946746584207</v>
      </c>
      <c r="AN28">
        <v>1.0000000083948799</v>
      </c>
    </row>
    <row r="29" spans="1:40" x14ac:dyDescent="0.25">
      <c r="A29" t="str">
        <f>"20190304164825149"</f>
        <v>20190304164825149</v>
      </c>
      <c r="B29" t="str">
        <f>"1551689305136396"</f>
        <v>1551689305136396</v>
      </c>
      <c r="C29" t="s">
        <v>40</v>
      </c>
      <c r="D29">
        <v>5.1707830000000001</v>
      </c>
      <c r="E29">
        <v>0.54318279999999997</v>
      </c>
      <c r="F29" t="s">
        <v>41</v>
      </c>
      <c r="G29">
        <v>-474.68049999999999</v>
      </c>
      <c r="H29">
        <v>0.89821209999999996</v>
      </c>
      <c r="I29">
        <v>367.22280000000001</v>
      </c>
      <c r="J29">
        <v>-475.28809999999999</v>
      </c>
      <c r="K29">
        <v>1.1084050000000001</v>
      </c>
      <c r="L29">
        <v>367.221</v>
      </c>
      <c r="M29">
        <v>0.99999009999999999</v>
      </c>
      <c r="N29">
        <v>3.9893050000000003E-3</v>
      </c>
      <c r="O29">
        <v>1.971834E-3</v>
      </c>
      <c r="P29">
        <v>0.96294550000000001</v>
      </c>
      <c r="Q29">
        <v>0.26512390000000002</v>
      </c>
      <c r="R29">
        <v>4.9450910000000001E-2</v>
      </c>
      <c r="S29">
        <v>3.4014280000000001</v>
      </c>
      <c r="T29">
        <v>-1.042295</v>
      </c>
      <c r="U29">
        <v>1.269531E-2</v>
      </c>
      <c r="V29">
        <v>-4.7561350000000002E-2</v>
      </c>
      <c r="W29">
        <v>0.26127800000000001</v>
      </c>
      <c r="X29">
        <v>0.96409109999999998</v>
      </c>
      <c r="Y29">
        <v>-1.7730790000000001E-3</v>
      </c>
      <c r="Z29">
        <v>-3.3640539999999999E-4</v>
      </c>
      <c r="AA29">
        <v>0.99999839999999995</v>
      </c>
      <c r="AB29">
        <v>8</v>
      </c>
      <c r="AC29">
        <v>0.60759999999999004</v>
      </c>
      <c r="AD29">
        <v>-0.21019289999999899</v>
      </c>
      <c r="AE29">
        <v>1.8000000000029099E-3</v>
      </c>
      <c r="AF29">
        <v>-5.3756815311080104E-4</v>
      </c>
      <c r="AG29">
        <v>-0.21019289999999899</v>
      </c>
      <c r="AH29">
        <v>0.54266047652049798</v>
      </c>
      <c r="AI29">
        <v>111.173258103628</v>
      </c>
      <c r="AJ29">
        <v>90.056758097616296</v>
      </c>
      <c r="AK29">
        <v>0.581946506963813</v>
      </c>
      <c r="AL29">
        <v>74.854091757052302</v>
      </c>
      <c r="AM29">
        <v>92.824273718496102</v>
      </c>
      <c r="AN29">
        <v>0.99999996219851495</v>
      </c>
    </row>
    <row r="30" spans="1:40" x14ac:dyDescent="0.25">
      <c r="A30" t="str">
        <f>"20190304164825172"</f>
        <v>20190304164825172</v>
      </c>
      <c r="B30" t="str">
        <f>"1551689305166652"</f>
        <v>1551689305166652</v>
      </c>
      <c r="C30" t="s">
        <v>40</v>
      </c>
      <c r="D30">
        <v>5.1551600000000004</v>
      </c>
      <c r="E30">
        <v>0.54323459999999901</v>
      </c>
      <c r="F30" t="s">
        <v>41</v>
      </c>
      <c r="G30">
        <v>-474.601</v>
      </c>
      <c r="H30">
        <v>0.89828560000000002</v>
      </c>
      <c r="I30">
        <v>367.22379999999998</v>
      </c>
      <c r="J30">
        <v>-475.19400000000002</v>
      </c>
      <c r="K30">
        <v>1.1083799999999999</v>
      </c>
      <c r="L30">
        <v>367.22129999999999</v>
      </c>
      <c r="M30">
        <v>0.99998949999999998</v>
      </c>
      <c r="N30">
        <v>4.1193509999999899E-3</v>
      </c>
      <c r="O30">
        <v>2.0864260000000002E-3</v>
      </c>
      <c r="P30">
        <v>0.9627732</v>
      </c>
      <c r="Q30">
        <v>0.26561230000000002</v>
      </c>
      <c r="R30">
        <v>5.0183110000000003E-2</v>
      </c>
      <c r="S30">
        <v>3.4010310000000001</v>
      </c>
      <c r="T30">
        <v>-1.039898</v>
      </c>
      <c r="U30">
        <v>1.318359E-2</v>
      </c>
      <c r="V30">
        <v>-4.818393E-2</v>
      </c>
      <c r="W30">
        <v>0.26164209999999999</v>
      </c>
      <c r="X30">
        <v>0.96396150000000003</v>
      </c>
      <c r="Y30">
        <v>-1.8064310000000001E-3</v>
      </c>
      <c r="Z30">
        <v>-3.6589620000000001E-4</v>
      </c>
      <c r="AA30">
        <v>0.99999830000000001</v>
      </c>
      <c r="AB30">
        <v>9</v>
      </c>
      <c r="AC30">
        <v>0.59300000000001696</v>
      </c>
      <c r="AD30">
        <v>-0.21009439999999899</v>
      </c>
      <c r="AE30">
        <v>2.4999999999977202E-3</v>
      </c>
      <c r="AF30">
        <v>-1.1219116438498399E-3</v>
      </c>
      <c r="AG30">
        <v>-0.21009439999999899</v>
      </c>
      <c r="AH30">
        <v>0.52687121533258097</v>
      </c>
      <c r="AI30">
        <v>111.740019550407</v>
      </c>
      <c r="AJ30">
        <v>90.122004586990201</v>
      </c>
      <c r="AK30">
        <v>0.56721617849205197</v>
      </c>
      <c r="AL30">
        <v>74.832479530918206</v>
      </c>
      <c r="AM30">
        <v>92.861566574025005</v>
      </c>
      <c r="AN30">
        <v>1.00000002654245</v>
      </c>
    </row>
    <row r="31" spans="1:40" x14ac:dyDescent="0.25">
      <c r="A31" t="str">
        <f>"20190304164825185"</f>
        <v>20190304164825185</v>
      </c>
      <c r="B31" t="str">
        <f>"1551689305176412"</f>
        <v>1551689305176412</v>
      </c>
      <c r="C31" t="s">
        <v>40</v>
      </c>
      <c r="D31">
        <v>5.1511719999999999</v>
      </c>
      <c r="E31">
        <v>0.54326809999999903</v>
      </c>
      <c r="F31" t="s">
        <v>41</v>
      </c>
      <c r="G31">
        <v>-474.51760000000002</v>
      </c>
      <c r="H31">
        <v>0.90209980000000001</v>
      </c>
      <c r="I31">
        <v>367.22410000000002</v>
      </c>
      <c r="J31">
        <v>-475.14010000000002</v>
      </c>
      <c r="K31">
        <v>1.1083689999999999</v>
      </c>
      <c r="L31">
        <v>367.22140000000002</v>
      </c>
      <c r="M31">
        <v>0.99998900000000002</v>
      </c>
      <c r="N31">
        <v>4.1795670000000004E-3</v>
      </c>
      <c r="O31">
        <v>2.1503149999999999E-3</v>
      </c>
      <c r="P31">
        <v>0.96275869999999997</v>
      </c>
      <c r="Q31">
        <v>0.2655709</v>
      </c>
      <c r="R31">
        <v>5.0675110000000002E-2</v>
      </c>
      <c r="S31">
        <v>3.4013059999999999</v>
      </c>
      <c r="T31">
        <v>-1.0372349999999999</v>
      </c>
      <c r="U31">
        <v>1.5472410000000001E-2</v>
      </c>
      <c r="V31">
        <v>-4.861414E-2</v>
      </c>
      <c r="W31">
        <v>0.2615422</v>
      </c>
      <c r="X31">
        <v>0.96396700000000002</v>
      </c>
      <c r="Y31">
        <v>-2.3918659999999999E-3</v>
      </c>
      <c r="Z31">
        <v>-2.9846190000000001E-4</v>
      </c>
      <c r="AA31">
        <v>0.99999709999999997</v>
      </c>
      <c r="AB31">
        <v>9</v>
      </c>
      <c r="AC31">
        <v>0.62250000000000205</v>
      </c>
      <c r="AD31">
        <v>-0.20626920000000001</v>
      </c>
      <c r="AE31">
        <v>2.7000000000043599E-3</v>
      </c>
      <c r="AF31">
        <v>-1.2267231788322601E-3</v>
      </c>
      <c r="AG31">
        <v>-0.20626920000000001</v>
      </c>
      <c r="AH31">
        <v>0.56091842421647897</v>
      </c>
      <c r="AI31">
        <v>110.190184899039</v>
      </c>
      <c r="AJ31">
        <v>90.125305116904897</v>
      </c>
      <c r="AK31">
        <v>0.59764367841038502</v>
      </c>
      <c r="AL31">
        <v>74.8384097353008</v>
      </c>
      <c r="AM31">
        <v>92.887056578780701</v>
      </c>
      <c r="AN31">
        <v>1.0000000170388801</v>
      </c>
    </row>
    <row r="32" spans="1:40" x14ac:dyDescent="0.25">
      <c r="A32" t="str">
        <f>"20190304164825206"</f>
        <v>20190304164825206</v>
      </c>
      <c r="B32" t="str">
        <f>"1551689305196911"</f>
        <v>1551689305196911</v>
      </c>
      <c r="C32" t="s">
        <v>40</v>
      </c>
      <c r="D32">
        <v>4.991104</v>
      </c>
      <c r="E32">
        <v>0.54331300000000005</v>
      </c>
      <c r="F32" t="s">
        <v>41</v>
      </c>
      <c r="G32">
        <v>-474.4366</v>
      </c>
      <c r="H32">
        <v>0.89395429999999998</v>
      </c>
      <c r="I32">
        <v>367.22469999999998</v>
      </c>
      <c r="J32">
        <v>-475.04930000000002</v>
      </c>
      <c r="K32">
        <v>1.108357</v>
      </c>
      <c r="L32">
        <v>367.22179999999997</v>
      </c>
      <c r="M32">
        <v>0.9999884</v>
      </c>
      <c r="N32">
        <v>4.2622240000000002E-3</v>
      </c>
      <c r="O32">
        <v>2.254565E-3</v>
      </c>
      <c r="P32">
        <v>0.96283059999999998</v>
      </c>
      <c r="Q32">
        <v>0.26518059999999899</v>
      </c>
      <c r="R32">
        <v>5.1347709999999998E-2</v>
      </c>
      <c r="S32">
        <v>3.401062</v>
      </c>
      <c r="T32">
        <v>-1.036424</v>
      </c>
      <c r="U32">
        <v>1.6784670000000002E-2</v>
      </c>
      <c r="V32">
        <v>-4.918645E-2</v>
      </c>
      <c r="W32">
        <v>0.26107229999999998</v>
      </c>
      <c r="X32">
        <v>0.96406530000000001</v>
      </c>
      <c r="Y32">
        <v>-2.6664480000000001E-3</v>
      </c>
      <c r="Z32">
        <v>-2.8973049999999999E-4</v>
      </c>
      <c r="AA32">
        <v>0.99999640000000001</v>
      </c>
      <c r="AB32">
        <v>9</v>
      </c>
      <c r="AC32">
        <v>0.61270000000001801</v>
      </c>
      <c r="AD32">
        <v>-0.2144027</v>
      </c>
      <c r="AE32">
        <v>2.9000000000110001E-3</v>
      </c>
      <c r="AF32">
        <v>-1.35294185245634E-3</v>
      </c>
      <c r="AG32">
        <v>-0.2144027</v>
      </c>
      <c r="AH32">
        <v>0.54586445960867602</v>
      </c>
      <c r="AI32">
        <v>111.44367070244699</v>
      </c>
      <c r="AJ32">
        <v>90.142009060994397</v>
      </c>
      <c r="AK32">
        <v>0.58646257892794595</v>
      </c>
      <c r="AL32">
        <v>74.866301514170303</v>
      </c>
      <c r="AM32">
        <v>92.920688616145299</v>
      </c>
      <c r="AN32">
        <v>0.99999997767749005</v>
      </c>
    </row>
    <row r="33" spans="1:40" x14ac:dyDescent="0.25">
      <c r="A33" t="str">
        <f>"20190304164825228"</f>
        <v>20190304164825228</v>
      </c>
      <c r="B33" t="str">
        <f>"1551689305216427"</f>
        <v>1551689305216427</v>
      </c>
      <c r="C33" t="s">
        <v>40</v>
      </c>
      <c r="D33">
        <v>5.1587969999999999</v>
      </c>
      <c r="E33">
        <v>0.54338589999999998</v>
      </c>
      <c r="F33" t="s">
        <v>41</v>
      </c>
      <c r="G33">
        <v>-474.3494</v>
      </c>
      <c r="H33">
        <v>0.89481639999999996</v>
      </c>
      <c r="I33">
        <v>367.2251</v>
      </c>
      <c r="J33">
        <v>-474.95549999999997</v>
      </c>
      <c r="K33">
        <v>1.1083430000000001</v>
      </c>
      <c r="L33">
        <v>367.22210000000001</v>
      </c>
      <c r="M33">
        <v>0.99998799999999999</v>
      </c>
      <c r="N33">
        <v>4.319509E-3</v>
      </c>
      <c r="O33">
        <v>2.358509E-3</v>
      </c>
      <c r="P33">
        <v>0.96276439999999996</v>
      </c>
      <c r="Q33">
        <v>0.26531589999999999</v>
      </c>
      <c r="R33">
        <v>5.1886229999999998E-2</v>
      </c>
      <c r="S33">
        <v>3.4005429999999999</v>
      </c>
      <c r="T33">
        <v>-1.037369</v>
      </c>
      <c r="U33">
        <v>1.849365E-2</v>
      </c>
      <c r="V33">
        <v>-4.9624799999999997E-2</v>
      </c>
      <c r="W33">
        <v>0.26115240000000001</v>
      </c>
      <c r="X33">
        <v>0.96402120000000002</v>
      </c>
      <c r="Y33">
        <v>-3.053353E-3</v>
      </c>
      <c r="Z33">
        <v>-2.6480809999999998E-4</v>
      </c>
      <c r="AA33">
        <v>0.99999530000000003</v>
      </c>
      <c r="AB33">
        <v>9</v>
      </c>
      <c r="AC33">
        <v>0.606099999999969</v>
      </c>
      <c r="AD33">
        <v>-0.21352660000000001</v>
      </c>
      <c r="AE33">
        <v>2.9999999999858998E-3</v>
      </c>
      <c r="AF33">
        <v>-1.3970936802639401E-3</v>
      </c>
      <c r="AG33">
        <v>-0.21352660000000001</v>
      </c>
      <c r="AH33">
        <v>0.53918717929766802</v>
      </c>
      <c r="AI33">
        <v>111.604278566834</v>
      </c>
      <c r="AJ33">
        <v>90.148459376252006</v>
      </c>
      <c r="AK33">
        <v>0.57992962943557802</v>
      </c>
      <c r="AL33">
        <v>74.861548082122596</v>
      </c>
      <c r="AM33">
        <v>92.946806703793698</v>
      </c>
      <c r="AN33">
        <v>1.00000003542511</v>
      </c>
    </row>
    <row r="34" spans="1:40" x14ac:dyDescent="0.25">
      <c r="A34" t="str">
        <f>"20190304164825249"</f>
        <v>20190304164825249</v>
      </c>
      <c r="B34" t="str">
        <f>"1551689305236924"</f>
        <v>1551689305236924</v>
      </c>
      <c r="C34" t="s">
        <v>40</v>
      </c>
      <c r="D34">
        <v>5.0036329999999998</v>
      </c>
      <c r="E34">
        <v>0.54347419999999902</v>
      </c>
      <c r="F34" t="s">
        <v>41</v>
      </c>
      <c r="G34">
        <v>-474.25959999999998</v>
      </c>
      <c r="H34">
        <v>0.89625929999999998</v>
      </c>
      <c r="I34">
        <v>367.22570000000002</v>
      </c>
      <c r="J34">
        <v>-474.85520000000002</v>
      </c>
      <c r="K34">
        <v>1.1083320000000001</v>
      </c>
      <c r="L34">
        <v>367.22250000000003</v>
      </c>
      <c r="M34">
        <v>0.99998750000000003</v>
      </c>
      <c r="N34">
        <v>4.349047E-3</v>
      </c>
      <c r="O34">
        <v>2.4662070000000002E-3</v>
      </c>
      <c r="P34">
        <v>0.96268560000000003</v>
      </c>
      <c r="Q34">
        <v>0.26557309999999901</v>
      </c>
      <c r="R34">
        <v>5.2032059999999998E-2</v>
      </c>
      <c r="S34">
        <v>3.400604</v>
      </c>
      <c r="T34">
        <v>-1.036349</v>
      </c>
      <c r="U34">
        <v>1.9103999999999999E-2</v>
      </c>
      <c r="V34">
        <v>-4.9667580000000003E-2</v>
      </c>
      <c r="W34">
        <v>0.26138159999999999</v>
      </c>
      <c r="X34">
        <v>0.96395679999999995</v>
      </c>
      <c r="Y34">
        <v>-3.1268670000000002E-3</v>
      </c>
      <c r="Z34">
        <v>-2.8644549999999998E-4</v>
      </c>
      <c r="AA34">
        <v>0.99999510000000003</v>
      </c>
      <c r="AB34">
        <v>10</v>
      </c>
      <c r="AC34">
        <v>0.59560000000004698</v>
      </c>
      <c r="AD34">
        <v>-0.212072699999999</v>
      </c>
      <c r="AE34">
        <v>3.19999999999254E-3</v>
      </c>
      <c r="AF34">
        <v>-1.5363290874241E-3</v>
      </c>
      <c r="AG34">
        <v>-0.212072699999999</v>
      </c>
      <c r="AH34">
        <v>0.52859170707977798</v>
      </c>
      <c r="AI34">
        <v>111.860732200185</v>
      </c>
      <c r="AJ34">
        <v>90.166527252718595</v>
      </c>
      <c r="AK34">
        <v>0.56954928073509903</v>
      </c>
      <c r="AL34">
        <v>74.847942193031201</v>
      </c>
      <c r="AM34">
        <v>92.949539262850095</v>
      </c>
      <c r="AN34">
        <v>0.99999996079392695</v>
      </c>
    </row>
    <row r="35" spans="1:40" x14ac:dyDescent="0.25">
      <c r="A35" t="str">
        <f>"20190304164825273"</f>
        <v>20190304164825273</v>
      </c>
      <c r="B35" t="str">
        <f>"1551689305266204"</f>
        <v>1551689305266204</v>
      </c>
      <c r="C35" t="s">
        <v>40</v>
      </c>
      <c r="D35">
        <v>5.1614509999999996</v>
      </c>
      <c r="E35">
        <v>0.54360109999999995</v>
      </c>
      <c r="F35" t="s">
        <v>41</v>
      </c>
      <c r="G35">
        <v>-474.1669</v>
      </c>
      <c r="H35">
        <v>0.89901589999999998</v>
      </c>
      <c r="I35">
        <v>367.22570000000002</v>
      </c>
      <c r="J35">
        <v>-474.74779999999998</v>
      </c>
      <c r="K35">
        <v>1.1083400000000001</v>
      </c>
      <c r="L35">
        <v>367.22280000000001</v>
      </c>
      <c r="M35">
        <v>0.99998719999999996</v>
      </c>
      <c r="N35">
        <v>4.3458139999999999E-3</v>
      </c>
      <c r="O35">
        <v>2.5774930000000001E-3</v>
      </c>
      <c r="P35">
        <v>0.96243199999999995</v>
      </c>
      <c r="Q35">
        <v>0.26652930000000002</v>
      </c>
      <c r="R35">
        <v>5.1835369999999999E-2</v>
      </c>
      <c r="S35">
        <v>3.400604</v>
      </c>
      <c r="T35">
        <v>-1.03424</v>
      </c>
      <c r="U35">
        <v>1.794434E-2</v>
      </c>
      <c r="V35">
        <v>-4.936513E-2</v>
      </c>
      <c r="W35">
        <v>0.26234159999999901</v>
      </c>
      <c r="X35">
        <v>0.9637116</v>
      </c>
      <c r="Y35">
        <v>-2.698921E-3</v>
      </c>
      <c r="Z35">
        <v>-3.8216589999999999E-4</v>
      </c>
      <c r="AA35">
        <v>0.99999629999999995</v>
      </c>
      <c r="AB35">
        <v>10</v>
      </c>
      <c r="AC35">
        <v>0.58089999999998498</v>
      </c>
      <c r="AD35">
        <v>-0.20932409999999901</v>
      </c>
      <c r="AE35">
        <v>2.9000000000110001E-3</v>
      </c>
      <c r="AF35">
        <v>-1.241507125743E-3</v>
      </c>
      <c r="AG35">
        <v>-0.20932409999999901</v>
      </c>
      <c r="AH35">
        <v>0.51414627470553098</v>
      </c>
      <c r="AI35">
        <v>112.15262840728199</v>
      </c>
      <c r="AJ35">
        <v>90.138351639965407</v>
      </c>
      <c r="AK35">
        <v>0.555125672234971</v>
      </c>
      <c r="AL35">
        <v>74.790950731546104</v>
      </c>
      <c r="AM35">
        <v>92.932354110570003</v>
      </c>
      <c r="AN35">
        <v>1.0000000395625099</v>
      </c>
    </row>
    <row r="36" spans="1:40" x14ac:dyDescent="0.25">
      <c r="A36" t="str">
        <f>"20190304164825297"</f>
        <v>20190304164825297</v>
      </c>
      <c r="B36" t="str">
        <f>"1551689305286700"</f>
        <v>1551689305286700</v>
      </c>
      <c r="C36" t="s">
        <v>40</v>
      </c>
      <c r="D36">
        <v>5.0397509999999999</v>
      </c>
      <c r="E36">
        <v>0.54362429999999995</v>
      </c>
      <c r="F36" t="s">
        <v>41</v>
      </c>
      <c r="G36">
        <v>-474.0711</v>
      </c>
      <c r="H36">
        <v>0.90359270000000003</v>
      </c>
      <c r="I36">
        <v>367.22590000000002</v>
      </c>
      <c r="J36">
        <v>-474.6309</v>
      </c>
      <c r="K36">
        <v>1.1083529999999999</v>
      </c>
      <c r="L36">
        <v>367.22329999999999</v>
      </c>
      <c r="M36">
        <v>0.99998710000000002</v>
      </c>
      <c r="N36">
        <v>4.3032299999999999E-3</v>
      </c>
      <c r="O36">
        <v>2.6951219999999999E-3</v>
      </c>
      <c r="P36">
        <v>0.96243020000000001</v>
      </c>
      <c r="Q36">
        <v>0.26661190000000001</v>
      </c>
      <c r="R36">
        <v>5.1442059999999998E-2</v>
      </c>
      <c r="S36">
        <v>3.4012150000000001</v>
      </c>
      <c r="T36">
        <v>-1.028975</v>
      </c>
      <c r="U36">
        <v>1.6052250000000001E-2</v>
      </c>
      <c r="V36">
        <v>-4.8858859999999997E-2</v>
      </c>
      <c r="W36">
        <v>0.26246530000000001</v>
      </c>
      <c r="X36">
        <v>0.96370370000000005</v>
      </c>
      <c r="Y36">
        <v>-2.0577299999999998E-3</v>
      </c>
      <c r="Z36">
        <v>-5.089189E-4</v>
      </c>
      <c r="AA36">
        <v>0.99999769999999999</v>
      </c>
      <c r="AB36">
        <v>10</v>
      </c>
      <c r="AC36">
        <v>0.55979999999999497</v>
      </c>
      <c r="AD36">
        <v>-0.20476030000000001</v>
      </c>
      <c r="AE36">
        <v>2.6000000000294598E-3</v>
      </c>
      <c r="AF36">
        <v>-9.6247933170781597E-4</v>
      </c>
      <c r="AG36">
        <v>-0.20476030000000001</v>
      </c>
      <c r="AH36">
        <v>0.493747593450233</v>
      </c>
      <c r="AI36">
        <v>112.524060795659</v>
      </c>
      <c r="AJ36">
        <v>90.111688511411998</v>
      </c>
      <c r="AK36">
        <v>0.53452258405089903</v>
      </c>
      <c r="AL36">
        <v>74.783605587857593</v>
      </c>
      <c r="AM36">
        <v>92.902356436714697</v>
      </c>
      <c r="AN36">
        <v>1.00000002164913</v>
      </c>
    </row>
    <row r="37" spans="1:40" x14ac:dyDescent="0.25">
      <c r="A37" t="str">
        <f>"20190304164825318"</f>
        <v>20190304164825318</v>
      </c>
      <c r="B37" t="str">
        <f>"1551689305306220"</f>
        <v>1551689305306220</v>
      </c>
      <c r="C37" t="s">
        <v>40</v>
      </c>
      <c r="D37">
        <v>5.1679729999999999</v>
      </c>
      <c r="E37">
        <v>0.5436377</v>
      </c>
      <c r="F37" t="s">
        <v>41</v>
      </c>
      <c r="G37">
        <v>-473.88510000000002</v>
      </c>
      <c r="H37">
        <v>0.88279319999999895</v>
      </c>
      <c r="I37">
        <v>367.22640000000001</v>
      </c>
      <c r="J37">
        <v>-474.52190000000002</v>
      </c>
      <c r="K37">
        <v>1.108363</v>
      </c>
      <c r="L37">
        <v>367.22370000000001</v>
      </c>
      <c r="M37">
        <v>0.99998710000000002</v>
      </c>
      <c r="N37">
        <v>4.2326109999999998E-3</v>
      </c>
      <c r="O37">
        <v>2.8035109999999999E-3</v>
      </c>
      <c r="P37">
        <v>0.96240409999999998</v>
      </c>
      <c r="Q37">
        <v>0.26680739999999997</v>
      </c>
      <c r="R37">
        <v>5.0912810000000003E-2</v>
      </c>
      <c r="S37">
        <v>3.4012760000000002</v>
      </c>
      <c r="T37">
        <v>-1.0287839999999999</v>
      </c>
      <c r="U37">
        <v>1.5350340000000001E-2</v>
      </c>
      <c r="V37">
        <v>-4.8225700000000003E-2</v>
      </c>
      <c r="W37">
        <v>0.26272899999999999</v>
      </c>
      <c r="X37">
        <v>0.96366370000000001</v>
      </c>
      <c r="Y37">
        <v>-1.76087799999999E-3</v>
      </c>
      <c r="Z37">
        <v>-5.8434830000000004E-4</v>
      </c>
      <c r="AA37">
        <v>0.99999830000000001</v>
      </c>
      <c r="AB37">
        <v>11</v>
      </c>
      <c r="AC37">
        <v>0.63679999999999304</v>
      </c>
      <c r="AD37">
        <v>-0.22556979999999999</v>
      </c>
      <c r="AE37">
        <v>2.7000000000043599E-3</v>
      </c>
      <c r="AF37">
        <v>-8.12723279711028E-4</v>
      </c>
      <c r="AG37">
        <v>-0.22556979999999999</v>
      </c>
      <c r="AH37">
        <v>0.56581138887793003</v>
      </c>
      <c r="AI37">
        <v>111.73547193245101</v>
      </c>
      <c r="AJ37">
        <v>90.082298770809601</v>
      </c>
      <c r="AK37">
        <v>0.60911815190087804</v>
      </c>
      <c r="AL37">
        <v>74.767946613582694</v>
      </c>
      <c r="AM37">
        <v>92.864926697117795</v>
      </c>
      <c r="AN37">
        <v>0.99999998613958896</v>
      </c>
    </row>
    <row r="38" spans="1:40" x14ac:dyDescent="0.25">
      <c r="A38" t="str">
        <f>"20190304164825339"</f>
        <v>20190304164825339</v>
      </c>
      <c r="B38" t="str">
        <f>"1551689305326716"</f>
        <v>1551689305326716</v>
      </c>
      <c r="C38" t="s">
        <v>40</v>
      </c>
      <c r="D38">
        <v>5.0808939999999998</v>
      </c>
      <c r="E38">
        <v>0.54365459999999999</v>
      </c>
      <c r="F38" t="s">
        <v>41</v>
      </c>
      <c r="G38">
        <v>-473.78339999999997</v>
      </c>
      <c r="H38">
        <v>0.88522459999999903</v>
      </c>
      <c r="I38">
        <v>367.22629999999998</v>
      </c>
      <c r="J38">
        <v>-474.42259999999999</v>
      </c>
      <c r="K38">
        <v>1.1083719999999999</v>
      </c>
      <c r="L38">
        <v>367.22410000000002</v>
      </c>
      <c r="M38">
        <v>0.99998719999999996</v>
      </c>
      <c r="N38">
        <v>4.1505370000000001E-3</v>
      </c>
      <c r="O38">
        <v>2.9014900000000001E-3</v>
      </c>
      <c r="P38">
        <v>0.96230039999999994</v>
      </c>
      <c r="Q38">
        <v>0.26722030000000002</v>
      </c>
      <c r="R38">
        <v>5.070931E-2</v>
      </c>
      <c r="S38">
        <v>3.4014280000000001</v>
      </c>
      <c r="T38">
        <v>-1.0278529999999999</v>
      </c>
      <c r="U38">
        <v>1.358032E-2</v>
      </c>
      <c r="V38">
        <v>-4.7929079999999999E-2</v>
      </c>
      <c r="W38">
        <v>0.26322119999999999</v>
      </c>
      <c r="X38">
        <v>0.96354419999999996</v>
      </c>
      <c r="Y38">
        <v>-1.1725430000000001E-3</v>
      </c>
      <c r="Z38">
        <v>-6.9859539999999904E-4</v>
      </c>
      <c r="AA38">
        <v>0.99999899999999997</v>
      </c>
      <c r="AB38">
        <v>11</v>
      </c>
      <c r="AC38">
        <v>0.63920000000001598</v>
      </c>
      <c r="AD38">
        <v>-0.2231474</v>
      </c>
      <c r="AE38">
        <v>2.1999999999593399E-3</v>
      </c>
      <c r="AF38">
        <v>-3.07826836094909E-4</v>
      </c>
      <c r="AG38">
        <v>-0.2231474</v>
      </c>
      <c r="AH38">
        <v>0.56976511165987598</v>
      </c>
      <c r="AI38">
        <v>111.387695632789</v>
      </c>
      <c r="AJ38">
        <v>90.030955171617407</v>
      </c>
      <c r="AK38">
        <v>0.61190451816350599</v>
      </c>
      <c r="AL38">
        <v>74.738717208048001</v>
      </c>
      <c r="AM38">
        <v>92.847687136134795</v>
      </c>
      <c r="AN38">
        <v>1.0000000110963601</v>
      </c>
    </row>
    <row r="39" spans="1:40" x14ac:dyDescent="0.25">
      <c r="A39" t="str">
        <f>"20190304164825361"</f>
        <v>20190304164825361</v>
      </c>
      <c r="B39" t="str">
        <f>"1551689305356972"</f>
        <v>1551689305356972</v>
      </c>
      <c r="C39" t="s">
        <v>40</v>
      </c>
      <c r="D39">
        <v>5.2478989999999897</v>
      </c>
      <c r="E39">
        <v>0.54439659999999901</v>
      </c>
      <c r="F39" t="s">
        <v>41</v>
      </c>
      <c r="G39">
        <v>-473.68090000000001</v>
      </c>
      <c r="H39">
        <v>0.88460479999999997</v>
      </c>
      <c r="I39">
        <v>367.22649999999999</v>
      </c>
      <c r="J39">
        <v>-474.3032</v>
      </c>
      <c r="K39">
        <v>1.1083879999999999</v>
      </c>
      <c r="L39">
        <v>367.22460000000001</v>
      </c>
      <c r="M39">
        <v>0.99998739999999997</v>
      </c>
      <c r="N39">
        <v>4.0376609999999997E-3</v>
      </c>
      <c r="O39">
        <v>3.019852E-3</v>
      </c>
      <c r="P39">
        <v>0.96235859999999995</v>
      </c>
      <c r="Q39">
        <v>0.26701390000000003</v>
      </c>
      <c r="R39">
        <v>5.069386E-2</v>
      </c>
      <c r="S39">
        <v>3.4019170000000001</v>
      </c>
      <c r="T39">
        <v>-1.0262020000000001</v>
      </c>
      <c r="U39">
        <v>1.132202E-2</v>
      </c>
      <c r="V39">
        <v>-4.7800380000000003E-2</v>
      </c>
      <c r="W39">
        <v>0.2631232</v>
      </c>
      <c r="X39">
        <v>0.96357729999999997</v>
      </c>
      <c r="Y39">
        <v>-4.2750109999999998E-4</v>
      </c>
      <c r="Z39">
        <v>-8.4084660000000001E-4</v>
      </c>
      <c r="AA39">
        <v>0.99999959999999999</v>
      </c>
      <c r="AB39">
        <v>11</v>
      </c>
      <c r="AC39">
        <v>0.62229999999999497</v>
      </c>
      <c r="AD39">
        <v>-0.22378319999999899</v>
      </c>
      <c r="AE39">
        <v>1.8999999999778001E-3</v>
      </c>
      <c r="AF39" s="1">
        <v>-1.8349454181846802E-5</v>
      </c>
      <c r="AG39">
        <v>-0.22378319999999899</v>
      </c>
      <c r="AH39">
        <v>0.55104422200538905</v>
      </c>
      <c r="AI39">
        <v>112.102440706073</v>
      </c>
      <c r="AJ39">
        <v>90.001907916349694</v>
      </c>
      <c r="AK39">
        <v>0.59475091891014897</v>
      </c>
      <c r="AL39">
        <v>74.744536467401204</v>
      </c>
      <c r="AM39">
        <v>92.839955613611593</v>
      </c>
      <c r="AN39">
        <v>0.99999995389083596</v>
      </c>
    </row>
    <row r="40" spans="1:40" x14ac:dyDescent="0.25">
      <c r="A40" t="str">
        <f>"20190304164825384"</f>
        <v>20190304164825384</v>
      </c>
      <c r="B40" t="str">
        <f>"1551689305376492"</f>
        <v>1551689305376492</v>
      </c>
      <c r="C40" t="s">
        <v>40</v>
      </c>
      <c r="D40">
        <v>5.1376140000000001</v>
      </c>
      <c r="E40">
        <v>0.54483780000000004</v>
      </c>
      <c r="F40" t="s">
        <v>41</v>
      </c>
      <c r="G40">
        <v>-473.57490000000001</v>
      </c>
      <c r="H40">
        <v>0.88724479999999994</v>
      </c>
      <c r="I40">
        <v>367.2251</v>
      </c>
      <c r="J40">
        <v>-474.18369999999999</v>
      </c>
      <c r="K40">
        <v>1.1084000000000001</v>
      </c>
      <c r="L40">
        <v>367.2251</v>
      </c>
      <c r="M40">
        <v>0.99998739999999997</v>
      </c>
      <c r="N40">
        <v>3.9196630000000003E-3</v>
      </c>
      <c r="O40">
        <v>3.1399449999999999E-3</v>
      </c>
      <c r="P40">
        <v>0.96242320000000003</v>
      </c>
      <c r="Q40">
        <v>0.26676709999999998</v>
      </c>
      <c r="R40">
        <v>5.0765829999999998E-2</v>
      </c>
      <c r="S40">
        <v>3.4038699999999902</v>
      </c>
      <c r="T40">
        <v>-1.033587</v>
      </c>
      <c r="U40">
        <v>4.4250490000000003E-3</v>
      </c>
      <c r="V40">
        <v>-4.7758080000000001E-2</v>
      </c>
      <c r="W40">
        <v>0.2629898</v>
      </c>
      <c r="X40">
        <v>0.96361580000000002</v>
      </c>
      <c r="Y40">
        <v>1.622559E-3</v>
      </c>
      <c r="Z40">
        <v>-1.182123E-3</v>
      </c>
      <c r="AA40">
        <v>0.99999800000000005</v>
      </c>
      <c r="AB40">
        <v>12</v>
      </c>
      <c r="AC40">
        <v>0.60879999999997303</v>
      </c>
      <c r="AD40">
        <v>-0.2211552</v>
      </c>
      <c r="AE40">
        <v>0</v>
      </c>
      <c r="AF40">
        <v>1.6887626637638101E-3</v>
      </c>
      <c r="AG40">
        <v>-0.2211552</v>
      </c>
      <c r="AH40">
        <v>0.53782514832401396</v>
      </c>
      <c r="AI40">
        <v>112.35250209467701</v>
      </c>
      <c r="AJ40">
        <v>89.820092728021606</v>
      </c>
      <c r="AK40">
        <v>0.58152245406013603</v>
      </c>
      <c r="AL40">
        <v>74.752458520122104</v>
      </c>
      <c r="AM40">
        <v>92.837333378755602</v>
      </c>
      <c r="AN40">
        <v>0.99999993955948097</v>
      </c>
    </row>
    <row r="41" spans="1:40" x14ac:dyDescent="0.25">
      <c r="A41" t="str">
        <f>"20190304164825406"</f>
        <v>20190304164825406</v>
      </c>
      <c r="B41" t="str">
        <f>"1551689305396988"</f>
        <v>1551689305396988</v>
      </c>
      <c r="C41" t="s">
        <v>40</v>
      </c>
      <c r="D41">
        <v>5.1559980000000003</v>
      </c>
      <c r="E41">
        <v>0.54520749999999996</v>
      </c>
      <c r="F41" t="s">
        <v>41</v>
      </c>
      <c r="G41">
        <v>-473.4667</v>
      </c>
      <c r="H41">
        <v>0.88974059999999899</v>
      </c>
      <c r="I41">
        <v>367.22550000000001</v>
      </c>
      <c r="J41">
        <v>-474.06240000000003</v>
      </c>
      <c r="K41">
        <v>1.108412</v>
      </c>
      <c r="L41">
        <v>367.22559999999999</v>
      </c>
      <c r="M41">
        <v>0.99998759999999998</v>
      </c>
      <c r="N41">
        <v>3.8032560000000001E-3</v>
      </c>
      <c r="O41">
        <v>3.2631869999999999E-3</v>
      </c>
      <c r="P41">
        <v>0.9625823</v>
      </c>
      <c r="Q41">
        <v>0.26615270000000002</v>
      </c>
      <c r="R41">
        <v>5.0975949999999999E-2</v>
      </c>
      <c r="S41">
        <v>3.4048769999999902</v>
      </c>
      <c r="T41">
        <v>-1.0384359999999999</v>
      </c>
      <c r="U41">
        <v>1.708984E-3</v>
      </c>
      <c r="V41">
        <v>-4.7850330000000003E-2</v>
      </c>
      <c r="W41">
        <v>0.26248650000000001</v>
      </c>
      <c r="X41">
        <v>0.96374850000000001</v>
      </c>
      <c r="Y41">
        <v>2.497104E-3</v>
      </c>
      <c r="Z41">
        <v>-1.3526979999999901E-3</v>
      </c>
      <c r="AA41">
        <v>0.99999590000000005</v>
      </c>
      <c r="AB41">
        <v>12</v>
      </c>
      <c r="AC41">
        <v>0.59570000000002199</v>
      </c>
      <c r="AD41">
        <v>-0.21867139999999999</v>
      </c>
      <c r="AE41" s="1">
        <v>-9.9999999974897906E-5</v>
      </c>
      <c r="AF41">
        <v>1.80118416089608E-3</v>
      </c>
      <c r="AG41">
        <v>-0.21867139999999999</v>
      </c>
      <c r="AH41">
        <v>0.524958364849894</v>
      </c>
      <c r="AI41">
        <v>112.61404868615</v>
      </c>
      <c r="AJ41">
        <v>89.8034132752517</v>
      </c>
      <c r="AK41">
        <v>0.56868419203299103</v>
      </c>
      <c r="AL41">
        <v>74.782346350977605</v>
      </c>
      <c r="AM41">
        <v>92.842414231338296</v>
      </c>
      <c r="AN41">
        <v>0.99999999400780404</v>
      </c>
    </row>
    <row r="42" spans="1:40" x14ac:dyDescent="0.25">
      <c r="A42" t="str">
        <f>"20190304164825428"</f>
        <v>20190304164825428</v>
      </c>
      <c r="B42" t="str">
        <f>"1551689305416511"</f>
        <v>1551689305416511</v>
      </c>
      <c r="C42" t="s">
        <v>40</v>
      </c>
      <c r="D42">
        <v>5.2538369999999999</v>
      </c>
      <c r="E42">
        <v>0.54558099999999998</v>
      </c>
      <c r="F42" t="s">
        <v>41</v>
      </c>
      <c r="G42">
        <v>-473.35649999999998</v>
      </c>
      <c r="H42">
        <v>0.89192700000000003</v>
      </c>
      <c r="I42">
        <v>367.22519999999997</v>
      </c>
      <c r="J42">
        <v>-473.94529999999997</v>
      </c>
      <c r="K42">
        <v>1.1084210000000001</v>
      </c>
      <c r="L42">
        <v>367.22609999999997</v>
      </c>
      <c r="M42">
        <v>0.99998750000000003</v>
      </c>
      <c r="N42">
        <v>3.6997039999999998E-3</v>
      </c>
      <c r="O42">
        <v>3.3838940000000001E-3</v>
      </c>
      <c r="P42">
        <v>0.96266370000000001</v>
      </c>
      <c r="Q42">
        <v>0.2658008</v>
      </c>
      <c r="R42">
        <v>5.1271570000000002E-2</v>
      </c>
      <c r="S42">
        <v>3.4054259999999998</v>
      </c>
      <c r="T42">
        <v>-1.0443009999999999</v>
      </c>
      <c r="U42">
        <v>-6.1035159999999996E-4</v>
      </c>
      <c r="V42">
        <v>-4.803114E-2</v>
      </c>
      <c r="W42">
        <v>0.26223390000000002</v>
      </c>
      <c r="X42">
        <v>0.96380829999999995</v>
      </c>
      <c r="Y42">
        <v>3.2560649999999998E-3</v>
      </c>
      <c r="Z42">
        <v>-1.508496E-3</v>
      </c>
      <c r="AA42">
        <v>0.99999360000000004</v>
      </c>
      <c r="AB42">
        <v>12</v>
      </c>
      <c r="AC42">
        <v>0.588799999999992</v>
      </c>
      <c r="AD42">
        <v>-0.21649399999999899</v>
      </c>
      <c r="AE42">
        <v>-9.0000000000145497E-4</v>
      </c>
      <c r="AF42">
        <v>2.5479759064887301E-3</v>
      </c>
      <c r="AG42">
        <v>-0.21649399999999899</v>
      </c>
      <c r="AH42">
        <v>0.51867254021587395</v>
      </c>
      <c r="AI42">
        <v>112.655418949554</v>
      </c>
      <c r="AJ42">
        <v>89.718537072850907</v>
      </c>
      <c r="AK42">
        <v>0.56204746079953805</v>
      </c>
      <c r="AL42">
        <v>74.797345121383103</v>
      </c>
      <c r="AM42">
        <v>92.852960295351394</v>
      </c>
      <c r="AN42">
        <v>1.00000002393389</v>
      </c>
    </row>
    <row r="43" spans="1:40" x14ac:dyDescent="0.25">
      <c r="A43" t="str">
        <f>"20190304164825451"</f>
        <v>20190304164825451</v>
      </c>
      <c r="B43" t="str">
        <f>"1551689305446764"</f>
        <v>1551689305446764</v>
      </c>
      <c r="C43" t="s">
        <v>40</v>
      </c>
      <c r="D43">
        <v>5.1816950000000004</v>
      </c>
      <c r="E43">
        <v>0.5461144</v>
      </c>
      <c r="F43" t="s">
        <v>41</v>
      </c>
      <c r="G43">
        <v>-473.24470000000002</v>
      </c>
      <c r="H43">
        <v>0.89273099999999905</v>
      </c>
      <c r="I43">
        <v>367.22539999999998</v>
      </c>
      <c r="J43">
        <v>-473.81560000000002</v>
      </c>
      <c r="K43">
        <v>1.1084309999999999</v>
      </c>
      <c r="L43">
        <v>367.22669999999999</v>
      </c>
      <c r="M43">
        <v>0.99998739999999997</v>
      </c>
      <c r="N43">
        <v>3.599077E-3</v>
      </c>
      <c r="O43">
        <v>3.518715E-3</v>
      </c>
      <c r="P43">
        <v>0.96267840000000005</v>
      </c>
      <c r="Q43">
        <v>0.26574350000000002</v>
      </c>
      <c r="R43">
        <v>5.129322E-2</v>
      </c>
      <c r="S43">
        <v>3.4060359999999998</v>
      </c>
      <c r="T43">
        <v>-1.048702</v>
      </c>
      <c r="U43">
        <v>-2.89917E-3</v>
      </c>
      <c r="V43">
        <v>-4.7924910000000001E-2</v>
      </c>
      <c r="W43">
        <v>0.26227250000000002</v>
      </c>
      <c r="X43">
        <v>0.96380310000000002</v>
      </c>
      <c r="Y43">
        <v>4.0191580000000001E-3</v>
      </c>
      <c r="Z43">
        <v>-1.668578E-3</v>
      </c>
      <c r="AA43">
        <v>0.9999905</v>
      </c>
      <c r="AB43">
        <v>12</v>
      </c>
      <c r="AC43">
        <v>0.57089999999999397</v>
      </c>
      <c r="AD43">
        <v>-0.2157</v>
      </c>
      <c r="AE43">
        <v>-1.3000000000147299E-3</v>
      </c>
      <c r="AF43">
        <v>2.8955042432269799E-3</v>
      </c>
      <c r="AG43">
        <v>-0.2157</v>
      </c>
      <c r="AH43">
        <v>0.49957697654257799</v>
      </c>
      <c r="AI43">
        <v>113.352660569707</v>
      </c>
      <c r="AJ43">
        <v>89.667922416657007</v>
      </c>
      <c r="AK43">
        <v>0.544161767709057</v>
      </c>
      <c r="AL43">
        <v>74.795053513578196</v>
      </c>
      <c r="AM43">
        <v>92.846676154542806</v>
      </c>
      <c r="AN43">
        <v>1.0000000384121801</v>
      </c>
    </row>
    <row r="44" spans="1:40" x14ac:dyDescent="0.25">
      <c r="A44" t="str">
        <f>"20190304164825475"</f>
        <v>20190304164825475</v>
      </c>
      <c r="B44" t="str">
        <f>"1551689305466284"</f>
        <v>1551689305466284</v>
      </c>
      <c r="C44" t="s">
        <v>40</v>
      </c>
      <c r="D44">
        <v>5.1962140000000003</v>
      </c>
      <c r="E44">
        <v>0.54645959999999905</v>
      </c>
      <c r="F44" t="s">
        <v>41</v>
      </c>
      <c r="G44">
        <v>-473.12950000000001</v>
      </c>
      <c r="H44">
        <v>0.89632400000000001</v>
      </c>
      <c r="I44">
        <v>367.22500000000002</v>
      </c>
      <c r="J44">
        <v>-473.6807</v>
      </c>
      <c r="K44">
        <v>1.1084309999999999</v>
      </c>
      <c r="L44">
        <v>367.22730000000001</v>
      </c>
      <c r="M44">
        <v>0.99998730000000002</v>
      </c>
      <c r="N44">
        <v>3.5122909999999999E-3</v>
      </c>
      <c r="O44">
        <v>3.6592299999999999E-3</v>
      </c>
      <c r="P44">
        <v>0.96248659999999997</v>
      </c>
      <c r="Q44">
        <v>0.26649919999999999</v>
      </c>
      <c r="R44">
        <v>5.0969199999999902E-2</v>
      </c>
      <c r="S44">
        <v>3.4074710000000001</v>
      </c>
      <c r="T44">
        <v>-1.0535099999999999</v>
      </c>
      <c r="U44">
        <v>-6.7138669999999897E-3</v>
      </c>
      <c r="V44">
        <v>-4.7468320000000001E-2</v>
      </c>
      <c r="W44">
        <v>0.26311259999999997</v>
      </c>
      <c r="X44">
        <v>0.96359660000000003</v>
      </c>
      <c r="Y44">
        <v>5.2141319999999998E-3</v>
      </c>
      <c r="Z44">
        <v>-1.8963719999999999E-3</v>
      </c>
      <c r="AA44">
        <v>0.9999846</v>
      </c>
      <c r="AB44">
        <v>12</v>
      </c>
      <c r="AC44">
        <v>0.55119999999999403</v>
      </c>
      <c r="AD44">
        <v>-0.21210699999999999</v>
      </c>
      <c r="AE44">
        <v>-2.29999999999108E-3</v>
      </c>
      <c r="AF44">
        <v>3.7601736501697799E-3</v>
      </c>
      <c r="AG44">
        <v>-0.21210699999999999</v>
      </c>
      <c r="AH44">
        <v>0.48009713636419699</v>
      </c>
      <c r="AI44">
        <v>113.835200564343</v>
      </c>
      <c r="AJ44">
        <v>89.551262319595693</v>
      </c>
      <c r="AK44">
        <v>0.52487787027077204</v>
      </c>
      <c r="AL44">
        <v>74.745165839490099</v>
      </c>
      <c r="AM44">
        <v>92.820202557257005</v>
      </c>
      <c r="AN44">
        <v>0.99999994460696895</v>
      </c>
    </row>
    <row r="45" spans="1:40" x14ac:dyDescent="0.25">
      <c r="A45" t="str">
        <f>"20190304164825500"</f>
        <v>20190304164825500</v>
      </c>
      <c r="B45" t="str">
        <f>"1551689305486780"</f>
        <v>1551689305486780</v>
      </c>
      <c r="C45" t="s">
        <v>40</v>
      </c>
      <c r="D45">
        <v>5.1963990000000004</v>
      </c>
      <c r="E45">
        <v>0.54678179999999998</v>
      </c>
      <c r="F45" t="s">
        <v>41</v>
      </c>
      <c r="G45">
        <v>-473.01150000000001</v>
      </c>
      <c r="H45">
        <v>0.90165220000000001</v>
      </c>
      <c r="I45">
        <v>367.22500000000002</v>
      </c>
      <c r="J45">
        <v>-473.53250000000003</v>
      </c>
      <c r="K45">
        <v>1.1084179999999999</v>
      </c>
      <c r="L45">
        <v>367.22800000000001</v>
      </c>
      <c r="M45">
        <v>0.99998690000000001</v>
      </c>
      <c r="N45">
        <v>3.4405759999999999E-3</v>
      </c>
      <c r="O45">
        <v>3.8100930000000001E-3</v>
      </c>
      <c r="P45">
        <v>0.96256140000000001</v>
      </c>
      <c r="Q45">
        <v>0.26633780000000001</v>
      </c>
      <c r="R45">
        <v>5.039946E-2</v>
      </c>
      <c r="S45">
        <v>3.4091490000000002</v>
      </c>
      <c r="T45">
        <v>-1.05352</v>
      </c>
      <c r="U45">
        <v>-1.074219E-2</v>
      </c>
      <c r="V45">
        <v>-4.6753200000000002E-2</v>
      </c>
      <c r="W45">
        <v>0.26302019999999998</v>
      </c>
      <c r="X45">
        <v>0.96365679999999998</v>
      </c>
      <c r="Y45">
        <v>6.4804340000000002E-3</v>
      </c>
      <c r="Z45">
        <v>-2.1304679999999999E-3</v>
      </c>
      <c r="AA45">
        <v>0.9999768</v>
      </c>
      <c r="AB45">
        <v>13</v>
      </c>
      <c r="AC45">
        <v>0.52100000000001501</v>
      </c>
      <c r="AD45">
        <v>-0.2067658</v>
      </c>
      <c r="AE45">
        <v>-2.9999999999858998E-3</v>
      </c>
      <c r="AF45">
        <v>4.3067546995866797E-3</v>
      </c>
      <c r="AG45">
        <v>-0.2067658</v>
      </c>
      <c r="AH45">
        <v>0.45009668131394298</v>
      </c>
      <c r="AI45">
        <v>114.67214967482499</v>
      </c>
      <c r="AJ45">
        <v>89.451781478160996</v>
      </c>
      <c r="AK45">
        <v>0.49533591300803897</v>
      </c>
      <c r="AL45">
        <v>74.750653454174397</v>
      </c>
      <c r="AM45">
        <v>92.777609420534404</v>
      </c>
      <c r="AN45">
        <v>0.99999995775225903</v>
      </c>
    </row>
    <row r="46" spans="1:40" x14ac:dyDescent="0.25">
      <c r="A46" t="str">
        <f>"20190304164825518"</f>
        <v>20190304164825518</v>
      </c>
      <c r="B46" t="str">
        <f>"1551689305506300"</f>
        <v>1551689305506300</v>
      </c>
      <c r="C46" t="s">
        <v>40</v>
      </c>
      <c r="D46">
        <v>5.1989219999999996</v>
      </c>
      <c r="E46">
        <v>0.54709549999999996</v>
      </c>
      <c r="F46" t="s">
        <v>41</v>
      </c>
      <c r="G46">
        <v>-472.78359999999998</v>
      </c>
      <c r="H46">
        <v>0.87640640000000003</v>
      </c>
      <c r="I46">
        <v>367.22480000000002</v>
      </c>
      <c r="J46">
        <v>-473.4128</v>
      </c>
      <c r="K46">
        <v>1.108414</v>
      </c>
      <c r="L46">
        <v>367.22859999999997</v>
      </c>
      <c r="M46">
        <v>0.99998659999999995</v>
      </c>
      <c r="N46">
        <v>3.3975139999999999E-3</v>
      </c>
      <c r="O46">
        <v>3.9259250000000002E-3</v>
      </c>
      <c r="P46">
        <v>0.96277950000000001</v>
      </c>
      <c r="Q46">
        <v>0.26563639999999999</v>
      </c>
      <c r="R46">
        <v>4.9932890000000001E-2</v>
      </c>
      <c r="S46">
        <v>3.409821</v>
      </c>
      <c r="T46">
        <v>-1.0564439999999999</v>
      </c>
      <c r="U46">
        <v>-1.550293E-2</v>
      </c>
      <c r="V46">
        <v>-4.6173640000000002E-2</v>
      </c>
      <c r="W46">
        <v>0.26235950000000002</v>
      </c>
      <c r="X46">
        <v>0.96386490000000002</v>
      </c>
      <c r="Y46">
        <v>7.9171959999999996E-3</v>
      </c>
      <c r="Z46">
        <v>-2.3861099999999999E-3</v>
      </c>
      <c r="AA46">
        <v>0.99996580000000002</v>
      </c>
      <c r="AB46">
        <v>13</v>
      </c>
      <c r="AC46">
        <v>0.62920000000002496</v>
      </c>
      <c r="AD46">
        <v>-0.23200760000000001</v>
      </c>
      <c r="AE46">
        <v>-3.7999999999556102E-3</v>
      </c>
      <c r="AF46">
        <v>5.5197161793007097E-3</v>
      </c>
      <c r="AG46">
        <v>-0.23200760000000001</v>
      </c>
      <c r="AH46">
        <v>0.55387534123246196</v>
      </c>
      <c r="AI46">
        <v>112.726847407801</v>
      </c>
      <c r="AJ46">
        <v>89.429030417629406</v>
      </c>
      <c r="AK46">
        <v>0.60052967233088195</v>
      </c>
      <c r="AL46">
        <v>74.789887742576994</v>
      </c>
      <c r="AM46">
        <v>92.742639299569504</v>
      </c>
      <c r="AN46">
        <v>1.00000002886155</v>
      </c>
    </row>
    <row r="47" spans="1:40" x14ac:dyDescent="0.25">
      <c r="A47" t="str">
        <f>"20190304164825540"</f>
        <v>20190304164825540</v>
      </c>
      <c r="B47" t="str">
        <f>"1551689305536556"</f>
        <v>1551689305536556</v>
      </c>
      <c r="C47" t="s">
        <v>40</v>
      </c>
      <c r="D47">
        <v>5.3185539999999998</v>
      </c>
      <c r="E47">
        <v>0.54748699999999995</v>
      </c>
      <c r="F47" t="s">
        <v>41</v>
      </c>
      <c r="G47">
        <v>-472.6619</v>
      </c>
      <c r="H47">
        <v>0.87480429999999998</v>
      </c>
      <c r="I47">
        <v>367.2235</v>
      </c>
      <c r="J47">
        <v>-473.28309999999999</v>
      </c>
      <c r="K47">
        <v>1.1084039999999999</v>
      </c>
      <c r="L47">
        <v>367.22930000000002</v>
      </c>
      <c r="M47">
        <v>0.99998620000000005</v>
      </c>
      <c r="N47">
        <v>3.364531E-3</v>
      </c>
      <c r="O47">
        <v>4.0435940000000002E-3</v>
      </c>
      <c r="P47">
        <v>0.96272100000000005</v>
      </c>
      <c r="Q47">
        <v>0.26589370000000001</v>
      </c>
      <c r="R47">
        <v>4.968645E-2</v>
      </c>
      <c r="S47">
        <v>3.409729</v>
      </c>
      <c r="T47">
        <v>-1.060821</v>
      </c>
      <c r="U47">
        <v>-2.1209720000000001E-2</v>
      </c>
      <c r="V47">
        <v>-4.5812319999999997E-2</v>
      </c>
      <c r="W47">
        <v>0.26264890000000002</v>
      </c>
      <c r="X47">
        <v>0.96380330000000003</v>
      </c>
      <c r="Y47">
        <v>9.6187909999999998E-3</v>
      </c>
      <c r="Z47">
        <v>-2.687413E-3</v>
      </c>
      <c r="AA47">
        <v>0.99995009999999995</v>
      </c>
      <c r="AB47">
        <v>13</v>
      </c>
      <c r="AC47">
        <v>0.62119999999998698</v>
      </c>
      <c r="AD47">
        <v>-0.23359969999999999</v>
      </c>
      <c r="AE47">
        <v>-5.8000000000220098E-3</v>
      </c>
      <c r="AF47">
        <v>7.2821627663442398E-3</v>
      </c>
      <c r="AG47">
        <v>-0.23359969999999999</v>
      </c>
      <c r="AH47">
        <v>0.54421978336617605</v>
      </c>
      <c r="AI47">
        <v>113.228979295752</v>
      </c>
      <c r="AJ47">
        <v>89.233375364722093</v>
      </c>
      <c r="AK47">
        <v>0.59228120208375101</v>
      </c>
      <c r="AL47">
        <v>74.7727033775503</v>
      </c>
      <c r="AM47">
        <v>92.721383524736197</v>
      </c>
      <c r="AN47">
        <v>1.00000000721294</v>
      </c>
    </row>
    <row r="48" spans="1:40" x14ac:dyDescent="0.25">
      <c r="A48" t="str">
        <f>"20190304164825563"</f>
        <v>20190304164825563</v>
      </c>
      <c r="B48" t="str">
        <f>"1551689305556076"</f>
        <v>1551689305556076</v>
      </c>
      <c r="C48" t="s">
        <v>40</v>
      </c>
      <c r="D48">
        <v>5.2412510000000001</v>
      </c>
      <c r="E48">
        <v>0.54744150000000003</v>
      </c>
      <c r="F48" t="s">
        <v>41</v>
      </c>
      <c r="G48">
        <v>-472.5367</v>
      </c>
      <c r="H48">
        <v>0.87580599999999997</v>
      </c>
      <c r="I48">
        <v>367.2235</v>
      </c>
      <c r="J48">
        <v>-473.13490000000002</v>
      </c>
      <c r="K48">
        <v>1.1083909999999999</v>
      </c>
      <c r="L48">
        <v>367.23</v>
      </c>
      <c r="M48">
        <v>0.99998580000000004</v>
      </c>
      <c r="N48">
        <v>3.34141E-3</v>
      </c>
      <c r="O48">
        <v>4.1622730000000002E-3</v>
      </c>
      <c r="P48">
        <v>0.96272100000000005</v>
      </c>
      <c r="Q48">
        <v>0.26595159999999901</v>
      </c>
      <c r="R48">
        <v>4.937954E-2</v>
      </c>
      <c r="S48">
        <v>3.4111020000000001</v>
      </c>
      <c r="T48">
        <v>-1.0630329999999999</v>
      </c>
      <c r="U48">
        <v>-2.5512699999999999E-2</v>
      </c>
      <c r="V48">
        <v>-4.5387089999999998E-2</v>
      </c>
      <c r="W48">
        <v>0.26273030000000003</v>
      </c>
      <c r="X48">
        <v>0.96380120000000002</v>
      </c>
      <c r="Y48">
        <v>1.0927060000000001E-2</v>
      </c>
      <c r="Z48">
        <v>-2.9251500000000001E-3</v>
      </c>
      <c r="AA48">
        <v>0.99993600000000005</v>
      </c>
      <c r="AB48">
        <v>14</v>
      </c>
      <c r="AC48">
        <v>0.59820000000001905</v>
      </c>
      <c r="AD48">
        <v>-0.23258499999999999</v>
      </c>
      <c r="AE48">
        <v>-6.5000000000168196E-3</v>
      </c>
      <c r="AF48">
        <v>7.8094069852575202E-3</v>
      </c>
      <c r="AG48">
        <v>-0.23258499999999999</v>
      </c>
      <c r="AH48">
        <v>0.51962450111062897</v>
      </c>
      <c r="AI48">
        <v>114.110975434163</v>
      </c>
      <c r="AJ48">
        <v>89.138969820937803</v>
      </c>
      <c r="AK48">
        <v>0.56935611985551804</v>
      </c>
      <c r="AL48">
        <v>74.767869255790501</v>
      </c>
      <c r="AM48">
        <v>92.696166953237807</v>
      </c>
      <c r="AN48">
        <v>0.99999997579909805</v>
      </c>
    </row>
    <row r="49" spans="1:40" x14ac:dyDescent="0.25">
      <c r="A49" t="str">
        <f>"20190304164825587"</f>
        <v>20190304164825587</v>
      </c>
      <c r="B49" t="str">
        <f>"1551689305576572"</f>
        <v>1551689305576572</v>
      </c>
      <c r="C49" t="s">
        <v>40</v>
      </c>
      <c r="D49">
        <v>5.1999559999999896</v>
      </c>
      <c r="E49">
        <v>0.5240148</v>
      </c>
      <c r="F49" t="s">
        <v>41</v>
      </c>
      <c r="G49">
        <v>-472.40660000000003</v>
      </c>
      <c r="H49">
        <v>0.88333439999999996</v>
      </c>
      <c r="I49">
        <v>367.22329999999999</v>
      </c>
      <c r="J49">
        <v>-472.98939999999999</v>
      </c>
      <c r="K49">
        <v>1.1083719999999999</v>
      </c>
      <c r="L49">
        <v>367.23070000000001</v>
      </c>
      <c r="M49">
        <v>0.99998549999999997</v>
      </c>
      <c r="N49">
        <v>3.330595E-3</v>
      </c>
      <c r="O49">
        <v>4.2575779999999997E-3</v>
      </c>
      <c r="P49">
        <v>0.96268160000000003</v>
      </c>
      <c r="Q49">
        <v>0.26610099999999998</v>
      </c>
      <c r="R49">
        <v>4.934297E-2</v>
      </c>
      <c r="S49">
        <v>3.4085999999999999</v>
      </c>
      <c r="T49">
        <v>-1.0532079999999999</v>
      </c>
      <c r="U49">
        <v>-2.9357910000000001E-2</v>
      </c>
      <c r="V49">
        <v>-4.5253130000000003E-2</v>
      </c>
      <c r="W49">
        <v>0.26289089999999998</v>
      </c>
      <c r="X49">
        <v>0.9637637</v>
      </c>
      <c r="Y49">
        <v>1.2108610000000001E-2</v>
      </c>
      <c r="Z49">
        <v>-3.106784E-3</v>
      </c>
      <c r="AA49">
        <v>0.99992190000000003</v>
      </c>
      <c r="AB49">
        <v>14</v>
      </c>
      <c r="AC49">
        <v>0.58279999999996301</v>
      </c>
      <c r="AD49">
        <v>-0.22503759999999901</v>
      </c>
      <c r="AE49">
        <v>-7.40000000001828E-3</v>
      </c>
      <c r="AF49">
        <v>8.5993289568089097E-3</v>
      </c>
      <c r="AG49">
        <v>-0.22503759999999901</v>
      </c>
      <c r="AH49">
        <v>0.50715911737859798</v>
      </c>
      <c r="AI49">
        <v>113.92485608197499</v>
      </c>
      <c r="AJ49">
        <v>89.028592744880299</v>
      </c>
      <c r="AK49">
        <v>0.55491102008565796</v>
      </c>
      <c r="AL49">
        <v>74.758332218637506</v>
      </c>
      <c r="AM49">
        <v>92.688325351835402</v>
      </c>
      <c r="AN49">
        <v>0.99999997025764797</v>
      </c>
    </row>
    <row r="50" spans="1:40" x14ac:dyDescent="0.25">
      <c r="A50" t="str">
        <f>"20190304164825607"</f>
        <v>20190304164825607</v>
      </c>
      <c r="B50" t="str">
        <f>"1551689305597085"</f>
        <v>1551689305597085</v>
      </c>
      <c r="C50" t="s">
        <v>40</v>
      </c>
      <c r="D50">
        <v>5.218375</v>
      </c>
      <c r="E50">
        <v>0.52188840000000003</v>
      </c>
      <c r="F50" t="s">
        <v>41</v>
      </c>
      <c r="G50">
        <v>-472.21769999999998</v>
      </c>
      <c r="H50">
        <v>1.0173160000000001</v>
      </c>
      <c r="I50">
        <v>367.25069999999999</v>
      </c>
      <c r="J50">
        <v>-472.8519</v>
      </c>
      <c r="K50">
        <v>1.1083529999999999</v>
      </c>
      <c r="L50">
        <v>367.23140000000001</v>
      </c>
      <c r="M50">
        <v>0.99998529999999997</v>
      </c>
      <c r="N50">
        <v>3.3290669999999998E-3</v>
      </c>
      <c r="O50">
        <v>4.3249229999999996E-3</v>
      </c>
      <c r="P50">
        <v>0.96279300000000001</v>
      </c>
      <c r="Q50">
        <v>0.26571460000000002</v>
      </c>
      <c r="R50">
        <v>4.9251469999999999E-2</v>
      </c>
      <c r="S50">
        <v>3.2169490000000001</v>
      </c>
      <c r="T50">
        <v>-0.37970330000000002</v>
      </c>
      <c r="U50">
        <v>8.3587649999999999E-2</v>
      </c>
      <c r="V50">
        <v>-4.5088429999999999E-2</v>
      </c>
      <c r="W50">
        <v>0.2625072</v>
      </c>
      <c r="X50">
        <v>0.96387599999999996</v>
      </c>
      <c r="Y50">
        <v>-2.1537580000000001E-2</v>
      </c>
      <c r="Z50">
        <v>7.0751280000000004E-4</v>
      </c>
      <c r="AA50">
        <v>0.99976779999999998</v>
      </c>
      <c r="AB50">
        <v>14</v>
      </c>
      <c r="AC50">
        <v>0.63420000000002097</v>
      </c>
      <c r="AD50">
        <v>-9.1037000000000201E-2</v>
      </c>
      <c r="AE50">
        <v>1.9299999999986901E-2</v>
      </c>
      <c r="AF50">
        <v>-1.62229654545205E-2</v>
      </c>
      <c r="AG50">
        <v>-9.1037000000000201E-2</v>
      </c>
      <c r="AH50">
        <v>0.62148340532530899</v>
      </c>
      <c r="AI50">
        <v>98.330813850035099</v>
      </c>
      <c r="AJ50">
        <v>91.495287578497994</v>
      </c>
      <c r="AK50">
        <v>0.62832518895224998</v>
      </c>
      <c r="AL50">
        <v>74.781116851816705</v>
      </c>
      <c r="AM50">
        <v>92.678243773227294</v>
      </c>
      <c r="AN50">
        <v>0.99999996997385199</v>
      </c>
    </row>
    <row r="51" spans="1:40" x14ac:dyDescent="0.25">
      <c r="A51" t="str">
        <f>"20190304164825630"</f>
        <v>20190304164825630</v>
      </c>
      <c r="B51" t="str">
        <f>"1551689305616588"</f>
        <v>1551689305616588</v>
      </c>
      <c r="C51" t="s">
        <v>40</v>
      </c>
      <c r="D51">
        <v>5.1990350000000003</v>
      </c>
      <c r="E51">
        <v>0.52116119999999999</v>
      </c>
      <c r="F51" t="s">
        <v>41</v>
      </c>
      <c r="G51">
        <v>-472.08339999999998</v>
      </c>
      <c r="H51">
        <v>1.0230090000000001</v>
      </c>
      <c r="I51">
        <v>367.25439999999998</v>
      </c>
      <c r="J51">
        <v>-472.70580000000001</v>
      </c>
      <c r="K51">
        <v>1.108325</v>
      </c>
      <c r="L51">
        <v>367.2321</v>
      </c>
      <c r="M51">
        <v>0.99998500000000001</v>
      </c>
      <c r="N51">
        <v>3.3332990000000001E-3</v>
      </c>
      <c r="O51">
        <v>4.3715840000000004E-3</v>
      </c>
      <c r="P51">
        <v>0.96280500000000002</v>
      </c>
      <c r="Q51">
        <v>0.26556649999999998</v>
      </c>
      <c r="R51">
        <v>4.9811319999999999E-2</v>
      </c>
      <c r="S51">
        <v>3.209381</v>
      </c>
      <c r="T51">
        <v>-0.356741799999999</v>
      </c>
      <c r="U51">
        <v>9.7747799999999996E-2</v>
      </c>
      <c r="V51">
        <v>-4.5594099999999999E-2</v>
      </c>
      <c r="W51">
        <v>0.26235629999999999</v>
      </c>
      <c r="X51">
        <v>0.96389340000000001</v>
      </c>
      <c r="Y51">
        <v>-2.594662E-2</v>
      </c>
      <c r="Z51">
        <v>8.9508259999999896E-4</v>
      </c>
      <c r="AA51">
        <v>0.99966290000000002</v>
      </c>
      <c r="AB51">
        <v>14</v>
      </c>
      <c r="AC51">
        <v>0.62240000000002704</v>
      </c>
      <c r="AD51">
        <v>-8.5315999999999906E-2</v>
      </c>
      <c r="AE51">
        <v>2.22999999999728E-2</v>
      </c>
      <c r="AF51">
        <v>-1.9218254321832998E-2</v>
      </c>
      <c r="AG51">
        <v>-8.5315999999999906E-2</v>
      </c>
      <c r="AH51">
        <v>0.61102522660351299</v>
      </c>
      <c r="AI51">
        <v>97.944805279340898</v>
      </c>
      <c r="AJ51">
        <v>91.801500054031195</v>
      </c>
      <c r="AK51">
        <v>0.61725196532781701</v>
      </c>
      <c r="AL51">
        <v>74.790078359604905</v>
      </c>
      <c r="AM51">
        <v>92.708187183062293</v>
      </c>
      <c r="AN51">
        <v>1.00000006833402</v>
      </c>
    </row>
    <row r="52" spans="1:40" x14ac:dyDescent="0.25">
      <c r="A52" t="str">
        <f>"20190304164825652"</f>
        <v>20190304164825652</v>
      </c>
      <c r="B52" t="str">
        <f>"1551689305646844"</f>
        <v>1551689305646844</v>
      </c>
      <c r="C52" t="s">
        <v>40</v>
      </c>
      <c r="D52">
        <v>5.1507129999999997</v>
      </c>
      <c r="E52">
        <v>0.52083369999999996</v>
      </c>
      <c r="F52" t="s">
        <v>41</v>
      </c>
      <c r="G52">
        <v>-471.94850000000002</v>
      </c>
      <c r="H52">
        <v>1.0253540000000001</v>
      </c>
      <c r="I52">
        <v>367.25650000000002</v>
      </c>
      <c r="J52">
        <v>-472.55119999999999</v>
      </c>
      <c r="K52">
        <v>1.108293</v>
      </c>
      <c r="L52">
        <v>367.2328</v>
      </c>
      <c r="M52">
        <v>0.99998489999999995</v>
      </c>
      <c r="N52">
        <v>3.3406220000000001E-3</v>
      </c>
      <c r="O52">
        <v>4.3952929999999998E-3</v>
      </c>
      <c r="P52">
        <v>0.9629626</v>
      </c>
      <c r="Q52">
        <v>0.26479659999999999</v>
      </c>
      <c r="R52">
        <v>5.0855740000000003E-2</v>
      </c>
      <c r="S52">
        <v>3.2074889999999998</v>
      </c>
      <c r="T52">
        <v>-0.351668599999999</v>
      </c>
      <c r="U52">
        <v>0.1041565</v>
      </c>
      <c r="V52">
        <v>-4.6606210000000002E-2</v>
      </c>
      <c r="W52">
        <v>0.26158089999999901</v>
      </c>
      <c r="X52">
        <v>0.96405569999999896</v>
      </c>
      <c r="Y52">
        <v>-2.7928370000000001E-2</v>
      </c>
      <c r="Z52">
        <v>9.8430390000000005E-4</v>
      </c>
      <c r="AA52">
        <v>0.99960950000000004</v>
      </c>
      <c r="AB52">
        <v>15</v>
      </c>
      <c r="AC52">
        <v>0.60269999999997004</v>
      </c>
      <c r="AD52">
        <v>-8.2938999999999805E-2</v>
      </c>
      <c r="AE52">
        <v>2.3700000000019299E-2</v>
      </c>
      <c r="AF52">
        <v>-2.0660074161392102E-2</v>
      </c>
      <c r="AG52">
        <v>-8.2938999999999805E-2</v>
      </c>
      <c r="AH52">
        <v>0.59161218069103105</v>
      </c>
      <c r="AI52">
        <v>97.975572331024097</v>
      </c>
      <c r="AJ52">
        <v>92.000050450984006</v>
      </c>
      <c r="AK52">
        <v>0.597754706152408</v>
      </c>
      <c r="AL52">
        <v>74.836112913657203</v>
      </c>
      <c r="AM52">
        <v>92.767746440745796</v>
      </c>
      <c r="AN52">
        <v>1.0000000493789301</v>
      </c>
    </row>
    <row r="53" spans="1:40" x14ac:dyDescent="0.25">
      <c r="A53" t="str">
        <f>"20190304164825675"</f>
        <v>20190304164825675</v>
      </c>
      <c r="B53" t="str">
        <f>"1551689305666364"</f>
        <v>1551689305666364</v>
      </c>
      <c r="C53" t="s">
        <v>40</v>
      </c>
      <c r="D53">
        <v>5.1452019999999896</v>
      </c>
      <c r="E53">
        <v>0.52057439999999999</v>
      </c>
      <c r="F53" t="s">
        <v>41</v>
      </c>
      <c r="G53">
        <v>-471.81150000000002</v>
      </c>
      <c r="H53">
        <v>1.0272680000000001</v>
      </c>
      <c r="I53">
        <v>367.25740000000002</v>
      </c>
      <c r="J53">
        <v>-472.39749999999998</v>
      </c>
      <c r="K53">
        <v>1.108274</v>
      </c>
      <c r="L53">
        <v>367.23360000000002</v>
      </c>
      <c r="M53">
        <v>0.99998489999999995</v>
      </c>
      <c r="N53">
        <v>3.3485030000000001E-3</v>
      </c>
      <c r="O53">
        <v>4.3938479999999997E-3</v>
      </c>
      <c r="P53">
        <v>0.96286550000000004</v>
      </c>
      <c r="Q53">
        <v>0.26512469999999999</v>
      </c>
      <c r="R53">
        <v>5.0983590000000002E-2</v>
      </c>
      <c r="S53">
        <v>3.2063290000000002</v>
      </c>
      <c r="T53">
        <v>-0.35161199999999998</v>
      </c>
      <c r="U53">
        <v>0.1094055</v>
      </c>
      <c r="V53">
        <v>-4.672656E-2</v>
      </c>
      <c r="W53">
        <v>0.261903</v>
      </c>
      <c r="X53">
        <v>0.9639624</v>
      </c>
      <c r="Y53">
        <v>-2.956659E-2</v>
      </c>
      <c r="Z53">
        <v>1.0712810000000001E-3</v>
      </c>
      <c r="AA53">
        <v>0.99956230000000001</v>
      </c>
      <c r="AB53">
        <v>15</v>
      </c>
      <c r="AC53">
        <v>0.585999999999955</v>
      </c>
      <c r="AD53">
        <v>-8.1005999999999898E-2</v>
      </c>
      <c r="AE53">
        <v>2.3799999999994201E-2</v>
      </c>
      <c r="AF53">
        <v>-2.0827620639566401E-2</v>
      </c>
      <c r="AG53">
        <v>-8.1005999999999898E-2</v>
      </c>
      <c r="AH53">
        <v>0.57512688645874999</v>
      </c>
      <c r="AI53">
        <v>98.012125501666205</v>
      </c>
      <c r="AJ53">
        <v>92.074000592833499</v>
      </c>
      <c r="AK53">
        <v>0.58117699313138804</v>
      </c>
      <c r="AL53">
        <v>74.816991034891402</v>
      </c>
      <c r="AM53">
        <v>92.775150519386401</v>
      </c>
      <c r="AN53">
        <v>1.0000000307160899</v>
      </c>
    </row>
    <row r="54" spans="1:40" x14ac:dyDescent="0.25">
      <c r="A54" t="str">
        <f>"20190304164825697"</f>
        <v>20190304164825697</v>
      </c>
      <c r="B54" t="str">
        <f>"1551689305686864"</f>
        <v>1551689305686864</v>
      </c>
      <c r="C54" t="s">
        <v>40</v>
      </c>
      <c r="D54">
        <v>5.1321059999999896</v>
      </c>
      <c r="E54">
        <v>0.52048109999999903</v>
      </c>
      <c r="F54" t="s">
        <v>41</v>
      </c>
      <c r="G54">
        <v>-471.67250000000001</v>
      </c>
      <c r="H54">
        <v>1.0283990000000001</v>
      </c>
      <c r="I54">
        <v>367.25940000000003</v>
      </c>
      <c r="J54">
        <v>-472.23880000000003</v>
      </c>
      <c r="K54">
        <v>1.108255</v>
      </c>
      <c r="L54">
        <v>367.23419999999999</v>
      </c>
      <c r="M54">
        <v>0.99998489999999995</v>
      </c>
      <c r="N54">
        <v>3.3558350000000002E-3</v>
      </c>
      <c r="O54">
        <v>4.3644479999999999E-3</v>
      </c>
      <c r="P54">
        <v>0.96273660000000005</v>
      </c>
      <c r="Q54">
        <v>0.26554149999999999</v>
      </c>
      <c r="R54">
        <v>5.1243509999999999E-2</v>
      </c>
      <c r="S54">
        <v>3.206909</v>
      </c>
      <c r="T54">
        <v>-0.35306670000000001</v>
      </c>
      <c r="U54">
        <v>0.1134338</v>
      </c>
      <c r="V54">
        <v>-4.700563E-2</v>
      </c>
      <c r="W54">
        <v>0.26231480000000001</v>
      </c>
      <c r="X54">
        <v>0.96383680000000005</v>
      </c>
      <c r="Y54">
        <v>-3.0835120000000001E-2</v>
      </c>
      <c r="Z54">
        <v>1.146366E-3</v>
      </c>
      <c r="AA54">
        <v>0.99952379999999996</v>
      </c>
      <c r="AB54">
        <v>15</v>
      </c>
      <c r="AC54">
        <v>0.56630000000001202</v>
      </c>
      <c r="AD54">
        <v>-7.9855999999999899E-2</v>
      </c>
      <c r="AE54">
        <v>2.52000000000407E-2</v>
      </c>
      <c r="AF54">
        <v>-2.2285883978705599E-2</v>
      </c>
      <c r="AG54">
        <v>-7.9855999999999899E-2</v>
      </c>
      <c r="AH54">
        <v>0.55538272295194302</v>
      </c>
      <c r="AI54">
        <v>98.175733953357195</v>
      </c>
      <c r="AJ54">
        <v>92.297879215636698</v>
      </c>
      <c r="AK54">
        <v>0.56153682899185497</v>
      </c>
      <c r="AL54">
        <v>74.792541063030797</v>
      </c>
      <c r="AM54">
        <v>92.792061921207605</v>
      </c>
      <c r="AN54">
        <v>0.99999998029248804</v>
      </c>
    </row>
    <row r="55" spans="1:40" x14ac:dyDescent="0.25">
      <c r="A55" t="str">
        <f>"20190304164825721"</f>
        <v>20190304164825721</v>
      </c>
      <c r="B55" t="str">
        <f>"1551689305716140"</f>
        <v>1551689305716140</v>
      </c>
      <c r="C55" t="s">
        <v>40</v>
      </c>
      <c r="D55">
        <v>5.1330689999999999</v>
      </c>
      <c r="E55">
        <v>0.52046789999999998</v>
      </c>
      <c r="F55" t="s">
        <v>41</v>
      </c>
      <c r="G55">
        <v>-471.39499999999998</v>
      </c>
      <c r="H55">
        <v>1.0150939999999999</v>
      </c>
      <c r="I55">
        <v>367.26499999999999</v>
      </c>
      <c r="J55">
        <v>-472.07089999999999</v>
      </c>
      <c r="K55">
        <v>1.1082369999999999</v>
      </c>
      <c r="L55">
        <v>367.23489999999998</v>
      </c>
      <c r="M55">
        <v>0.99998520000000002</v>
      </c>
      <c r="N55">
        <v>3.361644E-3</v>
      </c>
      <c r="O55">
        <v>4.3066179999999999E-3</v>
      </c>
      <c r="P55">
        <v>0.96276519999999999</v>
      </c>
      <c r="Q55">
        <v>0.26538909999999999</v>
      </c>
      <c r="R55">
        <v>5.1497719999999997E-2</v>
      </c>
      <c r="S55">
        <v>3.2075809999999998</v>
      </c>
      <c r="T55">
        <v>-0.35434450000000001</v>
      </c>
      <c r="U55">
        <v>0.1177063</v>
      </c>
      <c r="V55">
        <v>-4.730645E-2</v>
      </c>
      <c r="W55">
        <v>0.26215840000000001</v>
      </c>
      <c r="X55">
        <v>0.96386470000000002</v>
      </c>
      <c r="Y55">
        <v>-3.2205640000000001E-2</v>
      </c>
      <c r="Z55">
        <v>1.2300270000000001E-3</v>
      </c>
      <c r="AA55">
        <v>0.99948049999999999</v>
      </c>
      <c r="AB55">
        <v>16</v>
      </c>
      <c r="AC55">
        <v>0.67590000000001205</v>
      </c>
      <c r="AD55">
        <v>-9.3143000000000198E-2</v>
      </c>
      <c r="AE55">
        <v>3.0100000000004401E-2</v>
      </c>
      <c r="AF55">
        <v>-2.6683139453427599E-2</v>
      </c>
      <c r="AG55">
        <v>-9.3143000000000198E-2</v>
      </c>
      <c r="AH55">
        <v>0.66344909385811801</v>
      </c>
      <c r="AI55">
        <v>97.985269723485402</v>
      </c>
      <c r="AJ55">
        <v>92.303127347660407</v>
      </c>
      <c r="AK55">
        <v>0.67048662068772802</v>
      </c>
      <c r="AL55">
        <v>74.801828083291198</v>
      </c>
      <c r="AM55">
        <v>92.809820414641806</v>
      </c>
      <c r="AN55">
        <v>1.0000000434041201</v>
      </c>
    </row>
    <row r="56" spans="1:40" x14ac:dyDescent="0.25">
      <c r="A56" t="str">
        <f>"20190304164825743"</f>
        <v>20190304164825743</v>
      </c>
      <c r="B56" t="str">
        <f>"1551689305736637"</f>
        <v>1551689305736637</v>
      </c>
      <c r="C56" t="s">
        <v>40</v>
      </c>
      <c r="D56">
        <v>5.140879</v>
      </c>
      <c r="E56">
        <v>0.52047549999999998</v>
      </c>
      <c r="F56" t="s">
        <v>41</v>
      </c>
      <c r="G56">
        <v>-471.24919999999997</v>
      </c>
      <c r="H56">
        <v>1.016438</v>
      </c>
      <c r="I56">
        <v>367.26530000000002</v>
      </c>
      <c r="J56">
        <v>-471.91199999999998</v>
      </c>
      <c r="K56">
        <v>1.1082270000000001</v>
      </c>
      <c r="L56">
        <v>367.23559999999998</v>
      </c>
      <c r="M56">
        <v>0.99998549999999997</v>
      </c>
      <c r="N56">
        <v>3.3648150000000002E-3</v>
      </c>
      <c r="O56">
        <v>4.2341770000000004E-3</v>
      </c>
      <c r="P56">
        <v>0.96259870000000003</v>
      </c>
      <c r="Q56">
        <v>0.2659165</v>
      </c>
      <c r="R56">
        <v>5.1888150000000001E-2</v>
      </c>
      <c r="S56">
        <v>3.208466</v>
      </c>
      <c r="T56">
        <v>-0.35866150000000002</v>
      </c>
      <c r="U56">
        <v>0.12011719999999999</v>
      </c>
      <c r="V56">
        <v>-4.776035E-2</v>
      </c>
      <c r="W56">
        <v>0.2626848</v>
      </c>
      <c r="X56">
        <v>0.96369890000000002</v>
      </c>
      <c r="Y56">
        <v>-3.3008660000000002E-2</v>
      </c>
      <c r="Z56">
        <v>1.2969909999999999E-3</v>
      </c>
      <c r="AA56">
        <v>0.99945419999999996</v>
      </c>
      <c r="AB56">
        <v>16</v>
      </c>
      <c r="AC56">
        <v>0.66280000000000405</v>
      </c>
      <c r="AD56">
        <v>-9.1789000000000107E-2</v>
      </c>
      <c r="AE56">
        <v>2.9700000000048001E-2</v>
      </c>
      <c r="AF56">
        <v>-2.6388231257646399E-2</v>
      </c>
      <c r="AG56">
        <v>-9.1789000000000107E-2</v>
      </c>
      <c r="AH56">
        <v>0.65046973220893001</v>
      </c>
      <c r="AI56">
        <v>98.025566393330294</v>
      </c>
      <c r="AJ56">
        <v>92.323099133390201</v>
      </c>
      <c r="AK56">
        <v>0.657443862082432</v>
      </c>
      <c r="AL56">
        <v>74.770570908171806</v>
      </c>
      <c r="AM56">
        <v>92.837223744512798</v>
      </c>
      <c r="AN56">
        <v>0.99999996252218504</v>
      </c>
    </row>
    <row r="57" spans="1:40" x14ac:dyDescent="0.25">
      <c r="A57" t="str">
        <f>"20190304164825765"</f>
        <v>20190304164825765</v>
      </c>
      <c r="B57" t="str">
        <f>"1551689305756156"</f>
        <v>1551689305756156</v>
      </c>
      <c r="C57" t="s">
        <v>40</v>
      </c>
      <c r="D57">
        <v>5.1299970000000004</v>
      </c>
      <c r="E57">
        <v>0.52050969999999996</v>
      </c>
      <c r="F57" t="s">
        <v>41</v>
      </c>
      <c r="G57">
        <v>-471.10120000000001</v>
      </c>
      <c r="H57">
        <v>1.0175650000000001</v>
      </c>
      <c r="I57">
        <v>367.26609999999999</v>
      </c>
      <c r="J57">
        <v>-471.73559999999998</v>
      </c>
      <c r="K57">
        <v>1.1082240000000001</v>
      </c>
      <c r="L57">
        <v>367.2362</v>
      </c>
      <c r="M57">
        <v>0.99998589999999998</v>
      </c>
      <c r="N57">
        <v>3.3652629999999998E-3</v>
      </c>
      <c r="O57">
        <v>4.1394969999999998E-3</v>
      </c>
      <c r="P57">
        <v>0.96247139999999998</v>
      </c>
      <c r="Q57">
        <v>0.26640799999999998</v>
      </c>
      <c r="R57">
        <v>5.1729369999999997E-2</v>
      </c>
      <c r="S57">
        <v>3.2091980000000002</v>
      </c>
      <c r="T57">
        <v>-0.35895909999999998</v>
      </c>
      <c r="U57">
        <v>0.121582</v>
      </c>
      <c r="V57">
        <v>-4.7687550000000002E-2</v>
      </c>
      <c r="W57">
        <v>0.2631771</v>
      </c>
      <c r="X57">
        <v>0.96356819999999999</v>
      </c>
      <c r="Y57">
        <v>-3.354625E-2</v>
      </c>
      <c r="Z57">
        <v>1.3377110000000001E-3</v>
      </c>
      <c r="AA57">
        <v>0.99943630000000006</v>
      </c>
      <c r="AB57">
        <v>16</v>
      </c>
      <c r="AC57">
        <v>0.63439999999997099</v>
      </c>
      <c r="AD57">
        <v>-9.0658999999999795E-2</v>
      </c>
      <c r="AE57">
        <v>2.98999999999978E-2</v>
      </c>
      <c r="AF57">
        <v>-2.6728986367359799E-2</v>
      </c>
      <c r="AG57">
        <v>-9.0658999999999795E-2</v>
      </c>
      <c r="AH57">
        <v>0.62184720068479504</v>
      </c>
      <c r="AI57">
        <v>98.287158970533895</v>
      </c>
      <c r="AJ57">
        <v>92.4612412831044</v>
      </c>
      <c r="AK57">
        <v>0.62898921611800396</v>
      </c>
      <c r="AL57">
        <v>74.741335845649402</v>
      </c>
      <c r="AM57">
        <v>92.833289714060598</v>
      </c>
      <c r="AN57">
        <v>0.99999998222032604</v>
      </c>
    </row>
    <row r="58" spans="1:40" x14ac:dyDescent="0.25">
      <c r="A58" t="str">
        <f>"20190304164825789"</f>
        <v>20190304164825789</v>
      </c>
      <c r="B58" t="str">
        <f>"1551689305776652"</f>
        <v>1551689305776652</v>
      </c>
      <c r="C58" t="s">
        <v>40</v>
      </c>
      <c r="D58">
        <v>5.1585479999999997</v>
      </c>
      <c r="E58">
        <v>0.52059140000000004</v>
      </c>
      <c r="F58" t="s">
        <v>41</v>
      </c>
      <c r="G58">
        <v>-470.9502</v>
      </c>
      <c r="H58">
        <v>1.020489</v>
      </c>
      <c r="I58">
        <v>367.26549999999997</v>
      </c>
      <c r="J58">
        <v>-471.56450000000001</v>
      </c>
      <c r="K58">
        <v>1.108214</v>
      </c>
      <c r="L58">
        <v>367.23680000000002</v>
      </c>
      <c r="M58">
        <v>0.99998640000000005</v>
      </c>
      <c r="N58">
        <v>3.3625870000000002E-3</v>
      </c>
      <c r="O58">
        <v>4.0400990000000001E-3</v>
      </c>
      <c r="P58">
        <v>0.96247300000000002</v>
      </c>
      <c r="Q58">
        <v>0.26660109999999998</v>
      </c>
      <c r="R58">
        <v>5.0694080000000002E-2</v>
      </c>
      <c r="S58">
        <v>3.2097470000000001</v>
      </c>
      <c r="T58">
        <v>-0.35876720000000001</v>
      </c>
      <c r="U58">
        <v>0.12142940000000001</v>
      </c>
      <c r="V58">
        <v>-4.674532E-2</v>
      </c>
      <c r="W58">
        <v>0.26337300000000002</v>
      </c>
      <c r="X58">
        <v>0.96356090000000005</v>
      </c>
      <c r="Y58">
        <v>-3.3590990000000001E-2</v>
      </c>
      <c r="Z58">
        <v>1.350602E-3</v>
      </c>
      <c r="AA58">
        <v>0.99943479999999996</v>
      </c>
      <c r="AB58">
        <v>16</v>
      </c>
      <c r="AC58">
        <v>0.61430000000001395</v>
      </c>
      <c r="AD58">
        <v>-8.7724999999999997E-2</v>
      </c>
      <c r="AE58">
        <v>2.8699999999957902E-2</v>
      </c>
      <c r="AF58">
        <v>-2.56950559035009E-2</v>
      </c>
      <c r="AG58">
        <v>-8.7724999999999997E-2</v>
      </c>
      <c r="AH58">
        <v>0.60215775036067198</v>
      </c>
      <c r="AI58">
        <v>98.281358578532206</v>
      </c>
      <c r="AJ58">
        <v>92.443422275626403</v>
      </c>
      <c r="AK58">
        <v>0.60905653911792901</v>
      </c>
      <c r="AL58">
        <v>74.729701965453202</v>
      </c>
      <c r="AM58">
        <v>92.777417969288706</v>
      </c>
      <c r="AN58">
        <v>1.0000000350398499</v>
      </c>
    </row>
    <row r="59" spans="1:40" x14ac:dyDescent="0.25">
      <c r="A59" t="str">
        <f>"20190304164825810"</f>
        <v>20190304164825810</v>
      </c>
      <c r="B59" t="str">
        <f>"1551689305806908"</f>
        <v>1551689305806908</v>
      </c>
      <c r="C59" t="s">
        <v>40</v>
      </c>
      <c r="D59">
        <v>5.1152160000000002</v>
      </c>
      <c r="E59">
        <v>0.52066939999999995</v>
      </c>
      <c r="F59" t="s">
        <v>41</v>
      </c>
      <c r="G59">
        <v>-470.79739999999998</v>
      </c>
      <c r="H59">
        <v>1.0223009999999999</v>
      </c>
      <c r="I59">
        <v>367.26499999999999</v>
      </c>
      <c r="J59">
        <v>-471.39859999999999</v>
      </c>
      <c r="K59">
        <v>1.108215</v>
      </c>
      <c r="L59">
        <v>367.23739999999998</v>
      </c>
      <c r="M59">
        <v>0.9999865</v>
      </c>
      <c r="N59">
        <v>3.3571849999999999E-3</v>
      </c>
      <c r="O59">
        <v>3.9403329999999999E-3</v>
      </c>
      <c r="P59">
        <v>0.96236880000000002</v>
      </c>
      <c r="Q59">
        <v>0.26709519999999998</v>
      </c>
      <c r="R59">
        <v>5.0061969999999997E-2</v>
      </c>
      <c r="S59">
        <v>3.2103579999999998</v>
      </c>
      <c r="T59">
        <v>-0.35969329999999999</v>
      </c>
      <c r="U59">
        <v>0.1184998</v>
      </c>
      <c r="V59">
        <v>-4.6208550000000001E-2</v>
      </c>
      <c r="W59">
        <v>0.26387300000000002</v>
      </c>
      <c r="X59">
        <v>0.96345000000000003</v>
      </c>
      <c r="Y59">
        <v>-3.2776130000000001E-2</v>
      </c>
      <c r="Z59">
        <v>1.3214679999999999E-3</v>
      </c>
      <c r="AA59">
        <v>0.99946179999999996</v>
      </c>
      <c r="AB59">
        <v>17</v>
      </c>
      <c r="AC59">
        <v>0.60120000000000495</v>
      </c>
      <c r="AD59">
        <v>-8.5913999999999796E-2</v>
      </c>
      <c r="AE59">
        <v>2.7600000000006699E-2</v>
      </c>
      <c r="AF59">
        <v>-2.4726942032457299E-2</v>
      </c>
      <c r="AG59">
        <v>-8.5913999999999796E-2</v>
      </c>
      <c r="AH59">
        <v>0.58929504398006005</v>
      </c>
      <c r="AI59">
        <v>98.287586982104003</v>
      </c>
      <c r="AJ59">
        <v>92.402733299031198</v>
      </c>
      <c r="AK59">
        <v>0.59603799033093297</v>
      </c>
      <c r="AL59">
        <v>74.700003694677704</v>
      </c>
      <c r="AM59">
        <v>92.7458899000993</v>
      </c>
      <c r="AN59">
        <v>1.0000000463610501</v>
      </c>
    </row>
    <row r="60" spans="1:40" x14ac:dyDescent="0.25">
      <c r="A60" t="str">
        <f>"20190304164825831"</f>
        <v>20190304164825831</v>
      </c>
      <c r="B60" t="str">
        <f>"1551689305826429"</f>
        <v>1551689305826429</v>
      </c>
      <c r="C60" t="s">
        <v>40</v>
      </c>
      <c r="D60">
        <v>5.0940690000000002</v>
      </c>
      <c r="E60">
        <v>0.52067079999999999</v>
      </c>
      <c r="F60" t="s">
        <v>41</v>
      </c>
      <c r="G60">
        <v>-470.64260000000002</v>
      </c>
      <c r="H60">
        <v>1.023604</v>
      </c>
      <c r="I60">
        <v>367.26389999999998</v>
      </c>
      <c r="J60">
        <v>-471.23469999999998</v>
      </c>
      <c r="K60">
        <v>1.108215</v>
      </c>
      <c r="L60">
        <v>367.23790000000002</v>
      </c>
      <c r="M60">
        <v>0.99998699999999996</v>
      </c>
      <c r="N60">
        <v>3.3493199999999998E-3</v>
      </c>
      <c r="O60">
        <v>3.8420519999999999E-3</v>
      </c>
      <c r="P60">
        <v>0.96221800000000002</v>
      </c>
      <c r="Q60">
        <v>0.26767839999999998</v>
      </c>
      <c r="R60">
        <v>4.9850180000000001E-2</v>
      </c>
      <c r="S60">
        <v>3.2111510000000001</v>
      </c>
      <c r="T60">
        <v>-0.35974469999999997</v>
      </c>
      <c r="U60">
        <v>0.1149902</v>
      </c>
      <c r="V60">
        <v>-4.6092859999999999E-2</v>
      </c>
      <c r="W60">
        <v>0.26446389999999997</v>
      </c>
      <c r="X60">
        <v>0.96329339999999997</v>
      </c>
      <c r="Y60">
        <v>-3.1779740000000001E-2</v>
      </c>
      <c r="Z60">
        <v>1.278866E-3</v>
      </c>
      <c r="AA60">
        <v>0.99949410000000005</v>
      </c>
      <c r="AB60">
        <v>17</v>
      </c>
      <c r="AC60">
        <v>0.59209999999995899</v>
      </c>
      <c r="AD60">
        <v>-8.46109999999997E-2</v>
      </c>
      <c r="AE60">
        <v>2.5999999999953598E-2</v>
      </c>
      <c r="AF60">
        <v>-2.3251035407744199E-2</v>
      </c>
      <c r="AG60">
        <v>-8.46109999999997E-2</v>
      </c>
      <c r="AH60">
        <v>0.58036702432021403</v>
      </c>
      <c r="AI60">
        <v>98.288089235242495</v>
      </c>
      <c r="AJ60">
        <v>92.294193332161996</v>
      </c>
      <c r="AK60">
        <v>0.58696295870083004</v>
      </c>
      <c r="AL60">
        <v>74.664898971987995</v>
      </c>
      <c r="AM60">
        <v>92.739470235043996</v>
      </c>
      <c r="AN60">
        <v>0.99999994031487305</v>
      </c>
    </row>
    <row r="61" spans="1:40" x14ac:dyDescent="0.25">
      <c r="A61" t="str">
        <f>"20190304164825853"</f>
        <v>20190304164825853</v>
      </c>
      <c r="B61" t="str">
        <f>"1551689305846925"</f>
        <v>1551689305846925</v>
      </c>
      <c r="C61" t="s">
        <v>40</v>
      </c>
      <c r="D61">
        <v>5.141839</v>
      </c>
      <c r="E61">
        <v>0.52072229999999997</v>
      </c>
      <c r="F61" t="s">
        <v>41</v>
      </c>
      <c r="G61">
        <v>-470.48570000000001</v>
      </c>
      <c r="H61">
        <v>1.0247040000000001</v>
      </c>
      <c r="I61">
        <v>367.26409999999998</v>
      </c>
      <c r="J61">
        <v>-471.05849999999998</v>
      </c>
      <c r="K61">
        <v>1.108223</v>
      </c>
      <c r="L61">
        <v>367.23840000000001</v>
      </c>
      <c r="M61">
        <v>0.99998739999999997</v>
      </c>
      <c r="N61">
        <v>3.3382799999999999E-3</v>
      </c>
      <c r="O61">
        <v>3.7379259999999999E-3</v>
      </c>
      <c r="P61">
        <v>0.96194170000000001</v>
      </c>
      <c r="Q61">
        <v>0.26873930000000001</v>
      </c>
      <c r="R61">
        <v>4.947153E-2</v>
      </c>
      <c r="S61">
        <v>3.2116090000000002</v>
      </c>
      <c r="T61">
        <v>-0.35813889999999998</v>
      </c>
      <c r="U61">
        <v>0.1130371</v>
      </c>
      <c r="V61">
        <v>-4.5817940000000001E-2</v>
      </c>
      <c r="W61">
        <v>0.2655362</v>
      </c>
      <c r="X61">
        <v>0.96301159999999997</v>
      </c>
      <c r="Y61">
        <v>-3.1275530000000003E-2</v>
      </c>
      <c r="Z61">
        <v>1.2576880000000001E-3</v>
      </c>
      <c r="AA61">
        <v>0.99951000000000001</v>
      </c>
      <c r="AB61">
        <v>17</v>
      </c>
      <c r="AC61">
        <v>0.572799999999972</v>
      </c>
      <c r="AD61">
        <v>-8.3518999999999899E-2</v>
      </c>
      <c r="AE61">
        <v>2.5699999999971999E-2</v>
      </c>
      <c r="AF61">
        <v>-2.3069255919995799E-2</v>
      </c>
      <c r="AG61">
        <v>-8.3518999999999899E-2</v>
      </c>
      <c r="AH61">
        <v>0.56098935543429196</v>
      </c>
      <c r="AI61">
        <v>98.460839474199702</v>
      </c>
      <c r="AJ61">
        <v>92.354815969592195</v>
      </c>
      <c r="AK61">
        <v>0.56764132235090503</v>
      </c>
      <c r="AL61">
        <v>74.601184464516706</v>
      </c>
      <c r="AM61">
        <v>92.723951044760895</v>
      </c>
      <c r="AN61">
        <v>1.00000004943542</v>
      </c>
    </row>
    <row r="62" spans="1:40" x14ac:dyDescent="0.25">
      <c r="A62" t="str">
        <f>"20190304164825877"</f>
        <v>20190304164825877</v>
      </c>
      <c r="B62" t="str">
        <f>"1551689305866448"</f>
        <v>1551689305866448</v>
      </c>
      <c r="C62" t="s">
        <v>40</v>
      </c>
      <c r="D62">
        <v>5.1290469999999999</v>
      </c>
      <c r="E62">
        <v>0.52071899999999904</v>
      </c>
      <c r="F62" t="s">
        <v>41</v>
      </c>
      <c r="G62">
        <v>-470.32589999999999</v>
      </c>
      <c r="H62">
        <v>1.027096</v>
      </c>
      <c r="I62">
        <v>367.26330000000002</v>
      </c>
      <c r="J62">
        <v>-470.87259999999998</v>
      </c>
      <c r="K62">
        <v>1.108233</v>
      </c>
      <c r="L62">
        <v>367.23899999999998</v>
      </c>
      <c r="M62">
        <v>0.99998799999999999</v>
      </c>
      <c r="N62">
        <v>3.323599E-3</v>
      </c>
      <c r="O62">
        <v>3.6324310000000002E-3</v>
      </c>
      <c r="P62">
        <v>0.96167320000000001</v>
      </c>
      <c r="Q62">
        <v>0.2696615</v>
      </c>
      <c r="R62">
        <v>4.9674790000000003E-2</v>
      </c>
      <c r="S62">
        <v>3.2124329999999999</v>
      </c>
      <c r="T62">
        <v>-0.35603089999999998</v>
      </c>
      <c r="U62">
        <v>0.1114807</v>
      </c>
      <c r="V62">
        <v>-4.6126550000000002E-2</v>
      </c>
      <c r="W62">
        <v>0.2664725</v>
      </c>
      <c r="X62">
        <v>0.96273819999999999</v>
      </c>
      <c r="Y62">
        <v>-3.089188E-2</v>
      </c>
      <c r="Z62">
        <v>1.2413669999999999E-3</v>
      </c>
      <c r="AA62">
        <v>0.99952200000000002</v>
      </c>
      <c r="AB62">
        <v>17</v>
      </c>
      <c r="AC62">
        <v>0.54669999999998697</v>
      </c>
      <c r="AD62">
        <v>-8.1137000000000001E-2</v>
      </c>
      <c r="AE62">
        <v>2.4299999999982402E-2</v>
      </c>
      <c r="AF62">
        <v>-2.1834006809610201E-2</v>
      </c>
      <c r="AG62">
        <v>-8.1137000000000001E-2</v>
      </c>
      <c r="AH62">
        <v>0.53502336214244295</v>
      </c>
      <c r="AI62">
        <v>98.616210904413805</v>
      </c>
      <c r="AJ62">
        <v>92.336912268318699</v>
      </c>
      <c r="AK62">
        <v>0.54158095854688804</v>
      </c>
      <c r="AL62">
        <v>74.545533379410301</v>
      </c>
      <c r="AM62">
        <v>92.743048063411294</v>
      </c>
      <c r="AN62">
        <v>1.0000000468051899</v>
      </c>
    </row>
    <row r="63" spans="1:40" x14ac:dyDescent="0.25">
      <c r="A63" t="str">
        <f>"20190304164825890"</f>
        <v>20190304164825890</v>
      </c>
      <c r="B63" t="str">
        <f>"1551689305886940"</f>
        <v>1551689305886940</v>
      </c>
      <c r="C63" t="s">
        <v>40</v>
      </c>
      <c r="D63">
        <v>5.0996610000000002</v>
      </c>
      <c r="E63">
        <v>0.52072529999999995</v>
      </c>
      <c r="F63" t="s">
        <v>41</v>
      </c>
      <c r="G63">
        <v>-470.00819999999999</v>
      </c>
      <c r="H63">
        <v>1.0129189999999999</v>
      </c>
      <c r="I63">
        <v>367.26909999999998</v>
      </c>
      <c r="J63">
        <v>-470.75560000000002</v>
      </c>
      <c r="K63">
        <v>1.1082449999999999</v>
      </c>
      <c r="L63">
        <v>367.23930000000001</v>
      </c>
      <c r="M63">
        <v>0.99998810000000005</v>
      </c>
      <c r="N63">
        <v>3.3128620000000002E-3</v>
      </c>
      <c r="O63">
        <v>3.5687750000000002E-3</v>
      </c>
      <c r="P63">
        <v>0.96153149999999998</v>
      </c>
      <c r="Q63">
        <v>0.27021529999999999</v>
      </c>
      <c r="R63">
        <v>4.9406239999999997E-2</v>
      </c>
      <c r="S63">
        <v>3.213104</v>
      </c>
      <c r="T63">
        <v>-0.3545334</v>
      </c>
      <c r="U63">
        <v>0.1135559</v>
      </c>
      <c r="V63">
        <v>-4.5921709999999998E-2</v>
      </c>
      <c r="W63">
        <v>0.26703729999999998</v>
      </c>
      <c r="X63">
        <v>0.96259139999999999</v>
      </c>
      <c r="Y63">
        <v>-3.1589909999999999E-2</v>
      </c>
      <c r="Z63">
        <v>1.280266E-3</v>
      </c>
      <c r="AA63">
        <v>0.9995001</v>
      </c>
      <c r="AB63">
        <v>18</v>
      </c>
      <c r="AC63">
        <v>0.74740000000002704</v>
      </c>
      <c r="AD63">
        <v>-9.5325999999999994E-2</v>
      </c>
      <c r="AE63">
        <v>2.9799999999966E-2</v>
      </c>
      <c r="AF63">
        <v>-2.6698862908473901E-2</v>
      </c>
      <c r="AG63">
        <v>-9.5325999999999994E-2</v>
      </c>
      <c r="AH63">
        <v>0.73555505794591602</v>
      </c>
      <c r="AI63">
        <v>97.379419245451004</v>
      </c>
      <c r="AJ63">
        <v>92.0787850781836</v>
      </c>
      <c r="AK63">
        <v>0.74218671426159699</v>
      </c>
      <c r="AL63">
        <v>74.511954701424898</v>
      </c>
      <c r="AM63">
        <v>92.731300987663204</v>
      </c>
      <c r="AN63">
        <v>0.99999996319728601</v>
      </c>
    </row>
    <row r="64" spans="1:40" x14ac:dyDescent="0.25">
      <c r="A64" t="str">
        <f>"20190304164825909"</f>
        <v>20190304164825909</v>
      </c>
      <c r="B64" t="str">
        <f>"1551689305896700"</f>
        <v>1551689305896700</v>
      </c>
      <c r="C64" t="s">
        <v>40</v>
      </c>
      <c r="D64">
        <v>5.1136759999999999</v>
      </c>
      <c r="E64">
        <v>0.52075070000000001</v>
      </c>
      <c r="F64" t="s">
        <v>41</v>
      </c>
      <c r="G64">
        <v>-470.00259999999997</v>
      </c>
      <c r="H64">
        <v>1.025307</v>
      </c>
      <c r="I64">
        <v>367.2654</v>
      </c>
      <c r="J64">
        <v>-470.60789999999997</v>
      </c>
      <c r="K64">
        <v>1.1082510000000001</v>
      </c>
      <c r="L64">
        <v>367.23970000000003</v>
      </c>
      <c r="M64">
        <v>0.99998849999999995</v>
      </c>
      <c r="N64">
        <v>3.2973849999999999E-3</v>
      </c>
      <c r="O64">
        <v>3.491535E-3</v>
      </c>
      <c r="P64">
        <v>0.96127859999999998</v>
      </c>
      <c r="Q64">
        <v>0.27105400000000002</v>
      </c>
      <c r="R64">
        <v>4.9732499999999999E-2</v>
      </c>
      <c r="S64">
        <v>3.2137449999999999</v>
      </c>
      <c r="T64">
        <v>-0.35425669999999998</v>
      </c>
      <c r="U64">
        <v>0.1132813</v>
      </c>
      <c r="V64">
        <v>-4.6326159999999998E-2</v>
      </c>
      <c r="W64">
        <v>0.26789049999999998</v>
      </c>
      <c r="X64">
        <v>0.96233500000000005</v>
      </c>
      <c r="Y64">
        <v>-3.1574650000000003E-2</v>
      </c>
      <c r="Z64">
        <v>1.2871860000000001E-3</v>
      </c>
      <c r="AA64">
        <v>0.99950059999999996</v>
      </c>
      <c r="AB64">
        <v>18</v>
      </c>
      <c r="AC64">
        <v>0.60529999999999895</v>
      </c>
      <c r="AD64">
        <v>-8.2944000000000101E-2</v>
      </c>
      <c r="AE64">
        <v>2.5699999999971999E-2</v>
      </c>
      <c r="AF64">
        <v>-2.3152452086876201E-2</v>
      </c>
      <c r="AG64">
        <v>-8.2944000000000101E-2</v>
      </c>
      <c r="AH64">
        <v>0.59424786837873</v>
      </c>
      <c r="AI64">
        <v>97.939954668478094</v>
      </c>
      <c r="AJ64">
        <v>92.231168613654503</v>
      </c>
      <c r="AK64">
        <v>0.60045505430989599</v>
      </c>
      <c r="AL64">
        <v>74.461222890894902</v>
      </c>
      <c r="AM64">
        <v>92.756052670364795</v>
      </c>
      <c r="AN64">
        <v>1.00000004265779</v>
      </c>
    </row>
    <row r="65" spans="1:40" x14ac:dyDescent="0.25">
      <c r="A65" t="str">
        <f>"20190304164825936"</f>
        <v>20190304164825936</v>
      </c>
      <c r="B65" t="str">
        <f>"1551689305926956"</f>
        <v>1551689305926956</v>
      </c>
      <c r="C65" t="s">
        <v>40</v>
      </c>
      <c r="D65">
        <v>5.0392989999999998</v>
      </c>
      <c r="E65">
        <v>0.52081659999999996</v>
      </c>
      <c r="F65" t="s">
        <v>41</v>
      </c>
      <c r="G65">
        <v>-469.83780000000002</v>
      </c>
      <c r="H65">
        <v>1.0237810000000001</v>
      </c>
      <c r="I65">
        <v>367.26749999999998</v>
      </c>
      <c r="J65">
        <v>-470.38749999999999</v>
      </c>
      <c r="K65">
        <v>1.1082700000000001</v>
      </c>
      <c r="L65">
        <v>367.24040000000002</v>
      </c>
      <c r="M65">
        <v>0.99998909999999996</v>
      </c>
      <c r="N65">
        <v>3.2691349999999998E-3</v>
      </c>
      <c r="O65">
        <v>3.3845590000000001E-3</v>
      </c>
      <c r="P65">
        <v>0.96116380000000001</v>
      </c>
      <c r="Q65">
        <v>0.2713816</v>
      </c>
      <c r="R65">
        <v>5.0168520000000001E-2</v>
      </c>
      <c r="S65">
        <v>3.2142330000000001</v>
      </c>
      <c r="T65">
        <v>-0.35250569999999998</v>
      </c>
      <c r="U65">
        <v>0.1156311</v>
      </c>
      <c r="V65">
        <v>-4.6870639999999998E-2</v>
      </c>
      <c r="W65">
        <v>0.26824520000000002</v>
      </c>
      <c r="X65">
        <v>0.9622098</v>
      </c>
      <c r="Y65">
        <v>-3.2402149999999998E-2</v>
      </c>
      <c r="Z65">
        <v>1.3367850000000001E-3</v>
      </c>
      <c r="AA65">
        <v>0.99947399999999997</v>
      </c>
      <c r="AB65">
        <v>18</v>
      </c>
      <c r="AC65">
        <v>0.54969999999997299</v>
      </c>
      <c r="AD65">
        <v>-8.4488999999999995E-2</v>
      </c>
      <c r="AE65">
        <v>2.70999999999617E-2</v>
      </c>
      <c r="AF65">
        <v>-2.4658235402559601E-2</v>
      </c>
      <c r="AG65">
        <v>-8.4488999999999995E-2</v>
      </c>
      <c r="AH65">
        <v>0.53713030594690003</v>
      </c>
      <c r="AI65">
        <v>98.929957158765205</v>
      </c>
      <c r="AJ65">
        <v>92.628452652794607</v>
      </c>
      <c r="AK65">
        <v>0.54429347346884305</v>
      </c>
      <c r="AL65">
        <v>74.440127672576807</v>
      </c>
      <c r="AM65">
        <v>92.788756490736105</v>
      </c>
      <c r="AN65">
        <v>1.0000000217165399</v>
      </c>
    </row>
    <row r="66" spans="1:40" x14ac:dyDescent="0.25">
      <c r="A66" t="str">
        <f>"20190304164825956"</f>
        <v>20190304164825956</v>
      </c>
      <c r="B66" t="str">
        <f>"1551689305946476"</f>
        <v>1551689305946476</v>
      </c>
      <c r="C66" t="s">
        <v>40</v>
      </c>
      <c r="D66">
        <v>5.0600319999999996</v>
      </c>
      <c r="E66">
        <v>0.52088020000000002</v>
      </c>
      <c r="F66" t="s">
        <v>41</v>
      </c>
      <c r="G66">
        <v>-469.5061</v>
      </c>
      <c r="H66">
        <v>1.011296</v>
      </c>
      <c r="I66">
        <v>367.27249999999998</v>
      </c>
      <c r="J66">
        <v>-470.21539999999999</v>
      </c>
      <c r="K66">
        <v>1.1082890000000001</v>
      </c>
      <c r="L66">
        <v>367.24079999999998</v>
      </c>
      <c r="M66">
        <v>0.99998940000000003</v>
      </c>
      <c r="N66">
        <v>3.241042E-3</v>
      </c>
      <c r="O66">
        <v>3.3129879999999998E-3</v>
      </c>
      <c r="P66">
        <v>0.96106480000000005</v>
      </c>
      <c r="Q66">
        <v>0.27162910000000001</v>
      </c>
      <c r="R66">
        <v>5.0718699999999999E-2</v>
      </c>
      <c r="S66">
        <v>3.2150270000000001</v>
      </c>
      <c r="T66">
        <v>-0.3537669</v>
      </c>
      <c r="U66">
        <v>0.117218</v>
      </c>
      <c r="V66">
        <v>-4.7494519999999998E-2</v>
      </c>
      <c r="W66">
        <v>0.26851940000000002</v>
      </c>
      <c r="X66">
        <v>0.96210269999999998</v>
      </c>
      <c r="Y66">
        <v>-3.2952639999999998E-2</v>
      </c>
      <c r="Z66">
        <v>1.3793309999999999E-3</v>
      </c>
      <c r="AA66">
        <v>0.99945600000000001</v>
      </c>
      <c r="AB66">
        <v>19</v>
      </c>
      <c r="AC66">
        <v>0.70929999999998405</v>
      </c>
      <c r="AD66">
        <v>-9.6992999999999802E-2</v>
      </c>
      <c r="AE66">
        <v>3.17000000000007E-2</v>
      </c>
      <c r="AF66">
        <v>-2.8812222758542502E-2</v>
      </c>
      <c r="AG66">
        <v>-9.6992999999999802E-2</v>
      </c>
      <c r="AH66">
        <v>0.69640493743093501</v>
      </c>
      <c r="AI66">
        <v>97.922271216131193</v>
      </c>
      <c r="AJ66">
        <v>92.369135732733298</v>
      </c>
      <c r="AK66">
        <v>0.70371700498671497</v>
      </c>
      <c r="AL66">
        <v>74.423818516297302</v>
      </c>
      <c r="AM66">
        <v>92.826131015031294</v>
      </c>
      <c r="AN66">
        <v>1.00000000147684</v>
      </c>
    </row>
    <row r="67" spans="1:40" x14ac:dyDescent="0.25">
      <c r="A67" t="str">
        <f>"20190304164825978"</f>
        <v>20190304164825978</v>
      </c>
      <c r="B67" t="str">
        <f>"1551689305966976"</f>
        <v>1551689305966976</v>
      </c>
      <c r="C67" t="s">
        <v>40</v>
      </c>
      <c r="D67">
        <v>5.0482959999999997</v>
      </c>
      <c r="E67">
        <v>0.52094629999999997</v>
      </c>
      <c r="F67" t="s">
        <v>41</v>
      </c>
      <c r="G67">
        <v>-469.33420000000001</v>
      </c>
      <c r="H67">
        <v>1.011315</v>
      </c>
      <c r="I67">
        <v>367.27269999999999</v>
      </c>
      <c r="J67">
        <v>-470.02339999999998</v>
      </c>
      <c r="K67">
        <v>1.108304</v>
      </c>
      <c r="L67">
        <v>367.2414</v>
      </c>
      <c r="M67">
        <v>0.99998969999999998</v>
      </c>
      <c r="N67">
        <v>3.203689E-3</v>
      </c>
      <c r="O67">
        <v>3.2443469999999999E-3</v>
      </c>
      <c r="P67">
        <v>0.96092929999999999</v>
      </c>
      <c r="Q67">
        <v>0.27207559999999997</v>
      </c>
      <c r="R67">
        <v>5.0890369999999997E-2</v>
      </c>
      <c r="S67">
        <v>3.2153930000000002</v>
      </c>
      <c r="T67">
        <v>-0.35400870000000001</v>
      </c>
      <c r="U67">
        <v>0.11801150000000001</v>
      </c>
      <c r="V67">
        <v>-4.7739259999999999E-2</v>
      </c>
      <c r="W67">
        <v>0.2690012</v>
      </c>
      <c r="X67">
        <v>0.96195600000000003</v>
      </c>
      <c r="Y67">
        <v>-3.3260890000000001E-2</v>
      </c>
      <c r="Z67">
        <v>1.4050499999999999E-3</v>
      </c>
      <c r="AA67">
        <v>0.99944569999999999</v>
      </c>
      <c r="AB67">
        <v>19</v>
      </c>
      <c r="AC67">
        <v>0.68919999999997095</v>
      </c>
      <c r="AD67">
        <v>-9.69890000000002E-2</v>
      </c>
      <c r="AE67">
        <v>3.12999999999874E-2</v>
      </c>
      <c r="AF67">
        <v>-2.85005548515486E-2</v>
      </c>
      <c r="AG67">
        <v>-9.69890000000002E-2</v>
      </c>
      <c r="AH67">
        <v>0.675939129121224</v>
      </c>
      <c r="AI67">
        <v>98.158357819106996</v>
      </c>
      <c r="AJ67">
        <v>92.414410936383206</v>
      </c>
      <c r="AK67">
        <v>0.68345654874688599</v>
      </c>
      <c r="AL67">
        <v>74.395159144523006</v>
      </c>
      <c r="AM67">
        <v>92.841102817499603</v>
      </c>
      <c r="AN67">
        <v>1.0000000142413901</v>
      </c>
    </row>
    <row r="68" spans="1:40" x14ac:dyDescent="0.25">
      <c r="A68" t="str">
        <f>"20190304164825998"</f>
        <v>20190304164825998</v>
      </c>
      <c r="B68" t="str">
        <f>"1551689305986499"</f>
        <v>1551689305986499</v>
      </c>
      <c r="C68" t="s">
        <v>40</v>
      </c>
      <c r="D68">
        <v>5.0484660000000003</v>
      </c>
      <c r="E68">
        <v>0.52103169999999999</v>
      </c>
      <c r="F68" t="s">
        <v>41</v>
      </c>
      <c r="G68">
        <v>-469.15910000000002</v>
      </c>
      <c r="H68">
        <v>1.0133970000000001</v>
      </c>
      <c r="I68">
        <v>367.27280000000002</v>
      </c>
      <c r="J68">
        <v>-469.8476</v>
      </c>
      <c r="K68">
        <v>1.108312</v>
      </c>
      <c r="L68">
        <v>367.24189999999999</v>
      </c>
      <c r="M68">
        <v>0.99998989999999999</v>
      </c>
      <c r="N68">
        <v>3.1648100000000001E-3</v>
      </c>
      <c r="O68">
        <v>3.19323E-3</v>
      </c>
      <c r="P68">
        <v>0.96080920000000003</v>
      </c>
      <c r="Q68">
        <v>0.27252920000000003</v>
      </c>
      <c r="R68">
        <v>5.0728250000000003E-2</v>
      </c>
      <c r="S68">
        <v>3.2157589999999998</v>
      </c>
      <c r="T68">
        <v>-0.35318480000000002</v>
      </c>
      <c r="U68">
        <v>0.11752319999999999</v>
      </c>
      <c r="V68">
        <v>-4.7632479999999998E-2</v>
      </c>
      <c r="W68">
        <v>0.26949119999999999</v>
      </c>
      <c r="X68">
        <v>0.96182409999999996</v>
      </c>
      <c r="Y68">
        <v>-3.3157300000000001E-2</v>
      </c>
      <c r="Z68">
        <v>1.4025159999999999E-3</v>
      </c>
      <c r="AA68">
        <v>0.99944909999999998</v>
      </c>
      <c r="AB68">
        <v>19</v>
      </c>
      <c r="AC68">
        <v>0.68849999999997602</v>
      </c>
      <c r="AD68">
        <v>-9.4915000000000305E-2</v>
      </c>
      <c r="AE68">
        <v>3.0900000000031E-2</v>
      </c>
      <c r="AF68">
        <v>-2.8167061143811199E-2</v>
      </c>
      <c r="AG68">
        <v>-9.4915000000000305E-2</v>
      </c>
      <c r="AH68">
        <v>0.67577799611647404</v>
      </c>
      <c r="AI68">
        <v>97.988214653620304</v>
      </c>
      <c r="AJ68">
        <v>92.386760332599906</v>
      </c>
      <c r="AK68">
        <v>0.682992050168724</v>
      </c>
      <c r="AL68">
        <v>74.366007135550205</v>
      </c>
      <c r="AM68">
        <v>92.835146515838602</v>
      </c>
      <c r="AN68">
        <v>0.99999997968459997</v>
      </c>
    </row>
    <row r="69" spans="1:40" x14ac:dyDescent="0.25">
      <c r="A69" t="str">
        <f>"20190304164826022"</f>
        <v>20190304164826022</v>
      </c>
      <c r="B69" t="str">
        <f>"1551689306016752"</f>
        <v>1551689306016752</v>
      </c>
      <c r="C69" t="s">
        <v>40</v>
      </c>
      <c r="D69">
        <v>5.044708</v>
      </c>
      <c r="E69">
        <v>0.52117990000000003</v>
      </c>
      <c r="F69" t="s">
        <v>41</v>
      </c>
      <c r="G69">
        <v>-468.9828</v>
      </c>
      <c r="H69">
        <v>1.0136130000000001</v>
      </c>
      <c r="I69">
        <v>367.27269999999999</v>
      </c>
      <c r="J69">
        <v>-469.63479999999998</v>
      </c>
      <c r="K69">
        <v>1.1083289999999999</v>
      </c>
      <c r="L69">
        <v>367.24250000000001</v>
      </c>
      <c r="M69">
        <v>0.9999903</v>
      </c>
      <c r="N69">
        <v>3.1128319999999998E-3</v>
      </c>
      <c r="O69">
        <v>3.1489790000000001E-3</v>
      </c>
      <c r="P69">
        <v>0.96075140000000003</v>
      </c>
      <c r="Q69">
        <v>0.27271879999999998</v>
      </c>
      <c r="R69">
        <v>5.0809130000000001E-2</v>
      </c>
      <c r="S69">
        <v>3.2161870000000001</v>
      </c>
      <c r="T69">
        <v>-0.35241</v>
      </c>
      <c r="U69">
        <v>0.11633300000000001</v>
      </c>
      <c r="V69">
        <v>-4.7764010000000003E-2</v>
      </c>
      <c r="W69">
        <v>0.26973000000000003</v>
      </c>
      <c r="X69">
        <v>0.96175069999999996</v>
      </c>
      <c r="Y69">
        <v>-3.2829629999999999E-2</v>
      </c>
      <c r="Z69">
        <v>1.3877570000000001E-3</v>
      </c>
      <c r="AA69">
        <v>0.99946000000000002</v>
      </c>
      <c r="AB69">
        <v>19</v>
      </c>
      <c r="AC69">
        <v>0.65199999999998604</v>
      </c>
      <c r="AD69">
        <v>-9.4716000000000203E-2</v>
      </c>
      <c r="AE69">
        <v>3.0199999999979299E-2</v>
      </c>
      <c r="AF69">
        <v>-2.7566212082035298E-2</v>
      </c>
      <c r="AG69">
        <v>-9.4716000000000203E-2</v>
      </c>
      <c r="AH69">
        <v>0.63864320604518698</v>
      </c>
      <c r="AI69">
        <v>98.428205233292005</v>
      </c>
      <c r="AJ69">
        <v>92.471564418345906</v>
      </c>
      <c r="AK69">
        <v>0.64621680675468895</v>
      </c>
      <c r="AL69">
        <v>74.35179974687</v>
      </c>
      <c r="AM69">
        <v>92.843179141196302</v>
      </c>
      <c r="AN69">
        <v>1.00000004125088</v>
      </c>
    </row>
    <row r="70" spans="1:40" x14ac:dyDescent="0.25">
      <c r="A70" t="str">
        <f>"20190304164826044"</f>
        <v>20190304164826044</v>
      </c>
      <c r="B70" t="str">
        <f>"1551689306036272"</f>
        <v>1551689306036272</v>
      </c>
      <c r="C70" t="s">
        <v>40</v>
      </c>
      <c r="D70">
        <v>5.0480219999999996</v>
      </c>
      <c r="E70">
        <v>0.52130200000000004</v>
      </c>
      <c r="F70" t="s">
        <v>41</v>
      </c>
      <c r="G70">
        <v>-468.80279999999999</v>
      </c>
      <c r="H70">
        <v>1.0169170000000001</v>
      </c>
      <c r="I70">
        <v>367.27260000000001</v>
      </c>
      <c r="J70">
        <v>-469.4357</v>
      </c>
      <c r="K70">
        <v>1.1083459999999901</v>
      </c>
      <c r="L70">
        <v>367.24310000000003</v>
      </c>
      <c r="M70">
        <v>0.99999059999999995</v>
      </c>
      <c r="N70">
        <v>3.0610630000000002E-3</v>
      </c>
      <c r="O70">
        <v>3.123804E-3</v>
      </c>
      <c r="P70">
        <v>0.9607424</v>
      </c>
      <c r="Q70">
        <v>0.27276009999999901</v>
      </c>
      <c r="R70">
        <v>5.0759459999999999E-2</v>
      </c>
      <c r="S70">
        <v>3.2167050000000001</v>
      </c>
      <c r="T70">
        <v>-0.35330440000000002</v>
      </c>
      <c r="U70">
        <v>0.1156006</v>
      </c>
      <c r="V70">
        <v>-4.7745799999999998E-2</v>
      </c>
      <c r="W70">
        <v>0.26981949999999999</v>
      </c>
      <c r="X70">
        <v>0.96172639999999998</v>
      </c>
      <c r="Y70">
        <v>-3.2621810000000001E-2</v>
      </c>
      <c r="Z70">
        <v>1.383977E-3</v>
      </c>
      <c r="AA70">
        <v>0.99946679999999999</v>
      </c>
      <c r="AB70">
        <v>20</v>
      </c>
      <c r="AC70">
        <v>0.63290000000000601</v>
      </c>
      <c r="AD70">
        <v>-9.1428999999999705E-2</v>
      </c>
      <c r="AE70">
        <v>2.94999999999845E-2</v>
      </c>
      <c r="AF70">
        <v>-2.6961359750367099E-2</v>
      </c>
      <c r="AG70">
        <v>-9.1428999999999705E-2</v>
      </c>
      <c r="AH70">
        <v>0.62007684949136299</v>
      </c>
      <c r="AI70">
        <v>98.379897732244402</v>
      </c>
      <c r="AJ70">
        <v>92.489690960440399</v>
      </c>
      <c r="AK70">
        <v>0.62736072257969999</v>
      </c>
      <c r="AL70">
        <v>74.346472801058496</v>
      </c>
      <c r="AM70">
        <v>92.842168652115404</v>
      </c>
      <c r="AN70">
        <v>0.99999994622742305</v>
      </c>
    </row>
    <row r="71" spans="1:40" x14ac:dyDescent="0.25">
      <c r="A71" t="str">
        <f>"20190304164826068"</f>
        <v>20190304164826068</v>
      </c>
      <c r="B71" t="str">
        <f>"1551689306056771"</f>
        <v>1551689306056771</v>
      </c>
      <c r="C71" t="s">
        <v>40</v>
      </c>
      <c r="D71">
        <v>5.0455990000000002</v>
      </c>
      <c r="E71">
        <v>0.52143530000000005</v>
      </c>
      <c r="F71" t="s">
        <v>41</v>
      </c>
      <c r="G71">
        <v>-468.62150000000003</v>
      </c>
      <c r="H71">
        <v>1.0187630000000001</v>
      </c>
      <c r="I71">
        <v>367.27179999999998</v>
      </c>
      <c r="J71">
        <v>-469.22340000000003</v>
      </c>
      <c r="K71">
        <v>1.1083559999999999</v>
      </c>
      <c r="L71">
        <v>367.24369999999999</v>
      </c>
      <c r="M71">
        <v>0.99999059999999995</v>
      </c>
      <c r="N71">
        <v>3.0037750000000002E-3</v>
      </c>
      <c r="O71">
        <v>3.1115159999999999E-3</v>
      </c>
      <c r="P71">
        <v>0.96074800000000005</v>
      </c>
      <c r="Q71">
        <v>0.27259280000000002</v>
      </c>
      <c r="R71">
        <v>5.1542129999999999E-2</v>
      </c>
      <c r="S71">
        <v>3.217133</v>
      </c>
      <c r="T71">
        <v>-0.35417320000000002</v>
      </c>
      <c r="U71">
        <v>0.1145325</v>
      </c>
      <c r="V71">
        <v>-4.8547159999999999E-2</v>
      </c>
      <c r="W71">
        <v>0.269706099999999</v>
      </c>
      <c r="X71">
        <v>0.96171810000000002</v>
      </c>
      <c r="Y71">
        <v>-3.2298809999999997E-2</v>
      </c>
      <c r="Z71">
        <v>1.372589E-3</v>
      </c>
      <c r="AA71">
        <v>0.99947730000000001</v>
      </c>
      <c r="AB71">
        <v>20</v>
      </c>
      <c r="AC71">
        <v>0.60189999999999999</v>
      </c>
      <c r="AD71">
        <v>-8.9593000000000006E-2</v>
      </c>
      <c r="AE71">
        <v>2.80999999999949E-2</v>
      </c>
      <c r="AF71">
        <v>-2.5659742507597401E-2</v>
      </c>
      <c r="AG71">
        <v>-8.9593000000000006E-2</v>
      </c>
      <c r="AH71">
        <v>0.58896357902331997</v>
      </c>
      <c r="AI71">
        <v>98.641435903356495</v>
      </c>
      <c r="AJ71">
        <v>92.494663250099606</v>
      </c>
      <c r="AK71">
        <v>0.59629139307096701</v>
      </c>
      <c r="AL71">
        <v>74.353220442671301</v>
      </c>
      <c r="AM71">
        <v>92.889815989232304</v>
      </c>
      <c r="AN71">
        <v>0.99999995549444098</v>
      </c>
    </row>
    <row r="72" spans="1:40" x14ac:dyDescent="0.25">
      <c r="A72" t="str">
        <f>"20190304164826088"</f>
        <v>20190304164826088</v>
      </c>
      <c r="B72" t="str">
        <f>"1551689306076287"</f>
        <v>1551689306076287</v>
      </c>
      <c r="C72" t="s">
        <v>40</v>
      </c>
      <c r="D72">
        <v>5.055485</v>
      </c>
      <c r="E72">
        <v>0.52155099999999999</v>
      </c>
      <c r="F72" t="s">
        <v>41</v>
      </c>
      <c r="G72">
        <v>-468.43759999999997</v>
      </c>
      <c r="H72">
        <v>1.021468</v>
      </c>
      <c r="I72">
        <v>367.27179999999998</v>
      </c>
      <c r="J72">
        <v>-469.03960000000001</v>
      </c>
      <c r="K72">
        <v>1.1083670000000001</v>
      </c>
      <c r="L72">
        <v>367.24430000000001</v>
      </c>
      <c r="M72">
        <v>0.99999090000000002</v>
      </c>
      <c r="N72">
        <v>2.953036E-3</v>
      </c>
      <c r="O72">
        <v>3.1094249999999999E-3</v>
      </c>
      <c r="P72">
        <v>0.96073059999999999</v>
      </c>
      <c r="Q72">
        <v>0.27249810000000002</v>
      </c>
      <c r="R72">
        <v>5.2363989999999999E-2</v>
      </c>
      <c r="S72">
        <v>3.217285</v>
      </c>
      <c r="T72">
        <v>-0.35573460000000001</v>
      </c>
      <c r="U72">
        <v>0.1156616</v>
      </c>
      <c r="V72">
        <v>-4.9374170000000002E-2</v>
      </c>
      <c r="W72">
        <v>0.2696597</v>
      </c>
      <c r="X72">
        <v>0.96168909999999996</v>
      </c>
      <c r="Y72">
        <v>-3.2645859999999999E-2</v>
      </c>
      <c r="Z72">
        <v>1.398605E-3</v>
      </c>
      <c r="AA72">
        <v>0.99946599999999997</v>
      </c>
      <c r="AB72">
        <v>20</v>
      </c>
      <c r="AC72">
        <v>0.60200000000003195</v>
      </c>
      <c r="AD72">
        <v>-8.6899000000000004E-2</v>
      </c>
      <c r="AE72">
        <v>2.7499999999974899E-2</v>
      </c>
      <c r="AF72">
        <v>-2.5105940455733899E-2</v>
      </c>
      <c r="AG72">
        <v>-8.6899000000000004E-2</v>
      </c>
      <c r="AH72">
        <v>0.58981811315756505</v>
      </c>
      <c r="AI72">
        <v>98.373723451594103</v>
      </c>
      <c r="AJ72">
        <v>92.437355839503297</v>
      </c>
      <c r="AK72">
        <v>0.59671362566637998</v>
      </c>
      <c r="AL72">
        <v>74.355982673649507</v>
      </c>
      <c r="AM72">
        <v>92.9390474329672</v>
      </c>
      <c r="AN72">
        <v>1.0000000437630401</v>
      </c>
    </row>
    <row r="73" spans="1:40" x14ac:dyDescent="0.25">
      <c r="A73" t="str">
        <f>"20190304164826101"</f>
        <v>20190304164826101</v>
      </c>
      <c r="B73" t="str">
        <f>"1551689306096784"</f>
        <v>1551689306096784</v>
      </c>
      <c r="C73" t="s">
        <v>40</v>
      </c>
      <c r="D73">
        <v>5.0899179999999999</v>
      </c>
      <c r="E73">
        <v>0.52160419999999996</v>
      </c>
      <c r="F73" t="s">
        <v>41</v>
      </c>
      <c r="G73">
        <v>-468.25290000000001</v>
      </c>
      <c r="H73">
        <v>1.0211410000000001</v>
      </c>
      <c r="I73">
        <v>367.27280000000002</v>
      </c>
      <c r="J73">
        <v>-468.91210000000001</v>
      </c>
      <c r="K73">
        <v>1.108371</v>
      </c>
      <c r="L73">
        <v>367.24470000000002</v>
      </c>
      <c r="M73">
        <v>0.99999090000000002</v>
      </c>
      <c r="N73">
        <v>2.9175709999999999E-3</v>
      </c>
      <c r="O73">
        <v>3.110958E-3</v>
      </c>
      <c r="P73">
        <v>0.96059470000000002</v>
      </c>
      <c r="Q73">
        <v>0.27292620000000001</v>
      </c>
      <c r="R73">
        <v>5.2625619999999998E-2</v>
      </c>
      <c r="S73">
        <v>3.2174070000000001</v>
      </c>
      <c r="T73">
        <v>-0.3569484</v>
      </c>
      <c r="U73">
        <v>0.11788940000000001</v>
      </c>
      <c r="V73">
        <v>-4.9636670000000001E-2</v>
      </c>
      <c r="W73">
        <v>0.27012209999999998</v>
      </c>
      <c r="X73">
        <v>0.96154580000000001</v>
      </c>
      <c r="Y73">
        <v>-3.3328780000000002E-2</v>
      </c>
      <c r="Z73">
        <v>1.44074E-3</v>
      </c>
      <c r="AA73">
        <v>0.99944339999999998</v>
      </c>
      <c r="AB73">
        <v>20</v>
      </c>
      <c r="AC73">
        <v>0.65919999999999801</v>
      </c>
      <c r="AD73">
        <v>-8.7229999999999905E-2</v>
      </c>
      <c r="AE73">
        <v>2.80999999999949E-2</v>
      </c>
      <c r="AF73">
        <v>-2.5601628807342999E-2</v>
      </c>
      <c r="AG73">
        <v>-8.7229999999999905E-2</v>
      </c>
      <c r="AH73">
        <v>0.64795875737493402</v>
      </c>
      <c r="AI73">
        <v>97.661312883788</v>
      </c>
      <c r="AJ73">
        <v>92.262648126770898</v>
      </c>
      <c r="AK73">
        <v>0.65430502638789001</v>
      </c>
      <c r="AL73">
        <v>74.328467950561006</v>
      </c>
      <c r="AM73">
        <v>92.955084949832496</v>
      </c>
      <c r="AN73">
        <v>1.00000003670736</v>
      </c>
    </row>
    <row r="74" spans="1:40" x14ac:dyDescent="0.25">
      <c r="A74" t="str">
        <f>"20190304164826124"</f>
        <v>20190304164826124</v>
      </c>
      <c r="B74" t="str">
        <f>"1551689306116303"</f>
        <v>1551689306116303</v>
      </c>
      <c r="C74" t="s">
        <v>40</v>
      </c>
      <c r="D74">
        <v>5.0136240000000001</v>
      </c>
      <c r="E74">
        <v>0.52180020000000005</v>
      </c>
      <c r="F74" t="s">
        <v>41</v>
      </c>
      <c r="G74">
        <v>-468.0686</v>
      </c>
      <c r="H74">
        <v>1.0150870000000001</v>
      </c>
      <c r="I74">
        <v>367.27569999999997</v>
      </c>
      <c r="J74">
        <v>-468.70499999999998</v>
      </c>
      <c r="K74">
        <v>1.1083769999999999</v>
      </c>
      <c r="L74">
        <v>367.24540000000002</v>
      </c>
      <c r="M74">
        <v>0.99999110000000002</v>
      </c>
      <c r="N74">
        <v>2.8597660000000001E-3</v>
      </c>
      <c r="O74">
        <v>3.1169349999999999E-3</v>
      </c>
      <c r="P74">
        <v>0.96045539999999996</v>
      </c>
      <c r="Q74">
        <v>0.27331680000000003</v>
      </c>
      <c r="R74">
        <v>5.3135599999999998E-2</v>
      </c>
      <c r="S74">
        <v>3.2177120000000001</v>
      </c>
      <c r="T74">
        <v>-0.35594199999999998</v>
      </c>
      <c r="U74">
        <v>0.1184998</v>
      </c>
      <c r="V74">
        <v>-5.014275E-2</v>
      </c>
      <c r="W74">
        <v>0.27056829999999998</v>
      </c>
      <c r="X74">
        <v>0.96139399999999997</v>
      </c>
      <c r="Y74">
        <v>-3.3508549999999998E-2</v>
      </c>
      <c r="Z74">
        <v>1.4465159999999999E-3</v>
      </c>
      <c r="AA74">
        <v>0.99943740000000003</v>
      </c>
      <c r="AB74">
        <v>21</v>
      </c>
      <c r="AC74">
        <v>0.63639999999997998</v>
      </c>
      <c r="AD74">
        <v>-9.3289999999999804E-2</v>
      </c>
      <c r="AE74">
        <v>3.02999999999542E-2</v>
      </c>
      <c r="AF74">
        <v>-2.77218681897149E-2</v>
      </c>
      <c r="AG74">
        <v>-9.3289999999999804E-2</v>
      </c>
      <c r="AH74">
        <v>0.62313136358901899</v>
      </c>
      <c r="AI74">
        <v>98.506314678540903</v>
      </c>
      <c r="AJ74">
        <v>92.547295012670403</v>
      </c>
      <c r="AK74">
        <v>0.63068551780125603</v>
      </c>
      <c r="AL74">
        <v>74.301912582874905</v>
      </c>
      <c r="AM74">
        <v>92.985630345334599</v>
      </c>
      <c r="AN74">
        <v>0.99999996178922501</v>
      </c>
    </row>
    <row r="75" spans="1:40" x14ac:dyDescent="0.25">
      <c r="A75" t="str">
        <f>"20190304164826146"</f>
        <v>20190304164826146</v>
      </c>
      <c r="B75" t="str">
        <f>"1551689306136800"</f>
        <v>1551689306136800</v>
      </c>
      <c r="C75" t="s">
        <v>40</v>
      </c>
      <c r="D75">
        <v>5.1323800000000004</v>
      </c>
      <c r="E75">
        <v>0.52185369999999998</v>
      </c>
      <c r="F75" t="s">
        <v>41</v>
      </c>
      <c r="G75">
        <v>-467.87869999999998</v>
      </c>
      <c r="H75">
        <v>1.01708</v>
      </c>
      <c r="I75">
        <v>367.27550000000002</v>
      </c>
      <c r="J75">
        <v>-468.49009999999998</v>
      </c>
      <c r="K75">
        <v>1.108379</v>
      </c>
      <c r="L75">
        <v>367.24599999999998</v>
      </c>
      <c r="M75">
        <v>0.99999119999999997</v>
      </c>
      <c r="N75">
        <v>2.7998469999999998E-3</v>
      </c>
      <c r="O75">
        <v>3.1274470000000002E-3</v>
      </c>
      <c r="P75">
        <v>0.96023049999999999</v>
      </c>
      <c r="Q75">
        <v>0.27400279999999999</v>
      </c>
      <c r="R75">
        <v>5.3665669999999999E-2</v>
      </c>
      <c r="S75">
        <v>3.21814</v>
      </c>
      <c r="T75">
        <v>-0.3556877</v>
      </c>
      <c r="U75">
        <v>0.1188965</v>
      </c>
      <c r="V75">
        <v>-5.0664399999999998E-2</v>
      </c>
      <c r="W75">
        <v>0.27131240000000001</v>
      </c>
      <c r="X75">
        <v>0.96115700000000004</v>
      </c>
      <c r="Y75">
        <v>-3.3615810000000003E-2</v>
      </c>
      <c r="Z75">
        <v>1.45101E-3</v>
      </c>
      <c r="AA75">
        <v>0.99943380000000004</v>
      </c>
      <c r="AB75">
        <v>21</v>
      </c>
      <c r="AC75">
        <v>0.61140000000000305</v>
      </c>
      <c r="AD75">
        <v>-9.1299000000000005E-2</v>
      </c>
      <c r="AE75">
        <v>2.9500000000041299E-2</v>
      </c>
      <c r="AF75">
        <v>-2.6987340037538401E-2</v>
      </c>
      <c r="AG75">
        <v>-9.1299000000000005E-2</v>
      </c>
      <c r="AH75">
        <v>0.59818153063392199</v>
      </c>
      <c r="AI75">
        <v>98.669260897508494</v>
      </c>
      <c r="AJ75">
        <v>92.583183845891398</v>
      </c>
      <c r="AK75">
        <v>0.60571029999071602</v>
      </c>
      <c r="AL75">
        <v>74.257623408161606</v>
      </c>
      <c r="AM75">
        <v>93.017376135647595</v>
      </c>
      <c r="AN75">
        <v>1.0000000392350501</v>
      </c>
    </row>
    <row r="76" spans="1:40" x14ac:dyDescent="0.25">
      <c r="A76" t="str">
        <f>"20190304164826168"</f>
        <v>20190304164826168</v>
      </c>
      <c r="B76" t="str">
        <f>"1551689306156320"</f>
        <v>1551689306156320</v>
      </c>
      <c r="C76" t="s">
        <v>40</v>
      </c>
      <c r="D76">
        <v>5.0232659999999996</v>
      </c>
      <c r="E76">
        <v>0.52196430000000005</v>
      </c>
      <c r="F76" t="s">
        <v>41</v>
      </c>
      <c r="G76">
        <v>-467.68619999999999</v>
      </c>
      <c r="H76">
        <v>1.020051</v>
      </c>
      <c r="I76">
        <v>367.2758</v>
      </c>
      <c r="J76">
        <v>-468.28250000000003</v>
      </c>
      <c r="K76">
        <v>1.1083940000000001</v>
      </c>
      <c r="L76">
        <v>367.24669999999998</v>
      </c>
      <c r="M76">
        <v>0.99999139999999997</v>
      </c>
      <c r="N76">
        <v>2.7420209999999999E-3</v>
      </c>
      <c r="O76">
        <v>3.143851E-3</v>
      </c>
      <c r="P76">
        <v>0.96008369999999998</v>
      </c>
      <c r="Q76">
        <v>0.27442220000000001</v>
      </c>
      <c r="R76">
        <v>5.4145560000000002E-2</v>
      </c>
      <c r="S76">
        <v>3.218445</v>
      </c>
      <c r="T76">
        <v>-0.35360750000000002</v>
      </c>
      <c r="U76">
        <v>0.11947629999999999</v>
      </c>
      <c r="V76">
        <v>-5.1130250000000002E-2</v>
      </c>
      <c r="W76">
        <v>0.27178730000000001</v>
      </c>
      <c r="X76">
        <v>0.96099809999999997</v>
      </c>
      <c r="Y76">
        <v>-3.3776920000000002E-2</v>
      </c>
      <c r="Z76">
        <v>1.450018E-3</v>
      </c>
      <c r="AA76">
        <v>0.99942830000000005</v>
      </c>
      <c r="AB76">
        <v>21</v>
      </c>
      <c r="AC76">
        <v>0.59630000000004202</v>
      </c>
      <c r="AD76">
        <v>-8.8343000000000005E-2</v>
      </c>
      <c r="AE76">
        <v>2.91000000000281E-2</v>
      </c>
      <c r="AF76">
        <v>-2.6641799535246799E-2</v>
      </c>
      <c r="AG76">
        <v>-8.8343000000000005E-2</v>
      </c>
      <c r="AH76">
        <v>0.58360933440504303</v>
      </c>
      <c r="AI76">
        <v>98.598894307372404</v>
      </c>
      <c r="AJ76">
        <v>92.613741007819698</v>
      </c>
      <c r="AK76">
        <v>0.59085880406081204</v>
      </c>
      <c r="AL76">
        <v>74.229350562046406</v>
      </c>
      <c r="AM76">
        <v>93.045570938173896</v>
      </c>
      <c r="AN76">
        <v>0.99999999355498104</v>
      </c>
    </row>
    <row r="77" spans="1:40" x14ac:dyDescent="0.25">
      <c r="A77" t="str">
        <f>"20190304164826200"</f>
        <v>20190304164826200</v>
      </c>
      <c r="B77" t="str">
        <f>"1551689306186579"</f>
        <v>1551689306186579</v>
      </c>
      <c r="C77" t="s">
        <v>40</v>
      </c>
      <c r="D77">
        <v>5.0183070000000001</v>
      </c>
      <c r="E77">
        <v>0.52213639999999995</v>
      </c>
      <c r="F77" t="s">
        <v>41</v>
      </c>
      <c r="G77">
        <v>-467.49220000000003</v>
      </c>
      <c r="H77">
        <v>1.021884</v>
      </c>
      <c r="I77">
        <v>367.27550000000002</v>
      </c>
      <c r="J77">
        <v>-467.97430000000003</v>
      </c>
      <c r="K77">
        <v>1.108419</v>
      </c>
      <c r="L77">
        <v>367.24770000000001</v>
      </c>
      <c r="M77">
        <v>0.99999150000000003</v>
      </c>
      <c r="N77">
        <v>2.6563929999999999E-3</v>
      </c>
      <c r="O77">
        <v>3.1922750000000001E-3</v>
      </c>
      <c r="P77">
        <v>0.95991459999999995</v>
      </c>
      <c r="Q77">
        <v>0.27510279999999998</v>
      </c>
      <c r="R77">
        <v>5.3691460000000003E-2</v>
      </c>
      <c r="S77">
        <v>3.21875</v>
      </c>
      <c r="T77">
        <v>-0.35251139999999997</v>
      </c>
      <c r="U77">
        <v>0.1187744</v>
      </c>
      <c r="V77">
        <v>-5.0637290000000001E-2</v>
      </c>
      <c r="W77">
        <v>0.2725495</v>
      </c>
      <c r="X77">
        <v>0.96080829999999995</v>
      </c>
      <c r="Y77">
        <v>-3.3510190000000002E-2</v>
      </c>
      <c r="Z77">
        <v>1.4273489999999901E-3</v>
      </c>
      <c r="AA77">
        <v>0.99943729999999997</v>
      </c>
      <c r="AB77">
        <v>21</v>
      </c>
      <c r="AC77">
        <v>0.48210000000000203</v>
      </c>
      <c r="AD77">
        <v>-8.6535000000000001E-2</v>
      </c>
      <c r="AE77">
        <v>2.78000000000133E-2</v>
      </c>
      <c r="AF77">
        <v>-2.5443805354423501E-2</v>
      </c>
      <c r="AG77">
        <v>-8.6535000000000001E-2</v>
      </c>
      <c r="AH77">
        <v>0.46718406519604899</v>
      </c>
      <c r="AI77">
        <v>100.47859701845</v>
      </c>
      <c r="AJ77">
        <v>93.117366307807799</v>
      </c>
      <c r="AK77">
        <v>0.475811563782366</v>
      </c>
      <c r="AL77">
        <v>74.183966185308805</v>
      </c>
      <c r="AM77">
        <v>93.016857020502798</v>
      </c>
      <c r="AN77">
        <v>0.99999997721884104</v>
      </c>
    </row>
    <row r="78" spans="1:40" x14ac:dyDescent="0.25">
      <c r="A78" t="str">
        <f>"20190304164826222"</f>
        <v>20190304164826222</v>
      </c>
      <c r="B78" t="str">
        <f>"1551689306216832"</f>
        <v>1551689306216832</v>
      </c>
      <c r="C78" t="s">
        <v>40</v>
      </c>
      <c r="D78">
        <v>5.0274390000000002</v>
      </c>
      <c r="E78">
        <v>0.52232219999999996</v>
      </c>
      <c r="F78" t="s">
        <v>41</v>
      </c>
      <c r="G78">
        <v>-467.10329999999999</v>
      </c>
      <c r="H78">
        <v>1.0134609999999999</v>
      </c>
      <c r="I78">
        <v>367.27879999999999</v>
      </c>
      <c r="J78">
        <v>-467.74489999999997</v>
      </c>
      <c r="K78">
        <v>1.1084400000000001</v>
      </c>
      <c r="L78">
        <v>367.24849999999998</v>
      </c>
      <c r="M78">
        <v>0.99999139999999997</v>
      </c>
      <c r="N78">
        <v>2.5913199999999998E-3</v>
      </c>
      <c r="O78">
        <v>3.2567529999999998E-3</v>
      </c>
      <c r="P78">
        <v>0.95985750000000003</v>
      </c>
      <c r="Q78">
        <v>0.27532760000000001</v>
      </c>
      <c r="R78">
        <v>5.3556430000000002E-2</v>
      </c>
      <c r="S78">
        <v>3.2193909999999999</v>
      </c>
      <c r="T78">
        <v>-0.35119349999999999</v>
      </c>
      <c r="U78">
        <v>0.1161499</v>
      </c>
      <c r="V78">
        <v>-5.0448859999999998E-2</v>
      </c>
      <c r="W78">
        <v>0.27283570000000001</v>
      </c>
      <c r="X78">
        <v>0.96073699999999995</v>
      </c>
      <c r="Y78">
        <v>-3.2631449999999999E-2</v>
      </c>
      <c r="Z78">
        <v>1.369072E-3</v>
      </c>
      <c r="AA78">
        <v>0.99946650000000004</v>
      </c>
      <c r="AB78">
        <v>22</v>
      </c>
      <c r="AC78">
        <v>0.64159999999998196</v>
      </c>
      <c r="AD78">
        <v>-9.4978999999999703E-2</v>
      </c>
      <c r="AE78">
        <v>3.0300000000010999E-2</v>
      </c>
      <c r="AF78">
        <v>-2.7606666752943401E-2</v>
      </c>
      <c r="AG78">
        <v>-9.4978999999999703E-2</v>
      </c>
      <c r="AH78">
        <v>0.62796453313492195</v>
      </c>
      <c r="AI78">
        <v>98.592564541619197</v>
      </c>
      <c r="AJ78">
        <v>92.517224445951101</v>
      </c>
      <c r="AK78">
        <v>0.63570637354486903</v>
      </c>
      <c r="AL78">
        <v>74.166922473457504</v>
      </c>
      <c r="AM78">
        <v>93.005874055109103</v>
      </c>
      <c r="AN78">
        <v>0.99999999491939395</v>
      </c>
    </row>
    <row r="79" spans="1:40" x14ac:dyDescent="0.25">
      <c r="A79" t="str">
        <f>"20190304164826245"</f>
        <v>20190304164826245</v>
      </c>
      <c r="B79" t="str">
        <f>"1551689306236352"</f>
        <v>1551689306236352</v>
      </c>
      <c r="C79" t="s">
        <v>40</v>
      </c>
      <c r="D79">
        <v>5.0415469999999996</v>
      </c>
      <c r="E79">
        <v>0.52241359999999903</v>
      </c>
      <c r="F79" t="s">
        <v>41</v>
      </c>
      <c r="G79">
        <v>-466.90249999999997</v>
      </c>
      <c r="H79">
        <v>1.016443</v>
      </c>
      <c r="I79">
        <v>367.27850000000001</v>
      </c>
      <c r="J79">
        <v>-467.52319999999997</v>
      </c>
      <c r="K79">
        <v>1.108463</v>
      </c>
      <c r="L79">
        <v>367.24930000000001</v>
      </c>
      <c r="M79">
        <v>0.99999119999999997</v>
      </c>
      <c r="N79">
        <v>2.526122E-3</v>
      </c>
      <c r="O79">
        <v>3.3423239999999998E-3</v>
      </c>
      <c r="P79">
        <v>0.9597213</v>
      </c>
      <c r="Q79">
        <v>0.27577289999999999</v>
      </c>
      <c r="R79">
        <v>5.3706259999999999E-2</v>
      </c>
      <c r="S79">
        <v>3.21991</v>
      </c>
      <c r="T79">
        <v>-0.35153089999999998</v>
      </c>
      <c r="U79">
        <v>0.11425780000000001</v>
      </c>
      <c r="V79">
        <v>-5.052653E-2</v>
      </c>
      <c r="W79">
        <v>0.27334170000000002</v>
      </c>
      <c r="X79">
        <v>0.96058909999999997</v>
      </c>
      <c r="Y79">
        <v>-3.1957590000000001E-2</v>
      </c>
      <c r="Z79">
        <v>1.32615799999999E-3</v>
      </c>
      <c r="AA79">
        <v>0.99948840000000005</v>
      </c>
      <c r="AB79">
        <v>22</v>
      </c>
      <c r="AC79">
        <v>0.62069999999999903</v>
      </c>
      <c r="AD79">
        <v>-9.2020000000000005E-2</v>
      </c>
      <c r="AE79">
        <v>2.9200000000002901E-2</v>
      </c>
      <c r="AF79">
        <v>-2.65431553028488E-2</v>
      </c>
      <c r="AG79">
        <v>-9.2020000000000005E-2</v>
      </c>
      <c r="AH79">
        <v>0.60747219469882496</v>
      </c>
      <c r="AI79">
        <v>98.605601758210298</v>
      </c>
      <c r="AJ79">
        <v>92.501915393589897</v>
      </c>
      <c r="AK79">
        <v>0.61497535464898001</v>
      </c>
      <c r="AL79">
        <v>74.136785619863502</v>
      </c>
      <c r="AM79">
        <v>93.010955995946802</v>
      </c>
      <c r="AN79">
        <v>1.0000000171157699</v>
      </c>
    </row>
    <row r="80" spans="1:40" x14ac:dyDescent="0.25">
      <c r="A80" t="str">
        <f>"20190304164826267"</f>
        <v>20190304164826267</v>
      </c>
      <c r="B80" t="str">
        <f>"1551689306256851"</f>
        <v>1551689306256851</v>
      </c>
      <c r="C80" t="s">
        <v>40</v>
      </c>
      <c r="D80">
        <v>5.023333</v>
      </c>
      <c r="E80">
        <v>0.52248430000000001</v>
      </c>
      <c r="F80" t="s">
        <v>41</v>
      </c>
      <c r="G80">
        <v>-466.7</v>
      </c>
      <c r="H80">
        <v>1.0188469999999901</v>
      </c>
      <c r="I80">
        <v>367.27800000000002</v>
      </c>
      <c r="J80">
        <v>-467.29660000000001</v>
      </c>
      <c r="K80">
        <v>1.108484</v>
      </c>
      <c r="L80">
        <v>367.25020000000001</v>
      </c>
      <c r="M80">
        <v>0.99999110000000002</v>
      </c>
      <c r="N80">
        <v>2.4576020000000001E-3</v>
      </c>
      <c r="O80">
        <v>3.457454E-3</v>
      </c>
      <c r="P80">
        <v>0.95958509999999997</v>
      </c>
      <c r="Q80">
        <v>0.2762037</v>
      </c>
      <c r="R80">
        <v>5.3924840000000002E-2</v>
      </c>
      <c r="S80">
        <v>3.220367</v>
      </c>
      <c r="T80">
        <v>-0.35074169999999999</v>
      </c>
      <c r="U80">
        <v>0.1129761</v>
      </c>
      <c r="V80">
        <v>-5.0646919999999998E-2</v>
      </c>
      <c r="W80">
        <v>0.27383659999999999</v>
      </c>
      <c r="X80">
        <v>0.96044180000000001</v>
      </c>
      <c r="Y80">
        <v>-3.1444479999999997E-2</v>
      </c>
      <c r="Z80">
        <v>1.2842330000000001E-3</v>
      </c>
      <c r="AA80">
        <v>0.99950470000000002</v>
      </c>
      <c r="AB80">
        <v>22</v>
      </c>
      <c r="AC80">
        <v>0.596600000000023</v>
      </c>
      <c r="AD80">
        <v>-8.9637000000000105E-2</v>
      </c>
      <c r="AE80">
        <v>2.78000000000133E-2</v>
      </c>
      <c r="AF80">
        <v>-2.5170151318681801E-2</v>
      </c>
      <c r="AG80">
        <v>-8.9637000000000105E-2</v>
      </c>
      <c r="AH80">
        <v>0.583548089716447</v>
      </c>
      <c r="AI80">
        <v>98.7247819959738</v>
      </c>
      <c r="AJ80">
        <v>92.469805174078203</v>
      </c>
      <c r="AK80">
        <v>0.590928676997588</v>
      </c>
      <c r="AL80">
        <v>74.107305249816307</v>
      </c>
      <c r="AM80">
        <v>93.018579002021596</v>
      </c>
      <c r="AN80">
        <v>1.0000000225961401</v>
      </c>
    </row>
    <row r="81" spans="1:40" x14ac:dyDescent="0.25">
      <c r="A81" t="str">
        <f>"20190304164826288"</f>
        <v>20190304164826288</v>
      </c>
      <c r="B81" t="str">
        <f>"1551689306276368"</f>
        <v>1551689306276368</v>
      </c>
      <c r="C81" t="s">
        <v>40</v>
      </c>
      <c r="D81">
        <v>4.9513939999999996</v>
      </c>
      <c r="E81">
        <v>0.5224934</v>
      </c>
      <c r="F81" t="s">
        <v>41</v>
      </c>
      <c r="G81">
        <v>-466.49540000000002</v>
      </c>
      <c r="H81">
        <v>1.0214240000000001</v>
      </c>
      <c r="I81">
        <v>367.27800000000002</v>
      </c>
      <c r="J81">
        <v>-467.08170000000001</v>
      </c>
      <c r="K81">
        <v>1.1085130000000001</v>
      </c>
      <c r="L81">
        <v>367.25110000000001</v>
      </c>
      <c r="M81">
        <v>0.99999079999999996</v>
      </c>
      <c r="N81">
        <v>2.3912370000000001E-3</v>
      </c>
      <c r="O81">
        <v>3.5924300000000002E-3</v>
      </c>
      <c r="P81">
        <v>0.95943650000000003</v>
      </c>
      <c r="Q81">
        <v>0.27667960000000003</v>
      </c>
      <c r="R81">
        <v>5.4132420000000001E-2</v>
      </c>
      <c r="S81">
        <v>3.2207949999999999</v>
      </c>
      <c r="T81">
        <v>-0.3499353</v>
      </c>
      <c r="U81">
        <v>0.11203</v>
      </c>
      <c r="V81">
        <v>-5.0737740000000003E-2</v>
      </c>
      <c r="W81">
        <v>0.27437450000000002</v>
      </c>
      <c r="X81">
        <v>0.96028349999999996</v>
      </c>
      <c r="Y81">
        <v>-3.1015629999999999E-2</v>
      </c>
      <c r="Z81">
        <v>1.244651E-3</v>
      </c>
      <c r="AA81">
        <v>0.99951809999999996</v>
      </c>
      <c r="AB81">
        <v>23</v>
      </c>
      <c r="AC81">
        <v>0.58629999999999405</v>
      </c>
      <c r="AD81">
        <v>-8.7088999999999903E-2</v>
      </c>
      <c r="AE81">
        <v>2.6900000000011901E-2</v>
      </c>
      <c r="AF81">
        <v>-2.4259439869823901E-2</v>
      </c>
      <c r="AG81">
        <v>-8.7088999999999903E-2</v>
      </c>
      <c r="AH81">
        <v>0.57375993233865097</v>
      </c>
      <c r="AI81">
        <v>98.623256027506599</v>
      </c>
      <c r="AJ81">
        <v>92.421110355270997</v>
      </c>
      <c r="AK81">
        <v>0.58083859573985896</v>
      </c>
      <c r="AL81">
        <v>74.075258769712093</v>
      </c>
      <c r="AM81">
        <v>93.024479446410197</v>
      </c>
      <c r="AN81">
        <v>1.0000000424414</v>
      </c>
    </row>
    <row r="82" spans="1:40" x14ac:dyDescent="0.25">
      <c r="A82" t="str">
        <f>"20190304164826310"</f>
        <v>20190304164826310</v>
      </c>
      <c r="B82" t="str">
        <f>"1551689306296864"</f>
        <v>1551689306296864</v>
      </c>
      <c r="C82" t="s">
        <v>40</v>
      </c>
      <c r="D82">
        <v>4.9688100000000004</v>
      </c>
      <c r="E82">
        <v>0.52250759999999996</v>
      </c>
      <c r="F82" t="s">
        <v>41</v>
      </c>
      <c r="G82">
        <v>-466.28919999999999</v>
      </c>
      <c r="H82">
        <v>1.0228060000000001</v>
      </c>
      <c r="I82">
        <v>367.27820000000003</v>
      </c>
      <c r="J82">
        <v>-466.84780000000001</v>
      </c>
      <c r="K82">
        <v>1.1085419999999999</v>
      </c>
      <c r="L82">
        <v>367.25200000000001</v>
      </c>
      <c r="M82">
        <v>0.99999039999999995</v>
      </c>
      <c r="N82">
        <v>2.317782E-3</v>
      </c>
      <c r="O82">
        <v>3.7629389999999999E-3</v>
      </c>
      <c r="P82">
        <v>0.95944700000000005</v>
      </c>
      <c r="Q82">
        <v>0.27662809999999999</v>
      </c>
      <c r="R82">
        <v>5.420788E-2</v>
      </c>
      <c r="S82">
        <v>3.2210079999999999</v>
      </c>
      <c r="T82">
        <v>-0.34852919999999998</v>
      </c>
      <c r="U82">
        <v>0.1119995</v>
      </c>
      <c r="V82">
        <v>-5.0661020000000001E-2</v>
      </c>
      <c r="W82">
        <v>0.27439140000000001</v>
      </c>
      <c r="X82">
        <v>0.96028270000000004</v>
      </c>
      <c r="Y82">
        <v>-3.0836639999999998E-2</v>
      </c>
      <c r="Z82">
        <v>1.212589E-3</v>
      </c>
      <c r="AA82">
        <v>0.99952370000000001</v>
      </c>
      <c r="AB82">
        <v>23</v>
      </c>
      <c r="AC82">
        <v>0.55860000000001198</v>
      </c>
      <c r="AD82">
        <v>-8.5736000000000007E-2</v>
      </c>
      <c r="AE82">
        <v>2.62000000000739E-2</v>
      </c>
      <c r="AF82">
        <v>-2.3544407484933898E-2</v>
      </c>
      <c r="AG82">
        <v>-8.5736000000000007E-2</v>
      </c>
      <c r="AH82">
        <v>0.545863811069211</v>
      </c>
      <c r="AI82">
        <v>98.918068186687506</v>
      </c>
      <c r="AJ82">
        <v>92.469772729431696</v>
      </c>
      <c r="AK82">
        <v>0.55305723126528294</v>
      </c>
      <c r="AL82">
        <v>74.0742514848166</v>
      </c>
      <c r="AM82">
        <v>93.019917145864497</v>
      </c>
      <c r="AN82">
        <v>1.00000002163034</v>
      </c>
    </row>
    <row r="83" spans="1:40" x14ac:dyDescent="0.25">
      <c r="A83" t="str">
        <f>"20190304164826335"</f>
        <v>20190304164826335</v>
      </c>
      <c r="B83" t="str">
        <f>"1551689306326144"</f>
        <v>1551689306326144</v>
      </c>
      <c r="C83" t="s">
        <v>40</v>
      </c>
      <c r="D83">
        <v>4.9719509999999998</v>
      </c>
      <c r="E83">
        <v>0.52251550000000002</v>
      </c>
      <c r="F83" t="s">
        <v>41</v>
      </c>
      <c r="G83">
        <v>-466.08049999999997</v>
      </c>
      <c r="H83">
        <v>1.025318</v>
      </c>
      <c r="I83">
        <v>367.27890000000002</v>
      </c>
      <c r="J83">
        <v>-466.59230000000002</v>
      </c>
      <c r="K83">
        <v>1.1085560000000001</v>
      </c>
      <c r="L83">
        <v>367.25330000000002</v>
      </c>
      <c r="M83">
        <v>0.99998969999999998</v>
      </c>
      <c r="N83">
        <v>2.2368169999999999E-3</v>
      </c>
      <c r="O83">
        <v>3.9694639999999998E-3</v>
      </c>
      <c r="P83">
        <v>0.95911570000000002</v>
      </c>
      <c r="Q83">
        <v>0.27757920000000003</v>
      </c>
      <c r="R83">
        <v>5.5200539999999999E-2</v>
      </c>
      <c r="S83">
        <v>3.2211609999999999</v>
      </c>
      <c r="T83">
        <v>-0.34942410000000002</v>
      </c>
      <c r="U83">
        <v>0.1131897</v>
      </c>
      <c r="V83">
        <v>-5.1467659999999998E-2</v>
      </c>
      <c r="W83">
        <v>0.27541890000000002</v>
      </c>
      <c r="X83">
        <v>0.95994559999999995</v>
      </c>
      <c r="Y83">
        <v>-3.0996820000000001E-2</v>
      </c>
      <c r="Z83">
        <v>1.2029759999999999E-3</v>
      </c>
      <c r="AA83">
        <v>0.99951880000000004</v>
      </c>
      <c r="AB83">
        <v>23</v>
      </c>
      <c r="AC83">
        <v>0.51180000000004999</v>
      </c>
      <c r="AD83">
        <v>-8.3237999999999895E-2</v>
      </c>
      <c r="AE83">
        <v>2.5599999999997101E-2</v>
      </c>
      <c r="AF83">
        <v>-2.2962359331863001E-2</v>
      </c>
      <c r="AG83">
        <v>-8.3237999999999895E-2</v>
      </c>
      <c r="AH83">
        <v>0.49873836302612701</v>
      </c>
      <c r="AI83">
        <v>99.465324170601903</v>
      </c>
      <c r="AJ83">
        <v>92.636087246596702</v>
      </c>
      <c r="AK83">
        <v>0.50615786998135903</v>
      </c>
      <c r="AL83">
        <v>74.013020957111394</v>
      </c>
      <c r="AM83">
        <v>93.068985323968505</v>
      </c>
      <c r="AN83">
        <v>1.00000002273122</v>
      </c>
    </row>
    <row r="84" spans="1:40" x14ac:dyDescent="0.25">
      <c r="A84" t="str">
        <f>"20190304164826357"</f>
        <v>20190304164826357</v>
      </c>
      <c r="B84" t="str">
        <f>"1551689306346640"</f>
        <v>1551689306346640</v>
      </c>
      <c r="C84" t="s">
        <v>40</v>
      </c>
      <c r="D84">
        <v>4.9506230000000002</v>
      </c>
      <c r="E84">
        <v>0.52252949999999998</v>
      </c>
      <c r="F84" t="s">
        <v>41</v>
      </c>
      <c r="G84">
        <v>-465.86779999999999</v>
      </c>
      <c r="H84">
        <v>1.030592</v>
      </c>
      <c r="I84">
        <v>367.27890000000002</v>
      </c>
      <c r="J84">
        <v>-466.35939999999999</v>
      </c>
      <c r="K84">
        <v>1.1085689999999999</v>
      </c>
      <c r="L84">
        <v>367.25439999999998</v>
      </c>
      <c r="M84">
        <v>0.99998889999999996</v>
      </c>
      <c r="N84">
        <v>2.1625429999999998E-3</v>
      </c>
      <c r="O84">
        <v>4.1693809999999998E-3</v>
      </c>
      <c r="P84">
        <v>0.9589261</v>
      </c>
      <c r="Q84">
        <v>0.277945099999999</v>
      </c>
      <c r="R84">
        <v>5.6632370000000001E-2</v>
      </c>
      <c r="S84">
        <v>3.2216490000000002</v>
      </c>
      <c r="T84">
        <v>-0.3467209</v>
      </c>
      <c r="U84">
        <v>0.1148682</v>
      </c>
      <c r="V84">
        <v>-5.2714959999999998E-2</v>
      </c>
      <c r="W84">
        <v>0.27585520000000002</v>
      </c>
      <c r="X84">
        <v>0.95975259999999996</v>
      </c>
      <c r="Y84">
        <v>-3.1313479999999998E-2</v>
      </c>
      <c r="Z84">
        <v>1.1894049999999999E-3</v>
      </c>
      <c r="AA84">
        <v>0.99950890000000003</v>
      </c>
      <c r="AB84">
        <v>23</v>
      </c>
      <c r="AC84">
        <v>0.49160000000000498</v>
      </c>
      <c r="AD84">
        <v>-7.7977000000000102E-2</v>
      </c>
      <c r="AE84">
        <v>2.4500000000045902E-2</v>
      </c>
      <c r="AF84">
        <v>-2.1900465589773901E-2</v>
      </c>
      <c r="AG84">
        <v>-7.7977000000000102E-2</v>
      </c>
      <c r="AH84">
        <v>0.47965957949284399</v>
      </c>
      <c r="AI84">
        <v>99.224203009948795</v>
      </c>
      <c r="AJ84">
        <v>92.614215233243897</v>
      </c>
      <c r="AK84">
        <v>0.48644974573053401</v>
      </c>
      <c r="AL84">
        <v>73.987015121400105</v>
      </c>
      <c r="AM84">
        <v>93.143844501125599</v>
      </c>
      <c r="AN84">
        <v>1.0000000057908001</v>
      </c>
    </row>
    <row r="85" spans="1:40" x14ac:dyDescent="0.25">
      <c r="A85" t="str">
        <f>"20190304164826377"</f>
        <v>20190304164826377</v>
      </c>
      <c r="B85" t="str">
        <f>"1551689306367079"</f>
        <v>1551689306367079</v>
      </c>
      <c r="C85" t="s">
        <v>40</v>
      </c>
      <c r="D85">
        <v>4.9817989999999996</v>
      </c>
      <c r="E85">
        <v>0.52256840000000004</v>
      </c>
      <c r="F85" t="s">
        <v>41</v>
      </c>
      <c r="G85">
        <v>-465.45229999999998</v>
      </c>
      <c r="H85">
        <v>1.011233</v>
      </c>
      <c r="I85">
        <v>367.28739999999999</v>
      </c>
      <c r="J85">
        <v>-466.14100000000002</v>
      </c>
      <c r="K85">
        <v>1.108582</v>
      </c>
      <c r="L85">
        <v>367.25549999999998</v>
      </c>
      <c r="M85">
        <v>0.99998849999999995</v>
      </c>
      <c r="N85">
        <v>2.0929109999999998E-3</v>
      </c>
      <c r="O85">
        <v>4.3604200000000003E-3</v>
      </c>
      <c r="P85">
        <v>0.95870979999999995</v>
      </c>
      <c r="Q85">
        <v>0.27848099999999998</v>
      </c>
      <c r="R85">
        <v>5.7656190000000003E-2</v>
      </c>
      <c r="S85">
        <v>3.2218019999999998</v>
      </c>
      <c r="T85">
        <v>-0.34596749999999998</v>
      </c>
      <c r="U85">
        <v>0.11853030000000001</v>
      </c>
      <c r="V85">
        <v>-5.356064E-2</v>
      </c>
      <c r="W85">
        <v>0.27645700000000001</v>
      </c>
      <c r="X85">
        <v>0.95953259999999996</v>
      </c>
      <c r="Y85">
        <v>-3.2251839999999997E-2</v>
      </c>
      <c r="Z85">
        <v>1.2164319999999999E-3</v>
      </c>
      <c r="AA85">
        <v>0.99947909999999995</v>
      </c>
      <c r="AB85">
        <v>24</v>
      </c>
      <c r="AC85">
        <v>0.68869999999998199</v>
      </c>
      <c r="AD85">
        <v>-9.7348999999999894E-2</v>
      </c>
      <c r="AE85">
        <v>3.1900000000007298E-2</v>
      </c>
      <c r="AF85">
        <v>-2.8331802418911201E-2</v>
      </c>
      <c r="AG85">
        <v>-9.7348999999999894E-2</v>
      </c>
      <c r="AH85">
        <v>0.67536737133205105</v>
      </c>
      <c r="AI85">
        <v>98.195140429473696</v>
      </c>
      <c r="AJ85">
        <v>92.402161465474194</v>
      </c>
      <c r="AK85">
        <v>0.68293528616499899</v>
      </c>
      <c r="AL85">
        <v>73.951139529366699</v>
      </c>
      <c r="AM85">
        <v>93.194906867119201</v>
      </c>
      <c r="AN85">
        <v>1.0000000127344799</v>
      </c>
    </row>
    <row r="86" spans="1:40" x14ac:dyDescent="0.25">
      <c r="A86" t="str">
        <f>"20190304164826401"</f>
        <v>20190304164826401</v>
      </c>
      <c r="B86" t="str">
        <f>"1551689306396356"</f>
        <v>1551689306396356</v>
      </c>
      <c r="C86" t="s">
        <v>40</v>
      </c>
      <c r="D86">
        <v>5.0026060000000001</v>
      </c>
      <c r="E86">
        <v>0.52482439999999997</v>
      </c>
      <c r="F86" t="s">
        <v>41</v>
      </c>
      <c r="G86">
        <v>-465.23649999999998</v>
      </c>
      <c r="H86">
        <v>1.0117499999999999</v>
      </c>
      <c r="I86">
        <v>367.29</v>
      </c>
      <c r="J86">
        <v>-465.8895</v>
      </c>
      <c r="K86">
        <v>1.108598</v>
      </c>
      <c r="L86">
        <v>367.2568</v>
      </c>
      <c r="M86">
        <v>0.99998750000000003</v>
      </c>
      <c r="N86">
        <v>2.0128680000000001E-3</v>
      </c>
      <c r="O86">
        <v>4.5821739999999996E-3</v>
      </c>
      <c r="P86">
        <v>0.95858299999999996</v>
      </c>
      <c r="Q86">
        <v>0.27869559999999999</v>
      </c>
      <c r="R86">
        <v>5.8714809999999999E-2</v>
      </c>
      <c r="S86">
        <v>3.2220460000000002</v>
      </c>
      <c r="T86">
        <v>-0.34493610000000002</v>
      </c>
      <c r="U86">
        <v>0.1229248</v>
      </c>
      <c r="V86">
        <v>-5.4410100000000003E-2</v>
      </c>
      <c r="W86">
        <v>0.27674799999999999</v>
      </c>
      <c r="X86">
        <v>0.9594009</v>
      </c>
      <c r="Y86">
        <v>-3.3384450000000003E-2</v>
      </c>
      <c r="Z86">
        <v>1.2493949999999999E-3</v>
      </c>
      <c r="AA86">
        <v>0.99944180000000005</v>
      </c>
      <c r="AB86">
        <v>24</v>
      </c>
      <c r="AC86">
        <v>0.65300000000002001</v>
      </c>
      <c r="AD86">
        <v>-9.6848000000000004E-2</v>
      </c>
      <c r="AE86">
        <v>3.3200000000022101E-2</v>
      </c>
      <c r="AF86">
        <v>-2.9558966376342099E-2</v>
      </c>
      <c r="AG86">
        <v>-9.6848000000000004E-2</v>
      </c>
      <c r="AH86">
        <v>0.63912300630554597</v>
      </c>
      <c r="AI86">
        <v>98.607565206355503</v>
      </c>
      <c r="AJ86">
        <v>92.648000485805298</v>
      </c>
      <c r="AK86">
        <v>0.64709464901687896</v>
      </c>
      <c r="AL86">
        <v>73.933789339180194</v>
      </c>
      <c r="AM86">
        <v>93.245914478496303</v>
      </c>
      <c r="AN86">
        <v>1.00000000070341</v>
      </c>
    </row>
    <row r="87" spans="1:40" x14ac:dyDescent="0.25">
      <c r="A87" t="str">
        <f>"20190304164826423"</f>
        <v>20190304164826423</v>
      </c>
      <c r="B87" t="str">
        <f>"1551689306416852"</f>
        <v>1551689306416852</v>
      </c>
      <c r="C87" t="s">
        <v>40</v>
      </c>
      <c r="D87">
        <v>5.0030869999999998</v>
      </c>
      <c r="E87">
        <v>0.52477489999999904</v>
      </c>
      <c r="F87" t="s">
        <v>41</v>
      </c>
      <c r="G87">
        <v>-465.0213</v>
      </c>
      <c r="H87">
        <v>1.0071600000000001</v>
      </c>
      <c r="I87">
        <v>367.28660000000002</v>
      </c>
      <c r="J87">
        <v>-465.64389999999997</v>
      </c>
      <c r="K87">
        <v>1.1086100000000001</v>
      </c>
      <c r="L87">
        <v>367.25819999999999</v>
      </c>
      <c r="M87">
        <v>0.99998679999999995</v>
      </c>
      <c r="N87">
        <v>1.9350420000000001E-3</v>
      </c>
      <c r="O87">
        <v>4.7973720000000003E-3</v>
      </c>
      <c r="P87">
        <v>0.95852490000000001</v>
      </c>
      <c r="Q87">
        <v>0.2788429</v>
      </c>
      <c r="R87">
        <v>5.896643E-2</v>
      </c>
      <c r="S87">
        <v>3.232605</v>
      </c>
      <c r="T87">
        <v>-0.37797570000000003</v>
      </c>
      <c r="U87">
        <v>0.1125488</v>
      </c>
      <c r="V87">
        <v>-5.4457270000000002E-2</v>
      </c>
      <c r="W87">
        <v>0.27696929999999997</v>
      </c>
      <c r="X87">
        <v>0.95933440000000003</v>
      </c>
      <c r="Y87">
        <v>-2.9834920000000001E-2</v>
      </c>
      <c r="Z87">
        <v>1.140725E-3</v>
      </c>
      <c r="AA87">
        <v>0.99955419999999995</v>
      </c>
      <c r="AB87">
        <v>24</v>
      </c>
      <c r="AC87">
        <v>0.62259999999997695</v>
      </c>
      <c r="AD87">
        <v>-0.10145</v>
      </c>
      <c r="AE87">
        <v>2.8400000000033201E-2</v>
      </c>
      <c r="AF87">
        <v>-2.47568622160299E-2</v>
      </c>
      <c r="AG87">
        <v>-0.10145</v>
      </c>
      <c r="AH87">
        <v>0.60665504392556402</v>
      </c>
      <c r="AI87">
        <v>99.485887066380698</v>
      </c>
      <c r="AJ87">
        <v>92.336875135963695</v>
      </c>
      <c r="AK87">
        <v>0.61557724701869199</v>
      </c>
      <c r="AL87">
        <v>73.9205946213809</v>
      </c>
      <c r="AM87">
        <v>93.248947164766705</v>
      </c>
      <c r="AN87">
        <v>1.0000000392108499</v>
      </c>
    </row>
    <row r="88" spans="1:40" x14ac:dyDescent="0.25">
      <c r="A88" t="str">
        <f>"20190304164826446"</f>
        <v>20190304164826446</v>
      </c>
      <c r="B88" t="str">
        <f>"1551689306436372"</f>
        <v>1551689306436372</v>
      </c>
      <c r="C88" t="s">
        <v>40</v>
      </c>
      <c r="D88">
        <v>4.997128</v>
      </c>
      <c r="E88">
        <v>0.52479569999999998</v>
      </c>
      <c r="F88" t="s">
        <v>41</v>
      </c>
      <c r="G88">
        <v>-464.80079999999998</v>
      </c>
      <c r="H88">
        <v>1.009439</v>
      </c>
      <c r="I88">
        <v>367.28769999999997</v>
      </c>
      <c r="J88">
        <v>-465.39389999999997</v>
      </c>
      <c r="K88">
        <v>1.108617</v>
      </c>
      <c r="L88">
        <v>367.25959999999998</v>
      </c>
      <c r="M88">
        <v>0.99998569999999998</v>
      </c>
      <c r="N88">
        <v>1.856147E-3</v>
      </c>
      <c r="O88">
        <v>5.0142399999999997E-3</v>
      </c>
      <c r="P88">
        <v>0.95846430000000005</v>
      </c>
      <c r="Q88">
        <v>0.27895389999999998</v>
      </c>
      <c r="R88">
        <v>5.9423160000000003E-2</v>
      </c>
      <c r="S88">
        <v>3.2334589999999999</v>
      </c>
      <c r="T88">
        <v>-0.38034689999999999</v>
      </c>
      <c r="U88">
        <v>0.113678</v>
      </c>
      <c r="V88">
        <v>-5.4706240000000003E-2</v>
      </c>
      <c r="W88">
        <v>0.27715620000000002</v>
      </c>
      <c r="X88">
        <v>0.95926619999999996</v>
      </c>
      <c r="Y88">
        <v>-2.9956099999999999E-2</v>
      </c>
      <c r="Z88">
        <v>1.1304830000000001E-3</v>
      </c>
      <c r="AA88">
        <v>0.99955059999999996</v>
      </c>
      <c r="AB88">
        <v>24</v>
      </c>
      <c r="AC88">
        <v>0.59309999999999197</v>
      </c>
      <c r="AD88">
        <v>-9.9178000000000002E-2</v>
      </c>
      <c r="AE88">
        <v>2.80999999999949E-2</v>
      </c>
      <c r="AF88">
        <v>-2.4443720949294898E-2</v>
      </c>
      <c r="AG88">
        <v>-9.9178000000000002E-2</v>
      </c>
      <c r="AH88">
        <v>0.57713158877267501</v>
      </c>
      <c r="AI88">
        <v>99.742268108067805</v>
      </c>
      <c r="AJ88">
        <v>92.425245010895395</v>
      </c>
      <c r="AK88">
        <v>0.58610122157961697</v>
      </c>
      <c r="AL88">
        <v>73.909448878862094</v>
      </c>
      <c r="AM88">
        <v>93.264000336876904</v>
      </c>
      <c r="AN88">
        <v>0.99999998717790795</v>
      </c>
    </row>
    <row r="89" spans="1:40" x14ac:dyDescent="0.25">
      <c r="A89" t="str">
        <f>"20190304164826467"</f>
        <v>20190304164826467</v>
      </c>
      <c r="B89" t="str">
        <f>"1551689306456871"</f>
        <v>1551689306456871</v>
      </c>
      <c r="C89" t="s">
        <v>40</v>
      </c>
      <c r="D89">
        <v>4.9613750000000003</v>
      </c>
      <c r="E89">
        <v>0.52471789999999996</v>
      </c>
      <c r="F89" t="s">
        <v>41</v>
      </c>
      <c r="G89">
        <v>-464.57799999999997</v>
      </c>
      <c r="H89">
        <v>1.012788</v>
      </c>
      <c r="I89">
        <v>367.28800000000001</v>
      </c>
      <c r="J89">
        <v>-465.15460000000002</v>
      </c>
      <c r="K89">
        <v>1.1086259999999999</v>
      </c>
      <c r="L89">
        <v>367.26100000000002</v>
      </c>
      <c r="M89">
        <v>0.99998480000000001</v>
      </c>
      <c r="N89">
        <v>1.781003E-3</v>
      </c>
      <c r="O89">
        <v>5.2196589999999998E-3</v>
      </c>
      <c r="P89">
        <v>0.95834649999999999</v>
      </c>
      <c r="Q89">
        <v>0.27940120000000002</v>
      </c>
      <c r="R89">
        <v>5.9221280000000001E-2</v>
      </c>
      <c r="S89">
        <v>3.2335210000000001</v>
      </c>
      <c r="T89">
        <v>-0.38004919999999998</v>
      </c>
      <c r="U89">
        <v>0.1140442</v>
      </c>
      <c r="V89">
        <v>-5.4308040000000002E-2</v>
      </c>
      <c r="W89">
        <v>0.27767619999999998</v>
      </c>
      <c r="X89">
        <v>0.9591385</v>
      </c>
      <c r="Y89">
        <v>-2.9865340000000001E-2</v>
      </c>
      <c r="Z89">
        <v>1.101407E-3</v>
      </c>
      <c r="AA89">
        <v>0.99955329999999998</v>
      </c>
      <c r="AB89">
        <v>25</v>
      </c>
      <c r="AC89">
        <v>0.57659999999998401</v>
      </c>
      <c r="AD89">
        <v>-9.5838000000000007E-2</v>
      </c>
      <c r="AE89">
        <v>2.70000000000436E-2</v>
      </c>
      <c r="AF89">
        <v>-2.3346403297958899E-2</v>
      </c>
      <c r="AG89">
        <v>-9.5838000000000007E-2</v>
      </c>
      <c r="AH89">
        <v>0.56126130357612003</v>
      </c>
      <c r="AI89">
        <v>99.681852341242404</v>
      </c>
      <c r="AJ89">
        <v>92.3819202851424</v>
      </c>
      <c r="AK89">
        <v>0.56986334123447302</v>
      </c>
      <c r="AL89">
        <v>73.878438905344794</v>
      </c>
      <c r="AM89">
        <v>93.240723383970106</v>
      </c>
      <c r="AN89">
        <v>1.00000004871866</v>
      </c>
    </row>
    <row r="90" spans="1:40" x14ac:dyDescent="0.25">
      <c r="A90" t="str">
        <f>"20190304164826489"</f>
        <v>20190304164826489</v>
      </c>
      <c r="B90" t="str">
        <f>"1551689306476447"</f>
        <v>1551689306476447</v>
      </c>
      <c r="C90" t="s">
        <v>40</v>
      </c>
      <c r="D90">
        <v>4.9016640000000002</v>
      </c>
      <c r="E90">
        <v>0.52450540000000001</v>
      </c>
      <c r="F90" t="s">
        <v>41</v>
      </c>
      <c r="G90">
        <v>-464.3537</v>
      </c>
      <c r="H90">
        <v>1.014829</v>
      </c>
      <c r="I90">
        <v>367.28899999999999</v>
      </c>
      <c r="J90">
        <v>-464.91520000000003</v>
      </c>
      <c r="K90">
        <v>1.1086370000000001</v>
      </c>
      <c r="L90">
        <v>367.26249999999999</v>
      </c>
      <c r="M90">
        <v>0.99998390000000004</v>
      </c>
      <c r="N90">
        <v>1.70583E-3</v>
      </c>
      <c r="O90">
        <v>5.423705E-3</v>
      </c>
      <c r="P90">
        <v>0.95820240000000001</v>
      </c>
      <c r="Q90">
        <v>0.28000560000000002</v>
      </c>
      <c r="R90">
        <v>5.8697720000000002E-2</v>
      </c>
      <c r="S90">
        <v>3.2338559999999998</v>
      </c>
      <c r="T90">
        <v>-0.37880839999999999</v>
      </c>
      <c r="U90">
        <v>0.11309809999999999</v>
      </c>
      <c r="V90">
        <v>-5.3590029999999997E-2</v>
      </c>
      <c r="W90">
        <v>0.27835310000000002</v>
      </c>
      <c r="X90">
        <v>0.95898260000000002</v>
      </c>
      <c r="Y90">
        <v>-2.9371370000000001E-2</v>
      </c>
      <c r="Z90">
        <v>1.0465660000000001E-3</v>
      </c>
      <c r="AA90">
        <v>0.99956800000000001</v>
      </c>
      <c r="AB90">
        <v>25</v>
      </c>
      <c r="AC90">
        <v>0.56150000000002298</v>
      </c>
      <c r="AD90">
        <v>-9.38080000000001E-2</v>
      </c>
      <c r="AE90">
        <v>2.6499999999998601E-2</v>
      </c>
      <c r="AF90">
        <v>-2.2818710956837001E-2</v>
      </c>
      <c r="AG90">
        <v>-9.38080000000001E-2</v>
      </c>
      <c r="AH90">
        <v>0.54641811833773202</v>
      </c>
      <c r="AI90">
        <v>99.733143418855093</v>
      </c>
      <c r="AJ90">
        <v>92.391312738460599</v>
      </c>
      <c r="AK90">
        <v>0.55488142380285199</v>
      </c>
      <c r="AL90">
        <v>73.838062588342495</v>
      </c>
      <c r="AM90">
        <v>93.198485909136494</v>
      </c>
      <c r="AN90">
        <v>0.99999998334888496</v>
      </c>
    </row>
    <row r="91" spans="1:40" x14ac:dyDescent="0.25">
      <c r="A91" t="str">
        <f>"20190304164826512"</f>
        <v>20190304164826512</v>
      </c>
      <c r="B91" t="str">
        <f>"1551689306506702"</f>
        <v>1551689306506702</v>
      </c>
      <c r="C91" t="s">
        <v>40</v>
      </c>
      <c r="D91">
        <v>4.9081640000000002</v>
      </c>
      <c r="E91">
        <v>0.52446619999999899</v>
      </c>
      <c r="F91" t="s">
        <v>41</v>
      </c>
      <c r="G91">
        <v>-464.1275</v>
      </c>
      <c r="H91">
        <v>1.016969</v>
      </c>
      <c r="I91">
        <v>367.28960000000001</v>
      </c>
      <c r="J91">
        <v>-464.6499</v>
      </c>
      <c r="K91">
        <v>1.108643</v>
      </c>
      <c r="L91">
        <v>367.26420000000002</v>
      </c>
      <c r="M91">
        <v>0.9999827</v>
      </c>
      <c r="N91">
        <v>1.6225079999999999E-3</v>
      </c>
      <c r="O91">
        <v>5.6492130000000002E-3</v>
      </c>
      <c r="P91">
        <v>0.95810629999999997</v>
      </c>
      <c r="Q91">
        <v>0.28049570000000001</v>
      </c>
      <c r="R91">
        <v>5.7919699999999998E-2</v>
      </c>
      <c r="S91">
        <v>3.233978</v>
      </c>
      <c r="T91">
        <v>-0.37657429999999997</v>
      </c>
      <c r="U91">
        <v>0.112854</v>
      </c>
      <c r="V91">
        <v>-5.2596410000000003E-2</v>
      </c>
      <c r="W91">
        <v>0.27892329999999999</v>
      </c>
      <c r="X91">
        <v>0.95887199999999995</v>
      </c>
      <c r="Y91">
        <v>-2.907452E-2</v>
      </c>
      <c r="Z91">
        <v>9.9837020000000001E-4</v>
      </c>
      <c r="AA91">
        <v>0.99957669999999998</v>
      </c>
      <c r="AB91">
        <v>25</v>
      </c>
      <c r="AC91">
        <v>0.52240000000000397</v>
      </c>
      <c r="AD91">
        <v>-9.1674000000000005E-2</v>
      </c>
      <c r="AE91">
        <v>2.53999999999905E-2</v>
      </c>
      <c r="AF91">
        <v>-2.1779320549824802E-2</v>
      </c>
      <c r="AG91">
        <v>-9.1674000000000005E-2</v>
      </c>
      <c r="AH91">
        <v>0.50695993492737501</v>
      </c>
      <c r="AI91">
        <v>100.240831903847</v>
      </c>
      <c r="AJ91">
        <v>92.459950420397405</v>
      </c>
      <c r="AK91">
        <v>0.51564215954591996</v>
      </c>
      <c r="AL91">
        <v>73.804046444542607</v>
      </c>
      <c r="AM91">
        <v>93.139663458328599</v>
      </c>
      <c r="AN91">
        <v>1.00000005100588</v>
      </c>
    </row>
    <row r="92" spans="1:40" x14ac:dyDescent="0.25">
      <c r="A92" t="str">
        <f>"20190304164826537"</f>
        <v>20190304164826537</v>
      </c>
      <c r="B92" t="str">
        <f>"1551689306526224"</f>
        <v>1551689306526224</v>
      </c>
      <c r="C92" t="s">
        <v>40</v>
      </c>
      <c r="D92">
        <v>4.9049449999999997</v>
      </c>
      <c r="E92">
        <v>0.52387459999999997</v>
      </c>
      <c r="F92" t="s">
        <v>41</v>
      </c>
      <c r="G92">
        <v>-463.89819999999997</v>
      </c>
      <c r="H92">
        <v>1.021741</v>
      </c>
      <c r="I92">
        <v>367.28989999999999</v>
      </c>
      <c r="J92">
        <v>-464.3691</v>
      </c>
      <c r="K92">
        <v>1.1086530000000001</v>
      </c>
      <c r="L92">
        <v>367.26600000000002</v>
      </c>
      <c r="M92">
        <v>0.99998160000000003</v>
      </c>
      <c r="N92">
        <v>1.5347689999999901E-3</v>
      </c>
      <c r="O92">
        <v>5.8869990000000004E-3</v>
      </c>
      <c r="P92">
        <v>0.95796079999999995</v>
      </c>
      <c r="Q92">
        <v>0.28096330000000003</v>
      </c>
      <c r="R92">
        <v>5.8061090000000003E-2</v>
      </c>
      <c r="S92">
        <v>3.2339479999999998</v>
      </c>
      <c r="T92">
        <v>-0.37380930000000001</v>
      </c>
      <c r="U92">
        <v>0.110321</v>
      </c>
      <c r="V92">
        <v>-5.2511290000000002E-2</v>
      </c>
      <c r="W92">
        <v>0.27947509999999998</v>
      </c>
      <c r="X92">
        <v>0.95871589999999995</v>
      </c>
      <c r="Y92">
        <v>-2.806548E-2</v>
      </c>
      <c r="Z92">
        <v>9.075687E-4</v>
      </c>
      <c r="AA92">
        <v>0.99960570000000004</v>
      </c>
      <c r="AB92">
        <v>25</v>
      </c>
      <c r="AC92">
        <v>0.47090000000002802</v>
      </c>
      <c r="AD92">
        <v>-8.69120000000001E-2</v>
      </c>
      <c r="AE92">
        <v>2.3900000000026001E-2</v>
      </c>
      <c r="AF92">
        <v>-2.04331386295671E-2</v>
      </c>
      <c r="AG92">
        <v>-8.69120000000001E-2</v>
      </c>
      <c r="AH92">
        <v>0.45555418237169998</v>
      </c>
      <c r="AI92">
        <v>100.790667213985</v>
      </c>
      <c r="AJ92">
        <v>92.568187263888603</v>
      </c>
      <c r="AK92">
        <v>0.46422066086571701</v>
      </c>
      <c r="AL92">
        <v>73.771119989892597</v>
      </c>
      <c r="AM92">
        <v>93.135101851472299</v>
      </c>
      <c r="AN92">
        <v>0.99999997200514101</v>
      </c>
    </row>
    <row r="93" spans="1:40" x14ac:dyDescent="0.25">
      <c r="A93" t="str">
        <f>"20190304164826559"</f>
        <v>20190304164826559</v>
      </c>
      <c r="B93" t="str">
        <f>"1551689306546719"</f>
        <v>1551689306546719</v>
      </c>
      <c r="C93" t="s">
        <v>40</v>
      </c>
      <c r="D93">
        <v>4.9080789999999999</v>
      </c>
      <c r="E93">
        <v>0.52383800000000003</v>
      </c>
      <c r="F93" t="s">
        <v>41</v>
      </c>
      <c r="G93">
        <v>-463.44319999999999</v>
      </c>
      <c r="H93">
        <v>1.010483</v>
      </c>
      <c r="I93">
        <v>367.29829999999998</v>
      </c>
      <c r="J93">
        <v>-464.11419999999998</v>
      </c>
      <c r="K93">
        <v>1.108657</v>
      </c>
      <c r="L93">
        <v>367.26769999999999</v>
      </c>
      <c r="M93">
        <v>0.99998030000000004</v>
      </c>
      <c r="N93">
        <v>1.453464E-3</v>
      </c>
      <c r="O93">
        <v>6.1023630000000004E-3</v>
      </c>
      <c r="P93">
        <v>0.95779440000000005</v>
      </c>
      <c r="Q93">
        <v>0.28148719999999999</v>
      </c>
      <c r="R93">
        <v>5.8265909999999997E-2</v>
      </c>
      <c r="S93">
        <v>3.2251280000000002</v>
      </c>
      <c r="T93">
        <v>-0.34218169999999998</v>
      </c>
      <c r="U93">
        <v>0.113494899999999</v>
      </c>
      <c r="V93">
        <v>-5.2511299999999997E-2</v>
      </c>
      <c r="W93">
        <v>0.28007700000000002</v>
      </c>
      <c r="X93">
        <v>0.95854030000000001</v>
      </c>
      <c r="Y93">
        <v>-2.8944919999999999E-2</v>
      </c>
      <c r="Z93">
        <v>8.5537759999999895E-4</v>
      </c>
      <c r="AA93">
        <v>0.99958060000000004</v>
      </c>
      <c r="AB93">
        <v>26</v>
      </c>
      <c r="AC93">
        <v>0.67099999999999205</v>
      </c>
      <c r="AD93">
        <v>-9.81739999999999E-2</v>
      </c>
      <c r="AE93">
        <v>3.0599999999992598E-2</v>
      </c>
      <c r="AF93">
        <v>-2.5950383349968201E-2</v>
      </c>
      <c r="AG93">
        <v>-9.81739999999999E-2</v>
      </c>
      <c r="AH93">
        <v>0.65713636996797797</v>
      </c>
      <c r="AI93">
        <v>98.490435136256806</v>
      </c>
      <c r="AJ93">
        <v>92.261441210458301</v>
      </c>
      <c r="AK93">
        <v>0.66493591075132996</v>
      </c>
      <c r="AL93">
        <v>73.735200218002703</v>
      </c>
      <c r="AM93">
        <v>93.135675637074996</v>
      </c>
      <c r="AN93">
        <v>1.0000000346403799</v>
      </c>
    </row>
    <row r="94" spans="1:40" x14ac:dyDescent="0.25">
      <c r="A94" t="str">
        <f>"20190304164826579"</f>
        <v>20190304164826579</v>
      </c>
      <c r="B94" t="str">
        <f>"1551689306566746"</f>
        <v>1551689306566746</v>
      </c>
      <c r="C94" t="s">
        <v>40</v>
      </c>
      <c r="D94">
        <v>4.883934</v>
      </c>
      <c r="E94">
        <v>0.52393619999999996</v>
      </c>
      <c r="F94" t="s">
        <v>41</v>
      </c>
      <c r="G94">
        <v>-463.209</v>
      </c>
      <c r="H94">
        <v>1.0136050000000001</v>
      </c>
      <c r="I94">
        <v>367.29939999999999</v>
      </c>
      <c r="J94">
        <v>-463.88299999999998</v>
      </c>
      <c r="K94">
        <v>1.108665</v>
      </c>
      <c r="L94">
        <v>367.26929999999999</v>
      </c>
      <c r="M94">
        <v>0.99997939999999996</v>
      </c>
      <c r="N94">
        <v>1.3775390000000001E-3</v>
      </c>
      <c r="O94">
        <v>6.297871E-3</v>
      </c>
      <c r="P94">
        <v>0.9574471</v>
      </c>
      <c r="Q94">
        <v>0.2825705</v>
      </c>
      <c r="R94">
        <v>5.8731560000000002E-2</v>
      </c>
      <c r="S94">
        <v>3.2248540000000001</v>
      </c>
      <c r="T94">
        <v>-0.3388622</v>
      </c>
      <c r="U94">
        <v>0.1140137</v>
      </c>
      <c r="V94">
        <v>-5.2792980000000003E-2</v>
      </c>
      <c r="W94">
        <v>0.28123359999999997</v>
      </c>
      <c r="X94">
        <v>0.95818610000000004</v>
      </c>
      <c r="Y94">
        <v>-2.8916609999999999E-2</v>
      </c>
      <c r="Z94">
        <v>8.262616E-4</v>
      </c>
      <c r="AA94">
        <v>0.99958150000000001</v>
      </c>
      <c r="AB94">
        <v>26</v>
      </c>
      <c r="AC94">
        <v>0.67400000000003502</v>
      </c>
      <c r="AD94">
        <v>-9.5060000000000103E-2</v>
      </c>
      <c r="AE94">
        <v>3.0100000000004401E-2</v>
      </c>
      <c r="AF94">
        <v>-2.5351352439720601E-2</v>
      </c>
      <c r="AG94">
        <v>-9.5060000000000103E-2</v>
      </c>
      <c r="AH94">
        <v>0.66105279014160401</v>
      </c>
      <c r="AI94">
        <v>98.177158781078802</v>
      </c>
      <c r="AJ94">
        <v>92.196214981665506</v>
      </c>
      <c r="AK94">
        <v>0.66833366369241198</v>
      </c>
      <c r="AL94">
        <v>73.666156717769596</v>
      </c>
      <c r="AM94">
        <v>93.1536251030779</v>
      </c>
      <c r="AN94">
        <v>1.0000000193697201</v>
      </c>
    </row>
    <row r="95" spans="1:40" x14ac:dyDescent="0.25">
      <c r="A95" t="str">
        <f>"20190304164826601"</f>
        <v>20190304164826601</v>
      </c>
      <c r="B95" t="str">
        <f>"1551689306597002"</f>
        <v>1551689306597002</v>
      </c>
      <c r="C95" t="s">
        <v>40</v>
      </c>
      <c r="D95">
        <v>4.8742260000000002</v>
      </c>
      <c r="E95">
        <v>0.52399709999999999</v>
      </c>
      <c r="F95" t="s">
        <v>41</v>
      </c>
      <c r="G95">
        <v>-462.97430000000003</v>
      </c>
      <c r="H95">
        <v>1.0136860000000001</v>
      </c>
      <c r="I95">
        <v>367.30169999999998</v>
      </c>
      <c r="J95">
        <v>-463.61329999999998</v>
      </c>
      <c r="K95">
        <v>1.1086739999999999</v>
      </c>
      <c r="L95">
        <v>367.2713</v>
      </c>
      <c r="M95">
        <v>0.99997789999999998</v>
      </c>
      <c r="N95">
        <v>1.2872039999999999E-3</v>
      </c>
      <c r="O95">
        <v>6.5263480000000004E-3</v>
      </c>
      <c r="P95">
        <v>0.95732950000000006</v>
      </c>
      <c r="Q95">
        <v>0.28286929999999999</v>
      </c>
      <c r="R95">
        <v>5.9204850000000003E-2</v>
      </c>
      <c r="S95">
        <v>3.2258</v>
      </c>
      <c r="T95">
        <v>-0.33723370000000003</v>
      </c>
      <c r="U95">
        <v>0.11502080000000001</v>
      </c>
      <c r="V95">
        <v>-5.3049440000000003E-2</v>
      </c>
      <c r="W95">
        <v>0.2816188</v>
      </c>
      <c r="X95">
        <v>0.95805879999999999</v>
      </c>
      <c r="Y95">
        <v>-2.8991469999999998E-2</v>
      </c>
      <c r="Z95">
        <v>8.0354839999999999E-4</v>
      </c>
      <c r="AA95">
        <v>0.99957929999999995</v>
      </c>
      <c r="AB95">
        <v>26</v>
      </c>
      <c r="AC95">
        <v>0.63899999999995305</v>
      </c>
      <c r="AD95">
        <v>-9.4987999999999795E-2</v>
      </c>
      <c r="AE95">
        <v>3.03999999999859E-2</v>
      </c>
      <c r="AF95">
        <v>-2.56632102811125E-2</v>
      </c>
      <c r="AG95">
        <v>-9.4987999999999795E-2</v>
      </c>
      <c r="AH95">
        <v>0.62539653429999298</v>
      </c>
      <c r="AI95">
        <v>98.629177937291004</v>
      </c>
      <c r="AJ95">
        <v>92.3498197834178</v>
      </c>
      <c r="AK95">
        <v>0.63308936621963197</v>
      </c>
      <c r="AL95">
        <v>73.643156936852407</v>
      </c>
      <c r="AM95">
        <v>93.169333974885106</v>
      </c>
      <c r="AN95">
        <v>1.00000002792759</v>
      </c>
    </row>
    <row r="96" spans="1:40" x14ac:dyDescent="0.25">
      <c r="A96" t="str">
        <f>"20190304164826624"</f>
        <v>20190304164826624</v>
      </c>
      <c r="B96" t="str">
        <f>"1551689306616523"</f>
        <v>1551689306616523</v>
      </c>
      <c r="C96" t="s">
        <v>40</v>
      </c>
      <c r="D96">
        <v>4.8711349999999998</v>
      </c>
      <c r="E96">
        <v>0.52408540000000003</v>
      </c>
      <c r="F96" t="s">
        <v>41</v>
      </c>
      <c r="G96">
        <v>-462.73660000000001</v>
      </c>
      <c r="H96">
        <v>1.0162409999999999</v>
      </c>
      <c r="I96">
        <v>367.30239999999998</v>
      </c>
      <c r="J96">
        <v>-463.34519999999998</v>
      </c>
      <c r="K96">
        <v>1.108681</v>
      </c>
      <c r="L96">
        <v>367.27330000000001</v>
      </c>
      <c r="M96">
        <v>0.99997659999999999</v>
      </c>
      <c r="N96">
        <v>1.196014E-3</v>
      </c>
      <c r="O96">
        <v>6.7537489999999999E-3</v>
      </c>
      <c r="P96">
        <v>0.95733820000000003</v>
      </c>
      <c r="Q96">
        <v>0.28280719999999998</v>
      </c>
      <c r="R96">
        <v>5.936147E-2</v>
      </c>
      <c r="S96">
        <v>3.2271420000000002</v>
      </c>
      <c r="T96">
        <v>-0.34045609999999998</v>
      </c>
      <c r="U96">
        <v>0.1156311</v>
      </c>
      <c r="V96">
        <v>-5.2989649999999999E-2</v>
      </c>
      <c r="W96">
        <v>0.28164400000000001</v>
      </c>
      <c r="X96">
        <v>0.95805469999999904</v>
      </c>
      <c r="Y96">
        <v>-2.8937319999999999E-2</v>
      </c>
      <c r="Z96">
        <v>7.8601059999999995E-4</v>
      </c>
      <c r="AA96">
        <v>0.99958089999999999</v>
      </c>
      <c r="AB96">
        <v>26</v>
      </c>
      <c r="AC96">
        <v>0.60859999999996695</v>
      </c>
      <c r="AD96">
        <v>-9.2439999999999994E-2</v>
      </c>
      <c r="AE96">
        <v>2.9099999999971201E-2</v>
      </c>
      <c r="AF96">
        <v>-2.4426751643651299E-2</v>
      </c>
      <c r="AG96">
        <v>-9.2439999999999994E-2</v>
      </c>
      <c r="AH96">
        <v>0.59508509182694103</v>
      </c>
      <c r="AI96">
        <v>98.822394553506598</v>
      </c>
      <c r="AJ96">
        <v>92.350528616816305</v>
      </c>
      <c r="AK96">
        <v>0.60271725237505802</v>
      </c>
      <c r="AL96">
        <v>73.641652158344996</v>
      </c>
      <c r="AM96">
        <v>93.165782729543594</v>
      </c>
      <c r="AN96">
        <v>1.0000000269675999</v>
      </c>
    </row>
    <row r="97" spans="1:40" x14ac:dyDescent="0.25">
      <c r="A97" t="str">
        <f>"20190304164826647"</f>
        <v>20190304164826647</v>
      </c>
      <c r="B97" t="str">
        <f>"1551689306637021"</f>
        <v>1551689306637021</v>
      </c>
      <c r="C97" t="s">
        <v>40</v>
      </c>
      <c r="D97">
        <v>4.8025520000000004</v>
      </c>
      <c r="E97">
        <v>0.52412669999999995</v>
      </c>
      <c r="F97" t="s">
        <v>41</v>
      </c>
      <c r="G97">
        <v>-462.49709999999999</v>
      </c>
      <c r="H97">
        <v>1.0187440000000001</v>
      </c>
      <c r="I97">
        <v>367.30349999999999</v>
      </c>
      <c r="J97">
        <v>-463.06880000000001</v>
      </c>
      <c r="K97">
        <v>1.108698</v>
      </c>
      <c r="L97">
        <v>367.27539999999999</v>
      </c>
      <c r="M97">
        <v>0.99997510000000001</v>
      </c>
      <c r="N97">
        <v>1.1001260000000001E-3</v>
      </c>
      <c r="O97">
        <v>6.9885390000000002E-3</v>
      </c>
      <c r="P97">
        <v>0.95738409999999996</v>
      </c>
      <c r="Q97">
        <v>0.282584</v>
      </c>
      <c r="R97">
        <v>5.9686879999999998E-2</v>
      </c>
      <c r="S97">
        <v>3.2276609999999999</v>
      </c>
      <c r="T97">
        <v>-0.34239160000000002</v>
      </c>
      <c r="U97">
        <v>0.11584469999999999</v>
      </c>
      <c r="V97">
        <v>-5.309183E-2</v>
      </c>
      <c r="W97">
        <v>0.28151219999999999</v>
      </c>
      <c r="X97">
        <v>0.95808769999999999</v>
      </c>
      <c r="Y97">
        <v>-2.87637E-2</v>
      </c>
      <c r="Z97">
        <v>7.5833469999999996E-4</v>
      </c>
      <c r="AA97">
        <v>0.99958590000000003</v>
      </c>
      <c r="AB97">
        <v>26</v>
      </c>
      <c r="AC97">
        <v>0.57170000000002097</v>
      </c>
      <c r="AD97">
        <v>-8.9953999999999798E-2</v>
      </c>
      <c r="AE97">
        <v>2.80999999999949E-2</v>
      </c>
      <c r="AF97">
        <v>-2.3522999967427499E-2</v>
      </c>
      <c r="AG97">
        <v>-8.9953999999999798E-2</v>
      </c>
      <c r="AH97">
        <v>0.55809865981849904</v>
      </c>
      <c r="AI97">
        <v>99.148167265945801</v>
      </c>
      <c r="AJ97">
        <v>92.413500453927497</v>
      </c>
      <c r="AK97">
        <v>0.56579074553643205</v>
      </c>
      <c r="AL97">
        <v>73.649520899551604</v>
      </c>
      <c r="AM97">
        <v>93.171765831237494</v>
      </c>
      <c r="AN97">
        <v>0.99999995102643802</v>
      </c>
    </row>
    <row r="98" spans="1:40" x14ac:dyDescent="0.25">
      <c r="A98" t="str">
        <f>"20190304164826667"</f>
        <v>20190304164826667</v>
      </c>
      <c r="B98" t="str">
        <f>"1551689306656556"</f>
        <v>1551689306656556</v>
      </c>
      <c r="C98" t="s">
        <v>40</v>
      </c>
      <c r="D98">
        <v>4.8143409999999998</v>
      </c>
      <c r="E98">
        <v>0.52230310000000002</v>
      </c>
      <c r="F98" t="s">
        <v>41</v>
      </c>
      <c r="G98">
        <v>-462.25529999999998</v>
      </c>
      <c r="H98">
        <v>1.022276</v>
      </c>
      <c r="I98">
        <v>367.30439999999999</v>
      </c>
      <c r="J98">
        <v>-462.8252</v>
      </c>
      <c r="K98">
        <v>1.108708</v>
      </c>
      <c r="L98">
        <v>367.27730000000003</v>
      </c>
      <c r="M98">
        <v>0.99997369999999997</v>
      </c>
      <c r="N98">
        <v>1.0132989999999901E-3</v>
      </c>
      <c r="O98">
        <v>7.1955439999999999E-3</v>
      </c>
      <c r="P98">
        <v>0.95731429999999995</v>
      </c>
      <c r="Q98">
        <v>0.28267589999999998</v>
      </c>
      <c r="R98">
        <v>6.03659E-2</v>
      </c>
      <c r="S98">
        <v>3.2275700000000001</v>
      </c>
      <c r="T98">
        <v>-0.3430552</v>
      </c>
      <c r="U98">
        <v>0.1161194</v>
      </c>
      <c r="V98">
        <v>-5.3574139999999999E-2</v>
      </c>
      <c r="W98">
        <v>0.28168690000000002</v>
      </c>
      <c r="X98">
        <v>0.95800949999999996</v>
      </c>
      <c r="Y98">
        <v>-2.8643930000000001E-2</v>
      </c>
      <c r="Z98">
        <v>7.3329459999999999E-4</v>
      </c>
      <c r="AA98">
        <v>0.99958939999999996</v>
      </c>
      <c r="AB98">
        <v>27</v>
      </c>
      <c r="AC98">
        <v>0.56990000000001795</v>
      </c>
      <c r="AD98">
        <v>-8.6431999999999995E-2</v>
      </c>
      <c r="AE98">
        <v>2.70999999999617E-2</v>
      </c>
      <c r="AF98">
        <v>-2.2482594686992999E-2</v>
      </c>
      <c r="AG98">
        <v>-8.6431999999999995E-2</v>
      </c>
      <c r="AH98">
        <v>0.55729076998064597</v>
      </c>
      <c r="AI98">
        <v>98.808893766941793</v>
      </c>
      <c r="AJ98">
        <v>92.310211653085901</v>
      </c>
      <c r="AK98">
        <v>0.56440141742688799</v>
      </c>
      <c r="AL98">
        <v>73.639089159903904</v>
      </c>
      <c r="AM98">
        <v>93.200780650251303</v>
      </c>
      <c r="AN98">
        <v>0.99999995009929799</v>
      </c>
    </row>
    <row r="99" spans="1:40" x14ac:dyDescent="0.25">
      <c r="A99" t="str">
        <f>"20190304164826691"</f>
        <v>20190304164826691</v>
      </c>
      <c r="B99" t="str">
        <f>"1551689306686164"</f>
        <v>1551689306686164</v>
      </c>
      <c r="C99" t="s">
        <v>40</v>
      </c>
      <c r="D99">
        <v>4.8191050000000004</v>
      </c>
      <c r="E99">
        <v>0.52497130000000003</v>
      </c>
      <c r="F99" t="s">
        <v>41</v>
      </c>
      <c r="G99">
        <v>-462.00799999999998</v>
      </c>
      <c r="H99">
        <v>1.0300739999999999</v>
      </c>
      <c r="I99">
        <v>367.31</v>
      </c>
      <c r="J99">
        <v>-462.54300000000001</v>
      </c>
      <c r="K99">
        <v>1.1087199999999999</v>
      </c>
      <c r="L99">
        <v>367.27960000000002</v>
      </c>
      <c r="M99">
        <v>0.99997199999999997</v>
      </c>
      <c r="N99">
        <v>9.0935630000000005E-4</v>
      </c>
      <c r="O99">
        <v>7.4315859999999996E-3</v>
      </c>
      <c r="P99">
        <v>0.95723340000000001</v>
      </c>
      <c r="Q99">
        <v>0.28281030000000001</v>
      </c>
      <c r="R99">
        <v>6.1015590000000001E-2</v>
      </c>
      <c r="S99">
        <v>3.217041</v>
      </c>
      <c r="T99">
        <v>-0.30961250000000001</v>
      </c>
      <c r="U99">
        <v>0.12911989999999901</v>
      </c>
      <c r="V99">
        <v>-5.3998770000000001E-2</v>
      </c>
      <c r="W99">
        <v>0.28192030000000001</v>
      </c>
      <c r="X99">
        <v>0.95791700000000002</v>
      </c>
      <c r="Y99">
        <v>-3.2563370000000001E-2</v>
      </c>
      <c r="Z99">
        <v>8.2788890000000002E-4</v>
      </c>
      <c r="AA99">
        <v>0.9994693</v>
      </c>
      <c r="AB99">
        <v>27</v>
      </c>
      <c r="AC99">
        <v>0.53499999999996795</v>
      </c>
      <c r="AD99">
        <v>-7.8646000000000202E-2</v>
      </c>
      <c r="AE99">
        <v>3.03999999999859E-2</v>
      </c>
      <c r="AF99">
        <v>-2.5866104544018401E-2</v>
      </c>
      <c r="AG99">
        <v>-7.8646000000000202E-2</v>
      </c>
      <c r="AH99">
        <v>0.52392578432842296</v>
      </c>
      <c r="AI99">
        <v>98.526643872245401</v>
      </c>
      <c r="AJ99">
        <v>92.826385618156607</v>
      </c>
      <c r="AK99">
        <v>0.53042669254519503</v>
      </c>
      <c r="AL99">
        <v>73.625151470400297</v>
      </c>
      <c r="AM99">
        <v>93.226407608644095</v>
      </c>
      <c r="AN99">
        <v>0.9999999508013</v>
      </c>
    </row>
    <row r="100" spans="1:40" x14ac:dyDescent="0.25">
      <c r="A100" t="str">
        <f>"20190304164826714"</f>
        <v>20190304164826714</v>
      </c>
      <c r="B100" t="str">
        <f>"1551689306706659"</f>
        <v>1551689306706659</v>
      </c>
      <c r="C100" t="s">
        <v>40</v>
      </c>
      <c r="D100">
        <v>4.8162909999999997</v>
      </c>
      <c r="E100">
        <v>0.52483239999999998</v>
      </c>
      <c r="F100" t="s">
        <v>41</v>
      </c>
      <c r="G100">
        <v>-461.76729999999998</v>
      </c>
      <c r="H100">
        <v>1.0271950000000001</v>
      </c>
      <c r="I100">
        <v>367.30610000000001</v>
      </c>
      <c r="J100">
        <v>-462.25729999999999</v>
      </c>
      <c r="K100">
        <v>1.1087290000000001</v>
      </c>
      <c r="L100">
        <v>367.28190000000001</v>
      </c>
      <c r="M100">
        <v>0.99997049999999998</v>
      </c>
      <c r="N100">
        <v>8.0020470000000002E-4</v>
      </c>
      <c r="O100">
        <v>7.6599419999999899E-3</v>
      </c>
      <c r="P100">
        <v>0.95716489999999999</v>
      </c>
      <c r="Q100">
        <v>0.2827539</v>
      </c>
      <c r="R100">
        <v>6.2336469999999998E-2</v>
      </c>
      <c r="S100">
        <v>3.2271420000000002</v>
      </c>
      <c r="T100">
        <v>-0.33954060000000003</v>
      </c>
      <c r="U100">
        <v>0.11242679999999999</v>
      </c>
      <c r="V100">
        <v>-5.509965E-2</v>
      </c>
      <c r="W100">
        <v>0.28196880000000002</v>
      </c>
      <c r="X100">
        <v>0.95784009999999997</v>
      </c>
      <c r="Y100">
        <v>-2.7055300000000001E-2</v>
      </c>
      <c r="Z100">
        <v>5.9854449999999996E-4</v>
      </c>
      <c r="AA100">
        <v>0.99963380000000002</v>
      </c>
      <c r="AB100">
        <v>27</v>
      </c>
      <c r="AC100">
        <v>0.49000000000000898</v>
      </c>
      <c r="AD100">
        <v>-8.1533999999999995E-2</v>
      </c>
      <c r="AE100">
        <v>2.42000000000075E-2</v>
      </c>
      <c r="AF100">
        <v>-1.9896375338659001E-2</v>
      </c>
      <c r="AG100">
        <v>-8.1533999999999995E-2</v>
      </c>
      <c r="AH100">
        <v>0.47699624818722602</v>
      </c>
      <c r="AI100">
        <v>99.691678646436898</v>
      </c>
      <c r="AJ100">
        <v>92.388525881070606</v>
      </c>
      <c r="AK100">
        <v>0.484323321441685</v>
      </c>
      <c r="AL100">
        <v>73.622256226496503</v>
      </c>
      <c r="AM100">
        <v>93.292305291736994</v>
      </c>
      <c r="AN100">
        <v>1.0000000163857801</v>
      </c>
    </row>
    <row r="101" spans="1:40" x14ac:dyDescent="0.25">
      <c r="A101" t="str">
        <f>"20190304164826738"</f>
        <v>20190304164826738</v>
      </c>
      <c r="B101" t="str">
        <f>"1551689306726179"</f>
        <v>1551689306726179</v>
      </c>
      <c r="C101" t="s">
        <v>40</v>
      </c>
      <c r="D101">
        <v>4.8227010000000003</v>
      </c>
      <c r="E101">
        <v>0.52477559999999901</v>
      </c>
      <c r="F101" t="s">
        <v>41</v>
      </c>
      <c r="G101">
        <v>-461.5181</v>
      </c>
      <c r="H101">
        <v>1.0323059999999999</v>
      </c>
      <c r="I101">
        <v>367.30869999999999</v>
      </c>
      <c r="J101">
        <v>-461.9633</v>
      </c>
      <c r="K101">
        <v>1.1087359999999999</v>
      </c>
      <c r="L101">
        <v>367.28440000000001</v>
      </c>
      <c r="M101">
        <v>0.99996879999999999</v>
      </c>
      <c r="N101">
        <v>6.8497329999999996E-4</v>
      </c>
      <c r="O101">
        <v>7.872446E-3</v>
      </c>
      <c r="P101">
        <v>0.95710709999999999</v>
      </c>
      <c r="Q101">
        <v>0.28275879999999998</v>
      </c>
      <c r="R101">
        <v>6.3196409999999995E-2</v>
      </c>
      <c r="S101">
        <v>3.2251280000000002</v>
      </c>
      <c r="T101">
        <v>-0.33348100000000003</v>
      </c>
      <c r="U101">
        <v>0.1173401</v>
      </c>
      <c r="V101">
        <v>-5.575078E-2</v>
      </c>
      <c r="W101">
        <v>0.28208499999999997</v>
      </c>
      <c r="X101">
        <v>0.95776819999999896</v>
      </c>
      <c r="Y101">
        <v>-2.838301E-2</v>
      </c>
      <c r="Z101">
        <v>6.3635410000000003E-4</v>
      </c>
      <c r="AA101">
        <v>0.99959690000000001</v>
      </c>
      <c r="AB101">
        <v>27</v>
      </c>
      <c r="AC101">
        <v>0.44519999999999899</v>
      </c>
      <c r="AD101">
        <v>-7.6430000000000206E-2</v>
      </c>
      <c r="AE101">
        <v>2.4299999999982402E-2</v>
      </c>
      <c r="AF101">
        <v>-2.02008321356732E-2</v>
      </c>
      <c r="AG101">
        <v>-7.6430000000000206E-2</v>
      </c>
      <c r="AH101">
        <v>0.43266368852963999</v>
      </c>
      <c r="AI101">
        <v>100.007262571151</v>
      </c>
      <c r="AJ101">
        <v>92.673167472195601</v>
      </c>
      <c r="AK101">
        <v>0.43982665436629398</v>
      </c>
      <c r="AL101">
        <v>73.615316665897097</v>
      </c>
      <c r="AM101">
        <v>93.331373907107505</v>
      </c>
      <c r="AN101">
        <v>1.0000000108134199</v>
      </c>
    </row>
    <row r="102" spans="1:40" x14ac:dyDescent="0.25">
      <c r="A102" t="str">
        <f>"20190304164826761"</f>
        <v>20190304164826761</v>
      </c>
      <c r="B102" t="str">
        <f>"1551689306746676"</f>
        <v>1551689306746676</v>
      </c>
      <c r="C102" t="s">
        <v>40</v>
      </c>
      <c r="D102">
        <v>4.8063820000000002</v>
      </c>
      <c r="E102">
        <v>0.52476919999999905</v>
      </c>
      <c r="F102" t="s">
        <v>41</v>
      </c>
      <c r="G102">
        <v>-461.03230000000002</v>
      </c>
      <c r="H102">
        <v>1.0123610000000001</v>
      </c>
      <c r="I102">
        <v>367.31889999999999</v>
      </c>
      <c r="J102">
        <v>-461.68329999999997</v>
      </c>
      <c r="K102">
        <v>1.108733</v>
      </c>
      <c r="L102">
        <v>367.28680000000003</v>
      </c>
      <c r="M102">
        <v>0.99996750000000001</v>
      </c>
      <c r="N102">
        <v>5.7432659999999999E-4</v>
      </c>
      <c r="O102">
        <v>8.0479909999999905E-3</v>
      </c>
      <c r="P102">
        <v>0.95705180000000001</v>
      </c>
      <c r="Q102">
        <v>0.28276309999999999</v>
      </c>
      <c r="R102">
        <v>6.4007170000000002E-2</v>
      </c>
      <c r="S102">
        <v>3.2251889999999999</v>
      </c>
      <c r="T102">
        <v>-0.33385219999999999</v>
      </c>
      <c r="U102">
        <v>0.1196594</v>
      </c>
      <c r="V102">
        <v>-5.638319E-2</v>
      </c>
      <c r="W102">
        <v>0.28219709999999998</v>
      </c>
      <c r="X102">
        <v>0.95769820000000005</v>
      </c>
      <c r="Y102">
        <v>-2.8922320000000001E-2</v>
      </c>
      <c r="Z102">
        <v>6.4895670000000003E-4</v>
      </c>
      <c r="AA102">
        <v>0.99958150000000001</v>
      </c>
      <c r="AB102">
        <v>28</v>
      </c>
      <c r="AC102">
        <v>0.65099999999995295</v>
      </c>
      <c r="AD102">
        <v>-9.6371999999999902E-2</v>
      </c>
      <c r="AE102">
        <v>3.20999999999571E-2</v>
      </c>
      <c r="AF102">
        <v>-2.6285079576621798E-2</v>
      </c>
      <c r="AG102">
        <v>-9.6371999999999902E-2</v>
      </c>
      <c r="AH102">
        <v>0.63730465598438901</v>
      </c>
      <c r="AI102">
        <v>98.591814254797598</v>
      </c>
      <c r="AJ102">
        <v>92.361776310763204</v>
      </c>
      <c r="AK102">
        <v>0.64508580230208901</v>
      </c>
      <c r="AL102">
        <v>73.608622558748294</v>
      </c>
      <c r="AM102">
        <v>93.369322532318606</v>
      </c>
      <c r="AN102">
        <v>1.0000000548231101</v>
      </c>
    </row>
    <row r="103" spans="1:40" x14ac:dyDescent="0.25">
      <c r="A103" t="str">
        <f>"20190304164826781"</f>
        <v>20190304164826781</v>
      </c>
      <c r="B103" t="str">
        <f>"1551689306776931"</f>
        <v>1551689306776931</v>
      </c>
      <c r="C103" t="s">
        <v>40</v>
      </c>
      <c r="D103">
        <v>4.8043990000000001</v>
      </c>
      <c r="E103">
        <v>0.52481730000000004</v>
      </c>
      <c r="F103" t="s">
        <v>41</v>
      </c>
      <c r="G103">
        <v>-460.78030000000001</v>
      </c>
      <c r="H103">
        <v>1.0150319999999999</v>
      </c>
      <c r="I103">
        <v>367.32080000000002</v>
      </c>
      <c r="J103">
        <v>-461.4246</v>
      </c>
      <c r="K103">
        <v>1.1087279999999999</v>
      </c>
      <c r="L103">
        <v>367.28910000000002</v>
      </c>
      <c r="M103">
        <v>0.99996640000000003</v>
      </c>
      <c r="N103">
        <v>4.7168029999999998E-4</v>
      </c>
      <c r="O103">
        <v>8.1880589999999993E-3</v>
      </c>
      <c r="P103">
        <v>0.956924</v>
      </c>
      <c r="Q103">
        <v>0.28303889999999998</v>
      </c>
      <c r="R103">
        <v>6.4696509999999999E-2</v>
      </c>
      <c r="S103">
        <v>3.2253720000000001</v>
      </c>
      <c r="T103">
        <v>-0.33504030000000001</v>
      </c>
      <c r="U103">
        <v>0.1230774</v>
      </c>
      <c r="V103">
        <v>-5.6929170000000001E-2</v>
      </c>
      <c r="W103">
        <v>0.28257359999999998</v>
      </c>
      <c r="X103">
        <v>0.95755480000000004</v>
      </c>
      <c r="Y103">
        <v>-2.9832839999999999E-2</v>
      </c>
      <c r="Z103">
        <v>6.8592410000000001E-4</v>
      </c>
      <c r="AA103">
        <v>0.99955470000000002</v>
      </c>
      <c r="AB103">
        <v>28</v>
      </c>
      <c r="AC103">
        <v>0.64429999999998699</v>
      </c>
      <c r="AD103">
        <v>-9.3696000000000196E-2</v>
      </c>
      <c r="AE103">
        <v>3.17000000000007E-2</v>
      </c>
      <c r="AF103">
        <v>-2.5877440301729001E-2</v>
      </c>
      <c r="AG103">
        <v>-9.3696000000000196E-2</v>
      </c>
      <c r="AH103">
        <v>0.63122123838521205</v>
      </c>
      <c r="AI103">
        <v>98.436126719276004</v>
      </c>
      <c r="AJ103">
        <v>92.3475736253409</v>
      </c>
      <c r="AK103">
        <v>0.63866175251155499</v>
      </c>
      <c r="AL103">
        <v>73.586134277051002</v>
      </c>
      <c r="AM103">
        <v>93.402380969445701</v>
      </c>
      <c r="AN103">
        <v>0.99999998240844401</v>
      </c>
    </row>
    <row r="104" spans="1:40" x14ac:dyDescent="0.25">
      <c r="A104" t="str">
        <f>"20190304164826805"</f>
        <v>20190304164826805</v>
      </c>
      <c r="B104" t="str">
        <f>"1551689306796452"</f>
        <v>1551689306796452</v>
      </c>
      <c r="C104" t="s">
        <v>40</v>
      </c>
      <c r="D104">
        <v>4.7759150000000004</v>
      </c>
      <c r="E104">
        <v>0.52474279999999995</v>
      </c>
      <c r="F104" t="s">
        <v>41</v>
      </c>
      <c r="G104">
        <v>-460.52730000000003</v>
      </c>
      <c r="H104">
        <v>1.016394</v>
      </c>
      <c r="I104">
        <v>367.32369999999997</v>
      </c>
      <c r="J104">
        <v>-461.1266</v>
      </c>
      <c r="K104">
        <v>1.1087199999999999</v>
      </c>
      <c r="L104">
        <v>367.29160000000002</v>
      </c>
      <c r="M104">
        <v>0.99996549999999995</v>
      </c>
      <c r="N104">
        <v>3.5187E-4</v>
      </c>
      <c r="O104">
        <v>8.3185869999999901E-3</v>
      </c>
      <c r="P104">
        <v>0.9567968</v>
      </c>
      <c r="Q104">
        <v>0.2833195</v>
      </c>
      <c r="R104">
        <v>6.5346570000000007E-2</v>
      </c>
      <c r="S104">
        <v>3.2247620000000001</v>
      </c>
      <c r="T104">
        <v>-0.33187820000000001</v>
      </c>
      <c r="U104">
        <v>0.12454220000000001</v>
      </c>
      <c r="V104">
        <v>-5.7440819999999997E-2</v>
      </c>
      <c r="W104">
        <v>0.28297149999999999</v>
      </c>
      <c r="X104">
        <v>0.9574068</v>
      </c>
      <c r="Y104">
        <v>-3.016375E-2</v>
      </c>
      <c r="Z104">
        <v>6.857581E-4</v>
      </c>
      <c r="AA104">
        <v>0.99954469999999995</v>
      </c>
      <c r="AB104">
        <v>28</v>
      </c>
      <c r="AC104">
        <v>0.59929999999997097</v>
      </c>
      <c r="AD104">
        <v>-9.2326000000000102E-2</v>
      </c>
      <c r="AE104">
        <v>3.20999999999571E-2</v>
      </c>
      <c r="AF104">
        <v>-2.6486739269395699E-2</v>
      </c>
      <c r="AG104">
        <v>-9.2326000000000102E-2</v>
      </c>
      <c r="AH104">
        <v>0.58568575668251799</v>
      </c>
      <c r="AI104">
        <v>98.949243905020495</v>
      </c>
      <c r="AJ104">
        <v>92.589349423521497</v>
      </c>
      <c r="AK104">
        <v>0.59350942975987997</v>
      </c>
      <c r="AL104">
        <v>73.562367368877304</v>
      </c>
      <c r="AM104">
        <v>93.433416409636095</v>
      </c>
      <c r="AN104">
        <v>1.00000004915038</v>
      </c>
    </row>
    <row r="105" spans="1:40" x14ac:dyDescent="0.25">
      <c r="A105" t="str">
        <f>"20190304164826826"</f>
        <v>20190304164826826</v>
      </c>
      <c r="B105" t="str">
        <f>"1551689306816947"</f>
        <v>1551689306816947</v>
      </c>
      <c r="C105" t="s">
        <v>40</v>
      </c>
      <c r="D105">
        <v>4.7815570000000003</v>
      </c>
      <c r="E105">
        <v>0.52478269999999905</v>
      </c>
      <c r="F105" t="s">
        <v>41</v>
      </c>
      <c r="G105">
        <v>-460.27080000000001</v>
      </c>
      <c r="H105">
        <v>1.021504</v>
      </c>
      <c r="I105">
        <v>367.32499999999999</v>
      </c>
      <c r="J105">
        <v>-460.84480000000002</v>
      </c>
      <c r="K105">
        <v>1.108708</v>
      </c>
      <c r="L105">
        <v>367.29410000000001</v>
      </c>
      <c r="M105">
        <v>0.99996470000000004</v>
      </c>
      <c r="N105">
        <v>2.3681E-4</v>
      </c>
      <c r="O105">
        <v>8.4116090000000004E-3</v>
      </c>
      <c r="P105">
        <v>0.95676879999999997</v>
      </c>
      <c r="Q105">
        <v>0.2832964</v>
      </c>
      <c r="R105">
        <v>6.5854770000000007E-2</v>
      </c>
      <c r="S105">
        <v>3.2242130000000002</v>
      </c>
      <c r="T105">
        <v>-0.32879019999999998</v>
      </c>
      <c r="U105">
        <v>0.1269836</v>
      </c>
      <c r="V105">
        <v>-5.7846439999999999E-2</v>
      </c>
      <c r="W105">
        <v>0.28306110000000001</v>
      </c>
      <c r="X105">
        <v>0.95735579999999998</v>
      </c>
      <c r="Y105">
        <v>-3.0831890000000001E-2</v>
      </c>
      <c r="Z105">
        <v>7.0654369999999895E-4</v>
      </c>
      <c r="AA105">
        <v>0.99952439999999998</v>
      </c>
      <c r="AB105">
        <v>28</v>
      </c>
      <c r="AC105">
        <v>0.57400000000001195</v>
      </c>
      <c r="AD105">
        <v>-8.7203999999999796E-2</v>
      </c>
      <c r="AE105">
        <v>3.0899999999974101E-2</v>
      </c>
      <c r="AF105">
        <v>-2.5484151142816599E-2</v>
      </c>
      <c r="AG105">
        <v>-8.7203999999999796E-2</v>
      </c>
      <c r="AH105">
        <v>0.56132135688257201</v>
      </c>
      <c r="AI105">
        <v>98.821643102679005</v>
      </c>
      <c r="AJ105">
        <v>92.599459869209099</v>
      </c>
      <c r="AK105">
        <v>0.56862610322422003</v>
      </c>
      <c r="AL105">
        <v>73.557013361880607</v>
      </c>
      <c r="AM105">
        <v>93.457786709566406</v>
      </c>
      <c r="AN105">
        <v>0.99999996237376099</v>
      </c>
    </row>
    <row r="106" spans="1:40" x14ac:dyDescent="0.25">
      <c r="A106" t="str">
        <f>"20190304164826848"</f>
        <v>20190304164826848</v>
      </c>
      <c r="B106" t="str">
        <f>"1551689306836471"</f>
        <v>1551689306836471</v>
      </c>
      <c r="C106" t="s">
        <v>40</v>
      </c>
      <c r="D106">
        <v>4.7561799999999996</v>
      </c>
      <c r="E106">
        <v>0.52483040000000003</v>
      </c>
      <c r="F106" t="s">
        <v>41</v>
      </c>
      <c r="G106">
        <v>-460.01369999999997</v>
      </c>
      <c r="H106">
        <v>1.0241899999999999</v>
      </c>
      <c r="I106">
        <v>367.32729999999998</v>
      </c>
      <c r="J106">
        <v>-460.57310000000001</v>
      </c>
      <c r="K106">
        <v>1.108703</v>
      </c>
      <c r="L106">
        <v>367.29649999999998</v>
      </c>
      <c r="M106">
        <v>0.99996410000000002</v>
      </c>
      <c r="N106">
        <v>1.2376109999999999E-4</v>
      </c>
      <c r="O106">
        <v>8.4749330000000005E-3</v>
      </c>
      <c r="P106">
        <v>0.9568316</v>
      </c>
      <c r="Q106">
        <v>0.28312870000000001</v>
      </c>
      <c r="R106">
        <v>6.5663520000000003E-2</v>
      </c>
      <c r="S106">
        <v>3.2237849999999999</v>
      </c>
      <c r="T106">
        <v>-0.32792830000000001</v>
      </c>
      <c r="U106">
        <v>0.12872310000000001</v>
      </c>
      <c r="V106">
        <v>-5.7581779999999999E-2</v>
      </c>
      <c r="W106">
        <v>0.28300399999999998</v>
      </c>
      <c r="X106">
        <v>0.95738869999999998</v>
      </c>
      <c r="Y106">
        <v>-3.1310449999999997E-2</v>
      </c>
      <c r="Z106">
        <v>7.252777E-4</v>
      </c>
      <c r="AA106">
        <v>0.99950950000000005</v>
      </c>
      <c r="AB106">
        <v>28</v>
      </c>
      <c r="AC106">
        <v>0.55940000000003898</v>
      </c>
      <c r="AD106">
        <v>-8.4513000000000005E-2</v>
      </c>
      <c r="AE106">
        <v>3.07999999999992E-2</v>
      </c>
      <c r="AF106">
        <v>-2.5478244677150801E-2</v>
      </c>
      <c r="AG106">
        <v>-8.4513000000000005E-2</v>
      </c>
      <c r="AH106">
        <v>0.54718933799284097</v>
      </c>
      <c r="AI106">
        <v>98.770562598986899</v>
      </c>
      <c r="AJ106">
        <v>92.665882175681503</v>
      </c>
      <c r="AK106">
        <v>0.55426325850977398</v>
      </c>
      <c r="AL106">
        <v>73.560425472825003</v>
      </c>
      <c r="AM106">
        <v>93.441886710235707</v>
      </c>
      <c r="AN106">
        <v>1.00000002414582</v>
      </c>
    </row>
    <row r="107" spans="1:40" x14ac:dyDescent="0.25">
      <c r="A107" t="str">
        <f>"20190304164826869"</f>
        <v>20190304164826869</v>
      </c>
      <c r="B107" t="str">
        <f>"1551689306866723"</f>
        <v>1551689306866723</v>
      </c>
      <c r="C107" t="s">
        <v>40</v>
      </c>
      <c r="D107">
        <v>4.750006</v>
      </c>
      <c r="E107">
        <v>0.52506419999999998</v>
      </c>
      <c r="F107" t="s">
        <v>41</v>
      </c>
      <c r="G107">
        <v>-459.75560000000002</v>
      </c>
      <c r="H107">
        <v>1.0254779999999999</v>
      </c>
      <c r="I107">
        <v>367.3288</v>
      </c>
      <c r="J107">
        <v>-460.2921</v>
      </c>
      <c r="K107">
        <v>1.1086959999999999</v>
      </c>
      <c r="L107">
        <v>367.2989</v>
      </c>
      <c r="M107">
        <v>0.99996370000000001</v>
      </c>
      <c r="N107" s="1">
        <v>4.6558630000000002E-6</v>
      </c>
      <c r="O107">
        <v>8.5192310000000004E-3</v>
      </c>
      <c r="P107">
        <v>0.95676919999999999</v>
      </c>
      <c r="Q107">
        <v>0.28332750000000001</v>
      </c>
      <c r="R107">
        <v>6.5712190000000004E-2</v>
      </c>
      <c r="S107">
        <v>3.2236940000000001</v>
      </c>
      <c r="T107">
        <v>-0.32832410000000001</v>
      </c>
      <c r="U107">
        <v>0.12844849999999999</v>
      </c>
      <c r="V107">
        <v>-5.7577549999999998E-2</v>
      </c>
      <c r="W107">
        <v>0.28331909999999999</v>
      </c>
      <c r="X107">
        <v>0.95729569999999997</v>
      </c>
      <c r="Y107">
        <v>-3.1182580000000001E-2</v>
      </c>
      <c r="Z107">
        <v>7.1806050000000003E-4</v>
      </c>
      <c r="AA107">
        <v>0.9995134</v>
      </c>
      <c r="AB107">
        <v>29</v>
      </c>
      <c r="AC107">
        <v>0.53649999999998899</v>
      </c>
      <c r="AD107">
        <v>-8.3217999999999695E-2</v>
      </c>
      <c r="AE107">
        <v>2.98999999999978E-2</v>
      </c>
      <c r="AF107">
        <v>-2.4735065262694301E-2</v>
      </c>
      <c r="AG107">
        <v>-8.3217999999999695E-2</v>
      </c>
      <c r="AH107">
        <v>0.52416295997920803</v>
      </c>
      <c r="AI107">
        <v>99.011328439833093</v>
      </c>
      <c r="AJ107">
        <v>92.701763336942093</v>
      </c>
      <c r="AK107">
        <v>0.53130393146645705</v>
      </c>
      <c r="AL107">
        <v>73.541600251576099</v>
      </c>
      <c r="AM107">
        <v>93.441968020886506</v>
      </c>
      <c r="AN107">
        <v>0.99999997196364998</v>
      </c>
    </row>
    <row r="108" spans="1:40" x14ac:dyDescent="0.25">
      <c r="A108" t="str">
        <f>"20190304164826883"</f>
        <v>20190304164826883</v>
      </c>
      <c r="B108" t="str">
        <f>"1551689306876483"</f>
        <v>1551689306876483</v>
      </c>
      <c r="C108" t="s">
        <v>40</v>
      </c>
      <c r="D108">
        <v>4.7457979999999997</v>
      </c>
      <c r="E108">
        <v>0.52510649999999903</v>
      </c>
      <c r="F108" t="s">
        <v>41</v>
      </c>
      <c r="G108">
        <v>-459.49470000000002</v>
      </c>
      <c r="H108">
        <v>1.028046</v>
      </c>
      <c r="I108">
        <v>367.33010000000002</v>
      </c>
      <c r="J108">
        <v>-460.11540000000002</v>
      </c>
      <c r="K108">
        <v>1.1086910000000001</v>
      </c>
      <c r="L108">
        <v>367.30040000000002</v>
      </c>
      <c r="M108">
        <v>0.99996359999999995</v>
      </c>
      <c r="N108" s="1">
        <v>-7.1393820000000002E-5</v>
      </c>
      <c r="O108">
        <v>8.5389019999999993E-3</v>
      </c>
      <c r="P108">
        <v>0.95704800000000001</v>
      </c>
      <c r="Q108">
        <v>0.28252480000000002</v>
      </c>
      <c r="R108">
        <v>6.5107280000000003E-2</v>
      </c>
      <c r="S108">
        <v>3.2233580000000002</v>
      </c>
      <c r="T108">
        <v>-0.32603720000000003</v>
      </c>
      <c r="U108">
        <v>0.12695310000000001</v>
      </c>
      <c r="V108">
        <v>-5.6945290000000003E-2</v>
      </c>
      <c r="W108">
        <v>0.28259099999999998</v>
      </c>
      <c r="X108">
        <v>0.95754870000000003</v>
      </c>
      <c r="Y108">
        <v>-3.0708019999999999E-2</v>
      </c>
      <c r="Z108">
        <v>6.8906960000000004E-4</v>
      </c>
      <c r="AA108">
        <v>0.99952819999999998</v>
      </c>
      <c r="AB108">
        <v>29</v>
      </c>
      <c r="AC108">
        <v>0.62069999999999903</v>
      </c>
      <c r="AD108">
        <v>-8.0644999999999994E-2</v>
      </c>
      <c r="AE108">
        <v>2.9699999999991102E-2</v>
      </c>
      <c r="AF108">
        <v>-2.3994698127195301E-2</v>
      </c>
      <c r="AG108">
        <v>-8.0644999999999994E-2</v>
      </c>
      <c r="AH108">
        <v>0.61064636295348096</v>
      </c>
      <c r="AI108">
        <v>97.517494749174503</v>
      </c>
      <c r="AJ108">
        <v>92.250218955362101</v>
      </c>
      <c r="AK108">
        <v>0.61641572185622395</v>
      </c>
      <c r="AL108">
        <v>73.585094865122002</v>
      </c>
      <c r="AM108">
        <v>93.403363749403098</v>
      </c>
      <c r="AN108">
        <v>0.99999997610293601</v>
      </c>
    </row>
    <row r="109" spans="1:40" x14ac:dyDescent="0.25">
      <c r="A109" t="str">
        <f>"20190304164826903"</f>
        <v>20190304164826903</v>
      </c>
      <c r="B109" t="str">
        <f>"1551689306896980"</f>
        <v>1551689306896980</v>
      </c>
      <c r="C109" t="s">
        <v>40</v>
      </c>
      <c r="D109">
        <v>4.7147990000000002</v>
      </c>
      <c r="E109">
        <v>0.52516479999999999</v>
      </c>
      <c r="F109" t="s">
        <v>41</v>
      </c>
      <c r="G109">
        <v>-459.23869999999999</v>
      </c>
      <c r="H109">
        <v>1.0192939999999999</v>
      </c>
      <c r="I109">
        <v>367.33409999999998</v>
      </c>
      <c r="J109">
        <v>-459.84550000000002</v>
      </c>
      <c r="K109">
        <v>1.1086910000000001</v>
      </c>
      <c r="L109">
        <v>367.30270000000002</v>
      </c>
      <c r="M109">
        <v>0.99996350000000001</v>
      </c>
      <c r="N109">
        <v>-1.892276E-4</v>
      </c>
      <c r="O109">
        <v>8.5608879999999991E-3</v>
      </c>
      <c r="P109">
        <v>0.95727300000000004</v>
      </c>
      <c r="Q109">
        <v>0.28196700000000002</v>
      </c>
      <c r="R109">
        <v>6.4213919999999994E-2</v>
      </c>
      <c r="S109">
        <v>3.223236</v>
      </c>
      <c r="T109">
        <v>-0.3288373</v>
      </c>
      <c r="U109">
        <v>0.12478640000000001</v>
      </c>
      <c r="V109">
        <v>-5.6022349999999999E-2</v>
      </c>
      <c r="W109">
        <v>0.28214729999999999</v>
      </c>
      <c r="X109">
        <v>0.95773399999999997</v>
      </c>
      <c r="Y109">
        <v>-3.0018090000000001E-2</v>
      </c>
      <c r="Z109">
        <v>6.604073E-4</v>
      </c>
      <c r="AA109">
        <v>0.99954920000000003</v>
      </c>
      <c r="AB109">
        <v>29</v>
      </c>
      <c r="AC109">
        <v>0.60680000000002099</v>
      </c>
      <c r="AD109">
        <v>-8.9396999999999893E-2</v>
      </c>
      <c r="AE109">
        <v>3.1399999999962298E-2</v>
      </c>
      <c r="AF109">
        <v>-2.56488873497085E-2</v>
      </c>
      <c r="AG109">
        <v>-8.9396999999999893E-2</v>
      </c>
      <c r="AH109">
        <v>0.59418439469232998</v>
      </c>
      <c r="AI109">
        <v>98.548321514762506</v>
      </c>
      <c r="AJ109">
        <v>92.471726369841704</v>
      </c>
      <c r="AK109">
        <v>0.60141897536340605</v>
      </c>
      <c r="AL109">
        <v>73.611595970643293</v>
      </c>
      <c r="AM109">
        <v>93.347683956421406</v>
      </c>
      <c r="AN109">
        <v>1.0000000086764</v>
      </c>
    </row>
    <row r="110" spans="1:40" x14ac:dyDescent="0.25">
      <c r="A110" t="str">
        <f>"20190304164826917"</f>
        <v>20190304164826917</v>
      </c>
      <c r="B110" t="str">
        <f>"1551689306906740"</f>
        <v>1551689306906740</v>
      </c>
      <c r="C110" t="s">
        <v>40</v>
      </c>
      <c r="D110">
        <v>4.703773</v>
      </c>
      <c r="E110">
        <v>0.52518180000000003</v>
      </c>
      <c r="F110" t="s">
        <v>41</v>
      </c>
      <c r="G110">
        <v>-458.97620000000001</v>
      </c>
      <c r="H110">
        <v>1.0198290000000001</v>
      </c>
      <c r="I110">
        <v>367.33550000000002</v>
      </c>
      <c r="J110">
        <v>-459.66919999999999</v>
      </c>
      <c r="K110">
        <v>1.108689</v>
      </c>
      <c r="L110">
        <v>367.30430000000001</v>
      </c>
      <c r="M110">
        <v>0.99996339999999995</v>
      </c>
      <c r="N110">
        <v>-2.673698E-4</v>
      </c>
      <c r="O110">
        <v>8.5719660000000003E-3</v>
      </c>
      <c r="P110">
        <v>0.95744300000000004</v>
      </c>
      <c r="Q110">
        <v>0.2815376</v>
      </c>
      <c r="R110">
        <v>6.3559900000000003E-2</v>
      </c>
      <c r="S110">
        <v>3.2228089999999998</v>
      </c>
      <c r="T110">
        <v>-0.32947310000000002</v>
      </c>
      <c r="U110">
        <v>0.1212463</v>
      </c>
      <c r="V110">
        <v>-5.535292E-2</v>
      </c>
      <c r="W110">
        <v>0.28179320000000002</v>
      </c>
      <c r="X110">
        <v>0.95787719999999998</v>
      </c>
      <c r="Y110">
        <v>-2.8920910000000001E-2</v>
      </c>
      <c r="Z110">
        <v>6.0642080000000004E-4</v>
      </c>
      <c r="AA110">
        <v>0.99958150000000001</v>
      </c>
      <c r="AB110">
        <v>29</v>
      </c>
      <c r="AC110">
        <v>0.69299999999998296</v>
      </c>
      <c r="AD110">
        <v>-8.8859999999999897E-2</v>
      </c>
      <c r="AE110">
        <v>3.1200000000012499E-2</v>
      </c>
      <c r="AF110">
        <v>-2.48507210541692E-2</v>
      </c>
      <c r="AG110">
        <v>-8.8859999999999897E-2</v>
      </c>
      <c r="AH110">
        <v>0.68205061204014295</v>
      </c>
      <c r="AI110">
        <v>97.418022511533195</v>
      </c>
      <c r="AJ110">
        <v>92.086666071124796</v>
      </c>
      <c r="AK110">
        <v>0.68826353624265602</v>
      </c>
      <c r="AL110">
        <v>73.632743021626197</v>
      </c>
      <c r="AM110">
        <v>93.307277303981607</v>
      </c>
      <c r="AN110">
        <v>1.0000000417993</v>
      </c>
    </row>
    <row r="111" spans="1:40" x14ac:dyDescent="0.25">
      <c r="A111" t="str">
        <f>"20190304164826938"</f>
        <v>20190304164826938</v>
      </c>
      <c r="B111" t="str">
        <f>"1551689306926260"</f>
        <v>1551689306926260</v>
      </c>
      <c r="C111" t="s">
        <v>40</v>
      </c>
      <c r="D111">
        <v>4.7248989999999997</v>
      </c>
      <c r="E111">
        <v>0.52524320000000002</v>
      </c>
      <c r="F111" t="s">
        <v>41</v>
      </c>
      <c r="G111">
        <v>-458.71629999999999</v>
      </c>
      <c r="H111">
        <v>1.011147</v>
      </c>
      <c r="I111">
        <v>367.339</v>
      </c>
      <c r="J111">
        <v>-459.38679999999999</v>
      </c>
      <c r="K111">
        <v>1.1086940000000001</v>
      </c>
      <c r="L111">
        <v>367.3066</v>
      </c>
      <c r="M111">
        <v>0.99996320000000005</v>
      </c>
      <c r="N111">
        <v>-3.9578619999999998E-4</v>
      </c>
      <c r="O111">
        <v>8.5858299999999992E-3</v>
      </c>
      <c r="P111">
        <v>0.9575515</v>
      </c>
      <c r="Q111">
        <v>0.28136879999999997</v>
      </c>
      <c r="R111">
        <v>6.2665860000000004E-2</v>
      </c>
      <c r="S111">
        <v>3.2225039999999998</v>
      </c>
      <c r="T111">
        <v>-0.33008409999999999</v>
      </c>
      <c r="U111">
        <v>0.1188965</v>
      </c>
      <c r="V111">
        <v>-5.4441499999999997E-2</v>
      </c>
      <c r="W111">
        <v>0.28174829999999901</v>
      </c>
      <c r="X111">
        <v>0.95794259999999998</v>
      </c>
      <c r="Y111">
        <v>-2.818592E-2</v>
      </c>
      <c r="Z111">
        <v>5.714642E-4</v>
      </c>
      <c r="AA111">
        <v>0.99960260000000001</v>
      </c>
      <c r="AB111">
        <v>29</v>
      </c>
      <c r="AC111">
        <v>0.67050000000000398</v>
      </c>
      <c r="AD111">
        <v>-9.7546999999999995E-2</v>
      </c>
      <c r="AE111">
        <v>3.2399999999995502E-2</v>
      </c>
      <c r="AF111">
        <v>-2.6091061009048899E-2</v>
      </c>
      <c r="AG111">
        <v>-9.7546999999999995E-2</v>
      </c>
      <c r="AH111">
        <v>0.65688255266241202</v>
      </c>
      <c r="AI111">
        <v>98.440130489798193</v>
      </c>
      <c r="AJ111">
        <v>92.274565329569995</v>
      </c>
      <c r="AK111">
        <v>0.66459826110656095</v>
      </c>
      <c r="AL111">
        <v>73.635423590604901</v>
      </c>
      <c r="AM111">
        <v>93.252717256986699</v>
      </c>
      <c r="AN111">
        <v>1.0000000031849501</v>
      </c>
    </row>
    <row r="112" spans="1:40" x14ac:dyDescent="0.25">
      <c r="A112" t="str">
        <f>"20190304164826961"</f>
        <v>20190304164826961</v>
      </c>
      <c r="B112" t="str">
        <f>"1551689306956515"</f>
        <v>1551689306956515</v>
      </c>
      <c r="C112" t="s">
        <v>40</v>
      </c>
      <c r="D112">
        <v>4.6687629999999896</v>
      </c>
      <c r="E112">
        <v>0.52534060000000005</v>
      </c>
      <c r="F112" t="s">
        <v>41</v>
      </c>
      <c r="G112">
        <v>-458.45030000000003</v>
      </c>
      <c r="H112">
        <v>1.0127619999999999</v>
      </c>
      <c r="I112">
        <v>367.34010000000001</v>
      </c>
      <c r="J112">
        <v>-459.0933</v>
      </c>
      <c r="K112">
        <v>1.1087100000000001</v>
      </c>
      <c r="L112">
        <v>367.30919999999998</v>
      </c>
      <c r="M112">
        <v>0.99996300000000005</v>
      </c>
      <c r="N112">
        <v>-5.3207199999999997E-4</v>
      </c>
      <c r="O112">
        <v>8.5980750000000002E-3</v>
      </c>
      <c r="P112">
        <v>0.95760489999999998</v>
      </c>
      <c r="Q112">
        <v>0.28128769999999997</v>
      </c>
      <c r="R112">
        <v>6.2210799999999997E-2</v>
      </c>
      <c r="S112">
        <v>3.2225039999999998</v>
      </c>
      <c r="T112">
        <v>-0.33020690000000003</v>
      </c>
      <c r="U112">
        <v>0.1154785</v>
      </c>
      <c r="V112">
        <v>-5.3972930000000002E-2</v>
      </c>
      <c r="W112">
        <v>0.28179769999999998</v>
      </c>
      <c r="X112">
        <v>0.95795459999999999</v>
      </c>
      <c r="Y112">
        <v>-2.7120100000000001E-2</v>
      </c>
      <c r="Z112">
        <v>5.1879930000000001E-4</v>
      </c>
      <c r="AA112">
        <v>0.99963210000000002</v>
      </c>
      <c r="AB112">
        <v>30</v>
      </c>
      <c r="AC112">
        <v>0.64299999999997204</v>
      </c>
      <c r="AD112">
        <v>-9.5947999999999894E-2</v>
      </c>
      <c r="AE112">
        <v>3.0900000000031E-2</v>
      </c>
      <c r="AF112">
        <v>-2.4818940345522501E-2</v>
      </c>
      <c r="AG112">
        <v>-9.5947999999999894E-2</v>
      </c>
      <c r="AH112">
        <v>0.62926278208505804</v>
      </c>
      <c r="AI112">
        <v>98.662871454915205</v>
      </c>
      <c r="AJ112">
        <v>92.258649151251106</v>
      </c>
      <c r="AK112">
        <v>0.63701934619075895</v>
      </c>
      <c r="AL112">
        <v>73.632473904792107</v>
      </c>
      <c r="AM112">
        <v>93.224740627295603</v>
      </c>
      <c r="AN112">
        <v>1.00000001827961</v>
      </c>
    </row>
    <row r="113" spans="1:40" x14ac:dyDescent="0.25">
      <c r="A113" t="str">
        <f>"20190304164826981"</f>
        <v>20190304164826981</v>
      </c>
      <c r="B113" t="str">
        <f>"1551689306977012"</f>
        <v>1551689306977012</v>
      </c>
      <c r="C113" t="s">
        <v>40</v>
      </c>
      <c r="D113">
        <v>4.6872379999999998</v>
      </c>
      <c r="E113">
        <v>0.52530710000000003</v>
      </c>
      <c r="F113" t="s">
        <v>41</v>
      </c>
      <c r="G113">
        <v>-458.18209999999999</v>
      </c>
      <c r="H113">
        <v>1.0155350000000001</v>
      </c>
      <c r="I113">
        <v>367.34070000000003</v>
      </c>
      <c r="J113">
        <v>-458.80869999999999</v>
      </c>
      <c r="K113">
        <v>1.108724</v>
      </c>
      <c r="L113">
        <v>367.31169999999997</v>
      </c>
      <c r="M113">
        <v>0.99996269999999998</v>
      </c>
      <c r="N113">
        <v>-6.6770960000000004E-4</v>
      </c>
      <c r="O113">
        <v>8.6095970000000001E-3</v>
      </c>
      <c r="P113">
        <v>0.95759740000000004</v>
      </c>
      <c r="Q113">
        <v>0.28129589999999999</v>
      </c>
      <c r="R113">
        <v>6.2289860000000002E-2</v>
      </c>
      <c r="S113">
        <v>3.2223510000000002</v>
      </c>
      <c r="T113">
        <v>-0.32958100000000001</v>
      </c>
      <c r="U113">
        <v>0.11242679999999999</v>
      </c>
      <c r="V113">
        <v>-5.4040539999999998E-2</v>
      </c>
      <c r="W113">
        <v>0.28193629999999997</v>
      </c>
      <c r="X113">
        <v>0.95791000000000004</v>
      </c>
      <c r="Y113">
        <v>-2.616982E-2</v>
      </c>
      <c r="Z113">
        <v>4.70941E-4</v>
      </c>
      <c r="AA113">
        <v>0.99965740000000003</v>
      </c>
      <c r="AB113">
        <v>30</v>
      </c>
      <c r="AC113">
        <v>0.62659999999999605</v>
      </c>
      <c r="AD113">
        <v>-9.3188999999999897E-2</v>
      </c>
      <c r="AE113">
        <v>2.9000000000053199E-2</v>
      </c>
      <c r="AF113">
        <v>-2.3094436323799102E-2</v>
      </c>
      <c r="AG113">
        <v>-9.3188999999999897E-2</v>
      </c>
      <c r="AH113">
        <v>0.61329060313572203</v>
      </c>
      <c r="AI113">
        <v>98.633929097457596</v>
      </c>
      <c r="AJ113">
        <v>92.156545052101507</v>
      </c>
      <c r="AK113">
        <v>0.62075994281581304</v>
      </c>
      <c r="AL113">
        <v>73.624197020329404</v>
      </c>
      <c r="AM113">
        <v>93.228921618294194</v>
      </c>
      <c r="AN113">
        <v>1.0000000126605899</v>
      </c>
    </row>
    <row r="114" spans="1:40" x14ac:dyDescent="0.25">
      <c r="A114" t="str">
        <f>"20190304164827005"</f>
        <v>20190304164827005</v>
      </c>
      <c r="B114" t="str">
        <f>"1551689306996531"</f>
        <v>1551689306996531</v>
      </c>
      <c r="C114" t="s">
        <v>40</v>
      </c>
      <c r="D114">
        <v>4.6698849999999998</v>
      </c>
      <c r="E114">
        <v>0.52525440000000001</v>
      </c>
      <c r="F114" t="s">
        <v>41</v>
      </c>
      <c r="G114">
        <v>-457.91300000000001</v>
      </c>
      <c r="H114">
        <v>1.0173110000000001</v>
      </c>
      <c r="I114">
        <v>367.3426</v>
      </c>
      <c r="J114">
        <v>-458.50409999999999</v>
      </c>
      <c r="K114">
        <v>1.1087450000000001</v>
      </c>
      <c r="L114">
        <v>367.3143</v>
      </c>
      <c r="M114">
        <v>0.99996260000000003</v>
      </c>
      <c r="N114">
        <v>-8.1952740000000004E-4</v>
      </c>
      <c r="O114">
        <v>8.6219959999999998E-3</v>
      </c>
      <c r="P114">
        <v>0.95755089999999998</v>
      </c>
      <c r="Q114">
        <v>0.281331</v>
      </c>
      <c r="R114">
        <v>6.2842439999999999E-2</v>
      </c>
      <c r="S114">
        <v>3.222137</v>
      </c>
      <c r="T114">
        <v>-0.32894620000000002</v>
      </c>
      <c r="U114">
        <v>0.11218259999999999</v>
      </c>
      <c r="V114">
        <v>-5.4581520000000001E-2</v>
      </c>
      <c r="W114">
        <v>0.2821166</v>
      </c>
      <c r="X114">
        <v>0.95782619999999896</v>
      </c>
      <c r="Y114">
        <v>-2.6084599999999999E-2</v>
      </c>
      <c r="Z114">
        <v>4.6776819999999998E-4</v>
      </c>
      <c r="AA114">
        <v>0.99965970000000004</v>
      </c>
      <c r="AB114">
        <v>30</v>
      </c>
      <c r="AC114">
        <v>0.59109999999998297</v>
      </c>
      <c r="AD114">
        <v>-9.1434000000000001E-2</v>
      </c>
      <c r="AE114">
        <v>2.8300000000001501E-2</v>
      </c>
      <c r="AF114">
        <v>-2.2661496910130401E-2</v>
      </c>
      <c r="AG114">
        <v>-9.1434000000000001E-2</v>
      </c>
      <c r="AH114">
        <v>0.57753479162186405</v>
      </c>
      <c r="AI114">
        <v>98.989467006107702</v>
      </c>
      <c r="AJ114">
        <v>92.247037583114405</v>
      </c>
      <c r="AK114">
        <v>0.58516677565623798</v>
      </c>
      <c r="AL114">
        <v>73.613428847863005</v>
      </c>
      <c r="AM114">
        <v>93.261460448092905</v>
      </c>
      <c r="AN114">
        <v>0.99999997386375405</v>
      </c>
    </row>
    <row r="115" spans="1:40" x14ac:dyDescent="0.25">
      <c r="A115" t="str">
        <f>"20190304164827018"</f>
        <v>20190304164827018</v>
      </c>
      <c r="B115" t="str">
        <f>"1551689307006291"</f>
        <v>1551689307006291</v>
      </c>
      <c r="C115" t="s">
        <v>40</v>
      </c>
      <c r="D115">
        <v>4.6843709999999996</v>
      </c>
      <c r="E115">
        <v>0.52522669999999905</v>
      </c>
      <c r="F115" t="s">
        <v>41</v>
      </c>
      <c r="G115">
        <v>-457.64139999999998</v>
      </c>
      <c r="H115">
        <v>1.0210049999999999</v>
      </c>
      <c r="I115">
        <v>367.34469999999999</v>
      </c>
      <c r="J115">
        <v>-458.3295</v>
      </c>
      <c r="K115">
        <v>1.1087549999999999</v>
      </c>
      <c r="L115">
        <v>367.31580000000002</v>
      </c>
      <c r="M115">
        <v>0.99996260000000003</v>
      </c>
      <c r="N115">
        <v>-9.0953289999999999E-4</v>
      </c>
      <c r="O115">
        <v>8.6294660000000006E-3</v>
      </c>
      <c r="P115">
        <v>0.95757400000000004</v>
      </c>
      <c r="Q115">
        <v>0.28114749999999999</v>
      </c>
      <c r="R115">
        <v>6.3314110000000007E-2</v>
      </c>
      <c r="S115">
        <v>3.2218629999999999</v>
      </c>
      <c r="T115">
        <v>-0.32790399999999997</v>
      </c>
      <c r="U115">
        <v>0.1144104</v>
      </c>
      <c r="V115">
        <v>-5.5045810000000001E-2</v>
      </c>
      <c r="W115">
        <v>0.28201959999999998</v>
      </c>
      <c r="X115">
        <v>0.95782820000000002</v>
      </c>
      <c r="Y115">
        <v>-2.6767309999999999E-2</v>
      </c>
      <c r="Z115">
        <v>5.0253530000000002E-4</v>
      </c>
      <c r="AA115">
        <v>0.99964149999999996</v>
      </c>
      <c r="AB115">
        <v>30</v>
      </c>
      <c r="AC115">
        <v>0.68810000000001903</v>
      </c>
      <c r="AD115">
        <v>-8.7749999999999995E-2</v>
      </c>
      <c r="AE115">
        <v>2.88999999999646E-2</v>
      </c>
      <c r="AF115">
        <v>-2.2594193099158201E-2</v>
      </c>
      <c r="AG115">
        <v>-8.7749999999999995E-2</v>
      </c>
      <c r="AH115">
        <v>0.67732802276256598</v>
      </c>
      <c r="AI115">
        <v>97.377676970604796</v>
      </c>
      <c r="AJ115">
        <v>91.910554434895005</v>
      </c>
      <c r="AK115">
        <v>0.68336213714343896</v>
      </c>
      <c r="AL115">
        <v>73.619221839078094</v>
      </c>
      <c r="AM115">
        <v>93.289136093049606</v>
      </c>
      <c r="AN115">
        <v>0.99999997834897703</v>
      </c>
    </row>
    <row r="116" spans="1:40" x14ac:dyDescent="0.25">
      <c r="A116" t="str">
        <f>"20190304164827037"</f>
        <v>20190304164827037</v>
      </c>
      <c r="B116" t="str">
        <f>"1551689307026791"</f>
        <v>1551689307026791</v>
      </c>
      <c r="C116" t="s">
        <v>40</v>
      </c>
      <c r="D116">
        <v>4.7164590000000004</v>
      </c>
      <c r="E116">
        <v>0.52521280000000004</v>
      </c>
      <c r="F116" t="s">
        <v>41</v>
      </c>
      <c r="G116">
        <v>-457.37450000000001</v>
      </c>
      <c r="H116">
        <v>1.011442</v>
      </c>
      <c r="I116">
        <v>367.35019999999997</v>
      </c>
      <c r="J116">
        <v>-458.0564</v>
      </c>
      <c r="K116">
        <v>1.1087720000000001</v>
      </c>
      <c r="L116">
        <v>367.31819999999999</v>
      </c>
      <c r="M116">
        <v>0.99996209999999996</v>
      </c>
      <c r="N116">
        <v>-1.0575339999999999E-3</v>
      </c>
      <c r="O116">
        <v>8.6416700000000006E-3</v>
      </c>
      <c r="P116">
        <v>0.95744879999999999</v>
      </c>
      <c r="Q116">
        <v>0.28141250000000001</v>
      </c>
      <c r="R116">
        <v>6.4019839999999995E-2</v>
      </c>
      <c r="S116">
        <v>3.2216490000000002</v>
      </c>
      <c r="T116">
        <v>-0.32841769999999998</v>
      </c>
      <c r="U116">
        <v>0.11648559999999999</v>
      </c>
      <c r="V116">
        <v>-5.5740829999999998E-2</v>
      </c>
      <c r="W116">
        <v>0.28242630000000002</v>
      </c>
      <c r="X116">
        <v>0.95766819999999997</v>
      </c>
      <c r="Y116">
        <v>-2.7396670000000001E-2</v>
      </c>
      <c r="Z116">
        <v>5.3766600000000001E-4</v>
      </c>
      <c r="AA116">
        <v>0.99962450000000003</v>
      </c>
      <c r="AB116">
        <v>30</v>
      </c>
      <c r="AC116">
        <v>0.68189999999998396</v>
      </c>
      <c r="AD116">
        <v>-9.7329999999999903E-2</v>
      </c>
      <c r="AE116">
        <v>3.1999999999982202E-2</v>
      </c>
      <c r="AF116">
        <v>-2.55859337222646E-2</v>
      </c>
      <c r="AG116">
        <v>-9.7329999999999903E-2</v>
      </c>
      <c r="AH116">
        <v>0.66856050903826003</v>
      </c>
      <c r="AI116">
        <v>98.277037400058006</v>
      </c>
      <c r="AJ116">
        <v>92.191650475340296</v>
      </c>
      <c r="AK116">
        <v>0.676092392465658</v>
      </c>
      <c r="AL116">
        <v>73.5949329165432</v>
      </c>
      <c r="AM116">
        <v>93.331127704024496</v>
      </c>
      <c r="AN116">
        <v>1.000000018176</v>
      </c>
    </row>
    <row r="117" spans="1:40" x14ac:dyDescent="0.25">
      <c r="A117" t="str">
        <f>"20190304164827051"</f>
        <v>20190304164827051</v>
      </c>
      <c r="B117" t="str">
        <f>"1551689307036549"</f>
        <v>1551689307036549</v>
      </c>
      <c r="C117" t="s">
        <v>40</v>
      </c>
      <c r="D117">
        <v>5.1282690000000004</v>
      </c>
      <c r="E117">
        <v>0.52551879999999995</v>
      </c>
      <c r="F117" t="s">
        <v>41</v>
      </c>
      <c r="G117">
        <v>-457.10169999999999</v>
      </c>
      <c r="H117">
        <v>1.011846</v>
      </c>
      <c r="I117">
        <v>367.35309999999998</v>
      </c>
      <c r="J117">
        <v>-457.87310000000002</v>
      </c>
      <c r="K117">
        <v>1.1087849999999999</v>
      </c>
      <c r="L117">
        <v>367.31979999999999</v>
      </c>
      <c r="M117">
        <v>0.99996200000000002</v>
      </c>
      <c r="N117">
        <v>-1.1611950000000001E-3</v>
      </c>
      <c r="O117">
        <v>8.6490040000000001E-3</v>
      </c>
      <c r="P117">
        <v>0.95748599999999995</v>
      </c>
      <c r="Q117">
        <v>0.28118530000000003</v>
      </c>
      <c r="R117">
        <v>6.4463350000000003E-2</v>
      </c>
      <c r="S117">
        <v>3.2215880000000001</v>
      </c>
      <c r="T117">
        <v>-0.32724710000000001</v>
      </c>
      <c r="U117">
        <v>0.1187744</v>
      </c>
      <c r="V117">
        <v>-5.6176860000000002E-2</v>
      </c>
      <c r="W117">
        <v>0.28229779999999999</v>
      </c>
      <c r="X117">
        <v>0.95768059999999999</v>
      </c>
      <c r="Y117">
        <v>-2.809613E-2</v>
      </c>
      <c r="Z117">
        <v>5.7326009999999995E-4</v>
      </c>
      <c r="AA117">
        <v>0.99960510000000002</v>
      </c>
      <c r="AB117">
        <v>30</v>
      </c>
      <c r="AC117">
        <v>0.77140000000002795</v>
      </c>
      <c r="AD117">
        <v>-9.6939000000000095E-2</v>
      </c>
      <c r="AE117">
        <v>3.3299999999996999E-2</v>
      </c>
      <c r="AF117">
        <v>-2.62137112316169E-2</v>
      </c>
      <c r="AG117">
        <v>-9.6939000000000095E-2</v>
      </c>
      <c r="AH117">
        <v>0.75968451746766696</v>
      </c>
      <c r="AI117">
        <v>97.267608826684494</v>
      </c>
      <c r="AJ117">
        <v>91.976266868970001</v>
      </c>
      <c r="AK117">
        <v>0.76629295602766501</v>
      </c>
      <c r="AL117">
        <v>73.602607582740603</v>
      </c>
      <c r="AM117">
        <v>93.357082556113099</v>
      </c>
      <c r="AN117">
        <v>1.0000000095503201</v>
      </c>
    </row>
    <row r="118" spans="1:40" x14ac:dyDescent="0.25">
      <c r="A118" t="str">
        <f>"20190304164827070"</f>
        <v>20190304164827070</v>
      </c>
      <c r="B118" t="str">
        <f>"1551689307066803"</f>
        <v>1551689307066803</v>
      </c>
      <c r="C118" t="s">
        <v>40</v>
      </c>
      <c r="D118">
        <v>4.7541520000000004</v>
      </c>
      <c r="E118">
        <v>0.5545658</v>
      </c>
      <c r="F118" t="s">
        <v>41</v>
      </c>
      <c r="G118">
        <v>-457.09280000000001</v>
      </c>
      <c r="H118">
        <v>1.029377</v>
      </c>
      <c r="I118">
        <v>367.34780000000001</v>
      </c>
      <c r="J118">
        <v>-457.60980000000001</v>
      </c>
      <c r="K118">
        <v>1.1088020000000001</v>
      </c>
      <c r="L118">
        <v>367.32209999999998</v>
      </c>
      <c r="M118">
        <v>0.99996169999999995</v>
      </c>
      <c r="N118">
        <v>-1.3127080000000001E-3</v>
      </c>
      <c r="O118">
        <v>8.6598149999999995E-3</v>
      </c>
      <c r="P118">
        <v>0.95751779999999997</v>
      </c>
      <c r="Q118">
        <v>0.28097440000000001</v>
      </c>
      <c r="R118">
        <v>6.4910960000000004E-2</v>
      </c>
      <c r="S118">
        <v>3.2216490000000002</v>
      </c>
      <c r="T118">
        <v>-0.32801780000000003</v>
      </c>
      <c r="U118">
        <v>0.11712649999999999</v>
      </c>
      <c r="V118">
        <v>-5.661364E-2</v>
      </c>
      <c r="W118">
        <v>0.28223280000000001</v>
      </c>
      <c r="X118">
        <v>0.95767400000000003</v>
      </c>
      <c r="Y118">
        <v>-2.757594E-2</v>
      </c>
      <c r="Z118">
        <v>5.5014639999999997E-4</v>
      </c>
      <c r="AA118">
        <v>0.99961949999999999</v>
      </c>
      <c r="AB118">
        <v>30</v>
      </c>
      <c r="AC118">
        <v>0.51699999999999502</v>
      </c>
      <c r="AD118">
        <v>-7.9424999999999996E-2</v>
      </c>
      <c r="AE118">
        <v>2.5700000000028901E-2</v>
      </c>
      <c r="AF118">
        <v>-2.07337734751511E-2</v>
      </c>
      <c r="AG118">
        <v>-7.9424999999999996E-2</v>
      </c>
      <c r="AH118">
        <v>0.50530674280402899</v>
      </c>
      <c r="AI118">
        <v>98.925375699038199</v>
      </c>
      <c r="AJ118">
        <v>92.349645457055502</v>
      </c>
      <c r="AK118">
        <v>0.51193078078069898</v>
      </c>
      <c r="AL118">
        <v>73.606489067959501</v>
      </c>
      <c r="AM118">
        <v>93.383147034263501</v>
      </c>
      <c r="AN118">
        <v>0.99999997395294404</v>
      </c>
    </row>
    <row r="119" spans="1:40" x14ac:dyDescent="0.25">
      <c r="A119" t="str">
        <f>"20190304164827094"</f>
        <v>20190304164827094</v>
      </c>
      <c r="B119" t="str">
        <f>"1551689307086324"</f>
        <v>1551689307086324</v>
      </c>
      <c r="C119" t="s">
        <v>40</v>
      </c>
      <c r="D119">
        <v>4.7288290000000002</v>
      </c>
      <c r="E119">
        <v>0.55305300000000002</v>
      </c>
      <c r="F119" t="s">
        <v>41</v>
      </c>
      <c r="G119">
        <v>-456.87779999999998</v>
      </c>
      <c r="H119">
        <v>0.90260890000000005</v>
      </c>
      <c r="I119">
        <v>367.31270000000001</v>
      </c>
      <c r="J119">
        <v>-457.28300000000002</v>
      </c>
      <c r="K119">
        <v>1.1088279999999999</v>
      </c>
      <c r="L119">
        <v>367.32490000000001</v>
      </c>
      <c r="M119">
        <v>0.99996130000000005</v>
      </c>
      <c r="N119">
        <v>-1.5076270000000001E-3</v>
      </c>
      <c r="O119">
        <v>8.6707590000000001E-3</v>
      </c>
      <c r="P119">
        <v>0.95737760000000005</v>
      </c>
      <c r="Q119">
        <v>0.28138970000000002</v>
      </c>
      <c r="R119">
        <v>6.5178739999999999E-2</v>
      </c>
      <c r="S119">
        <v>3.4185789999999998</v>
      </c>
      <c r="T119">
        <v>-0.96302239999999995</v>
      </c>
      <c r="U119">
        <v>-4.2755130000000002E-2</v>
      </c>
      <c r="V119">
        <v>-5.6871640000000001E-2</v>
      </c>
      <c r="W119">
        <v>0.28283429999999998</v>
      </c>
      <c r="X119">
        <v>0.95748129999999998</v>
      </c>
      <c r="Y119">
        <v>2.0056649999999999E-2</v>
      </c>
      <c r="Z119">
        <v>-5.1694319999999998E-3</v>
      </c>
      <c r="AA119">
        <v>0.99978549999999999</v>
      </c>
      <c r="AB119">
        <v>30</v>
      </c>
      <c r="AC119">
        <v>0.40520000000003598</v>
      </c>
      <c r="AD119">
        <v>-0.20621909999999999</v>
      </c>
      <c r="AE119">
        <v>-1.2200000000007E-2</v>
      </c>
      <c r="AF119">
        <v>1.24827026620898E-2</v>
      </c>
      <c r="AG119">
        <v>-0.20621909999999999</v>
      </c>
      <c r="AH119">
        <v>0.32180365612093598</v>
      </c>
      <c r="AI119">
        <v>122.633108589655</v>
      </c>
      <c r="AJ119">
        <v>87.778621287094893</v>
      </c>
      <c r="AK119">
        <v>0.38241303346429201</v>
      </c>
      <c r="AL119">
        <v>73.570562874128498</v>
      </c>
      <c r="AM119">
        <v>93.399211049790694</v>
      </c>
      <c r="AN119">
        <v>1.0000000322712299</v>
      </c>
    </row>
    <row r="120" spans="1:40" x14ac:dyDescent="0.25">
      <c r="A120" t="str">
        <f>"20190304164827107"</f>
        <v>20190304164827107</v>
      </c>
      <c r="B120" t="str">
        <f>"1551689307097060"</f>
        <v>1551689307097060</v>
      </c>
      <c r="C120" t="s">
        <v>40</v>
      </c>
      <c r="D120">
        <v>4.7726040000000003</v>
      </c>
      <c r="E120">
        <v>0.55225930000000001</v>
      </c>
      <c r="F120" t="s">
        <v>41</v>
      </c>
      <c r="G120">
        <v>-456.60329999999999</v>
      </c>
      <c r="H120">
        <v>0.90025959999999905</v>
      </c>
      <c r="I120">
        <v>367.32060000000001</v>
      </c>
      <c r="J120">
        <v>-457.10039999999998</v>
      </c>
      <c r="K120">
        <v>1.108843</v>
      </c>
      <c r="L120">
        <v>367.32650000000001</v>
      </c>
      <c r="M120">
        <v>0.99996110000000005</v>
      </c>
      <c r="N120">
        <v>-1.62238799999999E-3</v>
      </c>
      <c r="O120">
        <v>8.6751959999999996E-3</v>
      </c>
      <c r="P120">
        <v>0.95735820000000005</v>
      </c>
      <c r="Q120">
        <v>0.28142489999999998</v>
      </c>
      <c r="R120">
        <v>6.5308389999999994E-2</v>
      </c>
      <c r="S120">
        <v>3.4457399999999998</v>
      </c>
      <c r="T120">
        <v>-1.0574140000000001</v>
      </c>
      <c r="U120">
        <v>-2.0263670000000001E-2</v>
      </c>
      <c r="V120">
        <v>-5.699601E-2</v>
      </c>
      <c r="W120">
        <v>0.2829797</v>
      </c>
      <c r="X120">
        <v>0.95743089999999997</v>
      </c>
      <c r="Y120">
        <v>1.353409E-2</v>
      </c>
      <c r="Z120">
        <v>-4.6296660000000002E-3</v>
      </c>
      <c r="AA120">
        <v>0.9998977</v>
      </c>
      <c r="AB120">
        <v>31</v>
      </c>
      <c r="AC120">
        <v>0.497099999999989</v>
      </c>
      <c r="AD120">
        <v>-0.2085834</v>
      </c>
      <c r="AE120">
        <v>-5.8999999999968999E-3</v>
      </c>
      <c r="AF120">
        <v>8.68356978969613E-3</v>
      </c>
      <c r="AG120">
        <v>-0.2085834</v>
      </c>
      <c r="AH120">
        <v>0.42263036028312101</v>
      </c>
      <c r="AI120">
        <v>116.26321063392901</v>
      </c>
      <c r="AJ120">
        <v>88.822938548323606</v>
      </c>
      <c r="AK120">
        <v>0.47137974136877497</v>
      </c>
      <c r="AL120">
        <v>73.5618765563176</v>
      </c>
      <c r="AM120">
        <v>93.406806047483499</v>
      </c>
      <c r="AN120">
        <v>0.99999999202140999</v>
      </c>
    </row>
    <row r="121" spans="1:40" x14ac:dyDescent="0.25">
      <c r="A121" t="str">
        <f>"20190304164827128"</f>
        <v>20190304164827128</v>
      </c>
      <c r="B121" t="str">
        <f>"1551689307116583"</f>
        <v>1551689307116583</v>
      </c>
      <c r="C121" t="s">
        <v>40</v>
      </c>
      <c r="D121">
        <v>4.7473340000000004</v>
      </c>
      <c r="E121">
        <v>0.55146470000000003</v>
      </c>
      <c r="F121" t="s">
        <v>41</v>
      </c>
      <c r="G121">
        <v>-456.33980000000003</v>
      </c>
      <c r="H121">
        <v>0.86892139999999995</v>
      </c>
      <c r="I121">
        <v>367.32389999999998</v>
      </c>
      <c r="J121">
        <v>-456.80959999999999</v>
      </c>
      <c r="K121">
        <v>1.1088690000000001</v>
      </c>
      <c r="L121">
        <v>367.32900000000001</v>
      </c>
      <c r="M121">
        <v>0.99996070000000004</v>
      </c>
      <c r="N121">
        <v>-1.813325E-3</v>
      </c>
      <c r="O121">
        <v>8.6808670000000001E-3</v>
      </c>
      <c r="P121">
        <v>0.95728469999999999</v>
      </c>
      <c r="Q121">
        <v>0.28171210000000002</v>
      </c>
      <c r="R121">
        <v>6.5148239999999996E-2</v>
      </c>
      <c r="S121">
        <v>3.4546809999999999</v>
      </c>
      <c r="T121">
        <v>-1.089693</v>
      </c>
      <c r="U121">
        <v>-1.0223390000000001E-2</v>
      </c>
      <c r="V121">
        <v>-5.6830289999999999E-2</v>
      </c>
      <c r="W121">
        <v>0.28344940000000002</v>
      </c>
      <c r="X121">
        <v>0.95730179999999998</v>
      </c>
      <c r="Y121">
        <v>1.070042E-2</v>
      </c>
      <c r="Z121">
        <v>-4.3153649999999998E-3</v>
      </c>
      <c r="AA121">
        <v>0.99993339999999997</v>
      </c>
      <c r="AB121">
        <v>31</v>
      </c>
      <c r="AC121">
        <v>0.46979999999996302</v>
      </c>
      <c r="AD121">
        <v>-0.23994760000000001</v>
      </c>
      <c r="AE121">
        <v>-5.1000000000271904E-3</v>
      </c>
      <c r="AF121">
        <v>7.2794065525162996E-3</v>
      </c>
      <c r="AG121">
        <v>-0.23994760000000001</v>
      </c>
      <c r="AH121">
        <v>0.37256287981990899</v>
      </c>
      <c r="AI121">
        <v>122.77841716221</v>
      </c>
      <c r="AJ121">
        <v>88.880655501273097</v>
      </c>
      <c r="AK121">
        <v>0.44320530223049098</v>
      </c>
      <c r="AL121">
        <v>73.533815795802198</v>
      </c>
      <c r="AM121">
        <v>93.397380773255605</v>
      </c>
      <c r="AN121">
        <v>0.99999999025254105</v>
      </c>
    </row>
    <row r="122" spans="1:40" x14ac:dyDescent="0.25">
      <c r="A122" t="str">
        <f>"20190304164827149"</f>
        <v>20190304164827149</v>
      </c>
      <c r="B122" t="str">
        <f>"1551689307137075"</f>
        <v>1551689307137075</v>
      </c>
      <c r="C122" t="s">
        <v>40</v>
      </c>
      <c r="D122">
        <v>4.767938</v>
      </c>
      <c r="E122">
        <v>0.55112359999999905</v>
      </c>
      <c r="F122" t="s">
        <v>41</v>
      </c>
      <c r="G122">
        <v>-456.06279999999998</v>
      </c>
      <c r="H122">
        <v>0.86680610000000002</v>
      </c>
      <c r="I122">
        <v>367.32819999999998</v>
      </c>
      <c r="J122">
        <v>-456.51799999999997</v>
      </c>
      <c r="K122">
        <v>1.1089</v>
      </c>
      <c r="L122">
        <v>367.33150000000001</v>
      </c>
      <c r="M122">
        <v>0.99996039999999997</v>
      </c>
      <c r="N122">
        <v>-2.017268E-3</v>
      </c>
      <c r="O122">
        <v>8.6848949999999998E-3</v>
      </c>
      <c r="P122">
        <v>0.95727059999999997</v>
      </c>
      <c r="Q122">
        <v>0.28181709999999999</v>
      </c>
      <c r="R122">
        <v>6.4904649999999994E-2</v>
      </c>
      <c r="S122">
        <v>3.4644170000000001</v>
      </c>
      <c r="T122">
        <v>-1.1229260000000001</v>
      </c>
      <c r="U122">
        <v>-1.556396E-3</v>
      </c>
      <c r="V122">
        <v>-5.6581739999999998E-2</v>
      </c>
      <c r="W122">
        <v>0.28375020000000001</v>
      </c>
      <c r="X122">
        <v>0.95722739999999995</v>
      </c>
      <c r="Y122">
        <v>8.2685659999999998E-3</v>
      </c>
      <c r="Z122">
        <v>-4.0427839999999998E-3</v>
      </c>
      <c r="AA122">
        <v>0.9999576</v>
      </c>
      <c r="AB122">
        <v>31</v>
      </c>
      <c r="AC122">
        <v>0.45520000000004701</v>
      </c>
      <c r="AD122">
        <v>-0.2420939</v>
      </c>
      <c r="AE122">
        <v>-3.30000000002428E-3</v>
      </c>
      <c r="AF122">
        <v>5.65405577976749E-3</v>
      </c>
      <c r="AG122">
        <v>-0.2420939</v>
      </c>
      <c r="AH122">
        <v>0.35480206403981202</v>
      </c>
      <c r="AI122">
        <v>124.303703565502</v>
      </c>
      <c r="AJ122">
        <v>89.087023025867097</v>
      </c>
      <c r="AK122">
        <v>0.429564813981408</v>
      </c>
      <c r="AL122">
        <v>73.515843189657105</v>
      </c>
      <c r="AM122">
        <v>93.382819038654503</v>
      </c>
      <c r="AN122">
        <v>0.99999998230611298</v>
      </c>
    </row>
    <row r="123" spans="1:40" x14ac:dyDescent="0.25">
      <c r="A123" t="str">
        <f>"20190304164827173"</f>
        <v>20190304164827173</v>
      </c>
      <c r="B123" t="str">
        <f>"1551689307166356"</f>
        <v>1551689307166356</v>
      </c>
      <c r="C123" t="s">
        <v>40</v>
      </c>
      <c r="D123">
        <v>5.0072190000000001</v>
      </c>
      <c r="E123">
        <v>0.55095959999999999</v>
      </c>
      <c r="F123" t="s">
        <v>41</v>
      </c>
      <c r="G123">
        <v>-455.7835</v>
      </c>
      <c r="H123">
        <v>0.86762700000000004</v>
      </c>
      <c r="I123">
        <v>367.3322</v>
      </c>
      <c r="J123">
        <v>-456.19229999999999</v>
      </c>
      <c r="K123">
        <v>1.1089340000000001</v>
      </c>
      <c r="L123">
        <v>367.33440000000002</v>
      </c>
      <c r="M123">
        <v>0.99995979999999995</v>
      </c>
      <c r="N123">
        <v>-2.2583360000000001E-3</v>
      </c>
      <c r="O123">
        <v>8.6876090000000007E-3</v>
      </c>
      <c r="P123">
        <v>0.9574106</v>
      </c>
      <c r="Q123">
        <v>0.28146080000000001</v>
      </c>
      <c r="R123">
        <v>6.4382739999999994E-2</v>
      </c>
      <c r="S123">
        <v>3.469147</v>
      </c>
      <c r="T123">
        <v>-1.1396040000000001</v>
      </c>
      <c r="U123">
        <v>3.6621090000000002E-3</v>
      </c>
      <c r="V123">
        <v>-5.605533E-2</v>
      </c>
      <c r="W123">
        <v>0.28362500000000002</v>
      </c>
      <c r="X123">
        <v>0.95729549999999997</v>
      </c>
      <c r="Y123">
        <v>6.8204140000000003E-3</v>
      </c>
      <c r="Z123">
        <v>-3.8610530000000001E-3</v>
      </c>
      <c r="AA123">
        <v>0.99996929999999995</v>
      </c>
      <c r="AB123">
        <v>31</v>
      </c>
      <c r="AC123">
        <v>0.40879999999998501</v>
      </c>
      <c r="AD123">
        <v>-0.24130699999999999</v>
      </c>
      <c r="AE123">
        <v>-2.2000000000161799E-3</v>
      </c>
      <c r="AF123">
        <v>4.2652971801227001E-3</v>
      </c>
      <c r="AG123">
        <v>-0.24130699999999999</v>
      </c>
      <c r="AH123">
        <v>0.30314358518754397</v>
      </c>
      <c r="AI123">
        <v>128.51757081635199</v>
      </c>
      <c r="AJ123">
        <v>89.193888923644593</v>
      </c>
      <c r="AK123">
        <v>0.38748328254183101</v>
      </c>
      <c r="AL123">
        <v>73.523324382186999</v>
      </c>
      <c r="AM123">
        <v>93.351181079422503</v>
      </c>
      <c r="AN123">
        <v>1.00000000748332</v>
      </c>
    </row>
    <row r="124" spans="1:40" x14ac:dyDescent="0.25">
      <c r="A124" t="str">
        <f>"20190304164827194"</f>
        <v>20190304164827194</v>
      </c>
      <c r="B124" t="str">
        <f>"1551689307186852"</f>
        <v>1551689307186852</v>
      </c>
      <c r="C124" t="s">
        <v>40</v>
      </c>
      <c r="D124">
        <v>4.8257979999999998</v>
      </c>
      <c r="E124">
        <v>0.55095539999999998</v>
      </c>
      <c r="F124" t="s">
        <v>41</v>
      </c>
      <c r="G124">
        <v>-455.49880000000002</v>
      </c>
      <c r="H124">
        <v>0.87858930000000002</v>
      </c>
      <c r="I124">
        <v>367.33499999999998</v>
      </c>
      <c r="J124">
        <v>-455.87880000000001</v>
      </c>
      <c r="K124">
        <v>1.1089580000000001</v>
      </c>
      <c r="L124">
        <v>367.33710000000002</v>
      </c>
      <c r="M124">
        <v>0.99995909999999999</v>
      </c>
      <c r="N124">
        <v>-2.5042380000000002E-3</v>
      </c>
      <c r="O124">
        <v>8.6893339999999999E-3</v>
      </c>
      <c r="P124">
        <v>0.95756569999999996</v>
      </c>
      <c r="Q124">
        <v>0.28090320000000002</v>
      </c>
      <c r="R124">
        <v>6.4508070000000001E-2</v>
      </c>
      <c r="S124">
        <v>3.4720759999999999</v>
      </c>
      <c r="T124">
        <v>-1.153108</v>
      </c>
      <c r="U124">
        <v>5.3710939999999999E-3</v>
      </c>
      <c r="V124">
        <v>-5.617639E-2</v>
      </c>
      <c r="W124">
        <v>0.28330349999999999</v>
      </c>
      <c r="X124">
        <v>0.9573836</v>
      </c>
      <c r="Y124">
        <v>6.3396449999999997E-3</v>
      </c>
      <c r="Z124">
        <v>-3.8224539999999999E-3</v>
      </c>
      <c r="AA124">
        <v>0.99997259999999999</v>
      </c>
      <c r="AB124">
        <v>31</v>
      </c>
      <c r="AC124">
        <v>0.37999999999999501</v>
      </c>
      <c r="AD124">
        <v>-0.23036869999999901</v>
      </c>
      <c r="AE124">
        <v>-2.1000000000412902E-3</v>
      </c>
      <c r="AF124">
        <v>3.9501626812589799E-3</v>
      </c>
      <c r="AG124">
        <v>-0.23036869999999901</v>
      </c>
      <c r="AH124">
        <v>0.27785393517323898</v>
      </c>
      <c r="AI124">
        <v>129.65928286269701</v>
      </c>
      <c r="AJ124">
        <v>89.185498655175905</v>
      </c>
      <c r="AK124">
        <v>0.36095449992506401</v>
      </c>
      <c r="AL124">
        <v>73.542532873914993</v>
      </c>
      <c r="AM124">
        <v>93.358093577672705</v>
      </c>
      <c r="AN124">
        <v>1.00000000872732</v>
      </c>
    </row>
    <row r="125" spans="1:40" x14ac:dyDescent="0.25">
      <c r="A125" t="str">
        <f>"20190304164827217"</f>
        <v>20190304164827217</v>
      </c>
      <c r="B125" t="str">
        <f>"1551689307206371"</f>
        <v>1551689307206371</v>
      </c>
      <c r="C125" t="s">
        <v>40</v>
      </c>
      <c r="D125">
        <v>4.8173430000000002</v>
      </c>
      <c r="E125">
        <v>0.55114609999999997</v>
      </c>
      <c r="F125" t="s">
        <v>41</v>
      </c>
      <c r="G125">
        <v>-455.214</v>
      </c>
      <c r="H125">
        <v>0.88702029999999998</v>
      </c>
      <c r="I125">
        <v>367.33789999999999</v>
      </c>
      <c r="J125">
        <v>-455.56760000000003</v>
      </c>
      <c r="K125">
        <v>1.108989</v>
      </c>
      <c r="L125">
        <v>367.33980000000003</v>
      </c>
      <c r="M125">
        <v>0.99995849999999997</v>
      </c>
      <c r="N125">
        <v>-2.761304E-3</v>
      </c>
      <c r="O125">
        <v>8.6905369999999999E-3</v>
      </c>
      <c r="P125">
        <v>0.95768869999999895</v>
      </c>
      <c r="Q125">
        <v>0.28055439999999998</v>
      </c>
      <c r="R125">
        <v>6.4201869999999994E-2</v>
      </c>
      <c r="S125">
        <v>3.4725950000000001</v>
      </c>
      <c r="T125">
        <v>-1.159392</v>
      </c>
      <c r="U125">
        <v>6.1645509999999999E-3</v>
      </c>
      <c r="V125">
        <v>-5.5867720000000003E-2</v>
      </c>
      <c r="W125">
        <v>0.28320099999999998</v>
      </c>
      <c r="X125">
        <v>0.95743199999999995</v>
      </c>
      <c r="Y125">
        <v>6.1168359999999996E-3</v>
      </c>
      <c r="Z125">
        <v>-3.8042660000000002E-3</v>
      </c>
      <c r="AA125">
        <v>0.99997409999999998</v>
      </c>
      <c r="AB125">
        <v>31</v>
      </c>
      <c r="AC125">
        <v>0.353600000000028</v>
      </c>
      <c r="AD125">
        <v>-0.22196869999999899</v>
      </c>
      <c r="AE125">
        <v>-1.90000000003465E-3</v>
      </c>
      <c r="AF125">
        <v>3.56725332277642E-3</v>
      </c>
      <c r="AG125">
        <v>-0.22196869999999899</v>
      </c>
      <c r="AH125">
        <v>0.25362882518996899</v>
      </c>
      <c r="AI125">
        <v>131.18867924226399</v>
      </c>
      <c r="AJ125">
        <v>89.194196149042597</v>
      </c>
      <c r="AK125">
        <v>0.33706143363369601</v>
      </c>
      <c r="AL125">
        <v>73.5486566983475</v>
      </c>
      <c r="AM125">
        <v>93.339515439687005</v>
      </c>
      <c r="AN125">
        <v>1.0000000215814899</v>
      </c>
    </row>
    <row r="126" spans="1:40" x14ac:dyDescent="0.25">
      <c r="A126" t="str">
        <f>"20190304164827238"</f>
        <v>20190304164827238</v>
      </c>
      <c r="B126" t="str">
        <f>"1551689307226871"</f>
        <v>1551689307226871</v>
      </c>
      <c r="C126" t="s">
        <v>40</v>
      </c>
      <c r="D126">
        <v>4.8419650000000001</v>
      </c>
      <c r="E126">
        <v>0.55139280000000002</v>
      </c>
      <c r="F126" t="s">
        <v>41</v>
      </c>
      <c r="G126">
        <v>-454.6798</v>
      </c>
      <c r="H126">
        <v>0.8109615</v>
      </c>
      <c r="I126">
        <v>367.3408</v>
      </c>
      <c r="J126">
        <v>-455.26119999999997</v>
      </c>
      <c r="K126">
        <v>1.109022</v>
      </c>
      <c r="L126">
        <v>367.34249999999997</v>
      </c>
      <c r="M126">
        <v>0.99995769999999995</v>
      </c>
      <c r="N126">
        <v>-3.0249930000000001E-3</v>
      </c>
      <c r="O126">
        <v>8.6914569999999997E-3</v>
      </c>
      <c r="P126">
        <v>0.95791630000000005</v>
      </c>
      <c r="Q126">
        <v>0.27989609999999998</v>
      </c>
      <c r="R126">
        <v>6.36766E-2</v>
      </c>
      <c r="S126">
        <v>3.473846</v>
      </c>
      <c r="T126">
        <v>-1.166148</v>
      </c>
      <c r="U126">
        <v>4.7607420000000001E-3</v>
      </c>
      <c r="V126">
        <v>-5.5339550000000001E-2</v>
      </c>
      <c r="W126">
        <v>0.28279539999999997</v>
      </c>
      <c r="X126">
        <v>0.9575825</v>
      </c>
      <c r="Y126">
        <v>6.4935059999999996E-3</v>
      </c>
      <c r="Z126">
        <v>-3.8850780000000001E-3</v>
      </c>
      <c r="AA126">
        <v>0.99997139999999995</v>
      </c>
      <c r="AB126">
        <v>32</v>
      </c>
      <c r="AC126">
        <v>0.58139999999997305</v>
      </c>
      <c r="AD126">
        <v>-0.29806049999999901</v>
      </c>
      <c r="AE126">
        <v>-1.6999999999711599E-3</v>
      </c>
      <c r="AF126">
        <v>5.3477000203089398E-3</v>
      </c>
      <c r="AG126">
        <v>-0.29806049999999901</v>
      </c>
      <c r="AH126">
        <v>0.46036980013618201</v>
      </c>
      <c r="AI126">
        <v>122.918755233844</v>
      </c>
      <c r="AJ126">
        <v>89.334476629367202</v>
      </c>
      <c r="AK126">
        <v>0.548460584211104</v>
      </c>
      <c r="AL126">
        <v>73.572885563550599</v>
      </c>
      <c r="AM126">
        <v>93.307495557794397</v>
      </c>
      <c r="AN126">
        <v>0.999999974180805</v>
      </c>
    </row>
    <row r="127" spans="1:40" x14ac:dyDescent="0.25">
      <c r="A127" t="str">
        <f>"20190304164827260"</f>
        <v>20190304164827260</v>
      </c>
      <c r="B127" t="str">
        <f>"1551689307246388"</f>
        <v>1551689307246388</v>
      </c>
      <c r="C127" t="s">
        <v>40</v>
      </c>
      <c r="D127">
        <v>5.1588260000000004</v>
      </c>
      <c r="E127">
        <v>0.55165030000000004</v>
      </c>
      <c r="F127" t="s">
        <v>41</v>
      </c>
      <c r="G127">
        <v>-454.39350000000002</v>
      </c>
      <c r="H127">
        <v>0.81651269999999998</v>
      </c>
      <c r="I127">
        <v>367.34249999999997</v>
      </c>
      <c r="J127">
        <v>-454.959</v>
      </c>
      <c r="K127">
        <v>1.1090599999999999</v>
      </c>
      <c r="L127">
        <v>367.3451</v>
      </c>
      <c r="M127">
        <v>0.99995690000000004</v>
      </c>
      <c r="N127">
        <v>-3.289204E-3</v>
      </c>
      <c r="O127">
        <v>8.6924009999999902E-3</v>
      </c>
      <c r="P127">
        <v>0.95807640000000005</v>
      </c>
      <c r="Q127">
        <v>0.27946850000000001</v>
      </c>
      <c r="R127">
        <v>6.3143749999999998E-2</v>
      </c>
      <c r="S127">
        <v>3.473846</v>
      </c>
      <c r="T127">
        <v>-1.1710989999999999</v>
      </c>
      <c r="U127">
        <v>2.2277830000000001E-3</v>
      </c>
      <c r="V127">
        <v>-5.4804119999999998E-2</v>
      </c>
      <c r="W127">
        <v>0.28262209999999899</v>
      </c>
      <c r="X127">
        <v>0.95766450000000003</v>
      </c>
      <c r="Y127">
        <v>7.1788160000000002E-3</v>
      </c>
      <c r="Z127">
        <v>-4.0133019999999998E-3</v>
      </c>
      <c r="AA127">
        <v>0.99996620000000003</v>
      </c>
      <c r="AB127">
        <v>32</v>
      </c>
      <c r="AC127">
        <v>0.56549999999998501</v>
      </c>
      <c r="AD127">
        <v>-0.29254729999999901</v>
      </c>
      <c r="AE127">
        <v>-2.6000000000294598E-3</v>
      </c>
      <c r="AF127">
        <v>5.9288142559473702E-3</v>
      </c>
      <c r="AG127">
        <v>-0.29254729999999901</v>
      </c>
      <c r="AH127">
        <v>0.44607709609694901</v>
      </c>
      <c r="AI127">
        <v>123.255434791535</v>
      </c>
      <c r="AJ127">
        <v>89.238526171958497</v>
      </c>
      <c r="AK127">
        <v>0.53348275439610804</v>
      </c>
      <c r="AL127">
        <v>73.583237962278901</v>
      </c>
      <c r="AM127">
        <v>93.275284512992599</v>
      </c>
      <c r="AN127">
        <v>1.0000000187688101</v>
      </c>
    </row>
    <row r="128" spans="1:40" x14ac:dyDescent="0.25">
      <c r="A128" t="str">
        <f>"20190304164827284"</f>
        <v>20190304164827284</v>
      </c>
      <c r="B128" t="str">
        <f>"1551689307276644"</f>
        <v>1551689307276644</v>
      </c>
      <c r="C128" t="s">
        <v>40</v>
      </c>
      <c r="D128">
        <v>4.9646290000000004</v>
      </c>
      <c r="E128">
        <v>0.55198409999999998</v>
      </c>
      <c r="F128" t="s">
        <v>41</v>
      </c>
      <c r="G128">
        <v>-454.10660000000001</v>
      </c>
      <c r="H128">
        <v>0.82121939999999904</v>
      </c>
      <c r="I128">
        <v>367.34440000000001</v>
      </c>
      <c r="J128">
        <v>-454.61309999999997</v>
      </c>
      <c r="K128">
        <v>1.1091009999999999</v>
      </c>
      <c r="L128">
        <v>367.34809999999999</v>
      </c>
      <c r="M128">
        <v>0.99995579999999995</v>
      </c>
      <c r="N128">
        <v>-3.5977819999999999E-3</v>
      </c>
      <c r="O128">
        <v>8.6933500000000007E-3</v>
      </c>
      <c r="P128">
        <v>0.95807419999999999</v>
      </c>
      <c r="Q128">
        <v>0.27952939999999998</v>
      </c>
      <c r="R128">
        <v>6.2904580000000002E-2</v>
      </c>
      <c r="S128">
        <v>3.473541</v>
      </c>
      <c r="T128">
        <v>-1.172979</v>
      </c>
      <c r="U128">
        <v>-1.525879E-3</v>
      </c>
      <c r="V128">
        <v>-5.4563430000000003E-2</v>
      </c>
      <c r="W128">
        <v>0.28297840000000002</v>
      </c>
      <c r="X128">
        <v>0.95757300000000001</v>
      </c>
      <c r="Y128">
        <v>8.2005459999999995E-3</v>
      </c>
      <c r="Z128">
        <v>-4.1883529999999997E-3</v>
      </c>
      <c r="AA128">
        <v>0.9999576</v>
      </c>
      <c r="AB128">
        <v>32</v>
      </c>
      <c r="AC128">
        <v>0.50649999999995998</v>
      </c>
      <c r="AD128">
        <v>-0.28788160000000002</v>
      </c>
      <c r="AE128">
        <v>-3.69999999998071E-3</v>
      </c>
      <c r="AF128">
        <v>6.1246207972358501E-3</v>
      </c>
      <c r="AG128">
        <v>-0.28788160000000002</v>
      </c>
      <c r="AH128">
        <v>0.382793945327569</v>
      </c>
      <c r="AI128">
        <v>126.941608570182</v>
      </c>
      <c r="AJ128">
        <v>89.083358063140693</v>
      </c>
      <c r="AK128">
        <v>0.47900368597529103</v>
      </c>
      <c r="AL128">
        <v>73.561954291507107</v>
      </c>
      <c r="AM128">
        <v>93.261242076446095</v>
      </c>
      <c r="AN128">
        <v>0.99999999654446203</v>
      </c>
    </row>
    <row r="129" spans="1:40" x14ac:dyDescent="0.25">
      <c r="A129" t="str">
        <f>"20190304164827305"</f>
        <v>20190304164827305</v>
      </c>
      <c r="B129" t="str">
        <f>"1551689307297140"</f>
        <v>1551689307297140</v>
      </c>
      <c r="C129" t="s">
        <v>40</v>
      </c>
      <c r="D129">
        <v>5.0519210000000001</v>
      </c>
      <c r="E129">
        <v>0.55213429999999997</v>
      </c>
      <c r="F129" t="s">
        <v>41</v>
      </c>
      <c r="G129">
        <v>-453.81349999999998</v>
      </c>
      <c r="H129">
        <v>0.83901009999999998</v>
      </c>
      <c r="I129">
        <v>367.34649999999999</v>
      </c>
      <c r="J129">
        <v>-454.30590000000001</v>
      </c>
      <c r="K129">
        <v>1.1091409999999999</v>
      </c>
      <c r="L129">
        <v>367.35070000000002</v>
      </c>
      <c r="M129">
        <v>0.99995480000000003</v>
      </c>
      <c r="N129">
        <v>-3.8833829999999998E-3</v>
      </c>
      <c r="O129">
        <v>8.6939970000000002E-3</v>
      </c>
      <c r="P129">
        <v>0.95808320000000002</v>
      </c>
      <c r="Q129">
        <v>0.27957599999999999</v>
      </c>
      <c r="R129">
        <v>6.2562789999999993E-2</v>
      </c>
      <c r="S129">
        <v>3.4739689999999999</v>
      </c>
      <c r="T129">
        <v>-1.1735040000000001</v>
      </c>
      <c r="U129">
        <v>-4.8828129999999997E-3</v>
      </c>
      <c r="V129">
        <v>-5.4220640000000001E-2</v>
      </c>
      <c r="W129">
        <v>0.28329850000000001</v>
      </c>
      <c r="X129">
        <v>0.95749779999999995</v>
      </c>
      <c r="Y129">
        <v>9.1157640000000002E-3</v>
      </c>
      <c r="Z129">
        <v>-4.3408750000000001E-3</v>
      </c>
      <c r="AA129">
        <v>0.99994899999999998</v>
      </c>
      <c r="AB129">
        <v>32</v>
      </c>
      <c r="AC129">
        <v>0.49240000000003098</v>
      </c>
      <c r="AD129">
        <v>-0.27013089999999901</v>
      </c>
      <c r="AE129">
        <v>-4.20000000002573E-3</v>
      </c>
      <c r="AF129">
        <v>6.5189731212754298E-3</v>
      </c>
      <c r="AG129">
        <v>-0.27013089999999901</v>
      </c>
      <c r="AH129">
        <v>0.37845298880584999</v>
      </c>
      <c r="AI129">
        <v>125.51434032401301</v>
      </c>
      <c r="AJ129">
        <v>89.013159566223393</v>
      </c>
      <c r="AK129">
        <v>0.46501598346878997</v>
      </c>
      <c r="AL129">
        <v>73.542831061636207</v>
      </c>
      <c r="AM129">
        <v>93.241051399381902</v>
      </c>
      <c r="AN129">
        <v>0.99999997745454905</v>
      </c>
    </row>
    <row r="130" spans="1:40" x14ac:dyDescent="0.25">
      <c r="A130" t="str">
        <f>"20190304164827327"</f>
        <v>20190304164827327</v>
      </c>
      <c r="B130" t="str">
        <f>"1551689307316663"</f>
        <v>1551689307316663</v>
      </c>
      <c r="C130" t="s">
        <v>40</v>
      </c>
      <c r="D130">
        <v>4.8583220000000003</v>
      </c>
      <c r="E130">
        <v>0.55228699999999997</v>
      </c>
      <c r="F130" t="s">
        <v>41</v>
      </c>
      <c r="G130">
        <v>-453.52440000000001</v>
      </c>
      <c r="H130">
        <v>0.84512690000000001</v>
      </c>
      <c r="I130">
        <v>367.34890000000001</v>
      </c>
      <c r="J130">
        <v>-453.99059999999997</v>
      </c>
      <c r="K130">
        <v>1.109178</v>
      </c>
      <c r="L130">
        <v>367.3535</v>
      </c>
      <c r="M130">
        <v>0.99995339999999999</v>
      </c>
      <c r="N130">
        <v>-4.1938309999999899E-3</v>
      </c>
      <c r="O130">
        <v>8.6946690000000004E-3</v>
      </c>
      <c r="P130">
        <v>0.95817839999999999</v>
      </c>
      <c r="Q130">
        <v>0.27932820000000003</v>
      </c>
      <c r="R130">
        <v>6.220966E-2</v>
      </c>
      <c r="S130">
        <v>3.4741819999999999</v>
      </c>
      <c r="T130">
        <v>-1.1735249999999999</v>
      </c>
      <c r="U130">
        <v>-7.2937009999999997E-3</v>
      </c>
      <c r="V130">
        <v>-5.3865969999999999E-2</v>
      </c>
      <c r="W130">
        <v>0.2833483</v>
      </c>
      <c r="X130">
        <v>0.95750310000000005</v>
      </c>
      <c r="Y130">
        <v>9.7736980000000008E-3</v>
      </c>
      <c r="Z130">
        <v>-4.4492780000000001E-3</v>
      </c>
      <c r="AA130">
        <v>0.99994240000000001</v>
      </c>
      <c r="AB130">
        <v>32</v>
      </c>
      <c r="AC130">
        <v>0.46619999999995798</v>
      </c>
      <c r="AD130">
        <v>-0.26405109999999998</v>
      </c>
      <c r="AE130">
        <v>-4.5999999999821696E-3</v>
      </c>
      <c r="AF130">
        <v>6.5517378054464797E-3</v>
      </c>
      <c r="AG130">
        <v>-0.26405109999999998</v>
      </c>
      <c r="AH130">
        <v>0.35293319881949198</v>
      </c>
      <c r="AI130">
        <v>126.79769423197899</v>
      </c>
      <c r="AJ130">
        <v>88.936501824736595</v>
      </c>
      <c r="AK130">
        <v>0.44082621463388499</v>
      </c>
      <c r="AL130">
        <v>73.5398561025155</v>
      </c>
      <c r="AM130">
        <v>93.219877887016594</v>
      </c>
      <c r="AN130">
        <v>0.99999999417327001</v>
      </c>
    </row>
    <row r="131" spans="1:40" x14ac:dyDescent="0.25">
      <c r="A131" t="str">
        <f>"20190304164827351"</f>
        <v>20190304164827351</v>
      </c>
      <c r="B131" t="str">
        <f>"1551689307346915"</f>
        <v>1551689307346915</v>
      </c>
      <c r="C131" t="s">
        <v>40</v>
      </c>
      <c r="D131">
        <v>4.9484199999999996</v>
      </c>
      <c r="E131">
        <v>0.55246119999999899</v>
      </c>
      <c r="F131" t="s">
        <v>41</v>
      </c>
      <c r="G131">
        <v>-453.2337</v>
      </c>
      <c r="H131">
        <v>0.85327679999999995</v>
      </c>
      <c r="I131">
        <v>367.35079999999999</v>
      </c>
      <c r="J131">
        <v>-453.64789999999999</v>
      </c>
      <c r="K131">
        <v>1.1092249999999999</v>
      </c>
      <c r="L131">
        <v>367.35640000000001</v>
      </c>
      <c r="M131">
        <v>0.99995179999999995</v>
      </c>
      <c r="N131">
        <v>-4.5549229999999998E-3</v>
      </c>
      <c r="O131">
        <v>8.6955330000000001E-3</v>
      </c>
      <c r="P131">
        <v>0.95830769999999998</v>
      </c>
      <c r="Q131">
        <v>0.27891559999999999</v>
      </c>
      <c r="R131">
        <v>6.206623E-2</v>
      </c>
      <c r="S131">
        <v>3.4739689999999999</v>
      </c>
      <c r="T131">
        <v>-1.174499</v>
      </c>
      <c r="U131">
        <v>-9.9182130000000004E-3</v>
      </c>
      <c r="V131">
        <v>-5.3720950000000003E-2</v>
      </c>
      <c r="W131">
        <v>0.28328199999999998</v>
      </c>
      <c r="X131">
        <v>0.95753089999999996</v>
      </c>
      <c r="Y131">
        <v>1.048841E-2</v>
      </c>
      <c r="Z131">
        <v>-4.5713059999999998E-3</v>
      </c>
      <c r="AA131">
        <v>0.99993460000000001</v>
      </c>
      <c r="AB131">
        <v>32</v>
      </c>
      <c r="AC131">
        <v>0.41419999999999302</v>
      </c>
      <c r="AD131">
        <v>-0.25594819999999902</v>
      </c>
      <c r="AE131">
        <v>-5.6000000000153696E-3</v>
      </c>
      <c r="AF131">
        <v>6.6592118232507496E-3</v>
      </c>
      <c r="AG131">
        <v>-0.25594819999999902</v>
      </c>
      <c r="AH131">
        <v>0.2997133447782</v>
      </c>
      <c r="AI131">
        <v>130.48957119705099</v>
      </c>
      <c r="AJ131">
        <v>88.727177243417799</v>
      </c>
      <c r="AK131">
        <v>0.394185128110489</v>
      </c>
      <c r="AL131">
        <v>73.543817683795695</v>
      </c>
      <c r="AM131">
        <v>93.211134340039905</v>
      </c>
      <c r="AN131">
        <v>1.0000000282238499</v>
      </c>
    </row>
    <row r="132" spans="1:40" x14ac:dyDescent="0.25">
      <c r="A132" t="str">
        <f>"20190304164827373"</f>
        <v>20190304164827373</v>
      </c>
      <c r="B132" t="str">
        <f>"1551689307366436"</f>
        <v>1551689307366436</v>
      </c>
      <c r="C132" t="s">
        <v>40</v>
      </c>
      <c r="D132">
        <v>4.8587129999999998</v>
      </c>
      <c r="E132">
        <v>0.55259060000000004</v>
      </c>
      <c r="F132" t="s">
        <v>41</v>
      </c>
      <c r="G132">
        <v>-452.93889999999999</v>
      </c>
      <c r="H132">
        <v>0.86901189999999995</v>
      </c>
      <c r="I132">
        <v>367.35379999999998</v>
      </c>
      <c r="J132">
        <v>-453.3372</v>
      </c>
      <c r="K132">
        <v>1.109275</v>
      </c>
      <c r="L132">
        <v>367.35910000000001</v>
      </c>
      <c r="M132">
        <v>0.99995020000000001</v>
      </c>
      <c r="N132">
        <v>-4.9037259999999997E-3</v>
      </c>
      <c r="O132">
        <v>8.6962440000000005E-3</v>
      </c>
      <c r="P132">
        <v>0.95831540000000004</v>
      </c>
      <c r="Q132">
        <v>0.2788735</v>
      </c>
      <c r="R132">
        <v>6.2139699999999902E-2</v>
      </c>
      <c r="S132">
        <v>3.4738769999999999</v>
      </c>
      <c r="T132">
        <v>-1.1770119999999999</v>
      </c>
      <c r="U132">
        <v>-1.153564E-2</v>
      </c>
      <c r="V132">
        <v>-5.3793279999999999E-2</v>
      </c>
      <c r="W132">
        <v>0.2835742</v>
      </c>
      <c r="X132">
        <v>0.95744030000000002</v>
      </c>
      <c r="Y132">
        <v>1.0925789999999999E-2</v>
      </c>
      <c r="Z132">
        <v>-4.6530640000000002E-3</v>
      </c>
      <c r="AA132">
        <v>0.99992950000000003</v>
      </c>
      <c r="AB132">
        <v>32</v>
      </c>
      <c r="AC132">
        <v>0.39830000000000598</v>
      </c>
      <c r="AD132">
        <v>-0.24026309999999901</v>
      </c>
      <c r="AE132">
        <v>-5.3000000000338297E-3</v>
      </c>
      <c r="AF132">
        <v>6.4257808908594703E-3</v>
      </c>
      <c r="AG132">
        <v>-0.24026309999999901</v>
      </c>
      <c r="AH132">
        <v>0.29200427836434201</v>
      </c>
      <c r="AI132">
        <v>129.440974823158</v>
      </c>
      <c r="AJ132">
        <v>88.739365343769606</v>
      </c>
      <c r="AK132">
        <v>0.37819855428696098</v>
      </c>
      <c r="AL132">
        <v>73.526359261957197</v>
      </c>
      <c r="AM132">
        <v>93.215752382793497</v>
      </c>
      <c r="AN132">
        <v>0.99999998597144402</v>
      </c>
    </row>
    <row r="133" spans="1:40" x14ac:dyDescent="0.25">
      <c r="A133" t="str">
        <f>"20190304164827385"</f>
        <v>20190304164827385</v>
      </c>
      <c r="B133" t="str">
        <f>"1551689307376197"</f>
        <v>1551689307376197</v>
      </c>
      <c r="C133" t="s">
        <v>40</v>
      </c>
      <c r="D133">
        <v>5.0307009999999996</v>
      </c>
      <c r="E133">
        <v>0.55264820000000003</v>
      </c>
      <c r="F133" t="s">
        <v>41</v>
      </c>
      <c r="G133">
        <v>-452.64749999999998</v>
      </c>
      <c r="H133">
        <v>0.87556029999999996</v>
      </c>
      <c r="I133">
        <v>367.35649999999998</v>
      </c>
      <c r="J133">
        <v>-453.14980000000003</v>
      </c>
      <c r="K133">
        <v>1.109313</v>
      </c>
      <c r="L133">
        <v>367.36079999999998</v>
      </c>
      <c r="M133">
        <v>0.99994899999999998</v>
      </c>
      <c r="N133">
        <v>-5.1244100000000002E-3</v>
      </c>
      <c r="O133">
        <v>8.6969919999999902E-3</v>
      </c>
      <c r="P133">
        <v>0.95837220000000001</v>
      </c>
      <c r="Q133">
        <v>0.27869090000000002</v>
      </c>
      <c r="R133">
        <v>6.2080429999999999E-2</v>
      </c>
      <c r="S133">
        <v>3.4737550000000001</v>
      </c>
      <c r="T133">
        <v>-1.1770879999999999</v>
      </c>
      <c r="U133">
        <v>-1.184082E-2</v>
      </c>
      <c r="V133">
        <v>-5.3733009999999998E-2</v>
      </c>
      <c r="W133">
        <v>0.28360259999999998</v>
      </c>
      <c r="X133">
        <v>0.95743529999999999</v>
      </c>
      <c r="Y133">
        <v>1.1009700000000001E-2</v>
      </c>
      <c r="Z133">
        <v>-4.6671669999999998E-3</v>
      </c>
      <c r="AA133">
        <v>0.9999285</v>
      </c>
      <c r="AB133">
        <v>32</v>
      </c>
      <c r="AC133">
        <v>0.50230000000004704</v>
      </c>
      <c r="AD133">
        <v>-0.23375269999999901</v>
      </c>
      <c r="AE133">
        <v>-4.3000000000006297E-3</v>
      </c>
      <c r="AF133">
        <v>7.1253997273175596E-3</v>
      </c>
      <c r="AG133">
        <v>-0.23375269999999901</v>
      </c>
      <c r="AH133">
        <v>0.41284307505675599</v>
      </c>
      <c r="AI133">
        <v>119.514980913999</v>
      </c>
      <c r="AJ133">
        <v>89.011210733739304</v>
      </c>
      <c r="AK133">
        <v>0.47447918890177099</v>
      </c>
      <c r="AL133">
        <v>73.524662846578593</v>
      </c>
      <c r="AM133">
        <v>93.212173741831194</v>
      </c>
      <c r="AN133">
        <v>1.00000001238825</v>
      </c>
    </row>
    <row r="134" spans="1:40" x14ac:dyDescent="0.25">
      <c r="A134" t="str">
        <f>"20190304164827407"</f>
        <v>20190304164827407</v>
      </c>
      <c r="B134" t="str">
        <f>"1551689307396692"</f>
        <v>1551689307396692</v>
      </c>
      <c r="C134" t="s">
        <v>40</v>
      </c>
      <c r="D134">
        <v>4.8764789999999998</v>
      </c>
      <c r="E134">
        <v>0.55275369999999902</v>
      </c>
      <c r="F134" t="s">
        <v>41</v>
      </c>
      <c r="G134">
        <v>-452.37110000000001</v>
      </c>
      <c r="H134">
        <v>0.84536919999999904</v>
      </c>
      <c r="I134">
        <v>367.35759999999999</v>
      </c>
      <c r="J134">
        <v>-452.84269999999998</v>
      </c>
      <c r="K134">
        <v>1.1093649999999999</v>
      </c>
      <c r="L134">
        <v>367.36340000000001</v>
      </c>
      <c r="M134">
        <v>0.99994709999999998</v>
      </c>
      <c r="N134">
        <v>-5.4943960000000003E-3</v>
      </c>
      <c r="O134">
        <v>8.6975430000000003E-3</v>
      </c>
      <c r="P134">
        <v>0.95839260000000004</v>
      </c>
      <c r="Q134">
        <v>0.2786072</v>
      </c>
      <c r="R134">
        <v>6.214459E-2</v>
      </c>
      <c r="S134">
        <v>3.4735719999999999</v>
      </c>
      <c r="T134">
        <v>-1.177475</v>
      </c>
      <c r="U134">
        <v>-1.266479E-2</v>
      </c>
      <c r="V134">
        <v>-5.3796080000000003E-2</v>
      </c>
      <c r="W134">
        <v>0.2838733</v>
      </c>
      <c r="X134">
        <v>0.95735150000000002</v>
      </c>
      <c r="Y134">
        <v>1.1234360000000001E-2</v>
      </c>
      <c r="Z134">
        <v>-4.7056779999999996E-3</v>
      </c>
      <c r="AA134">
        <v>0.99992579999999998</v>
      </c>
      <c r="AB134">
        <v>32</v>
      </c>
      <c r="AC134">
        <v>0.47159999999996599</v>
      </c>
      <c r="AD134">
        <v>-0.2639958</v>
      </c>
      <c r="AE134">
        <v>-5.8000000000220098E-3</v>
      </c>
      <c r="AF134">
        <v>7.5393991995904098E-3</v>
      </c>
      <c r="AG134">
        <v>-0.2639958</v>
      </c>
      <c r="AH134">
        <v>0.35903939733819001</v>
      </c>
      <c r="AI134">
        <v>126.32040948405501</v>
      </c>
      <c r="AJ134">
        <v>88.797033749021395</v>
      </c>
      <c r="AK134">
        <v>0.44571281538553698</v>
      </c>
      <c r="AL134">
        <v>73.508487606357505</v>
      </c>
      <c r="AM134">
        <v>93.216217084267697</v>
      </c>
      <c r="AN134">
        <v>0.99999998161425296</v>
      </c>
    </row>
    <row r="135" spans="1:40" x14ac:dyDescent="0.25">
      <c r="A135" t="str">
        <f>"20190304164827426"</f>
        <v>20190304164827426</v>
      </c>
      <c r="B135" t="str">
        <f>"1551689307416232"</f>
        <v>1551689307416232</v>
      </c>
      <c r="C135" t="s">
        <v>40</v>
      </c>
      <c r="D135">
        <v>4.8602930000000004</v>
      </c>
      <c r="E135">
        <v>0.55280759999999995</v>
      </c>
      <c r="F135" t="s">
        <v>41</v>
      </c>
      <c r="G135">
        <v>-452.07940000000002</v>
      </c>
      <c r="H135">
        <v>0.85064139999999999</v>
      </c>
      <c r="I135">
        <v>367.36009999999999</v>
      </c>
      <c r="J135">
        <v>-452.54939999999999</v>
      </c>
      <c r="K135">
        <v>1.109416</v>
      </c>
      <c r="L135">
        <v>367.36599999999999</v>
      </c>
      <c r="M135">
        <v>0.99994519999999998</v>
      </c>
      <c r="N135">
        <v>-5.849071E-3</v>
      </c>
      <c r="O135">
        <v>8.6980110000000003E-3</v>
      </c>
      <c r="P135">
        <v>0.95835099999999995</v>
      </c>
      <c r="Q135">
        <v>0.27872770000000002</v>
      </c>
      <c r="R135">
        <v>6.2245790000000002E-2</v>
      </c>
      <c r="S135">
        <v>3.4733580000000002</v>
      </c>
      <c r="T135">
        <v>-1.177325</v>
      </c>
      <c r="U135">
        <v>-1.3488770000000001E-2</v>
      </c>
      <c r="V135">
        <v>-5.3897050000000002E-2</v>
      </c>
      <c r="W135">
        <v>0.28433360000000002</v>
      </c>
      <c r="X135">
        <v>0.95720919999999998</v>
      </c>
      <c r="Y135">
        <v>1.145987E-2</v>
      </c>
      <c r="Z135">
        <v>-4.7424320000000004E-3</v>
      </c>
      <c r="AA135">
        <v>0.99992309999999995</v>
      </c>
      <c r="AB135">
        <v>32</v>
      </c>
      <c r="AC135">
        <v>0.46999999999997</v>
      </c>
      <c r="AD135">
        <v>-0.25877459999999902</v>
      </c>
      <c r="AE135">
        <v>-5.8999999999968999E-3</v>
      </c>
      <c r="AF135">
        <v>7.6647591802959198E-3</v>
      </c>
      <c r="AG135">
        <v>-0.25877459999999902</v>
      </c>
      <c r="AH135">
        <v>0.36062666748446298</v>
      </c>
      <c r="AI135">
        <v>125.655929765205</v>
      </c>
      <c r="AJ135">
        <v>88.782418822139704</v>
      </c>
      <c r="AK135">
        <v>0.44393089038655698</v>
      </c>
      <c r="AL135">
        <v>73.480980715226195</v>
      </c>
      <c r="AM135">
        <v>93.222718915090397</v>
      </c>
      <c r="AN135">
        <v>0.99999997032614996</v>
      </c>
    </row>
    <row r="136" spans="1:40" x14ac:dyDescent="0.25">
      <c r="A136" t="str">
        <f>"20190304164827450"</f>
        <v>20190304164827450</v>
      </c>
      <c r="B136" t="str">
        <f>"1551689307436708"</f>
        <v>1551689307436708</v>
      </c>
      <c r="C136" t="s">
        <v>40</v>
      </c>
      <c r="D136">
        <v>4.8606210000000001</v>
      </c>
      <c r="E136">
        <v>0.55284619999999995</v>
      </c>
      <c r="F136" t="s">
        <v>41</v>
      </c>
      <c r="G136">
        <v>-451.78899999999999</v>
      </c>
      <c r="H136">
        <v>0.85168539999999904</v>
      </c>
      <c r="I136">
        <v>367.36279999999999</v>
      </c>
      <c r="J136">
        <v>-452.2122</v>
      </c>
      <c r="K136">
        <v>1.1094790000000001</v>
      </c>
      <c r="L136">
        <v>367.3689</v>
      </c>
      <c r="M136">
        <v>0.99994229999999995</v>
      </c>
      <c r="N136">
        <v>-6.2947300000000001E-3</v>
      </c>
      <c r="O136">
        <v>8.6984850000000006E-3</v>
      </c>
      <c r="P136">
        <v>0.95839229999999997</v>
      </c>
      <c r="Q136">
        <v>0.278595599999999</v>
      </c>
      <c r="R136">
        <v>6.2198690000000001E-2</v>
      </c>
      <c r="S136">
        <v>3.4736630000000002</v>
      </c>
      <c r="T136">
        <v>-1.1773659999999999</v>
      </c>
      <c r="U136">
        <v>-1.33667E-2</v>
      </c>
      <c r="V136">
        <v>-5.3848800000000002E-2</v>
      </c>
      <c r="W136">
        <v>0.28462809999999999</v>
      </c>
      <c r="X136">
        <v>0.95712439999999999</v>
      </c>
      <c r="Y136">
        <v>1.14272E-2</v>
      </c>
      <c r="Z136">
        <v>-4.7357099999999997E-3</v>
      </c>
      <c r="AA136">
        <v>0.99992349999999997</v>
      </c>
      <c r="AB136">
        <v>32</v>
      </c>
      <c r="AC136">
        <v>0.42320000000000801</v>
      </c>
      <c r="AD136">
        <v>-0.25779360000000001</v>
      </c>
      <c r="AE136">
        <v>-6.1000000000035401E-3</v>
      </c>
      <c r="AF136">
        <v>7.1342883819342003E-3</v>
      </c>
      <c r="AG136">
        <v>-0.25779360000000001</v>
      </c>
      <c r="AH136">
        <v>0.30863156527031499</v>
      </c>
      <c r="AI136">
        <v>129.863784100885</v>
      </c>
      <c r="AJ136">
        <v>88.675793805579403</v>
      </c>
      <c r="AK136">
        <v>0.40219632190372101</v>
      </c>
      <c r="AL136">
        <v>73.4633800835675</v>
      </c>
      <c r="AM136">
        <v>93.220124602185706</v>
      </c>
      <c r="AN136">
        <v>0.99999998282320401</v>
      </c>
    </row>
    <row r="137" spans="1:40" x14ac:dyDescent="0.25">
      <c r="A137" t="str">
        <f>"20190304164827464"</f>
        <v>20190304164827464</v>
      </c>
      <c r="B137" t="str">
        <f>"1551689307456228"</f>
        <v>1551689307456228</v>
      </c>
      <c r="C137" t="s">
        <v>40</v>
      </c>
      <c r="D137">
        <v>4.8660880000000004</v>
      </c>
      <c r="E137">
        <v>0.55290499999999998</v>
      </c>
      <c r="F137" t="s">
        <v>41</v>
      </c>
      <c r="G137">
        <v>-451.49299999999999</v>
      </c>
      <c r="H137">
        <v>0.86544789999999905</v>
      </c>
      <c r="I137">
        <v>367.36579999999998</v>
      </c>
      <c r="J137">
        <v>-452.02429999999998</v>
      </c>
      <c r="K137">
        <v>1.1095280000000001</v>
      </c>
      <c r="L137">
        <v>367.37049999999999</v>
      </c>
      <c r="M137">
        <v>0.99994059999999996</v>
      </c>
      <c r="N137">
        <v>-6.5963599999999999E-3</v>
      </c>
      <c r="O137">
        <v>8.6986900000000002E-3</v>
      </c>
      <c r="P137">
        <v>0.95835800000000004</v>
      </c>
      <c r="Q137">
        <v>0.27874880000000002</v>
      </c>
      <c r="R137">
        <v>6.2041930000000002E-2</v>
      </c>
      <c r="S137">
        <v>3.4736940000000001</v>
      </c>
      <c r="T137">
        <v>-1.178523</v>
      </c>
      <c r="U137">
        <v>-1.312256E-2</v>
      </c>
      <c r="V137">
        <v>-5.3692200000000002E-2</v>
      </c>
      <c r="W137">
        <v>0.28507009999999899</v>
      </c>
      <c r="X137">
        <v>0.95700169999999996</v>
      </c>
      <c r="Y137">
        <v>1.135911E-2</v>
      </c>
      <c r="Z137">
        <v>-4.7279119999999999E-3</v>
      </c>
      <c r="AA137">
        <v>0.99992429999999999</v>
      </c>
      <c r="AB137">
        <v>32</v>
      </c>
      <c r="AC137">
        <v>0.53129999999993005</v>
      </c>
      <c r="AD137">
        <v>-0.24408009999999999</v>
      </c>
      <c r="AE137">
        <v>-4.7000000000139101E-3</v>
      </c>
      <c r="AF137">
        <v>7.6971750628013098E-3</v>
      </c>
      <c r="AG137">
        <v>-0.24408009999999999</v>
      </c>
      <c r="AH137">
        <v>0.43866587610013202</v>
      </c>
      <c r="AI137">
        <v>119.088454973419</v>
      </c>
      <c r="AJ137">
        <v>88.994746534254503</v>
      </c>
      <c r="AK137">
        <v>0.50205785779594503</v>
      </c>
      <c r="AL137">
        <v>73.436961735140599</v>
      </c>
      <c r="AM137">
        <v>93.211190443476696</v>
      </c>
      <c r="AN137">
        <v>1.00000003402886</v>
      </c>
    </row>
    <row r="138" spans="1:40" x14ac:dyDescent="0.25">
      <c r="A138" t="str">
        <f>"20190304164827483"</f>
        <v>20190304164827483</v>
      </c>
      <c r="B138" t="str">
        <f>"1551689307476725"</f>
        <v>1551689307476725</v>
      </c>
      <c r="C138" t="s">
        <v>40</v>
      </c>
      <c r="D138">
        <v>4.8160040000000004</v>
      </c>
      <c r="E138">
        <v>0.55323330000000004</v>
      </c>
      <c r="F138" t="s">
        <v>41</v>
      </c>
      <c r="G138">
        <v>-451.21559999999999</v>
      </c>
      <c r="H138">
        <v>0.8352908</v>
      </c>
      <c r="I138">
        <v>367.36720000000003</v>
      </c>
      <c r="J138">
        <v>-451.72789999999998</v>
      </c>
      <c r="K138">
        <v>1.1096060000000001</v>
      </c>
      <c r="L138">
        <v>367.3732</v>
      </c>
      <c r="M138">
        <v>0.99993719999999997</v>
      </c>
      <c r="N138">
        <v>-7.0825250000000001E-3</v>
      </c>
      <c r="O138">
        <v>8.6993250000000008E-3</v>
      </c>
      <c r="P138">
        <v>0.95817169999999896</v>
      </c>
      <c r="Q138">
        <v>0.27941280000000002</v>
      </c>
      <c r="R138">
        <v>6.1932010000000003E-2</v>
      </c>
      <c r="S138">
        <v>3.473846</v>
      </c>
      <c r="T138">
        <v>-1.1779109999999999</v>
      </c>
      <c r="U138">
        <v>-1.3488770000000001E-2</v>
      </c>
      <c r="V138">
        <v>-5.3582579999999998E-2</v>
      </c>
      <c r="W138">
        <v>0.28619790000000001</v>
      </c>
      <c r="X138">
        <v>0.95667120000000005</v>
      </c>
      <c r="Y138">
        <v>1.146081E-2</v>
      </c>
      <c r="Z138">
        <v>-4.7414470000000002E-3</v>
      </c>
      <c r="AA138">
        <v>0.99992309999999995</v>
      </c>
      <c r="AB138">
        <v>32</v>
      </c>
      <c r="AC138">
        <v>0.51229999999998199</v>
      </c>
      <c r="AD138">
        <v>-0.27431519999999898</v>
      </c>
      <c r="AE138">
        <v>-5.9999999999717996E-3</v>
      </c>
      <c r="AF138">
        <v>8.1267915814648307E-3</v>
      </c>
      <c r="AG138">
        <v>-0.27431519999999898</v>
      </c>
      <c r="AH138">
        <v>0.39810207243052997</v>
      </c>
      <c r="AI138">
        <v>124.563497402339</v>
      </c>
      <c r="AJ138">
        <v>88.830535616288302</v>
      </c>
      <c r="AK138">
        <v>0.483528834472083</v>
      </c>
      <c r="AL138">
        <v>73.369534857859904</v>
      </c>
      <c r="AM138">
        <v>93.205752832767601</v>
      </c>
      <c r="AN138">
        <v>1.0000000578766499</v>
      </c>
    </row>
    <row r="139" spans="1:40" x14ac:dyDescent="0.25">
      <c r="A139" t="str">
        <f>"20190304164827497"</f>
        <v>20190304164827497</v>
      </c>
      <c r="B139" t="str">
        <f>"1551689307486484"</f>
        <v>1551689307486484</v>
      </c>
      <c r="C139" t="s">
        <v>40</v>
      </c>
      <c r="D139">
        <v>4.8752309999999897</v>
      </c>
      <c r="E139">
        <v>0.55325329999999995</v>
      </c>
      <c r="F139" t="s">
        <v>41</v>
      </c>
      <c r="G139">
        <v>-450.92399999999998</v>
      </c>
      <c r="H139">
        <v>0.83892180000000005</v>
      </c>
      <c r="I139">
        <v>367.36860000000001</v>
      </c>
      <c r="J139">
        <v>-451.53930000000003</v>
      </c>
      <c r="K139">
        <v>1.1096440000000001</v>
      </c>
      <c r="L139">
        <v>367.37479999999999</v>
      </c>
      <c r="M139">
        <v>0.99993520000000002</v>
      </c>
      <c r="N139">
        <v>-7.3648330000000003E-3</v>
      </c>
      <c r="O139">
        <v>8.6994800000000008E-3</v>
      </c>
      <c r="P139">
        <v>0.95811400000000002</v>
      </c>
      <c r="Q139">
        <v>0.2796035</v>
      </c>
      <c r="R139">
        <v>6.1966550000000002E-2</v>
      </c>
      <c r="S139">
        <v>3.4731139999999998</v>
      </c>
      <c r="T139">
        <v>-1.1694310000000001</v>
      </c>
      <c r="U139">
        <v>-1.7395020000000001E-2</v>
      </c>
      <c r="V139">
        <v>-5.3617749999999999E-2</v>
      </c>
      <c r="W139">
        <v>0.28665839999999998</v>
      </c>
      <c r="X139">
        <v>0.95653129999999997</v>
      </c>
      <c r="Y139">
        <v>1.2540920000000001E-2</v>
      </c>
      <c r="Z139">
        <v>-4.890246E-3</v>
      </c>
      <c r="AA139">
        <v>0.99990939999999995</v>
      </c>
      <c r="AB139">
        <v>32</v>
      </c>
      <c r="AC139">
        <v>0.61529999999998997</v>
      </c>
      <c r="AD139">
        <v>-0.27072220000000002</v>
      </c>
      <c r="AE139">
        <v>-6.1999999999784398E-3</v>
      </c>
      <c r="AF139">
        <v>9.6791434381113504E-3</v>
      </c>
      <c r="AG139">
        <v>-0.27072220000000002</v>
      </c>
      <c r="AH139">
        <v>0.51544917188680595</v>
      </c>
      <c r="AI139">
        <v>117.705020408911</v>
      </c>
      <c r="AJ139">
        <v>88.924221963253999</v>
      </c>
      <c r="AK139">
        <v>0.58229893026634405</v>
      </c>
      <c r="AL139">
        <v>73.3419955949783</v>
      </c>
      <c r="AM139">
        <v>93.208320792782501</v>
      </c>
      <c r="AN139">
        <v>1.00000001464265</v>
      </c>
    </row>
    <row r="140" spans="1:40" x14ac:dyDescent="0.25">
      <c r="A140" t="str">
        <f>"20190304164827517"</f>
        <v>20190304164827517</v>
      </c>
      <c r="B140" t="str">
        <f>"1551689307506983"</f>
        <v>1551689307506983</v>
      </c>
      <c r="C140" t="s">
        <v>40</v>
      </c>
      <c r="D140">
        <v>4.7826700000000004</v>
      </c>
      <c r="E140">
        <v>0.55334319999999904</v>
      </c>
      <c r="F140" t="s">
        <v>41</v>
      </c>
      <c r="G140">
        <v>-450.64600000000002</v>
      </c>
      <c r="H140">
        <v>0.80902419999999997</v>
      </c>
      <c r="I140">
        <v>367.37020000000001</v>
      </c>
      <c r="J140">
        <v>-451.2373</v>
      </c>
      <c r="K140">
        <v>1.1096980000000001</v>
      </c>
      <c r="L140">
        <v>367.37740000000002</v>
      </c>
      <c r="M140">
        <v>0.99993180000000004</v>
      </c>
      <c r="N140">
        <v>-7.7999899999999997E-3</v>
      </c>
      <c r="O140">
        <v>8.6996529999999999E-3</v>
      </c>
      <c r="P140">
        <v>0.95822549999999995</v>
      </c>
      <c r="Q140">
        <v>0.27920450000000002</v>
      </c>
      <c r="R140">
        <v>6.2038320000000001E-2</v>
      </c>
      <c r="S140">
        <v>3.4733580000000002</v>
      </c>
      <c r="T140">
        <v>-1.1688590000000001</v>
      </c>
      <c r="U140">
        <v>-1.7639160000000001E-2</v>
      </c>
      <c r="V140">
        <v>-5.3688140000000002E-2</v>
      </c>
      <c r="W140">
        <v>0.286676599999999</v>
      </c>
      <c r="X140">
        <v>0.95652190000000004</v>
      </c>
      <c r="Y140">
        <v>1.260876E-2</v>
      </c>
      <c r="Z140">
        <v>-4.8981930000000003E-3</v>
      </c>
      <c r="AA140">
        <v>0.99990849999999998</v>
      </c>
      <c r="AB140">
        <v>32</v>
      </c>
      <c r="AC140">
        <v>0.59130000000004601</v>
      </c>
      <c r="AD140">
        <v>-0.30067379999999899</v>
      </c>
      <c r="AE140">
        <v>-7.2000000000116398E-3</v>
      </c>
      <c r="AF140">
        <v>9.8082588588209001E-3</v>
      </c>
      <c r="AG140">
        <v>-0.30067379999999899</v>
      </c>
      <c r="AH140">
        <v>0.46976628302948897</v>
      </c>
      <c r="AI140">
        <v>122.61559702606201</v>
      </c>
      <c r="AJ140">
        <v>88.803894153609605</v>
      </c>
      <c r="AK140">
        <v>0.55783626327052604</v>
      </c>
      <c r="AL140">
        <v>73.340907174120701</v>
      </c>
      <c r="AM140">
        <v>93.212555401344105</v>
      </c>
      <c r="AN140">
        <v>1.0000000172719099</v>
      </c>
    </row>
    <row r="141" spans="1:40" x14ac:dyDescent="0.25">
      <c r="A141" t="str">
        <f>"20190304164827530"</f>
        <v>20190304164827530</v>
      </c>
      <c r="B141" t="str">
        <f>"1551689307516740"</f>
        <v>1551689307516740</v>
      </c>
      <c r="C141" t="s">
        <v>40</v>
      </c>
      <c r="D141">
        <v>4.8013440000000003</v>
      </c>
      <c r="E141">
        <v>0.55340180000000005</v>
      </c>
      <c r="F141" t="s">
        <v>41</v>
      </c>
      <c r="G141">
        <v>-450.3546</v>
      </c>
      <c r="H141">
        <v>0.81251960000000001</v>
      </c>
      <c r="I141">
        <v>367.37220000000002</v>
      </c>
      <c r="J141">
        <v>-451.0564</v>
      </c>
      <c r="K141">
        <v>1.1097330000000001</v>
      </c>
      <c r="L141">
        <v>367.37900000000002</v>
      </c>
      <c r="M141">
        <v>0.99992970000000003</v>
      </c>
      <c r="N141">
        <v>-8.0639330000000006E-3</v>
      </c>
      <c r="O141">
        <v>8.699722E-3</v>
      </c>
      <c r="P141">
        <v>0.9582465</v>
      </c>
      <c r="Q141">
        <v>0.27916570000000002</v>
      </c>
      <c r="R141">
        <v>6.1891429999999997E-2</v>
      </c>
      <c r="S141">
        <v>3.4726560000000002</v>
      </c>
      <c r="T141">
        <v>-1.169109</v>
      </c>
      <c r="U141">
        <v>-1.8829350000000002E-2</v>
      </c>
      <c r="V141">
        <v>-5.3540440000000002E-2</v>
      </c>
      <c r="W141">
        <v>0.28689049999999999</v>
      </c>
      <c r="X141">
        <v>0.95646600000000004</v>
      </c>
      <c r="Y141">
        <v>1.2933409999999999E-2</v>
      </c>
      <c r="Z141">
        <v>-4.9541519999999999E-3</v>
      </c>
      <c r="AA141">
        <v>0.99990409999999996</v>
      </c>
      <c r="AB141">
        <v>32</v>
      </c>
      <c r="AC141">
        <v>0.70179999999999099</v>
      </c>
      <c r="AD141">
        <v>-0.29721340000000002</v>
      </c>
      <c r="AE141">
        <v>-6.7999999999983603E-3</v>
      </c>
      <c r="AF141">
        <v>1.0942935350573901E-2</v>
      </c>
      <c r="AG141">
        <v>-0.29721340000000002</v>
      </c>
      <c r="AH141">
        <v>0.59500756278455402</v>
      </c>
      <c r="AI141">
        <v>116.53880437308</v>
      </c>
      <c r="AJ141">
        <v>88.946377534273097</v>
      </c>
      <c r="AK141">
        <v>0.66519888209802502</v>
      </c>
      <c r="AL141">
        <v>73.328113493017099</v>
      </c>
      <c r="AM141">
        <v>93.203922712030106</v>
      </c>
      <c r="AN141">
        <v>0.99999997343082103</v>
      </c>
    </row>
    <row r="142" spans="1:40" x14ac:dyDescent="0.25">
      <c r="A142" t="str">
        <f>"20190304164827552"</f>
        <v>20190304164827552</v>
      </c>
      <c r="B142" t="str">
        <f>"1551689307546996"</f>
        <v>1551689307546996</v>
      </c>
      <c r="C142" t="s">
        <v>40</v>
      </c>
      <c r="D142">
        <v>4.8197150000000004</v>
      </c>
      <c r="E142">
        <v>0.55358629999999998</v>
      </c>
      <c r="F142" t="s">
        <v>41</v>
      </c>
      <c r="G142">
        <v>-450.33249999999998</v>
      </c>
      <c r="H142">
        <v>0.86611629999999995</v>
      </c>
      <c r="I142">
        <v>367.37439999999998</v>
      </c>
      <c r="J142">
        <v>-450.73009999999999</v>
      </c>
      <c r="K142">
        <v>1.109796</v>
      </c>
      <c r="L142">
        <v>367.38189999999997</v>
      </c>
      <c r="M142">
        <v>0.99992599999999998</v>
      </c>
      <c r="N142">
        <v>-8.5277930000000005E-3</v>
      </c>
      <c r="O142">
        <v>8.6997940000000003E-3</v>
      </c>
      <c r="P142">
        <v>0.95838769999999995</v>
      </c>
      <c r="Q142">
        <v>0.27870499999999998</v>
      </c>
      <c r="R142">
        <v>6.1781500000000003E-2</v>
      </c>
      <c r="S142">
        <v>3.4725039999999998</v>
      </c>
      <c r="T142">
        <v>-1.168771</v>
      </c>
      <c r="U142">
        <v>-2.0019530000000001E-2</v>
      </c>
      <c r="V142">
        <v>-5.3428980000000001E-2</v>
      </c>
      <c r="W142">
        <v>0.28687400000000002</v>
      </c>
      <c r="X142">
        <v>0.95647720000000003</v>
      </c>
      <c r="Y142">
        <v>1.3258860000000001E-2</v>
      </c>
      <c r="Z142">
        <v>-5.0068930000000001E-3</v>
      </c>
      <c r="AA142">
        <v>0.9998996</v>
      </c>
      <c r="AB142">
        <v>32</v>
      </c>
      <c r="AC142">
        <v>0.397600000000011</v>
      </c>
      <c r="AD142">
        <v>-0.243679699999999</v>
      </c>
      <c r="AE142">
        <v>-7.4999999999931797E-3</v>
      </c>
      <c r="AF142">
        <v>7.9672894947227409E-3</v>
      </c>
      <c r="AG142">
        <v>-0.243679699999999</v>
      </c>
      <c r="AH142">
        <v>0.28900350584231099</v>
      </c>
      <c r="AI142">
        <v>130.12592796923599</v>
      </c>
      <c r="AJ142">
        <v>88.420861821178804</v>
      </c>
      <c r="AK142">
        <v>0.37810884713681198</v>
      </c>
      <c r="AL142">
        <v>73.329100655910693</v>
      </c>
      <c r="AM142">
        <v>93.197229306048101</v>
      </c>
      <c r="AN142">
        <v>0.99999999094984005</v>
      </c>
    </row>
    <row r="143" spans="1:40" x14ac:dyDescent="0.25">
      <c r="A143" t="str">
        <f>"20190304164827574"</f>
        <v>20190304164827574</v>
      </c>
      <c r="B143" t="str">
        <f>"1551689307566516"</f>
        <v>1551689307566516</v>
      </c>
      <c r="C143" t="s">
        <v>40</v>
      </c>
      <c r="D143">
        <v>4.8804429999999996</v>
      </c>
      <c r="E143">
        <v>0.55357719999999999</v>
      </c>
      <c r="F143" t="s">
        <v>41</v>
      </c>
      <c r="G143">
        <v>-450.03800000000001</v>
      </c>
      <c r="H143">
        <v>0.87680130000000001</v>
      </c>
      <c r="I143">
        <v>367.3775</v>
      </c>
      <c r="J143">
        <v>-450.41730000000001</v>
      </c>
      <c r="K143">
        <v>1.109842</v>
      </c>
      <c r="L143">
        <v>367.38459999999998</v>
      </c>
      <c r="M143">
        <v>0.99992230000000004</v>
      </c>
      <c r="N143">
        <v>-8.9391969999999994E-3</v>
      </c>
      <c r="O143">
        <v>8.6998189999999993E-3</v>
      </c>
      <c r="P143">
        <v>0.95847199999999999</v>
      </c>
      <c r="Q143">
        <v>0.27844049999999998</v>
      </c>
      <c r="R143">
        <v>6.1663870000000003E-2</v>
      </c>
      <c r="S143">
        <v>3.4713750000000001</v>
      </c>
      <c r="T143">
        <v>-1.1685700000000001</v>
      </c>
      <c r="U143">
        <v>-2.053833E-2</v>
      </c>
      <c r="V143">
        <v>-5.3310499999999997E-2</v>
      </c>
      <c r="W143">
        <v>0.28700419999999999</v>
      </c>
      <c r="X143">
        <v>0.95644479999999998</v>
      </c>
      <c r="Y143">
        <v>1.3401949999999999E-2</v>
      </c>
      <c r="Z143">
        <v>-5.0310440000000001E-3</v>
      </c>
      <c r="AA143">
        <v>0.99989749999999999</v>
      </c>
      <c r="AB143">
        <v>32</v>
      </c>
      <c r="AC143">
        <v>0.37930000000000003</v>
      </c>
      <c r="AD143">
        <v>-0.23304069999999899</v>
      </c>
      <c r="AE143">
        <v>-7.0999999999799002E-3</v>
      </c>
      <c r="AF143">
        <v>7.5505101694685996E-3</v>
      </c>
      <c r="AG143">
        <v>-0.23304069999999899</v>
      </c>
      <c r="AH143">
        <v>0.27532838158159001</v>
      </c>
      <c r="AI143">
        <v>130.234290613551</v>
      </c>
      <c r="AJ143">
        <v>88.429134102996301</v>
      </c>
      <c r="AK143">
        <v>0.36079176232925098</v>
      </c>
      <c r="AL143">
        <v>73.321314081794597</v>
      </c>
      <c r="AM143">
        <v>93.190261880946494</v>
      </c>
      <c r="AN143">
        <v>1.0000000378374601</v>
      </c>
    </row>
    <row r="144" spans="1:40" x14ac:dyDescent="0.25">
      <c r="A144" t="str">
        <f>"20190304164827597"</f>
        <v>20190304164827597</v>
      </c>
      <c r="B144" t="str">
        <f>"1551689307587015"</f>
        <v>1551689307587015</v>
      </c>
      <c r="C144" t="s">
        <v>40</v>
      </c>
      <c r="D144">
        <v>4.9200780000000002</v>
      </c>
      <c r="E144">
        <v>0.5536643</v>
      </c>
      <c r="F144" t="s">
        <v>41</v>
      </c>
      <c r="G144">
        <v>-449.74529999999999</v>
      </c>
      <c r="H144">
        <v>0.88325200000000004</v>
      </c>
      <c r="I144">
        <v>367.38049999999998</v>
      </c>
      <c r="J144">
        <v>-450.08690000000001</v>
      </c>
      <c r="K144">
        <v>1.1098809999999999</v>
      </c>
      <c r="L144">
        <v>367.38749999999999</v>
      </c>
      <c r="M144">
        <v>0.99991859999999999</v>
      </c>
      <c r="N144">
        <v>-9.3288510000000009E-3</v>
      </c>
      <c r="O144">
        <v>8.7002179999999991E-3</v>
      </c>
      <c r="P144">
        <v>0.95848900000000004</v>
      </c>
      <c r="Q144">
        <v>0.2783447</v>
      </c>
      <c r="R144">
        <v>6.1832430000000001E-2</v>
      </c>
      <c r="S144">
        <v>3.4713440000000002</v>
      </c>
      <c r="T144">
        <v>-1.170563</v>
      </c>
      <c r="U144">
        <v>-2.0324709999999999E-2</v>
      </c>
      <c r="V144">
        <v>-5.347826E-2</v>
      </c>
      <c r="W144">
        <v>0.28728150000000002</v>
      </c>
      <c r="X144">
        <v>0.95635219999999999</v>
      </c>
      <c r="Y144">
        <v>1.334049E-2</v>
      </c>
      <c r="Z144">
        <v>-5.0283810000000002E-3</v>
      </c>
      <c r="AA144">
        <v>0.99989839999999997</v>
      </c>
      <c r="AB144">
        <v>32</v>
      </c>
      <c r="AC144">
        <v>0.34160000000002799</v>
      </c>
      <c r="AD144">
        <v>-0.226628999999999</v>
      </c>
      <c r="AE144">
        <v>-7.0000000000049996E-3</v>
      </c>
      <c r="AF144">
        <v>6.9250957795322999E-3</v>
      </c>
      <c r="AG144">
        <v>-0.226628999999999</v>
      </c>
      <c r="AH144">
        <v>0.237177583651731</v>
      </c>
      <c r="AI144">
        <v>133.68492472494299</v>
      </c>
      <c r="AJ144">
        <v>88.327556683244595</v>
      </c>
      <c r="AK144">
        <v>0.32811867788870103</v>
      </c>
      <c r="AL144">
        <v>73.304727800972998</v>
      </c>
      <c r="AM144">
        <v>93.200589539834198</v>
      </c>
      <c r="AN144">
        <v>1.00000005748985</v>
      </c>
    </row>
    <row r="145" spans="1:40" x14ac:dyDescent="0.25">
      <c r="A145" t="str">
        <f>"20190304164827617"</f>
        <v>20190304164827617</v>
      </c>
      <c r="B145" t="str">
        <f>"1551689307606535"</f>
        <v>1551689307606535</v>
      </c>
      <c r="C145" t="s">
        <v>40</v>
      </c>
      <c r="D145">
        <v>4.9120290000000004</v>
      </c>
      <c r="E145">
        <v>0.55365450000000005</v>
      </c>
      <c r="F145" t="s">
        <v>41</v>
      </c>
      <c r="G145">
        <v>-449.19650000000001</v>
      </c>
      <c r="H145">
        <v>0.8097261</v>
      </c>
      <c r="I145">
        <v>367.38130000000001</v>
      </c>
      <c r="J145">
        <v>-449.79899999999998</v>
      </c>
      <c r="K145">
        <v>1.1099110000000001</v>
      </c>
      <c r="L145">
        <v>367.39</v>
      </c>
      <c r="M145">
        <v>0.99991580000000002</v>
      </c>
      <c r="N145">
        <v>-9.6348279999999998E-3</v>
      </c>
      <c r="O145">
        <v>8.7004149999999995E-3</v>
      </c>
      <c r="P145">
        <v>0.95846609999999999</v>
      </c>
      <c r="Q145">
        <v>0.278424</v>
      </c>
      <c r="R145">
        <v>6.1828569999999999E-2</v>
      </c>
      <c r="S145">
        <v>3.4711910000000001</v>
      </c>
      <c r="T145">
        <v>-1.1700969999999999</v>
      </c>
      <c r="U145">
        <v>-2.2186279999999999E-2</v>
      </c>
      <c r="V145">
        <v>-5.3474309999999997E-2</v>
      </c>
      <c r="W145">
        <v>0.2876532</v>
      </c>
      <c r="X145">
        <v>0.95624070000000005</v>
      </c>
      <c r="Y145">
        <v>1.3849180000000001E-2</v>
      </c>
      <c r="Z145">
        <v>-5.1121980000000001E-3</v>
      </c>
      <c r="AA145">
        <v>0.99989099999999997</v>
      </c>
      <c r="AB145">
        <v>32</v>
      </c>
      <c r="AC145">
        <v>0.60250000000002002</v>
      </c>
      <c r="AD145">
        <v>-0.30018489999999998</v>
      </c>
      <c r="AE145">
        <v>-8.6999999999761695E-3</v>
      </c>
      <c r="AF145">
        <v>1.1169762172879599E-2</v>
      </c>
      <c r="AG145">
        <v>-0.30018489999999998</v>
      </c>
      <c r="AH145">
        <v>0.48262251499951497</v>
      </c>
      <c r="AI145">
        <v>121.87419278370299</v>
      </c>
      <c r="AJ145">
        <v>88.674189493367507</v>
      </c>
      <c r="AK145">
        <v>0.56847183726149997</v>
      </c>
      <c r="AL145">
        <v>73.282492644349603</v>
      </c>
      <c r="AM145">
        <v>93.200726023194093</v>
      </c>
      <c r="AN145">
        <v>1.0000000708183501</v>
      </c>
    </row>
    <row r="146" spans="1:40" x14ac:dyDescent="0.25">
      <c r="A146" t="str">
        <f>"20190304164827639"</f>
        <v>20190304164827639</v>
      </c>
      <c r="B146" t="str">
        <f>"1551689307627028"</f>
        <v>1551689307627028</v>
      </c>
      <c r="C146" t="s">
        <v>40</v>
      </c>
      <c r="D146">
        <v>4.8259730000000003</v>
      </c>
      <c r="E146">
        <v>0.5537204</v>
      </c>
      <c r="F146" t="s">
        <v>41</v>
      </c>
      <c r="G146">
        <v>-448.90710000000001</v>
      </c>
      <c r="H146">
        <v>0.80918979999999996</v>
      </c>
      <c r="I146">
        <v>367.38389999999998</v>
      </c>
      <c r="J146">
        <v>-449.471</v>
      </c>
      <c r="K146">
        <v>1.109934</v>
      </c>
      <c r="L146">
        <v>367.3929</v>
      </c>
      <c r="M146">
        <v>0.99991269999999999</v>
      </c>
      <c r="N146">
        <v>-9.9456230000000007E-3</v>
      </c>
      <c r="O146">
        <v>8.7003610000000002E-3</v>
      </c>
      <c r="P146">
        <v>0.95835999999999999</v>
      </c>
      <c r="Q146">
        <v>0.27879890000000002</v>
      </c>
      <c r="R146">
        <v>6.1784859999999997E-2</v>
      </c>
      <c r="S146">
        <v>3.4715579999999999</v>
      </c>
      <c r="T146">
        <v>-1.1704220000000001</v>
      </c>
      <c r="U146">
        <v>-2.3345950000000001E-2</v>
      </c>
      <c r="V146">
        <v>-5.343113E-2</v>
      </c>
      <c r="W146">
        <v>0.28832400000000002</v>
      </c>
      <c r="X146">
        <v>0.95604100000000003</v>
      </c>
      <c r="Y146">
        <v>1.416422E-2</v>
      </c>
      <c r="Z146">
        <v>-5.1658779999999996E-3</v>
      </c>
      <c r="AA146">
        <v>0.99988630000000001</v>
      </c>
      <c r="AB146">
        <v>32</v>
      </c>
      <c r="AC146">
        <v>0.56389999999998897</v>
      </c>
      <c r="AD146">
        <v>-0.30074420000000002</v>
      </c>
      <c r="AE146">
        <v>-9.0000000000145502E-3</v>
      </c>
      <c r="AF146">
        <v>1.08271481698271E-2</v>
      </c>
      <c r="AG146">
        <v>-0.30074420000000002</v>
      </c>
      <c r="AH146">
        <v>0.438971258118042</v>
      </c>
      <c r="AI146">
        <v>124.40736320689599</v>
      </c>
      <c r="AJ146">
        <v>88.587096236064099</v>
      </c>
      <c r="AK146">
        <v>0.53222182069590895</v>
      </c>
      <c r="AL146">
        <v>73.242357149121702</v>
      </c>
      <c r="AM146">
        <v>93.198813483376696</v>
      </c>
      <c r="AN146">
        <v>1.0000000041550301</v>
      </c>
    </row>
    <row r="147" spans="1:40" x14ac:dyDescent="0.25">
      <c r="A147" t="str">
        <f>"20190304164827652"</f>
        <v>20190304164827652</v>
      </c>
      <c r="B147" t="str">
        <f>"1551689307646548"</f>
        <v>1551689307646548</v>
      </c>
      <c r="C147" t="s">
        <v>40</v>
      </c>
      <c r="D147">
        <v>4.844182</v>
      </c>
      <c r="E147">
        <v>0.5537839</v>
      </c>
      <c r="F147" t="s">
        <v>41</v>
      </c>
      <c r="G147">
        <v>-448.61270000000002</v>
      </c>
      <c r="H147">
        <v>0.82100430000000002</v>
      </c>
      <c r="I147">
        <v>367.38639999999998</v>
      </c>
      <c r="J147">
        <v>-449.2867</v>
      </c>
      <c r="K147">
        <v>1.1099460000000001</v>
      </c>
      <c r="L147">
        <v>367.39449999999999</v>
      </c>
      <c r="M147">
        <v>0.99991110000000005</v>
      </c>
      <c r="N147">
        <v>-1.010551E-2</v>
      </c>
      <c r="O147">
        <v>8.7005609999999903E-3</v>
      </c>
      <c r="P147">
        <v>0.95836449999999995</v>
      </c>
      <c r="Q147">
        <v>0.27875440000000001</v>
      </c>
      <c r="R147">
        <v>6.1913940000000001E-2</v>
      </c>
      <c r="S147">
        <v>3.4719540000000002</v>
      </c>
      <c r="T147">
        <v>-1.1686939999999999</v>
      </c>
      <c r="U147">
        <v>-2.444458E-2</v>
      </c>
      <c r="V147">
        <v>-5.3560139999999999E-2</v>
      </c>
      <c r="W147">
        <v>0.28843269999999999</v>
      </c>
      <c r="X147">
        <v>0.95600099999999999</v>
      </c>
      <c r="Y147">
        <v>1.446679E-2</v>
      </c>
      <c r="Z147">
        <v>-5.2090569999999996E-3</v>
      </c>
      <c r="AA147">
        <v>0.99988180000000004</v>
      </c>
      <c r="AB147">
        <v>32</v>
      </c>
      <c r="AC147">
        <v>0.67399999999997795</v>
      </c>
      <c r="AD147">
        <v>-0.28894169999999902</v>
      </c>
      <c r="AE147">
        <v>-8.1000000000130898E-3</v>
      </c>
      <c r="AF147">
        <v>1.1796509413942301E-2</v>
      </c>
      <c r="AG147">
        <v>-0.28894169999999902</v>
      </c>
      <c r="AH147">
        <v>0.56929373421501905</v>
      </c>
      <c r="AI147">
        <v>116.904841745726</v>
      </c>
      <c r="AJ147">
        <v>88.812926525481302</v>
      </c>
      <c r="AK147">
        <v>0.63853098550479404</v>
      </c>
      <c r="AL147">
        <v>73.235852896369494</v>
      </c>
      <c r="AM147">
        <v>93.206654837190996</v>
      </c>
      <c r="AN147">
        <v>1.0000000115135499</v>
      </c>
    </row>
    <row r="148" spans="1:40" x14ac:dyDescent="0.25">
      <c r="A148" t="str">
        <f>"20190304164827674"</f>
        <v>20190304164827674</v>
      </c>
      <c r="B148" t="str">
        <f>"1551689307667044"</f>
        <v>1551689307667044</v>
      </c>
      <c r="C148" t="s">
        <v>40</v>
      </c>
      <c r="D148">
        <v>4.9404830000000004</v>
      </c>
      <c r="E148">
        <v>0.55385039999999996</v>
      </c>
      <c r="F148" t="s">
        <v>41</v>
      </c>
      <c r="G148">
        <v>-448.5899</v>
      </c>
      <c r="H148">
        <v>0.87542919999999902</v>
      </c>
      <c r="I148">
        <v>367.38920000000002</v>
      </c>
      <c r="J148">
        <v>-448.96429999999998</v>
      </c>
      <c r="K148">
        <v>1.109969</v>
      </c>
      <c r="L148">
        <v>367.39729999999997</v>
      </c>
      <c r="M148">
        <v>0.99990849999999998</v>
      </c>
      <c r="N148">
        <v>-1.0359159999999999E-2</v>
      </c>
      <c r="O148">
        <v>8.7006159999999996E-3</v>
      </c>
      <c r="P148">
        <v>0.95821880000000004</v>
      </c>
      <c r="Q148">
        <v>0.2792172</v>
      </c>
      <c r="R148">
        <v>6.2085389999999997E-2</v>
      </c>
      <c r="S148">
        <v>3.4718019999999998</v>
      </c>
      <c r="T148">
        <v>-1.1685700000000001</v>
      </c>
      <c r="U148">
        <v>-2.4078370000000002E-2</v>
      </c>
      <c r="V148">
        <v>-5.373286E-2</v>
      </c>
      <c r="W148">
        <v>0.28913620000000001</v>
      </c>
      <c r="X148">
        <v>0.95577880000000004</v>
      </c>
      <c r="Y148">
        <v>1.436757E-2</v>
      </c>
      <c r="Z148">
        <v>-5.191729E-3</v>
      </c>
      <c r="AA148">
        <v>0.99988330000000003</v>
      </c>
      <c r="AB148">
        <v>32</v>
      </c>
      <c r="AC148">
        <v>0.37439999999998003</v>
      </c>
      <c r="AD148">
        <v>-0.23453979999999999</v>
      </c>
      <c r="AE148">
        <v>-8.0999999999562498E-3</v>
      </c>
      <c r="AF148">
        <v>8.1575965713527408E-3</v>
      </c>
      <c r="AG148">
        <v>-0.23453979999999999</v>
      </c>
      <c r="AH148">
        <v>0.26885724812693301</v>
      </c>
      <c r="AI148">
        <v>131.08702303355801</v>
      </c>
      <c r="AJ148">
        <v>88.262079577782302</v>
      </c>
      <c r="AK148">
        <v>0.35687488568999598</v>
      </c>
      <c r="AL148">
        <v>73.193752017199401</v>
      </c>
      <c r="AM148">
        <v>93.217720241917704</v>
      </c>
      <c r="AN148">
        <v>1.00000003846182</v>
      </c>
    </row>
    <row r="149" spans="1:40" x14ac:dyDescent="0.25">
      <c r="A149" t="str">
        <f>"20190304164827697"</f>
        <v>20190304164827697</v>
      </c>
      <c r="B149" t="str">
        <f>"1551689307686567"</f>
        <v>1551689307686567</v>
      </c>
      <c r="C149" t="s">
        <v>40</v>
      </c>
      <c r="D149">
        <v>4.9404409999999999</v>
      </c>
      <c r="E149">
        <v>0.55384339999999999</v>
      </c>
      <c r="F149" t="s">
        <v>41</v>
      </c>
      <c r="G149">
        <v>-448.29599999999999</v>
      </c>
      <c r="H149">
        <v>0.88545890000000005</v>
      </c>
      <c r="I149">
        <v>367.39269999999999</v>
      </c>
      <c r="J149">
        <v>-448.64249999999998</v>
      </c>
      <c r="K149">
        <v>1.1099779999999999</v>
      </c>
      <c r="L149">
        <v>367.40010000000001</v>
      </c>
      <c r="M149">
        <v>0.99990619999999997</v>
      </c>
      <c r="N149">
        <v>-1.058015E-2</v>
      </c>
      <c r="O149">
        <v>8.7007539999999998E-3</v>
      </c>
      <c r="P149">
        <v>0.95809569999999999</v>
      </c>
      <c r="Q149">
        <v>0.27955859999999999</v>
      </c>
      <c r="R149">
        <v>6.244939E-2</v>
      </c>
      <c r="S149">
        <v>3.472229</v>
      </c>
      <c r="T149">
        <v>-1.1665000000000001</v>
      </c>
      <c r="U149">
        <v>-2.3529049999999999E-2</v>
      </c>
      <c r="V149">
        <v>-5.4097590000000001E-2</v>
      </c>
      <c r="W149">
        <v>0.289688</v>
      </c>
      <c r="X149">
        <v>0.95559110000000003</v>
      </c>
      <c r="Y149">
        <v>1.422172E-2</v>
      </c>
      <c r="Z149">
        <v>-5.1575340000000001E-3</v>
      </c>
      <c r="AA149">
        <v>0.99988560000000004</v>
      </c>
      <c r="AB149">
        <v>32</v>
      </c>
      <c r="AC149">
        <v>0.34649999999999098</v>
      </c>
      <c r="AD149">
        <v>-0.2245191</v>
      </c>
      <c r="AE149">
        <v>-7.40000000001828E-3</v>
      </c>
      <c r="AF149">
        <v>7.3360297017126801E-3</v>
      </c>
      <c r="AG149">
        <v>-0.2245191</v>
      </c>
      <c r="AH149">
        <v>0.24401718256782101</v>
      </c>
      <c r="AI149">
        <v>132.604122403346</v>
      </c>
      <c r="AJ149">
        <v>88.2780025062265</v>
      </c>
      <c r="AK149">
        <v>0.331673075459754</v>
      </c>
      <c r="AL149">
        <v>73.160722357712103</v>
      </c>
      <c r="AM149">
        <v>93.240150205914006</v>
      </c>
      <c r="AN149">
        <v>1.0000000184935001</v>
      </c>
    </row>
    <row r="150" spans="1:40" x14ac:dyDescent="0.25">
      <c r="A150" t="str">
        <f>"20190304164827709"</f>
        <v>20190304164827709</v>
      </c>
      <c r="B150" t="str">
        <f>"1551689307696324"</f>
        <v>1551689307696324</v>
      </c>
      <c r="C150" t="s">
        <v>40</v>
      </c>
      <c r="D150">
        <v>4.8746280000000004</v>
      </c>
      <c r="E150">
        <v>0.55384719999999998</v>
      </c>
      <c r="F150" t="s">
        <v>41</v>
      </c>
      <c r="G150">
        <v>-447.74880000000002</v>
      </c>
      <c r="H150">
        <v>0.80998959999999998</v>
      </c>
      <c r="I150">
        <v>367.39400000000001</v>
      </c>
      <c r="J150">
        <v>-448.45639999999997</v>
      </c>
      <c r="K150">
        <v>1.1099840000000001</v>
      </c>
      <c r="L150">
        <v>367.40179999999998</v>
      </c>
      <c r="M150">
        <v>0.99990500000000004</v>
      </c>
      <c r="N150">
        <v>-1.0693909999999999E-2</v>
      </c>
      <c r="O150">
        <v>8.70067699999999E-3</v>
      </c>
      <c r="P150">
        <v>0.95807189999999998</v>
      </c>
      <c r="Q150">
        <v>0.27958749999999999</v>
      </c>
      <c r="R150">
        <v>6.2683580000000003E-2</v>
      </c>
      <c r="S150">
        <v>3.4728699999999999</v>
      </c>
      <c r="T150">
        <v>-1.165848</v>
      </c>
      <c r="U150">
        <v>-2.2979739999999999E-2</v>
      </c>
      <c r="V150">
        <v>-5.4331709999999998E-2</v>
      </c>
      <c r="W150">
        <v>0.2898249</v>
      </c>
      <c r="X150">
        <v>0.95553630000000001</v>
      </c>
      <c r="Y150">
        <v>1.407256E-2</v>
      </c>
      <c r="Z150">
        <v>-5.128545E-3</v>
      </c>
      <c r="AA150">
        <v>0.99988779999999999</v>
      </c>
      <c r="AB150">
        <v>32</v>
      </c>
      <c r="AC150">
        <v>0.70759999999995604</v>
      </c>
      <c r="AD150">
        <v>-0.29999439999999999</v>
      </c>
      <c r="AE150">
        <v>-7.79999999997471E-3</v>
      </c>
      <c r="AF150">
        <v>1.1830475386546401E-2</v>
      </c>
      <c r="AG150">
        <v>-0.29999439999999999</v>
      </c>
      <c r="AH150">
        <v>0.59972279810238005</v>
      </c>
      <c r="AI150">
        <v>116.570756247934</v>
      </c>
      <c r="AJ150">
        <v>88.869897212397007</v>
      </c>
      <c r="AK150">
        <v>0.67067431346591699</v>
      </c>
      <c r="AL150">
        <v>73.152526909594101</v>
      </c>
      <c r="AM150">
        <v>93.254328868239696</v>
      </c>
      <c r="AN150">
        <v>1.0000000139946099</v>
      </c>
    </row>
    <row r="151" spans="1:40" x14ac:dyDescent="0.25">
      <c r="A151" t="str">
        <f>"20190304164827729"</f>
        <v>20190304164827729</v>
      </c>
      <c r="B151" t="str">
        <f>"1551689307716820"</f>
        <v>1551689307716820</v>
      </c>
      <c r="C151" t="s">
        <v>40</v>
      </c>
      <c r="D151">
        <v>4.8778410000000001</v>
      </c>
      <c r="E151">
        <v>0.55385079999999998</v>
      </c>
      <c r="F151" t="s">
        <v>41</v>
      </c>
      <c r="G151">
        <v>-447.72609999999997</v>
      </c>
      <c r="H151">
        <v>0.86481569999999997</v>
      </c>
      <c r="I151">
        <v>367.39679999999998</v>
      </c>
      <c r="J151">
        <v>-448.17610000000002</v>
      </c>
      <c r="K151">
        <v>1.1099939999999999</v>
      </c>
      <c r="L151">
        <v>367.4042</v>
      </c>
      <c r="M151">
        <v>0.99990330000000005</v>
      </c>
      <c r="N151">
        <v>-1.0851370000000001E-2</v>
      </c>
      <c r="O151">
        <v>8.7008299999999997E-3</v>
      </c>
      <c r="P151">
        <v>0.958036</v>
      </c>
      <c r="Q151">
        <v>0.27965830000000003</v>
      </c>
      <c r="R151">
        <v>6.2915330000000005E-2</v>
      </c>
      <c r="S151">
        <v>3.4729610000000002</v>
      </c>
      <c r="T151">
        <v>-1.1659459999999999</v>
      </c>
      <c r="U151">
        <v>-2.2277829999999998E-2</v>
      </c>
      <c r="V151">
        <v>-5.4563460000000001E-2</v>
      </c>
      <c r="W151">
        <v>0.29004570000000002</v>
      </c>
      <c r="X151">
        <v>0.95545610000000003</v>
      </c>
      <c r="Y151">
        <v>1.388124E-2</v>
      </c>
      <c r="Z151">
        <v>-5.0963529999999996E-3</v>
      </c>
      <c r="AA151">
        <v>0.99989070000000002</v>
      </c>
      <c r="AB151">
        <v>32</v>
      </c>
      <c r="AC151">
        <v>0.45000000000004498</v>
      </c>
      <c r="AD151">
        <v>-0.24517829999999999</v>
      </c>
      <c r="AE151">
        <v>-7.40000000001828E-3</v>
      </c>
      <c r="AF151">
        <v>8.72576800531818E-3</v>
      </c>
      <c r="AG151">
        <v>-0.24517829999999999</v>
      </c>
      <c r="AH151">
        <v>0.34695296223807498</v>
      </c>
      <c r="AI151">
        <v>125.238840628246</v>
      </c>
      <c r="AJ151">
        <v>88.559331186971505</v>
      </c>
      <c r="AK151">
        <v>0.42492928332129298</v>
      </c>
      <c r="AL151">
        <v>73.139308298222403</v>
      </c>
      <c r="AM151">
        <v>93.268453800410796</v>
      </c>
      <c r="AN151">
        <v>1.00000001914143</v>
      </c>
    </row>
    <row r="152" spans="1:40" x14ac:dyDescent="0.25">
      <c r="A152" t="str">
        <f>"20190304164827744"</f>
        <v>20190304164827744</v>
      </c>
      <c r="B152" t="str">
        <f>"1551689307736340"</f>
        <v>1551689307736340</v>
      </c>
      <c r="C152" t="s">
        <v>40</v>
      </c>
      <c r="D152">
        <v>5.013509</v>
      </c>
      <c r="E152">
        <v>0.55387419999999998</v>
      </c>
      <c r="F152" t="s">
        <v>41</v>
      </c>
      <c r="G152">
        <v>-447.43790000000001</v>
      </c>
      <c r="H152">
        <v>0.86211009999999999</v>
      </c>
      <c r="I152">
        <v>367.39929999999998</v>
      </c>
      <c r="J152">
        <v>-447.96089999999998</v>
      </c>
      <c r="K152">
        <v>1.1100030000000001</v>
      </c>
      <c r="L152">
        <v>367.40600000000001</v>
      </c>
      <c r="M152">
        <v>0.99990210000000002</v>
      </c>
      <c r="N152">
        <v>-1.0960050000000001E-2</v>
      </c>
      <c r="O152">
        <v>8.7008850000000002E-3</v>
      </c>
      <c r="P152">
        <v>0.95799389999999995</v>
      </c>
      <c r="Q152">
        <v>0.27980470000000002</v>
      </c>
      <c r="R152">
        <v>6.2905099999999894E-2</v>
      </c>
      <c r="S152">
        <v>3.4731450000000001</v>
      </c>
      <c r="T152">
        <v>-1.1662060000000001</v>
      </c>
      <c r="U152">
        <v>-2.0721440000000001E-2</v>
      </c>
      <c r="V152">
        <v>-5.4553690000000002E-2</v>
      </c>
      <c r="W152">
        <v>0.29029539999999998</v>
      </c>
      <c r="X152">
        <v>0.95538080000000003</v>
      </c>
      <c r="Y152">
        <v>1.3456630000000001E-2</v>
      </c>
      <c r="Z152">
        <v>-5.025285E-3</v>
      </c>
      <c r="AA152">
        <v>0.99989680000000003</v>
      </c>
      <c r="AB152">
        <v>32</v>
      </c>
      <c r="AC152">
        <v>0.52299999999996705</v>
      </c>
      <c r="AD152">
        <v>-0.2478929</v>
      </c>
      <c r="AE152">
        <v>-6.7000000000234598E-3</v>
      </c>
      <c r="AF152">
        <v>9.1869789724969998E-3</v>
      </c>
      <c r="AG152">
        <v>-0.2478929</v>
      </c>
      <c r="AH152">
        <v>0.42700655945080002</v>
      </c>
      <c r="AI152">
        <v>120.13097375357199</v>
      </c>
      <c r="AJ152">
        <v>88.767480464071298</v>
      </c>
      <c r="AK152">
        <v>0.49383184614508302</v>
      </c>
      <c r="AL152">
        <v>73.124357963061499</v>
      </c>
      <c r="AM152">
        <v>93.268126832106205</v>
      </c>
      <c r="AN152">
        <v>0.99999999868120804</v>
      </c>
    </row>
    <row r="153" spans="1:40" x14ac:dyDescent="0.25">
      <c r="A153" t="str">
        <f>"20190304164827766"</f>
        <v>20190304164827766</v>
      </c>
      <c r="B153" t="str">
        <f>"1551689307756836"</f>
        <v>1551689307756836</v>
      </c>
      <c r="C153" t="s">
        <v>40</v>
      </c>
      <c r="D153">
        <v>4.885777</v>
      </c>
      <c r="E153">
        <v>0.55383499999999997</v>
      </c>
      <c r="F153" t="s">
        <v>41</v>
      </c>
      <c r="G153">
        <v>-447.15780000000001</v>
      </c>
      <c r="H153">
        <v>0.84042159999999999</v>
      </c>
      <c r="I153">
        <v>367.40120000000002</v>
      </c>
      <c r="J153">
        <v>-447.64359999999999</v>
      </c>
      <c r="K153">
        <v>1.110025</v>
      </c>
      <c r="L153">
        <v>367.40879999999999</v>
      </c>
      <c r="M153">
        <v>0.99990060000000003</v>
      </c>
      <c r="N153">
        <v>-1.110331E-2</v>
      </c>
      <c r="O153">
        <v>8.7010980000000009E-3</v>
      </c>
      <c r="P153">
        <v>0.95778730000000001</v>
      </c>
      <c r="Q153">
        <v>0.28047499999999997</v>
      </c>
      <c r="R153">
        <v>6.3065780000000002E-2</v>
      </c>
      <c r="S153">
        <v>3.4734799999999999</v>
      </c>
      <c r="T153">
        <v>-1.1659870000000001</v>
      </c>
      <c r="U153">
        <v>-2.0782470000000001E-2</v>
      </c>
      <c r="V153">
        <v>-5.4715979999999997E-2</v>
      </c>
      <c r="W153">
        <v>0.29110069999999999</v>
      </c>
      <c r="X153">
        <v>0.95512649999999999</v>
      </c>
      <c r="Y153">
        <v>1.347361E-2</v>
      </c>
      <c r="Z153">
        <v>-5.0266349999999998E-3</v>
      </c>
      <c r="AA153">
        <v>0.99989660000000002</v>
      </c>
      <c r="AB153">
        <v>32</v>
      </c>
      <c r="AC153">
        <v>0.48579999999998302</v>
      </c>
      <c r="AD153">
        <v>-0.26960339999999999</v>
      </c>
      <c r="AE153">
        <v>-7.5999999999680698E-3</v>
      </c>
      <c r="AF153">
        <v>9.0426173730691999E-3</v>
      </c>
      <c r="AG153">
        <v>-0.26960339999999999</v>
      </c>
      <c r="AH153">
        <v>0.37136652447334001</v>
      </c>
      <c r="AI153">
        <v>125.97069865575899</v>
      </c>
      <c r="AJ153">
        <v>88.605147694796301</v>
      </c>
      <c r="AK153">
        <v>0.458999845010784</v>
      </c>
      <c r="AL153">
        <v>73.076135942175299</v>
      </c>
      <c r="AM153">
        <v>93.278698718291693</v>
      </c>
      <c r="AN153">
        <v>1.00000004350504</v>
      </c>
    </row>
    <row r="154" spans="1:40" x14ac:dyDescent="0.25">
      <c r="A154" t="str">
        <f>"20190304164827789"</f>
        <v>20190304164827789</v>
      </c>
      <c r="B154" t="str">
        <f>"1551689307776356"</f>
        <v>1551689307776356</v>
      </c>
      <c r="C154" t="s">
        <v>40</v>
      </c>
      <c r="D154">
        <v>4.9885789999999997</v>
      </c>
      <c r="E154">
        <v>0.55378130000000003</v>
      </c>
      <c r="F154" t="s">
        <v>41</v>
      </c>
      <c r="G154">
        <v>-446.86509999999998</v>
      </c>
      <c r="H154">
        <v>0.84898609999999897</v>
      </c>
      <c r="I154">
        <v>367.40429999999998</v>
      </c>
      <c r="J154">
        <v>-447.31150000000002</v>
      </c>
      <c r="K154">
        <v>1.1100460000000001</v>
      </c>
      <c r="L154">
        <v>367.4117</v>
      </c>
      <c r="M154">
        <v>0.99989899999999998</v>
      </c>
      <c r="N154">
        <v>-1.124525E-2</v>
      </c>
      <c r="O154">
        <v>8.7014889999999998E-3</v>
      </c>
      <c r="P154">
        <v>0.95746790000000004</v>
      </c>
      <c r="Q154">
        <v>0.28156999999999999</v>
      </c>
      <c r="R154">
        <v>6.3037070000000001E-2</v>
      </c>
      <c r="S154">
        <v>3.474548</v>
      </c>
      <c r="T154">
        <v>-1.165019</v>
      </c>
      <c r="U154">
        <v>-1.7974850000000001E-2</v>
      </c>
      <c r="V154">
        <v>-5.4690030000000001E-2</v>
      </c>
      <c r="W154">
        <v>0.29232750000000002</v>
      </c>
      <c r="X154">
        <v>0.95475319999999997</v>
      </c>
      <c r="Y154">
        <v>1.27102E-2</v>
      </c>
      <c r="Z154">
        <v>-4.892108E-3</v>
      </c>
      <c r="AA154">
        <v>0.99990730000000005</v>
      </c>
      <c r="AB154">
        <v>32</v>
      </c>
      <c r="AC154">
        <v>0.44640000000003899</v>
      </c>
      <c r="AD154">
        <v>-0.26105990000000001</v>
      </c>
      <c r="AE154">
        <v>-7.40000000001828E-3</v>
      </c>
      <c r="AF154">
        <v>8.4091364230494802E-3</v>
      </c>
      <c r="AG154">
        <v>-0.26105990000000001</v>
      </c>
      <c r="AH154">
        <v>0.332599417754319</v>
      </c>
      <c r="AI154">
        <v>128.11975638007701</v>
      </c>
      <c r="AJ154">
        <v>88.551694989970599</v>
      </c>
      <c r="AK154">
        <v>0.42290112042167</v>
      </c>
      <c r="AL154">
        <v>73.0026487971828</v>
      </c>
      <c r="AM154">
        <v>93.278425669651199</v>
      </c>
      <c r="AN154">
        <v>1.00000001977394</v>
      </c>
    </row>
    <row r="155" spans="1:40" x14ac:dyDescent="0.25">
      <c r="A155" t="str">
        <f>"20190304164827809"</f>
        <v>20190304164827809</v>
      </c>
      <c r="B155" t="str">
        <f>"1551689307796852"</f>
        <v>1551689307796852</v>
      </c>
      <c r="C155" t="s">
        <v>40</v>
      </c>
      <c r="D155">
        <v>4.9960110000000002</v>
      </c>
      <c r="E155">
        <v>0.55373539999999999</v>
      </c>
      <c r="F155" t="s">
        <v>41</v>
      </c>
      <c r="G155">
        <v>-446.57029999999997</v>
      </c>
      <c r="H155">
        <v>0.86216659999999901</v>
      </c>
      <c r="I155">
        <v>367.4076</v>
      </c>
      <c r="J155">
        <v>-447.02140000000003</v>
      </c>
      <c r="K155">
        <v>1.1098920000000001</v>
      </c>
      <c r="L155">
        <v>367.41419999999999</v>
      </c>
      <c r="M155">
        <v>0.99990449999999997</v>
      </c>
      <c r="N155">
        <v>-1.073259E-2</v>
      </c>
      <c r="O155">
        <v>8.7017829999999994E-3</v>
      </c>
      <c r="P155">
        <v>0.95700169999999996</v>
      </c>
      <c r="Q155">
        <v>0.28311310000000001</v>
      </c>
      <c r="R155">
        <v>6.3204949999999996E-2</v>
      </c>
      <c r="S155">
        <v>3.4762879999999998</v>
      </c>
      <c r="T155">
        <v>-1.162542</v>
      </c>
      <c r="U155">
        <v>-1.7852779999999999E-2</v>
      </c>
      <c r="V155">
        <v>-5.4861460000000001E-2</v>
      </c>
      <c r="W155">
        <v>0.29337619999999998</v>
      </c>
      <c r="X155">
        <v>0.95442159999999998</v>
      </c>
      <c r="Y155">
        <v>1.268011E-2</v>
      </c>
      <c r="Z155">
        <v>-4.8758830000000001E-3</v>
      </c>
      <c r="AA155">
        <v>0.99990769999999995</v>
      </c>
      <c r="AB155">
        <v>32</v>
      </c>
      <c r="AC155">
        <v>0.45110000000005301</v>
      </c>
      <c r="AD155">
        <v>-0.24772540000000001</v>
      </c>
      <c r="AE155">
        <v>-6.5999999999917201E-3</v>
      </c>
      <c r="AF155">
        <v>8.0870269706810795E-3</v>
      </c>
      <c r="AG155">
        <v>-0.24772540000000001</v>
      </c>
      <c r="AH155">
        <v>0.34654002233023901</v>
      </c>
      <c r="AI155">
        <v>125.551840383589</v>
      </c>
      <c r="AJ155">
        <v>88.663160387799294</v>
      </c>
      <c r="AK155">
        <v>0.42605546691367202</v>
      </c>
      <c r="AL155">
        <v>72.939806962073106</v>
      </c>
      <c r="AM155">
        <v>93.289819714738996</v>
      </c>
      <c r="AN155">
        <v>0.99999998253316502</v>
      </c>
    </row>
    <row r="156" spans="1:40" x14ac:dyDescent="0.25">
      <c r="A156" t="str">
        <f>"20190304164827831"</f>
        <v>20190304164827831</v>
      </c>
      <c r="B156" t="str">
        <f>"1551689307816372"</f>
        <v>1551689307816372</v>
      </c>
      <c r="C156" t="s">
        <v>40</v>
      </c>
      <c r="D156">
        <v>4.9289870000000002</v>
      </c>
      <c r="E156">
        <v>0.55375180000000002</v>
      </c>
      <c r="F156" t="s">
        <v>41</v>
      </c>
      <c r="G156">
        <v>-446.27769999999998</v>
      </c>
      <c r="H156">
        <v>0.86224129999999999</v>
      </c>
      <c r="I156">
        <v>367.41019999999997</v>
      </c>
      <c r="J156">
        <v>-446.70150000000001</v>
      </c>
      <c r="K156">
        <v>1.109604</v>
      </c>
      <c r="L156">
        <v>367.41699999999997</v>
      </c>
      <c r="M156">
        <v>0.99991600000000003</v>
      </c>
      <c r="N156">
        <v>-9.6222549999999997E-3</v>
      </c>
      <c r="O156">
        <v>8.7018479999999999E-3</v>
      </c>
      <c r="P156">
        <v>0.95667170000000001</v>
      </c>
      <c r="Q156">
        <v>0.2842616</v>
      </c>
      <c r="R156">
        <v>6.3044210000000003E-2</v>
      </c>
      <c r="S156">
        <v>3.4786380000000001</v>
      </c>
      <c r="T156">
        <v>-1.158288</v>
      </c>
      <c r="U156">
        <v>-1.742554E-2</v>
      </c>
      <c r="V156">
        <v>-5.470386E-2</v>
      </c>
      <c r="W156">
        <v>0.29346100000000003</v>
      </c>
      <c r="X156">
        <v>0.95440460000000005</v>
      </c>
      <c r="Y156">
        <v>1.256913E-2</v>
      </c>
      <c r="Z156">
        <v>-4.839388E-3</v>
      </c>
      <c r="AA156">
        <v>0.9999093</v>
      </c>
      <c r="AB156">
        <v>32</v>
      </c>
      <c r="AC156">
        <v>0.42380000000002799</v>
      </c>
      <c r="AD156">
        <v>-0.24736269999999999</v>
      </c>
      <c r="AE156">
        <v>-6.7999999999983603E-3</v>
      </c>
      <c r="AF156">
        <v>7.8232259469585494E-3</v>
      </c>
      <c r="AG156">
        <v>-0.24736269999999999</v>
      </c>
      <c r="AH156">
        <v>0.31607283008799902</v>
      </c>
      <c r="AI156">
        <v>128.038679665183</v>
      </c>
      <c r="AJ156">
        <v>88.582142198128395</v>
      </c>
      <c r="AK156">
        <v>0.40143684700752702</v>
      </c>
      <c r="AL156">
        <v>72.934724980558499</v>
      </c>
      <c r="AM156">
        <v>93.280448052505804</v>
      </c>
      <c r="AN156">
        <v>1.0000000056605201</v>
      </c>
    </row>
    <row r="157" spans="1:40" x14ac:dyDescent="0.25">
      <c r="A157" t="str">
        <f>"20190304164827853"</f>
        <v>20190304164827853</v>
      </c>
      <c r="B157" t="str">
        <f>"1551689307846628"</f>
        <v>1551689307846628</v>
      </c>
      <c r="C157" t="s">
        <v>40</v>
      </c>
      <c r="D157">
        <v>5.022818</v>
      </c>
      <c r="E157">
        <v>0.55375379999999996</v>
      </c>
      <c r="F157" t="s">
        <v>41</v>
      </c>
      <c r="G157">
        <v>-445.97919999999999</v>
      </c>
      <c r="H157">
        <v>0.87001759999999995</v>
      </c>
      <c r="I157">
        <v>367.41289999999998</v>
      </c>
      <c r="J157">
        <v>-446.36110000000002</v>
      </c>
      <c r="K157">
        <v>1.1093200000000001</v>
      </c>
      <c r="L157">
        <v>367.42</v>
      </c>
      <c r="M157">
        <v>0.99992749999999997</v>
      </c>
      <c r="N157">
        <v>-8.3273710000000001E-3</v>
      </c>
      <c r="O157">
        <v>8.7018389999999994E-3</v>
      </c>
      <c r="P157">
        <v>0.95645369999999996</v>
      </c>
      <c r="Q157">
        <v>0.28503879999999998</v>
      </c>
      <c r="R157">
        <v>6.2843460000000004E-2</v>
      </c>
      <c r="S157">
        <v>3.4800420000000001</v>
      </c>
      <c r="T157">
        <v>-1.1543870000000001</v>
      </c>
      <c r="U157">
        <v>-1.8615719999999999E-2</v>
      </c>
      <c r="V157">
        <v>-5.4505749999999999E-2</v>
      </c>
      <c r="W157">
        <v>0.29300009999999999</v>
      </c>
      <c r="X157">
        <v>0.95455749999999995</v>
      </c>
      <c r="Y157">
        <v>1.289848E-2</v>
      </c>
      <c r="Z157">
        <v>-4.8792080000000003E-3</v>
      </c>
      <c r="AA157">
        <v>0.99990489999999999</v>
      </c>
      <c r="AB157">
        <v>33</v>
      </c>
      <c r="AC157">
        <v>0.38190000000002999</v>
      </c>
      <c r="AD157">
        <v>-0.2393024</v>
      </c>
      <c r="AE157">
        <v>-7.1000000000367401E-3</v>
      </c>
      <c r="AF157">
        <v>7.4851306499945603E-3</v>
      </c>
      <c r="AG157">
        <v>-0.2393024</v>
      </c>
      <c r="AH157">
        <v>0.27419928410875699</v>
      </c>
      <c r="AI157">
        <v>131.101661864633</v>
      </c>
      <c r="AJ157">
        <v>88.436320081649797</v>
      </c>
      <c r="AK157">
        <v>0.36401499039512403</v>
      </c>
      <c r="AL157">
        <v>72.96234632865</v>
      </c>
      <c r="AM157">
        <v>93.268071292062203</v>
      </c>
      <c r="AN157">
        <v>0.99999997809466101</v>
      </c>
    </row>
    <row r="158" spans="1:40" x14ac:dyDescent="0.25">
      <c r="A158" t="str">
        <f>"20190304164827875"</f>
        <v>20190304164827875</v>
      </c>
      <c r="B158" t="str">
        <f>"1551689307867124"</f>
        <v>1551689307867124</v>
      </c>
      <c r="C158" t="s">
        <v>40</v>
      </c>
      <c r="D158">
        <v>4.9546769999999896</v>
      </c>
      <c r="E158">
        <v>0.55140599999999995</v>
      </c>
      <c r="F158" t="s">
        <v>41</v>
      </c>
      <c r="G158">
        <v>-445.67649999999998</v>
      </c>
      <c r="H158">
        <v>0.88268539999999995</v>
      </c>
      <c r="I158">
        <v>367.41590000000002</v>
      </c>
      <c r="J158">
        <v>-446.03219999999999</v>
      </c>
      <c r="K158">
        <v>1.109092</v>
      </c>
      <c r="L158">
        <v>367.4228</v>
      </c>
      <c r="M158">
        <v>0.99993690000000002</v>
      </c>
      <c r="N158">
        <v>-7.09292E-3</v>
      </c>
      <c r="O158">
        <v>8.7019590000000004E-3</v>
      </c>
      <c r="P158">
        <v>0.95605329999999999</v>
      </c>
      <c r="Q158">
        <v>0.2863791</v>
      </c>
      <c r="R158">
        <v>6.2840670000000001E-2</v>
      </c>
      <c r="S158">
        <v>3.481201</v>
      </c>
      <c r="T158">
        <v>-1.1524179999999999</v>
      </c>
      <c r="U158">
        <v>-1.8280029999999999E-2</v>
      </c>
      <c r="V158">
        <v>-5.4506619999999999E-2</v>
      </c>
      <c r="W158">
        <v>0.29315920000000001</v>
      </c>
      <c r="X158">
        <v>0.95450860000000004</v>
      </c>
      <c r="Y158">
        <v>1.28091E-2</v>
      </c>
      <c r="Z158">
        <v>-4.8573230000000002E-3</v>
      </c>
      <c r="AA158">
        <v>0.99990619999999997</v>
      </c>
      <c r="AB158">
        <v>33</v>
      </c>
      <c r="AC158">
        <v>0.35570000000001201</v>
      </c>
      <c r="AD158">
        <v>-0.22640660000000001</v>
      </c>
      <c r="AE158">
        <v>-6.89999999997326E-3</v>
      </c>
      <c r="AF158">
        <v>7.1139904698906799E-3</v>
      </c>
      <c r="AG158">
        <v>-0.22640660000000001</v>
      </c>
      <c r="AH158">
        <v>0.25311627777808499</v>
      </c>
      <c r="AI158">
        <v>131.80064898173299</v>
      </c>
      <c r="AJ158">
        <v>88.390090282634304</v>
      </c>
      <c r="AK158">
        <v>0.339673972303146</v>
      </c>
      <c r="AL158">
        <v>72.952811889276902</v>
      </c>
      <c r="AM158">
        <v>93.268290407512694</v>
      </c>
      <c r="AN158">
        <v>0.99999997782121197</v>
      </c>
    </row>
    <row r="159" spans="1:40" x14ac:dyDescent="0.25">
      <c r="A159" t="str">
        <f>"20190304164827897"</f>
        <v>20190304164827897</v>
      </c>
      <c r="B159" t="str">
        <f>"1551689307886648"</f>
        <v>1551689307886648</v>
      </c>
      <c r="C159" t="s">
        <v>40</v>
      </c>
      <c r="D159">
        <v>4.9125079999999999</v>
      </c>
      <c r="E159">
        <v>0.55151269999999997</v>
      </c>
      <c r="F159" t="s">
        <v>41</v>
      </c>
      <c r="G159">
        <v>-445.11259999999999</v>
      </c>
      <c r="H159">
        <v>0.79011359999999997</v>
      </c>
      <c r="I159">
        <v>367.42450000000002</v>
      </c>
      <c r="J159">
        <v>-445.70650000000001</v>
      </c>
      <c r="K159">
        <v>1.108927</v>
      </c>
      <c r="L159">
        <v>367.42559999999997</v>
      </c>
      <c r="M159">
        <v>0.99994450000000001</v>
      </c>
      <c r="N159">
        <v>-5.957698E-3</v>
      </c>
      <c r="O159">
        <v>8.7015479999999999E-3</v>
      </c>
      <c r="P159">
        <v>0.95563399999999998</v>
      </c>
      <c r="Q159">
        <v>0.28774889999999997</v>
      </c>
      <c r="R159">
        <v>6.2963839999999993E-2</v>
      </c>
      <c r="S159">
        <v>3.5010379999999999</v>
      </c>
      <c r="T159">
        <v>-1.21431</v>
      </c>
      <c r="U159">
        <v>8.4533690000000005E-3</v>
      </c>
      <c r="V159">
        <v>-5.4633639999999997E-2</v>
      </c>
      <c r="W159">
        <v>0.2934427</v>
      </c>
      <c r="X159">
        <v>0.95441419999999999</v>
      </c>
      <c r="Y159">
        <v>5.4705250000000004E-3</v>
      </c>
      <c r="Z159">
        <v>-3.820483E-3</v>
      </c>
      <c r="AA159">
        <v>0.99997780000000003</v>
      </c>
      <c r="AB159">
        <v>34</v>
      </c>
      <c r="AC159">
        <v>0.59390000000001897</v>
      </c>
      <c r="AD159">
        <v>-0.31881340000000002</v>
      </c>
      <c r="AE159">
        <v>-1.09999999995125E-3</v>
      </c>
      <c r="AF159">
        <v>4.8657483529171699E-3</v>
      </c>
      <c r="AG159">
        <v>-0.31881340000000002</v>
      </c>
      <c r="AH159">
        <v>0.46101764283941898</v>
      </c>
      <c r="AI159">
        <v>124.664021690167</v>
      </c>
      <c r="AJ159">
        <v>89.3953018978074</v>
      </c>
      <c r="AK159">
        <v>0.56053806876590295</v>
      </c>
      <c r="AL159">
        <v>72.935820960278804</v>
      </c>
      <c r="AM159">
        <v>93.276213438328497</v>
      </c>
      <c r="AN159">
        <v>0.999999958982288</v>
      </c>
    </row>
    <row r="160" spans="1:40" x14ac:dyDescent="0.25">
      <c r="A160" t="str">
        <f>"20190304164827910"</f>
        <v>20190304164827910</v>
      </c>
      <c r="B160" t="str">
        <f>"1551689307907142"</f>
        <v>1551689307907142</v>
      </c>
      <c r="C160" t="s">
        <v>40</v>
      </c>
      <c r="D160">
        <v>5.1676000000000002</v>
      </c>
      <c r="E160">
        <v>0.55171700000000001</v>
      </c>
      <c r="F160" t="s">
        <v>41</v>
      </c>
      <c r="G160">
        <v>-444.80579999999998</v>
      </c>
      <c r="H160">
        <v>0.79719969999999996</v>
      </c>
      <c r="I160">
        <v>367.42759999999998</v>
      </c>
      <c r="J160">
        <v>-445.51049999999998</v>
      </c>
      <c r="K160">
        <v>1.1088709999999999</v>
      </c>
      <c r="L160">
        <v>367.4273</v>
      </c>
      <c r="M160">
        <v>0.99994749999999999</v>
      </c>
      <c r="N160">
        <v>-5.4040249999999998E-3</v>
      </c>
      <c r="O160">
        <v>8.7019539999999996E-3</v>
      </c>
      <c r="P160">
        <v>0.95535300000000001</v>
      </c>
      <c r="Q160">
        <v>0.28866190000000003</v>
      </c>
      <c r="R160">
        <v>6.3046459999999999E-2</v>
      </c>
      <c r="S160">
        <v>3.503876</v>
      </c>
      <c r="T160">
        <v>-1.21255</v>
      </c>
      <c r="U160">
        <v>8.0871580000000005E-3</v>
      </c>
      <c r="V160">
        <v>-5.4718379999999997E-2</v>
      </c>
      <c r="W160">
        <v>0.29382560000000002</v>
      </c>
      <c r="X160">
        <v>0.95429160000000002</v>
      </c>
      <c r="Y160">
        <v>5.5737950000000003E-3</v>
      </c>
      <c r="Z160">
        <v>-3.833164E-3</v>
      </c>
      <c r="AA160">
        <v>0.99997709999999995</v>
      </c>
      <c r="AB160">
        <v>34</v>
      </c>
      <c r="AC160">
        <v>0.70470000000000199</v>
      </c>
      <c r="AD160">
        <v>-0.31167129999999998</v>
      </c>
      <c r="AE160">
        <v>2.9999999998153699E-4</v>
      </c>
      <c r="AF160">
        <v>4.8781637766976398E-3</v>
      </c>
      <c r="AG160">
        <v>-0.31167129999999998</v>
      </c>
      <c r="AH160">
        <v>0.58938745410403104</v>
      </c>
      <c r="AI160">
        <v>117.86931924848599</v>
      </c>
      <c r="AJ160">
        <v>89.525792732235502</v>
      </c>
      <c r="AK160">
        <v>0.66673860453760503</v>
      </c>
      <c r="AL160">
        <v>72.912871802977406</v>
      </c>
      <c r="AM160">
        <v>93.281704576284696</v>
      </c>
      <c r="AN160">
        <v>1.0000000210778699</v>
      </c>
    </row>
    <row r="161" spans="1:40" x14ac:dyDescent="0.25">
      <c r="A161" t="str">
        <f>"20190304164827931"</f>
        <v>20190304164827931</v>
      </c>
      <c r="B161" t="str">
        <f>"1551689307926662"</f>
        <v>1551689307926662</v>
      </c>
      <c r="C161" t="s">
        <v>40</v>
      </c>
      <c r="D161">
        <v>4.9347529999999997</v>
      </c>
      <c r="E161">
        <v>0.55196429999999996</v>
      </c>
      <c r="F161" t="s">
        <v>41</v>
      </c>
      <c r="G161">
        <v>-444.78129999999999</v>
      </c>
      <c r="H161">
        <v>0.85764240000000003</v>
      </c>
      <c r="I161">
        <v>367.42849999999999</v>
      </c>
      <c r="J161">
        <v>-445.19650000000001</v>
      </c>
      <c r="K161">
        <v>1.1089020000000001</v>
      </c>
      <c r="L161">
        <v>367.43009999999998</v>
      </c>
      <c r="M161">
        <v>0.99995000000000001</v>
      </c>
      <c r="N161">
        <v>-4.943383E-3</v>
      </c>
      <c r="O161">
        <v>8.7035240000000007E-3</v>
      </c>
      <c r="P161">
        <v>0.95507450000000005</v>
      </c>
      <c r="Q161">
        <v>0.28952719999999998</v>
      </c>
      <c r="R161">
        <v>6.3300969999999998E-2</v>
      </c>
      <c r="S161">
        <v>3.5045470000000001</v>
      </c>
      <c r="T161">
        <v>-1.2073510000000001</v>
      </c>
      <c r="U161">
        <v>6.3781740000000003E-3</v>
      </c>
      <c r="V161">
        <v>-5.4973889999999997E-2</v>
      </c>
      <c r="W161">
        <v>0.29425000000000001</v>
      </c>
      <c r="X161">
        <v>0.9541461</v>
      </c>
      <c r="Y161">
        <v>6.0422130000000003E-3</v>
      </c>
      <c r="Z161">
        <v>-3.8995089999999998E-3</v>
      </c>
      <c r="AA161">
        <v>0.99997409999999998</v>
      </c>
      <c r="AB161">
        <v>34</v>
      </c>
      <c r="AC161">
        <v>0.41520000000002699</v>
      </c>
      <c r="AD161">
        <v>-0.25125959999999897</v>
      </c>
      <c r="AE161">
        <v>-1.59999999999627E-3</v>
      </c>
      <c r="AF161">
        <v>3.8161817809531898E-3</v>
      </c>
      <c r="AG161">
        <v>-0.25125959999999897</v>
      </c>
      <c r="AH161">
        <v>0.303885850333102</v>
      </c>
      <c r="AI161">
        <v>129.58248324963799</v>
      </c>
      <c r="AJ161">
        <v>89.280520574265907</v>
      </c>
      <c r="AK161">
        <v>0.39432544917646101</v>
      </c>
      <c r="AL161">
        <v>72.887430199696198</v>
      </c>
      <c r="AM161">
        <v>93.297496577256695</v>
      </c>
      <c r="AN161">
        <v>0.99999998561347103</v>
      </c>
    </row>
    <row r="162" spans="1:40" x14ac:dyDescent="0.25">
      <c r="A162" t="str">
        <f>"20190304164827953"</f>
        <v>20190304164827953</v>
      </c>
      <c r="B162" t="str">
        <f>"1551689307947156"</f>
        <v>1551689307947156</v>
      </c>
      <c r="C162" t="s">
        <v>40</v>
      </c>
      <c r="D162">
        <v>4.9404589999999997</v>
      </c>
      <c r="E162">
        <v>0.55205919999999997</v>
      </c>
      <c r="F162" t="s">
        <v>41</v>
      </c>
      <c r="G162">
        <v>-444.4753</v>
      </c>
      <c r="H162">
        <v>0.86160530000000002</v>
      </c>
      <c r="I162">
        <v>367.43099999999998</v>
      </c>
      <c r="J162">
        <v>-444.84300000000002</v>
      </c>
      <c r="K162">
        <v>1.109108</v>
      </c>
      <c r="L162">
        <v>367.4332</v>
      </c>
      <c r="M162">
        <v>0.99994890000000003</v>
      </c>
      <c r="N162">
        <v>-5.1468909999999998E-3</v>
      </c>
      <c r="O162">
        <v>8.7061629999999994E-3</v>
      </c>
      <c r="P162">
        <v>0.95504829999999996</v>
      </c>
      <c r="Q162">
        <v>0.28964030000000002</v>
      </c>
      <c r="R162">
        <v>6.3179449999999998E-2</v>
      </c>
      <c r="S162">
        <v>3.5050349999999999</v>
      </c>
      <c r="T162">
        <v>-1.2018770000000001</v>
      </c>
      <c r="U162">
        <v>6.2561040000000002E-3</v>
      </c>
      <c r="V162">
        <v>-5.4850629999999997E-2</v>
      </c>
      <c r="W162">
        <v>0.2945567</v>
      </c>
      <c r="X162">
        <v>0.95405859999999998</v>
      </c>
      <c r="Y162">
        <v>6.0853340000000004E-3</v>
      </c>
      <c r="Z162">
        <v>-3.8892229999999998E-3</v>
      </c>
      <c r="AA162">
        <v>0.99997389999999997</v>
      </c>
      <c r="AB162">
        <v>34</v>
      </c>
      <c r="AC162">
        <v>0.36770000000001302</v>
      </c>
      <c r="AD162">
        <v>-0.24750269999999999</v>
      </c>
      <c r="AE162">
        <v>-2.2000000000161799E-3</v>
      </c>
      <c r="AF162">
        <v>3.7171278250193599E-3</v>
      </c>
      <c r="AG162">
        <v>-0.24750269999999999</v>
      </c>
      <c r="AH162">
        <v>0.25302916090668498</v>
      </c>
      <c r="AI162">
        <v>134.36432268176</v>
      </c>
      <c r="AJ162">
        <v>89.158356227954798</v>
      </c>
      <c r="AK162">
        <v>0.35397056348755701</v>
      </c>
      <c r="AL162">
        <v>72.869043396892295</v>
      </c>
      <c r="AM162">
        <v>93.290420423541605</v>
      </c>
      <c r="AN162">
        <v>1.0000000266801199</v>
      </c>
    </row>
    <row r="163" spans="1:40" x14ac:dyDescent="0.25">
      <c r="A163" t="str">
        <f>"20190304164827977"</f>
        <v>20190304164827977</v>
      </c>
      <c r="B163" t="str">
        <f>"1551689307966676"</f>
        <v>1551689307966676</v>
      </c>
      <c r="C163" t="s">
        <v>40</v>
      </c>
      <c r="D163">
        <v>4.9347960000000004</v>
      </c>
      <c r="E163">
        <v>0.5520929</v>
      </c>
      <c r="F163" t="s">
        <v>41</v>
      </c>
      <c r="G163">
        <v>-444.16520000000003</v>
      </c>
      <c r="H163">
        <v>0.87685389999999996</v>
      </c>
      <c r="I163">
        <v>367.43400000000003</v>
      </c>
      <c r="J163">
        <v>-444.48989999999998</v>
      </c>
      <c r="K163">
        <v>1.1093999999999999</v>
      </c>
      <c r="L163">
        <v>367.43619999999999</v>
      </c>
      <c r="M163">
        <v>0.99994510000000003</v>
      </c>
      <c r="N163">
        <v>-5.8332039999999998E-3</v>
      </c>
      <c r="O163">
        <v>8.7079469999999902E-3</v>
      </c>
      <c r="P163">
        <v>0.95507739999999997</v>
      </c>
      <c r="Q163">
        <v>0.28960039999999998</v>
      </c>
      <c r="R163">
        <v>6.2921110000000002E-2</v>
      </c>
      <c r="S163">
        <v>3.5050349999999999</v>
      </c>
      <c r="T163">
        <v>-1.2009840000000001</v>
      </c>
      <c r="U163">
        <v>5.6762699999999998E-3</v>
      </c>
      <c r="V163">
        <v>-5.4590479999999997E-2</v>
      </c>
      <c r="W163">
        <v>0.2951722</v>
      </c>
      <c r="X163">
        <v>0.95388320000000004</v>
      </c>
      <c r="Y163">
        <v>6.2456029999999997E-3</v>
      </c>
      <c r="Z163">
        <v>-3.9105620000000002E-3</v>
      </c>
      <c r="AA163">
        <v>0.9999728</v>
      </c>
      <c r="AB163">
        <v>34</v>
      </c>
      <c r="AC163">
        <v>0.32469999999994997</v>
      </c>
      <c r="AD163">
        <v>-0.23254609999999901</v>
      </c>
      <c r="AE163">
        <v>-2.1999999999593399E-3</v>
      </c>
      <c r="AF163">
        <v>3.3230427898718901E-3</v>
      </c>
      <c r="AG163">
        <v>-0.23254609999999901</v>
      </c>
      <c r="AH163">
        <v>0.21459997405857101</v>
      </c>
      <c r="AI163">
        <v>137.29489896678399</v>
      </c>
      <c r="AJ163">
        <v>89.112855850537201</v>
      </c>
      <c r="AK163">
        <v>0.31645201864505801</v>
      </c>
      <c r="AL163">
        <v>72.8321356589462</v>
      </c>
      <c r="AM163">
        <v>93.275449267183504</v>
      </c>
      <c r="AN163">
        <v>0.99999995370085404</v>
      </c>
    </row>
    <row r="164" spans="1:40" x14ac:dyDescent="0.25">
      <c r="A164" t="str">
        <f>"20190304164827997"</f>
        <v>20190304164827997</v>
      </c>
      <c r="B164" t="str">
        <f>"1551689307987176"</f>
        <v>1551689307987176</v>
      </c>
      <c r="C164" t="s">
        <v>40</v>
      </c>
      <c r="D164">
        <v>4.949325</v>
      </c>
      <c r="E164">
        <v>0.55199209999999999</v>
      </c>
      <c r="F164" t="s">
        <v>41</v>
      </c>
      <c r="G164">
        <v>-443.59039999999999</v>
      </c>
      <c r="H164">
        <v>0.80111769999999904</v>
      </c>
      <c r="I164">
        <v>367.43729999999999</v>
      </c>
      <c r="J164">
        <v>-444.17610000000002</v>
      </c>
      <c r="K164">
        <v>1.1096349999999999</v>
      </c>
      <c r="L164">
        <v>367.43900000000002</v>
      </c>
      <c r="M164">
        <v>0.99994059999999996</v>
      </c>
      <c r="N164">
        <v>-6.5471969999999899E-3</v>
      </c>
      <c r="O164">
        <v>8.7087480000000005E-3</v>
      </c>
      <c r="P164">
        <v>0.95502640000000005</v>
      </c>
      <c r="Q164">
        <v>0.289794</v>
      </c>
      <c r="R164">
        <v>6.2800350000000005E-2</v>
      </c>
      <c r="S164">
        <v>3.5049739999999998</v>
      </c>
      <c r="T164">
        <v>-1.2011799999999999</v>
      </c>
      <c r="U164">
        <v>4.8828129999999997E-3</v>
      </c>
      <c r="V164">
        <v>-5.4469509999999999E-2</v>
      </c>
      <c r="W164">
        <v>0.29604629999999998</v>
      </c>
      <c r="X164">
        <v>0.9536192</v>
      </c>
      <c r="Y164">
        <v>6.4611399999999998E-3</v>
      </c>
      <c r="Z164">
        <v>-3.9443760000000003E-3</v>
      </c>
      <c r="AA164">
        <v>0.99997130000000001</v>
      </c>
      <c r="AB164">
        <v>34</v>
      </c>
      <c r="AC164">
        <v>0.58570000000003097</v>
      </c>
      <c r="AD164">
        <v>-0.30851729999999999</v>
      </c>
      <c r="AE164">
        <v>-1.7000000000280101E-3</v>
      </c>
      <c r="AF164">
        <v>5.3236448050896501E-3</v>
      </c>
      <c r="AG164">
        <v>-0.30851729999999999</v>
      </c>
      <c r="AH164">
        <v>0.45845791555521598</v>
      </c>
      <c r="AI164">
        <v>123.93662470589101</v>
      </c>
      <c r="AJ164">
        <v>89.334707374515006</v>
      </c>
      <c r="AK164">
        <v>0.55262548432779901</v>
      </c>
      <c r="AL164">
        <v>72.779710569281207</v>
      </c>
      <c r="AM164">
        <v>93.269109581448902</v>
      </c>
      <c r="AN164">
        <v>0.99999995893598403</v>
      </c>
    </row>
    <row r="165" spans="1:40" x14ac:dyDescent="0.25">
      <c r="A165" t="str">
        <f>"20190304164828020"</f>
        <v>20190304164828020</v>
      </c>
      <c r="B165" t="str">
        <f>"1551689308016452"</f>
        <v>1551689308016452</v>
      </c>
      <c r="C165" t="s">
        <v>40</v>
      </c>
      <c r="D165">
        <v>4.9556459999999998</v>
      </c>
      <c r="E165">
        <v>0.55165430000000004</v>
      </c>
      <c r="F165" t="s">
        <v>41</v>
      </c>
      <c r="G165">
        <v>-443.28660000000002</v>
      </c>
      <c r="H165">
        <v>0.80442569999999902</v>
      </c>
      <c r="I165">
        <v>367.44009999999997</v>
      </c>
      <c r="J165">
        <v>-443.84449999999998</v>
      </c>
      <c r="K165">
        <v>1.1098319999999999</v>
      </c>
      <c r="L165">
        <v>367.4418</v>
      </c>
      <c r="M165">
        <v>0.99993540000000003</v>
      </c>
      <c r="N165">
        <v>-7.303108E-3</v>
      </c>
      <c r="O165">
        <v>8.7090780000000003E-3</v>
      </c>
      <c r="P165">
        <v>0.95510300000000004</v>
      </c>
      <c r="Q165">
        <v>0.28961189999999998</v>
      </c>
      <c r="R165">
        <v>6.2477350000000001E-2</v>
      </c>
      <c r="S165">
        <v>3.505798</v>
      </c>
      <c r="T165">
        <v>-1.202747</v>
      </c>
      <c r="U165">
        <v>6.5612789999999997E-3</v>
      </c>
      <c r="V165">
        <v>-5.4145359999999997E-2</v>
      </c>
      <c r="W165">
        <v>0.2965855</v>
      </c>
      <c r="X165">
        <v>0.95347009999999999</v>
      </c>
      <c r="Y165">
        <v>6.0090200000000003E-3</v>
      </c>
      <c r="Z165">
        <v>-3.8675160000000001E-3</v>
      </c>
      <c r="AA165">
        <v>0.99997449999999999</v>
      </c>
      <c r="AB165">
        <v>34</v>
      </c>
      <c r="AC165">
        <v>0.55789999999996098</v>
      </c>
      <c r="AD165">
        <v>-0.30540630000000002</v>
      </c>
      <c r="AE165">
        <v>-1.7000000000280101E-3</v>
      </c>
      <c r="AF165">
        <v>5.0465686035398496E-3</v>
      </c>
      <c r="AG165">
        <v>-0.30540630000000002</v>
      </c>
      <c r="AH165">
        <v>0.42923606099416101</v>
      </c>
      <c r="AI165">
        <v>125.43040970875499</v>
      </c>
      <c r="AJ165">
        <v>89.326399185614704</v>
      </c>
      <c r="AK165">
        <v>0.52682261909692496</v>
      </c>
      <c r="AL165">
        <v>72.747363931835807</v>
      </c>
      <c r="AM165">
        <v>93.250203899404198</v>
      </c>
      <c r="AN165">
        <v>0.999999955206893</v>
      </c>
    </row>
    <row r="166" spans="1:40" x14ac:dyDescent="0.25">
      <c r="A166" t="str">
        <f>"20190304164828041"</f>
        <v>20190304164828041</v>
      </c>
      <c r="B166" t="str">
        <f>"1551689308036948"</f>
        <v>1551689308036948</v>
      </c>
      <c r="C166" t="s">
        <v>40</v>
      </c>
      <c r="D166">
        <v>4.9633320000000003</v>
      </c>
      <c r="E166">
        <v>0.55156590000000005</v>
      </c>
      <c r="F166" t="s">
        <v>41</v>
      </c>
      <c r="G166">
        <v>-442.9812</v>
      </c>
      <c r="H166">
        <v>0.81199679999999996</v>
      </c>
      <c r="I166">
        <v>367.44409999999999</v>
      </c>
      <c r="J166">
        <v>-443.5104</v>
      </c>
      <c r="K166">
        <v>1.1099840000000001</v>
      </c>
      <c r="L166">
        <v>367.44470000000001</v>
      </c>
      <c r="M166">
        <v>0.99992970000000003</v>
      </c>
      <c r="N166">
        <v>-8.0504719999999995E-3</v>
      </c>
      <c r="O166">
        <v>8.7089149999999994E-3</v>
      </c>
      <c r="P166">
        <v>0.95513970000000004</v>
      </c>
      <c r="Q166">
        <v>0.28951569999999999</v>
      </c>
      <c r="R166">
        <v>6.2359659999999997E-2</v>
      </c>
      <c r="S166">
        <v>3.507355</v>
      </c>
      <c r="T166">
        <v>-1.2099709999999999</v>
      </c>
      <c r="U166">
        <v>9.1247559999999995E-3</v>
      </c>
      <c r="V166">
        <v>-5.4028130000000001E-2</v>
      </c>
      <c r="W166">
        <v>0.29720170000000001</v>
      </c>
      <c r="X166">
        <v>0.95328489999999999</v>
      </c>
      <c r="Y166">
        <v>5.3124369999999997E-3</v>
      </c>
      <c r="Z166">
        <v>-3.7643350000000002E-3</v>
      </c>
      <c r="AA166">
        <v>0.99997879999999995</v>
      </c>
      <c r="AB166">
        <v>34</v>
      </c>
      <c r="AC166">
        <v>0.529200000000003</v>
      </c>
      <c r="AD166">
        <v>-0.29798720000000001</v>
      </c>
      <c r="AE166">
        <v>-6.0000000001991696E-4</v>
      </c>
      <c r="AF166">
        <v>3.9549034970965203E-3</v>
      </c>
      <c r="AG166">
        <v>-0.29798720000000001</v>
      </c>
      <c r="AH166">
        <v>0.40178179747635101</v>
      </c>
      <c r="AI166">
        <v>126.561678897481</v>
      </c>
      <c r="AJ166">
        <v>89.436032289155307</v>
      </c>
      <c r="AK166">
        <v>0.50024056753610002</v>
      </c>
      <c r="AL166">
        <v>72.710391898625701</v>
      </c>
      <c r="AM166">
        <v>93.243810653665804</v>
      </c>
      <c r="AN166">
        <v>0.99999999494109804</v>
      </c>
    </row>
    <row r="167" spans="1:40" x14ac:dyDescent="0.25">
      <c r="A167" t="str">
        <f>"20190304164828054"</f>
        <v>20190304164828054</v>
      </c>
      <c r="B167" t="str">
        <f>"1551689308046708"</f>
        <v>1551689308046708</v>
      </c>
      <c r="C167" t="s">
        <v>40</v>
      </c>
      <c r="D167">
        <v>4.9636279999999999</v>
      </c>
      <c r="E167">
        <v>0.55151799999999995</v>
      </c>
      <c r="F167" t="s">
        <v>41</v>
      </c>
      <c r="G167">
        <v>-442.67540000000002</v>
      </c>
      <c r="H167">
        <v>0.82146439999999998</v>
      </c>
      <c r="I167">
        <v>367.44650000000001</v>
      </c>
      <c r="J167">
        <v>-443.31670000000003</v>
      </c>
      <c r="K167">
        <v>1.1100650000000001</v>
      </c>
      <c r="L167">
        <v>367.44639999999998</v>
      </c>
      <c r="M167">
        <v>0.99992630000000005</v>
      </c>
      <c r="N167">
        <v>-8.4757459999999993E-3</v>
      </c>
      <c r="O167">
        <v>8.7086249999999994E-3</v>
      </c>
      <c r="P167">
        <v>0.9552098</v>
      </c>
      <c r="Q167">
        <v>0.28928510000000002</v>
      </c>
      <c r="R167">
        <v>6.2359970000000001E-2</v>
      </c>
      <c r="S167">
        <v>3.5076900000000002</v>
      </c>
      <c r="T167">
        <v>-1.2120850000000001</v>
      </c>
      <c r="U167">
        <v>9.3383790000000008E-3</v>
      </c>
      <c r="V167">
        <v>-5.402821E-2</v>
      </c>
      <c r="W167">
        <v>0.29737730000000001</v>
      </c>
      <c r="X167">
        <v>0.95323009999999997</v>
      </c>
      <c r="Y167">
        <v>5.2532909999999898E-3</v>
      </c>
      <c r="Z167">
        <v>-3.7575640000000001E-3</v>
      </c>
      <c r="AA167">
        <v>0.99997910000000001</v>
      </c>
      <c r="AB167">
        <v>34</v>
      </c>
      <c r="AC167">
        <v>0.64130000000000098</v>
      </c>
      <c r="AD167">
        <v>-0.28860059999999899</v>
      </c>
      <c r="AE167">
        <v>1.00000000031741E-4</v>
      </c>
      <c r="AF167">
        <v>4.5612848108063002E-3</v>
      </c>
      <c r="AG167">
        <v>-0.28860059999999899</v>
      </c>
      <c r="AH167">
        <v>0.53327640567372903</v>
      </c>
      <c r="AI167">
        <v>118.420660793998</v>
      </c>
      <c r="AJ167">
        <v>89.509942699309605</v>
      </c>
      <c r="AK167">
        <v>0.60637845978215399</v>
      </c>
      <c r="AL167">
        <v>72.699853790489797</v>
      </c>
      <c r="AM167">
        <v>93.244001531157394</v>
      </c>
      <c r="AN167">
        <v>0.99999996478855102</v>
      </c>
    </row>
    <row r="168" spans="1:40" x14ac:dyDescent="0.25">
      <c r="A168" t="str">
        <f>"20190304164828067"</f>
        <v>20190304164828067</v>
      </c>
      <c r="B168" t="str">
        <f>"1551689308056469"</f>
        <v>1551689308056469</v>
      </c>
      <c r="C168" t="s">
        <v>40</v>
      </c>
      <c r="D168">
        <v>5.0670760000000001</v>
      </c>
      <c r="E168">
        <v>0.55135590000000001</v>
      </c>
      <c r="F168" t="s">
        <v>41</v>
      </c>
      <c r="G168">
        <v>-442.65100000000001</v>
      </c>
      <c r="H168">
        <v>0.8796562</v>
      </c>
      <c r="I168">
        <v>367.4479</v>
      </c>
      <c r="J168">
        <v>-443.12569999999999</v>
      </c>
      <c r="K168">
        <v>1.1101270000000001</v>
      </c>
      <c r="L168">
        <v>367.44810000000001</v>
      </c>
      <c r="M168">
        <v>0.9999228</v>
      </c>
      <c r="N168">
        <v>-8.8760799999999997E-3</v>
      </c>
      <c r="O168">
        <v>8.7087129999999999E-3</v>
      </c>
      <c r="P168">
        <v>0.95522770000000001</v>
      </c>
      <c r="Q168">
        <v>0.28922029999999999</v>
      </c>
      <c r="R168">
        <v>6.2384589999999997E-2</v>
      </c>
      <c r="S168">
        <v>3.5077210000000001</v>
      </c>
      <c r="T168">
        <v>-1.214172</v>
      </c>
      <c r="U168">
        <v>1.019287E-2</v>
      </c>
      <c r="V168">
        <v>-5.4052179999999998E-2</v>
      </c>
      <c r="W168">
        <v>0.29769430000000002</v>
      </c>
      <c r="X168">
        <v>0.95312980000000003</v>
      </c>
      <c r="Y168">
        <v>5.0217700000000001E-3</v>
      </c>
      <c r="Z168">
        <v>-3.7214610000000001E-3</v>
      </c>
      <c r="AA168">
        <v>0.99998039999999999</v>
      </c>
      <c r="AB168">
        <v>34</v>
      </c>
      <c r="AC168">
        <v>0.47469999999998402</v>
      </c>
      <c r="AD168">
        <v>-0.2304708</v>
      </c>
      <c r="AE168">
        <v>-2.0000000000663901E-4</v>
      </c>
      <c r="AF168">
        <v>3.5074182333760802E-3</v>
      </c>
      <c r="AG168">
        <v>-0.2304708</v>
      </c>
      <c r="AH168">
        <v>0.384133066601476</v>
      </c>
      <c r="AI168">
        <v>120.96171145125901</v>
      </c>
      <c r="AJ168">
        <v>89.476861809615798</v>
      </c>
      <c r="AK168">
        <v>0.44798136623296902</v>
      </c>
      <c r="AL168">
        <v>72.680829609740101</v>
      </c>
      <c r="AM168">
        <v>93.245778474255701</v>
      </c>
      <c r="AN168">
        <v>0.99999997503163995</v>
      </c>
    </row>
    <row r="169" spans="1:40" x14ac:dyDescent="0.25">
      <c r="A169" t="str">
        <f>"20190304164828085"</f>
        <v>20190304164828085</v>
      </c>
      <c r="B169" t="str">
        <f>"1551689308076968"</f>
        <v>1551689308076968</v>
      </c>
      <c r="C169" t="s">
        <v>40</v>
      </c>
      <c r="D169">
        <v>4.9670019999999999</v>
      </c>
      <c r="E169">
        <v>0.55131260000000004</v>
      </c>
      <c r="F169" t="s">
        <v>41</v>
      </c>
      <c r="G169">
        <v>-442.3639</v>
      </c>
      <c r="H169">
        <v>0.84579280000000001</v>
      </c>
      <c r="I169">
        <v>367.45069999999998</v>
      </c>
      <c r="J169">
        <v>-442.83980000000003</v>
      </c>
      <c r="K169">
        <v>1.110198</v>
      </c>
      <c r="L169">
        <v>367.45060000000001</v>
      </c>
      <c r="M169">
        <v>0.99991750000000001</v>
      </c>
      <c r="N169">
        <v>-9.4505879999999994E-3</v>
      </c>
      <c r="O169">
        <v>8.7089060000000006E-3</v>
      </c>
      <c r="P169">
        <v>0.95518060000000005</v>
      </c>
      <c r="Q169">
        <v>0.28937740000000001</v>
      </c>
      <c r="R169">
        <v>6.2378019999999999E-2</v>
      </c>
      <c r="S169">
        <v>3.508362</v>
      </c>
      <c r="T169">
        <v>-1.2172689999999999</v>
      </c>
      <c r="U169">
        <v>1.306152E-2</v>
      </c>
      <c r="V169">
        <v>-5.4045629999999997E-2</v>
      </c>
      <c r="W169">
        <v>0.29839829999999901</v>
      </c>
      <c r="X169">
        <v>0.95291000000000003</v>
      </c>
      <c r="Y169">
        <v>4.2488780000000002E-3</v>
      </c>
      <c r="Z169">
        <v>-3.5925559999999998E-3</v>
      </c>
      <c r="AA169">
        <v>0.99998450000000005</v>
      </c>
      <c r="AB169">
        <v>34</v>
      </c>
      <c r="AC169">
        <v>0.47590000000002403</v>
      </c>
      <c r="AD169">
        <v>-0.26440520000000001</v>
      </c>
      <c r="AE169" s="1">
        <v>9.9999999974897906E-5</v>
      </c>
      <c r="AF169">
        <v>3.0907148963824501E-3</v>
      </c>
      <c r="AG169">
        <v>-0.26440520000000001</v>
      </c>
      <c r="AH169">
        <v>0.36363572849090098</v>
      </c>
      <c r="AI169">
        <v>126.020499218018</v>
      </c>
      <c r="AJ169">
        <v>89.513027347762304</v>
      </c>
      <c r="AK169">
        <v>0.44961161610963701</v>
      </c>
      <c r="AL169">
        <v>72.638572812305796</v>
      </c>
      <c r="AM169">
        <v>93.246132980303898</v>
      </c>
      <c r="AN169">
        <v>0.99999997183249301</v>
      </c>
    </row>
    <row r="170" spans="1:40" x14ac:dyDescent="0.25">
      <c r="A170" t="str">
        <f>"20190304164828099"</f>
        <v>20190304164828099</v>
      </c>
      <c r="B170" t="str">
        <f>"1551689308086725"</f>
        <v>1551689308086725</v>
      </c>
      <c r="C170" t="s">
        <v>40</v>
      </c>
      <c r="D170">
        <v>4.9704759999999997</v>
      </c>
      <c r="E170">
        <v>0.55127599999999999</v>
      </c>
      <c r="F170" t="s">
        <v>41</v>
      </c>
      <c r="G170">
        <v>-442.06459999999998</v>
      </c>
      <c r="H170">
        <v>0.84111499999999995</v>
      </c>
      <c r="I170">
        <v>367.45359999999999</v>
      </c>
      <c r="J170">
        <v>-442.6472</v>
      </c>
      <c r="K170">
        <v>1.110236</v>
      </c>
      <c r="L170">
        <v>367.4522</v>
      </c>
      <c r="M170">
        <v>0.99991390000000002</v>
      </c>
      <c r="N170">
        <v>-9.8171119999999994E-3</v>
      </c>
      <c r="O170">
        <v>8.7091430000000008E-3</v>
      </c>
      <c r="P170">
        <v>0.95506449999999998</v>
      </c>
      <c r="Q170">
        <v>0.28976659999999999</v>
      </c>
      <c r="R170">
        <v>6.2347239999999998E-2</v>
      </c>
      <c r="S170">
        <v>3.5087589999999902</v>
      </c>
      <c r="T170">
        <v>-1.21791</v>
      </c>
      <c r="U170">
        <v>1.5594480000000001E-2</v>
      </c>
      <c r="V170">
        <v>-5.4015760000000003E-2</v>
      </c>
      <c r="W170">
        <v>0.29913600000000001</v>
      </c>
      <c r="X170">
        <v>0.95268039999999998</v>
      </c>
      <c r="Y170">
        <v>3.5688429999999999E-3</v>
      </c>
      <c r="Z170">
        <v>-3.47365E-3</v>
      </c>
      <c r="AA170">
        <v>0.99998759999999998</v>
      </c>
      <c r="AB170">
        <v>34</v>
      </c>
      <c r="AC170">
        <v>0.582600000000013</v>
      </c>
      <c r="AD170">
        <v>-0.269121</v>
      </c>
      <c r="AE170">
        <v>1.39999999998963E-3</v>
      </c>
      <c r="AF170">
        <v>3.0281092744328798E-3</v>
      </c>
      <c r="AG170">
        <v>-0.269121</v>
      </c>
      <c r="AH170">
        <v>0.480138595164046</v>
      </c>
      <c r="AI170">
        <v>119.270445625191</v>
      </c>
      <c r="AJ170">
        <v>89.638655207390499</v>
      </c>
      <c r="AK170">
        <v>0.55042561046237803</v>
      </c>
      <c r="AL170">
        <v>72.594283259820699</v>
      </c>
      <c r="AM170">
        <v>93.245122966800906</v>
      </c>
      <c r="AN170">
        <v>0.99999999668426798</v>
      </c>
    </row>
    <row r="171" spans="1:40" x14ac:dyDescent="0.25">
      <c r="A171" t="str">
        <f>"20190304164828111"</f>
        <v>20190304164828111</v>
      </c>
      <c r="B171" t="str">
        <f>"1551689308106245"</f>
        <v>1551689308106245</v>
      </c>
      <c r="C171" t="s">
        <v>40</v>
      </c>
      <c r="D171">
        <v>4.9766450000000004</v>
      </c>
      <c r="E171">
        <v>0.55124709999999999</v>
      </c>
      <c r="F171" t="s">
        <v>41</v>
      </c>
      <c r="G171">
        <v>-441.77710000000002</v>
      </c>
      <c r="H171">
        <v>0.80841399999999997</v>
      </c>
      <c r="I171">
        <v>367.45600000000002</v>
      </c>
      <c r="J171">
        <v>-442.46530000000001</v>
      </c>
      <c r="K171">
        <v>1.1102650000000001</v>
      </c>
      <c r="L171">
        <v>367.4538</v>
      </c>
      <c r="M171">
        <v>0.99991070000000004</v>
      </c>
      <c r="N171">
        <v>-1.0142679999999999E-2</v>
      </c>
      <c r="O171">
        <v>8.7091649999999996E-3</v>
      </c>
      <c r="P171">
        <v>0.95501360000000002</v>
      </c>
      <c r="Q171">
        <v>0.28988789999999998</v>
      </c>
      <c r="R171">
        <v>6.2562030000000005E-2</v>
      </c>
      <c r="S171">
        <v>3.5094599999999998</v>
      </c>
      <c r="T171">
        <v>-1.217295</v>
      </c>
      <c r="U171">
        <v>1.544189E-2</v>
      </c>
      <c r="V171">
        <v>-5.423066E-2</v>
      </c>
      <c r="W171">
        <v>0.29956690000000002</v>
      </c>
      <c r="X171">
        <v>0.95253279999999996</v>
      </c>
      <c r="Y171">
        <v>3.6123290000000001E-3</v>
      </c>
      <c r="Z171">
        <v>-3.4766900000000002E-3</v>
      </c>
      <c r="AA171">
        <v>0.99998739999999997</v>
      </c>
      <c r="AB171">
        <v>34</v>
      </c>
      <c r="AC171">
        <v>0.68819999999999404</v>
      </c>
      <c r="AD171">
        <v>-0.30185099999999998</v>
      </c>
      <c r="AE171">
        <v>2.1999999999593399E-3</v>
      </c>
      <c r="AF171">
        <v>3.18191402297587E-3</v>
      </c>
      <c r="AG171">
        <v>-0.30185099999999998</v>
      </c>
      <c r="AH171">
        <v>0.57716098921660597</v>
      </c>
      <c r="AI171">
        <v>117.608882428729</v>
      </c>
      <c r="AJ171">
        <v>89.684129037296501</v>
      </c>
      <c r="AK171">
        <v>0.65133628660726495</v>
      </c>
      <c r="AL171">
        <v>72.568408245227104</v>
      </c>
      <c r="AM171">
        <v>93.258509586623106</v>
      </c>
      <c r="AN171">
        <v>1.00000001356774</v>
      </c>
    </row>
    <row r="172" spans="1:40" x14ac:dyDescent="0.25">
      <c r="A172" t="str">
        <f>"20190304164828132"</f>
        <v>20190304164828132</v>
      </c>
      <c r="B172" t="str">
        <f>"1551689308126741"</f>
        <v>1551689308126741</v>
      </c>
      <c r="C172" t="s">
        <v>40</v>
      </c>
      <c r="D172">
        <v>5.0619120000000004</v>
      </c>
      <c r="E172">
        <v>0.55101140000000004</v>
      </c>
      <c r="F172" t="s">
        <v>41</v>
      </c>
      <c r="G172">
        <v>-441.75420000000003</v>
      </c>
      <c r="H172">
        <v>0.86360979999999998</v>
      </c>
      <c r="I172">
        <v>367.45690000000002</v>
      </c>
      <c r="J172">
        <v>-442.15120000000002</v>
      </c>
      <c r="K172">
        <v>1.110298</v>
      </c>
      <c r="L172">
        <v>367.45659999999998</v>
      </c>
      <c r="M172">
        <v>0.9999053</v>
      </c>
      <c r="N172">
        <v>-1.066332E-2</v>
      </c>
      <c r="O172">
        <v>8.7091029999999993E-3</v>
      </c>
      <c r="P172">
        <v>0.95495589999999997</v>
      </c>
      <c r="Q172">
        <v>0.29004279999999999</v>
      </c>
      <c r="R172">
        <v>6.2725810000000007E-2</v>
      </c>
      <c r="S172">
        <v>3.5098880000000001</v>
      </c>
      <c r="T172">
        <v>-1.217557</v>
      </c>
      <c r="U172">
        <v>1.5838620000000001E-2</v>
      </c>
      <c r="V172">
        <v>-5.4394779999999997E-2</v>
      </c>
      <c r="W172">
        <v>0.30021730000000002</v>
      </c>
      <c r="X172">
        <v>0.95231860000000002</v>
      </c>
      <c r="Y172">
        <v>3.5071910000000002E-3</v>
      </c>
      <c r="Z172">
        <v>-3.4552419999999999E-3</v>
      </c>
      <c r="AA172">
        <v>0.99998790000000004</v>
      </c>
      <c r="AB172">
        <v>34</v>
      </c>
      <c r="AC172">
        <v>0.39699999999999103</v>
      </c>
      <c r="AD172">
        <v>-0.2466882</v>
      </c>
      <c r="AE172">
        <v>3.0000000003838003E-4</v>
      </c>
      <c r="AF172">
        <v>2.27811110186043E-3</v>
      </c>
      <c r="AG172">
        <v>-0.2466882</v>
      </c>
      <c r="AH172">
        <v>0.286403261048087</v>
      </c>
      <c r="AI172">
        <v>130.738466165554</v>
      </c>
      <c r="AJ172">
        <v>89.544267065068098</v>
      </c>
      <c r="AK172">
        <v>0.378004081655755</v>
      </c>
      <c r="AL172">
        <v>72.529344287410893</v>
      </c>
      <c r="AM172">
        <v>93.2690831117865</v>
      </c>
      <c r="AN172">
        <v>0.99999996760824805</v>
      </c>
    </row>
    <row r="173" spans="1:40" x14ac:dyDescent="0.25">
      <c r="A173" t="str">
        <f>"20190304164828156"</f>
        <v>20190304164828156</v>
      </c>
      <c r="B173" t="str">
        <f>"1551689308147236"</f>
        <v>1551689308147236</v>
      </c>
      <c r="C173" t="s">
        <v>40</v>
      </c>
      <c r="D173">
        <v>5.0662839999999996</v>
      </c>
      <c r="E173">
        <v>0.55082940000000002</v>
      </c>
      <c r="F173" t="s">
        <v>41</v>
      </c>
      <c r="G173">
        <v>-441.45209999999997</v>
      </c>
      <c r="H173">
        <v>0.86715019999999998</v>
      </c>
      <c r="I173">
        <v>367.46010000000001</v>
      </c>
      <c r="J173">
        <v>-441.80020000000002</v>
      </c>
      <c r="K173">
        <v>1.110336</v>
      </c>
      <c r="L173">
        <v>367.45960000000002</v>
      </c>
      <c r="M173">
        <v>0.9998996</v>
      </c>
      <c r="N173">
        <v>-1.118544E-2</v>
      </c>
      <c r="O173">
        <v>8.7095509999999994E-3</v>
      </c>
      <c r="P173">
        <v>0.95492390000000005</v>
      </c>
      <c r="Q173">
        <v>0.29021140000000001</v>
      </c>
      <c r="R173">
        <v>6.2433049999999997E-2</v>
      </c>
      <c r="S173">
        <v>3.5112000000000001</v>
      </c>
      <c r="T173">
        <v>-1.2213529999999999</v>
      </c>
      <c r="U173">
        <v>1.971436E-2</v>
      </c>
      <c r="V173">
        <v>-5.4101789999999997E-2</v>
      </c>
      <c r="W173">
        <v>0.3008827</v>
      </c>
      <c r="X173">
        <v>0.95212529999999995</v>
      </c>
      <c r="Y173">
        <v>2.4662460000000001E-3</v>
      </c>
      <c r="Z173">
        <v>-3.2791769999999999E-3</v>
      </c>
      <c r="AA173">
        <v>0.99999159999999998</v>
      </c>
      <c r="AB173">
        <v>34</v>
      </c>
      <c r="AC173">
        <v>0.34810000000004399</v>
      </c>
      <c r="AD173">
        <v>-0.24318579999999901</v>
      </c>
      <c r="AE173">
        <v>4.9999999998817603E-4</v>
      </c>
      <c r="AF173">
        <v>1.70155372651843E-3</v>
      </c>
      <c r="AG173">
        <v>-0.24318579999999901</v>
      </c>
      <c r="AH173">
        <v>0.23392380526470699</v>
      </c>
      <c r="AI173">
        <v>136.11136988535199</v>
      </c>
      <c r="AJ173">
        <v>89.583239817603896</v>
      </c>
      <c r="AK173">
        <v>0.33743529050211202</v>
      </c>
      <c r="AL173">
        <v>72.489372070311404</v>
      </c>
      <c r="AM173">
        <v>93.252171232115401</v>
      </c>
      <c r="AN173">
        <v>0.99999999487029101</v>
      </c>
    </row>
    <row r="174" spans="1:40" x14ac:dyDescent="0.25">
      <c r="A174" t="str">
        <f>"20190304164828178"</f>
        <v>20190304164828178</v>
      </c>
      <c r="B174" t="str">
        <f>"1551689308166756"</f>
        <v>1551689308166756</v>
      </c>
      <c r="C174" t="s">
        <v>40</v>
      </c>
      <c r="D174">
        <v>4.9362029999999999</v>
      </c>
      <c r="E174">
        <v>0.55083059999999995</v>
      </c>
      <c r="F174" t="s">
        <v>41</v>
      </c>
      <c r="G174">
        <v>-440.88389999999998</v>
      </c>
      <c r="H174">
        <v>0.79098440000000003</v>
      </c>
      <c r="I174">
        <v>367.4649</v>
      </c>
      <c r="J174">
        <v>-441.46679999999998</v>
      </c>
      <c r="K174">
        <v>1.110357</v>
      </c>
      <c r="L174">
        <v>367.46260000000001</v>
      </c>
      <c r="M174">
        <v>0.99989459999999997</v>
      </c>
      <c r="N174">
        <v>-1.1619020000000001E-2</v>
      </c>
      <c r="O174">
        <v>8.7099080000000006E-3</v>
      </c>
      <c r="P174">
        <v>0.95488890000000004</v>
      </c>
      <c r="Q174">
        <v>0.29038730000000001</v>
      </c>
      <c r="R174">
        <v>6.2149700000000002E-2</v>
      </c>
      <c r="S174">
        <v>3.512146</v>
      </c>
      <c r="T174">
        <v>-1.224016</v>
      </c>
      <c r="U174">
        <v>2.2247309999999999E-2</v>
      </c>
      <c r="V174">
        <v>-5.3817999999999998E-2</v>
      </c>
      <c r="W174">
        <v>0.30147069999999998</v>
      </c>
      <c r="X174">
        <v>0.95195540000000001</v>
      </c>
      <c r="Y174">
        <v>1.787103E-3</v>
      </c>
      <c r="Z174">
        <v>-3.1632180000000002E-3</v>
      </c>
      <c r="AA174">
        <v>0.99999340000000003</v>
      </c>
      <c r="AB174">
        <v>34</v>
      </c>
      <c r="AC174">
        <v>0.58289999999999498</v>
      </c>
      <c r="AD174">
        <v>-0.31937259999999901</v>
      </c>
      <c r="AE174">
        <v>2.29999999999108E-3</v>
      </c>
      <c r="AF174">
        <v>2.1361715987033899E-3</v>
      </c>
      <c r="AG174">
        <v>-0.31937259999999901</v>
      </c>
      <c r="AH174">
        <v>0.44831648800586499</v>
      </c>
      <c r="AI174">
        <v>125.465080486039</v>
      </c>
      <c r="AJ174">
        <v>89.726994893267104</v>
      </c>
      <c r="AK174">
        <v>0.55044626829307497</v>
      </c>
      <c r="AL174">
        <v>72.454042192314603</v>
      </c>
      <c r="AM174">
        <v>93.235724520583602</v>
      </c>
      <c r="AN174">
        <v>1.00000002183582</v>
      </c>
    </row>
    <row r="175" spans="1:40" x14ac:dyDescent="0.25">
      <c r="A175" t="str">
        <f>"20190304164828198"</f>
        <v>20190304164828198</v>
      </c>
      <c r="B175" t="str">
        <f>"1551689308197012"</f>
        <v>1551689308197012</v>
      </c>
      <c r="C175" t="s">
        <v>40</v>
      </c>
      <c r="D175">
        <v>4.9705250000000003</v>
      </c>
      <c r="E175">
        <v>0.55065719999999996</v>
      </c>
      <c r="F175" t="s">
        <v>41</v>
      </c>
      <c r="G175">
        <v>-440.58019999999999</v>
      </c>
      <c r="H175">
        <v>0.80159429999999998</v>
      </c>
      <c r="I175">
        <v>367.4683</v>
      </c>
      <c r="J175">
        <v>-441.1472</v>
      </c>
      <c r="K175">
        <v>1.1103270000000001</v>
      </c>
      <c r="L175">
        <v>367.46530000000001</v>
      </c>
      <c r="M175">
        <v>0.99989209999999995</v>
      </c>
      <c r="N175">
        <v>-1.183554E-2</v>
      </c>
      <c r="O175">
        <v>8.7102869999999902E-3</v>
      </c>
      <c r="P175">
        <v>0.95484639999999998</v>
      </c>
      <c r="Q175">
        <v>0.29047779999999901</v>
      </c>
      <c r="R175">
        <v>6.2377870000000002E-2</v>
      </c>
      <c r="S175">
        <v>3.5121769999999999</v>
      </c>
      <c r="T175">
        <v>-1.2230989999999999</v>
      </c>
      <c r="U175">
        <v>2.3162840000000001E-2</v>
      </c>
      <c r="V175">
        <v>-5.4045990000000002E-2</v>
      </c>
      <c r="W175">
        <v>0.30176709999999901</v>
      </c>
      <c r="X175">
        <v>0.95184860000000004</v>
      </c>
      <c r="Y175">
        <v>1.5432009999999999E-3</v>
      </c>
      <c r="Z175">
        <v>-3.1166319999999998E-3</v>
      </c>
      <c r="AA175">
        <v>0.99999400000000005</v>
      </c>
      <c r="AB175">
        <v>34</v>
      </c>
      <c r="AC175">
        <v>0.56700000000000705</v>
      </c>
      <c r="AD175">
        <v>-0.30873270000000003</v>
      </c>
      <c r="AE175">
        <v>2.9999999999858998E-3</v>
      </c>
      <c r="AF175">
        <v>1.49574285132922E-3</v>
      </c>
      <c r="AG175">
        <v>-0.30873270000000003</v>
      </c>
      <c r="AH175">
        <v>0.43734352469708498</v>
      </c>
      <c r="AI175">
        <v>125.219150957304</v>
      </c>
      <c r="AJ175">
        <v>89.804045530247507</v>
      </c>
      <c r="AK175">
        <v>0.53533865532991098</v>
      </c>
      <c r="AL175">
        <v>72.436230785705803</v>
      </c>
      <c r="AM175">
        <v>93.249766567853598</v>
      </c>
      <c r="AN175">
        <v>1.0000000544997201</v>
      </c>
    </row>
    <row r="176" spans="1:40" x14ac:dyDescent="0.25">
      <c r="A176" t="str">
        <f>"20190304164828221"</f>
        <v>20190304164828221</v>
      </c>
      <c r="B176" t="str">
        <f>"1551689308216533"</f>
        <v>1551689308216533</v>
      </c>
      <c r="C176" t="s">
        <v>40</v>
      </c>
      <c r="D176">
        <v>5.0659559999999999</v>
      </c>
      <c r="E176">
        <v>0.550496599999999</v>
      </c>
      <c r="F176" t="s">
        <v>41</v>
      </c>
      <c r="G176">
        <v>-440.27609999999999</v>
      </c>
      <c r="H176">
        <v>0.80636719999999995</v>
      </c>
      <c r="I176">
        <v>367.47129999999999</v>
      </c>
      <c r="J176">
        <v>-440.81580000000002</v>
      </c>
      <c r="K176">
        <v>1.1100810000000001</v>
      </c>
      <c r="L176">
        <v>367.46820000000002</v>
      </c>
      <c r="M176">
        <v>0.99989799999999995</v>
      </c>
      <c r="N176">
        <v>-1.132813E-2</v>
      </c>
      <c r="O176">
        <v>8.7101000000000001E-3</v>
      </c>
      <c r="P176">
        <v>0.95456090000000005</v>
      </c>
      <c r="Q176">
        <v>0.29136479999999998</v>
      </c>
      <c r="R176">
        <v>6.2610280000000004E-2</v>
      </c>
      <c r="S176">
        <v>3.5131230000000002</v>
      </c>
      <c r="T176">
        <v>-1.2258</v>
      </c>
      <c r="U176">
        <v>2.5573729999999999E-2</v>
      </c>
      <c r="V176">
        <v>-5.4281139999999999E-2</v>
      </c>
      <c r="W176">
        <v>0.30216749999999998</v>
      </c>
      <c r="X176">
        <v>0.95170809999999995</v>
      </c>
      <c r="Y176">
        <v>8.9466920000000002E-4</v>
      </c>
      <c r="Z176">
        <v>-3.0126670000000001E-3</v>
      </c>
      <c r="AA176">
        <v>0.99999510000000003</v>
      </c>
      <c r="AB176">
        <v>33</v>
      </c>
      <c r="AC176">
        <v>0.53970000000003804</v>
      </c>
      <c r="AD176">
        <v>-0.30371379999999898</v>
      </c>
      <c r="AE176">
        <v>3.0999999999607999E-3</v>
      </c>
      <c r="AF176">
        <v>1.2161415723132599E-3</v>
      </c>
      <c r="AG176">
        <v>-0.30371379999999898</v>
      </c>
      <c r="AH176">
        <v>0.40990198114844401</v>
      </c>
      <c r="AI176">
        <v>126.536198453635</v>
      </c>
      <c r="AJ176">
        <v>89.830009177470401</v>
      </c>
      <c r="AK176">
        <v>0.51015996065957903</v>
      </c>
      <c r="AL176">
        <v>72.412164715978903</v>
      </c>
      <c r="AM176">
        <v>93.264356354109495</v>
      </c>
      <c r="AN176">
        <v>0.99999997391077899</v>
      </c>
    </row>
    <row r="177" spans="1:40" x14ac:dyDescent="0.25">
      <c r="A177" t="str">
        <f>"20190304164828244"</f>
        <v>20190304164828244</v>
      </c>
      <c r="B177" t="str">
        <f>"1551689308237029"</f>
        <v>1551689308237029</v>
      </c>
      <c r="C177" t="s">
        <v>40</v>
      </c>
      <c r="D177">
        <v>5.0338419999999999</v>
      </c>
      <c r="E177">
        <v>0.55037780000000003</v>
      </c>
      <c r="F177" t="s">
        <v>41</v>
      </c>
      <c r="G177">
        <v>-439.9699</v>
      </c>
      <c r="H177">
        <v>0.81521560000000004</v>
      </c>
      <c r="I177">
        <v>367.47460000000001</v>
      </c>
      <c r="J177">
        <v>-440.45510000000002</v>
      </c>
      <c r="K177">
        <v>1.109793</v>
      </c>
      <c r="L177">
        <v>367.47129999999999</v>
      </c>
      <c r="M177">
        <v>0.99989890000000003</v>
      </c>
      <c r="N177">
        <v>-1.1252079999999999E-2</v>
      </c>
      <c r="O177">
        <v>8.7093420000000001E-3</v>
      </c>
      <c r="P177">
        <v>0.95438650000000003</v>
      </c>
      <c r="Q177">
        <v>0.29192790000000002</v>
      </c>
      <c r="R177">
        <v>6.264488E-2</v>
      </c>
      <c r="S177">
        <v>3.5151059999999998</v>
      </c>
      <c r="T177">
        <v>-1.225212</v>
      </c>
      <c r="U177">
        <v>2.6641850000000002E-2</v>
      </c>
      <c r="V177">
        <v>-5.431768E-2</v>
      </c>
      <c r="W177">
        <v>0.3026566</v>
      </c>
      <c r="X177">
        <v>0.95155060000000002</v>
      </c>
      <c r="Y177">
        <v>6.1235130000000001E-4</v>
      </c>
      <c r="Z177">
        <v>-2.960533E-3</v>
      </c>
      <c r="AA177">
        <v>0.99999539999999998</v>
      </c>
      <c r="AB177">
        <v>34</v>
      </c>
      <c r="AC177">
        <v>0.48520000000002</v>
      </c>
      <c r="AD177">
        <v>-0.29457739999999999</v>
      </c>
      <c r="AE177">
        <v>3.30000000002428E-3</v>
      </c>
      <c r="AF177">
        <v>6.7673191737250605E-4</v>
      </c>
      <c r="AG177">
        <v>-0.29457739999999999</v>
      </c>
      <c r="AH177">
        <v>0.35453441541818798</v>
      </c>
      <c r="AI177">
        <v>129.72263924146799</v>
      </c>
      <c r="AJ177">
        <v>89.890634494281798</v>
      </c>
      <c r="AK177">
        <v>0.46094571727348099</v>
      </c>
      <c r="AL177">
        <v>72.382764985841604</v>
      </c>
      <c r="AM177">
        <v>93.267088543556099</v>
      </c>
      <c r="AN177">
        <v>0.99999998612225105</v>
      </c>
    </row>
    <row r="178" spans="1:40" x14ac:dyDescent="0.25">
      <c r="A178" t="str">
        <f>"20190304164828257"</f>
        <v>20190304164828257</v>
      </c>
      <c r="B178" t="str">
        <f>"1551689308246789"</f>
        <v>1551689308246789</v>
      </c>
      <c r="C178" t="s">
        <v>40</v>
      </c>
      <c r="D178">
        <v>5.0975029999999997</v>
      </c>
      <c r="E178">
        <v>0.55030539999999994</v>
      </c>
      <c r="F178" t="s">
        <v>41</v>
      </c>
      <c r="G178">
        <v>-439.66070000000002</v>
      </c>
      <c r="H178">
        <v>0.83302529999999997</v>
      </c>
      <c r="I178">
        <v>367.47710000000001</v>
      </c>
      <c r="J178">
        <v>-440.26979999999998</v>
      </c>
      <c r="K178">
        <v>1.10964</v>
      </c>
      <c r="L178">
        <v>367.47289999999998</v>
      </c>
      <c r="M178">
        <v>0.99989629999999996</v>
      </c>
      <c r="N178">
        <v>-1.147334E-2</v>
      </c>
      <c r="O178">
        <v>8.7092609999999994E-3</v>
      </c>
      <c r="P178">
        <v>0.95449110000000004</v>
      </c>
      <c r="Q178">
        <v>0.29160140000000001</v>
      </c>
      <c r="R178">
        <v>6.2573879999999998E-2</v>
      </c>
      <c r="S178">
        <v>3.5162960000000001</v>
      </c>
      <c r="T178">
        <v>-1.2250099999999999</v>
      </c>
      <c r="U178">
        <v>2.734375E-2</v>
      </c>
      <c r="V178">
        <v>-5.4245790000000002E-2</v>
      </c>
      <c r="W178">
        <v>0.30254160000000002</v>
      </c>
      <c r="X178">
        <v>0.95159130000000003</v>
      </c>
      <c r="Y178">
        <v>4.2765780000000002E-4</v>
      </c>
      <c r="Z178">
        <v>-2.9249020000000001E-3</v>
      </c>
      <c r="AA178">
        <v>0.99999559999999998</v>
      </c>
      <c r="AB178">
        <v>34</v>
      </c>
      <c r="AC178">
        <v>0.60909999999995501</v>
      </c>
      <c r="AD178">
        <v>-0.27661469999999899</v>
      </c>
      <c r="AE178">
        <v>4.20000000002573E-3</v>
      </c>
      <c r="AF178">
        <v>9.1634162261990397E-4</v>
      </c>
      <c r="AG178">
        <v>-0.27661469999999899</v>
      </c>
      <c r="AH178">
        <v>0.50497274995972397</v>
      </c>
      <c r="AI178">
        <v>118.71307014777901</v>
      </c>
      <c r="AJ178">
        <v>89.896029142277399</v>
      </c>
      <c r="AK178">
        <v>0.57577253333234402</v>
      </c>
      <c r="AL178">
        <v>72.389678606056705</v>
      </c>
      <c r="AM178">
        <v>93.262634618145498</v>
      </c>
      <c r="AN178">
        <v>1.00000001384948</v>
      </c>
    </row>
    <row r="179" spans="1:40" x14ac:dyDescent="0.25">
      <c r="A179" t="str">
        <f>"20190304164828276"</f>
        <v>20190304164828276</v>
      </c>
      <c r="B179" t="str">
        <f>"1551689308266308"</f>
        <v>1551689308266308</v>
      </c>
      <c r="C179" t="s">
        <v>40</v>
      </c>
      <c r="D179">
        <v>5.0803699999999896</v>
      </c>
      <c r="E179">
        <v>0.55018719999999999</v>
      </c>
      <c r="F179" t="s">
        <v>41</v>
      </c>
      <c r="G179">
        <v>-439.37380000000002</v>
      </c>
      <c r="H179">
        <v>0.79695959999999999</v>
      </c>
      <c r="I179">
        <v>367.48</v>
      </c>
      <c r="J179">
        <v>-439.96980000000002</v>
      </c>
      <c r="K179">
        <v>1.109256</v>
      </c>
      <c r="L179">
        <v>367.47559999999999</v>
      </c>
      <c r="M179">
        <v>0.999888</v>
      </c>
      <c r="N179">
        <v>-1.218316E-2</v>
      </c>
      <c r="O179">
        <v>8.7087050000000006E-3</v>
      </c>
      <c r="P179">
        <v>0.95449170000000005</v>
      </c>
      <c r="Q179">
        <v>0.29160700000000001</v>
      </c>
      <c r="R179">
        <v>6.2539559999999994E-2</v>
      </c>
      <c r="S179">
        <v>3.5159910000000001</v>
      </c>
      <c r="T179">
        <v>-1.227012</v>
      </c>
      <c r="U179">
        <v>2.8411869999999999E-2</v>
      </c>
      <c r="V179">
        <v>-5.4211710000000003E-2</v>
      </c>
      <c r="W179">
        <v>0.3032224</v>
      </c>
      <c r="X179">
        <v>0.95137660000000002</v>
      </c>
      <c r="Y179">
        <v>1.4059000000000001E-4</v>
      </c>
      <c r="Z179">
        <v>-2.8733220000000002E-3</v>
      </c>
      <c r="AA179">
        <v>0.99999590000000005</v>
      </c>
      <c r="AB179">
        <v>34</v>
      </c>
      <c r="AC179">
        <v>0.59600000000000297</v>
      </c>
      <c r="AD179">
        <v>-0.31229639999999997</v>
      </c>
      <c r="AE179">
        <v>4.4000000000323702E-3</v>
      </c>
      <c r="AF179">
        <v>6.2056491579676296E-4</v>
      </c>
      <c r="AG179">
        <v>-0.31229639999999997</v>
      </c>
      <c r="AH179">
        <v>0.46762920619812198</v>
      </c>
      <c r="AI179">
        <v>123.73612961617199</v>
      </c>
      <c r="AJ179">
        <v>89.9239659772187</v>
      </c>
      <c r="AK179">
        <v>0.56232241734014199</v>
      </c>
      <c r="AL179">
        <v>72.348750383373499</v>
      </c>
      <c r="AM179">
        <v>93.261323525718893</v>
      </c>
      <c r="AN179">
        <v>1.0000000841952099</v>
      </c>
    </row>
    <row r="180" spans="1:40" x14ac:dyDescent="0.25">
      <c r="A180" t="str">
        <f>"20190304164828299"</f>
        <v>20190304164828299</v>
      </c>
      <c r="B180" t="str">
        <f>"1551689308286464"</f>
        <v>1551689308286464</v>
      </c>
      <c r="C180" t="s">
        <v>40</v>
      </c>
      <c r="D180">
        <v>5.0836730000000001</v>
      </c>
      <c r="E180">
        <v>0.55007189999999995</v>
      </c>
      <c r="F180" t="s">
        <v>41</v>
      </c>
      <c r="G180">
        <v>-439.07279999999997</v>
      </c>
      <c r="H180">
        <v>0.79571459999999905</v>
      </c>
      <c r="I180">
        <v>367.483</v>
      </c>
      <c r="J180">
        <v>-439.64550000000003</v>
      </c>
      <c r="K180">
        <v>1.108606</v>
      </c>
      <c r="L180">
        <v>367.47840000000002</v>
      </c>
      <c r="M180">
        <v>0.99987479999999995</v>
      </c>
      <c r="N180">
        <v>-1.322065E-2</v>
      </c>
      <c r="O180">
        <v>8.7084099999999998E-3</v>
      </c>
      <c r="P180">
        <v>0.95466459999999997</v>
      </c>
      <c r="Q180">
        <v>0.29099199999999997</v>
      </c>
      <c r="R180">
        <v>6.2765150000000006E-2</v>
      </c>
      <c r="S180">
        <v>3.516632</v>
      </c>
      <c r="T180">
        <v>-1.2292110000000001</v>
      </c>
      <c r="U180">
        <v>3.0273439999999999E-2</v>
      </c>
      <c r="V180">
        <v>-5.4435799999999999E-2</v>
      </c>
      <c r="W180">
        <v>0.3035968</v>
      </c>
      <c r="X180">
        <v>0.95124430000000004</v>
      </c>
      <c r="Y180">
        <v>-3.554648E-4</v>
      </c>
      <c r="Z180">
        <v>-2.781454E-3</v>
      </c>
      <c r="AA180">
        <v>0.99999610000000005</v>
      </c>
      <c r="AB180">
        <v>34</v>
      </c>
      <c r="AC180">
        <v>0.57270000000005405</v>
      </c>
      <c r="AD180">
        <v>-0.31289139999999999</v>
      </c>
      <c r="AE180">
        <v>4.5999999999821696E-3</v>
      </c>
      <c r="AF180">
        <v>2.9874800691335102E-4</v>
      </c>
      <c r="AG180">
        <v>-0.31289139999999999</v>
      </c>
      <c r="AH180">
        <v>0.441070701739608</v>
      </c>
      <c r="AI180">
        <v>125.35152420676501</v>
      </c>
      <c r="AJ180">
        <v>89.961192168854097</v>
      </c>
      <c r="AK180">
        <v>0.54078136189906001</v>
      </c>
      <c r="AL180">
        <v>72.326235983736098</v>
      </c>
      <c r="AM180">
        <v>93.275229748553301</v>
      </c>
      <c r="AN180">
        <v>0.99999999578718501</v>
      </c>
    </row>
    <row r="181" spans="1:40" x14ac:dyDescent="0.25">
      <c r="A181" t="str">
        <f>"20190304164828310"</f>
        <v>20190304164828310</v>
      </c>
      <c r="B181" t="str">
        <f>"1551689308306959"</f>
        <v>1551689308306959</v>
      </c>
      <c r="C181" t="s">
        <v>40</v>
      </c>
      <c r="D181">
        <v>5.0792060000000001</v>
      </c>
      <c r="E181">
        <v>0.54998449999999999</v>
      </c>
      <c r="F181" t="s">
        <v>41</v>
      </c>
      <c r="G181">
        <v>-438.76960000000003</v>
      </c>
      <c r="H181">
        <v>0.80124960000000001</v>
      </c>
      <c r="I181">
        <v>367.4864</v>
      </c>
      <c r="J181">
        <v>-439.46030000000002</v>
      </c>
      <c r="K181">
        <v>1.1081319999999999</v>
      </c>
      <c r="L181">
        <v>367.48</v>
      </c>
      <c r="M181">
        <v>0.99986419999999998</v>
      </c>
      <c r="N181">
        <v>-1.3996679999999999E-2</v>
      </c>
      <c r="O181">
        <v>8.7095609999999993E-3</v>
      </c>
      <c r="P181">
        <v>0.95485549999999997</v>
      </c>
      <c r="Q181">
        <v>0.29035909999999998</v>
      </c>
      <c r="R181">
        <v>6.2794030000000001E-2</v>
      </c>
      <c r="S181">
        <v>3.5164179999999998</v>
      </c>
      <c r="T181">
        <v>-1.233862</v>
      </c>
      <c r="U181">
        <v>3.3050540000000003E-2</v>
      </c>
      <c r="V181">
        <v>-5.4461959999999997E-2</v>
      </c>
      <c r="W181">
        <v>0.3037049</v>
      </c>
      <c r="X181">
        <v>0.95120830000000001</v>
      </c>
      <c r="Y181">
        <v>-1.0994380000000001E-3</v>
      </c>
      <c r="Z181">
        <v>-2.6535299999999999E-3</v>
      </c>
      <c r="AA181">
        <v>0.99999590000000005</v>
      </c>
      <c r="AB181">
        <v>34</v>
      </c>
      <c r="AC181">
        <v>0.69069999999999199</v>
      </c>
      <c r="AD181">
        <v>-0.306882399999999</v>
      </c>
      <c r="AE181">
        <v>6.39999999998508E-3</v>
      </c>
      <c r="AF181">
        <v>-3.20258433544512E-4</v>
      </c>
      <c r="AG181">
        <v>-0.306882399999999</v>
      </c>
      <c r="AH181">
        <v>0.57686205612889097</v>
      </c>
      <c r="AI181">
        <v>118.012337895653</v>
      </c>
      <c r="AJ181">
        <v>90.031809085925104</v>
      </c>
      <c r="AK181">
        <v>0.65341161743305098</v>
      </c>
      <c r="AL181">
        <v>72.3197354624062</v>
      </c>
      <c r="AM181">
        <v>93.276924029401897</v>
      </c>
      <c r="AN181">
        <v>1.0000000006799701</v>
      </c>
    </row>
    <row r="182" spans="1:40" x14ac:dyDescent="0.25">
      <c r="A182" t="str">
        <f>"20190304164828322"</f>
        <v>20190304164828322</v>
      </c>
      <c r="B182" t="str">
        <f>"1551689308316720"</f>
        <v>1551689308316720</v>
      </c>
      <c r="C182" t="s">
        <v>40</v>
      </c>
      <c r="D182">
        <v>5.0825579999999997</v>
      </c>
      <c r="E182">
        <v>0.5499406</v>
      </c>
      <c r="F182" t="s">
        <v>41</v>
      </c>
      <c r="G182">
        <v>-438.74619999999999</v>
      </c>
      <c r="H182">
        <v>0.8567475</v>
      </c>
      <c r="I182">
        <v>367.48680000000002</v>
      </c>
      <c r="J182">
        <v>-439.28019999999998</v>
      </c>
      <c r="K182">
        <v>1.1076090000000001</v>
      </c>
      <c r="L182">
        <v>367.48160000000001</v>
      </c>
      <c r="M182">
        <v>0.99985080000000004</v>
      </c>
      <c r="N182">
        <v>-1.492108E-2</v>
      </c>
      <c r="O182">
        <v>8.7105489999999997E-3</v>
      </c>
      <c r="P182">
        <v>0.95506230000000003</v>
      </c>
      <c r="Q182">
        <v>0.28966999999999998</v>
      </c>
      <c r="R182">
        <v>6.2830120000000003E-2</v>
      </c>
      <c r="S182">
        <v>3.5158999999999998</v>
      </c>
      <c r="T182">
        <v>-1.237627</v>
      </c>
      <c r="U182">
        <v>3.482056E-2</v>
      </c>
      <c r="V182">
        <v>-5.4494710000000002E-2</v>
      </c>
      <c r="W182">
        <v>0.30389850000000002</v>
      </c>
      <c r="X182">
        <v>0.95114460000000001</v>
      </c>
      <c r="Y182">
        <v>-1.5732509999999999E-3</v>
      </c>
      <c r="Z182">
        <v>-2.5692950000000001E-3</v>
      </c>
      <c r="AA182">
        <v>0.99999550000000004</v>
      </c>
      <c r="AB182">
        <v>34</v>
      </c>
      <c r="AC182">
        <v>0.53399999999999104</v>
      </c>
      <c r="AD182">
        <v>-0.25086150000000002</v>
      </c>
      <c r="AE182">
        <v>5.2000000000020901E-3</v>
      </c>
      <c r="AF182">
        <v>-4.4881229963860601E-4</v>
      </c>
      <c r="AG182">
        <v>-0.25086150000000002</v>
      </c>
      <c r="AH182">
        <v>0.437484992244</v>
      </c>
      <c r="AI182">
        <v>119.830695908588</v>
      </c>
      <c r="AJ182">
        <v>90.058779254140006</v>
      </c>
      <c r="AK182">
        <v>0.50430626810844104</v>
      </c>
      <c r="AL182">
        <v>72.308092895086702</v>
      </c>
      <c r="AM182">
        <v>93.279109381833294</v>
      </c>
      <c r="AN182">
        <v>1.00000001091469</v>
      </c>
    </row>
    <row r="183" spans="1:40" x14ac:dyDescent="0.25">
      <c r="A183" t="str">
        <f>"20190304164828344"</f>
        <v>20190304164828344</v>
      </c>
      <c r="B183" t="str">
        <f>"1551689308336240"</f>
        <v>1551689308336240</v>
      </c>
      <c r="C183" t="s">
        <v>40</v>
      </c>
      <c r="D183">
        <v>5.071269</v>
      </c>
      <c r="E183">
        <v>0.54987779999999997</v>
      </c>
      <c r="F183" t="s">
        <v>41</v>
      </c>
      <c r="G183">
        <v>-438.46249999999998</v>
      </c>
      <c r="H183">
        <v>0.81892430000000005</v>
      </c>
      <c r="I183">
        <v>367.48919999999998</v>
      </c>
      <c r="J183">
        <v>-438.96030000000002</v>
      </c>
      <c r="K183">
        <v>1.106554</v>
      </c>
      <c r="L183">
        <v>367.48439999999999</v>
      </c>
      <c r="M183">
        <v>0.99982009999999999</v>
      </c>
      <c r="N183">
        <v>-1.685159E-2</v>
      </c>
      <c r="O183">
        <v>8.7116750000000003E-3</v>
      </c>
      <c r="P183">
        <v>0.95555869999999998</v>
      </c>
      <c r="Q183">
        <v>0.28801660000000001</v>
      </c>
      <c r="R183">
        <v>6.2880900000000003E-2</v>
      </c>
      <c r="S183">
        <v>3.5152890000000001</v>
      </c>
      <c r="T183">
        <v>-1.2410669999999999</v>
      </c>
      <c r="U183">
        <v>3.463745E-2</v>
      </c>
      <c r="V183">
        <v>-5.4540659999999998E-2</v>
      </c>
      <c r="W183">
        <v>0.3040892</v>
      </c>
      <c r="X183">
        <v>0.95108099999999995</v>
      </c>
      <c r="Y183">
        <v>-1.5211319999999999E-3</v>
      </c>
      <c r="Z183">
        <v>-2.568669E-3</v>
      </c>
      <c r="AA183">
        <v>0.99999550000000004</v>
      </c>
      <c r="AB183">
        <v>34</v>
      </c>
      <c r="AC183">
        <v>0.49780000000003999</v>
      </c>
      <c r="AD183">
        <v>-0.28762969999999999</v>
      </c>
      <c r="AE183">
        <v>4.7999999999888097E-3</v>
      </c>
      <c r="AF183">
        <v>-3.4677018085272802E-4</v>
      </c>
      <c r="AG183">
        <v>-0.28762969999999999</v>
      </c>
      <c r="AH183">
        <v>0.37322990256022598</v>
      </c>
      <c r="AI183">
        <v>127.619639285483</v>
      </c>
      <c r="AJ183">
        <v>90.053233843190199</v>
      </c>
      <c r="AK183">
        <v>0.47120221215181501</v>
      </c>
      <c r="AL183">
        <v>72.296623546626293</v>
      </c>
      <c r="AM183">
        <v>93.282087272233099</v>
      </c>
      <c r="AN183">
        <v>0.99999999685543695</v>
      </c>
    </row>
    <row r="184" spans="1:40" x14ac:dyDescent="0.25">
      <c r="A184" t="str">
        <f>"20190304164828356"</f>
        <v>20190304164828356</v>
      </c>
      <c r="B184" t="str">
        <f>"1551689308346976"</f>
        <v>1551689308346976</v>
      </c>
      <c r="C184" t="s">
        <v>40</v>
      </c>
      <c r="D184">
        <v>5.0267160000000004</v>
      </c>
      <c r="E184">
        <v>0.54984089999999997</v>
      </c>
      <c r="F184" t="s">
        <v>41</v>
      </c>
      <c r="G184">
        <v>-438.16199999999998</v>
      </c>
      <c r="H184">
        <v>0.82289120000000004</v>
      </c>
      <c r="I184">
        <v>367.49189999999999</v>
      </c>
      <c r="J184">
        <v>-438.77350000000001</v>
      </c>
      <c r="K184">
        <v>1.1058570000000001</v>
      </c>
      <c r="L184">
        <v>367.48599999999999</v>
      </c>
      <c r="M184">
        <v>0.99979929999999995</v>
      </c>
      <c r="N184">
        <v>-1.804499E-2</v>
      </c>
      <c r="O184">
        <v>8.71188E-3</v>
      </c>
      <c r="P184">
        <v>0.95587169999999999</v>
      </c>
      <c r="Q184">
        <v>0.2869604</v>
      </c>
      <c r="R184">
        <v>6.2952789999999995E-2</v>
      </c>
      <c r="S184">
        <v>3.5135190000000001</v>
      </c>
      <c r="T184">
        <v>-1.2485280000000001</v>
      </c>
      <c r="U184">
        <v>3.5125730000000001E-2</v>
      </c>
      <c r="V184">
        <v>-5.4609409999999997E-2</v>
      </c>
      <c r="W184">
        <v>0.30417369999999999</v>
      </c>
      <c r="X184">
        <v>0.95104999999999995</v>
      </c>
      <c r="Y184">
        <v>-1.657319E-3</v>
      </c>
      <c r="Z184">
        <v>-2.549716E-3</v>
      </c>
      <c r="AA184">
        <v>0.99999539999999998</v>
      </c>
      <c r="AB184">
        <v>33</v>
      </c>
      <c r="AC184">
        <v>0.61150000000003502</v>
      </c>
      <c r="AD184">
        <v>-0.28296579999999899</v>
      </c>
      <c r="AE184">
        <v>5.8999999999968999E-3</v>
      </c>
      <c r="AF184">
        <v>-4.7079328226641299E-4</v>
      </c>
      <c r="AG184">
        <v>-0.28296579999999899</v>
      </c>
      <c r="AH184">
        <v>0.50368483250767004</v>
      </c>
      <c r="AI184">
        <v>119.326891510268</v>
      </c>
      <c r="AJ184">
        <v>90.053554243647099</v>
      </c>
      <c r="AK184">
        <v>0.57772681789426605</v>
      </c>
      <c r="AL184">
        <v>72.291540724571803</v>
      </c>
      <c r="AM184">
        <v>93.286322253130294</v>
      </c>
      <c r="AN184">
        <v>0.99999996496611798</v>
      </c>
    </row>
    <row r="185" spans="1:40" x14ac:dyDescent="0.25">
      <c r="A185" t="str">
        <f>"20190304164828378"</f>
        <v>20190304164828378</v>
      </c>
      <c r="B185" t="str">
        <f>"1551689308366497"</f>
        <v>1551689308366497</v>
      </c>
      <c r="C185" t="s">
        <v>40</v>
      </c>
      <c r="D185">
        <v>5.0902010000000004</v>
      </c>
      <c r="E185">
        <v>0.5497609</v>
      </c>
      <c r="F185" t="s">
        <v>41</v>
      </c>
      <c r="G185">
        <v>-437.87810000000002</v>
      </c>
      <c r="H185">
        <v>0.78641470000000002</v>
      </c>
      <c r="I185">
        <v>367.4948</v>
      </c>
      <c r="J185">
        <v>-438.4513</v>
      </c>
      <c r="K185">
        <v>1.1044</v>
      </c>
      <c r="L185">
        <v>367.48880000000003</v>
      </c>
      <c r="M185">
        <v>0.99976719999999997</v>
      </c>
      <c r="N185">
        <v>-1.9739820000000002E-2</v>
      </c>
      <c r="O185">
        <v>8.7111419999999998E-3</v>
      </c>
      <c r="P185">
        <v>0.95629319999999896</v>
      </c>
      <c r="Q185">
        <v>0.28559909999999999</v>
      </c>
      <c r="R185">
        <v>6.2741699999999997E-2</v>
      </c>
      <c r="S185">
        <v>3.5122990000000001</v>
      </c>
      <c r="T185">
        <v>-1.252928</v>
      </c>
      <c r="U185">
        <v>3.533936E-2</v>
      </c>
      <c r="V185">
        <v>-5.4395619999999999E-2</v>
      </c>
      <c r="W185">
        <v>0.304432599999999</v>
      </c>
      <c r="X185">
        <v>0.95097949999999998</v>
      </c>
      <c r="Y185">
        <v>-1.71587E-3</v>
      </c>
      <c r="Z185">
        <v>-2.5328669999999998E-3</v>
      </c>
      <c r="AA185">
        <v>0.99999530000000003</v>
      </c>
      <c r="AB185">
        <v>33</v>
      </c>
      <c r="AC185">
        <v>0.57319999999998505</v>
      </c>
      <c r="AD185">
        <v>-0.31798530000000003</v>
      </c>
      <c r="AE185">
        <v>5.9999999999717996E-3</v>
      </c>
      <c r="AF185">
        <v>-7.6895161322301298E-4</v>
      </c>
      <c r="AG185">
        <v>-0.31798530000000003</v>
      </c>
      <c r="AH185">
        <v>0.43834384378520103</v>
      </c>
      <c r="AI185">
        <v>125.958003655244</v>
      </c>
      <c r="AJ185">
        <v>90.100509309117498</v>
      </c>
      <c r="AK185">
        <v>0.54153537990334299</v>
      </c>
      <c r="AL185">
        <v>72.275969894375294</v>
      </c>
      <c r="AM185">
        <v>93.273726835651203</v>
      </c>
      <c r="AN185">
        <v>1.00000005041909</v>
      </c>
    </row>
    <row r="186" spans="1:40" x14ac:dyDescent="0.25">
      <c r="A186" t="str">
        <f>"20190304164828399"</f>
        <v>20190304164828399</v>
      </c>
      <c r="B186" t="str">
        <f>"1551689308386592"</f>
        <v>1551689308386592</v>
      </c>
      <c r="C186" t="s">
        <v>40</v>
      </c>
      <c r="D186">
        <v>5.0781340000000004</v>
      </c>
      <c r="E186">
        <v>0.54968349999999999</v>
      </c>
      <c r="F186" t="s">
        <v>41</v>
      </c>
      <c r="G186">
        <v>-437.57679999999999</v>
      </c>
      <c r="H186">
        <v>0.79061789999999998</v>
      </c>
      <c r="I186">
        <v>367.49740000000003</v>
      </c>
      <c r="J186">
        <v>-438.14139999999998</v>
      </c>
      <c r="K186">
        <v>1.102752</v>
      </c>
      <c r="L186">
        <v>367.49149999999997</v>
      </c>
      <c r="M186">
        <v>0.99974130000000005</v>
      </c>
      <c r="N186">
        <v>-2.101753E-2</v>
      </c>
      <c r="O186">
        <v>8.7095550000000008E-3</v>
      </c>
      <c r="P186">
        <v>0.95657230000000004</v>
      </c>
      <c r="Q186">
        <v>0.28463670000000002</v>
      </c>
      <c r="R186">
        <v>6.2861260000000002E-2</v>
      </c>
      <c r="S186">
        <v>3.5108950000000001</v>
      </c>
      <c r="T186">
        <v>-1.259584</v>
      </c>
      <c r="U186">
        <v>3.5919189999999997E-2</v>
      </c>
      <c r="V186">
        <v>-5.4513770000000003E-2</v>
      </c>
      <c r="W186">
        <v>0.3046915</v>
      </c>
      <c r="X186">
        <v>0.95088980000000001</v>
      </c>
      <c r="Y186">
        <v>-1.876059E-3</v>
      </c>
      <c r="Z186">
        <v>-2.5054410000000002E-3</v>
      </c>
      <c r="AA186">
        <v>0.99999510000000003</v>
      </c>
      <c r="AB186">
        <v>33</v>
      </c>
      <c r="AC186">
        <v>0.564599999999984</v>
      </c>
      <c r="AD186">
        <v>-0.31213410000000003</v>
      </c>
      <c r="AE186">
        <v>5.9000000000537503E-3</v>
      </c>
      <c r="AF186">
        <v>-7.5158976064900699E-4</v>
      </c>
      <c r="AG186">
        <v>-0.31213410000000003</v>
      </c>
      <c r="AH186">
        <v>0.43246783066890898</v>
      </c>
      <c r="AI186">
        <v>125.819865066847</v>
      </c>
      <c r="AJ186">
        <v>90.099574754009296</v>
      </c>
      <c r="AK186">
        <v>0.53334480951205498</v>
      </c>
      <c r="AL186">
        <v>72.2603958932349</v>
      </c>
      <c r="AM186">
        <v>93.281130830009999</v>
      </c>
      <c r="AN186">
        <v>1.00000003651795</v>
      </c>
    </row>
    <row r="187" spans="1:40" x14ac:dyDescent="0.25">
      <c r="A187" t="str">
        <f>"20190304164828412"</f>
        <v>20190304164828412</v>
      </c>
      <c r="B187" t="str">
        <f>"1551689308407088"</f>
        <v>1551689308407088</v>
      </c>
      <c r="C187" t="s">
        <v>40</v>
      </c>
      <c r="D187">
        <v>5.0831949999999999</v>
      </c>
      <c r="E187">
        <v>0.54962219999999995</v>
      </c>
      <c r="F187" t="s">
        <v>41</v>
      </c>
      <c r="G187">
        <v>-437.27690000000001</v>
      </c>
      <c r="H187">
        <v>0.79128129999999997</v>
      </c>
      <c r="I187">
        <v>367.50040000000001</v>
      </c>
      <c r="J187">
        <v>-437.93639999999999</v>
      </c>
      <c r="K187">
        <v>1.1015469999999901</v>
      </c>
      <c r="L187">
        <v>367.49329999999998</v>
      </c>
      <c r="M187">
        <v>0.99972589999999995</v>
      </c>
      <c r="N187">
        <v>-2.1730679999999999E-2</v>
      </c>
      <c r="O187">
        <v>8.7089449999999992E-3</v>
      </c>
      <c r="P187">
        <v>0.95669079999999995</v>
      </c>
      <c r="Q187">
        <v>0.28419939999999999</v>
      </c>
      <c r="R187">
        <v>6.3035160000000007E-2</v>
      </c>
      <c r="S187">
        <v>3.509979</v>
      </c>
      <c r="T187">
        <v>-1.2646090000000001</v>
      </c>
      <c r="U187">
        <v>3.7811280000000003E-2</v>
      </c>
      <c r="V187">
        <v>-5.4687489999999998E-2</v>
      </c>
      <c r="W187">
        <v>0.30493540000000002</v>
      </c>
      <c r="X187">
        <v>0.95080160000000002</v>
      </c>
      <c r="Y187">
        <v>-2.3850270000000001E-3</v>
      </c>
      <c r="Z187">
        <v>-2.4147470000000001E-3</v>
      </c>
      <c r="AA187">
        <v>0.99999420000000006</v>
      </c>
      <c r="AB187">
        <v>33</v>
      </c>
      <c r="AC187">
        <v>0.65949999999997999</v>
      </c>
      <c r="AD187">
        <v>-0.31026569999999898</v>
      </c>
      <c r="AE187">
        <v>7.1000000000367401E-3</v>
      </c>
      <c r="AF187">
        <v>-1.10932705337565E-3</v>
      </c>
      <c r="AG187">
        <v>-0.31026569999999898</v>
      </c>
      <c r="AH187">
        <v>0.54002712108016804</v>
      </c>
      <c r="AI187">
        <v>119.87892017979701</v>
      </c>
      <c r="AJ187">
        <v>90.117697179224606</v>
      </c>
      <c r="AK187">
        <v>0.62281243300462097</v>
      </c>
      <c r="AL187">
        <v>72.245722561754604</v>
      </c>
      <c r="AM187">
        <v>93.291868580457106</v>
      </c>
      <c r="AN187">
        <v>1.0000000011491099</v>
      </c>
    </row>
    <row r="188" spans="1:40" x14ac:dyDescent="0.25">
      <c r="A188" t="str">
        <f>"20190304164828433"</f>
        <v>20190304164828433</v>
      </c>
      <c r="B188" t="str">
        <f>"1551689308426608"</f>
        <v>1551689308426608</v>
      </c>
      <c r="C188" t="s">
        <v>40</v>
      </c>
      <c r="D188">
        <v>5.1343069999999997</v>
      </c>
      <c r="E188">
        <v>0.54959609999999903</v>
      </c>
      <c r="F188" t="s">
        <v>41</v>
      </c>
      <c r="G188">
        <v>-437.25</v>
      </c>
      <c r="H188">
        <v>0.85367359999999903</v>
      </c>
      <c r="I188">
        <v>367.50049999999999</v>
      </c>
      <c r="J188">
        <v>-437.62979999999999</v>
      </c>
      <c r="K188">
        <v>1.0995950000000001</v>
      </c>
      <c r="L188">
        <v>367.49599999999998</v>
      </c>
      <c r="M188">
        <v>0.99970590000000004</v>
      </c>
      <c r="N188">
        <v>-2.2640469999999999E-2</v>
      </c>
      <c r="O188">
        <v>8.7082779999999999E-3</v>
      </c>
      <c r="P188">
        <v>0.95685330000000002</v>
      </c>
      <c r="Q188">
        <v>0.28356039999999999</v>
      </c>
      <c r="R188">
        <v>6.3448470000000007E-2</v>
      </c>
      <c r="S188">
        <v>3.509827</v>
      </c>
      <c r="T188">
        <v>-1.267523</v>
      </c>
      <c r="U188">
        <v>3.8787839999999997E-2</v>
      </c>
      <c r="V188">
        <v>-5.5099420000000003E-2</v>
      </c>
      <c r="W188">
        <v>0.30516510000000002</v>
      </c>
      <c r="X188">
        <v>0.95070410000000005</v>
      </c>
      <c r="Y188">
        <v>-2.6452369999999999E-3</v>
      </c>
      <c r="Z188">
        <v>-2.3629189999999998E-3</v>
      </c>
      <c r="AA188">
        <v>0.99999369999999999</v>
      </c>
      <c r="AB188">
        <v>33</v>
      </c>
      <c r="AC188">
        <v>0.37979999999998798</v>
      </c>
      <c r="AD188">
        <v>-0.24592140000000001</v>
      </c>
      <c r="AE188">
        <v>4.5000000000072699E-3</v>
      </c>
      <c r="AF188">
        <v>-8.3961204935824904E-4</v>
      </c>
      <c r="AG188">
        <v>-0.24592140000000001</v>
      </c>
      <c r="AH188">
        <v>0.26763293612355699</v>
      </c>
      <c r="AI188">
        <v>132.57900753162201</v>
      </c>
      <c r="AJ188">
        <v>90.1797464457687</v>
      </c>
      <c r="AK188">
        <v>0.36346310462613601</v>
      </c>
      <c r="AL188">
        <v>72.231902734987898</v>
      </c>
      <c r="AM188">
        <v>93.316948599538406</v>
      </c>
      <c r="AN188">
        <v>0.99999998504957799</v>
      </c>
    </row>
    <row r="189" spans="1:40" x14ac:dyDescent="0.25">
      <c r="A189" t="str">
        <f>"20190304164828456"</f>
        <v>20190304164828456</v>
      </c>
      <c r="B189" t="str">
        <f>"1551689308447107"</f>
        <v>1551689308447107</v>
      </c>
      <c r="C189" t="s">
        <v>40</v>
      </c>
      <c r="D189">
        <v>5.2114799999999999</v>
      </c>
      <c r="E189">
        <v>0.54960229999999999</v>
      </c>
      <c r="F189" t="s">
        <v>41</v>
      </c>
      <c r="G189">
        <v>-436.95069999999998</v>
      </c>
      <c r="H189">
        <v>0.85374519999999998</v>
      </c>
      <c r="I189">
        <v>367.5034</v>
      </c>
      <c r="J189">
        <v>-437.28590000000003</v>
      </c>
      <c r="K189">
        <v>1.0972010000000001</v>
      </c>
      <c r="L189">
        <v>367.49900000000002</v>
      </c>
      <c r="M189">
        <v>0.99968809999999997</v>
      </c>
      <c r="N189">
        <v>-2.34059E-2</v>
      </c>
      <c r="O189">
        <v>8.7084199999999997E-3</v>
      </c>
      <c r="P189">
        <v>0.95697710000000002</v>
      </c>
      <c r="Q189">
        <v>0.28301480000000001</v>
      </c>
      <c r="R189">
        <v>6.4015160000000002E-2</v>
      </c>
      <c r="S189">
        <v>3.509125</v>
      </c>
      <c r="T189">
        <v>-1.2705169999999999</v>
      </c>
      <c r="U189">
        <v>4.0130619999999999E-2</v>
      </c>
      <c r="V189">
        <v>-5.5664850000000002E-2</v>
      </c>
      <c r="W189">
        <v>0.30535089999999998</v>
      </c>
      <c r="X189">
        <v>0.95061150000000005</v>
      </c>
      <c r="Y189">
        <v>-3.0045010000000001E-3</v>
      </c>
      <c r="Z189">
        <v>-2.2942980000000002E-3</v>
      </c>
      <c r="AA189">
        <v>0.99999280000000002</v>
      </c>
      <c r="AB189">
        <v>33</v>
      </c>
      <c r="AC189">
        <v>0.33520000000004302</v>
      </c>
      <c r="AD189">
        <v>-0.2434558</v>
      </c>
      <c r="AE189">
        <v>4.3999999999755303E-3</v>
      </c>
      <c r="AF189">
        <v>-9.6893439191303703E-4</v>
      </c>
      <c r="AG189">
        <v>-0.2434558</v>
      </c>
      <c r="AH189">
        <v>0.21947165395919299</v>
      </c>
      <c r="AI189">
        <v>137.96554935817201</v>
      </c>
      <c r="AJ189">
        <v>90.252950618450299</v>
      </c>
      <c r="AK189">
        <v>0.32777960930948602</v>
      </c>
      <c r="AL189">
        <v>72.220723608773199</v>
      </c>
      <c r="AM189">
        <v>93.351235610761506</v>
      </c>
      <c r="AN189">
        <v>0.99999998579429095</v>
      </c>
    </row>
    <row r="190" spans="1:40" x14ac:dyDescent="0.25">
      <c r="A190" t="str">
        <f>"20190304164828469"</f>
        <v>20190304164828469</v>
      </c>
      <c r="B190" t="str">
        <f>"1551689308456863"</f>
        <v>1551689308456863</v>
      </c>
      <c r="C190" t="s">
        <v>40</v>
      </c>
      <c r="D190">
        <v>5.1633290000000001</v>
      </c>
      <c r="E190">
        <v>0.55024399999999996</v>
      </c>
      <c r="F190" t="s">
        <v>41</v>
      </c>
      <c r="G190">
        <v>-436.38909999999998</v>
      </c>
      <c r="H190">
        <v>0.77195559999999996</v>
      </c>
      <c r="I190">
        <v>367.50959999999998</v>
      </c>
      <c r="J190">
        <v>-437.0831</v>
      </c>
      <c r="K190">
        <v>1.09568</v>
      </c>
      <c r="L190">
        <v>367.50069999999999</v>
      </c>
      <c r="M190">
        <v>0.99968159999999895</v>
      </c>
      <c r="N190">
        <v>-2.3686570000000001E-2</v>
      </c>
      <c r="O190">
        <v>8.7085889999999992E-3</v>
      </c>
      <c r="P190">
        <v>0.95704299999999998</v>
      </c>
      <c r="Q190">
        <v>0.28274939999999998</v>
      </c>
      <c r="R190">
        <v>6.4199909999999999E-2</v>
      </c>
      <c r="S190">
        <v>3.50827</v>
      </c>
      <c r="T190">
        <v>-1.2722880000000001</v>
      </c>
      <c r="U190">
        <v>4.2297359999999999E-2</v>
      </c>
      <c r="V190">
        <v>-5.5848389999999998E-2</v>
      </c>
      <c r="W190">
        <v>0.30535400000000001</v>
      </c>
      <c r="X190">
        <v>0.95059970000000005</v>
      </c>
      <c r="Y190">
        <v>-3.5850750000000001E-3</v>
      </c>
      <c r="Z190">
        <v>-2.1863130000000001E-3</v>
      </c>
      <c r="AA190">
        <v>0.99999119999999997</v>
      </c>
      <c r="AB190">
        <v>33</v>
      </c>
      <c r="AC190">
        <v>0.69400000000001605</v>
      </c>
      <c r="AD190">
        <v>-0.32372440000000002</v>
      </c>
      <c r="AE190">
        <v>8.8999999999828001E-3</v>
      </c>
      <c r="AF190">
        <v>-2.3442193911520299E-3</v>
      </c>
      <c r="AG190">
        <v>-0.32372440000000002</v>
      </c>
      <c r="AH190">
        <v>0.57003884066732702</v>
      </c>
      <c r="AI190">
        <v>119.591984853658</v>
      </c>
      <c r="AJ190">
        <v>90.235620997433998</v>
      </c>
      <c r="AK190">
        <v>0.65555111348335304</v>
      </c>
      <c r="AL190">
        <v>72.220536403788003</v>
      </c>
      <c r="AM190">
        <v>93.362301748590497</v>
      </c>
      <c r="AN190">
        <v>0.99999994881083898</v>
      </c>
    </row>
    <row r="191" spans="1:40" x14ac:dyDescent="0.25">
      <c r="A191" t="str">
        <f>"20190304164828489"</f>
        <v>20190304164828489</v>
      </c>
      <c r="B191" t="str">
        <f>"1551689308476528"</f>
        <v>1551689308476528</v>
      </c>
      <c r="C191" t="s">
        <v>40</v>
      </c>
      <c r="D191">
        <v>4.9035409999999997</v>
      </c>
      <c r="E191">
        <v>0.53732349999999995</v>
      </c>
      <c r="F191" t="s">
        <v>41</v>
      </c>
      <c r="G191">
        <v>-436.34050000000002</v>
      </c>
      <c r="H191">
        <v>0.88406430000000003</v>
      </c>
      <c r="I191">
        <v>367.50119999999998</v>
      </c>
      <c r="J191">
        <v>-436.80939999999998</v>
      </c>
      <c r="K191">
        <v>1.0935349999999999</v>
      </c>
      <c r="L191">
        <v>367.50310000000002</v>
      </c>
      <c r="M191">
        <v>0.99967660000000003</v>
      </c>
      <c r="N191">
        <v>-2.3896790000000001E-2</v>
      </c>
      <c r="O191">
        <v>8.7089119999999992E-3</v>
      </c>
      <c r="P191">
        <v>0.95721389999999995</v>
      </c>
      <c r="Q191">
        <v>0.28220020000000001</v>
      </c>
      <c r="R191">
        <v>6.4068299999999995E-2</v>
      </c>
      <c r="S191">
        <v>3.4226070000000002</v>
      </c>
      <c r="T191">
        <v>-0.97541979999999995</v>
      </c>
      <c r="U191">
        <v>3.2348630000000001E-3</v>
      </c>
      <c r="V191">
        <v>-5.571479E-2</v>
      </c>
      <c r="W191">
        <v>0.30500890000000003</v>
      </c>
      <c r="X191">
        <v>0.95071839999999996</v>
      </c>
      <c r="Y191">
        <v>7.1650780000000001E-3</v>
      </c>
      <c r="Z191">
        <v>-3.3175890000000001E-3</v>
      </c>
      <c r="AA191">
        <v>0.99996879999999999</v>
      </c>
      <c r="AB191">
        <v>33</v>
      </c>
      <c r="AC191">
        <v>0.46889999999996201</v>
      </c>
      <c r="AD191">
        <v>-0.20947070000000001</v>
      </c>
      <c r="AE191">
        <v>-1.90000000003465E-3</v>
      </c>
      <c r="AF191">
        <v>4.9890712010638898E-3</v>
      </c>
      <c r="AG191">
        <v>-0.20947070000000001</v>
      </c>
      <c r="AH191">
        <v>0.39086387702037201</v>
      </c>
      <c r="AI191">
        <v>118.18568277531</v>
      </c>
      <c r="AJ191">
        <v>89.268703971825005</v>
      </c>
      <c r="AK191">
        <v>0.443483297711803</v>
      </c>
      <c r="AL191">
        <v>72.241301042051902</v>
      </c>
      <c r="AM191">
        <v>93.353859033399004</v>
      </c>
      <c r="AN191">
        <v>1.0000000215012499</v>
      </c>
    </row>
    <row r="192" spans="1:40" x14ac:dyDescent="0.25">
      <c r="A192" t="str">
        <f>"20190304164828500"</f>
        <v>20190304164828500</v>
      </c>
      <c r="B192" t="str">
        <f>"1551689308497025"</f>
        <v>1551689308497025</v>
      </c>
      <c r="C192" t="s">
        <v>40</v>
      </c>
      <c r="D192">
        <v>4.9585309999999998</v>
      </c>
      <c r="E192">
        <v>0.53629910000000003</v>
      </c>
      <c r="F192" t="s">
        <v>41</v>
      </c>
      <c r="G192">
        <v>-436.00420000000003</v>
      </c>
      <c r="H192">
        <v>0.96408510000000003</v>
      </c>
      <c r="I192">
        <v>367.51589999999999</v>
      </c>
      <c r="J192">
        <v>-436.62709999999998</v>
      </c>
      <c r="K192">
        <v>1.0920589999999999</v>
      </c>
      <c r="L192">
        <v>367.50470000000001</v>
      </c>
      <c r="M192">
        <v>0.99967550000000005</v>
      </c>
      <c r="N192">
        <v>-2.3943820000000001E-2</v>
      </c>
      <c r="O192">
        <v>8.7095279999999994E-3</v>
      </c>
      <c r="P192">
        <v>0.95730199999999999</v>
      </c>
      <c r="Q192">
        <v>0.28189619999999999</v>
      </c>
      <c r="R192">
        <v>6.4091220000000004E-2</v>
      </c>
      <c r="S192">
        <v>3.2863159999999998</v>
      </c>
      <c r="T192">
        <v>-0.52860839999999998</v>
      </c>
      <c r="U192">
        <v>5.4473880000000002E-2</v>
      </c>
      <c r="V192">
        <v>-5.5735920000000001E-2</v>
      </c>
      <c r="W192">
        <v>0.30475190000000002</v>
      </c>
      <c r="X192">
        <v>0.95079959999999997</v>
      </c>
      <c r="Y192">
        <v>-7.8275250000000001E-3</v>
      </c>
      <c r="Z192">
        <v>-4.6454279999999997E-4</v>
      </c>
      <c r="AA192">
        <v>0.9999692</v>
      </c>
      <c r="AB192">
        <v>33</v>
      </c>
      <c r="AC192">
        <v>0.62289999999995804</v>
      </c>
      <c r="AD192">
        <v>-0.1279739</v>
      </c>
      <c r="AE192">
        <v>1.1199999999973899E-2</v>
      </c>
      <c r="AF192">
        <v>-5.53912877251974E-3</v>
      </c>
      <c r="AG192">
        <v>-0.1279739</v>
      </c>
      <c r="AH192">
        <v>0.59775153215962995</v>
      </c>
      <c r="AI192">
        <v>102.083648604898</v>
      </c>
      <c r="AJ192">
        <v>90.530922298124096</v>
      </c>
      <c r="AK192">
        <v>0.61132225154001496</v>
      </c>
      <c r="AL192">
        <v>72.256762605968603</v>
      </c>
      <c r="AM192">
        <v>93.354842209731103</v>
      </c>
      <c r="AN192">
        <v>1.0000000463459999</v>
      </c>
    </row>
    <row r="193" spans="1:40" x14ac:dyDescent="0.25">
      <c r="A193" t="str">
        <f>"20190304164828522"</f>
        <v>20190304164828522</v>
      </c>
      <c r="B193" t="str">
        <f>"1551689308516544"</f>
        <v>1551689308516544</v>
      </c>
      <c r="C193" t="s">
        <v>40</v>
      </c>
      <c r="D193">
        <v>4.965128</v>
      </c>
      <c r="E193">
        <v>0.53629490000000002</v>
      </c>
      <c r="F193" t="s">
        <v>41</v>
      </c>
      <c r="G193">
        <v>-435.70979999999997</v>
      </c>
      <c r="H193">
        <v>0.95823910000000001</v>
      </c>
      <c r="I193">
        <v>367.5204</v>
      </c>
      <c r="J193">
        <v>-436.3066</v>
      </c>
      <c r="K193">
        <v>1.089375</v>
      </c>
      <c r="L193">
        <v>367.50749999999999</v>
      </c>
      <c r="M193">
        <v>0.99967640000000002</v>
      </c>
      <c r="N193">
        <v>-2.3898490000000001E-2</v>
      </c>
      <c r="O193">
        <v>8.7119090000000003E-3</v>
      </c>
      <c r="P193">
        <v>0.95751819999999999</v>
      </c>
      <c r="Q193">
        <v>0.28126849999999998</v>
      </c>
      <c r="R193">
        <v>6.3615130000000006E-2</v>
      </c>
      <c r="S193">
        <v>3.270508</v>
      </c>
      <c r="T193">
        <v>-0.47713850000000002</v>
      </c>
      <c r="U193">
        <v>5.6426999999999998E-2</v>
      </c>
      <c r="V193">
        <v>-5.5255440000000003E-2</v>
      </c>
      <c r="W193">
        <v>0.30408600000000002</v>
      </c>
      <c r="X193">
        <v>0.95104069999999996</v>
      </c>
      <c r="Y193">
        <v>-8.4965860000000004E-3</v>
      </c>
      <c r="Z193">
        <v>-3.3821250000000001E-4</v>
      </c>
      <c r="AA193">
        <v>0.99996379999999996</v>
      </c>
      <c r="AB193">
        <v>33</v>
      </c>
      <c r="AC193">
        <v>0.59680000000002997</v>
      </c>
      <c r="AD193">
        <v>-0.131135899999999</v>
      </c>
      <c r="AE193">
        <v>1.29000000000019E-2</v>
      </c>
      <c r="AF193">
        <v>-7.3443240232386802E-3</v>
      </c>
      <c r="AG193">
        <v>-0.131135899999999</v>
      </c>
      <c r="AH193">
        <v>0.56941030484246102</v>
      </c>
      <c r="AI193">
        <v>102.968113929111</v>
      </c>
      <c r="AJ193">
        <v>90.738967022099501</v>
      </c>
      <c r="AK193">
        <v>0.58436175321880302</v>
      </c>
      <c r="AL193">
        <v>72.296814895226404</v>
      </c>
      <c r="AM193">
        <v>93.325145204308996</v>
      </c>
      <c r="AN193">
        <v>0.99999993605103898</v>
      </c>
    </row>
    <row r="194" spans="1:40" x14ac:dyDescent="0.25">
      <c r="A194" t="str">
        <f>"20190304164828535"</f>
        <v>20190304164828535</v>
      </c>
      <c r="B194" t="str">
        <f>"1551689308526305"</f>
        <v>1551689308526305</v>
      </c>
      <c r="C194" t="s">
        <v>40</v>
      </c>
      <c r="D194">
        <v>4.9434570000000004</v>
      </c>
      <c r="E194">
        <v>0.5364854</v>
      </c>
      <c r="F194" t="s">
        <v>41</v>
      </c>
      <c r="G194">
        <v>-435.4117</v>
      </c>
      <c r="H194">
        <v>0.96241889999999997</v>
      </c>
      <c r="I194">
        <v>367.52179999999998</v>
      </c>
      <c r="J194">
        <v>-436.1189</v>
      </c>
      <c r="K194">
        <v>1.08779</v>
      </c>
      <c r="L194">
        <v>367.50920000000002</v>
      </c>
      <c r="M194">
        <v>0.9996777</v>
      </c>
      <c r="N194">
        <v>-2.384561E-2</v>
      </c>
      <c r="O194">
        <v>8.713195E-3</v>
      </c>
      <c r="P194">
        <v>0.95757360000000002</v>
      </c>
      <c r="Q194">
        <v>0.28116920000000001</v>
      </c>
      <c r="R194">
        <v>6.3219419999999998E-2</v>
      </c>
      <c r="S194">
        <v>3.265717</v>
      </c>
      <c r="T194">
        <v>-0.46355269999999998</v>
      </c>
      <c r="U194">
        <v>5.3314210000000001E-2</v>
      </c>
      <c r="V194">
        <v>-5.4857719999999999E-2</v>
      </c>
      <c r="W194">
        <v>0.30393789999999998</v>
      </c>
      <c r="X194">
        <v>0.95111109999999999</v>
      </c>
      <c r="Y194">
        <v>-7.5796839999999997E-3</v>
      </c>
      <c r="Z194">
        <v>-3.9743379999999999E-4</v>
      </c>
      <c r="AA194">
        <v>0.99997119999999995</v>
      </c>
      <c r="AB194">
        <v>33</v>
      </c>
      <c r="AC194">
        <v>0.70720000000000005</v>
      </c>
      <c r="AD194">
        <v>-0.12537109999999899</v>
      </c>
      <c r="AE194">
        <v>1.25999999999635E-2</v>
      </c>
      <c r="AF194">
        <v>-6.2397593489154201E-3</v>
      </c>
      <c r="AG194">
        <v>-0.12537109999999899</v>
      </c>
      <c r="AH194">
        <v>0.685738715432896</v>
      </c>
      <c r="AI194">
        <v>100.36033174657</v>
      </c>
      <c r="AJ194">
        <v>90.521338523346103</v>
      </c>
      <c r="AK194">
        <v>0.69713300965848701</v>
      </c>
      <c r="AL194">
        <v>72.305722619510206</v>
      </c>
      <c r="AM194">
        <v>93.301020642128194</v>
      </c>
      <c r="AN194">
        <v>0.99999997052160805</v>
      </c>
    </row>
    <row r="195" spans="1:40" x14ac:dyDescent="0.25">
      <c r="A195" t="str">
        <f>"20190304164828556"</f>
        <v>20190304164828556</v>
      </c>
      <c r="B195" t="str">
        <f>"1551689308546800"</f>
        <v>1551689308546800</v>
      </c>
      <c r="C195" t="s">
        <v>40</v>
      </c>
      <c r="D195">
        <v>4.9232969999999998</v>
      </c>
      <c r="E195">
        <v>0.5365877</v>
      </c>
      <c r="F195" t="s">
        <v>41</v>
      </c>
      <c r="G195">
        <v>-435.39980000000003</v>
      </c>
      <c r="H195">
        <v>0.98631690000000005</v>
      </c>
      <c r="I195">
        <v>367.51979999999998</v>
      </c>
      <c r="J195">
        <v>-435.80799999999999</v>
      </c>
      <c r="K195">
        <v>1.0851569999999999</v>
      </c>
      <c r="L195">
        <v>367.51190000000003</v>
      </c>
      <c r="M195">
        <v>0.99968210000000002</v>
      </c>
      <c r="N195">
        <v>-2.3659909999999999E-2</v>
      </c>
      <c r="O195">
        <v>8.7137680000000002E-3</v>
      </c>
      <c r="P195">
        <v>0.95765169999999999</v>
      </c>
      <c r="Q195">
        <v>0.28101769999999998</v>
      </c>
      <c r="R195">
        <v>6.2709810000000005E-2</v>
      </c>
      <c r="S195">
        <v>3.2649840000000001</v>
      </c>
      <c r="T195">
        <v>-0.4609722</v>
      </c>
      <c r="U195">
        <v>4.9804689999999999E-2</v>
      </c>
      <c r="V195">
        <v>-5.4347529999999998E-2</v>
      </c>
      <c r="W195">
        <v>0.30361169999999998</v>
      </c>
      <c r="X195">
        <v>0.9512446</v>
      </c>
      <c r="Y195">
        <v>-6.5208810000000001E-3</v>
      </c>
      <c r="Z195">
        <v>-4.8311730000000002E-4</v>
      </c>
      <c r="AA195">
        <v>0.99997860000000005</v>
      </c>
      <c r="AB195">
        <v>33</v>
      </c>
      <c r="AC195">
        <v>0.40820000000002199</v>
      </c>
      <c r="AD195">
        <v>-9.88401E-2</v>
      </c>
      <c r="AE195">
        <v>7.8999999999496105E-3</v>
      </c>
      <c r="AF195">
        <v>-4.1013702880581399E-3</v>
      </c>
      <c r="AG195">
        <v>-9.88401E-2</v>
      </c>
      <c r="AH195">
        <v>0.38565107133715698</v>
      </c>
      <c r="AI195">
        <v>104.37437133752501</v>
      </c>
      <c r="AJ195">
        <v>90.609313357320602</v>
      </c>
      <c r="AK195">
        <v>0.39813683003428202</v>
      </c>
      <c r="AL195">
        <v>72.325340128511897</v>
      </c>
      <c r="AM195">
        <v>93.269929327064602</v>
      </c>
      <c r="AN195">
        <v>1.0000000037115699</v>
      </c>
    </row>
    <row r="196" spans="1:40" x14ac:dyDescent="0.25">
      <c r="A196" t="str">
        <f>"20190304164828569"</f>
        <v>20190304164828569</v>
      </c>
      <c r="B196" t="str">
        <f>"1551689308556560"</f>
        <v>1551689308556560</v>
      </c>
      <c r="C196" t="s">
        <v>40</v>
      </c>
      <c r="D196">
        <v>5.3684810000000001</v>
      </c>
      <c r="E196">
        <v>0.53630900000000004</v>
      </c>
      <c r="F196" t="s">
        <v>41</v>
      </c>
      <c r="G196">
        <v>-434.82940000000002</v>
      </c>
      <c r="H196">
        <v>0.94866410000000001</v>
      </c>
      <c r="I196">
        <v>367.5256</v>
      </c>
      <c r="J196">
        <v>-435.61059999999998</v>
      </c>
      <c r="K196">
        <v>1.0835049999999999</v>
      </c>
      <c r="L196">
        <v>367.5136</v>
      </c>
      <c r="M196">
        <v>0.99968690000000004</v>
      </c>
      <c r="N196">
        <v>-2.3463540000000001E-2</v>
      </c>
      <c r="O196">
        <v>8.7132559999999904E-3</v>
      </c>
      <c r="P196">
        <v>0.95760199999999995</v>
      </c>
      <c r="Q196">
        <v>0.28121679999999999</v>
      </c>
      <c r="R196">
        <v>6.2576679999999996E-2</v>
      </c>
      <c r="S196">
        <v>3.263245</v>
      </c>
      <c r="T196">
        <v>-0.45533869999999999</v>
      </c>
      <c r="U196">
        <v>4.6752929999999998E-2</v>
      </c>
      <c r="V196">
        <v>-5.4215800000000001E-2</v>
      </c>
      <c r="W196">
        <v>0.30362220000000001</v>
      </c>
      <c r="X196">
        <v>0.95124880000000001</v>
      </c>
      <c r="Y196">
        <v>-5.6052180000000004E-3</v>
      </c>
      <c r="Z196">
        <v>-5.5090830000000001E-4</v>
      </c>
      <c r="AA196">
        <v>0.99998410000000004</v>
      </c>
      <c r="AB196">
        <v>33</v>
      </c>
      <c r="AC196">
        <v>0.78119999999995504</v>
      </c>
      <c r="AD196">
        <v>-0.13484089999999899</v>
      </c>
      <c r="AE196">
        <v>1.2000000000000399E-2</v>
      </c>
      <c r="AF196">
        <v>-5.0407307242330401E-3</v>
      </c>
      <c r="AG196">
        <v>-0.13484089999999899</v>
      </c>
      <c r="AH196">
        <v>0.75867675368318499</v>
      </c>
      <c r="AI196">
        <v>100.077820239018</v>
      </c>
      <c r="AJ196">
        <v>90.380673778486894</v>
      </c>
      <c r="AK196">
        <v>0.77058282738346795</v>
      </c>
      <c r="AL196">
        <v>72.324709313374797</v>
      </c>
      <c r="AM196">
        <v>93.262006289590502</v>
      </c>
      <c r="AN196">
        <v>1.0000000364019499</v>
      </c>
    </row>
    <row r="197" spans="1:40" x14ac:dyDescent="0.25">
      <c r="A197" t="str">
        <f>"20190304164828590"</f>
        <v>20190304164828590</v>
      </c>
      <c r="B197" t="str">
        <f>"1551689308586816"</f>
        <v>1551689308586816</v>
      </c>
      <c r="C197" t="s">
        <v>40</v>
      </c>
      <c r="D197">
        <v>4.9429290000000004</v>
      </c>
      <c r="E197">
        <v>0.53592640000000002</v>
      </c>
      <c r="F197" t="s">
        <v>41</v>
      </c>
      <c r="G197">
        <v>-434.81610000000001</v>
      </c>
      <c r="H197">
        <v>0.97547640000000002</v>
      </c>
      <c r="I197">
        <v>367.5247</v>
      </c>
      <c r="J197">
        <v>-435.31349999999998</v>
      </c>
      <c r="K197">
        <v>1.081089</v>
      </c>
      <c r="L197">
        <v>367.51620000000003</v>
      </c>
      <c r="M197">
        <v>0.99969560000000002</v>
      </c>
      <c r="N197">
        <v>-2.308168E-2</v>
      </c>
      <c r="O197">
        <v>8.7122129999999999E-3</v>
      </c>
      <c r="P197">
        <v>0.95741920000000003</v>
      </c>
      <c r="Q197">
        <v>0.28194989999999998</v>
      </c>
      <c r="R197">
        <v>6.2068940000000003E-2</v>
      </c>
      <c r="S197">
        <v>3.2600099999999999</v>
      </c>
      <c r="T197">
        <v>-0.4435344</v>
      </c>
      <c r="U197">
        <v>4.6997070000000002E-2</v>
      </c>
      <c r="V197">
        <v>-5.3710279999999999E-2</v>
      </c>
      <c r="W197">
        <v>0.30398750000000002</v>
      </c>
      <c r="X197">
        <v>0.95116080000000003</v>
      </c>
      <c r="Y197">
        <v>-5.694434E-3</v>
      </c>
      <c r="Z197">
        <v>-5.2778959999999996E-4</v>
      </c>
      <c r="AA197">
        <v>0.99998370000000003</v>
      </c>
      <c r="AB197">
        <v>33</v>
      </c>
      <c r="AC197">
        <v>0.49739999999996998</v>
      </c>
      <c r="AD197">
        <v>-0.105612599999999</v>
      </c>
      <c r="AE197">
        <v>8.4999999999695302E-3</v>
      </c>
      <c r="AF197">
        <v>-3.9854414477292098E-3</v>
      </c>
      <c r="AG197">
        <v>-0.105612599999999</v>
      </c>
      <c r="AH197">
        <v>0.47600152376209198</v>
      </c>
      <c r="AI197">
        <v>102.50939617733999</v>
      </c>
      <c r="AJ197">
        <v>90.479711991032204</v>
      </c>
      <c r="AK197">
        <v>0.48759343273482098</v>
      </c>
      <c r="AL197">
        <v>72.302740707978202</v>
      </c>
      <c r="AM197">
        <v>93.231953751226897</v>
      </c>
      <c r="AN197">
        <v>1.0000000308952799</v>
      </c>
    </row>
    <row r="198" spans="1:40" x14ac:dyDescent="0.25">
      <c r="A198" t="str">
        <f>"20190304164828612"</f>
        <v>20190304164828612</v>
      </c>
      <c r="B198" t="str">
        <f>"1551689308606337"</f>
        <v>1551689308606337</v>
      </c>
      <c r="C198" t="s">
        <v>40</v>
      </c>
      <c r="D198">
        <v>4.941961</v>
      </c>
      <c r="E198">
        <v>0.53575189999999995</v>
      </c>
      <c r="F198" t="s">
        <v>41</v>
      </c>
      <c r="G198">
        <v>-434.52100000000002</v>
      </c>
      <c r="H198">
        <v>0.9790082</v>
      </c>
      <c r="I198">
        <v>367.5274</v>
      </c>
      <c r="J198">
        <v>-434.99619999999999</v>
      </c>
      <c r="K198">
        <v>1.0786290000000001</v>
      </c>
      <c r="L198">
        <v>367.51900000000001</v>
      </c>
      <c r="M198">
        <v>0.99970729999999997</v>
      </c>
      <c r="N198">
        <v>-2.2568890000000001E-2</v>
      </c>
      <c r="O198">
        <v>8.7115730000000002E-3</v>
      </c>
      <c r="P198">
        <v>0.9572254</v>
      </c>
      <c r="Q198">
        <v>0.28262659999999901</v>
      </c>
      <c r="R198">
        <v>6.1981420000000002E-2</v>
      </c>
      <c r="S198">
        <v>3.2538450000000001</v>
      </c>
      <c r="T198">
        <v>-0.41912389999999999</v>
      </c>
      <c r="U198">
        <v>4.6020510000000001E-2</v>
      </c>
      <c r="V198">
        <v>-5.3625779999999998E-2</v>
      </c>
      <c r="W198">
        <v>0.3041719</v>
      </c>
      <c r="X198">
        <v>0.95110660000000002</v>
      </c>
      <c r="Y198">
        <v>-5.424753E-3</v>
      </c>
      <c r="Z198">
        <v>-5.1201839999999996E-4</v>
      </c>
      <c r="AA198">
        <v>0.99998520000000002</v>
      </c>
      <c r="AB198">
        <v>33</v>
      </c>
      <c r="AC198">
        <v>0.47520000000002899</v>
      </c>
      <c r="AD198">
        <v>-9.9620799999999995E-2</v>
      </c>
      <c r="AE198">
        <v>8.3999999999946305E-3</v>
      </c>
      <c r="AF198">
        <v>-4.0796470998759604E-3</v>
      </c>
      <c r="AG198">
        <v>-9.9620799999999995E-2</v>
      </c>
      <c r="AH198">
        <v>0.45525354958318698</v>
      </c>
      <c r="AI198">
        <v>102.34270081169301</v>
      </c>
      <c r="AJ198">
        <v>90.513428844857899</v>
      </c>
      <c r="AK198">
        <v>0.46604371224295099</v>
      </c>
      <c r="AL198">
        <v>72.291649935004997</v>
      </c>
      <c r="AM198">
        <v>93.227063314687598</v>
      </c>
      <c r="AN198">
        <v>1.0000000167968801</v>
      </c>
    </row>
    <row r="199" spans="1:40" x14ac:dyDescent="0.25">
      <c r="A199" t="str">
        <f>"20190304164828625"</f>
        <v>20190304164828625</v>
      </c>
      <c r="B199" t="str">
        <f>"1551689308617073"</f>
        <v>1551689308617073</v>
      </c>
      <c r="C199" t="s">
        <v>40</v>
      </c>
      <c r="D199">
        <v>4.9423589999999997</v>
      </c>
      <c r="E199">
        <v>0.53566959999999997</v>
      </c>
      <c r="F199" t="s">
        <v>41</v>
      </c>
      <c r="G199">
        <v>-434.22660000000002</v>
      </c>
      <c r="H199">
        <v>0.98223470000000002</v>
      </c>
      <c r="I199">
        <v>367.52940000000001</v>
      </c>
      <c r="J199">
        <v>-434.7989</v>
      </c>
      <c r="K199">
        <v>1.077191</v>
      </c>
      <c r="L199">
        <v>367.52069999999998</v>
      </c>
      <c r="M199">
        <v>0.99971560000000004</v>
      </c>
      <c r="N199">
        <v>-2.220975E-2</v>
      </c>
      <c r="O199">
        <v>8.7112830000000002E-3</v>
      </c>
      <c r="P199">
        <v>0.95708309999999996</v>
      </c>
      <c r="Q199">
        <v>0.28314980000000001</v>
      </c>
      <c r="R199">
        <v>6.1792779999999999E-2</v>
      </c>
      <c r="S199">
        <v>3.2514340000000002</v>
      </c>
      <c r="T199">
        <v>-0.40756819999999999</v>
      </c>
      <c r="U199">
        <v>4.6264649999999997E-2</v>
      </c>
      <c r="V199">
        <v>-5.3438449999999998E-2</v>
      </c>
      <c r="W199">
        <v>0.30434990000000001</v>
      </c>
      <c r="X199">
        <v>0.95106020000000002</v>
      </c>
      <c r="Y199">
        <v>-5.509786E-3</v>
      </c>
      <c r="Z199">
        <v>-4.8930950000000001E-4</v>
      </c>
      <c r="AA199">
        <v>0.99998469999999995</v>
      </c>
      <c r="AB199">
        <v>33</v>
      </c>
      <c r="AC199">
        <v>0.57229999999998404</v>
      </c>
      <c r="AD199">
        <v>-9.4956299999999993E-2</v>
      </c>
      <c r="AE199">
        <v>8.7000000000330095E-3</v>
      </c>
      <c r="AF199">
        <v>-3.61351775456519E-3</v>
      </c>
      <c r="AG199">
        <v>-9.4956299999999993E-2</v>
      </c>
      <c r="AH199">
        <v>0.55702299728313198</v>
      </c>
      <c r="AI199">
        <v>99.674075137247399</v>
      </c>
      <c r="AJ199">
        <v>90.371683778384394</v>
      </c>
      <c r="AK199">
        <v>0.56507023981319005</v>
      </c>
      <c r="AL199">
        <v>72.280943689819395</v>
      </c>
      <c r="AM199">
        <v>93.2159705347661</v>
      </c>
      <c r="AN199">
        <v>1.00000001679622</v>
      </c>
    </row>
    <row r="200" spans="1:40" x14ac:dyDescent="0.25">
      <c r="A200" t="str">
        <f>"20190304164828646"</f>
        <v>20190304164828646</v>
      </c>
      <c r="B200" t="str">
        <f>"1551689308636596"</f>
        <v>1551689308636596</v>
      </c>
      <c r="C200" t="s">
        <v>40</v>
      </c>
      <c r="D200">
        <v>4.9291970000000003</v>
      </c>
      <c r="E200">
        <v>0.53540500000000002</v>
      </c>
      <c r="F200" t="s">
        <v>41</v>
      </c>
      <c r="G200">
        <v>-433.94</v>
      </c>
      <c r="H200">
        <v>0.97105359999999996</v>
      </c>
      <c r="I200">
        <v>367.5326</v>
      </c>
      <c r="J200">
        <v>-434.49720000000002</v>
      </c>
      <c r="K200">
        <v>1.075118</v>
      </c>
      <c r="L200">
        <v>367.52330000000001</v>
      </c>
      <c r="M200">
        <v>0.99972799999999995</v>
      </c>
      <c r="N200">
        <v>-2.16341E-2</v>
      </c>
      <c r="O200">
        <v>8.711814E-3</v>
      </c>
      <c r="P200">
        <v>0.95678149999999995</v>
      </c>
      <c r="Q200">
        <v>0.28409810000000002</v>
      </c>
      <c r="R200">
        <v>6.2109299999999999E-2</v>
      </c>
      <c r="S200">
        <v>3.2504580000000001</v>
      </c>
      <c r="T200">
        <v>-0.40180779999999999</v>
      </c>
      <c r="U200">
        <v>4.5989990000000001E-2</v>
      </c>
      <c r="V200">
        <v>-5.3756959999999999E-2</v>
      </c>
      <c r="W200">
        <v>0.30474420000000002</v>
      </c>
      <c r="X200">
        <v>0.95091599999999998</v>
      </c>
      <c r="Y200">
        <v>-5.430331E-3</v>
      </c>
      <c r="Z200">
        <v>-4.9149449999999896E-4</v>
      </c>
      <c r="AA200">
        <v>0.99998520000000002</v>
      </c>
      <c r="AB200">
        <v>33</v>
      </c>
      <c r="AC200">
        <v>0.55720000000002201</v>
      </c>
      <c r="AD200">
        <v>-0.1040644</v>
      </c>
      <c r="AE200">
        <v>9.2999999999960892E-3</v>
      </c>
      <c r="AF200">
        <v>-4.2945341983255999E-3</v>
      </c>
      <c r="AG200">
        <v>-0.1040644</v>
      </c>
      <c r="AH200">
        <v>0.53848259639464902</v>
      </c>
      <c r="AI200">
        <v>100.93751389038</v>
      </c>
      <c r="AJ200">
        <v>90.456938570643899</v>
      </c>
      <c r="AK200">
        <v>0.54846271431270699</v>
      </c>
      <c r="AL200">
        <v>72.257225675351094</v>
      </c>
      <c r="AM200">
        <v>93.235587677354701</v>
      </c>
      <c r="AN200">
        <v>1.00000003861904</v>
      </c>
    </row>
    <row r="201" spans="1:40" x14ac:dyDescent="0.25">
      <c r="A201" t="str">
        <f>"20190304164828667"</f>
        <v>20190304164828667</v>
      </c>
      <c r="B201" t="str">
        <f>"1551689308657091"</f>
        <v>1551689308657091</v>
      </c>
      <c r="C201" t="s">
        <v>40</v>
      </c>
      <c r="D201">
        <v>4.9323189999999997</v>
      </c>
      <c r="E201">
        <v>0.53532239999999998</v>
      </c>
      <c r="F201" t="s">
        <v>41</v>
      </c>
      <c r="G201">
        <v>-433.64749999999998</v>
      </c>
      <c r="H201">
        <v>0.9727365</v>
      </c>
      <c r="I201">
        <v>367.53539999999998</v>
      </c>
      <c r="J201">
        <v>-434.19229999999999</v>
      </c>
      <c r="K201">
        <v>1.07321</v>
      </c>
      <c r="L201">
        <v>367.52589999999998</v>
      </c>
      <c r="M201">
        <v>0.99974070000000004</v>
      </c>
      <c r="N201">
        <v>-2.1039410000000001E-2</v>
      </c>
      <c r="O201">
        <v>8.7119680000000005E-3</v>
      </c>
      <c r="P201">
        <v>0.9566384</v>
      </c>
      <c r="Q201">
        <v>0.28451359999999998</v>
      </c>
      <c r="R201">
        <v>6.2410689999999998E-2</v>
      </c>
      <c r="S201">
        <v>3.2487180000000002</v>
      </c>
      <c r="T201">
        <v>-0.39173200000000002</v>
      </c>
      <c r="U201">
        <v>4.840088E-2</v>
      </c>
      <c r="V201">
        <v>-5.4059889999999999E-2</v>
      </c>
      <c r="W201">
        <v>0.304591099999999</v>
      </c>
      <c r="X201">
        <v>0.95094780000000001</v>
      </c>
      <c r="Y201">
        <v>-6.1737160000000001E-3</v>
      </c>
      <c r="Z201">
        <v>-4.277711E-4</v>
      </c>
      <c r="AA201">
        <v>0.99998089999999995</v>
      </c>
      <c r="AB201">
        <v>33</v>
      </c>
      <c r="AC201">
        <v>0.54480000000000905</v>
      </c>
      <c r="AD201">
        <v>-0.10047349999999999</v>
      </c>
      <c r="AE201">
        <v>9.5000000000027198E-3</v>
      </c>
      <c r="AF201">
        <v>-4.5960366755039101E-3</v>
      </c>
      <c r="AG201">
        <v>-0.10047349999999999</v>
      </c>
      <c r="AH201">
        <v>0.526945221285954</v>
      </c>
      <c r="AI201">
        <v>100.79470190208799</v>
      </c>
      <c r="AJ201">
        <v>90.499723341352805</v>
      </c>
      <c r="AK201">
        <v>0.536458119513048</v>
      </c>
      <c r="AL201">
        <v>72.266434140834804</v>
      </c>
      <c r="AM201">
        <v>93.253673147124104</v>
      </c>
      <c r="AN201">
        <v>0.99999996411543002</v>
      </c>
    </row>
    <row r="202" spans="1:40" x14ac:dyDescent="0.25">
      <c r="A202" t="str">
        <f>"20190304164828679"</f>
        <v>20190304164828679</v>
      </c>
      <c r="B202" t="str">
        <f>"1551689308666849"</f>
        <v>1551689308666849</v>
      </c>
      <c r="C202" t="s">
        <v>40</v>
      </c>
      <c r="D202">
        <v>4.955603</v>
      </c>
      <c r="E202">
        <v>0.53526010000000002</v>
      </c>
      <c r="F202" t="s">
        <v>41</v>
      </c>
      <c r="G202">
        <v>-433.35559999999998</v>
      </c>
      <c r="H202">
        <v>0.97394700000000001</v>
      </c>
      <c r="I202">
        <v>367.53820000000002</v>
      </c>
      <c r="J202">
        <v>-434.01710000000003</v>
      </c>
      <c r="K202">
        <v>1.072195</v>
      </c>
      <c r="L202">
        <v>367.52749999999997</v>
      </c>
      <c r="M202">
        <v>0.99974790000000002</v>
      </c>
      <c r="N202">
        <v>-2.07E-2</v>
      </c>
      <c r="O202">
        <v>8.7122109999999992E-3</v>
      </c>
      <c r="P202">
        <v>0.95655029999999996</v>
      </c>
      <c r="Q202">
        <v>0.28474260000000001</v>
      </c>
      <c r="R202">
        <v>6.2715820000000005E-2</v>
      </c>
      <c r="S202">
        <v>3.2474370000000001</v>
      </c>
      <c r="T202">
        <v>-0.38550590000000001</v>
      </c>
      <c r="U202">
        <v>4.9041750000000002E-2</v>
      </c>
      <c r="V202">
        <v>-5.4365469999999999E-2</v>
      </c>
      <c r="W202">
        <v>0.30449480000000001</v>
      </c>
      <c r="X202">
        <v>0.95096119999999995</v>
      </c>
      <c r="Y202">
        <v>-6.3753619999999999E-3</v>
      </c>
      <c r="Z202">
        <v>-4.0736059999999999E-4</v>
      </c>
      <c r="AA202">
        <v>0.99997959999999997</v>
      </c>
      <c r="AB202">
        <v>33</v>
      </c>
      <c r="AC202">
        <v>0.66150000000004605</v>
      </c>
      <c r="AD202">
        <v>-9.8248000000000099E-2</v>
      </c>
      <c r="AE202">
        <v>1.07000000000425E-2</v>
      </c>
      <c r="AF202">
        <v>-4.8287419560584998E-3</v>
      </c>
      <c r="AG202">
        <v>-9.8248000000000099E-2</v>
      </c>
      <c r="AH202">
        <v>0.64729315669953102</v>
      </c>
      <c r="AI202">
        <v>98.630404841268103</v>
      </c>
      <c r="AJ202">
        <v>90.427412833851506</v>
      </c>
      <c r="AK202">
        <v>0.654724687913112</v>
      </c>
      <c r="AL202">
        <v>72.272226551466503</v>
      </c>
      <c r="AM202">
        <v>93.271979068998903</v>
      </c>
      <c r="AN202">
        <v>0.99999994573039797</v>
      </c>
    </row>
    <row r="203" spans="1:40" x14ac:dyDescent="0.25">
      <c r="A203" t="str">
        <f>"20190304164828691"</f>
        <v>20190304164828691</v>
      </c>
      <c r="B203" t="str">
        <f>"1551689308686874"</f>
        <v>1551689308686874</v>
      </c>
      <c r="C203" t="s">
        <v>40</v>
      </c>
      <c r="D203">
        <v>4.9264859999999997</v>
      </c>
      <c r="E203">
        <v>0.53518199999999905</v>
      </c>
      <c r="F203" t="s">
        <v>41</v>
      </c>
      <c r="G203">
        <v>-433.07130000000001</v>
      </c>
      <c r="H203">
        <v>0.96077570000000001</v>
      </c>
      <c r="I203">
        <v>367.54169999999999</v>
      </c>
      <c r="J203">
        <v>-433.834</v>
      </c>
      <c r="K203">
        <v>1.0712090000000001</v>
      </c>
      <c r="L203">
        <v>367.52910000000003</v>
      </c>
      <c r="M203">
        <v>0.99975499999999995</v>
      </c>
      <c r="N203">
        <v>-2.0351250000000001E-2</v>
      </c>
      <c r="O203">
        <v>8.712315E-3</v>
      </c>
      <c r="P203">
        <v>0.95650550000000001</v>
      </c>
      <c r="Q203">
        <v>0.28485880000000002</v>
      </c>
      <c r="R203">
        <v>6.2869530000000007E-2</v>
      </c>
      <c r="S203">
        <v>3.2468569999999999</v>
      </c>
      <c r="T203">
        <v>-0.38276399999999999</v>
      </c>
      <c r="U203">
        <v>5.0659179999999998E-2</v>
      </c>
      <c r="V203">
        <v>-5.4519499999999999E-2</v>
      </c>
      <c r="W203">
        <v>0.30427910000000002</v>
      </c>
      <c r="X203">
        <v>0.95102149999999996</v>
      </c>
      <c r="Y203">
        <v>-6.8724049999999998E-3</v>
      </c>
      <c r="Z203">
        <v>-3.7273900000000002E-4</v>
      </c>
      <c r="AA203">
        <v>0.99997630000000004</v>
      </c>
      <c r="AB203">
        <v>33</v>
      </c>
      <c r="AC203">
        <v>0.76269999999999505</v>
      </c>
      <c r="AD203">
        <v>-0.1104333</v>
      </c>
      <c r="AE203">
        <v>1.25999999999635E-2</v>
      </c>
      <c r="AF203">
        <v>-5.8310489573604601E-3</v>
      </c>
      <c r="AG203">
        <v>-0.1104333</v>
      </c>
      <c r="AH203">
        <v>0.74712178609935398</v>
      </c>
      <c r="AI203">
        <v>98.407849537221495</v>
      </c>
      <c r="AJ203">
        <v>90.447166336572593</v>
      </c>
      <c r="AK203">
        <v>0.75526186064511602</v>
      </c>
      <c r="AL203">
        <v>72.2852022644405</v>
      </c>
      <c r="AM203">
        <v>93.281021524938694</v>
      </c>
      <c r="AN203">
        <v>1.0000000200196499</v>
      </c>
    </row>
    <row r="204" spans="1:40" x14ac:dyDescent="0.25">
      <c r="A204" t="str">
        <f>"20190304164828712"</f>
        <v>20190304164828712</v>
      </c>
      <c r="B204" t="str">
        <f>"1551689308706394"</f>
        <v>1551689308706394</v>
      </c>
      <c r="C204" t="s">
        <v>40</v>
      </c>
      <c r="D204">
        <v>4.9243730000000001</v>
      </c>
      <c r="E204">
        <v>0.53514649999999997</v>
      </c>
      <c r="F204" t="s">
        <v>41</v>
      </c>
      <c r="G204">
        <v>-433.06130000000002</v>
      </c>
      <c r="H204">
        <v>0.98105900000000001</v>
      </c>
      <c r="I204">
        <v>367.54070000000002</v>
      </c>
      <c r="J204">
        <v>-433.5326</v>
      </c>
      <c r="K204">
        <v>1.0697319999999999</v>
      </c>
      <c r="L204">
        <v>367.5317</v>
      </c>
      <c r="M204">
        <v>0.99976620000000005</v>
      </c>
      <c r="N204">
        <v>-1.979612E-2</v>
      </c>
      <c r="O204">
        <v>8.7122320000000003E-3</v>
      </c>
      <c r="P204">
        <v>0.95646100000000001</v>
      </c>
      <c r="Q204">
        <v>0.28494180000000002</v>
      </c>
      <c r="R204">
        <v>6.3173770000000004E-2</v>
      </c>
      <c r="S204">
        <v>3.245911</v>
      </c>
      <c r="T204">
        <v>-0.3789883</v>
      </c>
      <c r="U204">
        <v>5.1177979999999998E-2</v>
      </c>
      <c r="V204">
        <v>-5.4824280000000003E-2</v>
      </c>
      <c r="W204">
        <v>0.30383300000000002</v>
      </c>
      <c r="X204">
        <v>0.95114659999999995</v>
      </c>
      <c r="Y204">
        <v>-7.0363400000000003E-3</v>
      </c>
      <c r="Z204">
        <v>-3.6240689999999999E-4</v>
      </c>
      <c r="AA204">
        <v>0.99997519999999995</v>
      </c>
      <c r="AB204">
        <v>33</v>
      </c>
      <c r="AC204">
        <v>0.47129999999998501</v>
      </c>
      <c r="AD204">
        <v>-8.8672999999999794E-2</v>
      </c>
      <c r="AE204">
        <v>9.0000000000145502E-3</v>
      </c>
      <c r="AF204">
        <v>-4.72556108540928E-3</v>
      </c>
      <c r="AG204">
        <v>-8.8672999999999794E-2</v>
      </c>
      <c r="AH204">
        <v>0.45525108673810599</v>
      </c>
      <c r="AI204">
        <v>101.021388161936</v>
      </c>
      <c r="AJ204">
        <v>90.594715729877805</v>
      </c>
      <c r="AK204">
        <v>0.46383055508752102</v>
      </c>
      <c r="AL204">
        <v>72.312032272654605</v>
      </c>
      <c r="AM204">
        <v>93.298890003612897</v>
      </c>
      <c r="AN204">
        <v>1.0000000241290301</v>
      </c>
    </row>
    <row r="205" spans="1:40" x14ac:dyDescent="0.25">
      <c r="A205" t="str">
        <f>"20190304164828724"</f>
        <v>20190304164828724</v>
      </c>
      <c r="B205" t="str">
        <f>"1551689308717131"</f>
        <v>1551689308717131</v>
      </c>
      <c r="C205" t="s">
        <v>40</v>
      </c>
      <c r="D205">
        <v>4.9111830000000003</v>
      </c>
      <c r="E205">
        <v>0.53506480000000001</v>
      </c>
      <c r="F205" t="s">
        <v>41</v>
      </c>
      <c r="G205">
        <v>-432.77069999999998</v>
      </c>
      <c r="H205">
        <v>0.98143270000000005</v>
      </c>
      <c r="I205">
        <v>367.54379999999998</v>
      </c>
      <c r="J205">
        <v>-433.35730000000001</v>
      </c>
      <c r="K205">
        <v>1.068964</v>
      </c>
      <c r="L205">
        <v>367.53320000000002</v>
      </c>
      <c r="M205">
        <v>0.99977210000000005</v>
      </c>
      <c r="N205">
        <v>-1.9487049999999999E-2</v>
      </c>
      <c r="O205">
        <v>8.7124430000000003E-3</v>
      </c>
      <c r="P205">
        <v>0.9564049</v>
      </c>
      <c r="Q205">
        <v>0.28508139999999998</v>
      </c>
      <c r="R205">
        <v>6.3391000000000003E-2</v>
      </c>
      <c r="S205">
        <v>3.245209</v>
      </c>
      <c r="T205">
        <v>-0.37647009999999997</v>
      </c>
      <c r="U205">
        <v>5.3253170000000002E-2</v>
      </c>
      <c r="V205">
        <v>-5.5042130000000002E-2</v>
      </c>
      <c r="W205">
        <v>0.30367719999999998</v>
      </c>
      <c r="X205">
        <v>0.95118369999999997</v>
      </c>
      <c r="Y205">
        <v>-7.6742950000000002E-3</v>
      </c>
      <c r="Z205">
        <v>-3.1922189999999999E-4</v>
      </c>
      <c r="AA205">
        <v>0.99997049999999998</v>
      </c>
      <c r="AB205">
        <v>32</v>
      </c>
      <c r="AC205">
        <v>0.58660000000003198</v>
      </c>
      <c r="AD205">
        <v>-8.7531300000000006E-2</v>
      </c>
      <c r="AE205">
        <v>1.05999999999539E-2</v>
      </c>
      <c r="AF205">
        <v>-5.3684133693838298E-3</v>
      </c>
      <c r="AG205">
        <v>-8.7531300000000006E-2</v>
      </c>
      <c r="AH205">
        <v>0.57389588965643401</v>
      </c>
      <c r="AI205">
        <v>98.671615889481302</v>
      </c>
      <c r="AJ205">
        <v>90.5359481799712</v>
      </c>
      <c r="AK205">
        <v>0.58055752557894202</v>
      </c>
      <c r="AL205">
        <v>72.321400385557197</v>
      </c>
      <c r="AM205">
        <v>93.311840471489603</v>
      </c>
      <c r="AN205">
        <v>0.99999995451023205</v>
      </c>
    </row>
    <row r="206" spans="1:40" x14ac:dyDescent="0.25">
      <c r="A206" t="str">
        <f>"20190304164828746"</f>
        <v>20190304164828746</v>
      </c>
      <c r="B206" t="str">
        <f>"1551689308736650"</f>
        <v>1551689308736650</v>
      </c>
      <c r="C206" t="s">
        <v>40</v>
      </c>
      <c r="D206">
        <v>4.8577640000000004</v>
      </c>
      <c r="E206">
        <v>0.534999</v>
      </c>
      <c r="F206" t="s">
        <v>41</v>
      </c>
      <c r="G206">
        <v>-432.4871</v>
      </c>
      <c r="H206">
        <v>0.96851920000000002</v>
      </c>
      <c r="I206">
        <v>367.54750000000001</v>
      </c>
      <c r="J206">
        <v>-433.03899999999999</v>
      </c>
      <c r="K206">
        <v>1.0676890000000001</v>
      </c>
      <c r="L206">
        <v>367.536</v>
      </c>
      <c r="M206">
        <v>0.99978250000000002</v>
      </c>
      <c r="N206">
        <v>-1.894858E-2</v>
      </c>
      <c r="O206">
        <v>8.712493E-3</v>
      </c>
      <c r="P206">
        <v>0.95616290000000004</v>
      </c>
      <c r="Q206">
        <v>0.28580650000000002</v>
      </c>
      <c r="R206">
        <v>6.377468E-2</v>
      </c>
      <c r="S206">
        <v>3.2448429999999999</v>
      </c>
      <c r="T206">
        <v>-0.37483100000000003</v>
      </c>
      <c r="U206">
        <v>5.4718019999999999E-2</v>
      </c>
      <c r="V206">
        <v>-5.5428310000000001E-2</v>
      </c>
      <c r="W206">
        <v>0.30388530000000002</v>
      </c>
      <c r="X206">
        <v>0.95109489999999997</v>
      </c>
      <c r="Y206">
        <v>-8.1247460000000004E-3</v>
      </c>
      <c r="Z206">
        <v>-2.933915E-4</v>
      </c>
      <c r="AA206">
        <v>0.99996700000000005</v>
      </c>
      <c r="AB206">
        <v>32</v>
      </c>
      <c r="AC206">
        <v>0.55189999999998895</v>
      </c>
      <c r="AD206">
        <v>-9.9169799999999905E-2</v>
      </c>
      <c r="AE206">
        <v>1.15000000000122E-2</v>
      </c>
      <c r="AF206">
        <v>-6.4811053875958001E-3</v>
      </c>
      <c r="AG206">
        <v>-9.9169799999999905E-2</v>
      </c>
      <c r="AH206">
        <v>0.534721774895346</v>
      </c>
      <c r="AI206">
        <v>100.50597646704399</v>
      </c>
      <c r="AJ206">
        <v>90.694420575670307</v>
      </c>
      <c r="AK206">
        <v>0.54387869098385699</v>
      </c>
      <c r="AL206">
        <v>72.308887292226899</v>
      </c>
      <c r="AM206">
        <v>93.3353350189293</v>
      </c>
      <c r="AN206">
        <v>1.0000000409557701</v>
      </c>
    </row>
    <row r="207" spans="1:40" x14ac:dyDescent="0.25">
      <c r="A207" t="str">
        <f>"20190304164828768"</f>
        <v>20190304164828768</v>
      </c>
      <c r="B207" t="str">
        <f>"1551689308757146"</f>
        <v>1551689308757146</v>
      </c>
      <c r="C207" t="s">
        <v>40</v>
      </c>
      <c r="D207">
        <v>4.8390829999999996</v>
      </c>
      <c r="E207">
        <v>0.53479160000000003</v>
      </c>
      <c r="F207" t="s">
        <v>41</v>
      </c>
      <c r="G207">
        <v>-432.19600000000003</v>
      </c>
      <c r="H207">
        <v>0.97140939999999998</v>
      </c>
      <c r="I207">
        <v>367.55029999999999</v>
      </c>
      <c r="J207">
        <v>-432.73090000000002</v>
      </c>
      <c r="K207">
        <v>1.0666199999999999</v>
      </c>
      <c r="L207">
        <v>367.53870000000001</v>
      </c>
      <c r="M207">
        <v>0.99979169999999995</v>
      </c>
      <c r="N207">
        <v>-1.846443E-2</v>
      </c>
      <c r="O207">
        <v>8.7123649999999997E-3</v>
      </c>
      <c r="P207">
        <v>0.95607010000000003</v>
      </c>
      <c r="Q207">
        <v>0.28606009999999998</v>
      </c>
      <c r="R207">
        <v>6.4030989999999996E-2</v>
      </c>
      <c r="S207">
        <v>3.244659</v>
      </c>
      <c r="T207">
        <v>-0.3706043</v>
      </c>
      <c r="U207">
        <v>5.5267330000000003E-2</v>
      </c>
      <c r="V207">
        <v>-5.568526E-2</v>
      </c>
      <c r="W207">
        <v>0.30367670000000002</v>
      </c>
      <c r="X207">
        <v>0.95114650000000001</v>
      </c>
      <c r="Y207">
        <v>-8.2947190000000007E-3</v>
      </c>
      <c r="Z207">
        <v>-2.8234130000000002E-4</v>
      </c>
      <c r="AA207">
        <v>0.99996549999999995</v>
      </c>
      <c r="AB207">
        <v>32</v>
      </c>
      <c r="AC207">
        <v>0.53490000000005</v>
      </c>
      <c r="AD207">
        <v>-9.5210600000000006E-2</v>
      </c>
      <c r="AE207">
        <v>1.15999999999871E-2</v>
      </c>
      <c r="AF207">
        <v>-6.7255370034176301E-3</v>
      </c>
      <c r="AG207">
        <v>-9.5210600000000006E-2</v>
      </c>
      <c r="AH207">
        <v>0.51855902363844297</v>
      </c>
      <c r="AI207">
        <v>100.40312143792799</v>
      </c>
      <c r="AJ207">
        <v>90.7430654241805</v>
      </c>
      <c r="AK207">
        <v>0.52727009416161597</v>
      </c>
      <c r="AL207">
        <v>72.321431747668896</v>
      </c>
      <c r="AM207">
        <v>93.350580176133604</v>
      </c>
      <c r="AN207">
        <v>1.0000000253832</v>
      </c>
    </row>
    <row r="208" spans="1:40" x14ac:dyDescent="0.25">
      <c r="A208" t="str">
        <f>"20190304164828792"</f>
        <v>20190304164828792</v>
      </c>
      <c r="B208" t="str">
        <f>"1551689308786426"</f>
        <v>1551689308786426</v>
      </c>
      <c r="C208" t="s">
        <v>40</v>
      </c>
      <c r="D208">
        <v>4.8341919999999998</v>
      </c>
      <c r="E208">
        <v>0.53468199999999999</v>
      </c>
      <c r="F208" t="s">
        <v>41</v>
      </c>
      <c r="G208">
        <v>-431.90589999999997</v>
      </c>
      <c r="H208">
        <v>0.97301230000000005</v>
      </c>
      <c r="I208">
        <v>367.55290000000002</v>
      </c>
      <c r="J208">
        <v>-432.39359999999999</v>
      </c>
      <c r="K208">
        <v>1.0656110000000001</v>
      </c>
      <c r="L208">
        <v>367.54160000000002</v>
      </c>
      <c r="M208">
        <v>0.99980049999999998</v>
      </c>
      <c r="N208">
        <v>-1.797516E-2</v>
      </c>
      <c r="O208">
        <v>8.7127009999999998E-3</v>
      </c>
      <c r="P208">
        <v>0.95598059999999996</v>
      </c>
      <c r="Q208">
        <v>0.28648649999999998</v>
      </c>
      <c r="R208">
        <v>6.3453969999999998E-2</v>
      </c>
      <c r="S208">
        <v>3.244202</v>
      </c>
      <c r="T208">
        <v>-0.368448</v>
      </c>
      <c r="U208">
        <v>5.755615E-2</v>
      </c>
      <c r="V208">
        <v>-5.5109110000000003E-2</v>
      </c>
      <c r="W208">
        <v>0.3036354</v>
      </c>
      <c r="X208">
        <v>0.95119319999999896</v>
      </c>
      <c r="Y208">
        <v>-8.9976559999999997E-3</v>
      </c>
      <c r="Z208">
        <v>-2.3960069999999999E-4</v>
      </c>
      <c r="AA208">
        <v>0.9999595</v>
      </c>
      <c r="AB208">
        <v>32</v>
      </c>
      <c r="AC208">
        <v>0.48770000000001701</v>
      </c>
      <c r="AD208">
        <v>-9.2598700000000103E-2</v>
      </c>
      <c r="AE208">
        <v>1.1300000000005601E-2</v>
      </c>
      <c r="AF208">
        <v>-6.8045290755498599E-3</v>
      </c>
      <c r="AG208">
        <v>-9.2598700000000103E-2</v>
      </c>
      <c r="AH208">
        <v>0.47081617513489699</v>
      </c>
      <c r="AI208">
        <v>101.125610593666</v>
      </c>
      <c r="AJ208">
        <v>90.828016700371606</v>
      </c>
      <c r="AK208">
        <v>0.47988403977032201</v>
      </c>
      <c r="AL208">
        <v>72.323914631894397</v>
      </c>
      <c r="AM208">
        <v>93.315828573680406</v>
      </c>
      <c r="AN208">
        <v>0.99999998693219505</v>
      </c>
    </row>
    <row r="209" spans="1:40" x14ac:dyDescent="0.25">
      <c r="A209" t="str">
        <f>"20190304164828814"</f>
        <v>20190304164828814</v>
      </c>
      <c r="B209" t="str">
        <f>"1551689308806922"</f>
        <v>1551689308806922</v>
      </c>
      <c r="C209" t="s">
        <v>40</v>
      </c>
      <c r="D209">
        <v>4.8218199999999998</v>
      </c>
      <c r="E209">
        <v>0.5346339</v>
      </c>
      <c r="F209" t="s">
        <v>41</v>
      </c>
      <c r="G209">
        <v>-431.6146</v>
      </c>
      <c r="H209">
        <v>0.97777610000000004</v>
      </c>
      <c r="I209">
        <v>367.55509999999998</v>
      </c>
      <c r="J209">
        <v>-432.06950000000001</v>
      </c>
      <c r="K209">
        <v>1.0647879999999901</v>
      </c>
      <c r="L209">
        <v>367.5444</v>
      </c>
      <c r="M209">
        <v>0.99980840000000004</v>
      </c>
      <c r="N209">
        <v>-1.7535410000000001E-2</v>
      </c>
      <c r="O209">
        <v>8.7123069999999903E-3</v>
      </c>
      <c r="P209">
        <v>0.95587889999999998</v>
      </c>
      <c r="Q209">
        <v>0.28698489999999999</v>
      </c>
      <c r="R209">
        <v>6.2731499999999996E-2</v>
      </c>
      <c r="S209">
        <v>3.2439879999999999</v>
      </c>
      <c r="T209">
        <v>-0.3661546</v>
      </c>
      <c r="U209">
        <v>5.7891850000000002E-2</v>
      </c>
      <c r="V209">
        <v>-5.4388310000000002E-2</v>
      </c>
      <c r="W209">
        <v>0.30371350000000003</v>
      </c>
      <c r="X209">
        <v>0.95120979999999999</v>
      </c>
      <c r="Y209">
        <v>-9.1027350000000007E-3</v>
      </c>
      <c r="Z209">
        <v>-2.3561630000000001E-4</v>
      </c>
      <c r="AA209">
        <v>0.99995849999999997</v>
      </c>
      <c r="AB209">
        <v>32</v>
      </c>
      <c r="AC209">
        <v>0.45490000000000902</v>
      </c>
      <c r="AD209">
        <v>-8.7011899999999795E-2</v>
      </c>
      <c r="AE209">
        <v>1.06999999999857E-2</v>
      </c>
      <c r="AF209">
        <v>-6.4981410445670001E-3</v>
      </c>
      <c r="AG209">
        <v>-8.7011899999999795E-2</v>
      </c>
      <c r="AH209">
        <v>0.43892591416191001</v>
      </c>
      <c r="AI209">
        <v>101.211643058177</v>
      </c>
      <c r="AJ209">
        <v>90.848181542732902</v>
      </c>
      <c r="AK209">
        <v>0.44751453015685899</v>
      </c>
      <c r="AL209">
        <v>72.319218843380696</v>
      </c>
      <c r="AM209">
        <v>93.272497067861593</v>
      </c>
      <c r="AN209">
        <v>1.0000000309814701</v>
      </c>
    </row>
    <row r="210" spans="1:40" x14ac:dyDescent="0.25">
      <c r="A210" t="str">
        <f>"20190304164828836"</f>
        <v>20190304164828836</v>
      </c>
      <c r="B210" t="str">
        <f>"1551689308826446"</f>
        <v>1551689308826446</v>
      </c>
      <c r="C210" t="s">
        <v>40</v>
      </c>
      <c r="D210">
        <v>4.7654690000000004</v>
      </c>
      <c r="E210">
        <v>0.53464780000000001</v>
      </c>
      <c r="F210" t="s">
        <v>41</v>
      </c>
      <c r="G210">
        <v>-431.3236</v>
      </c>
      <c r="H210">
        <v>0.98111150000000003</v>
      </c>
      <c r="I210">
        <v>367.5573</v>
      </c>
      <c r="J210">
        <v>-431.74900000000002</v>
      </c>
      <c r="K210">
        <v>1.0640879999999999</v>
      </c>
      <c r="L210">
        <v>367.54719999999998</v>
      </c>
      <c r="M210">
        <v>0.99981549999999997</v>
      </c>
      <c r="N210">
        <v>-1.71218E-2</v>
      </c>
      <c r="O210">
        <v>8.7123579999999999E-3</v>
      </c>
      <c r="P210">
        <v>0.95577699999999999</v>
      </c>
      <c r="Q210">
        <v>0.2874389</v>
      </c>
      <c r="R210">
        <v>6.2203710000000002E-2</v>
      </c>
      <c r="S210">
        <v>3.244049</v>
      </c>
      <c r="T210">
        <v>-0.3640736</v>
      </c>
      <c r="U210">
        <v>5.6640629999999997E-2</v>
      </c>
      <c r="V210">
        <v>-5.3861109999999997E-2</v>
      </c>
      <c r="W210">
        <v>0.30377209999999899</v>
      </c>
      <c r="X210">
        <v>0.95122099999999998</v>
      </c>
      <c r="Y210">
        <v>-8.72035E-3</v>
      </c>
      <c r="Z210">
        <v>-2.6313029999999998E-4</v>
      </c>
      <c r="AA210">
        <v>0.99996189999999996</v>
      </c>
      <c r="AB210">
        <v>32</v>
      </c>
      <c r="AC210">
        <v>0.42540000000002398</v>
      </c>
      <c r="AD210">
        <v>-8.2976499999999898E-2</v>
      </c>
      <c r="AE210">
        <v>1.01000000000226E-2</v>
      </c>
      <c r="AF210">
        <v>-6.1586528031012397E-3</v>
      </c>
      <c r="AG210">
        <v>-8.2976499999999898E-2</v>
      </c>
      <c r="AH210">
        <v>0.40988590008099901</v>
      </c>
      <c r="AI210">
        <v>101.44292873018099</v>
      </c>
      <c r="AJ210">
        <v>90.860820688073801</v>
      </c>
      <c r="AK210">
        <v>0.41824571682422401</v>
      </c>
      <c r="AL210">
        <v>72.315693323996598</v>
      </c>
      <c r="AM210">
        <v>93.240805773263801</v>
      </c>
      <c r="AN210">
        <v>0.99999994937491898</v>
      </c>
    </row>
    <row r="211" spans="1:40" x14ac:dyDescent="0.25">
      <c r="A211" t="str">
        <f>"20190304164828857"</f>
        <v>20190304164828857</v>
      </c>
      <c r="B211" t="str">
        <f>"1551689308846943"</f>
        <v>1551689308846943</v>
      </c>
      <c r="C211" t="s">
        <v>40</v>
      </c>
      <c r="D211">
        <v>4.7589160000000001</v>
      </c>
      <c r="E211">
        <v>0.53462390000000004</v>
      </c>
      <c r="F211" t="s">
        <v>41</v>
      </c>
      <c r="G211">
        <v>-430.76100000000002</v>
      </c>
      <c r="H211">
        <v>0.95378940000000001</v>
      </c>
      <c r="I211">
        <v>367.5634</v>
      </c>
      <c r="J211">
        <v>-431.44540000000001</v>
      </c>
      <c r="K211">
        <v>1.0635289999999999</v>
      </c>
      <c r="L211">
        <v>367.54989999999998</v>
      </c>
      <c r="M211">
        <v>0.99982170000000004</v>
      </c>
      <c r="N211">
        <v>-1.6751990000000001E-2</v>
      </c>
      <c r="O211">
        <v>8.7125469999999993E-3</v>
      </c>
      <c r="P211">
        <v>0.95561209999999996</v>
      </c>
      <c r="Q211">
        <v>0.28806189999999998</v>
      </c>
      <c r="R211">
        <v>6.1855519999999997E-2</v>
      </c>
      <c r="S211">
        <v>3.2442630000000001</v>
      </c>
      <c r="T211">
        <v>-0.36229230000000001</v>
      </c>
      <c r="U211">
        <v>5.4138180000000001E-2</v>
      </c>
      <c r="V211">
        <v>-5.3515199999999902E-2</v>
      </c>
      <c r="W211">
        <v>0.30404059999999999</v>
      </c>
      <c r="X211">
        <v>0.95115479999999997</v>
      </c>
      <c r="Y211">
        <v>-7.95406699999999E-3</v>
      </c>
      <c r="Z211">
        <v>-3.1467890000000002E-4</v>
      </c>
      <c r="AA211">
        <v>0.99996830000000003</v>
      </c>
      <c r="AB211">
        <v>32</v>
      </c>
      <c r="AC211">
        <v>0.68440000000003898</v>
      </c>
      <c r="AD211">
        <v>-0.10973960000000001</v>
      </c>
      <c r="AE211">
        <v>1.35000000000218E-2</v>
      </c>
      <c r="AF211">
        <v>-7.34696433695656E-3</v>
      </c>
      <c r="AG211">
        <v>-0.10973960000000001</v>
      </c>
      <c r="AH211">
        <v>0.66734080882532898</v>
      </c>
      <c r="AI211">
        <v>99.3377647888871</v>
      </c>
      <c r="AJ211">
        <v>90.630761729732001</v>
      </c>
      <c r="AK211">
        <v>0.676343487302697</v>
      </c>
      <c r="AL211">
        <v>72.299546730137806</v>
      </c>
      <c r="AM211">
        <v>93.220260059531597</v>
      </c>
      <c r="AN211">
        <v>1.0000000083212199</v>
      </c>
    </row>
    <row r="212" spans="1:40" x14ac:dyDescent="0.25">
      <c r="A212" t="str">
        <f>"20190304164828870"</f>
        <v>20190304164828870</v>
      </c>
      <c r="B212" t="str">
        <f>"1551689308866459"</f>
        <v>1551689308866459</v>
      </c>
      <c r="C212" t="s">
        <v>40</v>
      </c>
      <c r="D212">
        <v>4.7367980000000003</v>
      </c>
      <c r="E212">
        <v>0.53461689999999995</v>
      </c>
      <c r="F212" t="s">
        <v>41</v>
      </c>
      <c r="G212">
        <v>-430.47210000000001</v>
      </c>
      <c r="H212">
        <v>0.95563909999999996</v>
      </c>
      <c r="I212">
        <v>367.56509999999997</v>
      </c>
      <c r="J212">
        <v>-431.25360000000001</v>
      </c>
      <c r="K212">
        <v>1.0632189999999999</v>
      </c>
      <c r="L212">
        <v>367.55149999999998</v>
      </c>
      <c r="M212">
        <v>0.99982550000000003</v>
      </c>
      <c r="N212">
        <v>-1.6533590000000001E-2</v>
      </c>
      <c r="O212">
        <v>8.7125380000000006E-3</v>
      </c>
      <c r="P212">
        <v>0.95557020000000004</v>
      </c>
      <c r="Q212">
        <v>0.28821039999999998</v>
      </c>
      <c r="R212">
        <v>6.181528E-2</v>
      </c>
      <c r="S212">
        <v>3.2444459999999999</v>
      </c>
      <c r="T212">
        <v>-0.3598461</v>
      </c>
      <c r="U212">
        <v>5.1910400000000002E-2</v>
      </c>
      <c r="V212">
        <v>-5.3475010000000003E-2</v>
      </c>
      <c r="W212">
        <v>0.30398059999999899</v>
      </c>
      <c r="X212">
        <v>0.95117620000000003</v>
      </c>
      <c r="Y212">
        <v>-7.271904E-3</v>
      </c>
      <c r="Z212">
        <v>-3.5725470000000001E-4</v>
      </c>
      <c r="AA212">
        <v>0.99997349999999996</v>
      </c>
      <c r="AB212">
        <v>32</v>
      </c>
      <c r="AC212">
        <v>0.78149999999999398</v>
      </c>
      <c r="AD212">
        <v>-0.10757990000000001</v>
      </c>
      <c r="AE212">
        <v>1.35999999999967E-2</v>
      </c>
      <c r="AF212">
        <v>-6.6634722749453002E-3</v>
      </c>
      <c r="AG212">
        <v>-0.10757990000000001</v>
      </c>
      <c r="AH212">
        <v>0.76705765912497903</v>
      </c>
      <c r="AI212">
        <v>97.983365799355795</v>
      </c>
      <c r="AJ212">
        <v>90.4977190831233</v>
      </c>
      <c r="AK212">
        <v>0.77459362840722001</v>
      </c>
      <c r="AL212">
        <v>72.303154622159099</v>
      </c>
      <c r="AM212">
        <v>93.217774478766799</v>
      </c>
      <c r="AN212">
        <v>0.99999997265864904</v>
      </c>
    </row>
    <row r="213" spans="1:40" x14ac:dyDescent="0.25">
      <c r="A213" t="str">
        <f>"20190304164828890"</f>
        <v>20190304164828890</v>
      </c>
      <c r="B213" t="str">
        <f>"1551689308886954"</f>
        <v>1551689308886954</v>
      </c>
      <c r="C213" t="s">
        <v>40</v>
      </c>
      <c r="D213">
        <v>4.6984949999999897</v>
      </c>
      <c r="E213">
        <v>0.53464080000000003</v>
      </c>
      <c r="F213" t="s">
        <v>41</v>
      </c>
      <c r="G213">
        <v>-430.46230000000003</v>
      </c>
      <c r="H213">
        <v>0.97569360000000005</v>
      </c>
      <c r="I213">
        <v>367.56380000000001</v>
      </c>
      <c r="J213">
        <v>-430.96769999999998</v>
      </c>
      <c r="K213">
        <v>1.0627949999999999</v>
      </c>
      <c r="L213">
        <v>367.55399999999997</v>
      </c>
      <c r="M213">
        <v>0.99983049999999996</v>
      </c>
      <c r="N213">
        <v>-1.622212E-2</v>
      </c>
      <c r="O213">
        <v>8.7125540000000008E-3</v>
      </c>
      <c r="P213">
        <v>0.95565940000000005</v>
      </c>
      <c r="Q213">
        <v>0.287935</v>
      </c>
      <c r="R213">
        <v>6.171509E-2</v>
      </c>
      <c r="S213">
        <v>3.244415</v>
      </c>
      <c r="T213">
        <v>-0.35913050000000002</v>
      </c>
      <c r="U213">
        <v>5.1727290000000002E-2</v>
      </c>
      <c r="V213">
        <v>-5.3373619999999997E-2</v>
      </c>
      <c r="W213">
        <v>0.30341000000000001</v>
      </c>
      <c r="X213">
        <v>0.95136410000000005</v>
      </c>
      <c r="Y213">
        <v>-7.2164430000000003E-3</v>
      </c>
      <c r="Z213">
        <v>-3.6350869999999998E-4</v>
      </c>
      <c r="AA213">
        <v>0.99997389999999997</v>
      </c>
      <c r="AB213">
        <v>32</v>
      </c>
      <c r="AC213">
        <v>0.505399999999951</v>
      </c>
      <c r="AD213">
        <v>-8.7101400000000204E-2</v>
      </c>
      <c r="AE213">
        <v>9.7999999999842605E-3</v>
      </c>
      <c r="AF213">
        <v>-5.2401417822804204E-3</v>
      </c>
      <c r="AG213">
        <v>-8.7101400000000204E-2</v>
      </c>
      <c r="AH213">
        <v>0.49089142760707299</v>
      </c>
      <c r="AI213">
        <v>100.061006340867</v>
      </c>
      <c r="AJ213">
        <v>90.611594719335997</v>
      </c>
      <c r="AK213">
        <v>0.49858650870833698</v>
      </c>
      <c r="AL213">
        <v>72.337468956791596</v>
      </c>
      <c r="AM213">
        <v>93.211053279885903</v>
      </c>
      <c r="AN213">
        <v>1.00000001109035</v>
      </c>
    </row>
    <row r="214" spans="1:40" x14ac:dyDescent="0.25">
      <c r="A214" t="str">
        <f>"20190304164828902"</f>
        <v>20190304164828902</v>
      </c>
      <c r="B214" t="str">
        <f>"1551689308896714"</f>
        <v>1551689308896714</v>
      </c>
      <c r="C214" t="s">
        <v>40</v>
      </c>
      <c r="D214">
        <v>4.6811699999999998</v>
      </c>
      <c r="E214">
        <v>0.53466369999999996</v>
      </c>
      <c r="F214" t="s">
        <v>41</v>
      </c>
      <c r="G214">
        <v>-430.17489999999998</v>
      </c>
      <c r="H214">
        <v>0.97490929999999998</v>
      </c>
      <c r="I214">
        <v>367.56599999999997</v>
      </c>
      <c r="J214">
        <v>-430.78800000000001</v>
      </c>
      <c r="K214">
        <v>1.062562</v>
      </c>
      <c r="L214">
        <v>367.55560000000003</v>
      </c>
      <c r="M214">
        <v>0.99983350000000004</v>
      </c>
      <c r="N214">
        <v>-1.6033289999999999E-2</v>
      </c>
      <c r="O214">
        <v>8.7129619999999994E-3</v>
      </c>
      <c r="P214">
        <v>0.95562360000000002</v>
      </c>
      <c r="Q214">
        <v>0.28800540000000002</v>
      </c>
      <c r="R214">
        <v>6.1941059999999999E-2</v>
      </c>
      <c r="S214">
        <v>3.244354</v>
      </c>
      <c r="T214">
        <v>-0.35993649999999999</v>
      </c>
      <c r="U214">
        <v>5.1086430000000002E-2</v>
      </c>
      <c r="V214">
        <v>-5.3600139999999998E-2</v>
      </c>
      <c r="W214">
        <v>0.30330049999999997</v>
      </c>
      <c r="X214">
        <v>0.95138630000000002</v>
      </c>
      <c r="Y214">
        <v>-7.0204830000000001E-3</v>
      </c>
      <c r="Z214">
        <v>-3.7955520000000002E-4</v>
      </c>
      <c r="AA214">
        <v>0.99997530000000001</v>
      </c>
      <c r="AB214">
        <v>32</v>
      </c>
      <c r="AC214">
        <v>0.61310000000003095</v>
      </c>
      <c r="AD214">
        <v>-8.7652699999999903E-2</v>
      </c>
      <c r="AE214">
        <v>1.03999999999473E-2</v>
      </c>
      <c r="AF214">
        <v>-4.9557382697724304E-3</v>
      </c>
      <c r="AG214">
        <v>-8.7652699999999903E-2</v>
      </c>
      <c r="AH214">
        <v>0.60088907395669999</v>
      </c>
      <c r="AI214">
        <v>98.299018118993004</v>
      </c>
      <c r="AJ214">
        <v>90.472527230054297</v>
      </c>
      <c r="AK214">
        <v>0.60726866736200802</v>
      </c>
      <c r="AL214">
        <v>72.344053452021498</v>
      </c>
      <c r="AM214">
        <v>93.224577346395506</v>
      </c>
      <c r="AN214">
        <v>1.0000000300679699</v>
      </c>
    </row>
    <row r="215" spans="1:40" x14ac:dyDescent="0.25">
      <c r="A215" t="str">
        <f>"20190304164828925"</f>
        <v>20190304164828925</v>
      </c>
      <c r="B215" t="str">
        <f>"1551689308917210"</f>
        <v>1551689308917210</v>
      </c>
      <c r="C215" t="s">
        <v>40</v>
      </c>
      <c r="D215">
        <v>4.6643249999999998</v>
      </c>
      <c r="E215">
        <v>0.53468509999999903</v>
      </c>
      <c r="F215" t="s">
        <v>41</v>
      </c>
      <c r="G215">
        <v>-429.8929</v>
      </c>
      <c r="H215">
        <v>0.96327890000000005</v>
      </c>
      <c r="I215">
        <v>367.56979999999999</v>
      </c>
      <c r="J215">
        <v>-430.4735</v>
      </c>
      <c r="K215">
        <v>1.062209</v>
      </c>
      <c r="L215">
        <v>367.55829999999997</v>
      </c>
      <c r="M215">
        <v>0.99983869999999997</v>
      </c>
      <c r="N215">
        <v>-1.571113E-2</v>
      </c>
      <c r="O215">
        <v>8.7131640000000007E-3</v>
      </c>
      <c r="P215">
        <v>0.95559479999999997</v>
      </c>
      <c r="Q215">
        <v>0.28791509999999998</v>
      </c>
      <c r="R215">
        <v>6.279933E-2</v>
      </c>
      <c r="S215">
        <v>3.2444459999999999</v>
      </c>
      <c r="T215">
        <v>-0.35989710000000003</v>
      </c>
      <c r="U215">
        <v>5.1574710000000003E-2</v>
      </c>
      <c r="V215">
        <v>-5.4458409999999999E-2</v>
      </c>
      <c r="W215">
        <v>0.30290289999999997</v>
      </c>
      <c r="X215">
        <v>0.95146419999999998</v>
      </c>
      <c r="Y215">
        <v>-7.1696850000000003E-3</v>
      </c>
      <c r="Z215">
        <v>-3.7400589999999999E-4</v>
      </c>
      <c r="AA215">
        <v>0.99997429999999998</v>
      </c>
      <c r="AB215">
        <v>32</v>
      </c>
      <c r="AC215">
        <v>0.580600000000004</v>
      </c>
      <c r="AD215">
        <v>-9.8930099999999896E-2</v>
      </c>
      <c r="AE215">
        <v>1.15000000000122E-2</v>
      </c>
      <c r="AF215">
        <v>-6.2584416719544001E-3</v>
      </c>
      <c r="AG215">
        <v>-9.8930099999999896E-2</v>
      </c>
      <c r="AH215">
        <v>0.56430083563408195</v>
      </c>
      <c r="AI215">
        <v>99.943127501383003</v>
      </c>
      <c r="AJ215">
        <v>90.6354192134756</v>
      </c>
      <c r="AK215">
        <v>0.57294132847569501</v>
      </c>
      <c r="AL215">
        <v>72.367958339412795</v>
      </c>
      <c r="AM215">
        <v>93.275831530135505</v>
      </c>
      <c r="AN215">
        <v>1.00000000456488</v>
      </c>
    </row>
    <row r="216" spans="1:40" x14ac:dyDescent="0.25">
      <c r="A216" t="str">
        <f>"20190304164828947"</f>
        <v>20190304164828947</v>
      </c>
      <c r="B216" t="str">
        <f>"1551689308936734"</f>
        <v>1551689308936734</v>
      </c>
      <c r="C216" t="s">
        <v>40</v>
      </c>
      <c r="D216">
        <v>4.6898369999999998</v>
      </c>
      <c r="E216">
        <v>0.53473340000000003</v>
      </c>
      <c r="F216" t="s">
        <v>41</v>
      </c>
      <c r="G216">
        <v>-429.60410000000002</v>
      </c>
      <c r="H216">
        <v>0.96578600000000003</v>
      </c>
      <c r="I216">
        <v>367.57240000000002</v>
      </c>
      <c r="J216">
        <v>-430.1515</v>
      </c>
      <c r="K216">
        <v>1.061895</v>
      </c>
      <c r="L216">
        <v>367.56110000000001</v>
      </c>
      <c r="M216">
        <v>0.99984360000000005</v>
      </c>
      <c r="N216">
        <v>-1.539341E-2</v>
      </c>
      <c r="O216">
        <v>8.7133390000000005E-3</v>
      </c>
      <c r="P216">
        <v>0.95556509999999995</v>
      </c>
      <c r="Q216">
        <v>0.28788010000000003</v>
      </c>
      <c r="R216">
        <v>6.3406850000000001E-2</v>
      </c>
      <c r="S216">
        <v>3.2443240000000002</v>
      </c>
      <c r="T216">
        <v>-0.3599715</v>
      </c>
      <c r="U216">
        <v>5.368042E-2</v>
      </c>
      <c r="V216">
        <v>-5.5066169999999998E-2</v>
      </c>
      <c r="W216">
        <v>0.30256569999999999</v>
      </c>
      <c r="X216">
        <v>0.95153650000000001</v>
      </c>
      <c r="Y216">
        <v>-7.8148850000000006E-3</v>
      </c>
      <c r="Z216">
        <v>-3.3739769999999999E-4</v>
      </c>
      <c r="AA216">
        <v>0.99996940000000001</v>
      </c>
      <c r="AB216">
        <v>32</v>
      </c>
      <c r="AC216">
        <v>0.54739999999998101</v>
      </c>
      <c r="AD216">
        <v>-9.6109E-2</v>
      </c>
      <c r="AE216">
        <v>1.1300000000005601E-2</v>
      </c>
      <c r="AF216">
        <v>-6.3341502479891797E-3</v>
      </c>
      <c r="AG216">
        <v>-9.6109E-2</v>
      </c>
      <c r="AH216">
        <v>0.53111253476904097</v>
      </c>
      <c r="AI216">
        <v>100.256411202094</v>
      </c>
      <c r="AJ216">
        <v>90.683288092805299</v>
      </c>
      <c r="AK216">
        <v>0.53977549585838003</v>
      </c>
      <c r="AL216">
        <v>72.3882295977252</v>
      </c>
      <c r="AM216">
        <v>93.312057990286505</v>
      </c>
      <c r="AN216">
        <v>0.99999999836360398</v>
      </c>
    </row>
    <row r="217" spans="1:40" x14ac:dyDescent="0.25">
      <c r="A217" t="str">
        <f>"20190304164828961"</f>
        <v>20190304164828961</v>
      </c>
      <c r="B217" t="str">
        <f>"1551689308957227"</f>
        <v>1551689308957227</v>
      </c>
      <c r="C217" t="s">
        <v>40</v>
      </c>
      <c r="D217">
        <v>4.6644430000000003</v>
      </c>
      <c r="E217">
        <v>0.53474480000000002</v>
      </c>
      <c r="F217" t="s">
        <v>41</v>
      </c>
      <c r="G217">
        <v>-429.315</v>
      </c>
      <c r="H217">
        <v>0.9690957</v>
      </c>
      <c r="I217">
        <v>367.5752</v>
      </c>
      <c r="J217">
        <v>-429.96039999999999</v>
      </c>
      <c r="K217">
        <v>1.061733</v>
      </c>
      <c r="L217">
        <v>367.56279999999998</v>
      </c>
      <c r="M217">
        <v>0.99984649999999997</v>
      </c>
      <c r="N217">
        <v>-1.521218E-2</v>
      </c>
      <c r="O217">
        <v>8.7132530000000007E-3</v>
      </c>
      <c r="P217">
        <v>0.95555800000000002</v>
      </c>
      <c r="Q217">
        <v>0.28781289999999998</v>
      </c>
      <c r="R217">
        <v>6.3820719999999997E-2</v>
      </c>
      <c r="S217">
        <v>3.2442630000000001</v>
      </c>
      <c r="T217">
        <v>-0.35993540000000002</v>
      </c>
      <c r="U217">
        <v>5.5328370000000002E-2</v>
      </c>
      <c r="V217">
        <v>-5.548032E-2</v>
      </c>
      <c r="W217">
        <v>0.30232569999999998</v>
      </c>
      <c r="X217">
        <v>0.95158869999999895</v>
      </c>
      <c r="Y217">
        <v>-8.3198119999999993E-3</v>
      </c>
      <c r="Z217">
        <v>-3.078542E-4</v>
      </c>
      <c r="AA217">
        <v>0.9999654</v>
      </c>
      <c r="AB217">
        <v>32</v>
      </c>
      <c r="AC217">
        <v>0.64539999999999498</v>
      </c>
      <c r="AD217">
        <v>-9.2637300000000006E-2</v>
      </c>
      <c r="AE217">
        <v>1.24000000000137E-2</v>
      </c>
      <c r="AF217">
        <v>-6.6386259871415798E-3</v>
      </c>
      <c r="AG217">
        <v>-9.2637300000000006E-2</v>
      </c>
      <c r="AH217">
        <v>0.63245831866783397</v>
      </c>
      <c r="AI217">
        <v>98.332508044884904</v>
      </c>
      <c r="AJ217">
        <v>90.601385532145997</v>
      </c>
      <c r="AK217">
        <v>0.63924116384853602</v>
      </c>
      <c r="AL217">
        <v>72.402655797145997</v>
      </c>
      <c r="AM217">
        <v>93.336729103000906</v>
      </c>
      <c r="AN217">
        <v>0.99999997437774002</v>
      </c>
    </row>
    <row r="218" spans="1:40" x14ac:dyDescent="0.25">
      <c r="A218" t="str">
        <f>"20190304164828981"</f>
        <v>20190304164828981</v>
      </c>
      <c r="B218" t="str">
        <f>"1551689308976746"</f>
        <v>1551689308976746</v>
      </c>
      <c r="C218" t="s">
        <v>40</v>
      </c>
      <c r="D218">
        <v>4.904191</v>
      </c>
      <c r="E218">
        <v>0.53478380000000003</v>
      </c>
      <c r="F218" t="s">
        <v>41</v>
      </c>
      <c r="G218">
        <v>-429.0326</v>
      </c>
      <c r="H218">
        <v>0.95882559999999994</v>
      </c>
      <c r="I218">
        <v>367.57859999999999</v>
      </c>
      <c r="J218">
        <v>-429.66309999999999</v>
      </c>
      <c r="K218">
        <v>1.0615220000000001</v>
      </c>
      <c r="L218">
        <v>367.56540000000001</v>
      </c>
      <c r="M218">
        <v>0.99985049999999998</v>
      </c>
      <c r="N218">
        <v>-1.494346E-2</v>
      </c>
      <c r="O218">
        <v>8.7132759999999903E-3</v>
      </c>
      <c r="P218">
        <v>0.9554819</v>
      </c>
      <c r="Q218">
        <v>0.28793200000000002</v>
      </c>
      <c r="R218">
        <v>6.4419569999999995E-2</v>
      </c>
      <c r="S218">
        <v>3.2442630000000001</v>
      </c>
      <c r="T218">
        <v>-0.36013770000000001</v>
      </c>
      <c r="U218">
        <v>5.6610109999999998E-2</v>
      </c>
      <c r="V218">
        <v>-5.6080020000000001E-2</v>
      </c>
      <c r="W218">
        <v>0.30218800000000001</v>
      </c>
      <c r="X218">
        <v>0.95159729999999998</v>
      </c>
      <c r="Y218">
        <v>-8.7123730000000007E-3</v>
      </c>
      <c r="Z218">
        <v>-2.8693119999999999E-4</v>
      </c>
      <c r="AA218">
        <v>0.99996200000000002</v>
      </c>
      <c r="AB218">
        <v>32</v>
      </c>
      <c r="AC218">
        <v>0.63049999999998296</v>
      </c>
      <c r="AD218">
        <v>-0.10269639999999899</v>
      </c>
      <c r="AE218">
        <v>1.31999999999834E-2</v>
      </c>
      <c r="AF218">
        <v>-7.5061141318124597E-3</v>
      </c>
      <c r="AG218">
        <v>-0.10269639999999899</v>
      </c>
      <c r="AH218">
        <v>0.614300717396982</v>
      </c>
      <c r="AI218">
        <v>99.490024000726905</v>
      </c>
      <c r="AJ218">
        <v>90.700059834757198</v>
      </c>
      <c r="AK218">
        <v>0.62287098480886605</v>
      </c>
      <c r="AL218">
        <v>72.410932818913693</v>
      </c>
      <c r="AM218">
        <v>93.372683376043199</v>
      </c>
      <c r="AN218">
        <v>0.99999998867724504</v>
      </c>
    </row>
    <row r="219" spans="1:40" x14ac:dyDescent="0.25">
      <c r="A219" t="str">
        <f>"20190304164829003"</f>
        <v>20190304164829003</v>
      </c>
      <c r="B219" t="str">
        <f>"1551689308997242"</f>
        <v>1551689308997242</v>
      </c>
      <c r="C219" t="s">
        <v>40</v>
      </c>
      <c r="D219">
        <v>4.7580010000000001</v>
      </c>
      <c r="E219">
        <v>0.53554999999999997</v>
      </c>
      <c r="F219" t="s">
        <v>41</v>
      </c>
      <c r="G219">
        <v>-428.7448</v>
      </c>
      <c r="H219">
        <v>0.95978819999999998</v>
      </c>
      <c r="I219">
        <v>367.58159999999998</v>
      </c>
      <c r="J219">
        <v>-429.35320000000002</v>
      </c>
      <c r="K219">
        <v>1.0613349999999999</v>
      </c>
      <c r="L219">
        <v>367.56810000000002</v>
      </c>
      <c r="M219">
        <v>0.99985440000000003</v>
      </c>
      <c r="N219">
        <v>-1.467917E-2</v>
      </c>
      <c r="O219">
        <v>8.7134069999999994E-3</v>
      </c>
      <c r="P219">
        <v>0.95510379999999995</v>
      </c>
      <c r="Q219">
        <v>0.2890741</v>
      </c>
      <c r="R219">
        <v>6.4910780000000001E-2</v>
      </c>
      <c r="S219">
        <v>3.2441409999999999</v>
      </c>
      <c r="T219">
        <v>-0.35946420000000001</v>
      </c>
      <c r="U219">
        <v>5.8319089999999997E-2</v>
      </c>
      <c r="V219">
        <v>-5.657425E-2</v>
      </c>
      <c r="W219">
        <v>0.30307329999999999</v>
      </c>
      <c r="X219">
        <v>0.95128650000000003</v>
      </c>
      <c r="Y219">
        <v>-9.2362940000000008E-3</v>
      </c>
      <c r="Z219">
        <v>-2.5672180000000001E-4</v>
      </c>
      <c r="AA219">
        <v>0.99995730000000005</v>
      </c>
      <c r="AB219">
        <v>32</v>
      </c>
      <c r="AC219">
        <v>0.60840000000001704</v>
      </c>
      <c r="AD219">
        <v>-0.10154680000000001</v>
      </c>
      <c r="AE219">
        <v>1.3499999999964899E-2</v>
      </c>
      <c r="AF219">
        <v>-7.9756028084485408E-3</v>
      </c>
      <c r="AG219">
        <v>-0.10154680000000001</v>
      </c>
      <c r="AH219">
        <v>0.59201027908244597</v>
      </c>
      <c r="AI219">
        <v>99.732289729731207</v>
      </c>
      <c r="AJ219">
        <v>90.771845951126295</v>
      </c>
      <c r="AK219">
        <v>0.60070919201363504</v>
      </c>
      <c r="AL219">
        <v>72.357714186197796</v>
      </c>
      <c r="AM219">
        <v>93.403446104001006</v>
      </c>
      <c r="AN219">
        <v>1.0000000380091001</v>
      </c>
    </row>
    <row r="220" spans="1:40" x14ac:dyDescent="0.25">
      <c r="A220" t="str">
        <f>"20190304164829025"</f>
        <v>20190304164829025</v>
      </c>
      <c r="B220" t="str">
        <f>"1551689309016763"</f>
        <v>1551689309016763</v>
      </c>
      <c r="C220" t="s">
        <v>40</v>
      </c>
      <c r="D220">
        <v>4.8105289999999998</v>
      </c>
      <c r="E220">
        <v>0.55462519999999904</v>
      </c>
      <c r="F220" t="s">
        <v>41</v>
      </c>
      <c r="G220">
        <v>-428.45690000000002</v>
      </c>
      <c r="H220">
        <v>0.96105719999999994</v>
      </c>
      <c r="I220">
        <v>367.58269999999999</v>
      </c>
      <c r="J220">
        <v>-429.0249</v>
      </c>
      <c r="K220">
        <v>1.0611660000000001</v>
      </c>
      <c r="L220">
        <v>367.57089999999999</v>
      </c>
      <c r="M220">
        <v>0.99985809999999997</v>
      </c>
      <c r="N220">
        <v>-1.441491E-2</v>
      </c>
      <c r="O220">
        <v>8.7137999999999903E-3</v>
      </c>
      <c r="P220">
        <v>0.95481930000000004</v>
      </c>
      <c r="Q220">
        <v>0.290062599999999</v>
      </c>
      <c r="R220">
        <v>6.4683740000000003E-2</v>
      </c>
      <c r="S220">
        <v>3.2473139999999998</v>
      </c>
      <c r="T220">
        <v>-0.36348839999999999</v>
      </c>
      <c r="U220">
        <v>5.4138180000000001E-2</v>
      </c>
      <c r="V220">
        <v>-5.6349059999999999E-2</v>
      </c>
      <c r="W220">
        <v>0.30380620000000003</v>
      </c>
      <c r="X220">
        <v>0.95106599999999997</v>
      </c>
      <c r="Y220">
        <v>-7.940519E-3</v>
      </c>
      <c r="Z220">
        <v>-3.4654400000000001E-4</v>
      </c>
      <c r="AA220">
        <v>0.99996839999999998</v>
      </c>
      <c r="AB220">
        <v>32</v>
      </c>
      <c r="AC220">
        <v>0.56799999999998296</v>
      </c>
      <c r="AD220">
        <v>-0.1001088</v>
      </c>
      <c r="AE220">
        <v>1.17999999999938E-2</v>
      </c>
      <c r="AF220">
        <v>-6.6433243886593702E-3</v>
      </c>
      <c r="AG220">
        <v>-0.1001088</v>
      </c>
      <c r="AH220">
        <v>0.550973580442503</v>
      </c>
      <c r="AI220">
        <v>100.29724719958099</v>
      </c>
      <c r="AJ220">
        <v>90.690806272352305</v>
      </c>
      <c r="AK220">
        <v>0.56003374178883503</v>
      </c>
      <c r="AL220">
        <v>72.313643180318806</v>
      </c>
      <c r="AM220">
        <v>93.390714676682407</v>
      </c>
      <c r="AN220">
        <v>0.99999998003866097</v>
      </c>
    </row>
    <row r="221" spans="1:40" x14ac:dyDescent="0.25">
      <c r="A221" t="str">
        <f>"20190304164829047"</f>
        <v>20190304164829047</v>
      </c>
      <c r="B221" t="str">
        <f>"1551689309036282"</f>
        <v>1551689309036282</v>
      </c>
      <c r="C221" t="s">
        <v>40</v>
      </c>
      <c r="D221">
        <v>4.7365529999999998</v>
      </c>
      <c r="E221">
        <v>0.55542899999999995</v>
      </c>
      <c r="F221" t="s">
        <v>41</v>
      </c>
      <c r="G221">
        <v>-428.24209999999999</v>
      </c>
      <c r="H221">
        <v>0.80378470000000002</v>
      </c>
      <c r="I221">
        <v>367.56970000000001</v>
      </c>
      <c r="J221">
        <v>-428.71559999999999</v>
      </c>
      <c r="K221">
        <v>1.0610360000000001</v>
      </c>
      <c r="L221">
        <v>367.5736</v>
      </c>
      <c r="M221">
        <v>0.99986149999999996</v>
      </c>
      <c r="N221">
        <v>-1.4179829999999999E-2</v>
      </c>
      <c r="O221">
        <v>8.714009E-3</v>
      </c>
      <c r="P221">
        <v>0.95478399999999997</v>
      </c>
      <c r="Q221">
        <v>0.29028759999999998</v>
      </c>
      <c r="R221">
        <v>6.4191970000000001E-2</v>
      </c>
      <c r="S221">
        <v>3.4910580000000002</v>
      </c>
      <c r="T221">
        <v>-1.147869</v>
      </c>
      <c r="U221">
        <v>-5.0048829999999999E-3</v>
      </c>
      <c r="V221">
        <v>-5.5857450000000003E-2</v>
      </c>
      <c r="W221">
        <v>0.30380669999999999</v>
      </c>
      <c r="X221">
        <v>0.95109489999999997</v>
      </c>
      <c r="Y221">
        <v>9.2205540000000006E-3</v>
      </c>
      <c r="Z221">
        <v>-4.2152149999999996E-3</v>
      </c>
      <c r="AA221">
        <v>0.99994859999999997</v>
      </c>
      <c r="AB221">
        <v>32</v>
      </c>
      <c r="AC221">
        <v>0.47350000000000098</v>
      </c>
      <c r="AD221">
        <v>-0.25725130000000002</v>
      </c>
      <c r="AE221">
        <v>-3.8999999999873498E-3</v>
      </c>
      <c r="AF221">
        <v>6.1972262710575004E-3</v>
      </c>
      <c r="AG221">
        <v>-0.25725130000000002</v>
      </c>
      <c r="AH221">
        <v>0.36555402862685699</v>
      </c>
      <c r="AI221">
        <v>125.13132245339099</v>
      </c>
      <c r="AJ221">
        <v>89.028759440387901</v>
      </c>
      <c r="AK221">
        <v>0.44704181550551803</v>
      </c>
      <c r="AL221">
        <v>72.313614156369795</v>
      </c>
      <c r="AM221">
        <v>93.361099051434394</v>
      </c>
      <c r="AN221">
        <v>1.0000000372457001</v>
      </c>
    </row>
    <row r="222" spans="1:40" x14ac:dyDescent="0.25">
      <c r="A222" t="str">
        <f>"20190304164829060"</f>
        <v>20190304164829060</v>
      </c>
      <c r="B222" t="str">
        <f>"1551689309056779"</f>
        <v>1551689309056779</v>
      </c>
      <c r="C222" t="s">
        <v>40</v>
      </c>
      <c r="D222">
        <v>4.72621</v>
      </c>
      <c r="E222">
        <v>0.55690030000000001</v>
      </c>
      <c r="F222" t="s">
        <v>41</v>
      </c>
      <c r="G222">
        <v>-427.95030000000003</v>
      </c>
      <c r="H222">
        <v>0.81444289999999997</v>
      </c>
      <c r="I222">
        <v>367.56970000000001</v>
      </c>
      <c r="J222">
        <v>-428.51920000000001</v>
      </c>
      <c r="K222">
        <v>1.060962</v>
      </c>
      <c r="L222">
        <v>367.57530000000003</v>
      </c>
      <c r="M222">
        <v>0.99986350000000002</v>
      </c>
      <c r="N222">
        <v>-1.4038139999999999E-2</v>
      </c>
      <c r="O222">
        <v>8.7141860000000005E-3</v>
      </c>
      <c r="P222">
        <v>0.9547407</v>
      </c>
      <c r="Q222">
        <v>0.29044890000000001</v>
      </c>
      <c r="R222">
        <v>6.4107299999999895E-2</v>
      </c>
      <c r="S222">
        <v>3.4844059999999999</v>
      </c>
      <c r="T222">
        <v>-1.122595</v>
      </c>
      <c r="U222">
        <v>-1.5594480000000001E-2</v>
      </c>
      <c r="V222">
        <v>-5.5773059999999999E-2</v>
      </c>
      <c r="W222">
        <v>0.30383250000000001</v>
      </c>
      <c r="X222">
        <v>0.95109160000000004</v>
      </c>
      <c r="Y222">
        <v>1.2143930000000001E-2</v>
      </c>
      <c r="Z222">
        <v>-4.614127E-3</v>
      </c>
      <c r="AA222">
        <v>0.99991560000000002</v>
      </c>
      <c r="AB222">
        <v>32</v>
      </c>
      <c r="AC222">
        <v>0.56889999999998497</v>
      </c>
      <c r="AD222">
        <v>-0.24651909999999999</v>
      </c>
      <c r="AE222">
        <v>-5.6000000000153696E-3</v>
      </c>
      <c r="AF222">
        <v>8.8888641243091895E-3</v>
      </c>
      <c r="AG222">
        <v>-0.24651909999999999</v>
      </c>
      <c r="AH222">
        <v>0.47891230375760502</v>
      </c>
      <c r="AI222">
        <v>117.23303457855501</v>
      </c>
      <c r="AJ222">
        <v>88.936682302222593</v>
      </c>
      <c r="AK222">
        <v>0.53870926598736701</v>
      </c>
      <c r="AL222">
        <v>72.312062393321199</v>
      </c>
      <c r="AM222">
        <v>93.356044302275507</v>
      </c>
      <c r="AN222">
        <v>1.0000000269342799</v>
      </c>
    </row>
    <row r="223" spans="1:40" x14ac:dyDescent="0.25">
      <c r="A223" t="str">
        <f>"20190304164829073"</f>
        <v>20190304164829073</v>
      </c>
      <c r="B223" t="str">
        <f>"1551689309066538"</f>
        <v>1551689309066538</v>
      </c>
      <c r="C223" t="s">
        <v>40</v>
      </c>
      <c r="D223">
        <v>4.7184689999999998</v>
      </c>
      <c r="E223">
        <v>0.5572357</v>
      </c>
      <c r="F223" t="s">
        <v>41</v>
      </c>
      <c r="G223">
        <v>-427.67079999999999</v>
      </c>
      <c r="H223">
        <v>0.79673930000000004</v>
      </c>
      <c r="I223">
        <v>367.56740000000002</v>
      </c>
      <c r="J223">
        <v>-428.33859999999999</v>
      </c>
      <c r="K223">
        <v>1.060897</v>
      </c>
      <c r="L223">
        <v>367.57690000000002</v>
      </c>
      <c r="M223">
        <v>0.99986520000000001</v>
      </c>
      <c r="N223">
        <v>-1.391358E-2</v>
      </c>
      <c r="O223">
        <v>8.7142319999999902E-3</v>
      </c>
      <c r="P223">
        <v>0.95465690000000003</v>
      </c>
      <c r="Q223">
        <v>0.29076999999999997</v>
      </c>
      <c r="R223">
        <v>6.3899020000000001E-2</v>
      </c>
      <c r="S223">
        <v>3.4734500000000001</v>
      </c>
      <c r="T223">
        <v>-1.0818000000000001</v>
      </c>
      <c r="U223">
        <v>-3.2165529999999998E-2</v>
      </c>
      <c r="V223">
        <v>-5.556523E-2</v>
      </c>
      <c r="W223">
        <v>0.30403380000000002</v>
      </c>
      <c r="X223">
        <v>0.95103939999999998</v>
      </c>
      <c r="Y223">
        <v>1.6766110000000001E-2</v>
      </c>
      <c r="Z223">
        <v>-5.2024999999999997E-3</v>
      </c>
      <c r="AA223">
        <v>0.99984589999999995</v>
      </c>
      <c r="AB223">
        <v>32</v>
      </c>
      <c r="AC223">
        <v>0.66779999999999895</v>
      </c>
      <c r="AD223">
        <v>-0.264157699999999</v>
      </c>
      <c r="AE223">
        <v>-9.5000000000027198E-3</v>
      </c>
      <c r="AF223">
        <v>1.32471864220974E-2</v>
      </c>
      <c r="AG223">
        <v>-0.264157699999999</v>
      </c>
      <c r="AH223">
        <v>0.57736869630272802</v>
      </c>
      <c r="AI223">
        <v>114.57933654202201</v>
      </c>
      <c r="AJ223">
        <v>88.685632367862297</v>
      </c>
      <c r="AK223">
        <v>0.63506644525411904</v>
      </c>
      <c r="AL223">
        <v>72.299955428161297</v>
      </c>
      <c r="AM223">
        <v>93.343750031596798</v>
      </c>
      <c r="AN223">
        <v>0.99999999333987599</v>
      </c>
    </row>
    <row r="224" spans="1:40" x14ac:dyDescent="0.25">
      <c r="A224" t="str">
        <f>"20190304164829092"</f>
        <v>20190304164829092</v>
      </c>
      <c r="B224" t="str">
        <f>"1551689309087034"</f>
        <v>1551689309087034</v>
      </c>
      <c r="C224" t="s">
        <v>40</v>
      </c>
      <c r="D224">
        <v>4.7961650000000002</v>
      </c>
      <c r="E224">
        <v>0.55606959999999905</v>
      </c>
      <c r="F224" t="s">
        <v>41</v>
      </c>
      <c r="G224">
        <v>-427.64850000000001</v>
      </c>
      <c r="H224">
        <v>0.84812430000000005</v>
      </c>
      <c r="I224">
        <v>367.56920000000002</v>
      </c>
      <c r="J224">
        <v>-428.07709999999997</v>
      </c>
      <c r="K224">
        <v>1.060819</v>
      </c>
      <c r="L224">
        <v>367.57920000000001</v>
      </c>
      <c r="M224">
        <v>0.99986770000000003</v>
      </c>
      <c r="N224">
        <v>-1.3743679999999999E-2</v>
      </c>
      <c r="O224">
        <v>8.7142290000000004E-3</v>
      </c>
      <c r="P224">
        <v>0.95460750000000005</v>
      </c>
      <c r="Q224">
        <v>0.29101739999999998</v>
      </c>
      <c r="R224">
        <v>6.3510300000000006E-2</v>
      </c>
      <c r="S224">
        <v>3.4710079999999999</v>
      </c>
      <c r="T224">
        <v>-1.0702199999999999</v>
      </c>
      <c r="U224">
        <v>-3.805542E-2</v>
      </c>
      <c r="V224">
        <v>-5.5177280000000002E-2</v>
      </c>
      <c r="W224">
        <v>0.30411919999999998</v>
      </c>
      <c r="X224">
        <v>0.95103470000000001</v>
      </c>
      <c r="Y224">
        <v>1.8412560000000001E-2</v>
      </c>
      <c r="Z224">
        <v>-5.4122529999999997E-3</v>
      </c>
      <c r="AA224">
        <v>0.99981580000000003</v>
      </c>
      <c r="AB224">
        <v>32</v>
      </c>
      <c r="AC224">
        <v>0.42859999999996001</v>
      </c>
      <c r="AD224">
        <v>-0.21269469999999899</v>
      </c>
      <c r="AE224">
        <v>-9.9999999999908998E-3</v>
      </c>
      <c r="AF224">
        <v>1.10219965284198E-2</v>
      </c>
      <c r="AG224">
        <v>-0.21269469999999899</v>
      </c>
      <c r="AH224">
        <v>0.34386058801663899</v>
      </c>
      <c r="AI224">
        <v>121.72567106823</v>
      </c>
      <c r="AJ224">
        <v>88.164088128712194</v>
      </c>
      <c r="AK224">
        <v>0.40447573945381599</v>
      </c>
      <c r="AL224">
        <v>72.294819464312198</v>
      </c>
      <c r="AM224">
        <v>93.320473148549596</v>
      </c>
      <c r="AN224">
        <v>1.00000001032046</v>
      </c>
    </row>
    <row r="225" spans="1:40" x14ac:dyDescent="0.25">
      <c r="A225" t="str">
        <f>"20190304164829114"</f>
        <v>20190304164829114</v>
      </c>
      <c r="B225" t="str">
        <f>"1551689309106558"</f>
        <v>1551689309106558</v>
      </c>
      <c r="C225" t="s">
        <v>40</v>
      </c>
      <c r="D225">
        <v>4.9088070000000004</v>
      </c>
      <c r="E225">
        <v>0.55565450000000005</v>
      </c>
      <c r="F225" t="s">
        <v>41</v>
      </c>
      <c r="G225">
        <v>-427.36599999999999</v>
      </c>
      <c r="H225">
        <v>0.83707049999999905</v>
      </c>
      <c r="I225">
        <v>367.57310000000001</v>
      </c>
      <c r="J225">
        <v>-427.74419999999998</v>
      </c>
      <c r="K225">
        <v>1.06073</v>
      </c>
      <c r="L225">
        <v>367.58210000000003</v>
      </c>
      <c r="M225">
        <v>0.99987029999999999</v>
      </c>
      <c r="N225">
        <v>-1.3538299999999901E-2</v>
      </c>
      <c r="O225">
        <v>8.7146319999999999E-3</v>
      </c>
      <c r="P225">
        <v>0.95468719999999996</v>
      </c>
      <c r="Q225">
        <v>0.2908229</v>
      </c>
      <c r="R225">
        <v>6.3197119999999996E-2</v>
      </c>
      <c r="S225">
        <v>3.47818</v>
      </c>
      <c r="T225">
        <v>-1.0944739999999999</v>
      </c>
      <c r="U225">
        <v>-2.7740480000000001E-2</v>
      </c>
      <c r="V225">
        <v>-5.4862910000000001E-2</v>
      </c>
      <c r="W225">
        <v>0.30373040000000001</v>
      </c>
      <c r="X225">
        <v>0.9511771</v>
      </c>
      <c r="Y225">
        <v>1.5520330000000001E-2</v>
      </c>
      <c r="Z225">
        <v>-5.0540180000000004E-3</v>
      </c>
      <c r="AA225">
        <v>0.99986679999999994</v>
      </c>
      <c r="AB225">
        <v>32</v>
      </c>
      <c r="AC225">
        <v>0.37819999999999199</v>
      </c>
      <c r="AD225">
        <v>-0.22365949999999901</v>
      </c>
      <c r="AE225">
        <v>-9.0000000000145502E-3</v>
      </c>
      <c r="AF225">
        <v>9.1111902846072196E-3</v>
      </c>
      <c r="AG225">
        <v>-0.22365949999999901</v>
      </c>
      <c r="AH225">
        <v>0.28017672697585499</v>
      </c>
      <c r="AI225">
        <v>128.58490728570499</v>
      </c>
      <c r="AJ225">
        <v>88.1374297109639</v>
      </c>
      <c r="AK225">
        <v>0.35861620720145199</v>
      </c>
      <c r="AL225">
        <v>72.318201698317296</v>
      </c>
      <c r="AM225">
        <v>93.301103690343297</v>
      </c>
      <c r="AN225">
        <v>0.99999998517111799</v>
      </c>
    </row>
    <row r="226" spans="1:40" x14ac:dyDescent="0.25">
      <c r="A226" t="str">
        <f>"20190304164829128"</f>
        <v>20190304164829128</v>
      </c>
      <c r="B226" t="str">
        <f>"1551689309116399"</f>
        <v>1551689309116399</v>
      </c>
      <c r="C226" t="s">
        <v>40</v>
      </c>
      <c r="D226">
        <v>4.8246180000000001</v>
      </c>
      <c r="E226">
        <v>0.55547969999999902</v>
      </c>
      <c r="F226" t="s">
        <v>41</v>
      </c>
      <c r="G226">
        <v>-427.07389999999998</v>
      </c>
      <c r="H226">
        <v>0.8480048</v>
      </c>
      <c r="I226">
        <v>367.57729999999998</v>
      </c>
      <c r="J226">
        <v>-427.55419999999998</v>
      </c>
      <c r="K226">
        <v>1.060686</v>
      </c>
      <c r="L226">
        <v>367.58370000000002</v>
      </c>
      <c r="M226">
        <v>0.99987190000000004</v>
      </c>
      <c r="N226">
        <v>-1.342703E-2</v>
      </c>
      <c r="O226">
        <v>8.7147359999999903E-3</v>
      </c>
      <c r="P226">
        <v>0.95479179999999997</v>
      </c>
      <c r="Q226">
        <v>0.2905372</v>
      </c>
      <c r="R226">
        <v>6.2933489999999995E-2</v>
      </c>
      <c r="S226">
        <v>3.4805299999999999</v>
      </c>
      <c r="T226">
        <v>-1.1045450000000001</v>
      </c>
      <c r="U226">
        <v>-2.502441E-2</v>
      </c>
      <c r="V226">
        <v>-5.4598340000000002E-2</v>
      </c>
      <c r="W226">
        <v>0.3033401</v>
      </c>
      <c r="X226">
        <v>0.95131690000000002</v>
      </c>
      <c r="Y226">
        <v>1.475453E-2</v>
      </c>
      <c r="Z226">
        <v>-4.9714529999999998E-3</v>
      </c>
      <c r="AA226">
        <v>0.99987879999999996</v>
      </c>
      <c r="AB226">
        <v>32</v>
      </c>
      <c r="AC226">
        <v>0.48029999999999901</v>
      </c>
      <c r="AD226">
        <v>-0.21268119999999899</v>
      </c>
      <c r="AE226">
        <v>-6.4000000000419199E-3</v>
      </c>
      <c r="AF226">
        <v>8.8506881092383204E-3</v>
      </c>
      <c r="AG226">
        <v>-0.21268119999999899</v>
      </c>
      <c r="AH226">
        <v>0.40151160718040901</v>
      </c>
      <c r="AI226">
        <v>117.904468455458</v>
      </c>
      <c r="AJ226">
        <v>88.737209702532297</v>
      </c>
      <c r="AK226">
        <v>0.45444823491135</v>
      </c>
      <c r="AL226">
        <v>72.341672172217798</v>
      </c>
      <c r="AM226">
        <v>93.284737734572502</v>
      </c>
      <c r="AN226">
        <v>1.0000000196121801</v>
      </c>
    </row>
    <row r="227" spans="1:40" x14ac:dyDescent="0.25">
      <c r="A227" t="str">
        <f>"20190304164829147"</f>
        <v>20190304164829147</v>
      </c>
      <c r="B227" t="str">
        <f>"1551689309136898"</f>
        <v>1551689309136898</v>
      </c>
      <c r="C227" t="s">
        <v>40</v>
      </c>
      <c r="D227">
        <v>4.8376390000000002</v>
      </c>
      <c r="E227">
        <v>0.55516769999999904</v>
      </c>
      <c r="F227" t="s">
        <v>41</v>
      </c>
      <c r="G227">
        <v>-426.7989</v>
      </c>
      <c r="H227">
        <v>0.81993069999999901</v>
      </c>
      <c r="I227">
        <v>367.57810000000001</v>
      </c>
      <c r="J227">
        <v>-427.27659999999997</v>
      </c>
      <c r="K227">
        <v>1.0606230000000001</v>
      </c>
      <c r="L227">
        <v>367.58609999999999</v>
      </c>
      <c r="M227">
        <v>0.99987400000000004</v>
      </c>
      <c r="N227">
        <v>-1.326869E-2</v>
      </c>
      <c r="O227">
        <v>8.7151490000000002E-3</v>
      </c>
      <c r="P227">
        <v>0.95491809999999999</v>
      </c>
      <c r="Q227">
        <v>0.29014849999999998</v>
      </c>
      <c r="R227">
        <v>6.2811919999999993E-2</v>
      </c>
      <c r="S227">
        <v>3.4812620000000001</v>
      </c>
      <c r="T227">
        <v>-1.1096159999999999</v>
      </c>
      <c r="U227">
        <v>-2.3834230000000001E-2</v>
      </c>
      <c r="V227">
        <v>-5.4475200000000001E-2</v>
      </c>
      <c r="W227">
        <v>0.30280210000000002</v>
      </c>
      <c r="X227">
        <v>0.95149530000000004</v>
      </c>
      <c r="Y227">
        <v>1.4419009999999999E-2</v>
      </c>
      <c r="Z227">
        <v>-4.9381140000000004E-3</v>
      </c>
      <c r="AA227">
        <v>0.99988379999999999</v>
      </c>
      <c r="AB227">
        <v>32</v>
      </c>
      <c r="AC227">
        <v>0.47769999999996998</v>
      </c>
      <c r="AD227">
        <v>-0.2406923</v>
      </c>
      <c r="AE227">
        <v>-7.9999999999813502E-3</v>
      </c>
      <c r="AF227">
        <v>9.7011376562009394E-3</v>
      </c>
      <c r="AG227">
        <v>-0.2406923</v>
      </c>
      <c r="AH227">
        <v>0.380931579426733</v>
      </c>
      <c r="AI227">
        <v>122.278431169548</v>
      </c>
      <c r="AJ227">
        <v>88.541170759691497</v>
      </c>
      <c r="AK227">
        <v>0.45070585036768701</v>
      </c>
      <c r="AL227">
        <v>72.3740179467068</v>
      </c>
      <c r="AM227">
        <v>93.276732425454895</v>
      </c>
      <c r="AN227">
        <v>0.99999998255077005</v>
      </c>
    </row>
    <row r="228" spans="1:40" x14ac:dyDescent="0.25">
      <c r="A228" t="str">
        <f>"20190304164829160"</f>
        <v>20190304164829160</v>
      </c>
      <c r="B228" t="str">
        <f>"1551689309146655"</f>
        <v>1551689309146655</v>
      </c>
      <c r="C228" t="s">
        <v>40</v>
      </c>
      <c r="D228">
        <v>4.9620739999999897</v>
      </c>
      <c r="E228">
        <v>0.55506489999999997</v>
      </c>
      <c r="F228" t="s">
        <v>41</v>
      </c>
      <c r="G228">
        <v>-426.51319999999998</v>
      </c>
      <c r="H228">
        <v>0.81573890000000004</v>
      </c>
      <c r="I228">
        <v>367.58120000000002</v>
      </c>
      <c r="J228">
        <v>-427.09890000000001</v>
      </c>
      <c r="K228">
        <v>1.0605899999999999</v>
      </c>
      <c r="L228">
        <v>367.58760000000001</v>
      </c>
      <c r="M228">
        <v>0.99987539999999997</v>
      </c>
      <c r="N228">
        <v>-1.317137E-2</v>
      </c>
      <c r="O228">
        <v>8.7151429999999998E-3</v>
      </c>
      <c r="P228">
        <v>0.95492940000000004</v>
      </c>
      <c r="Q228">
        <v>0.29007660000000002</v>
      </c>
      <c r="R228">
        <v>6.2974130000000003E-2</v>
      </c>
      <c r="S228">
        <v>3.4825439999999999</v>
      </c>
      <c r="T228">
        <v>-1.1172089999999999</v>
      </c>
      <c r="U228">
        <v>-2.1484380000000001E-2</v>
      </c>
      <c r="V228">
        <v>-5.4637440000000002E-2</v>
      </c>
      <c r="W228">
        <v>0.30263790000000002</v>
      </c>
      <c r="X228">
        <v>0.95153829999999995</v>
      </c>
      <c r="Y228">
        <v>1.376169E-2</v>
      </c>
      <c r="Z228">
        <v>-4.8615309999999997E-3</v>
      </c>
      <c r="AA228">
        <v>0.99989349999999999</v>
      </c>
      <c r="AB228">
        <v>32</v>
      </c>
      <c r="AC228">
        <v>0.58570000000003097</v>
      </c>
      <c r="AD228">
        <v>-0.24485109999999899</v>
      </c>
      <c r="AE228">
        <v>-6.39999999998508E-3</v>
      </c>
      <c r="AF228">
        <v>9.7933338058756106E-3</v>
      </c>
      <c r="AG228">
        <v>-0.24485109999999899</v>
      </c>
      <c r="AH228">
        <v>0.498510366548085</v>
      </c>
      <c r="AI228">
        <v>116.154305003179</v>
      </c>
      <c r="AJ228">
        <v>88.874557954698503</v>
      </c>
      <c r="AK228">
        <v>0.55548227344727197</v>
      </c>
      <c r="AL228">
        <v>72.383890159893198</v>
      </c>
      <c r="AM228">
        <v>93.286321758172704</v>
      </c>
      <c r="AN228">
        <v>1.0000000423665201</v>
      </c>
    </row>
    <row r="229" spans="1:40" x14ac:dyDescent="0.25">
      <c r="A229" t="str">
        <f>"20190304164829171"</f>
        <v>20190304164829171</v>
      </c>
      <c r="B229" t="str">
        <f>"1551689309167151"</f>
        <v>1551689309167151</v>
      </c>
      <c r="C229" t="s">
        <v>40</v>
      </c>
      <c r="D229">
        <v>4.8264399999999998</v>
      </c>
      <c r="E229">
        <v>0.55494560000000004</v>
      </c>
      <c r="F229" t="s">
        <v>41</v>
      </c>
      <c r="G229">
        <v>-426.23910000000001</v>
      </c>
      <c r="H229">
        <v>0.78420009999999996</v>
      </c>
      <c r="I229">
        <v>367.58240000000001</v>
      </c>
      <c r="J229">
        <v>-426.92649999999998</v>
      </c>
      <c r="K229">
        <v>1.0605610000000001</v>
      </c>
      <c r="L229">
        <v>367.58920000000001</v>
      </c>
      <c r="M229">
        <v>0.9998766</v>
      </c>
      <c r="N229">
        <v>-1.308114E-2</v>
      </c>
      <c r="O229">
        <v>8.7152040000000007E-3</v>
      </c>
      <c r="P229">
        <v>0.95496049999999999</v>
      </c>
      <c r="Q229">
        <v>0.28998600000000002</v>
      </c>
      <c r="R229">
        <v>6.2919210000000003E-2</v>
      </c>
      <c r="S229">
        <v>3.4830320000000001</v>
      </c>
      <c r="T229">
        <v>-1.1197170000000001</v>
      </c>
      <c r="U229">
        <v>-1.9836429999999999E-2</v>
      </c>
      <c r="V229">
        <v>-5.4582110000000003E-2</v>
      </c>
      <c r="W229">
        <v>0.30246210000000001</v>
      </c>
      <c r="X229">
        <v>0.95159729999999998</v>
      </c>
      <c r="Y229">
        <v>1.3307029999999999E-2</v>
      </c>
      <c r="Z229">
        <v>-4.7971489999999997E-3</v>
      </c>
      <c r="AA229">
        <v>0.99989989999999995</v>
      </c>
      <c r="AB229">
        <v>32</v>
      </c>
      <c r="AC229">
        <v>0.68739999999996804</v>
      </c>
      <c r="AD229">
        <v>-0.27636090000000002</v>
      </c>
      <c r="AE229">
        <v>-6.7999999999983603E-3</v>
      </c>
      <c r="AF229">
        <v>1.1011431345724101E-2</v>
      </c>
      <c r="AG229">
        <v>-0.27636090000000002</v>
      </c>
      <c r="AH229">
        <v>0.59168693937083405</v>
      </c>
      <c r="AI229">
        <v>115.0321973489</v>
      </c>
      <c r="AJ229">
        <v>88.933835311851993</v>
      </c>
      <c r="AK229">
        <v>0.65313860159319603</v>
      </c>
      <c r="AL229">
        <v>72.394456812228597</v>
      </c>
      <c r="AM229">
        <v>93.282797959409294</v>
      </c>
      <c r="AN229">
        <v>0.99999997501787496</v>
      </c>
    </row>
    <row r="230" spans="1:40" x14ac:dyDescent="0.25">
      <c r="A230" t="str">
        <f>"20190304164829185"</f>
        <v>20190304164829185</v>
      </c>
      <c r="B230" t="str">
        <f>"1551689309176912"</f>
        <v>1551689309176912</v>
      </c>
      <c r="C230" t="s">
        <v>40</v>
      </c>
      <c r="D230">
        <v>4.9864689999999996</v>
      </c>
      <c r="E230">
        <v>0.55486820000000003</v>
      </c>
      <c r="F230" t="s">
        <v>41</v>
      </c>
      <c r="G230">
        <v>-426.21859999999998</v>
      </c>
      <c r="H230">
        <v>0.832325599999999</v>
      </c>
      <c r="I230">
        <v>367.58499999999998</v>
      </c>
      <c r="J230">
        <v>-426.72739999999999</v>
      </c>
      <c r="K230">
        <v>1.0605260000000001</v>
      </c>
      <c r="L230">
        <v>367.59089999999998</v>
      </c>
      <c r="M230">
        <v>0.99987780000000004</v>
      </c>
      <c r="N230">
        <v>-1.2981410000000001E-2</v>
      </c>
      <c r="O230">
        <v>8.715502E-3</v>
      </c>
      <c r="P230">
        <v>0.95499409999999896</v>
      </c>
      <c r="Q230">
        <v>0.28988419999999998</v>
      </c>
      <c r="R230">
        <v>6.2876269999999998E-2</v>
      </c>
      <c r="S230">
        <v>3.4837950000000002</v>
      </c>
      <c r="T230">
        <v>-1.1232120000000001</v>
      </c>
      <c r="U230">
        <v>-1.8615719999999999E-2</v>
      </c>
      <c r="V230">
        <v>-5.453802E-2</v>
      </c>
      <c r="W230">
        <v>0.30226619999999998</v>
      </c>
      <c r="X230">
        <v>0.95166209999999996</v>
      </c>
      <c r="Y230">
        <v>1.2967329999999999E-2</v>
      </c>
      <c r="Z230">
        <v>-4.7550800000000001E-3</v>
      </c>
      <c r="AA230">
        <v>0.99990460000000003</v>
      </c>
      <c r="AB230">
        <v>32</v>
      </c>
      <c r="AC230">
        <v>0.50880000000000702</v>
      </c>
      <c r="AD230">
        <v>-0.2282004</v>
      </c>
      <c r="AE230">
        <v>-5.8999999999968999E-3</v>
      </c>
      <c r="AF230">
        <v>8.60405070829867E-3</v>
      </c>
      <c r="AG230">
        <v>-0.2282004</v>
      </c>
      <c r="AH230">
        <v>0.42354165595515197</v>
      </c>
      <c r="AI230">
        <v>118.31044876815101</v>
      </c>
      <c r="AJ230">
        <v>88.836223100206496</v>
      </c>
      <c r="AK230">
        <v>0.48118290345562298</v>
      </c>
      <c r="AL230">
        <v>72.406232722944097</v>
      </c>
      <c r="AM230">
        <v>93.279929131283396</v>
      </c>
      <c r="AN230">
        <v>1.00000000193218</v>
      </c>
    </row>
    <row r="231" spans="1:40" x14ac:dyDescent="0.25">
      <c r="A231" t="str">
        <f>"20190304164829206"</f>
        <v>20190304164829206</v>
      </c>
      <c r="B231" t="str">
        <f>"1551689309196431"</f>
        <v>1551689309196431</v>
      </c>
      <c r="C231" t="s">
        <v>40</v>
      </c>
      <c r="D231">
        <v>4.6994759999999998</v>
      </c>
      <c r="E231">
        <v>0.55498169999999902</v>
      </c>
      <c r="F231" t="s">
        <v>41</v>
      </c>
      <c r="G231">
        <v>-425.94209999999998</v>
      </c>
      <c r="H231">
        <v>0.80699160000000003</v>
      </c>
      <c r="I231">
        <v>367.5865</v>
      </c>
      <c r="J231">
        <v>-426.44150000000002</v>
      </c>
      <c r="K231">
        <v>1.060484</v>
      </c>
      <c r="L231">
        <v>367.59339999999997</v>
      </c>
      <c r="M231">
        <v>0.99987959999999998</v>
      </c>
      <c r="N231">
        <v>-1.284334E-2</v>
      </c>
      <c r="O231">
        <v>8.7157450000000004E-3</v>
      </c>
      <c r="P231">
        <v>0.95483390000000001</v>
      </c>
      <c r="Q231">
        <v>0.29031030000000002</v>
      </c>
      <c r="R231">
        <v>6.3343319999999995E-2</v>
      </c>
      <c r="S231">
        <v>3.4840089999999901</v>
      </c>
      <c r="T231">
        <v>-1.1247929999999999</v>
      </c>
      <c r="U231">
        <v>-1.8096919999999999E-2</v>
      </c>
      <c r="V231">
        <v>-5.500642E-2</v>
      </c>
      <c r="W231">
        <v>0.30255850000000001</v>
      </c>
      <c r="X231">
        <v>0.95154229999999995</v>
      </c>
      <c r="Y231">
        <v>1.2823019999999999E-2</v>
      </c>
      <c r="Z231">
        <v>-4.7378769999999997E-3</v>
      </c>
      <c r="AA231">
        <v>0.99990650000000003</v>
      </c>
      <c r="AB231">
        <v>32</v>
      </c>
      <c r="AC231">
        <v>0.49940000000003598</v>
      </c>
      <c r="AD231">
        <v>-0.25349239999999901</v>
      </c>
      <c r="AE231">
        <v>-6.89999999997326E-3</v>
      </c>
      <c r="AF231">
        <v>8.9477720755790809E-3</v>
      </c>
      <c r="AG231">
        <v>-0.25349239999999901</v>
      </c>
      <c r="AH231">
        <v>0.39704192905833302</v>
      </c>
      <c r="AI231">
        <v>122.549699451582</v>
      </c>
      <c r="AJ231">
        <v>88.708995765527803</v>
      </c>
      <c r="AK231">
        <v>0.471148334299548</v>
      </c>
      <c r="AL231">
        <v>72.388663360463298</v>
      </c>
      <c r="AM231">
        <v>93.308452080578405</v>
      </c>
      <c r="AN231">
        <v>1.00000005042637</v>
      </c>
    </row>
    <row r="232" spans="1:40" x14ac:dyDescent="0.25">
      <c r="A232" t="str">
        <f>"20190304164829226"</f>
        <v>20190304164829226</v>
      </c>
      <c r="B232" t="str">
        <f>"1551689309216927"</f>
        <v>1551689309216927</v>
      </c>
      <c r="C232" t="s">
        <v>40</v>
      </c>
      <c r="D232">
        <v>4.67645</v>
      </c>
      <c r="E232">
        <v>0.55508979999999997</v>
      </c>
      <c r="F232" t="s">
        <v>41</v>
      </c>
      <c r="G232">
        <v>-425.65449999999998</v>
      </c>
      <c r="H232">
        <v>0.80697890000000005</v>
      </c>
      <c r="I232">
        <v>367.58909999999997</v>
      </c>
      <c r="J232">
        <v>-426.13</v>
      </c>
      <c r="K232">
        <v>1.060451</v>
      </c>
      <c r="L232">
        <v>367.59609999999998</v>
      </c>
      <c r="M232">
        <v>0.99988140000000003</v>
      </c>
      <c r="N232">
        <v>-1.2700650000000001E-2</v>
      </c>
      <c r="O232">
        <v>8.7161870000000002E-3</v>
      </c>
      <c r="P232">
        <v>0.95476729999999999</v>
      </c>
      <c r="Q232">
        <v>0.29048030000000002</v>
      </c>
      <c r="R232">
        <v>6.3566979999999995E-2</v>
      </c>
      <c r="S232">
        <v>3.4842219999999999</v>
      </c>
      <c r="T232">
        <v>-1.1222970000000001</v>
      </c>
      <c r="U232">
        <v>-1.690674E-2</v>
      </c>
      <c r="V232">
        <v>-5.5230389999999997E-2</v>
      </c>
      <c r="W232">
        <v>0.30259209999999997</v>
      </c>
      <c r="X232">
        <v>0.95151859999999999</v>
      </c>
      <c r="Y232">
        <v>1.2503179999999999E-2</v>
      </c>
      <c r="Z232">
        <v>-4.6756080000000004E-3</v>
      </c>
      <c r="AA232">
        <v>0.99991090000000005</v>
      </c>
      <c r="AB232">
        <v>32</v>
      </c>
      <c r="AC232">
        <v>0.47550000000001003</v>
      </c>
      <c r="AD232">
        <v>-0.25347209999999998</v>
      </c>
      <c r="AE232">
        <v>-7.0000000000049996E-3</v>
      </c>
      <c r="AF232">
        <v>8.6789576293476896E-3</v>
      </c>
      <c r="AG232">
        <v>-0.25347209999999998</v>
      </c>
      <c r="AH232">
        <v>0.37023781933004002</v>
      </c>
      <c r="AI232">
        <v>124.388973902308</v>
      </c>
      <c r="AJ232">
        <v>88.657142618322297</v>
      </c>
      <c r="AK232">
        <v>0.44877552589931402</v>
      </c>
      <c r="AL232">
        <v>72.386642819202393</v>
      </c>
      <c r="AM232">
        <v>93.321975574593296</v>
      </c>
      <c r="AN232">
        <v>1.0000000105539599</v>
      </c>
    </row>
    <row r="233" spans="1:40" x14ac:dyDescent="0.25">
      <c r="A233" t="str">
        <f>"20190304164829248"</f>
        <v>20190304164829248</v>
      </c>
      <c r="B233" t="str">
        <f>"1551689309236451"</f>
        <v>1551689309236451</v>
      </c>
      <c r="C233" t="s">
        <v>40</v>
      </c>
      <c r="D233">
        <v>4.9223889999999999</v>
      </c>
      <c r="E233">
        <v>0.55518749999999994</v>
      </c>
      <c r="F233" t="s">
        <v>41</v>
      </c>
      <c r="G233">
        <v>-425.36369999999999</v>
      </c>
      <c r="H233">
        <v>0.81402830000000004</v>
      </c>
      <c r="I233">
        <v>367.59199999999998</v>
      </c>
      <c r="J233">
        <v>-425.83179999999999</v>
      </c>
      <c r="K233">
        <v>1.060416</v>
      </c>
      <c r="L233">
        <v>367.59870000000001</v>
      </c>
      <c r="M233">
        <v>0.99988310000000002</v>
      </c>
      <c r="N233">
        <v>-1.2572349999999999E-2</v>
      </c>
      <c r="O233">
        <v>8.7164700000000005E-3</v>
      </c>
      <c r="P233">
        <v>0.95460100000000003</v>
      </c>
      <c r="Q233">
        <v>0.29102470000000003</v>
      </c>
      <c r="R233">
        <v>6.3576850000000004E-2</v>
      </c>
      <c r="S233">
        <v>3.4841609999999998</v>
      </c>
      <c r="T233">
        <v>-1.120409</v>
      </c>
      <c r="U233">
        <v>-1.742554E-2</v>
      </c>
      <c r="V233">
        <v>-5.5241249999999999E-2</v>
      </c>
      <c r="W233">
        <v>0.30301240000000002</v>
      </c>
      <c r="X233">
        <v>0.95138420000000001</v>
      </c>
      <c r="Y233">
        <v>1.26482E-2</v>
      </c>
      <c r="Z233">
        <v>-4.6921719999999997E-3</v>
      </c>
      <c r="AA233">
        <v>0.99990900000000005</v>
      </c>
      <c r="AB233">
        <v>32</v>
      </c>
      <c r="AC233">
        <v>0.46809999999999202</v>
      </c>
      <c r="AD233">
        <v>-0.24638769999999999</v>
      </c>
      <c r="AE233">
        <v>-6.7000000000234598E-3</v>
      </c>
      <c r="AF233">
        <v>8.4418871770239601E-3</v>
      </c>
      <c r="AG233">
        <v>-0.24638769999999999</v>
      </c>
      <c r="AH233">
        <v>0.36650405019421201</v>
      </c>
      <c r="AI233">
        <v>123.904508615534</v>
      </c>
      <c r="AJ233">
        <v>88.680508456400702</v>
      </c>
      <c r="AK233">
        <v>0.44170508597837199</v>
      </c>
      <c r="AL233">
        <v>72.361375038014003</v>
      </c>
      <c r="AM233">
        <v>93.323095642810699</v>
      </c>
      <c r="AN233">
        <v>1.0000000031324801</v>
      </c>
    </row>
    <row r="234" spans="1:40" x14ac:dyDescent="0.25">
      <c r="A234" t="str">
        <f>"20190304164829259"</f>
        <v>20190304164829259</v>
      </c>
      <c r="B234" t="str">
        <f>"1551689309247183"</f>
        <v>1551689309247183</v>
      </c>
      <c r="C234" t="s">
        <v>40</v>
      </c>
      <c r="D234">
        <v>4.6573079999999996</v>
      </c>
      <c r="E234">
        <v>0.55518789999999996</v>
      </c>
      <c r="F234" t="s">
        <v>41</v>
      </c>
      <c r="G234">
        <v>-425.07440000000003</v>
      </c>
      <c r="H234">
        <v>0.81753149999999997</v>
      </c>
      <c r="I234">
        <v>367.59429999999998</v>
      </c>
      <c r="J234">
        <v>-425.66449999999998</v>
      </c>
      <c r="K234">
        <v>1.0604020000000001</v>
      </c>
      <c r="L234">
        <v>367.60019999999997</v>
      </c>
      <c r="M234">
        <v>0.99988390000000005</v>
      </c>
      <c r="N234">
        <v>-1.250357E-2</v>
      </c>
      <c r="O234">
        <v>8.7167849999999995E-3</v>
      </c>
      <c r="P234">
        <v>0.95461510000000005</v>
      </c>
      <c r="Q234">
        <v>0.2909796</v>
      </c>
      <c r="R234">
        <v>6.3570070000000006E-2</v>
      </c>
      <c r="S234">
        <v>3.4845579999999998</v>
      </c>
      <c r="T234">
        <v>-1.1173660000000001</v>
      </c>
      <c r="U234">
        <v>-1.843262E-2</v>
      </c>
      <c r="V234">
        <v>-5.5234220000000001E-2</v>
      </c>
      <c r="W234">
        <v>0.30290159999999899</v>
      </c>
      <c r="X234">
        <v>0.95141989999999999</v>
      </c>
      <c r="Y234">
        <v>1.2928169999999999E-2</v>
      </c>
      <c r="Z234">
        <v>-4.7252570000000001E-3</v>
      </c>
      <c r="AA234">
        <v>0.9999053</v>
      </c>
      <c r="AB234">
        <v>32</v>
      </c>
      <c r="AC234">
        <v>0.590099999999949</v>
      </c>
      <c r="AD234">
        <v>-0.24287049999999999</v>
      </c>
      <c r="AE234">
        <v>-5.8999999999968999E-3</v>
      </c>
      <c r="AF234">
        <v>9.4443030347764502E-3</v>
      </c>
      <c r="AG234">
        <v>-0.24287049999999999</v>
      </c>
      <c r="AH234">
        <v>0.50456444310331905</v>
      </c>
      <c r="AI234">
        <v>115.699769335475</v>
      </c>
      <c r="AJ234">
        <v>88.927678058328596</v>
      </c>
      <c r="AK234">
        <v>0.56005406156390403</v>
      </c>
      <c r="AL234">
        <v>72.368036635138196</v>
      </c>
      <c r="AM234">
        <v>93.322549296400595</v>
      </c>
      <c r="AN234">
        <v>1.00000001222878</v>
      </c>
    </row>
    <row r="235" spans="1:40" x14ac:dyDescent="0.25">
      <c r="A235" t="str">
        <f>"20190304164829272"</f>
        <v>20190304164829272</v>
      </c>
      <c r="B235" t="str">
        <f>"1551689309266705"</f>
        <v>1551689309266705</v>
      </c>
      <c r="C235" t="s">
        <v>40</v>
      </c>
      <c r="D235">
        <v>4.6060600000000003</v>
      </c>
      <c r="E235">
        <v>0.55522869999999902</v>
      </c>
      <c r="F235" t="s">
        <v>41</v>
      </c>
      <c r="G235">
        <v>-424.80090000000001</v>
      </c>
      <c r="H235">
        <v>0.78343490000000005</v>
      </c>
      <c r="I235">
        <v>367.59539999999998</v>
      </c>
      <c r="J235">
        <v>-425.47160000000002</v>
      </c>
      <c r="K235">
        <v>1.060384</v>
      </c>
      <c r="L235">
        <v>367.60180000000003</v>
      </c>
      <c r="M235">
        <v>0.99988480000000002</v>
      </c>
      <c r="N235">
        <v>-1.242766E-2</v>
      </c>
      <c r="O235">
        <v>8.7169050000000005E-3</v>
      </c>
      <c r="P235">
        <v>0.95457219999999998</v>
      </c>
      <c r="Q235">
        <v>0.29108669999999998</v>
      </c>
      <c r="R235">
        <v>6.3721879999999995E-2</v>
      </c>
      <c r="S235">
        <v>3.4845280000000001</v>
      </c>
      <c r="T235">
        <v>-1.117648</v>
      </c>
      <c r="U235">
        <v>-1.8218990000000001E-2</v>
      </c>
      <c r="V235">
        <v>-5.5386009999999999E-2</v>
      </c>
      <c r="W235">
        <v>0.30293609999999999</v>
      </c>
      <c r="X235">
        <v>0.95140009999999997</v>
      </c>
      <c r="Y235">
        <v>1.2869500000000001E-2</v>
      </c>
      <c r="Z235">
        <v>-4.7170650000000003E-3</v>
      </c>
      <c r="AA235">
        <v>0.99990610000000002</v>
      </c>
      <c r="AB235">
        <v>32</v>
      </c>
      <c r="AC235">
        <v>0.67070000000000995</v>
      </c>
      <c r="AD235">
        <v>-0.276949099999999</v>
      </c>
      <c r="AE235">
        <v>-6.4000000000419199E-3</v>
      </c>
      <c r="AF235">
        <v>1.0462811705758E-2</v>
      </c>
      <c r="AG235">
        <v>-0.276949099999999</v>
      </c>
      <c r="AH235">
        <v>0.57293751406827798</v>
      </c>
      <c r="AI235">
        <v>115.794659164591</v>
      </c>
      <c r="AJ235">
        <v>88.953798081574604</v>
      </c>
      <c r="AK235">
        <v>0.636449266985467</v>
      </c>
      <c r="AL235">
        <v>72.365962630621596</v>
      </c>
      <c r="AM235">
        <v>93.331728684899801</v>
      </c>
      <c r="AN235">
        <v>1.00000002053346</v>
      </c>
    </row>
    <row r="236" spans="1:40" x14ac:dyDescent="0.25">
      <c r="A236" t="str">
        <f>"20190304164829294"</f>
        <v>20190304164829294</v>
      </c>
      <c r="B236" t="str">
        <f>"1551689309286224"</f>
        <v>1551689309286224</v>
      </c>
      <c r="C236" t="s">
        <v>40</v>
      </c>
      <c r="D236">
        <v>4.5655210000000004</v>
      </c>
      <c r="E236">
        <v>0.55519510000000005</v>
      </c>
      <c r="F236" t="s">
        <v>41</v>
      </c>
      <c r="G236">
        <v>-424.77760000000001</v>
      </c>
      <c r="H236">
        <v>0.83799920000000006</v>
      </c>
      <c r="I236">
        <v>367.59789999999998</v>
      </c>
      <c r="J236">
        <v>-425.17399999999998</v>
      </c>
      <c r="K236">
        <v>1.0603590000000001</v>
      </c>
      <c r="L236">
        <v>367.6044</v>
      </c>
      <c r="M236">
        <v>0.99988619999999995</v>
      </c>
      <c r="N236">
        <v>-1.2315649999999999E-2</v>
      </c>
      <c r="O236">
        <v>8.7170679999999997E-3</v>
      </c>
      <c r="P236">
        <v>0.954538</v>
      </c>
      <c r="Q236">
        <v>0.29114109999999999</v>
      </c>
      <c r="R236">
        <v>6.3984200000000005E-2</v>
      </c>
      <c r="S236">
        <v>3.4845579999999998</v>
      </c>
      <c r="T236">
        <v>-1.1167020000000001</v>
      </c>
      <c r="U236">
        <v>-1.8676760000000001E-2</v>
      </c>
      <c r="V236">
        <v>-5.5648299999999998E-2</v>
      </c>
      <c r="W236">
        <v>0.30288340000000002</v>
      </c>
      <c r="X236">
        <v>0.95140159999999996</v>
      </c>
      <c r="Y236">
        <v>1.29961E-2</v>
      </c>
      <c r="Z236">
        <v>-4.7340500000000001E-3</v>
      </c>
      <c r="AA236">
        <v>0.99990429999999997</v>
      </c>
      <c r="AB236">
        <v>32</v>
      </c>
      <c r="AC236">
        <v>0.39640000000002801</v>
      </c>
      <c r="AD236">
        <v>-0.2223598</v>
      </c>
      <c r="AE236">
        <v>-6.5000000000168196E-3</v>
      </c>
      <c r="AF236">
        <v>7.57312222332271E-3</v>
      </c>
      <c r="AG236">
        <v>-0.2223598</v>
      </c>
      <c r="AH236">
        <v>0.30148704607370203</v>
      </c>
      <c r="AI236">
        <v>126.401755777582</v>
      </c>
      <c r="AJ236">
        <v>88.561076770853504</v>
      </c>
      <c r="AK236">
        <v>0.37469410428574301</v>
      </c>
      <c r="AL236">
        <v>72.369131430704996</v>
      </c>
      <c r="AM236">
        <v>93.347465599148407</v>
      </c>
      <c r="AN236">
        <v>1.0000000458855001</v>
      </c>
    </row>
    <row r="237" spans="1:40" x14ac:dyDescent="0.25">
      <c r="A237" t="str">
        <f>"20190304164829306"</f>
        <v>20190304164829306</v>
      </c>
      <c r="B237" t="str">
        <f>"1551689309296960"</f>
        <v>1551689309296960</v>
      </c>
      <c r="C237" t="s">
        <v>40</v>
      </c>
      <c r="D237">
        <v>4.5483149999999997</v>
      </c>
      <c r="E237">
        <v>0.55519200000000002</v>
      </c>
      <c r="F237" t="s">
        <v>41</v>
      </c>
      <c r="G237">
        <v>-424.48849999999999</v>
      </c>
      <c r="H237">
        <v>0.84055519999999995</v>
      </c>
      <c r="I237">
        <v>367.60039999999998</v>
      </c>
      <c r="J237">
        <v>-424.98809999999997</v>
      </c>
      <c r="K237">
        <v>1.0603450000000001</v>
      </c>
      <c r="L237">
        <v>367.60599999999999</v>
      </c>
      <c r="M237">
        <v>0.99988710000000003</v>
      </c>
      <c r="N237">
        <v>-1.2249879999999999E-2</v>
      </c>
      <c r="O237">
        <v>8.7171790000000002E-3</v>
      </c>
      <c r="P237">
        <v>0.95451140000000001</v>
      </c>
      <c r="Q237">
        <v>0.29114449999999997</v>
      </c>
      <c r="R237">
        <v>6.4368839999999997E-2</v>
      </c>
      <c r="S237">
        <v>3.4848629999999998</v>
      </c>
      <c r="T237">
        <v>-1.1173120000000001</v>
      </c>
      <c r="U237">
        <v>-1.8096919999999999E-2</v>
      </c>
      <c r="V237">
        <v>-5.603321E-2</v>
      </c>
      <c r="W237">
        <v>0.30282379999999998</v>
      </c>
      <c r="X237">
        <v>0.95139790000000002</v>
      </c>
      <c r="Y237">
        <v>1.283668E-2</v>
      </c>
      <c r="Z237">
        <v>-4.7103520000000001E-3</v>
      </c>
      <c r="AA237">
        <v>0.99990650000000003</v>
      </c>
      <c r="AB237">
        <v>32</v>
      </c>
      <c r="AC237">
        <v>0.499599999999986</v>
      </c>
      <c r="AD237">
        <v>-0.21978980000000001</v>
      </c>
      <c r="AE237">
        <v>-5.6000000000153696E-3</v>
      </c>
      <c r="AF237">
        <v>8.3410868654421409E-3</v>
      </c>
      <c r="AG237">
        <v>-0.21978980000000001</v>
      </c>
      <c r="AH237">
        <v>0.41853852365352501</v>
      </c>
      <c r="AI237">
        <v>117.70091525721099</v>
      </c>
      <c r="AJ237">
        <v>88.8582990766146</v>
      </c>
      <c r="AK237">
        <v>0.47281246355844803</v>
      </c>
      <c r="AL237">
        <v>72.372713137523604</v>
      </c>
      <c r="AM237">
        <v>93.370579338781596</v>
      </c>
      <c r="AN237">
        <v>0.99999996929687596</v>
      </c>
    </row>
    <row r="238" spans="1:40" x14ac:dyDescent="0.25">
      <c r="A238" t="str">
        <f>"20190304164829327"</f>
        <v>20190304164829327</v>
      </c>
      <c r="B238" t="str">
        <f>"1551689309316483"</f>
        <v>1551689309316483</v>
      </c>
      <c r="C238" t="s">
        <v>40</v>
      </c>
      <c r="D238">
        <v>4.5204069999999996</v>
      </c>
      <c r="E238">
        <v>0.55517139999999998</v>
      </c>
      <c r="F238" t="s">
        <v>41</v>
      </c>
      <c r="G238">
        <v>-424.21289999999999</v>
      </c>
      <c r="H238">
        <v>0.81174990000000002</v>
      </c>
      <c r="I238">
        <v>367.60230000000001</v>
      </c>
      <c r="J238">
        <v>-424.6893</v>
      </c>
      <c r="K238">
        <v>1.0603229999999999</v>
      </c>
      <c r="L238">
        <v>367.6087</v>
      </c>
      <c r="M238">
        <v>0.99988840000000001</v>
      </c>
      <c r="N238">
        <v>-1.2147939999999999E-2</v>
      </c>
      <c r="O238">
        <v>8.7174490000000004E-3</v>
      </c>
      <c r="P238">
        <v>0.9545188</v>
      </c>
      <c r="Q238">
        <v>0.29103319999999999</v>
      </c>
      <c r="R238">
        <v>6.4757629999999997E-2</v>
      </c>
      <c r="S238">
        <v>3.484985</v>
      </c>
      <c r="T238">
        <v>-1.117553</v>
      </c>
      <c r="U238">
        <v>-1.7028809999999998E-2</v>
      </c>
      <c r="V238">
        <v>-5.6421359999999997E-2</v>
      </c>
      <c r="W238">
        <v>0.30261559999999998</v>
      </c>
      <c r="X238">
        <v>0.95144119999999999</v>
      </c>
      <c r="Y238">
        <v>1.254506E-2</v>
      </c>
      <c r="Z238">
        <v>-4.6640220000000003E-3</v>
      </c>
      <c r="AA238">
        <v>0.99991039999999998</v>
      </c>
      <c r="AB238">
        <v>32</v>
      </c>
      <c r="AC238">
        <v>0.47640000000001198</v>
      </c>
      <c r="AD238">
        <v>-0.24857309999999899</v>
      </c>
      <c r="AE238">
        <v>-6.39999999998508E-3</v>
      </c>
      <c r="AF238">
        <v>8.2951298679344899E-3</v>
      </c>
      <c r="AG238">
        <v>-0.24857309999999899</v>
      </c>
      <c r="AH238">
        <v>0.374411655518262</v>
      </c>
      <c r="AI238">
        <v>123.573833805129</v>
      </c>
      <c r="AJ238">
        <v>88.730813571171296</v>
      </c>
      <c r="AK238">
        <v>0.44949024795990999</v>
      </c>
      <c r="AL238">
        <v>72.3852292924945</v>
      </c>
      <c r="AM238">
        <v>93.393719336652396</v>
      </c>
      <c r="AN238">
        <v>0.99999996414252401</v>
      </c>
    </row>
    <row r="239" spans="1:40" x14ac:dyDescent="0.25">
      <c r="A239" t="str">
        <f>"20190304164829338"</f>
        <v>20190304164829338</v>
      </c>
      <c r="B239" t="str">
        <f>"1551689309327216"</f>
        <v>1551689309327216</v>
      </c>
      <c r="C239" t="s">
        <v>40</v>
      </c>
      <c r="D239">
        <v>4.4950020000000004</v>
      </c>
      <c r="E239">
        <v>0.5551798</v>
      </c>
      <c r="F239" t="s">
        <v>41</v>
      </c>
      <c r="G239">
        <v>-423.92340000000002</v>
      </c>
      <c r="H239">
        <v>0.81448830000000005</v>
      </c>
      <c r="I239">
        <v>367.60469999999998</v>
      </c>
      <c r="J239">
        <v>-424.51920000000001</v>
      </c>
      <c r="K239">
        <v>1.0603089999999999</v>
      </c>
      <c r="L239">
        <v>367.61009999999999</v>
      </c>
      <c r="M239">
        <v>0.99988900000000003</v>
      </c>
      <c r="N239">
        <v>-1.209208E-2</v>
      </c>
      <c r="O239">
        <v>8.7177909999999904E-3</v>
      </c>
      <c r="P239">
        <v>0.95451810000000004</v>
      </c>
      <c r="Q239">
        <v>0.2910122</v>
      </c>
      <c r="R239">
        <v>6.4860710000000002E-2</v>
      </c>
      <c r="S239">
        <v>3.4850460000000001</v>
      </c>
      <c r="T239">
        <v>-1.1185849999999999</v>
      </c>
      <c r="U239">
        <v>-1.5991209999999999E-2</v>
      </c>
      <c r="V239">
        <v>-5.652393E-2</v>
      </c>
      <c r="W239">
        <v>0.30254160000000002</v>
      </c>
      <c r="X239">
        <v>0.95145869999999999</v>
      </c>
      <c r="Y239">
        <v>1.226055E-2</v>
      </c>
      <c r="Z239">
        <v>-4.6219929999999996E-3</v>
      </c>
      <c r="AA239">
        <v>0.99991419999999998</v>
      </c>
      <c r="AB239">
        <v>32</v>
      </c>
      <c r="AC239">
        <v>0.595799999999997</v>
      </c>
      <c r="AD239">
        <v>-0.245820699999999</v>
      </c>
      <c r="AE239">
        <v>-5.4000000000087303E-3</v>
      </c>
      <c r="AF239">
        <v>9.0532297917429397E-3</v>
      </c>
      <c r="AG239">
        <v>-0.245820699999999</v>
      </c>
      <c r="AH239">
        <v>0.50907721855733701</v>
      </c>
      <c r="AI239">
        <v>115.771191644463</v>
      </c>
      <c r="AJ239">
        <v>88.981181700026497</v>
      </c>
      <c r="AK239">
        <v>0.565393130460768</v>
      </c>
      <c r="AL239">
        <v>72.389678646975995</v>
      </c>
      <c r="AM239">
        <v>93.399812030120898</v>
      </c>
      <c r="AN239">
        <v>1.00000001609944</v>
      </c>
    </row>
    <row r="240" spans="1:40" x14ac:dyDescent="0.25">
      <c r="A240" t="str">
        <f>"20190304164829351"</f>
        <v>20190304164829351</v>
      </c>
      <c r="B240" t="str">
        <f>"1551689309346735"</f>
        <v>1551689309346735</v>
      </c>
      <c r="C240" t="s">
        <v>40</v>
      </c>
      <c r="D240">
        <v>4.4957989999999999</v>
      </c>
      <c r="E240">
        <v>0.55519309999999999</v>
      </c>
      <c r="F240" t="s">
        <v>41</v>
      </c>
      <c r="G240">
        <v>-423.64909999999998</v>
      </c>
      <c r="H240">
        <v>0.78097839999999996</v>
      </c>
      <c r="I240">
        <v>367.60599999999999</v>
      </c>
      <c r="J240">
        <v>-424.33960000000002</v>
      </c>
      <c r="K240">
        <v>1.0603020000000001</v>
      </c>
      <c r="L240">
        <v>367.61169999999998</v>
      </c>
      <c r="M240">
        <v>0.99988960000000005</v>
      </c>
      <c r="N240">
        <v>-1.2035479999999999E-2</v>
      </c>
      <c r="O240">
        <v>8.7178380000000003E-3</v>
      </c>
      <c r="P240">
        <v>0.95456719999999895</v>
      </c>
      <c r="Q240">
        <v>0.29082950000000002</v>
      </c>
      <c r="R240">
        <v>6.4962160000000005E-2</v>
      </c>
      <c r="S240">
        <v>3.4851070000000002</v>
      </c>
      <c r="T240">
        <v>-1.118795</v>
      </c>
      <c r="U240">
        <v>-1.5838620000000001E-2</v>
      </c>
      <c r="V240">
        <v>-5.6625019999999998E-2</v>
      </c>
      <c r="W240">
        <v>0.30230570000000001</v>
      </c>
      <c r="X240">
        <v>0.95152769999999998</v>
      </c>
      <c r="Y240">
        <v>1.221854E-2</v>
      </c>
      <c r="Z240">
        <v>-4.61605E-3</v>
      </c>
      <c r="AA240">
        <v>0.99991470000000005</v>
      </c>
      <c r="AB240">
        <v>32</v>
      </c>
      <c r="AC240">
        <v>0.69050000000004197</v>
      </c>
      <c r="AD240">
        <v>-0.27932360000000001</v>
      </c>
      <c r="AE240">
        <v>-5.6999999999902597E-3</v>
      </c>
      <c r="AF240">
        <v>1.00718474911233E-2</v>
      </c>
      <c r="AG240">
        <v>-0.27932360000000001</v>
      </c>
      <c r="AH240">
        <v>0.59333731149933</v>
      </c>
      <c r="AI240">
        <v>115.206325983027</v>
      </c>
      <c r="AJ240">
        <v>89.0275026970087</v>
      </c>
      <c r="AK240">
        <v>0.65587520218872197</v>
      </c>
      <c r="AL240">
        <v>72.403859275394296</v>
      </c>
      <c r="AM240">
        <v>93.405631713989095</v>
      </c>
      <c r="AN240">
        <v>1.0000000465048799</v>
      </c>
    </row>
    <row r="241" spans="1:40" x14ac:dyDescent="0.25">
      <c r="A241" t="str">
        <f>"20190304164829370"</f>
        <v>20190304164829370</v>
      </c>
      <c r="B241" t="str">
        <f>"1551689309366255"</f>
        <v>1551689309366255</v>
      </c>
      <c r="C241" t="s">
        <v>40</v>
      </c>
      <c r="D241">
        <v>4.4500849999999996</v>
      </c>
      <c r="E241">
        <v>0.55520959999999997</v>
      </c>
      <c r="F241" t="s">
        <v>41</v>
      </c>
      <c r="G241">
        <v>-423.62759999999997</v>
      </c>
      <c r="H241">
        <v>0.83164229999999995</v>
      </c>
      <c r="I241">
        <v>367.60820000000001</v>
      </c>
      <c r="J241">
        <v>-424.06889999999999</v>
      </c>
      <c r="K241">
        <v>1.0602860000000001</v>
      </c>
      <c r="L241">
        <v>367.61399999999998</v>
      </c>
      <c r="M241">
        <v>0.99989070000000002</v>
      </c>
      <c r="N241">
        <v>-1.195301E-2</v>
      </c>
      <c r="O241">
        <v>8.7179800000000002E-3</v>
      </c>
      <c r="P241">
        <v>0.95441659999999995</v>
      </c>
      <c r="Q241">
        <v>0.2911704</v>
      </c>
      <c r="R241">
        <v>6.564412E-2</v>
      </c>
      <c r="S241">
        <v>3.4848330000000001</v>
      </c>
      <c r="T241">
        <v>-1.119213</v>
      </c>
      <c r="U241">
        <v>-1.6052250000000001E-2</v>
      </c>
      <c r="V241">
        <v>-5.7308329999999998E-2</v>
      </c>
      <c r="W241">
        <v>0.30256660000000002</v>
      </c>
      <c r="X241">
        <v>0.95140380000000002</v>
      </c>
      <c r="Y241">
        <v>1.227632E-2</v>
      </c>
      <c r="Z241">
        <v>-4.6276870000000001E-3</v>
      </c>
      <c r="AA241">
        <v>0.99991390000000002</v>
      </c>
      <c r="AB241">
        <v>32</v>
      </c>
      <c r="AC241">
        <v>0.44130000000001202</v>
      </c>
      <c r="AD241">
        <v>-0.22864369999999901</v>
      </c>
      <c r="AE241">
        <v>-5.8000000000220098E-3</v>
      </c>
      <c r="AF241">
        <v>7.6059057653816596E-3</v>
      </c>
      <c r="AG241">
        <v>-0.22864369999999901</v>
      </c>
      <c r="AH241">
        <v>0.34786671614022002</v>
      </c>
      <c r="AI241">
        <v>123.309588619313</v>
      </c>
      <c r="AJ241">
        <v>88.747460287429305</v>
      </c>
      <c r="AK241">
        <v>0.41634966500572901</v>
      </c>
      <c r="AL241">
        <v>72.388175368811304</v>
      </c>
      <c r="AM241">
        <v>93.4470777123923</v>
      </c>
      <c r="AN241">
        <v>0.999999991388694</v>
      </c>
    </row>
    <row r="242" spans="1:40" x14ac:dyDescent="0.25">
      <c r="A242" t="str">
        <f>"20190304164829384"</f>
        <v>20190304164829384</v>
      </c>
      <c r="B242" t="str">
        <f>"1551689309376992"</f>
        <v>1551689309376992</v>
      </c>
      <c r="C242" t="s">
        <v>40</v>
      </c>
      <c r="D242">
        <v>4.4317129999999896</v>
      </c>
      <c r="E242">
        <v>0.55520539999999996</v>
      </c>
      <c r="F242" t="s">
        <v>41</v>
      </c>
      <c r="G242">
        <v>-423.34109999999998</v>
      </c>
      <c r="H242">
        <v>0.82682549999999899</v>
      </c>
      <c r="I242">
        <v>367.6105</v>
      </c>
      <c r="J242">
        <v>-423.87040000000002</v>
      </c>
      <c r="K242">
        <v>1.060276</v>
      </c>
      <c r="L242">
        <v>367.61579999999998</v>
      </c>
      <c r="M242">
        <v>0.99989130000000004</v>
      </c>
      <c r="N242">
        <v>-1.189318E-2</v>
      </c>
      <c r="O242">
        <v>8.7183409999999992E-3</v>
      </c>
      <c r="P242">
        <v>0.95444229999999997</v>
      </c>
      <c r="Q242">
        <v>0.29101369999999999</v>
      </c>
      <c r="R242">
        <v>6.5962919999999994E-2</v>
      </c>
      <c r="S242">
        <v>3.485474</v>
      </c>
      <c r="T242">
        <v>-1.1183160000000001</v>
      </c>
      <c r="U242">
        <v>-1.538086E-2</v>
      </c>
      <c r="V242">
        <v>-5.762635E-2</v>
      </c>
      <c r="W242">
        <v>0.30235339999999999</v>
      </c>
      <c r="X242">
        <v>0.95145239999999998</v>
      </c>
      <c r="Y242">
        <v>1.209467E-2</v>
      </c>
      <c r="Z242">
        <v>-4.5940190000000004E-3</v>
      </c>
      <c r="AA242">
        <v>0.99991629999999998</v>
      </c>
      <c r="AB242">
        <v>32</v>
      </c>
      <c r="AC242">
        <v>0.52930000000003397</v>
      </c>
      <c r="AD242">
        <v>-0.23345050000000001</v>
      </c>
      <c r="AE242">
        <v>-5.2999999999769898E-3</v>
      </c>
      <c r="AF242">
        <v>8.3002581487388698E-3</v>
      </c>
      <c r="AG242">
        <v>-0.23345050000000001</v>
      </c>
      <c r="AH242">
        <v>0.44305497683785</v>
      </c>
      <c r="AI242">
        <v>117.781089680262</v>
      </c>
      <c r="AJ242">
        <v>88.926737852595394</v>
      </c>
      <c r="AK242">
        <v>0.50086499452085198</v>
      </c>
      <c r="AL242">
        <v>72.400991648831607</v>
      </c>
      <c r="AM242">
        <v>93.465983385687593</v>
      </c>
      <c r="AN242">
        <v>1.0000000220858201</v>
      </c>
    </row>
    <row r="243" spans="1:40" x14ac:dyDescent="0.25">
      <c r="A243" t="str">
        <f>"20190304164829406"</f>
        <v>20190304164829406</v>
      </c>
      <c r="B243" t="str">
        <f>"1551689309396512"</f>
        <v>1551689309396512</v>
      </c>
      <c r="C243" t="s">
        <v>40</v>
      </c>
      <c r="D243">
        <v>4.4044429999999997</v>
      </c>
      <c r="E243">
        <v>0.55518719999999999</v>
      </c>
      <c r="F243" t="s">
        <v>41</v>
      </c>
      <c r="G243">
        <v>-423.06349999999998</v>
      </c>
      <c r="H243">
        <v>0.801234</v>
      </c>
      <c r="I243">
        <v>367.61219999999997</v>
      </c>
      <c r="J243">
        <v>-423.54969999999997</v>
      </c>
      <c r="K243">
        <v>1.0602579999999999</v>
      </c>
      <c r="L243">
        <v>367.61860000000001</v>
      </c>
      <c r="M243">
        <v>0.99989249999999996</v>
      </c>
      <c r="N243">
        <v>-1.1796310000000001E-2</v>
      </c>
      <c r="O243">
        <v>8.7185630000000004E-3</v>
      </c>
      <c r="P243">
        <v>0.9544745</v>
      </c>
      <c r="Q243">
        <v>0.29075519999999999</v>
      </c>
      <c r="R243">
        <v>6.663173E-2</v>
      </c>
      <c r="S243">
        <v>3.485382</v>
      </c>
      <c r="T243">
        <v>-1.1189880000000001</v>
      </c>
      <c r="U243">
        <v>-1.4892580000000001E-2</v>
      </c>
      <c r="V243">
        <v>-5.8295060000000003E-2</v>
      </c>
      <c r="W243">
        <v>0.30200300000000002</v>
      </c>
      <c r="X243">
        <v>0.95152289999999995</v>
      </c>
      <c r="Y243">
        <v>1.196057E-2</v>
      </c>
      <c r="Z243">
        <v>-4.575267E-3</v>
      </c>
      <c r="AA243">
        <v>0.99991799999999997</v>
      </c>
      <c r="AB243">
        <v>32</v>
      </c>
      <c r="AC243">
        <v>0.48619999999999602</v>
      </c>
      <c r="AD243">
        <v>-0.25902399999999898</v>
      </c>
      <c r="AE243">
        <v>-6.4000000000419199E-3</v>
      </c>
      <c r="AF243">
        <v>8.28728765424952E-3</v>
      </c>
      <c r="AG243">
        <v>-0.25902399999999898</v>
      </c>
      <c r="AH243">
        <v>0.37866879796787101</v>
      </c>
      <c r="AI243">
        <v>124.36723462047</v>
      </c>
      <c r="AJ243">
        <v>88.7462636960488</v>
      </c>
      <c r="AK243">
        <v>0.45885964113996403</v>
      </c>
      <c r="AL243">
        <v>72.422051854359296</v>
      </c>
      <c r="AM243">
        <v>93.505844606709005</v>
      </c>
      <c r="AN243">
        <v>0.99999997762690596</v>
      </c>
    </row>
    <row r="244" spans="1:40" x14ac:dyDescent="0.25">
      <c r="A244" t="str">
        <f>"20190304164829426"</f>
        <v>20190304164829426</v>
      </c>
      <c r="B244" t="str">
        <f>"1551689309417011"</f>
        <v>1551689309417011</v>
      </c>
      <c r="C244" t="s">
        <v>40</v>
      </c>
      <c r="D244">
        <v>4.3934160000000002</v>
      </c>
      <c r="E244">
        <v>0.55516989999999999</v>
      </c>
      <c r="F244" t="s">
        <v>41</v>
      </c>
      <c r="G244">
        <v>-422.77089999999998</v>
      </c>
      <c r="H244">
        <v>0.80977069999999995</v>
      </c>
      <c r="I244">
        <v>367.61520000000002</v>
      </c>
      <c r="J244">
        <v>-423.25799999999998</v>
      </c>
      <c r="K244">
        <v>1.060238</v>
      </c>
      <c r="L244">
        <v>367.62119999999999</v>
      </c>
      <c r="M244">
        <v>0.99989349999999999</v>
      </c>
      <c r="N244">
        <v>-1.1707270000000001E-2</v>
      </c>
      <c r="O244">
        <v>8.718913E-3</v>
      </c>
      <c r="P244">
        <v>0.95438579999999995</v>
      </c>
      <c r="Q244">
        <v>0.29101830000000001</v>
      </c>
      <c r="R244">
        <v>6.6755789999999995E-2</v>
      </c>
      <c r="S244">
        <v>3.485535</v>
      </c>
      <c r="T244">
        <v>-1.1209819999999999</v>
      </c>
      <c r="U244">
        <v>-1.3732909999999999E-2</v>
      </c>
      <c r="V244">
        <v>-5.8419100000000002E-2</v>
      </c>
      <c r="W244">
        <v>0.30218030000000001</v>
      </c>
      <c r="X244">
        <v>0.9514591</v>
      </c>
      <c r="Y244">
        <v>1.1641179999999999E-2</v>
      </c>
      <c r="Z244">
        <v>-4.5312059999999899E-3</v>
      </c>
      <c r="AA244">
        <v>0.99992199999999998</v>
      </c>
      <c r="AB244">
        <v>32</v>
      </c>
      <c r="AC244">
        <v>0.48710000000005399</v>
      </c>
      <c r="AD244">
        <v>-0.2504673</v>
      </c>
      <c r="AE244">
        <v>-5.9999999999717996E-3</v>
      </c>
      <c r="AF244">
        <v>8.1045150970978398E-3</v>
      </c>
      <c r="AG244">
        <v>-0.2504673</v>
      </c>
      <c r="AH244">
        <v>0.38519740127827001</v>
      </c>
      <c r="AI244">
        <v>123.027377611849</v>
      </c>
      <c r="AJ244">
        <v>88.794680319846904</v>
      </c>
      <c r="AK244">
        <v>0.45953954072068798</v>
      </c>
      <c r="AL244">
        <v>72.411397145884095</v>
      </c>
      <c r="AM244">
        <v>93.513520657056304</v>
      </c>
      <c r="AN244">
        <v>1.0000000719628499</v>
      </c>
    </row>
    <row r="245" spans="1:40" x14ac:dyDescent="0.25">
      <c r="A245" t="str">
        <f>"20190304164829439"</f>
        <v>20190304164829439</v>
      </c>
      <c r="B245" t="str">
        <f>"1551689309426768"</f>
        <v>1551689309426768</v>
      </c>
      <c r="C245" t="s">
        <v>40</v>
      </c>
      <c r="D245">
        <v>4.4058739999999998</v>
      </c>
      <c r="E245">
        <v>0.55515409999999998</v>
      </c>
      <c r="F245" t="s">
        <v>41</v>
      </c>
      <c r="G245">
        <v>-422.48149999999998</v>
      </c>
      <c r="H245">
        <v>0.81052780000000002</v>
      </c>
      <c r="I245">
        <v>367.61799999999999</v>
      </c>
      <c r="J245">
        <v>-423.0763</v>
      </c>
      <c r="K245">
        <v>1.0602279999999999</v>
      </c>
      <c r="L245">
        <v>367.62279999999998</v>
      </c>
      <c r="M245">
        <v>0.99989410000000001</v>
      </c>
      <c r="N245">
        <v>-1.1652040000000001E-2</v>
      </c>
      <c r="O245">
        <v>8.7192399999999996E-3</v>
      </c>
      <c r="P245">
        <v>0.9543855</v>
      </c>
      <c r="Q245">
        <v>0.29102139999999999</v>
      </c>
      <c r="R245">
        <v>6.6743930000000007E-2</v>
      </c>
      <c r="S245">
        <v>3.4861759999999999</v>
      </c>
      <c r="T245">
        <v>-1.1211990000000001</v>
      </c>
      <c r="U245">
        <v>-1.275635E-2</v>
      </c>
      <c r="V245">
        <v>-5.8406909999999999E-2</v>
      </c>
      <c r="W245">
        <v>0.30213069999999997</v>
      </c>
      <c r="X245">
        <v>0.95147550000000003</v>
      </c>
      <c r="Y245">
        <v>1.1374570000000001E-2</v>
      </c>
      <c r="Z245">
        <v>-4.4880780000000004E-3</v>
      </c>
      <c r="AA245">
        <v>0.99992530000000002</v>
      </c>
      <c r="AB245">
        <v>32</v>
      </c>
      <c r="AC245">
        <v>0.59480000000001998</v>
      </c>
      <c r="AD245">
        <v>-0.24970020000000001</v>
      </c>
      <c r="AE245">
        <v>-4.7999999999319698E-3</v>
      </c>
      <c r="AF245">
        <v>8.4901896689919803E-3</v>
      </c>
      <c r="AG245">
        <v>-0.24970020000000001</v>
      </c>
      <c r="AH245">
        <v>0.50563074176727596</v>
      </c>
      <c r="AI245">
        <v>116.278752025372</v>
      </c>
      <c r="AJ245">
        <v>89.038020664258994</v>
      </c>
      <c r="AK245">
        <v>0.563990000107078</v>
      </c>
      <c r="AL245">
        <v>72.414376639009205</v>
      </c>
      <c r="AM245">
        <v>93.512728949396106</v>
      </c>
      <c r="AN245">
        <v>0.99999997705924304</v>
      </c>
    </row>
    <row r="246" spans="1:40" x14ac:dyDescent="0.25">
      <c r="A246" t="str">
        <f>"20190304164829450"</f>
        <v>20190304164829450</v>
      </c>
      <c r="B246" t="str">
        <f>"1551689309446287"</f>
        <v>1551689309446287</v>
      </c>
      <c r="C246" t="s">
        <v>40</v>
      </c>
      <c r="D246">
        <v>4.3704720000000004</v>
      </c>
      <c r="E246">
        <v>0.55513319999999999</v>
      </c>
      <c r="F246" t="s">
        <v>41</v>
      </c>
      <c r="G246">
        <v>-422.20499999999998</v>
      </c>
      <c r="H246">
        <v>0.77978959999999997</v>
      </c>
      <c r="I246">
        <v>367.61959999999999</v>
      </c>
      <c r="J246">
        <v>-422.90530000000001</v>
      </c>
      <c r="K246">
        <v>1.0602210000000001</v>
      </c>
      <c r="L246">
        <v>367.62430000000001</v>
      </c>
      <c r="M246">
        <v>0.99989479999999997</v>
      </c>
      <c r="N246">
        <v>-1.1601419999999999E-2</v>
      </c>
      <c r="O246">
        <v>8.7194179999999996E-3</v>
      </c>
      <c r="P246">
        <v>0.95440689999999995</v>
      </c>
      <c r="Q246">
        <v>0.29098639999999998</v>
      </c>
      <c r="R246">
        <v>6.6594230000000004E-2</v>
      </c>
      <c r="S246">
        <v>3.4863590000000002</v>
      </c>
      <c r="T246">
        <v>-1.122187</v>
      </c>
      <c r="U246">
        <v>-1.113892E-2</v>
      </c>
      <c r="V246">
        <v>-5.825698E-2</v>
      </c>
      <c r="W246">
        <v>0.30204799999999998</v>
      </c>
      <c r="X246">
        <v>0.951511</v>
      </c>
      <c r="Y246">
        <v>1.093217E-2</v>
      </c>
      <c r="Z246">
        <v>-4.4197610000000003E-3</v>
      </c>
      <c r="AA246">
        <v>0.99993050000000006</v>
      </c>
      <c r="AB246">
        <v>32</v>
      </c>
      <c r="AC246">
        <v>0.70030000000002701</v>
      </c>
      <c r="AD246">
        <v>-0.280431399999999</v>
      </c>
      <c r="AE246">
        <v>-4.7000000000139101E-3</v>
      </c>
      <c r="AF246">
        <v>9.31309692675613E-3</v>
      </c>
      <c r="AG246">
        <v>-0.280431399999999</v>
      </c>
      <c r="AH246">
        <v>0.60346720390167896</v>
      </c>
      <c r="AI246">
        <v>114.92170090439799</v>
      </c>
      <c r="AJ246">
        <v>89.115844591541006</v>
      </c>
      <c r="AK246">
        <v>0.66550820435606795</v>
      </c>
      <c r="AL246">
        <v>72.419348126775603</v>
      </c>
      <c r="AM246">
        <v>93.503603902966006</v>
      </c>
      <c r="AN246">
        <v>1.0000000265718501</v>
      </c>
    </row>
    <row r="247" spans="1:40" x14ac:dyDescent="0.25">
      <c r="A247" t="str">
        <f>"20190304164829462"</f>
        <v>20190304164829462</v>
      </c>
      <c r="B247" t="str">
        <f>"1551689309457023"</f>
        <v>1551689309457023</v>
      </c>
      <c r="C247" t="s">
        <v>40</v>
      </c>
      <c r="D247">
        <v>4.3554510000000004</v>
      </c>
      <c r="E247">
        <v>0.55512810000000001</v>
      </c>
      <c r="F247" t="s">
        <v>41</v>
      </c>
      <c r="G247">
        <v>-422.18459999999999</v>
      </c>
      <c r="H247">
        <v>0.82799579999999995</v>
      </c>
      <c r="I247">
        <v>367.6216</v>
      </c>
      <c r="J247">
        <v>-422.73110000000003</v>
      </c>
      <c r="K247">
        <v>1.060214</v>
      </c>
      <c r="L247">
        <v>367.62580000000003</v>
      </c>
      <c r="M247">
        <v>0.99989530000000004</v>
      </c>
      <c r="N247">
        <v>-1.155073E-2</v>
      </c>
      <c r="O247">
        <v>8.7197149999999994E-3</v>
      </c>
      <c r="P247">
        <v>0.95450789999999996</v>
      </c>
      <c r="Q247">
        <v>0.29069980000000001</v>
      </c>
      <c r="R247">
        <v>6.6396650000000002E-2</v>
      </c>
      <c r="S247">
        <v>3.4866329999999999</v>
      </c>
      <c r="T247">
        <v>-1.12355</v>
      </c>
      <c r="U247">
        <v>-1.101685E-2</v>
      </c>
      <c r="V247">
        <v>-5.805834E-2</v>
      </c>
      <c r="W247">
        <v>0.30171429999999999</v>
      </c>
      <c r="X247">
        <v>0.95162899999999995</v>
      </c>
      <c r="Y247">
        <v>1.089681E-2</v>
      </c>
      <c r="Z247">
        <v>-4.419058E-3</v>
      </c>
      <c r="AA247">
        <v>0.99993089999999996</v>
      </c>
      <c r="AB247">
        <v>32</v>
      </c>
      <c r="AC247">
        <v>0.54650000000003696</v>
      </c>
      <c r="AD247">
        <v>-0.23221820000000001</v>
      </c>
      <c r="AE247">
        <v>-4.20000000002573E-3</v>
      </c>
      <c r="AF247">
        <v>7.5943559781345002E-3</v>
      </c>
      <c r="AG247">
        <v>-0.23221820000000001</v>
      </c>
      <c r="AH247">
        <v>0.46287298781451403</v>
      </c>
      <c r="AI247">
        <v>116.639317995477</v>
      </c>
      <c r="AJ247">
        <v>89.060032622851196</v>
      </c>
      <c r="AK247">
        <v>0.51791347684946099</v>
      </c>
      <c r="AL247">
        <v>72.439403305967801</v>
      </c>
      <c r="AM247">
        <v>93.491255309479996</v>
      </c>
      <c r="AN247">
        <v>1.00000002165452</v>
      </c>
    </row>
    <row r="248" spans="1:40" x14ac:dyDescent="0.25">
      <c r="A248" t="str">
        <f>"20190304164829483"</f>
        <v>20190304164829483</v>
      </c>
      <c r="B248" t="str">
        <f>"1551689309476544"</f>
        <v>1551689309476544</v>
      </c>
      <c r="C248" t="s">
        <v>40</v>
      </c>
      <c r="D248">
        <v>4.5256999999999996</v>
      </c>
      <c r="E248">
        <v>0.55519350000000001</v>
      </c>
      <c r="F248" t="s">
        <v>41</v>
      </c>
      <c r="G248">
        <v>-421.90929999999997</v>
      </c>
      <c r="H248">
        <v>0.79499799999999998</v>
      </c>
      <c r="I248">
        <v>367.62270000000001</v>
      </c>
      <c r="J248">
        <v>-422.43959999999998</v>
      </c>
      <c r="K248">
        <v>1.0601989999999999</v>
      </c>
      <c r="L248">
        <v>367.6284</v>
      </c>
      <c r="M248">
        <v>0.99989629999999996</v>
      </c>
      <c r="N248">
        <v>-1.146641E-2</v>
      </c>
      <c r="O248">
        <v>8.7200279999999995E-3</v>
      </c>
      <c r="P248">
        <v>0.95436849999999995</v>
      </c>
      <c r="Q248">
        <v>0.29117330000000002</v>
      </c>
      <c r="R248">
        <v>6.6325839999999997E-2</v>
      </c>
      <c r="S248">
        <v>3.4864809999999999</v>
      </c>
      <c r="T248">
        <v>-1.125149</v>
      </c>
      <c r="U248">
        <v>-1.190186E-2</v>
      </c>
      <c r="V248">
        <v>-5.7988169999999999E-2</v>
      </c>
      <c r="W248">
        <v>0.30210619999999999</v>
      </c>
      <c r="X248">
        <v>0.95150889999999999</v>
      </c>
      <c r="Y248">
        <v>1.1135580000000001E-2</v>
      </c>
      <c r="Z248">
        <v>-4.4646019999999998E-3</v>
      </c>
      <c r="AA248">
        <v>0.99992809999999999</v>
      </c>
      <c r="AB248">
        <v>32</v>
      </c>
      <c r="AC248">
        <v>0.53030000000001098</v>
      </c>
      <c r="AD248">
        <v>-0.26520099999999902</v>
      </c>
      <c r="AE248">
        <v>-5.6999999999902597E-3</v>
      </c>
      <c r="AF248">
        <v>8.2590096654927697E-3</v>
      </c>
      <c r="AG248">
        <v>-0.26520099999999902</v>
      </c>
      <c r="AH248">
        <v>0.424161268756929</v>
      </c>
      <c r="AI248">
        <v>122.010234698229</v>
      </c>
      <c r="AJ248">
        <v>88.884512466839197</v>
      </c>
      <c r="AK248">
        <v>0.50031246592019096</v>
      </c>
      <c r="AL248">
        <v>72.415849348435302</v>
      </c>
      <c r="AM248">
        <v>93.487485205599896</v>
      </c>
      <c r="AN248">
        <v>0.99999998535879897</v>
      </c>
    </row>
    <row r="249" spans="1:40" x14ac:dyDescent="0.25">
      <c r="A249" t="str">
        <f>"20190304164829494"</f>
        <v>20190304164829494</v>
      </c>
      <c r="B249" t="str">
        <f>"1551689309486304"</f>
        <v>1551689309486304</v>
      </c>
      <c r="C249" t="s">
        <v>40</v>
      </c>
      <c r="D249">
        <v>4.3513679999999999</v>
      </c>
      <c r="E249">
        <v>0.55518029999999996</v>
      </c>
      <c r="F249" t="s">
        <v>41</v>
      </c>
      <c r="G249">
        <v>-421.61919999999998</v>
      </c>
      <c r="H249">
        <v>0.7960448</v>
      </c>
      <c r="I249">
        <v>367.62430000000001</v>
      </c>
      <c r="J249">
        <v>-422.26859999999999</v>
      </c>
      <c r="K249">
        <v>1.0601910000000001</v>
      </c>
      <c r="L249">
        <v>367.62990000000002</v>
      </c>
      <c r="M249">
        <v>0.99989680000000003</v>
      </c>
      <c r="N249">
        <v>-1.1416590000000001E-2</v>
      </c>
      <c r="O249">
        <v>8.7201369999999993E-3</v>
      </c>
      <c r="P249">
        <v>0.95434660000000004</v>
      </c>
      <c r="Q249">
        <v>0.29122769999999998</v>
      </c>
      <c r="R249">
        <v>6.6400799999999996E-2</v>
      </c>
      <c r="S249">
        <v>3.4870299999999999</v>
      </c>
      <c r="T249">
        <v>-1.1228180000000001</v>
      </c>
      <c r="U249">
        <v>-1.516724E-2</v>
      </c>
      <c r="V249">
        <v>-5.806381E-2</v>
      </c>
      <c r="W249">
        <v>0.30211250000000001</v>
      </c>
      <c r="X249">
        <v>0.95150230000000002</v>
      </c>
      <c r="Y249">
        <v>1.202896E-2</v>
      </c>
      <c r="Z249">
        <v>-4.6007309999999899E-3</v>
      </c>
      <c r="AA249">
        <v>0.9999171</v>
      </c>
      <c r="AB249">
        <v>32</v>
      </c>
      <c r="AC249">
        <v>0.64940000000001397</v>
      </c>
      <c r="AD249">
        <v>-0.264146199999999</v>
      </c>
      <c r="AE249">
        <v>-5.6000000000153696E-3</v>
      </c>
      <c r="AF249">
        <v>9.6641997631779098E-3</v>
      </c>
      <c r="AG249">
        <v>-0.264146199999999</v>
      </c>
      <c r="AH249">
        <v>0.55715292560566598</v>
      </c>
      <c r="AI249">
        <v>115.362294037022</v>
      </c>
      <c r="AJ249">
        <v>89.006265047721598</v>
      </c>
      <c r="AK249">
        <v>0.61667332862906898</v>
      </c>
      <c r="AL249">
        <v>72.415470917476199</v>
      </c>
      <c r="AM249">
        <v>93.492047207710101</v>
      </c>
      <c r="AN249">
        <v>0.99999999779662796</v>
      </c>
    </row>
    <row r="250" spans="1:40" x14ac:dyDescent="0.25">
      <c r="A250" t="str">
        <f>"20190304164829505"</f>
        <v>20190304164829505</v>
      </c>
      <c r="B250" t="str">
        <f>"1551689309497039"</f>
        <v>1551689309497039</v>
      </c>
      <c r="C250" t="s">
        <v>40</v>
      </c>
      <c r="D250">
        <v>4.3502039999999997</v>
      </c>
      <c r="E250">
        <v>0.55516750000000004</v>
      </c>
      <c r="F250" t="s">
        <v>41</v>
      </c>
      <c r="G250">
        <v>-421.59829999999999</v>
      </c>
      <c r="H250">
        <v>0.84436909999999898</v>
      </c>
      <c r="I250">
        <v>367.62610000000001</v>
      </c>
      <c r="J250">
        <v>-422.10390000000001</v>
      </c>
      <c r="K250">
        <v>1.0601830000000001</v>
      </c>
      <c r="L250">
        <v>367.63130000000001</v>
      </c>
      <c r="M250">
        <v>0.99989740000000005</v>
      </c>
      <c r="N250">
        <v>-1.137031E-2</v>
      </c>
      <c r="O250">
        <v>8.720584E-3</v>
      </c>
      <c r="P250">
        <v>0.95435230000000004</v>
      </c>
      <c r="Q250">
        <v>0.29120069999999998</v>
      </c>
      <c r="R250">
        <v>6.6439230000000002E-2</v>
      </c>
      <c r="S250">
        <v>3.4873959999999999</v>
      </c>
      <c r="T250">
        <v>-1.1229819999999999</v>
      </c>
      <c r="U250">
        <v>-1.696777E-2</v>
      </c>
      <c r="V250">
        <v>-5.8101479999999997E-2</v>
      </c>
      <c r="W250">
        <v>0.30204160000000002</v>
      </c>
      <c r="X250">
        <v>0.95152250000000005</v>
      </c>
      <c r="Y250">
        <v>1.251934E-2</v>
      </c>
      <c r="Z250">
        <v>-4.681017E-3</v>
      </c>
      <c r="AA250">
        <v>0.99991070000000004</v>
      </c>
      <c r="AB250">
        <v>32</v>
      </c>
      <c r="AC250">
        <v>0.50560000000001504</v>
      </c>
      <c r="AD250">
        <v>-0.2158139</v>
      </c>
      <c r="AE250">
        <v>-5.2000000000020901E-3</v>
      </c>
      <c r="AF250">
        <v>8.1283906435174798E-3</v>
      </c>
      <c r="AG250">
        <v>-0.2158139</v>
      </c>
      <c r="AH250">
        <v>0.42763011539256501</v>
      </c>
      <c r="AI250">
        <v>116.774739028236</v>
      </c>
      <c r="AJ250">
        <v>88.911053304255503</v>
      </c>
      <c r="AK250">
        <v>0.479071211573313</v>
      </c>
      <c r="AL250">
        <v>72.419732104718804</v>
      </c>
      <c r="AM250">
        <v>93.494233130692507</v>
      </c>
      <c r="AN250">
        <v>0.99999998905749998</v>
      </c>
    </row>
    <row r="251" spans="1:40" x14ac:dyDescent="0.25">
      <c r="A251" t="str">
        <f>"20190304164829518"</f>
        <v>20190304164829518</v>
      </c>
      <c r="B251" t="str">
        <f>"1551689309506800"</f>
        <v>1551689309506800</v>
      </c>
      <c r="C251" t="s">
        <v>40</v>
      </c>
      <c r="D251">
        <v>4.3563669999999997</v>
      </c>
      <c r="E251">
        <v>0.55515649999999905</v>
      </c>
      <c r="F251" t="s">
        <v>41</v>
      </c>
      <c r="G251">
        <v>-421.32380000000001</v>
      </c>
      <c r="H251">
        <v>0.80884869999999898</v>
      </c>
      <c r="I251">
        <v>367.62740000000002</v>
      </c>
      <c r="J251">
        <v>-421.93090000000001</v>
      </c>
      <c r="K251">
        <v>1.0601750000000001</v>
      </c>
      <c r="L251">
        <v>367.63279999999997</v>
      </c>
      <c r="M251">
        <v>0.99989790000000001</v>
      </c>
      <c r="N251">
        <v>-1.1321970000000001E-2</v>
      </c>
      <c r="O251">
        <v>8.7210410000000006E-3</v>
      </c>
      <c r="P251">
        <v>0.95430490000000001</v>
      </c>
      <c r="Q251">
        <v>0.29134850000000001</v>
      </c>
      <c r="R251">
        <v>6.6470500000000002E-2</v>
      </c>
      <c r="S251">
        <v>3.487549</v>
      </c>
      <c r="T251">
        <v>-1.1235919999999999</v>
      </c>
      <c r="U251">
        <v>-1.7333979999999999E-2</v>
      </c>
      <c r="V251">
        <v>-5.81331E-2</v>
      </c>
      <c r="W251">
        <v>0.30214299999999999</v>
      </c>
      <c r="X251">
        <v>0.95148840000000001</v>
      </c>
      <c r="Y251">
        <v>1.2618280000000001E-2</v>
      </c>
      <c r="Z251">
        <v>-4.6996159999999898E-3</v>
      </c>
      <c r="AA251">
        <v>0.9999093</v>
      </c>
      <c r="AB251">
        <v>32</v>
      </c>
      <c r="AC251">
        <v>0.60710000000000197</v>
      </c>
      <c r="AD251">
        <v>-0.2513263</v>
      </c>
      <c r="AE251">
        <v>-5.3999999999518799E-3</v>
      </c>
      <c r="AF251">
        <v>9.1301018160315495E-3</v>
      </c>
      <c r="AG251">
        <v>-0.2513263</v>
      </c>
      <c r="AH251">
        <v>0.51822449250234204</v>
      </c>
      <c r="AI251">
        <v>115.86876869993</v>
      </c>
      <c r="AJ251">
        <v>88.990664868374395</v>
      </c>
      <c r="AK251">
        <v>0.57602507971456496</v>
      </c>
      <c r="AL251">
        <v>72.4136379944174</v>
      </c>
      <c r="AM251">
        <v>93.496255033105896</v>
      </c>
      <c r="AN251">
        <v>1.00000001254958</v>
      </c>
    </row>
    <row r="252" spans="1:40" x14ac:dyDescent="0.25">
      <c r="A252" t="str">
        <f>"20190304164829531"</f>
        <v>20190304164829531</v>
      </c>
      <c r="B252" t="str">
        <f>"1551689309526321"</f>
        <v>1551689309526321</v>
      </c>
      <c r="C252" t="s">
        <v>40</v>
      </c>
      <c r="D252">
        <v>4.3584990000000001</v>
      </c>
      <c r="E252">
        <v>0.55514110000000005</v>
      </c>
      <c r="F252" t="s">
        <v>41</v>
      </c>
      <c r="G252">
        <v>-421.04739999999998</v>
      </c>
      <c r="H252">
        <v>0.77554909999999999</v>
      </c>
      <c r="I252">
        <v>367.62779999999998</v>
      </c>
      <c r="J252">
        <v>-421.74489999999997</v>
      </c>
      <c r="K252">
        <v>1.060165</v>
      </c>
      <c r="L252">
        <v>367.63440000000003</v>
      </c>
      <c r="M252">
        <v>0.99989859999999997</v>
      </c>
      <c r="N252">
        <v>-1.127072E-2</v>
      </c>
      <c r="O252">
        <v>8.7209769999999995E-3</v>
      </c>
      <c r="P252">
        <v>0.95430110000000001</v>
      </c>
      <c r="Q252">
        <v>0.2913674</v>
      </c>
      <c r="R252">
        <v>6.6444450000000002E-2</v>
      </c>
      <c r="S252">
        <v>3.487946</v>
      </c>
      <c r="T252">
        <v>-1.123734</v>
      </c>
      <c r="U252">
        <v>-1.7700199999999999E-2</v>
      </c>
      <c r="V252">
        <v>-5.8107350000000002E-2</v>
      </c>
      <c r="W252">
        <v>0.30211300000000002</v>
      </c>
      <c r="X252">
        <v>0.95149950000000005</v>
      </c>
      <c r="Y252">
        <v>1.271738E-2</v>
      </c>
      <c r="Z252">
        <v>-4.7159000000000003E-3</v>
      </c>
      <c r="AA252">
        <v>0.99990800000000002</v>
      </c>
      <c r="AB252">
        <v>32</v>
      </c>
      <c r="AC252">
        <v>0.69749999999999002</v>
      </c>
      <c r="AD252">
        <v>-0.28461589999999998</v>
      </c>
      <c r="AE252">
        <v>-6.6000000000485601E-3</v>
      </c>
      <c r="AF252">
        <v>1.08727927595709E-2</v>
      </c>
      <c r="AG252">
        <v>-0.28461589999999998</v>
      </c>
      <c r="AH252">
        <v>0.59787503978626999</v>
      </c>
      <c r="AI252">
        <v>115.452911251866</v>
      </c>
      <c r="AJ252">
        <v>88.958149390766707</v>
      </c>
      <c r="AK252">
        <v>0.66225296628602304</v>
      </c>
      <c r="AL252">
        <v>72.415441154031996</v>
      </c>
      <c r="AM252">
        <v>93.494669541778606</v>
      </c>
      <c r="AN252">
        <v>1.0000000136966301</v>
      </c>
    </row>
    <row r="253" spans="1:40" x14ac:dyDescent="0.25">
      <c r="A253" t="str">
        <f>"20190304164829548"</f>
        <v>20190304164829548</v>
      </c>
      <c r="B253" t="str">
        <f>"1551689309537056"</f>
        <v>1551689309537056</v>
      </c>
      <c r="C253" t="s">
        <v>40</v>
      </c>
      <c r="D253">
        <v>4.437716</v>
      </c>
      <c r="E253">
        <v>0.55508480000000004</v>
      </c>
      <c r="F253" t="s">
        <v>41</v>
      </c>
      <c r="G253">
        <v>-421.02519999999998</v>
      </c>
      <c r="H253">
        <v>0.82813859999999995</v>
      </c>
      <c r="I253">
        <v>367.63040000000001</v>
      </c>
      <c r="J253">
        <v>-421.48410000000001</v>
      </c>
      <c r="K253">
        <v>1.060154</v>
      </c>
      <c r="L253">
        <v>367.63670000000002</v>
      </c>
      <c r="M253">
        <v>0.99989930000000005</v>
      </c>
      <c r="N253">
        <v>-1.1201300000000001E-2</v>
      </c>
      <c r="O253">
        <v>8.7215529999999999E-3</v>
      </c>
      <c r="P253">
        <v>0.95424379999999998</v>
      </c>
      <c r="Q253">
        <v>0.29149199999999997</v>
      </c>
      <c r="R253">
        <v>6.6716949999999997E-2</v>
      </c>
      <c r="S253">
        <v>3.4882200000000001</v>
      </c>
      <c r="T253">
        <v>-1.124557</v>
      </c>
      <c r="U253">
        <v>-1.7395020000000001E-2</v>
      </c>
      <c r="V253">
        <v>-5.8379359999999998E-2</v>
      </c>
      <c r="W253">
        <v>0.30217119999999997</v>
      </c>
      <c r="X253">
        <v>0.95146439999999999</v>
      </c>
      <c r="Y253">
        <v>1.263305E-2</v>
      </c>
      <c r="Z253">
        <v>-4.7054260000000004E-3</v>
      </c>
      <c r="AA253">
        <v>0.9999091</v>
      </c>
      <c r="AB253">
        <v>32</v>
      </c>
      <c r="AC253">
        <v>0.45890000000002801</v>
      </c>
      <c r="AD253">
        <v>-0.23201540000000001</v>
      </c>
      <c r="AE253">
        <v>-6.3000000000101803E-3</v>
      </c>
      <c r="AF253">
        <v>8.2052803773498793E-3</v>
      </c>
      <c r="AG253">
        <v>-0.23201540000000001</v>
      </c>
      <c r="AH253">
        <v>0.36543271148696899</v>
      </c>
      <c r="AI253">
        <v>122.405173069637</v>
      </c>
      <c r="AJ253">
        <v>88.713719551553197</v>
      </c>
      <c r="AK253">
        <v>0.43294288201557202</v>
      </c>
      <c r="AL253">
        <v>72.411943601043205</v>
      </c>
      <c r="AM253">
        <v>93.511117032066295</v>
      </c>
      <c r="AN253">
        <v>1.0000000441254</v>
      </c>
    </row>
    <row r="254" spans="1:40" x14ac:dyDescent="0.25">
      <c r="A254" t="str">
        <f>"20190304164829562"</f>
        <v>20190304164829562</v>
      </c>
      <c r="B254" t="str">
        <f>"1551689309556576"</f>
        <v>1551689309556576</v>
      </c>
      <c r="C254" t="s">
        <v>40</v>
      </c>
      <c r="D254">
        <v>4.3593950000000001</v>
      </c>
      <c r="E254">
        <v>0.55507799999999996</v>
      </c>
      <c r="F254" t="s">
        <v>41</v>
      </c>
      <c r="G254">
        <v>-420.73840000000001</v>
      </c>
      <c r="H254">
        <v>0.81965739999999998</v>
      </c>
      <c r="I254">
        <v>367.63310000000001</v>
      </c>
      <c r="J254">
        <v>-421.29719999999998</v>
      </c>
      <c r="K254">
        <v>1.06014599999999</v>
      </c>
      <c r="L254">
        <v>367.63830000000002</v>
      </c>
      <c r="M254">
        <v>0.99989989999999995</v>
      </c>
      <c r="N254">
        <v>-1.115268E-2</v>
      </c>
      <c r="O254">
        <v>8.7216499999999992E-3</v>
      </c>
      <c r="P254">
        <v>0.9542737</v>
      </c>
      <c r="Q254">
        <v>0.29134739999999998</v>
      </c>
      <c r="R254">
        <v>6.6920090000000002E-2</v>
      </c>
      <c r="S254">
        <v>3.4887389999999998</v>
      </c>
      <c r="T254">
        <v>-1.1252089999999999</v>
      </c>
      <c r="U254">
        <v>-1.6357420000000001E-2</v>
      </c>
      <c r="V254">
        <v>-5.8582240000000001E-2</v>
      </c>
      <c r="W254">
        <v>0.30198069999999999</v>
      </c>
      <c r="X254">
        <v>0.95151229999999998</v>
      </c>
      <c r="Y254">
        <v>1.2349010000000001E-2</v>
      </c>
      <c r="Z254">
        <v>-4.6612040000000004E-3</v>
      </c>
      <c r="AA254">
        <v>0.99991289999999999</v>
      </c>
      <c r="AB254">
        <v>32</v>
      </c>
      <c r="AC254">
        <v>0.55879999999996199</v>
      </c>
      <c r="AD254">
        <v>-0.240488599999999</v>
      </c>
      <c r="AE254">
        <v>-5.2000000000020901E-3</v>
      </c>
      <c r="AF254">
        <v>8.4996383671286594E-3</v>
      </c>
      <c r="AG254">
        <v>-0.240488599999999</v>
      </c>
      <c r="AH254">
        <v>0.47142580990973099</v>
      </c>
      <c r="AI254">
        <v>117.02373807597699</v>
      </c>
      <c r="AJ254">
        <v>88.967089545747299</v>
      </c>
      <c r="AK254">
        <v>0.52929132321565397</v>
      </c>
      <c r="AL254">
        <v>72.423391435544005</v>
      </c>
      <c r="AM254">
        <v>93.523111266429197</v>
      </c>
      <c r="AN254">
        <v>0.999999939533597</v>
      </c>
    </row>
    <row r="255" spans="1:40" x14ac:dyDescent="0.25">
      <c r="A255" t="str">
        <f>"20190304164829573"</f>
        <v>20190304164829573</v>
      </c>
      <c r="B255" t="str">
        <f>"1551689309566336"</f>
        <v>1551689309566336</v>
      </c>
      <c r="C255" t="s">
        <v>40</v>
      </c>
      <c r="D255">
        <v>4.3558570000000003</v>
      </c>
      <c r="E255">
        <v>0.55506929999999999</v>
      </c>
      <c r="F255" t="s">
        <v>41</v>
      </c>
      <c r="G255">
        <v>-420.46039999999999</v>
      </c>
      <c r="H255">
        <v>0.78998819999999903</v>
      </c>
      <c r="I255">
        <v>367.63409999999999</v>
      </c>
      <c r="J255">
        <v>-421.12700000000001</v>
      </c>
      <c r="K255">
        <v>1.0601389999999999</v>
      </c>
      <c r="L255">
        <v>367.63979999999998</v>
      </c>
      <c r="M255">
        <v>0.99990029999999996</v>
      </c>
      <c r="N255">
        <v>-1.110889E-2</v>
      </c>
      <c r="O255">
        <v>8.7217189999999993E-3</v>
      </c>
      <c r="P255">
        <v>0.95432030000000001</v>
      </c>
      <c r="Q255">
        <v>0.29111300000000001</v>
      </c>
      <c r="R255">
        <v>6.7278950000000004E-2</v>
      </c>
      <c r="S255">
        <v>3.4887700000000001</v>
      </c>
      <c r="T255">
        <v>-1.126309</v>
      </c>
      <c r="U255">
        <v>-1.5991209999999999E-2</v>
      </c>
      <c r="V255">
        <v>-5.8940630000000001E-2</v>
      </c>
      <c r="W255">
        <v>0.3017048</v>
      </c>
      <c r="X255">
        <v>0.95157780000000003</v>
      </c>
      <c r="Y255">
        <v>1.224738E-2</v>
      </c>
      <c r="Z255">
        <v>-4.6490719999999998E-3</v>
      </c>
      <c r="AA255">
        <v>0.99991419999999998</v>
      </c>
      <c r="AB255">
        <v>32</v>
      </c>
      <c r="AC255">
        <v>0.666599999999959</v>
      </c>
      <c r="AD255">
        <v>-0.27015079999999903</v>
      </c>
      <c r="AE255">
        <v>-5.6999999999902597E-3</v>
      </c>
      <c r="AF255">
        <v>9.8898399516367894E-3</v>
      </c>
      <c r="AG255">
        <v>-0.27015079999999903</v>
      </c>
      <c r="AH255">
        <v>0.57250322912065399</v>
      </c>
      <c r="AI255">
        <v>115.258223015863</v>
      </c>
      <c r="AJ255">
        <v>89.010329191052705</v>
      </c>
      <c r="AK255">
        <v>0.63311863898363097</v>
      </c>
      <c r="AL255">
        <v>72.439974677013396</v>
      </c>
      <c r="AM255">
        <v>93.5443665402438</v>
      </c>
      <c r="AN255">
        <v>1.0000000468303301</v>
      </c>
    </row>
    <row r="256" spans="1:40" x14ac:dyDescent="0.25">
      <c r="A256" t="str">
        <f>"20190304164829597"</f>
        <v>20190304164829597</v>
      </c>
      <c r="B256" t="str">
        <f>"1551689309586831"</f>
        <v>1551689309586831</v>
      </c>
      <c r="C256" t="s">
        <v>40</v>
      </c>
      <c r="D256">
        <v>4.3640049999999997</v>
      </c>
      <c r="E256">
        <v>0.5550678</v>
      </c>
      <c r="F256" t="s">
        <v>41</v>
      </c>
      <c r="G256">
        <v>-420.43979999999999</v>
      </c>
      <c r="H256">
        <v>0.83799709999999905</v>
      </c>
      <c r="I256">
        <v>367.63670000000002</v>
      </c>
      <c r="J256">
        <v>-420.78809999999999</v>
      </c>
      <c r="K256">
        <v>1.0601210000000001</v>
      </c>
      <c r="L256">
        <v>367.64280000000002</v>
      </c>
      <c r="M256">
        <v>0.99990129999999999</v>
      </c>
      <c r="N256">
        <v>-1.1020510000000001E-2</v>
      </c>
      <c r="O256">
        <v>8.7222150000000002E-3</v>
      </c>
      <c r="P256">
        <v>0.95432810000000001</v>
      </c>
      <c r="Q256">
        <v>0.29095339999999997</v>
      </c>
      <c r="R256">
        <v>6.785323E-2</v>
      </c>
      <c r="S256">
        <v>3.4886170000000001</v>
      </c>
      <c r="T256">
        <v>-1.1277440000000001</v>
      </c>
      <c r="U256">
        <v>-1.4190670000000001E-2</v>
      </c>
      <c r="V256">
        <v>-5.9514409999999997E-2</v>
      </c>
      <c r="W256">
        <v>0.30146149999999999</v>
      </c>
      <c r="X256">
        <v>0.95161910000000005</v>
      </c>
      <c r="Y256">
        <v>1.1755170000000001E-2</v>
      </c>
      <c r="Z256">
        <v>-4.574931E-3</v>
      </c>
      <c r="AA256">
        <v>0.99992040000000004</v>
      </c>
      <c r="AB256">
        <v>32</v>
      </c>
      <c r="AC256">
        <v>0.348299999999994</v>
      </c>
      <c r="AD256">
        <v>-0.22212390000000001</v>
      </c>
      <c r="AE256">
        <v>-6.1000000000035401E-3</v>
      </c>
      <c r="AF256">
        <v>6.4965183362337897E-3</v>
      </c>
      <c r="AG256">
        <v>-0.22212390000000001</v>
      </c>
      <c r="AH256">
        <v>0.24757391245857299</v>
      </c>
      <c r="AI256">
        <v>131.88872792308999</v>
      </c>
      <c r="AJ256">
        <v>88.496862293719204</v>
      </c>
      <c r="AK256">
        <v>0.33267713151304501</v>
      </c>
      <c r="AL256">
        <v>72.454593844933399</v>
      </c>
      <c r="AM256">
        <v>93.578626368105702</v>
      </c>
      <c r="AN256">
        <v>0.99999995623235305</v>
      </c>
    </row>
    <row r="257" spans="1:40" x14ac:dyDescent="0.25">
      <c r="A257" t="str">
        <f>"20190304164829617"</f>
        <v>20190304164829617</v>
      </c>
      <c r="B257" t="str">
        <f>"1551689309606351"</f>
        <v>1551689309606351</v>
      </c>
      <c r="C257" t="s">
        <v>40</v>
      </c>
      <c r="D257">
        <v>4.4656370000000001</v>
      </c>
      <c r="E257">
        <v>0.5550349</v>
      </c>
      <c r="F257" t="s">
        <v>41</v>
      </c>
      <c r="G257">
        <v>-419.88679999999999</v>
      </c>
      <c r="H257">
        <v>0.76849440000000002</v>
      </c>
      <c r="I257">
        <v>367.63920000000002</v>
      </c>
      <c r="J257">
        <v>-420.4932</v>
      </c>
      <c r="K257">
        <v>1.060109</v>
      </c>
      <c r="L257">
        <v>367.64530000000002</v>
      </c>
      <c r="M257">
        <v>0.99990219999999996</v>
      </c>
      <c r="N257">
        <v>-1.094184E-2</v>
      </c>
      <c r="O257">
        <v>8.7223549999999993E-3</v>
      </c>
      <c r="P257">
        <v>0.95429660000000005</v>
      </c>
      <c r="Q257">
        <v>0.29096129999999998</v>
      </c>
      <c r="R257">
        <v>6.8263569999999996E-2</v>
      </c>
      <c r="S257">
        <v>3.4886170000000001</v>
      </c>
      <c r="T257">
        <v>-1.1288480000000001</v>
      </c>
      <c r="U257">
        <v>-1.272583E-2</v>
      </c>
      <c r="V257">
        <v>-5.9925060000000002E-2</v>
      </c>
      <c r="W257">
        <v>0.301394299999999</v>
      </c>
      <c r="X257">
        <v>0.95161470000000004</v>
      </c>
      <c r="Y257">
        <v>1.135457E-2</v>
      </c>
      <c r="Z257">
        <v>-4.5140149999999997E-3</v>
      </c>
      <c r="AA257">
        <v>0.99992539999999996</v>
      </c>
      <c r="AB257">
        <v>33</v>
      </c>
      <c r="AC257">
        <v>0.60640000000000704</v>
      </c>
      <c r="AD257">
        <v>-0.291614599999999</v>
      </c>
      <c r="AE257">
        <v>-6.1000000000035401E-3</v>
      </c>
      <c r="AF257">
        <v>9.2503113909568006E-3</v>
      </c>
      <c r="AG257">
        <v>-0.291614599999999</v>
      </c>
      <c r="AH257">
        <v>0.49245110074279902</v>
      </c>
      <c r="AI257">
        <v>120.62829942149</v>
      </c>
      <c r="AJ257">
        <v>88.923869847137297</v>
      </c>
      <c r="AK257">
        <v>0.572392111944936</v>
      </c>
      <c r="AL257">
        <v>72.458633401403006</v>
      </c>
      <c r="AM257">
        <v>93.603270708627093</v>
      </c>
      <c r="AN257">
        <v>1.0000000370722899</v>
      </c>
    </row>
    <row r="258" spans="1:40" x14ac:dyDescent="0.25">
      <c r="A258" t="str">
        <f>"20190304164829628"</f>
        <v>20190304164829628</v>
      </c>
      <c r="B258" t="str">
        <f>"1551689309617088"</f>
        <v>1551689309617088</v>
      </c>
      <c r="C258" t="s">
        <v>40</v>
      </c>
      <c r="D258">
        <v>4.4646470000000003</v>
      </c>
      <c r="E258">
        <v>0.55499540000000003</v>
      </c>
      <c r="F258" t="s">
        <v>41</v>
      </c>
      <c r="G258">
        <v>-419.5949</v>
      </c>
      <c r="H258">
        <v>0.769294699999999</v>
      </c>
      <c r="I258">
        <v>367.6422</v>
      </c>
      <c r="J258">
        <v>-420.31110000000001</v>
      </c>
      <c r="K258">
        <v>1.060103</v>
      </c>
      <c r="L258">
        <v>367.64690000000002</v>
      </c>
      <c r="M258">
        <v>0.99990270000000003</v>
      </c>
      <c r="N258">
        <v>-1.0894640000000001E-2</v>
      </c>
      <c r="O258">
        <v>8.7226149999999995E-3</v>
      </c>
      <c r="P258">
        <v>0.95426239999999996</v>
      </c>
      <c r="Q258">
        <v>0.291066099999999</v>
      </c>
      <c r="R258">
        <v>6.8295659999999994E-2</v>
      </c>
      <c r="S258">
        <v>3.4888919999999999</v>
      </c>
      <c r="T258">
        <v>-1.1295839999999999</v>
      </c>
      <c r="U258">
        <v>-1.135254E-2</v>
      </c>
      <c r="V258">
        <v>-5.9957450000000002E-2</v>
      </c>
      <c r="W258">
        <v>0.30145339999999998</v>
      </c>
      <c r="X258">
        <v>0.95159389999999999</v>
      </c>
      <c r="Y258">
        <v>1.0979610000000001E-2</v>
      </c>
      <c r="Z258">
        <v>-4.4554260000000002E-3</v>
      </c>
      <c r="AA258">
        <v>0.99992979999999998</v>
      </c>
      <c r="AB258">
        <v>33</v>
      </c>
      <c r="AC258">
        <v>0.71620000000001405</v>
      </c>
      <c r="AD258">
        <v>-0.29080830000000002</v>
      </c>
      <c r="AE258">
        <v>-4.7000000000139101E-3</v>
      </c>
      <c r="AF258">
        <v>9.3979440648153893E-3</v>
      </c>
      <c r="AG258">
        <v>-0.29080830000000002</v>
      </c>
      <c r="AH258">
        <v>0.61477704889510498</v>
      </c>
      <c r="AI258">
        <v>115.31299032619501</v>
      </c>
      <c r="AJ258">
        <v>89.124201864134406</v>
      </c>
      <c r="AK258">
        <v>0.68015337134333897</v>
      </c>
      <c r="AL258">
        <v>72.455081365109606</v>
      </c>
      <c r="AM258">
        <v>93.605291766670803</v>
      </c>
      <c r="AN258">
        <v>0.99999999934963602</v>
      </c>
    </row>
    <row r="259" spans="1:40" x14ac:dyDescent="0.25">
      <c r="A259" t="str">
        <f>"20190304164829641"</f>
        <v>20190304164829641</v>
      </c>
      <c r="B259" t="str">
        <f>"1551689309636607"</f>
        <v>1551689309636607</v>
      </c>
      <c r="C259" t="s">
        <v>40</v>
      </c>
      <c r="D259">
        <v>4.4725820000000001</v>
      </c>
      <c r="E259">
        <v>0.55491969999999902</v>
      </c>
      <c r="F259" t="s">
        <v>41</v>
      </c>
      <c r="G259">
        <v>-419.57319999999999</v>
      </c>
      <c r="H259">
        <v>0.82113979999999998</v>
      </c>
      <c r="I259">
        <v>367.64429999999999</v>
      </c>
      <c r="J259">
        <v>-420.1388</v>
      </c>
      <c r="K259">
        <v>1.0600969999999901</v>
      </c>
      <c r="L259">
        <v>367.64839999999998</v>
      </c>
      <c r="M259">
        <v>0.99990299999999999</v>
      </c>
      <c r="N259">
        <v>-1.0849030000000001E-2</v>
      </c>
      <c r="O259">
        <v>8.7228669999999901E-3</v>
      </c>
      <c r="P259">
        <v>0.95411449999999998</v>
      </c>
      <c r="Q259">
        <v>0.29146100000000003</v>
      </c>
      <c r="R259">
        <v>6.8673040000000005E-2</v>
      </c>
      <c r="S259">
        <v>3.4892880000000002</v>
      </c>
      <c r="T259">
        <v>-1.1300159999999999</v>
      </c>
      <c r="U259">
        <v>-1.159668E-2</v>
      </c>
      <c r="V259">
        <v>-6.0335680000000003E-2</v>
      </c>
      <c r="W259">
        <v>0.3018034</v>
      </c>
      <c r="X259">
        <v>0.9514591</v>
      </c>
      <c r="Y259">
        <v>1.104539E-2</v>
      </c>
      <c r="Z259">
        <v>-4.4675359999999898E-3</v>
      </c>
      <c r="AA259">
        <v>0.99992899999999996</v>
      </c>
      <c r="AB259">
        <v>33</v>
      </c>
      <c r="AC259">
        <v>0.56560000000001698</v>
      </c>
      <c r="AD259">
        <v>-0.23895719999999901</v>
      </c>
      <c r="AE259">
        <v>-4.0999999999939904E-3</v>
      </c>
      <c r="AF259">
        <v>7.6656030592764197E-3</v>
      </c>
      <c r="AG259">
        <v>-0.23895719999999901</v>
      </c>
      <c r="AH259">
        <v>0.47989013484825099</v>
      </c>
      <c r="AI259">
        <v>116.467701352397</v>
      </c>
      <c r="AJ259">
        <v>89.084854384660105</v>
      </c>
      <c r="AK259">
        <v>0.53614722458180697</v>
      </c>
      <c r="AL259">
        <v>72.434049204634704</v>
      </c>
      <c r="AM259">
        <v>93.6284871283016</v>
      </c>
      <c r="AN259">
        <v>1.00000005275271</v>
      </c>
    </row>
    <row r="260" spans="1:40" x14ac:dyDescent="0.25">
      <c r="A260" t="str">
        <f>"20190304164829661"</f>
        <v>20190304164829661</v>
      </c>
      <c r="B260" t="str">
        <f>"1551689309657104"</f>
        <v>1551689309657104</v>
      </c>
      <c r="C260" t="s">
        <v>40</v>
      </c>
      <c r="D260">
        <v>4.5056079999999996</v>
      </c>
      <c r="E260">
        <v>0.5548535</v>
      </c>
      <c r="F260" t="s">
        <v>41</v>
      </c>
      <c r="G260">
        <v>-419.29570000000001</v>
      </c>
      <c r="H260">
        <v>0.78717320000000002</v>
      </c>
      <c r="I260">
        <v>367.64569999999998</v>
      </c>
      <c r="J260">
        <v>-419.84780000000001</v>
      </c>
      <c r="K260">
        <v>1.0600879999999999</v>
      </c>
      <c r="L260">
        <v>367.65100000000001</v>
      </c>
      <c r="M260">
        <v>0.99990409999999996</v>
      </c>
      <c r="N260">
        <v>-1.076913E-2</v>
      </c>
      <c r="O260">
        <v>8.722947E-3</v>
      </c>
      <c r="P260">
        <v>0.95408210000000004</v>
      </c>
      <c r="Q260">
        <v>0.2915143</v>
      </c>
      <c r="R260">
        <v>6.8896109999999997E-2</v>
      </c>
      <c r="S260">
        <v>3.4900820000000001</v>
      </c>
      <c r="T260">
        <v>-1.129918</v>
      </c>
      <c r="U260">
        <v>-9.2163090000000007E-3</v>
      </c>
      <c r="V260">
        <v>-6.0558430000000003E-2</v>
      </c>
      <c r="W260">
        <v>0.30178070000000001</v>
      </c>
      <c r="X260">
        <v>0.95145210000000002</v>
      </c>
      <c r="Y260">
        <v>1.039753E-2</v>
      </c>
      <c r="Z260">
        <v>-4.360605E-3</v>
      </c>
      <c r="AA260">
        <v>0.99993650000000001</v>
      </c>
      <c r="AB260">
        <v>33</v>
      </c>
      <c r="AC260">
        <v>0.55209999999999504</v>
      </c>
      <c r="AD260">
        <v>-0.27291479999999901</v>
      </c>
      <c r="AE260">
        <v>-5.3000000000338297E-3</v>
      </c>
      <c r="AF260">
        <v>8.1296822124539096E-3</v>
      </c>
      <c r="AG260">
        <v>-0.27291479999999901</v>
      </c>
      <c r="AH260">
        <v>0.44363817680114997</v>
      </c>
      <c r="AI260">
        <v>121.594468278812</v>
      </c>
      <c r="AJ260">
        <v>88.950170712923594</v>
      </c>
      <c r="AK260">
        <v>0.52092553374485695</v>
      </c>
      <c r="AL260">
        <v>72.435412587824601</v>
      </c>
      <c r="AM260">
        <v>93.641873677632503</v>
      </c>
      <c r="AN260">
        <v>1.0000000064654799</v>
      </c>
    </row>
    <row r="261" spans="1:40" x14ac:dyDescent="0.25">
      <c r="A261" t="str">
        <f>"20190304164829673"</f>
        <v>20190304164829673</v>
      </c>
      <c r="B261" t="str">
        <f>"1551689309666864"</f>
        <v>1551689309666864</v>
      </c>
      <c r="C261" t="s">
        <v>40</v>
      </c>
      <c r="D261">
        <v>4.5087769999999896</v>
      </c>
      <c r="E261">
        <v>0.55482869999999995</v>
      </c>
      <c r="F261" t="s">
        <v>41</v>
      </c>
      <c r="G261">
        <v>-419.00380000000001</v>
      </c>
      <c r="H261">
        <v>0.78654460000000004</v>
      </c>
      <c r="I261">
        <v>367.64890000000003</v>
      </c>
      <c r="J261">
        <v>-419.65390000000002</v>
      </c>
      <c r="K261">
        <v>1.0600799999999999</v>
      </c>
      <c r="L261">
        <v>367.65269999999998</v>
      </c>
      <c r="M261">
        <v>0.99990460000000003</v>
      </c>
      <c r="N261">
        <v>-1.071387E-2</v>
      </c>
      <c r="O261">
        <v>8.7234259999999994E-3</v>
      </c>
      <c r="P261">
        <v>0.95406029999999997</v>
      </c>
      <c r="Q261">
        <v>0.29152860000000003</v>
      </c>
      <c r="R261">
        <v>6.9136939999999994E-2</v>
      </c>
      <c r="S261">
        <v>3.4905699999999902</v>
      </c>
      <c r="T261">
        <v>-1.1311519999999999</v>
      </c>
      <c r="U261">
        <v>-7.4768069999999898E-3</v>
      </c>
      <c r="V261">
        <v>-6.0799659999999998E-2</v>
      </c>
      <c r="W261">
        <v>0.30174200000000001</v>
      </c>
      <c r="X261">
        <v>0.95144899999999999</v>
      </c>
      <c r="Y261">
        <v>9.9226009999999996E-3</v>
      </c>
      <c r="Z261">
        <v>-4.2872730000000003E-3</v>
      </c>
      <c r="AA261">
        <v>0.99994159999999999</v>
      </c>
      <c r="AB261">
        <v>33</v>
      </c>
      <c r="AC261">
        <v>0.650100000000009</v>
      </c>
      <c r="AD261">
        <v>-0.27353539999999898</v>
      </c>
      <c r="AE261">
        <v>-3.7999999999556102E-3</v>
      </c>
      <c r="AF261">
        <v>8.0467476227627701E-3</v>
      </c>
      <c r="AG261">
        <v>-0.27353539999999898</v>
      </c>
      <c r="AH261">
        <v>0.55227222394715902</v>
      </c>
      <c r="AI261">
        <v>116.346376525363</v>
      </c>
      <c r="AJ261">
        <v>89.165244898555599</v>
      </c>
      <c r="AK261">
        <v>0.61635296263099604</v>
      </c>
      <c r="AL261">
        <v>72.437738533888293</v>
      </c>
      <c r="AM261">
        <v>93.656353415281401</v>
      </c>
      <c r="AN261">
        <v>1.00000001641055</v>
      </c>
    </row>
    <row r="262" spans="1:40" x14ac:dyDescent="0.25">
      <c r="A262" t="str">
        <f>"20190304164829686"</f>
        <v>20190304164829686</v>
      </c>
      <c r="B262" t="str">
        <f>"1551689309676624"</f>
        <v>1551689309676624</v>
      </c>
      <c r="C262" t="s">
        <v>40</v>
      </c>
      <c r="D262">
        <v>4.5151669999999999</v>
      </c>
      <c r="E262">
        <v>0.55479659999999997</v>
      </c>
      <c r="F262" t="s">
        <v>41</v>
      </c>
      <c r="G262">
        <v>-418.98020000000002</v>
      </c>
      <c r="H262">
        <v>0.84166280000000004</v>
      </c>
      <c r="I262">
        <v>367.65120000000002</v>
      </c>
      <c r="J262">
        <v>-419.48200000000003</v>
      </c>
      <c r="K262">
        <v>1.0600700000000001</v>
      </c>
      <c r="L262">
        <v>367.65410000000003</v>
      </c>
      <c r="M262">
        <v>0.99990509999999999</v>
      </c>
      <c r="N262">
        <v>-1.066318E-2</v>
      </c>
      <c r="O262">
        <v>8.7235219999999992E-3</v>
      </c>
      <c r="P262">
        <v>0.95408979999999999</v>
      </c>
      <c r="Q262">
        <v>0.29143449999999999</v>
      </c>
      <c r="R262">
        <v>6.9129540000000003E-2</v>
      </c>
      <c r="S262">
        <v>3.490631</v>
      </c>
      <c r="T262">
        <v>-1.13167</v>
      </c>
      <c r="U262">
        <v>-5.7373049999999998E-3</v>
      </c>
      <c r="V262">
        <v>-6.0791640000000001E-2</v>
      </c>
      <c r="W262">
        <v>0.30160019999999998</v>
      </c>
      <c r="X262">
        <v>0.95149450000000002</v>
      </c>
      <c r="Y262">
        <v>9.4486069999999995E-3</v>
      </c>
      <c r="Z262">
        <v>-4.2117819999999999E-3</v>
      </c>
      <c r="AA262">
        <v>0.99994649999999996</v>
      </c>
      <c r="AB262">
        <v>33</v>
      </c>
      <c r="AC262">
        <v>0.50179999999994596</v>
      </c>
      <c r="AD262">
        <v>-0.2184072</v>
      </c>
      <c r="AE262">
        <v>-2.9000000000110001E-3</v>
      </c>
      <c r="AF262">
        <v>6.1185416173426301E-3</v>
      </c>
      <c r="AG262">
        <v>-0.2184072</v>
      </c>
      <c r="AH262">
        <v>0.42184398297306203</v>
      </c>
      <c r="AI262">
        <v>117.370131352329</v>
      </c>
      <c r="AJ262">
        <v>89.1690244608657</v>
      </c>
      <c r="AK262">
        <v>0.47506998172263099</v>
      </c>
      <c r="AL262">
        <v>72.446260573436803</v>
      </c>
      <c r="AM262">
        <v>93.655698070866507</v>
      </c>
      <c r="AN262">
        <v>1.00000004383208</v>
      </c>
    </row>
    <row r="263" spans="1:40" x14ac:dyDescent="0.25">
      <c r="A263" t="str">
        <f>"20190304164829705"</f>
        <v>20190304164829705</v>
      </c>
      <c r="B263" t="str">
        <f>"1551689309697123"</f>
        <v>1551689309697123</v>
      </c>
      <c r="C263" t="s">
        <v>40</v>
      </c>
      <c r="D263">
        <v>4.5289989999999998</v>
      </c>
      <c r="E263">
        <v>0.55473819999999996</v>
      </c>
      <c r="F263" t="s">
        <v>41</v>
      </c>
      <c r="G263">
        <v>-418.70249999999999</v>
      </c>
      <c r="H263">
        <v>0.80719589999999997</v>
      </c>
      <c r="I263">
        <v>367.65249999999997</v>
      </c>
      <c r="J263">
        <v>-419.19380000000001</v>
      </c>
      <c r="K263">
        <v>1.0600540000000001</v>
      </c>
      <c r="L263">
        <v>367.6567</v>
      </c>
      <c r="M263">
        <v>0.99990610000000002</v>
      </c>
      <c r="N263">
        <v>-1.057465E-2</v>
      </c>
      <c r="O263">
        <v>8.7238190000000007E-3</v>
      </c>
      <c r="P263">
        <v>0.95402770000000003</v>
      </c>
      <c r="Q263">
        <v>0.29156530000000003</v>
      </c>
      <c r="R263">
        <v>6.9433990000000001E-2</v>
      </c>
      <c r="S263">
        <v>3.4907840000000001</v>
      </c>
      <c r="T263">
        <v>-1.1325719999999999</v>
      </c>
      <c r="U263">
        <v>-5.8898930000000002E-3</v>
      </c>
      <c r="V263">
        <v>-6.1096520000000001E-2</v>
      </c>
      <c r="W263">
        <v>0.30164609999999997</v>
      </c>
      <c r="X263">
        <v>0.95146039999999998</v>
      </c>
      <c r="Y263">
        <v>9.4889190000000002E-3</v>
      </c>
      <c r="Z263">
        <v>-4.2218450000000001E-3</v>
      </c>
      <c r="AA263">
        <v>0.99994609999999995</v>
      </c>
      <c r="AB263">
        <v>33</v>
      </c>
      <c r="AC263">
        <v>0.491300000000023</v>
      </c>
      <c r="AD263">
        <v>-0.25285809999999997</v>
      </c>
      <c r="AE263">
        <v>-4.20000000002573E-3</v>
      </c>
      <c r="AF263">
        <v>6.7090763310871399E-3</v>
      </c>
      <c r="AG263">
        <v>-0.25285809999999997</v>
      </c>
      <c r="AH263">
        <v>0.38837641657182997</v>
      </c>
      <c r="AI263">
        <v>123.062814877156</v>
      </c>
      <c r="AJ263">
        <v>89.010332472207594</v>
      </c>
      <c r="AK263">
        <v>0.46348513610470998</v>
      </c>
      <c r="AL263">
        <v>72.443501866720894</v>
      </c>
      <c r="AM263">
        <v>93.674113216566099</v>
      </c>
      <c r="AN263">
        <v>1.0000000235847399</v>
      </c>
    </row>
    <row r="264" spans="1:40" x14ac:dyDescent="0.25">
      <c r="A264" t="str">
        <f>"20190304164829717"</f>
        <v>20190304164829717</v>
      </c>
      <c r="B264" t="str">
        <f>"1551689309706880"</f>
        <v>1551689309706880</v>
      </c>
      <c r="C264" t="s">
        <v>40</v>
      </c>
      <c r="D264">
        <v>4.5388529999999996</v>
      </c>
      <c r="E264">
        <v>0.55470929999999996</v>
      </c>
      <c r="F264" t="s">
        <v>41</v>
      </c>
      <c r="G264">
        <v>-418.41019999999997</v>
      </c>
      <c r="H264">
        <v>0.80570640000000004</v>
      </c>
      <c r="I264">
        <v>367.65559999999999</v>
      </c>
      <c r="J264">
        <v>-419.02330000000001</v>
      </c>
      <c r="K264">
        <v>1.0600510000000001</v>
      </c>
      <c r="L264">
        <v>367.65809999999999</v>
      </c>
      <c r="M264">
        <v>0.99990659999999998</v>
      </c>
      <c r="N264">
        <v>-1.052049E-2</v>
      </c>
      <c r="O264">
        <v>8.7241079999999995E-3</v>
      </c>
      <c r="P264">
        <v>0.95390830000000004</v>
      </c>
      <c r="Q264">
        <v>0.29194160000000002</v>
      </c>
      <c r="R264">
        <v>6.9491170000000005E-2</v>
      </c>
      <c r="S264">
        <v>3.491241</v>
      </c>
      <c r="T264">
        <v>-1.133224</v>
      </c>
      <c r="U264">
        <v>-4.5166019999999998E-3</v>
      </c>
      <c r="V264">
        <v>-6.1154359999999998E-2</v>
      </c>
      <c r="W264">
        <v>0.3019693</v>
      </c>
      <c r="X264">
        <v>0.95135409999999998</v>
      </c>
      <c r="Y264">
        <v>9.1146500000000002E-3</v>
      </c>
      <c r="Z264">
        <v>-4.162692E-3</v>
      </c>
      <c r="AA264">
        <v>0.9999498</v>
      </c>
      <c r="AB264">
        <v>33</v>
      </c>
      <c r="AC264">
        <v>0.61310000000003095</v>
      </c>
      <c r="AD264">
        <v>-0.25434459999999998</v>
      </c>
      <c r="AE264">
        <v>-2.4999999999977202E-3</v>
      </c>
      <c r="AF264">
        <v>6.6964990756563404E-3</v>
      </c>
      <c r="AG264">
        <v>-0.25434459999999998</v>
      </c>
      <c r="AH264">
        <v>0.523040722921988</v>
      </c>
      <c r="AI264">
        <v>115.930913087389</v>
      </c>
      <c r="AJ264">
        <v>89.266481258891105</v>
      </c>
      <c r="AK264">
        <v>0.58164217220193504</v>
      </c>
      <c r="AL264">
        <v>72.424077123521798</v>
      </c>
      <c r="AM264">
        <v>93.677991742585803</v>
      </c>
      <c r="AN264">
        <v>0.999999968738154</v>
      </c>
    </row>
    <row r="265" spans="1:40" x14ac:dyDescent="0.25">
      <c r="A265" t="str">
        <f>"20190304164829739"</f>
        <v>20190304164829739</v>
      </c>
      <c r="B265" t="str">
        <f>"1551689309726400"</f>
        <v>1551689309726400</v>
      </c>
      <c r="C265" t="s">
        <v>40</v>
      </c>
      <c r="D265">
        <v>4.5624029999999998</v>
      </c>
      <c r="E265">
        <v>0.55464230000000003</v>
      </c>
      <c r="F265" t="s">
        <v>41</v>
      </c>
      <c r="G265">
        <v>-418.13130000000001</v>
      </c>
      <c r="H265">
        <v>0.77075740000000004</v>
      </c>
      <c r="I265">
        <v>367.65679999999998</v>
      </c>
      <c r="J265">
        <v>-418.70569999999998</v>
      </c>
      <c r="K265">
        <v>1.0600320000000001</v>
      </c>
      <c r="L265">
        <v>367.66090000000003</v>
      </c>
      <c r="M265">
        <v>0.99990780000000001</v>
      </c>
      <c r="N265">
        <v>-1.0419350000000001E-2</v>
      </c>
      <c r="O265">
        <v>8.7244650000000007E-3</v>
      </c>
      <c r="P265">
        <v>0.95386459999999995</v>
      </c>
      <c r="Q265">
        <v>0.29217749999999998</v>
      </c>
      <c r="R265">
        <v>6.9101620000000002E-2</v>
      </c>
      <c r="S265">
        <v>3.4917910000000001</v>
      </c>
      <c r="T265">
        <v>-1.1324209999999999</v>
      </c>
      <c r="U265">
        <v>-3.6315919999999999E-3</v>
      </c>
      <c r="V265">
        <v>-6.0764600000000002E-2</v>
      </c>
      <c r="W265">
        <v>0.3021084</v>
      </c>
      <c r="X265">
        <v>0.95133500000000004</v>
      </c>
      <c r="Y265">
        <v>8.8754339999999998E-3</v>
      </c>
      <c r="Z265">
        <v>-4.120622E-3</v>
      </c>
      <c r="AA265">
        <v>0.99995210000000001</v>
      </c>
      <c r="AB265">
        <v>33</v>
      </c>
      <c r="AC265">
        <v>0.57439999999996805</v>
      </c>
      <c r="AD265">
        <v>-0.28927459999999899</v>
      </c>
      <c r="AE265">
        <v>-4.1000000000508399E-3</v>
      </c>
      <c r="AF265">
        <v>7.2681569290079101E-3</v>
      </c>
      <c r="AG265">
        <v>-0.28927459999999899</v>
      </c>
      <c r="AH265">
        <v>0.45815006055601998</v>
      </c>
      <c r="AI265">
        <v>122.264939614981</v>
      </c>
      <c r="AJ265">
        <v>89.091127944413898</v>
      </c>
      <c r="AK265">
        <v>0.541880151230685</v>
      </c>
      <c r="AL265">
        <v>72.415718330947598</v>
      </c>
      <c r="AM265">
        <v>93.654687409189194</v>
      </c>
      <c r="AN265">
        <v>1.0000000520943499</v>
      </c>
    </row>
    <row r="266" spans="1:40" x14ac:dyDescent="0.25">
      <c r="A266" t="str">
        <f>"20190304164829751"</f>
        <v>20190304164829751</v>
      </c>
      <c r="B266" t="str">
        <f>"1551689309746896"</f>
        <v>1551689309746896</v>
      </c>
      <c r="C266" t="s">
        <v>40</v>
      </c>
      <c r="D266">
        <v>4.5826149999999997</v>
      </c>
      <c r="E266">
        <v>0.55457959999999995</v>
      </c>
      <c r="F266" t="s">
        <v>41</v>
      </c>
      <c r="G266">
        <v>-417.83479999999997</v>
      </c>
      <c r="H266">
        <v>0.77743030000000002</v>
      </c>
      <c r="I266">
        <v>367.66</v>
      </c>
      <c r="J266">
        <v>-418.51339999999999</v>
      </c>
      <c r="K266">
        <v>1.0600240000000001</v>
      </c>
      <c r="L266">
        <v>367.6626</v>
      </c>
      <c r="M266">
        <v>0.99990840000000003</v>
      </c>
      <c r="N266">
        <v>-1.0358640000000001E-2</v>
      </c>
      <c r="O266">
        <v>8.7246059999999993E-3</v>
      </c>
      <c r="P266">
        <v>0.95386170000000003</v>
      </c>
      <c r="Q266">
        <v>0.29223670000000002</v>
      </c>
      <c r="R266">
        <v>6.8890989999999999E-2</v>
      </c>
      <c r="S266">
        <v>3.4924010000000001</v>
      </c>
      <c r="T266">
        <v>-1.1331389999999999</v>
      </c>
      <c r="U266">
        <v>-2.8381349999999999E-3</v>
      </c>
      <c r="V266">
        <v>-6.0554080000000003E-2</v>
      </c>
      <c r="W266">
        <v>0.3021103</v>
      </c>
      <c r="X266">
        <v>0.95134779999999997</v>
      </c>
      <c r="Y266">
        <v>8.6588110000000006E-3</v>
      </c>
      <c r="Z266">
        <v>-4.0873139999999999E-3</v>
      </c>
      <c r="AA266">
        <v>0.99995420000000002</v>
      </c>
      <c r="AB266">
        <v>33</v>
      </c>
      <c r="AC266">
        <v>0.67860000000001697</v>
      </c>
      <c r="AD266">
        <v>-0.282593699999999</v>
      </c>
      <c r="AE266">
        <v>-2.5999999999726199E-3</v>
      </c>
      <c r="AF266">
        <v>7.2614748067612901E-3</v>
      </c>
      <c r="AG266">
        <v>-0.282593699999999</v>
      </c>
      <c r="AH266">
        <v>0.57826984779764201</v>
      </c>
      <c r="AI266">
        <v>116.042436203893</v>
      </c>
      <c r="AJ266">
        <v>89.280560805940098</v>
      </c>
      <c r="AK266">
        <v>0.64366757349424397</v>
      </c>
      <c r="AL266">
        <v>72.415603791015698</v>
      </c>
      <c r="AM266">
        <v>93.642010950346304</v>
      </c>
      <c r="AN266">
        <v>1.0000000332677801</v>
      </c>
    </row>
    <row r="267" spans="1:40" x14ac:dyDescent="0.25">
      <c r="A267" t="str">
        <f>"20190304164829765"</f>
        <v>20190304164829765</v>
      </c>
      <c r="B267" t="str">
        <f>"1551689309756657"</f>
        <v>1551689309756657</v>
      </c>
      <c r="C267" t="s">
        <v>40</v>
      </c>
      <c r="D267">
        <v>4.5726509999999996</v>
      </c>
      <c r="E267">
        <v>0.55454639999999999</v>
      </c>
      <c r="F267" t="s">
        <v>41</v>
      </c>
      <c r="G267">
        <v>-417.8116</v>
      </c>
      <c r="H267">
        <v>0.83214589999999999</v>
      </c>
      <c r="I267">
        <v>367.66199999999998</v>
      </c>
      <c r="J267">
        <v>-418.32190000000003</v>
      </c>
      <c r="K267">
        <v>1.060014</v>
      </c>
      <c r="L267">
        <v>367.66419999999999</v>
      </c>
      <c r="M267">
        <v>0.99990889999999999</v>
      </c>
      <c r="N267">
        <v>-1.0298119999999999E-2</v>
      </c>
      <c r="O267">
        <v>8.7249219999999995E-3</v>
      </c>
      <c r="P267">
        <v>0.95386709999999997</v>
      </c>
      <c r="Q267">
        <v>0.29231410000000002</v>
      </c>
      <c r="R267">
        <v>6.8483189999999999E-2</v>
      </c>
      <c r="S267">
        <v>3.4927670000000002</v>
      </c>
      <c r="T267">
        <v>-1.1342179999999999</v>
      </c>
      <c r="U267">
        <v>-2.166748E-3</v>
      </c>
      <c r="V267">
        <v>-6.0146320000000003E-2</v>
      </c>
      <c r="W267">
        <v>0.3021298</v>
      </c>
      <c r="X267">
        <v>0.95136739999999997</v>
      </c>
      <c r="Y267">
        <v>8.4750350000000006E-3</v>
      </c>
      <c r="Z267">
        <v>-4.0609269999999998E-3</v>
      </c>
      <c r="AA267">
        <v>0.99995579999999995</v>
      </c>
      <c r="AB267">
        <v>33</v>
      </c>
      <c r="AC267">
        <v>0.51030000000002895</v>
      </c>
      <c r="AD267">
        <v>-0.22786809999999899</v>
      </c>
      <c r="AE267">
        <v>-2.2000000000161799E-3</v>
      </c>
      <c r="AF267">
        <v>5.5465433949729998E-3</v>
      </c>
      <c r="AG267">
        <v>-0.22786809999999899</v>
      </c>
      <c r="AH267">
        <v>0.42543334820346002</v>
      </c>
      <c r="AI267">
        <v>118.172103272914</v>
      </c>
      <c r="AJ267">
        <v>89.253054502942803</v>
      </c>
      <c r="AK267">
        <v>0.482647043816544</v>
      </c>
      <c r="AL267">
        <v>72.414430474642202</v>
      </c>
      <c r="AM267">
        <v>93.617477335109598</v>
      </c>
      <c r="AN267">
        <v>0.99999996282017001</v>
      </c>
    </row>
    <row r="268" spans="1:40" x14ac:dyDescent="0.25">
      <c r="A268" t="str">
        <f>"20190304164829785"</f>
        <v>20190304164829785</v>
      </c>
      <c r="B268" t="str">
        <f>"1551689309777152"</f>
        <v>1551689309777152</v>
      </c>
      <c r="C268" t="s">
        <v>40</v>
      </c>
      <c r="D268">
        <v>4.6215010000000003</v>
      </c>
      <c r="E268">
        <v>0.55448439999999999</v>
      </c>
      <c r="F268" t="s">
        <v>41</v>
      </c>
      <c r="G268">
        <v>-417.53019999999998</v>
      </c>
      <c r="H268">
        <v>0.80281930000000001</v>
      </c>
      <c r="I268">
        <v>367.66300000000001</v>
      </c>
      <c r="J268">
        <v>-418.03190000000001</v>
      </c>
      <c r="K268">
        <v>1.0599989999999999</v>
      </c>
      <c r="L268">
        <v>367.66680000000002</v>
      </c>
      <c r="M268">
        <v>0.99990990000000002</v>
      </c>
      <c r="N268">
        <v>-1.0207890000000001E-2</v>
      </c>
      <c r="O268">
        <v>8.7252719999999992E-3</v>
      </c>
      <c r="P268">
        <v>0.95406780000000002</v>
      </c>
      <c r="Q268">
        <v>0.29182909999999901</v>
      </c>
      <c r="R268">
        <v>6.7754330000000001E-2</v>
      </c>
      <c r="S268">
        <v>3.4930110000000001</v>
      </c>
      <c r="T268">
        <v>-1.134666</v>
      </c>
      <c r="U268">
        <v>-2.9296880000000002E-3</v>
      </c>
      <c r="V268">
        <v>-5.94149E-2</v>
      </c>
      <c r="W268">
        <v>0.30156110000000003</v>
      </c>
      <c r="X268">
        <v>0.95159380000000005</v>
      </c>
      <c r="Y268">
        <v>8.6820500000000002E-3</v>
      </c>
      <c r="Z268">
        <v>-4.0965460000000004E-3</v>
      </c>
      <c r="AA268">
        <v>0.99995389999999995</v>
      </c>
      <c r="AB268">
        <v>33</v>
      </c>
      <c r="AC268">
        <v>0.50170000000002701</v>
      </c>
      <c r="AD268">
        <v>-0.25717969999999901</v>
      </c>
      <c r="AE268">
        <v>-3.8000000000124601E-3</v>
      </c>
      <c r="AF268">
        <v>6.4759322082750996E-3</v>
      </c>
      <c r="AG268">
        <v>-0.25717969999999901</v>
      </c>
      <c r="AH268">
        <v>0.39726274349086999</v>
      </c>
      <c r="AI268">
        <v>122.914714019158</v>
      </c>
      <c r="AJ268">
        <v>89.066082262101304</v>
      </c>
      <c r="AK268">
        <v>0.47328746355248902</v>
      </c>
      <c r="AL268">
        <v>72.448609330161801</v>
      </c>
      <c r="AM268">
        <v>93.572753041037103</v>
      </c>
      <c r="AN268">
        <v>0.99999999378683002</v>
      </c>
    </row>
    <row r="269" spans="1:40" x14ac:dyDescent="0.25">
      <c r="A269" t="str">
        <f>"20190304164829809"</f>
        <v>20190304164829809</v>
      </c>
      <c r="B269" t="str">
        <f>"1551689309796673"</f>
        <v>1551689309796673</v>
      </c>
      <c r="C269" t="s">
        <v>40</v>
      </c>
      <c r="D269">
        <v>4.64255</v>
      </c>
      <c r="E269">
        <v>0.55441390000000002</v>
      </c>
      <c r="F269" t="s">
        <v>41</v>
      </c>
      <c r="G269">
        <v>-417.2364</v>
      </c>
      <c r="H269">
        <v>0.80090550000000005</v>
      </c>
      <c r="I269">
        <v>367.66570000000002</v>
      </c>
      <c r="J269">
        <v>-417.68400000000003</v>
      </c>
      <c r="K269">
        <v>1.0599829999999999</v>
      </c>
      <c r="L269">
        <v>367.66980000000001</v>
      </c>
      <c r="M269">
        <v>0.99991090000000005</v>
      </c>
      <c r="N269">
        <v>-1.01058E-2</v>
      </c>
      <c r="O269">
        <v>8.72579699999999E-3</v>
      </c>
      <c r="P269">
        <v>0.95405549999999995</v>
      </c>
      <c r="Q269">
        <v>0.29194799999999999</v>
      </c>
      <c r="R269">
        <v>6.7413639999999997E-2</v>
      </c>
      <c r="S269">
        <v>3.492737</v>
      </c>
      <c r="T269">
        <v>-1.1377029999999999</v>
      </c>
      <c r="U269">
        <v>-4.1809079999999997E-3</v>
      </c>
      <c r="V269">
        <v>-5.9074170000000002E-2</v>
      </c>
      <c r="W269">
        <v>0.30158249999999998</v>
      </c>
      <c r="X269">
        <v>0.95160820000000002</v>
      </c>
      <c r="Y269">
        <v>9.0179709999999996E-3</v>
      </c>
      <c r="Z269">
        <v>-4.163056E-3</v>
      </c>
      <c r="AA269">
        <v>0.99995060000000002</v>
      </c>
      <c r="AB269">
        <v>33</v>
      </c>
      <c r="AC269">
        <v>0.44760000000002198</v>
      </c>
      <c r="AD269">
        <v>-0.25907749999999902</v>
      </c>
      <c r="AE269">
        <v>-4.0999999999939904E-3</v>
      </c>
      <c r="AF269">
        <v>5.9967934199339403E-3</v>
      </c>
      <c r="AG269">
        <v>-0.25907749999999902</v>
      </c>
      <c r="AH269">
        <v>0.33524172202682201</v>
      </c>
      <c r="AI269">
        <v>127.692703604635</v>
      </c>
      <c r="AJ269">
        <v>88.975204186441502</v>
      </c>
      <c r="AK269">
        <v>0.42372647394879698</v>
      </c>
      <c r="AL269">
        <v>72.447322790455303</v>
      </c>
      <c r="AM269">
        <v>93.552263170184801</v>
      </c>
      <c r="AN269">
        <v>0.99999996408733804</v>
      </c>
    </row>
    <row r="270" spans="1:40" x14ac:dyDescent="0.25">
      <c r="A270" t="str">
        <f>"20190304164829828"</f>
        <v>20190304164829828</v>
      </c>
      <c r="B270" t="str">
        <f>"1551689309817168"</f>
        <v>1551689309817168</v>
      </c>
      <c r="C270" t="s">
        <v>40</v>
      </c>
      <c r="D270">
        <v>4.6609740000000004</v>
      </c>
      <c r="E270">
        <v>0.55433769999999905</v>
      </c>
      <c r="F270" t="s">
        <v>41</v>
      </c>
      <c r="G270">
        <v>-416.935</v>
      </c>
      <c r="H270">
        <v>0.81582710000000003</v>
      </c>
      <c r="I270">
        <v>367.66849999999999</v>
      </c>
      <c r="J270">
        <v>-417.38529999999997</v>
      </c>
      <c r="K270">
        <v>1.059971</v>
      </c>
      <c r="L270">
        <v>367.67239999999998</v>
      </c>
      <c r="M270">
        <v>0.99991180000000002</v>
      </c>
      <c r="N270">
        <v>-1.0026180000000001E-2</v>
      </c>
      <c r="O270">
        <v>8.7260240000000006E-3</v>
      </c>
      <c r="P270">
        <v>0.95402149999999997</v>
      </c>
      <c r="Q270">
        <v>0.2922283</v>
      </c>
      <c r="R270">
        <v>6.6679450000000001E-2</v>
      </c>
      <c r="S270">
        <v>3.4932859999999999</v>
      </c>
      <c r="T270">
        <v>-1.138565</v>
      </c>
      <c r="U270">
        <v>-4.699707E-3</v>
      </c>
      <c r="V270">
        <v>-5.8340080000000002E-2</v>
      </c>
      <c r="W270">
        <v>0.30178660000000002</v>
      </c>
      <c r="X270">
        <v>0.95158880000000001</v>
      </c>
      <c r="Y270">
        <v>9.1578570000000001E-3</v>
      </c>
      <c r="Z270">
        <v>-4.1887770000000003E-3</v>
      </c>
      <c r="AA270">
        <v>0.99994930000000004</v>
      </c>
      <c r="AB270">
        <v>33</v>
      </c>
      <c r="AC270">
        <v>0.45029999999997</v>
      </c>
      <c r="AD270">
        <v>-0.2441439</v>
      </c>
      <c r="AE270">
        <v>-3.8999999999873498E-3</v>
      </c>
      <c r="AF270">
        <v>6.0508145813319798E-3</v>
      </c>
      <c r="AG270">
        <v>-0.2441439</v>
      </c>
      <c r="AH270">
        <v>0.34796792949629501</v>
      </c>
      <c r="AI270">
        <v>125.050486857642</v>
      </c>
      <c r="AJ270">
        <v>89.003784050956099</v>
      </c>
      <c r="AK270">
        <v>0.42511708530973702</v>
      </c>
      <c r="AL270">
        <v>72.4350575416141</v>
      </c>
      <c r="AM270">
        <v>93.508302964132596</v>
      </c>
      <c r="AN270">
        <v>0.99999998057970296</v>
      </c>
    </row>
    <row r="271" spans="1:40" x14ac:dyDescent="0.25">
      <c r="A271" t="str">
        <f>"20190304164829841"</f>
        <v>20190304164829841</v>
      </c>
      <c r="B271" t="str">
        <f>"1551689309836688"</f>
        <v>1551689309836688</v>
      </c>
      <c r="C271" t="s">
        <v>40</v>
      </c>
      <c r="D271">
        <v>4.9525839999999999</v>
      </c>
      <c r="E271">
        <v>0.55429399999999995</v>
      </c>
      <c r="F271" t="s">
        <v>41</v>
      </c>
      <c r="G271">
        <v>-416.63920000000002</v>
      </c>
      <c r="H271">
        <v>0.81674309999999894</v>
      </c>
      <c r="I271">
        <v>367.67059999999998</v>
      </c>
      <c r="J271">
        <v>-417.21289999999999</v>
      </c>
      <c r="K271">
        <v>1.0599670000000001</v>
      </c>
      <c r="L271">
        <v>367.6739</v>
      </c>
      <c r="M271">
        <v>0.99991229999999998</v>
      </c>
      <c r="N271">
        <v>-9.9835949999999996E-3</v>
      </c>
      <c r="O271">
        <v>8.7260600000000008E-3</v>
      </c>
      <c r="P271">
        <v>0.9540727</v>
      </c>
      <c r="Q271">
        <v>0.29210599999999998</v>
      </c>
      <c r="R271">
        <v>6.6480269999999994E-2</v>
      </c>
      <c r="S271">
        <v>3.494049</v>
      </c>
      <c r="T271">
        <v>-1.1391180000000001</v>
      </c>
      <c r="U271">
        <v>-7.2326659999999996E-3</v>
      </c>
      <c r="V271">
        <v>-5.8140379999999998E-2</v>
      </c>
      <c r="W271">
        <v>0.30162430000000001</v>
      </c>
      <c r="X271">
        <v>0.95165250000000001</v>
      </c>
      <c r="Y271">
        <v>9.8452060000000004E-3</v>
      </c>
      <c r="Z271">
        <v>-4.3027639999999997E-3</v>
      </c>
      <c r="AA271">
        <v>0.99994229999999995</v>
      </c>
      <c r="AB271">
        <v>33</v>
      </c>
      <c r="AC271">
        <v>0.57369999999997301</v>
      </c>
      <c r="AD271">
        <v>-0.24322389999999999</v>
      </c>
      <c r="AE271">
        <v>-3.30000000002428E-3</v>
      </c>
      <c r="AF271">
        <v>7.0407979217917901E-3</v>
      </c>
      <c r="AG271">
        <v>-0.24322389999999999</v>
      </c>
      <c r="AH271">
        <v>0.48625344600037201</v>
      </c>
      <c r="AI271">
        <v>116.571808032512</v>
      </c>
      <c r="AJ271">
        <v>89.170432992989504</v>
      </c>
      <c r="AK271">
        <v>0.54373693282121405</v>
      </c>
      <c r="AL271">
        <v>72.444811531826701</v>
      </c>
      <c r="AM271">
        <v>93.496090319348994</v>
      </c>
      <c r="AN271">
        <v>1.0000000014466399</v>
      </c>
    </row>
    <row r="272" spans="1:40" x14ac:dyDescent="0.25">
      <c r="A272" t="str">
        <f>"20190304164829853"</f>
        <v>20190304164829853</v>
      </c>
      <c r="B272" t="str">
        <f>"1551689309846448"</f>
        <v>1551689309846448</v>
      </c>
      <c r="C272" t="s">
        <v>40</v>
      </c>
      <c r="D272">
        <v>4.7070569999999998</v>
      </c>
      <c r="E272">
        <v>0.55427959999999998</v>
      </c>
      <c r="F272" t="s">
        <v>41</v>
      </c>
      <c r="G272">
        <v>-416.35829999999999</v>
      </c>
      <c r="H272">
        <v>0.78109499999999998</v>
      </c>
      <c r="I272">
        <v>367.67189999999999</v>
      </c>
      <c r="J272">
        <v>-417.01409999999998</v>
      </c>
      <c r="K272">
        <v>1.0599609999999999</v>
      </c>
      <c r="L272">
        <v>367.67559999999997</v>
      </c>
      <c r="M272">
        <v>0.99991260000000004</v>
      </c>
      <c r="N272">
        <v>-9.9372530000000001E-3</v>
      </c>
      <c r="O272">
        <v>8.7264730000000002E-3</v>
      </c>
      <c r="P272">
        <v>0.95404949999999999</v>
      </c>
      <c r="Q272">
        <v>0.29221209999999997</v>
      </c>
      <c r="R272">
        <v>6.6346619999999995E-2</v>
      </c>
      <c r="S272">
        <v>3.4939269999999998</v>
      </c>
      <c r="T272">
        <v>-1.14015</v>
      </c>
      <c r="U272">
        <v>-6.6833500000000002E-3</v>
      </c>
      <c r="V272">
        <v>-5.800669E-2</v>
      </c>
      <c r="W272">
        <v>0.30168620000000002</v>
      </c>
      <c r="X272">
        <v>0.95164099999999996</v>
      </c>
      <c r="Y272">
        <v>9.694711E-3</v>
      </c>
      <c r="Z272">
        <v>-4.2822370000000004E-3</v>
      </c>
      <c r="AA272">
        <v>0.9999439</v>
      </c>
      <c r="AB272">
        <v>33</v>
      </c>
      <c r="AC272">
        <v>0.65579999999999905</v>
      </c>
      <c r="AD272">
        <v>-0.278866</v>
      </c>
      <c r="AE272">
        <v>-3.69999999998071E-3</v>
      </c>
      <c r="AF272">
        <v>7.9800496016215906E-3</v>
      </c>
      <c r="AG272">
        <v>-0.278866</v>
      </c>
      <c r="AH272">
        <v>0.55533062380453801</v>
      </c>
      <c r="AI272">
        <v>116.661697395505</v>
      </c>
      <c r="AJ272">
        <v>89.176721622286095</v>
      </c>
      <c r="AK272">
        <v>0.62146764105847196</v>
      </c>
      <c r="AL272">
        <v>72.441090999092907</v>
      </c>
      <c r="AM272">
        <v>93.488113206271507</v>
      </c>
      <c r="AN272">
        <v>0.99999996611809705</v>
      </c>
    </row>
    <row r="273" spans="1:40" x14ac:dyDescent="0.25">
      <c r="A273" t="str">
        <f>"20190304164829864"</f>
        <v>20190304164829864</v>
      </c>
      <c r="B273" t="str">
        <f>"1551689309857184"</f>
        <v>1551689309857184</v>
      </c>
      <c r="C273" t="s">
        <v>40</v>
      </c>
      <c r="D273">
        <v>4.7014269999999998</v>
      </c>
      <c r="E273">
        <v>0.55426600000000004</v>
      </c>
      <c r="F273" t="s">
        <v>41</v>
      </c>
      <c r="G273">
        <v>-416.33409999999998</v>
      </c>
      <c r="H273">
        <v>0.83810280000000004</v>
      </c>
      <c r="I273">
        <v>367.6739</v>
      </c>
      <c r="J273">
        <v>-416.84789999999998</v>
      </c>
      <c r="K273">
        <v>1.059958</v>
      </c>
      <c r="L273">
        <v>367.6771</v>
      </c>
      <c r="M273">
        <v>0.99991300000000005</v>
      </c>
      <c r="N273">
        <v>-9.9021349999999994E-3</v>
      </c>
      <c r="O273">
        <v>8.7264700000000001E-3</v>
      </c>
      <c r="P273">
        <v>0.95408579999999998</v>
      </c>
      <c r="Q273">
        <v>0.2921609</v>
      </c>
      <c r="R273">
        <v>6.6047430000000004E-2</v>
      </c>
      <c r="S273">
        <v>3.4941409999999999</v>
      </c>
      <c r="T273">
        <v>-1.1400950000000001</v>
      </c>
      <c r="U273">
        <v>-6.5917969999999999E-3</v>
      </c>
      <c r="V273">
        <v>-5.7707000000000001E-2</v>
      </c>
      <c r="W273">
        <v>0.30160160000000003</v>
      </c>
      <c r="X273">
        <v>0.95168609999999998</v>
      </c>
      <c r="Y273">
        <v>9.6698800000000005E-3</v>
      </c>
      <c r="Z273">
        <v>-4.2778360000000001E-3</v>
      </c>
      <c r="AA273">
        <v>0.9999441</v>
      </c>
      <c r="AB273">
        <v>33</v>
      </c>
      <c r="AC273">
        <v>0.51380000000000303</v>
      </c>
      <c r="AD273">
        <v>-0.221855199999999</v>
      </c>
      <c r="AE273">
        <v>-3.19999999999254E-3</v>
      </c>
      <c r="AF273">
        <v>6.4763253543154596E-3</v>
      </c>
      <c r="AG273">
        <v>-0.221855199999999</v>
      </c>
      <c r="AH273">
        <v>0.43302098884543999</v>
      </c>
      <c r="AI273">
        <v>117.125407192737</v>
      </c>
      <c r="AJ273">
        <v>89.143139812258994</v>
      </c>
      <c r="AK273">
        <v>0.486588994262938</v>
      </c>
      <c r="AL273">
        <v>72.446176153881495</v>
      </c>
      <c r="AM273">
        <v>93.469972068377601</v>
      </c>
      <c r="AN273">
        <v>1.00000002795238</v>
      </c>
    </row>
    <row r="274" spans="1:40" x14ac:dyDescent="0.25">
      <c r="A274" t="str">
        <f>"20190304164829876"</f>
        <v>20190304164829876</v>
      </c>
      <c r="B274" t="str">
        <f>"1551689309866944"</f>
        <v>1551689309866944</v>
      </c>
      <c r="C274" t="s">
        <v>40</v>
      </c>
      <c r="D274">
        <v>4.7097309999999997</v>
      </c>
      <c r="E274">
        <v>0.55425440000000004</v>
      </c>
      <c r="F274" t="s">
        <v>41</v>
      </c>
      <c r="G274">
        <v>-416.05399999999997</v>
      </c>
      <c r="H274">
        <v>0.8008364</v>
      </c>
      <c r="I274">
        <v>367.67509999999999</v>
      </c>
      <c r="J274">
        <v>-416.67919999999998</v>
      </c>
      <c r="K274">
        <v>1.0599540000000001</v>
      </c>
      <c r="L274">
        <v>367.67860000000002</v>
      </c>
      <c r="M274">
        <v>0.9999133</v>
      </c>
      <c r="N274">
        <v>-9.8674450000000007E-3</v>
      </c>
      <c r="O274">
        <v>8.7266440000000004E-3</v>
      </c>
      <c r="P274">
        <v>0.95401809999999998</v>
      </c>
      <c r="Q274">
        <v>0.29236689999999999</v>
      </c>
      <c r="R274">
        <v>6.6115770000000004E-2</v>
      </c>
      <c r="S274">
        <v>3.49411</v>
      </c>
      <c r="T274">
        <v>-1.1404479999999999</v>
      </c>
      <c r="U274">
        <v>-7.1105959999999899E-3</v>
      </c>
      <c r="V274">
        <v>-5.7775849999999997E-2</v>
      </c>
      <c r="W274">
        <v>0.30177389999999998</v>
      </c>
      <c r="X274">
        <v>0.95162729999999995</v>
      </c>
      <c r="Y274">
        <v>9.8103770000000003E-3</v>
      </c>
      <c r="Z274">
        <v>-4.3023769999999996E-3</v>
      </c>
      <c r="AA274">
        <v>0.99994260000000001</v>
      </c>
      <c r="AB274">
        <v>33</v>
      </c>
      <c r="AC274">
        <v>0.62519999999994902</v>
      </c>
      <c r="AD274">
        <v>-0.2591176</v>
      </c>
      <c r="AE274">
        <v>-3.5000000000309198E-3</v>
      </c>
      <c r="AF274">
        <v>7.6431766121974097E-3</v>
      </c>
      <c r="AG274">
        <v>-0.2591176</v>
      </c>
      <c r="AH274">
        <v>0.53350632813267096</v>
      </c>
      <c r="AI274">
        <v>115.902977183769</v>
      </c>
      <c r="AJ274">
        <v>89.179219097496897</v>
      </c>
      <c r="AK274">
        <v>0.59315204706389602</v>
      </c>
      <c r="AL274">
        <v>72.435821621082297</v>
      </c>
      <c r="AM274">
        <v>93.474316080029993</v>
      </c>
      <c r="AN274">
        <v>1.0000000268348599</v>
      </c>
    </row>
    <row r="275" spans="1:40" x14ac:dyDescent="0.25">
      <c r="A275" t="str">
        <f>"20190304164829896"</f>
        <v>20190304164829896</v>
      </c>
      <c r="B275" t="str">
        <f>"1551689309886467"</f>
        <v>1551689309886467</v>
      </c>
      <c r="C275" t="s">
        <v>40</v>
      </c>
      <c r="D275">
        <v>4.7099449999999896</v>
      </c>
      <c r="E275">
        <v>0.55421109999999996</v>
      </c>
      <c r="F275" t="s">
        <v>41</v>
      </c>
      <c r="G275">
        <v>-415.77229999999997</v>
      </c>
      <c r="H275">
        <v>0.76416719999999905</v>
      </c>
      <c r="I275">
        <v>367.67669999999998</v>
      </c>
      <c r="J275">
        <v>-416.3929</v>
      </c>
      <c r="K275">
        <v>1.059955</v>
      </c>
      <c r="L275">
        <v>367.68110000000001</v>
      </c>
      <c r="M275">
        <v>0.99991390000000002</v>
      </c>
      <c r="N275">
        <v>-9.8145750000000007E-3</v>
      </c>
      <c r="O275">
        <v>8.7270860000000002E-3</v>
      </c>
      <c r="P275">
        <v>0.95392520000000003</v>
      </c>
      <c r="Q275">
        <v>0.29260589999999997</v>
      </c>
      <c r="R275">
        <v>6.639755E-2</v>
      </c>
      <c r="S275">
        <v>3.4943240000000002</v>
      </c>
      <c r="T275">
        <v>-1.13979599999999</v>
      </c>
      <c r="U275">
        <v>-5.9814450000000002E-3</v>
      </c>
      <c r="V275">
        <v>-5.8058100000000001E-2</v>
      </c>
      <c r="W275">
        <v>0.3019616</v>
      </c>
      <c r="X275">
        <v>0.95155049999999997</v>
      </c>
      <c r="Y275">
        <v>9.5050099999999995E-3</v>
      </c>
      <c r="Z275">
        <v>-4.2500039999999999E-3</v>
      </c>
      <c r="AA275">
        <v>0.9999458</v>
      </c>
      <c r="AB275">
        <v>33</v>
      </c>
      <c r="AC275">
        <v>0.62060000000002402</v>
      </c>
      <c r="AD275">
        <v>-0.29578779999999999</v>
      </c>
      <c r="AE275">
        <v>-4.4000000000323702E-3</v>
      </c>
      <c r="AF275">
        <v>7.9991134113149304E-3</v>
      </c>
      <c r="AG275">
        <v>-0.29578779999999999</v>
      </c>
      <c r="AH275">
        <v>0.50567357554575898</v>
      </c>
      <c r="AI275">
        <v>120.321872985616</v>
      </c>
      <c r="AJ275">
        <v>89.093729160887094</v>
      </c>
      <c r="AK275">
        <v>0.58588409557645404</v>
      </c>
      <c r="AL275">
        <v>72.424539608564402</v>
      </c>
      <c r="AM275">
        <v>93.491528217316798</v>
      </c>
      <c r="AN275">
        <v>0.99999995245020801</v>
      </c>
    </row>
    <row r="276" spans="1:40" x14ac:dyDescent="0.25">
      <c r="A276" t="str">
        <f>"20190304164829906"</f>
        <v>20190304164829906</v>
      </c>
      <c r="B276" t="str">
        <f>"1551689309897200"</f>
        <v>1551689309897200</v>
      </c>
      <c r="C276" t="s">
        <v>40</v>
      </c>
      <c r="D276">
        <v>4.6402910000000004</v>
      </c>
      <c r="E276">
        <v>0.55420319999999901</v>
      </c>
      <c r="F276" t="s">
        <v>41</v>
      </c>
      <c r="G276">
        <v>-415.47649999999999</v>
      </c>
      <c r="H276">
        <v>0.76107720000000001</v>
      </c>
      <c r="I276">
        <v>367.68</v>
      </c>
      <c r="J276">
        <v>-416.22190000000001</v>
      </c>
      <c r="K276">
        <v>1.0599510000000001</v>
      </c>
      <c r="L276">
        <v>367.68259999999998</v>
      </c>
      <c r="M276">
        <v>0.99991410000000003</v>
      </c>
      <c r="N276">
        <v>-9.7865190000000005E-3</v>
      </c>
      <c r="O276">
        <v>8.7274039999999994E-3</v>
      </c>
      <c r="P276">
        <v>0.95381800000000005</v>
      </c>
      <c r="Q276">
        <v>0.29295900000000002</v>
      </c>
      <c r="R276">
        <v>6.6380880000000003E-2</v>
      </c>
      <c r="S276">
        <v>3.49472</v>
      </c>
      <c r="T276">
        <v>-1.139732</v>
      </c>
      <c r="U276">
        <v>-3.692627E-3</v>
      </c>
      <c r="V276">
        <v>-5.8041379999999997E-2</v>
      </c>
      <c r="W276">
        <v>0.30228699999999997</v>
      </c>
      <c r="X276">
        <v>0.95144819999999997</v>
      </c>
      <c r="Y276">
        <v>8.8837180000000005E-3</v>
      </c>
      <c r="Z276">
        <v>-4.1476430000000003E-3</v>
      </c>
      <c r="AA276">
        <v>0.99995199999999995</v>
      </c>
      <c r="AB276">
        <v>33</v>
      </c>
      <c r="AC276">
        <v>0.74540000000001705</v>
      </c>
      <c r="AD276">
        <v>-0.29887380000000002</v>
      </c>
      <c r="AE276">
        <v>-2.5999999999726199E-3</v>
      </c>
      <c r="AF276">
        <v>7.8444979050705105E-3</v>
      </c>
      <c r="AG276">
        <v>-0.29887380000000002</v>
      </c>
      <c r="AH276">
        <v>0.64211867774538101</v>
      </c>
      <c r="AI276">
        <v>114.95796293212599</v>
      </c>
      <c r="AJ276">
        <v>89.300076013632193</v>
      </c>
      <c r="AK276">
        <v>0.70831029978625804</v>
      </c>
      <c r="AL276">
        <v>72.404981627123206</v>
      </c>
      <c r="AM276">
        <v>93.490899561952006</v>
      </c>
      <c r="AN276">
        <v>0.99999995472227099</v>
      </c>
    </row>
    <row r="277" spans="1:40" x14ac:dyDescent="0.25">
      <c r="A277" t="str">
        <f>"20190304164829919"</f>
        <v>20190304164829919</v>
      </c>
      <c r="B277" t="str">
        <f>"1551689309906960"</f>
        <v>1551689309906960</v>
      </c>
      <c r="C277" t="s">
        <v>40</v>
      </c>
      <c r="D277">
        <v>4.9030589999999998</v>
      </c>
      <c r="E277">
        <v>0.55421909999999996</v>
      </c>
      <c r="F277" t="s">
        <v>41</v>
      </c>
      <c r="G277">
        <v>-415.45609999999999</v>
      </c>
      <c r="H277">
        <v>0.81045109999999998</v>
      </c>
      <c r="I277">
        <v>367.68189999999998</v>
      </c>
      <c r="J277">
        <v>-416.04860000000002</v>
      </c>
      <c r="K277">
        <v>1.059955</v>
      </c>
      <c r="L277">
        <v>367.6841</v>
      </c>
      <c r="M277">
        <v>0.99991439999999998</v>
      </c>
      <c r="N277">
        <v>-9.759195E-3</v>
      </c>
      <c r="O277">
        <v>8.7275389999999994E-3</v>
      </c>
      <c r="P277">
        <v>0.95375460000000001</v>
      </c>
      <c r="Q277">
        <v>0.29315639999999998</v>
      </c>
      <c r="R277">
        <v>6.6419240000000004E-2</v>
      </c>
      <c r="S277">
        <v>3.4952390000000002</v>
      </c>
      <c r="T277">
        <v>-1.1387480000000001</v>
      </c>
      <c r="U277">
        <v>-2.2583009999999999E-3</v>
      </c>
      <c r="V277">
        <v>-5.8080729999999997E-2</v>
      </c>
      <c r="W277">
        <v>0.302458</v>
      </c>
      <c r="X277">
        <v>0.95139149999999995</v>
      </c>
      <c r="Y277">
        <v>8.4958009999999903E-3</v>
      </c>
      <c r="Z277">
        <v>-4.0802159999999898E-3</v>
      </c>
      <c r="AA277">
        <v>0.99995560000000006</v>
      </c>
      <c r="AB277">
        <v>33</v>
      </c>
      <c r="AC277">
        <v>0.592500000000029</v>
      </c>
      <c r="AD277">
        <v>-0.249503899999999</v>
      </c>
      <c r="AE277">
        <v>-2.2000000000161799E-3</v>
      </c>
      <c r="AF277">
        <v>6.2609930314603502E-3</v>
      </c>
      <c r="AG277">
        <v>-0.249503899999999</v>
      </c>
      <c r="AH277">
        <v>0.50322367849135097</v>
      </c>
      <c r="AI277">
        <v>116.370961227961</v>
      </c>
      <c r="AJ277">
        <v>89.287175895712906</v>
      </c>
      <c r="AK277">
        <v>0.56171653593544602</v>
      </c>
      <c r="AL277">
        <v>72.394703715667006</v>
      </c>
      <c r="AM277">
        <v>93.493468081501007</v>
      </c>
      <c r="AN277">
        <v>0.99999999961679098</v>
      </c>
    </row>
    <row r="278" spans="1:40" x14ac:dyDescent="0.25">
      <c r="A278" t="str">
        <f>"20190304164829932"</f>
        <v>20190304164829932</v>
      </c>
      <c r="B278" t="str">
        <f>"1551689309926480"</f>
        <v>1551689309926480</v>
      </c>
      <c r="C278" t="s">
        <v>40</v>
      </c>
      <c r="D278">
        <v>4.7414170000000002</v>
      </c>
      <c r="E278">
        <v>0.55417700000000003</v>
      </c>
      <c r="F278" t="s">
        <v>41</v>
      </c>
      <c r="G278">
        <v>-415.17329999999998</v>
      </c>
      <c r="H278">
        <v>0.77502329999999997</v>
      </c>
      <c r="I278">
        <v>367.6832</v>
      </c>
      <c r="J278">
        <v>-415.84230000000002</v>
      </c>
      <c r="K278">
        <v>1.0599510000000001</v>
      </c>
      <c r="L278">
        <v>367.6859</v>
      </c>
      <c r="M278">
        <v>0.99991470000000005</v>
      </c>
      <c r="N278">
        <v>-9.7296069999999995E-3</v>
      </c>
      <c r="O278">
        <v>8.7278040000000005E-3</v>
      </c>
      <c r="P278">
        <v>0.95371989999999995</v>
      </c>
      <c r="Q278">
        <v>0.29325440000000003</v>
      </c>
      <c r="R278">
        <v>6.6486399999999904E-2</v>
      </c>
      <c r="S278">
        <v>3.4952999999999999</v>
      </c>
      <c r="T278">
        <v>-1.1379060000000001</v>
      </c>
      <c r="U278">
        <v>-1.77002E-3</v>
      </c>
      <c r="V278">
        <v>-5.8147879999999999E-2</v>
      </c>
      <c r="W278">
        <v>0.3025275</v>
      </c>
      <c r="X278">
        <v>0.95136529999999997</v>
      </c>
      <c r="Y278">
        <v>8.3646080000000008E-3</v>
      </c>
      <c r="Z278">
        <v>-4.055978E-3</v>
      </c>
      <c r="AA278">
        <v>0.99995679999999998</v>
      </c>
      <c r="AB278">
        <v>33</v>
      </c>
      <c r="AC278">
        <v>0.66900000000003901</v>
      </c>
      <c r="AD278">
        <v>-0.28492770000000001</v>
      </c>
      <c r="AE278">
        <v>-2.7000000000043599E-3</v>
      </c>
      <c r="AF278">
        <v>7.2279972541145401E-3</v>
      </c>
      <c r="AG278">
        <v>-0.28492770000000001</v>
      </c>
      <c r="AH278">
        <v>0.56624123470256704</v>
      </c>
      <c r="AI278">
        <v>116.709271678828</v>
      </c>
      <c r="AJ278">
        <v>89.268666390654005</v>
      </c>
      <c r="AK278">
        <v>0.63392836665437402</v>
      </c>
      <c r="AL278">
        <v>72.390525928151305</v>
      </c>
      <c r="AM278">
        <v>93.497593112040207</v>
      </c>
      <c r="AN278">
        <v>0.99999999912441695</v>
      </c>
    </row>
    <row r="279" spans="1:40" x14ac:dyDescent="0.25">
      <c r="A279" t="str">
        <f>"20190304164829944"</f>
        <v>20190304164829944</v>
      </c>
      <c r="B279" t="str">
        <f>"1551689309937216"</f>
        <v>1551689309937216</v>
      </c>
      <c r="C279" t="s">
        <v>40</v>
      </c>
      <c r="D279">
        <v>4.7415240000000001</v>
      </c>
      <c r="E279">
        <v>0.55414099999999999</v>
      </c>
      <c r="F279" t="s">
        <v>41</v>
      </c>
      <c r="G279">
        <v>-415.14850000000001</v>
      </c>
      <c r="H279">
        <v>0.83400989999999997</v>
      </c>
      <c r="I279">
        <v>367.68529999999998</v>
      </c>
      <c r="J279">
        <v>-415.67970000000003</v>
      </c>
      <c r="K279">
        <v>1.0599499999999999</v>
      </c>
      <c r="L279">
        <v>367.68729999999999</v>
      </c>
      <c r="M279">
        <v>0.99991479999999999</v>
      </c>
      <c r="N279">
        <v>-9.7086039999999992E-3</v>
      </c>
      <c r="O279">
        <v>8.7280859999999995E-3</v>
      </c>
      <c r="P279">
        <v>0.95372920000000005</v>
      </c>
      <c r="Q279">
        <v>0.29315400000000003</v>
      </c>
      <c r="R279">
        <v>6.6792980000000002E-2</v>
      </c>
      <c r="S279">
        <v>3.4956670000000001</v>
      </c>
      <c r="T279">
        <v>-1.1382490000000001</v>
      </c>
      <c r="U279">
        <v>-7.3242190000000001E-4</v>
      </c>
      <c r="V279">
        <v>-5.8453720000000001E-2</v>
      </c>
      <c r="W279">
        <v>0.30240709999999998</v>
      </c>
      <c r="X279">
        <v>0.95138480000000003</v>
      </c>
      <c r="Y279">
        <v>8.0826749999999992E-3</v>
      </c>
      <c r="Z279">
        <v>-4.0107729999999996E-3</v>
      </c>
      <c r="AA279">
        <v>0.9999593</v>
      </c>
      <c r="AB279">
        <v>33</v>
      </c>
      <c r="AC279">
        <v>0.531200000000012</v>
      </c>
      <c r="AD279">
        <v>-0.2259401</v>
      </c>
      <c r="AE279">
        <v>-2.0000000000095402E-3</v>
      </c>
      <c r="AF279">
        <v>5.6198163864578697E-3</v>
      </c>
      <c r="AG279">
        <v>-0.2259401</v>
      </c>
      <c r="AH279">
        <v>0.44979039529124898</v>
      </c>
      <c r="AI279">
        <v>116.669641028817</v>
      </c>
      <c r="AJ279">
        <v>89.284166557561406</v>
      </c>
      <c r="AK279">
        <v>0.50338048315412998</v>
      </c>
      <c r="AL279">
        <v>72.397762714484102</v>
      </c>
      <c r="AM279">
        <v>93.515871467229402</v>
      </c>
      <c r="AN279">
        <v>0.99999996459164298</v>
      </c>
    </row>
    <row r="280" spans="1:40" x14ac:dyDescent="0.25">
      <c r="A280" t="str">
        <f>"20190304164829962"</f>
        <v>20190304164829962</v>
      </c>
      <c r="B280" t="str">
        <f>"1551689309956736"</f>
        <v>1551689309956736</v>
      </c>
      <c r="C280" t="s">
        <v>40</v>
      </c>
      <c r="D280">
        <v>4.7552629999999896</v>
      </c>
      <c r="E280">
        <v>0.55407740000000005</v>
      </c>
      <c r="F280" t="s">
        <v>41</v>
      </c>
      <c r="G280">
        <v>-414.8673</v>
      </c>
      <c r="H280">
        <v>0.79515979999999997</v>
      </c>
      <c r="I280">
        <v>367.68740000000003</v>
      </c>
      <c r="J280">
        <v>-415.39460000000003</v>
      </c>
      <c r="K280">
        <v>1.059941</v>
      </c>
      <c r="L280">
        <v>367.68979999999999</v>
      </c>
      <c r="M280">
        <v>0.99991509999999995</v>
      </c>
      <c r="N280">
        <v>-9.6747559999999996E-3</v>
      </c>
      <c r="O280">
        <v>8.7284319999999995E-3</v>
      </c>
      <c r="P280">
        <v>0.95365630000000001</v>
      </c>
      <c r="Q280">
        <v>0.29342259999999998</v>
      </c>
      <c r="R280">
        <v>6.6656399999999894E-2</v>
      </c>
      <c r="S280">
        <v>3.4957280000000002</v>
      </c>
      <c r="T280">
        <v>-1.139362</v>
      </c>
      <c r="U280">
        <v>1.12915E-3</v>
      </c>
      <c r="V280">
        <v>-5.831803E-2</v>
      </c>
      <c r="W280">
        <v>0.30264249999999998</v>
      </c>
      <c r="X280">
        <v>0.95131829999999995</v>
      </c>
      <c r="Y280">
        <v>7.5758880000000002E-3</v>
      </c>
      <c r="Z280">
        <v>-3.9317129999999999E-3</v>
      </c>
      <c r="AA280">
        <v>0.99996359999999995</v>
      </c>
      <c r="AB280">
        <v>33</v>
      </c>
      <c r="AC280">
        <v>0.52730000000002497</v>
      </c>
      <c r="AD280">
        <v>-0.264781199999999</v>
      </c>
      <c r="AE280">
        <v>-2.3999999999659801E-3</v>
      </c>
      <c r="AF280">
        <v>5.5925057906818804E-3</v>
      </c>
      <c r="AG280">
        <v>-0.264781199999999</v>
      </c>
      <c r="AH280">
        <v>0.42108470729323799</v>
      </c>
      <c r="AI280">
        <v>122.15971035522</v>
      </c>
      <c r="AJ280">
        <v>89.239088632013804</v>
      </c>
      <c r="AK280">
        <v>0.49744616865615798</v>
      </c>
      <c r="AL280">
        <v>72.383612709186295</v>
      </c>
      <c r="AM280">
        <v>93.507974981870206</v>
      </c>
      <c r="AN280">
        <v>0.99999999167210996</v>
      </c>
    </row>
    <row r="281" spans="1:40" x14ac:dyDescent="0.25">
      <c r="A281" t="str">
        <f>"20190304164829974"</f>
        <v>20190304164829974</v>
      </c>
      <c r="B281" t="str">
        <f>"1551689309966496"</f>
        <v>1551689309966496</v>
      </c>
      <c r="C281" t="s">
        <v>40</v>
      </c>
      <c r="D281">
        <v>4.7507380000000001</v>
      </c>
      <c r="E281">
        <v>0.55404549999999997</v>
      </c>
      <c r="F281" t="s">
        <v>41</v>
      </c>
      <c r="G281">
        <v>-414.57049999999998</v>
      </c>
      <c r="H281">
        <v>0.79138839999999999</v>
      </c>
      <c r="I281">
        <v>367.68979999999999</v>
      </c>
      <c r="J281">
        <v>-415.22089999999997</v>
      </c>
      <c r="K281">
        <v>1.059939</v>
      </c>
      <c r="L281">
        <v>367.69130000000001</v>
      </c>
      <c r="M281">
        <v>0.99991529999999995</v>
      </c>
      <c r="N281">
        <v>-9.6557640000000007E-3</v>
      </c>
      <c r="O281">
        <v>8.7287030000000009E-3</v>
      </c>
      <c r="P281">
        <v>0.95364119999999997</v>
      </c>
      <c r="Q281">
        <v>0.29347089999999998</v>
      </c>
      <c r="R281">
        <v>6.6658270000000006E-2</v>
      </c>
      <c r="S281">
        <v>3.496216</v>
      </c>
      <c r="T281">
        <v>-1.139392</v>
      </c>
      <c r="U281">
        <v>2.166748E-3</v>
      </c>
      <c r="V281">
        <v>-5.8319259999999998E-2</v>
      </c>
      <c r="W281">
        <v>0.30267300000000003</v>
      </c>
      <c r="X281">
        <v>0.9513085</v>
      </c>
      <c r="Y281">
        <v>7.2945950000000001E-3</v>
      </c>
      <c r="Z281">
        <v>-3.8853799999999999E-3</v>
      </c>
      <c r="AA281">
        <v>0.99996580000000002</v>
      </c>
      <c r="AB281">
        <v>33</v>
      </c>
      <c r="AC281">
        <v>0.65039999999998999</v>
      </c>
      <c r="AD281">
        <v>-0.26855059999999997</v>
      </c>
      <c r="AE281">
        <v>-1.5000000000213701E-3</v>
      </c>
      <c r="AF281">
        <v>6.1319447508855398E-3</v>
      </c>
      <c r="AG281">
        <v>-0.26855059999999997</v>
      </c>
      <c r="AH281">
        <v>0.55563423407858703</v>
      </c>
      <c r="AI281">
        <v>115.794162518739</v>
      </c>
      <c r="AJ281">
        <v>89.367713019300595</v>
      </c>
      <c r="AK281">
        <v>0.61715996920319305</v>
      </c>
      <c r="AL281">
        <v>72.381778829470605</v>
      </c>
      <c r="AM281">
        <v>93.508084832938806</v>
      </c>
      <c r="AN281">
        <v>0.99999997159409804</v>
      </c>
    </row>
    <row r="282" spans="1:40" x14ac:dyDescent="0.25">
      <c r="A282" t="str">
        <f>"20190304164829986"</f>
        <v>20190304164829986</v>
      </c>
      <c r="B282" t="str">
        <f>"1551689309977232"</f>
        <v>1551689309977232</v>
      </c>
      <c r="C282" t="s">
        <v>40</v>
      </c>
      <c r="D282">
        <v>4.7963500000000003</v>
      </c>
      <c r="E282">
        <v>0.55401549999999999</v>
      </c>
      <c r="F282" t="s">
        <v>41</v>
      </c>
      <c r="G282">
        <v>-414.54930000000002</v>
      </c>
      <c r="H282">
        <v>0.84098269999999997</v>
      </c>
      <c r="I282">
        <v>367.69139999999999</v>
      </c>
      <c r="J282">
        <v>-415.0471</v>
      </c>
      <c r="K282">
        <v>1.059931</v>
      </c>
      <c r="L282">
        <v>367.69279999999998</v>
      </c>
      <c r="M282">
        <v>0.99991549999999996</v>
      </c>
      <c r="N282">
        <v>-9.6392430000000005E-3</v>
      </c>
      <c r="O282">
        <v>8.7289619999999998E-3</v>
      </c>
      <c r="P282">
        <v>0.95366359999999994</v>
      </c>
      <c r="Q282">
        <v>0.2934427</v>
      </c>
      <c r="R282">
        <v>6.646167E-2</v>
      </c>
      <c r="S282">
        <v>3.4963989999999998</v>
      </c>
      <c r="T282">
        <v>-1.1397619999999999</v>
      </c>
      <c r="U282">
        <v>2.7770999999999998E-3</v>
      </c>
      <c r="V282">
        <v>-5.8122769999999997E-2</v>
      </c>
      <c r="W282">
        <v>0.30262939999999999</v>
      </c>
      <c r="X282">
        <v>0.95133440000000002</v>
      </c>
      <c r="Y282">
        <v>7.1287089999999996E-3</v>
      </c>
      <c r="Z282">
        <v>-3.8593809999999998E-3</v>
      </c>
      <c r="AA282">
        <v>0.99996719999999895</v>
      </c>
      <c r="AB282">
        <v>33</v>
      </c>
      <c r="AC282">
        <v>0.49779999999998298</v>
      </c>
      <c r="AD282">
        <v>-0.21894830000000001</v>
      </c>
      <c r="AE282">
        <v>-1.39999999998963E-3</v>
      </c>
      <c r="AF282">
        <v>4.8141296206358E-3</v>
      </c>
      <c r="AG282">
        <v>-0.21894830000000001</v>
      </c>
      <c r="AH282">
        <v>0.41708373931354598</v>
      </c>
      <c r="AI282">
        <v>117.695676973297</v>
      </c>
      <c r="AJ282">
        <v>89.338700996804604</v>
      </c>
      <c r="AK282">
        <v>0.47108425946603699</v>
      </c>
      <c r="AL282">
        <v>72.384399916533795</v>
      </c>
      <c r="AM282">
        <v>93.496199766960302</v>
      </c>
      <c r="AN282">
        <v>0.999999975380096</v>
      </c>
    </row>
    <row r="283" spans="1:40" x14ac:dyDescent="0.25">
      <c r="A283" t="str">
        <f>"20190304164829997"</f>
        <v>20190304164829997</v>
      </c>
      <c r="B283" t="str">
        <f>"1551689309986992"</f>
        <v>1551689309986992</v>
      </c>
      <c r="C283" t="s">
        <v>40</v>
      </c>
      <c r="D283">
        <v>5.0708929999999999</v>
      </c>
      <c r="E283">
        <v>0.55399129999999996</v>
      </c>
      <c r="F283" t="s">
        <v>41</v>
      </c>
      <c r="G283">
        <v>-414.26600000000002</v>
      </c>
      <c r="H283">
        <v>0.80513639999999997</v>
      </c>
      <c r="I283">
        <v>367.69319999999999</v>
      </c>
      <c r="J283">
        <v>-414.87720000000002</v>
      </c>
      <c r="K283">
        <v>1.059928</v>
      </c>
      <c r="L283">
        <v>367.69420000000002</v>
      </c>
      <c r="M283">
        <v>0.99991549999999996</v>
      </c>
      <c r="N283">
        <v>-9.6237079999999999E-3</v>
      </c>
      <c r="O283">
        <v>8.7292180000000004E-3</v>
      </c>
      <c r="P283">
        <v>0.95372460000000003</v>
      </c>
      <c r="Q283">
        <v>0.29333769999999998</v>
      </c>
      <c r="R283">
        <v>6.6047300000000003E-2</v>
      </c>
      <c r="S283">
        <v>3.4964900000000001</v>
      </c>
      <c r="T283">
        <v>-1.1404749999999999</v>
      </c>
      <c r="U283">
        <v>3.1433110000000002E-3</v>
      </c>
      <c r="V283">
        <v>-5.7707269999999998E-2</v>
      </c>
      <c r="W283">
        <v>0.30251020000000001</v>
      </c>
      <c r="X283">
        <v>0.95139759999999995</v>
      </c>
      <c r="Y283">
        <v>7.0286139999999999E-3</v>
      </c>
      <c r="Z283">
        <v>-3.8453599999999999E-3</v>
      </c>
      <c r="AA283">
        <v>0.99996790000000002</v>
      </c>
      <c r="AB283">
        <v>33</v>
      </c>
      <c r="AC283">
        <v>0.61120000000005303</v>
      </c>
      <c r="AD283">
        <v>-0.25479159999999901</v>
      </c>
      <c r="AE283">
        <v>-1.0000000000331901E-3</v>
      </c>
      <c r="AF283">
        <v>5.3975207917188297E-3</v>
      </c>
      <c r="AG283">
        <v>-0.25479159999999901</v>
      </c>
      <c r="AH283">
        <v>0.52068313207872496</v>
      </c>
      <c r="AI283">
        <v>116.07318289660699</v>
      </c>
      <c r="AJ283">
        <v>89.406080079275696</v>
      </c>
      <c r="AK283">
        <v>0.579705801844839</v>
      </c>
      <c r="AL283">
        <v>72.391565374740196</v>
      </c>
      <c r="AM283">
        <v>93.471037924459594</v>
      </c>
      <c r="AN283">
        <v>0.99999997170032595</v>
      </c>
    </row>
    <row r="284" spans="1:40" x14ac:dyDescent="0.25">
      <c r="A284" t="str">
        <f>"20190304164830011"</f>
        <v>20190304164830011</v>
      </c>
      <c r="B284" t="str">
        <f>"1551689310006512"</f>
        <v>1551689310006512</v>
      </c>
      <c r="C284" t="s">
        <v>40</v>
      </c>
      <c r="D284">
        <v>4.8341529999999997</v>
      </c>
      <c r="E284">
        <v>0.55394339999999997</v>
      </c>
      <c r="F284" t="s">
        <v>41</v>
      </c>
      <c r="G284">
        <v>-413.98230000000001</v>
      </c>
      <c r="H284">
        <v>0.76782139999999999</v>
      </c>
      <c r="I284">
        <v>367.69420000000002</v>
      </c>
      <c r="J284">
        <v>-414.66860000000003</v>
      </c>
      <c r="K284">
        <v>1.0599259999999999</v>
      </c>
      <c r="L284">
        <v>367.6961</v>
      </c>
      <c r="M284">
        <v>0.99991569999999996</v>
      </c>
      <c r="N284">
        <v>-9.6068520000000008E-3</v>
      </c>
      <c r="O284">
        <v>8.7294190000000004E-3</v>
      </c>
      <c r="P284">
        <v>0.95376369999999999</v>
      </c>
      <c r="Q284">
        <v>0.29327449999999999</v>
      </c>
      <c r="R284">
        <v>6.5763929999999998E-2</v>
      </c>
      <c r="S284">
        <v>3.496429</v>
      </c>
      <c r="T284">
        <v>-1.1412979999999999</v>
      </c>
      <c r="U284">
        <v>1.708984E-3</v>
      </c>
      <c r="V284">
        <v>-5.7423420000000003E-2</v>
      </c>
      <c r="W284">
        <v>0.30243120000000001</v>
      </c>
      <c r="X284">
        <v>0.95143990000000001</v>
      </c>
      <c r="Y284">
        <v>7.4170130000000001E-3</v>
      </c>
      <c r="Z284">
        <v>-3.9119469999999998E-3</v>
      </c>
      <c r="AA284">
        <v>0.99996479999999999</v>
      </c>
      <c r="AB284">
        <v>33</v>
      </c>
      <c r="AC284">
        <v>0.68630000000001701</v>
      </c>
      <c r="AD284">
        <v>-0.29210459999999899</v>
      </c>
      <c r="AE284">
        <v>-1.8999999999778001E-3</v>
      </c>
      <c r="AF284">
        <v>6.6809336409460697E-3</v>
      </c>
      <c r="AG284">
        <v>-0.29210459999999899</v>
      </c>
      <c r="AH284">
        <v>0.58100625160181296</v>
      </c>
      <c r="AI284">
        <v>116.689734948975</v>
      </c>
      <c r="AJ284">
        <v>89.341190512646506</v>
      </c>
      <c r="AK284">
        <v>0.65033683319943003</v>
      </c>
      <c r="AL284">
        <v>72.396314361901602</v>
      </c>
      <c r="AM284">
        <v>93.453852860879493</v>
      </c>
      <c r="AN284">
        <v>0.99999998160497305</v>
      </c>
    </row>
    <row r="285" spans="1:40" x14ac:dyDescent="0.25">
      <c r="A285" t="str">
        <f>"20190304164830030"</f>
        <v>20190304164830030</v>
      </c>
      <c r="B285" t="str">
        <f>"1551689310017247"</f>
        <v>1551689310017247</v>
      </c>
      <c r="C285" t="s">
        <v>40</v>
      </c>
      <c r="D285">
        <v>4.8175800000000004</v>
      </c>
      <c r="E285">
        <v>0.55391119999999905</v>
      </c>
      <c r="F285" t="s">
        <v>41</v>
      </c>
      <c r="G285">
        <v>-413.95729999999998</v>
      </c>
      <c r="H285">
        <v>0.82753120000000002</v>
      </c>
      <c r="I285">
        <v>367.69600000000003</v>
      </c>
      <c r="J285">
        <v>-414.39460000000003</v>
      </c>
      <c r="K285">
        <v>1.0599270000000001</v>
      </c>
      <c r="L285">
        <v>367.69850000000002</v>
      </c>
      <c r="M285">
        <v>0.99991609999999997</v>
      </c>
      <c r="N285">
        <v>-9.5873099999999999E-3</v>
      </c>
      <c r="O285">
        <v>8.7298710000000002E-3</v>
      </c>
      <c r="P285">
        <v>0.95382169999999999</v>
      </c>
      <c r="Q285">
        <v>0.29319289999999998</v>
      </c>
      <c r="R285">
        <v>6.5284969999999998E-2</v>
      </c>
      <c r="S285">
        <v>3.4965820000000001</v>
      </c>
      <c r="T285">
        <v>-1.1423430000000001</v>
      </c>
      <c r="U285">
        <v>1.586914E-3</v>
      </c>
      <c r="V285">
        <v>-5.6943479999999998E-2</v>
      </c>
      <c r="W285">
        <v>0.30233159999999998</v>
      </c>
      <c r="X285">
        <v>0.95150040000000002</v>
      </c>
      <c r="Y285">
        <v>7.4492009999999999E-3</v>
      </c>
      <c r="Z285">
        <v>-3.9207469999999996E-3</v>
      </c>
      <c r="AA285">
        <v>0.99996459999999998</v>
      </c>
      <c r="AB285">
        <v>33</v>
      </c>
      <c r="AC285">
        <v>0.43730000000004998</v>
      </c>
      <c r="AD285">
        <v>-0.23239580000000001</v>
      </c>
      <c r="AE285">
        <v>-2.5000000000545601E-3</v>
      </c>
      <c r="AF285">
        <v>4.9263819433073798E-3</v>
      </c>
      <c r="AG285">
        <v>-0.23239580000000001</v>
      </c>
      <c r="AH285">
        <v>0.34096799817972401</v>
      </c>
      <c r="AI285">
        <v>124.27464310586799</v>
      </c>
      <c r="AJ285">
        <v>89.172235351049395</v>
      </c>
      <c r="AK285">
        <v>0.41266360740848002</v>
      </c>
      <c r="AL285">
        <v>72.402301326245805</v>
      </c>
      <c r="AM285">
        <v>93.424837606043695</v>
      </c>
      <c r="AN285">
        <v>0.99999998373661503</v>
      </c>
    </row>
    <row r="286" spans="1:40" x14ac:dyDescent="0.25">
      <c r="A286" t="str">
        <f>"20190304164830052"</f>
        <v>20190304164830052</v>
      </c>
      <c r="B286" t="str">
        <f>"1551689310046528"</f>
        <v>1551689310046528</v>
      </c>
      <c r="C286" t="s">
        <v>40</v>
      </c>
      <c r="D286">
        <v>4.8405019999999999</v>
      </c>
      <c r="E286">
        <v>0.55382030000000004</v>
      </c>
      <c r="F286" t="s">
        <v>41</v>
      </c>
      <c r="G286">
        <v>-413.661</v>
      </c>
      <c r="H286">
        <v>0.82011939999999905</v>
      </c>
      <c r="I286">
        <v>367.69830000000002</v>
      </c>
      <c r="J286">
        <v>-414.06220000000002</v>
      </c>
      <c r="K286">
        <v>1.059925</v>
      </c>
      <c r="L286">
        <v>367.70139999999998</v>
      </c>
      <c r="M286">
        <v>0.99991620000000003</v>
      </c>
      <c r="N286">
        <v>-9.5671149999999993E-3</v>
      </c>
      <c r="O286">
        <v>8.7303269999999995E-3</v>
      </c>
      <c r="P286">
        <v>0.95391519999999996</v>
      </c>
      <c r="Q286">
        <v>0.29287449999999998</v>
      </c>
      <c r="R286">
        <v>6.5348420000000004E-2</v>
      </c>
      <c r="S286">
        <v>3.4965820000000001</v>
      </c>
      <c r="T286">
        <v>-1.142978</v>
      </c>
      <c r="U286">
        <v>-4.577637E-4</v>
      </c>
      <c r="V286">
        <v>-5.7005680000000003E-2</v>
      </c>
      <c r="W286">
        <v>0.30199480000000001</v>
      </c>
      <c r="X286">
        <v>0.95160370000000005</v>
      </c>
      <c r="Y286">
        <v>8.0036810000000003E-3</v>
      </c>
      <c r="Z286">
        <v>-4.0141279999999996E-3</v>
      </c>
      <c r="AA286">
        <v>0.99995990000000001</v>
      </c>
      <c r="AB286">
        <v>33</v>
      </c>
      <c r="AC286">
        <v>0.40120000000001699</v>
      </c>
      <c r="AD286">
        <v>-0.23980560000000001</v>
      </c>
      <c r="AE286">
        <v>-3.0999999999607999E-3</v>
      </c>
      <c r="AF286">
        <v>4.8647298364627896E-3</v>
      </c>
      <c r="AG286">
        <v>-0.23980560000000001</v>
      </c>
      <c r="AH286">
        <v>0.29556675443633501</v>
      </c>
      <c r="AI286">
        <v>129.05006030368</v>
      </c>
      <c r="AJ286">
        <v>89.057054560492304</v>
      </c>
      <c r="AK286">
        <v>0.38064431916918301</v>
      </c>
      <c r="AL286">
        <v>72.422546083116998</v>
      </c>
      <c r="AM286">
        <v>93.428198379346895</v>
      </c>
      <c r="AN286">
        <v>1.00000005431649</v>
      </c>
    </row>
    <row r="287" spans="1:40" x14ac:dyDescent="0.25">
      <c r="A287" t="str">
        <f>"20190304164830065"</f>
        <v>20190304164830065</v>
      </c>
      <c r="B287" t="str">
        <f>"1551689310057264"</f>
        <v>1551689310057264</v>
      </c>
      <c r="C287" t="s">
        <v>40</v>
      </c>
      <c r="D287">
        <v>4.8392099999999996</v>
      </c>
      <c r="E287">
        <v>0.5537919</v>
      </c>
      <c r="F287" t="s">
        <v>41</v>
      </c>
      <c r="G287">
        <v>-413.35730000000001</v>
      </c>
      <c r="H287">
        <v>0.82897099999999901</v>
      </c>
      <c r="I287">
        <v>367.70100000000002</v>
      </c>
      <c r="J287">
        <v>-413.85820000000001</v>
      </c>
      <c r="K287">
        <v>1.059922</v>
      </c>
      <c r="L287">
        <v>367.70319999999998</v>
      </c>
      <c r="M287">
        <v>0.99991629999999998</v>
      </c>
      <c r="N287">
        <v>-9.5566999999999996E-3</v>
      </c>
      <c r="O287">
        <v>8.7306750000000002E-3</v>
      </c>
      <c r="P287">
        <v>0.95390759999999997</v>
      </c>
      <c r="Q287">
        <v>0.2929735</v>
      </c>
      <c r="R287">
        <v>6.5013420000000002E-2</v>
      </c>
      <c r="S287">
        <v>3.4966740000000001</v>
      </c>
      <c r="T287">
        <v>-1.14557</v>
      </c>
      <c r="U287" s="1">
        <v>9.1552730000000004E-5</v>
      </c>
      <c r="V287">
        <v>-5.6670489999999997E-2</v>
      </c>
      <c r="W287">
        <v>0.30208390000000002</v>
      </c>
      <c r="X287">
        <v>0.95159539999999998</v>
      </c>
      <c r="Y287">
        <v>7.8513290000000006E-3</v>
      </c>
      <c r="Z287">
        <v>-3.9978679999999999E-3</v>
      </c>
      <c r="AA287">
        <v>0.99996119999999999</v>
      </c>
      <c r="AB287">
        <v>34</v>
      </c>
      <c r="AC287">
        <v>0.50090000000000101</v>
      </c>
      <c r="AD287">
        <v>-0.23095099999999999</v>
      </c>
      <c r="AE287">
        <v>-2.2000000000161799E-3</v>
      </c>
      <c r="AF287">
        <v>5.4209144435972299E-3</v>
      </c>
      <c r="AG287">
        <v>-0.23095099999999999</v>
      </c>
      <c r="AH287">
        <v>0.41305341835813097</v>
      </c>
      <c r="AI287">
        <v>119.208810277613</v>
      </c>
      <c r="AJ287">
        <v>89.248093165459693</v>
      </c>
      <c r="AK287">
        <v>0.47326617999994702</v>
      </c>
      <c r="AL287">
        <v>72.417190226714794</v>
      </c>
      <c r="AM287">
        <v>93.408118086639803</v>
      </c>
      <c r="AN287">
        <v>1.0000000161886</v>
      </c>
    </row>
    <row r="288" spans="1:40" x14ac:dyDescent="0.25">
      <c r="A288" t="str">
        <f>"20190304164830077"</f>
        <v>20190304164830077</v>
      </c>
      <c r="B288" t="str">
        <f>"1551689310067024"</f>
        <v>1551689310067024</v>
      </c>
      <c r="C288" t="s">
        <v>40</v>
      </c>
      <c r="D288">
        <v>4.8381299999999996</v>
      </c>
      <c r="E288">
        <v>0.55376210000000003</v>
      </c>
      <c r="F288" t="s">
        <v>41</v>
      </c>
      <c r="G288">
        <v>-413.06880000000001</v>
      </c>
      <c r="H288">
        <v>0.80130789999999996</v>
      </c>
      <c r="I288">
        <v>367.70299999999997</v>
      </c>
      <c r="J288">
        <v>-413.68279999999999</v>
      </c>
      <c r="K288">
        <v>1.059922</v>
      </c>
      <c r="L288">
        <v>367.7047</v>
      </c>
      <c r="M288">
        <v>0.99991640000000004</v>
      </c>
      <c r="N288">
        <v>-9.5483879999999997E-3</v>
      </c>
      <c r="O288">
        <v>8.7308939999999995E-3</v>
      </c>
      <c r="P288">
        <v>0.95385249999999999</v>
      </c>
      <c r="Q288">
        <v>0.29317700000000002</v>
      </c>
      <c r="R288">
        <v>6.490667E-2</v>
      </c>
      <c r="S288">
        <v>3.4967959999999998</v>
      </c>
      <c r="T288">
        <v>-1.1456090000000001</v>
      </c>
      <c r="U288">
        <v>0</v>
      </c>
      <c r="V288">
        <v>-5.6563820000000001E-2</v>
      </c>
      <c r="W288">
        <v>0.30227850000000001</v>
      </c>
      <c r="X288">
        <v>0.95153989999999999</v>
      </c>
      <c r="Y288">
        <v>7.8763559999999993E-3</v>
      </c>
      <c r="Z288">
        <v>-4.0020910000000002E-3</v>
      </c>
      <c r="AA288">
        <v>0.99996099999999999</v>
      </c>
      <c r="AB288">
        <v>34</v>
      </c>
      <c r="AC288">
        <v>0.61399999999997501</v>
      </c>
      <c r="AD288">
        <v>-0.25861410000000001</v>
      </c>
      <c r="AE288">
        <v>-1.6999999999711599E-3</v>
      </c>
      <c r="AF288">
        <v>5.9970457871787904E-3</v>
      </c>
      <c r="AG288">
        <v>-0.25861410000000001</v>
      </c>
      <c r="AH288">
        <v>0.52145360145627295</v>
      </c>
      <c r="AI288">
        <v>116.377532432818</v>
      </c>
      <c r="AJ288">
        <v>89.3410913944047</v>
      </c>
      <c r="AK288">
        <v>0.58209198220616398</v>
      </c>
      <c r="AL288">
        <v>72.405492807523402</v>
      </c>
      <c r="AM288">
        <v>93.401916060880296</v>
      </c>
      <c r="AN288">
        <v>0.999999969293625</v>
      </c>
    </row>
    <row r="289" spans="1:40" x14ac:dyDescent="0.25">
      <c r="A289" t="str">
        <f>"20190304164830088"</f>
        <v>20190304164830088</v>
      </c>
      <c r="B289" t="str">
        <f>"1551689310076784"</f>
        <v>1551689310076784</v>
      </c>
      <c r="C289" t="s">
        <v>40</v>
      </c>
      <c r="D289">
        <v>4.7597889999999996</v>
      </c>
      <c r="E289">
        <v>0.55376169999999902</v>
      </c>
      <c r="F289" t="s">
        <v>41</v>
      </c>
      <c r="G289">
        <v>-412.78289999999998</v>
      </c>
      <c r="H289">
        <v>0.76518269999999899</v>
      </c>
      <c r="I289">
        <v>367.70429999999999</v>
      </c>
      <c r="J289">
        <v>-413.51249999999999</v>
      </c>
      <c r="K289">
        <v>1.0599179999999999</v>
      </c>
      <c r="L289">
        <v>367.70620000000002</v>
      </c>
      <c r="M289">
        <v>0.99991649999999999</v>
      </c>
      <c r="N289">
        <v>-9.5415129999999997E-3</v>
      </c>
      <c r="O289">
        <v>8.7311060000000006E-3</v>
      </c>
      <c r="P289">
        <v>0.95381550000000004</v>
      </c>
      <c r="Q289">
        <v>0.29331380000000001</v>
      </c>
      <c r="R289">
        <v>6.4834130000000004E-2</v>
      </c>
      <c r="S289">
        <v>3.4971619999999999</v>
      </c>
      <c r="T289">
        <v>-1.1454759999999999</v>
      </c>
      <c r="U289">
        <v>4.8828130000000002E-4</v>
      </c>
      <c r="V289">
        <v>-5.6491960000000001E-2</v>
      </c>
      <c r="W289">
        <v>0.30240850000000002</v>
      </c>
      <c r="X289">
        <v>0.95150290000000004</v>
      </c>
      <c r="Y289">
        <v>7.7444130000000003E-3</v>
      </c>
      <c r="Z289">
        <v>-3.9796320000000003E-3</v>
      </c>
      <c r="AA289">
        <v>0.99996209999999996</v>
      </c>
      <c r="AB289">
        <v>34</v>
      </c>
      <c r="AC289">
        <v>0.72960000000000402</v>
      </c>
      <c r="AD289">
        <v>-0.29473529999999998</v>
      </c>
      <c r="AE289">
        <v>-1.90000000003465E-3</v>
      </c>
      <c r="AF289">
        <v>7.1101337726467298E-3</v>
      </c>
      <c r="AG289">
        <v>-0.29473529999999998</v>
      </c>
      <c r="AH289">
        <v>0.62720280354353597</v>
      </c>
      <c r="AI289">
        <v>115.16836495492601</v>
      </c>
      <c r="AJ289">
        <v>89.350507993499605</v>
      </c>
      <c r="AK289">
        <v>0.69303882130889705</v>
      </c>
      <c r="AL289">
        <v>72.397679304934996</v>
      </c>
      <c r="AM289">
        <v>93.397736127320002</v>
      </c>
      <c r="AN289">
        <v>1.0000000055626499</v>
      </c>
    </row>
    <row r="290" spans="1:40" x14ac:dyDescent="0.25">
      <c r="A290" t="str">
        <f>"20190304164830107"</f>
        <v>20190304164830107</v>
      </c>
      <c r="B290" t="str">
        <f>"1551689310097325"</f>
        <v>1551689310097325</v>
      </c>
      <c r="C290" t="s">
        <v>40</v>
      </c>
      <c r="D290">
        <v>4.8515309999999996</v>
      </c>
      <c r="E290">
        <v>0.55373280000000002</v>
      </c>
      <c r="F290" t="s">
        <v>41</v>
      </c>
      <c r="G290">
        <v>-412.76249999999999</v>
      </c>
      <c r="H290">
        <v>0.81438199999999905</v>
      </c>
      <c r="I290">
        <v>367.70589999999999</v>
      </c>
      <c r="J290">
        <v>-413.23590000000002</v>
      </c>
      <c r="K290">
        <v>1.0599149999999999</v>
      </c>
      <c r="L290">
        <v>367.70859999999999</v>
      </c>
      <c r="M290">
        <v>0.99991660000000004</v>
      </c>
      <c r="N290">
        <v>-9.5315839999999992E-3</v>
      </c>
      <c r="O290">
        <v>8.7316319999999996E-3</v>
      </c>
      <c r="P290">
        <v>0.95382449999999996</v>
      </c>
      <c r="Q290">
        <v>0.29327579999999998</v>
      </c>
      <c r="R290">
        <v>6.4871449999999997E-2</v>
      </c>
      <c r="S290">
        <v>3.4972840000000001</v>
      </c>
      <c r="T290">
        <v>-1.1449590000000001</v>
      </c>
      <c r="U290">
        <v>1.0986329999999999E-3</v>
      </c>
      <c r="V290">
        <v>-5.6528229999999999E-2</v>
      </c>
      <c r="W290">
        <v>0.30236160000000001</v>
      </c>
      <c r="X290">
        <v>0.95151560000000002</v>
      </c>
      <c r="Y290">
        <v>7.5800469999999899E-3</v>
      </c>
      <c r="Z290">
        <v>-3.9509509999999899E-3</v>
      </c>
      <c r="AA290">
        <v>0.99996350000000001</v>
      </c>
      <c r="AB290">
        <v>34</v>
      </c>
      <c r="AC290">
        <v>0.47340000000002602</v>
      </c>
      <c r="AD290">
        <v>-0.245533</v>
      </c>
      <c r="AE290">
        <v>-2.7000000000043599E-3</v>
      </c>
      <c r="AF290">
        <v>5.3850665093006502E-3</v>
      </c>
      <c r="AG290">
        <v>-0.245533</v>
      </c>
      <c r="AH290">
        <v>0.37301742197015503</v>
      </c>
      <c r="AI290">
        <v>123.35155683415501</v>
      </c>
      <c r="AJ290">
        <v>89.172906858391599</v>
      </c>
      <c r="AK290">
        <v>0.44660659435746097</v>
      </c>
      <c r="AL290">
        <v>72.400497579308194</v>
      </c>
      <c r="AM290">
        <v>93.399867215615004</v>
      </c>
      <c r="AN290">
        <v>0.99999995749242498</v>
      </c>
    </row>
    <row r="291" spans="1:40" x14ac:dyDescent="0.25">
      <c r="A291" t="str">
        <f>"20190304164830118"</f>
        <v>20190304164830118</v>
      </c>
      <c r="B291" t="str">
        <f>"1551689310107087"</f>
        <v>1551689310107087</v>
      </c>
      <c r="C291" t="s">
        <v>40</v>
      </c>
      <c r="D291">
        <v>4.8359290000000001</v>
      </c>
      <c r="E291">
        <v>0.55037179999999997</v>
      </c>
      <c r="F291" t="s">
        <v>41</v>
      </c>
      <c r="G291">
        <v>-412.46440000000001</v>
      </c>
      <c r="H291">
        <v>0.80721379999999998</v>
      </c>
      <c r="I291">
        <v>367.709</v>
      </c>
      <c r="J291">
        <v>-413.06549999999999</v>
      </c>
      <c r="K291">
        <v>1.0599209999999999</v>
      </c>
      <c r="L291">
        <v>367.71010000000001</v>
      </c>
      <c r="M291">
        <v>0.99991649999999999</v>
      </c>
      <c r="N291">
        <v>-9.5262130000000004E-3</v>
      </c>
      <c r="O291">
        <v>8.7320149999999992E-3</v>
      </c>
      <c r="P291">
        <v>0.95379100000000006</v>
      </c>
      <c r="Q291">
        <v>0.29334850000000001</v>
      </c>
      <c r="R291">
        <v>6.5033999999999995E-2</v>
      </c>
      <c r="S291">
        <v>3.4973139999999998</v>
      </c>
      <c r="T291">
        <v>-1.145616</v>
      </c>
      <c r="U291">
        <v>2.4719239999999999E-3</v>
      </c>
      <c r="V291">
        <v>-5.669076E-2</v>
      </c>
      <c r="W291">
        <v>0.30242839999999999</v>
      </c>
      <c r="X291">
        <v>0.95148469999999996</v>
      </c>
      <c r="Y291">
        <v>7.206924E-3</v>
      </c>
      <c r="Z291">
        <v>-3.891865E-3</v>
      </c>
      <c r="AA291">
        <v>0.99996640000000003</v>
      </c>
      <c r="AB291">
        <v>34</v>
      </c>
      <c r="AC291">
        <v>0.60109999999997399</v>
      </c>
      <c r="AD291">
        <v>-0.25270719999999902</v>
      </c>
      <c r="AE291">
        <v>-1.1000000000080899E-3</v>
      </c>
      <c r="AF291">
        <v>5.3954131170804104E-3</v>
      </c>
      <c r="AG291">
        <v>-0.25270719999999902</v>
      </c>
      <c r="AH291">
        <v>0.51078941676633405</v>
      </c>
      <c r="AI291">
        <v>116.322105168467</v>
      </c>
      <c r="AJ291">
        <v>89.394813412785894</v>
      </c>
      <c r="AK291">
        <v>0.56990864855258605</v>
      </c>
      <c r="AL291">
        <v>72.396482222006597</v>
      </c>
      <c r="AM291">
        <v>93.409729954775003</v>
      </c>
      <c r="AN291">
        <v>0.99999995686501197</v>
      </c>
    </row>
    <row r="292" spans="1:40" x14ac:dyDescent="0.25">
      <c r="A292" t="str">
        <f>"20190304164830129"</f>
        <v>20190304164830129</v>
      </c>
      <c r="B292" t="str">
        <f>"1551689310116846"</f>
        <v>1551689310116846</v>
      </c>
      <c r="C292" t="s">
        <v>40</v>
      </c>
      <c r="D292">
        <v>4.844214</v>
      </c>
      <c r="E292">
        <v>0.55036560000000001</v>
      </c>
      <c r="F292" t="s">
        <v>41</v>
      </c>
      <c r="G292">
        <v>-412.18279999999999</v>
      </c>
      <c r="H292">
        <v>0.75842580000000004</v>
      </c>
      <c r="I292">
        <v>367.71859999999998</v>
      </c>
      <c r="J292">
        <v>-412.88569999999999</v>
      </c>
      <c r="K292">
        <v>1.0599209999999999</v>
      </c>
      <c r="L292">
        <v>367.71159999999998</v>
      </c>
      <c r="M292">
        <v>0.99991660000000004</v>
      </c>
      <c r="N292">
        <v>-9.5214670000000005E-3</v>
      </c>
      <c r="O292">
        <v>8.73221699999999E-3</v>
      </c>
      <c r="P292">
        <v>0.9536753</v>
      </c>
      <c r="Q292">
        <v>0.29369200000000001</v>
      </c>
      <c r="R292">
        <v>6.5179719999999997E-2</v>
      </c>
      <c r="S292">
        <v>3.511841</v>
      </c>
      <c r="T292">
        <v>-1.199527</v>
      </c>
      <c r="U292">
        <v>3.6010739999999999E-2</v>
      </c>
      <c r="V292">
        <v>-5.6837249999999999E-2</v>
      </c>
      <c r="W292">
        <v>0.3027666</v>
      </c>
      <c r="X292">
        <v>0.95136849999999995</v>
      </c>
      <c r="Y292">
        <v>-1.8793010000000001E-3</v>
      </c>
      <c r="Z292">
        <v>-2.4980290000000001E-3</v>
      </c>
      <c r="AA292">
        <v>0.99999510000000003</v>
      </c>
      <c r="AB292">
        <v>34</v>
      </c>
      <c r="AC292">
        <v>0.70289999999999897</v>
      </c>
      <c r="AD292">
        <v>-0.30149519999999902</v>
      </c>
      <c r="AE292">
        <v>7.0000000000049996E-3</v>
      </c>
      <c r="AF292">
        <v>-7.2770840395814697E-4</v>
      </c>
      <c r="AG292">
        <v>-0.30149519999999902</v>
      </c>
      <c r="AH292">
        <v>0.59371305119547702</v>
      </c>
      <c r="AI292">
        <v>116.922034573085</v>
      </c>
      <c r="AJ292">
        <v>90.070226853358804</v>
      </c>
      <c r="AK292">
        <v>0.66587917247981498</v>
      </c>
      <c r="AL292">
        <v>72.376153444659394</v>
      </c>
      <c r="AM292">
        <v>93.418936440445606</v>
      </c>
      <c r="AN292">
        <v>1.00000005492768</v>
      </c>
    </row>
    <row r="293" spans="1:40" x14ac:dyDescent="0.25">
      <c r="A293" t="str">
        <f>"20190304164830142"</f>
        <v>20190304164830142</v>
      </c>
      <c r="B293" t="str">
        <f>"1551689310137341"</f>
        <v>1551689310137341</v>
      </c>
      <c r="C293" t="s">
        <v>40</v>
      </c>
      <c r="D293">
        <v>4.7840689999999997</v>
      </c>
      <c r="E293">
        <v>0.5504194</v>
      </c>
      <c r="F293" t="s">
        <v>41</v>
      </c>
      <c r="G293">
        <v>-412.16050000000001</v>
      </c>
      <c r="H293">
        <v>0.81231519999999902</v>
      </c>
      <c r="I293">
        <v>367.71850000000001</v>
      </c>
      <c r="J293">
        <v>-412.71690000000001</v>
      </c>
      <c r="K293">
        <v>1.0599209999999999</v>
      </c>
      <c r="L293">
        <v>367.7131</v>
      </c>
      <c r="M293">
        <v>0.99991660000000004</v>
      </c>
      <c r="N293">
        <v>-9.5174709999999996E-3</v>
      </c>
      <c r="O293">
        <v>8.7325340000000001E-3</v>
      </c>
      <c r="P293">
        <v>0.9536211</v>
      </c>
      <c r="Q293">
        <v>0.29382530000000001</v>
      </c>
      <c r="R293">
        <v>6.5371219999999994E-2</v>
      </c>
      <c r="S293">
        <v>3.5125730000000002</v>
      </c>
      <c r="T293">
        <v>-1.199184</v>
      </c>
      <c r="U293">
        <v>3.5888669999999998E-2</v>
      </c>
      <c r="V293">
        <v>-5.7028969999999998E-2</v>
      </c>
      <c r="W293">
        <v>0.30289559999999999</v>
      </c>
      <c r="X293">
        <v>0.95131589999999999</v>
      </c>
      <c r="Y293">
        <v>-1.843836E-3</v>
      </c>
      <c r="Z293">
        <v>-2.5030180000000001E-3</v>
      </c>
      <c r="AA293">
        <v>0.99999519999999997</v>
      </c>
      <c r="AB293">
        <v>34</v>
      </c>
      <c r="AC293">
        <v>0.55639999999999601</v>
      </c>
      <c r="AD293">
        <v>-0.24760579999999999</v>
      </c>
      <c r="AE293">
        <v>5.4000000000087303E-3</v>
      </c>
      <c r="AF293">
        <v>-4.5140543052990902E-4</v>
      </c>
      <c r="AG293">
        <v>-0.24760579999999999</v>
      </c>
      <c r="AH293">
        <v>0.46445508960940801</v>
      </c>
      <c r="AI293">
        <v>118.062526587934</v>
      </c>
      <c r="AJ293">
        <v>90.055685939187001</v>
      </c>
      <c r="AK293">
        <v>0.52633389233886996</v>
      </c>
      <c r="AL293">
        <v>72.368397037258205</v>
      </c>
      <c r="AM293">
        <v>93.4306307192752</v>
      </c>
      <c r="AN293">
        <v>0.99999999475571499</v>
      </c>
    </row>
    <row r="294" spans="1:40" x14ac:dyDescent="0.25">
      <c r="A294" t="str">
        <f>"20190304164830152"</f>
        <v>20190304164830152</v>
      </c>
      <c r="B294" t="str">
        <f>"1551689310147102"</f>
        <v>1551689310147102</v>
      </c>
      <c r="C294" t="s">
        <v>40</v>
      </c>
      <c r="D294">
        <v>4.7651079999999997</v>
      </c>
      <c r="E294">
        <v>0.55470649999999999</v>
      </c>
      <c r="F294" t="s">
        <v>41</v>
      </c>
      <c r="G294">
        <v>-411.87509999999997</v>
      </c>
      <c r="H294">
        <v>0.77264759999999999</v>
      </c>
      <c r="I294">
        <v>367.72160000000002</v>
      </c>
      <c r="J294">
        <v>-412.53949999999998</v>
      </c>
      <c r="K294">
        <v>1.0599209999999999</v>
      </c>
      <c r="L294">
        <v>367.71460000000002</v>
      </c>
      <c r="M294">
        <v>0.99991660000000004</v>
      </c>
      <c r="N294">
        <v>-9.5136969999999998E-3</v>
      </c>
      <c r="O294">
        <v>8.7327310000000005E-3</v>
      </c>
      <c r="P294">
        <v>0.95354589999999995</v>
      </c>
      <c r="Q294">
        <v>0.29405979999999998</v>
      </c>
      <c r="R294">
        <v>6.5415379999999995E-2</v>
      </c>
      <c r="S294">
        <v>3.512848</v>
      </c>
      <c r="T294">
        <v>-1.198922</v>
      </c>
      <c r="U294">
        <v>3.5736080000000003E-2</v>
      </c>
      <c r="V294">
        <v>-5.7074029999999998E-2</v>
      </c>
      <c r="W294">
        <v>0.3031256</v>
      </c>
      <c r="X294">
        <v>0.95123990000000003</v>
      </c>
      <c r="Y294">
        <v>-1.8016709999999999E-3</v>
      </c>
      <c r="Z294">
        <v>-2.5095930000000001E-3</v>
      </c>
      <c r="AA294">
        <v>0.99999519999999997</v>
      </c>
      <c r="AB294">
        <v>34</v>
      </c>
      <c r="AC294">
        <v>0.66439999999999999</v>
      </c>
      <c r="AD294">
        <v>-0.28727339999999901</v>
      </c>
      <c r="AE294">
        <v>7.0000000000049996E-3</v>
      </c>
      <c r="AF294">
        <v>-1.0088564877814999E-3</v>
      </c>
      <c r="AG294">
        <v>-0.28727339999999901</v>
      </c>
      <c r="AH294">
        <v>0.55979269411446597</v>
      </c>
      <c r="AI294">
        <v>117.16586757932799</v>
      </c>
      <c r="AJ294">
        <v>90.103258147010806</v>
      </c>
      <c r="AK294">
        <v>0.62920178362978696</v>
      </c>
      <c r="AL294">
        <v>72.354568290009496</v>
      </c>
      <c r="AM294">
        <v>93.433608516380801</v>
      </c>
      <c r="AN294">
        <v>0.99999996081390397</v>
      </c>
    </row>
    <row r="295" spans="1:40" x14ac:dyDescent="0.25">
      <c r="A295" t="str">
        <f>"20190304164830163"</f>
        <v>20190304164830163</v>
      </c>
      <c r="B295" t="str">
        <f>"1551689310156861"</f>
        <v>1551689310156861</v>
      </c>
      <c r="C295" t="s">
        <v>40</v>
      </c>
      <c r="D295">
        <v>4.7736679999999998</v>
      </c>
      <c r="E295">
        <v>0.55426529999999996</v>
      </c>
      <c r="F295" t="s">
        <v>41</v>
      </c>
      <c r="G295">
        <v>-411.84820000000002</v>
      </c>
      <c r="H295">
        <v>0.83710779999999996</v>
      </c>
      <c r="I295">
        <v>367.7131</v>
      </c>
      <c r="J295">
        <v>-412.37569999999999</v>
      </c>
      <c r="K295">
        <v>1.0599209999999999</v>
      </c>
      <c r="L295">
        <v>367.71609999999998</v>
      </c>
      <c r="M295">
        <v>0.99991669999999999</v>
      </c>
      <c r="N295">
        <v>-9.5108459999999999E-3</v>
      </c>
      <c r="O295">
        <v>8.7329239999999995E-3</v>
      </c>
      <c r="P295">
        <v>0.95353759999999999</v>
      </c>
      <c r="Q295">
        <v>0.29405720000000002</v>
      </c>
      <c r="R295">
        <v>6.5548729999999999E-2</v>
      </c>
      <c r="S295">
        <v>3.4939879999999999</v>
      </c>
      <c r="T295">
        <v>-1.126304</v>
      </c>
      <c r="U295">
        <v>-7.2937009999999997E-3</v>
      </c>
      <c r="V295">
        <v>-5.7206569999999998E-2</v>
      </c>
      <c r="W295">
        <v>0.303120099999999</v>
      </c>
      <c r="X295">
        <v>0.95123369999999996</v>
      </c>
      <c r="Y295">
        <v>9.8873820000000001E-3</v>
      </c>
      <c r="Z295">
        <v>-4.2669079999999998E-3</v>
      </c>
      <c r="AA295">
        <v>0.999942</v>
      </c>
      <c r="AB295">
        <v>34</v>
      </c>
      <c r="AC295">
        <v>0.52749999999997499</v>
      </c>
      <c r="AD295">
        <v>-0.22281319999999899</v>
      </c>
      <c r="AE295">
        <v>-2.9999999999858998E-3</v>
      </c>
      <c r="AF295">
        <v>6.4550549938886398E-3</v>
      </c>
      <c r="AG295">
        <v>-0.22281319999999899</v>
      </c>
      <c r="AH295">
        <v>0.44759719410543503</v>
      </c>
      <c r="AI295">
        <v>116.46167514534901</v>
      </c>
      <c r="AJ295">
        <v>89.1737620895681</v>
      </c>
      <c r="AK295">
        <v>0.50003063706164297</v>
      </c>
      <c r="AL295">
        <v>72.354899130536197</v>
      </c>
      <c r="AM295">
        <v>93.441585438031595</v>
      </c>
      <c r="AN295">
        <v>0.99999996934543101</v>
      </c>
    </row>
    <row r="296" spans="1:40" x14ac:dyDescent="0.25">
      <c r="A296" t="str">
        <f>"20190304164830176"</f>
        <v>20190304164830176</v>
      </c>
      <c r="B296" t="str">
        <f>"1551689310166621"</f>
        <v>1551689310166621</v>
      </c>
      <c r="C296" t="s">
        <v>40</v>
      </c>
      <c r="D296">
        <v>4.8722000000000003</v>
      </c>
      <c r="E296">
        <v>0.55316409999999905</v>
      </c>
      <c r="F296" t="s">
        <v>41</v>
      </c>
      <c r="G296">
        <v>-411.56319999999999</v>
      </c>
      <c r="H296">
        <v>0.79688359999999903</v>
      </c>
      <c r="I296">
        <v>367.71499999999997</v>
      </c>
      <c r="J296">
        <v>-412.18779999999998</v>
      </c>
      <c r="K296">
        <v>1.05992</v>
      </c>
      <c r="L296">
        <v>367.71769999999998</v>
      </c>
      <c r="M296">
        <v>0.99991669999999999</v>
      </c>
      <c r="N296">
        <v>-9.5078239999999998E-3</v>
      </c>
      <c r="O296">
        <v>8.7334749999999992E-3</v>
      </c>
      <c r="P296">
        <v>0.95348350000000004</v>
      </c>
      <c r="Q296">
        <v>0.29420809999999997</v>
      </c>
      <c r="R296">
        <v>6.5656989999999998E-2</v>
      </c>
      <c r="S296">
        <v>3.4952999999999999</v>
      </c>
      <c r="T296">
        <v>-1.1315470000000001</v>
      </c>
      <c r="U296">
        <v>-2.89917E-3</v>
      </c>
      <c r="V296">
        <v>-5.731489E-2</v>
      </c>
      <c r="W296">
        <v>0.30326740000000002</v>
      </c>
      <c r="X296">
        <v>0.95118029999999998</v>
      </c>
      <c r="Y296">
        <v>8.685379E-3</v>
      </c>
      <c r="Z296">
        <v>-4.0890340000000001E-3</v>
      </c>
      <c r="AA296">
        <v>0.99995389999999995</v>
      </c>
      <c r="AB296">
        <v>34</v>
      </c>
      <c r="AC296">
        <v>0.62459999999998606</v>
      </c>
      <c r="AD296">
        <v>-0.2630364</v>
      </c>
      <c r="AE296">
        <v>-2.7000000000043599E-3</v>
      </c>
      <c r="AF296">
        <v>6.9266612080438796E-3</v>
      </c>
      <c r="AG296">
        <v>-0.2630364</v>
      </c>
      <c r="AH296">
        <v>0.53047530531707099</v>
      </c>
      <c r="AI296">
        <v>116.372588906714</v>
      </c>
      <c r="AJ296">
        <v>89.251905043146905</v>
      </c>
      <c r="AK296">
        <v>0.59214877852756798</v>
      </c>
      <c r="AL296">
        <v>72.346043822853005</v>
      </c>
      <c r="AM296">
        <v>93.448279444816805</v>
      </c>
      <c r="AN296">
        <v>1.0000000378132801</v>
      </c>
    </row>
    <row r="297" spans="1:40" x14ac:dyDescent="0.25">
      <c r="A297" t="str">
        <f>"20190304164830188"</f>
        <v>20190304164830188</v>
      </c>
      <c r="B297" t="str">
        <f>"1551689310176382"</f>
        <v>1551689310176382</v>
      </c>
      <c r="C297" t="s">
        <v>40</v>
      </c>
      <c r="D297">
        <v>4.8520339999999997</v>
      </c>
      <c r="E297">
        <v>0.55255430000000005</v>
      </c>
      <c r="F297" t="s">
        <v>41</v>
      </c>
      <c r="G297">
        <v>-411.27510000000001</v>
      </c>
      <c r="H297">
        <v>0.7605693</v>
      </c>
      <c r="I297">
        <v>367.7199</v>
      </c>
      <c r="J297">
        <v>-412.01100000000002</v>
      </c>
      <c r="K297">
        <v>1.0599130000000001</v>
      </c>
      <c r="L297">
        <v>367.71929999999998</v>
      </c>
      <c r="M297">
        <v>0.99991669999999999</v>
      </c>
      <c r="N297">
        <v>-9.5056700000000008E-3</v>
      </c>
      <c r="O297">
        <v>8.7336050000000002E-3</v>
      </c>
      <c r="P297">
        <v>0.95347499999999996</v>
      </c>
      <c r="Q297">
        <v>0.29419840000000003</v>
      </c>
      <c r="R297">
        <v>6.5824690000000005E-2</v>
      </c>
      <c r="S297">
        <v>3.5</v>
      </c>
      <c r="T297">
        <v>-1.1479349999999999</v>
      </c>
      <c r="U297">
        <v>8.2092290000000002E-3</v>
      </c>
      <c r="V297">
        <v>-5.748292E-2</v>
      </c>
      <c r="W297">
        <v>0.30325600000000003</v>
      </c>
      <c r="X297">
        <v>0.95117370000000001</v>
      </c>
      <c r="Y297">
        <v>5.6517420000000004E-3</v>
      </c>
      <c r="Z297">
        <v>-3.6410420000000001E-3</v>
      </c>
      <c r="AA297">
        <v>0.99997740000000002</v>
      </c>
      <c r="AB297">
        <v>34</v>
      </c>
      <c r="AC297">
        <v>0.73589999999995803</v>
      </c>
      <c r="AD297">
        <v>-0.29934369999999899</v>
      </c>
      <c r="AE297">
        <v>6.0000000001991696E-4</v>
      </c>
      <c r="AF297">
        <v>5.0000474384556499E-3</v>
      </c>
      <c r="AG297">
        <v>-0.29934369999999899</v>
      </c>
      <c r="AH297">
        <v>0.63140298865710398</v>
      </c>
      <c r="AI297">
        <v>115.3646044506</v>
      </c>
      <c r="AJ297">
        <v>89.546287184944006</v>
      </c>
      <c r="AK297">
        <v>0.69878565046028196</v>
      </c>
      <c r="AL297">
        <v>72.346727629523897</v>
      </c>
      <c r="AM297">
        <v>93.458388199866903</v>
      </c>
      <c r="AN297">
        <v>0.99999994759970601</v>
      </c>
    </row>
    <row r="298" spans="1:40" x14ac:dyDescent="0.25">
      <c r="A298" t="str">
        <f>"20190304164830199"</f>
        <v>20190304164830199</v>
      </c>
      <c r="B298" t="str">
        <f>"1551689310187117"</f>
        <v>1551689310187117</v>
      </c>
      <c r="C298" t="s">
        <v>40</v>
      </c>
      <c r="D298">
        <v>4.8573009999999996</v>
      </c>
      <c r="E298">
        <v>0.55220459999999905</v>
      </c>
      <c r="F298" t="s">
        <v>41</v>
      </c>
      <c r="G298">
        <v>-411.25470000000001</v>
      </c>
      <c r="H298">
        <v>0.80988760000000004</v>
      </c>
      <c r="I298">
        <v>367.72239999999999</v>
      </c>
      <c r="J298">
        <v>-411.84699999999998</v>
      </c>
      <c r="K298">
        <v>1.059911</v>
      </c>
      <c r="L298">
        <v>367.72070000000002</v>
      </c>
      <c r="M298">
        <v>0.99991669999999999</v>
      </c>
      <c r="N298">
        <v>-9.5038710000000005E-3</v>
      </c>
      <c r="O298">
        <v>8.7339710000000001E-3</v>
      </c>
      <c r="P298">
        <v>0.9533893</v>
      </c>
      <c r="Q298">
        <v>0.29450409999999999</v>
      </c>
      <c r="R298">
        <v>6.5696630000000006E-2</v>
      </c>
      <c r="S298">
        <v>3.5026549999999999</v>
      </c>
      <c r="T298">
        <v>-1.157897</v>
      </c>
      <c r="U298">
        <v>1.4434809999999999E-2</v>
      </c>
      <c r="V298">
        <v>-5.7354660000000002E-2</v>
      </c>
      <c r="W298">
        <v>0.30355949999999998</v>
      </c>
      <c r="X298">
        <v>0.95108470000000001</v>
      </c>
      <c r="Y298">
        <v>3.9578629999999998E-3</v>
      </c>
      <c r="Z298">
        <v>-3.3879740000000002E-3</v>
      </c>
      <c r="AA298">
        <v>0.99998640000000005</v>
      </c>
      <c r="AB298">
        <v>34</v>
      </c>
      <c r="AC298">
        <v>0.59229999999996596</v>
      </c>
      <c r="AD298">
        <v>-0.25002340000000001</v>
      </c>
      <c r="AE298">
        <v>1.6999999999711599E-3</v>
      </c>
      <c r="AF298">
        <v>2.94811570002947E-3</v>
      </c>
      <c r="AG298">
        <v>-0.25002340000000001</v>
      </c>
      <c r="AH298">
        <v>0.50271528626567996</v>
      </c>
      <c r="AI298">
        <v>116.44287549792099</v>
      </c>
      <c r="AJ298">
        <v>89.663999374194802</v>
      </c>
      <c r="AK298">
        <v>0.56146509328623895</v>
      </c>
      <c r="AL298">
        <v>72.328479354545493</v>
      </c>
      <c r="AM298">
        <v>93.451012389849893</v>
      </c>
      <c r="AN298">
        <v>1.00000001681902</v>
      </c>
    </row>
    <row r="299" spans="1:40" x14ac:dyDescent="0.25">
      <c r="A299" t="str">
        <f>"20190304164830213"</f>
        <v>20190304164830213</v>
      </c>
      <c r="B299" t="str">
        <f>"1551689310206637"</f>
        <v>1551689310206637</v>
      </c>
      <c r="C299" t="s">
        <v>40</v>
      </c>
      <c r="D299">
        <v>5.0951579999999996</v>
      </c>
      <c r="E299">
        <v>0.55220349999999996</v>
      </c>
      <c r="F299" t="s">
        <v>41</v>
      </c>
      <c r="G299">
        <v>-410.96870000000001</v>
      </c>
      <c r="H299">
        <v>0.76858380000000004</v>
      </c>
      <c r="I299">
        <v>367.72469999999998</v>
      </c>
      <c r="J299">
        <v>-411.6266</v>
      </c>
      <c r="K299">
        <v>1.0599080000000001</v>
      </c>
      <c r="L299">
        <v>367.72269999999997</v>
      </c>
      <c r="M299">
        <v>0.99991669999999999</v>
      </c>
      <c r="N299">
        <v>-9.5020020000000007E-3</v>
      </c>
      <c r="O299">
        <v>8.7343379999999995E-3</v>
      </c>
      <c r="P299">
        <v>0.95326829999999996</v>
      </c>
      <c r="Q299">
        <v>0.29485460000000002</v>
      </c>
      <c r="R299">
        <v>6.5883300000000006E-2</v>
      </c>
      <c r="S299">
        <v>3.5045470000000001</v>
      </c>
      <c r="T299">
        <v>-1.1624319999999999</v>
      </c>
      <c r="U299">
        <v>1.7364500000000001E-2</v>
      </c>
      <c r="V299">
        <v>-5.754252E-2</v>
      </c>
      <c r="W299">
        <v>0.30390660000000003</v>
      </c>
      <c r="X299">
        <v>0.95096250000000004</v>
      </c>
      <c r="Y299">
        <v>3.1639279999999999E-3</v>
      </c>
      <c r="Z299">
        <v>-3.2670500000000001E-3</v>
      </c>
      <c r="AA299">
        <v>0.99998960000000003</v>
      </c>
      <c r="AB299">
        <v>34</v>
      </c>
      <c r="AC299">
        <v>0.65789999999998305</v>
      </c>
      <c r="AD299">
        <v>-0.29132419999999998</v>
      </c>
      <c r="AE299">
        <v>2.0000000000095402E-3</v>
      </c>
      <c r="AF299">
        <v>3.13245129388009E-3</v>
      </c>
      <c r="AG299">
        <v>-0.29132419999999998</v>
      </c>
      <c r="AH299">
        <v>0.55004126384121299</v>
      </c>
      <c r="AI299">
        <v>117.907127979207</v>
      </c>
      <c r="AJ299">
        <v>89.673707573906995</v>
      </c>
      <c r="AK299">
        <v>0.62243473046158604</v>
      </c>
      <c r="AL299">
        <v>72.307605921103701</v>
      </c>
      <c r="AM299">
        <v>93.462732242823293</v>
      </c>
      <c r="AN299">
        <v>1.0000000197688801</v>
      </c>
    </row>
    <row r="300" spans="1:40" x14ac:dyDescent="0.25">
      <c r="A300" t="str">
        <f>"20190304164830232"</f>
        <v>20190304164830232</v>
      </c>
      <c r="B300" t="str">
        <f>"1551689310227133"</f>
        <v>1551689310227133</v>
      </c>
      <c r="C300" t="s">
        <v>40</v>
      </c>
      <c r="D300">
        <v>4.8619629999999896</v>
      </c>
      <c r="E300">
        <v>0.55187319999999995</v>
      </c>
      <c r="F300" t="s">
        <v>41</v>
      </c>
      <c r="G300">
        <v>-410.94170000000003</v>
      </c>
      <c r="H300">
        <v>0.83279479999999995</v>
      </c>
      <c r="I300">
        <v>367.726</v>
      </c>
      <c r="J300">
        <v>-411.35939999999999</v>
      </c>
      <c r="K300">
        <v>1.0599080000000001</v>
      </c>
      <c r="L300">
        <v>367.72500000000002</v>
      </c>
      <c r="M300">
        <v>0.99991669999999999</v>
      </c>
      <c r="N300">
        <v>-9.5005009999999997E-3</v>
      </c>
      <c r="O300">
        <v>8.7346430000000003E-3</v>
      </c>
      <c r="P300">
        <v>0.95324089999999995</v>
      </c>
      <c r="Q300">
        <v>0.29495179999999999</v>
      </c>
      <c r="R300">
        <v>6.5843869999999999E-2</v>
      </c>
      <c r="S300">
        <v>3.5052490000000001</v>
      </c>
      <c r="T300">
        <v>-1.1622939999999999</v>
      </c>
      <c r="U300">
        <v>1.9042969999999999E-2</v>
      </c>
      <c r="V300">
        <v>-5.7503039999999998E-2</v>
      </c>
      <c r="W300">
        <v>0.30400199999999999</v>
      </c>
      <c r="X300">
        <v>0.95093439999999996</v>
      </c>
      <c r="Y300">
        <v>2.7117119999999998E-3</v>
      </c>
      <c r="Z300">
        <v>-3.1909159999999998E-3</v>
      </c>
      <c r="AA300">
        <v>0.99999119999999997</v>
      </c>
      <c r="AB300">
        <v>34</v>
      </c>
      <c r="AC300">
        <v>0.41769999999996799</v>
      </c>
      <c r="AD300">
        <v>-0.22711319999999999</v>
      </c>
      <c r="AE300">
        <v>9.9999999997635292E-4</v>
      </c>
      <c r="AF300">
        <v>2.0443001291416099E-3</v>
      </c>
      <c r="AG300">
        <v>-0.22711319999999999</v>
      </c>
      <c r="AH300">
        <v>0.32238505109162002</v>
      </c>
      <c r="AI300">
        <v>125.16331365932299</v>
      </c>
      <c r="AJ300">
        <v>89.6366822867558</v>
      </c>
      <c r="AK300">
        <v>0.39435606492686798</v>
      </c>
      <c r="AL300">
        <v>72.301868528311402</v>
      </c>
      <c r="AM300">
        <v>93.4604642373301</v>
      </c>
      <c r="AN300">
        <v>1.0000000243583</v>
      </c>
    </row>
    <row r="301" spans="1:40" x14ac:dyDescent="0.25">
      <c r="A301" t="str">
        <f>"20190304164830253"</f>
        <v>20190304164830253</v>
      </c>
      <c r="B301" t="str">
        <f>"1551689310246653"</f>
        <v>1551689310246653</v>
      </c>
      <c r="C301" t="s">
        <v>40</v>
      </c>
      <c r="D301">
        <v>4.8640460000000001</v>
      </c>
      <c r="E301">
        <v>0.55185069999999903</v>
      </c>
      <c r="F301" t="s">
        <v>41</v>
      </c>
      <c r="G301">
        <v>-410.6431</v>
      </c>
      <c r="H301">
        <v>0.82119809999999904</v>
      </c>
      <c r="I301">
        <v>367.72919999999999</v>
      </c>
      <c r="J301">
        <v>-411.02569999999997</v>
      </c>
      <c r="K301">
        <v>1.0599080000000001</v>
      </c>
      <c r="L301">
        <v>367.72789999999998</v>
      </c>
      <c r="M301">
        <v>0.9999169</v>
      </c>
      <c r="N301">
        <v>-9.4995540000000003E-3</v>
      </c>
      <c r="O301">
        <v>8.7350050000000005E-3</v>
      </c>
      <c r="P301">
        <v>0.95320249999999995</v>
      </c>
      <c r="Q301">
        <v>0.29504799999999998</v>
      </c>
      <c r="R301">
        <v>6.5968139999999995E-2</v>
      </c>
      <c r="S301">
        <v>3.507263</v>
      </c>
      <c r="T301">
        <v>-1.1687190000000001</v>
      </c>
      <c r="U301">
        <v>2.163696E-2</v>
      </c>
      <c r="V301">
        <v>-5.7627249999999998E-2</v>
      </c>
      <c r="W301">
        <v>0.30409740000000002</v>
      </c>
      <c r="X301">
        <v>0.95089639999999997</v>
      </c>
      <c r="Y301">
        <v>2.0089109999999999E-3</v>
      </c>
      <c r="Z301">
        <v>-3.0889139999999999E-3</v>
      </c>
      <c r="AA301">
        <v>0.99999320000000003</v>
      </c>
      <c r="AB301">
        <v>34</v>
      </c>
      <c r="AC301">
        <v>0.38259999999996802</v>
      </c>
      <c r="AD301">
        <v>-0.2387099</v>
      </c>
      <c r="AE301">
        <v>1.3000000000147299E-3</v>
      </c>
      <c r="AF301">
        <v>1.46999456386461E-3</v>
      </c>
      <c r="AG301">
        <v>-0.2387099</v>
      </c>
      <c r="AH301">
        <v>0.27539498946128299</v>
      </c>
      <c r="AI301">
        <v>130.91804734293299</v>
      </c>
      <c r="AJ301">
        <v>89.694171325725307</v>
      </c>
      <c r="AK301">
        <v>0.36445435580111801</v>
      </c>
      <c r="AL301">
        <v>72.296131265598007</v>
      </c>
      <c r="AM301">
        <v>93.468059071645001</v>
      </c>
      <c r="AN301">
        <v>1.00000004608114</v>
      </c>
    </row>
    <row r="302" spans="1:40" x14ac:dyDescent="0.25">
      <c r="A302" t="str">
        <f>"20190304164830266"</f>
        <v>20190304164830266</v>
      </c>
      <c r="B302" t="str">
        <f>"1551689310256413"</f>
        <v>1551689310256413</v>
      </c>
      <c r="C302" t="s">
        <v>40</v>
      </c>
      <c r="D302">
        <v>5.1425989999999997</v>
      </c>
      <c r="E302">
        <v>0.55174299999999998</v>
      </c>
      <c r="F302" t="s">
        <v>41</v>
      </c>
      <c r="G302">
        <v>-410.3356</v>
      </c>
      <c r="H302">
        <v>0.82949609999999996</v>
      </c>
      <c r="I302">
        <v>367.73169999999999</v>
      </c>
      <c r="J302">
        <v>-410.83300000000003</v>
      </c>
      <c r="K302">
        <v>1.0599080000000001</v>
      </c>
      <c r="L302">
        <v>367.7296</v>
      </c>
      <c r="M302">
        <v>0.99991680000000005</v>
      </c>
      <c r="N302">
        <v>-9.4995099999999992E-3</v>
      </c>
      <c r="O302">
        <v>8.7353039999999993E-3</v>
      </c>
      <c r="P302">
        <v>0.95324730000000002</v>
      </c>
      <c r="Q302">
        <v>0.29489720000000003</v>
      </c>
      <c r="R302">
        <v>6.5994860000000002E-2</v>
      </c>
      <c r="S302">
        <v>3.5083009999999999</v>
      </c>
      <c r="T302">
        <v>-1.1712739999999999</v>
      </c>
      <c r="U302">
        <v>2.233887E-2</v>
      </c>
      <c r="V302">
        <v>-5.7653290000000003E-2</v>
      </c>
      <c r="W302">
        <v>0.30394650000000001</v>
      </c>
      <c r="X302">
        <v>0.95094299999999998</v>
      </c>
      <c r="Y302">
        <v>1.8194489999999999E-3</v>
      </c>
      <c r="Z302">
        <v>-3.0629659999999999E-3</v>
      </c>
      <c r="AA302">
        <v>0.99999369999999999</v>
      </c>
      <c r="AB302">
        <v>34</v>
      </c>
      <c r="AC302">
        <v>0.49740000000002699</v>
      </c>
      <c r="AD302">
        <v>-0.2304119</v>
      </c>
      <c r="AE302">
        <v>2.0999999999844398E-3</v>
      </c>
      <c r="AF302">
        <v>1.8485525105538499E-3</v>
      </c>
      <c r="AG302">
        <v>-0.2304119</v>
      </c>
      <c r="AH302">
        <v>0.40952354679874398</v>
      </c>
      <c r="AI302">
        <v>119.363339087005</v>
      </c>
      <c r="AJ302">
        <v>89.741373753592796</v>
      </c>
      <c r="AK302">
        <v>0.46989636750098102</v>
      </c>
      <c r="AL302">
        <v>72.305205634424297</v>
      </c>
      <c r="AM302">
        <v>93.469452744494006</v>
      </c>
      <c r="AN302">
        <v>0.99999998297953596</v>
      </c>
    </row>
    <row r="303" spans="1:40" x14ac:dyDescent="0.25">
      <c r="A303" t="str">
        <f>"20190304164830276"</f>
        <v>20190304164830276</v>
      </c>
      <c r="B303" t="str">
        <f>"1551689310267149"</f>
        <v>1551689310267149</v>
      </c>
      <c r="C303" t="s">
        <v>40</v>
      </c>
      <c r="D303">
        <v>4.8112820000000003</v>
      </c>
      <c r="E303">
        <v>0.55184699999999998</v>
      </c>
      <c r="F303" t="s">
        <v>41</v>
      </c>
      <c r="G303">
        <v>-410.04539999999997</v>
      </c>
      <c r="H303">
        <v>0.79654459999999905</v>
      </c>
      <c r="I303">
        <v>367.7346</v>
      </c>
      <c r="J303">
        <v>-410.65890000000002</v>
      </c>
      <c r="K303">
        <v>1.059909</v>
      </c>
      <c r="L303">
        <v>367.73110000000003</v>
      </c>
      <c r="M303">
        <v>0.99991680000000005</v>
      </c>
      <c r="N303">
        <v>-9.4996149999999994E-3</v>
      </c>
      <c r="O303">
        <v>8.7354819999999993E-3</v>
      </c>
      <c r="P303">
        <v>0.95317390000000002</v>
      </c>
      <c r="Q303">
        <v>0.29519450000000003</v>
      </c>
      <c r="R303">
        <v>6.5726329999999999E-2</v>
      </c>
      <c r="S303">
        <v>3.5085139999999999</v>
      </c>
      <c r="T303">
        <v>-1.1732260000000001</v>
      </c>
      <c r="U303">
        <v>2.3376460000000002E-2</v>
      </c>
      <c r="V303">
        <v>-5.738505E-2</v>
      </c>
      <c r="W303">
        <v>0.30424319999999999</v>
      </c>
      <c r="X303">
        <v>0.95086440000000005</v>
      </c>
      <c r="Y303">
        <v>1.5382880000000001E-3</v>
      </c>
      <c r="Z303">
        <v>-3.0206629999999998E-3</v>
      </c>
      <c r="AA303">
        <v>0.9999943</v>
      </c>
      <c r="AB303">
        <v>34</v>
      </c>
      <c r="AC303">
        <v>0.61350000000004401</v>
      </c>
      <c r="AD303">
        <v>-0.2633644</v>
      </c>
      <c r="AE303">
        <v>3.4999999999740798E-3</v>
      </c>
      <c r="AF303">
        <v>1.5702351263231699E-3</v>
      </c>
      <c r="AG303">
        <v>-0.2633644</v>
      </c>
      <c r="AH303">
        <v>0.51804368678974599</v>
      </c>
      <c r="AI303">
        <v>116.947885512478</v>
      </c>
      <c r="AJ303">
        <v>89.826332079028901</v>
      </c>
      <c r="AK303">
        <v>0.58114760108635499</v>
      </c>
      <c r="AL303">
        <v>72.287361885964998</v>
      </c>
      <c r="AM303">
        <v>93.453634554765003</v>
      </c>
      <c r="AN303">
        <v>1.0000000379485501</v>
      </c>
    </row>
    <row r="304" spans="1:40" x14ac:dyDescent="0.25">
      <c r="A304" t="str">
        <f>"20190304164830288"</f>
        <v>20190304164830288</v>
      </c>
      <c r="B304" t="str">
        <f>"1551689310276909"</f>
        <v>1551689310276909</v>
      </c>
      <c r="C304" t="s">
        <v>40</v>
      </c>
      <c r="D304">
        <v>4.8201970000000003</v>
      </c>
      <c r="E304">
        <v>0.55191579999999996</v>
      </c>
      <c r="F304" t="s">
        <v>41</v>
      </c>
      <c r="G304">
        <v>-409.75619999999998</v>
      </c>
      <c r="H304">
        <v>0.75853309999999996</v>
      </c>
      <c r="I304">
        <v>367.73610000000002</v>
      </c>
      <c r="J304">
        <v>-410.48349999999999</v>
      </c>
      <c r="K304">
        <v>1.0599069999999999</v>
      </c>
      <c r="L304">
        <v>367.73259999999999</v>
      </c>
      <c r="M304">
        <v>0.9999169</v>
      </c>
      <c r="N304">
        <v>-9.5000580000000005E-3</v>
      </c>
      <c r="O304">
        <v>8.7356589999999998E-3</v>
      </c>
      <c r="P304">
        <v>0.95307620000000004</v>
      </c>
      <c r="Q304">
        <v>0.295489</v>
      </c>
      <c r="R304">
        <v>6.5820950000000003E-2</v>
      </c>
      <c r="S304">
        <v>3.5086979999999999</v>
      </c>
      <c r="T304">
        <v>-1.1714450000000001</v>
      </c>
      <c r="U304">
        <v>2.133179E-2</v>
      </c>
      <c r="V304">
        <v>-5.7480490000000002E-2</v>
      </c>
      <c r="W304">
        <v>0.30453709999999901</v>
      </c>
      <c r="X304">
        <v>0.95076450000000001</v>
      </c>
      <c r="Y304">
        <v>2.092235E-3</v>
      </c>
      <c r="Z304">
        <v>-3.108839E-3</v>
      </c>
      <c r="AA304">
        <v>0.99999300000000002</v>
      </c>
      <c r="AB304">
        <v>34</v>
      </c>
      <c r="AC304">
        <v>0.72730000000001305</v>
      </c>
      <c r="AD304">
        <v>-0.30137389999999997</v>
      </c>
      <c r="AE304">
        <v>3.5000000000309198E-3</v>
      </c>
      <c r="AF304">
        <v>2.4356578375931701E-3</v>
      </c>
      <c r="AG304">
        <v>-0.30137389999999997</v>
      </c>
      <c r="AH304">
        <v>0.62072365147683894</v>
      </c>
      <c r="AI304">
        <v>115.89733855057101</v>
      </c>
      <c r="AJ304">
        <v>89.775178216788106</v>
      </c>
      <c r="AK304">
        <v>0.69002174714500997</v>
      </c>
      <c r="AL304">
        <v>72.269682966862007</v>
      </c>
      <c r="AM304">
        <v>93.459727136832797</v>
      </c>
      <c r="AN304">
        <v>0.99999999323364996</v>
      </c>
    </row>
    <row r="305" spans="1:40" x14ac:dyDescent="0.25">
      <c r="A305" t="str">
        <f>"20190304164830301"</f>
        <v>20190304164830301</v>
      </c>
      <c r="B305" t="str">
        <f>"1551689310296936"</f>
        <v>1551689310296936</v>
      </c>
      <c r="C305" t="s">
        <v>40</v>
      </c>
      <c r="D305">
        <v>4.8423040000000004</v>
      </c>
      <c r="E305">
        <v>0.55198230000000004</v>
      </c>
      <c r="F305" t="s">
        <v>41</v>
      </c>
      <c r="G305">
        <v>-409.73480000000001</v>
      </c>
      <c r="H305">
        <v>0.81023259999999997</v>
      </c>
      <c r="I305">
        <v>367.73660000000001</v>
      </c>
      <c r="J305">
        <v>-410.29750000000001</v>
      </c>
      <c r="K305">
        <v>1.0599080000000001</v>
      </c>
      <c r="L305">
        <v>367.73430000000002</v>
      </c>
      <c r="M305">
        <v>0.99991680000000005</v>
      </c>
      <c r="N305">
        <v>-9.5006840000000006E-3</v>
      </c>
      <c r="O305">
        <v>8.7360130000000008E-3</v>
      </c>
      <c r="P305">
        <v>0.9530151</v>
      </c>
      <c r="Q305">
        <v>0.29573100000000002</v>
      </c>
      <c r="R305">
        <v>6.5616830000000001E-2</v>
      </c>
      <c r="S305">
        <v>3.509125</v>
      </c>
      <c r="T305">
        <v>-1.1702729999999999</v>
      </c>
      <c r="U305">
        <v>2.0599369999999999E-2</v>
      </c>
      <c r="V305">
        <v>-5.7276800000000003E-2</v>
      </c>
      <c r="W305">
        <v>0.30477910000000002</v>
      </c>
      <c r="X305">
        <v>0.95069919999999997</v>
      </c>
      <c r="Y305">
        <v>2.292133E-3</v>
      </c>
      <c r="Z305">
        <v>-3.138989E-3</v>
      </c>
      <c r="AA305">
        <v>0.9999924</v>
      </c>
      <c r="AB305">
        <v>34</v>
      </c>
      <c r="AC305">
        <v>0.56270000000000597</v>
      </c>
      <c r="AD305">
        <v>-0.24967539999999999</v>
      </c>
      <c r="AE305">
        <v>2.29999999999108E-3</v>
      </c>
      <c r="AF305">
        <v>2.1857452500233399E-3</v>
      </c>
      <c r="AG305">
        <v>-0.24967539999999999</v>
      </c>
      <c r="AH305">
        <v>0.47013986506732702</v>
      </c>
      <c r="AI305">
        <v>117.971005034771</v>
      </c>
      <c r="AJ305">
        <v>89.7336259165738</v>
      </c>
      <c r="AK305">
        <v>0.53232891671689497</v>
      </c>
      <c r="AL305">
        <v>72.255124556477398</v>
      </c>
      <c r="AM305">
        <v>93.447732965919002</v>
      </c>
      <c r="AN305">
        <v>0.99999995024784305</v>
      </c>
    </row>
    <row r="306" spans="1:40" x14ac:dyDescent="0.25">
      <c r="A306" t="str">
        <f>"20190304164830319"</f>
        <v>20190304164830319</v>
      </c>
      <c r="B306" t="str">
        <f>"1551689310316457"</f>
        <v>1551689310316457</v>
      </c>
      <c r="C306" t="s">
        <v>40</v>
      </c>
      <c r="D306">
        <v>4.8434210000000002</v>
      </c>
      <c r="E306">
        <v>0.55198190000000003</v>
      </c>
      <c r="F306" t="s">
        <v>41</v>
      </c>
      <c r="G306">
        <v>-409.44420000000002</v>
      </c>
      <c r="H306">
        <v>0.77557419999999899</v>
      </c>
      <c r="I306">
        <v>367.73930000000001</v>
      </c>
      <c r="J306">
        <v>-410.01170000000002</v>
      </c>
      <c r="K306">
        <v>1.059912</v>
      </c>
      <c r="L306">
        <v>367.73669999999998</v>
      </c>
      <c r="M306">
        <v>0.99991669999999999</v>
      </c>
      <c r="N306">
        <v>-9.5020509999999992E-3</v>
      </c>
      <c r="O306">
        <v>8.7364829999999997E-3</v>
      </c>
      <c r="P306">
        <v>0.95295209999999997</v>
      </c>
      <c r="Q306">
        <v>0.29602399999999901</v>
      </c>
      <c r="R306">
        <v>6.5205070000000004E-2</v>
      </c>
      <c r="S306">
        <v>3.5093990000000002</v>
      </c>
      <c r="T306">
        <v>-1.1694020000000001</v>
      </c>
      <c r="U306">
        <v>2.0690920000000002E-2</v>
      </c>
      <c r="V306">
        <v>-5.6864999999999999E-2</v>
      </c>
      <c r="W306">
        <v>0.30507339999999999</v>
      </c>
      <c r="X306">
        <v>0.95062959999999996</v>
      </c>
      <c r="Y306">
        <v>2.2691730000000002E-3</v>
      </c>
      <c r="Z306">
        <v>-3.132784E-3</v>
      </c>
      <c r="AA306">
        <v>0.99999249999999995</v>
      </c>
      <c r="AB306">
        <v>34</v>
      </c>
      <c r="AC306">
        <v>0.56749999999999501</v>
      </c>
      <c r="AD306">
        <v>-0.28433779999999997</v>
      </c>
      <c r="AE306">
        <v>2.6000000000294598E-3</v>
      </c>
      <c r="AF306">
        <v>1.8850660287364699E-3</v>
      </c>
      <c r="AG306">
        <v>-0.28433779999999997</v>
      </c>
      <c r="AH306">
        <v>0.45362648514278198</v>
      </c>
      <c r="AI306">
        <v>122.079691152598</v>
      </c>
      <c r="AJ306">
        <v>89.761906084875804</v>
      </c>
      <c r="AK306">
        <v>0.53537699428138197</v>
      </c>
      <c r="AL306">
        <v>72.237420524469499</v>
      </c>
      <c r="AM306">
        <v>93.423254151884294</v>
      </c>
      <c r="AN306">
        <v>1.0000000220043499</v>
      </c>
    </row>
    <row r="307" spans="1:40" x14ac:dyDescent="0.25">
      <c r="A307" t="str">
        <f>"20190304164830331"</f>
        <v>20190304164830331</v>
      </c>
      <c r="B307" t="str">
        <f>"1551689310327193"</f>
        <v>1551689310327193</v>
      </c>
      <c r="C307" t="s">
        <v>40</v>
      </c>
      <c r="D307">
        <v>4.9330049999999996</v>
      </c>
      <c r="E307">
        <v>0.55202600000000002</v>
      </c>
      <c r="F307" t="s">
        <v>41</v>
      </c>
      <c r="G307">
        <v>-409.14109999999999</v>
      </c>
      <c r="H307">
        <v>0.76971049999999996</v>
      </c>
      <c r="I307">
        <v>367.74180000000001</v>
      </c>
      <c r="J307">
        <v>-409.84109999999998</v>
      </c>
      <c r="K307">
        <v>1.059912</v>
      </c>
      <c r="L307">
        <v>367.73820000000001</v>
      </c>
      <c r="M307">
        <v>0.99991669999999999</v>
      </c>
      <c r="N307">
        <v>-9.5030870000000003E-3</v>
      </c>
      <c r="O307">
        <v>8.7366570000000001E-3</v>
      </c>
      <c r="P307">
        <v>0.9528856</v>
      </c>
      <c r="Q307">
        <v>0.29627049999999999</v>
      </c>
      <c r="R307">
        <v>6.5062910000000002E-2</v>
      </c>
      <c r="S307">
        <v>3.510132</v>
      </c>
      <c r="T307">
        <v>-1.1700079999999999</v>
      </c>
      <c r="U307">
        <v>2.0996089999999999E-2</v>
      </c>
      <c r="V307">
        <v>-5.6722939999999999E-2</v>
      </c>
      <c r="W307">
        <v>0.30531999999999998</v>
      </c>
      <c r="X307">
        <v>0.95055889999999998</v>
      </c>
      <c r="Y307">
        <v>2.1878150000000001E-3</v>
      </c>
      <c r="Z307">
        <v>-3.1201699999999998E-3</v>
      </c>
      <c r="AA307">
        <v>0.99999269999999996</v>
      </c>
      <c r="AB307">
        <v>34</v>
      </c>
      <c r="AC307">
        <v>0.69999999999998797</v>
      </c>
      <c r="AD307">
        <v>-0.2902015</v>
      </c>
      <c r="AE307">
        <v>3.6000000000058199E-3</v>
      </c>
      <c r="AF307">
        <v>2.1470644544428498E-3</v>
      </c>
      <c r="AG307">
        <v>-0.2902015</v>
      </c>
      <c r="AH307">
        <v>0.59734160463474295</v>
      </c>
      <c r="AI307">
        <v>115.911340846358</v>
      </c>
      <c r="AJ307">
        <v>89.794058875428703</v>
      </c>
      <c r="AK307">
        <v>0.66410730542257401</v>
      </c>
      <c r="AL307">
        <v>72.2225832503443</v>
      </c>
      <c r="AM307">
        <v>93.414975825312595</v>
      </c>
      <c r="AN307">
        <v>1.0000000083457199</v>
      </c>
    </row>
    <row r="308" spans="1:40" x14ac:dyDescent="0.25">
      <c r="A308" t="str">
        <f>"20190304164830342"</f>
        <v>20190304164830342</v>
      </c>
      <c r="B308" t="str">
        <f>"1551689310336953"</f>
        <v>1551689310336953</v>
      </c>
      <c r="C308" t="s">
        <v>40</v>
      </c>
      <c r="D308">
        <v>4.8225730000000002</v>
      </c>
      <c r="E308">
        <v>0.5520545</v>
      </c>
      <c r="F308" t="s">
        <v>41</v>
      </c>
      <c r="G308">
        <v>-409.12009999999998</v>
      </c>
      <c r="H308">
        <v>0.81979690000000005</v>
      </c>
      <c r="I308">
        <v>367.74200000000002</v>
      </c>
      <c r="J308">
        <v>-409.66300000000001</v>
      </c>
      <c r="K308">
        <v>1.0599130000000001</v>
      </c>
      <c r="L308">
        <v>367.7398</v>
      </c>
      <c r="M308">
        <v>0.99991680000000005</v>
      </c>
      <c r="N308">
        <v>-9.5043220000000008E-3</v>
      </c>
      <c r="O308">
        <v>8.7368289999999998E-3</v>
      </c>
      <c r="P308">
        <v>0.95284069999999998</v>
      </c>
      <c r="Q308">
        <v>0.29642210000000002</v>
      </c>
      <c r="R308">
        <v>6.5030309999999994E-2</v>
      </c>
      <c r="S308">
        <v>3.5104060000000001</v>
      </c>
      <c r="T308">
        <v>-1.1690259999999999</v>
      </c>
      <c r="U308">
        <v>1.953125E-2</v>
      </c>
      <c r="V308">
        <v>-5.6690579999999997E-2</v>
      </c>
      <c r="W308">
        <v>0.30547210000000002</v>
      </c>
      <c r="X308">
        <v>0.95051189999999997</v>
      </c>
      <c r="Y308">
        <v>2.5846789999999999E-3</v>
      </c>
      <c r="Z308">
        <v>-3.183721E-3</v>
      </c>
      <c r="AA308">
        <v>0.99999159999999998</v>
      </c>
      <c r="AB308">
        <v>34</v>
      </c>
      <c r="AC308">
        <v>0.54290000000003102</v>
      </c>
      <c r="AD308">
        <v>-0.240116099999999</v>
      </c>
      <c r="AE308">
        <v>2.1999999999593399E-3</v>
      </c>
      <c r="AF308">
        <v>2.1273806217085001E-3</v>
      </c>
      <c r="AG308">
        <v>-0.240116099999999</v>
      </c>
      <c r="AH308">
        <v>0.45407577662168103</v>
      </c>
      <c r="AI308">
        <v>117.86970793798601</v>
      </c>
      <c r="AJ308">
        <v>89.731566743916503</v>
      </c>
      <c r="AK308">
        <v>0.51365852289444403</v>
      </c>
      <c r="AL308">
        <v>72.213430240529306</v>
      </c>
      <c r="AM308">
        <v>93.413200580066601</v>
      </c>
      <c r="AN308">
        <v>0.99999994889037602</v>
      </c>
    </row>
    <row r="309" spans="1:40" x14ac:dyDescent="0.25">
      <c r="A309" t="str">
        <f>"20190304164830354"</f>
        <v>20190304164830354</v>
      </c>
      <c r="B309" t="str">
        <f>"1551689310346713"</f>
        <v>1551689310346713</v>
      </c>
      <c r="C309" t="s">
        <v>40</v>
      </c>
      <c r="D309">
        <v>4.7600360000000004</v>
      </c>
      <c r="E309">
        <v>0.55206140000000004</v>
      </c>
      <c r="F309" t="s">
        <v>41</v>
      </c>
      <c r="G309">
        <v>-408.83</v>
      </c>
      <c r="H309">
        <v>0.78257310000000002</v>
      </c>
      <c r="I309">
        <v>367.74419999999998</v>
      </c>
      <c r="J309">
        <v>-409.4667</v>
      </c>
      <c r="K309">
        <v>1.059911</v>
      </c>
      <c r="L309">
        <v>367.74149999999997</v>
      </c>
      <c r="M309">
        <v>0.99991669999999999</v>
      </c>
      <c r="N309">
        <v>-9.5057949999999992E-3</v>
      </c>
      <c r="O309">
        <v>8.7371199999999993E-3</v>
      </c>
      <c r="P309">
        <v>0.95281309999999997</v>
      </c>
      <c r="Q309">
        <v>0.29645759999999899</v>
      </c>
      <c r="R309">
        <v>6.5269830000000001E-2</v>
      </c>
      <c r="S309">
        <v>3.510742</v>
      </c>
      <c r="T309">
        <v>-1.1688149999999999</v>
      </c>
      <c r="U309">
        <v>1.9470210000000002E-2</v>
      </c>
      <c r="V309">
        <v>-5.6930069999999999E-2</v>
      </c>
      <c r="W309">
        <v>0.30550890000000003</v>
      </c>
      <c r="X309">
        <v>0.95048580000000005</v>
      </c>
      <c r="Y309">
        <v>2.6022229999999999E-3</v>
      </c>
      <c r="Z309">
        <v>-3.185879E-3</v>
      </c>
      <c r="AA309">
        <v>0.99999150000000003</v>
      </c>
      <c r="AB309">
        <v>34</v>
      </c>
      <c r="AC309">
        <v>0.63670000000001803</v>
      </c>
      <c r="AD309">
        <v>-0.27733790000000003</v>
      </c>
      <c r="AE309">
        <v>2.7000000000043599E-3</v>
      </c>
      <c r="AF309">
        <v>2.4066580215483602E-3</v>
      </c>
      <c r="AG309">
        <v>-0.27733790000000003</v>
      </c>
      <c r="AH309">
        <v>0.53516187219494904</v>
      </c>
      <c r="AI309">
        <v>117.394390364811</v>
      </c>
      <c r="AJ309">
        <v>89.742338860467299</v>
      </c>
      <c r="AK309">
        <v>0.60276059279820704</v>
      </c>
      <c r="AL309">
        <v>72.211216626208696</v>
      </c>
      <c r="AM309">
        <v>93.427679275674706</v>
      </c>
      <c r="AN309">
        <v>0.99999998842552695</v>
      </c>
    </row>
    <row r="310" spans="1:40" x14ac:dyDescent="0.25">
      <c r="A310" t="str">
        <f>"20190304164830367"</f>
        <v>20190304164830367</v>
      </c>
      <c r="B310" t="str">
        <f>"1551689310356473"</f>
        <v>1551689310356473</v>
      </c>
      <c r="C310" t="s">
        <v>40</v>
      </c>
      <c r="D310">
        <v>4.7725660000000003</v>
      </c>
      <c r="E310">
        <v>0.55207740000000005</v>
      </c>
      <c r="F310" t="s">
        <v>41</v>
      </c>
      <c r="G310">
        <v>-408.80560000000003</v>
      </c>
      <c r="H310">
        <v>0.83977599999999997</v>
      </c>
      <c r="I310">
        <v>367.745</v>
      </c>
      <c r="J310">
        <v>-409.28309999999999</v>
      </c>
      <c r="K310">
        <v>1.059909</v>
      </c>
      <c r="L310">
        <v>367.74310000000003</v>
      </c>
      <c r="M310">
        <v>0.99991669999999999</v>
      </c>
      <c r="N310">
        <v>-9.5074189999999996E-3</v>
      </c>
      <c r="O310">
        <v>8.7374700000000007E-3</v>
      </c>
      <c r="P310">
        <v>0.95273050000000004</v>
      </c>
      <c r="Q310">
        <v>0.29672730000000003</v>
      </c>
      <c r="R310">
        <v>6.5249119999999994E-2</v>
      </c>
      <c r="S310">
        <v>3.511047</v>
      </c>
      <c r="T310">
        <v>-1.16919</v>
      </c>
      <c r="U310">
        <v>1.9592289999999998E-2</v>
      </c>
      <c r="V310">
        <v>-5.6909479999999998E-2</v>
      </c>
      <c r="W310">
        <v>0.30577949999999998</v>
      </c>
      <c r="X310">
        <v>0.95040000000000002</v>
      </c>
      <c r="Y310">
        <v>2.5698050000000001E-3</v>
      </c>
      <c r="Z310">
        <v>-3.1812849999999998E-3</v>
      </c>
      <c r="AA310">
        <v>0.99999170000000004</v>
      </c>
      <c r="AB310">
        <v>34</v>
      </c>
      <c r="AC310">
        <v>0.47749999999996301</v>
      </c>
      <c r="AD310">
        <v>-0.220133</v>
      </c>
      <c r="AE310">
        <v>1.8999999999778001E-3</v>
      </c>
      <c r="AF310">
        <v>1.8741029164526901E-3</v>
      </c>
      <c r="AG310">
        <v>-0.220133</v>
      </c>
      <c r="AH310">
        <v>0.39380391422825001</v>
      </c>
      <c r="AI310">
        <v>119.204538461388</v>
      </c>
      <c r="AJ310">
        <v>89.727332885760404</v>
      </c>
      <c r="AK310">
        <v>0.45115803529609499</v>
      </c>
      <c r="AL310">
        <v>72.194932922599605</v>
      </c>
      <c r="AM310">
        <v>93.426751129470702</v>
      </c>
      <c r="AN310">
        <v>0.99999997576705901</v>
      </c>
    </row>
    <row r="311" spans="1:40" x14ac:dyDescent="0.25">
      <c r="A311" t="str">
        <f>"20190304164830378"</f>
        <v>20190304164830378</v>
      </c>
      <c r="B311" t="str">
        <f>"1551689310367209"</f>
        <v>1551689310367209</v>
      </c>
      <c r="C311" t="s">
        <v>40</v>
      </c>
      <c r="D311">
        <v>4.7763869999999997</v>
      </c>
      <c r="E311">
        <v>0.55207510000000004</v>
      </c>
      <c r="F311" t="s">
        <v>41</v>
      </c>
      <c r="G311">
        <v>-408.51459999999997</v>
      </c>
      <c r="H311">
        <v>0.80419300000000005</v>
      </c>
      <c r="I311">
        <v>367.74689999999998</v>
      </c>
      <c r="J311">
        <v>-409.11</v>
      </c>
      <c r="K311">
        <v>1.059909</v>
      </c>
      <c r="L311">
        <v>367.74459999999999</v>
      </c>
      <c r="M311">
        <v>0.99991669999999999</v>
      </c>
      <c r="N311">
        <v>-9.5089990000000006E-3</v>
      </c>
      <c r="O311">
        <v>8.7379989999999998E-3</v>
      </c>
      <c r="P311">
        <v>0.95268280000000005</v>
      </c>
      <c r="Q311">
        <v>0.2968365</v>
      </c>
      <c r="R311">
        <v>6.5450519999999998E-2</v>
      </c>
      <c r="S311">
        <v>3.5114749999999999</v>
      </c>
      <c r="T311">
        <v>-1.1685890000000001</v>
      </c>
      <c r="U311">
        <v>1.9592289999999998E-2</v>
      </c>
      <c r="V311">
        <v>-5.7111740000000001E-2</v>
      </c>
      <c r="W311">
        <v>0.30588929999999998</v>
      </c>
      <c r="X311">
        <v>0.95035250000000004</v>
      </c>
      <c r="Y311">
        <v>2.571631E-3</v>
      </c>
      <c r="Z311">
        <v>-3.1797819999999999E-3</v>
      </c>
      <c r="AA311">
        <v>0.99999170000000004</v>
      </c>
      <c r="AB311">
        <v>34</v>
      </c>
      <c r="AC311">
        <v>0.59540000000004001</v>
      </c>
      <c r="AD311">
        <v>-0.255715999999999</v>
      </c>
      <c r="AE311">
        <v>2.29999999999108E-3</v>
      </c>
      <c r="AF311">
        <v>2.4508536807000699E-3</v>
      </c>
      <c r="AG311">
        <v>-0.255715999999999</v>
      </c>
      <c r="AH311">
        <v>0.50267600096451504</v>
      </c>
      <c r="AI311">
        <v>116.96259252335101</v>
      </c>
      <c r="AJ311">
        <v>89.720650162019098</v>
      </c>
      <c r="AK311">
        <v>0.56398567471651395</v>
      </c>
      <c r="AL311">
        <v>72.188324660757203</v>
      </c>
      <c r="AM311">
        <v>93.439072318645898</v>
      </c>
      <c r="AN311">
        <v>0.999999944478282</v>
      </c>
    </row>
    <row r="312" spans="1:40" x14ac:dyDescent="0.25">
      <c r="A312" t="str">
        <f>"20190304164830389"</f>
        <v>20190304164830389</v>
      </c>
      <c r="B312" t="str">
        <f>"1551689310386729"</f>
        <v>1551689310386729</v>
      </c>
      <c r="C312" t="s">
        <v>40</v>
      </c>
      <c r="D312">
        <v>4.7861729999999998</v>
      </c>
      <c r="E312">
        <v>0.55203990000000003</v>
      </c>
      <c r="F312" t="s">
        <v>41</v>
      </c>
      <c r="G312">
        <v>-408.22410000000002</v>
      </c>
      <c r="H312">
        <v>0.76506049999999903</v>
      </c>
      <c r="I312">
        <v>367.74930000000001</v>
      </c>
      <c r="J312">
        <v>-408.93470000000002</v>
      </c>
      <c r="K312">
        <v>1.0599069999999999</v>
      </c>
      <c r="L312">
        <v>367.74619999999999</v>
      </c>
      <c r="M312">
        <v>0.99991669999999999</v>
      </c>
      <c r="N312">
        <v>-9.510737E-3</v>
      </c>
      <c r="O312">
        <v>8.7381100000000003E-3</v>
      </c>
      <c r="P312">
        <v>0.95265690000000003</v>
      </c>
      <c r="Q312">
        <v>0.29692010000000002</v>
      </c>
      <c r="R312">
        <v>6.5446320000000002E-2</v>
      </c>
      <c r="S312">
        <v>3.5118710000000002</v>
      </c>
      <c r="T312">
        <v>-1.1688259999999999</v>
      </c>
      <c r="U312">
        <v>1.953125E-2</v>
      </c>
      <c r="V312">
        <v>-5.7106919999999999E-2</v>
      </c>
      <c r="W312">
        <v>0.30597469999999999</v>
      </c>
      <c r="X312">
        <v>0.95032539999999999</v>
      </c>
      <c r="Y312">
        <v>2.588698E-3</v>
      </c>
      <c r="Z312">
        <v>-3.18293E-3</v>
      </c>
      <c r="AA312">
        <v>0.99999159999999998</v>
      </c>
      <c r="AB312">
        <v>34</v>
      </c>
      <c r="AC312">
        <v>0.71059999999999901</v>
      </c>
      <c r="AD312">
        <v>-0.29484650000000001</v>
      </c>
      <c r="AE312">
        <v>3.1000000000176399E-3</v>
      </c>
      <c r="AF312">
        <v>2.65296412194754E-3</v>
      </c>
      <c r="AG312">
        <v>-0.29484650000000001</v>
      </c>
      <c r="AH312">
        <v>0.60623098428405597</v>
      </c>
      <c r="AI312">
        <v>115.936219086414</v>
      </c>
      <c r="AJ312">
        <v>89.749266070178905</v>
      </c>
      <c r="AK312">
        <v>0.67413463276032404</v>
      </c>
      <c r="AL312">
        <v>72.183186968846996</v>
      </c>
      <c r="AM312">
        <v>93.438880598258706</v>
      </c>
      <c r="AN312">
        <v>1.0000000416185599</v>
      </c>
    </row>
    <row r="313" spans="1:40" x14ac:dyDescent="0.25">
      <c r="A313" t="str">
        <f>"20190304164830400"</f>
        <v>20190304164830400</v>
      </c>
      <c r="B313" t="str">
        <f>"1551689310396489"</f>
        <v>1551689310396489</v>
      </c>
      <c r="C313" t="s">
        <v>40</v>
      </c>
      <c r="D313">
        <v>5.0649899999999999</v>
      </c>
      <c r="E313">
        <v>0.55209399999999997</v>
      </c>
      <c r="F313" t="s">
        <v>41</v>
      </c>
      <c r="G313">
        <v>-408.2029</v>
      </c>
      <c r="H313">
        <v>0.81602379999999997</v>
      </c>
      <c r="I313">
        <v>367.75029999999998</v>
      </c>
      <c r="J313">
        <v>-408.77109999999999</v>
      </c>
      <c r="K313">
        <v>1.0599050000000001</v>
      </c>
      <c r="L313">
        <v>367.74759999999998</v>
      </c>
      <c r="M313">
        <v>0.99991669999999999</v>
      </c>
      <c r="N313">
        <v>-9.5124340000000002E-3</v>
      </c>
      <c r="O313">
        <v>8.7382799999999993E-3</v>
      </c>
      <c r="P313">
        <v>0.95269970000000004</v>
      </c>
      <c r="Q313">
        <v>0.29674689999999998</v>
      </c>
      <c r="R313">
        <v>6.5609550000000003E-2</v>
      </c>
      <c r="S313">
        <v>3.5124819999999999</v>
      </c>
      <c r="T313">
        <v>-1.170534</v>
      </c>
      <c r="U313">
        <v>2.0843509999999999E-2</v>
      </c>
      <c r="V313">
        <v>-5.726974E-2</v>
      </c>
      <c r="W313">
        <v>0.30580350000000001</v>
      </c>
      <c r="X313">
        <v>0.95037070000000001</v>
      </c>
      <c r="Y313">
        <v>2.2344690000000002E-3</v>
      </c>
      <c r="Z313">
        <v>-3.127744E-3</v>
      </c>
      <c r="AA313">
        <v>0.99999260000000001</v>
      </c>
      <c r="AB313">
        <v>34</v>
      </c>
      <c r="AC313">
        <v>0.56819999999999005</v>
      </c>
      <c r="AD313">
        <v>-0.24388119999999899</v>
      </c>
      <c r="AE313">
        <v>2.7000000000043599E-3</v>
      </c>
      <c r="AF313">
        <v>1.9129989772848301E-3</v>
      </c>
      <c r="AG313">
        <v>-0.24388119999999899</v>
      </c>
      <c r="AH313">
        <v>0.47980979154208198</v>
      </c>
      <c r="AI313">
        <v>116.943466296484</v>
      </c>
      <c r="AJ313">
        <v>89.7715632553261</v>
      </c>
      <c r="AK313">
        <v>0.53823706239740099</v>
      </c>
      <c r="AL313">
        <v>72.193489741223104</v>
      </c>
      <c r="AM313">
        <v>93.4484977226589</v>
      </c>
      <c r="AN313">
        <v>1.0000000355751999</v>
      </c>
    </row>
    <row r="314" spans="1:40" x14ac:dyDescent="0.25">
      <c r="A314" t="str">
        <f>"20190304164830412"</f>
        <v>20190304164830412</v>
      </c>
      <c r="B314" t="str">
        <f>"1551689310407224"</f>
        <v>1551689310407224</v>
      </c>
      <c r="C314" t="s">
        <v>40</v>
      </c>
      <c r="D314">
        <v>4.8022689999999999</v>
      </c>
      <c r="E314">
        <v>0.55211290000000002</v>
      </c>
      <c r="F314" t="s">
        <v>41</v>
      </c>
      <c r="G314">
        <v>-407.91340000000002</v>
      </c>
      <c r="H314">
        <v>0.77401019999999998</v>
      </c>
      <c r="I314">
        <v>367.75220000000002</v>
      </c>
      <c r="J314">
        <v>-408.59629999999999</v>
      </c>
      <c r="K314">
        <v>1.059904</v>
      </c>
      <c r="L314">
        <v>367.7491</v>
      </c>
      <c r="M314">
        <v>0.99991649999999999</v>
      </c>
      <c r="N314">
        <v>-9.5143320000000003E-3</v>
      </c>
      <c r="O314">
        <v>8.7386289999999995E-3</v>
      </c>
      <c r="P314">
        <v>0.95276799999999995</v>
      </c>
      <c r="Q314">
        <v>0.29654459999999999</v>
      </c>
      <c r="R314">
        <v>6.5531580000000006E-2</v>
      </c>
      <c r="S314">
        <v>3.512146</v>
      </c>
      <c r="T314">
        <v>-1.170582</v>
      </c>
      <c r="U314">
        <v>2.062988E-2</v>
      </c>
      <c r="V314">
        <v>-5.719113E-2</v>
      </c>
      <c r="W314">
        <v>0.30560340000000003</v>
      </c>
      <c r="X314">
        <v>0.95043979999999995</v>
      </c>
      <c r="Y314">
        <v>2.2917160000000001E-3</v>
      </c>
      <c r="Z314">
        <v>-3.1378249999999999E-3</v>
      </c>
      <c r="AA314">
        <v>0.9999924</v>
      </c>
      <c r="AB314">
        <v>34</v>
      </c>
      <c r="AC314">
        <v>0.68289999999996098</v>
      </c>
      <c r="AD314">
        <v>-0.28589379999999998</v>
      </c>
      <c r="AE314">
        <v>3.1000000000176399E-3</v>
      </c>
      <c r="AF314">
        <v>2.4403069281138802E-3</v>
      </c>
      <c r="AG314">
        <v>-0.28589379999999998</v>
      </c>
      <c r="AH314">
        <v>0.58106307953030301</v>
      </c>
      <c r="AI314">
        <v>116.197840502265</v>
      </c>
      <c r="AJ314">
        <v>89.759374720919695</v>
      </c>
      <c r="AK314">
        <v>0.64759209566638698</v>
      </c>
      <c r="AL314">
        <v>72.205531136726194</v>
      </c>
      <c r="AM314">
        <v>93.443525849958405</v>
      </c>
      <c r="AN314">
        <v>1.00000003843313</v>
      </c>
    </row>
    <row r="315" spans="1:40" x14ac:dyDescent="0.25">
      <c r="A315" t="str">
        <f>"20190304164830434"</f>
        <v>20190304164830434</v>
      </c>
      <c r="B315" t="str">
        <f>"1551689310426746"</f>
        <v>1551689310426746</v>
      </c>
      <c r="C315" t="s">
        <v>40</v>
      </c>
      <c r="D315">
        <v>4.8035839999999999</v>
      </c>
      <c r="E315">
        <v>0.55217850000000002</v>
      </c>
      <c r="F315" t="s">
        <v>41</v>
      </c>
      <c r="G315">
        <v>-407.892</v>
      </c>
      <c r="H315">
        <v>0.82490490000000005</v>
      </c>
      <c r="I315">
        <v>367.75290000000001</v>
      </c>
      <c r="J315">
        <v>-408.25099999999998</v>
      </c>
      <c r="K315">
        <v>1.0598920000000001</v>
      </c>
      <c r="L315">
        <v>367.75209999999998</v>
      </c>
      <c r="M315">
        <v>0.99991649999999999</v>
      </c>
      <c r="N315">
        <v>-9.5183630000000002E-3</v>
      </c>
      <c r="O315">
        <v>8.7392659999999903E-3</v>
      </c>
      <c r="P315">
        <v>0.95284829999999998</v>
      </c>
      <c r="Q315">
        <v>0.29625089999999998</v>
      </c>
      <c r="R315">
        <v>6.5694390000000005E-2</v>
      </c>
      <c r="S315">
        <v>3.5119319999999998</v>
      </c>
      <c r="T315">
        <v>-1.1716949999999999</v>
      </c>
      <c r="U315">
        <v>2.1179199999999999E-2</v>
      </c>
      <c r="V315">
        <v>-5.735262E-2</v>
      </c>
      <c r="W315">
        <v>0.30531409999999998</v>
      </c>
      <c r="X315">
        <v>0.95052300000000001</v>
      </c>
      <c r="Y315">
        <v>2.1427270000000001E-3</v>
      </c>
      <c r="Z315">
        <v>-3.1161510000000002E-3</v>
      </c>
      <c r="AA315">
        <v>0.99999280000000002</v>
      </c>
      <c r="AB315">
        <v>34</v>
      </c>
      <c r="AC315">
        <v>0.35899999999998</v>
      </c>
      <c r="AD315">
        <v>-0.2349871</v>
      </c>
      <c r="AE315">
        <v>8.0000000002655703E-4</v>
      </c>
      <c r="AF315">
        <v>1.63644111269705E-3</v>
      </c>
      <c r="AG315">
        <v>-0.2349871</v>
      </c>
      <c r="AH315">
        <v>0.25131720666209301</v>
      </c>
      <c r="AI315">
        <v>133.07612352290201</v>
      </c>
      <c r="AJ315">
        <v>89.626926284397797</v>
      </c>
      <c r="AK315">
        <v>0.34406678635166499</v>
      </c>
      <c r="AL315">
        <v>72.222938058087905</v>
      </c>
      <c r="AM315">
        <v>93.452924269224795</v>
      </c>
      <c r="AN315">
        <v>0.99999999810433704</v>
      </c>
    </row>
    <row r="316" spans="1:40" x14ac:dyDescent="0.25">
      <c r="A316" t="str">
        <f>"20190304164830449"</f>
        <v>20190304164830449</v>
      </c>
      <c r="B316" t="str">
        <f>"1551689310436505"</f>
        <v>1551689310436505</v>
      </c>
      <c r="C316" t="s">
        <v>40</v>
      </c>
      <c r="D316">
        <v>4.801946</v>
      </c>
      <c r="E316">
        <v>0.55221500000000001</v>
      </c>
      <c r="F316" t="s">
        <v>41</v>
      </c>
      <c r="G316">
        <v>-407.57979999999998</v>
      </c>
      <c r="H316">
        <v>0.83575010000000005</v>
      </c>
      <c r="I316">
        <v>367.7561</v>
      </c>
      <c r="J316">
        <v>-408.02890000000002</v>
      </c>
      <c r="K316">
        <v>1.05989</v>
      </c>
      <c r="L316">
        <v>367.75409999999999</v>
      </c>
      <c r="M316">
        <v>0.99991649999999999</v>
      </c>
      <c r="N316">
        <v>-9.5211289999999997E-3</v>
      </c>
      <c r="O316">
        <v>8.7396090000000006E-3</v>
      </c>
      <c r="P316">
        <v>0.95280039999999999</v>
      </c>
      <c r="Q316">
        <v>0.29635909999999999</v>
      </c>
      <c r="R316">
        <v>6.5899730000000004E-2</v>
      </c>
      <c r="S316">
        <v>3.5115660000000002</v>
      </c>
      <c r="T316">
        <v>-1.1726490000000001</v>
      </c>
      <c r="U316">
        <v>2.133179E-2</v>
      </c>
      <c r="V316">
        <v>-5.7558049999999999E-2</v>
      </c>
      <c r="W316">
        <v>0.3054249</v>
      </c>
      <c r="X316">
        <v>0.95047499999999996</v>
      </c>
      <c r="Y316">
        <v>2.1003160000000001E-3</v>
      </c>
      <c r="Z316">
        <v>-3.1119170000000001E-3</v>
      </c>
      <c r="AA316">
        <v>0.99999300000000002</v>
      </c>
      <c r="AB316">
        <v>34</v>
      </c>
      <c r="AC316">
        <v>0.44910000000004402</v>
      </c>
      <c r="AD316">
        <v>-0.224139899999999</v>
      </c>
      <c r="AE316">
        <v>2.0000000000095402E-3</v>
      </c>
      <c r="AF316">
        <v>1.5413011283499599E-3</v>
      </c>
      <c r="AG316">
        <v>-0.224139899999999</v>
      </c>
      <c r="AH316">
        <v>0.35954409943347498</v>
      </c>
      <c r="AI316">
        <v>121.939189563287</v>
      </c>
      <c r="AJ316">
        <v>89.754384764468895</v>
      </c>
      <c r="AK316">
        <v>0.42368978016776199</v>
      </c>
      <c r="AL316">
        <v>72.216271495928297</v>
      </c>
      <c r="AM316">
        <v>93.465436705866395</v>
      </c>
      <c r="AN316">
        <v>1.0000000121424</v>
      </c>
    </row>
    <row r="317" spans="1:40" x14ac:dyDescent="0.25">
      <c r="A317" t="str">
        <f>"20190304164830465"</f>
        <v>20190304164830465</v>
      </c>
      <c r="B317" t="str">
        <f>"1551689310457000"</f>
        <v>1551689310457000</v>
      </c>
      <c r="C317" t="s">
        <v>40</v>
      </c>
      <c r="D317">
        <v>4.7918419999999999</v>
      </c>
      <c r="E317">
        <v>0.55220480000000005</v>
      </c>
      <c r="F317" t="s">
        <v>41</v>
      </c>
      <c r="G317">
        <v>-407.28269999999998</v>
      </c>
      <c r="H317">
        <v>0.81081579999999998</v>
      </c>
      <c r="I317">
        <v>367.75839999999999</v>
      </c>
      <c r="J317">
        <v>-407.76459999999997</v>
      </c>
      <c r="K317">
        <v>1.0598920000000001</v>
      </c>
      <c r="L317">
        <v>367.75639999999999</v>
      </c>
      <c r="M317">
        <v>0.99991649999999999</v>
      </c>
      <c r="N317">
        <v>-9.5245520000000004E-3</v>
      </c>
      <c r="O317">
        <v>8.7398909999999996E-3</v>
      </c>
      <c r="P317">
        <v>0.95282310000000003</v>
      </c>
      <c r="Q317">
        <v>0.29634949999999999</v>
      </c>
      <c r="R317">
        <v>6.5613899999999906E-2</v>
      </c>
      <c r="S317">
        <v>3.5116269999999998</v>
      </c>
      <c r="T317">
        <v>-1.1721629999999901</v>
      </c>
      <c r="U317">
        <v>2.2277829999999998E-2</v>
      </c>
      <c r="V317">
        <v>-5.7271290000000002E-2</v>
      </c>
      <c r="W317">
        <v>0.305419</v>
      </c>
      <c r="X317">
        <v>0.95049419999999996</v>
      </c>
      <c r="Y317">
        <v>1.8460009999999999E-3</v>
      </c>
      <c r="Z317">
        <v>-3.0681060000000001E-3</v>
      </c>
      <c r="AA317">
        <v>0.99999360000000004</v>
      </c>
      <c r="AB317">
        <v>34</v>
      </c>
      <c r="AC317">
        <v>0.481899999999996</v>
      </c>
      <c r="AD317">
        <v>-0.2490762</v>
      </c>
      <c r="AE317">
        <v>2.0000000000095402E-3</v>
      </c>
      <c r="AF317">
        <v>1.7456762230528299E-3</v>
      </c>
      <c r="AG317">
        <v>-0.2490762</v>
      </c>
      <c r="AH317">
        <v>0.38030374626226299</v>
      </c>
      <c r="AI317">
        <v>123.222123213137</v>
      </c>
      <c r="AJ317">
        <v>89.737001861029398</v>
      </c>
      <c r="AK317">
        <v>0.45461295649489297</v>
      </c>
      <c r="AL317">
        <v>72.216626193479797</v>
      </c>
      <c r="AM317">
        <v>93.448143828160894</v>
      </c>
      <c r="AN317">
        <v>0.999999995226451</v>
      </c>
    </row>
    <row r="318" spans="1:40" x14ac:dyDescent="0.25">
      <c r="A318" t="str">
        <f>"20190304164830477"</f>
        <v>20190304164830477</v>
      </c>
      <c r="B318" t="str">
        <f>"1551689310466761"</f>
        <v>1551689310466761</v>
      </c>
      <c r="C318" t="s">
        <v>40</v>
      </c>
      <c r="D318">
        <v>4.80457</v>
      </c>
      <c r="E318">
        <v>0.55220319999999901</v>
      </c>
      <c r="F318" t="s">
        <v>41</v>
      </c>
      <c r="G318">
        <v>-406.98</v>
      </c>
      <c r="H318">
        <v>0.79777619999999905</v>
      </c>
      <c r="I318">
        <v>367.76119999999997</v>
      </c>
      <c r="J318">
        <v>-407.58960000000002</v>
      </c>
      <c r="K318">
        <v>1.0598909999999999</v>
      </c>
      <c r="L318">
        <v>367.75790000000001</v>
      </c>
      <c r="M318">
        <v>0.99991640000000004</v>
      </c>
      <c r="N318">
        <v>-9.5268799999999997E-3</v>
      </c>
      <c r="O318">
        <v>8.7400589999999997E-3</v>
      </c>
      <c r="P318">
        <v>0.9528027</v>
      </c>
      <c r="Q318">
        <v>0.29641529999999999</v>
      </c>
      <c r="R318">
        <v>6.5612760000000006E-2</v>
      </c>
      <c r="S318">
        <v>3.5119630000000002</v>
      </c>
      <c r="T318">
        <v>-1.1733260000000001</v>
      </c>
      <c r="U318">
        <v>2.1697999999999999E-2</v>
      </c>
      <c r="V318">
        <v>-5.7270870000000001E-2</v>
      </c>
      <c r="W318">
        <v>0.3054866</v>
      </c>
      <c r="X318">
        <v>0.95047250000000005</v>
      </c>
      <c r="Y318">
        <v>2.0021449999999999E-3</v>
      </c>
      <c r="Z318">
        <v>-3.0969740000000002E-3</v>
      </c>
      <c r="AA318">
        <v>0.99999320000000003</v>
      </c>
      <c r="AB318">
        <v>34</v>
      </c>
      <c r="AC318">
        <v>0.60960000000000003</v>
      </c>
      <c r="AD318">
        <v>-0.26211479999999998</v>
      </c>
      <c r="AE318">
        <v>3.2999999999674301E-3</v>
      </c>
      <c r="AF318">
        <v>1.7118314536347999E-3</v>
      </c>
      <c r="AG318">
        <v>-0.26211479999999998</v>
      </c>
      <c r="AH318">
        <v>0.51448892366860299</v>
      </c>
      <c r="AI318">
        <v>116.997183940836</v>
      </c>
      <c r="AJ318">
        <v>89.8093635235184</v>
      </c>
      <c r="AK318">
        <v>0.57741315478922295</v>
      </c>
      <c r="AL318">
        <v>72.212558579859007</v>
      </c>
      <c r="AM318">
        <v>93.448197135337395</v>
      </c>
      <c r="AN318">
        <v>0.99999999429318298</v>
      </c>
    </row>
    <row r="319" spans="1:40" x14ac:dyDescent="0.25">
      <c r="A319" t="str">
        <f>"20190304164830489"</f>
        <v>20190304164830489</v>
      </c>
      <c r="B319" t="str">
        <f>"1551689310476521"</f>
        <v>1551689310476521</v>
      </c>
      <c r="C319" t="s">
        <v>40</v>
      </c>
      <c r="D319">
        <v>5.2256679999999998</v>
      </c>
      <c r="E319">
        <v>0.55223250000000002</v>
      </c>
      <c r="F319" t="s">
        <v>41</v>
      </c>
      <c r="G319">
        <v>-406.6875</v>
      </c>
      <c r="H319">
        <v>0.75837140000000003</v>
      </c>
      <c r="I319">
        <v>367.76330000000002</v>
      </c>
      <c r="J319">
        <v>-407.40649999999999</v>
      </c>
      <c r="K319">
        <v>1.0598959999999999</v>
      </c>
      <c r="L319">
        <v>367.7595</v>
      </c>
      <c r="M319">
        <v>0.99991640000000004</v>
      </c>
      <c r="N319">
        <v>-9.5293930000000006E-3</v>
      </c>
      <c r="O319">
        <v>8.7404049999999997E-3</v>
      </c>
      <c r="P319">
        <v>0.95281150000000003</v>
      </c>
      <c r="Q319">
        <v>0.29642499999999999</v>
      </c>
      <c r="R319">
        <v>6.5441890000000003E-2</v>
      </c>
      <c r="S319">
        <v>3.5122379999999902</v>
      </c>
      <c r="T319">
        <v>-1.173934</v>
      </c>
      <c r="U319">
        <v>2.2247309999999999E-2</v>
      </c>
      <c r="V319">
        <v>-5.7099320000000002E-2</v>
      </c>
      <c r="W319">
        <v>0.30549890000000002</v>
      </c>
      <c r="X319">
        <v>0.95047890000000002</v>
      </c>
      <c r="Y319">
        <v>1.8543559999999999E-3</v>
      </c>
      <c r="Z319">
        <v>-3.0736190000000001E-3</v>
      </c>
      <c r="AA319">
        <v>0.99999360000000004</v>
      </c>
      <c r="AB319">
        <v>34</v>
      </c>
      <c r="AC319">
        <v>0.71899999999999398</v>
      </c>
      <c r="AD319">
        <v>-0.30152459999999898</v>
      </c>
      <c r="AE319">
        <v>3.8000000000124601E-3</v>
      </c>
      <c r="AF319">
        <v>2.1131549626116799E-3</v>
      </c>
      <c r="AG319">
        <v>-0.30152459999999898</v>
      </c>
      <c r="AH319">
        <v>0.61147044598304701</v>
      </c>
      <c r="AI319">
        <v>116.248413091614</v>
      </c>
      <c r="AJ319">
        <v>89.801994716806902</v>
      </c>
      <c r="AK319">
        <v>0.68177537073420502</v>
      </c>
      <c r="AL319">
        <v>72.211819020600601</v>
      </c>
      <c r="AM319">
        <v>93.437870072361093</v>
      </c>
      <c r="AN319">
        <v>1.0000000247954399</v>
      </c>
    </row>
    <row r="320" spans="1:40" x14ac:dyDescent="0.25">
      <c r="A320" t="str">
        <f>"20190304164830499"</f>
        <v>20190304164830499</v>
      </c>
      <c r="B320" t="str">
        <f>"1551689310497016"</f>
        <v>1551689310497016</v>
      </c>
      <c r="C320" t="s">
        <v>40</v>
      </c>
      <c r="D320">
        <v>4.8164509999999998</v>
      </c>
      <c r="E320">
        <v>0.55222280000000001</v>
      </c>
      <c r="F320" t="s">
        <v>41</v>
      </c>
      <c r="G320">
        <v>-406.66520000000003</v>
      </c>
      <c r="H320">
        <v>0.81216959999999905</v>
      </c>
      <c r="I320">
        <v>367.76350000000002</v>
      </c>
      <c r="J320">
        <v>-407.24189999999999</v>
      </c>
      <c r="K320">
        <v>1.0598939999999999</v>
      </c>
      <c r="L320">
        <v>367.76089999999999</v>
      </c>
      <c r="M320">
        <v>0.99991640000000004</v>
      </c>
      <c r="N320">
        <v>-9.5316819999999997E-3</v>
      </c>
      <c r="O320">
        <v>8.7406910000000001E-3</v>
      </c>
      <c r="P320">
        <v>0.95280390000000004</v>
      </c>
      <c r="Q320">
        <v>0.29647610000000002</v>
      </c>
      <c r="R320">
        <v>6.5322809999999995E-2</v>
      </c>
      <c r="S320">
        <v>3.5123289999999998</v>
      </c>
      <c r="T320">
        <v>-1.1737169999999999</v>
      </c>
      <c r="U320">
        <v>2.0751950000000002E-2</v>
      </c>
      <c r="V320">
        <v>-5.6980019999999999E-2</v>
      </c>
      <c r="W320">
        <v>0.30555159999999998</v>
      </c>
      <c r="X320">
        <v>0.95046909999999896</v>
      </c>
      <c r="Y320">
        <v>2.2581490000000001E-3</v>
      </c>
      <c r="Z320">
        <v>-3.140725E-3</v>
      </c>
      <c r="AA320">
        <v>0.99999249999999995</v>
      </c>
      <c r="AB320">
        <v>34</v>
      </c>
      <c r="AC320">
        <v>0.57669999999995902</v>
      </c>
      <c r="AD320">
        <v>-0.24772440000000001</v>
      </c>
      <c r="AE320">
        <v>2.6000000000294598E-3</v>
      </c>
      <c r="AF320">
        <v>2.06083263064297E-3</v>
      </c>
      <c r="AG320">
        <v>-0.24772440000000001</v>
      </c>
      <c r="AH320">
        <v>0.48686701430116902</v>
      </c>
      <c r="AI320">
        <v>116.967388745427</v>
      </c>
      <c r="AJ320">
        <v>89.757477291819896</v>
      </c>
      <c r="AK320">
        <v>0.54627018498269297</v>
      </c>
      <c r="AL320">
        <v>72.208647566442096</v>
      </c>
      <c r="AM320">
        <v>93.430739648899106</v>
      </c>
      <c r="AN320">
        <v>1.0000000064982799</v>
      </c>
    </row>
    <row r="321" spans="1:40" x14ac:dyDescent="0.25">
      <c r="A321" t="str">
        <f>"20190304164830510"</f>
        <v>20190304164830510</v>
      </c>
      <c r="B321" t="str">
        <f>"1551689310506776"</f>
        <v>1551689310506776</v>
      </c>
      <c r="C321" t="s">
        <v>40</v>
      </c>
      <c r="D321">
        <v>4.8180269999999998</v>
      </c>
      <c r="E321">
        <v>0.55221239999999905</v>
      </c>
      <c r="F321" t="s">
        <v>41</v>
      </c>
      <c r="G321">
        <v>-406.37400000000002</v>
      </c>
      <c r="H321">
        <v>0.76954769999999995</v>
      </c>
      <c r="I321">
        <v>367.76569999999998</v>
      </c>
      <c r="J321">
        <v>-407.07279999999997</v>
      </c>
      <c r="K321">
        <v>1.0598939999999999</v>
      </c>
      <c r="L321">
        <v>367.76249999999999</v>
      </c>
      <c r="M321">
        <v>0.99991640000000004</v>
      </c>
      <c r="N321">
        <v>-9.5340760000000007E-3</v>
      </c>
      <c r="O321">
        <v>8.7408580000000007E-3</v>
      </c>
      <c r="P321">
        <v>0.95277520000000004</v>
      </c>
      <c r="Q321">
        <v>0.29659530000000001</v>
      </c>
      <c r="R321">
        <v>6.5196989999999996E-2</v>
      </c>
      <c r="S321">
        <v>3.5127869999999999</v>
      </c>
      <c r="T321">
        <v>-1.174974</v>
      </c>
      <c r="U321">
        <v>2.0385739999999999E-2</v>
      </c>
      <c r="V321">
        <v>-5.6853969999999997E-2</v>
      </c>
      <c r="W321">
        <v>0.30567280000000002</v>
      </c>
      <c r="X321">
        <v>0.95043770000000005</v>
      </c>
      <c r="Y321">
        <v>2.3567229999999998E-3</v>
      </c>
      <c r="Z321">
        <v>-3.1601620000000002E-3</v>
      </c>
      <c r="AA321">
        <v>0.99999229999999995</v>
      </c>
      <c r="AB321">
        <v>35</v>
      </c>
      <c r="AC321">
        <v>0.69879999999994802</v>
      </c>
      <c r="AD321">
        <v>-0.2903463</v>
      </c>
      <c r="AE321">
        <v>3.19999999999254E-3</v>
      </c>
      <c r="AF321">
        <v>2.4803303036613901E-3</v>
      </c>
      <c r="AG321">
        <v>-0.2903463</v>
      </c>
      <c r="AH321">
        <v>0.59592619768876098</v>
      </c>
      <c r="AI321">
        <v>115.97600750848601</v>
      </c>
      <c r="AJ321">
        <v>89.761528125240204</v>
      </c>
      <c r="AK321">
        <v>0.66289905645874203</v>
      </c>
      <c r="AL321">
        <v>72.201354780327605</v>
      </c>
      <c r="AM321">
        <v>93.423281130049901</v>
      </c>
      <c r="AN321">
        <v>1.00000002807294</v>
      </c>
    </row>
    <row r="322" spans="1:40" x14ac:dyDescent="0.25">
      <c r="A322" t="str">
        <f>"20190304164830522"</f>
        <v>20190304164830522</v>
      </c>
      <c r="B322" t="str">
        <f>"1551689310516537"</f>
        <v>1551689310516537</v>
      </c>
      <c r="C322" t="s">
        <v>40</v>
      </c>
      <c r="D322">
        <v>4.8169940000000002</v>
      </c>
      <c r="E322">
        <v>0.55221330000000002</v>
      </c>
      <c r="F322" t="s">
        <v>41</v>
      </c>
      <c r="G322">
        <v>-406.35320000000002</v>
      </c>
      <c r="H322">
        <v>0.81912580000000002</v>
      </c>
      <c r="I322">
        <v>367.76620000000003</v>
      </c>
      <c r="J322">
        <v>-406.9006</v>
      </c>
      <c r="K322">
        <v>1.0598959999999999</v>
      </c>
      <c r="L322">
        <v>367.76389999999998</v>
      </c>
      <c r="M322">
        <v>0.99991629999999998</v>
      </c>
      <c r="N322">
        <v>-9.5365060000000001E-3</v>
      </c>
      <c r="O322">
        <v>8.7412050000000002E-3</v>
      </c>
      <c r="P322">
        <v>0.9527388</v>
      </c>
      <c r="Q322">
        <v>0.29670410000000003</v>
      </c>
      <c r="R322">
        <v>6.5233570000000005E-2</v>
      </c>
      <c r="S322">
        <v>3.5132140000000001</v>
      </c>
      <c r="T322">
        <v>-1.1753610000000001</v>
      </c>
      <c r="U322">
        <v>1.9653319999999998E-2</v>
      </c>
      <c r="V322">
        <v>-5.6890820000000002E-2</v>
      </c>
      <c r="W322">
        <v>0.305784</v>
      </c>
      <c r="X322">
        <v>0.95039969999999996</v>
      </c>
      <c r="Y322">
        <v>2.5548709999999998E-3</v>
      </c>
      <c r="Z322">
        <v>-3.1941309999999998E-3</v>
      </c>
      <c r="AA322">
        <v>0.99999170000000004</v>
      </c>
      <c r="AB322">
        <v>35</v>
      </c>
      <c r="AC322">
        <v>0.54739999999998101</v>
      </c>
      <c r="AD322">
        <v>-0.24077019999999899</v>
      </c>
      <c r="AE322">
        <v>2.3000000000479299E-3</v>
      </c>
      <c r="AF322">
        <v>2.0823856209183601E-3</v>
      </c>
      <c r="AG322">
        <v>-0.24077019999999899</v>
      </c>
      <c r="AH322">
        <v>0.45866622849845201</v>
      </c>
      <c r="AI322">
        <v>117.696334022331</v>
      </c>
      <c r="AJ322">
        <v>89.739873833681997</v>
      </c>
      <c r="AK322">
        <v>0.51802445376922901</v>
      </c>
      <c r="AL322">
        <v>72.194662656854007</v>
      </c>
      <c r="AM322">
        <v>93.425631289939901</v>
      </c>
      <c r="AN322">
        <v>1.0000000049081801</v>
      </c>
    </row>
    <row r="323" spans="1:40" x14ac:dyDescent="0.25">
      <c r="A323" t="str">
        <f>"20190304164830533"</f>
        <v>20190304164830533</v>
      </c>
      <c r="B323" t="str">
        <f>"1551689310527273"</f>
        <v>1551689310527273</v>
      </c>
      <c r="C323" t="s">
        <v>40</v>
      </c>
      <c r="D323">
        <v>4.8310050000000002</v>
      </c>
      <c r="E323">
        <v>0.5522127</v>
      </c>
      <c r="F323" t="s">
        <v>41</v>
      </c>
      <c r="G323">
        <v>-406.06079999999997</v>
      </c>
      <c r="H323">
        <v>0.77891140000000003</v>
      </c>
      <c r="I323">
        <v>367.76819999999998</v>
      </c>
      <c r="J323">
        <v>-406.72890000000001</v>
      </c>
      <c r="K323">
        <v>1.0599000000000001</v>
      </c>
      <c r="L323">
        <v>367.7654</v>
      </c>
      <c r="M323">
        <v>0.99991640000000004</v>
      </c>
      <c r="N323">
        <v>-9.5389240000000007E-3</v>
      </c>
      <c r="O323">
        <v>8.7413719999999903E-3</v>
      </c>
      <c r="P323">
        <v>0.9528008</v>
      </c>
      <c r="Q323">
        <v>0.29653980000000002</v>
      </c>
      <c r="R323">
        <v>6.5078750000000005E-2</v>
      </c>
      <c r="S323">
        <v>3.51355</v>
      </c>
      <c r="T323">
        <v>-1.175475</v>
      </c>
      <c r="U323">
        <v>1.9073489999999999E-2</v>
      </c>
      <c r="V323">
        <v>-5.6735300000000002E-2</v>
      </c>
      <c r="W323">
        <v>0.3056219</v>
      </c>
      <c r="X323">
        <v>0.95046109999999995</v>
      </c>
      <c r="Y323">
        <v>2.711785E-3</v>
      </c>
      <c r="Z323">
        <v>-3.2204930000000001E-3</v>
      </c>
      <c r="AA323">
        <v>0.99999110000000002</v>
      </c>
      <c r="AB323">
        <v>35</v>
      </c>
      <c r="AC323">
        <v>0.668100000000038</v>
      </c>
      <c r="AD323">
        <v>-0.28098859999999998</v>
      </c>
      <c r="AE323">
        <v>2.7999999999792601E-3</v>
      </c>
      <c r="AF323">
        <v>2.5835040133249899E-3</v>
      </c>
      <c r="AG323">
        <v>-0.28098859999999998</v>
      </c>
      <c r="AH323">
        <v>0.56768496031687199</v>
      </c>
      <c r="AI323">
        <v>116.33392120448801</v>
      </c>
      <c r="AJ323">
        <v>89.739251759751596</v>
      </c>
      <c r="AK323">
        <v>0.63342519841960399</v>
      </c>
      <c r="AL323">
        <v>72.204416668950898</v>
      </c>
      <c r="AM323">
        <v>93.416068827516199</v>
      </c>
      <c r="AN323">
        <v>0.99999997131945395</v>
      </c>
    </row>
    <row r="324" spans="1:40" x14ac:dyDescent="0.25">
      <c r="A324" t="str">
        <f>"20190304164830543"</f>
        <v>20190304164830543</v>
      </c>
      <c r="B324" t="str">
        <f>"1551689310537033"</f>
        <v>1551689310537033</v>
      </c>
      <c r="C324" t="s">
        <v>40</v>
      </c>
      <c r="D324">
        <v>4.8397019999999999</v>
      </c>
      <c r="E324">
        <v>0.55227289999999996</v>
      </c>
      <c r="F324" t="s">
        <v>41</v>
      </c>
      <c r="G324">
        <v>-406.03960000000001</v>
      </c>
      <c r="H324">
        <v>0.829049699999999</v>
      </c>
      <c r="I324">
        <v>367.7688</v>
      </c>
      <c r="J324">
        <v>-406.56599999999997</v>
      </c>
      <c r="K324">
        <v>1.0599000000000001</v>
      </c>
      <c r="L324">
        <v>367.76679999999999</v>
      </c>
      <c r="M324">
        <v>0.99991629999999998</v>
      </c>
      <c r="N324">
        <v>-9.5413289999999994E-3</v>
      </c>
      <c r="O324">
        <v>8.7416590000000006E-3</v>
      </c>
      <c r="P324">
        <v>0.95269470000000001</v>
      </c>
      <c r="Q324">
        <v>0.2968885</v>
      </c>
      <c r="R324">
        <v>6.504074E-2</v>
      </c>
      <c r="S324">
        <v>3.5135190000000001</v>
      </c>
      <c r="T324">
        <v>-1.1766509999999999</v>
      </c>
      <c r="U324">
        <v>1.849365E-2</v>
      </c>
      <c r="V324">
        <v>-5.6697780000000003E-2</v>
      </c>
      <c r="W324">
        <v>0.30597190000000002</v>
      </c>
      <c r="X324">
        <v>0.95035080000000005</v>
      </c>
      <c r="Y324">
        <v>2.8671E-3</v>
      </c>
      <c r="Z324">
        <v>-3.2497989999999998E-3</v>
      </c>
      <c r="AA324">
        <v>0.99999059999999995</v>
      </c>
      <c r="AB324">
        <v>35</v>
      </c>
      <c r="AC324">
        <v>0.52639999999996601</v>
      </c>
      <c r="AD324">
        <v>-0.23085030000000001</v>
      </c>
      <c r="AE324">
        <v>2.0000000000095402E-3</v>
      </c>
      <c r="AF324">
        <v>2.1822133288965902E-3</v>
      </c>
      <c r="AG324">
        <v>-0.23085030000000001</v>
      </c>
      <c r="AH324">
        <v>0.44149027166844201</v>
      </c>
      <c r="AI324">
        <v>117.604274823742</v>
      </c>
      <c r="AJ324">
        <v>89.716798752905504</v>
      </c>
      <c r="AK324">
        <v>0.49820706843939699</v>
      </c>
      <c r="AL324">
        <v>72.183355494117095</v>
      </c>
      <c r="AM324">
        <v>93.414210347191698</v>
      </c>
      <c r="AN324">
        <v>1.00000004245358</v>
      </c>
    </row>
    <row r="325" spans="1:40" x14ac:dyDescent="0.25">
      <c r="A325" t="str">
        <f>"20190304164830554"</f>
        <v>20190304164830554</v>
      </c>
      <c r="B325" t="str">
        <f>"1551689310546793"</f>
        <v>1551689310546793</v>
      </c>
      <c r="C325" t="s">
        <v>40</v>
      </c>
      <c r="D325">
        <v>4.8107739999999897</v>
      </c>
      <c r="E325">
        <v>0.55225210000000002</v>
      </c>
      <c r="F325" t="s">
        <v>41</v>
      </c>
      <c r="G325">
        <v>-405.74799999999999</v>
      </c>
      <c r="H325">
        <v>0.78639199999999998</v>
      </c>
      <c r="I325">
        <v>367.77080000000001</v>
      </c>
      <c r="J325">
        <v>-406.38780000000003</v>
      </c>
      <c r="K325">
        <v>1.0599019999999999</v>
      </c>
      <c r="L325">
        <v>367.76839999999999</v>
      </c>
      <c r="M325">
        <v>0.99991640000000004</v>
      </c>
      <c r="N325">
        <v>-9.5440009999999999E-3</v>
      </c>
      <c r="O325">
        <v>8.7418259999999994E-3</v>
      </c>
      <c r="P325">
        <v>0.95269479999999995</v>
      </c>
      <c r="Q325">
        <v>0.29692980000000002</v>
      </c>
      <c r="R325">
        <v>6.4850340000000006E-2</v>
      </c>
      <c r="S325">
        <v>3.5138850000000001</v>
      </c>
      <c r="T325">
        <v>-1.1748479999999999</v>
      </c>
      <c r="U325">
        <v>1.7974850000000001E-2</v>
      </c>
      <c r="V325">
        <v>-5.650707E-2</v>
      </c>
      <c r="W325">
        <v>0.30601600000000001</v>
      </c>
      <c r="X325">
        <v>0.95034790000000002</v>
      </c>
      <c r="Y325">
        <v>3.009453E-3</v>
      </c>
      <c r="Z325">
        <v>-3.2685430000000001E-3</v>
      </c>
      <c r="AA325">
        <v>0.99999009999999999</v>
      </c>
      <c r="AB325">
        <v>35</v>
      </c>
      <c r="AC325">
        <v>0.63979999999997905</v>
      </c>
      <c r="AD325">
        <v>-0.27350999999999998</v>
      </c>
      <c r="AE325">
        <v>2.4000000000228201E-3</v>
      </c>
      <c r="AF325">
        <v>2.6999553236631002E-3</v>
      </c>
      <c r="AG325">
        <v>-0.27350999999999998</v>
      </c>
      <c r="AH325">
        <v>0.540940854080872</v>
      </c>
      <c r="AI325">
        <v>116.82174269769401</v>
      </c>
      <c r="AJ325">
        <v>89.714026479676605</v>
      </c>
      <c r="AK325">
        <v>0.60616170901211897</v>
      </c>
      <c r="AL325">
        <v>72.180700407388997</v>
      </c>
      <c r="AM325">
        <v>93.402763617241604</v>
      </c>
      <c r="AN325">
        <v>0.99999998612519703</v>
      </c>
    </row>
    <row r="326" spans="1:40" x14ac:dyDescent="0.25">
      <c r="A326" t="str">
        <f>"20190304164830566"</f>
        <v>20190304164830566</v>
      </c>
      <c r="B326" t="str">
        <f>"1551689310556553"</f>
        <v>1551689310556553</v>
      </c>
      <c r="C326" t="s">
        <v>40</v>
      </c>
      <c r="D326">
        <v>4.8321040000000002</v>
      </c>
      <c r="E326">
        <v>0.55223789999999995</v>
      </c>
      <c r="F326" t="s">
        <v>41</v>
      </c>
      <c r="G326">
        <v>-405.72579999999999</v>
      </c>
      <c r="H326">
        <v>0.83839869999999905</v>
      </c>
      <c r="I326">
        <v>367.77140000000003</v>
      </c>
      <c r="J326">
        <v>-406.20949999999999</v>
      </c>
      <c r="K326">
        <v>1.059903</v>
      </c>
      <c r="L326">
        <v>367.77</v>
      </c>
      <c r="M326">
        <v>0.99991629999999998</v>
      </c>
      <c r="N326">
        <v>-9.5467529999999998E-3</v>
      </c>
      <c r="O326">
        <v>8.7421700000000005E-3</v>
      </c>
      <c r="P326">
        <v>0.95266320000000004</v>
      </c>
      <c r="Q326">
        <v>0.2969849</v>
      </c>
      <c r="R326">
        <v>6.5062090000000003E-2</v>
      </c>
      <c r="S326">
        <v>3.5141909999999998</v>
      </c>
      <c r="T326">
        <v>-1.1756709999999999</v>
      </c>
      <c r="U326">
        <v>1.6998289999999999E-2</v>
      </c>
      <c r="V326">
        <v>-5.6719400000000003E-2</v>
      </c>
      <c r="W326">
        <v>0.3060737</v>
      </c>
      <c r="X326">
        <v>0.95031670000000001</v>
      </c>
      <c r="Y326">
        <v>3.2725940000000002E-3</v>
      </c>
      <c r="Z326">
        <v>-3.3147189999999998E-3</v>
      </c>
      <c r="AA326">
        <v>0.99998920000000002</v>
      </c>
      <c r="AB326">
        <v>35</v>
      </c>
      <c r="AC326">
        <v>0.48369999999999802</v>
      </c>
      <c r="AD326">
        <v>-0.22150429999999999</v>
      </c>
      <c r="AE326">
        <v>1.40000000004647E-3</v>
      </c>
      <c r="AF326">
        <v>2.3384492821467901E-3</v>
      </c>
      <c r="AG326">
        <v>-0.22150429999999999</v>
      </c>
      <c r="AH326">
        <v>0.39984443086153498</v>
      </c>
      <c r="AI326">
        <v>118.984994238765</v>
      </c>
      <c r="AJ326">
        <v>89.664915310592207</v>
      </c>
      <c r="AK326">
        <v>0.45710523094197902</v>
      </c>
      <c r="AL326">
        <v>72.177228352027299</v>
      </c>
      <c r="AM326">
        <v>93.415631440317298</v>
      </c>
      <c r="AN326">
        <v>1.00000001523346</v>
      </c>
    </row>
    <row r="327" spans="1:40" x14ac:dyDescent="0.25">
      <c r="A327" t="str">
        <f>"20190304164830578"</f>
        <v>20190304164830578</v>
      </c>
      <c r="B327" t="str">
        <f>"1551689310567288"</f>
        <v>1551689310567288</v>
      </c>
      <c r="C327" t="s">
        <v>40</v>
      </c>
      <c r="D327">
        <v>4.8221569999999998</v>
      </c>
      <c r="E327">
        <v>0.55223919999999904</v>
      </c>
      <c r="F327" t="s">
        <v>41</v>
      </c>
      <c r="G327">
        <v>-405.43220000000002</v>
      </c>
      <c r="H327">
        <v>0.79975039999999997</v>
      </c>
      <c r="I327">
        <v>367.77339999999998</v>
      </c>
      <c r="J327">
        <v>-406.0378</v>
      </c>
      <c r="K327">
        <v>1.0598989999999999</v>
      </c>
      <c r="L327">
        <v>367.7715</v>
      </c>
      <c r="M327">
        <v>0.99991629999999998</v>
      </c>
      <c r="N327">
        <v>-9.5494129999999997E-3</v>
      </c>
      <c r="O327">
        <v>8.7424559999999991E-3</v>
      </c>
      <c r="P327">
        <v>0.9526384</v>
      </c>
      <c r="Q327">
        <v>0.29703560000000001</v>
      </c>
      <c r="R327">
        <v>6.5190670000000006E-2</v>
      </c>
      <c r="S327">
        <v>3.514526</v>
      </c>
      <c r="T327">
        <v>-1.176169</v>
      </c>
      <c r="U327">
        <v>1.7517089999999999E-2</v>
      </c>
      <c r="V327">
        <v>-5.6847059999999998E-2</v>
      </c>
      <c r="W327">
        <v>0.30612669999999997</v>
      </c>
      <c r="X327">
        <v>0.95029200000000003</v>
      </c>
      <c r="Y327">
        <v>3.1331409999999999E-3</v>
      </c>
      <c r="Z327">
        <v>-3.2924439999999998E-3</v>
      </c>
      <c r="AA327">
        <v>0.99998969999999998</v>
      </c>
      <c r="AB327">
        <v>35</v>
      </c>
      <c r="AC327">
        <v>0.60559999999998104</v>
      </c>
      <c r="AD327">
        <v>-0.26014859999999901</v>
      </c>
      <c r="AE327">
        <v>1.8999999999778001E-3</v>
      </c>
      <c r="AF327">
        <v>2.8659002207250101E-3</v>
      </c>
      <c r="AG327">
        <v>-0.26014859999999901</v>
      </c>
      <c r="AH327">
        <v>0.51125211387593394</v>
      </c>
      <c r="AI327">
        <v>116.968722354036</v>
      </c>
      <c r="AJ327">
        <v>89.678823299141797</v>
      </c>
      <c r="AK327">
        <v>0.57364120442018995</v>
      </c>
      <c r="AL327">
        <v>72.174038558906403</v>
      </c>
      <c r="AM327">
        <v>93.4233896058646</v>
      </c>
      <c r="AN327">
        <v>1.00000001497376</v>
      </c>
    </row>
    <row r="328" spans="1:40" x14ac:dyDescent="0.25">
      <c r="A328" t="str">
        <f>"20190304164830588"</f>
        <v>20190304164830588</v>
      </c>
      <c r="B328" t="str">
        <f>"1551689310577050"</f>
        <v>1551689310577050</v>
      </c>
      <c r="C328" t="s">
        <v>40</v>
      </c>
      <c r="D328">
        <v>4.8280260000000004</v>
      </c>
      <c r="E328">
        <v>0.55222959999999999</v>
      </c>
      <c r="F328" t="s">
        <v>41</v>
      </c>
      <c r="G328">
        <v>-405.13830000000002</v>
      </c>
      <c r="H328">
        <v>0.75886819999999999</v>
      </c>
      <c r="I328">
        <v>367.77609999999999</v>
      </c>
      <c r="J328">
        <v>-405.86950000000002</v>
      </c>
      <c r="K328">
        <v>1.059898</v>
      </c>
      <c r="L328">
        <v>367.77300000000002</v>
      </c>
      <c r="M328">
        <v>0.99991609999999997</v>
      </c>
      <c r="N328">
        <v>-9.5520520000000001E-3</v>
      </c>
      <c r="O328">
        <v>8.7426229999999997E-3</v>
      </c>
      <c r="P328">
        <v>0.95259629999999995</v>
      </c>
      <c r="Q328">
        <v>0.29710379999999997</v>
      </c>
      <c r="R328">
        <v>6.5495940000000002E-2</v>
      </c>
      <c r="S328">
        <v>3.5146790000000001</v>
      </c>
      <c r="T328">
        <v>-1.176242</v>
      </c>
      <c r="U328">
        <v>1.8463130000000001E-2</v>
      </c>
      <c r="V328">
        <v>-5.71534E-2</v>
      </c>
      <c r="W328">
        <v>0.30619669999999999</v>
      </c>
      <c r="X328">
        <v>0.95025099999999996</v>
      </c>
      <c r="Y328">
        <v>2.8786340000000001E-3</v>
      </c>
      <c r="Z328">
        <v>-3.2498280000000002E-3</v>
      </c>
      <c r="AA328">
        <v>0.99999059999999995</v>
      </c>
      <c r="AB328">
        <v>35</v>
      </c>
      <c r="AC328">
        <v>0.73120000000000096</v>
      </c>
      <c r="AD328">
        <v>-0.30102979999999901</v>
      </c>
      <c r="AE328">
        <v>3.0999999999607999E-3</v>
      </c>
      <c r="AF328">
        <v>2.81577631924093E-3</v>
      </c>
      <c r="AG328">
        <v>-0.30102979999999901</v>
      </c>
      <c r="AH328">
        <v>0.62523017928547397</v>
      </c>
      <c r="AI328">
        <v>115.70920941707401</v>
      </c>
      <c r="AJ328">
        <v>89.741965417254306</v>
      </c>
      <c r="AK328">
        <v>0.69393057734449604</v>
      </c>
      <c r="AL328">
        <v>72.169824283552899</v>
      </c>
      <c r="AM328">
        <v>93.441941637078003</v>
      </c>
      <c r="AN328">
        <v>0.99999994661172298</v>
      </c>
    </row>
    <row r="329" spans="1:40" x14ac:dyDescent="0.25">
      <c r="A329" t="str">
        <f>"20190304164830600"</f>
        <v>20190304164830600</v>
      </c>
      <c r="B329" t="str">
        <f>"1551689310596569"</f>
        <v>1551689310596569</v>
      </c>
      <c r="C329" t="s">
        <v>40</v>
      </c>
      <c r="D329">
        <v>4.8255369999999997</v>
      </c>
      <c r="E329">
        <v>0.55224949999999995</v>
      </c>
      <c r="F329" t="s">
        <v>41</v>
      </c>
      <c r="G329">
        <v>-405.11790000000002</v>
      </c>
      <c r="H329">
        <v>0.80832899999999996</v>
      </c>
      <c r="I329">
        <v>367.77710000000002</v>
      </c>
      <c r="J329">
        <v>-405.6866</v>
      </c>
      <c r="K329">
        <v>1.059895</v>
      </c>
      <c r="L329">
        <v>367.77460000000002</v>
      </c>
      <c r="M329">
        <v>0.99991609999999997</v>
      </c>
      <c r="N329">
        <v>-9.5549450000000005E-3</v>
      </c>
      <c r="O329">
        <v>8.7427890000000008E-3</v>
      </c>
      <c r="P329">
        <v>0.95253730000000003</v>
      </c>
      <c r="Q329">
        <v>0.29726609999999998</v>
      </c>
      <c r="R329">
        <v>6.5618309999999999E-2</v>
      </c>
      <c r="S329">
        <v>3.5148320000000002</v>
      </c>
      <c r="T329">
        <v>-1.176453</v>
      </c>
      <c r="U329">
        <v>1.986694E-2</v>
      </c>
      <c r="V329">
        <v>-5.727616E-2</v>
      </c>
      <c r="W329">
        <v>0.30636140000000001</v>
      </c>
      <c r="X329">
        <v>0.95019050000000005</v>
      </c>
      <c r="Y329">
        <v>2.5007079999999999E-3</v>
      </c>
      <c r="Z329">
        <v>-3.186861E-3</v>
      </c>
      <c r="AA329">
        <v>0.99999179999999999</v>
      </c>
      <c r="AB329">
        <v>35</v>
      </c>
      <c r="AC329">
        <v>0.568699999999978</v>
      </c>
      <c r="AD329">
        <v>-0.25156600000000001</v>
      </c>
      <c r="AE329">
        <v>2.4999999999977202E-3</v>
      </c>
      <c r="AF329">
        <v>2.0677463870986401E-3</v>
      </c>
      <c r="AG329">
        <v>-0.25156600000000001</v>
      </c>
      <c r="AH329">
        <v>0.475632150520992</v>
      </c>
      <c r="AI329">
        <v>117.874530757606</v>
      </c>
      <c r="AJ329">
        <v>89.750915923999898</v>
      </c>
      <c r="AK329">
        <v>0.53806660418608498</v>
      </c>
      <c r="AL329">
        <v>72.159910887882006</v>
      </c>
      <c r="AM329">
        <v>93.449535858219605</v>
      </c>
      <c r="AN329">
        <v>0.99999992610227495</v>
      </c>
    </row>
    <row r="330" spans="1:40" x14ac:dyDescent="0.25">
      <c r="A330" t="str">
        <f>"20190304164830612"</f>
        <v>20190304164830612</v>
      </c>
      <c r="B330" t="str">
        <f>"1551689310607307"</f>
        <v>1551689310607307</v>
      </c>
      <c r="C330" t="s">
        <v>40</v>
      </c>
      <c r="D330">
        <v>4.8322599999999998</v>
      </c>
      <c r="E330">
        <v>0.55223650000000002</v>
      </c>
      <c r="F330" t="s">
        <v>41</v>
      </c>
      <c r="G330">
        <v>-404.82260000000002</v>
      </c>
      <c r="H330">
        <v>0.77067339999999995</v>
      </c>
      <c r="I330">
        <v>367.77910000000003</v>
      </c>
      <c r="J330">
        <v>-405.50240000000002</v>
      </c>
      <c r="K330">
        <v>1.05989</v>
      </c>
      <c r="L330">
        <v>367.77620000000002</v>
      </c>
      <c r="M330">
        <v>0.99991609999999997</v>
      </c>
      <c r="N330">
        <v>-9.5578929999999996E-3</v>
      </c>
      <c r="O330">
        <v>8.7431319999999903E-3</v>
      </c>
      <c r="P330">
        <v>0.9525382</v>
      </c>
      <c r="Q330">
        <v>0.29724329999999999</v>
      </c>
      <c r="R330">
        <v>6.5707940000000006E-2</v>
      </c>
      <c r="S330">
        <v>3.515228</v>
      </c>
      <c r="T330">
        <v>-1.1766219999999901</v>
      </c>
      <c r="U330">
        <v>2.0599369999999999E-2</v>
      </c>
      <c r="V330">
        <v>-5.7365369999999999E-2</v>
      </c>
      <c r="W330">
        <v>0.30634099999999997</v>
      </c>
      <c r="X330">
        <v>0.95019180000000003</v>
      </c>
      <c r="Y330">
        <v>2.304328E-3</v>
      </c>
      <c r="Z330">
        <v>-3.1540829999999998E-3</v>
      </c>
      <c r="AA330">
        <v>0.9999924</v>
      </c>
      <c r="AB330">
        <v>35</v>
      </c>
      <c r="AC330">
        <v>0.67979999999999996</v>
      </c>
      <c r="AD330">
        <v>-0.28921659999999899</v>
      </c>
      <c r="AE330">
        <v>2.9000000000110001E-3</v>
      </c>
      <c r="AF330">
        <v>2.5774479445024498E-3</v>
      </c>
      <c r="AG330">
        <v>-0.28921659999999899</v>
      </c>
      <c r="AH330">
        <v>0.57561383425332702</v>
      </c>
      <c r="AI330">
        <v>116.6769650064</v>
      </c>
      <c r="AJ330">
        <v>89.743446224920106</v>
      </c>
      <c r="AK330">
        <v>0.64419265063898601</v>
      </c>
      <c r="AL330">
        <v>72.161140590111401</v>
      </c>
      <c r="AM330">
        <v>93.454890934227194</v>
      </c>
      <c r="AN330">
        <v>1.0000000253717301</v>
      </c>
    </row>
    <row r="331" spans="1:40" x14ac:dyDescent="0.25">
      <c r="A331" t="str">
        <f>"20190304164830624"</f>
        <v>20190304164830624</v>
      </c>
      <c r="B331" t="str">
        <f>"1551689310617065"</f>
        <v>1551689310617065</v>
      </c>
      <c r="C331" t="s">
        <v>40</v>
      </c>
      <c r="D331">
        <v>4.8423100000000003</v>
      </c>
      <c r="E331">
        <v>0.55223339999999999</v>
      </c>
      <c r="F331" t="s">
        <v>41</v>
      </c>
      <c r="G331">
        <v>-404.8</v>
      </c>
      <c r="H331">
        <v>0.82460679999999997</v>
      </c>
      <c r="I331">
        <v>367.7801</v>
      </c>
      <c r="J331">
        <v>-405.30720000000002</v>
      </c>
      <c r="K331">
        <v>1.0598890000000001</v>
      </c>
      <c r="L331">
        <v>367.77789999999999</v>
      </c>
      <c r="M331">
        <v>0.99991609999999997</v>
      </c>
      <c r="N331">
        <v>-9.5610509999999992E-3</v>
      </c>
      <c r="O331">
        <v>8.7432369999999992E-3</v>
      </c>
      <c r="P331">
        <v>0.95256609999999997</v>
      </c>
      <c r="Q331">
        <v>0.2971684</v>
      </c>
      <c r="R331">
        <v>6.5640999999999894E-2</v>
      </c>
      <c r="S331">
        <v>3.5154420000000002</v>
      </c>
      <c r="T331">
        <v>-1.1774209999999901</v>
      </c>
      <c r="U331">
        <v>2.2033690000000002E-2</v>
      </c>
      <c r="V331">
        <v>-5.7297889999999997E-2</v>
      </c>
      <c r="W331">
        <v>0.30626969999999998</v>
      </c>
      <c r="X331">
        <v>0.95021880000000003</v>
      </c>
      <c r="Y331">
        <v>1.917827E-3</v>
      </c>
      <c r="Z331">
        <v>-3.0910780000000001E-3</v>
      </c>
      <c r="AA331">
        <v>0.99999340000000003</v>
      </c>
      <c r="AB331">
        <v>35</v>
      </c>
      <c r="AC331">
        <v>0.50720000000001098</v>
      </c>
      <c r="AD331">
        <v>-0.235282199999999</v>
      </c>
      <c r="AE331">
        <v>2.2000000000161799E-3</v>
      </c>
      <c r="AF331">
        <v>1.8391083904401801E-3</v>
      </c>
      <c r="AG331">
        <v>-0.235282199999999</v>
      </c>
      <c r="AH331">
        <v>0.41738496866680902</v>
      </c>
      <c r="AI331">
        <v>119.409956985196</v>
      </c>
      <c r="AJ331">
        <v>89.747541299251296</v>
      </c>
      <c r="AK331">
        <v>0.47913600159610698</v>
      </c>
      <c r="AL331">
        <v>72.165431082914097</v>
      </c>
      <c r="AM331">
        <v>93.450738888753406</v>
      </c>
      <c r="AN331">
        <v>0.99999997260498996</v>
      </c>
    </row>
    <row r="332" spans="1:40" x14ac:dyDescent="0.25">
      <c r="A332" t="str">
        <f>"20190304164830645"</f>
        <v>20190304164830645</v>
      </c>
      <c r="B332" t="str">
        <f>"1551689310636585"</f>
        <v>1551689310636585</v>
      </c>
      <c r="C332" t="s">
        <v>40</v>
      </c>
      <c r="D332">
        <v>4.8509890000000002</v>
      </c>
      <c r="E332">
        <v>0.5522068</v>
      </c>
      <c r="F332" t="s">
        <v>41</v>
      </c>
      <c r="G332">
        <v>-404.50319999999999</v>
      </c>
      <c r="H332">
        <v>0.79044080000000005</v>
      </c>
      <c r="I332">
        <v>367.78280000000001</v>
      </c>
      <c r="J332">
        <v>-404.98820000000001</v>
      </c>
      <c r="K332">
        <v>1.059887</v>
      </c>
      <c r="L332">
        <v>367.78059999999999</v>
      </c>
      <c r="M332">
        <v>0.99991609999999997</v>
      </c>
      <c r="N332">
        <v>-9.5643229999999996E-3</v>
      </c>
      <c r="O332">
        <v>8.7435789999999996E-3</v>
      </c>
      <c r="P332">
        <v>0.95263240000000005</v>
      </c>
      <c r="Q332">
        <v>0.29694290000000001</v>
      </c>
      <c r="R332">
        <v>6.5701529999999994E-2</v>
      </c>
      <c r="S332">
        <v>3.5153810000000001</v>
      </c>
      <c r="T332">
        <v>-1.17814</v>
      </c>
      <c r="U332">
        <v>2.2491460000000001E-2</v>
      </c>
      <c r="V332">
        <v>-5.7357449999999997E-2</v>
      </c>
      <c r="W332">
        <v>0.30604819999999999</v>
      </c>
      <c r="X332">
        <v>0.95028659999999998</v>
      </c>
      <c r="Y332">
        <v>1.7941070000000001E-3</v>
      </c>
      <c r="Z332">
        <v>-3.0722599999999998E-3</v>
      </c>
      <c r="AA332">
        <v>0.99999369999999999</v>
      </c>
      <c r="AB332">
        <v>35</v>
      </c>
      <c r="AC332">
        <v>0.48500000000001298</v>
      </c>
      <c r="AD332">
        <v>-0.26944620000000002</v>
      </c>
      <c r="AE332">
        <v>2.2000000000161799E-3</v>
      </c>
      <c r="AF332">
        <v>1.5595688345044899E-3</v>
      </c>
      <c r="AG332">
        <v>-0.26944620000000002</v>
      </c>
      <c r="AH332">
        <v>0.370614398536873</v>
      </c>
      <c r="AI332">
        <v>126.017874542263</v>
      </c>
      <c r="AJ332">
        <v>89.758897158343601</v>
      </c>
      <c r="AK332">
        <v>0.45821252640258298</v>
      </c>
      <c r="AL332">
        <v>72.178762759965394</v>
      </c>
      <c r="AM332">
        <v>93.454071322949304</v>
      </c>
      <c r="AN332">
        <v>0.99999999996665101</v>
      </c>
    </row>
    <row r="333" spans="1:40" x14ac:dyDescent="0.25">
      <c r="A333" t="str">
        <f>"20190304164830657"</f>
        <v>20190304164830657</v>
      </c>
      <c r="B333" t="str">
        <f>"1551689310647321"</f>
        <v>1551689310647321</v>
      </c>
      <c r="C333" t="s">
        <v>40</v>
      </c>
      <c r="D333">
        <v>4.8460330000000003</v>
      </c>
      <c r="E333">
        <v>0.5521895</v>
      </c>
      <c r="F333" t="s">
        <v>41</v>
      </c>
      <c r="G333">
        <v>-404.19080000000002</v>
      </c>
      <c r="H333">
        <v>0.79222139999999996</v>
      </c>
      <c r="I333">
        <v>367.78570000000002</v>
      </c>
      <c r="J333">
        <v>-404.80079999999998</v>
      </c>
      <c r="K333">
        <v>1.059885</v>
      </c>
      <c r="L333">
        <v>367.78230000000002</v>
      </c>
      <c r="M333">
        <v>0.99991609999999997</v>
      </c>
      <c r="N333">
        <v>-9.5647349999999996E-3</v>
      </c>
      <c r="O333">
        <v>8.7437560000000001E-3</v>
      </c>
      <c r="P333">
        <v>0.95258560000000003</v>
      </c>
      <c r="Q333">
        <v>0.29710789999999998</v>
      </c>
      <c r="R333">
        <v>6.5634620000000005E-2</v>
      </c>
      <c r="S333">
        <v>3.51532</v>
      </c>
      <c r="T333">
        <v>-1.179989</v>
      </c>
      <c r="U333">
        <v>2.3651120000000001E-2</v>
      </c>
      <c r="V333">
        <v>-5.7290830000000001E-2</v>
      </c>
      <c r="W333">
        <v>0.30621300000000001</v>
      </c>
      <c r="X333">
        <v>0.95023749999999996</v>
      </c>
      <c r="Y333">
        <v>1.480274E-3</v>
      </c>
      <c r="Z333">
        <v>-3.0242369999999999E-3</v>
      </c>
      <c r="AA333">
        <v>0.9999943</v>
      </c>
      <c r="AB333">
        <v>35</v>
      </c>
      <c r="AC333">
        <v>0.60999999999995602</v>
      </c>
      <c r="AD333">
        <v>-0.2676636</v>
      </c>
      <c r="AE333">
        <v>3.3999999999991802E-3</v>
      </c>
      <c r="AF333">
        <v>1.6218121781090399E-3</v>
      </c>
      <c r="AG333">
        <v>-0.2676636</v>
      </c>
      <c r="AH333">
        <v>0.51152156260655501</v>
      </c>
      <c r="AI333">
        <v>117.62156944207101</v>
      </c>
      <c r="AJ333">
        <v>89.818340636261496</v>
      </c>
      <c r="AK333">
        <v>0.57732204362136796</v>
      </c>
      <c r="AL333">
        <v>72.168843733765101</v>
      </c>
      <c r="AM333">
        <v>93.450246995042903</v>
      </c>
      <c r="AN333">
        <v>0.99999997348866898</v>
      </c>
    </row>
    <row r="334" spans="1:40" x14ac:dyDescent="0.25">
      <c r="A334" t="str">
        <f>"20190304164830668"</f>
        <v>20190304164830668</v>
      </c>
      <c r="B334" t="str">
        <f>"1551689310657081"</f>
        <v>1551689310657081</v>
      </c>
      <c r="C334" t="s">
        <v>40</v>
      </c>
      <c r="D334">
        <v>4.8380029999999996</v>
      </c>
      <c r="E334">
        <v>0.55217769999999899</v>
      </c>
      <c r="F334" t="s">
        <v>41</v>
      </c>
      <c r="G334">
        <v>-403.89359999999999</v>
      </c>
      <c r="H334">
        <v>0.75530649999999999</v>
      </c>
      <c r="I334">
        <v>367.78870000000001</v>
      </c>
      <c r="J334">
        <v>-404.6148</v>
      </c>
      <c r="K334">
        <v>1.059884</v>
      </c>
      <c r="L334">
        <v>367.78390000000002</v>
      </c>
      <c r="M334">
        <v>0.99991609999999997</v>
      </c>
      <c r="N334">
        <v>-9.5635319999999996E-3</v>
      </c>
      <c r="O334">
        <v>8.7441189999999999E-3</v>
      </c>
      <c r="P334">
        <v>0.95259439999999995</v>
      </c>
      <c r="Q334">
        <v>0.29714770000000001</v>
      </c>
      <c r="R334">
        <v>6.5324279999999998E-2</v>
      </c>
      <c r="S334">
        <v>3.5156559999999999</v>
      </c>
      <c r="T334">
        <v>-1.1803619999999999</v>
      </c>
      <c r="U334">
        <v>2.5207520000000001E-2</v>
      </c>
      <c r="V334">
        <v>-5.6980139999999999E-2</v>
      </c>
      <c r="W334">
        <v>0.30625160000000001</v>
      </c>
      <c r="X334">
        <v>0.95024379999999997</v>
      </c>
      <c r="Y334">
        <v>1.0619780000000001E-3</v>
      </c>
      <c r="Z334">
        <v>-2.9546059999999998E-3</v>
      </c>
      <c r="AA334">
        <v>0.99999510000000003</v>
      </c>
      <c r="AB334">
        <v>35</v>
      </c>
      <c r="AC334">
        <v>0.72120000000001006</v>
      </c>
      <c r="AD334">
        <v>-0.3045775</v>
      </c>
      <c r="AE334">
        <v>4.7999999999888097E-3</v>
      </c>
      <c r="AF334">
        <v>1.27868157367923E-3</v>
      </c>
      <c r="AG334">
        <v>-0.3045775</v>
      </c>
      <c r="AH334">
        <v>0.61205622121631098</v>
      </c>
      <c r="AI334">
        <v>116.45626275309201</v>
      </c>
      <c r="AJ334">
        <v>89.8803002920544</v>
      </c>
      <c r="AK334">
        <v>0.683653352556986</v>
      </c>
      <c r="AL334">
        <v>72.166521527056801</v>
      </c>
      <c r="AM334">
        <v>93.431558333175602</v>
      </c>
      <c r="AN334">
        <v>1.0000000291477</v>
      </c>
    </row>
    <row r="335" spans="1:40" x14ac:dyDescent="0.25">
      <c r="A335" t="str">
        <f>"20190304164830687"</f>
        <v>20190304164830687</v>
      </c>
      <c r="B335" t="str">
        <f>"1551689310676601"</f>
        <v>1551689310676601</v>
      </c>
      <c r="C335" t="s">
        <v>40</v>
      </c>
      <c r="D335">
        <v>4.9203270000000003</v>
      </c>
      <c r="E335">
        <v>0.55210479999999995</v>
      </c>
      <c r="F335" t="s">
        <v>41</v>
      </c>
      <c r="G335">
        <v>-403.87090000000001</v>
      </c>
      <c r="H335">
        <v>0.81007640000000003</v>
      </c>
      <c r="I335">
        <v>367.78890000000001</v>
      </c>
      <c r="J335">
        <v>-404.33030000000002</v>
      </c>
      <c r="K335">
        <v>1.059884</v>
      </c>
      <c r="L335">
        <v>367.78640000000001</v>
      </c>
      <c r="M335">
        <v>0.99991609999999997</v>
      </c>
      <c r="N335">
        <v>-9.5611099999999994E-3</v>
      </c>
      <c r="O335">
        <v>8.7446079999999992E-3</v>
      </c>
      <c r="P335">
        <v>0.95248250000000001</v>
      </c>
      <c r="Q335">
        <v>0.29748249999999998</v>
      </c>
      <c r="R335">
        <v>6.5435510000000002E-2</v>
      </c>
      <c r="S335">
        <v>3.5158999999999998</v>
      </c>
      <c r="T335">
        <v>-1.180712</v>
      </c>
      <c r="U335">
        <v>2.4047849999999999E-2</v>
      </c>
      <c r="V335">
        <v>-5.7091999999999997E-2</v>
      </c>
      <c r="W335">
        <v>0.30658299999999999</v>
      </c>
      <c r="X335">
        <v>0.95013020000000004</v>
      </c>
      <c r="Y335">
        <v>1.3748320000000001E-3</v>
      </c>
      <c r="Z335">
        <v>-3.0081029999999998E-3</v>
      </c>
      <c r="AA335">
        <v>0.99999450000000001</v>
      </c>
      <c r="AB335">
        <v>35</v>
      </c>
      <c r="AC335">
        <v>0.45940000000001602</v>
      </c>
      <c r="AD335">
        <v>-0.24980759999999999</v>
      </c>
      <c r="AE335">
        <v>2.4999999999977202E-3</v>
      </c>
      <c r="AF335">
        <v>1.1712431667569301E-3</v>
      </c>
      <c r="AG335">
        <v>-0.24980759999999999</v>
      </c>
      <c r="AH335">
        <v>0.35456719493655697</v>
      </c>
      <c r="AI335">
        <v>125.166169469721</v>
      </c>
      <c r="AJ335">
        <v>89.810735321509796</v>
      </c>
      <c r="AK335">
        <v>0.433731604282526</v>
      </c>
      <c r="AL335">
        <v>72.146573917360996</v>
      </c>
      <c r="AM335">
        <v>93.438688920615405</v>
      </c>
      <c r="AN335">
        <v>1.0000000146525201</v>
      </c>
    </row>
    <row r="336" spans="1:40" x14ac:dyDescent="0.25">
      <c r="A336" t="str">
        <f>"20190304164830699"</f>
        <v>20190304164830699</v>
      </c>
      <c r="B336" t="str">
        <f>"1551689310686361"</f>
        <v>1551689310686361</v>
      </c>
      <c r="C336" t="s">
        <v>40</v>
      </c>
      <c r="D336">
        <v>4.8480100000000004</v>
      </c>
      <c r="E336">
        <v>0.55210000000000004</v>
      </c>
      <c r="F336" t="s">
        <v>41</v>
      </c>
      <c r="G336">
        <v>-403.56200000000001</v>
      </c>
      <c r="H336">
        <v>0.80188230000000005</v>
      </c>
      <c r="I336">
        <v>367.79109999999997</v>
      </c>
      <c r="J336">
        <v>-404.15140000000002</v>
      </c>
      <c r="K336">
        <v>1.0598829999999999</v>
      </c>
      <c r="L336">
        <v>367.78789999999998</v>
      </c>
      <c r="M336">
        <v>0.99991609999999997</v>
      </c>
      <c r="N336">
        <v>-9.5594330000000009E-3</v>
      </c>
      <c r="O336">
        <v>8.7449729999999996E-3</v>
      </c>
      <c r="P336">
        <v>0.95243869999999997</v>
      </c>
      <c r="Q336">
        <v>0.297633799999999</v>
      </c>
      <c r="R336">
        <v>6.5379789999999993E-2</v>
      </c>
      <c r="S336">
        <v>3.5168149999999998</v>
      </c>
      <c r="T336">
        <v>-1.180914</v>
      </c>
      <c r="U336">
        <v>2.401733E-2</v>
      </c>
      <c r="V336">
        <v>-5.7036120000000003E-2</v>
      </c>
      <c r="W336">
        <v>0.30673270000000002</v>
      </c>
      <c r="X336">
        <v>0.95008519999999996</v>
      </c>
      <c r="Y336">
        <v>1.3851429999999999E-3</v>
      </c>
      <c r="Z336">
        <v>-3.0097050000000001E-3</v>
      </c>
      <c r="AA336">
        <v>0.99999450000000001</v>
      </c>
      <c r="AB336">
        <v>35</v>
      </c>
      <c r="AC336">
        <v>0.58940000000006798</v>
      </c>
      <c r="AD336">
        <v>-0.25800069999999897</v>
      </c>
      <c r="AE336">
        <v>3.19999999999254E-3</v>
      </c>
      <c r="AF336">
        <v>1.64034513553095E-3</v>
      </c>
      <c r="AG336">
        <v>-0.25800069999999897</v>
      </c>
      <c r="AH336">
        <v>0.49463122293557299</v>
      </c>
      <c r="AI336">
        <v>117.546512090988</v>
      </c>
      <c r="AJ336">
        <v>89.809990748032902</v>
      </c>
      <c r="AK336">
        <v>0.55787731503924298</v>
      </c>
      <c r="AL336">
        <v>72.137561889518594</v>
      </c>
      <c r="AM336">
        <v>93.4354936176194</v>
      </c>
      <c r="AN336">
        <v>0.99999997774649196</v>
      </c>
    </row>
    <row r="337" spans="1:40" x14ac:dyDescent="0.25">
      <c r="A337" t="str">
        <f>"20190304164830710"</f>
        <v>20190304164830710</v>
      </c>
      <c r="B337" t="str">
        <f>"1551689310706857"</f>
        <v>1551689310706857</v>
      </c>
      <c r="C337" t="s">
        <v>40</v>
      </c>
      <c r="D337">
        <v>4.8555289999999998</v>
      </c>
      <c r="E337">
        <v>0.55211369999999904</v>
      </c>
      <c r="F337" t="s">
        <v>41</v>
      </c>
      <c r="G337">
        <v>-403.26519999999999</v>
      </c>
      <c r="H337">
        <v>0.76244769999999995</v>
      </c>
      <c r="I337">
        <v>367.79379999999998</v>
      </c>
      <c r="J337">
        <v>-403.96080000000001</v>
      </c>
      <c r="K337">
        <v>1.0598829999999999</v>
      </c>
      <c r="L337">
        <v>367.78960000000001</v>
      </c>
      <c r="M337">
        <v>0.99991609999999997</v>
      </c>
      <c r="N337">
        <v>-9.5577309999999999E-3</v>
      </c>
      <c r="O337">
        <v>8.7451000000000004E-3</v>
      </c>
      <c r="P337">
        <v>0.95247969999999904</v>
      </c>
      <c r="Q337">
        <v>0.2975913</v>
      </c>
      <c r="R337">
        <v>6.4977980000000005E-2</v>
      </c>
      <c r="S337">
        <v>3.5171199999999998</v>
      </c>
      <c r="T337">
        <v>-1.1805349999999999</v>
      </c>
      <c r="U337">
        <v>2.3040769999999999E-2</v>
      </c>
      <c r="V337">
        <v>-5.6634209999999997E-2</v>
      </c>
      <c r="W337">
        <v>0.30668869999999998</v>
      </c>
      <c r="X337">
        <v>0.95012350000000001</v>
      </c>
      <c r="Y337">
        <v>1.6490249999999999E-3</v>
      </c>
      <c r="Z337">
        <v>-3.0529699999999999E-3</v>
      </c>
      <c r="AA337">
        <v>0.99999400000000005</v>
      </c>
      <c r="AB337">
        <v>35</v>
      </c>
      <c r="AC337">
        <v>0.69560000000001299</v>
      </c>
      <c r="AD337">
        <v>-0.29743530000000001</v>
      </c>
      <c r="AE337">
        <v>4.1999999999688901E-3</v>
      </c>
      <c r="AF337">
        <v>1.59239130737589E-3</v>
      </c>
      <c r="AG337">
        <v>-0.29743530000000001</v>
      </c>
      <c r="AH337">
        <v>0.5880891510406</v>
      </c>
      <c r="AI337">
        <v>116.828635202081</v>
      </c>
      <c r="AJ337">
        <v>89.844858423070207</v>
      </c>
      <c r="AK337">
        <v>0.65902893940085705</v>
      </c>
      <c r="AL337">
        <v>72.140211506010601</v>
      </c>
      <c r="AM337">
        <v>93.411205296374007</v>
      </c>
      <c r="AN337">
        <v>1.0000000288511299</v>
      </c>
    </row>
    <row r="338" spans="1:40" x14ac:dyDescent="0.25">
      <c r="A338" t="str">
        <f>"20190304164830722"</f>
        <v>20190304164830722</v>
      </c>
      <c r="B338" t="str">
        <f>"1551689310716617"</f>
        <v>1551689310716617</v>
      </c>
      <c r="C338" t="s">
        <v>40</v>
      </c>
      <c r="D338">
        <v>4.8462969999999999</v>
      </c>
      <c r="E338">
        <v>0.55210239999999999</v>
      </c>
      <c r="F338" t="s">
        <v>41</v>
      </c>
      <c r="G338">
        <v>-403.24189999999999</v>
      </c>
      <c r="H338">
        <v>0.81848050000000006</v>
      </c>
      <c r="I338">
        <v>367.79410000000001</v>
      </c>
      <c r="J338">
        <v>-403.78899999999999</v>
      </c>
      <c r="K338">
        <v>1.0598810000000001</v>
      </c>
      <c r="L338">
        <v>367.79109999999997</v>
      </c>
      <c r="M338">
        <v>0.99991600000000003</v>
      </c>
      <c r="N338">
        <v>-9.5563330000000002E-3</v>
      </c>
      <c r="O338">
        <v>8.7454639999999997E-3</v>
      </c>
      <c r="P338">
        <v>0.95247099999999996</v>
      </c>
      <c r="Q338">
        <v>0.297649</v>
      </c>
      <c r="R338">
        <v>6.4838679999999996E-2</v>
      </c>
      <c r="S338">
        <v>3.5172119999999998</v>
      </c>
      <c r="T338">
        <v>-1.1810350000000001</v>
      </c>
      <c r="U338">
        <v>2.1728520000000001E-2</v>
      </c>
      <c r="V338">
        <v>-5.6494500000000003E-2</v>
      </c>
      <c r="W338">
        <v>0.30674499999999999</v>
      </c>
      <c r="X338">
        <v>0.95011369999999895</v>
      </c>
      <c r="Y338">
        <v>2.0022220000000001E-3</v>
      </c>
      <c r="Z338">
        <v>-3.1137299999999999E-3</v>
      </c>
      <c r="AA338">
        <v>0.99999309999999997</v>
      </c>
      <c r="AB338">
        <v>35</v>
      </c>
      <c r="AC338">
        <v>0.54710000000000003</v>
      </c>
      <c r="AD338">
        <v>-0.24140049999999899</v>
      </c>
      <c r="AE338">
        <v>3.0000000000427402E-3</v>
      </c>
      <c r="AF338">
        <v>1.49409995248935E-3</v>
      </c>
      <c r="AG338">
        <v>-0.24140049999999899</v>
      </c>
      <c r="AH338">
        <v>0.45794988392372799</v>
      </c>
      <c r="AI338">
        <v>117.7950687794</v>
      </c>
      <c r="AJ338">
        <v>89.813068371204494</v>
      </c>
      <c r="AK338">
        <v>0.51768188100480605</v>
      </c>
      <c r="AL338">
        <v>72.136823405963696</v>
      </c>
      <c r="AM338">
        <v>93.402845064306305</v>
      </c>
      <c r="AN338">
        <v>1.0000000832414599</v>
      </c>
    </row>
    <row r="339" spans="1:40" x14ac:dyDescent="0.25">
      <c r="A339" t="str">
        <f>"20190304164830732"</f>
        <v>20190304164830732</v>
      </c>
      <c r="B339" t="str">
        <f>"1551689310726377"</f>
        <v>1551689310726377</v>
      </c>
      <c r="C339" t="s">
        <v>40</v>
      </c>
      <c r="D339">
        <v>4.8430460000000002</v>
      </c>
      <c r="E339">
        <v>0.55209090000000005</v>
      </c>
      <c r="F339" t="s">
        <v>41</v>
      </c>
      <c r="G339">
        <v>-402.9461</v>
      </c>
      <c r="H339">
        <v>0.77681669999999903</v>
      </c>
      <c r="I339">
        <v>367.79579999999999</v>
      </c>
      <c r="J339">
        <v>-403.61529999999999</v>
      </c>
      <c r="K339">
        <v>1.059879</v>
      </c>
      <c r="L339">
        <v>367.79259999999999</v>
      </c>
      <c r="M339">
        <v>0.99991609999999997</v>
      </c>
      <c r="N339">
        <v>-9.5550180000000002E-3</v>
      </c>
      <c r="O339">
        <v>8.7456489999999994E-3</v>
      </c>
      <c r="P339">
        <v>0.95233389999999996</v>
      </c>
      <c r="Q339">
        <v>0.29815910000000001</v>
      </c>
      <c r="R339">
        <v>6.4509869999999997E-2</v>
      </c>
      <c r="S339">
        <v>3.5173649999999999</v>
      </c>
      <c r="T339">
        <v>-1.1812739999999999</v>
      </c>
      <c r="U339">
        <v>2.133179E-2</v>
      </c>
      <c r="V339">
        <v>-5.6166790000000001E-2</v>
      </c>
      <c r="W339">
        <v>0.30725229999999998</v>
      </c>
      <c r="X339">
        <v>0.94996910000000001</v>
      </c>
      <c r="Y339">
        <v>2.1092179999999999E-3</v>
      </c>
      <c r="Z339">
        <v>-3.1322920000000001E-3</v>
      </c>
      <c r="AA339">
        <v>0.99999280000000002</v>
      </c>
      <c r="AB339">
        <v>35</v>
      </c>
      <c r="AC339">
        <v>0.66919999999998903</v>
      </c>
      <c r="AD339">
        <v>-0.28306229999999999</v>
      </c>
      <c r="AE339">
        <v>3.19999999999254E-3</v>
      </c>
      <c r="AF339">
        <v>2.25035907512242E-3</v>
      </c>
      <c r="AG339">
        <v>-0.28306229999999999</v>
      </c>
      <c r="AH339">
        <v>0.567643503645336</v>
      </c>
      <c r="AI339">
        <v>116.50351361318199</v>
      </c>
      <c r="AJ339">
        <v>89.772858491107996</v>
      </c>
      <c r="AK339">
        <v>0.63430944895059604</v>
      </c>
      <c r="AL339">
        <v>72.106280664059199</v>
      </c>
      <c r="AM339">
        <v>93.383665793045196</v>
      </c>
      <c r="AN339">
        <v>0.99999998755450203</v>
      </c>
    </row>
    <row r="340" spans="1:40" x14ac:dyDescent="0.25">
      <c r="A340" t="str">
        <f>"20190304164830744"</f>
        <v>20190304164830744</v>
      </c>
      <c r="B340" t="str">
        <f>"1551689310737113"</f>
        <v>1551689310737113</v>
      </c>
      <c r="C340" t="s">
        <v>40</v>
      </c>
      <c r="D340">
        <v>4.9633260000000003</v>
      </c>
      <c r="E340">
        <v>0.55206330000000003</v>
      </c>
      <c r="F340" t="s">
        <v>41</v>
      </c>
      <c r="G340">
        <v>-402.92439999999999</v>
      </c>
      <c r="H340">
        <v>0.82817580000000002</v>
      </c>
      <c r="I340">
        <v>367.79629999999997</v>
      </c>
      <c r="J340">
        <v>-403.42619999999999</v>
      </c>
      <c r="K340">
        <v>1.059879</v>
      </c>
      <c r="L340">
        <v>367.79430000000002</v>
      </c>
      <c r="M340">
        <v>0.99991609999999997</v>
      </c>
      <c r="N340">
        <v>-9.5538120000000001E-3</v>
      </c>
      <c r="O340">
        <v>8.7460119999999992E-3</v>
      </c>
      <c r="P340">
        <v>0.95233389999999996</v>
      </c>
      <c r="Q340">
        <v>0.29820279999999999</v>
      </c>
      <c r="R340">
        <v>6.4305150000000005E-2</v>
      </c>
      <c r="S340">
        <v>3.518097</v>
      </c>
      <c r="T340">
        <v>-1.1798879999999901</v>
      </c>
      <c r="U340">
        <v>2.0965580000000001E-2</v>
      </c>
      <c r="V340">
        <v>-5.5961690000000001E-2</v>
      </c>
      <c r="W340">
        <v>0.30729450000000003</v>
      </c>
      <c r="X340">
        <v>0.94996760000000002</v>
      </c>
      <c r="Y340">
        <v>2.2107569999999998E-3</v>
      </c>
      <c r="Z340">
        <v>-3.1452870000000001E-3</v>
      </c>
      <c r="AA340">
        <v>0.99999260000000001</v>
      </c>
      <c r="AB340">
        <v>35</v>
      </c>
      <c r="AC340">
        <v>0.50180000000000202</v>
      </c>
      <c r="AD340">
        <v>-0.2317032</v>
      </c>
      <c r="AE340">
        <v>1.9999999999527002E-3</v>
      </c>
      <c r="AF340">
        <v>1.9691867137406E-3</v>
      </c>
      <c r="AG340">
        <v>-0.2317032</v>
      </c>
      <c r="AH340">
        <v>0.41361403085124099</v>
      </c>
      <c r="AI340">
        <v>119.25691581473301</v>
      </c>
      <c r="AJ340">
        <v>89.727220967105893</v>
      </c>
      <c r="AK340">
        <v>0.47409578895363003</v>
      </c>
      <c r="AL340">
        <v>72.103740660798096</v>
      </c>
      <c r="AM340">
        <v>93.371343780575302</v>
      </c>
      <c r="AN340">
        <v>1.0000000307638299</v>
      </c>
    </row>
    <row r="341" spans="1:40" x14ac:dyDescent="0.25">
      <c r="A341" t="str">
        <f>"20190304164830757"</f>
        <v>20190304164830757</v>
      </c>
      <c r="B341" t="str">
        <f>"1551689310746873"</f>
        <v>1551689310746873</v>
      </c>
      <c r="C341" t="s">
        <v>40</v>
      </c>
      <c r="D341">
        <v>4.8587689999999997</v>
      </c>
      <c r="E341">
        <v>0.55204779999999998</v>
      </c>
      <c r="F341" t="s">
        <v>41</v>
      </c>
      <c r="G341">
        <v>-402.62639999999999</v>
      </c>
      <c r="H341">
        <v>0.79153649999999998</v>
      </c>
      <c r="I341">
        <v>367.79919999999998</v>
      </c>
      <c r="J341">
        <v>-403.23809999999997</v>
      </c>
      <c r="K341">
        <v>1.0598879999999999</v>
      </c>
      <c r="L341">
        <v>367.79590000000002</v>
      </c>
      <c r="M341">
        <v>0.99991609999999997</v>
      </c>
      <c r="N341">
        <v>-9.5527100000000007E-3</v>
      </c>
      <c r="O341">
        <v>8.7463160000000005E-3</v>
      </c>
      <c r="P341">
        <v>0.95233590000000001</v>
      </c>
      <c r="Q341">
        <v>0.29822700000000002</v>
      </c>
      <c r="R341">
        <v>6.4163390000000001E-2</v>
      </c>
      <c r="S341">
        <v>3.5182799999999999</v>
      </c>
      <c r="T341">
        <v>-1.180358</v>
      </c>
      <c r="U341">
        <v>2.182007E-2</v>
      </c>
      <c r="V341">
        <v>-5.5819470000000003E-2</v>
      </c>
      <c r="W341">
        <v>0.30731809999999998</v>
      </c>
      <c r="X341">
        <v>0.94996829999999999</v>
      </c>
      <c r="Y341">
        <v>1.9810549999999998E-3</v>
      </c>
      <c r="Z341">
        <v>-3.1078149999999999E-3</v>
      </c>
      <c r="AA341">
        <v>0.99999320000000003</v>
      </c>
      <c r="AB341">
        <v>35</v>
      </c>
      <c r="AC341">
        <v>0.61169999999998403</v>
      </c>
      <c r="AD341">
        <v>-0.26835150000000002</v>
      </c>
      <c r="AE341">
        <v>3.2999999999674301E-3</v>
      </c>
      <c r="AF341">
        <v>1.71956187578721E-3</v>
      </c>
      <c r="AG341">
        <v>-0.26835150000000002</v>
      </c>
      <c r="AH341">
        <v>0.51298196338523305</v>
      </c>
      <c r="AI341">
        <v>117.614866387977</v>
      </c>
      <c r="AJ341">
        <v>89.807940091253997</v>
      </c>
      <c r="AK341">
        <v>0.57893521157713601</v>
      </c>
      <c r="AL341">
        <v>72.102319142035199</v>
      </c>
      <c r="AM341">
        <v>93.362793125264702</v>
      </c>
      <c r="AN341">
        <v>0.99999999941178996</v>
      </c>
    </row>
    <row r="342" spans="1:40" x14ac:dyDescent="0.25">
      <c r="A342" t="str">
        <f>"20190304164830771"</f>
        <v>20190304164830771</v>
      </c>
      <c r="B342" t="str">
        <f>"1551689310767371"</f>
        <v>1551689310767371</v>
      </c>
      <c r="C342" t="s">
        <v>40</v>
      </c>
      <c r="D342">
        <v>4.8495759999999999</v>
      </c>
      <c r="E342">
        <v>0.55203659999999999</v>
      </c>
      <c r="F342" t="s">
        <v>41</v>
      </c>
      <c r="G342">
        <v>-402.32749999999999</v>
      </c>
      <c r="H342">
        <v>0.75421059999999995</v>
      </c>
      <c r="I342">
        <v>367.8014</v>
      </c>
      <c r="J342">
        <v>-403.02359999999999</v>
      </c>
      <c r="K342">
        <v>1.0598860000000001</v>
      </c>
      <c r="L342">
        <v>367.7978</v>
      </c>
      <c r="M342">
        <v>0.99991609999999997</v>
      </c>
      <c r="N342">
        <v>-9.5517650000000003E-3</v>
      </c>
      <c r="O342">
        <v>8.7466769999999996E-3</v>
      </c>
      <c r="P342">
        <v>0.95238809999999996</v>
      </c>
      <c r="Q342">
        <v>0.2981007</v>
      </c>
      <c r="R342">
        <v>6.3975329999999997E-2</v>
      </c>
      <c r="S342">
        <v>3.5184630000000001</v>
      </c>
      <c r="T342">
        <v>-1.1809970000000001</v>
      </c>
      <c r="U342">
        <v>2.233887E-2</v>
      </c>
      <c r="V342">
        <v>-5.5630699999999998E-2</v>
      </c>
      <c r="W342">
        <v>0.30719159999999901</v>
      </c>
      <c r="X342">
        <v>0.95002030000000004</v>
      </c>
      <c r="Y342">
        <v>1.841601E-3</v>
      </c>
      <c r="Z342">
        <v>-3.0859479999999998E-3</v>
      </c>
      <c r="AA342">
        <v>0.99999360000000004</v>
      </c>
      <c r="AB342">
        <v>35</v>
      </c>
      <c r="AC342">
        <v>0.69610000000000105</v>
      </c>
      <c r="AD342">
        <v>-0.30567539999999999</v>
      </c>
      <c r="AE342">
        <v>3.6000000000058199E-3</v>
      </c>
      <c r="AF342">
        <v>2.0866220588156002E-3</v>
      </c>
      <c r="AG342">
        <v>-0.30567539999999999</v>
      </c>
      <c r="AH342">
        <v>0.583576086423651</v>
      </c>
      <c r="AI342">
        <v>117.64526149498199</v>
      </c>
      <c r="AJ342">
        <v>89.795135320480398</v>
      </c>
      <c r="AK342">
        <v>0.65878892887048501</v>
      </c>
      <c r="AL342">
        <v>72.1099357169347</v>
      </c>
      <c r="AM342">
        <v>93.351263789392505</v>
      </c>
      <c r="AN342">
        <v>1.0000000121525701</v>
      </c>
    </row>
    <row r="343" spans="1:40" x14ac:dyDescent="0.25">
      <c r="A343" t="str">
        <f>"20190304164830788"</f>
        <v>20190304164830788</v>
      </c>
      <c r="B343" t="str">
        <f>"1551689310777130"</f>
        <v>1551689310777130</v>
      </c>
      <c r="C343" t="s">
        <v>40</v>
      </c>
      <c r="D343">
        <v>4.8637220000000001</v>
      </c>
      <c r="E343">
        <v>0.55203610000000003</v>
      </c>
      <c r="F343" t="s">
        <v>41</v>
      </c>
      <c r="G343">
        <v>-402.30130000000003</v>
      </c>
      <c r="H343">
        <v>0.81723310000000005</v>
      </c>
      <c r="I343">
        <v>367.80200000000002</v>
      </c>
      <c r="J343">
        <v>-402.74790000000002</v>
      </c>
      <c r="K343">
        <v>1.0598829999999999</v>
      </c>
      <c r="L343">
        <v>367.80020000000002</v>
      </c>
      <c r="M343">
        <v>0.99991620000000003</v>
      </c>
      <c r="N343">
        <v>-9.5509089999999998E-3</v>
      </c>
      <c r="O343">
        <v>8.7469790000000002E-3</v>
      </c>
      <c r="P343">
        <v>0.95235619999999999</v>
      </c>
      <c r="Q343">
        <v>0.29817850000000001</v>
      </c>
      <c r="R343">
        <v>6.4088030000000004E-2</v>
      </c>
      <c r="S343">
        <v>3.518494</v>
      </c>
      <c r="T343">
        <v>-1.1819900000000001</v>
      </c>
      <c r="U343">
        <v>2.2033690000000002E-2</v>
      </c>
      <c r="V343">
        <v>-5.5742960000000001E-2</v>
      </c>
      <c r="W343">
        <v>0.30726769999999998</v>
      </c>
      <c r="X343">
        <v>0.94998910000000003</v>
      </c>
      <c r="Y343">
        <v>1.923136E-3</v>
      </c>
      <c r="Z343">
        <v>-3.1022770000000001E-3</v>
      </c>
      <c r="AA343">
        <v>0.99999329999999997</v>
      </c>
      <c r="AB343">
        <v>35</v>
      </c>
      <c r="AC343">
        <v>0.44659999999998901</v>
      </c>
      <c r="AD343">
        <v>-0.242649899999999</v>
      </c>
      <c r="AE343">
        <v>1.79999999994606E-3</v>
      </c>
      <c r="AF343">
        <v>1.62650423150629E-3</v>
      </c>
      <c r="AG343">
        <v>-0.242649899999999</v>
      </c>
      <c r="AH343">
        <v>0.34481068735596698</v>
      </c>
      <c r="AI343">
        <v>125.134486744543</v>
      </c>
      <c r="AJ343">
        <v>89.729732458856006</v>
      </c>
      <c r="AK343">
        <v>0.421634948267953</v>
      </c>
      <c r="AL343">
        <v>72.105353752490998</v>
      </c>
      <c r="AM343">
        <v>93.358121046819093</v>
      </c>
      <c r="AN343">
        <v>1.0000000035858301</v>
      </c>
    </row>
    <row r="344" spans="1:40" x14ac:dyDescent="0.25">
      <c r="A344" t="str">
        <f>"20190304164830801"</f>
        <v>20190304164830801</v>
      </c>
      <c r="B344" t="str">
        <f>"1551689310796649"</f>
        <v>1551689310796649</v>
      </c>
      <c r="C344" t="s">
        <v>40</v>
      </c>
      <c r="D344">
        <v>4.8050680000000003</v>
      </c>
      <c r="E344">
        <v>0.55203290000000005</v>
      </c>
      <c r="F344" t="s">
        <v>41</v>
      </c>
      <c r="G344">
        <v>-401.99169999999998</v>
      </c>
      <c r="H344">
        <v>0.80586650000000004</v>
      </c>
      <c r="I344">
        <v>367.8048</v>
      </c>
      <c r="J344">
        <v>-402.54559999999998</v>
      </c>
      <c r="K344">
        <v>1.059887</v>
      </c>
      <c r="L344">
        <v>367.80200000000002</v>
      </c>
      <c r="M344">
        <v>0.99991609999999997</v>
      </c>
      <c r="N344">
        <v>-9.5505380000000008E-3</v>
      </c>
      <c r="O344">
        <v>8.7473380000000003E-3</v>
      </c>
      <c r="P344">
        <v>0.95233020000000002</v>
      </c>
      <c r="Q344">
        <v>0.29829309999999998</v>
      </c>
      <c r="R344">
        <v>6.3941380000000006E-2</v>
      </c>
      <c r="S344">
        <v>3.5187379999999999</v>
      </c>
      <c r="T344">
        <v>-1.1819999999999999</v>
      </c>
      <c r="U344">
        <v>2.1789550000000001E-2</v>
      </c>
      <c r="V344">
        <v>-5.559675E-2</v>
      </c>
      <c r="W344">
        <v>0.30738209999999999</v>
      </c>
      <c r="X344">
        <v>0.94996060000000004</v>
      </c>
      <c r="Y344">
        <v>1.9895989999999999E-3</v>
      </c>
      <c r="Z344">
        <v>-3.1134019999999999E-3</v>
      </c>
      <c r="AA344">
        <v>0.99999309999999997</v>
      </c>
      <c r="AB344">
        <v>35</v>
      </c>
      <c r="AC344">
        <v>0.55389999999999795</v>
      </c>
      <c r="AD344">
        <v>-0.25402049999999998</v>
      </c>
      <c r="AE344">
        <v>2.8000000000361E-3</v>
      </c>
      <c r="AF344">
        <v>1.6900427972157399E-3</v>
      </c>
      <c r="AG344">
        <v>-0.25402049999999998</v>
      </c>
      <c r="AH344">
        <v>0.45765337981771798</v>
      </c>
      <c r="AI344">
        <v>119.032298218348</v>
      </c>
      <c r="AJ344">
        <v>89.788416553706099</v>
      </c>
      <c r="AK344">
        <v>0.52342705960189595</v>
      </c>
      <c r="AL344">
        <v>72.098464736137998</v>
      </c>
      <c r="AM344">
        <v>93.349433257351606</v>
      </c>
      <c r="AN344">
        <v>0.99999994778166401</v>
      </c>
    </row>
    <row r="345" spans="1:40" x14ac:dyDescent="0.25">
      <c r="A345" t="str">
        <f>"20190304164830814"</f>
        <v>20190304164830814</v>
      </c>
      <c r="B345" t="str">
        <f>"1551689310806410"</f>
        <v>1551689310806410</v>
      </c>
      <c r="C345" t="s">
        <v>40</v>
      </c>
      <c r="D345">
        <v>4.8689609999999997</v>
      </c>
      <c r="E345">
        <v>0.5520275</v>
      </c>
      <c r="F345" t="s">
        <v>41</v>
      </c>
      <c r="G345">
        <v>-401.69060000000002</v>
      </c>
      <c r="H345">
        <v>0.77265699999999904</v>
      </c>
      <c r="I345">
        <v>367.80680000000001</v>
      </c>
      <c r="J345">
        <v>-402.33890000000002</v>
      </c>
      <c r="K345">
        <v>1.059887</v>
      </c>
      <c r="L345">
        <v>367.80380000000002</v>
      </c>
      <c r="M345">
        <v>0.99991620000000003</v>
      </c>
      <c r="N345">
        <v>-9.5503619999999997E-3</v>
      </c>
      <c r="O345">
        <v>8.7475179999999993E-3</v>
      </c>
      <c r="P345">
        <v>0.95229459999999999</v>
      </c>
      <c r="Q345">
        <v>0.29836509999999999</v>
      </c>
      <c r="R345">
        <v>6.4135659999999997E-2</v>
      </c>
      <c r="S345">
        <v>3.519012</v>
      </c>
      <c r="T345">
        <v>-1.182083</v>
      </c>
      <c r="U345">
        <v>2.111816E-2</v>
      </c>
      <c r="V345">
        <v>-5.5790640000000002E-2</v>
      </c>
      <c r="W345">
        <v>0.30745329999999998</v>
      </c>
      <c r="X345">
        <v>0.9499263</v>
      </c>
      <c r="Y345">
        <v>2.1707929999999999E-3</v>
      </c>
      <c r="Z345">
        <v>-3.1439459999999999E-3</v>
      </c>
      <c r="AA345">
        <v>0.99999269999999996</v>
      </c>
      <c r="AB345">
        <v>35</v>
      </c>
      <c r="AC345">
        <v>0.64830000000000598</v>
      </c>
      <c r="AD345">
        <v>-0.28722999999999999</v>
      </c>
      <c r="AE345">
        <v>2.9999999999858998E-3</v>
      </c>
      <c r="AF345">
        <v>2.2330612893793501E-3</v>
      </c>
      <c r="AG345">
        <v>-0.28722999999999999</v>
      </c>
      <c r="AH345">
        <v>0.541926638299565</v>
      </c>
      <c r="AI345">
        <v>117.92412154114299</v>
      </c>
      <c r="AJ345">
        <v>89.763908518052006</v>
      </c>
      <c r="AK345">
        <v>0.61334373785128804</v>
      </c>
      <c r="AL345">
        <v>72.094179590616704</v>
      </c>
      <c r="AM345">
        <v>93.361208536036102</v>
      </c>
      <c r="AN345">
        <v>1.0000000513120899</v>
      </c>
    </row>
    <row r="346" spans="1:40" x14ac:dyDescent="0.25">
      <c r="A346" t="str">
        <f>"20190304164830827"</f>
        <v>20190304164830827</v>
      </c>
      <c r="B346" t="str">
        <f>"1551689310817145"</f>
        <v>1551689310817145</v>
      </c>
      <c r="C346" t="s">
        <v>40</v>
      </c>
      <c r="D346">
        <v>4.8464700000000001</v>
      </c>
      <c r="E346">
        <v>0.55202399999999996</v>
      </c>
      <c r="F346" t="s">
        <v>41</v>
      </c>
      <c r="G346">
        <v>-401.66489999999999</v>
      </c>
      <c r="H346">
        <v>0.83348729999999904</v>
      </c>
      <c r="I346">
        <v>367.80759999999998</v>
      </c>
      <c r="J346">
        <v>-402.13290000000001</v>
      </c>
      <c r="K346">
        <v>1.059885</v>
      </c>
      <c r="L346">
        <v>367.80560000000003</v>
      </c>
      <c r="M346">
        <v>0.99991620000000003</v>
      </c>
      <c r="N346">
        <v>-9.5505420000000004E-3</v>
      </c>
      <c r="O346">
        <v>8.7478150000000008E-3</v>
      </c>
      <c r="P346">
        <v>0.95222859999999998</v>
      </c>
      <c r="Q346">
        <v>0.29860239999999999</v>
      </c>
      <c r="R346">
        <v>6.4012180000000002E-2</v>
      </c>
      <c r="S346">
        <v>3.5192260000000002</v>
      </c>
      <c r="T346">
        <v>-1.1820310000000001</v>
      </c>
      <c r="U346">
        <v>2.1484380000000001E-2</v>
      </c>
      <c r="V346">
        <v>-5.5667929999999997E-2</v>
      </c>
      <c r="W346">
        <v>0.30769020000000002</v>
      </c>
      <c r="X346">
        <v>0.94985679999999995</v>
      </c>
      <c r="Y346">
        <v>2.0730309999999999E-3</v>
      </c>
      <c r="Z346">
        <v>-3.1272600000000002E-3</v>
      </c>
      <c r="AA346">
        <v>0.99999300000000002</v>
      </c>
      <c r="AB346">
        <v>35</v>
      </c>
      <c r="AC346">
        <v>0.46800000000001701</v>
      </c>
      <c r="AD346">
        <v>-0.22639770000000001</v>
      </c>
      <c r="AE346">
        <v>1.9999999999527002E-3</v>
      </c>
      <c r="AF346">
        <v>1.69709424388363E-3</v>
      </c>
      <c r="AG346">
        <v>-0.22639770000000001</v>
      </c>
      <c r="AH346">
        <v>0.37924939913265798</v>
      </c>
      <c r="AI346">
        <v>120.835368362837</v>
      </c>
      <c r="AJ346">
        <v>89.743610171028195</v>
      </c>
      <c r="AK346">
        <v>0.44168869742913403</v>
      </c>
      <c r="AL346">
        <v>72.079914874016495</v>
      </c>
      <c r="AM346">
        <v>93.354077379352404</v>
      </c>
      <c r="AN346">
        <v>1.00000005905638</v>
      </c>
    </row>
    <row r="347" spans="1:40" x14ac:dyDescent="0.25">
      <c r="A347" t="str">
        <f>"20190304164830847"</f>
        <v>20190304164830847</v>
      </c>
      <c r="B347" t="str">
        <f>"1551689310836665"</f>
        <v>1551689310836665</v>
      </c>
      <c r="C347" t="s">
        <v>40</v>
      </c>
      <c r="D347">
        <v>4.8683009999999998</v>
      </c>
      <c r="E347">
        <v>0.55201060000000002</v>
      </c>
      <c r="F347" t="s">
        <v>41</v>
      </c>
      <c r="G347">
        <v>-401.36329999999998</v>
      </c>
      <c r="H347">
        <v>0.80154349999999996</v>
      </c>
      <c r="I347">
        <v>367.8098</v>
      </c>
      <c r="J347">
        <v>-401.82220000000001</v>
      </c>
      <c r="K347">
        <v>1.059882</v>
      </c>
      <c r="L347">
        <v>367.80829999999997</v>
      </c>
      <c r="M347">
        <v>0.99991629999999998</v>
      </c>
      <c r="N347">
        <v>-9.5489470000000003E-3</v>
      </c>
      <c r="O347">
        <v>8.7481799999999995E-3</v>
      </c>
      <c r="P347">
        <v>0.95221279999999997</v>
      </c>
      <c r="Q347">
        <v>0.29860189999999998</v>
      </c>
      <c r="R347">
        <v>6.4248280000000005E-2</v>
      </c>
      <c r="S347">
        <v>3.5195310000000002</v>
      </c>
      <c r="T347">
        <v>-1.1814180000000001</v>
      </c>
      <c r="U347">
        <v>2.081299E-2</v>
      </c>
      <c r="V347">
        <v>-5.590349E-2</v>
      </c>
      <c r="W347">
        <v>0.30768790000000001</v>
      </c>
      <c r="X347">
        <v>0.94984360000000001</v>
      </c>
      <c r="Y347">
        <v>2.2550600000000001E-3</v>
      </c>
      <c r="Z347">
        <v>-3.1561800000000002E-3</v>
      </c>
      <c r="AA347">
        <v>0.99999249999999995</v>
      </c>
      <c r="AB347">
        <v>35</v>
      </c>
      <c r="AC347">
        <v>0.45890000000002801</v>
      </c>
      <c r="AD347">
        <v>-0.25833849999999903</v>
      </c>
      <c r="AE347">
        <v>1.5000000000213701E-3</v>
      </c>
      <c r="AF347">
        <v>1.9096046188951199E-3</v>
      </c>
      <c r="AG347">
        <v>-0.25833849999999903</v>
      </c>
      <c r="AH347">
        <v>0.34846357169916198</v>
      </c>
      <c r="AI347">
        <v>126.55151127676</v>
      </c>
      <c r="AJ347">
        <v>89.686018284699799</v>
      </c>
      <c r="AK347">
        <v>0.43378484064497602</v>
      </c>
      <c r="AL347">
        <v>72.080051431106696</v>
      </c>
      <c r="AM347">
        <v>93.368284319921003</v>
      </c>
      <c r="AN347">
        <v>0.99999995423077404</v>
      </c>
    </row>
    <row r="348" spans="1:40" x14ac:dyDescent="0.25">
      <c r="A348" t="str">
        <f>"20190304164830866"</f>
        <v>20190304164830866</v>
      </c>
      <c r="B348" t="str">
        <f>"1551689310857161"</f>
        <v>1551689310857161</v>
      </c>
      <c r="C348" t="s">
        <v>40</v>
      </c>
      <c r="D348">
        <v>4.8647989999999997</v>
      </c>
      <c r="E348">
        <v>0.55009079999999999</v>
      </c>
      <c r="F348" t="s">
        <v>41</v>
      </c>
      <c r="G348">
        <v>-401.04820000000001</v>
      </c>
      <c r="H348">
        <v>0.79998780000000003</v>
      </c>
      <c r="I348">
        <v>367.81290000000001</v>
      </c>
      <c r="J348">
        <v>-401.51400000000001</v>
      </c>
      <c r="K348">
        <v>1.0598799999999999</v>
      </c>
      <c r="L348">
        <v>367.81099999999998</v>
      </c>
      <c r="M348">
        <v>0.99991629999999998</v>
      </c>
      <c r="N348">
        <v>-9.5445519999999996E-3</v>
      </c>
      <c r="O348">
        <v>8.7487369999999995E-3</v>
      </c>
      <c r="P348">
        <v>0.95210430000000001</v>
      </c>
      <c r="Q348">
        <v>0.29888890000000001</v>
      </c>
      <c r="R348">
        <v>6.4521099999999998E-2</v>
      </c>
      <c r="S348">
        <v>3.5196839999999998</v>
      </c>
      <c r="T348">
        <v>-1.1819010000000001</v>
      </c>
      <c r="U348">
        <v>2.2125240000000001E-2</v>
      </c>
      <c r="V348">
        <v>-5.6176660000000003E-2</v>
      </c>
      <c r="W348">
        <v>0.30796970000000001</v>
      </c>
      <c r="X348">
        <v>0.94973620000000003</v>
      </c>
      <c r="Y348">
        <v>1.902522E-3</v>
      </c>
      <c r="Z348">
        <v>-3.0981659999999999E-3</v>
      </c>
      <c r="AA348">
        <v>0.99999340000000003</v>
      </c>
      <c r="AB348">
        <v>35</v>
      </c>
      <c r="AC348">
        <v>0.46580000000000099</v>
      </c>
      <c r="AD348">
        <v>-0.25989219999999902</v>
      </c>
      <c r="AE348">
        <v>1.90000000003465E-3</v>
      </c>
      <c r="AF348">
        <v>1.6589782274411501E-3</v>
      </c>
      <c r="AG348">
        <v>-0.25989219999999902</v>
      </c>
      <c r="AH348">
        <v>0.35521886349939602</v>
      </c>
      <c r="AI348">
        <v>126.190383825556</v>
      </c>
      <c r="AJ348">
        <v>89.732413535913494</v>
      </c>
      <c r="AK348">
        <v>0.44014446357463299</v>
      </c>
      <c r="AL348">
        <v>72.063082322236298</v>
      </c>
      <c r="AM348">
        <v>93.385086989918506</v>
      </c>
      <c r="AN348">
        <v>1.0000000014186401</v>
      </c>
    </row>
    <row r="349" spans="1:40" x14ac:dyDescent="0.25">
      <c r="A349" t="str">
        <f>"20190304164830877"</f>
        <v>20190304164830877</v>
      </c>
      <c r="B349" t="str">
        <f>"1551689310866922"</f>
        <v>1551689310866922</v>
      </c>
      <c r="C349" t="s">
        <v>40</v>
      </c>
      <c r="D349">
        <v>4.8876499999999998</v>
      </c>
      <c r="E349">
        <v>0.55008069999999998</v>
      </c>
      <c r="F349" t="s">
        <v>41</v>
      </c>
      <c r="G349">
        <v>-400.73649999999998</v>
      </c>
      <c r="H349">
        <v>0.78918500000000003</v>
      </c>
      <c r="I349">
        <v>367.82060000000001</v>
      </c>
      <c r="J349">
        <v>-401.33620000000002</v>
      </c>
      <c r="K349">
        <v>1.059909</v>
      </c>
      <c r="L349">
        <v>367.81259999999997</v>
      </c>
      <c r="M349">
        <v>0.99991699999999994</v>
      </c>
      <c r="N349">
        <v>-9.6084399999999993E-3</v>
      </c>
      <c r="O349">
        <v>8.5877339999999996E-3</v>
      </c>
      <c r="P349">
        <v>0.95209659999999996</v>
      </c>
      <c r="Q349">
        <v>0.29891909999999999</v>
      </c>
      <c r="R349">
        <v>6.4493170000000002E-2</v>
      </c>
      <c r="S349">
        <v>3.534119</v>
      </c>
      <c r="T349">
        <v>-1.2304040000000001</v>
      </c>
      <c r="U349">
        <v>4.4464110000000001E-2</v>
      </c>
      <c r="V349">
        <v>-5.6309890000000001E-2</v>
      </c>
      <c r="W349">
        <v>0.30805949999999999</v>
      </c>
      <c r="X349">
        <v>0.94969919999999997</v>
      </c>
      <c r="Y349">
        <v>-4.2150599999999996E-3</v>
      </c>
      <c r="Z349">
        <v>-2.090359E-3</v>
      </c>
      <c r="AA349">
        <v>0.99998889999999996</v>
      </c>
      <c r="AB349">
        <v>35</v>
      </c>
      <c r="AC349">
        <v>0.59970000000004098</v>
      </c>
      <c r="AD349">
        <v>-0.27072400000000002</v>
      </c>
      <c r="AE349">
        <v>8.0000000000381901E-3</v>
      </c>
      <c r="AF349">
        <v>-2.3670958730146298E-3</v>
      </c>
      <c r="AG349">
        <v>-0.27072400000000002</v>
      </c>
      <c r="AH349">
        <v>0.49822980616478502</v>
      </c>
      <c r="AI349">
        <v>118.51813586776601</v>
      </c>
      <c r="AJ349">
        <v>90.272210897697093</v>
      </c>
      <c r="AK349">
        <v>0.56703617791977901</v>
      </c>
      <c r="AL349">
        <v>72.057674478034698</v>
      </c>
      <c r="AM349">
        <v>93.393228298678196</v>
      </c>
      <c r="AN349">
        <v>1.0000000148663499</v>
      </c>
    </row>
    <row r="350" spans="1:40" x14ac:dyDescent="0.25">
      <c r="A350" t="str">
        <f>"20190304164830888"</f>
        <v>20190304164830888</v>
      </c>
      <c r="B350" t="str">
        <f>"1551689310876681"</f>
        <v>1551689310876681</v>
      </c>
      <c r="C350" t="s">
        <v>40</v>
      </c>
      <c r="D350">
        <v>4.8811910000000003</v>
      </c>
      <c r="E350">
        <v>0.55027139999999997</v>
      </c>
      <c r="F350" t="s">
        <v>41</v>
      </c>
      <c r="G350">
        <v>-400.43849999999998</v>
      </c>
      <c r="H350">
        <v>0.74744739999999998</v>
      </c>
      <c r="I350">
        <v>367.8236</v>
      </c>
      <c r="J350">
        <v>-401.16309999999999</v>
      </c>
      <c r="K350">
        <v>1.0600369999999999</v>
      </c>
      <c r="L350">
        <v>367.8143</v>
      </c>
      <c r="M350">
        <v>0.99992009999999998</v>
      </c>
      <c r="N350">
        <v>-9.9094730000000002E-3</v>
      </c>
      <c r="O350">
        <v>7.8564680000000001E-3</v>
      </c>
      <c r="P350">
        <v>0.95222439999999997</v>
      </c>
      <c r="Q350">
        <v>0.29863200000000001</v>
      </c>
      <c r="R350">
        <v>6.3936019999999996E-2</v>
      </c>
      <c r="S350">
        <v>3.534027</v>
      </c>
      <c r="T350">
        <v>-1.229868</v>
      </c>
      <c r="U350">
        <v>4.4525149999999999E-2</v>
      </c>
      <c r="V350">
        <v>-5.6481179999999999E-2</v>
      </c>
      <c r="W350">
        <v>0.30805310000000002</v>
      </c>
      <c r="X350">
        <v>0.94969110000000001</v>
      </c>
      <c r="Y350">
        <v>-4.8817000000000001E-3</v>
      </c>
      <c r="Z350">
        <v>-1.7301129999999999E-3</v>
      </c>
      <c r="AA350">
        <v>0.99998659999999995</v>
      </c>
      <c r="AB350">
        <v>35</v>
      </c>
      <c r="AC350">
        <v>0.72460000000000901</v>
      </c>
      <c r="AD350">
        <v>-0.31258960000000002</v>
      </c>
      <c r="AE350">
        <v>9.2999999999960892E-3</v>
      </c>
      <c r="AF350">
        <v>-3.0408249197352698E-3</v>
      </c>
      <c r="AG350">
        <v>-0.31258960000000002</v>
      </c>
      <c r="AH350">
        <v>0.61096691278318205</v>
      </c>
      <c r="AI350">
        <v>117.09540426535899</v>
      </c>
      <c r="AJ350">
        <v>90.285162734535206</v>
      </c>
      <c r="AK350">
        <v>0.68629590787077099</v>
      </c>
      <c r="AL350">
        <v>72.058059839504196</v>
      </c>
      <c r="AM350">
        <v>93.403554949478803</v>
      </c>
      <c r="AN350">
        <v>1.0000000107664999</v>
      </c>
    </row>
    <row r="351" spans="1:40" x14ac:dyDescent="0.25">
      <c r="A351" t="str">
        <f>"20190304164830900"</f>
        <v>20190304164830900</v>
      </c>
      <c r="B351" t="str">
        <f>"1551689310897177"</f>
        <v>1551689310897177</v>
      </c>
      <c r="C351" t="s">
        <v>40</v>
      </c>
      <c r="D351">
        <v>4.891832</v>
      </c>
      <c r="E351">
        <v>0.55031569999999996</v>
      </c>
      <c r="F351" t="s">
        <v>41</v>
      </c>
      <c r="G351">
        <v>-400.41660000000002</v>
      </c>
      <c r="H351">
        <v>0.80058940000000001</v>
      </c>
      <c r="I351">
        <v>367.82249999999999</v>
      </c>
      <c r="J351">
        <v>-400.99110000000002</v>
      </c>
      <c r="K351">
        <v>1.060163</v>
      </c>
      <c r="L351">
        <v>367.81599999999997</v>
      </c>
      <c r="M351">
        <v>0.99992060000000005</v>
      </c>
      <c r="N351">
        <v>-1.0360629999999999E-2</v>
      </c>
      <c r="O351">
        <v>7.1901019999999899E-3</v>
      </c>
      <c r="P351">
        <v>0.95228389999999996</v>
      </c>
      <c r="Q351">
        <v>0.29855310000000002</v>
      </c>
      <c r="R351">
        <v>6.3414810000000002E-2</v>
      </c>
      <c r="S351">
        <v>3.5328059999999999</v>
      </c>
      <c r="T351">
        <v>-1.227679</v>
      </c>
      <c r="U351">
        <v>4.0771479999999999E-2</v>
      </c>
      <c r="V351">
        <v>-5.6574010000000001E-2</v>
      </c>
      <c r="W351">
        <v>0.30840610000000002</v>
      </c>
      <c r="X351">
        <v>0.94957100000000005</v>
      </c>
      <c r="Y351">
        <v>-4.4758559999999899E-3</v>
      </c>
      <c r="Z351">
        <v>-1.5754880000000001E-3</v>
      </c>
      <c r="AA351">
        <v>0.99998869999999895</v>
      </c>
      <c r="AB351">
        <v>35</v>
      </c>
      <c r="AC351">
        <v>0.57450000000000001</v>
      </c>
      <c r="AD351">
        <v>-0.25957360000000002</v>
      </c>
      <c r="AE351">
        <v>6.5000000000168196E-3</v>
      </c>
      <c r="AF351">
        <v>-1.96732660937084E-3</v>
      </c>
      <c r="AG351">
        <v>-0.25957360000000002</v>
      </c>
      <c r="AH351">
        <v>0.47713842947048402</v>
      </c>
      <c r="AI351">
        <v>118.546940158651</v>
      </c>
      <c r="AJ351">
        <v>90.236239350928102</v>
      </c>
      <c r="AK351">
        <v>0.54317898069467696</v>
      </c>
      <c r="AL351">
        <v>72.036799329736198</v>
      </c>
      <c r="AM351">
        <v>93.409565865014798</v>
      </c>
      <c r="AN351">
        <v>1.0000000125828401</v>
      </c>
    </row>
    <row r="352" spans="1:40" x14ac:dyDescent="0.25">
      <c r="A352" t="str">
        <f>"20190304164830910"</f>
        <v>20190304164830910</v>
      </c>
      <c r="B352" t="str">
        <f>"1551689310906937"</f>
        <v>1551689310906937</v>
      </c>
      <c r="C352" t="s">
        <v>40</v>
      </c>
      <c r="D352">
        <v>4.868379</v>
      </c>
      <c r="E352">
        <v>0.55045239999999995</v>
      </c>
      <c r="F352" t="s">
        <v>41</v>
      </c>
      <c r="G352">
        <v>-400.12270000000001</v>
      </c>
      <c r="H352">
        <v>0.75857089999999905</v>
      </c>
      <c r="I352">
        <v>367.82499999999999</v>
      </c>
      <c r="J352">
        <v>-400.80919999999998</v>
      </c>
      <c r="K352">
        <v>1.0603009999999999</v>
      </c>
      <c r="L352">
        <v>367.81779999999998</v>
      </c>
      <c r="M352">
        <v>0.99991699999999994</v>
      </c>
      <c r="N352">
        <v>-1.108234E-2</v>
      </c>
      <c r="O352">
        <v>6.5821330000000004E-3</v>
      </c>
      <c r="P352">
        <v>0.95249969999999995</v>
      </c>
      <c r="Q352">
        <v>0.29791200000000001</v>
      </c>
      <c r="R352">
        <v>6.3189460000000003E-2</v>
      </c>
      <c r="S352">
        <v>3.5324399999999998</v>
      </c>
      <c r="T352">
        <v>-1.2268110000000001</v>
      </c>
      <c r="U352">
        <v>3.7750239999999997E-2</v>
      </c>
      <c r="V352">
        <v>-5.6818140000000003E-2</v>
      </c>
      <c r="W352">
        <v>0.30847229999999998</v>
      </c>
      <c r="X352">
        <v>0.94953500000000002</v>
      </c>
      <c r="Y352">
        <v>-4.2101179999999997E-3</v>
      </c>
      <c r="Z352">
        <v>-1.415602E-3</v>
      </c>
      <c r="AA352">
        <v>0.99999020000000005</v>
      </c>
      <c r="AB352">
        <v>35</v>
      </c>
      <c r="AC352">
        <v>0.68649999999996603</v>
      </c>
      <c r="AD352">
        <v>-0.3017301</v>
      </c>
      <c r="AE352">
        <v>7.2000000000116398E-3</v>
      </c>
      <c r="AF352">
        <v>-2.24692522653201E-3</v>
      </c>
      <c r="AG352">
        <v>-0.3017301</v>
      </c>
      <c r="AH352">
        <v>0.575392040347525</v>
      </c>
      <c r="AI352">
        <v>117.671908515204</v>
      </c>
      <c r="AJ352">
        <v>90.223740804435906</v>
      </c>
      <c r="AK352">
        <v>0.64970924421180198</v>
      </c>
      <c r="AL352">
        <v>72.032813351982995</v>
      </c>
      <c r="AM352">
        <v>93.424373514913995</v>
      </c>
      <c r="AN352">
        <v>1.0000000885626701</v>
      </c>
    </row>
    <row r="353" spans="1:40" x14ac:dyDescent="0.25">
      <c r="A353" t="str">
        <f>"20190304164830922"</f>
        <v>20190304164830922</v>
      </c>
      <c r="B353" t="str">
        <f>"1551689310916697"</f>
        <v>1551689310916697</v>
      </c>
      <c r="C353" t="s">
        <v>40</v>
      </c>
      <c r="D353">
        <v>4.8974929999999999</v>
      </c>
      <c r="E353">
        <v>0.55052819999999902</v>
      </c>
      <c r="F353" t="s">
        <v>41</v>
      </c>
      <c r="G353">
        <v>-400.09969999999998</v>
      </c>
      <c r="H353">
        <v>0.81374230000000003</v>
      </c>
      <c r="I353">
        <v>367.82440000000003</v>
      </c>
      <c r="J353">
        <v>-400.63479999999998</v>
      </c>
      <c r="K353">
        <v>1.060362</v>
      </c>
      <c r="L353">
        <v>367.81939999999997</v>
      </c>
      <c r="M353">
        <v>0.99991099999999999</v>
      </c>
      <c r="N353">
        <v>-1.1549769999999999E-2</v>
      </c>
      <c r="O353">
        <v>6.6895069999999999E-3</v>
      </c>
      <c r="P353">
        <v>0.95249450000000002</v>
      </c>
      <c r="Q353">
        <v>0.29788979999999998</v>
      </c>
      <c r="R353">
        <v>6.3372070000000003E-2</v>
      </c>
      <c r="S353">
        <v>3.5310670000000002</v>
      </c>
      <c r="T353">
        <v>-1.2269950000000001</v>
      </c>
      <c r="U353">
        <v>3.4393310000000003E-2</v>
      </c>
      <c r="V353">
        <v>-5.6703330000000003E-2</v>
      </c>
      <c r="W353">
        <v>0.30892989999999998</v>
      </c>
      <c r="X353">
        <v>0.94939300000000004</v>
      </c>
      <c r="Y353">
        <v>-3.2209880000000001E-3</v>
      </c>
      <c r="Z353">
        <v>-1.6202460000000001E-3</v>
      </c>
      <c r="AA353">
        <v>0.99999349999999998</v>
      </c>
      <c r="AB353">
        <v>35</v>
      </c>
      <c r="AC353">
        <v>0.53509999999999902</v>
      </c>
      <c r="AD353">
        <v>-0.2466197</v>
      </c>
      <c r="AE353">
        <v>5.0000000000522899E-3</v>
      </c>
      <c r="AF353">
        <v>-1.17131170579154E-3</v>
      </c>
      <c r="AG353">
        <v>-0.2466197</v>
      </c>
      <c r="AH353">
        <v>0.44137491209913898</v>
      </c>
      <c r="AI353">
        <v>119.19433487105999</v>
      </c>
      <c r="AJ353">
        <v>90.152050009759293</v>
      </c>
      <c r="AK353">
        <v>0.50560306706914304</v>
      </c>
      <c r="AL353">
        <v>72.005247044387701</v>
      </c>
      <c r="AM353">
        <v>93.417980382002895</v>
      </c>
      <c r="AN353">
        <v>1.0000000095980399</v>
      </c>
    </row>
    <row r="354" spans="1:40" x14ac:dyDescent="0.25">
      <c r="A354" t="str">
        <f>"20190304164830934"</f>
        <v>20190304164830934</v>
      </c>
      <c r="B354" t="str">
        <f>"1551689310926457"</f>
        <v>1551689310926457</v>
      </c>
      <c r="C354" t="s">
        <v>40</v>
      </c>
      <c r="D354">
        <v>4.8838800000000004</v>
      </c>
      <c r="E354">
        <v>0.55046240000000002</v>
      </c>
      <c r="F354" t="s">
        <v>41</v>
      </c>
      <c r="G354">
        <v>-399.8073</v>
      </c>
      <c r="H354">
        <v>0.77316319999999905</v>
      </c>
      <c r="I354">
        <v>367.82679999999999</v>
      </c>
      <c r="J354">
        <v>-400.44299999999998</v>
      </c>
      <c r="K354">
        <v>1.0603910000000001</v>
      </c>
      <c r="L354">
        <v>367.8211</v>
      </c>
      <c r="M354">
        <v>0.99990290000000004</v>
      </c>
      <c r="N354">
        <v>-1.193022E-2</v>
      </c>
      <c r="O354">
        <v>7.218309E-3</v>
      </c>
      <c r="P354">
        <v>0.95236050000000005</v>
      </c>
      <c r="Q354">
        <v>0.29816569999999998</v>
      </c>
      <c r="R354">
        <v>6.4085900000000001E-2</v>
      </c>
      <c r="S354">
        <v>3.5306700000000002</v>
      </c>
      <c r="T354">
        <v>-1.2254969999999901</v>
      </c>
      <c r="U354">
        <v>3.3172609999999998E-2</v>
      </c>
      <c r="V354">
        <v>-5.664433E-2</v>
      </c>
      <c r="W354">
        <v>0.309616</v>
      </c>
      <c r="X354">
        <v>0.94917300000000004</v>
      </c>
      <c r="Y354">
        <v>-2.4232770000000002E-3</v>
      </c>
      <c r="Z354">
        <v>-1.9269280000000001E-3</v>
      </c>
      <c r="AA354">
        <v>0.99999519999999997</v>
      </c>
      <c r="AB354">
        <v>35</v>
      </c>
      <c r="AC354">
        <v>0.63570000000004201</v>
      </c>
      <c r="AD354">
        <v>-0.28722779999999998</v>
      </c>
      <c r="AE354">
        <v>5.6999999999902597E-3</v>
      </c>
      <c r="AF354">
        <v>-9.2252786994651004E-4</v>
      </c>
      <c r="AG354">
        <v>-0.28722779999999998</v>
      </c>
      <c r="AH354">
        <v>0.52795205121483602</v>
      </c>
      <c r="AI354">
        <v>118.54798660672</v>
      </c>
      <c r="AJ354">
        <v>90.100116856281701</v>
      </c>
      <c r="AK354">
        <v>0.601027477352295</v>
      </c>
      <c r="AL354">
        <v>71.963909895086502</v>
      </c>
      <c r="AM354">
        <v>93.415221907258498</v>
      </c>
      <c r="AN354">
        <v>1.00000001575307</v>
      </c>
    </row>
    <row r="355" spans="1:40" x14ac:dyDescent="0.25">
      <c r="A355" t="str">
        <f>"20190304164830946"</f>
        <v>20190304164830946</v>
      </c>
      <c r="B355" t="str">
        <f>"1551689310937193"</f>
        <v>1551689310937193</v>
      </c>
      <c r="C355" t="s">
        <v>40</v>
      </c>
      <c r="D355">
        <v>4.8789360000000004</v>
      </c>
      <c r="E355">
        <v>0.55041280000000004</v>
      </c>
      <c r="F355" t="s">
        <v>41</v>
      </c>
      <c r="G355">
        <v>-399.7826</v>
      </c>
      <c r="H355">
        <v>0.83114599999999905</v>
      </c>
      <c r="I355">
        <v>367.82709999999997</v>
      </c>
      <c r="J355">
        <v>-400.26060000000001</v>
      </c>
      <c r="K355">
        <v>1.0605340000000001</v>
      </c>
      <c r="L355">
        <v>367.82249999999999</v>
      </c>
      <c r="M355">
        <v>0.99990319999999999</v>
      </c>
      <c r="N355">
        <v>-1.139833E-2</v>
      </c>
      <c r="O355">
        <v>7.9849819999999998E-3</v>
      </c>
      <c r="P355">
        <v>0.9520518</v>
      </c>
      <c r="Q355">
        <v>0.29895110000000003</v>
      </c>
      <c r="R355">
        <v>6.500454E-2</v>
      </c>
      <c r="S355">
        <v>3.5316160000000001</v>
      </c>
      <c r="T355">
        <v>-1.2260340000000001</v>
      </c>
      <c r="U355">
        <v>3.4576419999999997E-2</v>
      </c>
      <c r="V355">
        <v>-5.6692729999999997E-2</v>
      </c>
      <c r="W355">
        <v>0.30991970000000002</v>
      </c>
      <c r="X355">
        <v>0.949071</v>
      </c>
      <c r="Y355">
        <v>-2.113813E-3</v>
      </c>
      <c r="Z355">
        <v>-2.2357280000000002E-3</v>
      </c>
      <c r="AA355">
        <v>0.99999530000000003</v>
      </c>
      <c r="AB355">
        <v>35</v>
      </c>
      <c r="AC355">
        <v>0.47800000000000797</v>
      </c>
      <c r="AD355">
        <v>-0.22938800000000001</v>
      </c>
      <c r="AE355">
        <v>4.5999999999821696E-3</v>
      </c>
      <c r="AF355">
        <v>-6.3626800265654095E-4</v>
      </c>
      <c r="AG355">
        <v>-0.22938800000000001</v>
      </c>
      <c r="AH355">
        <v>0.38854872570765397</v>
      </c>
      <c r="AI355">
        <v>120.556347541934</v>
      </c>
      <c r="AJ355">
        <v>90.093824625313403</v>
      </c>
      <c r="AK355">
        <v>0.45120878939800502</v>
      </c>
      <c r="AL355">
        <v>71.945609150497404</v>
      </c>
      <c r="AM355">
        <v>93.418499630465504</v>
      </c>
      <c r="AN355">
        <v>1.00000002456197</v>
      </c>
    </row>
    <row r="356" spans="1:40" x14ac:dyDescent="0.25">
      <c r="A356" t="str">
        <f>"20190304164830958"</f>
        <v>20190304164830958</v>
      </c>
      <c r="B356" t="str">
        <f>"1551689310946953"</f>
        <v>1551689310946953</v>
      </c>
      <c r="C356" t="s">
        <v>40</v>
      </c>
      <c r="D356">
        <v>5.1378050000000002</v>
      </c>
      <c r="E356">
        <v>0.550481</v>
      </c>
      <c r="F356" t="s">
        <v>41</v>
      </c>
      <c r="G356">
        <v>-399.48719999999997</v>
      </c>
      <c r="H356">
        <v>0.79257299999999997</v>
      </c>
      <c r="I356">
        <v>367.83080000000001</v>
      </c>
      <c r="J356">
        <v>-400.08539999999999</v>
      </c>
      <c r="K356">
        <v>1.060775</v>
      </c>
      <c r="L356">
        <v>367.82389999999998</v>
      </c>
      <c r="M356">
        <v>0.9999053</v>
      </c>
      <c r="N356">
        <v>-1.076039E-2</v>
      </c>
      <c r="O356">
        <v>8.5943080000000002E-3</v>
      </c>
      <c r="P356">
        <v>0.95171209999999995</v>
      </c>
      <c r="Q356">
        <v>0.2999423</v>
      </c>
      <c r="R356">
        <v>6.5413189999999996E-2</v>
      </c>
      <c r="S356">
        <v>3.532867</v>
      </c>
      <c r="T356">
        <v>-1.2240719999999901</v>
      </c>
      <c r="U356">
        <v>3.8299560000000003E-2</v>
      </c>
      <c r="V356">
        <v>-5.6449760000000002E-2</v>
      </c>
      <c r="W356">
        <v>0.3103146</v>
      </c>
      <c r="X356">
        <v>0.94895640000000003</v>
      </c>
      <c r="Y356">
        <v>-2.5617940000000001E-3</v>
      </c>
      <c r="Z356">
        <v>-2.3579019999999998E-3</v>
      </c>
      <c r="AA356">
        <v>0.99999389999999999</v>
      </c>
      <c r="AB356">
        <v>35</v>
      </c>
      <c r="AC356">
        <v>0.59820000000001905</v>
      </c>
      <c r="AD356">
        <v>-0.268202</v>
      </c>
      <c r="AE356">
        <v>6.9000000000300999E-3</v>
      </c>
      <c r="AF356">
        <v>-1.46407029902179E-3</v>
      </c>
      <c r="AG356">
        <v>-0.268202</v>
      </c>
      <c r="AH356">
        <v>0.49812025448715402</v>
      </c>
      <c r="AI356">
        <v>118.299172347672</v>
      </c>
      <c r="AJ356">
        <v>90.168402723505906</v>
      </c>
      <c r="AK356">
        <v>0.56573690372485697</v>
      </c>
      <c r="AL356">
        <v>71.921809006459199</v>
      </c>
      <c r="AM356">
        <v>93.404293470768195</v>
      </c>
      <c r="AN356">
        <v>0.99999998773908805</v>
      </c>
    </row>
    <row r="357" spans="1:40" x14ac:dyDescent="0.25">
      <c r="A357" t="str">
        <f>"20190304164830969"</f>
        <v>20190304164830969</v>
      </c>
      <c r="B357" t="str">
        <f>"1551689310966472"</f>
        <v>1551689310966472</v>
      </c>
      <c r="C357" t="s">
        <v>40</v>
      </c>
      <c r="D357">
        <v>4.8841679999999998</v>
      </c>
      <c r="E357">
        <v>0.55038989999999999</v>
      </c>
      <c r="F357" t="s">
        <v>41</v>
      </c>
      <c r="G357">
        <v>-399.18939999999998</v>
      </c>
      <c r="H357">
        <v>0.75151369999999995</v>
      </c>
      <c r="I357">
        <v>367.83350000000002</v>
      </c>
      <c r="J357">
        <v>-399.8947</v>
      </c>
      <c r="K357">
        <v>1.0613900000000001</v>
      </c>
      <c r="L357">
        <v>367.82560000000001</v>
      </c>
      <c r="M357">
        <v>0.99991470000000005</v>
      </c>
      <c r="N357">
        <v>-9.688505E-3</v>
      </c>
      <c r="O357">
        <v>8.7809099999999994E-3</v>
      </c>
      <c r="P357">
        <v>0.95133719999999999</v>
      </c>
      <c r="Q357">
        <v>0.30119439999999997</v>
      </c>
      <c r="R357">
        <v>6.5112840000000005E-2</v>
      </c>
      <c r="S357">
        <v>3.5339049999999999</v>
      </c>
      <c r="T357">
        <v>-1.2196549999999999</v>
      </c>
      <c r="U357">
        <v>3.9642330000000003E-2</v>
      </c>
      <c r="V357">
        <v>-5.6111870000000001E-2</v>
      </c>
      <c r="W357">
        <v>0.3105195</v>
      </c>
      <c r="X357">
        <v>0.94890949999999996</v>
      </c>
      <c r="Y357">
        <v>-2.7518429999999999E-3</v>
      </c>
      <c r="Z357">
        <v>-2.3871930000000001E-3</v>
      </c>
      <c r="AA357">
        <v>0.99999340000000003</v>
      </c>
      <c r="AB357">
        <v>35</v>
      </c>
      <c r="AC357">
        <v>0.70530000000002202</v>
      </c>
      <c r="AD357">
        <v>-0.30987629999999999</v>
      </c>
      <c r="AE357">
        <v>7.9000000000064505E-3</v>
      </c>
      <c r="AF357">
        <v>-1.4301920840532299E-3</v>
      </c>
      <c r="AG357">
        <v>-0.30987629999999999</v>
      </c>
      <c r="AH357">
        <v>0.59123023373765804</v>
      </c>
      <c r="AI357">
        <v>117.65991758972601</v>
      </c>
      <c r="AJ357">
        <v>90.138598816161704</v>
      </c>
      <c r="AK357">
        <v>0.66751670843250999</v>
      </c>
      <c r="AL357">
        <v>71.9094605666494</v>
      </c>
      <c r="AM357">
        <v>93.384130831249195</v>
      </c>
      <c r="AN357">
        <v>1.0000000705126899</v>
      </c>
    </row>
    <row r="358" spans="1:40" x14ac:dyDescent="0.25">
      <c r="A358" t="str">
        <f>"20190304164830981"</f>
        <v>20190304164830981</v>
      </c>
      <c r="B358" t="str">
        <f>"1551689310977209"</f>
        <v>1551689310977209</v>
      </c>
      <c r="C358" t="s">
        <v>40</v>
      </c>
      <c r="D358">
        <v>4.893357</v>
      </c>
      <c r="E358">
        <v>0.55034079999999996</v>
      </c>
      <c r="F358" t="s">
        <v>41</v>
      </c>
      <c r="G358">
        <v>-399.1651</v>
      </c>
      <c r="H358">
        <v>0.81028149999999999</v>
      </c>
      <c r="I358">
        <v>367.83370000000002</v>
      </c>
      <c r="J358">
        <v>-399.72329999999999</v>
      </c>
      <c r="K358">
        <v>1.062011</v>
      </c>
      <c r="L358">
        <v>367.82709999999997</v>
      </c>
      <c r="M358">
        <v>0.99992329999999996</v>
      </c>
      <c r="N358">
        <v>-8.7030949999999992E-3</v>
      </c>
      <c r="O358">
        <v>8.8232869999999904E-3</v>
      </c>
      <c r="P358">
        <v>0.95093539999999999</v>
      </c>
      <c r="Q358">
        <v>0.30251289999999997</v>
      </c>
      <c r="R358">
        <v>6.48701E-2</v>
      </c>
      <c r="S358">
        <v>3.5358890000000001</v>
      </c>
      <c r="T358">
        <v>-1.2169380000000001</v>
      </c>
      <c r="U358">
        <v>4.1564940000000002E-2</v>
      </c>
      <c r="V358">
        <v>-5.5944309999999997E-2</v>
      </c>
      <c r="W358">
        <v>0.3108784</v>
      </c>
      <c r="X358">
        <v>0.94880180000000003</v>
      </c>
      <c r="Y358">
        <v>-3.2228909999999999E-3</v>
      </c>
      <c r="Z358">
        <v>-2.3233680000000001E-3</v>
      </c>
      <c r="AA358">
        <v>0.99999210000000005</v>
      </c>
      <c r="AB358">
        <v>35</v>
      </c>
      <c r="AC358">
        <v>0.55819999999999903</v>
      </c>
      <c r="AD358">
        <v>-0.25172949999999999</v>
      </c>
      <c r="AE358">
        <v>6.6000000000485601E-3</v>
      </c>
      <c r="AF358">
        <v>-1.3914562337173501E-3</v>
      </c>
      <c r="AG358">
        <v>-0.25172949999999999</v>
      </c>
      <c r="AH358">
        <v>0.463904975053962</v>
      </c>
      <c r="AI358">
        <v>118.485548498596</v>
      </c>
      <c r="AJ358">
        <v>90.171854872813896</v>
      </c>
      <c r="AK358">
        <v>0.52780441756441998</v>
      </c>
      <c r="AL358">
        <v>71.887825091577994</v>
      </c>
      <c r="AM358">
        <v>93.374430706420895</v>
      </c>
      <c r="AN358">
        <v>1.00000000054558</v>
      </c>
    </row>
    <row r="359" spans="1:40" x14ac:dyDescent="0.25">
      <c r="A359" t="str">
        <f>"20190304164830992"</f>
        <v>20190304164830992</v>
      </c>
      <c r="B359" t="str">
        <f>"1551689310986969"</f>
        <v>1551689310986969</v>
      </c>
      <c r="C359" t="s">
        <v>40</v>
      </c>
      <c r="D359">
        <v>4.8891559999999998</v>
      </c>
      <c r="E359">
        <v>0.55030999999999997</v>
      </c>
      <c r="F359" t="s">
        <v>41</v>
      </c>
      <c r="G359">
        <v>-398.86669999999998</v>
      </c>
      <c r="H359">
        <v>0.76831499999999997</v>
      </c>
      <c r="I359">
        <v>367.83690000000001</v>
      </c>
      <c r="J359">
        <v>-399.5367</v>
      </c>
      <c r="K359">
        <v>1.0627519999999999</v>
      </c>
      <c r="L359">
        <v>367.82889999999998</v>
      </c>
      <c r="M359">
        <v>0.99993290000000001</v>
      </c>
      <c r="N359">
        <v>-7.6068609999999899E-3</v>
      </c>
      <c r="O359">
        <v>8.7397729999999993E-3</v>
      </c>
      <c r="P359">
        <v>0.95054919999999998</v>
      </c>
      <c r="Q359">
        <v>0.30381529999999901</v>
      </c>
      <c r="R359">
        <v>6.4440830000000004E-2</v>
      </c>
      <c r="S359">
        <v>3.5378419999999999</v>
      </c>
      <c r="T359">
        <v>-1.212988</v>
      </c>
      <c r="U359">
        <v>4.1015629999999997E-2</v>
      </c>
      <c r="V359">
        <v>-5.5709010000000003E-2</v>
      </c>
      <c r="W359">
        <v>0.31111680000000003</v>
      </c>
      <c r="X359">
        <v>0.94873750000000001</v>
      </c>
      <c r="Y359">
        <v>-3.1461850000000001E-3</v>
      </c>
      <c r="Z359">
        <v>-2.311797E-3</v>
      </c>
      <c r="AA359">
        <v>0.9999924</v>
      </c>
      <c r="AB359">
        <v>35</v>
      </c>
      <c r="AC359">
        <v>0.67000000000001503</v>
      </c>
      <c r="AD359">
        <v>-0.294437</v>
      </c>
      <c r="AE359">
        <v>8.0000000000381901E-3</v>
      </c>
      <c r="AF359">
        <v>-1.7969025828757301E-3</v>
      </c>
      <c r="AG359">
        <v>-0.294437</v>
      </c>
      <c r="AH359">
        <v>0.56160136040516695</v>
      </c>
      <c r="AI359">
        <v>117.667054322985</v>
      </c>
      <c r="AJ359">
        <v>90.183323243358998</v>
      </c>
      <c r="AK359">
        <v>0.63410761218962397</v>
      </c>
      <c r="AL359">
        <v>71.873453078263907</v>
      </c>
      <c r="AM359">
        <v>93.360497766121</v>
      </c>
      <c r="AN359">
        <v>1.0000000004718299</v>
      </c>
    </row>
    <row r="360" spans="1:40" x14ac:dyDescent="0.25">
      <c r="A360" t="str">
        <f>"20190304164831003"</f>
        <v>20190304164831003</v>
      </c>
      <c r="B360" t="str">
        <f>"1551689310996729"</f>
        <v>1551689310996729</v>
      </c>
      <c r="C360" t="s">
        <v>40</v>
      </c>
      <c r="D360">
        <v>4.8783070000000004</v>
      </c>
      <c r="E360">
        <v>0.55027499999999996</v>
      </c>
      <c r="F360" t="s">
        <v>41</v>
      </c>
      <c r="G360">
        <v>-398.84280000000001</v>
      </c>
      <c r="H360">
        <v>0.82575569999999898</v>
      </c>
      <c r="I360">
        <v>367.83690000000001</v>
      </c>
      <c r="J360">
        <v>-399.35899999999998</v>
      </c>
      <c r="K360">
        <v>1.0635209999999999</v>
      </c>
      <c r="L360">
        <v>367.8306</v>
      </c>
      <c r="M360">
        <v>0.99994150000000004</v>
      </c>
      <c r="N360">
        <v>-6.6234719999999896E-3</v>
      </c>
      <c r="O360">
        <v>8.5594050000000008E-3</v>
      </c>
      <c r="P360">
        <v>0.95015300000000003</v>
      </c>
      <c r="Q360">
        <v>0.30509199999999997</v>
      </c>
      <c r="R360">
        <v>6.425053E-2</v>
      </c>
      <c r="S360">
        <v>3.5396730000000001</v>
      </c>
      <c r="T360">
        <v>-1.208907</v>
      </c>
      <c r="U360">
        <v>4.1259770000000001E-2</v>
      </c>
      <c r="V360">
        <v>-5.5766499999999997E-2</v>
      </c>
      <c r="W360">
        <v>0.31144440000000001</v>
      </c>
      <c r="X360">
        <v>0.94862659999999999</v>
      </c>
      <c r="Y360">
        <v>-3.367952E-3</v>
      </c>
      <c r="Z360">
        <v>-2.2166579999999998E-3</v>
      </c>
      <c r="AA360">
        <v>0.99999190000000004</v>
      </c>
      <c r="AB360">
        <v>35</v>
      </c>
      <c r="AC360">
        <v>0.51620000000002597</v>
      </c>
      <c r="AD360">
        <v>-0.23776530000000001</v>
      </c>
      <c r="AE360">
        <v>6.3000000000101803E-3</v>
      </c>
      <c r="AF360">
        <v>-1.5520712689766499E-3</v>
      </c>
      <c r="AG360">
        <v>-0.23776530000000001</v>
      </c>
      <c r="AH360">
        <v>0.425891800250562</v>
      </c>
      <c r="AI360">
        <v>119.173426054373</v>
      </c>
      <c r="AJ360">
        <v>90.208801248325798</v>
      </c>
      <c r="AK360">
        <v>0.487768974341315</v>
      </c>
      <c r="AL360">
        <v>71.853701149723904</v>
      </c>
      <c r="AM360">
        <v>93.364350100430201</v>
      </c>
      <c r="AN360">
        <v>0.99999997152058395</v>
      </c>
    </row>
    <row r="361" spans="1:40" x14ac:dyDescent="0.25">
      <c r="A361" t="str">
        <f>"20190304164831016"</f>
        <v>20190304164831016</v>
      </c>
      <c r="B361" t="str">
        <f>"1551689311006490"</f>
        <v>1551689311006490</v>
      </c>
      <c r="C361" t="s">
        <v>40</v>
      </c>
      <c r="D361">
        <v>4.881437</v>
      </c>
      <c r="E361">
        <v>0.55029669999999997</v>
      </c>
      <c r="F361" t="s">
        <v>41</v>
      </c>
      <c r="G361">
        <v>-398.54309999999998</v>
      </c>
      <c r="H361">
        <v>0.78597260000000002</v>
      </c>
      <c r="I361">
        <v>367.83949999999999</v>
      </c>
      <c r="J361">
        <v>-399.17180000000002</v>
      </c>
      <c r="K361">
        <v>1.064354</v>
      </c>
      <c r="L361">
        <v>367.83249999999998</v>
      </c>
      <c r="M361">
        <v>0.99994959999999999</v>
      </c>
      <c r="N361">
        <v>-5.6096230000000002E-3</v>
      </c>
      <c r="O361">
        <v>8.3374729999999998E-3</v>
      </c>
      <c r="P361">
        <v>0.94980949999999997</v>
      </c>
      <c r="Q361">
        <v>0.30626409999999998</v>
      </c>
      <c r="R361">
        <v>6.3752519999999993E-2</v>
      </c>
      <c r="S361">
        <v>3.5414119999999998</v>
      </c>
      <c r="T361">
        <v>-1.2045870000000001</v>
      </c>
      <c r="U361">
        <v>4.1168209999999997E-2</v>
      </c>
      <c r="V361">
        <v>-5.5547409999999998E-2</v>
      </c>
      <c r="W361">
        <v>0.311641</v>
      </c>
      <c r="X361">
        <v>0.9485749</v>
      </c>
      <c r="Y361">
        <v>-3.5377630000000002E-3</v>
      </c>
      <c r="Z361">
        <v>-2.1172890000000001E-3</v>
      </c>
      <c r="AA361">
        <v>0.99999150000000003</v>
      </c>
      <c r="AB361">
        <v>35</v>
      </c>
      <c r="AC361">
        <v>0.62870000000003701</v>
      </c>
      <c r="AD361">
        <v>-0.2783814</v>
      </c>
      <c r="AE361">
        <v>7.0000000000049996E-3</v>
      </c>
      <c r="AF361">
        <v>-1.4697742158885901E-3</v>
      </c>
      <c r="AG361">
        <v>-0.2783814</v>
      </c>
      <c r="AH361">
        <v>0.52568283831649298</v>
      </c>
      <c r="AI361">
        <v>117.90387969592101</v>
      </c>
      <c r="AJ361">
        <v>90.160194767330395</v>
      </c>
      <c r="AK361">
        <v>0.59484519885655096</v>
      </c>
      <c r="AL361">
        <v>71.841847075060301</v>
      </c>
      <c r="AM361">
        <v>93.351344983396899</v>
      </c>
      <c r="AN361">
        <v>0.99999998427435799</v>
      </c>
    </row>
    <row r="362" spans="1:40" x14ac:dyDescent="0.25">
      <c r="A362" t="str">
        <f>"20190304164831027"</f>
        <v>20190304164831027</v>
      </c>
      <c r="B362" t="str">
        <f>"1551689311017226"</f>
        <v>1551689311017226</v>
      </c>
      <c r="C362" t="s">
        <v>40</v>
      </c>
      <c r="D362">
        <v>4.9514889999999996</v>
      </c>
      <c r="E362">
        <v>0.55030290000000004</v>
      </c>
      <c r="F362" t="s">
        <v>41</v>
      </c>
      <c r="G362">
        <v>-398.24090000000001</v>
      </c>
      <c r="H362">
        <v>0.7491063</v>
      </c>
      <c r="I362">
        <v>367.84249999999997</v>
      </c>
      <c r="J362">
        <v>-398.97089999999997</v>
      </c>
      <c r="K362">
        <v>1.065264</v>
      </c>
      <c r="L362">
        <v>367.83440000000002</v>
      </c>
      <c r="M362">
        <v>0.99995639999999997</v>
      </c>
      <c r="N362">
        <v>-4.6066479999999996E-3</v>
      </c>
      <c r="O362">
        <v>8.1169160000000001E-3</v>
      </c>
      <c r="P362">
        <v>0.94947420000000005</v>
      </c>
      <c r="Q362">
        <v>0.3073611</v>
      </c>
      <c r="R362">
        <v>6.3467229999999999E-2</v>
      </c>
      <c r="S362">
        <v>3.542786</v>
      </c>
      <c r="T362">
        <v>-1.199773</v>
      </c>
      <c r="U362">
        <v>3.8665770000000002E-2</v>
      </c>
      <c r="V362">
        <v>-5.549225E-2</v>
      </c>
      <c r="W362">
        <v>0.31178149999999999</v>
      </c>
      <c r="X362">
        <v>0.94853200000000004</v>
      </c>
      <c r="Y362">
        <v>-3.063587E-3</v>
      </c>
      <c r="Z362">
        <v>-2.1257989999999998E-3</v>
      </c>
      <c r="AA362">
        <v>0.99999300000000002</v>
      </c>
      <c r="AB362">
        <v>36</v>
      </c>
      <c r="AC362">
        <v>0.72999999999996101</v>
      </c>
      <c r="AD362">
        <v>-0.31615769999999999</v>
      </c>
      <c r="AE362">
        <v>8.0999999999562498E-3</v>
      </c>
      <c r="AF362">
        <v>-1.8309361566685E-3</v>
      </c>
      <c r="AG362">
        <v>-0.31615769999999999</v>
      </c>
      <c r="AH362">
        <v>0.61474802423326502</v>
      </c>
      <c r="AI362">
        <v>117.216124161935</v>
      </c>
      <c r="AJ362">
        <v>90.170646508833002</v>
      </c>
      <c r="AK362">
        <v>0.69128443993424504</v>
      </c>
      <c r="AL362">
        <v>71.833375660362407</v>
      </c>
      <c r="AM362">
        <v>93.348175665525801</v>
      </c>
      <c r="AN362">
        <v>1.0000000242881499</v>
      </c>
    </row>
    <row r="363" spans="1:40" x14ac:dyDescent="0.25">
      <c r="A363" t="str">
        <f>"20190304164831047"</f>
        <v>20190304164831047</v>
      </c>
      <c r="B363" t="str">
        <f>"1551689311036745"</f>
        <v>1551689311036745</v>
      </c>
      <c r="C363" t="s">
        <v>40</v>
      </c>
      <c r="D363">
        <v>5.0015660000000004</v>
      </c>
      <c r="E363">
        <v>0.54785530000000005</v>
      </c>
      <c r="F363" t="s">
        <v>41</v>
      </c>
      <c r="G363">
        <v>-398.21600000000001</v>
      </c>
      <c r="H363">
        <v>0.81062999999999996</v>
      </c>
      <c r="I363">
        <v>367.8424</v>
      </c>
      <c r="J363">
        <v>-398.67689999999999</v>
      </c>
      <c r="K363">
        <v>1.0665849999999999</v>
      </c>
      <c r="L363">
        <v>367.8372</v>
      </c>
      <c r="M363">
        <v>0.99996390000000002</v>
      </c>
      <c r="N363">
        <v>-3.2059039999999999E-3</v>
      </c>
      <c r="O363">
        <v>7.8888410000000006E-3</v>
      </c>
      <c r="P363">
        <v>0.94904739999999999</v>
      </c>
      <c r="Q363">
        <v>0.30876049999999999</v>
      </c>
      <c r="R363">
        <v>6.3057569999999993E-2</v>
      </c>
      <c r="S363">
        <v>3.5441590000000001</v>
      </c>
      <c r="T363">
        <v>-1.195622</v>
      </c>
      <c r="U363">
        <v>3.8360600000000002E-2</v>
      </c>
      <c r="V363">
        <v>-5.5295530000000002E-2</v>
      </c>
      <c r="W363">
        <v>0.3118513</v>
      </c>
      <c r="X363">
        <v>0.94852049999999999</v>
      </c>
      <c r="Y363">
        <v>-3.1846180000000002E-3</v>
      </c>
      <c r="Z363">
        <v>-2.0369490000000001E-3</v>
      </c>
      <c r="AA363">
        <v>0.99999280000000002</v>
      </c>
      <c r="AB363">
        <v>36</v>
      </c>
      <c r="AC363">
        <v>0.46089999999998099</v>
      </c>
      <c r="AD363">
        <v>-0.25595499999999999</v>
      </c>
      <c r="AE363">
        <v>5.2000000000020901E-3</v>
      </c>
      <c r="AF363">
        <v>-1.1952771612434099E-3</v>
      </c>
      <c r="AG363">
        <v>-0.25595499999999999</v>
      </c>
      <c r="AH363">
        <v>0.35229337018041901</v>
      </c>
      <c r="AI363">
        <v>125.999724412164</v>
      </c>
      <c r="AJ363">
        <v>90.194395011949098</v>
      </c>
      <c r="AK363">
        <v>0.43545953817268701</v>
      </c>
      <c r="AL363">
        <v>71.829165800409697</v>
      </c>
      <c r="AM363">
        <v>93.336373602892706</v>
      </c>
      <c r="AN363">
        <v>0.99999998393496004</v>
      </c>
    </row>
    <row r="364" spans="1:40" x14ac:dyDescent="0.25">
      <c r="A364" t="str">
        <f>"20190304164831062"</f>
        <v>20190304164831062</v>
      </c>
      <c r="B364" t="str">
        <f>"1551689311057241"</f>
        <v>1551689311057241</v>
      </c>
      <c r="C364" t="s">
        <v>40</v>
      </c>
      <c r="D364">
        <v>4.6315739999999996</v>
      </c>
      <c r="E364">
        <v>0.54807340000000004</v>
      </c>
      <c r="F364" t="s">
        <v>41</v>
      </c>
      <c r="G364">
        <v>-397.9024</v>
      </c>
      <c r="H364">
        <v>0.80156019999999994</v>
      </c>
      <c r="I364">
        <v>367.84980000000002</v>
      </c>
      <c r="J364">
        <v>-398.45209999999997</v>
      </c>
      <c r="K364">
        <v>1.0676620000000001</v>
      </c>
      <c r="L364">
        <v>367.83920000000001</v>
      </c>
      <c r="M364">
        <v>0.9999671</v>
      </c>
      <c r="N364">
        <v>-2.3944909999999999E-3</v>
      </c>
      <c r="O364">
        <v>7.7664659999999996E-3</v>
      </c>
      <c r="P364">
        <v>0.94880690000000001</v>
      </c>
      <c r="Q364">
        <v>0.30952929999999901</v>
      </c>
      <c r="R364">
        <v>6.290577E-2</v>
      </c>
      <c r="S364">
        <v>3.5525509999999998</v>
      </c>
      <c r="T364">
        <v>-1.2155389999999999</v>
      </c>
      <c r="U364">
        <v>5.9722900000000002E-2</v>
      </c>
      <c r="V364">
        <v>-5.5247119999999997E-2</v>
      </c>
      <c r="W364">
        <v>0.31185220000000002</v>
      </c>
      <c r="X364">
        <v>0.94852300000000001</v>
      </c>
      <c r="Y364">
        <v>-8.9648650000000007E-3</v>
      </c>
      <c r="Z364">
        <v>-1.06332E-3</v>
      </c>
      <c r="AA364">
        <v>0.99995919999999905</v>
      </c>
      <c r="AB364">
        <v>36</v>
      </c>
      <c r="AC364">
        <v>0.54969999999997299</v>
      </c>
      <c r="AD364">
        <v>-0.2661018</v>
      </c>
      <c r="AE364">
        <v>1.06000000000108E-2</v>
      </c>
      <c r="AF364">
        <v>-5.1289720038060196E-3</v>
      </c>
      <c r="AG364">
        <v>-0.2661018</v>
      </c>
      <c r="AH364">
        <v>0.44542434943183401</v>
      </c>
      <c r="AI364">
        <v>120.852924431939</v>
      </c>
      <c r="AJ364">
        <v>90.659720247448902</v>
      </c>
      <c r="AK364">
        <v>0.51888276651265697</v>
      </c>
      <c r="AL364">
        <v>71.829111081712597</v>
      </c>
      <c r="AM364">
        <v>93.333450506054604</v>
      </c>
      <c r="AN364">
        <v>0.99999996022106596</v>
      </c>
    </row>
    <row r="365" spans="1:40" x14ac:dyDescent="0.25">
      <c r="A365" t="str">
        <f>"20190304164831075"</f>
        <v>20190304164831075</v>
      </c>
      <c r="B365" t="str">
        <f>"1551689311067002"</f>
        <v>1551689311067002</v>
      </c>
      <c r="C365" t="s">
        <v>40</v>
      </c>
      <c r="D365">
        <v>4.9039229999999998</v>
      </c>
      <c r="E365">
        <v>0.54819739999999995</v>
      </c>
      <c r="F365" t="s">
        <v>41</v>
      </c>
      <c r="G365">
        <v>-397.59739999999999</v>
      </c>
      <c r="H365">
        <v>0.77607329999999997</v>
      </c>
      <c r="I365">
        <v>367.85270000000003</v>
      </c>
      <c r="J365">
        <v>-398.22129999999999</v>
      </c>
      <c r="K365">
        <v>1.0688759999999999</v>
      </c>
      <c r="L365">
        <v>367.84120000000001</v>
      </c>
      <c r="M365">
        <v>0.99996879999999999</v>
      </c>
      <c r="N365">
        <v>-1.9264180000000001E-3</v>
      </c>
      <c r="O365">
        <v>7.6546319999999998E-3</v>
      </c>
      <c r="P365">
        <v>0.9485616</v>
      </c>
      <c r="Q365">
        <v>0.31029830000000003</v>
      </c>
      <c r="R365">
        <v>6.2815889999999999E-2</v>
      </c>
      <c r="S365">
        <v>3.5536799999999999</v>
      </c>
      <c r="T365">
        <v>-1.2125250000000001</v>
      </c>
      <c r="U365">
        <v>5.6823730000000003E-2</v>
      </c>
      <c r="V365">
        <v>-5.5259419999999997E-2</v>
      </c>
      <c r="W365">
        <v>0.31217840000000002</v>
      </c>
      <c r="X365">
        <v>0.94841500000000001</v>
      </c>
      <c r="Y365">
        <v>-8.2902700000000006E-3</v>
      </c>
      <c r="Z365">
        <v>-1.1418159999999999E-3</v>
      </c>
      <c r="AA365">
        <v>0.99996499999999999</v>
      </c>
      <c r="AB365">
        <v>36</v>
      </c>
      <c r="AC365">
        <v>0.62389999999999102</v>
      </c>
      <c r="AD365">
        <v>-0.29280270000000003</v>
      </c>
      <c r="AE365">
        <v>1.15000000000122E-2</v>
      </c>
      <c r="AF365">
        <v>-5.5106161824961799E-3</v>
      </c>
      <c r="AG365">
        <v>-0.29280270000000003</v>
      </c>
      <c r="AH365">
        <v>0.511376273499206</v>
      </c>
      <c r="AI365">
        <v>119.793059907843</v>
      </c>
      <c r="AJ365">
        <v>90.617398275190396</v>
      </c>
      <c r="AK365">
        <v>0.58929575012546598</v>
      </c>
      <c r="AL365">
        <v>71.809439573960802</v>
      </c>
      <c r="AM365">
        <v>93.3345697997445</v>
      </c>
      <c r="AN365">
        <v>0.99999998457514805</v>
      </c>
    </row>
    <row r="366" spans="1:40" x14ac:dyDescent="0.25">
      <c r="A366" t="str">
        <f>"20190304164831089"</f>
        <v>20190304164831089</v>
      </c>
      <c r="B366" t="str">
        <f>"1551689311076762"</f>
        <v>1551689311076762</v>
      </c>
      <c r="C366" t="s">
        <v>40</v>
      </c>
      <c r="D366">
        <v>4.6357790000000003</v>
      </c>
      <c r="E366">
        <v>0.54819739999999995</v>
      </c>
      <c r="F366" t="s">
        <v>41</v>
      </c>
      <c r="G366">
        <v>-397.29340000000002</v>
      </c>
      <c r="H366">
        <v>0.75291759999999996</v>
      </c>
      <c r="I366">
        <v>367.8553</v>
      </c>
      <c r="J366">
        <v>-398.00130000000001</v>
      </c>
      <c r="K366">
        <v>1.0703689999999999</v>
      </c>
      <c r="L366">
        <v>367.84300000000002</v>
      </c>
      <c r="M366">
        <v>0.9999692</v>
      </c>
      <c r="N366">
        <v>-2.0697039999999999E-3</v>
      </c>
      <c r="O366">
        <v>7.578174E-3</v>
      </c>
      <c r="P366">
        <v>0.94859870000000002</v>
      </c>
      <c r="Q366">
        <v>0.31011450000000002</v>
      </c>
      <c r="R366">
        <v>6.3164819999999997E-2</v>
      </c>
      <c r="S366">
        <v>3.5549620000000002</v>
      </c>
      <c r="T366">
        <v>-1.210474</v>
      </c>
      <c r="U366">
        <v>5.569458E-2</v>
      </c>
      <c r="V366">
        <v>-5.56781999999999E-2</v>
      </c>
      <c r="W366">
        <v>0.3121313</v>
      </c>
      <c r="X366">
        <v>0.94840599999999997</v>
      </c>
      <c r="Y366">
        <v>-8.0522619999999993E-3</v>
      </c>
      <c r="Z366">
        <v>-1.152377E-3</v>
      </c>
      <c r="AA366">
        <v>0.99996689999999999</v>
      </c>
      <c r="AB366">
        <v>35</v>
      </c>
      <c r="AC366">
        <v>0.70789999999999498</v>
      </c>
      <c r="AD366">
        <v>-0.31745139999999999</v>
      </c>
      <c r="AE366">
        <v>1.22999999999819E-2</v>
      </c>
      <c r="AF366">
        <v>-5.7742073550782202E-3</v>
      </c>
      <c r="AG366">
        <v>-0.31745139999999999</v>
      </c>
      <c r="AH366">
        <v>0.58946719193803099</v>
      </c>
      <c r="AI366">
        <v>118.303073504681</v>
      </c>
      <c r="AJ366">
        <v>90.561230777252703</v>
      </c>
      <c r="AK366">
        <v>0.66953737998997997</v>
      </c>
      <c r="AL366">
        <v>71.812279976388695</v>
      </c>
      <c r="AM366">
        <v>93.359814761377606</v>
      </c>
      <c r="AN366">
        <v>0.99999997561546405</v>
      </c>
    </row>
    <row r="367" spans="1:40" x14ac:dyDescent="0.25">
      <c r="A367" t="str">
        <f>"20190304164831101"</f>
        <v>20190304164831101</v>
      </c>
      <c r="B367" t="str">
        <f>"1551689311097258"</f>
        <v>1551689311097258</v>
      </c>
      <c r="C367" t="s">
        <v>40</v>
      </c>
      <c r="D367">
        <v>4.8960900000000001</v>
      </c>
      <c r="E367">
        <v>0.54823339999999998</v>
      </c>
      <c r="F367" t="s">
        <v>41</v>
      </c>
      <c r="G367">
        <v>-397.26639999999998</v>
      </c>
      <c r="H367">
        <v>0.81998609999999905</v>
      </c>
      <c r="I367">
        <v>367.85419999999999</v>
      </c>
      <c r="J367">
        <v>-397.8229</v>
      </c>
      <c r="K367">
        <v>1.0716589999999999</v>
      </c>
      <c r="L367">
        <v>367.84449999999998</v>
      </c>
      <c r="M367">
        <v>0.99996910000000006</v>
      </c>
      <c r="N367">
        <v>-2.2394149999999998E-3</v>
      </c>
      <c r="O367">
        <v>7.5357499999999999E-3</v>
      </c>
      <c r="P367">
        <v>0.94864269999999995</v>
      </c>
      <c r="Q367">
        <v>0.3099613</v>
      </c>
      <c r="R367">
        <v>6.3253450000000003E-2</v>
      </c>
      <c r="S367">
        <v>3.5547490000000002</v>
      </c>
      <c r="T367">
        <v>-1.211068</v>
      </c>
      <c r="U367">
        <v>5.6182860000000001E-2</v>
      </c>
      <c r="V367">
        <v>-5.5803310000000002E-2</v>
      </c>
      <c r="W367">
        <v>0.31213990000000003</v>
      </c>
      <c r="X367">
        <v>0.94839580000000001</v>
      </c>
      <c r="Y367">
        <v>-8.2203369999999994E-3</v>
      </c>
      <c r="Z367">
        <v>-1.109037E-3</v>
      </c>
      <c r="AA367">
        <v>0.99996560000000001</v>
      </c>
      <c r="AB367">
        <v>35</v>
      </c>
      <c r="AC367">
        <v>0.55650000000002797</v>
      </c>
      <c r="AD367">
        <v>-0.25167289999999998</v>
      </c>
      <c r="AE367">
        <v>9.7000000000093695E-3</v>
      </c>
      <c r="AF367">
        <v>-4.57139653480481E-3</v>
      </c>
      <c r="AG367">
        <v>-0.25167289999999998</v>
      </c>
      <c r="AH367">
        <v>0.46207993461526298</v>
      </c>
      <c r="AI367">
        <v>118.57384464947999</v>
      </c>
      <c r="AJ367">
        <v>90.566813583043697</v>
      </c>
      <c r="AK367">
        <v>0.52619199180026799</v>
      </c>
      <c r="AL367">
        <v>71.811761025683793</v>
      </c>
      <c r="AM367">
        <v>93.367383110025798</v>
      </c>
      <c r="AN367">
        <v>0.99999996001830205</v>
      </c>
    </row>
    <row r="368" spans="1:40" x14ac:dyDescent="0.25">
      <c r="A368" t="str">
        <f>"20190304164831111"</f>
        <v>20190304164831111</v>
      </c>
      <c r="B368" t="str">
        <f>"1551689311107018"</f>
        <v>1551689311107018</v>
      </c>
      <c r="C368" t="s">
        <v>40</v>
      </c>
      <c r="D368">
        <v>4.6192520000000004</v>
      </c>
      <c r="E368">
        <v>0.54823339999999998</v>
      </c>
      <c r="F368" t="s">
        <v>41</v>
      </c>
      <c r="G368">
        <v>-396.96969999999999</v>
      </c>
      <c r="H368">
        <v>0.78031619999999902</v>
      </c>
      <c r="I368">
        <v>367.858</v>
      </c>
      <c r="J368">
        <v>-397.64859999999999</v>
      </c>
      <c r="K368">
        <v>1.0730029999999999</v>
      </c>
      <c r="L368">
        <v>367.84589999999997</v>
      </c>
      <c r="M368">
        <v>0.99996879999999999</v>
      </c>
      <c r="N368">
        <v>-2.4568459999999999E-3</v>
      </c>
      <c r="O368">
        <v>7.5123539999999997E-3</v>
      </c>
      <c r="P368">
        <v>0.9487565</v>
      </c>
      <c r="Q368">
        <v>0.30959429999999999</v>
      </c>
      <c r="R368">
        <v>6.3344049999999999E-2</v>
      </c>
      <c r="S368">
        <v>3.5552670000000002</v>
      </c>
      <c r="T368">
        <v>-1.2139990000000001</v>
      </c>
      <c r="U368">
        <v>5.654907E-2</v>
      </c>
      <c r="V368">
        <v>-5.5910410000000001E-2</v>
      </c>
      <c r="W368">
        <v>0.31198049999999999</v>
      </c>
      <c r="X368">
        <v>0.94844200000000001</v>
      </c>
      <c r="Y368">
        <v>-8.3354740000000007E-3</v>
      </c>
      <c r="Z368">
        <v>-1.081994E-3</v>
      </c>
      <c r="AA368">
        <v>0.99996470000000004</v>
      </c>
      <c r="AB368">
        <v>35</v>
      </c>
      <c r="AC368">
        <v>0.67889999999999795</v>
      </c>
      <c r="AD368">
        <v>-0.29268680000000002</v>
      </c>
      <c r="AE368">
        <v>1.2100000000032101E-2</v>
      </c>
      <c r="AF368">
        <v>-5.9027478614470897E-3</v>
      </c>
      <c r="AG368">
        <v>-0.29268680000000002</v>
      </c>
      <c r="AH368">
        <v>0.57258310428158199</v>
      </c>
      <c r="AI368">
        <v>117.073481506927</v>
      </c>
      <c r="AJ368">
        <v>90.590640131349801</v>
      </c>
      <c r="AK368">
        <v>0.64307994575736005</v>
      </c>
      <c r="AL368">
        <v>71.821375093251206</v>
      </c>
      <c r="AM368">
        <v>93.373667050311397</v>
      </c>
      <c r="AN368">
        <v>1.0000000168453</v>
      </c>
    </row>
    <row r="369" spans="1:40" x14ac:dyDescent="0.25">
      <c r="A369" t="str">
        <f>"20190304164831124"</f>
        <v>20190304164831124</v>
      </c>
      <c r="B369" t="str">
        <f>"1551689311116777"</f>
        <v>1551689311116777</v>
      </c>
      <c r="C369" t="s">
        <v>40</v>
      </c>
      <c r="D369">
        <v>4.6035269999999997</v>
      </c>
      <c r="E369">
        <v>0.54823339999999998</v>
      </c>
      <c r="F369" t="s">
        <v>41</v>
      </c>
      <c r="G369">
        <v>-396.9479</v>
      </c>
      <c r="H369">
        <v>0.83345279999999999</v>
      </c>
      <c r="I369">
        <v>367.85700000000003</v>
      </c>
      <c r="J369">
        <v>-397.4622</v>
      </c>
      <c r="K369">
        <v>1.0745</v>
      </c>
      <c r="L369">
        <v>367.84739999999999</v>
      </c>
      <c r="M369">
        <v>0.99996859999999999</v>
      </c>
      <c r="N369">
        <v>-2.5933219999999999E-3</v>
      </c>
      <c r="O369">
        <v>7.4964960000000001E-3</v>
      </c>
      <c r="P369">
        <v>0.94885269999999999</v>
      </c>
      <c r="Q369">
        <v>0.30924689999999999</v>
      </c>
      <c r="R369">
        <v>6.3601190000000002E-2</v>
      </c>
      <c r="S369">
        <v>3.5549010000000001</v>
      </c>
      <c r="T369">
        <v>-1.215344</v>
      </c>
      <c r="U369">
        <v>5.6579589999999999E-2</v>
      </c>
      <c r="V369">
        <v>-5.6181899999999903E-2</v>
      </c>
      <c r="W369">
        <v>0.31176300000000001</v>
      </c>
      <c r="X369">
        <v>0.94849749999999999</v>
      </c>
      <c r="Y369">
        <v>-8.3586749999999994E-3</v>
      </c>
      <c r="Z369">
        <v>-1.072567E-3</v>
      </c>
      <c r="AA369">
        <v>0.99996450000000003</v>
      </c>
      <c r="AB369">
        <v>35</v>
      </c>
      <c r="AC369">
        <v>0.51429999999999099</v>
      </c>
      <c r="AD369">
        <v>-0.24104719999999999</v>
      </c>
      <c r="AE369">
        <v>9.5999999999776195E-3</v>
      </c>
      <c r="AF369">
        <v>-4.7099863769347102E-3</v>
      </c>
      <c r="AG369">
        <v>-0.24104719999999999</v>
      </c>
      <c r="AH369">
        <v>0.42174498171165498</v>
      </c>
      <c r="AI369">
        <v>119.748469434071</v>
      </c>
      <c r="AJ369">
        <v>90.639844300086494</v>
      </c>
      <c r="AK369">
        <v>0.48579292522480699</v>
      </c>
      <c r="AL369">
        <v>71.834491546114904</v>
      </c>
      <c r="AM369">
        <v>93.3898129041212</v>
      </c>
      <c r="AN369">
        <v>1.00000004078142</v>
      </c>
    </row>
    <row r="370" spans="1:40" x14ac:dyDescent="0.25">
      <c r="A370" t="str">
        <f>"20190304164831136"</f>
        <v>20190304164831136</v>
      </c>
      <c r="B370" t="str">
        <f>"1551689311126538"</f>
        <v>1551689311126538</v>
      </c>
      <c r="C370" t="s">
        <v>40</v>
      </c>
      <c r="D370">
        <v>4.8690379999999998</v>
      </c>
      <c r="E370">
        <v>0.54838219999999904</v>
      </c>
      <c r="F370" t="s">
        <v>41</v>
      </c>
      <c r="G370">
        <v>-396.64909999999998</v>
      </c>
      <c r="H370">
        <v>0.79618180000000005</v>
      </c>
      <c r="I370">
        <v>367.8603</v>
      </c>
      <c r="J370">
        <v>-397.27300000000002</v>
      </c>
      <c r="K370">
        <v>1.0760449999999999</v>
      </c>
      <c r="L370">
        <v>367.84879999999998</v>
      </c>
      <c r="M370">
        <v>0.99996839999999998</v>
      </c>
      <c r="N370">
        <v>-2.6966529999999998E-3</v>
      </c>
      <c r="O370">
        <v>7.4842199999999998E-3</v>
      </c>
      <c r="P370">
        <v>0.94887860000000002</v>
      </c>
      <c r="Q370">
        <v>0.30914340000000001</v>
      </c>
      <c r="R370">
        <v>6.3716659999999994E-2</v>
      </c>
      <c r="S370">
        <v>3.5544129999999998</v>
      </c>
      <c r="T370">
        <v>-1.2167289999999999</v>
      </c>
      <c r="U370">
        <v>5.7434079999999998E-2</v>
      </c>
      <c r="V370">
        <v>-5.6310930000000002E-2</v>
      </c>
      <c r="W370">
        <v>0.31175710000000001</v>
      </c>
      <c r="X370">
        <v>0.9484918</v>
      </c>
      <c r="Y370">
        <v>-8.5984659999999904E-3</v>
      </c>
      <c r="Z370">
        <v>-1.0284109999999999E-3</v>
      </c>
      <c r="AA370">
        <v>0.99996249999999998</v>
      </c>
      <c r="AB370">
        <v>35</v>
      </c>
      <c r="AC370">
        <v>0.62390000000004797</v>
      </c>
      <c r="AD370">
        <v>-0.27986319999999998</v>
      </c>
      <c r="AE370">
        <v>1.15000000000122E-2</v>
      </c>
      <c r="AF370">
        <v>-5.68644377500091E-3</v>
      </c>
      <c r="AG370">
        <v>-0.27986319999999998</v>
      </c>
      <c r="AH370">
        <v>0.51947718898789197</v>
      </c>
      <c r="AI370">
        <v>118.311694686601</v>
      </c>
      <c r="AJ370">
        <v>90.627161737206904</v>
      </c>
      <c r="AK370">
        <v>0.59009515862766404</v>
      </c>
      <c r="AL370">
        <v>71.834847542209502</v>
      </c>
      <c r="AM370">
        <v>93.397600261526904</v>
      </c>
      <c r="AN370">
        <v>1.0000000524525501</v>
      </c>
    </row>
    <row r="371" spans="1:40" x14ac:dyDescent="0.25">
      <c r="A371" t="str">
        <f>"20190304164831147"</f>
        <v>20190304164831147</v>
      </c>
      <c r="B371" t="str">
        <f>"1551689311137274"</f>
        <v>1551689311137274</v>
      </c>
      <c r="C371" t="s">
        <v>40</v>
      </c>
      <c r="D371">
        <v>4.8637459999999999</v>
      </c>
      <c r="E371">
        <v>0.54851280000000002</v>
      </c>
      <c r="F371" t="s">
        <v>41</v>
      </c>
      <c r="G371">
        <v>-396.34840000000003</v>
      </c>
      <c r="H371">
        <v>0.75992119999999996</v>
      </c>
      <c r="I371">
        <v>367.86320000000001</v>
      </c>
      <c r="J371">
        <v>-397.09429999999998</v>
      </c>
      <c r="K371">
        <v>1.0775870000000001</v>
      </c>
      <c r="L371">
        <v>367.8501</v>
      </c>
      <c r="M371">
        <v>0.99996819999999997</v>
      </c>
      <c r="N371">
        <v>-2.797959E-3</v>
      </c>
      <c r="O371">
        <v>7.4768819999999998E-3</v>
      </c>
      <c r="P371">
        <v>0.94884780000000002</v>
      </c>
      <c r="Q371">
        <v>0.30922640000000001</v>
      </c>
      <c r="R371">
        <v>6.3773360000000001E-2</v>
      </c>
      <c r="S371">
        <v>3.5537109999999998</v>
      </c>
      <c r="T371">
        <v>-1.2149430000000001</v>
      </c>
      <c r="U371">
        <v>5.6426999999999998E-2</v>
      </c>
      <c r="V371">
        <v>-5.638526E-2</v>
      </c>
      <c r="W371">
        <v>0.31193419999999999</v>
      </c>
      <c r="X371">
        <v>0.94842910000000002</v>
      </c>
      <c r="Y371">
        <v>-8.3398610000000005E-3</v>
      </c>
      <c r="Z371">
        <v>-1.066888E-3</v>
      </c>
      <c r="AA371">
        <v>0.99996470000000004</v>
      </c>
      <c r="AB371">
        <v>35</v>
      </c>
      <c r="AC371">
        <v>0.74589999999994905</v>
      </c>
      <c r="AD371">
        <v>-0.3176658</v>
      </c>
      <c r="AE371">
        <v>1.3100000000008501E-2</v>
      </c>
      <c r="AF371">
        <v>-6.3679662734403997E-3</v>
      </c>
      <c r="AG371">
        <v>-0.3176658</v>
      </c>
      <c r="AH371">
        <v>0.63147756889432105</v>
      </c>
      <c r="AI371">
        <v>116.70358583839599</v>
      </c>
      <c r="AJ371">
        <v>90.577764346049705</v>
      </c>
      <c r="AK371">
        <v>0.70690595661713096</v>
      </c>
      <c r="AL371">
        <v>71.824166912992496</v>
      </c>
      <c r="AM371">
        <v>93.402298921611305</v>
      </c>
      <c r="AN371">
        <v>1.00000000020085</v>
      </c>
    </row>
    <row r="372" spans="1:40" x14ac:dyDescent="0.25">
      <c r="A372" t="str">
        <f>"20190304164831157"</f>
        <v>20190304164831157</v>
      </c>
      <c r="B372" t="str">
        <f>"1551689311147035"</f>
        <v>1551689311147035</v>
      </c>
      <c r="C372" t="s">
        <v>40</v>
      </c>
      <c r="D372">
        <v>4.8642500000000002</v>
      </c>
      <c r="E372">
        <v>0.54847619999999997</v>
      </c>
      <c r="F372" t="s">
        <v>41</v>
      </c>
      <c r="G372">
        <v>-396.32619999999997</v>
      </c>
      <c r="H372">
        <v>0.81546549999999995</v>
      </c>
      <c r="I372">
        <v>367.86180000000002</v>
      </c>
      <c r="J372">
        <v>-396.92790000000002</v>
      </c>
      <c r="K372">
        <v>1.0790299999999999</v>
      </c>
      <c r="L372">
        <v>367.85129999999998</v>
      </c>
      <c r="M372">
        <v>0.99996790000000002</v>
      </c>
      <c r="N372">
        <v>-2.91085E-3</v>
      </c>
      <c r="O372">
        <v>7.469524E-3</v>
      </c>
      <c r="P372">
        <v>0.94883030000000002</v>
      </c>
      <c r="Q372">
        <v>0.30922270000000002</v>
      </c>
      <c r="R372">
        <v>6.4050599999999999E-2</v>
      </c>
      <c r="S372">
        <v>3.553131</v>
      </c>
      <c r="T372">
        <v>-1.2125090000000001</v>
      </c>
      <c r="U372">
        <v>5.5847170000000002E-2</v>
      </c>
      <c r="V372">
        <v>-5.6680389999999997E-2</v>
      </c>
      <c r="W372">
        <v>0.31203570000000003</v>
      </c>
      <c r="X372">
        <v>0.9483781</v>
      </c>
      <c r="Y372">
        <v>-8.1943199999999997E-3</v>
      </c>
      <c r="Z372">
        <v>-1.0856139999999999E-3</v>
      </c>
      <c r="AA372">
        <v>0.99996580000000002</v>
      </c>
      <c r="AB372">
        <v>35</v>
      </c>
      <c r="AC372">
        <v>0.60170000000004997</v>
      </c>
      <c r="AD372">
        <v>-0.26356449999999998</v>
      </c>
      <c r="AE372">
        <v>1.0500000000035901E-2</v>
      </c>
      <c r="AF372">
        <v>-5.03876676135137E-3</v>
      </c>
      <c r="AG372">
        <v>-0.26356449999999998</v>
      </c>
      <c r="AH372">
        <v>0.50491214317419397</v>
      </c>
      <c r="AI372">
        <v>117.56342084263299</v>
      </c>
      <c r="AJ372">
        <v>90.571763800784495</v>
      </c>
      <c r="AK372">
        <v>0.56958573292831305</v>
      </c>
      <c r="AL372">
        <v>71.8180455413343</v>
      </c>
      <c r="AM372">
        <v>93.420248449846696</v>
      </c>
      <c r="AN372">
        <v>0.99999998262232503</v>
      </c>
    </row>
    <row r="373" spans="1:40" x14ac:dyDescent="0.25">
      <c r="A373" t="str">
        <f>"20190304164831168"</f>
        <v>20190304164831168</v>
      </c>
      <c r="B373" t="str">
        <f>"1551689311156793"</f>
        <v>1551689311156793</v>
      </c>
      <c r="C373" t="s">
        <v>40</v>
      </c>
      <c r="D373">
        <v>4.9458359999999999</v>
      </c>
      <c r="E373">
        <v>0.5485989</v>
      </c>
      <c r="F373" t="s">
        <v>41</v>
      </c>
      <c r="G373">
        <v>-396.02820000000003</v>
      </c>
      <c r="H373">
        <v>0.77161290000000005</v>
      </c>
      <c r="I373">
        <v>367.86540000000002</v>
      </c>
      <c r="J373">
        <v>-396.75450000000001</v>
      </c>
      <c r="K373">
        <v>1.080573</v>
      </c>
      <c r="L373">
        <v>367.85250000000002</v>
      </c>
      <c r="M373">
        <v>0.99996750000000001</v>
      </c>
      <c r="N373">
        <v>-3.0903770000000001E-3</v>
      </c>
      <c r="O373">
        <v>7.4608779999999998E-3</v>
      </c>
      <c r="P373">
        <v>0.94882270000000002</v>
      </c>
      <c r="Q373">
        <v>0.30923979999999901</v>
      </c>
      <c r="R373">
        <v>6.4079940000000002E-2</v>
      </c>
      <c r="S373">
        <v>3.5536500000000002</v>
      </c>
      <c r="T373">
        <v>-1.2142269999999999</v>
      </c>
      <c r="U373">
        <v>5.758667E-2</v>
      </c>
      <c r="V373">
        <v>-5.6735130000000002E-2</v>
      </c>
      <c r="W373">
        <v>0.31221959999999999</v>
      </c>
      <c r="X373">
        <v>0.94831430000000005</v>
      </c>
      <c r="Y373">
        <v>-8.6619360000000003E-3</v>
      </c>
      <c r="Z373">
        <v>-1.0036260000000001E-3</v>
      </c>
      <c r="AA373">
        <v>0.99996200000000002</v>
      </c>
      <c r="AB373">
        <v>35</v>
      </c>
      <c r="AC373">
        <v>0.72629999999997996</v>
      </c>
      <c r="AD373">
        <v>-0.30896010000000002</v>
      </c>
      <c r="AE373">
        <v>1.29000000000019E-2</v>
      </c>
      <c r="AF373">
        <v>-6.33481876055959E-3</v>
      </c>
      <c r="AG373">
        <v>-0.30896010000000002</v>
      </c>
      <c r="AH373">
        <v>0.61510437725558298</v>
      </c>
      <c r="AI373">
        <v>116.668651807437</v>
      </c>
      <c r="AJ373">
        <v>90.590055218014299</v>
      </c>
      <c r="AK373">
        <v>0.68836753863014</v>
      </c>
      <c r="AL373">
        <v>71.806954752846195</v>
      </c>
      <c r="AM373">
        <v>93.423773535873707</v>
      </c>
      <c r="AN373">
        <v>0.99999998259238299</v>
      </c>
    </row>
    <row r="374" spans="1:40" x14ac:dyDescent="0.25">
      <c r="A374" t="str">
        <f>"20190304164831181"</f>
        <v>20190304164831181</v>
      </c>
      <c r="B374" t="str">
        <f>"1551689311177289"</f>
        <v>1551689311177289</v>
      </c>
      <c r="C374" t="s">
        <v>40</v>
      </c>
      <c r="D374">
        <v>4.8075409999999996</v>
      </c>
      <c r="E374">
        <v>0.54874969999999901</v>
      </c>
      <c r="F374" t="s">
        <v>41</v>
      </c>
      <c r="G374">
        <v>-396.00650000000002</v>
      </c>
      <c r="H374">
        <v>0.82521100000000003</v>
      </c>
      <c r="I374">
        <v>367.86410000000001</v>
      </c>
      <c r="J374">
        <v>-396.56209999999999</v>
      </c>
      <c r="K374">
        <v>1.08229</v>
      </c>
      <c r="L374">
        <v>367.85390000000001</v>
      </c>
      <c r="M374">
        <v>0.99996680000000004</v>
      </c>
      <c r="N374">
        <v>-3.3374429999999998E-3</v>
      </c>
      <c r="O374">
        <v>7.4492500000000001E-3</v>
      </c>
      <c r="P374">
        <v>0.94881369999999998</v>
      </c>
      <c r="Q374">
        <v>0.3092356</v>
      </c>
      <c r="R374">
        <v>6.4235899999999999E-2</v>
      </c>
      <c r="S374">
        <v>3.5532840000000001</v>
      </c>
      <c r="T374">
        <v>-1.2129989999999999</v>
      </c>
      <c r="U374">
        <v>5.7281489999999997E-2</v>
      </c>
      <c r="V374">
        <v>-5.6923729999999999E-2</v>
      </c>
      <c r="W374">
        <v>0.31244660000000002</v>
      </c>
      <c r="X374">
        <v>0.94822819999999997</v>
      </c>
      <c r="Y374">
        <v>-8.5918809999999905E-3</v>
      </c>
      <c r="Z374">
        <v>-1.007764E-3</v>
      </c>
      <c r="AA374">
        <v>0.99996260000000003</v>
      </c>
      <c r="AB374">
        <v>35</v>
      </c>
      <c r="AC374">
        <v>0.55559999999996901</v>
      </c>
      <c r="AD374">
        <v>-0.257078999999999</v>
      </c>
      <c r="AE374">
        <v>1.0199999999997499E-2</v>
      </c>
      <c r="AF374">
        <v>-4.9923982956571102E-3</v>
      </c>
      <c r="AG374">
        <v>-0.257078999999999</v>
      </c>
      <c r="AH374">
        <v>0.457701485562101</v>
      </c>
      <c r="AI374">
        <v>119.32033223134999</v>
      </c>
      <c r="AJ374">
        <v>90.624931353445405</v>
      </c>
      <c r="AK374">
        <v>0.52498112934418595</v>
      </c>
      <c r="AL374">
        <v>71.793263145346302</v>
      </c>
      <c r="AM374">
        <v>93.435438865740394</v>
      </c>
      <c r="AN374">
        <v>0.99999995408195497</v>
      </c>
    </row>
    <row r="375" spans="1:40" x14ac:dyDescent="0.25">
      <c r="A375" t="str">
        <f>"20190304164831191"</f>
        <v>20190304164831191</v>
      </c>
      <c r="B375" t="str">
        <f>"1551689311187049"</f>
        <v>1551689311187049</v>
      </c>
      <c r="C375" t="s">
        <v>40</v>
      </c>
      <c r="D375">
        <v>4.8712939999999998</v>
      </c>
      <c r="E375">
        <v>0.54868719999999904</v>
      </c>
      <c r="F375" t="s">
        <v>41</v>
      </c>
      <c r="G375">
        <v>-395.70510000000002</v>
      </c>
      <c r="H375">
        <v>0.79002090000000003</v>
      </c>
      <c r="I375">
        <v>367.86750000000001</v>
      </c>
      <c r="J375">
        <v>-396.38299999999998</v>
      </c>
      <c r="K375">
        <v>1.0838920000000001</v>
      </c>
      <c r="L375">
        <v>367.85509999999999</v>
      </c>
      <c r="M375">
        <v>0.99996600000000002</v>
      </c>
      <c r="N375">
        <v>-3.619368E-3</v>
      </c>
      <c r="O375">
        <v>7.4364019999999999E-3</v>
      </c>
      <c r="P375">
        <v>0.94877140000000004</v>
      </c>
      <c r="Q375">
        <v>0.3093669</v>
      </c>
      <c r="R375">
        <v>6.4229170000000002E-2</v>
      </c>
      <c r="S375">
        <v>3.5528870000000001</v>
      </c>
      <c r="T375">
        <v>-1.211711</v>
      </c>
      <c r="U375">
        <v>5.7281489999999997E-2</v>
      </c>
      <c r="V375">
        <v>-5.6951219999999997E-2</v>
      </c>
      <c r="W375">
        <v>0.31284060000000002</v>
      </c>
      <c r="X375">
        <v>0.94809670000000001</v>
      </c>
      <c r="Y375">
        <v>-8.6041290000000003E-3</v>
      </c>
      <c r="Z375">
        <v>-9.9726440000000001E-4</v>
      </c>
      <c r="AA375">
        <v>0.99996249999999998</v>
      </c>
      <c r="AB375">
        <v>35</v>
      </c>
      <c r="AC375">
        <v>0.67790000000002204</v>
      </c>
      <c r="AD375">
        <v>-0.2938711</v>
      </c>
      <c r="AE375">
        <v>1.24000000000137E-2</v>
      </c>
      <c r="AF375">
        <v>-6.1947371529631496E-3</v>
      </c>
      <c r="AG375">
        <v>-0.2938711</v>
      </c>
      <c r="AH375">
        <v>0.57075139759915094</v>
      </c>
      <c r="AI375">
        <v>117.241867493797</v>
      </c>
      <c r="AJ375">
        <v>90.621844045093198</v>
      </c>
      <c r="AK375">
        <v>0.64199357944218405</v>
      </c>
      <c r="AL375">
        <v>71.769498430730195</v>
      </c>
      <c r="AM375">
        <v>93.437569533279003</v>
      </c>
      <c r="AN375">
        <v>1.00000001750936</v>
      </c>
    </row>
    <row r="376" spans="1:40" x14ac:dyDescent="0.25">
      <c r="A376" t="str">
        <f>"20190304164831204"</f>
        <v>20190304164831204</v>
      </c>
      <c r="B376" t="str">
        <f>"1551689311196810"</f>
        <v>1551689311196810</v>
      </c>
      <c r="C376" t="s">
        <v>40</v>
      </c>
      <c r="D376">
        <v>5.0263839999999904</v>
      </c>
      <c r="E376">
        <v>0.54881780000000002</v>
      </c>
      <c r="F376" t="s">
        <v>41</v>
      </c>
      <c r="G376">
        <v>-395.68259999999998</v>
      </c>
      <c r="H376">
        <v>0.844862</v>
      </c>
      <c r="I376">
        <v>367.86649999999997</v>
      </c>
      <c r="J376">
        <v>-396.19869999999997</v>
      </c>
      <c r="K376">
        <v>1.0855109999999999</v>
      </c>
      <c r="L376">
        <v>367.85640000000001</v>
      </c>
      <c r="M376">
        <v>0.99996470000000004</v>
      </c>
      <c r="N376">
        <v>-3.9635790000000001E-3</v>
      </c>
      <c r="O376">
        <v>7.4210129999999997E-3</v>
      </c>
      <c r="P376">
        <v>0.94882699999999998</v>
      </c>
      <c r="Q376">
        <v>0.30921169999999998</v>
      </c>
      <c r="R376">
        <v>6.4151970000000003E-2</v>
      </c>
      <c r="S376">
        <v>3.5533139999999999</v>
      </c>
      <c r="T376">
        <v>-1.2125549999999901</v>
      </c>
      <c r="U376">
        <v>5.8807369999999998E-2</v>
      </c>
      <c r="V376">
        <v>-5.6910839999999997E-2</v>
      </c>
      <c r="W376">
        <v>0.31300820000000001</v>
      </c>
      <c r="X376">
        <v>0.94804379999999999</v>
      </c>
      <c r="Y376">
        <v>-9.0207020000000002E-3</v>
      </c>
      <c r="Z376">
        <v>-9.1880249999999998E-4</v>
      </c>
      <c r="AA376">
        <v>0.99995889999999998</v>
      </c>
      <c r="AB376">
        <v>35</v>
      </c>
      <c r="AC376">
        <v>0.51609999999999401</v>
      </c>
      <c r="AD376">
        <v>-0.240648999999999</v>
      </c>
      <c r="AE376">
        <v>1.00999999999658E-2</v>
      </c>
      <c r="AF376">
        <v>-5.1503455458603697E-3</v>
      </c>
      <c r="AG376">
        <v>-0.240648999999999</v>
      </c>
      <c r="AH376">
        <v>0.42400801691045198</v>
      </c>
      <c r="AI376">
        <v>119.57559521421</v>
      </c>
      <c r="AJ376">
        <v>90.695926820144805</v>
      </c>
      <c r="AK376">
        <v>0.48756667817291999</v>
      </c>
      <c r="AL376">
        <v>71.759387779986298</v>
      </c>
      <c r="AM376">
        <v>93.435329258004401</v>
      </c>
      <c r="AN376">
        <v>1.00000001184759</v>
      </c>
    </row>
    <row r="377" spans="1:40" x14ac:dyDescent="0.25">
      <c r="A377" t="str">
        <f>"20190304164831216"</f>
        <v>20190304164831216</v>
      </c>
      <c r="B377" t="str">
        <f>"1551689311206569"</f>
        <v>1551689311206569</v>
      </c>
      <c r="C377" t="s">
        <v>40</v>
      </c>
      <c r="D377">
        <v>4.8444770000000004</v>
      </c>
      <c r="E377">
        <v>0.54879069999999996</v>
      </c>
      <c r="F377" t="s">
        <v>41</v>
      </c>
      <c r="G377">
        <v>-395.38260000000002</v>
      </c>
      <c r="H377">
        <v>0.80723400000000001</v>
      </c>
      <c r="I377">
        <v>367.86919999999998</v>
      </c>
      <c r="J377">
        <v>-396.00720000000001</v>
      </c>
      <c r="K377">
        <v>1.08718</v>
      </c>
      <c r="L377">
        <v>367.8578</v>
      </c>
      <c r="M377">
        <v>0.99996320000000005</v>
      </c>
      <c r="N377">
        <v>-4.3437930000000003E-3</v>
      </c>
      <c r="O377">
        <v>7.4041350000000001E-3</v>
      </c>
      <c r="P377">
        <v>0.94889440000000003</v>
      </c>
      <c r="Q377">
        <v>0.30902170000000001</v>
      </c>
      <c r="R377">
        <v>6.4071459999999997E-2</v>
      </c>
      <c r="S377">
        <v>3.5527039999999999</v>
      </c>
      <c r="T377">
        <v>-1.211427</v>
      </c>
      <c r="U377">
        <v>5.7006840000000003E-2</v>
      </c>
      <c r="V377">
        <v>-5.6870499999999997E-2</v>
      </c>
      <c r="W377">
        <v>0.31317399999999901</v>
      </c>
      <c r="X377">
        <v>0.94799149999999999</v>
      </c>
      <c r="Y377">
        <v>-8.5579519999999902E-3</v>
      </c>
      <c r="Z377">
        <v>-9.8583510000000004E-4</v>
      </c>
      <c r="AA377">
        <v>0.99996289999999999</v>
      </c>
      <c r="AB377">
        <v>35</v>
      </c>
      <c r="AC377">
        <v>0.62459999999998606</v>
      </c>
      <c r="AD377">
        <v>-0.27994599999999997</v>
      </c>
      <c r="AE377">
        <v>1.13999999999805E-2</v>
      </c>
      <c r="AF377">
        <v>-5.6420110697697297E-3</v>
      </c>
      <c r="AG377">
        <v>-0.27994599999999997</v>
      </c>
      <c r="AH377">
        <v>0.52020201193354398</v>
      </c>
      <c r="AI377">
        <v>118.28544923188301</v>
      </c>
      <c r="AJ377">
        <v>90.621394651341902</v>
      </c>
      <c r="AK377">
        <v>0.59077214594513405</v>
      </c>
      <c r="AL377">
        <v>71.749385889690899</v>
      </c>
      <c r="AM377">
        <v>93.433088963419195</v>
      </c>
      <c r="AN377">
        <v>1.00000004605924</v>
      </c>
    </row>
    <row r="378" spans="1:40" x14ac:dyDescent="0.25">
      <c r="A378" t="str">
        <f>"20190304164831228"</f>
        <v>20190304164831228</v>
      </c>
      <c r="B378" t="str">
        <f>"1551689311217305"</f>
        <v>1551689311217305</v>
      </c>
      <c r="C378" t="s">
        <v>40</v>
      </c>
      <c r="D378">
        <v>4.7867189999999997</v>
      </c>
      <c r="E378">
        <v>0.5488305</v>
      </c>
      <c r="F378" t="s">
        <v>41</v>
      </c>
      <c r="G378">
        <v>-395.08150000000001</v>
      </c>
      <c r="H378">
        <v>0.77109539999999999</v>
      </c>
      <c r="I378">
        <v>367.87259999999998</v>
      </c>
      <c r="J378">
        <v>-395.81830000000002</v>
      </c>
      <c r="K378">
        <v>1.088748</v>
      </c>
      <c r="L378">
        <v>367.85910000000001</v>
      </c>
      <c r="M378">
        <v>0.9999614</v>
      </c>
      <c r="N378">
        <v>-4.760289E-3</v>
      </c>
      <c r="O378">
        <v>7.3870969999999996E-3</v>
      </c>
      <c r="P378">
        <v>0.94901069999999998</v>
      </c>
      <c r="Q378">
        <v>0.30866549999999998</v>
      </c>
      <c r="R378">
        <v>6.4065929999999993E-2</v>
      </c>
      <c r="S378">
        <v>3.552673</v>
      </c>
      <c r="T378">
        <v>-1.2129859999999999</v>
      </c>
      <c r="U378">
        <v>5.755615E-2</v>
      </c>
      <c r="V378">
        <v>-5.6901889999999997E-2</v>
      </c>
      <c r="W378">
        <v>0.31320930000000002</v>
      </c>
      <c r="X378">
        <v>0.94797790000000004</v>
      </c>
      <c r="Y378">
        <v>-8.7177419999999901E-3</v>
      </c>
      <c r="Z378">
        <v>-9.4977780000000001E-4</v>
      </c>
      <c r="AA378">
        <v>0.99996160000000001</v>
      </c>
      <c r="AB378">
        <v>35</v>
      </c>
      <c r="AC378">
        <v>0.736800000000016</v>
      </c>
      <c r="AD378">
        <v>-0.31765259999999901</v>
      </c>
      <c r="AE378">
        <v>1.3499999999964899E-2</v>
      </c>
      <c r="AF378">
        <v>-6.7943295435751597E-3</v>
      </c>
      <c r="AG378">
        <v>-0.31765259999999901</v>
      </c>
      <c r="AH378">
        <v>0.62141665660964895</v>
      </c>
      <c r="AI378">
        <v>117.073590348441</v>
      </c>
      <c r="AJ378">
        <v>90.626424947203603</v>
      </c>
      <c r="AK378">
        <v>0.69793122749495995</v>
      </c>
      <c r="AL378">
        <v>71.747255235383093</v>
      </c>
      <c r="AM378">
        <v>93.435028502016706</v>
      </c>
      <c r="AN378">
        <v>0.99999999479023605</v>
      </c>
    </row>
    <row r="379" spans="1:40" x14ac:dyDescent="0.25">
      <c r="A379" t="str">
        <f>"20190304164831239"</f>
        <v>20190304164831239</v>
      </c>
      <c r="B379" t="str">
        <f>"1551689311227066"</f>
        <v>1551689311227066</v>
      </c>
      <c r="C379" t="s">
        <v>40</v>
      </c>
      <c r="D379">
        <v>4.851254</v>
      </c>
      <c r="E379">
        <v>0.54879800000000001</v>
      </c>
      <c r="F379" t="s">
        <v>41</v>
      </c>
      <c r="G379">
        <v>-395.05799999999999</v>
      </c>
      <c r="H379">
        <v>0.82893619999999901</v>
      </c>
      <c r="I379">
        <v>367.87130000000002</v>
      </c>
      <c r="J379">
        <v>-395.63740000000001</v>
      </c>
      <c r="K379">
        <v>1.090211</v>
      </c>
      <c r="L379">
        <v>367.86040000000003</v>
      </c>
      <c r="M379">
        <v>0.9999595</v>
      </c>
      <c r="N379">
        <v>-5.1652499999999997E-3</v>
      </c>
      <c r="O379">
        <v>7.3719190000000002E-3</v>
      </c>
      <c r="P379">
        <v>0.94912909999999995</v>
      </c>
      <c r="Q379">
        <v>0.3083554</v>
      </c>
      <c r="R379">
        <v>6.3803840000000001E-2</v>
      </c>
      <c r="S379">
        <v>3.5521240000000001</v>
      </c>
      <c r="T379">
        <v>-1.2138930000000001</v>
      </c>
      <c r="U379">
        <v>5.7617189999999999E-2</v>
      </c>
      <c r="V379">
        <v>-5.6673130000000002E-2</v>
      </c>
      <c r="W379">
        <v>0.31328030000000001</v>
      </c>
      <c r="X379">
        <v>0.94796809999999998</v>
      </c>
      <c r="Y379">
        <v>-8.7482419999999998E-3</v>
      </c>
      <c r="Z379">
        <v>-9.3579489999999997E-4</v>
      </c>
      <c r="AA379">
        <v>0.99996130000000005</v>
      </c>
      <c r="AB379">
        <v>35</v>
      </c>
      <c r="AC379">
        <v>0.57939999999996405</v>
      </c>
      <c r="AD379">
        <v>-0.26127479999999997</v>
      </c>
      <c r="AE379">
        <v>1.08999999999923E-2</v>
      </c>
      <c r="AF379">
        <v>-5.5085960639938104E-3</v>
      </c>
      <c r="AG379">
        <v>-0.26127479999999997</v>
      </c>
      <c r="AH379">
        <v>0.48157280386768597</v>
      </c>
      <c r="AI379">
        <v>118.480241327629</v>
      </c>
      <c r="AJ379">
        <v>90.655364128316904</v>
      </c>
      <c r="AK379">
        <v>0.54791170015853996</v>
      </c>
      <c r="AL379">
        <v>71.742970887796204</v>
      </c>
      <c r="AM379">
        <v>93.421286971057199</v>
      </c>
      <c r="AN379">
        <v>0.99999995432484701</v>
      </c>
    </row>
    <row r="380" spans="1:40" x14ac:dyDescent="0.25">
      <c r="A380" t="str">
        <f>"20190304164831258"</f>
        <v>20190304164831258</v>
      </c>
      <c r="B380" t="str">
        <f>"1551689311246585"</f>
        <v>1551689311246585</v>
      </c>
      <c r="C380" t="s">
        <v>40</v>
      </c>
      <c r="D380">
        <v>4.8411019999999896</v>
      </c>
      <c r="E380">
        <v>0.54875090000000004</v>
      </c>
      <c r="F380" t="s">
        <v>41</v>
      </c>
      <c r="G380">
        <v>-394.75869999999998</v>
      </c>
      <c r="H380">
        <v>0.78946549999999904</v>
      </c>
      <c r="I380">
        <v>367.87389999999999</v>
      </c>
      <c r="J380">
        <v>-395.34750000000003</v>
      </c>
      <c r="K380">
        <v>1.0924320000000001</v>
      </c>
      <c r="L380">
        <v>367.86250000000001</v>
      </c>
      <c r="M380">
        <v>0.99995599999999996</v>
      </c>
      <c r="N380">
        <v>-5.8326840000000003E-3</v>
      </c>
      <c r="O380">
        <v>7.3515450000000001E-3</v>
      </c>
      <c r="P380">
        <v>0.94939260000000003</v>
      </c>
      <c r="Q380">
        <v>0.30756559999999999</v>
      </c>
      <c r="R380">
        <v>6.3695280000000007E-2</v>
      </c>
      <c r="S380">
        <v>3.5519409999999998</v>
      </c>
      <c r="T380">
        <v>-1.215614</v>
      </c>
      <c r="U380">
        <v>5.6182860000000001E-2</v>
      </c>
      <c r="V380">
        <v>-5.6609399999999997E-2</v>
      </c>
      <c r="W380">
        <v>0.31311909999999998</v>
      </c>
      <c r="X380">
        <v>0.94802520000000001</v>
      </c>
      <c r="Y380">
        <v>-8.3828879999999998E-3</v>
      </c>
      <c r="Z380">
        <v>-9.8461009999999995E-4</v>
      </c>
      <c r="AA380">
        <v>0.99996439999999998</v>
      </c>
      <c r="AB380">
        <v>35</v>
      </c>
      <c r="AC380">
        <v>0.58880000000004795</v>
      </c>
      <c r="AD380">
        <v>-0.30296650000000003</v>
      </c>
      <c r="AE380">
        <v>1.13999999999805E-2</v>
      </c>
      <c r="AF380">
        <v>-5.5912419929470799E-3</v>
      </c>
      <c r="AG380">
        <v>-0.30296650000000003</v>
      </c>
      <c r="AH380">
        <v>0.46563280032378102</v>
      </c>
      <c r="AI380">
        <v>123.048370260122</v>
      </c>
      <c r="AJ380">
        <v>90.687965221596897</v>
      </c>
      <c r="AK380">
        <v>0.55554825789182305</v>
      </c>
      <c r="AL380">
        <v>71.752696903402494</v>
      </c>
      <c r="AM380">
        <v>93.417243446237606</v>
      </c>
      <c r="AN380">
        <v>0.99999998739410401</v>
      </c>
    </row>
    <row r="381" spans="1:40" x14ac:dyDescent="0.25">
      <c r="A381" t="str">
        <f>"20190304164831270"</f>
        <v>20190304164831270</v>
      </c>
      <c r="B381" t="str">
        <f>"1551689311267081"</f>
        <v>1551689311267081</v>
      </c>
      <c r="C381" t="s">
        <v>40</v>
      </c>
      <c r="D381">
        <v>4.8513529999999996</v>
      </c>
      <c r="E381">
        <v>0.54870859999999899</v>
      </c>
      <c r="F381" t="s">
        <v>41</v>
      </c>
      <c r="G381">
        <v>-394.4461</v>
      </c>
      <c r="H381">
        <v>0.78285680000000002</v>
      </c>
      <c r="I381">
        <v>367.8766</v>
      </c>
      <c r="J381">
        <v>-395.1284</v>
      </c>
      <c r="K381">
        <v>1.0939909999999999</v>
      </c>
      <c r="L381">
        <v>367.86399999999998</v>
      </c>
      <c r="M381">
        <v>0.99995299999999998</v>
      </c>
      <c r="N381">
        <v>-6.3384180000000002E-3</v>
      </c>
      <c r="O381">
        <v>7.3408469999999898E-3</v>
      </c>
      <c r="P381">
        <v>0.94965889999999997</v>
      </c>
      <c r="Q381">
        <v>0.3067974</v>
      </c>
      <c r="R381">
        <v>6.3430039999999993E-2</v>
      </c>
      <c r="S381">
        <v>3.5512389999999998</v>
      </c>
      <c r="T381">
        <v>-1.2196530000000001</v>
      </c>
      <c r="U381">
        <v>5.6426999999999998E-2</v>
      </c>
      <c r="V381">
        <v>-5.6369139999999998E-2</v>
      </c>
      <c r="W381">
        <v>0.31282929999999998</v>
      </c>
      <c r="X381">
        <v>0.94813519999999896</v>
      </c>
      <c r="Y381">
        <v>-8.4579859999999903E-3</v>
      </c>
      <c r="Z381">
        <v>-9.6602890000000005E-4</v>
      </c>
      <c r="AA381">
        <v>0.99996379999999996</v>
      </c>
      <c r="AB381">
        <v>35</v>
      </c>
      <c r="AC381">
        <v>0.68229999999999702</v>
      </c>
      <c r="AD381">
        <v>-0.31113419999999897</v>
      </c>
      <c r="AE381">
        <v>1.25999999999635E-2</v>
      </c>
      <c r="AF381">
        <v>-6.2845219267730198E-3</v>
      </c>
      <c r="AG381">
        <v>-0.31113419999999897</v>
      </c>
      <c r="AH381">
        <v>0.56493893933057204</v>
      </c>
      <c r="AI381">
        <v>118.841816418992</v>
      </c>
      <c r="AJ381">
        <v>90.637346278802497</v>
      </c>
      <c r="AK381">
        <v>0.64498061272990104</v>
      </c>
      <c r="AL381">
        <v>71.770179835538798</v>
      </c>
      <c r="AM381">
        <v>93.402380378005105</v>
      </c>
      <c r="AN381">
        <v>1.00000000418093</v>
      </c>
    </row>
    <row r="382" spans="1:40" x14ac:dyDescent="0.25">
      <c r="A382" t="str">
        <f>"20190304164831291"</f>
        <v>20190304164831291</v>
      </c>
      <c r="B382" t="str">
        <f>"1551689311286601"</f>
        <v>1551689311286601</v>
      </c>
      <c r="C382" t="s">
        <v>40</v>
      </c>
      <c r="D382">
        <v>4.8328290000000003</v>
      </c>
      <c r="E382">
        <v>0.54874769999999995</v>
      </c>
      <c r="F382" t="s">
        <v>41</v>
      </c>
      <c r="G382">
        <v>-394.41879999999998</v>
      </c>
      <c r="H382">
        <v>0.84946690000000002</v>
      </c>
      <c r="I382">
        <v>367.87490000000003</v>
      </c>
      <c r="J382">
        <v>-394.81889999999999</v>
      </c>
      <c r="K382">
        <v>1.096025</v>
      </c>
      <c r="L382">
        <v>367.86619999999999</v>
      </c>
      <c r="M382">
        <v>0.99994850000000002</v>
      </c>
      <c r="N382">
        <v>-7.0382719999999999E-3</v>
      </c>
      <c r="O382">
        <v>7.3312159999999998E-3</v>
      </c>
      <c r="P382">
        <v>0.94993899999999998</v>
      </c>
      <c r="Q382">
        <v>0.30595240000000001</v>
      </c>
      <c r="R382">
        <v>6.3319269999999997E-2</v>
      </c>
      <c r="S382">
        <v>3.5505979999999999</v>
      </c>
      <c r="T382">
        <v>-1.2235039999999999</v>
      </c>
      <c r="U382">
        <v>5.5084229999999998E-2</v>
      </c>
      <c r="V382">
        <v>-5.6283649999999998E-2</v>
      </c>
      <c r="W382">
        <v>0.31264629999999999</v>
      </c>
      <c r="X382">
        <v>0.94820059999999995</v>
      </c>
      <c r="Y382">
        <v>-8.1091659999999992E-3</v>
      </c>
      <c r="Z382">
        <v>-1.017785E-3</v>
      </c>
      <c r="AA382">
        <v>0.99996660000000004</v>
      </c>
      <c r="AB382">
        <v>35</v>
      </c>
      <c r="AC382">
        <v>0.400100000000008</v>
      </c>
      <c r="AD382">
        <v>-0.2465581</v>
      </c>
      <c r="AE382">
        <v>8.7000000000330095E-3</v>
      </c>
      <c r="AF382">
        <v>-4.17989578924841E-3</v>
      </c>
      <c r="AG382">
        <v>-0.2465581</v>
      </c>
      <c r="AH382">
        <v>0.29005555940649502</v>
      </c>
      <c r="AI382">
        <v>130.362848168901</v>
      </c>
      <c r="AJ382">
        <v>90.825613589206696</v>
      </c>
      <c r="AK382">
        <v>0.38071064569700902</v>
      </c>
      <c r="AL382">
        <v>71.7812179947</v>
      </c>
      <c r="AM382">
        <v>93.396998620941105</v>
      </c>
      <c r="AN382">
        <v>0.99999996800068502</v>
      </c>
    </row>
    <row r="383" spans="1:40" x14ac:dyDescent="0.25">
      <c r="A383" t="str">
        <f>"20190304164831304"</f>
        <v>20190304164831304</v>
      </c>
      <c r="B383" t="str">
        <f>"1551689311297338"</f>
        <v>1551689311297338</v>
      </c>
      <c r="C383" t="s">
        <v>40</v>
      </c>
      <c r="D383">
        <v>4.8374079999999999</v>
      </c>
      <c r="E383">
        <v>0.54873509999999903</v>
      </c>
      <c r="F383" t="s">
        <v>41</v>
      </c>
      <c r="G383">
        <v>-394.10399999999998</v>
      </c>
      <c r="H383">
        <v>0.84901819999999895</v>
      </c>
      <c r="I383">
        <v>367.87700000000001</v>
      </c>
      <c r="J383">
        <v>-394.62169999999998</v>
      </c>
      <c r="K383">
        <v>1.0972120000000001</v>
      </c>
      <c r="L383">
        <v>367.86770000000001</v>
      </c>
      <c r="M383">
        <v>0.99994530000000004</v>
      </c>
      <c r="N383">
        <v>-7.4692730000000002E-3</v>
      </c>
      <c r="O383">
        <v>7.3283940000000002E-3</v>
      </c>
      <c r="P383">
        <v>0.95007470000000005</v>
      </c>
      <c r="Q383">
        <v>0.3055445</v>
      </c>
      <c r="R383">
        <v>6.3253829999999997E-2</v>
      </c>
      <c r="S383">
        <v>3.5493769999999998</v>
      </c>
      <c r="T383">
        <v>-1.2262679999999999</v>
      </c>
      <c r="U383">
        <v>5.5053709999999999E-2</v>
      </c>
      <c r="V383">
        <v>-5.6229399999999999E-2</v>
      </c>
      <c r="W383">
        <v>0.31264629999999999</v>
      </c>
      <c r="X383">
        <v>0.94820389999999999</v>
      </c>
      <c r="Y383">
        <v>-8.1067309999999903E-3</v>
      </c>
      <c r="Z383">
        <v>-1.015106E-3</v>
      </c>
      <c r="AA383">
        <v>0.99996660000000004</v>
      </c>
      <c r="AB383">
        <v>35</v>
      </c>
      <c r="AC383">
        <v>0.51769999999993299</v>
      </c>
      <c r="AD383">
        <v>-0.24819379999999999</v>
      </c>
      <c r="AE383">
        <v>9.2999999999392405E-3</v>
      </c>
      <c r="AF383">
        <v>-4.4770597766080698E-3</v>
      </c>
      <c r="AG383">
        <v>-0.24819379999999999</v>
      </c>
      <c r="AH383">
        <v>0.42101857958889599</v>
      </c>
      <c r="AI383">
        <v>120.518270588311</v>
      </c>
      <c r="AJ383">
        <v>90.609253306168796</v>
      </c>
      <c r="AK383">
        <v>0.488750294917287</v>
      </c>
      <c r="AL383">
        <v>71.781219449667105</v>
      </c>
      <c r="AM383">
        <v>93.393720236338595</v>
      </c>
      <c r="AN383">
        <v>1.00000004515162</v>
      </c>
    </row>
    <row r="384" spans="1:40" x14ac:dyDescent="0.25">
      <c r="A384" t="str">
        <f>"20190304164831315"</f>
        <v>20190304164831315</v>
      </c>
      <c r="B384" t="str">
        <f>"1551689311307098"</f>
        <v>1551689311307098</v>
      </c>
      <c r="C384" t="s">
        <v>40</v>
      </c>
      <c r="D384">
        <v>4.8333469999999998</v>
      </c>
      <c r="E384">
        <v>0.54870220000000003</v>
      </c>
      <c r="F384" t="s">
        <v>41</v>
      </c>
      <c r="G384">
        <v>-393.8039</v>
      </c>
      <c r="H384">
        <v>0.8142064</v>
      </c>
      <c r="I384">
        <v>367.88029999999998</v>
      </c>
      <c r="J384">
        <v>-394.41899999999998</v>
      </c>
      <c r="K384">
        <v>1.0983780000000001</v>
      </c>
      <c r="L384">
        <v>367.8691</v>
      </c>
      <c r="M384">
        <v>0.99994190000000005</v>
      </c>
      <c r="N384">
        <v>-7.9030369999999999E-3</v>
      </c>
      <c r="O384">
        <v>7.3267779999999999E-3</v>
      </c>
      <c r="P384">
        <v>0.95016860000000003</v>
      </c>
      <c r="Q384">
        <v>0.3052513</v>
      </c>
      <c r="R384">
        <v>6.3257499999999994E-2</v>
      </c>
      <c r="S384">
        <v>3.5489199999999999</v>
      </c>
      <c r="T384">
        <v>-1.2280770000000001</v>
      </c>
      <c r="U384">
        <v>5.5053709999999999E-2</v>
      </c>
      <c r="V384">
        <v>-5.6242029999999998E-2</v>
      </c>
      <c r="W384">
        <v>0.31276359999999997</v>
      </c>
      <c r="X384">
        <v>0.94816440000000002</v>
      </c>
      <c r="Y384">
        <v>-8.1082810000000002E-3</v>
      </c>
      <c r="Z384">
        <v>-1.011074E-3</v>
      </c>
      <c r="AA384">
        <v>0.99996660000000004</v>
      </c>
      <c r="AB384">
        <v>35</v>
      </c>
      <c r="AC384">
        <v>0.61510000000003995</v>
      </c>
      <c r="AD384">
        <v>-0.28417160000000002</v>
      </c>
      <c r="AE384">
        <v>1.1199999999973899E-2</v>
      </c>
      <c r="AF384">
        <v>-5.5159411190093396E-3</v>
      </c>
      <c r="AG384">
        <v>-0.28417160000000002</v>
      </c>
      <c r="AH384">
        <v>0.50699077974009799</v>
      </c>
      <c r="AI384">
        <v>119.269465198524</v>
      </c>
      <c r="AJ384">
        <v>90.623340087942694</v>
      </c>
      <c r="AK384">
        <v>0.58122592388369998</v>
      </c>
      <c r="AL384">
        <v>71.774142630716298</v>
      </c>
      <c r="AM384">
        <v>93.394621818039298</v>
      </c>
      <c r="AN384">
        <v>0.99999998242541999</v>
      </c>
    </row>
    <row r="385" spans="1:40" x14ac:dyDescent="0.25">
      <c r="A385" t="str">
        <f>"20190304164831326"</f>
        <v>20190304164831326</v>
      </c>
      <c r="B385" t="str">
        <f>"1551689311316858"</f>
        <v>1551689311316858</v>
      </c>
      <c r="C385" t="s">
        <v>40</v>
      </c>
      <c r="D385">
        <v>4.8718539999999999</v>
      </c>
      <c r="E385">
        <v>0.54878359999999904</v>
      </c>
      <c r="F385" t="s">
        <v>41</v>
      </c>
      <c r="G385">
        <v>-393.50290000000001</v>
      </c>
      <c r="H385">
        <v>0.78091739999999998</v>
      </c>
      <c r="I385">
        <v>367.88310000000001</v>
      </c>
      <c r="J385">
        <v>-394.25240000000002</v>
      </c>
      <c r="K385">
        <v>1.09924</v>
      </c>
      <c r="L385">
        <v>367.87040000000002</v>
      </c>
      <c r="M385">
        <v>0.99993920000000003</v>
      </c>
      <c r="N385">
        <v>-8.240364E-3</v>
      </c>
      <c r="O385">
        <v>7.3264619999999997E-3</v>
      </c>
      <c r="P385">
        <v>0.95031089999999996</v>
      </c>
      <c r="Q385">
        <v>0.30477459999999901</v>
      </c>
      <c r="R385">
        <v>6.3417080000000001E-2</v>
      </c>
      <c r="S385">
        <v>3.5487669999999998</v>
      </c>
      <c r="T385">
        <v>-1.2297389999999999</v>
      </c>
      <c r="U385">
        <v>5.5267330000000003E-2</v>
      </c>
      <c r="V385">
        <v>-5.6405579999999997E-2</v>
      </c>
      <c r="W385">
        <v>0.31260729999999998</v>
      </c>
      <c r="X385">
        <v>0.9482062</v>
      </c>
      <c r="Y385">
        <v>-8.1645729999999996E-3</v>
      </c>
      <c r="Z385">
        <v>-9.988957000000001E-4</v>
      </c>
      <c r="AA385">
        <v>0.99996609999999997</v>
      </c>
      <c r="AB385">
        <v>35</v>
      </c>
      <c r="AC385">
        <v>0.74950000000001105</v>
      </c>
      <c r="AD385">
        <v>-0.31832259999999901</v>
      </c>
      <c r="AE385">
        <v>1.26999999999952E-2</v>
      </c>
      <c r="AF385">
        <v>-6.1070140294297503E-3</v>
      </c>
      <c r="AG385">
        <v>-0.31832259999999901</v>
      </c>
      <c r="AH385">
        <v>0.63505391919047904</v>
      </c>
      <c r="AI385">
        <v>116.621388510253</v>
      </c>
      <c r="AJ385">
        <v>90.550969505386504</v>
      </c>
      <c r="AK385">
        <v>0.71039429443816904</v>
      </c>
      <c r="AL385">
        <v>71.783570210325806</v>
      </c>
      <c r="AM385">
        <v>93.404320356047705</v>
      </c>
      <c r="AN385">
        <v>0.99999995559343202</v>
      </c>
    </row>
    <row r="386" spans="1:40" x14ac:dyDescent="0.25">
      <c r="A386" t="str">
        <f>"20190304164831339"</f>
        <v>20190304164831339</v>
      </c>
      <c r="B386" t="str">
        <f>"1551689311326618"</f>
        <v>1551689311326618</v>
      </c>
      <c r="C386" t="s">
        <v>40</v>
      </c>
      <c r="D386">
        <v>4.8453920000000004</v>
      </c>
      <c r="E386">
        <v>0.54879829999999996</v>
      </c>
      <c r="F386" t="s">
        <v>41</v>
      </c>
      <c r="G386">
        <v>-393.4821</v>
      </c>
      <c r="H386">
        <v>0.83212019999999998</v>
      </c>
      <c r="I386">
        <v>367.8818</v>
      </c>
      <c r="J386">
        <v>-394.06330000000003</v>
      </c>
      <c r="K386">
        <v>1.1001810000000001</v>
      </c>
      <c r="L386">
        <v>367.87169999999998</v>
      </c>
      <c r="M386">
        <v>0.99993620000000005</v>
      </c>
      <c r="N386">
        <v>-8.6151679999999994E-3</v>
      </c>
      <c r="O386">
        <v>7.3258749999999999E-3</v>
      </c>
      <c r="P386">
        <v>0.9503646</v>
      </c>
      <c r="Q386">
        <v>0.30459950000000002</v>
      </c>
      <c r="R386">
        <v>6.3454940000000001E-2</v>
      </c>
      <c r="S386">
        <v>3.5477910000000001</v>
      </c>
      <c r="T386">
        <v>-1.2302759999999999</v>
      </c>
      <c r="U386">
        <v>5.4412839999999997E-2</v>
      </c>
      <c r="V386">
        <v>-5.6449550000000001E-2</v>
      </c>
      <c r="W386">
        <v>0.31278709999999998</v>
      </c>
      <c r="X386">
        <v>0.94814430000000005</v>
      </c>
      <c r="Y386">
        <v>-7.940496E-3</v>
      </c>
      <c r="Z386">
        <v>-1.0339329999999999E-3</v>
      </c>
      <c r="AA386">
        <v>0.99996790000000002</v>
      </c>
      <c r="AB386">
        <v>35</v>
      </c>
      <c r="AC386">
        <v>0.58120000000002303</v>
      </c>
      <c r="AD386">
        <v>-0.26806079999999899</v>
      </c>
      <c r="AE386">
        <v>1.01000000000226E-2</v>
      </c>
      <c r="AF386">
        <v>-4.8173244170880503E-3</v>
      </c>
      <c r="AG386">
        <v>-0.26806079999999899</v>
      </c>
      <c r="AH386">
        <v>0.479325414241074</v>
      </c>
      <c r="AI386">
        <v>119.214693754812</v>
      </c>
      <c r="AJ386">
        <v>90.575815629549496</v>
      </c>
      <c r="AK386">
        <v>0.54921093566002199</v>
      </c>
      <c r="AL386">
        <v>71.772724776774695</v>
      </c>
      <c r="AM386">
        <v>93.407189788106393</v>
      </c>
      <c r="AN386">
        <v>0.99999996762205001</v>
      </c>
    </row>
    <row r="387" spans="1:40" x14ac:dyDescent="0.25">
      <c r="A387" t="str">
        <f>"20190304164831350"</f>
        <v>20190304164831350</v>
      </c>
      <c r="B387" t="str">
        <f>"1551689311347114"</f>
        <v>1551689311347114</v>
      </c>
      <c r="C387" t="s">
        <v>40</v>
      </c>
      <c r="D387">
        <v>4.836106</v>
      </c>
      <c r="E387">
        <v>0.54887059999999999</v>
      </c>
      <c r="F387" t="s">
        <v>41</v>
      </c>
      <c r="G387">
        <v>-393.1832</v>
      </c>
      <c r="H387">
        <v>0.79484370000000004</v>
      </c>
      <c r="I387">
        <v>367.88490000000002</v>
      </c>
      <c r="J387">
        <v>-393.89109999999999</v>
      </c>
      <c r="K387">
        <v>1.1009610000000001</v>
      </c>
      <c r="L387">
        <v>367.87299999999999</v>
      </c>
      <c r="M387">
        <v>0.99993339999999997</v>
      </c>
      <c r="N387">
        <v>-8.9398729999999992E-3</v>
      </c>
      <c r="O387">
        <v>7.3258500000000001E-3</v>
      </c>
      <c r="P387">
        <v>0.95055540000000005</v>
      </c>
      <c r="Q387">
        <v>0.30395349999999999</v>
      </c>
      <c r="R387">
        <v>6.3695329999999994E-2</v>
      </c>
      <c r="S387">
        <v>3.5475159999999999</v>
      </c>
      <c r="T387">
        <v>-1.230685</v>
      </c>
      <c r="U387">
        <v>5.4077149999999997E-2</v>
      </c>
      <c r="V387">
        <v>-5.6692619999999999E-2</v>
      </c>
      <c r="W387">
        <v>0.31245020000000001</v>
      </c>
      <c r="X387">
        <v>0.94824090000000005</v>
      </c>
      <c r="Y387">
        <v>-7.8511629999999995E-3</v>
      </c>
      <c r="Z387">
        <v>-1.0461870000000001E-3</v>
      </c>
      <c r="AA387">
        <v>0.99996859999999999</v>
      </c>
      <c r="AB387">
        <v>35</v>
      </c>
      <c r="AC387">
        <v>0.70789999999999498</v>
      </c>
      <c r="AD387">
        <v>-0.30611729999999998</v>
      </c>
      <c r="AE387">
        <v>1.18999999999687E-2</v>
      </c>
      <c r="AF387">
        <v>-5.6561310741515504E-3</v>
      </c>
      <c r="AG387">
        <v>-0.30611729999999998</v>
      </c>
      <c r="AH387">
        <v>0.59646350457806296</v>
      </c>
      <c r="AI387">
        <v>117.166778052677</v>
      </c>
      <c r="AJ387">
        <v>90.543306879791302</v>
      </c>
      <c r="AK387">
        <v>0.67045395477360203</v>
      </c>
      <c r="AL387">
        <v>71.793046734289703</v>
      </c>
      <c r="AM387">
        <v>93.421478491649296</v>
      </c>
      <c r="AN387">
        <v>0.99999999253765703</v>
      </c>
    </row>
    <row r="388" spans="1:40" x14ac:dyDescent="0.25">
      <c r="A388" t="str">
        <f>"20190304164831361"</f>
        <v>20190304164831361</v>
      </c>
      <c r="B388" t="str">
        <f>"1551689311356873"</f>
        <v>1551689311356873</v>
      </c>
      <c r="C388" t="s">
        <v>40</v>
      </c>
      <c r="D388">
        <v>4.8394690000000002</v>
      </c>
      <c r="E388">
        <v>0.54886729999999995</v>
      </c>
      <c r="F388" t="s">
        <v>41</v>
      </c>
      <c r="G388">
        <v>-393.16140000000001</v>
      </c>
      <c r="H388">
        <v>0.84748829999999997</v>
      </c>
      <c r="I388">
        <v>367.88389999999998</v>
      </c>
      <c r="J388">
        <v>-393.7149</v>
      </c>
      <c r="K388">
        <v>1.1017189999999999</v>
      </c>
      <c r="L388">
        <v>367.87419999999997</v>
      </c>
      <c r="M388">
        <v>0.99993030000000005</v>
      </c>
      <c r="N388">
        <v>-9.2588050000000002E-3</v>
      </c>
      <c r="O388">
        <v>7.325916E-3</v>
      </c>
      <c r="P388">
        <v>0.95071700000000003</v>
      </c>
      <c r="Q388">
        <v>0.303456</v>
      </c>
      <c r="R388">
        <v>6.3653139999999997E-2</v>
      </c>
      <c r="S388">
        <v>3.5463260000000001</v>
      </c>
      <c r="T388">
        <v>-1.2318720000000001</v>
      </c>
      <c r="U388">
        <v>5.3924560000000003E-2</v>
      </c>
      <c r="V388">
        <v>-5.6653009999999997E-2</v>
      </c>
      <c r="W388">
        <v>0.31225589999999998</v>
      </c>
      <c r="X388">
        <v>0.94830729999999996</v>
      </c>
      <c r="Y388">
        <v>-7.814072E-3</v>
      </c>
      <c r="Z388">
        <v>-1.050491E-3</v>
      </c>
      <c r="AA388">
        <v>0.99996890000000005</v>
      </c>
      <c r="AB388">
        <v>35</v>
      </c>
      <c r="AC388">
        <v>0.553499999999985</v>
      </c>
      <c r="AD388">
        <v>-0.25423069999999998</v>
      </c>
      <c r="AE388">
        <v>9.7000000000093695E-3</v>
      </c>
      <c r="AF388">
        <v>-4.6615301983087302E-3</v>
      </c>
      <c r="AG388">
        <v>-0.25423069999999998</v>
      </c>
      <c r="AH388">
        <v>0.45714246701066202</v>
      </c>
      <c r="AI388">
        <v>119.078489170075</v>
      </c>
      <c r="AJ388">
        <v>90.584230888616403</v>
      </c>
      <c r="AK388">
        <v>0.52310057716549496</v>
      </c>
      <c r="AL388">
        <v>71.804766219780007</v>
      </c>
      <c r="AM388">
        <v>93.418854810797498</v>
      </c>
      <c r="AN388">
        <v>1.0000000229300701</v>
      </c>
    </row>
    <row r="389" spans="1:40" x14ac:dyDescent="0.25">
      <c r="A389" t="str">
        <f>"20190304164831372"</f>
        <v>20190304164831372</v>
      </c>
      <c r="B389" t="str">
        <f>"1551689311366633"</f>
        <v>1551689311366633</v>
      </c>
      <c r="C389" t="s">
        <v>40</v>
      </c>
      <c r="D389">
        <v>4.8516240000000002</v>
      </c>
      <c r="E389">
        <v>0.548875</v>
      </c>
      <c r="F389" t="s">
        <v>41</v>
      </c>
      <c r="G389">
        <v>-392.86489999999998</v>
      </c>
      <c r="H389">
        <v>0.80589429999999995</v>
      </c>
      <c r="I389">
        <v>367.88670000000002</v>
      </c>
      <c r="J389">
        <v>-393.53649999999999</v>
      </c>
      <c r="K389">
        <v>1.1024389999999999</v>
      </c>
      <c r="L389">
        <v>367.87549999999999</v>
      </c>
      <c r="M389">
        <v>0.99992749999999997</v>
      </c>
      <c r="N389">
        <v>-9.5695220000000004E-3</v>
      </c>
      <c r="O389">
        <v>7.3256689999999999E-3</v>
      </c>
      <c r="P389">
        <v>0.95082940000000005</v>
      </c>
      <c r="Q389">
        <v>0.3030757</v>
      </c>
      <c r="R389">
        <v>6.3787670000000005E-2</v>
      </c>
      <c r="S389">
        <v>3.545776</v>
      </c>
      <c r="T389">
        <v>-1.233946</v>
      </c>
      <c r="U389">
        <v>5.3985600000000002E-2</v>
      </c>
      <c r="V389">
        <v>-5.6789890000000003E-2</v>
      </c>
      <c r="W389">
        <v>0.31217070000000002</v>
      </c>
      <c r="X389">
        <v>0.94832709999999998</v>
      </c>
      <c r="Y389">
        <v>-7.8314460000000006E-3</v>
      </c>
      <c r="Z389">
        <v>-1.0459289999999999E-3</v>
      </c>
      <c r="AA389">
        <v>0.99996879999999999</v>
      </c>
      <c r="AB389">
        <v>35</v>
      </c>
      <c r="AC389">
        <v>0.67160000000001197</v>
      </c>
      <c r="AD389">
        <v>-0.296544699999999</v>
      </c>
      <c r="AE389">
        <v>1.1200000000030699E-2</v>
      </c>
      <c r="AF389">
        <v>-5.2552458806603497E-3</v>
      </c>
      <c r="AG389">
        <v>-0.296544699999999</v>
      </c>
      <c r="AH389">
        <v>0.56210342300378902</v>
      </c>
      <c r="AI389">
        <v>117.813415918846</v>
      </c>
      <c r="AJ389">
        <v>90.535657006175498</v>
      </c>
      <c r="AK389">
        <v>0.63555222827076396</v>
      </c>
      <c r="AL389">
        <v>71.809903554350697</v>
      </c>
      <c r="AM389">
        <v>93.427024098123198</v>
      </c>
      <c r="AN389">
        <v>0.99999996306955496</v>
      </c>
    </row>
    <row r="390" spans="1:40" x14ac:dyDescent="0.25">
      <c r="A390" t="str">
        <f>"20190304164831384"</f>
        <v>20190304164831384</v>
      </c>
      <c r="B390" t="str">
        <f>"1551689311376394"</f>
        <v>1551689311376394</v>
      </c>
      <c r="C390" t="s">
        <v>40</v>
      </c>
      <c r="D390">
        <v>4.7877609999999997</v>
      </c>
      <c r="E390">
        <v>0.5489233</v>
      </c>
      <c r="F390" t="s">
        <v>41</v>
      </c>
      <c r="G390">
        <v>-392.84199999999998</v>
      </c>
      <c r="H390">
        <v>0.86044379999999998</v>
      </c>
      <c r="I390">
        <v>367.8861</v>
      </c>
      <c r="J390">
        <v>-393.34840000000003</v>
      </c>
      <c r="K390">
        <v>1.103132</v>
      </c>
      <c r="L390">
        <v>367.87689999999998</v>
      </c>
      <c r="M390">
        <v>0.99992440000000005</v>
      </c>
      <c r="N390">
        <v>-9.8766159999999995E-3</v>
      </c>
      <c r="O390">
        <v>7.3253880000000004E-3</v>
      </c>
      <c r="P390">
        <v>0.9508141</v>
      </c>
      <c r="Q390">
        <v>0.30315249999999999</v>
      </c>
      <c r="R390">
        <v>6.36486E-2</v>
      </c>
      <c r="S390">
        <v>3.5451350000000001</v>
      </c>
      <c r="T390">
        <v>-1.235247</v>
      </c>
      <c r="U390">
        <v>5.621338E-2</v>
      </c>
      <c r="V390">
        <v>-5.6654709999999997E-2</v>
      </c>
      <c r="W390">
        <v>0.31253809999999999</v>
      </c>
      <c r="X390">
        <v>0.94821420000000001</v>
      </c>
      <c r="Y390">
        <v>-8.4253249999999991E-3</v>
      </c>
      <c r="Z390">
        <v>-9.402341E-4</v>
      </c>
      <c r="AA390">
        <v>0.99996410000000002</v>
      </c>
      <c r="AB390">
        <v>35</v>
      </c>
      <c r="AC390">
        <v>0.50640000000004104</v>
      </c>
      <c r="AD390">
        <v>-0.24268819999999999</v>
      </c>
      <c r="AE390">
        <v>9.2000000000211895E-3</v>
      </c>
      <c r="AF390">
        <v>-4.46487327731818E-3</v>
      </c>
      <c r="AG390">
        <v>-0.24268819999999999</v>
      </c>
      <c r="AH390">
        <v>0.41188594411186602</v>
      </c>
      <c r="AI390">
        <v>120.50563628256801</v>
      </c>
      <c r="AJ390">
        <v>90.621066047652306</v>
      </c>
      <c r="AK390">
        <v>0.47808736489217701</v>
      </c>
      <c r="AL390">
        <v>71.787744957486495</v>
      </c>
      <c r="AM390">
        <v>93.4192920502161</v>
      </c>
      <c r="AN390">
        <v>0.99999999459921696</v>
      </c>
    </row>
    <row r="391" spans="1:40" x14ac:dyDescent="0.25">
      <c r="A391" t="str">
        <f>"20190304164831395"</f>
        <v>20190304164831395</v>
      </c>
      <c r="B391" t="str">
        <f>"1551689311387130"</f>
        <v>1551689311387130</v>
      </c>
      <c r="C391" t="s">
        <v>40</v>
      </c>
      <c r="D391">
        <v>4.7763200000000001</v>
      </c>
      <c r="E391">
        <v>0.54895899999999997</v>
      </c>
      <c r="F391" t="s">
        <v>41</v>
      </c>
      <c r="G391">
        <v>-392.54450000000003</v>
      </c>
      <c r="H391">
        <v>0.82316939999999905</v>
      </c>
      <c r="I391">
        <v>367.8895</v>
      </c>
      <c r="J391">
        <v>-393.16109999999998</v>
      </c>
      <c r="K391">
        <v>1.10379</v>
      </c>
      <c r="L391">
        <v>367.87819999999999</v>
      </c>
      <c r="M391">
        <v>0.99992139999999996</v>
      </c>
      <c r="N391">
        <v>-1.0173639999999999E-2</v>
      </c>
      <c r="O391">
        <v>7.3247540000000002E-3</v>
      </c>
      <c r="P391">
        <v>0.95091270000000006</v>
      </c>
      <c r="Q391">
        <v>0.30285319999999999</v>
      </c>
      <c r="R391">
        <v>6.3601790000000005E-2</v>
      </c>
      <c r="S391">
        <v>3.5449830000000002</v>
      </c>
      <c r="T391">
        <v>-1.234502</v>
      </c>
      <c r="U391">
        <v>5.6579589999999999E-2</v>
      </c>
      <c r="V391">
        <v>-5.6609840000000002E-2</v>
      </c>
      <c r="W391">
        <v>0.31252089999999999</v>
      </c>
      <c r="X391">
        <v>0.94822260000000003</v>
      </c>
      <c r="Y391">
        <v>-8.5228639999999998E-3</v>
      </c>
      <c r="Z391">
        <v>-9.1905229999999995E-4</v>
      </c>
      <c r="AA391">
        <v>0.9999633</v>
      </c>
      <c r="AB391">
        <v>35</v>
      </c>
      <c r="AC391">
        <v>0.61659999999994797</v>
      </c>
      <c r="AD391">
        <v>-0.2806206</v>
      </c>
      <c r="AE391">
        <v>1.1300000000005601E-2</v>
      </c>
      <c r="AF391">
        <v>-5.6194774362717404E-3</v>
      </c>
      <c r="AG391">
        <v>-0.2806206</v>
      </c>
      <c r="AH391">
        <v>0.51088484735947204</v>
      </c>
      <c r="AI391">
        <v>118.777802091708</v>
      </c>
      <c r="AJ391">
        <v>90.630199462244406</v>
      </c>
      <c r="AK391">
        <v>0.58290893536857702</v>
      </c>
      <c r="AL391">
        <v>71.788783326121404</v>
      </c>
      <c r="AM391">
        <v>93.416560225669201</v>
      </c>
      <c r="AN391">
        <v>1.0000000430361899</v>
      </c>
    </row>
    <row r="392" spans="1:40" x14ac:dyDescent="0.25">
      <c r="A392" t="str">
        <f>"20190304164831414"</f>
        <v>20190304164831414</v>
      </c>
      <c r="B392" t="str">
        <f>"1551689311406653"</f>
        <v>1551689311406653</v>
      </c>
      <c r="C392" t="s">
        <v>40</v>
      </c>
      <c r="D392">
        <v>4.7929959999999996</v>
      </c>
      <c r="E392">
        <v>0.54904149999999996</v>
      </c>
      <c r="F392" t="s">
        <v>41</v>
      </c>
      <c r="G392">
        <v>-392.24680000000001</v>
      </c>
      <c r="H392">
        <v>0.78511629999999999</v>
      </c>
      <c r="I392">
        <v>367.89249999999998</v>
      </c>
      <c r="J392">
        <v>-392.86529999999999</v>
      </c>
      <c r="K392">
        <v>1.1047100000000001</v>
      </c>
      <c r="L392">
        <v>367.88029999999998</v>
      </c>
      <c r="M392">
        <v>0.99991699999999994</v>
      </c>
      <c r="N392">
        <v>-1.060531E-2</v>
      </c>
      <c r="O392">
        <v>7.323843E-3</v>
      </c>
      <c r="P392">
        <v>0.95097520000000002</v>
      </c>
      <c r="Q392">
        <v>0.30268909999999999</v>
      </c>
      <c r="R392">
        <v>6.3446939999999993E-2</v>
      </c>
      <c r="S392">
        <v>3.5443730000000002</v>
      </c>
      <c r="T392">
        <v>-1.235269</v>
      </c>
      <c r="U392">
        <v>5.7708740000000001E-2</v>
      </c>
      <c r="V392">
        <v>-5.645853E-2</v>
      </c>
      <c r="W392">
        <v>0.3127663</v>
      </c>
      <c r="X392">
        <v>0.94815059999999995</v>
      </c>
      <c r="Y392">
        <v>-8.8247069999999993E-3</v>
      </c>
      <c r="Z392">
        <v>-8.6181880000000004E-4</v>
      </c>
      <c r="AA392">
        <v>0.99996070000000004</v>
      </c>
      <c r="AB392">
        <v>35</v>
      </c>
      <c r="AC392">
        <v>0.61849999999998295</v>
      </c>
      <c r="AD392">
        <v>-0.31959369999999998</v>
      </c>
      <c r="AE392">
        <v>1.2200000000007E-2</v>
      </c>
      <c r="AF392">
        <v>-6.0538505442942403E-3</v>
      </c>
      <c r="AG392">
        <v>-0.31959369999999998</v>
      </c>
      <c r="AH392">
        <v>0.48825709817769702</v>
      </c>
      <c r="AI392">
        <v>123.205146818527</v>
      </c>
      <c r="AJ392">
        <v>90.710368194022195</v>
      </c>
      <c r="AK392">
        <v>0.58358527749336497</v>
      </c>
      <c r="AL392">
        <v>71.773979001216105</v>
      </c>
      <c r="AM392">
        <v>93.407707937624593</v>
      </c>
      <c r="AN392">
        <v>0.999999942152903</v>
      </c>
    </row>
    <row r="393" spans="1:40" x14ac:dyDescent="0.25">
      <c r="A393" t="str">
        <f>"20190304164831426"</f>
        <v>20190304164831426</v>
      </c>
      <c r="B393" t="str">
        <f>"1551689311416409"</f>
        <v>1551689311416409</v>
      </c>
      <c r="C393" t="s">
        <v>40</v>
      </c>
      <c r="D393">
        <v>4.8767880000000003</v>
      </c>
      <c r="E393">
        <v>0.54903950000000001</v>
      </c>
      <c r="F393" t="s">
        <v>41</v>
      </c>
      <c r="G393">
        <v>-392.2088</v>
      </c>
      <c r="H393">
        <v>0.8759593</v>
      </c>
      <c r="I393">
        <v>367.8904</v>
      </c>
      <c r="J393">
        <v>-392.7047</v>
      </c>
      <c r="K393">
        <v>1.1051439999999999</v>
      </c>
      <c r="L393">
        <v>367.88150000000002</v>
      </c>
      <c r="M393">
        <v>0.99991470000000005</v>
      </c>
      <c r="N393">
        <v>-1.0818690000000001E-2</v>
      </c>
      <c r="O393">
        <v>7.3234210000000001E-3</v>
      </c>
      <c r="P393">
        <v>0.95097690000000001</v>
      </c>
      <c r="Q393">
        <v>0.30268659999999997</v>
      </c>
      <c r="R393">
        <v>6.3433890000000007E-2</v>
      </c>
      <c r="S393">
        <v>3.5438230000000002</v>
      </c>
      <c r="T393">
        <v>-1.234632</v>
      </c>
      <c r="U393">
        <v>5.7403559999999999E-2</v>
      </c>
      <c r="V393">
        <v>-5.6447400000000002E-2</v>
      </c>
      <c r="W393">
        <v>0.31296570000000001</v>
      </c>
      <c r="X393">
        <v>0.94808550000000003</v>
      </c>
      <c r="Y393">
        <v>-8.7455669999999992E-3</v>
      </c>
      <c r="Z393">
        <v>-8.7268489999999996E-4</v>
      </c>
      <c r="AA393">
        <v>0.9999614</v>
      </c>
      <c r="AB393">
        <v>35</v>
      </c>
      <c r="AC393">
        <v>0.495900000000006</v>
      </c>
      <c r="AD393">
        <v>-0.22918469999999999</v>
      </c>
      <c r="AE393">
        <v>8.8999999999828001E-3</v>
      </c>
      <c r="AF393">
        <v>-4.3409705729664299E-3</v>
      </c>
      <c r="AG393">
        <v>-0.22918469999999999</v>
      </c>
      <c r="AH393">
        <v>0.40868791430030199</v>
      </c>
      <c r="AI393">
        <v>119.281531542515</v>
      </c>
      <c r="AJ393">
        <v>90.6085571194116</v>
      </c>
      <c r="AK393">
        <v>0.468583271185321</v>
      </c>
      <c r="AL393">
        <v>71.761951005662795</v>
      </c>
      <c r="AM393">
        <v>93.407271130934205</v>
      </c>
      <c r="AN393">
        <v>0.99999997682674902</v>
      </c>
    </row>
    <row r="394" spans="1:40" x14ac:dyDescent="0.25">
      <c r="A394" t="str">
        <f>"20190304164831436"</f>
        <v>20190304164831436</v>
      </c>
      <c r="B394" t="str">
        <f>"1551689311427146"</f>
        <v>1551689311427146</v>
      </c>
      <c r="C394" t="s">
        <v>40</v>
      </c>
      <c r="D394">
        <v>4.7960310000000002</v>
      </c>
      <c r="E394">
        <v>0.54905959999999998</v>
      </c>
      <c r="F394" t="s">
        <v>41</v>
      </c>
      <c r="G394">
        <v>-391.91559999999998</v>
      </c>
      <c r="H394">
        <v>0.83021659999999997</v>
      </c>
      <c r="I394">
        <v>367.89409999999998</v>
      </c>
      <c r="J394">
        <v>-392.53109999999998</v>
      </c>
      <c r="K394">
        <v>1.1056079999999999</v>
      </c>
      <c r="L394">
        <v>367.88279999999997</v>
      </c>
      <c r="M394">
        <v>0.99991229999999998</v>
      </c>
      <c r="N394">
        <v>-1.104684E-2</v>
      </c>
      <c r="O394">
        <v>7.3231919999999897E-3</v>
      </c>
      <c r="P394">
        <v>0.95098099999999997</v>
      </c>
      <c r="Q394">
        <v>0.30266850000000001</v>
      </c>
      <c r="R394">
        <v>6.3460219999999998E-2</v>
      </c>
      <c r="S394">
        <v>3.5437620000000001</v>
      </c>
      <c r="T394">
        <v>-1.234583</v>
      </c>
      <c r="U394">
        <v>5.7037350000000001E-2</v>
      </c>
      <c r="V394">
        <v>-5.6475160000000003E-2</v>
      </c>
      <c r="W394">
        <v>0.313164</v>
      </c>
      <c r="X394">
        <v>0.94801840000000004</v>
      </c>
      <c r="Y394">
        <v>-8.6477889999999995E-3</v>
      </c>
      <c r="Z394">
        <v>-8.8703479999999895E-4</v>
      </c>
      <c r="AA394">
        <v>0.99996220000000002</v>
      </c>
      <c r="AB394">
        <v>35</v>
      </c>
      <c r="AC394">
        <v>0.61549999999999705</v>
      </c>
      <c r="AD394">
        <v>-0.27539139999999901</v>
      </c>
      <c r="AE394">
        <v>1.1300000000005601E-2</v>
      </c>
      <c r="AF394">
        <v>-5.6594153406227298E-3</v>
      </c>
      <c r="AG394">
        <v>-0.27539139999999901</v>
      </c>
      <c r="AH394">
        <v>0.51291905067573196</v>
      </c>
      <c r="AI394">
        <v>118.230345252725</v>
      </c>
      <c r="AJ394">
        <v>90.632161069467998</v>
      </c>
      <c r="AK394">
        <v>0.58220134379959199</v>
      </c>
      <c r="AL394">
        <v>71.749988526588595</v>
      </c>
      <c r="AM394">
        <v>93.409183539253704</v>
      </c>
      <c r="AN394">
        <v>1.00000001066579</v>
      </c>
    </row>
    <row r="395" spans="1:40" x14ac:dyDescent="0.25">
      <c r="A395" t="str">
        <f>"20190304164831450"</f>
        <v>20190304164831450</v>
      </c>
      <c r="B395" t="str">
        <f>"1551689311436906"</f>
        <v>1551689311436906</v>
      </c>
      <c r="C395" t="s">
        <v>40</v>
      </c>
      <c r="D395">
        <v>5.2448610000000002</v>
      </c>
      <c r="E395">
        <v>0.54905470000000001</v>
      </c>
      <c r="F395" t="s">
        <v>41</v>
      </c>
      <c r="G395">
        <v>-391.62020000000001</v>
      </c>
      <c r="H395">
        <v>0.78828750000000003</v>
      </c>
      <c r="I395">
        <v>367.89690000000002</v>
      </c>
      <c r="J395">
        <v>-392.31740000000002</v>
      </c>
      <c r="K395">
        <v>1.1061080000000001</v>
      </c>
      <c r="L395">
        <v>367.88440000000003</v>
      </c>
      <c r="M395">
        <v>0.9999093</v>
      </c>
      <c r="N395">
        <v>-1.1304410000000001E-2</v>
      </c>
      <c r="O395">
        <v>7.3230659999999996E-3</v>
      </c>
      <c r="P395">
        <v>0.95102969999999998</v>
      </c>
      <c r="Q395">
        <v>0.3025506</v>
      </c>
      <c r="R395">
        <v>6.3292029999999999E-2</v>
      </c>
      <c r="S395">
        <v>3.5438230000000002</v>
      </c>
      <c r="T395">
        <v>-1.2345489999999999</v>
      </c>
      <c r="U395">
        <v>5.6518550000000001E-2</v>
      </c>
      <c r="V395">
        <v>-5.6307690000000001E-2</v>
      </c>
      <c r="W395">
        <v>0.31329030000000002</v>
      </c>
      <c r="X395">
        <v>0.94798660000000001</v>
      </c>
      <c r="Y395">
        <v>-8.5087229999999993E-3</v>
      </c>
      <c r="Z395">
        <v>-9.0830559999999997E-4</v>
      </c>
      <c r="AA395">
        <v>0.99996339999999995</v>
      </c>
      <c r="AB395">
        <v>35</v>
      </c>
      <c r="AC395">
        <v>0.69720000000000903</v>
      </c>
      <c r="AD395">
        <v>-0.31782050000000001</v>
      </c>
      <c r="AE395">
        <v>1.24999999999886E-2</v>
      </c>
      <c r="AF395">
        <v>-6.1219535350291298E-3</v>
      </c>
      <c r="AG395">
        <v>-0.31782050000000001</v>
      </c>
      <c r="AH395">
        <v>0.57733931819293904</v>
      </c>
      <c r="AI395">
        <v>118.8310577438</v>
      </c>
      <c r="AJ395">
        <v>90.607526533002797</v>
      </c>
      <c r="AK395">
        <v>0.65906603376810702</v>
      </c>
      <c r="AL395">
        <v>71.742368060150099</v>
      </c>
      <c r="AM395">
        <v>93.399211526657496</v>
      </c>
      <c r="AN395">
        <v>0.99999998090339204</v>
      </c>
    </row>
    <row r="396" spans="1:40" x14ac:dyDescent="0.25">
      <c r="A396" t="str">
        <f>"20190304164831464"</f>
        <v>20190304164831464</v>
      </c>
      <c r="B396" t="str">
        <f>"1551689311456425"</f>
        <v>1551689311456425</v>
      </c>
      <c r="C396" t="s">
        <v>40</v>
      </c>
      <c r="D396">
        <v>4.9306739999999998</v>
      </c>
      <c r="E396">
        <v>0.54905159999999997</v>
      </c>
      <c r="F396" t="s">
        <v>41</v>
      </c>
      <c r="G396">
        <v>-391.59309999999999</v>
      </c>
      <c r="H396">
        <v>0.85367409999999999</v>
      </c>
      <c r="I396">
        <v>367.89519999999999</v>
      </c>
      <c r="J396">
        <v>-392.10919999999999</v>
      </c>
      <c r="K396">
        <v>1.106552</v>
      </c>
      <c r="L396">
        <v>367.88589999999999</v>
      </c>
      <c r="M396">
        <v>0.99990670000000004</v>
      </c>
      <c r="N396">
        <v>-1.1540480000000001E-2</v>
      </c>
      <c r="O396">
        <v>7.3230889999999996E-3</v>
      </c>
      <c r="P396">
        <v>0.95102940000000002</v>
      </c>
      <c r="Q396">
        <v>0.30255120000000002</v>
      </c>
      <c r="R396">
        <v>6.3294219999999998E-2</v>
      </c>
      <c r="S396">
        <v>3.5436399999999999</v>
      </c>
      <c r="T396">
        <v>-1.234885</v>
      </c>
      <c r="U396">
        <v>5.4840090000000001E-2</v>
      </c>
      <c r="V396">
        <v>-5.6310539999999999E-2</v>
      </c>
      <c r="W396">
        <v>0.31351449999999997</v>
      </c>
      <c r="X396">
        <v>0.94791230000000004</v>
      </c>
      <c r="Y396">
        <v>-8.0622479999999993E-3</v>
      </c>
      <c r="Z396">
        <v>-9.8413150000000002E-4</v>
      </c>
      <c r="AA396">
        <v>0.99996700000000005</v>
      </c>
      <c r="AB396">
        <v>35</v>
      </c>
      <c r="AC396">
        <v>0.51609999999999401</v>
      </c>
      <c r="AD396">
        <v>-0.25287789999999999</v>
      </c>
      <c r="AE396">
        <v>9.2999999999960892E-3</v>
      </c>
      <c r="AF396">
        <v>-4.4516521424110096E-3</v>
      </c>
      <c r="AG396">
        <v>-0.25287789999999999</v>
      </c>
      <c r="AH396">
        <v>0.41625310943975602</v>
      </c>
      <c r="AI396">
        <v>121.277642687902</v>
      </c>
      <c r="AJ396">
        <v>90.612730933149507</v>
      </c>
      <c r="AK396">
        <v>0.48706642322528498</v>
      </c>
      <c r="AL396">
        <v>71.728840711960501</v>
      </c>
      <c r="AM396">
        <v>93.399649001629697</v>
      </c>
      <c r="AN396">
        <v>0.99999997355831505</v>
      </c>
    </row>
    <row r="397" spans="1:40" x14ac:dyDescent="0.25">
      <c r="A397" t="str">
        <f>"20190304164831481"</f>
        <v>20190304164831481</v>
      </c>
      <c r="B397" t="str">
        <f>"1551689311476922"</f>
        <v>1551689311476922</v>
      </c>
      <c r="C397" t="s">
        <v>40</v>
      </c>
      <c r="D397">
        <v>4.8586580000000001</v>
      </c>
      <c r="E397">
        <v>0.54906160000000004</v>
      </c>
      <c r="F397" t="s">
        <v>41</v>
      </c>
      <c r="G397">
        <v>-391.29419999999999</v>
      </c>
      <c r="H397">
        <v>0.82250429999999997</v>
      </c>
      <c r="I397">
        <v>367.89830000000001</v>
      </c>
      <c r="J397">
        <v>-391.83969999999999</v>
      </c>
      <c r="K397">
        <v>1.107073</v>
      </c>
      <c r="L397">
        <v>367.88780000000003</v>
      </c>
      <c r="M397">
        <v>0.9999034</v>
      </c>
      <c r="N397">
        <v>-1.182529E-2</v>
      </c>
      <c r="O397">
        <v>7.3230919999999998E-3</v>
      </c>
      <c r="P397">
        <v>0.95113320000000001</v>
      </c>
      <c r="Q397">
        <v>0.30229060000000002</v>
      </c>
      <c r="R397">
        <v>6.2978450000000005E-2</v>
      </c>
      <c r="S397">
        <v>3.543701</v>
      </c>
      <c r="T397">
        <v>-1.2350479999999999</v>
      </c>
      <c r="U397">
        <v>5.4840090000000001E-2</v>
      </c>
      <c r="V397">
        <v>-5.5994830000000002E-2</v>
      </c>
      <c r="W397">
        <v>0.3135249</v>
      </c>
      <c r="X397">
        <v>0.94792759999999998</v>
      </c>
      <c r="Y397">
        <v>-8.0609259999999995E-3</v>
      </c>
      <c r="Z397">
        <v>-9.8127169999999994E-4</v>
      </c>
      <c r="AA397">
        <v>0.99996700000000005</v>
      </c>
      <c r="AB397">
        <v>35</v>
      </c>
      <c r="AC397">
        <v>0.54550000000000398</v>
      </c>
      <c r="AD397">
        <v>-0.28456870000000001</v>
      </c>
      <c r="AE397">
        <v>1.0499999999979E-2</v>
      </c>
      <c r="AF397">
        <v>-5.1136138972917499E-3</v>
      </c>
      <c r="AG397">
        <v>-0.28456870000000001</v>
      </c>
      <c r="AH397">
        <v>0.42888954571649901</v>
      </c>
      <c r="AI397">
        <v>123.56244303059501</v>
      </c>
      <c r="AJ397">
        <v>90.683100381286593</v>
      </c>
      <c r="AK397">
        <v>0.51473462725144603</v>
      </c>
      <c r="AL397">
        <v>71.728213875174802</v>
      </c>
      <c r="AM397">
        <v>93.3805784627733</v>
      </c>
      <c r="AN397">
        <v>1.0000000093742401</v>
      </c>
    </row>
    <row r="398" spans="1:40" x14ac:dyDescent="0.25">
      <c r="A398" t="str">
        <f>"20190304164831492"</f>
        <v>20190304164831492</v>
      </c>
      <c r="B398" t="str">
        <f>"1551689311486682"</f>
        <v>1551689311486682</v>
      </c>
      <c r="C398" t="s">
        <v>40</v>
      </c>
      <c r="D398">
        <v>4.8559549999999998</v>
      </c>
      <c r="E398">
        <v>0.54905000000000004</v>
      </c>
      <c r="F398" t="s">
        <v>41</v>
      </c>
      <c r="G398">
        <v>-390.98759999999999</v>
      </c>
      <c r="H398">
        <v>0.80983539999999998</v>
      </c>
      <c r="I398">
        <v>367.90039999999999</v>
      </c>
      <c r="J398">
        <v>-391.66</v>
      </c>
      <c r="K398">
        <v>1.107383</v>
      </c>
      <c r="L398">
        <v>367.88920000000002</v>
      </c>
      <c r="M398">
        <v>0.99990120000000005</v>
      </c>
      <c r="N398">
        <v>-1.200237E-2</v>
      </c>
      <c r="O398">
        <v>7.3230480000000004E-3</v>
      </c>
      <c r="P398">
        <v>0.95113419999999904</v>
      </c>
      <c r="Q398">
        <v>0.30233450000000001</v>
      </c>
      <c r="R398">
        <v>6.2753909999999996E-2</v>
      </c>
      <c r="S398">
        <v>3.5433650000000001</v>
      </c>
      <c r="T398">
        <v>-1.235965</v>
      </c>
      <c r="U398">
        <v>5.3955080000000002E-2</v>
      </c>
      <c r="V398">
        <v>-5.5771050000000003E-2</v>
      </c>
      <c r="W398">
        <v>0.31373630000000002</v>
      </c>
      <c r="X398">
        <v>0.94787089999999996</v>
      </c>
      <c r="Y398">
        <v>-7.8262929999999998E-3</v>
      </c>
      <c r="Z398">
        <v>-1.0213399999999999E-3</v>
      </c>
      <c r="AA398">
        <v>0.99996879999999999</v>
      </c>
      <c r="AB398">
        <v>35</v>
      </c>
      <c r="AC398">
        <v>0.67240000000003797</v>
      </c>
      <c r="AD398">
        <v>-0.29754759999999902</v>
      </c>
      <c r="AE398">
        <v>1.1199999999973899E-2</v>
      </c>
      <c r="AF398">
        <v>-5.2479567758502198E-3</v>
      </c>
      <c r="AG398">
        <v>-0.29754759999999902</v>
      </c>
      <c r="AH398">
        <v>0.56237094492240103</v>
      </c>
      <c r="AI398">
        <v>117.882057519196</v>
      </c>
      <c r="AJ398">
        <v>90.534659639265101</v>
      </c>
      <c r="AK398">
        <v>0.63625717678388205</v>
      </c>
      <c r="AL398">
        <v>71.715458897292805</v>
      </c>
      <c r="AM398">
        <v>93.367300279425905</v>
      </c>
      <c r="AN398">
        <v>1.0000000595112899</v>
      </c>
    </row>
    <row r="399" spans="1:40" x14ac:dyDescent="0.25">
      <c r="A399" t="str">
        <f>"20190304164831503"</f>
        <v>20190304164831503</v>
      </c>
      <c r="B399" t="str">
        <f>"1551689311497031"</f>
        <v>1551689311497031</v>
      </c>
      <c r="C399" t="s">
        <v>40</v>
      </c>
      <c r="D399">
        <v>4.866733</v>
      </c>
      <c r="E399">
        <v>0.54903040000000003</v>
      </c>
      <c r="F399" t="s">
        <v>41</v>
      </c>
      <c r="G399">
        <v>-390.96440000000001</v>
      </c>
      <c r="H399">
        <v>0.86474050000000002</v>
      </c>
      <c r="I399">
        <v>367.89929999999998</v>
      </c>
      <c r="J399">
        <v>-391.48480000000001</v>
      </c>
      <c r="K399">
        <v>1.1076520000000001</v>
      </c>
      <c r="L399">
        <v>367.89049999999997</v>
      </c>
      <c r="M399">
        <v>0.99989939999999999</v>
      </c>
      <c r="N399">
        <v>-1.2162299999999999E-2</v>
      </c>
      <c r="O399">
        <v>7.3229139999999998E-3</v>
      </c>
      <c r="P399">
        <v>0.95114469999999995</v>
      </c>
      <c r="Q399">
        <v>0.30228280000000002</v>
      </c>
      <c r="R399">
        <v>6.2843140000000006E-2</v>
      </c>
      <c r="S399">
        <v>3.5435180000000002</v>
      </c>
      <c r="T399">
        <v>-1.236049</v>
      </c>
      <c r="U399">
        <v>5.334473E-2</v>
      </c>
      <c r="V399">
        <v>-5.5861319999999999E-2</v>
      </c>
      <c r="W399">
        <v>0.31383640000000002</v>
      </c>
      <c r="X399">
        <v>0.94783240000000002</v>
      </c>
      <c r="Y399">
        <v>-7.6629469999999998E-3</v>
      </c>
      <c r="Z399">
        <v>-1.048233E-3</v>
      </c>
      <c r="AA399">
        <v>0.99997009999999997</v>
      </c>
      <c r="AB399">
        <v>35</v>
      </c>
      <c r="AC399">
        <v>0.52039999999999498</v>
      </c>
      <c r="AD399">
        <v>-0.2429115</v>
      </c>
      <c r="AE399">
        <v>8.8000000000079091E-3</v>
      </c>
      <c r="AF399">
        <v>-4.0963681613491202E-3</v>
      </c>
      <c r="AG399">
        <v>-0.2429115</v>
      </c>
      <c r="AH399">
        <v>0.42736247166668201</v>
      </c>
      <c r="AI399">
        <v>119.61263463386101</v>
      </c>
      <c r="AJ399">
        <v>90.549176483605393</v>
      </c>
      <c r="AK399">
        <v>0.491590743661248</v>
      </c>
      <c r="AL399">
        <v>71.709417683613793</v>
      </c>
      <c r="AM399">
        <v>93.372874639221706</v>
      </c>
      <c r="AN399">
        <v>1.0000000157634299</v>
      </c>
    </row>
    <row r="400" spans="1:40" x14ac:dyDescent="0.25">
      <c r="A400" t="str">
        <f>"20190304164831514"</f>
        <v>20190304164831514</v>
      </c>
      <c r="B400" t="str">
        <f>"1551689311506790"</f>
        <v>1551689311506790</v>
      </c>
      <c r="C400" t="s">
        <v>40</v>
      </c>
      <c r="D400">
        <v>4.8554680000000001</v>
      </c>
      <c r="E400">
        <v>0.54901610000000001</v>
      </c>
      <c r="F400" t="s">
        <v>41</v>
      </c>
      <c r="G400">
        <v>-390.67059999999998</v>
      </c>
      <c r="H400">
        <v>0.82351399999999997</v>
      </c>
      <c r="I400">
        <v>367.90269999999998</v>
      </c>
      <c r="J400">
        <v>-391.303</v>
      </c>
      <c r="K400">
        <v>1.107926</v>
      </c>
      <c r="L400">
        <v>367.89179999999999</v>
      </c>
      <c r="M400">
        <v>0.99989720000000004</v>
      </c>
      <c r="N400">
        <v>-1.232362E-2</v>
      </c>
      <c r="O400">
        <v>7.3229369999999998E-3</v>
      </c>
      <c r="P400">
        <v>0.95112680000000005</v>
      </c>
      <c r="Q400">
        <v>0.30231350000000001</v>
      </c>
      <c r="R400">
        <v>6.2962550000000006E-2</v>
      </c>
      <c r="S400">
        <v>3.5434570000000001</v>
      </c>
      <c r="T400">
        <v>-1.2365189999999999</v>
      </c>
      <c r="U400">
        <v>5.4412839999999997E-2</v>
      </c>
      <c r="V400">
        <v>-5.5980670000000003E-2</v>
      </c>
      <c r="W400">
        <v>0.31402020000000003</v>
      </c>
      <c r="X400">
        <v>0.94776450000000001</v>
      </c>
      <c r="Y400">
        <v>-7.9464870000000003E-3</v>
      </c>
      <c r="Z400">
        <v>-9.9704749999999999E-4</v>
      </c>
      <c r="AA400">
        <v>0.99996790000000002</v>
      </c>
      <c r="AB400">
        <v>35</v>
      </c>
      <c r="AC400">
        <v>0.63240000000007501</v>
      </c>
      <c r="AD400">
        <v>-0.284412</v>
      </c>
      <c r="AE400">
        <v>1.08999999999923E-2</v>
      </c>
      <c r="AF400">
        <v>-5.2140456362048497E-3</v>
      </c>
      <c r="AG400">
        <v>-0.284412</v>
      </c>
      <c r="AH400">
        <v>0.526087495482497</v>
      </c>
      <c r="AI400">
        <v>118.395245567388</v>
      </c>
      <c r="AJ400">
        <v>90.567839058492495</v>
      </c>
      <c r="AK400">
        <v>0.59806807716090504</v>
      </c>
      <c r="AL400">
        <v>71.698326352068307</v>
      </c>
      <c r="AM400">
        <v>93.380305827936795</v>
      </c>
      <c r="AN400">
        <v>1.0000000344409601</v>
      </c>
    </row>
    <row r="401" spans="1:40" x14ac:dyDescent="0.25">
      <c r="A401" t="str">
        <f>"20190304164831525"</f>
        <v>20190304164831525</v>
      </c>
      <c r="B401" t="str">
        <f>"1551689311516550"</f>
        <v>1551689311516550</v>
      </c>
      <c r="C401" t="s">
        <v>40</v>
      </c>
      <c r="D401">
        <v>4.872744</v>
      </c>
      <c r="E401">
        <v>0.54899919999999902</v>
      </c>
      <c r="F401" t="s">
        <v>41</v>
      </c>
      <c r="G401">
        <v>-390.64679999999998</v>
      </c>
      <c r="H401">
        <v>0.87890089999999998</v>
      </c>
      <c r="I401">
        <v>367.90190000000001</v>
      </c>
      <c r="J401">
        <v>-391.1438</v>
      </c>
      <c r="K401">
        <v>1.1081289999999999</v>
      </c>
      <c r="L401">
        <v>367.89299999999997</v>
      </c>
      <c r="M401">
        <v>0.99989570000000005</v>
      </c>
      <c r="N401">
        <v>-1.2450849999999999E-2</v>
      </c>
      <c r="O401">
        <v>7.3228019999999998E-3</v>
      </c>
      <c r="P401">
        <v>0.95111780000000001</v>
      </c>
      <c r="Q401">
        <v>0.30234270000000002</v>
      </c>
      <c r="R401">
        <v>6.2960550000000004E-2</v>
      </c>
      <c r="S401">
        <v>3.5435789999999998</v>
      </c>
      <c r="T401">
        <v>-1.2367699999999999</v>
      </c>
      <c r="U401">
        <v>5.5908199999999998E-2</v>
      </c>
      <c r="V401">
        <v>-5.5979569999999999E-2</v>
      </c>
      <c r="W401">
        <v>0.31416909999999998</v>
      </c>
      <c r="X401">
        <v>0.94771519999999998</v>
      </c>
      <c r="Y401">
        <v>-8.3431010000000003E-3</v>
      </c>
      <c r="Z401">
        <v>-9.2598889999999997E-4</v>
      </c>
      <c r="AA401">
        <v>0.99996479999999999</v>
      </c>
      <c r="AB401">
        <v>35</v>
      </c>
      <c r="AC401">
        <v>0.49700000000001399</v>
      </c>
      <c r="AD401">
        <v>-0.22922809999999999</v>
      </c>
      <c r="AE401">
        <v>8.8999999999828001E-3</v>
      </c>
      <c r="AF401">
        <v>-4.3376141912665998E-3</v>
      </c>
      <c r="AG401">
        <v>-0.22922809999999999</v>
      </c>
      <c r="AH401">
        <v>0.409885933814366</v>
      </c>
      <c r="AI401">
        <v>119.214671405017</v>
      </c>
      <c r="AJ401">
        <v>90.606309436352603</v>
      </c>
      <c r="AK401">
        <v>0.46964967312386902</v>
      </c>
      <c r="AL401">
        <v>71.689339926578</v>
      </c>
      <c r="AM401">
        <v>93.380414991946907</v>
      </c>
      <c r="AN401">
        <v>1.00000001798161</v>
      </c>
    </row>
    <row r="402" spans="1:40" x14ac:dyDescent="0.25">
      <c r="A402" t="str">
        <f>"20190304164831536"</f>
        <v>20190304164831536</v>
      </c>
      <c r="B402" t="str">
        <f>"1551689311527287"</f>
        <v>1551689311527287</v>
      </c>
      <c r="C402" t="s">
        <v>40</v>
      </c>
      <c r="D402">
        <v>4.8710649999999998</v>
      </c>
      <c r="E402">
        <v>0.54897510000000005</v>
      </c>
      <c r="F402" t="s">
        <v>41</v>
      </c>
      <c r="G402">
        <v>-390.35559999999998</v>
      </c>
      <c r="H402">
        <v>0.83293519999999899</v>
      </c>
      <c r="I402">
        <v>367.9049</v>
      </c>
      <c r="J402">
        <v>-390.976</v>
      </c>
      <c r="K402">
        <v>1.108341</v>
      </c>
      <c r="L402">
        <v>367.89420000000001</v>
      </c>
      <c r="M402">
        <v>0.99989399999999995</v>
      </c>
      <c r="N402">
        <v>-1.258369E-2</v>
      </c>
      <c r="O402">
        <v>7.3226230000000003E-3</v>
      </c>
      <c r="P402">
        <v>0.95105360000000005</v>
      </c>
      <c r="Q402">
        <v>0.30253799999999997</v>
      </c>
      <c r="R402">
        <v>6.2990000000000004E-2</v>
      </c>
      <c r="S402">
        <v>3.543701</v>
      </c>
      <c r="T402">
        <v>-1.237058</v>
      </c>
      <c r="U402">
        <v>5.6182860000000001E-2</v>
      </c>
      <c r="V402">
        <v>-5.6009450000000002E-2</v>
      </c>
      <c r="W402">
        <v>0.31449009999999999</v>
      </c>
      <c r="X402">
        <v>0.94760699999999998</v>
      </c>
      <c r="Y402">
        <v>-8.4152180000000004E-3</v>
      </c>
      <c r="Z402">
        <v>-9.1191959999999996E-4</v>
      </c>
      <c r="AA402">
        <v>0.99996419999999997</v>
      </c>
      <c r="AB402">
        <v>35</v>
      </c>
      <c r="AC402">
        <v>0.62040000000001705</v>
      </c>
      <c r="AD402">
        <v>-0.27540579999999998</v>
      </c>
      <c r="AE402">
        <v>1.06999999999857E-2</v>
      </c>
      <c r="AF402">
        <v>-5.1431756153135898E-3</v>
      </c>
      <c r="AG402">
        <v>-0.27540579999999998</v>
      </c>
      <c r="AH402">
        <v>0.51834589008085596</v>
      </c>
      <c r="AI402">
        <v>117.98128380826201</v>
      </c>
      <c r="AJ402">
        <v>90.568486394128001</v>
      </c>
      <c r="AK402">
        <v>0.58699000731934503</v>
      </c>
      <c r="AL402">
        <v>71.669966675776195</v>
      </c>
      <c r="AM402">
        <v>93.382600448048805</v>
      </c>
      <c r="AN402">
        <v>1.0000000539681499</v>
      </c>
    </row>
    <row r="403" spans="1:40" x14ac:dyDescent="0.25">
      <c r="A403" t="str">
        <f>"20190304164831546"</f>
        <v>20190304164831546</v>
      </c>
      <c r="B403" t="str">
        <f>"1551689311537045"</f>
        <v>1551689311537045</v>
      </c>
      <c r="C403" t="s">
        <v>40</v>
      </c>
      <c r="D403">
        <v>4.951905</v>
      </c>
      <c r="E403">
        <v>0.54893840000000005</v>
      </c>
      <c r="F403" t="s">
        <v>41</v>
      </c>
      <c r="G403">
        <v>-390.06259999999997</v>
      </c>
      <c r="H403">
        <v>0.78958450000000002</v>
      </c>
      <c r="I403">
        <v>367.90879999999999</v>
      </c>
      <c r="J403">
        <v>-390.80529999999999</v>
      </c>
      <c r="K403">
        <v>1.1085290000000001</v>
      </c>
      <c r="L403">
        <v>367.89550000000003</v>
      </c>
      <c r="M403">
        <v>0.99989249999999996</v>
      </c>
      <c r="N403">
        <v>-1.2706159999999999E-2</v>
      </c>
      <c r="O403">
        <v>7.322561E-3</v>
      </c>
      <c r="P403">
        <v>0.95101420000000003</v>
      </c>
      <c r="Q403">
        <v>0.30267139999999998</v>
      </c>
      <c r="R403">
        <v>6.2946050000000003E-2</v>
      </c>
      <c r="S403">
        <v>3.5440369999999999</v>
      </c>
      <c r="T403">
        <v>-1.2367900000000001</v>
      </c>
      <c r="U403">
        <v>5.7495119999999997E-2</v>
      </c>
      <c r="V403">
        <v>-5.5966189999999999E-2</v>
      </c>
      <c r="W403">
        <v>0.31473859999999998</v>
      </c>
      <c r="X403">
        <v>0.94752700000000001</v>
      </c>
      <c r="Y403">
        <v>-8.7621969999999993E-3</v>
      </c>
      <c r="Z403">
        <v>-8.4910839999999895E-4</v>
      </c>
      <c r="AA403">
        <v>0.99996130000000005</v>
      </c>
      <c r="AB403">
        <v>35</v>
      </c>
      <c r="AC403">
        <v>0.74270000000001302</v>
      </c>
      <c r="AD403">
        <v>-0.31894450000000002</v>
      </c>
      <c r="AE403">
        <v>1.32999999999583E-2</v>
      </c>
      <c r="AF403">
        <v>-6.6371252615757799E-3</v>
      </c>
      <c r="AG403">
        <v>-0.31894450000000002</v>
      </c>
      <c r="AH403">
        <v>0.62715573351332299</v>
      </c>
      <c r="AI403">
        <v>116.954639330774</v>
      </c>
      <c r="AJ403">
        <v>90.606332764601106</v>
      </c>
      <c r="AK403">
        <v>0.70362913497852098</v>
      </c>
      <c r="AL403">
        <v>71.654966115996203</v>
      </c>
      <c r="AM403">
        <v>93.380278601808897</v>
      </c>
      <c r="AN403">
        <v>1.0000000082410301</v>
      </c>
    </row>
    <row r="404" spans="1:40" x14ac:dyDescent="0.25">
      <c r="A404" t="str">
        <f>"20190304164831558"</f>
        <v>20190304164831558</v>
      </c>
      <c r="B404" t="str">
        <f>"1551689311546806"</f>
        <v>1551689311546806</v>
      </c>
      <c r="C404" t="s">
        <v>40</v>
      </c>
      <c r="D404">
        <v>5.1226000000000003</v>
      </c>
      <c r="E404">
        <v>0.54894049999999905</v>
      </c>
      <c r="F404" t="s">
        <v>41</v>
      </c>
      <c r="G404">
        <v>-390.041</v>
      </c>
      <c r="H404">
        <v>0.84183980000000003</v>
      </c>
      <c r="I404">
        <v>367.90769999999998</v>
      </c>
      <c r="J404">
        <v>-390.63279999999997</v>
      </c>
      <c r="K404">
        <v>1.1087119999999999</v>
      </c>
      <c r="L404">
        <v>367.89670000000001</v>
      </c>
      <c r="M404">
        <v>0.99989099999999997</v>
      </c>
      <c r="N404">
        <v>-1.2826280000000001E-2</v>
      </c>
      <c r="O404">
        <v>7.32226699999999E-3</v>
      </c>
      <c r="P404">
        <v>0.95095600000000002</v>
      </c>
      <c r="Q404">
        <v>0.3029019</v>
      </c>
      <c r="R404">
        <v>6.2716960000000002E-2</v>
      </c>
      <c r="S404">
        <v>3.5443120000000001</v>
      </c>
      <c r="T404">
        <v>-1.2367189999999999</v>
      </c>
      <c r="U404">
        <v>5.7922359999999999E-2</v>
      </c>
      <c r="V404">
        <v>-5.5738089999999997E-2</v>
      </c>
      <c r="W404">
        <v>0.31508249999999999</v>
      </c>
      <c r="X404">
        <v>0.94742610000000005</v>
      </c>
      <c r="Y404">
        <v>-8.8743780000000005E-3</v>
      </c>
      <c r="Z404">
        <v>-8.2773530000000001E-4</v>
      </c>
      <c r="AA404">
        <v>0.99996030000000002</v>
      </c>
      <c r="AB404">
        <v>35</v>
      </c>
      <c r="AC404">
        <v>0.59179999999997701</v>
      </c>
      <c r="AD404">
        <v>-0.2668722</v>
      </c>
      <c r="AE404">
        <v>1.0999999999967199E-2</v>
      </c>
      <c r="AF404">
        <v>-5.5398576766358598E-3</v>
      </c>
      <c r="AG404">
        <v>-0.2668722</v>
      </c>
      <c r="AH404">
        <v>0.49187379726775099</v>
      </c>
      <c r="AI404">
        <v>118.48106771969201</v>
      </c>
      <c r="AJ404">
        <v>90.645281463672006</v>
      </c>
      <c r="AK404">
        <v>0.55963496459255802</v>
      </c>
      <c r="AL404">
        <v>71.634205034096397</v>
      </c>
      <c r="AM404">
        <v>93.366891144455906</v>
      </c>
      <c r="AN404">
        <v>0.99999996572215299</v>
      </c>
    </row>
    <row r="405" spans="1:40" x14ac:dyDescent="0.25">
      <c r="A405" t="str">
        <f>"20190304164831572"</f>
        <v>20190304164831572</v>
      </c>
      <c r="B405" t="str">
        <f>"1551689311567303"</f>
        <v>1551689311567303</v>
      </c>
      <c r="C405" t="s">
        <v>40</v>
      </c>
      <c r="D405">
        <v>4.89114</v>
      </c>
      <c r="E405">
        <v>0.54892799999999997</v>
      </c>
      <c r="F405" t="s">
        <v>41</v>
      </c>
      <c r="G405">
        <v>-389.74790000000002</v>
      </c>
      <c r="H405">
        <v>0.80013619999999996</v>
      </c>
      <c r="I405">
        <v>367.91070000000002</v>
      </c>
      <c r="J405">
        <v>-390.42779999999999</v>
      </c>
      <c r="K405">
        <v>1.1089089999999999</v>
      </c>
      <c r="L405">
        <v>367.89830000000001</v>
      </c>
      <c r="M405">
        <v>0.99988920000000003</v>
      </c>
      <c r="N405">
        <v>-1.29581E-2</v>
      </c>
      <c r="O405">
        <v>7.3222469999999996E-3</v>
      </c>
      <c r="P405">
        <v>0.95094880000000004</v>
      </c>
      <c r="Q405">
        <v>0.3029309</v>
      </c>
      <c r="R405">
        <v>6.2684480000000001E-2</v>
      </c>
      <c r="S405">
        <v>3.5445859999999998</v>
      </c>
      <c r="T405">
        <v>-1.2359960000000001</v>
      </c>
      <c r="U405">
        <v>5.7952879999999998E-2</v>
      </c>
      <c r="V405">
        <v>-5.5705730000000002E-2</v>
      </c>
      <c r="W405">
        <v>0.31523590000000001</v>
      </c>
      <c r="X405">
        <v>0.94737700000000002</v>
      </c>
      <c r="Y405">
        <v>-8.8809479999999996E-3</v>
      </c>
      <c r="Z405">
        <v>-8.2441770000000005E-4</v>
      </c>
      <c r="AA405">
        <v>0.99996019999999997</v>
      </c>
      <c r="AB405">
        <v>35</v>
      </c>
      <c r="AC405">
        <v>0.67989999999997497</v>
      </c>
      <c r="AD405">
        <v>-0.30877280000000001</v>
      </c>
      <c r="AE405">
        <v>1.24000000000137E-2</v>
      </c>
      <c r="AF405">
        <v>-6.1523672411385004E-3</v>
      </c>
      <c r="AG405">
        <v>-0.30877280000000001</v>
      </c>
      <c r="AH405">
        <v>0.563741208375375</v>
      </c>
      <c r="AI405">
        <v>118.709000987903</v>
      </c>
      <c r="AJ405">
        <v>90.625270386189001</v>
      </c>
      <c r="AK405">
        <v>0.64279284661781799</v>
      </c>
      <c r="AL405">
        <v>71.624944375822594</v>
      </c>
      <c r="AM405">
        <v>93.365114908183003</v>
      </c>
      <c r="AN405">
        <v>0.99999999056632105</v>
      </c>
    </row>
    <row r="406" spans="1:40" x14ac:dyDescent="0.25">
      <c r="A406" t="str">
        <f>"20190304164831583"</f>
        <v>20190304164831583</v>
      </c>
      <c r="B406" t="str">
        <f>"1551689311577062"</f>
        <v>1551689311577062</v>
      </c>
      <c r="C406" t="s">
        <v>40</v>
      </c>
      <c r="D406">
        <v>4.9682430000000002</v>
      </c>
      <c r="E406">
        <v>0.54892549999999996</v>
      </c>
      <c r="F406" t="s">
        <v>41</v>
      </c>
      <c r="G406">
        <v>-389.72160000000002</v>
      </c>
      <c r="H406">
        <v>0.86262850000000002</v>
      </c>
      <c r="I406">
        <v>367.90929999999997</v>
      </c>
      <c r="J406">
        <v>-390.24669999999998</v>
      </c>
      <c r="K406">
        <v>1.109062</v>
      </c>
      <c r="L406">
        <v>367.89949999999999</v>
      </c>
      <c r="M406">
        <v>0.999888</v>
      </c>
      <c r="N406">
        <v>-1.306617E-2</v>
      </c>
      <c r="O406">
        <v>7.321897E-3</v>
      </c>
      <c r="P406">
        <v>0.95075120000000002</v>
      </c>
      <c r="Q406">
        <v>0.30359360000000002</v>
      </c>
      <c r="R406">
        <v>6.2478150000000003E-2</v>
      </c>
      <c r="S406">
        <v>3.544708</v>
      </c>
      <c r="T406">
        <v>-1.236159</v>
      </c>
      <c r="U406">
        <v>5.7983399999999997E-2</v>
      </c>
      <c r="V406">
        <v>-5.550161E-2</v>
      </c>
      <c r="W406">
        <v>0.31599829999999901</v>
      </c>
      <c r="X406">
        <v>0.94713499999999995</v>
      </c>
      <c r="Y406">
        <v>-8.8884040000000008E-3</v>
      </c>
      <c r="Z406">
        <v>-8.2181490000000001E-4</v>
      </c>
      <c r="AA406">
        <v>0.99996019999999997</v>
      </c>
      <c r="AB406">
        <v>35</v>
      </c>
      <c r="AC406">
        <v>0.52509999999995205</v>
      </c>
      <c r="AD406">
        <v>-0.2464335</v>
      </c>
      <c r="AE406">
        <v>9.7999999999842605E-3</v>
      </c>
      <c r="AF406">
        <v>-4.8801942071247696E-3</v>
      </c>
      <c r="AG406">
        <v>-0.2464335</v>
      </c>
      <c r="AH406">
        <v>0.43039605856923802</v>
      </c>
      <c r="AI406">
        <v>119.79273305076001</v>
      </c>
      <c r="AJ406">
        <v>90.649640124109894</v>
      </c>
      <c r="AK406">
        <v>0.49597787596795501</v>
      </c>
      <c r="AL406">
        <v>71.578909827909698</v>
      </c>
      <c r="AM406">
        <v>93.353667163913798</v>
      </c>
      <c r="AN406">
        <v>1.00000003127024</v>
      </c>
    </row>
    <row r="407" spans="1:40" x14ac:dyDescent="0.25">
      <c r="A407" t="str">
        <f>"20190304164831595"</f>
        <v>20190304164831595</v>
      </c>
      <c r="B407" t="str">
        <f>"1551689311586822"</f>
        <v>1551689311586822</v>
      </c>
      <c r="C407" t="s">
        <v>40</v>
      </c>
      <c r="D407">
        <v>4.8340069999999997</v>
      </c>
      <c r="E407">
        <v>0.54894609999999899</v>
      </c>
      <c r="F407" t="s">
        <v>41</v>
      </c>
      <c r="G407">
        <v>-389.42809999999997</v>
      </c>
      <c r="H407">
        <v>0.82424200000000003</v>
      </c>
      <c r="I407">
        <v>367.91269999999997</v>
      </c>
      <c r="J407">
        <v>-390.05430000000001</v>
      </c>
      <c r="K407">
        <v>1.109219</v>
      </c>
      <c r="L407">
        <v>367.90100000000001</v>
      </c>
      <c r="M407">
        <v>0.99988650000000001</v>
      </c>
      <c r="N407">
        <v>-1.3176520000000001E-2</v>
      </c>
      <c r="O407">
        <v>7.3221809999999997E-3</v>
      </c>
      <c r="P407">
        <v>0.95074250000000005</v>
      </c>
      <c r="Q407">
        <v>0.30367349999999999</v>
      </c>
      <c r="R407">
        <v>6.2222479999999997E-2</v>
      </c>
      <c r="S407">
        <v>3.5456240000000001</v>
      </c>
      <c r="T407">
        <v>-1.2336750000000001</v>
      </c>
      <c r="U407">
        <v>5.7189940000000002E-2</v>
      </c>
      <c r="V407">
        <v>-5.5246030000000002E-2</v>
      </c>
      <c r="W407">
        <v>0.31618239999999997</v>
      </c>
      <c r="X407">
        <v>0.9470885</v>
      </c>
      <c r="Y407">
        <v>-8.6734159999999998E-3</v>
      </c>
      <c r="Z407">
        <v>-8.5631580000000002E-4</v>
      </c>
      <c r="AA407">
        <v>0.99996200000000002</v>
      </c>
      <c r="AB407">
        <v>35</v>
      </c>
      <c r="AC407">
        <v>0.62620000000003895</v>
      </c>
      <c r="AD407">
        <v>-0.28497699999999898</v>
      </c>
      <c r="AE407">
        <v>1.1699999999961999E-2</v>
      </c>
      <c r="AF407">
        <v>-5.8939005599066398E-3</v>
      </c>
      <c r="AG407">
        <v>-0.28497699999999898</v>
      </c>
      <c r="AH407">
        <v>0.518849368460501</v>
      </c>
      <c r="AI407">
        <v>118.776145601864</v>
      </c>
      <c r="AJ407">
        <v>90.650826855025002</v>
      </c>
      <c r="AK407">
        <v>0.59198926995737899</v>
      </c>
      <c r="AL407">
        <v>71.567791618165799</v>
      </c>
      <c r="AM407">
        <v>93.338422360729297</v>
      </c>
      <c r="AN407">
        <v>1.0000000303663801</v>
      </c>
    </row>
    <row r="408" spans="1:40" x14ac:dyDescent="0.25">
      <c r="A408" t="str">
        <f>"20190304164831606"</f>
        <v>20190304164831606</v>
      </c>
      <c r="B408" t="str">
        <f>"1551689311596582"</f>
        <v>1551689311596582</v>
      </c>
      <c r="C408" t="s">
        <v>40</v>
      </c>
      <c r="D408">
        <v>4.9068860000000001</v>
      </c>
      <c r="E408">
        <v>0.54891789999999996</v>
      </c>
      <c r="F408" t="s">
        <v>41</v>
      </c>
      <c r="G408">
        <v>-389.13290000000001</v>
      </c>
      <c r="H408">
        <v>0.78874089999999997</v>
      </c>
      <c r="I408">
        <v>367.9153</v>
      </c>
      <c r="J408">
        <v>-389.8843</v>
      </c>
      <c r="K408">
        <v>1.1093409999999999</v>
      </c>
      <c r="L408">
        <v>367.90219999999999</v>
      </c>
      <c r="M408">
        <v>0.99988529999999998</v>
      </c>
      <c r="N408">
        <v>-1.326402E-2</v>
      </c>
      <c r="O408">
        <v>7.3222540000000003E-3</v>
      </c>
      <c r="P408">
        <v>0.95072820000000002</v>
      </c>
      <c r="Q408">
        <v>0.30377470000000001</v>
      </c>
      <c r="R408">
        <v>6.1943739999999997E-2</v>
      </c>
      <c r="S408">
        <v>3.5455930000000002</v>
      </c>
      <c r="T408">
        <v>-1.2332259999999999</v>
      </c>
      <c r="U408">
        <v>5.654907E-2</v>
      </c>
      <c r="V408">
        <v>-5.496699E-2</v>
      </c>
      <c r="W408">
        <v>0.3163666</v>
      </c>
      <c r="X408">
        <v>0.94704319999999997</v>
      </c>
      <c r="Y408">
        <v>-8.5029279999999999E-3</v>
      </c>
      <c r="Z408">
        <v>-8.8495259999999895E-4</v>
      </c>
      <c r="AA408">
        <v>0.99996350000000001</v>
      </c>
      <c r="AB408">
        <v>35</v>
      </c>
      <c r="AC408">
        <v>0.75139999999998897</v>
      </c>
      <c r="AD408">
        <v>-0.320600099999999</v>
      </c>
      <c r="AE408">
        <v>1.3100000000008501E-2</v>
      </c>
      <c r="AF408">
        <v>-6.4274730750157197E-3</v>
      </c>
      <c r="AG408">
        <v>-0.320600099999999</v>
      </c>
      <c r="AH408">
        <v>0.63577047145191201</v>
      </c>
      <c r="AI408">
        <v>116.759270924262</v>
      </c>
      <c r="AJ408">
        <v>90.579225602587499</v>
      </c>
      <c r="AK408">
        <v>0.71206027055322096</v>
      </c>
      <c r="AL408">
        <v>71.556666260915804</v>
      </c>
      <c r="AM408">
        <v>93.321756831372298</v>
      </c>
      <c r="AN408">
        <v>1.0000000091257299</v>
      </c>
    </row>
    <row r="409" spans="1:40" x14ac:dyDescent="0.25">
      <c r="A409" t="str">
        <f>"20190304164831617"</f>
        <v>20190304164831617</v>
      </c>
      <c r="B409" t="str">
        <f>"1551689311607318"</f>
        <v>1551689311607318</v>
      </c>
      <c r="C409" t="s">
        <v>40</v>
      </c>
      <c r="D409">
        <v>4.8181250000000002</v>
      </c>
      <c r="E409">
        <v>0.54892089999999905</v>
      </c>
      <c r="F409" t="s">
        <v>41</v>
      </c>
      <c r="G409">
        <v>-389.11149999999998</v>
      </c>
      <c r="H409">
        <v>0.84053650000000002</v>
      </c>
      <c r="I409">
        <v>367.91419999999999</v>
      </c>
      <c r="J409">
        <v>-389.72160000000002</v>
      </c>
      <c r="K409">
        <v>1.109456</v>
      </c>
      <c r="L409">
        <v>367.90339999999998</v>
      </c>
      <c r="M409">
        <v>0.9998842</v>
      </c>
      <c r="N409">
        <v>-1.3346139999999999E-2</v>
      </c>
      <c r="O409">
        <v>7.322538E-3</v>
      </c>
      <c r="P409">
        <v>0.95067089999999999</v>
      </c>
      <c r="Q409">
        <v>0.30406620000000001</v>
      </c>
      <c r="R409">
        <v>6.1392620000000002E-2</v>
      </c>
      <c r="S409">
        <v>3.545868</v>
      </c>
      <c r="T409">
        <v>-1.2334369999999999</v>
      </c>
      <c r="U409">
        <v>5.7006840000000003E-2</v>
      </c>
      <c r="V409">
        <v>-5.4416220000000001E-2</v>
      </c>
      <c r="W409">
        <v>0.31673469999999998</v>
      </c>
      <c r="X409">
        <v>0.94695189999999996</v>
      </c>
      <c r="Y409">
        <v>-8.6228079999999992E-3</v>
      </c>
      <c r="Z409">
        <v>-8.6311229999999997E-4</v>
      </c>
      <c r="AA409">
        <v>0.99996240000000003</v>
      </c>
      <c r="AB409">
        <v>35</v>
      </c>
      <c r="AC409">
        <v>0.61010000000004505</v>
      </c>
      <c r="AD409">
        <v>-0.26891949999999998</v>
      </c>
      <c r="AE409">
        <v>1.08000000000174E-2</v>
      </c>
      <c r="AF409">
        <v>-5.3020404043445596E-3</v>
      </c>
      <c r="AG409">
        <v>-0.26891949999999998</v>
      </c>
      <c r="AH409">
        <v>0.51092752572953404</v>
      </c>
      <c r="AI409">
        <v>117.75817154724</v>
      </c>
      <c r="AJ409">
        <v>90.594553275621493</v>
      </c>
      <c r="AK409">
        <v>0.57740171948202801</v>
      </c>
      <c r="AL409">
        <v>71.534431148945899</v>
      </c>
      <c r="AM409">
        <v>93.2888625684826</v>
      </c>
      <c r="AN409">
        <v>0.99999994804839198</v>
      </c>
    </row>
    <row r="410" spans="1:40" x14ac:dyDescent="0.25">
      <c r="A410" t="str">
        <f>"20190304164831628"</f>
        <v>20190304164831628</v>
      </c>
      <c r="B410" t="str">
        <f>"1551689311617078"</f>
        <v>1551689311617078</v>
      </c>
      <c r="C410" t="s">
        <v>40</v>
      </c>
      <c r="D410">
        <v>4.8361530000000004</v>
      </c>
      <c r="E410">
        <v>0.54892299999999905</v>
      </c>
      <c r="F410" t="s">
        <v>41</v>
      </c>
      <c r="G410">
        <v>-388.82060000000001</v>
      </c>
      <c r="H410">
        <v>0.79631209999999997</v>
      </c>
      <c r="I410">
        <v>367.91699999999997</v>
      </c>
      <c r="J410">
        <v>-389.5446</v>
      </c>
      <c r="K410">
        <v>1.1095630000000001</v>
      </c>
      <c r="L410">
        <v>367.90460000000002</v>
      </c>
      <c r="M410">
        <v>0.99988310000000002</v>
      </c>
      <c r="N410">
        <v>-1.342745E-2</v>
      </c>
      <c r="O410">
        <v>7.322645E-3</v>
      </c>
      <c r="P410">
        <v>0.95063690000000001</v>
      </c>
      <c r="Q410">
        <v>0.30426449999999999</v>
      </c>
      <c r="R410">
        <v>6.093059E-2</v>
      </c>
      <c r="S410">
        <v>3.546265</v>
      </c>
      <c r="T410">
        <v>-1.2323299999999999</v>
      </c>
      <c r="U410">
        <v>5.502319E-2</v>
      </c>
      <c r="V410">
        <v>-5.3954490000000001E-2</v>
      </c>
      <c r="W410">
        <v>0.31700970000000001</v>
      </c>
      <c r="X410">
        <v>0.94688640000000002</v>
      </c>
      <c r="Y410">
        <v>-8.0938699999999995E-3</v>
      </c>
      <c r="Z410">
        <v>-9.541768E-4</v>
      </c>
      <c r="AA410">
        <v>0.99996680000000004</v>
      </c>
      <c r="AB410">
        <v>35</v>
      </c>
      <c r="AC410">
        <v>0.72399999999998899</v>
      </c>
      <c r="AD410">
        <v>-0.313250899999999</v>
      </c>
      <c r="AE410">
        <v>1.23999999999568E-2</v>
      </c>
      <c r="AF410">
        <v>-5.9787051426085404E-3</v>
      </c>
      <c r="AG410">
        <v>-0.313250899999999</v>
      </c>
      <c r="AH410">
        <v>0.609926243383209</v>
      </c>
      <c r="AI410">
        <v>117.183377068933</v>
      </c>
      <c r="AJ410">
        <v>90.561614792639602</v>
      </c>
      <c r="AK410">
        <v>0.68569081489658701</v>
      </c>
      <c r="AL410">
        <v>71.517820612131402</v>
      </c>
      <c r="AM410">
        <v>93.261241638592693</v>
      </c>
      <c r="AN410">
        <v>1.0000000456950999</v>
      </c>
    </row>
    <row r="411" spans="1:40" x14ac:dyDescent="0.25">
      <c r="A411" t="str">
        <f>"20190304164831639"</f>
        <v>20190304164831639</v>
      </c>
      <c r="B411" t="str">
        <f>"1551689311626839"</f>
        <v>1551689311626839</v>
      </c>
      <c r="C411" t="s">
        <v>40</v>
      </c>
      <c r="D411">
        <v>4.9154730000000004</v>
      </c>
      <c r="E411">
        <v>0.54894759999999998</v>
      </c>
      <c r="F411" t="s">
        <v>41</v>
      </c>
      <c r="G411">
        <v>-388.798</v>
      </c>
      <c r="H411">
        <v>0.85027749999999902</v>
      </c>
      <c r="I411">
        <v>367.91570000000002</v>
      </c>
      <c r="J411">
        <v>-389.38529999999997</v>
      </c>
      <c r="K411">
        <v>1.109653</v>
      </c>
      <c r="L411">
        <v>367.9058</v>
      </c>
      <c r="M411">
        <v>0.9998821</v>
      </c>
      <c r="N411">
        <v>-1.349791E-2</v>
      </c>
      <c r="O411">
        <v>7.3228819999999898E-3</v>
      </c>
      <c r="P411">
        <v>0.95048920000000003</v>
      </c>
      <c r="Q411">
        <v>0.30479640000000002</v>
      </c>
      <c r="R411">
        <v>6.0578130000000001E-2</v>
      </c>
      <c r="S411">
        <v>3.5465390000000001</v>
      </c>
      <c r="T411">
        <v>-1.2317089999999999</v>
      </c>
      <c r="U411">
        <v>5.4107669999999997E-2</v>
      </c>
      <c r="V411">
        <v>-5.3602759999999999E-2</v>
      </c>
      <c r="W411">
        <v>0.31760620000000001</v>
      </c>
      <c r="X411">
        <v>0.94670639999999995</v>
      </c>
      <c r="Y411">
        <v>-7.8490999999999995E-3</v>
      </c>
      <c r="Z411">
        <v>-9.9584359999999993E-4</v>
      </c>
      <c r="AA411">
        <v>0.99996870000000004</v>
      </c>
      <c r="AB411">
        <v>35</v>
      </c>
      <c r="AC411">
        <v>0.58729999999996996</v>
      </c>
      <c r="AD411">
        <v>-0.25937549999999998</v>
      </c>
      <c r="AE411">
        <v>9.9000000000160002E-3</v>
      </c>
      <c r="AF411">
        <v>-4.6850681332936102E-3</v>
      </c>
      <c r="AG411">
        <v>-0.25937549999999998</v>
      </c>
      <c r="AH411">
        <v>0.491515639074116</v>
      </c>
      <c r="AI411">
        <v>117.819782444007</v>
      </c>
      <c r="AJ411">
        <v>90.546119960739006</v>
      </c>
      <c r="AK411">
        <v>0.55577443564642304</v>
      </c>
      <c r="AL411">
        <v>71.481780016906995</v>
      </c>
      <c r="AM411">
        <v>93.240641728880405</v>
      </c>
      <c r="AN411">
        <v>0.99999998097950804</v>
      </c>
    </row>
    <row r="412" spans="1:40" x14ac:dyDescent="0.25">
      <c r="A412" t="str">
        <f>"20190304164831653"</f>
        <v>20190304164831653</v>
      </c>
      <c r="B412" t="str">
        <f>"1551689311646358"</f>
        <v>1551689311646358</v>
      </c>
      <c r="C412" t="s">
        <v>40</v>
      </c>
      <c r="D412">
        <v>4.9118069999999996</v>
      </c>
      <c r="E412">
        <v>0.54893059999999905</v>
      </c>
      <c r="F412" t="s">
        <v>41</v>
      </c>
      <c r="G412">
        <v>-388.50779999999997</v>
      </c>
      <c r="H412">
        <v>0.8054829</v>
      </c>
      <c r="I412">
        <v>367.91809999999998</v>
      </c>
      <c r="J412">
        <v>-389.16129999999998</v>
      </c>
      <c r="K412">
        <v>1.109761</v>
      </c>
      <c r="L412">
        <v>367.9074</v>
      </c>
      <c r="M412">
        <v>0.99988089999999996</v>
      </c>
      <c r="N412">
        <v>-1.358997E-2</v>
      </c>
      <c r="O412">
        <v>7.3227300000000004E-3</v>
      </c>
      <c r="P412">
        <v>0.95050500000000004</v>
      </c>
      <c r="Q412">
        <v>0.30477579999999999</v>
      </c>
      <c r="R412">
        <v>6.0435280000000001E-2</v>
      </c>
      <c r="S412">
        <v>3.54718</v>
      </c>
      <c r="T412">
        <v>-1.229538</v>
      </c>
      <c r="U412">
        <v>5.2215579999999998E-2</v>
      </c>
      <c r="V412">
        <v>-5.3460199999999999E-2</v>
      </c>
      <c r="W412">
        <v>0.31767309999999999</v>
      </c>
      <c r="X412">
        <v>0.94669199999999998</v>
      </c>
      <c r="Y412">
        <v>-7.3437889999999999E-3</v>
      </c>
      <c r="Z412">
        <v>-1.0812860000000001E-3</v>
      </c>
      <c r="AA412">
        <v>0.99997250000000004</v>
      </c>
      <c r="AB412">
        <v>35</v>
      </c>
      <c r="AC412">
        <v>0.65350000000000796</v>
      </c>
      <c r="AD412">
        <v>-0.304278099999999</v>
      </c>
      <c r="AE412">
        <v>1.06999999999857E-2</v>
      </c>
      <c r="AF412">
        <v>-4.8604304423957804E-3</v>
      </c>
      <c r="AG412">
        <v>-0.304278099999999</v>
      </c>
      <c r="AH412">
        <v>0.53714207622003995</v>
      </c>
      <c r="AI412">
        <v>119.529507009669</v>
      </c>
      <c r="AJ412">
        <v>90.518437417360005</v>
      </c>
      <c r="AK412">
        <v>0.61735759165144399</v>
      </c>
      <c r="AL412">
        <v>71.477737311945702</v>
      </c>
      <c r="AM412">
        <v>93.232090387065</v>
      </c>
      <c r="AN412">
        <v>0.99999996715582395</v>
      </c>
    </row>
    <row r="413" spans="1:40" x14ac:dyDescent="0.25">
      <c r="A413" t="str">
        <f>"20190304164831672"</f>
        <v>20190304164831672</v>
      </c>
      <c r="B413" t="str">
        <f>"1551689311666854"</f>
        <v>1551689311666854</v>
      </c>
      <c r="C413" t="s">
        <v>40</v>
      </c>
      <c r="D413">
        <v>4.9235639999999998</v>
      </c>
      <c r="E413">
        <v>0.54892010000000002</v>
      </c>
      <c r="F413" t="s">
        <v>41</v>
      </c>
      <c r="G413">
        <v>-388.47910000000002</v>
      </c>
      <c r="H413">
        <v>0.87323879999999998</v>
      </c>
      <c r="I413">
        <v>367.91669999999999</v>
      </c>
      <c r="J413">
        <v>-388.8766</v>
      </c>
      <c r="K413">
        <v>1.109883</v>
      </c>
      <c r="L413">
        <v>367.90949999999998</v>
      </c>
      <c r="M413">
        <v>0.99987939999999997</v>
      </c>
      <c r="N413">
        <v>-1.369536E-2</v>
      </c>
      <c r="O413">
        <v>7.3230190000000001E-3</v>
      </c>
      <c r="P413">
        <v>0.95034830000000003</v>
      </c>
      <c r="Q413">
        <v>0.30528490000000003</v>
      </c>
      <c r="R413">
        <v>6.0328550000000002E-2</v>
      </c>
      <c r="S413">
        <v>3.5473020000000002</v>
      </c>
      <c r="T413">
        <v>-1.2298910000000001</v>
      </c>
      <c r="U413">
        <v>5.1452640000000001E-2</v>
      </c>
      <c r="V413">
        <v>-5.3354409999999998E-2</v>
      </c>
      <c r="W413">
        <v>0.31827939999999999</v>
      </c>
      <c r="X413">
        <v>0.94649430000000001</v>
      </c>
      <c r="Y413">
        <v>-7.1399699999999998E-3</v>
      </c>
      <c r="Z413">
        <v>-1.1162909999999999E-3</v>
      </c>
      <c r="AA413">
        <v>0.99997389999999997</v>
      </c>
      <c r="AB413">
        <v>35</v>
      </c>
      <c r="AC413">
        <v>0.39749999999997898</v>
      </c>
      <c r="AD413">
        <v>-0.236644199999999</v>
      </c>
      <c r="AE413">
        <v>7.2000000000116398E-3</v>
      </c>
      <c r="AF413">
        <v>-3.1666720021820099E-3</v>
      </c>
      <c r="AG413">
        <v>-0.236644199999999</v>
      </c>
      <c r="AH413">
        <v>0.29353994602348799</v>
      </c>
      <c r="AI413">
        <v>128.87321972118599</v>
      </c>
      <c r="AJ413">
        <v>90.618075683871496</v>
      </c>
      <c r="AK413">
        <v>0.37706260105807599</v>
      </c>
      <c r="AL413">
        <v>71.441097162376195</v>
      </c>
      <c r="AM413">
        <v>93.226380417425702</v>
      </c>
      <c r="AN413">
        <v>0.99999996473164798</v>
      </c>
    </row>
    <row r="414" spans="1:40" x14ac:dyDescent="0.25">
      <c r="A414" t="str">
        <f>"20190304164831685"</f>
        <v>20190304164831685</v>
      </c>
      <c r="B414" t="str">
        <f>"1551689311676614"</f>
        <v>1551689311676614</v>
      </c>
      <c r="C414" t="s">
        <v>40</v>
      </c>
      <c r="D414">
        <v>4.9123349999999997</v>
      </c>
      <c r="E414">
        <v>0.54890719999999904</v>
      </c>
      <c r="F414" t="s">
        <v>41</v>
      </c>
      <c r="G414">
        <v>-388.17349999999999</v>
      </c>
      <c r="H414">
        <v>0.86642580000000002</v>
      </c>
      <c r="I414">
        <v>367.9196</v>
      </c>
      <c r="J414">
        <v>-388.66550000000001</v>
      </c>
      <c r="K414">
        <v>1.1099650000000001</v>
      </c>
      <c r="L414">
        <v>367.91109999999998</v>
      </c>
      <c r="M414">
        <v>0.99987859999999995</v>
      </c>
      <c r="N414">
        <v>-1.3766260000000001E-2</v>
      </c>
      <c r="O414">
        <v>7.3228859999999998E-3</v>
      </c>
      <c r="P414">
        <v>0.95037179999999999</v>
      </c>
      <c r="Q414">
        <v>0.30525150000000001</v>
      </c>
      <c r="R414">
        <v>6.0127779999999999E-2</v>
      </c>
      <c r="S414">
        <v>3.5481259999999999</v>
      </c>
      <c r="T414">
        <v>-1.2285619999999999</v>
      </c>
      <c r="U414">
        <v>5.1269530000000001E-2</v>
      </c>
      <c r="V414">
        <v>-5.3153369999999998E-2</v>
      </c>
      <c r="W414">
        <v>0.31831369999999998</v>
      </c>
      <c r="X414">
        <v>0.9464941</v>
      </c>
      <c r="Y414">
        <v>-7.0880589999999999E-3</v>
      </c>
      <c r="Z414">
        <v>-1.12301E-3</v>
      </c>
      <c r="AA414">
        <v>0.99997429999999998</v>
      </c>
      <c r="AB414">
        <v>35</v>
      </c>
      <c r="AC414">
        <v>0.49200000000001798</v>
      </c>
      <c r="AD414">
        <v>-0.24353919999999901</v>
      </c>
      <c r="AE414">
        <v>8.5000000000263701E-3</v>
      </c>
      <c r="AF414">
        <v>-3.9331460963871996E-3</v>
      </c>
      <c r="AG414">
        <v>-0.24353919999999901</v>
      </c>
      <c r="AH414">
        <v>0.39523590979721401</v>
      </c>
      <c r="AI414">
        <v>121.639565636914</v>
      </c>
      <c r="AJ414">
        <v>90.570153742323697</v>
      </c>
      <c r="AK414">
        <v>0.46426095675609702</v>
      </c>
      <c r="AL414">
        <v>71.439024524924704</v>
      </c>
      <c r="AM414">
        <v>93.214249596973104</v>
      </c>
      <c r="AN414">
        <v>0.99999998684242797</v>
      </c>
    </row>
    <row r="415" spans="1:40" x14ac:dyDescent="0.25">
      <c r="A415" t="str">
        <f>"20190304164831698"</f>
        <v>20190304164831698</v>
      </c>
      <c r="B415" t="str">
        <f>"1551689311687350"</f>
        <v>1551689311687350</v>
      </c>
      <c r="C415" t="s">
        <v>40</v>
      </c>
      <c r="D415">
        <v>4.858428</v>
      </c>
      <c r="E415">
        <v>0.54890539999999999</v>
      </c>
      <c r="F415" t="s">
        <v>41</v>
      </c>
      <c r="G415">
        <v>-387.87799999999999</v>
      </c>
      <c r="H415">
        <v>0.83717529999999996</v>
      </c>
      <c r="I415">
        <v>367.92200000000003</v>
      </c>
      <c r="J415">
        <v>-388.48129999999998</v>
      </c>
      <c r="K415">
        <v>1.1100270000000001</v>
      </c>
      <c r="L415">
        <v>367.91239999999999</v>
      </c>
      <c r="M415">
        <v>0.99987780000000004</v>
      </c>
      <c r="N415">
        <v>-1.382505E-2</v>
      </c>
      <c r="O415">
        <v>7.3227750000000001E-3</v>
      </c>
      <c r="P415">
        <v>0.95040429999999998</v>
      </c>
      <c r="Q415">
        <v>0.30511670000000002</v>
      </c>
      <c r="R415">
        <v>6.029756E-2</v>
      </c>
      <c r="S415">
        <v>3.548187</v>
      </c>
      <c r="T415">
        <v>-1.228974</v>
      </c>
      <c r="U415">
        <v>5.1055910000000003E-2</v>
      </c>
      <c r="V415">
        <v>-5.3323200000000001E-2</v>
      </c>
      <c r="W415">
        <v>0.31823499999999999</v>
      </c>
      <c r="X415">
        <v>0.94651099999999999</v>
      </c>
      <c r="Y415">
        <v>-7.0309650000000001E-3</v>
      </c>
      <c r="Z415">
        <v>-1.1327380000000001E-3</v>
      </c>
      <c r="AA415">
        <v>0.99997469999999999</v>
      </c>
      <c r="AB415">
        <v>35</v>
      </c>
      <c r="AC415">
        <v>0.603299999999933</v>
      </c>
      <c r="AD415">
        <v>-0.27285169999999997</v>
      </c>
      <c r="AE415">
        <v>9.5999999999776195E-3</v>
      </c>
      <c r="AF415">
        <v>-4.3018053643712299E-3</v>
      </c>
      <c r="AG415">
        <v>-0.27285169999999997</v>
      </c>
      <c r="AH415">
        <v>0.50091991624245802</v>
      </c>
      <c r="AI415">
        <v>118.576297317398</v>
      </c>
      <c r="AJ415">
        <v>90.492033206740004</v>
      </c>
      <c r="AK415">
        <v>0.57042731194310303</v>
      </c>
      <c r="AL415">
        <v>71.443780839996293</v>
      </c>
      <c r="AM415">
        <v>93.224440337228899</v>
      </c>
      <c r="AN415">
        <v>0.99999997600211898</v>
      </c>
    </row>
    <row r="416" spans="1:40" x14ac:dyDescent="0.25">
      <c r="A416" t="str">
        <f>"20190304164831709"</f>
        <v>20190304164831709</v>
      </c>
      <c r="B416" t="str">
        <f>"1551689311697110"</f>
        <v>1551689311697110</v>
      </c>
      <c r="C416" t="s">
        <v>40</v>
      </c>
      <c r="D416">
        <v>4.9207689999999999</v>
      </c>
      <c r="E416">
        <v>0.54888959999999998</v>
      </c>
      <c r="F416" t="s">
        <v>41</v>
      </c>
      <c r="G416">
        <v>-387.58550000000002</v>
      </c>
      <c r="H416">
        <v>0.79953339999999995</v>
      </c>
      <c r="I416">
        <v>367.9255</v>
      </c>
      <c r="J416">
        <v>-388.29450000000003</v>
      </c>
      <c r="K416">
        <v>1.1100829999999999</v>
      </c>
      <c r="L416">
        <v>367.91379999999998</v>
      </c>
      <c r="M416">
        <v>0.99987700000000002</v>
      </c>
      <c r="N416">
        <v>-1.387912E-2</v>
      </c>
      <c r="O416">
        <v>7.3227550000000002E-3</v>
      </c>
      <c r="P416">
        <v>0.95042899999999997</v>
      </c>
      <c r="Q416">
        <v>0.30504009999999998</v>
      </c>
      <c r="R416">
        <v>6.029557E-2</v>
      </c>
      <c r="S416">
        <v>3.548035</v>
      </c>
      <c r="T416">
        <v>-1.2298070000000001</v>
      </c>
      <c r="U416">
        <v>5.2917480000000003E-2</v>
      </c>
      <c r="V416">
        <v>-5.3320970000000002E-2</v>
      </c>
      <c r="W416">
        <v>0.31820969999999998</v>
      </c>
      <c r="X416">
        <v>0.94651969999999996</v>
      </c>
      <c r="Y416">
        <v>-7.5258349999999998E-3</v>
      </c>
      <c r="Z416">
        <v>-1.046155E-3</v>
      </c>
      <c r="AA416">
        <v>0.99997119999999995</v>
      </c>
      <c r="AB416">
        <v>34</v>
      </c>
      <c r="AC416">
        <v>0.70900000000000296</v>
      </c>
      <c r="AD416">
        <v>-0.31054959999999998</v>
      </c>
      <c r="AE416">
        <v>1.17000000000189E-2</v>
      </c>
      <c r="AF416">
        <v>-5.4601000093488098E-3</v>
      </c>
      <c r="AG416">
        <v>-0.31054959999999998</v>
      </c>
      <c r="AH416">
        <v>0.59495383601184304</v>
      </c>
      <c r="AI416">
        <v>117.56233542596701</v>
      </c>
      <c r="AJ416">
        <v>90.525808701263699</v>
      </c>
      <c r="AK416">
        <v>0.67114896538509194</v>
      </c>
      <c r="AL416">
        <v>71.445311155537098</v>
      </c>
      <c r="AM416">
        <v>93.224276200320105</v>
      </c>
      <c r="AN416">
        <v>1.00000004075195</v>
      </c>
    </row>
    <row r="417" spans="1:40" x14ac:dyDescent="0.25">
      <c r="A417" t="str">
        <f>"20190304164831726"</f>
        <v>20190304164831726</v>
      </c>
      <c r="B417" t="str">
        <f>"1551689311716633"</f>
        <v>1551689311716633</v>
      </c>
      <c r="C417" t="s">
        <v>40</v>
      </c>
      <c r="D417">
        <v>4.8833909999999996</v>
      </c>
      <c r="E417">
        <v>0.54887889999999995</v>
      </c>
      <c r="F417" t="s">
        <v>41</v>
      </c>
      <c r="G417">
        <v>-387.56189999999998</v>
      </c>
      <c r="H417">
        <v>0.85600599999999905</v>
      </c>
      <c r="I417">
        <v>367.9246</v>
      </c>
      <c r="J417">
        <v>-388.0444</v>
      </c>
      <c r="K417">
        <v>1.1101529999999999</v>
      </c>
      <c r="L417">
        <v>367.91559999999998</v>
      </c>
      <c r="M417">
        <v>0.99987599999999999</v>
      </c>
      <c r="N417">
        <v>-1.394632E-2</v>
      </c>
      <c r="O417">
        <v>7.3227600000000002E-3</v>
      </c>
      <c r="P417">
        <v>0.95040139999999995</v>
      </c>
      <c r="Q417">
        <v>0.30499799999999999</v>
      </c>
      <c r="R417">
        <v>6.0939449999999999E-2</v>
      </c>
      <c r="S417">
        <v>3.5479430000000001</v>
      </c>
      <c r="T417">
        <v>-1.2303409999999999</v>
      </c>
      <c r="U417">
        <v>5.3497309999999999E-2</v>
      </c>
      <c r="V417">
        <v>-5.3965060000000002E-2</v>
      </c>
      <c r="W417">
        <v>0.31823099999999999</v>
      </c>
      <c r="X417">
        <v>0.94647599999999998</v>
      </c>
      <c r="Y417">
        <v>-7.6799269999999996E-3</v>
      </c>
      <c r="Z417">
        <v>-1.0188720000000001E-3</v>
      </c>
      <c r="AA417">
        <v>0.99997000000000003</v>
      </c>
      <c r="AB417">
        <v>34</v>
      </c>
      <c r="AC417">
        <v>0.48250000000001497</v>
      </c>
      <c r="AD417">
        <v>-0.25414700000000001</v>
      </c>
      <c r="AE417">
        <v>9.0000000000145502E-3</v>
      </c>
      <c r="AF417">
        <v>-4.2793237669375098E-3</v>
      </c>
      <c r="AG417">
        <v>-0.25414700000000001</v>
      </c>
      <c r="AH417">
        <v>0.377777363142759</v>
      </c>
      <c r="AI417">
        <v>123.928707435723</v>
      </c>
      <c r="AJ417">
        <v>90.648997871905905</v>
      </c>
      <c r="AK417">
        <v>0.45532927242161603</v>
      </c>
      <c r="AL417">
        <v>71.444023203088705</v>
      </c>
      <c r="AM417">
        <v>93.263290477757906</v>
      </c>
      <c r="AN417">
        <v>1.0000000078189</v>
      </c>
    </row>
    <row r="418" spans="1:40" x14ac:dyDescent="0.25">
      <c r="A418" t="str">
        <f>"20190304164831738"</f>
        <v>20190304164831738</v>
      </c>
      <c r="B418" t="str">
        <f>"1551689311726391"</f>
        <v>1551689311726391</v>
      </c>
      <c r="C418" t="s">
        <v>40</v>
      </c>
      <c r="D418">
        <v>4.8390459999999997</v>
      </c>
      <c r="E418">
        <v>0.54885479999999998</v>
      </c>
      <c r="F418" t="s">
        <v>41</v>
      </c>
      <c r="G418">
        <v>-387.26179999999999</v>
      </c>
      <c r="H418">
        <v>0.83863500000000002</v>
      </c>
      <c r="I418">
        <v>367.92759999999998</v>
      </c>
      <c r="J418">
        <v>-387.86630000000002</v>
      </c>
      <c r="K418">
        <v>1.110193</v>
      </c>
      <c r="L418">
        <v>367.9169</v>
      </c>
      <c r="M418">
        <v>0.99987539999999997</v>
      </c>
      <c r="N418">
        <v>-1.399122E-2</v>
      </c>
      <c r="O418">
        <v>7.3228019999999998E-3</v>
      </c>
      <c r="P418">
        <v>0.95041850000000005</v>
      </c>
      <c r="Q418">
        <v>0.30493239999999999</v>
      </c>
      <c r="R418">
        <v>6.1002569999999999E-2</v>
      </c>
      <c r="S418">
        <v>3.5479430000000001</v>
      </c>
      <c r="T418">
        <v>-1.2310019999999999</v>
      </c>
      <c r="U418">
        <v>5.6701660000000001E-2</v>
      </c>
      <c r="V418">
        <v>-5.4027779999999997E-2</v>
      </c>
      <c r="W418">
        <v>0.3182084</v>
      </c>
      <c r="X418">
        <v>0.94647999999999999</v>
      </c>
      <c r="Y418">
        <v>-8.5307070000000002E-3</v>
      </c>
      <c r="Z418">
        <v>-8.6945410000000001E-4</v>
      </c>
      <c r="AA418">
        <v>0.99996320000000005</v>
      </c>
      <c r="AB418">
        <v>34</v>
      </c>
      <c r="AC418">
        <v>0.60450000000003001</v>
      </c>
      <c r="AD418">
        <v>-0.27155800000000002</v>
      </c>
      <c r="AE418">
        <v>1.06999999999857E-2</v>
      </c>
      <c r="AF418">
        <v>-5.2196276764744304E-3</v>
      </c>
      <c r="AG418">
        <v>-0.27155800000000002</v>
      </c>
      <c r="AH418">
        <v>0.50307145667519004</v>
      </c>
      <c r="AI418">
        <v>118.35888690961799</v>
      </c>
      <c r="AJ418">
        <v>90.594452143353493</v>
      </c>
      <c r="AK418">
        <v>0.57170961370120299</v>
      </c>
      <c r="AL418">
        <v>71.445388721429296</v>
      </c>
      <c r="AM418">
        <v>93.267061194862194</v>
      </c>
      <c r="AN418">
        <v>0.99999998862114403</v>
      </c>
    </row>
    <row r="419" spans="1:40" x14ac:dyDescent="0.25">
      <c r="A419" t="str">
        <f>"20190304164831748"</f>
        <v>20190304164831748</v>
      </c>
      <c r="B419" t="str">
        <f>"1551689311737126"</f>
        <v>1551689311737126</v>
      </c>
      <c r="C419" t="s">
        <v>40</v>
      </c>
      <c r="D419">
        <v>4.8490140000000004</v>
      </c>
      <c r="E419">
        <v>0.54883309999999996</v>
      </c>
      <c r="F419" t="s">
        <v>41</v>
      </c>
      <c r="G419">
        <v>-386.97089999999997</v>
      </c>
      <c r="H419">
        <v>0.7992821</v>
      </c>
      <c r="I419">
        <v>367.93119999999999</v>
      </c>
      <c r="J419">
        <v>-387.68090000000001</v>
      </c>
      <c r="K419">
        <v>1.110225</v>
      </c>
      <c r="L419">
        <v>367.91829999999999</v>
      </c>
      <c r="M419">
        <v>0.99987479999999995</v>
      </c>
      <c r="N419">
        <v>-1.4033439999999999E-2</v>
      </c>
      <c r="O419">
        <v>7.322861E-3</v>
      </c>
      <c r="P419">
        <v>0.95051059999999998</v>
      </c>
      <c r="Q419">
        <v>0.30459809999999998</v>
      </c>
      <c r="R419">
        <v>6.1235400000000002E-2</v>
      </c>
      <c r="S419">
        <v>3.5481259999999999</v>
      </c>
      <c r="T419">
        <v>-1.2320040000000001</v>
      </c>
      <c r="U419">
        <v>5.706787E-2</v>
      </c>
      <c r="V419">
        <v>-5.4259960000000003E-2</v>
      </c>
      <c r="W419">
        <v>0.31791540000000001</v>
      </c>
      <c r="X419">
        <v>0.9465652</v>
      </c>
      <c r="Y419">
        <v>-8.6268249999999994E-3</v>
      </c>
      <c r="Z419">
        <v>-8.5282279999999999E-4</v>
      </c>
      <c r="AA419">
        <v>0.99996240000000003</v>
      </c>
      <c r="AB419">
        <v>34</v>
      </c>
      <c r="AC419">
        <v>0.71000000000003605</v>
      </c>
      <c r="AD419">
        <v>-0.31094290000000002</v>
      </c>
      <c r="AE419">
        <v>1.29000000000019E-2</v>
      </c>
      <c r="AF419">
        <v>-6.46109377357835E-3</v>
      </c>
      <c r="AG419">
        <v>-0.31094290000000002</v>
      </c>
      <c r="AH419">
        <v>0.595833362819989</v>
      </c>
      <c r="AI419">
        <v>117.556971603322</v>
      </c>
      <c r="AJ419">
        <v>90.6212792339348</v>
      </c>
      <c r="AK419">
        <v>0.67211950503056905</v>
      </c>
      <c r="AL419">
        <v>71.463096357256703</v>
      </c>
      <c r="AM419">
        <v>93.2807758334516</v>
      </c>
      <c r="AN419">
        <v>1.0000000113337</v>
      </c>
    </row>
    <row r="420" spans="1:40" x14ac:dyDescent="0.25">
      <c r="A420" t="str">
        <f>"20190304164831761"</f>
        <v>20190304164831761</v>
      </c>
      <c r="B420" t="str">
        <f>"1551689311756647"</f>
        <v>1551689311756647</v>
      </c>
      <c r="C420" t="s">
        <v>40</v>
      </c>
      <c r="D420">
        <v>4.9770430000000001</v>
      </c>
      <c r="E420">
        <v>0.54883369999999998</v>
      </c>
      <c r="F420" t="s">
        <v>41</v>
      </c>
      <c r="G420">
        <v>-386.94749999999999</v>
      </c>
      <c r="H420">
        <v>0.85513700000000004</v>
      </c>
      <c r="I420">
        <v>367.93040000000002</v>
      </c>
      <c r="J420">
        <v>-387.5086</v>
      </c>
      <c r="K420">
        <v>1.1102559999999999</v>
      </c>
      <c r="L420">
        <v>367.9196</v>
      </c>
      <c r="M420">
        <v>0.99987420000000005</v>
      </c>
      <c r="N420">
        <v>-1.40705E-2</v>
      </c>
      <c r="O420">
        <v>7.3228959999999997E-3</v>
      </c>
      <c r="P420">
        <v>0.95052919999999996</v>
      </c>
      <c r="Q420">
        <v>0.30452170000000001</v>
      </c>
      <c r="R420">
        <v>6.1325850000000001E-2</v>
      </c>
      <c r="S420">
        <v>3.5477599999999998</v>
      </c>
      <c r="T420">
        <v>-1.2338450000000001</v>
      </c>
      <c r="U420">
        <v>5.9082030000000001E-2</v>
      </c>
      <c r="V420">
        <v>-5.4350130000000003E-2</v>
      </c>
      <c r="W420">
        <v>0.31787379999999998</v>
      </c>
      <c r="X420">
        <v>0.94657400000000003</v>
      </c>
      <c r="Y420">
        <v>-9.1627050000000002E-3</v>
      </c>
      <c r="Z420">
        <v>-7.5953239999999997E-4</v>
      </c>
      <c r="AA420">
        <v>0.99995769999999995</v>
      </c>
      <c r="AB420">
        <v>34</v>
      </c>
      <c r="AC420">
        <v>0.56110000000001004</v>
      </c>
      <c r="AD420">
        <v>-0.25511899999999899</v>
      </c>
      <c r="AE420">
        <v>1.08000000000174E-2</v>
      </c>
      <c r="AF420">
        <v>-5.5446098425216096E-3</v>
      </c>
      <c r="AG420">
        <v>-0.25511899999999899</v>
      </c>
      <c r="AH420">
        <v>0.465057889047645</v>
      </c>
      <c r="AI420">
        <v>118.746342165697</v>
      </c>
      <c r="AJ420">
        <v>90.683071289781793</v>
      </c>
      <c r="AK420">
        <v>0.53046704612516404</v>
      </c>
      <c r="AL420">
        <v>71.465610308132199</v>
      </c>
      <c r="AM420">
        <v>93.286185451998193</v>
      </c>
      <c r="AN420">
        <v>1.00000001341672</v>
      </c>
    </row>
    <row r="421" spans="1:40" x14ac:dyDescent="0.25">
      <c r="A421" t="str">
        <f>"20190304164831773"</f>
        <v>20190304164831773</v>
      </c>
      <c r="B421" t="str">
        <f>"1551689311766407"</f>
        <v>1551689311766407</v>
      </c>
      <c r="C421" t="s">
        <v>40</v>
      </c>
      <c r="D421">
        <v>4.8961100000000002</v>
      </c>
      <c r="E421">
        <v>0.54881820000000003</v>
      </c>
      <c r="F421" t="s">
        <v>41</v>
      </c>
      <c r="G421">
        <v>-386.65800000000002</v>
      </c>
      <c r="H421">
        <v>0.81428639999999997</v>
      </c>
      <c r="I421">
        <v>367.93360000000001</v>
      </c>
      <c r="J421">
        <v>-387.31509999999997</v>
      </c>
      <c r="K421">
        <v>1.110285</v>
      </c>
      <c r="L421">
        <v>367.92099999999999</v>
      </c>
      <c r="M421">
        <v>0.99987380000000003</v>
      </c>
      <c r="N421">
        <v>-1.410951E-2</v>
      </c>
      <c r="O421">
        <v>7.3229760000000001E-3</v>
      </c>
      <c r="P421">
        <v>0.95057150000000001</v>
      </c>
      <c r="Q421">
        <v>0.30441049999999997</v>
      </c>
      <c r="R421">
        <v>6.1222270000000002E-2</v>
      </c>
      <c r="S421">
        <v>3.5476990000000002</v>
      </c>
      <c r="T421">
        <v>-1.2344029999999999</v>
      </c>
      <c r="U421">
        <v>5.9906010000000003E-2</v>
      </c>
      <c r="V421">
        <v>-5.424636E-2</v>
      </c>
      <c r="W421">
        <v>0.31780059999999999</v>
      </c>
      <c r="X421">
        <v>0.94660449999999996</v>
      </c>
      <c r="Y421">
        <v>-9.381403E-3</v>
      </c>
      <c r="Z421">
        <v>-7.2095860000000005E-4</v>
      </c>
      <c r="AA421">
        <v>0.9999557</v>
      </c>
      <c r="AB421">
        <v>34</v>
      </c>
      <c r="AC421">
        <v>0.65709999999995705</v>
      </c>
      <c r="AD421">
        <v>-0.295998599999999</v>
      </c>
      <c r="AE421">
        <v>1.26000000000203E-2</v>
      </c>
      <c r="AF421">
        <v>-6.4740504447418504E-3</v>
      </c>
      <c r="AG421">
        <v>-0.295998599999999</v>
      </c>
      <c r="AH421">
        <v>0.54635185003084996</v>
      </c>
      <c r="AI421">
        <v>118.445947629758</v>
      </c>
      <c r="AJ421">
        <v>90.6789002487658</v>
      </c>
      <c r="AK421">
        <v>0.621415664884024</v>
      </c>
      <c r="AL421">
        <v>71.470033173044399</v>
      </c>
      <c r="AM421">
        <v>93.279819442233105</v>
      </c>
      <c r="AN421">
        <v>0.99999998417692904</v>
      </c>
    </row>
    <row r="422" spans="1:40" x14ac:dyDescent="0.25">
      <c r="A422" t="str">
        <f>"20190304164831784"</f>
        <v>20190304164831784</v>
      </c>
      <c r="B422" t="str">
        <f>"1551689311777143"</f>
        <v>1551689311777143</v>
      </c>
      <c r="C422" t="s">
        <v>40</v>
      </c>
      <c r="D422">
        <v>4.8976089999999903</v>
      </c>
      <c r="E422">
        <v>0.54880189999999995</v>
      </c>
      <c r="F422" t="s">
        <v>41</v>
      </c>
      <c r="G422">
        <v>-386.63299999999998</v>
      </c>
      <c r="H422">
        <v>0.87276759999999998</v>
      </c>
      <c r="I422">
        <v>367.93239999999997</v>
      </c>
      <c r="J422">
        <v>-387.13229999999999</v>
      </c>
      <c r="K422">
        <v>1.110322</v>
      </c>
      <c r="L422">
        <v>367.92230000000001</v>
      </c>
      <c r="M422">
        <v>0.99987320000000002</v>
      </c>
      <c r="N422">
        <v>-1.414289E-2</v>
      </c>
      <c r="O422">
        <v>7.323095E-3</v>
      </c>
      <c r="P422">
        <v>0.95061589999999996</v>
      </c>
      <c r="Q422">
        <v>0.30428889999999997</v>
      </c>
      <c r="R422">
        <v>6.1135490000000001E-2</v>
      </c>
      <c r="S422">
        <v>3.5476070000000002</v>
      </c>
      <c r="T422">
        <v>-1.2352129999999999</v>
      </c>
      <c r="U422">
        <v>6.1004639999999999E-2</v>
      </c>
      <c r="V422">
        <v>-5.4159150000000003E-2</v>
      </c>
      <c r="W422">
        <v>0.31771100000000002</v>
      </c>
      <c r="X422">
        <v>0.94663960000000003</v>
      </c>
      <c r="Y422">
        <v>-9.6730559999999993E-3</v>
      </c>
      <c r="Z422">
        <v>-6.6972630000000004E-4</v>
      </c>
      <c r="AA422">
        <v>0.99995299999999998</v>
      </c>
      <c r="AB422">
        <v>34</v>
      </c>
      <c r="AC422">
        <v>0.49929999999994801</v>
      </c>
      <c r="AD422">
        <v>-0.2375544</v>
      </c>
      <c r="AE422">
        <v>1.00999999999658E-2</v>
      </c>
      <c r="AF422">
        <v>-5.2541011448420999E-3</v>
      </c>
      <c r="AG422">
        <v>-0.2375544</v>
      </c>
      <c r="AH422">
        <v>0.40721939188756401</v>
      </c>
      <c r="AI422">
        <v>120.255385708839</v>
      </c>
      <c r="AJ422">
        <v>90.739211156584901</v>
      </c>
      <c r="AK422">
        <v>0.47147357472871998</v>
      </c>
      <c r="AL422">
        <v>71.475448031755604</v>
      </c>
      <c r="AM422">
        <v>93.274436921804593</v>
      </c>
      <c r="AN422">
        <v>1.0000000126689399</v>
      </c>
    </row>
    <row r="423" spans="1:40" x14ac:dyDescent="0.25">
      <c r="A423" t="str">
        <f>"20190304164831798"</f>
        <v>20190304164831798</v>
      </c>
      <c r="B423" t="str">
        <f>"1551689311786902"</f>
        <v>1551689311786902</v>
      </c>
      <c r="C423" t="s">
        <v>40</v>
      </c>
      <c r="D423">
        <v>5.2164760000000001</v>
      </c>
      <c r="E423">
        <v>0.54879909999999998</v>
      </c>
      <c r="F423" t="s">
        <v>41</v>
      </c>
      <c r="G423">
        <v>-386.34280000000001</v>
      </c>
      <c r="H423">
        <v>0.83523189999999903</v>
      </c>
      <c r="I423">
        <v>367.93579999999997</v>
      </c>
      <c r="J423">
        <v>-386.94330000000002</v>
      </c>
      <c r="K423">
        <v>1.110349</v>
      </c>
      <c r="L423">
        <v>367.9237</v>
      </c>
      <c r="M423">
        <v>0.99987289999999995</v>
      </c>
      <c r="N423">
        <v>-1.417593E-2</v>
      </c>
      <c r="O423">
        <v>7.322978E-3</v>
      </c>
      <c r="P423">
        <v>0.95055719999999999</v>
      </c>
      <c r="Q423">
        <v>0.30446519999999999</v>
      </c>
      <c r="R423">
        <v>6.1174489999999998E-2</v>
      </c>
      <c r="S423">
        <v>3.5475460000000001</v>
      </c>
      <c r="T423">
        <v>-1.236022</v>
      </c>
      <c r="U423">
        <v>6.1218259999999997E-2</v>
      </c>
      <c r="V423">
        <v>-5.419852E-2</v>
      </c>
      <c r="W423">
        <v>0.31791760000000002</v>
      </c>
      <c r="X423">
        <v>0.94656799999999996</v>
      </c>
      <c r="Y423">
        <v>-9.7298139999999998E-3</v>
      </c>
      <c r="Z423">
        <v>-6.5980360000000003E-4</v>
      </c>
      <c r="AA423">
        <v>0.99995239999999996</v>
      </c>
      <c r="AB423">
        <v>34</v>
      </c>
      <c r="AC423">
        <v>0.60050000000001003</v>
      </c>
      <c r="AD423">
        <v>-0.2751171</v>
      </c>
      <c r="AE423">
        <v>1.2099999999975301E-2</v>
      </c>
      <c r="AF423">
        <v>-6.36609522245523E-3</v>
      </c>
      <c r="AG423">
        <v>-0.2751171</v>
      </c>
      <c r="AH423">
        <v>0.49641754762131701</v>
      </c>
      <c r="AI423">
        <v>118.993443165765</v>
      </c>
      <c r="AJ423">
        <v>90.734725024750205</v>
      </c>
      <c r="AK423">
        <v>0.56759169080171901</v>
      </c>
      <c r="AL423">
        <v>71.462963754033893</v>
      </c>
      <c r="AM423">
        <v>93.277059351944402</v>
      </c>
      <c r="AN423">
        <v>1.00000002929197</v>
      </c>
    </row>
    <row r="424" spans="1:40" x14ac:dyDescent="0.25">
      <c r="A424" t="str">
        <f>"20190304164831811"</f>
        <v>20190304164831811</v>
      </c>
      <c r="B424" t="str">
        <f>"1551689311806422"</f>
        <v>1551689311806422</v>
      </c>
      <c r="C424" t="s">
        <v>40</v>
      </c>
      <c r="D424">
        <v>4.8901000000000003</v>
      </c>
      <c r="E424">
        <v>0.54880819999999997</v>
      </c>
      <c r="F424" t="s">
        <v>41</v>
      </c>
      <c r="G424">
        <v>-386.0514</v>
      </c>
      <c r="H424">
        <v>0.79966700000000002</v>
      </c>
      <c r="I424">
        <v>367.93869999999998</v>
      </c>
      <c r="J424">
        <v>-386.73739999999998</v>
      </c>
      <c r="K424">
        <v>1.1103780000000001</v>
      </c>
      <c r="L424">
        <v>367.92520000000002</v>
      </c>
      <c r="M424">
        <v>0.99987230000000005</v>
      </c>
      <c r="N424">
        <v>-1.420829E-2</v>
      </c>
      <c r="O424">
        <v>7.3231030000000001E-3</v>
      </c>
      <c r="P424">
        <v>0.95060650000000002</v>
      </c>
      <c r="Q424">
        <v>0.30432350000000002</v>
      </c>
      <c r="R424">
        <v>6.111134E-2</v>
      </c>
      <c r="S424">
        <v>3.5479430000000001</v>
      </c>
      <c r="T424">
        <v>-1.23583</v>
      </c>
      <c r="U424">
        <v>6.1309809999999999E-2</v>
      </c>
      <c r="V424">
        <v>-5.4134750000000002E-2</v>
      </c>
      <c r="W424">
        <v>0.31780740000000002</v>
      </c>
      <c r="X424">
        <v>0.94660860000000002</v>
      </c>
      <c r="Y424">
        <v>-9.7521420000000001E-3</v>
      </c>
      <c r="Z424">
        <v>-6.5530030000000004E-4</v>
      </c>
      <c r="AA424">
        <v>0.99995230000000002</v>
      </c>
      <c r="AB424">
        <v>34</v>
      </c>
      <c r="AC424">
        <v>0.68599999999997796</v>
      </c>
      <c r="AD424">
        <v>-0.31071100000000001</v>
      </c>
      <c r="AE424">
        <v>1.3499999999964899E-2</v>
      </c>
      <c r="AF424">
        <v>-7.0332013132186101E-3</v>
      </c>
      <c r="AG424">
        <v>-0.31071100000000001</v>
      </c>
      <c r="AH424">
        <v>0.569329490180572</v>
      </c>
      <c r="AI424">
        <v>118.621622321543</v>
      </c>
      <c r="AJ424">
        <v>90.707766348866301</v>
      </c>
      <c r="AK424">
        <v>0.64863461195882999</v>
      </c>
      <c r="AL424">
        <v>71.469622142196997</v>
      </c>
      <c r="AM424">
        <v>93.273071868671707</v>
      </c>
      <c r="AN424">
        <v>0.99999997812314101</v>
      </c>
    </row>
    <row r="425" spans="1:40" x14ac:dyDescent="0.25">
      <c r="A425" t="str">
        <f>"20190304164831826"</f>
        <v>20190304164831826</v>
      </c>
      <c r="B425" t="str">
        <f>"1551689311817159"</f>
        <v>1551689311817159</v>
      </c>
      <c r="C425" t="s">
        <v>40</v>
      </c>
      <c r="D425">
        <v>5.3125640000000001</v>
      </c>
      <c r="E425">
        <v>0.54880989999999996</v>
      </c>
      <c r="F425" t="s">
        <v>41</v>
      </c>
      <c r="G425">
        <v>-386.02499999999998</v>
      </c>
      <c r="H425">
        <v>0.86213530000000005</v>
      </c>
      <c r="I425">
        <v>367.93700000000001</v>
      </c>
      <c r="J425">
        <v>-386.4984</v>
      </c>
      <c r="K425">
        <v>1.1104130000000001</v>
      </c>
      <c r="L425">
        <v>367.92700000000002</v>
      </c>
      <c r="M425">
        <v>0.99987179999999998</v>
      </c>
      <c r="N425">
        <v>-1.4242599999999999E-2</v>
      </c>
      <c r="O425">
        <v>7.3232139999999998E-3</v>
      </c>
      <c r="P425">
        <v>0.9503897</v>
      </c>
      <c r="Q425">
        <v>0.30502970000000001</v>
      </c>
      <c r="R425">
        <v>6.0963139999999999E-2</v>
      </c>
      <c r="S425">
        <v>3.5476990000000002</v>
      </c>
      <c r="T425">
        <v>-1.2362899999999999</v>
      </c>
      <c r="U425">
        <v>6.1187739999999997E-2</v>
      </c>
      <c r="V425">
        <v>-5.398799E-2</v>
      </c>
      <c r="W425">
        <v>0.31854290000000002</v>
      </c>
      <c r="X425">
        <v>0.94636980000000004</v>
      </c>
      <c r="Y425">
        <v>-9.7204839999999997E-3</v>
      </c>
      <c r="Z425">
        <v>-6.6085500000000001E-4</v>
      </c>
      <c r="AA425">
        <v>0.99995259999999997</v>
      </c>
      <c r="AB425">
        <v>34</v>
      </c>
      <c r="AC425">
        <v>0.47340000000002602</v>
      </c>
      <c r="AD425">
        <v>-0.24827769999999899</v>
      </c>
      <c r="AE425">
        <v>9.9999999999908998E-3</v>
      </c>
      <c r="AF425">
        <v>-5.1238584939182902E-3</v>
      </c>
      <c r="AG425">
        <v>-0.24827769999999899</v>
      </c>
      <c r="AH425">
        <v>0.37136142960549501</v>
      </c>
      <c r="AI425">
        <v>123.76261616750099</v>
      </c>
      <c r="AJ425">
        <v>90.790488230159696</v>
      </c>
      <c r="AK425">
        <v>0.44674084393727898</v>
      </c>
      <c r="AL425">
        <v>71.425172254384904</v>
      </c>
      <c r="AM425">
        <v>93.265039629742205</v>
      </c>
      <c r="AN425">
        <v>1.00000004027834</v>
      </c>
    </row>
    <row r="426" spans="1:40" x14ac:dyDescent="0.25">
      <c r="A426" t="str">
        <f>"20190304164831838"</f>
        <v>20190304164831838</v>
      </c>
      <c r="B426" t="str">
        <f>"1551689311826919"</f>
        <v>1551689311826919</v>
      </c>
      <c r="C426" t="s">
        <v>40</v>
      </c>
      <c r="D426">
        <v>4.8922489999999996</v>
      </c>
      <c r="E426">
        <v>0.54881939999999996</v>
      </c>
      <c r="F426" t="s">
        <v>41</v>
      </c>
      <c r="G426">
        <v>-385.7278</v>
      </c>
      <c r="H426">
        <v>0.84249629999999998</v>
      </c>
      <c r="I426">
        <v>367.94</v>
      </c>
      <c r="J426">
        <v>-386.31599999999997</v>
      </c>
      <c r="K426">
        <v>1.11043799999999</v>
      </c>
      <c r="L426">
        <v>367.92829999999998</v>
      </c>
      <c r="M426">
        <v>0.99987139999999997</v>
      </c>
      <c r="N426">
        <v>-1.426702E-2</v>
      </c>
      <c r="O426">
        <v>7.3231569999999899E-3</v>
      </c>
      <c r="P426">
        <v>0.9502794</v>
      </c>
      <c r="Q426">
        <v>0.30540630000000002</v>
      </c>
      <c r="R426">
        <v>6.0798409999999997E-2</v>
      </c>
      <c r="S426">
        <v>3.5486759999999999</v>
      </c>
      <c r="T426">
        <v>-1.2336940000000001</v>
      </c>
      <c r="U426">
        <v>6.0363769999999997E-2</v>
      </c>
      <c r="V426">
        <v>-5.3824230000000001E-2</v>
      </c>
      <c r="W426">
        <v>0.31894149999999999</v>
      </c>
      <c r="X426">
        <v>0.9462448</v>
      </c>
      <c r="Y426">
        <v>-9.4979929999999997E-3</v>
      </c>
      <c r="Z426">
        <v>-6.9787229999999998E-4</v>
      </c>
      <c r="AA426">
        <v>0.99995460000000003</v>
      </c>
      <c r="AB426">
        <v>34</v>
      </c>
      <c r="AC426">
        <v>0.58819999999997197</v>
      </c>
      <c r="AD426">
        <v>-0.26794169999999901</v>
      </c>
      <c r="AE426">
        <v>1.17000000000189E-2</v>
      </c>
      <c r="AF426">
        <v>-6.1219318565858003E-3</v>
      </c>
      <c r="AG426">
        <v>-0.26794169999999901</v>
      </c>
      <c r="AH426">
        <v>0.48721076184825501</v>
      </c>
      <c r="AI426">
        <v>118.80669735930699</v>
      </c>
      <c r="AJ426">
        <v>90.719898711200699</v>
      </c>
      <c r="AK426">
        <v>0.55606165045730604</v>
      </c>
      <c r="AL426">
        <v>71.4010761433357</v>
      </c>
      <c r="AM426">
        <v>93.255586306778198</v>
      </c>
      <c r="AN426">
        <v>0.99999997484219105</v>
      </c>
    </row>
    <row r="427" spans="1:40" x14ac:dyDescent="0.25">
      <c r="A427" t="str">
        <f>"20190304164831852"</f>
        <v>20190304164831852</v>
      </c>
      <c r="B427" t="str">
        <f>"1551689311846438"</f>
        <v>1551689311846438</v>
      </c>
      <c r="C427" t="s">
        <v>40</v>
      </c>
      <c r="D427">
        <v>4.8927009999999997</v>
      </c>
      <c r="E427">
        <v>0.54880069999999903</v>
      </c>
      <c r="F427" t="s">
        <v>41</v>
      </c>
      <c r="G427">
        <v>-385.43779999999998</v>
      </c>
      <c r="H427">
        <v>0.80551399999999995</v>
      </c>
      <c r="I427">
        <v>367.94279999999998</v>
      </c>
      <c r="J427">
        <v>-386.11500000000001</v>
      </c>
      <c r="K427">
        <v>1.110463</v>
      </c>
      <c r="L427">
        <v>367.92970000000003</v>
      </c>
      <c r="M427">
        <v>0.99987099999999995</v>
      </c>
      <c r="N427">
        <v>-1.429152E-2</v>
      </c>
      <c r="O427">
        <v>7.3233380000000004E-3</v>
      </c>
      <c r="P427">
        <v>0.95003490000000002</v>
      </c>
      <c r="Q427">
        <v>0.30618099999999998</v>
      </c>
      <c r="R427">
        <v>6.0719059999999998E-2</v>
      </c>
      <c r="S427">
        <v>3.5491640000000002</v>
      </c>
      <c r="T427">
        <v>-1.2322329999999999</v>
      </c>
      <c r="U427">
        <v>5.9875490000000003E-2</v>
      </c>
      <c r="V427">
        <v>-5.3746790000000003E-2</v>
      </c>
      <c r="W427">
        <v>0.31973550000000001</v>
      </c>
      <c r="X427">
        <v>0.94598130000000002</v>
      </c>
      <c r="Y427">
        <v>-9.3663010000000005E-3</v>
      </c>
      <c r="Z427">
        <v>-7.1972759999999996E-4</v>
      </c>
      <c r="AA427">
        <v>0.99995590000000001</v>
      </c>
      <c r="AB427">
        <v>34</v>
      </c>
      <c r="AC427">
        <v>0.677200000000027</v>
      </c>
      <c r="AD427">
        <v>-0.30494899999999903</v>
      </c>
      <c r="AE427">
        <v>1.3099999999951701E-2</v>
      </c>
      <c r="AF427">
        <v>-6.7679086818205397E-3</v>
      </c>
      <c r="AG427">
        <v>-0.30494899999999903</v>
      </c>
      <c r="AH427">
        <v>0.56313016806703398</v>
      </c>
      <c r="AI427">
        <v>118.434915049846</v>
      </c>
      <c r="AJ427">
        <v>90.688568926116304</v>
      </c>
      <c r="AK427">
        <v>0.64043366820938696</v>
      </c>
      <c r="AL427">
        <v>71.353071426176697</v>
      </c>
      <c r="AM427">
        <v>93.251815950061996</v>
      </c>
      <c r="AN427">
        <v>1.0000000636726201</v>
      </c>
    </row>
    <row r="428" spans="1:40" x14ac:dyDescent="0.25">
      <c r="A428" t="str">
        <f>"20190304164831865"</f>
        <v>20190304164831865</v>
      </c>
      <c r="B428" t="str">
        <f>"1551689311857173"</f>
        <v>1551689311857173</v>
      </c>
      <c r="C428" t="s">
        <v>40</v>
      </c>
      <c r="D428">
        <v>5.0184340000000001</v>
      </c>
      <c r="E428">
        <v>0.54879239999999996</v>
      </c>
      <c r="F428" t="s">
        <v>41</v>
      </c>
      <c r="G428">
        <v>-385.41180000000003</v>
      </c>
      <c r="H428">
        <v>0.86687179999999997</v>
      </c>
      <c r="I428">
        <v>367.94130000000001</v>
      </c>
      <c r="J428">
        <v>-385.9033</v>
      </c>
      <c r="K428">
        <v>1.110482</v>
      </c>
      <c r="L428">
        <v>367.93130000000002</v>
      </c>
      <c r="M428">
        <v>0.99987079999999995</v>
      </c>
      <c r="N428">
        <v>-1.431497E-2</v>
      </c>
      <c r="O428">
        <v>7.3233469999999896E-3</v>
      </c>
      <c r="P428">
        <v>0.9498299</v>
      </c>
      <c r="Q428">
        <v>0.30687389999999998</v>
      </c>
      <c r="R428">
        <v>6.0428299999999997E-2</v>
      </c>
      <c r="S428">
        <v>3.550262</v>
      </c>
      <c r="T428">
        <v>-1.229738</v>
      </c>
      <c r="U428">
        <v>6.0058590000000002E-2</v>
      </c>
      <c r="V428">
        <v>-5.3456690000000001E-2</v>
      </c>
      <c r="W428">
        <v>0.32044739999999999</v>
      </c>
      <c r="X428">
        <v>0.94575670000000001</v>
      </c>
      <c r="Y428">
        <v>-9.4105230000000005E-3</v>
      </c>
      <c r="Z428">
        <v>-7.0971429999999996E-4</v>
      </c>
      <c r="AA428">
        <v>0.9999555</v>
      </c>
      <c r="AB428">
        <v>34</v>
      </c>
      <c r="AC428">
        <v>0.49149999999997301</v>
      </c>
      <c r="AD428">
        <v>-0.243610199999999</v>
      </c>
      <c r="AE428">
        <v>9.9999999999908998E-3</v>
      </c>
      <c r="AF428">
        <v>-5.1381862146470001E-3</v>
      </c>
      <c r="AG428">
        <v>-0.243610199999999</v>
      </c>
      <c r="AH428">
        <v>0.39464867354120398</v>
      </c>
      <c r="AI428">
        <v>121.68418765877099</v>
      </c>
      <c r="AJ428">
        <v>90.745928648403705</v>
      </c>
      <c r="AK428">
        <v>0.46381020474914902</v>
      </c>
      <c r="AL428">
        <v>71.310015037444998</v>
      </c>
      <c r="AM428">
        <v>93.235067990069595</v>
      </c>
      <c r="AN428">
        <v>0.99999994473370102</v>
      </c>
    </row>
    <row r="429" spans="1:40" x14ac:dyDescent="0.25">
      <c r="A429" t="str">
        <f>"20190304164831884"</f>
        <v>20190304164831884</v>
      </c>
      <c r="B429" t="str">
        <f>"1551689311876694"</f>
        <v>1551689311876694</v>
      </c>
      <c r="C429" t="s">
        <v>40</v>
      </c>
      <c r="D429">
        <v>4.8903309999999998</v>
      </c>
      <c r="E429">
        <v>0.54877010000000004</v>
      </c>
      <c r="F429" t="s">
        <v>41</v>
      </c>
      <c r="G429">
        <v>-385.11869999999999</v>
      </c>
      <c r="H429">
        <v>0.83933400000000002</v>
      </c>
      <c r="I429">
        <v>367.94420000000002</v>
      </c>
      <c r="J429">
        <v>-385.62290000000002</v>
      </c>
      <c r="K429">
        <v>1.110506</v>
      </c>
      <c r="L429">
        <v>367.93329999999997</v>
      </c>
      <c r="M429">
        <v>0.99987040000000005</v>
      </c>
      <c r="N429">
        <v>-1.434325E-2</v>
      </c>
      <c r="O429">
        <v>7.3233200000000004E-3</v>
      </c>
      <c r="P429">
        <v>0.94960679999999997</v>
      </c>
      <c r="Q429">
        <v>0.3076836</v>
      </c>
      <c r="R429">
        <v>5.9814369999999999E-2</v>
      </c>
      <c r="S429">
        <v>3.5512389999999998</v>
      </c>
      <c r="T429">
        <v>-1.2274480000000001</v>
      </c>
      <c r="U429">
        <v>5.9539790000000002E-2</v>
      </c>
      <c r="V429">
        <v>-5.2844759999999998E-2</v>
      </c>
      <c r="W429">
        <v>0.32128069999999997</v>
      </c>
      <c r="X429">
        <v>0.94550840000000003</v>
      </c>
      <c r="Y429">
        <v>-9.2689439999999994E-3</v>
      </c>
      <c r="Z429">
        <v>-7.324063E-4</v>
      </c>
      <c r="AA429">
        <v>0.99995679999999998</v>
      </c>
      <c r="AB429">
        <v>34</v>
      </c>
      <c r="AC429">
        <v>0.50420000000002496</v>
      </c>
      <c r="AD429">
        <v>-0.27117200000000002</v>
      </c>
      <c r="AE429">
        <v>1.09000000000492E-2</v>
      </c>
      <c r="AF429">
        <v>-5.5905572640091699E-3</v>
      </c>
      <c r="AG429">
        <v>-0.27117200000000002</v>
      </c>
      <c r="AH429">
        <v>0.39117036532153998</v>
      </c>
      <c r="AI429">
        <v>124.72821713422999</v>
      </c>
      <c r="AJ429">
        <v>90.818808269924801</v>
      </c>
      <c r="AK429">
        <v>0.47600395231584902</v>
      </c>
      <c r="AL429">
        <v>71.259606034124104</v>
      </c>
      <c r="AM429">
        <v>93.198950912028806</v>
      </c>
      <c r="AN429">
        <v>0.99999999566125297</v>
      </c>
    </row>
    <row r="430" spans="1:40" x14ac:dyDescent="0.25">
      <c r="A430" t="str">
        <f>"20190304164831895"</f>
        <v>20190304164831895</v>
      </c>
      <c r="B430" t="str">
        <f>"1551689311886454"</f>
        <v>1551689311886454</v>
      </c>
      <c r="C430" t="s">
        <v>40</v>
      </c>
      <c r="D430">
        <v>4.9142089999999996</v>
      </c>
      <c r="E430">
        <v>0.54876269999999905</v>
      </c>
      <c r="F430" t="s">
        <v>41</v>
      </c>
      <c r="G430">
        <v>-384.81700000000001</v>
      </c>
      <c r="H430">
        <v>0.83259799999999995</v>
      </c>
      <c r="I430">
        <v>367.94630000000001</v>
      </c>
      <c r="J430">
        <v>-385.44439999999997</v>
      </c>
      <c r="K430">
        <v>1.110519</v>
      </c>
      <c r="L430">
        <v>367.93459999999999</v>
      </c>
      <c r="M430">
        <v>0.99987009999999998</v>
      </c>
      <c r="N430">
        <v>-1.435997E-2</v>
      </c>
      <c r="O430">
        <v>7.3233780000000002E-3</v>
      </c>
      <c r="P430">
        <v>0.9495593</v>
      </c>
      <c r="Q430">
        <v>0.30789919999999998</v>
      </c>
      <c r="R430">
        <v>5.9455870000000001E-2</v>
      </c>
      <c r="S430">
        <v>3.5524290000000001</v>
      </c>
      <c r="T430">
        <v>-1.22499</v>
      </c>
      <c r="U430">
        <v>5.859375E-2</v>
      </c>
      <c r="V430">
        <v>-5.2486949999999997E-2</v>
      </c>
      <c r="W430">
        <v>0.32151089999999999</v>
      </c>
      <c r="X430">
        <v>0.94545009999999996</v>
      </c>
      <c r="Y430">
        <v>-9.0130660000000001E-3</v>
      </c>
      <c r="Z430">
        <v>-7.7499660000000001E-4</v>
      </c>
      <c r="AA430">
        <v>0.99995909999999999</v>
      </c>
      <c r="AB430">
        <v>34</v>
      </c>
      <c r="AC430">
        <v>0.62740000000002205</v>
      </c>
      <c r="AD430">
        <v>-0.27792099999999997</v>
      </c>
      <c r="AE430">
        <v>1.17000000000189E-2</v>
      </c>
      <c r="AF430">
        <v>-5.93946125031811E-3</v>
      </c>
      <c r="AG430">
        <v>-0.27792099999999997</v>
      </c>
      <c r="AH430">
        <v>0.52457087909305999</v>
      </c>
      <c r="AI430">
        <v>117.91340915883001</v>
      </c>
      <c r="AJ430">
        <v>90.648704559420594</v>
      </c>
      <c r="AK430">
        <v>0.59367496716082802</v>
      </c>
      <c r="AL430">
        <v>71.245677949654606</v>
      </c>
      <c r="AM430">
        <v>93.177530983641006</v>
      </c>
      <c r="AN430">
        <v>1.0000000151645601</v>
      </c>
    </row>
    <row r="431" spans="1:40" x14ac:dyDescent="0.25">
      <c r="A431" t="str">
        <f>"20190304164831906"</f>
        <v>20190304164831906</v>
      </c>
      <c r="B431" t="str">
        <f>"1551689311896917"</f>
        <v>1551689311896917</v>
      </c>
      <c r="C431" t="s">
        <v>40</v>
      </c>
      <c r="D431">
        <v>4.9135739999999997</v>
      </c>
      <c r="E431">
        <v>0.54874730000000005</v>
      </c>
      <c r="F431" t="s">
        <v>41</v>
      </c>
      <c r="G431">
        <v>-384.52820000000003</v>
      </c>
      <c r="H431">
        <v>0.79474500000000003</v>
      </c>
      <c r="I431">
        <v>367.94909999999999</v>
      </c>
      <c r="J431">
        <v>-385.27229999999997</v>
      </c>
      <c r="K431">
        <v>1.1105290000000001</v>
      </c>
      <c r="L431">
        <v>367.9359</v>
      </c>
      <c r="M431">
        <v>0.99986989999999998</v>
      </c>
      <c r="N431">
        <v>-1.4374039999999999E-2</v>
      </c>
      <c r="O431">
        <v>7.3232749999999998E-3</v>
      </c>
      <c r="P431">
        <v>0.94960449999999996</v>
      </c>
      <c r="Q431">
        <v>0.30777710000000003</v>
      </c>
      <c r="R431">
        <v>5.937315E-2</v>
      </c>
      <c r="S431">
        <v>3.552765</v>
      </c>
      <c r="T431">
        <v>-1.2244139999999999</v>
      </c>
      <c r="U431">
        <v>5.7342530000000003E-2</v>
      </c>
      <c r="V431">
        <v>-5.2403770000000002E-2</v>
      </c>
      <c r="W431">
        <v>0.32140299999999999</v>
      </c>
      <c r="X431">
        <v>0.94549139999999998</v>
      </c>
      <c r="Y431">
        <v>-8.6796970000000001E-3</v>
      </c>
      <c r="Z431">
        <v>-8.3259229999999896E-4</v>
      </c>
      <c r="AA431">
        <v>0.99996200000000002</v>
      </c>
      <c r="AB431">
        <v>34</v>
      </c>
      <c r="AC431">
        <v>0.74409999999994603</v>
      </c>
      <c r="AD431">
        <v>-0.31578400000000001</v>
      </c>
      <c r="AE431">
        <v>1.31999999999834E-2</v>
      </c>
      <c r="AF431">
        <v>-6.5674058039492502E-3</v>
      </c>
      <c r="AG431">
        <v>-0.31578400000000001</v>
      </c>
      <c r="AH431">
        <v>0.63063420475268095</v>
      </c>
      <c r="AI431">
        <v>116.597733052576</v>
      </c>
      <c r="AJ431">
        <v>90.596654970787498</v>
      </c>
      <c r="AK431">
        <v>0.70530997843433396</v>
      </c>
      <c r="AL431">
        <v>71.252206688345893</v>
      </c>
      <c r="AM431">
        <v>93.172367311660693</v>
      </c>
      <c r="AN431">
        <v>1.00000001549658</v>
      </c>
    </row>
    <row r="432" spans="1:40" x14ac:dyDescent="0.25">
      <c r="A432" t="str">
        <f>"20190304164831918"</f>
        <v>20190304164831918</v>
      </c>
      <c r="B432" t="str">
        <f>"1551689311906678"</f>
        <v>1551689311906678</v>
      </c>
      <c r="C432" t="s">
        <v>40</v>
      </c>
      <c r="D432">
        <v>4.9122409999999999</v>
      </c>
      <c r="E432">
        <v>0.54873190000000005</v>
      </c>
      <c r="F432" t="s">
        <v>41</v>
      </c>
      <c r="G432">
        <v>-384.50659999999999</v>
      </c>
      <c r="H432">
        <v>0.84646109999999897</v>
      </c>
      <c r="I432">
        <v>367.94810000000001</v>
      </c>
      <c r="J432">
        <v>-385.0926</v>
      </c>
      <c r="K432">
        <v>1.110538</v>
      </c>
      <c r="L432">
        <v>367.93720000000002</v>
      </c>
      <c r="M432">
        <v>0.99986980000000003</v>
      </c>
      <c r="N432">
        <v>-1.4388160000000001E-2</v>
      </c>
      <c r="O432">
        <v>7.3232919999999899E-3</v>
      </c>
      <c r="P432">
        <v>0.94962349999999995</v>
      </c>
      <c r="Q432">
        <v>0.30776310000000001</v>
      </c>
      <c r="R432">
        <v>5.9136340000000003E-2</v>
      </c>
      <c r="S432">
        <v>3.5527039999999999</v>
      </c>
      <c r="T432">
        <v>-1.225292</v>
      </c>
      <c r="U432">
        <v>5.8166500000000003E-2</v>
      </c>
      <c r="V432">
        <v>-5.2167070000000003E-2</v>
      </c>
      <c r="W432">
        <v>0.32140249999999998</v>
      </c>
      <c r="X432">
        <v>0.94550460000000003</v>
      </c>
      <c r="Y432">
        <v>-8.8984140000000003E-3</v>
      </c>
      <c r="Z432">
        <v>-7.9485299999999999E-4</v>
      </c>
      <c r="AA432">
        <v>0.99996010000000002</v>
      </c>
      <c r="AB432">
        <v>34</v>
      </c>
      <c r="AC432">
        <v>0.58600000000001196</v>
      </c>
      <c r="AD432">
        <v>-0.2640769</v>
      </c>
      <c r="AE432">
        <v>1.08999999999923E-2</v>
      </c>
      <c r="AF432">
        <v>-5.4927391711437502E-3</v>
      </c>
      <c r="AG432">
        <v>-0.2640769</v>
      </c>
      <c r="AH432">
        <v>0.48716518266852599</v>
      </c>
      <c r="AI432">
        <v>118.45920059373699</v>
      </c>
      <c r="AJ432">
        <v>90.645976865723</v>
      </c>
      <c r="AK432">
        <v>0.55416305768399099</v>
      </c>
      <c r="AL432">
        <v>71.2522358506762</v>
      </c>
      <c r="AM432">
        <v>93.158023272391304</v>
      </c>
      <c r="AN432">
        <v>0.99999995940989606</v>
      </c>
    </row>
    <row r="433" spans="1:40" x14ac:dyDescent="0.25">
      <c r="A433" t="str">
        <f>"20190304164831930"</f>
        <v>20190304164831930</v>
      </c>
      <c r="B433" t="str">
        <f>"1551689311926672"</f>
        <v>1551689311926672</v>
      </c>
      <c r="C433" t="s">
        <v>40</v>
      </c>
      <c r="D433">
        <v>4.9155480000000003</v>
      </c>
      <c r="E433">
        <v>0.54735690000000004</v>
      </c>
      <c r="F433" t="s">
        <v>41</v>
      </c>
      <c r="G433">
        <v>-384.21839999999997</v>
      </c>
      <c r="H433">
        <v>0.80891859999999904</v>
      </c>
      <c r="I433">
        <v>367.9511</v>
      </c>
      <c r="J433">
        <v>-384.91699999999997</v>
      </c>
      <c r="K433">
        <v>1.1105430000000001</v>
      </c>
      <c r="L433">
        <v>367.93849999999998</v>
      </c>
      <c r="M433">
        <v>0.99986949999999997</v>
      </c>
      <c r="N433">
        <v>-1.4400690000000001E-2</v>
      </c>
      <c r="O433">
        <v>7.3233789999999997E-3</v>
      </c>
      <c r="P433">
        <v>0.94971380000000005</v>
      </c>
      <c r="Q433">
        <v>0.30755199999999999</v>
      </c>
      <c r="R433">
        <v>5.8786629999999999E-2</v>
      </c>
      <c r="S433">
        <v>3.5527950000000001</v>
      </c>
      <c r="T433">
        <v>-1.225757</v>
      </c>
      <c r="U433">
        <v>5.7983399999999997E-2</v>
      </c>
      <c r="V433">
        <v>-5.1816830000000001E-2</v>
      </c>
      <c r="W433">
        <v>0.321204299999999</v>
      </c>
      <c r="X433">
        <v>0.94559119999999997</v>
      </c>
      <c r="Y433">
        <v>-8.8492190000000002E-3</v>
      </c>
      <c r="Z433">
        <v>-8.0366910000000005E-4</v>
      </c>
      <c r="AA433">
        <v>0.99996050000000003</v>
      </c>
      <c r="AB433">
        <v>34</v>
      </c>
      <c r="AC433">
        <v>0.698599999999999</v>
      </c>
      <c r="AD433">
        <v>-0.30162440000000001</v>
      </c>
      <c r="AE433">
        <v>1.26000000000203E-2</v>
      </c>
      <c r="AF433">
        <v>-6.3075863735442498E-3</v>
      </c>
      <c r="AG433">
        <v>-0.30162440000000001</v>
      </c>
      <c r="AH433">
        <v>0.58892590736060202</v>
      </c>
      <c r="AI433">
        <v>117.118384287852</v>
      </c>
      <c r="AJ433">
        <v>90.613632811485104</v>
      </c>
      <c r="AK433">
        <v>0.66170294595212997</v>
      </c>
      <c r="AL433">
        <v>71.264227581713399</v>
      </c>
      <c r="AM433">
        <v>93.136576667760806</v>
      </c>
      <c r="AN433">
        <v>0.99999995186358803</v>
      </c>
    </row>
    <row r="434" spans="1:40" x14ac:dyDescent="0.25">
      <c r="A434" t="str">
        <f>"20190304164831941"</f>
        <v>20190304164831941</v>
      </c>
      <c r="B434" t="str">
        <f>"1551689311936432"</f>
        <v>1551689311936432</v>
      </c>
      <c r="C434" t="s">
        <v>40</v>
      </c>
      <c r="D434">
        <v>4.9092330000000004</v>
      </c>
      <c r="E434">
        <v>0.54749950000000003</v>
      </c>
      <c r="F434" t="s">
        <v>41</v>
      </c>
      <c r="G434">
        <v>-384.19819999999999</v>
      </c>
      <c r="H434">
        <v>0.85638749999999997</v>
      </c>
      <c r="I434">
        <v>367.95280000000002</v>
      </c>
      <c r="J434">
        <v>-384.75900000000001</v>
      </c>
      <c r="K434">
        <v>1.110547</v>
      </c>
      <c r="L434">
        <v>367.93970000000002</v>
      </c>
      <c r="M434">
        <v>0.99986949999999997</v>
      </c>
      <c r="N434">
        <v>-1.4411169999999999E-2</v>
      </c>
      <c r="O434">
        <v>7.3233029999999998E-3</v>
      </c>
      <c r="P434">
        <v>0.94966439999999996</v>
      </c>
      <c r="Q434">
        <v>0.30771850000000001</v>
      </c>
      <c r="R434">
        <v>5.8715129999999997E-2</v>
      </c>
      <c r="S434">
        <v>3.5622250000000002</v>
      </c>
      <c r="T434">
        <v>-1.25949</v>
      </c>
      <c r="U434">
        <v>7.2662350000000001E-2</v>
      </c>
      <c r="V434">
        <v>-5.1745489999999998E-2</v>
      </c>
      <c r="W434">
        <v>0.32138</v>
      </c>
      <c r="X434">
        <v>0.94553549999999997</v>
      </c>
      <c r="Y434">
        <v>-1.2677259999999999E-2</v>
      </c>
      <c r="Z434">
        <v>-1.4108299999999999E-4</v>
      </c>
      <c r="AA434">
        <v>0.99991969999999997</v>
      </c>
      <c r="AB434">
        <v>34</v>
      </c>
      <c r="AC434">
        <v>0.56080000000002805</v>
      </c>
      <c r="AD434">
        <v>-0.25415949999999998</v>
      </c>
      <c r="AE434">
        <v>1.3100000000008501E-2</v>
      </c>
      <c r="AF434">
        <v>-7.4607295871951104E-3</v>
      </c>
      <c r="AG434">
        <v>-0.25415949999999998</v>
      </c>
      <c r="AH434">
        <v>0.46535080271312101</v>
      </c>
      <c r="AI434">
        <v>118.638837029054</v>
      </c>
      <c r="AJ434">
        <v>90.918515010663896</v>
      </c>
      <c r="AK434">
        <v>0.53028679364280795</v>
      </c>
      <c r="AL434">
        <v>71.253598817342194</v>
      </c>
      <c r="AM434">
        <v>93.132451068630701</v>
      </c>
      <c r="AN434">
        <v>1.00000004094779</v>
      </c>
    </row>
    <row r="435" spans="1:40" x14ac:dyDescent="0.25">
      <c r="A435" t="str">
        <f>"20190304164831952"</f>
        <v>20190304164831952</v>
      </c>
      <c r="B435" t="str">
        <f>"1551689311947168"</f>
        <v>1551689311947168</v>
      </c>
      <c r="C435" t="s">
        <v>40</v>
      </c>
      <c r="D435">
        <v>4.8980610000000002</v>
      </c>
      <c r="E435">
        <v>0.54754099999999895</v>
      </c>
      <c r="F435" t="s">
        <v>41</v>
      </c>
      <c r="G435">
        <v>-383.91320000000002</v>
      </c>
      <c r="H435">
        <v>0.8125095</v>
      </c>
      <c r="I435">
        <v>367.95639999999997</v>
      </c>
      <c r="J435">
        <v>-384.5763</v>
      </c>
      <c r="K435">
        <v>1.110549</v>
      </c>
      <c r="L435">
        <v>367.94099999999997</v>
      </c>
      <c r="M435">
        <v>0.99986920000000001</v>
      </c>
      <c r="N435">
        <v>-1.442249E-2</v>
      </c>
      <c r="O435">
        <v>7.3233990000000004E-3</v>
      </c>
      <c r="P435">
        <v>0.94975580000000004</v>
      </c>
      <c r="Q435">
        <v>0.30745119999999998</v>
      </c>
      <c r="R435">
        <v>5.8633400000000002E-2</v>
      </c>
      <c r="S435">
        <v>3.5612180000000002</v>
      </c>
      <c r="T435">
        <v>-1.2548379999999999</v>
      </c>
      <c r="U435">
        <v>7.1289060000000001E-2</v>
      </c>
      <c r="V435">
        <v>-5.1663199999999902E-2</v>
      </c>
      <c r="W435">
        <v>0.321125299999999</v>
      </c>
      <c r="X435">
        <v>0.94562650000000004</v>
      </c>
      <c r="Y435">
        <v>-1.232215E-2</v>
      </c>
      <c r="Z435">
        <v>-2.0324110000000001E-4</v>
      </c>
      <c r="AA435">
        <v>0.99992409999999998</v>
      </c>
      <c r="AB435">
        <v>34</v>
      </c>
      <c r="AC435">
        <v>0.66309999999998503</v>
      </c>
      <c r="AD435">
        <v>-0.29803950000000001</v>
      </c>
      <c r="AE435">
        <v>1.53999999999996E-2</v>
      </c>
      <c r="AF435">
        <v>-8.7718264306305208E-3</v>
      </c>
      <c r="AG435">
        <v>-0.29803950000000001</v>
      </c>
      <c r="AH435">
        <v>0.551784763700916</v>
      </c>
      <c r="AI435">
        <v>118.37210716527299</v>
      </c>
      <c r="AJ435">
        <v>90.910765092491502</v>
      </c>
      <c r="AK435">
        <v>0.62719288416854302</v>
      </c>
      <c r="AL435">
        <v>71.269008303690796</v>
      </c>
      <c r="AM435">
        <v>93.127179112383999</v>
      </c>
      <c r="AN435">
        <v>1.0000000110182801</v>
      </c>
    </row>
    <row r="436" spans="1:40" x14ac:dyDescent="0.25">
      <c r="A436" t="str">
        <f>"20190304164831963"</f>
        <v>20190304164831963</v>
      </c>
      <c r="B436" t="str">
        <f>"1551689311956928"</f>
        <v>1551689311956928</v>
      </c>
      <c r="C436" t="s">
        <v>40</v>
      </c>
      <c r="D436">
        <v>4.9109749999999996</v>
      </c>
      <c r="E436">
        <v>0.54752809999999996</v>
      </c>
      <c r="F436" t="s">
        <v>41</v>
      </c>
      <c r="G436">
        <v>-383.88929999999999</v>
      </c>
      <c r="H436">
        <v>0.86839339999999998</v>
      </c>
      <c r="I436">
        <v>367.9547</v>
      </c>
      <c r="J436">
        <v>-384.41359999999997</v>
      </c>
      <c r="K436">
        <v>1.110552</v>
      </c>
      <c r="L436">
        <v>367.94220000000001</v>
      </c>
      <c r="M436">
        <v>0.99986909999999896</v>
      </c>
      <c r="N436">
        <v>-1.4431579999999999E-2</v>
      </c>
      <c r="O436">
        <v>7.3233329999999996E-3</v>
      </c>
      <c r="P436">
        <v>0.94974199999999998</v>
      </c>
      <c r="Q436">
        <v>0.3075563</v>
      </c>
      <c r="R436">
        <v>5.8306789999999997E-2</v>
      </c>
      <c r="S436">
        <v>3.560486</v>
      </c>
      <c r="T436">
        <v>-1.2549129999999999</v>
      </c>
      <c r="U436">
        <v>7.2052000000000005E-2</v>
      </c>
      <c r="V436">
        <v>-5.133646E-2</v>
      </c>
      <c r="W436">
        <v>0.32123819999999997</v>
      </c>
      <c r="X436">
        <v>0.9456059</v>
      </c>
      <c r="Y436">
        <v>-1.2527379999999999E-2</v>
      </c>
      <c r="Z436">
        <v>-1.6656329999999999E-4</v>
      </c>
      <c r="AA436">
        <v>0.99992150000000002</v>
      </c>
      <c r="AB436">
        <v>34</v>
      </c>
      <c r="AC436">
        <v>0.524299999999982</v>
      </c>
      <c r="AD436">
        <v>-0.242158599999999</v>
      </c>
      <c r="AE436">
        <v>1.24999999999886E-2</v>
      </c>
      <c r="AF436">
        <v>-7.1378340068879702E-3</v>
      </c>
      <c r="AG436">
        <v>-0.242158599999999</v>
      </c>
      <c r="AH436">
        <v>0.43222568083722102</v>
      </c>
      <c r="AI436">
        <v>119.25681857318099</v>
      </c>
      <c r="AJ436">
        <v>90.946104339060994</v>
      </c>
      <c r="AK436">
        <v>0.49549043926545</v>
      </c>
      <c r="AL436">
        <v>71.262176827766595</v>
      </c>
      <c r="AM436">
        <v>93.107507950776693</v>
      </c>
      <c r="AN436">
        <v>0.99999996568968996</v>
      </c>
    </row>
    <row r="437" spans="1:40" x14ac:dyDescent="0.25">
      <c r="A437" t="str">
        <f>"20190304164831974"</f>
        <v>20190304164831974</v>
      </c>
      <c r="B437" t="str">
        <f>"1551689311966689"</f>
        <v>1551689311966689</v>
      </c>
      <c r="C437" t="s">
        <v>40</v>
      </c>
      <c r="D437">
        <v>4.9090629999999997</v>
      </c>
      <c r="E437">
        <v>0.54749389999999998</v>
      </c>
      <c r="F437" t="s">
        <v>41</v>
      </c>
      <c r="G437">
        <v>-383.6046</v>
      </c>
      <c r="H437">
        <v>0.82547099999999995</v>
      </c>
      <c r="I437">
        <v>367.95819999999998</v>
      </c>
      <c r="J437">
        <v>-384.24130000000002</v>
      </c>
      <c r="K437">
        <v>1.1105579999999999</v>
      </c>
      <c r="L437">
        <v>367.94349999999997</v>
      </c>
      <c r="M437">
        <v>0.99986900000000001</v>
      </c>
      <c r="N437">
        <v>-1.44409E-2</v>
      </c>
      <c r="O437">
        <v>7.3234429999999998E-3</v>
      </c>
      <c r="P437">
        <v>0.94972310000000004</v>
      </c>
      <c r="Q437">
        <v>0.30766640000000001</v>
      </c>
      <c r="R437">
        <v>5.8033019999999998E-2</v>
      </c>
      <c r="S437">
        <v>3.5606379999999902</v>
      </c>
      <c r="T437">
        <v>-1.254578</v>
      </c>
      <c r="U437">
        <v>7.2113040000000003E-2</v>
      </c>
      <c r="V437">
        <v>-5.1062389999999999E-2</v>
      </c>
      <c r="W437">
        <v>0.3213569</v>
      </c>
      <c r="X437">
        <v>0.94558039999999999</v>
      </c>
      <c r="Y437">
        <v>-1.254274E-2</v>
      </c>
      <c r="Z437">
        <v>-1.6362500000000001E-4</v>
      </c>
      <c r="AA437">
        <v>0.99992130000000001</v>
      </c>
      <c r="AB437">
        <v>34</v>
      </c>
      <c r="AC437">
        <v>0.63670000000001803</v>
      </c>
      <c r="AD437">
        <v>-0.28508699999999998</v>
      </c>
      <c r="AE437">
        <v>1.47000000000048E-2</v>
      </c>
      <c r="AF437">
        <v>-8.3609243371865101E-3</v>
      </c>
      <c r="AG437">
        <v>-0.28508699999999998</v>
      </c>
      <c r="AH437">
        <v>0.53049097358778496</v>
      </c>
      <c r="AI437">
        <v>118.25071375555</v>
      </c>
      <c r="AJ437">
        <v>90.9029484798711</v>
      </c>
      <c r="AK437">
        <v>0.60229990509951703</v>
      </c>
      <c r="AL437">
        <v>71.254994894281396</v>
      </c>
      <c r="AM437">
        <v>93.0910333447857</v>
      </c>
      <c r="AN437">
        <v>0.99999995885713999</v>
      </c>
    </row>
    <row r="438" spans="1:40" x14ac:dyDescent="0.25">
      <c r="A438" t="str">
        <f>"20190304164831986"</f>
        <v>20190304164831986</v>
      </c>
      <c r="B438" t="str">
        <f>"1551689311976448"</f>
        <v>1551689311976448</v>
      </c>
      <c r="C438" t="s">
        <v>40</v>
      </c>
      <c r="D438">
        <v>4.8814449999999896</v>
      </c>
      <c r="E438">
        <v>0.54741240000000002</v>
      </c>
      <c r="F438" t="s">
        <v>41</v>
      </c>
      <c r="G438">
        <v>-383.58179999999999</v>
      </c>
      <c r="H438">
        <v>0.87818649999999998</v>
      </c>
      <c r="I438">
        <v>367.95639999999997</v>
      </c>
      <c r="J438">
        <v>-384.07799999999997</v>
      </c>
      <c r="K438">
        <v>1.110557</v>
      </c>
      <c r="L438">
        <v>367.94470000000001</v>
      </c>
      <c r="M438">
        <v>0.99986889999999995</v>
      </c>
      <c r="N438">
        <v>-1.444848E-2</v>
      </c>
      <c r="O438">
        <v>7.3233880000000001E-3</v>
      </c>
      <c r="P438">
        <v>0.94979230000000003</v>
      </c>
      <c r="Q438">
        <v>0.30743100000000001</v>
      </c>
      <c r="R438">
        <v>5.8145099999999998E-2</v>
      </c>
      <c r="S438">
        <v>3.5608219999999999</v>
      </c>
      <c r="T438">
        <v>-1.254491</v>
      </c>
      <c r="U438">
        <v>7.1990970000000001E-2</v>
      </c>
      <c r="V438">
        <v>-5.1173860000000002E-2</v>
      </c>
      <c r="W438">
        <v>0.32112980000000002</v>
      </c>
      <c r="X438">
        <v>0.94565160000000004</v>
      </c>
      <c r="Y438">
        <v>-1.2509609999999999E-2</v>
      </c>
      <c r="Z438">
        <v>-1.6937380000000001E-4</v>
      </c>
      <c r="AA438">
        <v>0.99992170000000002</v>
      </c>
      <c r="AB438">
        <v>34</v>
      </c>
      <c r="AC438">
        <v>0.49620000000004399</v>
      </c>
      <c r="AD438">
        <v>-0.23237050000000001</v>
      </c>
      <c r="AE438">
        <v>1.1699999999961999E-2</v>
      </c>
      <c r="AF438">
        <v>-6.6154477097316597E-3</v>
      </c>
      <c r="AG438">
        <v>-0.23237050000000001</v>
      </c>
      <c r="AH438">
        <v>0.407053199596284</v>
      </c>
      <c r="AI438">
        <v>119.717071826585</v>
      </c>
      <c r="AJ438">
        <v>90.931091728161604</v>
      </c>
      <c r="AK438">
        <v>0.46875592873074401</v>
      </c>
      <c r="AL438">
        <v>71.268736431482097</v>
      </c>
      <c r="AM438">
        <v>93.097535208301196</v>
      </c>
      <c r="AN438">
        <v>1.00000003048894</v>
      </c>
    </row>
    <row r="439" spans="1:40" x14ac:dyDescent="0.25">
      <c r="A439" t="str">
        <f>"20190304164831996"</f>
        <v>20190304164831996</v>
      </c>
      <c r="B439" t="str">
        <f>"1551689311987184"</f>
        <v>1551689311987184</v>
      </c>
      <c r="C439" t="s">
        <v>40</v>
      </c>
      <c r="D439">
        <v>4.8930819999999997</v>
      </c>
      <c r="E439">
        <v>0.54737619999999998</v>
      </c>
      <c r="F439" t="s">
        <v>41</v>
      </c>
      <c r="G439">
        <v>-383.29759999999999</v>
      </c>
      <c r="H439">
        <v>0.83495869999999905</v>
      </c>
      <c r="I439">
        <v>367.9606</v>
      </c>
      <c r="J439">
        <v>-383.90570000000002</v>
      </c>
      <c r="K439">
        <v>1.110562</v>
      </c>
      <c r="L439">
        <v>367.94589999999999</v>
      </c>
      <c r="M439">
        <v>0.99986870000000005</v>
      </c>
      <c r="N439">
        <v>-1.445628E-2</v>
      </c>
      <c r="O439">
        <v>7.3235100000000001E-3</v>
      </c>
      <c r="P439">
        <v>0.94974729999999996</v>
      </c>
      <c r="Q439">
        <v>0.30756319999999998</v>
      </c>
      <c r="R439">
        <v>5.8184270000000003E-2</v>
      </c>
      <c r="S439">
        <v>3.5611269999999902</v>
      </c>
      <c r="T439">
        <v>-1.257541</v>
      </c>
      <c r="U439">
        <v>7.3028560000000006E-2</v>
      </c>
      <c r="V439">
        <v>-5.1213710000000003E-2</v>
      </c>
      <c r="W439">
        <v>0.32126850000000001</v>
      </c>
      <c r="X439">
        <v>0.94560230000000001</v>
      </c>
      <c r="Y439">
        <v>-1.278028E-2</v>
      </c>
      <c r="Z439">
        <v>-1.2171689999999999E-4</v>
      </c>
      <c r="AA439">
        <v>0.99991830000000004</v>
      </c>
      <c r="AB439">
        <v>34</v>
      </c>
      <c r="AC439">
        <v>0.60810000000003495</v>
      </c>
      <c r="AD439">
        <v>-0.2756033</v>
      </c>
      <c r="AE439">
        <v>1.47000000000048E-2</v>
      </c>
      <c r="AF439">
        <v>-8.5006303289048794E-3</v>
      </c>
      <c r="AG439">
        <v>-0.2756033</v>
      </c>
      <c r="AH439">
        <v>0.50460220931982702</v>
      </c>
      <c r="AI439">
        <v>118.63903557600401</v>
      </c>
      <c r="AJ439">
        <v>90.965124935716105</v>
      </c>
      <c r="AK439">
        <v>0.57502419891455803</v>
      </c>
      <c r="AL439">
        <v>71.260344287347294</v>
      </c>
      <c r="AM439">
        <v>93.100103915320801</v>
      </c>
      <c r="AN439">
        <v>1.0000000014747501</v>
      </c>
    </row>
    <row r="440" spans="1:40" x14ac:dyDescent="0.25">
      <c r="A440" t="str">
        <f>"20190304164832008"</f>
        <v>20190304164832008</v>
      </c>
      <c r="B440" t="str">
        <f>"1551689311996945"</f>
        <v>1551689311996945</v>
      </c>
      <c r="C440" t="s">
        <v>40</v>
      </c>
      <c r="D440">
        <v>4.9537529999999999</v>
      </c>
      <c r="E440">
        <v>0.54737619999999998</v>
      </c>
      <c r="F440" t="s">
        <v>41</v>
      </c>
      <c r="G440">
        <v>-383.01159999999999</v>
      </c>
      <c r="H440">
        <v>0.79476190000000002</v>
      </c>
      <c r="I440">
        <v>367.96379999999999</v>
      </c>
      <c r="J440">
        <v>-383.73270000000002</v>
      </c>
      <c r="K440">
        <v>1.1105659999999999</v>
      </c>
      <c r="L440">
        <v>367.94720000000001</v>
      </c>
      <c r="M440">
        <v>0.9998688</v>
      </c>
      <c r="N440">
        <v>-1.446324E-2</v>
      </c>
      <c r="O440">
        <v>7.323459E-3</v>
      </c>
      <c r="P440">
        <v>0.94982270000000002</v>
      </c>
      <c r="Q440">
        <v>0.30732779999999998</v>
      </c>
      <c r="R440">
        <v>5.819833E-2</v>
      </c>
      <c r="S440">
        <v>3.5617369999999999</v>
      </c>
      <c r="T440">
        <v>-1.258151</v>
      </c>
      <c r="U440">
        <v>7.2814939999999995E-2</v>
      </c>
      <c r="V440">
        <v>-5.1227349999999998E-2</v>
      </c>
      <c r="W440">
        <v>0.32104090000000002</v>
      </c>
      <c r="X440">
        <v>0.94567880000000004</v>
      </c>
      <c r="Y440">
        <v>-1.27204E-2</v>
      </c>
      <c r="Z440">
        <v>-1.324106E-4</v>
      </c>
      <c r="AA440">
        <v>0.99991909999999895</v>
      </c>
      <c r="AB440">
        <v>34</v>
      </c>
      <c r="AC440">
        <v>0.72110000000003505</v>
      </c>
      <c r="AD440">
        <v>-0.31580409999999898</v>
      </c>
      <c r="AE440">
        <v>1.6599999999982601E-2</v>
      </c>
      <c r="AF440">
        <v>-9.4974316582069705E-3</v>
      </c>
      <c r="AG440">
        <v>-0.31580409999999898</v>
      </c>
      <c r="AH440">
        <v>0.60518946694709297</v>
      </c>
      <c r="AI440">
        <v>117.55386775056699</v>
      </c>
      <c r="AJ440">
        <v>90.899087169163295</v>
      </c>
      <c r="AK440">
        <v>0.68269811900181598</v>
      </c>
      <c r="AL440">
        <v>71.274113184690094</v>
      </c>
      <c r="AM440">
        <v>93.100677612305404</v>
      </c>
      <c r="AN440">
        <v>0.99999994681513404</v>
      </c>
    </row>
    <row r="441" spans="1:40" x14ac:dyDescent="0.25">
      <c r="A441" t="str">
        <f>"20190304164832021"</f>
        <v>20190304164832021</v>
      </c>
      <c r="B441" t="str">
        <f>"1551689312016465"</f>
        <v>1551689312016465</v>
      </c>
      <c r="C441" t="s">
        <v>40</v>
      </c>
      <c r="D441">
        <v>5.0291600000000001</v>
      </c>
      <c r="E441">
        <v>0.54751450000000002</v>
      </c>
      <c r="F441" t="s">
        <v>41</v>
      </c>
      <c r="G441">
        <v>-382.98939999999999</v>
      </c>
      <c r="H441">
        <v>0.84780809999999995</v>
      </c>
      <c r="I441">
        <v>367.96190000000001</v>
      </c>
      <c r="J441">
        <v>-383.55540000000002</v>
      </c>
      <c r="K441">
        <v>1.110571</v>
      </c>
      <c r="L441">
        <v>367.94850000000002</v>
      </c>
      <c r="M441">
        <v>0.9998686</v>
      </c>
      <c r="N441">
        <v>-1.4469889999999999E-2</v>
      </c>
      <c r="O441">
        <v>7.32353E-3</v>
      </c>
      <c r="P441">
        <v>0.94991110000000001</v>
      </c>
      <c r="Q441">
        <v>0.30700699999999997</v>
      </c>
      <c r="R441">
        <v>5.844365E-2</v>
      </c>
      <c r="S441">
        <v>3.5614319999999999</v>
      </c>
      <c r="T441">
        <v>-1.259088</v>
      </c>
      <c r="U441">
        <v>7.2479249999999995E-2</v>
      </c>
      <c r="V441">
        <v>-5.1471219999999998E-2</v>
      </c>
      <c r="W441">
        <v>0.32072790000000001</v>
      </c>
      <c r="X441">
        <v>0.94577180000000005</v>
      </c>
      <c r="Y441">
        <v>-1.26328E-2</v>
      </c>
      <c r="Z441">
        <v>-1.4828399999999999E-4</v>
      </c>
      <c r="AA441">
        <v>0.99992020000000004</v>
      </c>
      <c r="AB441">
        <v>34</v>
      </c>
      <c r="AC441">
        <v>0.56600000000003003</v>
      </c>
      <c r="AD441">
        <v>-0.26276289999999902</v>
      </c>
      <c r="AE441">
        <v>1.339999999999E-2</v>
      </c>
      <c r="AF441">
        <v>-7.6140083301039696E-3</v>
      </c>
      <c r="AG441">
        <v>-0.26276289999999902</v>
      </c>
      <c r="AH441">
        <v>0.465757394146327</v>
      </c>
      <c r="AI441">
        <v>119.42678970751</v>
      </c>
      <c r="AJ441">
        <v>90.936564169447607</v>
      </c>
      <c r="AK441">
        <v>0.53481984344378797</v>
      </c>
      <c r="AL441">
        <v>71.293048813493598</v>
      </c>
      <c r="AM441">
        <v>93.115103770609394</v>
      </c>
      <c r="AN441">
        <v>0.99999998500096898</v>
      </c>
    </row>
    <row r="442" spans="1:40" x14ac:dyDescent="0.25">
      <c r="A442" t="str">
        <f>"20190304164832032"</f>
        <v>20190304164832032</v>
      </c>
      <c r="B442" t="str">
        <f>"1551689312027200"</f>
        <v>1551689312027200</v>
      </c>
      <c r="C442" t="s">
        <v>40</v>
      </c>
      <c r="D442">
        <v>4.9725849999999996</v>
      </c>
      <c r="E442">
        <v>0.5476626</v>
      </c>
      <c r="F442" t="s">
        <v>41</v>
      </c>
      <c r="G442">
        <v>-382.70319999999998</v>
      </c>
      <c r="H442">
        <v>0.80970169999999997</v>
      </c>
      <c r="I442">
        <v>367.96519999999998</v>
      </c>
      <c r="J442">
        <v>-383.36799999999999</v>
      </c>
      <c r="K442">
        <v>1.110574</v>
      </c>
      <c r="L442">
        <v>367.94990000000001</v>
      </c>
      <c r="M442">
        <v>0.99986850000000005</v>
      </c>
      <c r="N442">
        <v>-1.447625E-2</v>
      </c>
      <c r="O442">
        <v>7.3234830000000004E-3</v>
      </c>
      <c r="P442">
        <v>0.94992799999999999</v>
      </c>
      <c r="Q442">
        <v>0.306977</v>
      </c>
      <c r="R442">
        <v>5.8326780000000002E-2</v>
      </c>
      <c r="S442">
        <v>3.5600589999999999</v>
      </c>
      <c r="T442">
        <v>-1.2569520000000001</v>
      </c>
      <c r="U442">
        <v>7.0892330000000003E-2</v>
      </c>
      <c r="V442">
        <v>-5.1354839999999999E-2</v>
      </c>
      <c r="W442">
        <v>0.32070389999999999</v>
      </c>
      <c r="X442">
        <v>0.94578629999999997</v>
      </c>
      <c r="Y442">
        <v>-1.2221950000000001E-2</v>
      </c>
      <c r="Z442">
        <v>-2.2121470000000001E-4</v>
      </c>
      <c r="AA442">
        <v>0.99992530000000002</v>
      </c>
      <c r="AB442">
        <v>34</v>
      </c>
      <c r="AC442">
        <v>0.66480000000007</v>
      </c>
      <c r="AD442">
        <v>-0.30087229999999998</v>
      </c>
      <c r="AE442">
        <v>1.5299999999967799E-2</v>
      </c>
      <c r="AF442">
        <v>-8.6579955969592406E-3</v>
      </c>
      <c r="AG442">
        <v>-0.30087229999999998</v>
      </c>
      <c r="AH442">
        <v>0.55190938314172699</v>
      </c>
      <c r="AI442">
        <v>118.59395946086001</v>
      </c>
      <c r="AJ442">
        <v>90.898745219915497</v>
      </c>
      <c r="AK442">
        <v>0.62865178675871802</v>
      </c>
      <c r="AL442">
        <v>71.294501245747298</v>
      </c>
      <c r="AM442">
        <v>93.108026572939494</v>
      </c>
      <c r="AN442">
        <v>1.00000001816716</v>
      </c>
    </row>
    <row r="443" spans="1:40" x14ac:dyDescent="0.25">
      <c r="A443" t="str">
        <f>"20190304164832051"</f>
        <v>20190304164832051</v>
      </c>
      <c r="B443" t="str">
        <f>"1551689312046720"</f>
        <v>1551689312046720</v>
      </c>
      <c r="C443" t="s">
        <v>40</v>
      </c>
      <c r="D443">
        <v>5.2579640000000003</v>
      </c>
      <c r="E443">
        <v>0.54776619999999998</v>
      </c>
      <c r="F443" t="s">
        <v>41</v>
      </c>
      <c r="G443">
        <v>-382.67860000000002</v>
      </c>
      <c r="H443">
        <v>0.8676374</v>
      </c>
      <c r="I443">
        <v>367.9631</v>
      </c>
      <c r="J443">
        <v>-383.09339999999997</v>
      </c>
      <c r="K443">
        <v>1.1105849999999999</v>
      </c>
      <c r="L443">
        <v>367.95190000000002</v>
      </c>
      <c r="M443">
        <v>0.99986830000000004</v>
      </c>
      <c r="N443">
        <v>-1.448435E-2</v>
      </c>
      <c r="O443">
        <v>7.3236019999999898E-3</v>
      </c>
      <c r="P443">
        <v>0.94992330000000003</v>
      </c>
      <c r="Q443">
        <v>0.3070368</v>
      </c>
      <c r="R443">
        <v>5.8085079999999997E-2</v>
      </c>
      <c r="S443">
        <v>3.5591430000000002</v>
      </c>
      <c r="T443">
        <v>-1.254135</v>
      </c>
      <c r="U443">
        <v>6.9396970000000002E-2</v>
      </c>
      <c r="V443">
        <v>-5.1112770000000002E-2</v>
      </c>
      <c r="W443">
        <v>0.32077159999999999</v>
      </c>
      <c r="X443">
        <v>0.94577639999999996</v>
      </c>
      <c r="Y443">
        <v>-1.183271E-2</v>
      </c>
      <c r="Z443">
        <v>-2.8984019999999999E-4</v>
      </c>
      <c r="AA443">
        <v>0.99992999999999999</v>
      </c>
      <c r="AB443">
        <v>34</v>
      </c>
      <c r="AC443">
        <v>0.41479999999995598</v>
      </c>
      <c r="AD443">
        <v>-0.24294760000000001</v>
      </c>
      <c r="AE443">
        <v>1.1199999999973899E-2</v>
      </c>
      <c r="AF443">
        <v>-6.0780435188982403E-3</v>
      </c>
      <c r="AG443">
        <v>-0.24294760000000001</v>
      </c>
      <c r="AH443">
        <v>0.30896130868487798</v>
      </c>
      <c r="AI443">
        <v>128.173881680573</v>
      </c>
      <c r="AJ443">
        <v>91.127006253958101</v>
      </c>
      <c r="AK443">
        <v>0.39308722851684003</v>
      </c>
      <c r="AL443">
        <v>71.290404961073094</v>
      </c>
      <c r="AM443">
        <v>93.093437185099603</v>
      </c>
      <c r="AN443">
        <v>0.99999996671029501</v>
      </c>
    </row>
    <row r="444" spans="1:40" x14ac:dyDescent="0.25">
      <c r="A444" t="str">
        <f>"20190304164832064"</f>
        <v>20190304164832064</v>
      </c>
      <c r="B444" t="str">
        <f>"1551689312056480"</f>
        <v>1551689312056480</v>
      </c>
      <c r="C444" t="s">
        <v>40</v>
      </c>
      <c r="D444">
        <v>4.8858899999999998</v>
      </c>
      <c r="E444">
        <v>0.54772959999999904</v>
      </c>
      <c r="F444" t="s">
        <v>41</v>
      </c>
      <c r="G444">
        <v>-382.3802</v>
      </c>
      <c r="H444">
        <v>0.85967340000000003</v>
      </c>
      <c r="I444">
        <v>367.96530000000001</v>
      </c>
      <c r="J444">
        <v>-382.89789999999999</v>
      </c>
      <c r="K444">
        <v>1.110589</v>
      </c>
      <c r="L444">
        <v>367.95330000000001</v>
      </c>
      <c r="M444">
        <v>0.99986819999999998</v>
      </c>
      <c r="N444">
        <v>-1.448936E-2</v>
      </c>
      <c r="O444">
        <v>7.3235649999999998E-3</v>
      </c>
      <c r="P444">
        <v>0.9498993</v>
      </c>
      <c r="Q444">
        <v>0.30711809999999901</v>
      </c>
      <c r="R444">
        <v>5.805047E-2</v>
      </c>
      <c r="S444">
        <v>3.5585019999999998</v>
      </c>
      <c r="T444">
        <v>-1.2519450000000001</v>
      </c>
      <c r="U444">
        <v>6.9061280000000003E-2</v>
      </c>
      <c r="V444">
        <v>-5.1078739999999997E-2</v>
      </c>
      <c r="W444">
        <v>0.32085760000000002</v>
      </c>
      <c r="X444">
        <v>0.94574910000000001</v>
      </c>
      <c r="Y444">
        <v>-1.174817E-2</v>
      </c>
      <c r="Z444">
        <v>-3.0411769999999998E-4</v>
      </c>
      <c r="AA444">
        <v>0.99993089999999996</v>
      </c>
      <c r="AB444">
        <v>34</v>
      </c>
      <c r="AC444">
        <v>0.51769999999998995</v>
      </c>
      <c r="AD444">
        <v>-0.25091560000000002</v>
      </c>
      <c r="AE444">
        <v>1.2000000000000399E-2</v>
      </c>
      <c r="AF444">
        <v>-6.6472196302537704E-3</v>
      </c>
      <c r="AG444">
        <v>-0.25091560000000002</v>
      </c>
      <c r="AH444">
        <v>0.41932405630242697</v>
      </c>
      <c r="AI444">
        <v>120.89233427542101</v>
      </c>
      <c r="AJ444">
        <v>90.908189566283994</v>
      </c>
      <c r="AK444">
        <v>0.48870797829183599</v>
      </c>
      <c r="AL444">
        <v>71.285203154061904</v>
      </c>
      <c r="AM444">
        <v>93.091470686847899</v>
      </c>
      <c r="AN444">
        <v>0.99999999865427802</v>
      </c>
    </row>
    <row r="445" spans="1:40" x14ac:dyDescent="0.25">
      <c r="A445" t="str">
        <f>"20190304164832076"</f>
        <v>20190304164832076</v>
      </c>
      <c r="B445" t="str">
        <f>"1551689312067216"</f>
        <v>1551689312067216</v>
      </c>
      <c r="C445" t="s">
        <v>40</v>
      </c>
      <c r="D445">
        <v>4.8973950000000004</v>
      </c>
      <c r="E445">
        <v>0.54771990000000004</v>
      </c>
      <c r="F445" t="s">
        <v>41</v>
      </c>
      <c r="G445">
        <v>-382.09269999999998</v>
      </c>
      <c r="H445">
        <v>0.82714009999999905</v>
      </c>
      <c r="I445">
        <v>367.96910000000003</v>
      </c>
      <c r="J445">
        <v>-382.69869999999997</v>
      </c>
      <c r="K445">
        <v>1.1105929999999999</v>
      </c>
      <c r="L445">
        <v>367.95479999999998</v>
      </c>
      <c r="M445">
        <v>0.99986819999999998</v>
      </c>
      <c r="N445">
        <v>-1.449405E-2</v>
      </c>
      <c r="O445">
        <v>7.3235309999999899E-3</v>
      </c>
      <c r="P445">
        <v>0.94990240000000004</v>
      </c>
      <c r="Q445">
        <v>0.3071179</v>
      </c>
      <c r="R445">
        <v>5.8000650000000001E-2</v>
      </c>
      <c r="S445">
        <v>3.5588679999999999</v>
      </c>
      <c r="T445">
        <v>-1.252707</v>
      </c>
      <c r="U445">
        <v>7.0953370000000002E-2</v>
      </c>
      <c r="V445">
        <v>-5.10286E-2</v>
      </c>
      <c r="W445">
        <v>0.32086160000000002</v>
      </c>
      <c r="X445">
        <v>0.94575050000000005</v>
      </c>
      <c r="Y445">
        <v>-1.224606E-2</v>
      </c>
      <c r="Z445">
        <v>-2.1549620000000001E-4</v>
      </c>
      <c r="AA445">
        <v>0.99992499999999995</v>
      </c>
      <c r="AB445">
        <v>34</v>
      </c>
      <c r="AC445">
        <v>0.60599999999999399</v>
      </c>
      <c r="AD445">
        <v>-0.28345290000000001</v>
      </c>
      <c r="AE445">
        <v>1.43000000000483E-2</v>
      </c>
      <c r="AF445">
        <v>-8.0917306464225892E-3</v>
      </c>
      <c r="AG445">
        <v>-0.28345290000000001</v>
      </c>
      <c r="AH445">
        <v>0.49733897646052699</v>
      </c>
      <c r="AI445">
        <v>119.677242108756</v>
      </c>
      <c r="AJ445">
        <v>90.932123027286195</v>
      </c>
      <c r="AK445">
        <v>0.57250072500396798</v>
      </c>
      <c r="AL445">
        <v>71.284962101864593</v>
      </c>
      <c r="AM445">
        <v>93.088437346885001</v>
      </c>
      <c r="AN445">
        <v>1.0000000463113801</v>
      </c>
    </row>
    <row r="446" spans="1:40" x14ac:dyDescent="0.25">
      <c r="A446" t="str">
        <f>"20190304164832096"</f>
        <v>20190304164832096</v>
      </c>
      <c r="B446" t="str">
        <f>"1551689312086736"</f>
        <v>1551689312086736</v>
      </c>
      <c r="C446" t="s">
        <v>40</v>
      </c>
      <c r="D446">
        <v>5.2234069999999999</v>
      </c>
      <c r="E446">
        <v>0.54783530000000003</v>
      </c>
      <c r="F446" t="s">
        <v>41</v>
      </c>
      <c r="G446">
        <v>-381.80439999999999</v>
      </c>
      <c r="H446">
        <v>0.79577219999999904</v>
      </c>
      <c r="I446">
        <v>367.97219999999999</v>
      </c>
      <c r="J446">
        <v>-382.41289999999998</v>
      </c>
      <c r="K446">
        <v>1.1105959999999999</v>
      </c>
      <c r="L446">
        <v>367.95679999999999</v>
      </c>
      <c r="M446">
        <v>0.99986799999999998</v>
      </c>
      <c r="N446">
        <v>-1.4499700000000001E-2</v>
      </c>
      <c r="O446">
        <v>7.3238469999999996E-3</v>
      </c>
      <c r="P446">
        <v>0.94981380000000004</v>
      </c>
      <c r="Q446">
        <v>0.30735559999999901</v>
      </c>
      <c r="R446">
        <v>5.8191260000000002E-2</v>
      </c>
      <c r="S446">
        <v>3.5588380000000002</v>
      </c>
      <c r="T446">
        <v>-1.252753</v>
      </c>
      <c r="U446">
        <v>7.1441649999999995E-2</v>
      </c>
      <c r="V446">
        <v>-5.1219899999999999E-2</v>
      </c>
      <c r="W446">
        <v>0.32110319999999998</v>
      </c>
      <c r="X446">
        <v>0.94565809999999995</v>
      </c>
      <c r="Y446">
        <v>-1.2374929999999999E-2</v>
      </c>
      <c r="Z446">
        <v>-1.9256119999999999E-4</v>
      </c>
      <c r="AA446">
        <v>0.99992340000000002</v>
      </c>
      <c r="AB446">
        <v>34</v>
      </c>
      <c r="AC446">
        <v>0.60849999999999205</v>
      </c>
      <c r="AD446">
        <v>-0.31482379999999999</v>
      </c>
      <c r="AE446">
        <v>1.53999999999996E-2</v>
      </c>
      <c r="AF446">
        <v>-8.6331305328858805E-3</v>
      </c>
      <c r="AG446">
        <v>-0.31482379999999999</v>
      </c>
      <c r="AH446">
        <v>0.48015219083021998</v>
      </c>
      <c r="AI446">
        <v>123.247609240746</v>
      </c>
      <c r="AJ446">
        <v>91.030066426213494</v>
      </c>
      <c r="AK446">
        <v>0.57422528884428103</v>
      </c>
      <c r="AL446">
        <v>71.270344992926894</v>
      </c>
      <c r="AM446">
        <v>93.100295290177499</v>
      </c>
      <c r="AN446">
        <v>0.99999999265092898</v>
      </c>
    </row>
    <row r="447" spans="1:40" x14ac:dyDescent="0.25">
      <c r="A447" t="str">
        <f>"20190304164832106"</f>
        <v>20190304164832106</v>
      </c>
      <c r="B447" t="str">
        <f>"1551689312096496"</f>
        <v>1551689312096496</v>
      </c>
      <c r="C447" t="s">
        <v>40</v>
      </c>
      <c r="D447">
        <v>4.9184510000000001</v>
      </c>
      <c r="E447">
        <v>0.54783530000000003</v>
      </c>
      <c r="F447" t="s">
        <v>41</v>
      </c>
      <c r="G447">
        <v>-381.50319999999999</v>
      </c>
      <c r="H447">
        <v>0.79646049999999902</v>
      </c>
      <c r="I447">
        <v>367.9742</v>
      </c>
      <c r="J447">
        <v>-382.24869999999999</v>
      </c>
      <c r="K447">
        <v>1.1105989999999999</v>
      </c>
      <c r="L447">
        <v>367.95800000000003</v>
      </c>
      <c r="M447">
        <v>0.99986819999999998</v>
      </c>
      <c r="N447">
        <v>-1.4502330000000001E-2</v>
      </c>
      <c r="O447">
        <v>7.3236489999999998E-3</v>
      </c>
      <c r="P447">
        <v>0.94973870000000005</v>
      </c>
      <c r="Q447">
        <v>0.30754939999999997</v>
      </c>
      <c r="R447">
        <v>5.8395879999999997E-2</v>
      </c>
      <c r="S447">
        <v>3.5511780000000002</v>
      </c>
      <c r="T447">
        <v>-1.226272</v>
      </c>
      <c r="U447">
        <v>6.7901610000000001E-2</v>
      </c>
      <c r="V447">
        <v>-5.1425079999999998E-2</v>
      </c>
      <c r="W447">
        <v>0.32129829999999998</v>
      </c>
      <c r="X447">
        <v>0.94558070000000005</v>
      </c>
      <c r="Y447">
        <v>-1.148806E-2</v>
      </c>
      <c r="Z447">
        <v>-3.4089569999999999E-4</v>
      </c>
      <c r="AA447">
        <v>0.99993399999999999</v>
      </c>
      <c r="AB447">
        <v>34</v>
      </c>
      <c r="AC447">
        <v>0.74549999999999195</v>
      </c>
      <c r="AD447">
        <v>-0.31413849999999999</v>
      </c>
      <c r="AE447">
        <v>1.6199999999969301E-2</v>
      </c>
      <c r="AF447">
        <v>-9.1205281907995699E-3</v>
      </c>
      <c r="AG447">
        <v>-0.31413849999999999</v>
      </c>
      <c r="AH447">
        <v>0.63321718996058096</v>
      </c>
      <c r="AI447">
        <v>116.383604028756</v>
      </c>
      <c r="AJ447">
        <v>90.825201285947102</v>
      </c>
      <c r="AK447">
        <v>0.70691597158241104</v>
      </c>
      <c r="AL447">
        <v>71.258541222181805</v>
      </c>
      <c r="AM447">
        <v>93.112944567523201</v>
      </c>
      <c r="AN447">
        <v>0.99999999832419295</v>
      </c>
    </row>
    <row r="448" spans="1:40" x14ac:dyDescent="0.25">
      <c r="A448" t="str">
        <f>"20190304164832118"</f>
        <v>20190304164832118</v>
      </c>
      <c r="B448" t="str">
        <f>"1551689312107233"</f>
        <v>1551689312107233</v>
      </c>
      <c r="C448" t="s">
        <v>40</v>
      </c>
      <c r="D448">
        <v>4.888325</v>
      </c>
      <c r="E448">
        <v>0.53082810000000002</v>
      </c>
      <c r="F448" t="s">
        <v>41</v>
      </c>
      <c r="G448">
        <v>-381.48250000000002</v>
      </c>
      <c r="H448">
        <v>0.84616719999999901</v>
      </c>
      <c r="I448">
        <v>367.97239999999999</v>
      </c>
      <c r="J448">
        <v>-382.07740000000001</v>
      </c>
      <c r="K448">
        <v>1.110608</v>
      </c>
      <c r="L448">
        <v>367.95929999999998</v>
      </c>
      <c r="M448">
        <v>0.99986810000000004</v>
      </c>
      <c r="N448">
        <v>-1.4504660000000001E-2</v>
      </c>
      <c r="O448">
        <v>7.3236319999999897E-3</v>
      </c>
      <c r="P448">
        <v>0.94971649999999996</v>
      </c>
      <c r="Q448">
        <v>0.30758200000000002</v>
      </c>
      <c r="R448">
        <v>5.8583650000000001E-2</v>
      </c>
      <c r="S448">
        <v>3.5515439999999998</v>
      </c>
      <c r="T448">
        <v>-1.225603</v>
      </c>
      <c r="U448">
        <v>6.7047120000000002E-2</v>
      </c>
      <c r="V448">
        <v>-5.161292E-2</v>
      </c>
      <c r="W448">
        <v>0.32133299999999998</v>
      </c>
      <c r="X448">
        <v>0.94555869999999997</v>
      </c>
      <c r="Y448">
        <v>-1.1259740000000001E-2</v>
      </c>
      <c r="Z448">
        <v>-3.8052479999999998E-4</v>
      </c>
      <c r="AA448">
        <v>0.99993650000000001</v>
      </c>
      <c r="AB448">
        <v>34</v>
      </c>
      <c r="AC448">
        <v>0.59489999999999499</v>
      </c>
      <c r="AD448">
        <v>-0.26444079999999998</v>
      </c>
      <c r="AE448">
        <v>1.3100000000008501E-2</v>
      </c>
      <c r="AF448">
        <v>-7.3005351137376802E-3</v>
      </c>
      <c r="AG448">
        <v>-0.26444079999999998</v>
      </c>
      <c r="AH448">
        <v>0.49685340061545502</v>
      </c>
      <c r="AI448">
        <v>118.020728871725</v>
      </c>
      <c r="AJ448">
        <v>90.841817225451393</v>
      </c>
      <c r="AK448">
        <v>0.56289034120397596</v>
      </c>
      <c r="AL448">
        <v>71.256442202241303</v>
      </c>
      <c r="AM448">
        <v>93.124365258811395</v>
      </c>
      <c r="AN448">
        <v>1.0000000227728001</v>
      </c>
    </row>
    <row r="449" spans="1:40" x14ac:dyDescent="0.25">
      <c r="A449" t="str">
        <f>"20190304164832131"</f>
        <v>20190304164832131</v>
      </c>
      <c r="B449" t="str">
        <f>"1551689312126751"</f>
        <v>1551689312126751</v>
      </c>
      <c r="C449" t="s">
        <v>40</v>
      </c>
      <c r="D449">
        <v>4.9027399999999997</v>
      </c>
      <c r="E449">
        <v>0.52600859999999905</v>
      </c>
      <c r="F449" t="s">
        <v>41</v>
      </c>
      <c r="G449">
        <v>-381.12790000000001</v>
      </c>
      <c r="H449">
        <v>0.9666131</v>
      </c>
      <c r="I449">
        <v>367.99090000000001</v>
      </c>
      <c r="J449">
        <v>-381.88639999999998</v>
      </c>
      <c r="K449">
        <v>1.1106100000000001</v>
      </c>
      <c r="L449">
        <v>367.96069999999997</v>
      </c>
      <c r="M449">
        <v>0.99986810000000004</v>
      </c>
      <c r="N449">
        <v>-1.450605E-2</v>
      </c>
      <c r="O449">
        <v>7.3236219999999897E-3</v>
      </c>
      <c r="P449">
        <v>0.94977319999999998</v>
      </c>
      <c r="Q449">
        <v>0.3074075</v>
      </c>
      <c r="R449">
        <v>5.8582000000000002E-2</v>
      </c>
      <c r="S449">
        <v>3.3148499999999999</v>
      </c>
      <c r="T449">
        <v>-0.50288619999999995</v>
      </c>
      <c r="U449">
        <v>0.1116028</v>
      </c>
      <c r="V449">
        <v>-5.161114E-2</v>
      </c>
      <c r="W449">
        <v>0.32116060000000002</v>
      </c>
      <c r="X449">
        <v>0.94561740000000005</v>
      </c>
      <c r="Y449">
        <v>-2.6068979999999999E-2</v>
      </c>
      <c r="Z449">
        <v>1.157244E-3</v>
      </c>
      <c r="AA449">
        <v>0.99965950000000003</v>
      </c>
      <c r="AB449">
        <v>34</v>
      </c>
      <c r="AC449">
        <v>0.75849999999996898</v>
      </c>
      <c r="AD449">
        <v>-0.14399690000000001</v>
      </c>
      <c r="AE449">
        <v>3.0200000000036201E-2</v>
      </c>
      <c r="AF449">
        <v>-2.37876678611527E-2</v>
      </c>
      <c r="AG449">
        <v>-0.14399690000000001</v>
      </c>
      <c r="AH449">
        <v>0.73234817085935999</v>
      </c>
      <c r="AI449">
        <v>101.11807951162299</v>
      </c>
      <c r="AJ449">
        <v>91.860391019565199</v>
      </c>
      <c r="AK449">
        <v>0.74674949194019102</v>
      </c>
      <c r="AL449">
        <v>71.266873472693604</v>
      </c>
      <c r="AM449">
        <v>93.124064163999293</v>
      </c>
      <c r="AN449">
        <v>1.0000000539736</v>
      </c>
    </row>
    <row r="450" spans="1:40" x14ac:dyDescent="0.25">
      <c r="A450" t="str">
        <f>"20190304164832143"</f>
        <v>20190304164832143</v>
      </c>
      <c r="B450" t="str">
        <f>"1551689312136512"</f>
        <v>1551689312136512</v>
      </c>
      <c r="C450" t="s">
        <v>40</v>
      </c>
      <c r="D450">
        <v>4.9091420000000001</v>
      </c>
      <c r="E450">
        <v>0.52532290000000004</v>
      </c>
      <c r="F450" t="s">
        <v>41</v>
      </c>
      <c r="G450">
        <v>-381.10649999999998</v>
      </c>
      <c r="H450">
        <v>1.0110319999999999</v>
      </c>
      <c r="I450">
        <v>367.99340000000001</v>
      </c>
      <c r="J450">
        <v>-381.71480000000003</v>
      </c>
      <c r="K450">
        <v>1.110608</v>
      </c>
      <c r="L450">
        <v>367.96190000000001</v>
      </c>
      <c r="M450">
        <v>0.99986810000000004</v>
      </c>
      <c r="N450">
        <v>-1.450181E-2</v>
      </c>
      <c r="O450">
        <v>7.3236530000000003E-3</v>
      </c>
      <c r="P450">
        <v>0.94977409999999995</v>
      </c>
      <c r="Q450">
        <v>0.30738470000000001</v>
      </c>
      <c r="R450">
        <v>5.8684590000000002E-2</v>
      </c>
      <c r="S450">
        <v>3.2860109999999998</v>
      </c>
      <c r="T450">
        <v>-0.41987999999999998</v>
      </c>
      <c r="U450">
        <v>0.13922119999999999</v>
      </c>
      <c r="V450">
        <v>-5.1713530000000001E-2</v>
      </c>
      <c r="W450">
        <v>0.32113390000000003</v>
      </c>
      <c r="X450">
        <v>0.94562080000000004</v>
      </c>
      <c r="Y450">
        <v>-3.4743309999999999E-2</v>
      </c>
      <c r="Z450">
        <v>1.6371619999999999E-3</v>
      </c>
      <c r="AA450">
        <v>0.99939500000000003</v>
      </c>
      <c r="AB450">
        <v>34</v>
      </c>
      <c r="AC450">
        <v>0.60830000000004203</v>
      </c>
      <c r="AD450">
        <v>-9.9576000000000095E-2</v>
      </c>
      <c r="AE450">
        <v>3.1499999999993998E-2</v>
      </c>
      <c r="AF450">
        <v>-2.6339789257054699E-2</v>
      </c>
      <c r="AG450">
        <v>-9.9576000000000095E-2</v>
      </c>
      <c r="AH450">
        <v>0.59267540792283202</v>
      </c>
      <c r="AI450">
        <v>99.528017734718205</v>
      </c>
      <c r="AJ450">
        <v>92.544675094750801</v>
      </c>
      <c r="AK450">
        <v>0.60155906063378495</v>
      </c>
      <c r="AL450">
        <v>71.268487480419395</v>
      </c>
      <c r="AM450">
        <v>93.130238368146095</v>
      </c>
      <c r="AN450">
        <v>0.99999998415345503</v>
      </c>
    </row>
    <row r="451" spans="1:40" x14ac:dyDescent="0.25">
      <c r="A451" t="str">
        <f>"20190304164832153"</f>
        <v>20190304164832153</v>
      </c>
      <c r="B451" t="str">
        <f>"1551689312147248"</f>
        <v>1551689312147248</v>
      </c>
      <c r="C451" t="s">
        <v>40</v>
      </c>
      <c r="D451">
        <v>4.9366089999999998</v>
      </c>
      <c r="E451">
        <v>0.52511439999999998</v>
      </c>
      <c r="F451" t="s">
        <v>41</v>
      </c>
      <c r="G451">
        <v>-380.8116</v>
      </c>
      <c r="H451">
        <v>0.99988339999999998</v>
      </c>
      <c r="I451">
        <v>368.00099999999998</v>
      </c>
      <c r="J451">
        <v>-381.54250000000002</v>
      </c>
      <c r="K451">
        <v>1.110608</v>
      </c>
      <c r="L451">
        <v>367.96319999999997</v>
      </c>
      <c r="M451">
        <v>0.99986819999999998</v>
      </c>
      <c r="N451">
        <v>-1.449433E-2</v>
      </c>
      <c r="O451">
        <v>7.323708E-3</v>
      </c>
      <c r="P451">
        <v>0.94977789999999995</v>
      </c>
      <c r="Q451">
        <v>0.30738280000000001</v>
      </c>
      <c r="R451">
        <v>5.8631639999999999E-2</v>
      </c>
      <c r="S451">
        <v>3.2800289999999999</v>
      </c>
      <c r="T451">
        <v>-0.40226030000000002</v>
      </c>
      <c r="U451">
        <v>0.1427612</v>
      </c>
      <c r="V451">
        <v>-5.166051E-2</v>
      </c>
      <c r="W451">
        <v>0.32112489999999999</v>
      </c>
      <c r="X451">
        <v>0.94562679999999999</v>
      </c>
      <c r="Y451">
        <v>-3.5906559999999997E-2</v>
      </c>
      <c r="Z451">
        <v>1.6653779999999999E-3</v>
      </c>
      <c r="AA451">
        <v>0.99935379999999996</v>
      </c>
      <c r="AB451">
        <v>34</v>
      </c>
      <c r="AC451">
        <v>0.73090000000001898</v>
      </c>
      <c r="AD451">
        <v>-0.11072459999999899</v>
      </c>
      <c r="AE451">
        <v>3.7800000000004198E-2</v>
      </c>
      <c r="AF451">
        <v>-3.1719522031292302E-2</v>
      </c>
      <c r="AG451">
        <v>-0.11072459999999899</v>
      </c>
      <c r="AH451">
        <v>0.71479682258782695</v>
      </c>
      <c r="AI451">
        <v>98.796817643951499</v>
      </c>
      <c r="AJ451">
        <v>92.540866380006605</v>
      </c>
      <c r="AK451">
        <v>0.72401696299513996</v>
      </c>
      <c r="AL451">
        <v>71.269032819760696</v>
      </c>
      <c r="AM451">
        <v>93.127015619461702</v>
      </c>
      <c r="AN451">
        <v>1.00000002728585</v>
      </c>
    </row>
    <row r="452" spans="1:40" x14ac:dyDescent="0.25">
      <c r="A452" t="str">
        <f>"20190304164832165"</f>
        <v>20190304164832165</v>
      </c>
      <c r="B452" t="str">
        <f>"1551689312157008"</f>
        <v>1551689312157008</v>
      </c>
      <c r="C452" t="s">
        <v>40</v>
      </c>
      <c r="D452">
        <v>4.8764949999999896</v>
      </c>
      <c r="E452">
        <v>0.52502019999999905</v>
      </c>
      <c r="F452" t="s">
        <v>41</v>
      </c>
      <c r="G452">
        <v>-380.79899999999998</v>
      </c>
      <c r="H452">
        <v>1.0220229999999999</v>
      </c>
      <c r="I452">
        <v>367.99540000000002</v>
      </c>
      <c r="J452">
        <v>-381.3723</v>
      </c>
      <c r="K452">
        <v>1.1106039999999999</v>
      </c>
      <c r="L452">
        <v>367.96440000000001</v>
      </c>
      <c r="M452">
        <v>0.9998686</v>
      </c>
      <c r="N452">
        <v>-1.4472489999999999E-2</v>
      </c>
      <c r="O452">
        <v>7.3236890000000004E-3</v>
      </c>
      <c r="P452">
        <v>0.94987790000000005</v>
      </c>
      <c r="Q452">
        <v>0.30704409999999999</v>
      </c>
      <c r="R452">
        <v>5.8790189999999999E-2</v>
      </c>
      <c r="S452">
        <v>3.2762150000000001</v>
      </c>
      <c r="T452">
        <v>-0.39055780000000001</v>
      </c>
      <c r="U452">
        <v>0.14297489999999999</v>
      </c>
      <c r="V452">
        <v>-5.1818179999999998E-2</v>
      </c>
      <c r="W452">
        <v>0.32076719999999997</v>
      </c>
      <c r="X452">
        <v>0.94573960000000001</v>
      </c>
      <c r="Y452">
        <v>-3.6034219999999999E-2</v>
      </c>
      <c r="Z452">
        <v>1.6372540000000001E-3</v>
      </c>
      <c r="AA452">
        <v>0.99934920000000005</v>
      </c>
      <c r="AB452">
        <v>34</v>
      </c>
      <c r="AC452">
        <v>0.57329999999995995</v>
      </c>
      <c r="AD452">
        <v>-8.8581000000000201E-2</v>
      </c>
      <c r="AE452">
        <v>3.1000000000005901E-2</v>
      </c>
      <c r="AF452">
        <v>-2.6176943367380998E-2</v>
      </c>
      <c r="AG452">
        <v>-8.8581000000000201E-2</v>
      </c>
      <c r="AH452">
        <v>0.56017724041030004</v>
      </c>
      <c r="AI452">
        <v>98.976159705384305</v>
      </c>
      <c r="AJ452">
        <v>92.675471235880195</v>
      </c>
      <c r="AK452">
        <v>0.56774146105314305</v>
      </c>
      <c r="AL452">
        <v>71.290672854038803</v>
      </c>
      <c r="AM452">
        <v>93.136167019062597</v>
      </c>
      <c r="AN452">
        <v>1.0000000556912501</v>
      </c>
    </row>
    <row r="453" spans="1:40" x14ac:dyDescent="0.25">
      <c r="A453" t="str">
        <f>"20190304164832176"</f>
        <v>20190304164832176</v>
      </c>
      <c r="B453" t="str">
        <f>"1551689312166768"</f>
        <v>1551689312166768</v>
      </c>
      <c r="C453" t="s">
        <v>40</v>
      </c>
      <c r="D453">
        <v>4.8537629999999998</v>
      </c>
      <c r="E453">
        <v>0.52481719999999998</v>
      </c>
      <c r="F453" t="s">
        <v>41</v>
      </c>
      <c r="G453">
        <v>-380.50740000000002</v>
      </c>
      <c r="H453">
        <v>1.0087969999999999</v>
      </c>
      <c r="I453">
        <v>368.00189999999998</v>
      </c>
      <c r="J453">
        <v>-381.20209999999997</v>
      </c>
      <c r="K453">
        <v>1.110598</v>
      </c>
      <c r="L453">
        <v>367.96570000000003</v>
      </c>
      <c r="M453">
        <v>0.99986900000000001</v>
      </c>
      <c r="N453">
        <v>-1.444643E-2</v>
      </c>
      <c r="O453">
        <v>7.3236999999999998E-3</v>
      </c>
      <c r="P453">
        <v>0.94990929999999996</v>
      </c>
      <c r="Q453">
        <v>0.3068902</v>
      </c>
      <c r="R453">
        <v>5.9084009999999999E-2</v>
      </c>
      <c r="S453">
        <v>3.2741090000000002</v>
      </c>
      <c r="T453">
        <v>-0.38569589999999998</v>
      </c>
      <c r="U453">
        <v>0.1431885</v>
      </c>
      <c r="V453">
        <v>-5.2112360000000003E-2</v>
      </c>
      <c r="W453">
        <v>0.32058920000000002</v>
      </c>
      <c r="X453">
        <v>0.9457837</v>
      </c>
      <c r="Y453">
        <v>-3.6131870000000003E-2</v>
      </c>
      <c r="Z453">
        <v>1.628116E-3</v>
      </c>
      <c r="AA453">
        <v>0.9993457</v>
      </c>
      <c r="AB453">
        <v>34</v>
      </c>
      <c r="AC453">
        <v>0.69469999999995402</v>
      </c>
      <c r="AD453">
        <v>-0.101801</v>
      </c>
      <c r="AE453">
        <v>3.6199999999951098E-2</v>
      </c>
      <c r="AF453">
        <v>-3.0458436402305701E-2</v>
      </c>
      <c r="AG453">
        <v>-0.101801</v>
      </c>
      <c r="AH453">
        <v>0.680375801422064</v>
      </c>
      <c r="AI453">
        <v>98.501342579307106</v>
      </c>
      <c r="AJ453">
        <v>92.563253199327406</v>
      </c>
      <c r="AK453">
        <v>0.68862354818129001</v>
      </c>
      <c r="AL453">
        <v>71.301438484231696</v>
      </c>
      <c r="AM453">
        <v>93.153788926535995</v>
      </c>
      <c r="AN453">
        <v>0.99999997020354903</v>
      </c>
    </row>
    <row r="454" spans="1:40" x14ac:dyDescent="0.25">
      <c r="A454" t="str">
        <f>"20190304164832188"</f>
        <v>20190304164832188</v>
      </c>
      <c r="B454" t="str">
        <f>"1551689312176529"</f>
        <v>1551689312176529</v>
      </c>
      <c r="C454" t="s">
        <v>40</v>
      </c>
      <c r="D454">
        <v>4.8574299999999999</v>
      </c>
      <c r="E454">
        <v>0.52468019999999904</v>
      </c>
      <c r="F454" t="s">
        <v>41</v>
      </c>
      <c r="G454">
        <v>-380.21359999999999</v>
      </c>
      <c r="H454">
        <v>0.99597570000000002</v>
      </c>
      <c r="I454">
        <v>368.00909999999999</v>
      </c>
      <c r="J454">
        <v>-381.03230000000002</v>
      </c>
      <c r="K454">
        <v>1.11059</v>
      </c>
      <c r="L454">
        <v>367.96690000000001</v>
      </c>
      <c r="M454">
        <v>0.99986949999999997</v>
      </c>
      <c r="N454">
        <v>-1.440346E-2</v>
      </c>
      <c r="O454">
        <v>7.3238940000000001E-3</v>
      </c>
      <c r="P454">
        <v>0.94993190000000005</v>
      </c>
      <c r="Q454">
        <v>0.30679580000000001</v>
      </c>
      <c r="R454">
        <v>5.9210480000000003E-2</v>
      </c>
      <c r="S454">
        <v>3.27182</v>
      </c>
      <c r="T454">
        <v>-0.3795154</v>
      </c>
      <c r="U454">
        <v>0.14456179999999999</v>
      </c>
      <c r="V454">
        <v>-5.2238010000000001E-2</v>
      </c>
      <c r="W454">
        <v>0.32045420000000002</v>
      </c>
      <c r="X454">
        <v>0.94582250000000001</v>
      </c>
      <c r="Y454">
        <v>-3.6584270000000002E-2</v>
      </c>
      <c r="Z454">
        <v>1.6371809999999999E-3</v>
      </c>
      <c r="AA454">
        <v>0.99932920000000003</v>
      </c>
      <c r="AB454">
        <v>34</v>
      </c>
      <c r="AC454">
        <v>0.81870000000003496</v>
      </c>
      <c r="AD454">
        <v>-0.1146143</v>
      </c>
      <c r="AE454">
        <v>4.2199999999979802E-2</v>
      </c>
      <c r="AF454">
        <v>-3.5508104381074997E-2</v>
      </c>
      <c r="AG454">
        <v>-0.1146143</v>
      </c>
      <c r="AH454">
        <v>0.80328547710795895</v>
      </c>
      <c r="AI454">
        <v>98.112446164710093</v>
      </c>
      <c r="AJ454">
        <v>92.531031673029204</v>
      </c>
      <c r="AK454">
        <v>0.81219752583579696</v>
      </c>
      <c r="AL454">
        <v>71.309603891523594</v>
      </c>
      <c r="AM454">
        <v>93.161248310924407</v>
      </c>
      <c r="AN454">
        <v>0.99999995274632403</v>
      </c>
    </row>
    <row r="455" spans="1:40" x14ac:dyDescent="0.25">
      <c r="A455" t="str">
        <f>"20190304164832199"</f>
        <v>20190304164832199</v>
      </c>
      <c r="B455" t="str">
        <f>"1551689312187265"</f>
        <v>1551689312187265</v>
      </c>
      <c r="C455" t="s">
        <v>40</v>
      </c>
      <c r="D455">
        <v>4.8517320000000002</v>
      </c>
      <c r="E455">
        <v>0.52462209999999998</v>
      </c>
      <c r="F455" t="s">
        <v>41</v>
      </c>
      <c r="G455">
        <v>-380.20400000000001</v>
      </c>
      <c r="H455">
        <v>1.0154369999999999</v>
      </c>
      <c r="I455">
        <v>368.0034</v>
      </c>
      <c r="J455">
        <v>-380.86470000000003</v>
      </c>
      <c r="K455">
        <v>1.1105780000000001</v>
      </c>
      <c r="L455">
        <v>367.96820000000002</v>
      </c>
      <c r="M455">
        <v>0.99987009999999998</v>
      </c>
      <c r="N455">
        <v>-1.435527E-2</v>
      </c>
      <c r="O455">
        <v>7.3238859999999999E-3</v>
      </c>
      <c r="P455">
        <v>0.9499147</v>
      </c>
      <c r="Q455">
        <v>0.30679650000000003</v>
      </c>
      <c r="R455">
        <v>5.9481979999999997E-2</v>
      </c>
      <c r="S455">
        <v>3.270416</v>
      </c>
      <c r="T455">
        <v>-0.37584509999999899</v>
      </c>
      <c r="U455">
        <v>0.14514160000000001</v>
      </c>
      <c r="V455">
        <v>-5.2509430000000003E-2</v>
      </c>
      <c r="W455">
        <v>0.32040950000000001</v>
      </c>
      <c r="X455">
        <v>0.94582270000000002</v>
      </c>
      <c r="Y455">
        <v>-3.6782679999999998E-2</v>
      </c>
      <c r="Z455">
        <v>1.637075E-3</v>
      </c>
      <c r="AA455">
        <v>0.99932189999999999</v>
      </c>
      <c r="AB455">
        <v>34</v>
      </c>
      <c r="AC455">
        <v>0.66070000000001905</v>
      </c>
      <c r="AD455">
        <v>-9.5140999999999906E-2</v>
      </c>
      <c r="AE455">
        <v>3.51999999999748E-2</v>
      </c>
      <c r="AF455">
        <v>-2.9744624058095501E-2</v>
      </c>
      <c r="AG455">
        <v>-9.5140999999999906E-2</v>
      </c>
      <c r="AH455">
        <v>0.64755044668626505</v>
      </c>
      <c r="AI455">
        <v>98.349670814199001</v>
      </c>
      <c r="AJ455">
        <v>92.6299793797089</v>
      </c>
      <c r="AK455">
        <v>0.65517794036806498</v>
      </c>
      <c r="AL455">
        <v>71.312309146328801</v>
      </c>
      <c r="AM455">
        <v>93.177639386395001</v>
      </c>
      <c r="AN455">
        <v>1.0000000338822299</v>
      </c>
    </row>
    <row r="456" spans="1:40" x14ac:dyDescent="0.25">
      <c r="A456" t="str">
        <f>"20190304164832210"</f>
        <v>20190304164832210</v>
      </c>
      <c r="B456" t="str">
        <f>"1551689312207161"</f>
        <v>1551689312207161</v>
      </c>
      <c r="C456" t="s">
        <v>40</v>
      </c>
      <c r="D456">
        <v>4.8742530000000004</v>
      </c>
      <c r="E456">
        <v>0.52446319999999902</v>
      </c>
      <c r="F456" t="s">
        <v>41</v>
      </c>
      <c r="G456">
        <v>-379.91109999999998</v>
      </c>
      <c r="H456">
        <v>1.001719</v>
      </c>
      <c r="I456">
        <v>368.01049999999998</v>
      </c>
      <c r="J456">
        <v>-380.69940000000003</v>
      </c>
      <c r="K456">
        <v>1.1105659999999999</v>
      </c>
      <c r="L456">
        <v>367.96940000000001</v>
      </c>
      <c r="M456">
        <v>0.99987110000000001</v>
      </c>
      <c r="N456">
        <v>-1.4296970000000001E-2</v>
      </c>
      <c r="O456">
        <v>7.3238309999999899E-3</v>
      </c>
      <c r="P456">
        <v>0.94991650000000005</v>
      </c>
      <c r="Q456">
        <v>0.30675599999999997</v>
      </c>
      <c r="R456">
        <v>5.9661699999999998E-2</v>
      </c>
      <c r="S456">
        <v>3.2695919999999998</v>
      </c>
      <c r="T456">
        <v>-0.37341190000000002</v>
      </c>
      <c r="U456">
        <v>0.14627079999999901</v>
      </c>
      <c r="V456">
        <v>-5.2689390000000003E-2</v>
      </c>
      <c r="W456">
        <v>0.32031369999999998</v>
      </c>
      <c r="X456">
        <v>0.94584509999999999</v>
      </c>
      <c r="Y456">
        <v>-3.7138560000000001E-2</v>
      </c>
      <c r="Z456">
        <v>1.6505279999999901E-3</v>
      </c>
      <c r="AA456">
        <v>0.9993088</v>
      </c>
      <c r="AB456">
        <v>34</v>
      </c>
      <c r="AC456">
        <v>0.78830000000004896</v>
      </c>
      <c r="AD456">
        <v>-0.108846999999999</v>
      </c>
      <c r="AE456">
        <v>4.1099999999971701E-2</v>
      </c>
      <c r="AF456">
        <v>-3.46658004815035E-2</v>
      </c>
      <c r="AG456">
        <v>-0.108846999999999</v>
      </c>
      <c r="AH456">
        <v>0.77386569848429498</v>
      </c>
      <c r="AI456">
        <v>97.998418964972899</v>
      </c>
      <c r="AJ456">
        <v>92.564885773430504</v>
      </c>
      <c r="AK456">
        <v>0.78225156210940805</v>
      </c>
      <c r="AL456">
        <v>71.318102730171304</v>
      </c>
      <c r="AM456">
        <v>93.188431984476907</v>
      </c>
      <c r="AN456">
        <v>0.99999999571013598</v>
      </c>
    </row>
    <row r="457" spans="1:40" x14ac:dyDescent="0.25">
      <c r="A457" t="str">
        <f>"20190304164832222"</f>
        <v>20190304164832222</v>
      </c>
      <c r="B457" t="str">
        <f>"1551689312216921"</f>
        <v>1551689312216921</v>
      </c>
      <c r="C457" t="s">
        <v>40</v>
      </c>
      <c r="D457">
        <v>4.8615360000000001</v>
      </c>
      <c r="E457">
        <v>0.52438289999999999</v>
      </c>
      <c r="F457" t="s">
        <v>41</v>
      </c>
      <c r="G457">
        <v>-379.90069999999997</v>
      </c>
      <c r="H457">
        <v>1.019914</v>
      </c>
      <c r="I457">
        <v>368.0052</v>
      </c>
      <c r="J457">
        <v>-380.52350000000001</v>
      </c>
      <c r="K457">
        <v>1.1105529999999999</v>
      </c>
      <c r="L457">
        <v>367.97070000000002</v>
      </c>
      <c r="M457">
        <v>0.99987199999999998</v>
      </c>
      <c r="N457">
        <v>-1.4223980000000001E-2</v>
      </c>
      <c r="O457">
        <v>7.3238219999999998E-3</v>
      </c>
      <c r="P457">
        <v>0.94982200000000006</v>
      </c>
      <c r="Q457">
        <v>0.3070116</v>
      </c>
      <c r="R457">
        <v>5.9849020000000003E-2</v>
      </c>
      <c r="S457">
        <v>3.2687680000000001</v>
      </c>
      <c r="T457">
        <v>-0.37117509999999998</v>
      </c>
      <c r="U457">
        <v>0.147644</v>
      </c>
      <c r="V457">
        <v>-5.2877569999999999E-2</v>
      </c>
      <c r="W457">
        <v>0.32049889999999998</v>
      </c>
      <c r="X457">
        <v>0.9457719</v>
      </c>
      <c r="Y457">
        <v>-3.756835E-2</v>
      </c>
      <c r="Z457">
        <v>1.6687E-3</v>
      </c>
      <c r="AA457">
        <v>0.99929270000000003</v>
      </c>
      <c r="AB457">
        <v>34</v>
      </c>
      <c r="AC457">
        <v>0.62280000000003999</v>
      </c>
      <c r="AD457">
        <v>-9.0639000000000094E-2</v>
      </c>
      <c r="AE457">
        <v>3.4499999999979901E-2</v>
      </c>
      <c r="AF457">
        <v>-2.93182653981411E-2</v>
      </c>
      <c r="AG457">
        <v>-9.0639000000000094E-2</v>
      </c>
      <c r="AH457">
        <v>0.61015229060302401</v>
      </c>
      <c r="AI457">
        <v>98.439980926307996</v>
      </c>
      <c r="AJ457">
        <v>92.750988333505703</v>
      </c>
      <c r="AK457">
        <v>0.61754417391395799</v>
      </c>
      <c r="AL457">
        <v>71.306901752179598</v>
      </c>
      <c r="AM457">
        <v>93.200042979331798</v>
      </c>
      <c r="AN457">
        <v>1.00000003456996</v>
      </c>
    </row>
    <row r="458" spans="1:40" x14ac:dyDescent="0.25">
      <c r="A458" t="str">
        <f>"20190304164832240"</f>
        <v>20190304164832240</v>
      </c>
      <c r="B458" t="str">
        <f>"1551689312237417"</f>
        <v>1551689312237417</v>
      </c>
      <c r="C458" t="s">
        <v>40</v>
      </c>
      <c r="D458">
        <v>4.9117980000000001</v>
      </c>
      <c r="E458">
        <v>0.52446800000000005</v>
      </c>
      <c r="F458" t="s">
        <v>41</v>
      </c>
      <c r="G458">
        <v>-379.60879999999997</v>
      </c>
      <c r="H458">
        <v>1.0072479999999999</v>
      </c>
      <c r="I458">
        <v>368.01209999999998</v>
      </c>
      <c r="J458">
        <v>-380.25130000000001</v>
      </c>
      <c r="K458">
        <v>1.110528</v>
      </c>
      <c r="L458">
        <v>367.97269999999997</v>
      </c>
      <c r="M458">
        <v>0.99987389999999998</v>
      </c>
      <c r="N458">
        <v>-1.4091309999999999E-2</v>
      </c>
      <c r="O458">
        <v>7.3234629999999997E-3</v>
      </c>
      <c r="P458">
        <v>0.94984089999999999</v>
      </c>
      <c r="Q458">
        <v>0.30689379999999999</v>
      </c>
      <c r="R458">
        <v>6.0152799999999999E-2</v>
      </c>
      <c r="S458">
        <v>3.2685240000000002</v>
      </c>
      <c r="T458">
        <v>-0.36923660000000003</v>
      </c>
      <c r="U458">
        <v>0.14877319999999999</v>
      </c>
      <c r="V458">
        <v>-5.3181630000000001E-2</v>
      </c>
      <c r="W458">
        <v>0.32025579999999998</v>
      </c>
      <c r="X458">
        <v>0.94583709999999999</v>
      </c>
      <c r="Y458">
        <v>-3.7916699999999998E-2</v>
      </c>
      <c r="Z458">
        <v>1.6806830000000001E-3</v>
      </c>
      <c r="AA458">
        <v>0.99927949999999999</v>
      </c>
      <c r="AB458">
        <v>34</v>
      </c>
      <c r="AC458">
        <v>0.64250000000004004</v>
      </c>
      <c r="AD458">
        <v>-0.10328</v>
      </c>
      <c r="AE458">
        <v>3.9400000000000497E-2</v>
      </c>
      <c r="AF458">
        <v>-3.3822465451298397E-2</v>
      </c>
      <c r="AG458">
        <v>-0.10328</v>
      </c>
      <c r="AH458">
        <v>0.62663986366509505</v>
      </c>
      <c r="AI458">
        <v>99.345734523265904</v>
      </c>
      <c r="AJ458">
        <v>93.089503372901405</v>
      </c>
      <c r="AK458">
        <v>0.63599389643565996</v>
      </c>
      <c r="AL458">
        <v>71.3216035807542</v>
      </c>
      <c r="AM458">
        <v>93.218184109670204</v>
      </c>
      <c r="AN458">
        <v>0.99999994146975102</v>
      </c>
    </row>
    <row r="459" spans="1:40" x14ac:dyDescent="0.25">
      <c r="A459" t="str">
        <f>"20190304164832252"</f>
        <v>20190304164832252</v>
      </c>
      <c r="B459" t="str">
        <f>"1551689312247177"</f>
        <v>1551689312247177</v>
      </c>
      <c r="C459" t="s">
        <v>40</v>
      </c>
      <c r="D459">
        <v>4.9200710000000001</v>
      </c>
      <c r="E459">
        <v>0.52453209999999995</v>
      </c>
      <c r="F459" t="s">
        <v>41</v>
      </c>
      <c r="G459">
        <v>-379.3107</v>
      </c>
      <c r="H459">
        <v>1.003862</v>
      </c>
      <c r="I459">
        <v>368.01499999999999</v>
      </c>
      <c r="J459">
        <v>-380.0745</v>
      </c>
      <c r="K459">
        <v>1.1105039999999999</v>
      </c>
      <c r="L459">
        <v>367.97399999999999</v>
      </c>
      <c r="M459">
        <v>0.99987530000000002</v>
      </c>
      <c r="N459">
        <v>-1.3992930000000001E-2</v>
      </c>
      <c r="O459">
        <v>7.3232660000000002E-3</v>
      </c>
      <c r="P459">
        <v>0.94974539999999996</v>
      </c>
      <c r="Q459">
        <v>0.30714530000000001</v>
      </c>
      <c r="R459">
        <v>6.0379710000000003E-2</v>
      </c>
      <c r="S459">
        <v>3.2688290000000002</v>
      </c>
      <c r="T459">
        <v>-0.3710136</v>
      </c>
      <c r="U459">
        <v>0.1489868</v>
      </c>
      <c r="V459">
        <v>-5.340955E-2</v>
      </c>
      <c r="W459">
        <v>0.32041310000000001</v>
      </c>
      <c r="X459">
        <v>0.94577100000000003</v>
      </c>
      <c r="Y459">
        <v>-3.7975670000000003E-2</v>
      </c>
      <c r="Z459">
        <v>1.6880039999999999E-3</v>
      </c>
      <c r="AA459">
        <v>0.99927719999999998</v>
      </c>
      <c r="AB459">
        <v>34</v>
      </c>
      <c r="AC459">
        <v>0.76380000000000303</v>
      </c>
      <c r="AD459">
        <v>-0.106642</v>
      </c>
      <c r="AE459">
        <v>4.0999999999996803E-2</v>
      </c>
      <c r="AF459">
        <v>-3.4729771017095797E-2</v>
      </c>
      <c r="AG459">
        <v>-0.106642</v>
      </c>
      <c r="AH459">
        <v>0.74951093536056801</v>
      </c>
      <c r="AI459">
        <v>98.089247533270495</v>
      </c>
      <c r="AJ459">
        <v>92.652992645808794</v>
      </c>
      <c r="AK459">
        <v>0.75785573520556904</v>
      </c>
      <c r="AL459">
        <v>71.312089961378803</v>
      </c>
      <c r="AM459">
        <v>93.232172476653901</v>
      </c>
      <c r="AN459">
        <v>0.99999995956190502</v>
      </c>
    </row>
    <row r="460" spans="1:40" x14ac:dyDescent="0.25">
      <c r="A460" t="str">
        <f>"20190304164832264"</f>
        <v>20190304164832264</v>
      </c>
      <c r="B460" t="str">
        <f>"1551689312256938"</f>
        <v>1551689312256938</v>
      </c>
      <c r="C460" t="s">
        <v>40</v>
      </c>
      <c r="D460">
        <v>4.9266079999999999</v>
      </c>
      <c r="E460">
        <v>0.52454919999999905</v>
      </c>
      <c r="F460" t="s">
        <v>41</v>
      </c>
      <c r="G460">
        <v>-379.29919999999998</v>
      </c>
      <c r="H460">
        <v>1.022653</v>
      </c>
      <c r="I460">
        <v>368.00880000000001</v>
      </c>
      <c r="J460">
        <v>-379.88170000000002</v>
      </c>
      <c r="K460">
        <v>1.110484</v>
      </c>
      <c r="L460">
        <v>367.97539999999998</v>
      </c>
      <c r="M460">
        <v>0.99987689999999996</v>
      </c>
      <c r="N460">
        <v>-1.387744E-2</v>
      </c>
      <c r="O460">
        <v>7.3234219999999996E-3</v>
      </c>
      <c r="P460">
        <v>0.94964649999999995</v>
      </c>
      <c r="Q460">
        <v>0.30749500000000002</v>
      </c>
      <c r="R460">
        <v>6.0153680000000001E-2</v>
      </c>
      <c r="S460">
        <v>3.269196</v>
      </c>
      <c r="T460">
        <v>-0.370809</v>
      </c>
      <c r="U460">
        <v>0.14886469999999999</v>
      </c>
      <c r="V460">
        <v>-5.3184019999999999E-2</v>
      </c>
      <c r="W460">
        <v>0.32065199999999999</v>
      </c>
      <c r="X460">
        <v>0.94570279999999995</v>
      </c>
      <c r="Y460">
        <v>-3.7934120000000002E-2</v>
      </c>
      <c r="Z460">
        <v>1.681435E-3</v>
      </c>
      <c r="AA460">
        <v>0.99927880000000002</v>
      </c>
      <c r="AB460">
        <v>34</v>
      </c>
      <c r="AC460">
        <v>0.58250000000003799</v>
      </c>
      <c r="AD460">
        <v>-8.7830999999999895E-2</v>
      </c>
      <c r="AE460">
        <v>3.3400000000028698E-2</v>
      </c>
      <c r="AF460">
        <v>-2.84872516428058E-2</v>
      </c>
      <c r="AG460">
        <v>-8.7830999999999895E-2</v>
      </c>
      <c r="AH460">
        <v>0.56981641592028398</v>
      </c>
      <c r="AI460">
        <v>98.7517984176569</v>
      </c>
      <c r="AJ460">
        <v>92.862047237986602</v>
      </c>
      <c r="AK460">
        <v>0.57724912812355</v>
      </c>
      <c r="AL460">
        <v>71.297640644824</v>
      </c>
      <c r="AM460">
        <v>93.218784508338103</v>
      </c>
      <c r="AN460">
        <v>1.0000000155075901</v>
      </c>
    </row>
    <row r="461" spans="1:40" x14ac:dyDescent="0.25">
      <c r="A461" t="str">
        <f>"20190304164832279"</f>
        <v>20190304164832279</v>
      </c>
      <c r="B461" t="str">
        <f>"1551689312266696"</f>
        <v>1551689312266696</v>
      </c>
      <c r="C461" t="s">
        <v>40</v>
      </c>
      <c r="D461">
        <v>4.8927329999999998</v>
      </c>
      <c r="E461">
        <v>0.52451179999999997</v>
      </c>
      <c r="F461" t="s">
        <v>41</v>
      </c>
      <c r="G461">
        <v>-379.00740000000002</v>
      </c>
      <c r="H461">
        <v>1.011404</v>
      </c>
      <c r="I461">
        <v>368.01499999999999</v>
      </c>
      <c r="J461">
        <v>-379.67239999999998</v>
      </c>
      <c r="K461">
        <v>1.1104639999999999</v>
      </c>
      <c r="L461">
        <v>367.9769</v>
      </c>
      <c r="M461">
        <v>0.99987879999999996</v>
      </c>
      <c r="N461">
        <v>-1.374652E-2</v>
      </c>
      <c r="O461">
        <v>7.3236769999999998E-3</v>
      </c>
      <c r="P461">
        <v>0.94965140000000003</v>
      </c>
      <c r="Q461">
        <v>0.30746400000000002</v>
      </c>
      <c r="R461">
        <v>6.0234410000000002E-2</v>
      </c>
      <c r="S461">
        <v>3.2696529999999999</v>
      </c>
      <c r="T461">
        <v>-0.37050909999999998</v>
      </c>
      <c r="U461">
        <v>0.148345899999999</v>
      </c>
      <c r="V461">
        <v>-5.326409E-2</v>
      </c>
      <c r="W461">
        <v>0.32049709999999998</v>
      </c>
      <c r="X461">
        <v>0.9457508</v>
      </c>
      <c r="Y461">
        <v>-3.7771239999999998E-2</v>
      </c>
      <c r="Z461">
        <v>1.6664029999999999E-3</v>
      </c>
      <c r="AA461">
        <v>0.99928499999999998</v>
      </c>
      <c r="AB461">
        <v>34</v>
      </c>
      <c r="AC461">
        <v>0.66499999999996295</v>
      </c>
      <c r="AD461">
        <v>-9.9059999999999704E-2</v>
      </c>
      <c r="AE461">
        <v>3.8099999999985798E-2</v>
      </c>
      <c r="AF461">
        <v>-3.25092593866824E-2</v>
      </c>
      <c r="AG461">
        <v>-9.9059999999999704E-2</v>
      </c>
      <c r="AH461">
        <v>0.65086589074892298</v>
      </c>
      <c r="AI461">
        <v>98.643237023272505</v>
      </c>
      <c r="AJ461">
        <v>92.859416572728094</v>
      </c>
      <c r="AK461">
        <v>0.65916321445167103</v>
      </c>
      <c r="AL461">
        <v>71.307010249377996</v>
      </c>
      <c r="AM461">
        <v>93.223456999736399</v>
      </c>
      <c r="AN461">
        <v>1.00000001504628</v>
      </c>
    </row>
    <row r="462" spans="1:40" x14ac:dyDescent="0.25">
      <c r="A462" t="str">
        <f>"20190304164832297"</f>
        <v>20190304164832297</v>
      </c>
      <c r="B462" t="str">
        <f>"1551689312287193"</f>
        <v>1551689312287193</v>
      </c>
      <c r="C462" t="s">
        <v>40</v>
      </c>
      <c r="D462">
        <v>4.9224379999999996</v>
      </c>
      <c r="E462">
        <v>0.52464049999999995</v>
      </c>
      <c r="F462" t="s">
        <v>41</v>
      </c>
      <c r="G462">
        <v>-378.71210000000002</v>
      </c>
      <c r="H462">
        <v>1.001698</v>
      </c>
      <c r="I462">
        <v>368.02030000000002</v>
      </c>
      <c r="J462">
        <v>-379.39449999999999</v>
      </c>
      <c r="K462">
        <v>1.1104339999999999</v>
      </c>
      <c r="L462">
        <v>367.97890000000001</v>
      </c>
      <c r="M462">
        <v>0.99988129999999997</v>
      </c>
      <c r="N462">
        <v>-1.356211E-2</v>
      </c>
      <c r="O462">
        <v>7.3244099999999999E-3</v>
      </c>
      <c r="P462">
        <v>0.94946940000000002</v>
      </c>
      <c r="Q462">
        <v>0.30805640000000001</v>
      </c>
      <c r="R462">
        <v>6.0076530000000003E-2</v>
      </c>
      <c r="S462">
        <v>3.2695620000000001</v>
      </c>
      <c r="T462">
        <v>-0.37054029999999999</v>
      </c>
      <c r="U462">
        <v>0.14901729999999899</v>
      </c>
      <c r="V462">
        <v>-5.3106929999999997E-2</v>
      </c>
      <c r="W462">
        <v>0.320913</v>
      </c>
      <c r="X462">
        <v>0.94561859999999998</v>
      </c>
      <c r="Y462">
        <v>-3.7975589999999997E-2</v>
      </c>
      <c r="Z462">
        <v>1.6745529999999901E-3</v>
      </c>
      <c r="AA462">
        <v>0.99927730000000003</v>
      </c>
      <c r="AB462">
        <v>34</v>
      </c>
      <c r="AC462">
        <v>0.68239999999997203</v>
      </c>
      <c r="AD462">
        <v>-0.108735999999999</v>
      </c>
      <c r="AE462">
        <v>4.1400000000009998E-2</v>
      </c>
      <c r="AF462">
        <v>-3.55021463774116E-2</v>
      </c>
      <c r="AG462">
        <v>-0.108735999999999</v>
      </c>
      <c r="AH462">
        <v>0.665841011240763</v>
      </c>
      <c r="AI462">
        <v>99.261959087363493</v>
      </c>
      <c r="AJ462">
        <v>93.052078148093898</v>
      </c>
      <c r="AK462">
        <v>0.67559468051748695</v>
      </c>
      <c r="AL462">
        <v>71.281852116514798</v>
      </c>
      <c r="AM462">
        <v>93.214414276671505</v>
      </c>
      <c r="AN462">
        <v>1.0000000181244899</v>
      </c>
    </row>
    <row r="463" spans="1:40" x14ac:dyDescent="0.25">
      <c r="A463" t="str">
        <f>"20190304164832309"</f>
        <v>20190304164832309</v>
      </c>
      <c r="B463" t="str">
        <f>"1551689312296954"</f>
        <v>1551689312296954</v>
      </c>
      <c r="C463" t="s">
        <v>40</v>
      </c>
      <c r="D463">
        <v>4.9055099999999996</v>
      </c>
      <c r="E463">
        <v>0.52463359999999903</v>
      </c>
      <c r="F463" t="s">
        <v>41</v>
      </c>
      <c r="G463">
        <v>-378.41309999999999</v>
      </c>
      <c r="H463">
        <v>0.99956149999999999</v>
      </c>
      <c r="I463">
        <v>368.02330000000001</v>
      </c>
      <c r="J463">
        <v>-379.21210000000002</v>
      </c>
      <c r="K463">
        <v>1.1104160000000001</v>
      </c>
      <c r="L463">
        <v>367.9803</v>
      </c>
      <c r="M463">
        <v>0.99988299999999997</v>
      </c>
      <c r="N463">
        <v>-1.3435600000000001E-2</v>
      </c>
      <c r="O463">
        <v>7.3246169999999899E-3</v>
      </c>
      <c r="P463">
        <v>0.94940749999999996</v>
      </c>
      <c r="Q463">
        <v>0.3082877</v>
      </c>
      <c r="R463">
        <v>5.9870069999999997E-2</v>
      </c>
      <c r="S463">
        <v>3.2701720000000001</v>
      </c>
      <c r="T463">
        <v>-0.36949179999999998</v>
      </c>
      <c r="U463">
        <v>0.1479492</v>
      </c>
      <c r="V463">
        <v>-5.2901030000000002E-2</v>
      </c>
      <c r="W463">
        <v>0.32102330000000001</v>
      </c>
      <c r="X463">
        <v>0.94559269999999995</v>
      </c>
      <c r="Y463">
        <v>-3.7645209999999998E-2</v>
      </c>
      <c r="Z463">
        <v>1.646429E-3</v>
      </c>
      <c r="AA463">
        <v>0.99928980000000001</v>
      </c>
      <c r="AB463">
        <v>34</v>
      </c>
      <c r="AC463">
        <v>0.79900000000003502</v>
      </c>
      <c r="AD463">
        <v>-0.11085449999999999</v>
      </c>
      <c r="AE463">
        <v>4.3000000000006297E-2</v>
      </c>
      <c r="AF463">
        <v>-3.64464107093476E-2</v>
      </c>
      <c r="AG463">
        <v>-0.11085449999999999</v>
      </c>
      <c r="AH463">
        <v>0.78424111751999204</v>
      </c>
      <c r="AI463">
        <v>98.037042302977994</v>
      </c>
      <c r="AJ463">
        <v>92.660819534465006</v>
      </c>
      <c r="AK463">
        <v>0.79287526852138002</v>
      </c>
      <c r="AL463">
        <v>71.275179297957095</v>
      </c>
      <c r="AM463">
        <v>93.202065226927203</v>
      </c>
      <c r="AN463">
        <v>1.00000001620562</v>
      </c>
    </row>
    <row r="464" spans="1:40" x14ac:dyDescent="0.25">
      <c r="A464" t="str">
        <f>"20190304164832323"</f>
        <v>20190304164832323</v>
      </c>
      <c r="B464" t="str">
        <f>"1551689312317450"</f>
        <v>1551689312317450</v>
      </c>
      <c r="C464" t="s">
        <v>40</v>
      </c>
      <c r="D464">
        <v>4.895168</v>
      </c>
      <c r="E464">
        <v>0.52473340000000002</v>
      </c>
      <c r="F464" t="s">
        <v>41</v>
      </c>
      <c r="G464">
        <v>-378.40230000000003</v>
      </c>
      <c r="H464">
        <v>1.019183</v>
      </c>
      <c r="I464">
        <v>368.01679999999999</v>
      </c>
      <c r="J464">
        <v>-379.01960000000003</v>
      </c>
      <c r="K464">
        <v>1.1103940000000001</v>
      </c>
      <c r="L464">
        <v>367.98169999999999</v>
      </c>
      <c r="M464">
        <v>0.99988469999999996</v>
      </c>
      <c r="N464">
        <v>-1.3300029999999999E-2</v>
      </c>
      <c r="O464">
        <v>7.3248769999999996E-3</v>
      </c>
      <c r="P464">
        <v>0.94932130000000003</v>
      </c>
      <c r="Q464">
        <v>0.30855579999999999</v>
      </c>
      <c r="R464">
        <v>5.985356E-2</v>
      </c>
      <c r="S464">
        <v>3.270203</v>
      </c>
      <c r="T464">
        <v>-0.36849110000000002</v>
      </c>
      <c r="U464">
        <v>0.147644</v>
      </c>
      <c r="V464">
        <v>-5.288487E-2</v>
      </c>
      <c r="W464">
        <v>0.3211619</v>
      </c>
      <c r="X464">
        <v>0.94554649999999996</v>
      </c>
      <c r="Y464">
        <v>-3.7553660000000003E-2</v>
      </c>
      <c r="Z464">
        <v>1.633603E-3</v>
      </c>
      <c r="AA464">
        <v>0.99929330000000005</v>
      </c>
      <c r="AB464">
        <v>34</v>
      </c>
      <c r="AC464">
        <v>0.61729999999999996</v>
      </c>
      <c r="AD464">
        <v>-9.1211000000000098E-2</v>
      </c>
      <c r="AE464">
        <v>3.5099999999999902E-2</v>
      </c>
      <c r="AF464">
        <v>-2.9925765233903199E-2</v>
      </c>
      <c r="AG464">
        <v>-9.1211000000000098E-2</v>
      </c>
      <c r="AH464">
        <v>0.60438783764463599</v>
      </c>
      <c r="AI464">
        <v>98.571668390682404</v>
      </c>
      <c r="AJ464">
        <v>92.834638256050297</v>
      </c>
      <c r="AK464">
        <v>0.61196377036438498</v>
      </c>
      <c r="AL464">
        <v>71.266793375986893</v>
      </c>
      <c r="AM464">
        <v>93.201245189011104</v>
      </c>
      <c r="AN464">
        <v>0.99999997957438802</v>
      </c>
    </row>
    <row r="465" spans="1:40" x14ac:dyDescent="0.25">
      <c r="A465" t="str">
        <f>"20190304164832335"</f>
        <v>20190304164832335</v>
      </c>
      <c r="B465" t="str">
        <f>"1551689312327209"</f>
        <v>1551689312327209</v>
      </c>
      <c r="C465" t="s">
        <v>40</v>
      </c>
      <c r="D465">
        <v>4.8793230000000003</v>
      </c>
      <c r="E465">
        <v>0.52479180000000003</v>
      </c>
      <c r="F465" t="s">
        <v>41</v>
      </c>
      <c r="G465">
        <v>-378.10899999999998</v>
      </c>
      <c r="H465">
        <v>1.007857</v>
      </c>
      <c r="I465">
        <v>368.02210000000002</v>
      </c>
      <c r="J465">
        <v>-378.82619999999997</v>
      </c>
      <c r="K465">
        <v>1.110376</v>
      </c>
      <c r="L465">
        <v>367.98309999999998</v>
      </c>
      <c r="M465">
        <v>0.99988659999999996</v>
      </c>
      <c r="N465">
        <v>-1.316207E-2</v>
      </c>
      <c r="O465">
        <v>7.3249659999999996E-3</v>
      </c>
      <c r="P465">
        <v>0.94921339999999998</v>
      </c>
      <c r="Q465">
        <v>0.30886629999999998</v>
      </c>
      <c r="R465">
        <v>5.9963700000000002E-2</v>
      </c>
      <c r="S465">
        <v>3.2706909999999998</v>
      </c>
      <c r="T465">
        <v>-0.36858079999999999</v>
      </c>
      <c r="U465">
        <v>0.146362299999999</v>
      </c>
      <c r="V465">
        <v>-5.2995550000000002E-2</v>
      </c>
      <c r="W465">
        <v>0.32134069999999998</v>
      </c>
      <c r="X465">
        <v>0.94547959999999998</v>
      </c>
      <c r="Y465">
        <v>-3.7159159999999997E-2</v>
      </c>
      <c r="Z465">
        <v>1.605361E-3</v>
      </c>
      <c r="AA465">
        <v>0.99930799999999997</v>
      </c>
      <c r="AB465">
        <v>34</v>
      </c>
      <c r="AC465">
        <v>0.717199999999934</v>
      </c>
      <c r="AD465">
        <v>-0.102519</v>
      </c>
      <c r="AE465">
        <v>3.9000000000044097E-2</v>
      </c>
      <c r="AF465">
        <v>-3.3071285940137397E-2</v>
      </c>
      <c r="AG465">
        <v>-0.102519</v>
      </c>
      <c r="AH465">
        <v>0.70314165040255505</v>
      </c>
      <c r="AI465">
        <v>98.286317601669495</v>
      </c>
      <c r="AJ465">
        <v>92.692842508355795</v>
      </c>
      <c r="AK465">
        <v>0.71134522972011505</v>
      </c>
      <c r="AL465">
        <v>71.255976338515197</v>
      </c>
      <c r="AM465">
        <v>93.208157442747904</v>
      </c>
      <c r="AN465">
        <v>1.0000000239062199</v>
      </c>
    </row>
    <row r="466" spans="1:40" x14ac:dyDescent="0.25">
      <c r="A466" t="str">
        <f>"20190304164832352"</f>
        <v>20190304164832352</v>
      </c>
      <c r="B466" t="str">
        <f>"1551689312346729"</f>
        <v>1551689312346729</v>
      </c>
      <c r="C466" t="s">
        <v>40</v>
      </c>
      <c r="D466">
        <v>4.841672</v>
      </c>
      <c r="E466">
        <v>0.52488210000000002</v>
      </c>
      <c r="F466" t="s">
        <v>41</v>
      </c>
      <c r="G466">
        <v>-378.09210000000002</v>
      </c>
      <c r="H466">
        <v>1.027876</v>
      </c>
      <c r="I466">
        <v>368.01560000000001</v>
      </c>
      <c r="J466">
        <v>-378.56970000000001</v>
      </c>
      <c r="K466">
        <v>1.110344</v>
      </c>
      <c r="L466">
        <v>367.98500000000001</v>
      </c>
      <c r="M466">
        <v>0.99988929999999998</v>
      </c>
      <c r="N466">
        <v>-1.2969120000000001E-2</v>
      </c>
      <c r="O466">
        <v>7.3250490000000001E-3</v>
      </c>
      <c r="P466">
        <v>0.94917739999999995</v>
      </c>
      <c r="Q466">
        <v>0.30899260000000001</v>
      </c>
      <c r="R466">
        <v>5.9884800000000002E-2</v>
      </c>
      <c r="S466">
        <v>3.2709959999999998</v>
      </c>
      <c r="T466">
        <v>-0.36789519999999998</v>
      </c>
      <c r="U466">
        <v>0.14617920000000001</v>
      </c>
      <c r="V466">
        <v>-5.2917270000000002E-2</v>
      </c>
      <c r="W466">
        <v>0.32128430000000002</v>
      </c>
      <c r="X466">
        <v>0.94550310000000004</v>
      </c>
      <c r="Y466">
        <v>-3.7100880000000003E-2</v>
      </c>
      <c r="Z466">
        <v>1.594243E-3</v>
      </c>
      <c r="AA466">
        <v>0.99931029999999998</v>
      </c>
      <c r="AB466">
        <v>34</v>
      </c>
      <c r="AC466">
        <v>0.47759999999999497</v>
      </c>
      <c r="AD466">
        <v>-8.2467999999999902E-2</v>
      </c>
      <c r="AE466">
        <v>3.0599999999992598E-2</v>
      </c>
      <c r="AF466">
        <v>-2.63189375266095E-2</v>
      </c>
      <c r="AG466">
        <v>-8.2467999999999902E-2</v>
      </c>
      <c r="AH466">
        <v>0.464032543577584</v>
      </c>
      <c r="AI466">
        <v>100.061565837389</v>
      </c>
      <c r="AJ466">
        <v>93.246216624258494</v>
      </c>
      <c r="AK466">
        <v>0.47203798469573599</v>
      </c>
      <c r="AL466">
        <v>71.259387829731196</v>
      </c>
      <c r="AM466">
        <v>93.2033490797198</v>
      </c>
      <c r="AN466">
        <v>0.99999997550017605</v>
      </c>
    </row>
    <row r="467" spans="1:40" x14ac:dyDescent="0.25">
      <c r="A467" t="str">
        <f>"20190304164832364"</f>
        <v>20190304164832364</v>
      </c>
      <c r="B467" t="str">
        <f>"1551689312357466"</f>
        <v>1551689312357466</v>
      </c>
      <c r="C467" t="s">
        <v>40</v>
      </c>
      <c r="D467">
        <v>4.8359300000000003</v>
      </c>
      <c r="E467">
        <v>0.52485669999999995</v>
      </c>
      <c r="F467" t="s">
        <v>41</v>
      </c>
      <c r="G467">
        <v>-377.7987</v>
      </c>
      <c r="H467">
        <v>1.023569</v>
      </c>
      <c r="I467">
        <v>368.0188</v>
      </c>
      <c r="J467">
        <v>-378.38729999999998</v>
      </c>
      <c r="K467">
        <v>1.110322</v>
      </c>
      <c r="L467">
        <v>367.98630000000003</v>
      </c>
      <c r="M467">
        <v>0.99989090000000003</v>
      </c>
      <c r="N467">
        <v>-1.2826239999999999E-2</v>
      </c>
      <c r="O467">
        <v>7.3253260000000001E-3</v>
      </c>
      <c r="P467">
        <v>0.94911239999999997</v>
      </c>
      <c r="Q467">
        <v>0.30917640000000002</v>
      </c>
      <c r="R467">
        <v>5.9964400000000001E-2</v>
      </c>
      <c r="S467">
        <v>3.271423</v>
      </c>
      <c r="T467">
        <v>-0.36846590000000001</v>
      </c>
      <c r="U467">
        <v>0.14440919999999999</v>
      </c>
      <c r="V467">
        <v>-5.299661E-2</v>
      </c>
      <c r="W467">
        <v>0.32133210000000001</v>
      </c>
      <c r="X467">
        <v>0.94548239999999995</v>
      </c>
      <c r="Y467">
        <v>-3.6558790000000001E-2</v>
      </c>
      <c r="Z467">
        <v>1.558392E-3</v>
      </c>
      <c r="AA467">
        <v>0.9993303</v>
      </c>
      <c r="AB467">
        <v>34</v>
      </c>
      <c r="AC467">
        <v>0.58859999999998502</v>
      </c>
      <c r="AD467">
        <v>-8.6752999999999997E-2</v>
      </c>
      <c r="AE467">
        <v>3.24999999999704E-2</v>
      </c>
      <c r="AF467">
        <v>-2.7589567774710999E-2</v>
      </c>
      <c r="AG467">
        <v>-8.6752999999999997E-2</v>
      </c>
      <c r="AH467">
        <v>0.576340262666452</v>
      </c>
      <c r="AI467">
        <v>98.550475233528502</v>
      </c>
      <c r="AJ467">
        <v>92.740672614583104</v>
      </c>
      <c r="AK467">
        <v>0.58348553163675798</v>
      </c>
      <c r="AL467">
        <v>71.2564955124259</v>
      </c>
      <c r="AM467">
        <v>93.208211996098797</v>
      </c>
      <c r="AN467">
        <v>0.99999996393583002</v>
      </c>
    </row>
    <row r="468" spans="1:40" x14ac:dyDescent="0.25">
      <c r="A468" t="str">
        <f>"20190304164832376"</f>
        <v>20190304164832376</v>
      </c>
      <c r="B468" t="str">
        <f>"1551689312367225"</f>
        <v>1551689312367225</v>
      </c>
      <c r="C468" t="s">
        <v>40</v>
      </c>
      <c r="D468">
        <v>4.8343119999999997</v>
      </c>
      <c r="E468">
        <v>0.52486440000000001</v>
      </c>
      <c r="F468" t="s">
        <v>41</v>
      </c>
      <c r="G468">
        <v>-377.50630000000001</v>
      </c>
      <c r="H468">
        <v>1.0113829999999999</v>
      </c>
      <c r="I468">
        <v>368.02499999999998</v>
      </c>
      <c r="J468">
        <v>-378.22070000000002</v>
      </c>
      <c r="K468">
        <v>1.110303</v>
      </c>
      <c r="L468">
        <v>367.98750000000001</v>
      </c>
      <c r="M468">
        <v>0.99989269999999997</v>
      </c>
      <c r="N468">
        <v>-1.269403E-2</v>
      </c>
      <c r="O468">
        <v>7.3251660000000001E-3</v>
      </c>
      <c r="P468">
        <v>0.94913910000000001</v>
      </c>
      <c r="Q468">
        <v>0.30910599999999999</v>
      </c>
      <c r="R468">
        <v>5.9904930000000002E-2</v>
      </c>
      <c r="S468">
        <v>3.2714840000000001</v>
      </c>
      <c r="T468">
        <v>-0.36769869999999999</v>
      </c>
      <c r="U468">
        <v>0.14514160000000001</v>
      </c>
      <c r="V468">
        <v>-5.2937640000000001E-2</v>
      </c>
      <c r="W468">
        <v>0.32113700000000001</v>
      </c>
      <c r="X468">
        <v>0.94555199999999995</v>
      </c>
      <c r="Y468">
        <v>-3.6781099999999997E-2</v>
      </c>
      <c r="Z468">
        <v>1.566305E-3</v>
      </c>
      <c r="AA468">
        <v>0.99932209999999999</v>
      </c>
      <c r="AB468">
        <v>34</v>
      </c>
      <c r="AC468">
        <v>0.71440000000001103</v>
      </c>
      <c r="AD468">
        <v>-9.8920000000000105E-2</v>
      </c>
      <c r="AE468">
        <v>3.7499999999965797E-2</v>
      </c>
      <c r="AF468">
        <v>-3.1660128945824199E-2</v>
      </c>
      <c r="AG468">
        <v>-9.8920000000000105E-2</v>
      </c>
      <c r="AH468">
        <v>0.701247616080512</v>
      </c>
      <c r="AI468">
        <v>98.021264386563502</v>
      </c>
      <c r="AJ468">
        <v>92.585050848768006</v>
      </c>
      <c r="AK468">
        <v>0.70889755904747398</v>
      </c>
      <c r="AL468">
        <v>71.268299763377001</v>
      </c>
      <c r="AM468">
        <v>93.204414226900397</v>
      </c>
      <c r="AN468">
        <v>0.99999997560088405</v>
      </c>
    </row>
    <row r="469" spans="1:40" x14ac:dyDescent="0.25">
      <c r="A469" t="str">
        <f>"20190304164832385"</f>
        <v>20190304164832385</v>
      </c>
      <c r="B469" t="str">
        <f>"1551689312376985"</f>
        <v>1551689312376985</v>
      </c>
      <c r="C469" t="s">
        <v>40</v>
      </c>
      <c r="D469">
        <v>4.8190379999999999</v>
      </c>
      <c r="E469">
        <v>0.52488769999999996</v>
      </c>
      <c r="F469" t="s">
        <v>41</v>
      </c>
      <c r="G469">
        <v>-377.21210000000002</v>
      </c>
      <c r="H469">
        <v>0.99702599999999997</v>
      </c>
      <c r="I469">
        <v>368.03230000000002</v>
      </c>
      <c r="J469">
        <v>-378.06470000000002</v>
      </c>
      <c r="K469">
        <v>1.1102909999999999</v>
      </c>
      <c r="L469">
        <v>367.98869999999999</v>
      </c>
      <c r="M469">
        <v>0.99989430000000001</v>
      </c>
      <c r="N469">
        <v>-1.256932E-2</v>
      </c>
      <c r="O469">
        <v>7.325308E-3</v>
      </c>
      <c r="P469">
        <v>0.9491425</v>
      </c>
      <c r="Q469">
        <v>0.30907829999999997</v>
      </c>
      <c r="R469">
        <v>5.999496E-2</v>
      </c>
      <c r="S469">
        <v>3.2712400000000001</v>
      </c>
      <c r="T469">
        <v>-0.36744120000000002</v>
      </c>
      <c r="U469">
        <v>0.1450806</v>
      </c>
      <c r="V469">
        <v>-5.3027419999999999E-2</v>
      </c>
      <c r="W469">
        <v>0.32099119999999998</v>
      </c>
      <c r="X469">
        <v>0.94559649999999995</v>
      </c>
      <c r="Y469">
        <v>-3.676637E-2</v>
      </c>
      <c r="Z469">
        <v>1.5613879999999999E-3</v>
      </c>
      <c r="AA469">
        <v>0.99932270000000001</v>
      </c>
      <c r="AB469">
        <v>34</v>
      </c>
      <c r="AC469">
        <v>0.85259999999999503</v>
      </c>
      <c r="AD469">
        <v>-0.11326499999999901</v>
      </c>
      <c r="AE469">
        <v>4.3600000000026201E-2</v>
      </c>
      <c r="AF469">
        <v>-3.6706662343437599E-2</v>
      </c>
      <c r="AG469">
        <v>-0.11326499999999901</v>
      </c>
      <c r="AH469">
        <v>0.83814337480365397</v>
      </c>
      <c r="AI469">
        <v>97.688929686079405</v>
      </c>
      <c r="AJ469">
        <v>92.507678066986301</v>
      </c>
      <c r="AK469">
        <v>0.84655812323351598</v>
      </c>
      <c r="AL469">
        <v>71.277120939164405</v>
      </c>
      <c r="AM469">
        <v>93.209686683970006</v>
      </c>
      <c r="AN469">
        <v>0.99999999928077299</v>
      </c>
    </row>
    <row r="470" spans="1:40" x14ac:dyDescent="0.25">
      <c r="A470" t="str">
        <f>"20190304164832396"</f>
        <v>20190304164832396</v>
      </c>
      <c r="B470" t="str">
        <f>"1551689312386746"</f>
        <v>1551689312386746</v>
      </c>
      <c r="C470" t="s">
        <v>40</v>
      </c>
      <c r="D470">
        <v>4.803655</v>
      </c>
      <c r="E470">
        <v>0.5248988</v>
      </c>
      <c r="F470" t="s">
        <v>41</v>
      </c>
      <c r="G470">
        <v>-377.20420000000001</v>
      </c>
      <c r="H470">
        <v>1.013706</v>
      </c>
      <c r="I470">
        <v>368.02659999999997</v>
      </c>
      <c r="J470">
        <v>-377.91219999999998</v>
      </c>
      <c r="K470">
        <v>1.1102730000000001</v>
      </c>
      <c r="L470">
        <v>367.9898</v>
      </c>
      <c r="M470">
        <v>0.99989570000000005</v>
      </c>
      <c r="N470">
        <v>-1.244746E-2</v>
      </c>
      <c r="O470">
        <v>7.3255430000000003E-3</v>
      </c>
      <c r="P470">
        <v>0.94915130000000003</v>
      </c>
      <c r="Q470">
        <v>0.30905110000000002</v>
      </c>
      <c r="R470">
        <v>5.9993320000000003E-2</v>
      </c>
      <c r="S470">
        <v>3.2712400000000001</v>
      </c>
      <c r="T470">
        <v>-0.36727919999999997</v>
      </c>
      <c r="U470">
        <v>0.14431759999999999</v>
      </c>
      <c r="V470">
        <v>-5.3025620000000002E-2</v>
      </c>
      <c r="W470">
        <v>0.32084889999999999</v>
      </c>
      <c r="X470">
        <v>0.94564490000000001</v>
      </c>
      <c r="Y470">
        <v>-3.6535659999999998E-2</v>
      </c>
      <c r="Z470">
        <v>1.5433409999999999E-3</v>
      </c>
      <c r="AA470">
        <v>0.99933119999999998</v>
      </c>
      <c r="AB470">
        <v>34</v>
      </c>
      <c r="AC470">
        <v>0.70799999999996899</v>
      </c>
      <c r="AD470">
        <v>-9.6567E-2</v>
      </c>
      <c r="AE470">
        <v>3.6799999999971002E-2</v>
      </c>
      <c r="AF470">
        <v>-3.1036302897936501E-2</v>
      </c>
      <c r="AG470">
        <v>-9.6567E-2</v>
      </c>
      <c r="AH470">
        <v>0.69534962792726096</v>
      </c>
      <c r="AI470">
        <v>97.898643357377296</v>
      </c>
      <c r="AJ470">
        <v>92.555649170335002</v>
      </c>
      <c r="AK470">
        <v>0.70270871820773095</v>
      </c>
      <c r="AL470">
        <v>71.285729575587794</v>
      </c>
      <c r="AM470">
        <v>93.209414030683305</v>
      </c>
      <c r="AN470">
        <v>1.0000000049518001</v>
      </c>
    </row>
    <row r="471" spans="1:40" x14ac:dyDescent="0.25">
      <c r="A471" t="str">
        <f>"20190304164832406"</f>
        <v>20190304164832406</v>
      </c>
      <c r="B471" t="str">
        <f>"1551689312397014"</f>
        <v>1551689312397014</v>
      </c>
      <c r="C471" t="s">
        <v>40</v>
      </c>
      <c r="D471">
        <v>4.7948829999999996</v>
      </c>
      <c r="E471">
        <v>0.52493690000000004</v>
      </c>
      <c r="F471" t="s">
        <v>41</v>
      </c>
      <c r="G471">
        <v>-376.91039999999998</v>
      </c>
      <c r="H471">
        <v>0.99783980000000005</v>
      </c>
      <c r="I471">
        <v>368.03359999999998</v>
      </c>
      <c r="J471">
        <v>-377.74489999999997</v>
      </c>
      <c r="K471">
        <v>1.110255</v>
      </c>
      <c r="L471">
        <v>367.99099999999999</v>
      </c>
      <c r="M471">
        <v>0.99989740000000005</v>
      </c>
      <c r="N471">
        <v>-1.231522E-2</v>
      </c>
      <c r="O471">
        <v>7.325715E-3</v>
      </c>
      <c r="P471">
        <v>0.94911230000000002</v>
      </c>
      <c r="Q471">
        <v>0.30916880000000002</v>
      </c>
      <c r="R471">
        <v>6.0005919999999997E-2</v>
      </c>
      <c r="S471">
        <v>3.27121</v>
      </c>
      <c r="T471">
        <v>-0.36736170000000001</v>
      </c>
      <c r="U471">
        <v>0.14434810000000001</v>
      </c>
      <c r="V471">
        <v>-5.3038399999999999E-2</v>
      </c>
      <c r="W471">
        <v>0.3208413</v>
      </c>
      <c r="X471">
        <v>0.94564680000000001</v>
      </c>
      <c r="Y471">
        <v>-3.6545429999999997E-2</v>
      </c>
      <c r="Z471">
        <v>1.540823E-3</v>
      </c>
      <c r="AA471">
        <v>0.99933079999999996</v>
      </c>
      <c r="AB471">
        <v>34</v>
      </c>
      <c r="AC471">
        <v>0.83449999999999103</v>
      </c>
      <c r="AD471">
        <v>-0.11241519999999899</v>
      </c>
      <c r="AE471">
        <v>4.2599999999992998E-2</v>
      </c>
      <c r="AF471">
        <v>-3.58364615122529E-2</v>
      </c>
      <c r="AG471">
        <v>-0.11241519999999899</v>
      </c>
      <c r="AH471">
        <v>0.819949017650898</v>
      </c>
      <c r="AI471">
        <v>97.799241553903897</v>
      </c>
      <c r="AJ471">
        <v>92.502560605486593</v>
      </c>
      <c r="AK471">
        <v>0.82839472518324897</v>
      </c>
      <c r="AL471">
        <v>71.286190029709005</v>
      </c>
      <c r="AM471">
        <v>93.210179495400496</v>
      </c>
      <c r="AN471">
        <v>1.0000000410052401</v>
      </c>
    </row>
    <row r="472" spans="1:40" x14ac:dyDescent="0.25">
      <c r="A472" t="str">
        <f>"20190304164832418"</f>
        <v>20190304164832418</v>
      </c>
      <c r="B472" t="str">
        <f>"1551689312406772"</f>
        <v>1551689312406772</v>
      </c>
      <c r="C472" t="s">
        <v>40</v>
      </c>
      <c r="D472">
        <v>4.7625320000000002</v>
      </c>
      <c r="E472">
        <v>0.5249665</v>
      </c>
      <c r="F472" t="s">
        <v>41</v>
      </c>
      <c r="G472">
        <v>-376.90179999999998</v>
      </c>
      <c r="H472">
        <v>1.015733</v>
      </c>
      <c r="I472">
        <v>368.02769999999998</v>
      </c>
      <c r="J472">
        <v>-377.5788</v>
      </c>
      <c r="K472">
        <v>1.1102459999999901</v>
      </c>
      <c r="L472">
        <v>367.99220000000003</v>
      </c>
      <c r="M472">
        <v>0.99989899999999998</v>
      </c>
      <c r="N472">
        <v>-1.2184220000000001E-2</v>
      </c>
      <c r="O472">
        <v>7.3256930000000003E-3</v>
      </c>
      <c r="P472">
        <v>0.94914030000000005</v>
      </c>
      <c r="Q472">
        <v>0.30907980000000002</v>
      </c>
      <c r="R472">
        <v>6.0022359999999997E-2</v>
      </c>
      <c r="S472">
        <v>3.2713320000000001</v>
      </c>
      <c r="T472">
        <v>-0.367087</v>
      </c>
      <c r="U472">
        <v>0.14416499999999999</v>
      </c>
      <c r="V472">
        <v>-5.3054610000000002E-2</v>
      </c>
      <c r="W472">
        <v>0.32062859999999999</v>
      </c>
      <c r="X472">
        <v>0.94571799999999995</v>
      </c>
      <c r="Y472">
        <v>-3.6489069999999998E-2</v>
      </c>
      <c r="Z472">
        <v>1.5330140000000001E-3</v>
      </c>
      <c r="AA472">
        <v>0.99933289999999997</v>
      </c>
      <c r="AB472">
        <v>34</v>
      </c>
      <c r="AC472">
        <v>0.67700000000002003</v>
      </c>
      <c r="AD472">
        <v>-9.4512999999999806E-2</v>
      </c>
      <c r="AE472">
        <v>3.5499999999956303E-2</v>
      </c>
      <c r="AF472">
        <v>-2.9956933798381099E-2</v>
      </c>
      <c r="AG472">
        <v>-9.4512999999999806E-2</v>
      </c>
      <c r="AH472">
        <v>0.66432980975886702</v>
      </c>
      <c r="AI472">
        <v>98.088919081994405</v>
      </c>
      <c r="AJ472">
        <v>92.581916202170703</v>
      </c>
      <c r="AK472">
        <v>0.67168759195466199</v>
      </c>
      <c r="AL472">
        <v>71.299056054962094</v>
      </c>
      <c r="AM472">
        <v>93.210917310314997</v>
      </c>
      <c r="AN472">
        <v>1.0000000131521001</v>
      </c>
    </row>
    <row r="473" spans="1:40" x14ac:dyDescent="0.25">
      <c r="A473" t="str">
        <f>"20190304164832429"</f>
        <v>20190304164832429</v>
      </c>
      <c r="B473" t="str">
        <f>"1551689312417508"</f>
        <v>1551689312417508</v>
      </c>
      <c r="C473" t="s">
        <v>40</v>
      </c>
      <c r="D473">
        <v>4.7510209999999997</v>
      </c>
      <c r="E473">
        <v>0.52499510000000005</v>
      </c>
      <c r="F473" t="s">
        <v>41</v>
      </c>
      <c r="G473">
        <v>-376.6071</v>
      </c>
      <c r="H473">
        <v>1.00129</v>
      </c>
      <c r="I473">
        <v>368.03489999999999</v>
      </c>
      <c r="J473">
        <v>-377.40260000000001</v>
      </c>
      <c r="K473">
        <v>1.110228</v>
      </c>
      <c r="L473">
        <v>367.99349999999998</v>
      </c>
      <c r="M473">
        <v>0.99990060000000003</v>
      </c>
      <c r="N473">
        <v>-1.2046340000000001E-2</v>
      </c>
      <c r="O473">
        <v>7.326E-3</v>
      </c>
      <c r="P473">
        <v>0.94910859999999997</v>
      </c>
      <c r="Q473">
        <v>0.30915350000000003</v>
      </c>
      <c r="R473">
        <v>6.0143790000000003E-2</v>
      </c>
      <c r="S473">
        <v>3.271118</v>
      </c>
      <c r="T473">
        <v>-0.36682029999999999</v>
      </c>
      <c r="U473">
        <v>0.14370729999999901</v>
      </c>
      <c r="V473">
        <v>-5.3176090000000002E-2</v>
      </c>
      <c r="W473">
        <v>0.3205712</v>
      </c>
      <c r="X473">
        <v>0.94573059999999998</v>
      </c>
      <c r="Y473">
        <v>-3.6353650000000001E-2</v>
      </c>
      <c r="Z473">
        <v>1.520265E-3</v>
      </c>
      <c r="AA473">
        <v>0.9993379</v>
      </c>
      <c r="AB473">
        <v>34</v>
      </c>
      <c r="AC473">
        <v>0.79550000000000398</v>
      </c>
      <c r="AD473">
        <v>-0.10893799999999899</v>
      </c>
      <c r="AE473">
        <v>4.1400000000009998E-2</v>
      </c>
      <c r="AF473">
        <v>-3.4917580731188197E-2</v>
      </c>
      <c r="AG473">
        <v>-0.10893799999999899</v>
      </c>
      <c r="AH473">
        <v>0.78117196144974799</v>
      </c>
      <c r="AI473">
        <v>97.931139685860302</v>
      </c>
      <c r="AJ473">
        <v>92.559358607705704</v>
      </c>
      <c r="AK473">
        <v>0.78950386866903099</v>
      </c>
      <c r="AL473">
        <v>71.302527449397701</v>
      </c>
      <c r="AM473">
        <v>93.218211176513705</v>
      </c>
      <c r="AN473">
        <v>0.999999979296743</v>
      </c>
    </row>
    <row r="474" spans="1:40" x14ac:dyDescent="0.25">
      <c r="A474" t="str">
        <f>"20190304164832441"</f>
        <v>20190304164832441</v>
      </c>
      <c r="B474" t="str">
        <f>"1551689312427268"</f>
        <v>1551689312427268</v>
      </c>
      <c r="C474" t="s">
        <v>40</v>
      </c>
      <c r="D474">
        <v>5.1477490000000001</v>
      </c>
      <c r="E474">
        <v>0.52499510000000005</v>
      </c>
      <c r="F474" t="s">
        <v>41</v>
      </c>
      <c r="G474">
        <v>-376.59690000000001</v>
      </c>
      <c r="H474">
        <v>1.0201610000000001</v>
      </c>
      <c r="I474">
        <v>368.029</v>
      </c>
      <c r="J474">
        <v>-377.23489999999998</v>
      </c>
      <c r="K474">
        <v>1.1102110000000001</v>
      </c>
      <c r="L474">
        <v>367.9948</v>
      </c>
      <c r="M474">
        <v>0.99990219999999996</v>
      </c>
      <c r="N474">
        <v>-1.191565E-2</v>
      </c>
      <c r="O474">
        <v>7.3261369999999999E-3</v>
      </c>
      <c r="P474">
        <v>0.94901780000000002</v>
      </c>
      <c r="Q474">
        <v>0.30943609999999999</v>
      </c>
      <c r="R474">
        <v>6.012029E-2</v>
      </c>
      <c r="S474">
        <v>3.2708439999999999</v>
      </c>
      <c r="T474">
        <v>-0.36564659999999999</v>
      </c>
      <c r="U474">
        <v>0.14395139999999901</v>
      </c>
      <c r="V474">
        <v>-5.31528E-2</v>
      </c>
      <c r="W474">
        <v>0.32072919999999999</v>
      </c>
      <c r="X474">
        <v>0.94567840000000003</v>
      </c>
      <c r="Y474">
        <v>-3.6432689999999997E-2</v>
      </c>
      <c r="Z474">
        <v>1.518026E-3</v>
      </c>
      <c r="AA474">
        <v>0.99933490000000003</v>
      </c>
      <c r="AB474">
        <v>34</v>
      </c>
      <c r="AC474">
        <v>0.63799999999997603</v>
      </c>
      <c r="AD474">
        <v>-9.0049999999999894E-2</v>
      </c>
      <c r="AE474">
        <v>3.4199999999998398E-2</v>
      </c>
      <c r="AF474">
        <v>-2.8949602547661199E-2</v>
      </c>
      <c r="AG474">
        <v>-9.0049999999999894E-2</v>
      </c>
      <c r="AH474">
        <v>0.62580213564363096</v>
      </c>
      <c r="AI474">
        <v>98.179758448617207</v>
      </c>
      <c r="AJ474">
        <v>92.648614115151005</v>
      </c>
      <c r="AK474">
        <v>0.63291025822291502</v>
      </c>
      <c r="AL474">
        <v>71.292971203868902</v>
      </c>
      <c r="AM474">
        <v>93.216981818759805</v>
      </c>
      <c r="AN474">
        <v>1.0000000380535099</v>
      </c>
    </row>
    <row r="475" spans="1:40" x14ac:dyDescent="0.25">
      <c r="A475" t="str">
        <f>"20190304164832452"</f>
        <v>20190304164832452</v>
      </c>
      <c r="B475" t="str">
        <f>"1551689312446788"</f>
        <v>1551689312446788</v>
      </c>
      <c r="C475" t="s">
        <v>40</v>
      </c>
      <c r="D475">
        <v>4.9120140000000001</v>
      </c>
      <c r="E475">
        <v>0.52379379999999998</v>
      </c>
      <c r="F475" t="s">
        <v>41</v>
      </c>
      <c r="G475">
        <v>-376.30270000000002</v>
      </c>
      <c r="H475">
        <v>1.006337</v>
      </c>
      <c r="I475">
        <v>368.03530000000001</v>
      </c>
      <c r="J475">
        <v>-377.05340000000001</v>
      </c>
      <c r="K475">
        <v>1.1101970000000001</v>
      </c>
      <c r="L475">
        <v>367.99610000000001</v>
      </c>
      <c r="M475">
        <v>0.99990389999999996</v>
      </c>
      <c r="N475">
        <v>-1.1774639999999999E-2</v>
      </c>
      <c r="O475">
        <v>7.3265040000000002E-3</v>
      </c>
      <c r="P475">
        <v>0.94896570000000002</v>
      </c>
      <c r="Q475">
        <v>0.30959219999999998</v>
      </c>
      <c r="R475">
        <v>6.014067E-2</v>
      </c>
      <c r="S475">
        <v>3.2709959999999998</v>
      </c>
      <c r="T475">
        <v>-0.36469109999999899</v>
      </c>
      <c r="U475">
        <v>0.14327999999999999</v>
      </c>
      <c r="V475">
        <v>-5.3173570000000003E-2</v>
      </c>
      <c r="W475">
        <v>0.32075140000000002</v>
      </c>
      <c r="X475">
        <v>0.94566969999999995</v>
      </c>
      <c r="Y475">
        <v>-3.6228410000000003E-2</v>
      </c>
      <c r="Z475">
        <v>1.4986209999999999E-3</v>
      </c>
      <c r="AA475">
        <v>0.99934239999999996</v>
      </c>
      <c r="AB475">
        <v>34</v>
      </c>
      <c r="AC475">
        <v>0.75069999999999404</v>
      </c>
      <c r="AD475">
        <v>-0.10385999999999899</v>
      </c>
      <c r="AE475">
        <v>3.9199999999993899E-2</v>
      </c>
      <c r="AF475">
        <v>-3.3067340634117003E-2</v>
      </c>
      <c r="AG475">
        <v>-0.10385999999999899</v>
      </c>
      <c r="AH475">
        <v>0.73690043880997802</v>
      </c>
      <c r="AI475">
        <v>98.014561535643395</v>
      </c>
      <c r="AJ475">
        <v>92.569341530676894</v>
      </c>
      <c r="AK475">
        <v>0.74491785140037403</v>
      </c>
      <c r="AL475">
        <v>71.291628234582703</v>
      </c>
      <c r="AM475">
        <v>93.218265790485901</v>
      </c>
      <c r="AN475">
        <v>1.0000000353232901</v>
      </c>
    </row>
    <row r="476" spans="1:40" x14ac:dyDescent="0.25">
      <c r="A476" t="str">
        <f>"20190304164832466"</f>
        <v>20190304164832466</v>
      </c>
      <c r="B476" t="str">
        <f>"1551689312456550"</f>
        <v>1551689312456550</v>
      </c>
      <c r="C476" t="s">
        <v>40</v>
      </c>
      <c r="D476">
        <v>4.6827360000000002</v>
      </c>
      <c r="E476">
        <v>0.52398529999999999</v>
      </c>
      <c r="F476" t="s">
        <v>42</v>
      </c>
      <c r="G476">
        <v>-364.53530000000001</v>
      </c>
      <c r="H476" s="1">
        <v>-2.51607E-6</v>
      </c>
      <c r="I476">
        <v>368.54840000000002</v>
      </c>
      <c r="J476">
        <v>-376.86239999999998</v>
      </c>
      <c r="K476">
        <v>1.1101780000000001</v>
      </c>
      <c r="L476">
        <v>367.9975</v>
      </c>
      <c r="M476">
        <v>0.99990559999999995</v>
      </c>
      <c r="N476">
        <v>-1.1627200000000001E-2</v>
      </c>
      <c r="O476">
        <v>7.3266609999999999E-3</v>
      </c>
      <c r="P476">
        <v>0.94898570000000004</v>
      </c>
      <c r="Q476">
        <v>0.30953629999999999</v>
      </c>
      <c r="R476">
        <v>6.0113380000000001E-2</v>
      </c>
      <c r="S476">
        <v>3.2461850000000001</v>
      </c>
      <c r="T476">
        <v>-0.28789320000000002</v>
      </c>
      <c r="U476">
        <v>0.1432495</v>
      </c>
      <c r="V476">
        <v>-5.3146159999999998E-2</v>
      </c>
      <c r="W476">
        <v>0.32055630000000002</v>
      </c>
      <c r="X476">
        <v>0.94573739999999995</v>
      </c>
      <c r="Y476">
        <v>-3.6623740000000002E-2</v>
      </c>
      <c r="Z476">
        <v>1.2704000000000001E-3</v>
      </c>
      <c r="AA476">
        <v>0.99932829999999995</v>
      </c>
      <c r="AB476">
        <v>34</v>
      </c>
      <c r="AC476">
        <v>12.3270999999999</v>
      </c>
      <c r="AD476">
        <v>-1.11018051607</v>
      </c>
      <c r="AE476">
        <v>0.55090000000001205</v>
      </c>
      <c r="AF476">
        <v>-0.45686446231357097</v>
      </c>
      <c r="AG476">
        <v>-1.11018051607</v>
      </c>
      <c r="AH476">
        <v>12.2317933588215</v>
      </c>
      <c r="AI476">
        <v>95.182469177018206</v>
      </c>
      <c r="AJ476">
        <v>92.139035733722906</v>
      </c>
      <c r="AK476">
        <v>12.2905652713004</v>
      </c>
      <c r="AL476">
        <v>71.303429950137598</v>
      </c>
      <c r="AM476">
        <v>93.216380542431494</v>
      </c>
      <c r="AN476">
        <v>1.00000004277559</v>
      </c>
    </row>
    <row r="477" spans="1:40" x14ac:dyDescent="0.25">
      <c r="A477" t="str">
        <f>"20190304164832478"</f>
        <v>20190304164832478</v>
      </c>
      <c r="B477" t="str">
        <f>"1551689312467285"</f>
        <v>1551689312467285</v>
      </c>
      <c r="C477" t="s">
        <v>40</v>
      </c>
      <c r="D477">
        <v>5.1056879999999998</v>
      </c>
      <c r="E477">
        <v>0.52410730000000005</v>
      </c>
      <c r="F477" t="s">
        <v>42</v>
      </c>
      <c r="G477">
        <v>-364.29079999999999</v>
      </c>
      <c r="H477" s="1">
        <v>-2.6219970000000002E-6</v>
      </c>
      <c r="I477">
        <v>368.54259999999999</v>
      </c>
      <c r="J477">
        <v>-376.6671</v>
      </c>
      <c r="K477">
        <v>1.11016</v>
      </c>
      <c r="L477">
        <v>367.99889999999999</v>
      </c>
      <c r="M477">
        <v>0.9999074</v>
      </c>
      <c r="N477">
        <v>-1.147783E-2</v>
      </c>
      <c r="O477">
        <v>7.3270560000000002E-3</v>
      </c>
      <c r="P477">
        <v>0.94898780000000005</v>
      </c>
      <c r="Q477">
        <v>0.30955660000000002</v>
      </c>
      <c r="R477">
        <v>5.9976250000000002E-2</v>
      </c>
      <c r="S477">
        <v>3.245819</v>
      </c>
      <c r="T477">
        <v>-0.28663280000000002</v>
      </c>
      <c r="U477">
        <v>0.14074710000000001</v>
      </c>
      <c r="V477">
        <v>-5.3008199999999998E-2</v>
      </c>
      <c r="W477">
        <v>0.32043559999999999</v>
      </c>
      <c r="X477">
        <v>0.94578600000000002</v>
      </c>
      <c r="Y477">
        <v>-3.586408E-2</v>
      </c>
      <c r="Z477">
        <v>1.224583E-3</v>
      </c>
      <c r="AA477">
        <v>0.99935589999999996</v>
      </c>
      <c r="AB477">
        <v>34</v>
      </c>
      <c r="AC477">
        <v>12.376300000000001</v>
      </c>
      <c r="AD477">
        <v>-1.110162621997</v>
      </c>
      <c r="AE477">
        <v>0.54370000000000096</v>
      </c>
      <c r="AF477">
        <v>-0.44938868468926102</v>
      </c>
      <c r="AG477">
        <v>-1.110162621997</v>
      </c>
      <c r="AH477">
        <v>12.281323908637299</v>
      </c>
      <c r="AI477">
        <v>95.161742601154799</v>
      </c>
      <c r="AJ477">
        <v>92.095587812021705</v>
      </c>
      <c r="AK477">
        <v>12.339583793065</v>
      </c>
      <c r="AL477">
        <v>71.310729842681994</v>
      </c>
      <c r="AM477">
        <v>93.207884225950707</v>
      </c>
      <c r="AN477">
        <v>1.0000000004053</v>
      </c>
    </row>
    <row r="478" spans="1:40" x14ac:dyDescent="0.25">
      <c r="A478" t="str">
        <f>"20190304164832492"</f>
        <v>20190304164832492</v>
      </c>
      <c r="B478" t="str">
        <f>"1551689312486805"</f>
        <v>1551689312486805</v>
      </c>
      <c r="C478" t="s">
        <v>40</v>
      </c>
      <c r="D478">
        <v>4.6153570000000004</v>
      </c>
      <c r="E478">
        <v>0.524424</v>
      </c>
      <c r="F478" t="s">
        <v>41</v>
      </c>
      <c r="G478">
        <v>-375.68509999999998</v>
      </c>
      <c r="H478">
        <v>1.0244249999999999</v>
      </c>
      <c r="I478">
        <v>368.0403</v>
      </c>
      <c r="J478">
        <v>-376.46249999999998</v>
      </c>
      <c r="K478">
        <v>1.1101430000000001</v>
      </c>
      <c r="L478">
        <v>368.00040000000001</v>
      </c>
      <c r="M478">
        <v>0.9999091</v>
      </c>
      <c r="N478">
        <v>-1.132447E-2</v>
      </c>
      <c r="O478">
        <v>7.327404E-3</v>
      </c>
      <c r="P478">
        <v>0.94901590000000002</v>
      </c>
      <c r="Q478">
        <v>0.3094401</v>
      </c>
      <c r="R478">
        <v>6.0131259999999999E-2</v>
      </c>
      <c r="S478">
        <v>3.2450260000000002</v>
      </c>
      <c r="T478">
        <v>-0.28370400000000001</v>
      </c>
      <c r="U478">
        <v>0.13833619999999999</v>
      </c>
      <c r="V478">
        <v>-5.3162880000000003E-2</v>
      </c>
      <c r="W478">
        <v>0.32017410000000002</v>
      </c>
      <c r="X478">
        <v>0.94586590000000004</v>
      </c>
      <c r="Y478">
        <v>-3.5139110000000001E-2</v>
      </c>
      <c r="Z478">
        <v>1.175665E-3</v>
      </c>
      <c r="AA478">
        <v>0.99938170000000004</v>
      </c>
      <c r="AB478">
        <v>34</v>
      </c>
      <c r="AC478">
        <v>0.77739999999999998</v>
      </c>
      <c r="AD478">
        <v>-8.57180000000001E-2</v>
      </c>
      <c r="AE478">
        <v>3.9899999999988701E-2</v>
      </c>
      <c r="AF478">
        <v>-3.37924772048648E-2</v>
      </c>
      <c r="AG478">
        <v>-8.57180000000001E-2</v>
      </c>
      <c r="AH478">
        <v>0.76835455195438096</v>
      </c>
      <c r="AI478">
        <v>96.359526145632202</v>
      </c>
      <c r="AJ478">
        <v>92.518263749376203</v>
      </c>
      <c r="AK478">
        <v>0.77385930539643899</v>
      </c>
      <c r="AL478">
        <v>71.326546415546701</v>
      </c>
      <c r="AM478">
        <v>93.216954125062003</v>
      </c>
      <c r="AN478">
        <v>1.0000000234517501</v>
      </c>
    </row>
    <row r="479" spans="1:40" x14ac:dyDescent="0.25">
      <c r="A479" t="str">
        <f>"20190304164832507"</f>
        <v>20190304164832507</v>
      </c>
      <c r="B479" t="str">
        <f>"1551689312496567"</f>
        <v>1551689312496567</v>
      </c>
      <c r="C479" t="s">
        <v>40</v>
      </c>
      <c r="D479">
        <v>4.6104450000000003</v>
      </c>
      <c r="E479">
        <v>0.52462710000000001</v>
      </c>
      <c r="F479" t="s">
        <v>42</v>
      </c>
      <c r="G479">
        <v>-363.82089999999999</v>
      </c>
      <c r="H479" s="1">
        <v>-2.8256359999999998E-6</v>
      </c>
      <c r="I479">
        <v>368.53109999999998</v>
      </c>
      <c r="J479">
        <v>-376.22629999999998</v>
      </c>
      <c r="K479">
        <v>1.1101270000000001</v>
      </c>
      <c r="L479">
        <v>368.00220000000002</v>
      </c>
      <c r="M479">
        <v>0.99991099999999999</v>
      </c>
      <c r="N479">
        <v>-1.115347E-2</v>
      </c>
      <c r="O479">
        <v>7.3278989999999997E-3</v>
      </c>
      <c r="P479">
        <v>0.94920179999999998</v>
      </c>
      <c r="Q479">
        <v>0.30886750000000002</v>
      </c>
      <c r="R479">
        <v>6.0140770000000003E-2</v>
      </c>
      <c r="S479">
        <v>3.2454529999999999</v>
      </c>
      <c r="T479">
        <v>-0.28500320000000001</v>
      </c>
      <c r="U479">
        <v>0.13626099999999999</v>
      </c>
      <c r="V479">
        <v>-5.3170889999999998E-2</v>
      </c>
      <c r="W479">
        <v>0.31944220000000001</v>
      </c>
      <c r="X479">
        <v>0.94611290000000003</v>
      </c>
      <c r="Y479">
        <v>-3.4497229999999997E-2</v>
      </c>
      <c r="Z479">
        <v>1.143628E-3</v>
      </c>
      <c r="AA479">
        <v>0.99940410000000002</v>
      </c>
      <c r="AB479">
        <v>34</v>
      </c>
      <c r="AC479">
        <v>12.405399999999901</v>
      </c>
      <c r="AD479">
        <v>-1.1101298256359999</v>
      </c>
      <c r="AE479">
        <v>0.52889999999996395</v>
      </c>
      <c r="AF479">
        <v>-0.43450143954739301</v>
      </c>
      <c r="AG479">
        <v>-1.1101298256359999</v>
      </c>
      <c r="AH479">
        <v>12.310538487596199</v>
      </c>
      <c r="AI479">
        <v>95.149646018657194</v>
      </c>
      <c r="AJ479">
        <v>92.021420004866897</v>
      </c>
      <c r="AK479">
        <v>12.368125871987299</v>
      </c>
      <c r="AL479">
        <v>71.370805926971101</v>
      </c>
      <c r="AM479">
        <v>93.216599595515504</v>
      </c>
      <c r="AN479">
        <v>1.00000004111532</v>
      </c>
    </row>
    <row r="480" spans="1:40" x14ac:dyDescent="0.25">
      <c r="A480" t="str">
        <f>"20190304164832519"</f>
        <v>20190304164832519</v>
      </c>
      <c r="B480" t="str">
        <f>"1551689312507301"</f>
        <v>1551689312507301</v>
      </c>
      <c r="C480" t="s">
        <v>40</v>
      </c>
      <c r="D480">
        <v>4.5774549999999996</v>
      </c>
      <c r="E480">
        <v>0.52498840000000002</v>
      </c>
      <c r="F480" t="s">
        <v>42</v>
      </c>
      <c r="G480">
        <v>-363.70729999999998</v>
      </c>
      <c r="H480" s="1">
        <v>-2.876527E-6</v>
      </c>
      <c r="I480">
        <v>368.51900000000001</v>
      </c>
      <c r="J480">
        <v>-376.0591</v>
      </c>
      <c r="K480">
        <v>1.1101190000000001</v>
      </c>
      <c r="L480">
        <v>368.0034</v>
      </c>
      <c r="M480">
        <v>0.99991240000000003</v>
      </c>
      <c r="N480">
        <v>-1.103524E-2</v>
      </c>
      <c r="O480">
        <v>7.3279069999999998E-3</v>
      </c>
      <c r="P480">
        <v>0.94920899999999997</v>
      </c>
      <c r="Q480">
        <v>0.30876439999999999</v>
      </c>
      <c r="R480">
        <v>6.055659E-2</v>
      </c>
      <c r="S480">
        <v>3.2456670000000001</v>
      </c>
      <c r="T480">
        <v>-0.28780699999999998</v>
      </c>
      <c r="U480">
        <v>0.1340027</v>
      </c>
      <c r="V480">
        <v>-5.3586420000000003E-2</v>
      </c>
      <c r="W480">
        <v>0.31922709999999999</v>
      </c>
      <c r="X480">
        <v>0.94616199999999995</v>
      </c>
      <c r="Y480">
        <v>-3.3801320000000003E-2</v>
      </c>
      <c r="Z480">
        <v>1.114561E-3</v>
      </c>
      <c r="AA480">
        <v>0.99942799999999998</v>
      </c>
      <c r="AB480">
        <v>34</v>
      </c>
      <c r="AC480">
        <v>12.351800000000001</v>
      </c>
      <c r="AD480">
        <v>-1.110121876527</v>
      </c>
      <c r="AE480">
        <v>0.51560000000000605</v>
      </c>
      <c r="AF480">
        <v>-0.42166768780576103</v>
      </c>
      <c r="AG480">
        <v>-1.110121876527</v>
      </c>
      <c r="AH480">
        <v>12.256416940585</v>
      </c>
      <c r="AI480">
        <v>95.172385361946894</v>
      </c>
      <c r="AJ480">
        <v>91.970417106519605</v>
      </c>
      <c r="AK480">
        <v>12.3138105573028</v>
      </c>
      <c r="AL480">
        <v>71.383810152494306</v>
      </c>
      <c r="AM480">
        <v>93.241516022393</v>
      </c>
      <c r="AN480">
        <v>0.99999998801341305</v>
      </c>
    </row>
    <row r="481" spans="1:40" x14ac:dyDescent="0.25">
      <c r="A481" t="str">
        <f>"20190304164832529"</f>
        <v>20190304164832529</v>
      </c>
      <c r="B481" t="str">
        <f>"1551689312526821"</f>
        <v>1551689312526821</v>
      </c>
      <c r="C481" t="s">
        <v>40</v>
      </c>
      <c r="D481">
        <v>4.5660720000000001</v>
      </c>
      <c r="E481">
        <v>0.52545030000000004</v>
      </c>
      <c r="F481" t="s">
        <v>41</v>
      </c>
      <c r="G481">
        <v>-375.07979999999998</v>
      </c>
      <c r="H481">
        <v>1.0225649999999999</v>
      </c>
      <c r="I481">
        <v>368.04289999999997</v>
      </c>
      <c r="J481">
        <v>-375.88</v>
      </c>
      <c r="K481">
        <v>1.1101080000000001</v>
      </c>
      <c r="L481">
        <v>368.00470000000001</v>
      </c>
      <c r="M481">
        <v>0.99991370000000002</v>
      </c>
      <c r="N481">
        <v>-1.09131E-2</v>
      </c>
      <c r="O481">
        <v>7.3282269999999997E-3</v>
      </c>
      <c r="P481">
        <v>0.94914790000000004</v>
      </c>
      <c r="Q481">
        <v>0.30886390000000002</v>
      </c>
      <c r="R481">
        <v>6.1004269999999999E-2</v>
      </c>
      <c r="S481">
        <v>3.2466430000000002</v>
      </c>
      <c r="T481">
        <v>-0.2905508</v>
      </c>
      <c r="U481">
        <v>0.132019</v>
      </c>
      <c r="V481">
        <v>-5.4034289999999999E-2</v>
      </c>
      <c r="W481">
        <v>0.31921040000000001</v>
      </c>
      <c r="X481">
        <v>0.94614219999999905</v>
      </c>
      <c r="Y481">
        <v>-3.3179899999999998E-2</v>
      </c>
      <c r="Z481">
        <v>1.088232E-3</v>
      </c>
      <c r="AA481">
        <v>0.99944880000000003</v>
      </c>
      <c r="AB481">
        <v>34</v>
      </c>
      <c r="AC481">
        <v>0.80020000000001701</v>
      </c>
      <c r="AD481">
        <v>-8.7543000000000107E-2</v>
      </c>
      <c r="AE481">
        <v>3.8199999999960703E-2</v>
      </c>
      <c r="AF481">
        <v>-3.1953012886231598E-2</v>
      </c>
      <c r="AG481">
        <v>-8.7543000000000107E-2</v>
      </c>
      <c r="AH481">
        <v>0.79101262576261</v>
      </c>
      <c r="AI481">
        <v>96.3102370432686</v>
      </c>
      <c r="AJ481">
        <v>92.313209549641996</v>
      </c>
      <c r="AK481">
        <v>0.79648336203423997</v>
      </c>
      <c r="AL481">
        <v>71.384820497432102</v>
      </c>
      <c r="AM481">
        <v>93.268618047985996</v>
      </c>
      <c r="AN481">
        <v>1.0000000232924</v>
      </c>
    </row>
    <row r="482" spans="1:40" x14ac:dyDescent="0.25">
      <c r="A482" t="str">
        <f>"20190304164832542"</f>
        <v>20190304164832542</v>
      </c>
      <c r="B482" t="str">
        <f>"1551689312536581"</f>
        <v>1551689312536581</v>
      </c>
      <c r="C482" t="s">
        <v>40</v>
      </c>
      <c r="D482">
        <v>4.5478730000000001</v>
      </c>
      <c r="E482">
        <v>0.52572350000000001</v>
      </c>
      <c r="F482" t="s">
        <v>42</v>
      </c>
      <c r="G482">
        <v>-363.5598</v>
      </c>
      <c r="H482" s="1">
        <v>-2.9441010000000001E-6</v>
      </c>
      <c r="I482">
        <v>368.49470000000002</v>
      </c>
      <c r="J482">
        <v>-375.70119999999997</v>
      </c>
      <c r="K482">
        <v>1.1100989999999999</v>
      </c>
      <c r="L482">
        <v>368.00599999999997</v>
      </c>
      <c r="M482">
        <v>0.99991490000000005</v>
      </c>
      <c r="N482">
        <v>-1.07946E-2</v>
      </c>
      <c r="O482">
        <v>7.3283999999999901E-3</v>
      </c>
      <c r="P482">
        <v>0.94910130000000004</v>
      </c>
      <c r="Q482">
        <v>0.30886239999999998</v>
      </c>
      <c r="R482">
        <v>6.1730239999999999E-2</v>
      </c>
      <c r="S482">
        <v>3.2476500000000001</v>
      </c>
      <c r="T482">
        <v>-0.29262709999999997</v>
      </c>
      <c r="U482">
        <v>0.12918089999999999</v>
      </c>
      <c r="V482">
        <v>-5.4760610000000001E-2</v>
      </c>
      <c r="W482">
        <v>0.31909609999999999</v>
      </c>
      <c r="X482">
        <v>0.94613899999999995</v>
      </c>
      <c r="Y482">
        <v>-3.229779E-2</v>
      </c>
      <c r="Z482">
        <v>1.0466049999999999E-3</v>
      </c>
      <c r="AA482">
        <v>0.99947770000000002</v>
      </c>
      <c r="AB482">
        <v>34</v>
      </c>
      <c r="AC482">
        <v>12.1413999999999</v>
      </c>
      <c r="AD482">
        <v>-1.110101944101</v>
      </c>
      <c r="AE482">
        <v>0.48870000000005098</v>
      </c>
      <c r="AF482">
        <v>-0.396396281853861</v>
      </c>
      <c r="AG482">
        <v>-1.110101944101</v>
      </c>
      <c r="AH482">
        <v>12.044133619089999</v>
      </c>
      <c r="AI482">
        <v>95.263211959496502</v>
      </c>
      <c r="AJ482">
        <v>91.885037108878095</v>
      </c>
      <c r="AK482">
        <v>12.1016780230288</v>
      </c>
      <c r="AL482">
        <v>71.391730851298703</v>
      </c>
      <c r="AM482">
        <v>93.312468261221497</v>
      </c>
      <c r="AN482">
        <v>1.00000002638189</v>
      </c>
    </row>
    <row r="483" spans="1:40" x14ac:dyDescent="0.25">
      <c r="A483" t="str">
        <f>"20190304164832554"</f>
        <v>20190304164832554</v>
      </c>
      <c r="B483" t="str">
        <f>"1551689312547316"</f>
        <v>1551689312547316</v>
      </c>
      <c r="C483" t="s">
        <v>40</v>
      </c>
      <c r="D483">
        <v>4.5911239999999998</v>
      </c>
      <c r="E483">
        <v>0.52572350000000001</v>
      </c>
      <c r="F483" t="s">
        <v>41</v>
      </c>
      <c r="G483">
        <v>-374.77289999999999</v>
      </c>
      <c r="H483">
        <v>1.026246</v>
      </c>
      <c r="I483">
        <v>368.04270000000002</v>
      </c>
      <c r="J483">
        <v>-375.51490000000001</v>
      </c>
      <c r="K483">
        <v>1.1100890000000001</v>
      </c>
      <c r="L483">
        <v>368.00740000000002</v>
      </c>
      <c r="M483">
        <v>0.99991629999999998</v>
      </c>
      <c r="N483">
        <v>-1.0673820000000001E-2</v>
      </c>
      <c r="O483">
        <v>7.3285199999999998E-3</v>
      </c>
      <c r="P483">
        <v>0.94906179999999996</v>
      </c>
      <c r="Q483">
        <v>0.30890440000000002</v>
      </c>
      <c r="R483">
        <v>6.2129080000000003E-2</v>
      </c>
      <c r="S483">
        <v>3.2479550000000001</v>
      </c>
      <c r="T483">
        <v>-0.29349140000000001</v>
      </c>
      <c r="U483">
        <v>0.12902830000000001</v>
      </c>
      <c r="V483">
        <v>-5.5159489999999999E-2</v>
      </c>
      <c r="W483">
        <v>0.31902370000000002</v>
      </c>
      <c r="X483">
        <v>0.94614019999999999</v>
      </c>
      <c r="Y483">
        <v>-3.2246909999999997E-2</v>
      </c>
      <c r="Z483">
        <v>1.04345E-3</v>
      </c>
      <c r="AA483">
        <v>0.99947940000000002</v>
      </c>
      <c r="AB483">
        <v>34</v>
      </c>
      <c r="AC483">
        <v>0.74200000000001798</v>
      </c>
      <c r="AD483">
        <v>-8.3842999999999807E-2</v>
      </c>
      <c r="AE483">
        <v>3.53000000000065E-2</v>
      </c>
      <c r="AF483">
        <v>-2.9485359511950401E-2</v>
      </c>
      <c r="AG483">
        <v>-8.3842999999999807E-2</v>
      </c>
      <c r="AH483">
        <v>0.73290215714742701</v>
      </c>
      <c r="AI483">
        <v>96.5209580828122</v>
      </c>
      <c r="AJ483">
        <v>92.3038219820764</v>
      </c>
      <c r="AK483">
        <v>0.73827136408362803</v>
      </c>
      <c r="AL483">
        <v>71.396107018341894</v>
      </c>
      <c r="AM483">
        <v>93.336537967573406</v>
      </c>
      <c r="AN483">
        <v>0.999999984277395</v>
      </c>
    </row>
    <row r="484" spans="1:40" x14ac:dyDescent="0.25">
      <c r="A484" t="str">
        <f>"20190304164832565"</f>
        <v>20190304164832565</v>
      </c>
      <c r="B484" t="str">
        <f>"1551689312557077"</f>
        <v>1551689312557077</v>
      </c>
      <c r="C484" t="s">
        <v>40</v>
      </c>
      <c r="D484">
        <v>4.1802449999999904</v>
      </c>
      <c r="E484">
        <v>0.52572350000000001</v>
      </c>
      <c r="F484" t="s">
        <v>42</v>
      </c>
      <c r="G484">
        <v>-363.21899999999999</v>
      </c>
      <c r="H484" s="1">
        <v>-3.0899529999999998E-6</v>
      </c>
      <c r="I484">
        <v>368.4966</v>
      </c>
      <c r="J484">
        <v>-375.33659999999998</v>
      </c>
      <c r="K484">
        <v>1.110077</v>
      </c>
      <c r="L484">
        <v>368.00869999999998</v>
      </c>
      <c r="M484">
        <v>0.99991739999999996</v>
      </c>
      <c r="N484">
        <v>-1.056561E-2</v>
      </c>
      <c r="O484">
        <v>7.3288030000000001E-3</v>
      </c>
      <c r="P484">
        <v>0.9488702</v>
      </c>
      <c r="Q484">
        <v>0.30934440000000002</v>
      </c>
      <c r="R484">
        <v>6.2861920000000002E-2</v>
      </c>
      <c r="S484">
        <v>3.2480159999999998</v>
      </c>
      <c r="T484">
        <v>-0.2932343</v>
      </c>
      <c r="U484">
        <v>0.12924189999999999</v>
      </c>
      <c r="V484">
        <v>-5.5893150000000003E-2</v>
      </c>
      <c r="W484">
        <v>0.31935910000000001</v>
      </c>
      <c r="X484">
        <v>0.94598400000000005</v>
      </c>
      <c r="Y484">
        <v>-3.2311659999999999E-2</v>
      </c>
      <c r="Z484">
        <v>1.043436E-3</v>
      </c>
      <c r="AA484">
        <v>0.99947730000000001</v>
      </c>
      <c r="AB484">
        <v>34</v>
      </c>
      <c r="AC484">
        <v>12.1175999999999</v>
      </c>
      <c r="AD484">
        <v>-1.1100800899529999</v>
      </c>
      <c r="AE484">
        <v>0.48790000000002398</v>
      </c>
      <c r="AF484">
        <v>-0.39575853572014602</v>
      </c>
      <c r="AG484">
        <v>-1.1100800899529999</v>
      </c>
      <c r="AH484">
        <v>12.0201384192841</v>
      </c>
      <c r="AI484">
        <v>95.273554048488094</v>
      </c>
      <c r="AJ484">
        <v>91.885760776190807</v>
      </c>
      <c r="AK484">
        <v>12.077774225553901</v>
      </c>
      <c r="AL484">
        <v>71.375829664355095</v>
      </c>
      <c r="AM484">
        <v>93.381370945632199</v>
      </c>
      <c r="AN484">
        <v>1.00000000361286</v>
      </c>
    </row>
    <row r="485" spans="1:40" x14ac:dyDescent="0.25">
      <c r="A485" t="str">
        <f>"20190304164832665"</f>
        <v>20190304164832665</v>
      </c>
      <c r="B485" t="str">
        <f>"1551689312656628"</f>
        <v>1551689312656628</v>
      </c>
      <c r="C485" t="s">
        <v>40</v>
      </c>
      <c r="D485">
        <v>4.6505999999999998</v>
      </c>
      <c r="E485">
        <v>0.52572350000000001</v>
      </c>
      <c r="F485" t="s">
        <v>42</v>
      </c>
      <c r="G485">
        <v>-362.97719999999998</v>
      </c>
      <c r="H485" s="1">
        <v>-3.1915330000000001E-6</v>
      </c>
      <c r="I485">
        <v>368.50880000000001</v>
      </c>
      <c r="J485">
        <v>-373.81450000000001</v>
      </c>
      <c r="K485">
        <v>1.1099220000000001</v>
      </c>
      <c r="L485">
        <v>368.01960000000003</v>
      </c>
      <c r="M485">
        <v>0.99992669999999995</v>
      </c>
      <c r="N485">
        <v>-9.8130479999999996E-3</v>
      </c>
      <c r="O485">
        <v>7.0950529999999996E-3</v>
      </c>
      <c r="P485">
        <v>0.94858399999999998</v>
      </c>
      <c r="Q485">
        <v>0.3099365</v>
      </c>
      <c r="R485">
        <v>6.4249879999999995E-2</v>
      </c>
      <c r="S485">
        <v>3.2480470000000001</v>
      </c>
      <c r="T485">
        <v>-0.2917264</v>
      </c>
      <c r="U485">
        <v>0.13143920000000001</v>
      </c>
      <c r="V485">
        <v>-5.7444809999999999E-2</v>
      </c>
      <c r="W485">
        <v>0.31924789999999997</v>
      </c>
      <c r="X485">
        <v>0.94592860000000001</v>
      </c>
      <c r="Y485">
        <v>-3.3217919999999998E-2</v>
      </c>
      <c r="Z485">
        <v>1.085358E-3</v>
      </c>
      <c r="AA485">
        <v>0.99944750000000004</v>
      </c>
      <c r="AB485">
        <v>34</v>
      </c>
      <c r="AC485">
        <v>10.837300000000001</v>
      </c>
      <c r="AD485">
        <v>-1.109925191533</v>
      </c>
      <c r="AE485">
        <v>0.48919999999998198</v>
      </c>
      <c r="AF485">
        <v>-0.408021621383651</v>
      </c>
      <c r="AG485">
        <v>-1.109925191533</v>
      </c>
      <c r="AH485">
        <v>10.7281961605965</v>
      </c>
      <c r="AI485">
        <v>95.902494633071399</v>
      </c>
      <c r="AJ485">
        <v>92.178059980319802</v>
      </c>
      <c r="AK485">
        <v>10.7931741593728</v>
      </c>
      <c r="AL485">
        <v>71.382553255850993</v>
      </c>
      <c r="AM485">
        <v>93.475217889983895</v>
      </c>
      <c r="AN485">
        <v>1.0000000220741501</v>
      </c>
    </row>
    <row r="486" spans="1:40" x14ac:dyDescent="0.25">
      <c r="A486" t="str">
        <f>"20190304164832678"</f>
        <v>20190304164832678</v>
      </c>
      <c r="B486" t="str">
        <f>"1551689312667365"</f>
        <v>1551689312667365</v>
      </c>
      <c r="C486" t="s">
        <v>40</v>
      </c>
      <c r="D486">
        <v>4.5098880000000001</v>
      </c>
      <c r="E486">
        <v>0.51958870000000001</v>
      </c>
      <c r="F486" t="s">
        <v>42</v>
      </c>
      <c r="G486">
        <v>-361.37630000000001</v>
      </c>
      <c r="H486" s="1">
        <v>-3.8708339999999999E-6</v>
      </c>
      <c r="I486">
        <v>368.55099999999999</v>
      </c>
      <c r="J486">
        <v>-373.62220000000002</v>
      </c>
      <c r="K486">
        <v>1.109893</v>
      </c>
      <c r="L486">
        <v>368.02089999999998</v>
      </c>
      <c r="M486">
        <v>0.99992800000000004</v>
      </c>
      <c r="N486">
        <v>-9.7386690000000001E-3</v>
      </c>
      <c r="O486">
        <v>7.0118400000000001E-3</v>
      </c>
      <c r="P486">
        <v>0.94866740000000005</v>
      </c>
      <c r="Q486">
        <v>0.30973070000000003</v>
      </c>
      <c r="R486">
        <v>6.400894E-2</v>
      </c>
      <c r="S486">
        <v>3.247925</v>
      </c>
      <c r="T486">
        <v>-0.289827</v>
      </c>
      <c r="U486">
        <v>0.13876340000000001</v>
      </c>
      <c r="V486">
        <v>-5.7265419999999997E-2</v>
      </c>
      <c r="W486">
        <v>0.31897490000000001</v>
      </c>
      <c r="X486">
        <v>0.94603150000000003</v>
      </c>
      <c r="Y486">
        <v>-3.5543579999999998E-2</v>
      </c>
      <c r="Z486">
        <v>1.1995230000000001E-3</v>
      </c>
      <c r="AA486">
        <v>0.99936740000000002</v>
      </c>
      <c r="AB486">
        <v>34</v>
      </c>
      <c r="AC486">
        <v>12.245900000000001</v>
      </c>
      <c r="AD486">
        <v>-1.109896870834</v>
      </c>
      <c r="AE486">
        <v>0.53010000000000401</v>
      </c>
      <c r="AF486">
        <v>-0.440604009424439</v>
      </c>
      <c r="AG486">
        <v>-1.109896870834</v>
      </c>
      <c r="AH486">
        <v>12.149698429455601</v>
      </c>
      <c r="AI486">
        <v>95.216175692142102</v>
      </c>
      <c r="AJ486">
        <v>92.076898649705001</v>
      </c>
      <c r="AK486">
        <v>12.208242088184701</v>
      </c>
      <c r="AL486">
        <v>71.399056659431494</v>
      </c>
      <c r="AM486">
        <v>93.464015966408894</v>
      </c>
      <c r="AN486">
        <v>0.99999995707501699</v>
      </c>
    </row>
    <row r="487" spans="1:40" x14ac:dyDescent="0.25">
      <c r="A487" t="str">
        <f>"20190304164832691"</f>
        <v>20190304164832691</v>
      </c>
      <c r="B487" t="str">
        <f>"1551689312686885"</f>
        <v>1551689312686885</v>
      </c>
      <c r="C487" t="s">
        <v>40</v>
      </c>
      <c r="D487">
        <v>4.4013530000000003</v>
      </c>
      <c r="E487">
        <v>0.53672159999999902</v>
      </c>
      <c r="F487" t="s">
        <v>42</v>
      </c>
      <c r="G487">
        <v>-371.19889999999998</v>
      </c>
      <c r="H487" s="1">
        <v>-3.9990409999999998E-6</v>
      </c>
      <c r="I487">
        <v>368.25720000000001</v>
      </c>
      <c r="J487">
        <v>-373.40809999999999</v>
      </c>
      <c r="K487">
        <v>1.1098589999999999</v>
      </c>
      <c r="L487">
        <v>368.02229999999997</v>
      </c>
      <c r="M487">
        <v>0.99992950000000003</v>
      </c>
      <c r="N487">
        <v>-9.6625760000000008E-3</v>
      </c>
      <c r="O487">
        <v>6.8957990000000002E-3</v>
      </c>
      <c r="P487">
        <v>0.94868549999999996</v>
      </c>
      <c r="Q487">
        <v>0.30967699999999998</v>
      </c>
      <c r="R487">
        <v>6.3997799999999994E-2</v>
      </c>
      <c r="S487">
        <v>3.6897579999999999</v>
      </c>
      <c r="T487">
        <v>-1.6899310000000001</v>
      </c>
      <c r="U487">
        <v>0.35983280000000001</v>
      </c>
      <c r="V487">
        <v>-5.7344150000000003E-2</v>
      </c>
      <c r="W487">
        <v>0.318853</v>
      </c>
      <c r="X487">
        <v>0.94606789999999996</v>
      </c>
      <c r="Y487">
        <v>-8.2493700000000003E-2</v>
      </c>
      <c r="Z487">
        <v>1.543622E-2</v>
      </c>
      <c r="AA487">
        <v>0.99647209999999997</v>
      </c>
      <c r="AB487">
        <v>34</v>
      </c>
      <c r="AC487">
        <v>2.2092000000000098</v>
      </c>
      <c r="AD487">
        <v>-1.1098629990409901</v>
      </c>
      <c r="AE487">
        <v>0.234900000000038</v>
      </c>
      <c r="AF487">
        <v>-0.17578857027273601</v>
      </c>
      <c r="AG487">
        <v>-1.1098629990409901</v>
      </c>
      <c r="AH487">
        <v>1.76922750253209</v>
      </c>
      <c r="AI487">
        <v>121.97411208373801</v>
      </c>
      <c r="AJ487">
        <v>95.674224497431695</v>
      </c>
      <c r="AK487">
        <v>2.0959158985500301</v>
      </c>
      <c r="AL487">
        <v>71.406427196740907</v>
      </c>
      <c r="AM487">
        <v>93.468633630716994</v>
      </c>
      <c r="AN487">
        <v>1.0000000292793101</v>
      </c>
    </row>
    <row r="488" spans="1:40" x14ac:dyDescent="0.25">
      <c r="A488" t="str">
        <f>"20190304164832709"</f>
        <v>20190304164832709</v>
      </c>
      <c r="B488" t="str">
        <f>"1551689312696644"</f>
        <v>1551689312696644</v>
      </c>
      <c r="C488" t="s">
        <v>40</v>
      </c>
      <c r="D488">
        <v>4.4129670000000001</v>
      </c>
      <c r="E488">
        <v>0.54010150000000001</v>
      </c>
      <c r="F488" t="s">
        <v>41</v>
      </c>
      <c r="G488">
        <v>-372.71559999999999</v>
      </c>
      <c r="H488">
        <v>0.838410399999999</v>
      </c>
      <c r="I488">
        <v>368.05810000000002</v>
      </c>
      <c r="J488">
        <v>-373.15069999999997</v>
      </c>
      <c r="K488">
        <v>1.1098209999999999</v>
      </c>
      <c r="L488">
        <v>368.02390000000003</v>
      </c>
      <c r="M488">
        <v>0.99993149999999997</v>
      </c>
      <c r="N488">
        <v>-9.5791350000000008E-3</v>
      </c>
      <c r="O488">
        <v>6.7305639999999996E-3</v>
      </c>
      <c r="P488">
        <v>0.94881579999999999</v>
      </c>
      <c r="Q488">
        <v>0.30944729999999998</v>
      </c>
      <c r="R488">
        <v>6.3175720000000005E-2</v>
      </c>
      <c r="S488">
        <v>3.6117249999999999</v>
      </c>
      <c r="T488">
        <v>-1.415707</v>
      </c>
      <c r="U488">
        <v>0.18826290000000001</v>
      </c>
      <c r="V488">
        <v>-5.665415E-2</v>
      </c>
      <c r="W488">
        <v>0.31854959999999999</v>
      </c>
      <c r="X488">
        <v>0.94621160000000004</v>
      </c>
      <c r="Y488">
        <v>-4.2576830000000003E-2</v>
      </c>
      <c r="Z488">
        <v>5.7729950000000004E-3</v>
      </c>
      <c r="AA488">
        <v>0.99907650000000003</v>
      </c>
      <c r="AB488">
        <v>34</v>
      </c>
      <c r="AC488">
        <v>0.43509999999997701</v>
      </c>
      <c r="AD488">
        <v>-0.2714106</v>
      </c>
      <c r="AE488">
        <v>3.4199999999998398E-2</v>
      </c>
      <c r="AF488">
        <v>-2.2550006959883601E-2</v>
      </c>
      <c r="AG488">
        <v>-0.2714106</v>
      </c>
      <c r="AH488">
        <v>0.31392009079838201</v>
      </c>
      <c r="AI488">
        <v>130.773266178141</v>
      </c>
      <c r="AJ488">
        <v>94.108704148183904</v>
      </c>
      <c r="AK488">
        <v>0.41559359958150799</v>
      </c>
      <c r="AL488">
        <v>71.424765849425498</v>
      </c>
      <c r="AM488">
        <v>93.4264777636254</v>
      </c>
      <c r="AN488">
        <v>0.99999996617346998</v>
      </c>
    </row>
    <row r="489" spans="1:40" x14ac:dyDescent="0.25">
      <c r="A489" t="str">
        <f>"20190304164832720"</f>
        <v>20190304164832720</v>
      </c>
      <c r="B489" t="str">
        <f>"1551689312717141"</f>
        <v>1551689312717141</v>
      </c>
      <c r="C489" t="s">
        <v>40</v>
      </c>
      <c r="D489">
        <v>4.5357719999999997</v>
      </c>
      <c r="E489">
        <v>0.54367549999999998</v>
      </c>
      <c r="F489" t="s">
        <v>41</v>
      </c>
      <c r="G489">
        <v>-372.41109999999998</v>
      </c>
      <c r="H489">
        <v>0.8296367</v>
      </c>
      <c r="I489">
        <v>368.05489999999998</v>
      </c>
      <c r="J489">
        <v>-372.9796</v>
      </c>
      <c r="K489">
        <v>1.109796</v>
      </c>
      <c r="L489">
        <v>368.02499999999998</v>
      </c>
      <c r="M489">
        <v>0.99993279999999995</v>
      </c>
      <c r="N489">
        <v>-9.5275440000000006E-3</v>
      </c>
      <c r="O489">
        <v>6.6077369999999998E-3</v>
      </c>
      <c r="P489">
        <v>0.94878320000000005</v>
      </c>
      <c r="Q489">
        <v>0.30966840000000001</v>
      </c>
      <c r="R489">
        <v>6.2581440000000002E-2</v>
      </c>
      <c r="S489">
        <v>3.5959469999999998</v>
      </c>
      <c r="T489">
        <v>-1.362177</v>
      </c>
      <c r="U489">
        <v>0.15176389999999901</v>
      </c>
      <c r="V489">
        <v>-5.6161580000000003E-2</v>
      </c>
      <c r="W489">
        <v>0.31872410000000001</v>
      </c>
      <c r="X489">
        <v>0.94618230000000003</v>
      </c>
      <c r="Y489">
        <v>-3.360908E-2</v>
      </c>
      <c r="Z489">
        <v>3.9583580000000004E-3</v>
      </c>
      <c r="AA489">
        <v>0.99942719999999896</v>
      </c>
      <c r="AB489">
        <v>34</v>
      </c>
      <c r="AC489">
        <v>0.56850000000002798</v>
      </c>
      <c r="AD489">
        <v>-0.2801593</v>
      </c>
      <c r="AE489">
        <v>2.98999999999978E-2</v>
      </c>
      <c r="AF489">
        <v>-2.1045699417085201E-2</v>
      </c>
      <c r="AG489">
        <v>-0.2801593</v>
      </c>
      <c r="AH489">
        <v>0.45780990712747599</v>
      </c>
      <c r="AI489">
        <v>121.437858816808</v>
      </c>
      <c r="AJ489">
        <v>92.632056215612707</v>
      </c>
      <c r="AK489">
        <v>0.53714250055689305</v>
      </c>
      <c r="AL489">
        <v>71.4142197517141</v>
      </c>
      <c r="AM489">
        <v>93.3968618263292</v>
      </c>
      <c r="AN489">
        <v>1.0000000599110901</v>
      </c>
    </row>
    <row r="490" spans="1:40" x14ac:dyDescent="0.25">
      <c r="A490" t="str">
        <f>"20190304164832730"</f>
        <v>20190304164832730</v>
      </c>
      <c r="B490" t="str">
        <f>"1551689312726901"</f>
        <v>1551689312726901</v>
      </c>
      <c r="C490" t="s">
        <v>40</v>
      </c>
      <c r="D490">
        <v>4.5467620000000002</v>
      </c>
      <c r="E490">
        <v>0.54479200000000005</v>
      </c>
      <c r="F490" t="s">
        <v>41</v>
      </c>
      <c r="G490">
        <v>-372.11559999999997</v>
      </c>
      <c r="H490">
        <v>0.79705950000000003</v>
      </c>
      <c r="I490">
        <v>368.05259999999998</v>
      </c>
      <c r="J490">
        <v>-372.803</v>
      </c>
      <c r="K490">
        <v>1.1097729999999999</v>
      </c>
      <c r="L490">
        <v>368.02600000000001</v>
      </c>
      <c r="M490">
        <v>0.9999342</v>
      </c>
      <c r="N490">
        <v>-9.4783190000000007E-3</v>
      </c>
      <c r="O490">
        <v>6.467436E-3</v>
      </c>
      <c r="P490">
        <v>0.9488316</v>
      </c>
      <c r="Q490">
        <v>0.30966399999999999</v>
      </c>
      <c r="R490">
        <v>6.1861220000000001E-2</v>
      </c>
      <c r="S490">
        <v>3.5769959999999998</v>
      </c>
      <c r="T490">
        <v>-1.2947630000000001</v>
      </c>
      <c r="U490">
        <v>0.114563</v>
      </c>
      <c r="V490">
        <v>-5.555885E-2</v>
      </c>
      <c r="W490">
        <v>0.31867579999999901</v>
      </c>
      <c r="X490">
        <v>0.94623409999999997</v>
      </c>
      <c r="Y490">
        <v>-2.4347799999999999E-2</v>
      </c>
      <c r="Z490">
        <v>2.180127E-3</v>
      </c>
      <c r="AA490">
        <v>0.99970110000000001</v>
      </c>
      <c r="AB490">
        <v>35</v>
      </c>
      <c r="AC490">
        <v>0.68740000000008195</v>
      </c>
      <c r="AD490">
        <v>-0.31271349999999898</v>
      </c>
      <c r="AE490">
        <v>2.6599999999973499E-2</v>
      </c>
      <c r="AF490">
        <v>-1.8359611337729599E-2</v>
      </c>
      <c r="AG490">
        <v>-0.31271349999999898</v>
      </c>
      <c r="AH490">
        <v>0.56980951991362205</v>
      </c>
      <c r="AI490">
        <v>118.74560159281999</v>
      </c>
      <c r="AJ490">
        <v>91.845466611153398</v>
      </c>
      <c r="AK490">
        <v>0.65023818512520104</v>
      </c>
      <c r="AL490">
        <v>71.417138450326902</v>
      </c>
      <c r="AM490">
        <v>93.360306923656907</v>
      </c>
      <c r="AN490">
        <v>1.00000001166088</v>
      </c>
    </row>
    <row r="491" spans="1:40" x14ac:dyDescent="0.25">
      <c r="A491" t="str">
        <f>"20190304164832744"</f>
        <v>20190304164832744</v>
      </c>
      <c r="B491" t="str">
        <f>"1551689312736664"</f>
        <v>1551689312736664</v>
      </c>
      <c r="C491" t="s">
        <v>40</v>
      </c>
      <c r="D491">
        <v>4.5579070000000002</v>
      </c>
      <c r="E491">
        <v>0.54571630000000004</v>
      </c>
      <c r="F491" t="s">
        <v>41</v>
      </c>
      <c r="G491">
        <v>-372.09120000000001</v>
      </c>
      <c r="H491">
        <v>0.85580489999999998</v>
      </c>
      <c r="I491">
        <v>368.0462</v>
      </c>
      <c r="J491">
        <v>-372.6026</v>
      </c>
      <c r="K491">
        <v>1.109747</v>
      </c>
      <c r="L491">
        <v>368.02719999999999</v>
      </c>
      <c r="M491">
        <v>0.99993580000000004</v>
      </c>
      <c r="N491">
        <v>-9.4269200000000001E-3</v>
      </c>
      <c r="O491">
        <v>6.2931569999999997E-3</v>
      </c>
      <c r="P491">
        <v>0.9488221</v>
      </c>
      <c r="Q491">
        <v>0.30975350000000001</v>
      </c>
      <c r="R491">
        <v>6.1560219999999999E-2</v>
      </c>
      <c r="S491">
        <v>3.5709529999999998</v>
      </c>
      <c r="T491">
        <v>-1.274116</v>
      </c>
      <c r="U491">
        <v>0.1016541</v>
      </c>
      <c r="V491">
        <v>-5.540639E-2</v>
      </c>
      <c r="W491">
        <v>0.31871919999999998</v>
      </c>
      <c r="X491">
        <v>0.94622839999999997</v>
      </c>
      <c r="Y491">
        <v>-2.1188019999999998E-2</v>
      </c>
      <c r="Z491">
        <v>1.6489199999999999E-3</v>
      </c>
      <c r="AA491">
        <v>0.99977419999999995</v>
      </c>
      <c r="AB491">
        <v>35</v>
      </c>
      <c r="AC491">
        <v>0.51139999999997998</v>
      </c>
      <c r="AD491">
        <v>-0.253942099999999</v>
      </c>
      <c r="AE491">
        <v>1.9000000000005401E-2</v>
      </c>
      <c r="AF491">
        <v>-1.26630745011359E-2</v>
      </c>
      <c r="AG491">
        <v>-0.253942099999999</v>
      </c>
      <c r="AH491">
        <v>0.41044397881211397</v>
      </c>
      <c r="AI491">
        <v>121.732926500269</v>
      </c>
      <c r="AJ491">
        <v>91.767136784415698</v>
      </c>
      <c r="AK491">
        <v>0.48281591041653799</v>
      </c>
      <c r="AL491">
        <v>71.414514615379503</v>
      </c>
      <c r="AM491">
        <v>93.351127031732503</v>
      </c>
      <c r="AN491">
        <v>0.99999999073401602</v>
      </c>
    </row>
    <row r="492" spans="1:40" x14ac:dyDescent="0.25">
      <c r="A492" t="str">
        <f>"20190304164832756"</f>
        <v>20190304164832756</v>
      </c>
      <c r="B492" t="str">
        <f>"1551689312747397"</f>
        <v>1551689312747397</v>
      </c>
      <c r="C492" t="s">
        <v>40</v>
      </c>
      <c r="D492">
        <v>4.3426470000000004</v>
      </c>
      <c r="E492">
        <v>0.54772790000000005</v>
      </c>
      <c r="F492" t="s">
        <v>41</v>
      </c>
      <c r="G492">
        <v>-371.79480000000001</v>
      </c>
      <c r="H492">
        <v>0.82500980000000002</v>
      </c>
      <c r="I492">
        <v>368.04809999999998</v>
      </c>
      <c r="J492">
        <v>-372.42380000000003</v>
      </c>
      <c r="K492">
        <v>1.109721</v>
      </c>
      <c r="L492">
        <v>368.02820000000003</v>
      </c>
      <c r="M492">
        <v>0.99993739999999998</v>
      </c>
      <c r="N492">
        <v>-9.3831399999999999E-3</v>
      </c>
      <c r="O492">
        <v>6.1308559999999996E-3</v>
      </c>
      <c r="P492">
        <v>0.94884769999999896</v>
      </c>
      <c r="Q492">
        <v>0.30977399999999999</v>
      </c>
      <c r="R492">
        <v>6.1059700000000001E-2</v>
      </c>
      <c r="S492">
        <v>3.5661320000000001</v>
      </c>
      <c r="T492">
        <v>-1.2569539999999999</v>
      </c>
      <c r="U492">
        <v>9.2773439999999999E-2</v>
      </c>
      <c r="V492">
        <v>-5.5046240000000003E-2</v>
      </c>
      <c r="W492">
        <v>0.3187006</v>
      </c>
      <c r="X492">
        <v>0.94625570000000003</v>
      </c>
      <c r="Y492">
        <v>-1.904668E-2</v>
      </c>
      <c r="Z492">
        <v>1.3085690000000001E-3</v>
      </c>
      <c r="AA492">
        <v>0.99981770000000003</v>
      </c>
      <c r="AB492">
        <v>35</v>
      </c>
      <c r="AC492">
        <v>0.62900000000001899</v>
      </c>
      <c r="AD492">
        <v>-0.284711199999999</v>
      </c>
      <c r="AE492">
        <v>1.9899999999949999E-2</v>
      </c>
      <c r="AF492">
        <v>-1.33173636578626E-2</v>
      </c>
      <c r="AG492">
        <v>-0.284711199999999</v>
      </c>
      <c r="AH492">
        <v>0.52222224852988497</v>
      </c>
      <c r="AI492">
        <v>118.591022141979</v>
      </c>
      <c r="AJ492">
        <v>91.460802167504397</v>
      </c>
      <c r="AK492">
        <v>0.59494024610867002</v>
      </c>
      <c r="AL492">
        <v>71.415639230413404</v>
      </c>
      <c r="AM492">
        <v>93.329297517115194</v>
      </c>
      <c r="AN492">
        <v>1.0000000053804901</v>
      </c>
    </row>
    <row r="493" spans="1:40" x14ac:dyDescent="0.25">
      <c r="A493" t="str">
        <f>"20190304164832767"</f>
        <v>20190304164832767</v>
      </c>
      <c r="B493" t="str">
        <f>"1551689312757156"</f>
        <v>1551689312757156</v>
      </c>
      <c r="C493" t="s">
        <v>40</v>
      </c>
      <c r="D493">
        <v>4.5852700000000004</v>
      </c>
      <c r="E493">
        <v>0.54825040000000003</v>
      </c>
      <c r="F493" t="s">
        <v>41</v>
      </c>
      <c r="G493">
        <v>-371.49799999999999</v>
      </c>
      <c r="H493">
        <v>0.79243730000000001</v>
      </c>
      <c r="I493">
        <v>368.0462</v>
      </c>
      <c r="J493">
        <v>-372.22640000000001</v>
      </c>
      <c r="K493">
        <v>1.109699</v>
      </c>
      <c r="L493">
        <v>368.0292</v>
      </c>
      <c r="M493">
        <v>0.99993880000000002</v>
      </c>
      <c r="N493">
        <v>-9.3406919999999994E-3</v>
      </c>
      <c r="O493">
        <v>5.9357239999999999E-3</v>
      </c>
      <c r="P493">
        <v>0.94885980000000003</v>
      </c>
      <c r="Q493">
        <v>0.30984349999999999</v>
      </c>
      <c r="R493">
        <v>6.0518349999999999E-2</v>
      </c>
      <c r="S493">
        <v>3.554932</v>
      </c>
      <c r="T493">
        <v>-1.218297</v>
      </c>
      <c r="U493">
        <v>7.0343020000000006E-2</v>
      </c>
      <c r="V493">
        <v>-5.467698E-2</v>
      </c>
      <c r="W493">
        <v>0.31873220000000002</v>
      </c>
      <c r="X493">
        <v>0.94626650000000001</v>
      </c>
      <c r="Y493">
        <v>-1.338312E-2</v>
      </c>
      <c r="Z493">
        <v>3.7009549999999998E-4</v>
      </c>
      <c r="AA493">
        <v>0.99991039999999998</v>
      </c>
      <c r="AB493">
        <v>35</v>
      </c>
      <c r="AC493">
        <v>0.72839999999996496</v>
      </c>
      <c r="AD493">
        <v>-0.31726169999999998</v>
      </c>
      <c r="AE493">
        <v>1.69999999999959E-2</v>
      </c>
      <c r="AF493">
        <v>-1.0655543797544799E-2</v>
      </c>
      <c r="AG493">
        <v>-0.31726169999999998</v>
      </c>
      <c r="AH493">
        <v>0.61237607073329503</v>
      </c>
      <c r="AI493">
        <v>117.38436889541801</v>
      </c>
      <c r="AJ493">
        <v>90.996864692501802</v>
      </c>
      <c r="AK493">
        <v>0.689762987487196</v>
      </c>
      <c r="AL493">
        <v>71.413729702225297</v>
      </c>
      <c r="AM493">
        <v>93.306976070224806</v>
      </c>
      <c r="AN493">
        <v>1.0000000382405001</v>
      </c>
    </row>
    <row r="494" spans="1:40" x14ac:dyDescent="0.25">
      <c r="A494" t="str">
        <f>"20190304164832780"</f>
        <v>20190304164832780</v>
      </c>
      <c r="B494" t="str">
        <f>"1551689312776678"</f>
        <v>1551689312776678</v>
      </c>
      <c r="C494" t="s">
        <v>40</v>
      </c>
      <c r="D494">
        <v>4.5457380000000001</v>
      </c>
      <c r="E494">
        <v>0.54910429999999999</v>
      </c>
      <c r="F494" t="s">
        <v>41</v>
      </c>
      <c r="G494">
        <v>-371.47300000000001</v>
      </c>
      <c r="H494">
        <v>0.85334239999999995</v>
      </c>
      <c r="I494">
        <v>368.0421</v>
      </c>
      <c r="J494">
        <v>-372.0403</v>
      </c>
      <c r="K494">
        <v>1.10968</v>
      </c>
      <c r="L494">
        <v>368.0301</v>
      </c>
      <c r="M494">
        <v>0.9999403</v>
      </c>
      <c r="N494">
        <v>-9.3027560000000006E-3</v>
      </c>
      <c r="O494">
        <v>5.7471519999999898E-3</v>
      </c>
      <c r="P494">
        <v>0.94887809999999995</v>
      </c>
      <c r="Q494">
        <v>0.30989529999999998</v>
      </c>
      <c r="R494">
        <v>5.9961319999999999E-2</v>
      </c>
      <c r="S494">
        <v>3.5523069999999999</v>
      </c>
      <c r="T494">
        <v>-1.2085520000000001</v>
      </c>
      <c r="U494">
        <v>6.2530520000000006E-2</v>
      </c>
      <c r="V494">
        <v>-5.428769E-2</v>
      </c>
      <c r="W494">
        <v>0.31874950000000002</v>
      </c>
      <c r="X494">
        <v>0.94628299999999999</v>
      </c>
      <c r="Y494">
        <v>-1.1493740000000001E-2</v>
      </c>
      <c r="Z494">
        <v>1.069506E-4</v>
      </c>
      <c r="AA494">
        <v>0.99993399999999999</v>
      </c>
      <c r="AB494">
        <v>35</v>
      </c>
      <c r="AC494">
        <v>0.56729999999998804</v>
      </c>
      <c r="AD494">
        <v>-0.256337599999999</v>
      </c>
      <c r="AE494">
        <v>1.2000000000000399E-2</v>
      </c>
      <c r="AF494">
        <v>-7.2580616566616397E-3</v>
      </c>
      <c r="AG494">
        <v>-0.256337599999999</v>
      </c>
      <c r="AH494">
        <v>0.471196796534887</v>
      </c>
      <c r="AI494">
        <v>118.543951729825</v>
      </c>
      <c r="AJ494">
        <v>90.882483536613805</v>
      </c>
      <c r="AK494">
        <v>0.53645882013208801</v>
      </c>
      <c r="AL494">
        <v>71.4126823665529</v>
      </c>
      <c r="AM494">
        <v>93.283425584365503</v>
      </c>
      <c r="AN494">
        <v>0.99999995656239205</v>
      </c>
    </row>
    <row r="495" spans="1:40" x14ac:dyDescent="0.25">
      <c r="A495" t="str">
        <f>"20190304164832799"</f>
        <v>20190304164832799</v>
      </c>
      <c r="B495" t="str">
        <f>"1551689312787414"</f>
        <v>1551689312787414</v>
      </c>
      <c r="C495" t="s">
        <v>40</v>
      </c>
      <c r="D495">
        <v>4.4406129999999999</v>
      </c>
      <c r="E495">
        <v>0.549624</v>
      </c>
      <c r="F495" t="s">
        <v>41</v>
      </c>
      <c r="G495">
        <v>-371.17669999999998</v>
      </c>
      <c r="H495">
        <v>0.81940939999999995</v>
      </c>
      <c r="I495">
        <v>368.04259999999999</v>
      </c>
      <c r="J495">
        <v>-371.75170000000003</v>
      </c>
      <c r="K495">
        <v>1.1096539999999999</v>
      </c>
      <c r="L495">
        <v>368.03149999999999</v>
      </c>
      <c r="M495">
        <v>0.99994260000000001</v>
      </c>
      <c r="N495">
        <v>-9.2499139999999997E-3</v>
      </c>
      <c r="O495">
        <v>5.4430320000000004E-3</v>
      </c>
      <c r="P495">
        <v>0.94895090000000004</v>
      </c>
      <c r="Q495">
        <v>0.31000070000000002</v>
      </c>
      <c r="R495">
        <v>5.8241099999999997E-2</v>
      </c>
      <c r="S495">
        <v>3.5478519999999998</v>
      </c>
      <c r="T495">
        <v>-1.1925110000000001</v>
      </c>
      <c r="U495">
        <v>5.1544189999999997E-2</v>
      </c>
      <c r="V495">
        <v>-5.2840850000000002E-2</v>
      </c>
      <c r="W495">
        <v>0.3188068</v>
      </c>
      <c r="X495">
        <v>0.94634560000000001</v>
      </c>
      <c r="Y495">
        <v>-8.8653280000000004E-3</v>
      </c>
      <c r="Z495">
        <v>-2.3931089999999999E-4</v>
      </c>
      <c r="AA495">
        <v>0.99996070000000004</v>
      </c>
      <c r="AB495">
        <v>35</v>
      </c>
      <c r="AC495">
        <v>0.57500000000004503</v>
      </c>
      <c r="AD495">
        <v>-0.29024460000000002</v>
      </c>
      <c r="AE495">
        <v>1.1099999999999E-2</v>
      </c>
      <c r="AF495">
        <v>-6.3520777705011796E-3</v>
      </c>
      <c r="AG495">
        <v>-0.29024460000000002</v>
      </c>
      <c r="AH495">
        <v>0.45831784863624703</v>
      </c>
      <c r="AI495">
        <v>122.34287115495999</v>
      </c>
      <c r="AJ495">
        <v>90.794042710693503</v>
      </c>
      <c r="AK495">
        <v>0.54252882605417396</v>
      </c>
      <c r="AL495">
        <v>71.409218734006103</v>
      </c>
      <c r="AM495">
        <v>93.195890785739195</v>
      </c>
      <c r="AN495">
        <v>0.99999996289715998</v>
      </c>
    </row>
    <row r="496" spans="1:40" x14ac:dyDescent="0.25">
      <c r="A496" t="str">
        <f>"20190304164832810"</f>
        <v>20190304164832810</v>
      </c>
      <c r="B496" t="str">
        <f>"1551689312806933"</f>
        <v>1551689312806933</v>
      </c>
      <c r="C496" t="s">
        <v>40</v>
      </c>
      <c r="D496">
        <v>4.6358259999999998</v>
      </c>
      <c r="E496">
        <v>0.54975629999999998</v>
      </c>
      <c r="F496" t="s">
        <v>41</v>
      </c>
      <c r="G496">
        <v>-370.86770000000001</v>
      </c>
      <c r="H496">
        <v>0.81431189999999998</v>
      </c>
      <c r="I496">
        <v>368.04160000000002</v>
      </c>
      <c r="J496">
        <v>-371.56900000000002</v>
      </c>
      <c r="K496">
        <v>1.10964</v>
      </c>
      <c r="L496">
        <v>368.03230000000002</v>
      </c>
      <c r="M496">
        <v>0.9999439</v>
      </c>
      <c r="N496">
        <v>-9.2200800000000003E-3</v>
      </c>
      <c r="O496">
        <v>5.2451819999999897E-3</v>
      </c>
      <c r="P496">
        <v>0.94900629999999997</v>
      </c>
      <c r="Q496">
        <v>0.30997740000000001</v>
      </c>
      <c r="R496">
        <v>5.7455319999999997E-2</v>
      </c>
      <c r="S496">
        <v>3.5458069999999999</v>
      </c>
      <c r="T496">
        <v>-1.1846209999999999</v>
      </c>
      <c r="U496">
        <v>4.1656489999999997E-2</v>
      </c>
      <c r="V496">
        <v>-5.2234830000000003E-2</v>
      </c>
      <c r="W496">
        <v>0.3187566</v>
      </c>
      <c r="X496">
        <v>0.94639620000000002</v>
      </c>
      <c r="Y496">
        <v>-6.4129819999999898E-3</v>
      </c>
      <c r="Z496">
        <v>-5.8556639999999996E-4</v>
      </c>
      <c r="AA496">
        <v>0.99997930000000002</v>
      </c>
      <c r="AB496">
        <v>35</v>
      </c>
      <c r="AC496">
        <v>0.70130000000000303</v>
      </c>
      <c r="AD496">
        <v>-0.29532809999999898</v>
      </c>
      <c r="AE496">
        <v>9.2999999999960892E-3</v>
      </c>
      <c r="AF496">
        <v>-4.7746857059760501E-3</v>
      </c>
      <c r="AG496">
        <v>-0.29532809999999898</v>
      </c>
      <c r="AH496">
        <v>0.59571482000064102</v>
      </c>
      <c r="AI496">
        <v>116.369373517131</v>
      </c>
      <c r="AJ496">
        <v>90.459218861720203</v>
      </c>
      <c r="AK496">
        <v>0.66491926655917999</v>
      </c>
      <c r="AL496">
        <v>71.412254159504798</v>
      </c>
      <c r="AM496">
        <v>93.159143927711199</v>
      </c>
      <c r="AN496">
        <v>1.00000000744156</v>
      </c>
    </row>
    <row r="497" spans="1:40" x14ac:dyDescent="0.25">
      <c r="A497" t="str">
        <f>"20190304164832824"</f>
        <v>20190304164832824</v>
      </c>
      <c r="B497" t="str">
        <f>"1551689312816693"</f>
        <v>1551689312816693</v>
      </c>
      <c r="C497" t="s">
        <v>40</v>
      </c>
      <c r="D497">
        <v>4.6451409999999997</v>
      </c>
      <c r="E497">
        <v>0.54980189999999995</v>
      </c>
      <c r="F497" t="s">
        <v>41</v>
      </c>
      <c r="G497">
        <v>-370.8449</v>
      </c>
      <c r="H497">
        <v>0.86878619999999995</v>
      </c>
      <c r="I497">
        <v>368.03980000000001</v>
      </c>
      <c r="J497">
        <v>-371.36149999999998</v>
      </c>
      <c r="K497">
        <v>1.1096269999999999</v>
      </c>
      <c r="L497">
        <v>368.0333</v>
      </c>
      <c r="M497">
        <v>0.99994530000000004</v>
      </c>
      <c r="N497">
        <v>-9.1892999999999992E-3</v>
      </c>
      <c r="O497">
        <v>5.0174209999999898E-3</v>
      </c>
      <c r="P497">
        <v>0.94908060000000005</v>
      </c>
      <c r="Q497">
        <v>0.30992720000000001</v>
      </c>
      <c r="R497">
        <v>5.64932E-2</v>
      </c>
      <c r="S497">
        <v>3.5439449999999999</v>
      </c>
      <c r="T497">
        <v>-1.1788620000000001</v>
      </c>
      <c r="U497">
        <v>3.8146970000000002E-2</v>
      </c>
      <c r="V497">
        <v>-5.1481689999999997E-2</v>
      </c>
      <c r="W497">
        <v>0.31867849999999998</v>
      </c>
      <c r="X497">
        <v>0.94646379999999997</v>
      </c>
      <c r="Y497">
        <v>-5.6861979999999999E-3</v>
      </c>
      <c r="Z497">
        <v>-6.3249919999999998E-4</v>
      </c>
      <c r="AA497">
        <v>0.99998359999999997</v>
      </c>
      <c r="AB497">
        <v>35</v>
      </c>
      <c r="AC497">
        <v>0.51659999999998196</v>
      </c>
      <c r="AD497">
        <v>-0.24084079999999999</v>
      </c>
      <c r="AE497">
        <v>6.5000000000168196E-3</v>
      </c>
      <c r="AF497">
        <v>-3.2101968582311001E-3</v>
      </c>
      <c r="AG497">
        <v>-0.24084079999999999</v>
      </c>
      <c r="AH497">
        <v>0.424399294029767</v>
      </c>
      <c r="AI497">
        <v>119.57361471941</v>
      </c>
      <c r="AJ497">
        <v>90.433382491893099</v>
      </c>
      <c r="AK497">
        <v>0.48798499677907398</v>
      </c>
      <c r="AL497">
        <v>71.4169757449651</v>
      </c>
      <c r="AM497">
        <v>93.1134626160257</v>
      </c>
      <c r="AN497">
        <v>1.0000000377389699</v>
      </c>
    </row>
    <row r="498" spans="1:40" x14ac:dyDescent="0.25">
      <c r="A498" t="str">
        <f>"20190304164832836"</f>
        <v>20190304164832836</v>
      </c>
      <c r="B498" t="str">
        <f>"1551689312827430"</f>
        <v>1551689312827430</v>
      </c>
      <c r="C498" t="s">
        <v>40</v>
      </c>
      <c r="D498">
        <v>4.6369089999999904</v>
      </c>
      <c r="E498">
        <v>0.54988219999999899</v>
      </c>
      <c r="F498" t="s">
        <v>41</v>
      </c>
      <c r="G498">
        <v>-370.5462</v>
      </c>
      <c r="H498">
        <v>0.83883299999999905</v>
      </c>
      <c r="I498">
        <v>368.04090000000002</v>
      </c>
      <c r="J498">
        <v>-371.17469999999997</v>
      </c>
      <c r="K498">
        <v>1.1096159999999999</v>
      </c>
      <c r="L498">
        <v>368.03399999999999</v>
      </c>
      <c r="M498">
        <v>0.99994649999999996</v>
      </c>
      <c r="N498">
        <v>-9.1633119999999998E-3</v>
      </c>
      <c r="O498">
        <v>4.8109370000000004E-3</v>
      </c>
      <c r="P498">
        <v>0.94918639999999999</v>
      </c>
      <c r="Q498">
        <v>0.30972110000000003</v>
      </c>
      <c r="R498">
        <v>5.5839769999999997E-2</v>
      </c>
      <c r="S498">
        <v>3.5431819999999998</v>
      </c>
      <c r="T498">
        <v>-1.176796</v>
      </c>
      <c r="U498">
        <v>3.4454350000000002E-2</v>
      </c>
      <c r="V498">
        <v>-5.101874E-2</v>
      </c>
      <c r="W498">
        <v>0.31844879999999998</v>
      </c>
      <c r="X498">
        <v>0.94656609999999997</v>
      </c>
      <c r="Y498">
        <v>-4.8868590000000003E-3</v>
      </c>
      <c r="Z498">
        <v>-6.9976670000000002E-4</v>
      </c>
      <c r="AA498">
        <v>0.99998779999999998</v>
      </c>
      <c r="AB498">
        <v>35</v>
      </c>
      <c r="AC498">
        <v>0.62849999999997397</v>
      </c>
      <c r="AD498">
        <v>-0.270783</v>
      </c>
      <c r="AE498">
        <v>6.9000000000300999E-3</v>
      </c>
      <c r="AF498">
        <v>-3.2693292725758899E-3</v>
      </c>
      <c r="AG498">
        <v>-0.270783</v>
      </c>
      <c r="AH498">
        <v>0.53013283512098797</v>
      </c>
      <c r="AI498">
        <v>117.056745084629</v>
      </c>
      <c r="AJ498">
        <v>90.353338601395905</v>
      </c>
      <c r="AK498">
        <v>0.59529399835401497</v>
      </c>
      <c r="AL498">
        <v>71.430858547148603</v>
      </c>
      <c r="AM498">
        <v>93.085186270212006</v>
      </c>
      <c r="AN498">
        <v>0.99999996586091799</v>
      </c>
    </row>
    <row r="499" spans="1:40" x14ac:dyDescent="0.25">
      <c r="A499" t="str">
        <f>"20190304164832846"</f>
        <v>20190304164832846</v>
      </c>
      <c r="B499" t="str">
        <f>"1551689312837189"</f>
        <v>1551689312837189</v>
      </c>
      <c r="C499" t="s">
        <v>40</v>
      </c>
      <c r="D499">
        <v>4.653454</v>
      </c>
      <c r="E499">
        <v>0.54997459999999998</v>
      </c>
      <c r="F499" t="s">
        <v>41</v>
      </c>
      <c r="G499">
        <v>-370.24889999999999</v>
      </c>
      <c r="H499">
        <v>0.80248949999999997</v>
      </c>
      <c r="I499">
        <v>368.04169999999999</v>
      </c>
      <c r="J499">
        <v>-370.99489999999997</v>
      </c>
      <c r="K499">
        <v>1.109605</v>
      </c>
      <c r="L499">
        <v>368.03469999999999</v>
      </c>
      <c r="M499">
        <v>0.99994749999999999</v>
      </c>
      <c r="N499">
        <v>-9.1416859999999996E-3</v>
      </c>
      <c r="O499">
        <v>4.6110049999999996E-3</v>
      </c>
      <c r="P499">
        <v>0.94919969999999998</v>
      </c>
      <c r="Q499">
        <v>0.30980229999999997</v>
      </c>
      <c r="R499">
        <v>5.5156610000000002E-2</v>
      </c>
      <c r="S499">
        <v>3.5421140000000002</v>
      </c>
      <c r="T499">
        <v>-1.174876</v>
      </c>
      <c r="U499">
        <v>3.0975340000000001E-2</v>
      </c>
      <c r="V499">
        <v>-5.0520240000000001E-2</v>
      </c>
      <c r="W499">
        <v>0.31851040000000003</v>
      </c>
      <c r="X499">
        <v>0.94657219999999997</v>
      </c>
      <c r="Y499">
        <v>-4.1388390000000001E-3</v>
      </c>
      <c r="Z499">
        <v>-7.6048429999999996E-4</v>
      </c>
      <c r="AA499">
        <v>0.99999110000000002</v>
      </c>
      <c r="AB499">
        <v>35</v>
      </c>
      <c r="AC499">
        <v>0.74599999999998001</v>
      </c>
      <c r="AD499">
        <v>-0.30711549999999899</v>
      </c>
      <c r="AE499">
        <v>7.0000000000049996E-3</v>
      </c>
      <c r="AF499">
        <v>-3.04409523810563E-3</v>
      </c>
      <c r="AG499">
        <v>-0.30711549999999899</v>
      </c>
      <c r="AH499">
        <v>0.637917735438846</v>
      </c>
      <c r="AI499">
        <v>115.70750580118199</v>
      </c>
      <c r="AJ499">
        <v>90.273409055797998</v>
      </c>
      <c r="AK499">
        <v>0.70800299013739698</v>
      </c>
      <c r="AL499">
        <v>71.427136867846997</v>
      </c>
      <c r="AM499">
        <v>93.055078900075699</v>
      </c>
      <c r="AN499">
        <v>1.0000000496853201</v>
      </c>
    </row>
    <row r="500" spans="1:40" x14ac:dyDescent="0.25">
      <c r="A500" t="str">
        <f>"20190304164832857"</f>
        <v>20190304164832857</v>
      </c>
      <c r="B500" t="str">
        <f>"1551689312846949"</f>
        <v>1551689312846949</v>
      </c>
      <c r="C500" t="s">
        <v>40</v>
      </c>
      <c r="D500">
        <v>4.6522110000000003</v>
      </c>
      <c r="E500">
        <v>0.55007340000000005</v>
      </c>
      <c r="F500" t="s">
        <v>41</v>
      </c>
      <c r="G500">
        <v>-370.22699999999998</v>
      </c>
      <c r="H500">
        <v>0.85559680000000005</v>
      </c>
      <c r="I500">
        <v>368.0401</v>
      </c>
      <c r="J500">
        <v>-370.83179999999999</v>
      </c>
      <c r="K500">
        <v>1.1095919999999999</v>
      </c>
      <c r="L500">
        <v>368.03539999999998</v>
      </c>
      <c r="M500">
        <v>0.99994870000000002</v>
      </c>
      <c r="N500">
        <v>-9.1227329999999992E-3</v>
      </c>
      <c r="O500">
        <v>4.4290099999999997E-3</v>
      </c>
      <c r="P500">
        <v>0.94932119999999998</v>
      </c>
      <c r="Q500">
        <v>0.30954219999999999</v>
      </c>
      <c r="R500">
        <v>5.4528529999999999E-2</v>
      </c>
      <c r="S500">
        <v>3.541229</v>
      </c>
      <c r="T500">
        <v>-1.1712209999999901</v>
      </c>
      <c r="U500">
        <v>2.716064E-2</v>
      </c>
      <c r="V500">
        <v>-5.006116E-2</v>
      </c>
      <c r="W500">
        <v>0.31823319999999999</v>
      </c>
      <c r="X500">
        <v>0.94668980000000003</v>
      </c>
      <c r="Y500">
        <v>-3.2835630000000002E-3</v>
      </c>
      <c r="Z500">
        <v>-8.4313940000000005E-4</v>
      </c>
      <c r="AA500">
        <v>0.9999943</v>
      </c>
      <c r="AB500">
        <v>35</v>
      </c>
      <c r="AC500">
        <v>0.604800000000011</v>
      </c>
      <c r="AD500">
        <v>-0.25399519999999898</v>
      </c>
      <c r="AE500">
        <v>4.7000000000139101E-3</v>
      </c>
      <c r="AF500">
        <v>-1.71816171101195E-3</v>
      </c>
      <c r="AG500">
        <v>-0.25399519999999898</v>
      </c>
      <c r="AH500">
        <v>0.51414077951252701</v>
      </c>
      <c r="AI500">
        <v>116.290109757077</v>
      </c>
      <c r="AJ500">
        <v>90.191470997875996</v>
      </c>
      <c r="AK500">
        <v>0.57346077011462104</v>
      </c>
      <c r="AL500">
        <v>71.4438907314983</v>
      </c>
      <c r="AM500">
        <v>93.026993752126998</v>
      </c>
      <c r="AN500">
        <v>1.00000003337341</v>
      </c>
    </row>
    <row r="501" spans="1:40" x14ac:dyDescent="0.25">
      <c r="A501" t="str">
        <f>"20190304164832871"</f>
        <v>20190304164832871</v>
      </c>
      <c r="B501" t="str">
        <f>"1551689312866634"</f>
        <v>1551689312866634</v>
      </c>
      <c r="C501" t="s">
        <v>40</v>
      </c>
      <c r="D501">
        <v>4.6828430000000001</v>
      </c>
      <c r="E501">
        <v>0.55006869999999997</v>
      </c>
      <c r="F501" t="s">
        <v>41</v>
      </c>
      <c r="G501">
        <v>-369.93220000000002</v>
      </c>
      <c r="H501">
        <v>0.81258790000000003</v>
      </c>
      <c r="I501">
        <v>368.041</v>
      </c>
      <c r="J501">
        <v>-370.62909999999999</v>
      </c>
      <c r="K501">
        <v>1.1095809999999999</v>
      </c>
      <c r="L501">
        <v>368.036</v>
      </c>
      <c r="M501">
        <v>0.9999498</v>
      </c>
      <c r="N501">
        <v>-9.1017719999999993E-3</v>
      </c>
      <c r="O501">
        <v>4.2033309999999898E-3</v>
      </c>
      <c r="P501">
        <v>0.94940950000000002</v>
      </c>
      <c r="Q501">
        <v>0.30932939999999998</v>
      </c>
      <c r="R501">
        <v>5.4194010000000001E-2</v>
      </c>
      <c r="S501">
        <v>3.5399780000000001</v>
      </c>
      <c r="T501">
        <v>-1.1687459999999901</v>
      </c>
      <c r="U501">
        <v>2.2583010000000001E-2</v>
      </c>
      <c r="V501">
        <v>-4.9936590000000003E-2</v>
      </c>
      <c r="W501">
        <v>0.3180018</v>
      </c>
      <c r="X501">
        <v>0.94677409999999995</v>
      </c>
      <c r="Y501">
        <v>-2.2631859999999999E-3</v>
      </c>
      <c r="Z501">
        <v>-9.4004090000000004E-4</v>
      </c>
      <c r="AA501">
        <v>0.99999700000000002</v>
      </c>
      <c r="AB501">
        <v>35</v>
      </c>
      <c r="AC501">
        <v>0.69689999999997099</v>
      </c>
      <c r="AD501">
        <v>-0.29699309999999901</v>
      </c>
      <c r="AE501">
        <v>4.9999999999954499E-3</v>
      </c>
      <c r="AF501">
        <v>-1.7523047700989201E-3</v>
      </c>
      <c r="AG501">
        <v>-0.29699309999999901</v>
      </c>
      <c r="AH501">
        <v>0.58980324021699004</v>
      </c>
      <c r="AI501">
        <v>116.727258533038</v>
      </c>
      <c r="AJ501">
        <v>90.170225196301303</v>
      </c>
      <c r="AK501">
        <v>0.660360382056705</v>
      </c>
      <c r="AL501">
        <v>71.457874862663601</v>
      </c>
      <c r="AM501">
        <v>93.019207114731699</v>
      </c>
      <c r="AN501">
        <v>1.00000000212743</v>
      </c>
    </row>
    <row r="502" spans="1:40" x14ac:dyDescent="0.25">
      <c r="A502" t="str">
        <f>"20190304164832889"</f>
        <v>20190304164832889</v>
      </c>
      <c r="B502" t="str">
        <f>"1551689312877371"</f>
        <v>1551689312877371</v>
      </c>
      <c r="C502" t="s">
        <v>40</v>
      </c>
      <c r="D502">
        <v>4.629321</v>
      </c>
      <c r="E502">
        <v>0.55004299999999995</v>
      </c>
      <c r="F502" t="s">
        <v>41</v>
      </c>
      <c r="G502">
        <v>-369.90769999999998</v>
      </c>
      <c r="H502">
        <v>0.871224</v>
      </c>
      <c r="I502">
        <v>368.04020000000003</v>
      </c>
      <c r="J502">
        <v>-370.35340000000002</v>
      </c>
      <c r="K502">
        <v>1.109567</v>
      </c>
      <c r="L502">
        <v>368.0369</v>
      </c>
      <c r="M502">
        <v>0.99995120000000004</v>
      </c>
      <c r="N502">
        <v>-9.0813100000000004E-3</v>
      </c>
      <c r="O502">
        <v>3.8968119999999999E-3</v>
      </c>
      <c r="P502">
        <v>0.94954680000000002</v>
      </c>
      <c r="Q502">
        <v>0.30900879999999997</v>
      </c>
      <c r="R502">
        <v>5.3617430000000001E-2</v>
      </c>
      <c r="S502">
        <v>3.5396420000000002</v>
      </c>
      <c r="T502">
        <v>-1.1695070000000001</v>
      </c>
      <c r="U502">
        <v>2.0935059999999998E-2</v>
      </c>
      <c r="V502">
        <v>-4.9645920000000003E-2</v>
      </c>
      <c r="W502">
        <v>0.31766319999999998</v>
      </c>
      <c r="X502">
        <v>0.94690300000000005</v>
      </c>
      <c r="Y502">
        <v>-2.0985420000000001E-3</v>
      </c>
      <c r="Z502">
        <v>-8.7217740000000005E-4</v>
      </c>
      <c r="AA502">
        <v>0.99999740000000004</v>
      </c>
      <c r="AB502">
        <v>35</v>
      </c>
      <c r="AC502">
        <v>0.44570000000004401</v>
      </c>
      <c r="AD502">
        <v>-0.238343</v>
      </c>
      <c r="AE502">
        <v>3.30000000002428E-3</v>
      </c>
      <c r="AF502">
        <v>-1.2155136352795699E-3</v>
      </c>
      <c r="AG502">
        <v>-0.238343</v>
      </c>
      <c r="AH502">
        <v>0.34659838386195602</v>
      </c>
      <c r="AI502">
        <v>124.514712721509</v>
      </c>
      <c r="AJ502">
        <v>90.200934334874702</v>
      </c>
      <c r="AK502">
        <v>0.42064153720016401</v>
      </c>
      <c r="AL502">
        <v>71.478335364372796</v>
      </c>
      <c r="AM502">
        <v>93.001257337175105</v>
      </c>
      <c r="AN502">
        <v>0.999999958707942</v>
      </c>
    </row>
    <row r="503" spans="1:40" x14ac:dyDescent="0.25">
      <c r="A503" t="str">
        <f>"20190304164832902"</f>
        <v>20190304164832902</v>
      </c>
      <c r="B503" t="str">
        <f>"1551689312896890"</f>
        <v>1551689312896890</v>
      </c>
      <c r="C503" t="s">
        <v>40</v>
      </c>
      <c r="D503">
        <v>4.6346350000000003</v>
      </c>
      <c r="E503">
        <v>0.55027569999999904</v>
      </c>
      <c r="F503" t="s">
        <v>41</v>
      </c>
      <c r="G503">
        <v>-369.59949999999998</v>
      </c>
      <c r="H503">
        <v>0.86008019999999996</v>
      </c>
      <c r="I503">
        <v>368.04039999999998</v>
      </c>
      <c r="J503">
        <v>-370.14100000000002</v>
      </c>
      <c r="K503">
        <v>1.109558</v>
      </c>
      <c r="L503">
        <v>368.0376</v>
      </c>
      <c r="M503">
        <v>0.99995219999999996</v>
      </c>
      <c r="N503">
        <v>-9.0725760000000006E-3</v>
      </c>
      <c r="O503">
        <v>3.6614249999999998E-3</v>
      </c>
      <c r="P503">
        <v>0.94964550000000003</v>
      </c>
      <c r="Q503">
        <v>0.30876500000000001</v>
      </c>
      <c r="R503">
        <v>5.3269650000000002E-2</v>
      </c>
      <c r="S503">
        <v>3.5394589999999901</v>
      </c>
      <c r="T503">
        <v>-1.1712640000000001</v>
      </c>
      <c r="U503">
        <v>1.8646240000000001E-2</v>
      </c>
      <c r="V503">
        <v>-4.951755E-2</v>
      </c>
      <c r="W503">
        <v>0.31741269999999999</v>
      </c>
      <c r="X503">
        <v>0.9469938</v>
      </c>
      <c r="Y503">
        <v>-1.6979969999999999E-3</v>
      </c>
      <c r="Z503">
        <v>-8.6620589999999997E-4</v>
      </c>
      <c r="AA503">
        <v>0.99999819999999995</v>
      </c>
      <c r="AB503">
        <v>35</v>
      </c>
      <c r="AC503">
        <v>0.54149999999998499</v>
      </c>
      <c r="AD503">
        <v>-0.2494778</v>
      </c>
      <c r="AE503">
        <v>2.7999999999792601E-3</v>
      </c>
      <c r="AF503">
        <v>-6.7414775111697195E-4</v>
      </c>
      <c r="AG503">
        <v>-0.2494778</v>
      </c>
      <c r="AH503">
        <v>0.44669413727690799</v>
      </c>
      <c r="AI503">
        <v>119.183245051388</v>
      </c>
      <c r="AJ503">
        <v>90.086470334751198</v>
      </c>
      <c r="AK503">
        <v>0.511639794626641</v>
      </c>
      <c r="AL503">
        <v>71.493472745692401</v>
      </c>
      <c r="AM503">
        <v>92.993224583147395</v>
      </c>
      <c r="AN503">
        <v>1.0000000335588599</v>
      </c>
    </row>
    <row r="504" spans="1:40" x14ac:dyDescent="0.25">
      <c r="A504" t="str">
        <f>"20190304164832913"</f>
        <v>20190304164832913</v>
      </c>
      <c r="B504" t="str">
        <f>"1551689312906650"</f>
        <v>1551689312906650</v>
      </c>
      <c r="C504" t="s">
        <v>40</v>
      </c>
      <c r="D504">
        <v>4.6402789999999996</v>
      </c>
      <c r="E504">
        <v>0.55022040000000005</v>
      </c>
      <c r="F504" t="s">
        <v>41</v>
      </c>
      <c r="G504">
        <v>-369.29790000000003</v>
      </c>
      <c r="H504">
        <v>0.8317078</v>
      </c>
      <c r="I504">
        <v>368.041</v>
      </c>
      <c r="J504">
        <v>-369.95620000000002</v>
      </c>
      <c r="K504">
        <v>1.1095569999999999</v>
      </c>
      <c r="L504">
        <v>368.03809999999999</v>
      </c>
      <c r="M504">
        <v>0.99995299999999998</v>
      </c>
      <c r="N504">
        <v>-9.0693340000000001E-3</v>
      </c>
      <c r="O504">
        <v>3.457253E-3</v>
      </c>
      <c r="P504">
        <v>0.94968059999999999</v>
      </c>
      <c r="Q504">
        <v>0.30864730000000001</v>
      </c>
      <c r="R504">
        <v>5.3327960000000001E-2</v>
      </c>
      <c r="S504">
        <v>3.537201</v>
      </c>
      <c r="T504">
        <v>-1.165686</v>
      </c>
      <c r="U504">
        <v>1.5014649999999999E-2</v>
      </c>
      <c r="V504">
        <v>-4.9766659999999997E-2</v>
      </c>
      <c r="W504">
        <v>0.3172933</v>
      </c>
      <c r="X504">
        <v>0.94702070000000005</v>
      </c>
      <c r="Y504">
        <v>-9.1074000000000005E-4</v>
      </c>
      <c r="Z504">
        <v>-9.2896129999999995E-4</v>
      </c>
      <c r="AA504">
        <v>0.99999919999999998</v>
      </c>
      <c r="AB504">
        <v>35</v>
      </c>
      <c r="AC504">
        <v>0.658299999999997</v>
      </c>
      <c r="AD504">
        <v>-0.27784919999999902</v>
      </c>
      <c r="AE504">
        <v>2.9000000000110001E-3</v>
      </c>
      <c r="AF504">
        <v>-5.2963102224339595E-4</v>
      </c>
      <c r="AG504">
        <v>-0.27784919999999902</v>
      </c>
      <c r="AH504">
        <v>0.55876714822586904</v>
      </c>
      <c r="AI504">
        <v>116.439035384984</v>
      </c>
      <c r="AJ504">
        <v>90.054308155520999</v>
      </c>
      <c r="AK504">
        <v>0.624036204387317</v>
      </c>
      <c r="AL504">
        <v>71.500685793013204</v>
      </c>
      <c r="AM504">
        <v>93.008169841271695</v>
      </c>
      <c r="AN504">
        <v>0.99999998245046695</v>
      </c>
    </row>
    <row r="505" spans="1:40" x14ac:dyDescent="0.25">
      <c r="A505" t="str">
        <f>"20190304164832924"</f>
        <v>20190304164832924</v>
      </c>
      <c r="B505" t="str">
        <f>"1551689312917387"</f>
        <v>1551689312917387</v>
      </c>
      <c r="C505" t="s">
        <v>40</v>
      </c>
      <c r="D505">
        <v>4.6884680000000003</v>
      </c>
      <c r="E505">
        <v>0.55014169999999996</v>
      </c>
      <c r="F505" t="s">
        <v>41</v>
      </c>
      <c r="G505">
        <v>-369.27530000000002</v>
      </c>
      <c r="H505">
        <v>0.88487260000000001</v>
      </c>
      <c r="I505">
        <v>368.041</v>
      </c>
      <c r="J505">
        <v>-369.78530000000001</v>
      </c>
      <c r="K505">
        <v>1.1095549999999901</v>
      </c>
      <c r="L505">
        <v>368.0385</v>
      </c>
      <c r="M505">
        <v>0.9999536</v>
      </c>
      <c r="N505">
        <v>-9.0724359999999997E-3</v>
      </c>
      <c r="O505">
        <v>3.2686759999999999E-3</v>
      </c>
      <c r="P505">
        <v>0.94955590000000001</v>
      </c>
      <c r="Q505">
        <v>0.30904389999999998</v>
      </c>
      <c r="R505">
        <v>5.3249419999999999E-2</v>
      </c>
      <c r="S505">
        <v>3.5374150000000002</v>
      </c>
      <c r="T505">
        <v>-1.1673209999999901</v>
      </c>
      <c r="U505">
        <v>1.5899659999999999E-2</v>
      </c>
      <c r="V505">
        <v>-4.9865310000000003E-2</v>
      </c>
      <c r="W505">
        <v>0.31769160000000002</v>
      </c>
      <c r="X505">
        <v>0.946882</v>
      </c>
      <c r="Y505">
        <v>-1.3179019999999999E-3</v>
      </c>
      <c r="Z505">
        <v>-8.0388619999999895E-4</v>
      </c>
      <c r="AA505">
        <v>0.99999879999999997</v>
      </c>
      <c r="AB505">
        <v>35</v>
      </c>
      <c r="AC505">
        <v>0.50999999999999002</v>
      </c>
      <c r="AD505">
        <v>-0.22468239999999901</v>
      </c>
      <c r="AE505">
        <v>2.4999999999977202E-3</v>
      </c>
      <c r="AF505">
        <v>-6.9751725087626403E-4</v>
      </c>
      <c r="AG505">
        <v>-0.22468239999999901</v>
      </c>
      <c r="AH505">
        <v>0.427110578486666</v>
      </c>
      <c r="AI505">
        <v>117.746675067978</v>
      </c>
      <c r="AJ505">
        <v>90.093570052104994</v>
      </c>
      <c r="AK505">
        <v>0.48260347455782998</v>
      </c>
      <c r="AL505">
        <v>71.476620289317495</v>
      </c>
      <c r="AM505">
        <v>93.014562500404395</v>
      </c>
      <c r="AN505">
        <v>1.0000000118879699</v>
      </c>
    </row>
    <row r="506" spans="1:40" x14ac:dyDescent="0.25">
      <c r="A506" t="str">
        <f>"20190304164832934"</f>
        <v>20190304164832934</v>
      </c>
      <c r="B506" t="str">
        <f>"1551689312927147"</f>
        <v>1551689312927147</v>
      </c>
      <c r="C506" t="s">
        <v>40</v>
      </c>
      <c r="D506">
        <v>4.6856960000000001</v>
      </c>
      <c r="E506">
        <v>0.55006889999999997</v>
      </c>
      <c r="F506" t="s">
        <v>41</v>
      </c>
      <c r="G506">
        <v>-368.97919999999999</v>
      </c>
      <c r="H506">
        <v>0.84354289999999998</v>
      </c>
      <c r="I506">
        <v>368.04219999999998</v>
      </c>
      <c r="J506">
        <v>-369.61660000000001</v>
      </c>
      <c r="K506">
        <v>1.109556</v>
      </c>
      <c r="L506">
        <v>368.03890000000001</v>
      </c>
      <c r="M506">
        <v>0.99995409999999996</v>
      </c>
      <c r="N506">
        <v>-9.0765359999999996E-3</v>
      </c>
      <c r="O506">
        <v>3.082301E-3</v>
      </c>
      <c r="P506">
        <v>0.94943960000000005</v>
      </c>
      <c r="Q506">
        <v>0.30934729999999999</v>
      </c>
      <c r="R506">
        <v>5.3560990000000003E-2</v>
      </c>
      <c r="S506">
        <v>3.5384220000000002</v>
      </c>
      <c r="T506">
        <v>-1.167597</v>
      </c>
      <c r="U506">
        <v>1.696777E-2</v>
      </c>
      <c r="V506">
        <v>-5.035154E-2</v>
      </c>
      <c r="W506">
        <v>0.31799860000000002</v>
      </c>
      <c r="X506">
        <v>0.94675319999999996</v>
      </c>
      <c r="Y506">
        <v>-1.7707840000000001E-3</v>
      </c>
      <c r="Z506">
        <v>-6.7067099999999996E-4</v>
      </c>
      <c r="AA506">
        <v>0.99999819999999995</v>
      </c>
      <c r="AB506">
        <v>35</v>
      </c>
      <c r="AC506">
        <v>0.63740000000001296</v>
      </c>
      <c r="AD506">
        <v>-0.2660131</v>
      </c>
      <c r="AE506">
        <v>3.2999999999674301E-3</v>
      </c>
      <c r="AF506">
        <v>-1.1371830431845299E-3</v>
      </c>
      <c r="AG506">
        <v>-0.2660131</v>
      </c>
      <c r="AH506">
        <v>0.54285819822605097</v>
      </c>
      <c r="AI506">
        <v>116.10587525041301</v>
      </c>
      <c r="AJ506">
        <v>90.120023412772596</v>
      </c>
      <c r="AK506">
        <v>0.60453228692776895</v>
      </c>
      <c r="AL506">
        <v>71.458068292209703</v>
      </c>
      <c r="AM506">
        <v>93.044315412243904</v>
      </c>
      <c r="AN506">
        <v>1.00000000444628</v>
      </c>
    </row>
    <row r="507" spans="1:40" x14ac:dyDescent="0.25">
      <c r="A507" t="str">
        <f>"20190304164832945"</f>
        <v>20190304164832945</v>
      </c>
      <c r="B507" t="str">
        <f>"1551689312936907"</f>
        <v>1551689312936907</v>
      </c>
      <c r="C507" t="s">
        <v>40</v>
      </c>
      <c r="D507">
        <v>4.7203660000000003</v>
      </c>
      <c r="E507">
        <v>0.54995839999999996</v>
      </c>
      <c r="F507" t="s">
        <v>41</v>
      </c>
      <c r="G507">
        <v>-368.68200000000002</v>
      </c>
      <c r="H507">
        <v>0.80106650000000001</v>
      </c>
      <c r="I507">
        <v>368.04379999999998</v>
      </c>
      <c r="J507">
        <v>-369.44529999999997</v>
      </c>
      <c r="K507">
        <v>1.1095600000000001</v>
      </c>
      <c r="L507">
        <v>368.03930000000003</v>
      </c>
      <c r="M507">
        <v>0.99995460000000003</v>
      </c>
      <c r="N507">
        <v>-9.0866980000000007E-3</v>
      </c>
      <c r="O507">
        <v>2.8942299999999998E-3</v>
      </c>
      <c r="P507">
        <v>0.94942649999999995</v>
      </c>
      <c r="Q507">
        <v>0.309365</v>
      </c>
      <c r="R507">
        <v>5.3693480000000002E-2</v>
      </c>
      <c r="S507">
        <v>3.5393979999999998</v>
      </c>
      <c r="T507">
        <v>-1.1683190000000001</v>
      </c>
      <c r="U507">
        <v>1.8890379999999998E-2</v>
      </c>
      <c r="V507">
        <v>-5.0660719999999999E-2</v>
      </c>
      <c r="W507">
        <v>0.3180267</v>
      </c>
      <c r="X507">
        <v>0.94672730000000005</v>
      </c>
      <c r="Y507">
        <v>-2.4540080000000001E-3</v>
      </c>
      <c r="Z507">
        <v>-4.9901709999999996E-4</v>
      </c>
      <c r="AA507">
        <v>0.99999680000000002</v>
      </c>
      <c r="AB507">
        <v>35</v>
      </c>
      <c r="AC507">
        <v>0.76330000000001497</v>
      </c>
      <c r="AD507">
        <v>-0.30849349999999998</v>
      </c>
      <c r="AE507">
        <v>4.4999999999504299E-3</v>
      </c>
      <c r="AF507">
        <v>-1.9690966427618199E-3</v>
      </c>
      <c r="AG507">
        <v>-0.30849349999999998</v>
      </c>
      <c r="AH507">
        <v>0.65613779398147298</v>
      </c>
      <c r="AI507">
        <v>115.181201898317</v>
      </c>
      <c r="AJ507">
        <v>90.171946486580296</v>
      </c>
      <c r="AK507">
        <v>0.72504408250444496</v>
      </c>
      <c r="AL507">
        <v>71.4563707199612</v>
      </c>
      <c r="AM507">
        <v>93.063056960116</v>
      </c>
      <c r="AN507">
        <v>1.00000003551454</v>
      </c>
    </row>
    <row r="508" spans="1:40" x14ac:dyDescent="0.25">
      <c r="A508" t="str">
        <f>"20190304164832956"</f>
        <v>20190304164832956</v>
      </c>
      <c r="B508" t="str">
        <f>"1551689312946667"</f>
        <v>1551689312946667</v>
      </c>
      <c r="C508" t="s">
        <v>40</v>
      </c>
      <c r="D508">
        <v>4.7203670000000004</v>
      </c>
      <c r="E508">
        <v>0.54986179999999996</v>
      </c>
      <c r="F508" t="s">
        <v>41</v>
      </c>
      <c r="G508">
        <v>-368.66180000000003</v>
      </c>
      <c r="H508">
        <v>0.85046290000000002</v>
      </c>
      <c r="I508">
        <v>368.04379999999998</v>
      </c>
      <c r="J508">
        <v>-369.29570000000001</v>
      </c>
      <c r="K508">
        <v>1.109561</v>
      </c>
      <c r="L508">
        <v>368.03960000000001</v>
      </c>
      <c r="M508">
        <v>0.99995500000000004</v>
      </c>
      <c r="N508">
        <v>-9.0958589999999995E-3</v>
      </c>
      <c r="O508">
        <v>2.7303660000000001E-3</v>
      </c>
      <c r="P508">
        <v>0.94944209999999996</v>
      </c>
      <c r="Q508">
        <v>0.30928549999999999</v>
      </c>
      <c r="R508">
        <v>5.3875680000000002E-2</v>
      </c>
      <c r="S508">
        <v>3.5400999999999998</v>
      </c>
      <c r="T508">
        <v>-1.1706810000000001</v>
      </c>
      <c r="U508">
        <v>2.1209720000000001E-2</v>
      </c>
      <c r="V508">
        <v>-5.099741E-2</v>
      </c>
      <c r="W508">
        <v>0.31795610000000002</v>
      </c>
      <c r="X508">
        <v>0.94673289999999999</v>
      </c>
      <c r="Y508">
        <v>-3.2216829999999999E-3</v>
      </c>
      <c r="Z508">
        <v>-3.213561E-4</v>
      </c>
      <c r="AA508">
        <v>0.99999479999999996</v>
      </c>
      <c r="AB508">
        <v>35</v>
      </c>
      <c r="AC508">
        <v>0.63389999999998203</v>
      </c>
      <c r="AD508">
        <v>-0.259098099999999</v>
      </c>
      <c r="AE508">
        <v>4.1999999999688901E-3</v>
      </c>
      <c r="AF508">
        <v>-2.11569039657663E-3</v>
      </c>
      <c r="AG508">
        <v>-0.259098099999999</v>
      </c>
      <c r="AH508">
        <v>0.54316835790630602</v>
      </c>
      <c r="AI508">
        <v>115.501556903337</v>
      </c>
      <c r="AJ508">
        <v>90.223171169088403</v>
      </c>
      <c r="AK508">
        <v>0.60180409320649897</v>
      </c>
      <c r="AL508">
        <v>71.460636592775899</v>
      </c>
      <c r="AM508">
        <v>93.083356612857798</v>
      </c>
      <c r="AN508">
        <v>1.00000000064816</v>
      </c>
    </row>
    <row r="509" spans="1:40" x14ac:dyDescent="0.25">
      <c r="A509" t="str">
        <f>"20190304164832965"</f>
        <v>20190304164832965</v>
      </c>
      <c r="B509" t="str">
        <f>"1551689312957402"</f>
        <v>1551689312957402</v>
      </c>
      <c r="C509" t="s">
        <v>40</v>
      </c>
      <c r="D509">
        <v>4.5102460000000004</v>
      </c>
      <c r="E509">
        <v>0.54995050000000001</v>
      </c>
      <c r="F509" t="s">
        <v>41</v>
      </c>
      <c r="G509">
        <v>-368.36689999999999</v>
      </c>
      <c r="H509">
        <v>0.80187619999999904</v>
      </c>
      <c r="I509">
        <v>368.0453</v>
      </c>
      <c r="J509">
        <v>-369.13729999999998</v>
      </c>
      <c r="K509">
        <v>1.109559</v>
      </c>
      <c r="L509">
        <v>368.03989999999999</v>
      </c>
      <c r="M509">
        <v>0.99995520000000004</v>
      </c>
      <c r="N509">
        <v>-9.1103739999999992E-3</v>
      </c>
      <c r="O509">
        <v>2.5568259999999999E-3</v>
      </c>
      <c r="P509">
        <v>0.94937769999999999</v>
      </c>
      <c r="Q509">
        <v>0.30944139999999998</v>
      </c>
      <c r="R509">
        <v>5.4111609999999997E-2</v>
      </c>
      <c r="S509">
        <v>3.5404969999999998</v>
      </c>
      <c r="T509">
        <v>-1.172822</v>
      </c>
      <c r="U509">
        <v>2.3468019999999999E-2</v>
      </c>
      <c r="V509">
        <v>-5.1396089999999998E-2</v>
      </c>
      <c r="W509">
        <v>0.31812610000000002</v>
      </c>
      <c r="X509">
        <v>0.94665429999999995</v>
      </c>
      <c r="Y509">
        <v>-3.9816870000000002E-3</v>
      </c>
      <c r="Z509">
        <v>-1.4127559999999999E-4</v>
      </c>
      <c r="AA509">
        <v>0.99999210000000005</v>
      </c>
      <c r="AB509">
        <v>35</v>
      </c>
      <c r="AC509">
        <v>0.77039999999999498</v>
      </c>
      <c r="AD509">
        <v>-0.30768279999999998</v>
      </c>
      <c r="AE509">
        <v>5.4000000000087303E-3</v>
      </c>
      <c r="AF509">
        <v>-2.9582842811772501E-3</v>
      </c>
      <c r="AG509">
        <v>-0.30768279999999998</v>
      </c>
      <c r="AH509">
        <v>0.664435768803885</v>
      </c>
      <c r="AI509">
        <v>114.847402215153</v>
      </c>
      <c r="AJ509">
        <v>90.255097771508204</v>
      </c>
      <c r="AK509">
        <v>0.73222424688597798</v>
      </c>
      <c r="AL509">
        <v>71.450364174010602</v>
      </c>
      <c r="AM509">
        <v>93.107671665205601</v>
      </c>
      <c r="AN509">
        <v>1.00000006863849</v>
      </c>
    </row>
    <row r="510" spans="1:40" x14ac:dyDescent="0.25">
      <c r="A510" t="str">
        <f>"20190304164832976"</f>
        <v>20190304164832976</v>
      </c>
      <c r="B510" t="str">
        <f>"1551689312967162"</f>
        <v>1551689312967162</v>
      </c>
      <c r="C510" t="s">
        <v>40</v>
      </c>
      <c r="D510">
        <v>4.5247039999999998</v>
      </c>
      <c r="E510">
        <v>0.55003380000000002</v>
      </c>
      <c r="F510" t="s">
        <v>41</v>
      </c>
      <c r="G510">
        <v>-368.34800000000001</v>
      </c>
      <c r="H510">
        <v>0.84821089999999999</v>
      </c>
      <c r="I510">
        <v>368.04480000000001</v>
      </c>
      <c r="J510">
        <v>-368.96859999999998</v>
      </c>
      <c r="K510">
        <v>1.109561</v>
      </c>
      <c r="L510">
        <v>368.0401</v>
      </c>
      <c r="M510">
        <v>0.9999555</v>
      </c>
      <c r="N510">
        <v>-9.1264689999999999E-3</v>
      </c>
      <c r="O510">
        <v>2.3718329999999998E-3</v>
      </c>
      <c r="P510">
        <v>0.94936149999999997</v>
      </c>
      <c r="Q510">
        <v>0.30942890000000001</v>
      </c>
      <c r="R510">
        <v>5.4466000000000001E-2</v>
      </c>
      <c r="S510">
        <v>3.5406490000000002</v>
      </c>
      <c r="T510">
        <v>-1.172247</v>
      </c>
      <c r="U510">
        <v>2.4383539999999999E-2</v>
      </c>
      <c r="V510">
        <v>-5.1925069999999997E-2</v>
      </c>
      <c r="W510">
        <v>0.31812879999999999</v>
      </c>
      <c r="X510">
        <v>0.94662449999999998</v>
      </c>
      <c r="Y510">
        <v>-4.3930890000000002E-3</v>
      </c>
      <c r="Z510" s="1">
        <v>-1.484045E-5</v>
      </c>
      <c r="AA510">
        <v>0.9999903</v>
      </c>
      <c r="AB510">
        <v>35</v>
      </c>
      <c r="AC510">
        <v>0.62059999999996696</v>
      </c>
      <c r="AD510">
        <v>-0.26135009999999997</v>
      </c>
      <c r="AE510">
        <v>4.7000000000139101E-3</v>
      </c>
      <c r="AF510">
        <v>-2.74175415911574E-3</v>
      </c>
      <c r="AG510">
        <v>-0.26135009999999997</v>
      </c>
      <c r="AH510">
        <v>0.52713023822639604</v>
      </c>
      <c r="AI510">
        <v>116.37181214957501</v>
      </c>
      <c r="AJ510">
        <v>90.298008943138697</v>
      </c>
      <c r="AK510">
        <v>0.58836865997306198</v>
      </c>
      <c r="AL510">
        <v>71.450200546346807</v>
      </c>
      <c r="AM510">
        <v>93.139691488944493</v>
      </c>
      <c r="AN510">
        <v>1.0000000451420901</v>
      </c>
    </row>
    <row r="511" spans="1:40" x14ac:dyDescent="0.25">
      <c r="A511" t="str">
        <f>"20190304164832987"</f>
        <v>20190304164832987</v>
      </c>
      <c r="B511" t="str">
        <f>"1551689312976923"</f>
        <v>1551689312976923</v>
      </c>
      <c r="C511" t="s">
        <v>40</v>
      </c>
      <c r="D511">
        <v>4.9192900000000002</v>
      </c>
      <c r="E511">
        <v>0.5501665</v>
      </c>
      <c r="F511" t="s">
        <v>41</v>
      </c>
      <c r="G511">
        <v>-368.05029999999999</v>
      </c>
      <c r="H511">
        <v>0.80558779999999997</v>
      </c>
      <c r="I511">
        <v>368.04629999999997</v>
      </c>
      <c r="J511">
        <v>-368.7978</v>
      </c>
      <c r="K511">
        <v>1.1095660000000001</v>
      </c>
      <c r="L511">
        <v>368.04039999999998</v>
      </c>
      <c r="M511">
        <v>0.99995579999999995</v>
      </c>
      <c r="N511">
        <v>-9.1472010000000006E-3</v>
      </c>
      <c r="O511">
        <v>2.1849769999999998E-3</v>
      </c>
      <c r="P511">
        <v>0.94936640000000005</v>
      </c>
      <c r="Q511">
        <v>0.30934889999999998</v>
      </c>
      <c r="R511">
        <v>5.4833279999999998E-2</v>
      </c>
      <c r="S511">
        <v>3.5405880000000001</v>
      </c>
      <c r="T511">
        <v>-1.171945</v>
      </c>
      <c r="U511">
        <v>2.4810789999999999E-2</v>
      </c>
      <c r="V511">
        <v>-5.246874E-2</v>
      </c>
      <c r="W511">
        <v>0.3180692</v>
      </c>
      <c r="X511">
        <v>0.94661450000000003</v>
      </c>
      <c r="Y511">
        <v>-4.6758069999999997E-3</v>
      </c>
      <c r="Z511" s="1">
        <v>9.0744520000000006E-5</v>
      </c>
      <c r="AA511">
        <v>0.99998909999999996</v>
      </c>
      <c r="AB511">
        <v>35</v>
      </c>
      <c r="AC511">
        <v>0.74750000000000205</v>
      </c>
      <c r="AD511">
        <v>-0.30397819999999998</v>
      </c>
      <c r="AE511">
        <v>5.8999999999968999E-3</v>
      </c>
      <c r="AF511">
        <v>-3.66122090305563E-3</v>
      </c>
      <c r="AG511">
        <v>-0.30397819999999998</v>
      </c>
      <c r="AH511">
        <v>0.64144118107657699</v>
      </c>
      <c r="AI511">
        <v>115.35585539698999</v>
      </c>
      <c r="AJ511">
        <v>90.327029560591697</v>
      </c>
      <c r="AK511">
        <v>0.70983303628011996</v>
      </c>
      <c r="AL511">
        <v>71.4538015638893</v>
      </c>
      <c r="AM511">
        <v>93.172531579214905</v>
      </c>
      <c r="AN511">
        <v>0.99999999813803797</v>
      </c>
    </row>
    <row r="512" spans="1:40" x14ac:dyDescent="0.25">
      <c r="A512" t="str">
        <f>"20190304164832998"</f>
        <v>20190304164832998</v>
      </c>
      <c r="B512" t="str">
        <f>"1551689312986684"</f>
        <v>1551689312986684</v>
      </c>
      <c r="C512" t="s">
        <v>40</v>
      </c>
      <c r="D512">
        <v>4.8960869999999996</v>
      </c>
      <c r="E512">
        <v>0.55014750000000001</v>
      </c>
      <c r="F512" t="s">
        <v>41</v>
      </c>
      <c r="G512">
        <v>-368.02969999999999</v>
      </c>
      <c r="H512">
        <v>0.85547580000000001</v>
      </c>
      <c r="I512">
        <v>368.04559999999998</v>
      </c>
      <c r="J512">
        <v>-368.62349999999998</v>
      </c>
      <c r="K512">
        <v>1.1095710000000001</v>
      </c>
      <c r="L512">
        <v>368.04059999999998</v>
      </c>
      <c r="M512">
        <v>0.99995599999999996</v>
      </c>
      <c r="N512">
        <v>-9.1704089999999992E-3</v>
      </c>
      <c r="O512">
        <v>1.9942340000000001E-3</v>
      </c>
      <c r="P512">
        <v>0.94913970000000003</v>
      </c>
      <c r="Q512">
        <v>0.30998569999999998</v>
      </c>
      <c r="R512">
        <v>5.5162309999999999E-2</v>
      </c>
      <c r="S512">
        <v>3.5401310000000001</v>
      </c>
      <c r="T512">
        <v>-1.1710640000000001</v>
      </c>
      <c r="U512">
        <v>2.5085449999999999E-2</v>
      </c>
      <c r="V512">
        <v>-5.297818E-2</v>
      </c>
      <c r="W512">
        <v>0.31872640000000002</v>
      </c>
      <c r="X512">
        <v>0.94636509999999996</v>
      </c>
      <c r="Y512">
        <v>-4.9220619999999996E-3</v>
      </c>
      <c r="Z512">
        <v>1.91406E-4</v>
      </c>
      <c r="AA512">
        <v>0.99998779999999998</v>
      </c>
      <c r="AB512">
        <v>35</v>
      </c>
      <c r="AC512">
        <v>0.593799999999987</v>
      </c>
      <c r="AD512">
        <v>-0.25409519999999902</v>
      </c>
      <c r="AE512">
        <v>4.9999999999954499E-3</v>
      </c>
      <c r="AF512">
        <v>-3.2252329735055298E-3</v>
      </c>
      <c r="AG512">
        <v>-0.25409519999999902</v>
      </c>
      <c r="AH512">
        <v>0.50191039415887195</v>
      </c>
      <c r="AI512">
        <v>116.850614932738</v>
      </c>
      <c r="AJ512">
        <v>90.368172677909698</v>
      </c>
      <c r="AK512">
        <v>0.56257338770642795</v>
      </c>
      <c r="AL512">
        <v>71.414080607742704</v>
      </c>
      <c r="AM512">
        <v>93.204113532774997</v>
      </c>
      <c r="AN512">
        <v>1.0000000540555301</v>
      </c>
    </row>
    <row r="513" spans="1:40" x14ac:dyDescent="0.25">
      <c r="A513" t="str">
        <f>"20190304164833009"</f>
        <v>20190304164833009</v>
      </c>
      <c r="B513" t="str">
        <f>"1551689313007178"</f>
        <v>1551689313007178</v>
      </c>
      <c r="C513" t="s">
        <v>40</v>
      </c>
      <c r="D513">
        <v>4.744618</v>
      </c>
      <c r="E513">
        <v>0.55001199999999995</v>
      </c>
      <c r="F513" t="s">
        <v>41</v>
      </c>
      <c r="G513">
        <v>-367.73099999999999</v>
      </c>
      <c r="H513">
        <v>0.81495189999999995</v>
      </c>
      <c r="I513">
        <v>368.04689999999999</v>
      </c>
      <c r="J513">
        <v>-368.44549999999998</v>
      </c>
      <c r="K513">
        <v>1.109575</v>
      </c>
      <c r="L513">
        <v>368.04079999999999</v>
      </c>
      <c r="M513">
        <v>0.99995630000000002</v>
      </c>
      <c r="N513">
        <v>-9.1991429999999999E-3</v>
      </c>
      <c r="O513">
        <v>1.7998879999999999E-3</v>
      </c>
      <c r="P513">
        <v>0.94904869999999997</v>
      </c>
      <c r="Q513">
        <v>0.310233799999999</v>
      </c>
      <c r="R513">
        <v>5.5334389999999997E-2</v>
      </c>
      <c r="S513">
        <v>3.5410159999999999</v>
      </c>
      <c r="T513">
        <v>-1.1688799999999999</v>
      </c>
      <c r="U513">
        <v>2.5787350000000001E-2</v>
      </c>
      <c r="V513">
        <v>-5.3333539999999999E-2</v>
      </c>
      <c r="W513">
        <v>0.31900079999999997</v>
      </c>
      <c r="X513">
        <v>0.9462526</v>
      </c>
      <c r="Y513">
        <v>-5.2839640000000004E-3</v>
      </c>
      <c r="Z513">
        <v>3.1187819999999998E-4</v>
      </c>
      <c r="AA513">
        <v>0.99998600000000004</v>
      </c>
      <c r="AB513">
        <v>35</v>
      </c>
      <c r="AC513">
        <v>0.71449999999998604</v>
      </c>
      <c r="AD513">
        <v>-0.29462309999999903</v>
      </c>
      <c r="AE513">
        <v>6.1000000000035401E-3</v>
      </c>
      <c r="AF513">
        <v>-4.1143913085742601E-3</v>
      </c>
      <c r="AG513">
        <v>-0.29462309999999903</v>
      </c>
      <c r="AH513">
        <v>0.610682236272868</v>
      </c>
      <c r="AI513">
        <v>115.754434998763</v>
      </c>
      <c r="AJ513">
        <v>90.386016943787297</v>
      </c>
      <c r="AK513">
        <v>0.67805050915745302</v>
      </c>
      <c r="AL513">
        <v>71.397491342718396</v>
      </c>
      <c r="AM513">
        <v>93.225943106364497</v>
      </c>
      <c r="AN513">
        <v>0.99999997994816503</v>
      </c>
    </row>
    <row r="514" spans="1:40" x14ac:dyDescent="0.25">
      <c r="A514" t="str">
        <f>"20190304164833022"</f>
        <v>20190304164833022</v>
      </c>
      <c r="B514" t="str">
        <f>"1551689313016939"</f>
        <v>1551689313016939</v>
      </c>
      <c r="C514" t="s">
        <v>40</v>
      </c>
      <c r="D514">
        <v>4.7617529999999997</v>
      </c>
      <c r="E514">
        <v>0.54994419999999899</v>
      </c>
      <c r="F514" t="s">
        <v>41</v>
      </c>
      <c r="G514">
        <v>-367.70960000000002</v>
      </c>
      <c r="H514">
        <v>0.866309</v>
      </c>
      <c r="I514">
        <v>368.04629999999997</v>
      </c>
      <c r="J514">
        <v>-368.25439999999998</v>
      </c>
      <c r="K514">
        <v>1.10958</v>
      </c>
      <c r="L514">
        <v>368.04090000000002</v>
      </c>
      <c r="M514">
        <v>0.99995610000000001</v>
      </c>
      <c r="N514">
        <v>-9.2362350000000006E-3</v>
      </c>
      <c r="O514">
        <v>1.591315E-3</v>
      </c>
      <c r="P514">
        <v>0.94898640000000001</v>
      </c>
      <c r="Q514">
        <v>0.3103842</v>
      </c>
      <c r="R514">
        <v>5.5559119999999997E-2</v>
      </c>
      <c r="S514">
        <v>3.5421140000000002</v>
      </c>
      <c r="T514">
        <v>-1.1708510000000001</v>
      </c>
      <c r="U514">
        <v>2.7801510000000001E-2</v>
      </c>
      <c r="V514">
        <v>-5.3755490000000003E-2</v>
      </c>
      <c r="W514">
        <v>0.31918600000000003</v>
      </c>
      <c r="X514">
        <v>0.94616630000000002</v>
      </c>
      <c r="Y514">
        <v>-6.0081459999999998E-3</v>
      </c>
      <c r="Z514">
        <v>4.976952E-4</v>
      </c>
      <c r="AA514">
        <v>0.99998180000000003</v>
      </c>
      <c r="AB514">
        <v>35</v>
      </c>
      <c r="AC514">
        <v>0.54479999999995199</v>
      </c>
      <c r="AD514">
        <v>-0.24327099999999999</v>
      </c>
      <c r="AE514">
        <v>5.3999999999518799E-3</v>
      </c>
      <c r="AF514">
        <v>-3.77948492307798E-3</v>
      </c>
      <c r="AG514">
        <v>-0.24327099999999999</v>
      </c>
      <c r="AH514">
        <v>0.45424436804301199</v>
      </c>
      <c r="AI514">
        <v>118.170492397443</v>
      </c>
      <c r="AJ514">
        <v>90.476711552511105</v>
      </c>
      <c r="AK514">
        <v>0.51529895191634101</v>
      </c>
      <c r="AL514">
        <v>71.386295452587305</v>
      </c>
      <c r="AM514">
        <v>93.251706639915</v>
      </c>
      <c r="AN514">
        <v>1.00000001127841</v>
      </c>
    </row>
    <row r="515" spans="1:40" x14ac:dyDescent="0.25">
      <c r="A515" t="str">
        <f>"20190304164833032"</f>
        <v>20190304164833032</v>
      </c>
      <c r="B515" t="str">
        <f>"1551689313026698"</f>
        <v>1551689313026698</v>
      </c>
      <c r="C515" t="s">
        <v>40</v>
      </c>
      <c r="D515">
        <v>4.745247</v>
      </c>
      <c r="E515">
        <v>0.54988380000000003</v>
      </c>
      <c r="F515" t="s">
        <v>41</v>
      </c>
      <c r="G515">
        <v>-367.40910000000002</v>
      </c>
      <c r="H515">
        <v>0.83004239999999996</v>
      </c>
      <c r="I515">
        <v>368.048</v>
      </c>
      <c r="J515">
        <v>-368.07150000000001</v>
      </c>
      <c r="K515">
        <v>1.1095820000000001</v>
      </c>
      <c r="L515">
        <v>368.04109999999997</v>
      </c>
      <c r="M515">
        <v>0.99995610000000001</v>
      </c>
      <c r="N515">
        <v>-9.2766280000000003E-3</v>
      </c>
      <c r="O515">
        <v>1.391668E-3</v>
      </c>
      <c r="P515">
        <v>0.94893320000000003</v>
      </c>
      <c r="Q515">
        <v>0.31055080000000002</v>
      </c>
      <c r="R515">
        <v>5.5534699999999999E-2</v>
      </c>
      <c r="S515">
        <v>3.5427249999999999</v>
      </c>
      <c r="T515">
        <v>-1.1716610000000001</v>
      </c>
      <c r="U515">
        <v>2.9937740000000001E-2</v>
      </c>
      <c r="V515">
        <v>-5.3919839999999997E-2</v>
      </c>
      <c r="W515">
        <v>0.31939119999999999</v>
      </c>
      <c r="X515">
        <v>0.94608769999999998</v>
      </c>
      <c r="Y515">
        <v>-6.7579149999999998E-3</v>
      </c>
      <c r="Z515">
        <v>6.8494929999999904E-4</v>
      </c>
      <c r="AA515">
        <v>0.99997689999999995</v>
      </c>
      <c r="AB515">
        <v>35</v>
      </c>
      <c r="AC515">
        <v>0.662399999999991</v>
      </c>
      <c r="AD515">
        <v>-0.2795396</v>
      </c>
      <c r="AE515">
        <v>6.9000000000300999E-3</v>
      </c>
      <c r="AF515">
        <v>-5.0744827531159801E-3</v>
      </c>
      <c r="AG515">
        <v>-0.2795396</v>
      </c>
      <c r="AH515">
        <v>0.56228159802172295</v>
      </c>
      <c r="AI515">
        <v>116.43344437589499</v>
      </c>
      <c r="AJ515">
        <v>90.517069299236496</v>
      </c>
      <c r="AK515">
        <v>0.62795599672049796</v>
      </c>
      <c r="AL515">
        <v>71.373888985652499</v>
      </c>
      <c r="AM515">
        <v>93.261897240909605</v>
      </c>
      <c r="AN515">
        <v>1.0000000119371699</v>
      </c>
    </row>
    <row r="516" spans="1:40" x14ac:dyDescent="0.25">
      <c r="A516" t="str">
        <f>"20190304164833045"</f>
        <v>20190304164833045</v>
      </c>
      <c r="B516" t="str">
        <f>"1551689313037434"</f>
        <v>1551689313037434</v>
      </c>
      <c r="C516" t="s">
        <v>40</v>
      </c>
      <c r="D516">
        <v>4.7624040000000001</v>
      </c>
      <c r="E516">
        <v>0.54981619999999998</v>
      </c>
      <c r="F516" t="s">
        <v>41</v>
      </c>
      <c r="G516">
        <v>-367.38659999999999</v>
      </c>
      <c r="H516">
        <v>0.88300140000000005</v>
      </c>
      <c r="I516">
        <v>368.04700000000003</v>
      </c>
      <c r="J516">
        <v>-367.89350000000002</v>
      </c>
      <c r="K516">
        <v>1.1095930000000001</v>
      </c>
      <c r="L516">
        <v>368.04109999999997</v>
      </c>
      <c r="M516">
        <v>0.99995590000000001</v>
      </c>
      <c r="N516">
        <v>-9.3246300000000004E-3</v>
      </c>
      <c r="O516">
        <v>1.19866E-3</v>
      </c>
      <c r="P516">
        <v>0.94892759999999998</v>
      </c>
      <c r="Q516">
        <v>0.31055749999999999</v>
      </c>
      <c r="R516">
        <v>5.5593209999999997E-2</v>
      </c>
      <c r="S516">
        <v>3.5432429999999999</v>
      </c>
      <c r="T516">
        <v>-1.172191</v>
      </c>
      <c r="U516">
        <v>3.0975340000000001E-2</v>
      </c>
      <c r="V516">
        <v>-5.4161550000000003E-2</v>
      </c>
      <c r="W516">
        <v>0.31944309999999998</v>
      </c>
      <c r="X516">
        <v>0.94605640000000002</v>
      </c>
      <c r="Y516">
        <v>-7.2078380000000003E-3</v>
      </c>
      <c r="Z516">
        <v>8.2044899999999903E-4</v>
      </c>
      <c r="AA516">
        <v>0.99997369999999997</v>
      </c>
      <c r="AB516">
        <v>35</v>
      </c>
      <c r="AC516">
        <v>0.50690000000002999</v>
      </c>
      <c r="AD516">
        <v>-0.226591599999999</v>
      </c>
      <c r="AE516">
        <v>5.8999999999968999E-3</v>
      </c>
      <c r="AF516">
        <v>-4.4110614692175797E-3</v>
      </c>
      <c r="AG516">
        <v>-0.226591599999999</v>
      </c>
      <c r="AH516">
        <v>0.42249450068908101</v>
      </c>
      <c r="AI516">
        <v>118.20418013973</v>
      </c>
      <c r="AJ516">
        <v>90.598175887408402</v>
      </c>
      <c r="AK516">
        <v>0.479442190223557</v>
      </c>
      <c r="AL516">
        <v>71.370751484366195</v>
      </c>
      <c r="AM516">
        <v>93.276595940128004</v>
      </c>
      <c r="AN516">
        <v>1.0000000398084801</v>
      </c>
    </row>
    <row r="517" spans="1:40" x14ac:dyDescent="0.25">
      <c r="A517" t="str">
        <f>"20190304164833055"</f>
        <v>20190304164833055</v>
      </c>
      <c r="B517" t="str">
        <f>"1551689313047195"</f>
        <v>1551689313047195</v>
      </c>
      <c r="C517" t="s">
        <v>40</v>
      </c>
      <c r="D517">
        <v>4.7603049999999998</v>
      </c>
      <c r="E517">
        <v>0.5497687</v>
      </c>
      <c r="F517" t="s">
        <v>41</v>
      </c>
      <c r="G517">
        <v>-367.08780000000002</v>
      </c>
      <c r="H517">
        <v>0.84273829999999905</v>
      </c>
      <c r="I517">
        <v>368.04840000000002</v>
      </c>
      <c r="J517">
        <v>-367.71480000000003</v>
      </c>
      <c r="K517">
        <v>1.109599</v>
      </c>
      <c r="L517">
        <v>368.0412</v>
      </c>
      <c r="M517">
        <v>0.99995560000000006</v>
      </c>
      <c r="N517">
        <v>-9.3750450000000003E-3</v>
      </c>
      <c r="O517">
        <v>1.005162E-3</v>
      </c>
      <c r="P517">
        <v>0.9489377</v>
      </c>
      <c r="Q517">
        <v>0.31061569999999999</v>
      </c>
      <c r="R517">
        <v>5.5096590000000001E-2</v>
      </c>
      <c r="S517">
        <v>3.5436709999999998</v>
      </c>
      <c r="T517">
        <v>-1.1737280000000001</v>
      </c>
      <c r="U517">
        <v>3.2989499999999998E-2</v>
      </c>
      <c r="V517">
        <v>-5.3847810000000003E-2</v>
      </c>
      <c r="W517">
        <v>0.31954840000000001</v>
      </c>
      <c r="X517">
        <v>0.94603870000000001</v>
      </c>
      <c r="Y517">
        <v>-7.9188850000000005E-3</v>
      </c>
      <c r="Z517">
        <v>1.000335E-3</v>
      </c>
      <c r="AA517">
        <v>0.99996819999999997</v>
      </c>
      <c r="AB517">
        <v>35</v>
      </c>
      <c r="AC517">
        <v>0.62700000000000899</v>
      </c>
      <c r="AD517">
        <v>-0.26686070000000001</v>
      </c>
      <c r="AE517">
        <v>7.2000000000116398E-3</v>
      </c>
      <c r="AF517">
        <v>-5.5622695391776998E-3</v>
      </c>
      <c r="AG517">
        <v>-0.26686070000000001</v>
      </c>
      <c r="AH517">
        <v>0.53085596651051103</v>
      </c>
      <c r="AI517">
        <v>116.687363110216</v>
      </c>
      <c r="AJ517">
        <v>90.600318970019103</v>
      </c>
      <c r="AK517">
        <v>0.59418316134566296</v>
      </c>
      <c r="AL517">
        <v>71.364383652065499</v>
      </c>
      <c r="AM517">
        <v>93.257717515608803</v>
      </c>
      <c r="AN517">
        <v>0.99999999424102304</v>
      </c>
    </row>
    <row r="518" spans="1:40" x14ac:dyDescent="0.25">
      <c r="A518" t="str">
        <f>"20190304164833067"</f>
        <v>20190304164833067</v>
      </c>
      <c r="B518" t="str">
        <f>"1551689313056955"</f>
        <v>1551689313056955</v>
      </c>
      <c r="C518" t="s">
        <v>40</v>
      </c>
      <c r="D518">
        <v>4.7221979999999997</v>
      </c>
      <c r="E518">
        <v>0.54973070000000002</v>
      </c>
      <c r="F518" t="s">
        <v>41</v>
      </c>
      <c r="G518">
        <v>-366.78809999999999</v>
      </c>
      <c r="H518">
        <v>0.80240690000000003</v>
      </c>
      <c r="I518">
        <v>368.04939999999999</v>
      </c>
      <c r="J518">
        <v>-367.52620000000002</v>
      </c>
      <c r="K518">
        <v>1.1096090000000001</v>
      </c>
      <c r="L518">
        <v>368.0412</v>
      </c>
      <c r="M518">
        <v>0.99995520000000004</v>
      </c>
      <c r="N518">
        <v>-9.4366740000000008E-3</v>
      </c>
      <c r="O518">
        <v>8.027892E-4</v>
      </c>
      <c r="P518">
        <v>0.94901040000000003</v>
      </c>
      <c r="Q518">
        <v>0.31043290000000001</v>
      </c>
      <c r="R518">
        <v>5.4872480000000001E-2</v>
      </c>
      <c r="S518">
        <v>3.5440670000000001</v>
      </c>
      <c r="T518">
        <v>-1.1747000000000001</v>
      </c>
      <c r="U518">
        <v>3.2226560000000001E-2</v>
      </c>
      <c r="V518">
        <v>-5.3815889999999998E-2</v>
      </c>
      <c r="W518">
        <v>0.31942500000000001</v>
      </c>
      <c r="X518">
        <v>0.94608219999999998</v>
      </c>
      <c r="Y518">
        <v>-7.8954160000000006E-3</v>
      </c>
      <c r="Z518">
        <v>1.060861E-3</v>
      </c>
      <c r="AA518">
        <v>0.99996830000000003</v>
      </c>
      <c r="AB518">
        <v>35</v>
      </c>
      <c r="AC518">
        <v>0.73810000000003095</v>
      </c>
      <c r="AD518">
        <v>-0.30720209999999998</v>
      </c>
      <c r="AE518">
        <v>8.1999999999879895E-3</v>
      </c>
      <c r="AF518">
        <v>-6.4843076358612204E-3</v>
      </c>
      <c r="AG518">
        <v>-0.30720209999999998</v>
      </c>
      <c r="AH518">
        <v>0.62913588009907495</v>
      </c>
      <c r="AI518">
        <v>116.024693104093</v>
      </c>
      <c r="AJ518">
        <v>90.590508851604696</v>
      </c>
      <c r="AK518">
        <v>0.70016221843081805</v>
      </c>
      <c r="AL518">
        <v>71.371845200446899</v>
      </c>
      <c r="AM518">
        <v>93.255641179377704</v>
      </c>
      <c r="AN518">
        <v>1.00000000489916</v>
      </c>
    </row>
    <row r="519" spans="1:40" x14ac:dyDescent="0.25">
      <c r="A519" t="str">
        <f>"20190304164833082"</f>
        <v>20190304164833082</v>
      </c>
      <c r="B519" t="str">
        <f>"1551689313076475"</f>
        <v>1551689313076475</v>
      </c>
      <c r="C519" t="s">
        <v>40</v>
      </c>
      <c r="D519">
        <v>4.8042629999999997</v>
      </c>
      <c r="E519">
        <v>0.54965419999999998</v>
      </c>
      <c r="F519" t="s">
        <v>41</v>
      </c>
      <c r="G519">
        <v>-366.7654</v>
      </c>
      <c r="H519">
        <v>0.85709389999999996</v>
      </c>
      <c r="I519">
        <v>368.04790000000003</v>
      </c>
      <c r="J519">
        <v>-367.31939999999997</v>
      </c>
      <c r="K519">
        <v>1.1096189999999999</v>
      </c>
      <c r="L519">
        <v>368.0412</v>
      </c>
      <c r="M519">
        <v>0.99995480000000003</v>
      </c>
      <c r="N519">
        <v>-9.5068029999999994E-3</v>
      </c>
      <c r="O519">
        <v>5.8219529999999997E-4</v>
      </c>
      <c r="P519">
        <v>0.94906299999999999</v>
      </c>
      <c r="Q519">
        <v>0.31033280000000002</v>
      </c>
      <c r="R519">
        <v>5.452415E-2</v>
      </c>
      <c r="S519">
        <v>3.5441280000000002</v>
      </c>
      <c r="T519">
        <v>-1.1763760000000001</v>
      </c>
      <c r="U519">
        <v>3.207397E-2</v>
      </c>
      <c r="V519">
        <v>-5.3677130000000003E-2</v>
      </c>
      <c r="W519">
        <v>0.3193916</v>
      </c>
      <c r="X519">
        <v>0.94610139999999998</v>
      </c>
      <c r="Y519">
        <v>-8.051819E-3</v>
      </c>
      <c r="Z519">
        <v>1.1578649999999999E-3</v>
      </c>
      <c r="AA519">
        <v>0.99996689999999999</v>
      </c>
      <c r="AB519">
        <v>35</v>
      </c>
      <c r="AC519">
        <v>0.55399999999997296</v>
      </c>
      <c r="AD519">
        <v>-0.2525251</v>
      </c>
      <c r="AE519">
        <v>6.7000000000234598E-3</v>
      </c>
      <c r="AF519">
        <v>-5.28046861330501E-3</v>
      </c>
      <c r="AG519">
        <v>-0.2525251</v>
      </c>
      <c r="AH519">
        <v>0.458710074714403</v>
      </c>
      <c r="AI519">
        <v>118.83167875569301</v>
      </c>
      <c r="AJ519">
        <v>90.6595346798685</v>
      </c>
      <c r="AK519">
        <v>0.52365231033891102</v>
      </c>
      <c r="AL519">
        <v>71.373865415112803</v>
      </c>
      <c r="AM519">
        <v>93.247198996147205</v>
      </c>
      <c r="AN519">
        <v>1.0000000437587699</v>
      </c>
    </row>
    <row r="520" spans="1:40" x14ac:dyDescent="0.25">
      <c r="A520" t="str">
        <f>"20190304164833094"</f>
        <v>20190304164833094</v>
      </c>
      <c r="B520" t="str">
        <f>"1551689313087211"</f>
        <v>1551689313087211</v>
      </c>
      <c r="C520" t="s">
        <v>40</v>
      </c>
      <c r="D520">
        <v>4.7897499999999997</v>
      </c>
      <c r="E520">
        <v>0.54960039999999999</v>
      </c>
      <c r="F520" t="s">
        <v>41</v>
      </c>
      <c r="G520">
        <v>-366.46260000000001</v>
      </c>
      <c r="H520">
        <v>0.82466399999999995</v>
      </c>
      <c r="I520">
        <v>368.04880000000003</v>
      </c>
      <c r="J520">
        <v>-367.11759999999998</v>
      </c>
      <c r="K520">
        <v>1.109629</v>
      </c>
      <c r="L520">
        <v>368.04109999999997</v>
      </c>
      <c r="M520">
        <v>0.99995409999999996</v>
      </c>
      <c r="N520">
        <v>-9.5784630000000006E-3</v>
      </c>
      <c r="O520">
        <v>3.6862910000000002E-4</v>
      </c>
      <c r="P520">
        <v>0.94916069999999997</v>
      </c>
      <c r="Q520">
        <v>0.31015500000000001</v>
      </c>
      <c r="R520">
        <v>5.3832520000000002E-2</v>
      </c>
      <c r="S520">
        <v>3.5444949999999902</v>
      </c>
      <c r="T520">
        <v>-1.1787019999999999</v>
      </c>
      <c r="U520">
        <v>3.3172609999999998E-2</v>
      </c>
      <c r="V520">
        <v>-5.3188810000000003E-2</v>
      </c>
      <c r="W520">
        <v>0.31928129999999999</v>
      </c>
      <c r="X520">
        <v>0.94616619999999996</v>
      </c>
      <c r="Y520">
        <v>-8.5351090000000008E-3</v>
      </c>
      <c r="Z520">
        <v>1.3079739999999999E-3</v>
      </c>
      <c r="AA520">
        <v>0.99996269999999998</v>
      </c>
      <c r="AB520">
        <v>35</v>
      </c>
      <c r="AC520">
        <v>0.65499999999997205</v>
      </c>
      <c r="AD520">
        <v>-0.28496500000000002</v>
      </c>
      <c r="AE520">
        <v>7.7000000000566598E-3</v>
      </c>
      <c r="AF520">
        <v>-6.2716198741693896E-3</v>
      </c>
      <c r="AG520">
        <v>-0.28496500000000002</v>
      </c>
      <c r="AH520">
        <v>0.55076872302590096</v>
      </c>
      <c r="AI520">
        <v>117.35530477921</v>
      </c>
      <c r="AJ520">
        <v>90.652400553250899</v>
      </c>
      <c r="AK520">
        <v>0.62015366700877295</v>
      </c>
      <c r="AL520">
        <v>71.380534202864794</v>
      </c>
      <c r="AM520">
        <v>93.217500517841202</v>
      </c>
      <c r="AN520">
        <v>1.0000000380306699</v>
      </c>
    </row>
    <row r="521" spans="1:40" x14ac:dyDescent="0.25">
      <c r="A521" t="str">
        <f>"20190304164833111"</f>
        <v>20190304164833111</v>
      </c>
      <c r="B521" t="str">
        <f>"1551689313106731"</f>
        <v>1551689313106731</v>
      </c>
      <c r="C521" t="s">
        <v>40</v>
      </c>
      <c r="D521">
        <v>4.8335080000000001</v>
      </c>
      <c r="E521">
        <v>0.54947950000000001</v>
      </c>
      <c r="F521" t="s">
        <v>41</v>
      </c>
      <c r="G521">
        <v>-366.43779999999998</v>
      </c>
      <c r="H521">
        <v>0.88321970000000005</v>
      </c>
      <c r="I521">
        <v>368.04700000000003</v>
      </c>
      <c r="J521">
        <v>-366.84059999999999</v>
      </c>
      <c r="K521">
        <v>1.1096379999999999</v>
      </c>
      <c r="L521">
        <v>368.04090000000002</v>
      </c>
      <c r="M521">
        <v>0.99995319999999999</v>
      </c>
      <c r="N521">
        <v>-9.6834850000000004E-3</v>
      </c>
      <c r="O521" s="1">
        <v>8.0342830000000001E-5</v>
      </c>
      <c r="P521">
        <v>0.94938860000000003</v>
      </c>
      <c r="Q521">
        <v>0.30968659999999998</v>
      </c>
      <c r="R521">
        <v>5.2494150000000003E-2</v>
      </c>
      <c r="S521">
        <v>3.5445250000000001</v>
      </c>
      <c r="T521">
        <v>-1.180315</v>
      </c>
      <c r="U521">
        <v>3.2623289999999999E-2</v>
      </c>
      <c r="V521">
        <v>-5.2126329999999998E-2</v>
      </c>
      <c r="W521">
        <v>0.31891350000000002</v>
      </c>
      <c r="X521">
        <v>0.94634929999999995</v>
      </c>
      <c r="Y521">
        <v>-8.6461590000000005E-3</v>
      </c>
      <c r="Z521">
        <v>1.4194120000000001E-3</v>
      </c>
      <c r="AA521">
        <v>0.99996160000000001</v>
      </c>
      <c r="AB521">
        <v>35</v>
      </c>
      <c r="AC521">
        <v>0.40280000000001298</v>
      </c>
      <c r="AD521">
        <v>-0.22641829999999899</v>
      </c>
      <c r="AE521">
        <v>6.0999999999467001E-3</v>
      </c>
      <c r="AF521">
        <v>-4.6110292895895598E-3</v>
      </c>
      <c r="AG521">
        <v>-0.22641829999999899</v>
      </c>
      <c r="AH521">
        <v>0.30610351994660401</v>
      </c>
      <c r="AI521">
        <v>126.486442101195</v>
      </c>
      <c r="AJ521">
        <v>90.8630169864674</v>
      </c>
      <c r="AK521">
        <v>0.38077010529937899</v>
      </c>
      <c r="AL521">
        <v>71.402769036885005</v>
      </c>
      <c r="AM521">
        <v>93.152751060506802</v>
      </c>
      <c r="AN521">
        <v>0.99999998618600405</v>
      </c>
    </row>
    <row r="522" spans="1:40" x14ac:dyDescent="0.25">
      <c r="A522" t="str">
        <f>"20190304164833122"</f>
        <v>20190304164833122</v>
      </c>
      <c r="B522" t="str">
        <f>"1551689313117469"</f>
        <v>1551689313117469</v>
      </c>
      <c r="C522" t="s">
        <v>40</v>
      </c>
      <c r="D522">
        <v>4.6143150000000004</v>
      </c>
      <c r="E522">
        <v>0.54963030000000002</v>
      </c>
      <c r="F522" t="s">
        <v>41</v>
      </c>
      <c r="G522">
        <v>-366.12630000000001</v>
      </c>
      <c r="H522">
        <v>0.87090859999999903</v>
      </c>
      <c r="I522">
        <v>368.04689999999999</v>
      </c>
      <c r="J522">
        <v>-366.67239999999998</v>
      </c>
      <c r="K522">
        <v>1.109648</v>
      </c>
      <c r="L522">
        <v>368.04070000000002</v>
      </c>
      <c r="M522">
        <v>0.99995250000000002</v>
      </c>
      <c r="N522">
        <v>-9.7520279999999994E-3</v>
      </c>
      <c r="O522" s="1">
        <v>-9.0629139999999999E-5</v>
      </c>
      <c r="P522">
        <v>0.94949249999999996</v>
      </c>
      <c r="Q522">
        <v>0.30952760000000001</v>
      </c>
      <c r="R522">
        <v>5.154359E-2</v>
      </c>
      <c r="S522">
        <v>3.5445859999999998</v>
      </c>
      <c r="T522">
        <v>-1.184615</v>
      </c>
      <c r="U522">
        <v>3.1127930000000002E-2</v>
      </c>
      <c r="V522">
        <v>-5.1340589999999998E-2</v>
      </c>
      <c r="W522">
        <v>0.31881900000000002</v>
      </c>
      <c r="X522">
        <v>0.94642409999999999</v>
      </c>
      <c r="Y522">
        <v>-8.3969240000000001E-3</v>
      </c>
      <c r="Z522">
        <v>1.4366730000000001E-3</v>
      </c>
      <c r="AA522">
        <v>0.99996370000000001</v>
      </c>
      <c r="AB522">
        <v>35</v>
      </c>
      <c r="AC522">
        <v>0.54609999999996695</v>
      </c>
      <c r="AD522">
        <v>-0.23873939999999999</v>
      </c>
      <c r="AE522">
        <v>6.1999999999784398E-3</v>
      </c>
      <c r="AF522">
        <v>-5.2468512252169799E-3</v>
      </c>
      <c r="AG522">
        <v>-0.23873939999999999</v>
      </c>
      <c r="AH522">
        <v>0.45848545209332298</v>
      </c>
      <c r="AI522">
        <v>117.505048562119</v>
      </c>
      <c r="AJ522">
        <v>90.655657245376702</v>
      </c>
      <c r="AK522">
        <v>0.51694578085265197</v>
      </c>
      <c r="AL522">
        <v>71.408481840852104</v>
      </c>
      <c r="AM522">
        <v>93.1050760082978</v>
      </c>
      <c r="AN522">
        <v>0.99999999400167805</v>
      </c>
    </row>
    <row r="523" spans="1:40" x14ac:dyDescent="0.25">
      <c r="A523" t="str">
        <f>"20190304164833134"</f>
        <v>20190304164833134</v>
      </c>
      <c r="B523" t="str">
        <f>"1551689313127227"</f>
        <v>1551689313127227</v>
      </c>
      <c r="C523" t="s">
        <v>40</v>
      </c>
      <c r="D523">
        <v>4.7655510000000003</v>
      </c>
      <c r="E523">
        <v>0.54957590000000001</v>
      </c>
      <c r="F523" t="s">
        <v>41</v>
      </c>
      <c r="G523">
        <v>-365.8279</v>
      </c>
      <c r="H523">
        <v>0.82803209999999905</v>
      </c>
      <c r="I523">
        <v>368.04669999999999</v>
      </c>
      <c r="J523">
        <v>-366.4717</v>
      </c>
      <c r="K523">
        <v>1.109664</v>
      </c>
      <c r="L523">
        <v>368.04050000000001</v>
      </c>
      <c r="M523">
        <v>0.9999517</v>
      </c>
      <c r="N523">
        <v>-9.8369619999999994E-3</v>
      </c>
      <c r="O523">
        <v>-2.9248749999999997E-4</v>
      </c>
      <c r="P523">
        <v>0.9496945</v>
      </c>
      <c r="Q523">
        <v>0.3090658</v>
      </c>
      <c r="R523">
        <v>5.058638E-2</v>
      </c>
      <c r="S523">
        <v>3.5432130000000002</v>
      </c>
      <c r="T523">
        <v>-1.1814469999999999</v>
      </c>
      <c r="U523">
        <v>2.6733400000000001E-2</v>
      </c>
      <c r="V523">
        <v>-5.0578860000000003E-2</v>
      </c>
      <c r="W523">
        <v>0.31843850000000001</v>
      </c>
      <c r="X523">
        <v>0.94659320000000002</v>
      </c>
      <c r="Y523">
        <v>-7.4088560000000001E-3</v>
      </c>
      <c r="Z523">
        <v>1.33222299999999E-3</v>
      </c>
      <c r="AA523">
        <v>0.99997170000000002</v>
      </c>
      <c r="AB523">
        <v>35</v>
      </c>
      <c r="AC523">
        <v>0.64379999999999804</v>
      </c>
      <c r="AD523">
        <v>-0.28163189999999999</v>
      </c>
      <c r="AE523">
        <v>6.1999999999784398E-3</v>
      </c>
      <c r="AF523">
        <v>-5.3622602977270598E-3</v>
      </c>
      <c r="AG523">
        <v>-0.28163189999999999</v>
      </c>
      <c r="AH523">
        <v>0.54039520283929598</v>
      </c>
      <c r="AI523">
        <v>117.525528783984</v>
      </c>
      <c r="AJ523">
        <v>90.568518741360904</v>
      </c>
      <c r="AK523">
        <v>0.60940319673007504</v>
      </c>
      <c r="AL523">
        <v>71.431481621788905</v>
      </c>
      <c r="AM523">
        <v>93.058549337717807</v>
      </c>
      <c r="AN523">
        <v>0.99999999282369401</v>
      </c>
    </row>
    <row r="524" spans="1:40" x14ac:dyDescent="0.25">
      <c r="A524" t="str">
        <f>"20190304164833145"</f>
        <v>20190304164833145</v>
      </c>
      <c r="B524" t="str">
        <f>"1551689313136987"</f>
        <v>1551689313136987</v>
      </c>
      <c r="C524" t="s">
        <v>40</v>
      </c>
      <c r="D524">
        <v>4.7892979999999996</v>
      </c>
      <c r="E524">
        <v>0.54952840000000003</v>
      </c>
      <c r="F524" t="s">
        <v>41</v>
      </c>
      <c r="G524">
        <v>-365.80309999999997</v>
      </c>
      <c r="H524">
        <v>0.88618779999999997</v>
      </c>
      <c r="I524">
        <v>368.04469999999998</v>
      </c>
      <c r="J524">
        <v>-366.3048</v>
      </c>
      <c r="K524">
        <v>1.109677</v>
      </c>
      <c r="L524">
        <v>368.0403</v>
      </c>
      <c r="M524">
        <v>0.99995080000000003</v>
      </c>
      <c r="N524">
        <v>-9.9140510000000001E-3</v>
      </c>
      <c r="O524">
        <v>-4.5268890000000001E-4</v>
      </c>
      <c r="P524">
        <v>0.94977290000000003</v>
      </c>
      <c r="Q524">
        <v>0.30895610000000001</v>
      </c>
      <c r="R524">
        <v>4.9776239999999999E-2</v>
      </c>
      <c r="S524">
        <v>3.542999</v>
      </c>
      <c r="T524">
        <v>-1.184172</v>
      </c>
      <c r="U524">
        <v>2.4353030000000001E-2</v>
      </c>
      <c r="V524">
        <v>-4.9925009999999999E-2</v>
      </c>
      <c r="W524">
        <v>0.31840089999999999</v>
      </c>
      <c r="X524">
        <v>0.94664060000000005</v>
      </c>
      <c r="Y524">
        <v>-6.9151539999999997E-3</v>
      </c>
      <c r="Z524">
        <v>1.3031589999999999E-3</v>
      </c>
      <c r="AA524">
        <v>0.99997530000000001</v>
      </c>
      <c r="AB524">
        <v>35</v>
      </c>
      <c r="AC524">
        <v>0.50170000000002701</v>
      </c>
      <c r="AD524">
        <v>-0.223489199999999</v>
      </c>
      <c r="AE524">
        <v>4.3999999999755303E-3</v>
      </c>
      <c r="AF524">
        <v>-3.8610120673102698E-3</v>
      </c>
      <c r="AG524">
        <v>-0.223489199999999</v>
      </c>
      <c r="AH524">
        <v>0.41863186782190998</v>
      </c>
      <c r="AI524">
        <v>118.094791340569</v>
      </c>
      <c r="AJ524">
        <v>90.528419933920901</v>
      </c>
      <c r="AK524">
        <v>0.47456819392673699</v>
      </c>
      <c r="AL524">
        <v>71.4337549994558</v>
      </c>
      <c r="AM524">
        <v>93.018933171135998</v>
      </c>
      <c r="AN524">
        <v>1.0000000326563301</v>
      </c>
    </row>
    <row r="525" spans="1:40" x14ac:dyDescent="0.25">
      <c r="A525" t="str">
        <f>"20190304164833156"</f>
        <v>20190304164833156</v>
      </c>
      <c r="B525" t="str">
        <f>"1551689313146747"</f>
        <v>1551689313146747</v>
      </c>
      <c r="C525" t="s">
        <v>40</v>
      </c>
      <c r="D525">
        <v>4.8188709999999997</v>
      </c>
      <c r="E525">
        <v>0.54948149999999996</v>
      </c>
      <c r="F525" t="s">
        <v>41</v>
      </c>
      <c r="G525">
        <v>-365.5052</v>
      </c>
      <c r="H525">
        <v>0.84209940000000005</v>
      </c>
      <c r="I525">
        <v>368.04500000000002</v>
      </c>
      <c r="J525">
        <v>-366.12700000000001</v>
      </c>
      <c r="K525">
        <v>1.1096950000000001</v>
      </c>
      <c r="L525">
        <v>368.0401</v>
      </c>
      <c r="M525">
        <v>0.99994989999999995</v>
      </c>
      <c r="N525">
        <v>-9.9974150000000008E-3</v>
      </c>
      <c r="O525">
        <v>-6.2161940000000004E-4</v>
      </c>
      <c r="P525">
        <v>0.94988320000000004</v>
      </c>
      <c r="Q525">
        <v>0.30874849999999998</v>
      </c>
      <c r="R525">
        <v>4.8952599999999999E-2</v>
      </c>
      <c r="S525">
        <v>3.5431819999999998</v>
      </c>
      <c r="T525">
        <v>-1.18564</v>
      </c>
      <c r="U525">
        <v>2.215576E-2</v>
      </c>
      <c r="V525">
        <v>-4.9266419999999998E-2</v>
      </c>
      <c r="W525">
        <v>0.318272099999999</v>
      </c>
      <c r="X525">
        <v>0.94671839999999996</v>
      </c>
      <c r="Y525">
        <v>-6.4784899999999999E-3</v>
      </c>
      <c r="Z525">
        <v>1.284877E-3</v>
      </c>
      <c r="AA525">
        <v>0.99997820000000004</v>
      </c>
      <c r="AB525">
        <v>35</v>
      </c>
      <c r="AC525">
        <v>0.62179999999994995</v>
      </c>
      <c r="AD525">
        <v>-0.26759559999999999</v>
      </c>
      <c r="AE525">
        <v>4.9000000000205502E-3</v>
      </c>
      <c r="AF525">
        <v>-4.4604818314542896E-3</v>
      </c>
      <c r="AG525">
        <v>-0.26759559999999999</v>
      </c>
      <c r="AH525">
        <v>0.52463668194041801</v>
      </c>
      <c r="AI525">
        <v>117.023420761189</v>
      </c>
      <c r="AJ525">
        <v>90.4871192479428</v>
      </c>
      <c r="AK525">
        <v>0.58895751041563205</v>
      </c>
      <c r="AL525">
        <v>71.441539415328293</v>
      </c>
      <c r="AM525">
        <v>92.978936494454103</v>
      </c>
      <c r="AN525">
        <v>1.0000000193382901</v>
      </c>
    </row>
    <row r="526" spans="1:40" x14ac:dyDescent="0.25">
      <c r="A526" t="str">
        <f>"20190304164833166"</f>
        <v>20190304164833166</v>
      </c>
      <c r="B526" t="str">
        <f>"1551689313156507"</f>
        <v>1551689313156507</v>
      </c>
      <c r="C526" t="s">
        <v>40</v>
      </c>
      <c r="D526">
        <v>5.2176210000000003</v>
      </c>
      <c r="E526">
        <v>0.54946549999999905</v>
      </c>
      <c r="F526" t="s">
        <v>41</v>
      </c>
      <c r="G526">
        <v>-365.20519999999999</v>
      </c>
      <c r="H526">
        <v>0.80071190000000003</v>
      </c>
      <c r="I526">
        <v>368.04480000000001</v>
      </c>
      <c r="J526">
        <v>-365.96249999999998</v>
      </c>
      <c r="K526">
        <v>1.1097129999999999</v>
      </c>
      <c r="L526">
        <v>368.03989999999999</v>
      </c>
      <c r="M526">
        <v>0.99994890000000003</v>
      </c>
      <c r="N526">
        <v>-1.0081120000000001E-2</v>
      </c>
      <c r="O526">
        <v>-7.6943649999999895E-4</v>
      </c>
      <c r="P526">
        <v>0.94991490000000001</v>
      </c>
      <c r="Q526">
        <v>0.30877320000000003</v>
      </c>
      <c r="R526">
        <v>4.8171940000000003E-2</v>
      </c>
      <c r="S526">
        <v>3.543304</v>
      </c>
      <c r="T526">
        <v>-1.1876009999999999</v>
      </c>
      <c r="U526">
        <v>1.9653319999999998E-2</v>
      </c>
      <c r="V526">
        <v>-4.8631269999999997E-2</v>
      </c>
      <c r="W526">
        <v>0.31837480000000001</v>
      </c>
      <c r="X526">
        <v>0.94671669999999997</v>
      </c>
      <c r="Y526">
        <v>-5.9412750000000002E-3</v>
      </c>
      <c r="Z526">
        <v>1.2434E-3</v>
      </c>
      <c r="AA526">
        <v>0.99998160000000003</v>
      </c>
      <c r="AB526">
        <v>35</v>
      </c>
      <c r="AC526">
        <v>0.75729999999998598</v>
      </c>
      <c r="AD526">
        <v>-0.30900109999999897</v>
      </c>
      <c r="AE526">
        <v>4.9000000000205502E-3</v>
      </c>
      <c r="AF526">
        <v>-4.70022238649435E-3</v>
      </c>
      <c r="AG526">
        <v>-0.30900109999999897</v>
      </c>
      <c r="AH526">
        <v>0.649213906503605</v>
      </c>
      <c r="AI526">
        <v>115.45208688954</v>
      </c>
      <c r="AJ526">
        <v>90.414806580293501</v>
      </c>
      <c r="AK526">
        <v>0.71901492911438503</v>
      </c>
      <c r="AL526">
        <v>71.435332112326705</v>
      </c>
      <c r="AM526">
        <v>92.940604718120198</v>
      </c>
      <c r="AN526">
        <v>1.00000001187787</v>
      </c>
    </row>
    <row r="527" spans="1:40" x14ac:dyDescent="0.25">
      <c r="A527" t="str">
        <f>"20190304164833177"</f>
        <v>20190304164833177</v>
      </c>
      <c r="B527" t="str">
        <f>"1551689313167243"</f>
        <v>1551689313167243</v>
      </c>
      <c r="C527" t="s">
        <v>40</v>
      </c>
      <c r="D527">
        <v>4.8357449999999904</v>
      </c>
      <c r="E527">
        <v>0.54945100000000002</v>
      </c>
      <c r="F527" t="s">
        <v>41</v>
      </c>
      <c r="G527">
        <v>-365.18529999999998</v>
      </c>
      <c r="H527">
        <v>0.84916100000000005</v>
      </c>
      <c r="I527">
        <v>368.04320000000001</v>
      </c>
      <c r="J527">
        <v>-365.78919999999999</v>
      </c>
      <c r="K527">
        <v>1.1097319999999999</v>
      </c>
      <c r="L527">
        <v>368.03960000000001</v>
      </c>
      <c r="M527">
        <v>0.99994780000000005</v>
      </c>
      <c r="N527">
        <v>-1.017054E-2</v>
      </c>
      <c r="O527">
        <v>-9.2228429999999999E-4</v>
      </c>
      <c r="P527">
        <v>0.94986250000000005</v>
      </c>
      <c r="Q527">
        <v>0.30905850000000001</v>
      </c>
      <c r="R527">
        <v>4.7372440000000002E-2</v>
      </c>
      <c r="S527">
        <v>3.5434570000000001</v>
      </c>
      <c r="T527">
        <v>-1.187962</v>
      </c>
      <c r="U527">
        <v>1.721191E-2</v>
      </c>
      <c r="V527">
        <v>-4.7983070000000003E-2</v>
      </c>
      <c r="W527">
        <v>0.318743099999999</v>
      </c>
      <c r="X527">
        <v>0.94662579999999996</v>
      </c>
      <c r="Y527">
        <v>-5.4259030000000001E-3</v>
      </c>
      <c r="Z527">
        <v>1.2054920000000001E-3</v>
      </c>
      <c r="AA527">
        <v>0.9999846</v>
      </c>
      <c r="AB527">
        <v>35</v>
      </c>
      <c r="AC527">
        <v>0.60390000000000998</v>
      </c>
      <c r="AD527">
        <v>-0.260570999999999</v>
      </c>
      <c r="AE527">
        <v>3.6000000000058199E-3</v>
      </c>
      <c r="AF527">
        <v>-3.50455613468602E-3</v>
      </c>
      <c r="AG527">
        <v>-0.260570999999999</v>
      </c>
      <c r="AH527">
        <v>0.50911512209316601</v>
      </c>
      <c r="AI527">
        <v>117.103340464688</v>
      </c>
      <c r="AJ527">
        <v>90.394396268022007</v>
      </c>
      <c r="AK527">
        <v>0.57193333134084801</v>
      </c>
      <c r="AL527">
        <v>71.4130695365223</v>
      </c>
      <c r="AM527">
        <v>92.9017553371513</v>
      </c>
      <c r="AN527">
        <v>0.99999997201493696</v>
      </c>
    </row>
    <row r="528" spans="1:40" x14ac:dyDescent="0.25">
      <c r="A528" t="str">
        <f>"20190304164833188"</f>
        <v>20190304164833188</v>
      </c>
      <c r="B528" t="str">
        <f>"1551689313177003"</f>
        <v>1551689313177003</v>
      </c>
      <c r="C528" t="s">
        <v>40</v>
      </c>
      <c r="D528">
        <v>4.7897019999999904</v>
      </c>
      <c r="E528">
        <v>0.54944709999999997</v>
      </c>
      <c r="F528" t="s">
        <v>41</v>
      </c>
      <c r="G528">
        <v>-364.88569999999999</v>
      </c>
      <c r="H528">
        <v>0.8070794</v>
      </c>
      <c r="I528">
        <v>368.04320000000001</v>
      </c>
      <c r="J528">
        <v>-365.6148</v>
      </c>
      <c r="K528">
        <v>1.1097549999999901</v>
      </c>
      <c r="L528">
        <v>368.03930000000003</v>
      </c>
      <c r="M528">
        <v>0.99994680000000002</v>
      </c>
      <c r="N528">
        <v>-1.026519E-2</v>
      </c>
      <c r="O528">
        <v>-1.0668030000000001E-3</v>
      </c>
      <c r="P528">
        <v>0.9500014</v>
      </c>
      <c r="Q528">
        <v>0.30871320000000002</v>
      </c>
      <c r="R528">
        <v>4.6836450000000002E-2</v>
      </c>
      <c r="S528">
        <v>3.5438839999999998</v>
      </c>
      <c r="T528">
        <v>-1.1870969999999901</v>
      </c>
      <c r="U528">
        <v>1.452637E-2</v>
      </c>
      <c r="V528">
        <v>-4.7592429999999998E-2</v>
      </c>
      <c r="W528">
        <v>0.31848680000000001</v>
      </c>
      <c r="X528">
        <v>0.94673180000000001</v>
      </c>
      <c r="Y528">
        <v>-4.8382989999999999E-3</v>
      </c>
      <c r="Z528">
        <v>1.1514959999999999E-3</v>
      </c>
      <c r="AA528">
        <v>0.99998770000000003</v>
      </c>
      <c r="AB528">
        <v>35</v>
      </c>
      <c r="AC528">
        <v>0.72910000000001596</v>
      </c>
      <c r="AD528">
        <v>-0.30267559999999899</v>
      </c>
      <c r="AE528">
        <v>3.8999999999873498E-3</v>
      </c>
      <c r="AF528">
        <v>-3.99020174091054E-3</v>
      </c>
      <c r="AG528">
        <v>-0.30267559999999899</v>
      </c>
      <c r="AH528">
        <v>0.62191841844218498</v>
      </c>
      <c r="AI528">
        <v>115.950822049843</v>
      </c>
      <c r="AJ528">
        <v>90.367602205409696</v>
      </c>
      <c r="AK528">
        <v>0.691672581314975</v>
      </c>
      <c r="AL528">
        <v>71.428562206923601</v>
      </c>
      <c r="AM528">
        <v>92.877849726666199</v>
      </c>
      <c r="AN528">
        <v>0.99999999114939198</v>
      </c>
    </row>
    <row r="529" spans="1:40" x14ac:dyDescent="0.25">
      <c r="A529" t="str">
        <f>"20190304164833200"</f>
        <v>20190304164833200</v>
      </c>
      <c r="B529" t="str">
        <f>"1551689313196523"</f>
        <v>1551689313196523</v>
      </c>
      <c r="C529" t="s">
        <v>40</v>
      </c>
      <c r="D529">
        <v>4.8414400000000004</v>
      </c>
      <c r="E529">
        <v>0.54941169999999995</v>
      </c>
      <c r="F529" t="s">
        <v>41</v>
      </c>
      <c r="G529">
        <v>-364.8646</v>
      </c>
      <c r="H529">
        <v>0.85808549999999995</v>
      </c>
      <c r="I529">
        <v>368.04169999999999</v>
      </c>
      <c r="J529">
        <v>-365.43430000000001</v>
      </c>
      <c r="K529">
        <v>1.109777</v>
      </c>
      <c r="L529">
        <v>368.03899999999999</v>
      </c>
      <c r="M529">
        <v>0.99994559999999999</v>
      </c>
      <c r="N529">
        <v>-1.0364999999999999E-2</v>
      </c>
      <c r="O529">
        <v>-1.2106269999999999E-3</v>
      </c>
      <c r="P529">
        <v>0.95000260000000003</v>
      </c>
      <c r="Q529">
        <v>0.30878650000000002</v>
      </c>
      <c r="R529">
        <v>4.63258E-2</v>
      </c>
      <c r="S529">
        <v>3.5435789999999998</v>
      </c>
      <c r="T529">
        <v>-1.1886620000000001</v>
      </c>
      <c r="U529">
        <v>1.2207030000000001E-2</v>
      </c>
      <c r="V529">
        <v>-4.7225330000000003E-2</v>
      </c>
      <c r="W529">
        <v>0.31865310000000002</v>
      </c>
      <c r="X529">
        <v>0.94669429999999999</v>
      </c>
      <c r="Y529">
        <v>-4.3474029999999997E-3</v>
      </c>
      <c r="Z529">
        <v>1.115911E-3</v>
      </c>
      <c r="AA529">
        <v>0.99998989999999999</v>
      </c>
      <c r="AB529">
        <v>35</v>
      </c>
      <c r="AC529">
        <v>0.56970000000001098</v>
      </c>
      <c r="AD529">
        <v>-0.25169150000000001</v>
      </c>
      <c r="AE529">
        <v>2.7000000000043599E-3</v>
      </c>
      <c r="AF529">
        <v>-2.8361667369460101E-3</v>
      </c>
      <c r="AG529">
        <v>-0.25169150000000001</v>
      </c>
      <c r="AH529">
        <v>0.476661591790499</v>
      </c>
      <c r="AI529">
        <v>117.83496799093</v>
      </c>
      <c r="AJ529">
        <v>90.340909503053993</v>
      </c>
      <c r="AK529">
        <v>0.53903889294026097</v>
      </c>
      <c r="AL529">
        <v>71.418511602005495</v>
      </c>
      <c r="AM529">
        <v>92.855801504437693</v>
      </c>
      <c r="AN529">
        <v>1.0000000637928499</v>
      </c>
    </row>
    <row r="530" spans="1:40" x14ac:dyDescent="0.25">
      <c r="A530" t="str">
        <f>"20190304164833212"</f>
        <v>20190304164833212</v>
      </c>
      <c r="B530" t="str">
        <f>"1551689313207259"</f>
        <v>1551689313207259</v>
      </c>
      <c r="C530" t="s">
        <v>40</v>
      </c>
      <c r="D530">
        <v>4.8351369999999996</v>
      </c>
      <c r="E530">
        <v>0.54934899999999998</v>
      </c>
      <c r="F530" t="s">
        <v>41</v>
      </c>
      <c r="G530">
        <v>-364.56450000000001</v>
      </c>
      <c r="H530">
        <v>0.81790269999999898</v>
      </c>
      <c r="I530">
        <v>368.04109999999997</v>
      </c>
      <c r="J530">
        <v>-365.24059999999997</v>
      </c>
      <c r="K530">
        <v>1.1098079999999999</v>
      </c>
      <c r="L530">
        <v>368.03859999999997</v>
      </c>
      <c r="M530">
        <v>0.99994430000000001</v>
      </c>
      <c r="N530">
        <v>-1.047469E-2</v>
      </c>
      <c r="O530">
        <v>-1.3562769999999999E-3</v>
      </c>
      <c r="P530">
        <v>0.95009540000000003</v>
      </c>
      <c r="Q530">
        <v>0.30857620000000002</v>
      </c>
      <c r="R530">
        <v>4.5822420000000003E-2</v>
      </c>
      <c r="S530">
        <v>3.5439449999999999</v>
      </c>
      <c r="T530">
        <v>-1.1892590000000001</v>
      </c>
      <c r="U530">
        <v>1.00708E-2</v>
      </c>
      <c r="V530">
        <v>-4.6869580000000001E-2</v>
      </c>
      <c r="W530">
        <v>0.318546</v>
      </c>
      <c r="X530">
        <v>0.94674800000000003</v>
      </c>
      <c r="Y530">
        <v>-3.9070889999999999E-3</v>
      </c>
      <c r="Z530">
        <v>1.088255E-3</v>
      </c>
      <c r="AA530">
        <v>0.99999179999999999</v>
      </c>
      <c r="AB530">
        <v>35</v>
      </c>
      <c r="AC530">
        <v>0.67609999999996195</v>
      </c>
      <c r="AD530">
        <v>-0.29190529999999998</v>
      </c>
      <c r="AE530">
        <v>2.4999999999977202E-3</v>
      </c>
      <c r="AF530">
        <v>-2.8801535343212399E-3</v>
      </c>
      <c r="AG530">
        <v>-0.29190529999999998</v>
      </c>
      <c r="AH530">
        <v>0.56986975884854896</v>
      </c>
      <c r="AI530">
        <v>117.122662269053</v>
      </c>
      <c r="AJ530">
        <v>90.289573598630895</v>
      </c>
      <c r="AK530">
        <v>0.64028785831263002</v>
      </c>
      <c r="AL530">
        <v>71.4249849400464</v>
      </c>
      <c r="AM530">
        <v>92.834163365348999</v>
      </c>
      <c r="AN530">
        <v>1.0000000435746801</v>
      </c>
    </row>
    <row r="531" spans="1:40" x14ac:dyDescent="0.25">
      <c r="A531" t="str">
        <f>"20190304164833223"</f>
        <v>20190304164833223</v>
      </c>
      <c r="B531" t="str">
        <f>"1551689313217019"</f>
        <v>1551689313217019</v>
      </c>
      <c r="C531" t="s">
        <v>40</v>
      </c>
      <c r="D531">
        <v>5.2420039999999997</v>
      </c>
      <c r="E531">
        <v>0.54931869999999905</v>
      </c>
      <c r="F531" t="s">
        <v>41</v>
      </c>
      <c r="G531">
        <v>-364.54070000000002</v>
      </c>
      <c r="H531">
        <v>0.87453199999999998</v>
      </c>
      <c r="I531">
        <v>368.03989999999999</v>
      </c>
      <c r="J531">
        <v>-365.06740000000002</v>
      </c>
      <c r="K531">
        <v>1.109829</v>
      </c>
      <c r="L531">
        <v>368.03820000000002</v>
      </c>
      <c r="M531">
        <v>0.99994309999999997</v>
      </c>
      <c r="N531">
        <v>-1.057191E-2</v>
      </c>
      <c r="O531">
        <v>-1.4738469999999999E-3</v>
      </c>
      <c r="P531">
        <v>0.95016319999999999</v>
      </c>
      <c r="Q531">
        <v>0.3083979</v>
      </c>
      <c r="R531">
        <v>4.5617209999999998E-2</v>
      </c>
      <c r="S531">
        <v>3.544098</v>
      </c>
      <c r="T531">
        <v>-1.191268</v>
      </c>
      <c r="U531">
        <v>8.5144039999999997E-3</v>
      </c>
      <c r="V531">
        <v>-4.6785239999999999E-2</v>
      </c>
      <c r="W531">
        <v>0.3184593</v>
      </c>
      <c r="X531">
        <v>0.94678130000000005</v>
      </c>
      <c r="Y531">
        <v>-3.5960480000000001E-3</v>
      </c>
      <c r="Z531">
        <v>1.0746969999999999E-3</v>
      </c>
      <c r="AA531">
        <v>0.99999300000000002</v>
      </c>
      <c r="AB531">
        <v>35</v>
      </c>
      <c r="AC531">
        <v>0.52670000000000505</v>
      </c>
      <c r="AD531">
        <v>-0.23529700000000001</v>
      </c>
      <c r="AE531">
        <v>1.6999999999711599E-3</v>
      </c>
      <c r="AF531">
        <v>-2.06433193789001E-3</v>
      </c>
      <c r="AG531">
        <v>-0.23529700000000001</v>
      </c>
      <c r="AH531">
        <v>0.43907036573680702</v>
      </c>
      <c r="AI531">
        <v>118.186511666377</v>
      </c>
      <c r="AJ531">
        <v>90.269379683275901</v>
      </c>
      <c r="AK531">
        <v>0.49814829693937901</v>
      </c>
      <c r="AL531">
        <v>71.430224697036095</v>
      </c>
      <c r="AM531">
        <v>92.828972348606101</v>
      </c>
      <c r="AN531">
        <v>1.0000000072340101</v>
      </c>
    </row>
    <row r="532" spans="1:40" x14ac:dyDescent="0.25">
      <c r="A532" t="str">
        <f>"20190304164833234"</f>
        <v>20190304164833234</v>
      </c>
      <c r="B532" t="str">
        <f>"1551689313226779"</f>
        <v>1551689313226779</v>
      </c>
      <c r="C532" t="s">
        <v>40</v>
      </c>
      <c r="D532">
        <v>4.8296890000000001</v>
      </c>
      <c r="E532">
        <v>0.54927789999999999</v>
      </c>
      <c r="F532" t="s">
        <v>41</v>
      </c>
      <c r="G532">
        <v>-364.24189999999999</v>
      </c>
      <c r="H532">
        <v>0.8320476</v>
      </c>
      <c r="I532">
        <v>368.03980000000001</v>
      </c>
      <c r="J532">
        <v>-364.88600000000002</v>
      </c>
      <c r="K532">
        <v>1.1098520000000001</v>
      </c>
      <c r="L532">
        <v>368.0378</v>
      </c>
      <c r="M532">
        <v>0.99994190000000005</v>
      </c>
      <c r="N532">
        <v>-1.0673409999999999E-2</v>
      </c>
      <c r="O532">
        <v>-1.5919059999999999E-3</v>
      </c>
      <c r="P532">
        <v>0.95024719999999996</v>
      </c>
      <c r="Q532">
        <v>0.30815759999999998</v>
      </c>
      <c r="R532">
        <v>4.549367E-2</v>
      </c>
      <c r="S532">
        <v>3.5440670000000001</v>
      </c>
      <c r="T532">
        <v>-1.1925049999999999</v>
      </c>
      <c r="U532">
        <v>7.3547359999999997E-3</v>
      </c>
      <c r="V532">
        <v>-4.678359E-2</v>
      </c>
      <c r="W532">
        <v>0.31831419999999999</v>
      </c>
      <c r="X532">
        <v>0.94683019999999996</v>
      </c>
      <c r="Y532">
        <v>-3.3918659999999999E-3</v>
      </c>
      <c r="Z532">
        <v>1.078685E-3</v>
      </c>
      <c r="AA532">
        <v>0.99999369999999999</v>
      </c>
      <c r="AB532">
        <v>35</v>
      </c>
      <c r="AC532">
        <v>0.64409999999998002</v>
      </c>
      <c r="AD532">
        <v>-0.27780439999999901</v>
      </c>
      <c r="AE532">
        <v>2.0000000000095402E-3</v>
      </c>
      <c r="AF532">
        <v>-2.5508792926674201E-3</v>
      </c>
      <c r="AG532">
        <v>-0.27780439999999901</v>
      </c>
      <c r="AH532">
        <v>0.54307193980645696</v>
      </c>
      <c r="AI532">
        <v>117.09141968469299</v>
      </c>
      <c r="AJ532">
        <v>90.269123723668002</v>
      </c>
      <c r="AK532">
        <v>0.61000731425915999</v>
      </c>
      <c r="AL532">
        <v>71.438995153229101</v>
      </c>
      <c r="AM532">
        <v>92.8287268771101</v>
      </c>
      <c r="AN532">
        <v>1.00000003092348</v>
      </c>
    </row>
    <row r="533" spans="1:40" x14ac:dyDescent="0.25">
      <c r="A533" t="str">
        <f>"20190304164833245"</f>
        <v>20190304164833245</v>
      </c>
      <c r="B533" t="str">
        <f>"1551689313236539"</f>
        <v>1551689313236539</v>
      </c>
      <c r="C533" t="s">
        <v>40</v>
      </c>
      <c r="D533">
        <v>4.8084490000000004</v>
      </c>
      <c r="E533">
        <v>0.54924240000000002</v>
      </c>
      <c r="F533" t="s">
        <v>41</v>
      </c>
      <c r="G533">
        <v>-364.2192</v>
      </c>
      <c r="H533">
        <v>0.88514699999999902</v>
      </c>
      <c r="I533">
        <v>368.03910000000002</v>
      </c>
      <c r="J533">
        <v>-364.71949999999998</v>
      </c>
      <c r="K533">
        <v>1.109872</v>
      </c>
      <c r="L533">
        <v>368.03750000000002</v>
      </c>
      <c r="M533">
        <v>0.99994079999999996</v>
      </c>
      <c r="N533">
        <v>-1.0761379999999999E-2</v>
      </c>
      <c r="O533">
        <v>-1.6842490000000001E-3</v>
      </c>
      <c r="P533">
        <v>0.95034419999999997</v>
      </c>
      <c r="Q533">
        <v>0.30788290000000001</v>
      </c>
      <c r="R533">
        <v>4.5325009999999999E-2</v>
      </c>
      <c r="S533">
        <v>3.5440059999999902</v>
      </c>
      <c r="T533">
        <v>-1.194288</v>
      </c>
      <c r="U533">
        <v>7.3547359999999997E-3</v>
      </c>
      <c r="V533">
        <v>-4.6713159999999997E-2</v>
      </c>
      <c r="W533">
        <v>0.31812249999999997</v>
      </c>
      <c r="X533">
        <v>0.94689809999999996</v>
      </c>
      <c r="Y533">
        <v>-3.4739620000000001E-3</v>
      </c>
      <c r="Z533">
        <v>1.1234769999999999E-3</v>
      </c>
      <c r="AA533">
        <v>0.99999329999999997</v>
      </c>
      <c r="AB533">
        <v>35</v>
      </c>
      <c r="AC533">
        <v>0.50029999999998098</v>
      </c>
      <c r="AD533">
        <v>-0.22472500000000001</v>
      </c>
      <c r="AE533">
        <v>1.59999999999627E-3</v>
      </c>
      <c r="AF533">
        <v>-2.0325805992781002E-3</v>
      </c>
      <c r="AG533">
        <v>-0.22472500000000001</v>
      </c>
      <c r="AH533">
        <v>0.41630288743836802</v>
      </c>
      <c r="AI533">
        <v>118.360389076979</v>
      </c>
      <c r="AJ533">
        <v>90.2797419090614</v>
      </c>
      <c r="AK533">
        <v>0.47308936903973597</v>
      </c>
      <c r="AL533">
        <v>71.450580961373902</v>
      </c>
      <c r="AM533">
        <v>92.824273083655498</v>
      </c>
      <c r="AN533">
        <v>1.00000002805352</v>
      </c>
    </row>
    <row r="534" spans="1:40" x14ac:dyDescent="0.25">
      <c r="A534" t="str">
        <f>"20190304164833256"</f>
        <v>20190304164833256</v>
      </c>
      <c r="B534" t="str">
        <f>"1551689313247276"</f>
        <v>1551689313247276</v>
      </c>
      <c r="C534" t="s">
        <v>40</v>
      </c>
      <c r="D534">
        <v>5.0916069999999998</v>
      </c>
      <c r="E534">
        <v>0.54922890000000002</v>
      </c>
      <c r="F534" t="s">
        <v>41</v>
      </c>
      <c r="G534">
        <v>-363.92160000000001</v>
      </c>
      <c r="H534">
        <v>0.84064409999999901</v>
      </c>
      <c r="I534">
        <v>368.03870000000001</v>
      </c>
      <c r="J534">
        <v>-364.54480000000001</v>
      </c>
      <c r="K534">
        <v>1.1098950000000001</v>
      </c>
      <c r="L534">
        <v>368.03710000000001</v>
      </c>
      <c r="M534">
        <v>0.99993960000000004</v>
      </c>
      <c r="N534">
        <v>-1.0852799999999999E-2</v>
      </c>
      <c r="O534">
        <v>-1.7787460000000001E-3</v>
      </c>
      <c r="P534">
        <v>0.95041260000000005</v>
      </c>
      <c r="Q534">
        <v>0.30767290000000003</v>
      </c>
      <c r="R534">
        <v>4.5313619999999999E-2</v>
      </c>
      <c r="S534">
        <v>3.5438230000000002</v>
      </c>
      <c r="T534">
        <v>-1.1957949999999999</v>
      </c>
      <c r="U534">
        <v>6.6223139999999998E-3</v>
      </c>
      <c r="V534">
        <v>-4.6803270000000001E-2</v>
      </c>
      <c r="W534">
        <v>0.31799820000000001</v>
      </c>
      <c r="X534">
        <v>0.94693539999999998</v>
      </c>
      <c r="Y534">
        <v>-3.362636E-3</v>
      </c>
      <c r="Z534">
        <v>1.136019E-3</v>
      </c>
      <c r="AA534">
        <v>0.99999369999999999</v>
      </c>
      <c r="AB534">
        <v>35</v>
      </c>
      <c r="AC534">
        <v>0.62319999999999698</v>
      </c>
      <c r="AD534">
        <v>-0.26925090000000002</v>
      </c>
      <c r="AE534">
        <v>1.59999999999627E-3</v>
      </c>
      <c r="AF534">
        <v>-2.2825172897692802E-3</v>
      </c>
      <c r="AG534">
        <v>-0.26925090000000002</v>
      </c>
      <c r="AH534">
        <v>0.52516724959972105</v>
      </c>
      <c r="AI534">
        <v>117.143791701512</v>
      </c>
      <c r="AJ534">
        <v>90.249021209923797</v>
      </c>
      <c r="AK534">
        <v>0.59017107442513905</v>
      </c>
      <c r="AL534">
        <v>71.458092889702499</v>
      </c>
      <c r="AM534">
        <v>92.829600997329194</v>
      </c>
      <c r="AN534">
        <v>1.0000000265295399</v>
      </c>
    </row>
    <row r="535" spans="1:40" x14ac:dyDescent="0.25">
      <c r="A535" t="str">
        <f>"20190304164833266"</f>
        <v>20190304164833266</v>
      </c>
      <c r="B535" t="str">
        <f>"1551689313257036"</f>
        <v>1551689313257036</v>
      </c>
      <c r="C535" t="s">
        <v>40</v>
      </c>
      <c r="D535">
        <v>4.8560030000000003</v>
      </c>
      <c r="E535">
        <v>0.54920939999999996</v>
      </c>
      <c r="F535" t="s">
        <v>41</v>
      </c>
      <c r="G535">
        <v>-363.62209999999999</v>
      </c>
      <c r="H535">
        <v>0.79827060000000005</v>
      </c>
      <c r="I535">
        <v>368.0385</v>
      </c>
      <c r="J535">
        <v>-364.36849999999998</v>
      </c>
      <c r="K535">
        <v>1.1099220000000001</v>
      </c>
      <c r="L535">
        <v>368.0367</v>
      </c>
      <c r="M535">
        <v>0.99993840000000001</v>
      </c>
      <c r="N535">
        <v>-1.093858E-2</v>
      </c>
      <c r="O535">
        <v>-1.86115E-3</v>
      </c>
      <c r="P535">
        <v>0.95038710000000004</v>
      </c>
      <c r="Q535">
        <v>0.30772339999999998</v>
      </c>
      <c r="R535">
        <v>4.5504370000000002E-2</v>
      </c>
      <c r="S535">
        <v>3.5436399999999999</v>
      </c>
      <c r="T535">
        <v>-1.1967939999999999</v>
      </c>
      <c r="U535">
        <v>5.9204100000000001E-3</v>
      </c>
      <c r="V535">
        <v>-4.7084210000000001E-2</v>
      </c>
      <c r="W535">
        <v>0.31812790000000002</v>
      </c>
      <c r="X535">
        <v>0.94687790000000005</v>
      </c>
      <c r="Y535">
        <v>-3.2488270000000001E-3</v>
      </c>
      <c r="Z535">
        <v>1.1438380000000001E-3</v>
      </c>
      <c r="AA535">
        <v>0.99999400000000005</v>
      </c>
      <c r="AB535">
        <v>35</v>
      </c>
      <c r="AC535">
        <v>0.74639999999999396</v>
      </c>
      <c r="AD535">
        <v>-0.31165139999999902</v>
      </c>
      <c r="AE535">
        <v>1.8000000000029099E-3</v>
      </c>
      <c r="AF535">
        <v>-2.7157786489872601E-3</v>
      </c>
      <c r="AG535">
        <v>-0.31165139999999902</v>
      </c>
      <c r="AH535">
        <v>0.635588115006267</v>
      </c>
      <c r="AI535">
        <v>116.120144983785</v>
      </c>
      <c r="AJ535">
        <v>90.244815319941395</v>
      </c>
      <c r="AK535">
        <v>0.70788856645156295</v>
      </c>
      <c r="AL535">
        <v>71.450254465506205</v>
      </c>
      <c r="AM535">
        <v>92.846730604523302</v>
      </c>
      <c r="AN535">
        <v>1.00000002054907</v>
      </c>
    </row>
    <row r="536" spans="1:40" x14ac:dyDescent="0.25">
      <c r="A536" t="str">
        <f>"20190304164833279"</f>
        <v>20190304164833279</v>
      </c>
      <c r="B536" t="str">
        <f>"1551689313266796"</f>
        <v>1551689313266796</v>
      </c>
      <c r="C536" t="s">
        <v>40</v>
      </c>
      <c r="D536">
        <v>5.1359450000000004</v>
      </c>
      <c r="E536">
        <v>0.54919249999999997</v>
      </c>
      <c r="F536" t="s">
        <v>41</v>
      </c>
      <c r="G536">
        <v>-363.60050000000001</v>
      </c>
      <c r="H536">
        <v>0.85048639999999998</v>
      </c>
      <c r="I536">
        <v>368.03809999999999</v>
      </c>
      <c r="J536">
        <v>-364.18619999999999</v>
      </c>
      <c r="K536">
        <v>1.1099429999999999</v>
      </c>
      <c r="L536">
        <v>368.03629999999998</v>
      </c>
      <c r="M536">
        <v>0.99993739999999998</v>
      </c>
      <c r="N536">
        <v>-1.1024920000000001E-2</v>
      </c>
      <c r="O536">
        <v>-1.9429549999999999E-3</v>
      </c>
      <c r="P536">
        <v>0.95040290000000005</v>
      </c>
      <c r="Q536">
        <v>0.30763990000000002</v>
      </c>
      <c r="R536">
        <v>4.5743359999999997E-2</v>
      </c>
      <c r="S536">
        <v>3.5438839999999998</v>
      </c>
      <c r="T536">
        <v>-1.197171</v>
      </c>
      <c r="U536">
        <v>7.2326659999999996E-3</v>
      </c>
      <c r="V536">
        <v>-4.7413860000000002E-2</v>
      </c>
      <c r="W536">
        <v>0.31812469999999998</v>
      </c>
      <c r="X536">
        <v>0.94686250000000005</v>
      </c>
      <c r="Y536">
        <v>-3.6721129999999999E-3</v>
      </c>
      <c r="Z536">
        <v>1.242066E-3</v>
      </c>
      <c r="AA536">
        <v>0.99999249999999995</v>
      </c>
      <c r="AB536">
        <v>35</v>
      </c>
      <c r="AC536">
        <v>0.58569999999997402</v>
      </c>
      <c r="AD536">
        <v>-0.25945659999999998</v>
      </c>
      <c r="AE536">
        <v>1.8000000000029099E-3</v>
      </c>
      <c r="AF536">
        <v>-2.4560861258186499E-3</v>
      </c>
      <c r="AG536">
        <v>-0.25945659999999998</v>
      </c>
      <c r="AH536">
        <v>0.489615957626369</v>
      </c>
      <c r="AI536">
        <v>117.919649990026</v>
      </c>
      <c r="AJ536">
        <v>90.287413403460704</v>
      </c>
      <c r="AK536">
        <v>0.55411871075159003</v>
      </c>
      <c r="AL536">
        <v>71.450447394598299</v>
      </c>
      <c r="AM536">
        <v>92.866674795471695</v>
      </c>
      <c r="AN536">
        <v>0.99999999638821901</v>
      </c>
    </row>
    <row r="537" spans="1:40" x14ac:dyDescent="0.25">
      <c r="A537" t="str">
        <f>"20190304164833301"</f>
        <v>20190304164833301</v>
      </c>
      <c r="B537" t="str">
        <f>"1551689313297051"</f>
        <v>1551689313297051</v>
      </c>
      <c r="C537" t="s">
        <v>40</v>
      </c>
      <c r="D537">
        <v>4.6622320000000004</v>
      </c>
      <c r="E537">
        <v>0.54921540000000002</v>
      </c>
      <c r="F537" t="s">
        <v>41</v>
      </c>
      <c r="G537">
        <v>-363.30029999999999</v>
      </c>
      <c r="H537">
        <v>0.81050929999999999</v>
      </c>
      <c r="I537">
        <v>368.03789999999998</v>
      </c>
      <c r="J537">
        <v>-363.82690000000002</v>
      </c>
      <c r="K537">
        <v>1.109988</v>
      </c>
      <c r="L537">
        <v>368.03539999999998</v>
      </c>
      <c r="M537">
        <v>0.99993529999999997</v>
      </c>
      <c r="N537">
        <v>-1.1180529999999999E-2</v>
      </c>
      <c r="O537">
        <v>-2.0837210000000002E-3</v>
      </c>
      <c r="P537">
        <v>0.95025269999999995</v>
      </c>
      <c r="Q537">
        <v>0.30800090000000002</v>
      </c>
      <c r="R537">
        <v>4.642458E-2</v>
      </c>
      <c r="S537">
        <v>3.5439150000000001</v>
      </c>
      <c r="T537">
        <v>-1.1978439999999999</v>
      </c>
      <c r="U537">
        <v>7.6599119999999996E-3</v>
      </c>
      <c r="V537">
        <v>-4.8252249999999997E-2</v>
      </c>
      <c r="W537">
        <v>0.31862829999999998</v>
      </c>
      <c r="X537">
        <v>0.94665080000000001</v>
      </c>
      <c r="Y537">
        <v>-3.9119769999999996E-3</v>
      </c>
      <c r="Z537">
        <v>1.3282960000000001E-3</v>
      </c>
      <c r="AA537">
        <v>0.99999150000000003</v>
      </c>
      <c r="AB537">
        <v>35</v>
      </c>
      <c r="AC537">
        <v>0.52660000000003004</v>
      </c>
      <c r="AD537">
        <v>-0.29947869999999899</v>
      </c>
      <c r="AE537">
        <v>2.4999999999977202E-3</v>
      </c>
      <c r="AF537">
        <v>-2.7182329180142498E-3</v>
      </c>
      <c r="AG537">
        <v>-0.29947869999999899</v>
      </c>
      <c r="AH537">
        <v>0.39790510244930599</v>
      </c>
      <c r="AI537">
        <v>126.965884836032</v>
      </c>
      <c r="AJ537">
        <v>90.391401995927396</v>
      </c>
      <c r="AK537">
        <v>0.49801942843535602</v>
      </c>
      <c r="AL537">
        <v>71.420009546435693</v>
      </c>
      <c r="AM537">
        <v>92.917928897329602</v>
      </c>
      <c r="AN537">
        <v>1.00000000516579</v>
      </c>
    </row>
    <row r="538" spans="1:40" x14ac:dyDescent="0.25">
      <c r="A538" t="str">
        <f>"20190304164833313"</f>
        <v>20190304164833313</v>
      </c>
      <c r="B538" t="str">
        <f>"1551689313306811"</f>
        <v>1551689313306811</v>
      </c>
      <c r="C538" t="s">
        <v>40</v>
      </c>
      <c r="D538">
        <v>4.8010950000000001</v>
      </c>
      <c r="E538">
        <v>0.54920769999999997</v>
      </c>
      <c r="F538" t="s">
        <v>41</v>
      </c>
      <c r="G538">
        <v>-362.97829999999999</v>
      </c>
      <c r="H538">
        <v>0.82342169999999903</v>
      </c>
      <c r="I538">
        <v>368.0376</v>
      </c>
      <c r="J538">
        <v>-363.63350000000003</v>
      </c>
      <c r="K538">
        <v>1.110012</v>
      </c>
      <c r="L538">
        <v>368.03489999999999</v>
      </c>
      <c r="M538">
        <v>0.9999344</v>
      </c>
      <c r="N538">
        <v>-1.125863E-2</v>
      </c>
      <c r="O538">
        <v>-2.1536900000000002E-3</v>
      </c>
      <c r="P538">
        <v>0.95023170000000001</v>
      </c>
      <c r="Q538">
        <v>0.30801309999999998</v>
      </c>
      <c r="R538">
        <v>4.6773729999999999E-2</v>
      </c>
      <c r="S538">
        <v>3.5444949999999902</v>
      </c>
      <c r="T538">
        <v>-1.196801</v>
      </c>
      <c r="U538">
        <v>9.9182130000000004E-3</v>
      </c>
      <c r="V538">
        <v>-4.8680080000000001E-2</v>
      </c>
      <c r="W538">
        <v>0.31871189999999999</v>
      </c>
      <c r="X538">
        <v>0.94660069999999996</v>
      </c>
      <c r="Y538">
        <v>-4.5775470000000004E-3</v>
      </c>
      <c r="Z538">
        <v>1.462395E-3</v>
      </c>
      <c r="AA538">
        <v>0.9999884</v>
      </c>
      <c r="AB538">
        <v>35</v>
      </c>
      <c r="AC538">
        <v>0.65520000000003598</v>
      </c>
      <c r="AD538">
        <v>-0.28659030000000002</v>
      </c>
      <c r="AE538">
        <v>2.7000000000043599E-3</v>
      </c>
      <c r="AF538">
        <v>-3.4509362733022501E-3</v>
      </c>
      <c r="AG538">
        <v>-0.28659030000000002</v>
      </c>
      <c r="AH538">
        <v>0.54997050336889397</v>
      </c>
      <c r="AI538">
        <v>117.523612639042</v>
      </c>
      <c r="AJ538">
        <v>90.359512896969207</v>
      </c>
      <c r="AK538">
        <v>0.62017212416480505</v>
      </c>
      <c r="AL538">
        <v>71.414955204335897</v>
      </c>
      <c r="AM538">
        <v>92.943911021578899</v>
      </c>
      <c r="AN538">
        <v>0.99999995531545205</v>
      </c>
    </row>
    <row r="539" spans="1:40" x14ac:dyDescent="0.25">
      <c r="A539" t="str">
        <f>"20190304164833325"</f>
        <v>20190304164833325</v>
      </c>
      <c r="B539" t="str">
        <f>"1551689313316571"</f>
        <v>1551689313316571</v>
      </c>
      <c r="C539" t="s">
        <v>40</v>
      </c>
      <c r="D539">
        <v>4.8147549999999999</v>
      </c>
      <c r="E539">
        <v>0.54919609999999996</v>
      </c>
      <c r="F539" t="s">
        <v>41</v>
      </c>
      <c r="G539">
        <v>-362.95389999999998</v>
      </c>
      <c r="H539">
        <v>0.88054100000000002</v>
      </c>
      <c r="I539">
        <v>368.0369</v>
      </c>
      <c r="J539">
        <v>-363.45890000000003</v>
      </c>
      <c r="K539">
        <v>1.110028</v>
      </c>
      <c r="L539">
        <v>368.03440000000001</v>
      </c>
      <c r="M539">
        <v>0.99993350000000003</v>
      </c>
      <c r="N539">
        <v>-1.1325139999999999E-2</v>
      </c>
      <c r="O539">
        <v>-2.2118540000000001E-3</v>
      </c>
      <c r="P539">
        <v>0.95008320000000002</v>
      </c>
      <c r="Q539">
        <v>0.30838330000000003</v>
      </c>
      <c r="R539">
        <v>4.7349450000000001E-2</v>
      </c>
      <c r="S539">
        <v>3.5445250000000001</v>
      </c>
      <c r="T539">
        <v>-1.1968490000000001</v>
      </c>
      <c r="U539">
        <v>1.1688230000000001E-2</v>
      </c>
      <c r="V539">
        <v>-4.9319349999999998E-2</v>
      </c>
      <c r="W539">
        <v>0.3191427</v>
      </c>
      <c r="X539">
        <v>0.94642250000000006</v>
      </c>
      <c r="Y539">
        <v>-5.1018879999999997E-3</v>
      </c>
      <c r="Z539">
        <v>1.57011E-3</v>
      </c>
      <c r="AA539">
        <v>0.99998580000000004</v>
      </c>
      <c r="AB539">
        <v>35</v>
      </c>
      <c r="AC539">
        <v>0.50500000000005196</v>
      </c>
      <c r="AD539">
        <v>-0.229487</v>
      </c>
      <c r="AE539">
        <v>2.4999999999977202E-3</v>
      </c>
      <c r="AF539">
        <v>-2.9979675306644302E-3</v>
      </c>
      <c r="AG539">
        <v>-0.229487</v>
      </c>
      <c r="AH539">
        <v>0.41856004382430201</v>
      </c>
      <c r="AI539">
        <v>118.734342170437</v>
      </c>
      <c r="AJ539">
        <v>90.410378276247897</v>
      </c>
      <c r="AK539">
        <v>0.47735288965765899</v>
      </c>
      <c r="AL539">
        <v>71.388913149947598</v>
      </c>
      <c r="AM539">
        <v>92.983061861426506</v>
      </c>
      <c r="AN539">
        <v>1.0000000048769799</v>
      </c>
    </row>
    <row r="540" spans="1:40" x14ac:dyDescent="0.25">
      <c r="A540" t="str">
        <f>"20190304164833335"</f>
        <v>20190304164833335</v>
      </c>
      <c r="B540" t="str">
        <f>"1551689313327307"</f>
        <v>1551689313327307</v>
      </c>
      <c r="C540" t="s">
        <v>40</v>
      </c>
      <c r="D540">
        <v>4.8131120000000003</v>
      </c>
      <c r="E540">
        <v>0.54918210000000001</v>
      </c>
      <c r="F540" t="s">
        <v>41</v>
      </c>
      <c r="G540">
        <v>-362.6551</v>
      </c>
      <c r="H540">
        <v>0.83893249999999997</v>
      </c>
      <c r="I540">
        <v>368.03719999999998</v>
      </c>
      <c r="J540">
        <v>-363.29480000000001</v>
      </c>
      <c r="K540">
        <v>1.1100399999999999</v>
      </c>
      <c r="L540">
        <v>368.03399999999999</v>
      </c>
      <c r="M540">
        <v>0.99993279999999995</v>
      </c>
      <c r="N540">
        <v>-1.1387120000000001E-2</v>
      </c>
      <c r="O540">
        <v>-2.2657160000000001E-3</v>
      </c>
      <c r="P540">
        <v>0.95001849999999999</v>
      </c>
      <c r="Q540">
        <v>0.3085271</v>
      </c>
      <c r="R540">
        <v>4.771019E-2</v>
      </c>
      <c r="S540">
        <v>3.5450439999999999</v>
      </c>
      <c r="T540">
        <v>-1.195624</v>
      </c>
      <c r="U540">
        <v>1.330566E-2</v>
      </c>
      <c r="V540">
        <v>-4.9738650000000002E-2</v>
      </c>
      <c r="W540">
        <v>0.3193433</v>
      </c>
      <c r="X540">
        <v>0.94633290000000003</v>
      </c>
      <c r="Y540">
        <v>-5.582119E-3</v>
      </c>
      <c r="Z540">
        <v>1.667094E-3</v>
      </c>
      <c r="AA540">
        <v>0.99998299999999996</v>
      </c>
      <c r="AB540">
        <v>35</v>
      </c>
      <c r="AC540">
        <v>0.63970000000000404</v>
      </c>
      <c r="AD540">
        <v>-0.271107499999999</v>
      </c>
      <c r="AE540">
        <v>3.19999999999254E-3</v>
      </c>
      <c r="AF540">
        <v>-3.9415416565287097E-3</v>
      </c>
      <c r="AG540">
        <v>-0.271107499999999</v>
      </c>
      <c r="AH540">
        <v>0.54229243390225601</v>
      </c>
      <c r="AI540">
        <v>116.56117328633</v>
      </c>
      <c r="AJ540">
        <v>90.416435323290699</v>
      </c>
      <c r="AK540">
        <v>0.60629687132172605</v>
      </c>
      <c r="AL540">
        <v>71.376785220601406</v>
      </c>
      <c r="AM540">
        <v>93.008660983312893</v>
      </c>
      <c r="AN540">
        <v>1.0000000170905601</v>
      </c>
    </row>
    <row r="541" spans="1:40" x14ac:dyDescent="0.25">
      <c r="A541" t="str">
        <f>"20190304164833345"</f>
        <v>20190304164833345</v>
      </c>
      <c r="B541" t="str">
        <f>"1551689313337067"</f>
        <v>1551689313337067</v>
      </c>
      <c r="C541" t="s">
        <v>40</v>
      </c>
      <c r="D541">
        <v>4.8035009999999998</v>
      </c>
      <c r="E541">
        <v>0.54917190000000005</v>
      </c>
      <c r="F541" t="s">
        <v>41</v>
      </c>
      <c r="G541">
        <v>-362.6343</v>
      </c>
      <c r="H541">
        <v>0.887273599999999</v>
      </c>
      <c r="I541">
        <v>368.03629999999998</v>
      </c>
      <c r="J541">
        <v>-363.12619999999998</v>
      </c>
      <c r="K541">
        <v>1.1100540000000001</v>
      </c>
      <c r="L541">
        <v>368.03359999999998</v>
      </c>
      <c r="M541">
        <v>0.99993189999999998</v>
      </c>
      <c r="N541">
        <v>-1.14483E-2</v>
      </c>
      <c r="O541">
        <v>-2.3190369999999999E-3</v>
      </c>
      <c r="P541">
        <v>0.9499474</v>
      </c>
      <c r="Q541">
        <v>0.30864009999999997</v>
      </c>
      <c r="R541">
        <v>4.8389010000000003E-2</v>
      </c>
      <c r="S541">
        <v>3.5455019999999902</v>
      </c>
      <c r="T541">
        <v>-1.1957139999999999</v>
      </c>
      <c r="U541">
        <v>1.3732909999999999E-2</v>
      </c>
      <c r="V541">
        <v>-5.047248E-2</v>
      </c>
      <c r="W541">
        <v>0.31951269999999998</v>
      </c>
      <c r="X541">
        <v>0.94623679999999999</v>
      </c>
      <c r="Y541">
        <v>-5.7434859999999999E-3</v>
      </c>
      <c r="Z541">
        <v>1.7113790000000001E-3</v>
      </c>
      <c r="AA541">
        <v>0.99998209999999998</v>
      </c>
      <c r="AB541">
        <v>35</v>
      </c>
      <c r="AC541">
        <v>0.49189999999998602</v>
      </c>
      <c r="AD541">
        <v>-0.22278039999999999</v>
      </c>
      <c r="AE541">
        <v>2.7000000000043599E-3</v>
      </c>
      <c r="AF541">
        <v>-3.1870958388266501E-3</v>
      </c>
      <c r="AG541">
        <v>-0.22278039999999999</v>
      </c>
      <c r="AH541">
        <v>0.40817214961909098</v>
      </c>
      <c r="AI541">
        <v>118.624981934375</v>
      </c>
      <c r="AJ541">
        <v>90.4473686646608</v>
      </c>
      <c r="AK541">
        <v>0.46502233056995901</v>
      </c>
      <c r="AL541">
        <v>71.366541597883</v>
      </c>
      <c r="AM541">
        <v>93.053276027716194</v>
      </c>
      <c r="AN541">
        <v>0.99999995918643902</v>
      </c>
    </row>
    <row r="542" spans="1:40" x14ac:dyDescent="0.25">
      <c r="A542" t="str">
        <f>"20190304164833356"</f>
        <v>20190304164833356</v>
      </c>
      <c r="B542" t="str">
        <f>"1551689313346828"</f>
        <v>1551689313346828</v>
      </c>
      <c r="C542" t="s">
        <v>40</v>
      </c>
      <c r="D542">
        <v>4.8121140000000002</v>
      </c>
      <c r="E542">
        <v>0.54916330000000002</v>
      </c>
      <c r="F542" t="s">
        <v>41</v>
      </c>
      <c r="G542">
        <v>-362.33629999999999</v>
      </c>
      <c r="H542">
        <v>0.84373500000000001</v>
      </c>
      <c r="I542">
        <v>368.03660000000002</v>
      </c>
      <c r="J542">
        <v>-362.95310000000001</v>
      </c>
      <c r="K542">
        <v>1.1100639999999999</v>
      </c>
      <c r="L542">
        <v>368.03309999999999</v>
      </c>
      <c r="M542">
        <v>0.99993109999999996</v>
      </c>
      <c r="N542">
        <v>-1.1511489999999999E-2</v>
      </c>
      <c r="O542">
        <v>-2.3733270000000002E-3</v>
      </c>
      <c r="P542">
        <v>0.94988159999999999</v>
      </c>
      <c r="Q542">
        <v>0.30876360000000003</v>
      </c>
      <c r="R542">
        <v>4.8889460000000003E-2</v>
      </c>
      <c r="S542">
        <v>3.545715</v>
      </c>
      <c r="T542">
        <v>-1.1954389999999999</v>
      </c>
      <c r="U542">
        <v>1.45874E-2</v>
      </c>
      <c r="V542">
        <v>-5.1028650000000002E-2</v>
      </c>
      <c r="W542">
        <v>0.3196948</v>
      </c>
      <c r="X542">
        <v>0.94614549999999997</v>
      </c>
      <c r="Y542">
        <v>-6.0201169999999898E-3</v>
      </c>
      <c r="Z542">
        <v>1.7751710000000001E-3</v>
      </c>
      <c r="AA542">
        <v>0.99998030000000004</v>
      </c>
      <c r="AB542">
        <v>35</v>
      </c>
      <c r="AC542">
        <v>0.61680000000001201</v>
      </c>
      <c r="AD542">
        <v>-0.26632899999999898</v>
      </c>
      <c r="AE542">
        <v>3.5000000000309198E-3</v>
      </c>
      <c r="AF542">
        <v>-4.18391470646711E-3</v>
      </c>
      <c r="AG542">
        <v>-0.26632899999999898</v>
      </c>
      <c r="AH542">
        <v>0.519867036737929</v>
      </c>
      <c r="AI542">
        <v>117.12540802034501</v>
      </c>
      <c r="AJ542">
        <v>90.461109210874397</v>
      </c>
      <c r="AK542">
        <v>0.58413215736676005</v>
      </c>
      <c r="AL542">
        <v>71.355531263932306</v>
      </c>
      <c r="AM542">
        <v>93.087153489330305</v>
      </c>
      <c r="AN542">
        <v>0.99999999771905601</v>
      </c>
    </row>
    <row r="543" spans="1:40" x14ac:dyDescent="0.25">
      <c r="A543" t="str">
        <f>"20190304164833368"</f>
        <v>20190304164833368</v>
      </c>
      <c r="B543" t="str">
        <f>"1551689313356588"</f>
        <v>1551689313356588</v>
      </c>
      <c r="C543" t="s">
        <v>40</v>
      </c>
      <c r="D543">
        <v>4.8129999999999997</v>
      </c>
      <c r="E543">
        <v>0.54914370000000001</v>
      </c>
      <c r="F543" t="s">
        <v>41</v>
      </c>
      <c r="G543">
        <v>-362.03719999999998</v>
      </c>
      <c r="H543">
        <v>0.80131409999999903</v>
      </c>
      <c r="I543">
        <v>368.03699999999998</v>
      </c>
      <c r="J543">
        <v>-362.77120000000002</v>
      </c>
      <c r="K543">
        <v>1.110077</v>
      </c>
      <c r="L543">
        <v>368.0326</v>
      </c>
      <c r="M543">
        <v>0.99992999999999999</v>
      </c>
      <c r="N543">
        <v>-1.158057E-2</v>
      </c>
      <c r="O543">
        <v>-2.4256500000000001E-3</v>
      </c>
      <c r="P543">
        <v>0.94992829999999995</v>
      </c>
      <c r="Q543">
        <v>0.30855389999999999</v>
      </c>
      <c r="R543">
        <v>4.9301570000000003E-2</v>
      </c>
      <c r="S543">
        <v>3.5460509999999998</v>
      </c>
      <c r="T543">
        <v>-1.195319</v>
      </c>
      <c r="U543">
        <v>1.5411380000000001E-2</v>
      </c>
      <c r="V543">
        <v>-5.1494180000000001E-2</v>
      </c>
      <c r="W543">
        <v>0.31955070000000002</v>
      </c>
      <c r="X543">
        <v>0.94616900000000004</v>
      </c>
      <c r="Y543">
        <v>-6.2866049999999998E-3</v>
      </c>
      <c r="Z543">
        <v>1.8367609999999999E-3</v>
      </c>
      <c r="AA543">
        <v>0.99997849999999999</v>
      </c>
      <c r="AB543">
        <v>35</v>
      </c>
      <c r="AC543">
        <v>0.73400000000003696</v>
      </c>
      <c r="AD543">
        <v>-0.30876290000000001</v>
      </c>
      <c r="AE543">
        <v>4.3999999999755303E-3</v>
      </c>
      <c r="AF543">
        <v>-5.2513282810771004E-3</v>
      </c>
      <c r="AG543">
        <v>-0.30876290000000001</v>
      </c>
      <c r="AH543">
        <v>0.62363670279224004</v>
      </c>
      <c r="AI543">
        <v>116.339231326365</v>
      </c>
      <c r="AJ543">
        <v>90.482447288710404</v>
      </c>
      <c r="AK543">
        <v>0.695905770873257</v>
      </c>
      <c r="AL543">
        <v>71.364245435394807</v>
      </c>
      <c r="AM543">
        <v>93.115184880824799</v>
      </c>
      <c r="AN543">
        <v>1.0000000385026799</v>
      </c>
    </row>
    <row r="544" spans="1:40" x14ac:dyDescent="0.25">
      <c r="A544" t="str">
        <f>"20190304164833379"</f>
        <v>20190304164833379</v>
      </c>
      <c r="B544" t="str">
        <f>"1551689313367322"</f>
        <v>1551689313367322</v>
      </c>
      <c r="C544" t="s">
        <v>40</v>
      </c>
      <c r="D544">
        <v>4.8160239999999996</v>
      </c>
      <c r="E544">
        <v>0.54913059999999903</v>
      </c>
      <c r="F544" t="s">
        <v>41</v>
      </c>
      <c r="G544">
        <v>-362.01490000000001</v>
      </c>
      <c r="H544">
        <v>0.854865599999999</v>
      </c>
      <c r="I544">
        <v>368.03629999999998</v>
      </c>
      <c r="J544">
        <v>-362.60599999999999</v>
      </c>
      <c r="K544">
        <v>1.110085</v>
      </c>
      <c r="L544">
        <v>368.03219999999999</v>
      </c>
      <c r="M544">
        <v>0.99992919999999996</v>
      </c>
      <c r="N544">
        <v>-1.1644750000000001E-2</v>
      </c>
      <c r="O544">
        <v>-2.4714049999999999E-3</v>
      </c>
      <c r="P544">
        <v>0.94999180000000005</v>
      </c>
      <c r="Q544">
        <v>0.30834099999999998</v>
      </c>
      <c r="R544">
        <v>4.9412339999999999E-2</v>
      </c>
      <c r="S544">
        <v>3.5458370000000001</v>
      </c>
      <c r="T544">
        <v>-1.19659</v>
      </c>
      <c r="U544">
        <v>1.773071E-2</v>
      </c>
      <c r="V544">
        <v>-5.1650799999999997E-2</v>
      </c>
      <c r="W544">
        <v>0.31939879999999998</v>
      </c>
      <c r="X544">
        <v>0.94621169999999999</v>
      </c>
      <c r="Y544">
        <v>-6.9454209999999898E-3</v>
      </c>
      <c r="Z544">
        <v>1.9653790000000002E-3</v>
      </c>
      <c r="AA544">
        <v>0.99997400000000003</v>
      </c>
      <c r="AB544">
        <v>35</v>
      </c>
      <c r="AC544">
        <v>0.59109999999998297</v>
      </c>
      <c r="AD544">
        <v>-0.25521939999999999</v>
      </c>
      <c r="AE544">
        <v>4.0999999999939904E-3</v>
      </c>
      <c r="AF544">
        <v>-4.6871680684801497E-3</v>
      </c>
      <c r="AG544">
        <v>-0.25521939999999999</v>
      </c>
      <c r="AH544">
        <v>0.498212910423183</v>
      </c>
      <c r="AI544">
        <v>117.12366141670201</v>
      </c>
      <c r="AJ544">
        <v>90.539020606956001</v>
      </c>
      <c r="AK544">
        <v>0.55979908520218302</v>
      </c>
      <c r="AL544">
        <v>71.373429043435095</v>
      </c>
      <c r="AM544">
        <v>93.124500269115302</v>
      </c>
      <c r="AN544">
        <v>0.99999998989948502</v>
      </c>
    </row>
    <row r="545" spans="1:40" x14ac:dyDescent="0.25">
      <c r="A545" t="str">
        <f>"20190304164833388"</f>
        <v>20190304164833388</v>
      </c>
      <c r="B545" t="str">
        <f>"1551689313377085"</f>
        <v>1551689313377085</v>
      </c>
      <c r="C545" t="s">
        <v>40</v>
      </c>
      <c r="D545">
        <v>4.8437320000000001</v>
      </c>
      <c r="E545">
        <v>0.5491163</v>
      </c>
      <c r="F545" t="s">
        <v>41</v>
      </c>
      <c r="G545">
        <v>-361.71719999999999</v>
      </c>
      <c r="H545">
        <v>0.80983539999999998</v>
      </c>
      <c r="I545">
        <v>368.03640000000001</v>
      </c>
      <c r="J545">
        <v>-362.43470000000002</v>
      </c>
      <c r="K545">
        <v>1.1100969999999999</v>
      </c>
      <c r="L545">
        <v>368.0317</v>
      </c>
      <c r="M545">
        <v>0.99992829999999999</v>
      </c>
      <c r="N545">
        <v>-1.1714479999999999E-2</v>
      </c>
      <c r="O545">
        <v>-2.51483E-3</v>
      </c>
      <c r="P545">
        <v>0.94992639999999995</v>
      </c>
      <c r="Q545">
        <v>0.30848399999999998</v>
      </c>
      <c r="R545">
        <v>4.9775380000000001E-2</v>
      </c>
      <c r="S545">
        <v>3.5457459999999998</v>
      </c>
      <c r="T545">
        <v>-1.1978070000000001</v>
      </c>
      <c r="U545">
        <v>1.8218990000000001E-2</v>
      </c>
      <c r="V545">
        <v>-5.205663E-2</v>
      </c>
      <c r="W545">
        <v>0.31960709999999998</v>
      </c>
      <c r="X545">
        <v>0.94611909999999999</v>
      </c>
      <c r="Y545">
        <v>-7.1136580000000001E-3</v>
      </c>
      <c r="Z545">
        <v>2.0098310000000001E-3</v>
      </c>
      <c r="AA545">
        <v>0.99997270000000005</v>
      </c>
      <c r="AB545">
        <v>35</v>
      </c>
      <c r="AC545">
        <v>0.717500000000029</v>
      </c>
      <c r="AD545">
        <v>-0.30026159999999902</v>
      </c>
      <c r="AE545">
        <v>4.7000000000139101E-3</v>
      </c>
      <c r="AF545">
        <v>-5.5351761733460599E-3</v>
      </c>
      <c r="AG545">
        <v>-0.30026159999999902</v>
      </c>
      <c r="AH545">
        <v>0.61056365897296205</v>
      </c>
      <c r="AI545">
        <v>116.185998846521</v>
      </c>
      <c r="AJ545">
        <v>90.519411106576101</v>
      </c>
      <c r="AK545">
        <v>0.68042313913349595</v>
      </c>
      <c r="AL545">
        <v>71.360833815369503</v>
      </c>
      <c r="AM545">
        <v>93.149308420074902</v>
      </c>
      <c r="AN545">
        <v>0.99999997124108797</v>
      </c>
    </row>
    <row r="546" spans="1:40" x14ac:dyDescent="0.25">
      <c r="A546" t="str">
        <f>"20190304164833401"</f>
        <v>20190304164833401</v>
      </c>
      <c r="B546" t="str">
        <f>"1551689313396603"</f>
        <v>1551689313396603</v>
      </c>
      <c r="C546" t="s">
        <v>40</v>
      </c>
      <c r="D546">
        <v>4.485684</v>
      </c>
      <c r="E546">
        <v>0.54980010000000001</v>
      </c>
      <c r="F546" t="s">
        <v>41</v>
      </c>
      <c r="G546">
        <v>-361.69589999999999</v>
      </c>
      <c r="H546">
        <v>0.86055599999999999</v>
      </c>
      <c r="I546">
        <v>368.03559999999999</v>
      </c>
      <c r="J546">
        <v>-362.24720000000002</v>
      </c>
      <c r="K546">
        <v>1.110106</v>
      </c>
      <c r="L546">
        <v>368.03120000000001</v>
      </c>
      <c r="M546">
        <v>0.99992720000000002</v>
      </c>
      <c r="N546">
        <v>-1.1795770000000001E-2</v>
      </c>
      <c r="O546">
        <v>-2.5621329999999999E-3</v>
      </c>
      <c r="P546">
        <v>0.94981859999999996</v>
      </c>
      <c r="Q546">
        <v>0.30881069999999999</v>
      </c>
      <c r="R546">
        <v>4.9807209999999998E-2</v>
      </c>
      <c r="S546">
        <v>3.5460210000000001</v>
      </c>
      <c r="T546">
        <v>-1.1977199999999999</v>
      </c>
      <c r="U546">
        <v>2.0416259999999999E-2</v>
      </c>
      <c r="V546">
        <v>-5.2134439999999997E-2</v>
      </c>
      <c r="W546">
        <v>0.32000879999999998</v>
      </c>
      <c r="X546">
        <v>0.94597909999999996</v>
      </c>
      <c r="Y546">
        <v>-7.7417079999999999E-3</v>
      </c>
      <c r="Z546">
        <v>2.1316529999999998E-3</v>
      </c>
      <c r="AA546">
        <v>0.99996779999999996</v>
      </c>
      <c r="AB546">
        <v>35</v>
      </c>
      <c r="AC546">
        <v>0.55130000000002599</v>
      </c>
      <c r="AD546">
        <v>-0.24954999999999999</v>
      </c>
      <c r="AE546">
        <v>4.3999999999755303E-3</v>
      </c>
      <c r="AF546">
        <v>-4.8241820905213202E-3</v>
      </c>
      <c r="AG546">
        <v>-0.24954999999999999</v>
      </c>
      <c r="AH546">
        <v>0.45754294195289003</v>
      </c>
      <c r="AI546">
        <v>118.607299090537</v>
      </c>
      <c r="AJ546">
        <v>90.604085444587497</v>
      </c>
      <c r="AK546">
        <v>0.52119479944042801</v>
      </c>
      <c r="AL546">
        <v>71.336543794194199</v>
      </c>
      <c r="AM546">
        <v>93.154472086324404</v>
      </c>
      <c r="AN546">
        <v>1.0000000447741799</v>
      </c>
    </row>
    <row r="547" spans="1:40" x14ac:dyDescent="0.25">
      <c r="A547" t="str">
        <f>"20190304164833413"</f>
        <v>20190304164833413</v>
      </c>
      <c r="B547" t="str">
        <f>"1551689313407338"</f>
        <v>1551689313407338</v>
      </c>
      <c r="C547" t="s">
        <v>40</v>
      </c>
      <c r="D547">
        <v>4.7848940000000004</v>
      </c>
      <c r="E547">
        <v>0.54980369999999901</v>
      </c>
      <c r="F547" t="s">
        <v>41</v>
      </c>
      <c r="G547">
        <v>-361.39490000000001</v>
      </c>
      <c r="H547">
        <v>0.8247215</v>
      </c>
      <c r="I547">
        <v>368.03429999999997</v>
      </c>
      <c r="J547">
        <v>-362.0539</v>
      </c>
      <c r="K547">
        <v>1.110128</v>
      </c>
      <c r="L547">
        <v>368.03059999999999</v>
      </c>
      <c r="M547">
        <v>0.99992599999999998</v>
      </c>
      <c r="N547">
        <v>-1.188443E-2</v>
      </c>
      <c r="O547">
        <v>-2.6111429999999998E-3</v>
      </c>
      <c r="P547">
        <v>0.9498915</v>
      </c>
      <c r="Q547">
        <v>0.30856230000000001</v>
      </c>
      <c r="R547">
        <v>4.9955039999999999E-2</v>
      </c>
      <c r="S547">
        <v>3.5434879999999902</v>
      </c>
      <c r="T547">
        <v>-1.1864170000000001</v>
      </c>
      <c r="U547">
        <v>1.428223E-2</v>
      </c>
      <c r="V547">
        <v>-5.2331019999999999E-2</v>
      </c>
      <c r="W547">
        <v>0.31984479999999998</v>
      </c>
      <c r="X547">
        <v>0.94602359999999996</v>
      </c>
      <c r="Y547">
        <v>-6.1605619999999996E-3</v>
      </c>
      <c r="Z547">
        <v>1.8623470000000001E-3</v>
      </c>
      <c r="AA547">
        <v>0.99997930000000002</v>
      </c>
      <c r="AB547">
        <v>35</v>
      </c>
      <c r="AC547">
        <v>0.65899999999999104</v>
      </c>
      <c r="AD547">
        <v>-0.28540650000000001</v>
      </c>
      <c r="AE547">
        <v>3.69999999998071E-3</v>
      </c>
      <c r="AF547">
        <v>-4.5646925056165299E-3</v>
      </c>
      <c r="AG547">
        <v>-0.28540650000000001</v>
      </c>
      <c r="AH547">
        <v>0.55490870188208197</v>
      </c>
      <c r="AI547">
        <v>117.217354831854</v>
      </c>
      <c r="AJ547">
        <v>90.471305848155595</v>
      </c>
      <c r="AK547">
        <v>0.62402033146715497</v>
      </c>
      <c r="AL547">
        <v>71.3464595640433</v>
      </c>
      <c r="AM547">
        <v>93.166193657124197</v>
      </c>
      <c r="AN547">
        <v>0.99999994174911799</v>
      </c>
    </row>
    <row r="548" spans="1:40" x14ac:dyDescent="0.25">
      <c r="A548" t="str">
        <f>"20190304164833423"</f>
        <v>20190304164833423</v>
      </c>
      <c r="B548" t="str">
        <f>"1551689313417099"</f>
        <v>1551689313417099</v>
      </c>
      <c r="C548" t="s">
        <v>40</v>
      </c>
      <c r="D548">
        <v>4.5148599999999997</v>
      </c>
      <c r="E548">
        <v>0.55012629999999996</v>
      </c>
      <c r="F548" t="s">
        <v>41</v>
      </c>
      <c r="G548">
        <v>-361.37079999999997</v>
      </c>
      <c r="H548">
        <v>0.88117860000000003</v>
      </c>
      <c r="I548">
        <v>368.03309999999999</v>
      </c>
      <c r="J548">
        <v>-361.88659999999999</v>
      </c>
      <c r="K548">
        <v>1.110144</v>
      </c>
      <c r="L548">
        <v>368.0301</v>
      </c>
      <c r="M548">
        <v>0.99992479999999995</v>
      </c>
      <c r="N548">
        <v>-1.1969240000000001E-2</v>
      </c>
      <c r="O548">
        <v>-2.6567800000000001E-3</v>
      </c>
      <c r="P548">
        <v>0.94991700000000001</v>
      </c>
      <c r="Q548">
        <v>0.3084403</v>
      </c>
      <c r="R548">
        <v>5.0223839999999999E-2</v>
      </c>
      <c r="S548">
        <v>3.5431819999999998</v>
      </c>
      <c r="T548">
        <v>-1.1873929999999999</v>
      </c>
      <c r="U548">
        <v>1.4770510000000001E-2</v>
      </c>
      <c r="V548">
        <v>-5.2646650000000003E-2</v>
      </c>
      <c r="W548">
        <v>0.3198027</v>
      </c>
      <c r="X548">
        <v>0.94602039999999998</v>
      </c>
      <c r="Y548">
        <v>-6.331471E-3</v>
      </c>
      <c r="Z548">
        <v>1.9072819999999999E-3</v>
      </c>
      <c r="AA548">
        <v>0.99997809999999998</v>
      </c>
      <c r="AB548">
        <v>35</v>
      </c>
      <c r="AC548">
        <v>0.51580000000001203</v>
      </c>
      <c r="AD548">
        <v>-0.22896540000000001</v>
      </c>
      <c r="AE548">
        <v>2.9999999999858998E-3</v>
      </c>
      <c r="AF548">
        <v>-3.6510405527584301E-3</v>
      </c>
      <c r="AG548">
        <v>-0.22896540000000001</v>
      </c>
      <c r="AH548">
        <v>0.43088673206529798</v>
      </c>
      <c r="AI548">
        <v>117.98451462548</v>
      </c>
      <c r="AJ548">
        <v>90.485473774795196</v>
      </c>
      <c r="AK548">
        <v>0.48795682223347397</v>
      </c>
      <c r="AL548">
        <v>71.349006887359593</v>
      </c>
      <c r="AM548">
        <v>93.185261826453896</v>
      </c>
      <c r="AN548">
        <v>1.00000001694983</v>
      </c>
    </row>
    <row r="549" spans="1:40" x14ac:dyDescent="0.25">
      <c r="A549" t="str">
        <f>"20190304164833434"</f>
        <v>20190304164833434</v>
      </c>
      <c r="B549" t="str">
        <f>"1551689313426858"</f>
        <v>1551689313426858</v>
      </c>
      <c r="C549" t="s">
        <v>40</v>
      </c>
      <c r="D549">
        <v>4.5091999999999999</v>
      </c>
      <c r="E549">
        <v>0.55043299999999995</v>
      </c>
      <c r="F549" t="s">
        <v>41</v>
      </c>
      <c r="G549">
        <v>-361.07330000000002</v>
      </c>
      <c r="H549">
        <v>0.83851399999999998</v>
      </c>
      <c r="I549">
        <v>368.0326</v>
      </c>
      <c r="J549">
        <v>-361.71159999999998</v>
      </c>
      <c r="K549">
        <v>1.110163</v>
      </c>
      <c r="L549">
        <v>368.02960000000002</v>
      </c>
      <c r="M549">
        <v>0.99992360000000002</v>
      </c>
      <c r="N549">
        <v>-1.205957E-2</v>
      </c>
      <c r="O549">
        <v>-2.7055460000000001E-3</v>
      </c>
      <c r="P549">
        <v>0.94995269999999998</v>
      </c>
      <c r="Q549">
        <v>0.3083108</v>
      </c>
      <c r="R549">
        <v>5.0342930000000001E-2</v>
      </c>
      <c r="S549">
        <v>3.541595</v>
      </c>
      <c r="T549">
        <v>-1.182777</v>
      </c>
      <c r="U549">
        <v>1.184082E-2</v>
      </c>
      <c r="V549">
        <v>-5.2816200000000001E-2</v>
      </c>
      <c r="W549">
        <v>0.31975900000000002</v>
      </c>
      <c r="X549">
        <v>0.94602569999999997</v>
      </c>
      <c r="Y549">
        <v>-5.5971229999999999E-3</v>
      </c>
      <c r="Z549">
        <v>1.7924849999999999E-3</v>
      </c>
      <c r="AA549">
        <v>0.9999827</v>
      </c>
      <c r="AB549">
        <v>35</v>
      </c>
      <c r="AC549">
        <v>0.63829999999995801</v>
      </c>
      <c r="AD549">
        <v>-0.27164899999999997</v>
      </c>
      <c r="AE549">
        <v>2.9999999999858998E-3</v>
      </c>
      <c r="AF549">
        <v>-4.0022016934740598E-3</v>
      </c>
      <c r="AG549">
        <v>-0.27164899999999997</v>
      </c>
      <c r="AH549">
        <v>0.54041221946190399</v>
      </c>
      <c r="AI549">
        <v>116.686672857509</v>
      </c>
      <c r="AJ549">
        <v>90.424315116162106</v>
      </c>
      <c r="AK549">
        <v>0.60485912720495205</v>
      </c>
      <c r="AL549">
        <v>71.351649086331093</v>
      </c>
      <c r="AM549">
        <v>93.195480960419602</v>
      </c>
      <c r="AN549">
        <v>0.99999999706196496</v>
      </c>
    </row>
    <row r="550" spans="1:40" x14ac:dyDescent="0.25">
      <c r="A550" t="str">
        <f>"20190304164833446"</f>
        <v>20190304164833446</v>
      </c>
      <c r="B550" t="str">
        <f>"1551689313436620"</f>
        <v>1551689313436620</v>
      </c>
      <c r="C550" t="s">
        <v>40</v>
      </c>
      <c r="D550">
        <v>4.7992080000000001</v>
      </c>
      <c r="E550">
        <v>0.55040769999999895</v>
      </c>
      <c r="F550" t="s">
        <v>41</v>
      </c>
      <c r="G550">
        <v>-361.05099999999999</v>
      </c>
      <c r="H550">
        <v>0.89021980000000001</v>
      </c>
      <c r="I550">
        <v>368.03089999999997</v>
      </c>
      <c r="J550">
        <v>-361.53890000000001</v>
      </c>
      <c r="K550">
        <v>1.1101840000000001</v>
      </c>
      <c r="L550">
        <v>368.02910000000003</v>
      </c>
      <c r="M550">
        <v>0.99992230000000004</v>
      </c>
      <c r="N550">
        <v>-1.215974E-2</v>
      </c>
      <c r="O550">
        <v>-2.7567680000000002E-3</v>
      </c>
      <c r="P550">
        <v>0.94996329999999995</v>
      </c>
      <c r="Q550">
        <v>0.30821989999999999</v>
      </c>
      <c r="R550">
        <v>5.0700219999999997E-2</v>
      </c>
      <c r="S550">
        <v>3.5400999999999998</v>
      </c>
      <c r="T550">
        <v>-1.1785760000000001</v>
      </c>
      <c r="U550">
        <v>7.9040529999999994E-3</v>
      </c>
      <c r="V550">
        <v>-5.3225260000000003E-2</v>
      </c>
      <c r="W550">
        <v>0.31976250000000001</v>
      </c>
      <c r="X550">
        <v>0.9460016</v>
      </c>
      <c r="Y550">
        <v>-4.594122E-3</v>
      </c>
      <c r="Z550">
        <v>1.634344E-3</v>
      </c>
      <c r="AA550">
        <v>0.99998810000000005</v>
      </c>
      <c r="AB550">
        <v>35</v>
      </c>
      <c r="AC550">
        <v>0.48790000000002398</v>
      </c>
      <c r="AD550">
        <v>-0.2199642</v>
      </c>
      <c r="AE550">
        <v>1.79999999994606E-3</v>
      </c>
      <c r="AF550">
        <v>-2.6138478677086401E-3</v>
      </c>
      <c r="AG550">
        <v>-0.2199642</v>
      </c>
      <c r="AH550">
        <v>0.40547854772666198</v>
      </c>
      <c r="AI550">
        <v>118.47846838427201</v>
      </c>
      <c r="AJ550">
        <v>90.369342293281093</v>
      </c>
      <c r="AK550">
        <v>0.46130676794172298</v>
      </c>
      <c r="AL550">
        <v>71.351437611242105</v>
      </c>
      <c r="AM550">
        <v>93.220259850438396</v>
      </c>
      <c r="AN550">
        <v>1.0000000059554299</v>
      </c>
    </row>
    <row r="551" spans="1:40" x14ac:dyDescent="0.25">
      <c r="A551" t="str">
        <f>"20190304164833457"</f>
        <v>20190304164833457</v>
      </c>
      <c r="B551" t="str">
        <f>"1551689313447355"</f>
        <v>1551689313447355</v>
      </c>
      <c r="C551" t="s">
        <v>40</v>
      </c>
      <c r="D551">
        <v>4.80077</v>
      </c>
      <c r="E551">
        <v>0.5503806</v>
      </c>
      <c r="F551" t="s">
        <v>41</v>
      </c>
      <c r="G551">
        <v>-360.75330000000002</v>
      </c>
      <c r="H551">
        <v>0.84845230000000005</v>
      </c>
      <c r="I551">
        <v>368.03030000000001</v>
      </c>
      <c r="J551">
        <v>-361.36880000000002</v>
      </c>
      <c r="K551">
        <v>1.110204</v>
      </c>
      <c r="L551">
        <v>368.02850000000001</v>
      </c>
      <c r="M551">
        <v>0.9999209</v>
      </c>
      <c r="N551">
        <v>-1.225964E-2</v>
      </c>
      <c r="O551">
        <v>-2.807281E-3</v>
      </c>
      <c r="P551">
        <v>0.94996860000000005</v>
      </c>
      <c r="Q551">
        <v>0.30815160000000003</v>
      </c>
      <c r="R551">
        <v>5.1011540000000001E-2</v>
      </c>
      <c r="S551">
        <v>3.5402529999999999</v>
      </c>
      <c r="T551">
        <v>-1.1794199999999999</v>
      </c>
      <c r="U551">
        <v>7.4768069999999898E-3</v>
      </c>
      <c r="V551">
        <v>-5.358744E-2</v>
      </c>
      <c r="W551">
        <v>0.31978830000000003</v>
      </c>
      <c r="X551">
        <v>0.94597240000000005</v>
      </c>
      <c r="Y551">
        <v>-4.5247159999999998E-3</v>
      </c>
      <c r="Z551">
        <v>1.6394479999999999E-3</v>
      </c>
      <c r="AA551">
        <v>0.9999884</v>
      </c>
      <c r="AB551">
        <v>35</v>
      </c>
      <c r="AC551">
        <v>0.61549999999999705</v>
      </c>
      <c r="AD551">
        <v>-0.26175169999999998</v>
      </c>
      <c r="AE551">
        <v>1.8000000000029099E-3</v>
      </c>
      <c r="AF551">
        <v>-2.9876812395105701E-3</v>
      </c>
      <c r="AG551">
        <v>-0.26175169999999998</v>
      </c>
      <c r="AH551">
        <v>0.52122824508754595</v>
      </c>
      <c r="AI551">
        <v>116.66462449433099</v>
      </c>
      <c r="AJ551">
        <v>90.328415914589101</v>
      </c>
      <c r="AK551">
        <v>0.58326817345807702</v>
      </c>
      <c r="AL551">
        <v>71.349876883697604</v>
      </c>
      <c r="AM551">
        <v>93.2422259111909</v>
      </c>
      <c r="AN551">
        <v>0.99999997605220103</v>
      </c>
    </row>
    <row r="552" spans="1:40" x14ac:dyDescent="0.25">
      <c r="A552" t="str">
        <f>"20190304164833467"</f>
        <v>20190304164833467</v>
      </c>
      <c r="B552" t="str">
        <f>"1551689313457115"</f>
        <v>1551689313457115</v>
      </c>
      <c r="C552" t="s">
        <v>40</v>
      </c>
      <c r="D552">
        <v>4.5198960000000001</v>
      </c>
      <c r="E552">
        <v>0.55067949999999999</v>
      </c>
      <c r="F552" t="s">
        <v>41</v>
      </c>
      <c r="G552">
        <v>-360.4556</v>
      </c>
      <c r="H552">
        <v>0.80575989999999997</v>
      </c>
      <c r="I552">
        <v>368.03039999999999</v>
      </c>
      <c r="J552">
        <v>-361.1961</v>
      </c>
      <c r="K552">
        <v>1.1102240000000001</v>
      </c>
      <c r="L552">
        <v>368.02800000000002</v>
      </c>
      <c r="M552">
        <v>0.99991960000000002</v>
      </c>
      <c r="N552">
        <v>-1.236776E-2</v>
      </c>
      <c r="O552">
        <v>-2.8598899999999999E-3</v>
      </c>
      <c r="P552">
        <v>0.94996800000000003</v>
      </c>
      <c r="Q552">
        <v>0.3081409</v>
      </c>
      <c r="R552">
        <v>5.1090780000000002E-2</v>
      </c>
      <c r="S552">
        <v>3.5404049999999998</v>
      </c>
      <c r="T552">
        <v>-1.180191</v>
      </c>
      <c r="U552">
        <v>7.6599119999999996E-3</v>
      </c>
      <c r="V552">
        <v>-5.3718769999999999E-2</v>
      </c>
      <c r="W552">
        <v>0.31987959999999999</v>
      </c>
      <c r="X552">
        <v>0.9459341</v>
      </c>
      <c r="Y552">
        <v>-4.6204779999999999E-3</v>
      </c>
      <c r="Z552">
        <v>1.6729469999999999E-3</v>
      </c>
      <c r="AA552">
        <v>0.99998790000000004</v>
      </c>
      <c r="AB552">
        <v>35</v>
      </c>
      <c r="AC552">
        <v>0.74049999999999705</v>
      </c>
      <c r="AD552">
        <v>-0.30446409999999902</v>
      </c>
      <c r="AE552">
        <v>2.3999999999659801E-3</v>
      </c>
      <c r="AF552">
        <v>-3.8645882184682699E-3</v>
      </c>
      <c r="AG552">
        <v>-0.30446409999999902</v>
      </c>
      <c r="AH552">
        <v>0.63341134681067102</v>
      </c>
      <c r="AI552">
        <v>115.671947680814</v>
      </c>
      <c r="AJ552">
        <v>90.349570382879705</v>
      </c>
      <c r="AK552">
        <v>0.70279673981843205</v>
      </c>
      <c r="AL552">
        <v>71.344356105622694</v>
      </c>
      <c r="AM552">
        <v>93.250286131138594</v>
      </c>
      <c r="AN552">
        <v>0.99999999314464105</v>
      </c>
    </row>
    <row r="553" spans="1:40" x14ac:dyDescent="0.25">
      <c r="A553" t="str">
        <f>"20190304164833480"</f>
        <v>20190304164833480</v>
      </c>
      <c r="B553" t="str">
        <f>"1551689313466876"</f>
        <v>1551689313466876</v>
      </c>
      <c r="C553" t="s">
        <v>40</v>
      </c>
      <c r="D553">
        <v>4.7971760000000003</v>
      </c>
      <c r="E553">
        <v>0.55064919999999995</v>
      </c>
      <c r="F553" t="s">
        <v>41</v>
      </c>
      <c r="G553">
        <v>-360.43419999999998</v>
      </c>
      <c r="H553">
        <v>0.85709950000000001</v>
      </c>
      <c r="I553">
        <v>368.02870000000001</v>
      </c>
      <c r="J553">
        <v>-361.0111</v>
      </c>
      <c r="K553">
        <v>1.110249</v>
      </c>
      <c r="L553">
        <v>368.0274</v>
      </c>
      <c r="M553">
        <v>0.99991790000000003</v>
      </c>
      <c r="N553">
        <v>-1.248437E-2</v>
      </c>
      <c r="O553">
        <v>-2.9160229999999998E-3</v>
      </c>
      <c r="P553">
        <v>0.94993159999999999</v>
      </c>
      <c r="Q553">
        <v>0.30820340000000002</v>
      </c>
      <c r="R553">
        <v>5.1389339999999999E-2</v>
      </c>
      <c r="S553">
        <v>3.5391849999999998</v>
      </c>
      <c r="T553">
        <v>-1.1756359999999999</v>
      </c>
      <c r="U553">
        <v>3.90625E-3</v>
      </c>
      <c r="V553">
        <v>-5.4072229999999999E-2</v>
      </c>
      <c r="W553">
        <v>0.32005169999999999</v>
      </c>
      <c r="X553">
        <v>0.94585569999999997</v>
      </c>
      <c r="Y553">
        <v>-3.6698590000000001E-3</v>
      </c>
      <c r="Z553">
        <v>1.5249129999999999E-3</v>
      </c>
      <c r="AA553">
        <v>0.99999210000000005</v>
      </c>
      <c r="AB553">
        <v>35</v>
      </c>
      <c r="AC553">
        <v>0.57690000000002295</v>
      </c>
      <c r="AD553">
        <v>-0.25314949999999897</v>
      </c>
      <c r="AE553">
        <v>1.3000000000147299E-3</v>
      </c>
      <c r="AF553">
        <v>-2.5008351606035698E-3</v>
      </c>
      <c r="AG553">
        <v>-0.25314949999999897</v>
      </c>
      <c r="AH553">
        <v>0.48374674530697198</v>
      </c>
      <c r="AI553">
        <v>117.623196843401</v>
      </c>
      <c r="AJ553">
        <v>90.296200491004996</v>
      </c>
      <c r="AK553">
        <v>0.54598703017730998</v>
      </c>
      <c r="AL553">
        <v>71.3339475414557</v>
      </c>
      <c r="AM553">
        <v>93.271896722929398</v>
      </c>
      <c r="AN553">
        <v>0.99999995097627503</v>
      </c>
    </row>
    <row r="554" spans="1:40" x14ac:dyDescent="0.25">
      <c r="A554" t="str">
        <f>"20190304164833502"</f>
        <v>20190304164833502</v>
      </c>
      <c r="B554" t="str">
        <f>"1551689313497132"</f>
        <v>1551689313497132</v>
      </c>
      <c r="C554" t="s">
        <v>40</v>
      </c>
      <c r="D554">
        <v>4.558357</v>
      </c>
      <c r="E554">
        <v>0.55084500000000003</v>
      </c>
      <c r="F554" t="s">
        <v>41</v>
      </c>
      <c r="G554">
        <v>-360.1352</v>
      </c>
      <c r="H554">
        <v>0.81916489999999997</v>
      </c>
      <c r="I554">
        <v>368.02800000000002</v>
      </c>
      <c r="J554">
        <v>-360.64960000000002</v>
      </c>
      <c r="K554">
        <v>1.1102860000000001</v>
      </c>
      <c r="L554">
        <v>368.02620000000002</v>
      </c>
      <c r="M554">
        <v>0.99991470000000005</v>
      </c>
      <c r="N554">
        <v>-1.2712080000000001E-2</v>
      </c>
      <c r="O554">
        <v>-3.023787E-3</v>
      </c>
      <c r="P554">
        <v>0.94994179999999995</v>
      </c>
      <c r="Q554">
        <v>0.30811539999999998</v>
      </c>
      <c r="R554">
        <v>5.1728099999999902E-2</v>
      </c>
      <c r="S554">
        <v>3.5393979999999998</v>
      </c>
      <c r="T554">
        <v>-1.1760550000000001</v>
      </c>
      <c r="U554">
        <v>4.2114259999999999E-3</v>
      </c>
      <c r="V554">
        <v>-5.4514460000000001E-2</v>
      </c>
      <c r="W554">
        <v>0.32017859999999998</v>
      </c>
      <c r="X554">
        <v>0.94578739999999994</v>
      </c>
      <c r="Y554">
        <v>-3.8483179999999999E-3</v>
      </c>
      <c r="Z554">
        <v>1.5886989999999901E-3</v>
      </c>
      <c r="AA554">
        <v>0.99999139999999997</v>
      </c>
      <c r="AB554">
        <v>35</v>
      </c>
      <c r="AC554">
        <v>0.51440000000002295</v>
      </c>
      <c r="AD554">
        <v>-0.29112109999999902</v>
      </c>
      <c r="AE554">
        <v>1.8000000000029099E-3</v>
      </c>
      <c r="AF554">
        <v>-2.5415321416406901E-3</v>
      </c>
      <c r="AG554">
        <v>-0.29112109999999902</v>
      </c>
      <c r="AH554">
        <v>0.38960617629368099</v>
      </c>
      <c r="AI554">
        <v>126.767196058618</v>
      </c>
      <c r="AJ554">
        <v>90.373754341106505</v>
      </c>
      <c r="AK554">
        <v>0.48636501401418702</v>
      </c>
      <c r="AL554">
        <v>71.3262734960214</v>
      </c>
      <c r="AM554">
        <v>93.298834778123705</v>
      </c>
      <c r="AN554">
        <v>0.99999998412290503</v>
      </c>
    </row>
    <row r="555" spans="1:40" x14ac:dyDescent="0.25">
      <c r="A555" t="str">
        <f>"20190304164833515"</f>
        <v>20190304164833515</v>
      </c>
      <c r="B555" t="str">
        <f>"1551689313506891"</f>
        <v>1551689313506891</v>
      </c>
      <c r="C555" t="s">
        <v>40</v>
      </c>
      <c r="D555">
        <v>4.8190280000000003</v>
      </c>
      <c r="E555">
        <v>0.55081269999999904</v>
      </c>
      <c r="F555" t="s">
        <v>41</v>
      </c>
      <c r="G555">
        <v>-359.81459999999998</v>
      </c>
      <c r="H555">
        <v>0.83332790000000001</v>
      </c>
      <c r="I555">
        <v>368.02679999999998</v>
      </c>
      <c r="J555">
        <v>-360.44740000000002</v>
      </c>
      <c r="K555">
        <v>1.1102959999999999</v>
      </c>
      <c r="L555">
        <v>368.0256</v>
      </c>
      <c r="M555">
        <v>0.99991300000000005</v>
      </c>
      <c r="N555">
        <v>-1.283599E-2</v>
      </c>
      <c r="O555">
        <v>-3.0825280000000002E-3</v>
      </c>
      <c r="P555">
        <v>0.94993309999999997</v>
      </c>
      <c r="Q555">
        <v>0.30810910000000002</v>
      </c>
      <c r="R555">
        <v>5.1924680000000001E-2</v>
      </c>
      <c r="S555">
        <v>3.538513</v>
      </c>
      <c r="T555">
        <v>-1.1737070000000001</v>
      </c>
      <c r="U555">
        <v>3.6315919999999999E-3</v>
      </c>
      <c r="V555">
        <v>-5.4766639999999998E-2</v>
      </c>
      <c r="W555">
        <v>0.32028980000000001</v>
      </c>
      <c r="X555">
        <v>0.9457352</v>
      </c>
      <c r="Y555">
        <v>-3.7475030000000001E-3</v>
      </c>
      <c r="Z555">
        <v>1.587211E-3</v>
      </c>
      <c r="AA555">
        <v>0.99999170000000004</v>
      </c>
      <c r="AB555">
        <v>35</v>
      </c>
      <c r="AC555">
        <v>0.632800000000031</v>
      </c>
      <c r="AD555">
        <v>-0.276968099999999</v>
      </c>
      <c r="AE555">
        <v>1.1999999999829901E-3</v>
      </c>
      <c r="AF555">
        <v>-2.6442268432944399E-3</v>
      </c>
      <c r="AG555">
        <v>-0.276968099999999</v>
      </c>
      <c r="AH555">
        <v>0.53105892142397604</v>
      </c>
      <c r="AI555">
        <v>117.543520159116</v>
      </c>
      <c r="AJ555">
        <v>90.285282442456605</v>
      </c>
      <c r="AK555">
        <v>0.59895066439332501</v>
      </c>
      <c r="AL555">
        <v>71.319548429775296</v>
      </c>
      <c r="AM555">
        <v>93.314243529026101</v>
      </c>
      <c r="AN555">
        <v>1.00000000467998</v>
      </c>
    </row>
    <row r="556" spans="1:40" x14ac:dyDescent="0.25">
      <c r="A556" t="str">
        <f>"20190304164833526"</f>
        <v>20190304164833526</v>
      </c>
      <c r="B556" t="str">
        <f>"1551689313516651"</f>
        <v>1551689313516651</v>
      </c>
      <c r="C556" t="s">
        <v>40</v>
      </c>
      <c r="D556">
        <v>4.8279540000000001</v>
      </c>
      <c r="E556">
        <v>0.55078009999999999</v>
      </c>
      <c r="F556" t="s">
        <v>41</v>
      </c>
      <c r="G556">
        <v>-359.51369999999997</v>
      </c>
      <c r="H556">
        <v>0.8004289</v>
      </c>
      <c r="I556">
        <v>368.02640000000002</v>
      </c>
      <c r="J556">
        <v>-360.28030000000001</v>
      </c>
      <c r="K556">
        <v>1.1103080000000001</v>
      </c>
      <c r="L556">
        <v>368.02510000000001</v>
      </c>
      <c r="M556">
        <v>0.99991149999999995</v>
      </c>
      <c r="N556">
        <v>-1.293133E-2</v>
      </c>
      <c r="O556">
        <v>-3.1301269999999999E-3</v>
      </c>
      <c r="P556">
        <v>0.94987509999999997</v>
      </c>
      <c r="Q556">
        <v>0.30827880000000002</v>
      </c>
      <c r="R556">
        <v>5.197686E-2</v>
      </c>
      <c r="S556">
        <v>3.538818</v>
      </c>
      <c r="T556">
        <v>-1.174444</v>
      </c>
      <c r="U556">
        <v>4.4860840000000004E-3</v>
      </c>
      <c r="V556">
        <v>-5.4863490000000001E-2</v>
      </c>
      <c r="W556">
        <v>0.32054860000000002</v>
      </c>
      <c r="X556">
        <v>0.94564190000000004</v>
      </c>
      <c r="Y556">
        <v>-4.0186309999999999E-3</v>
      </c>
      <c r="Z556">
        <v>1.648334E-3</v>
      </c>
      <c r="AA556">
        <v>0.99999059999999995</v>
      </c>
      <c r="AB556">
        <v>35</v>
      </c>
      <c r="AC556">
        <v>0.76660000000003903</v>
      </c>
      <c r="AD556">
        <v>-0.30987910000000002</v>
      </c>
      <c r="AE556">
        <v>1.3000000000147299E-3</v>
      </c>
      <c r="AF556">
        <v>-3.1801248225186902E-3</v>
      </c>
      <c r="AG556">
        <v>-0.30987910000000002</v>
      </c>
      <c r="AH556">
        <v>0.65892534888873999</v>
      </c>
      <c r="AI556">
        <v>115.186384001763</v>
      </c>
      <c r="AJ556">
        <v>90.276520422672505</v>
      </c>
      <c r="AK556">
        <v>0.72816054906788596</v>
      </c>
      <c r="AL556">
        <v>71.303894977877405</v>
      </c>
      <c r="AM556">
        <v>93.320418216219394</v>
      </c>
      <c r="AN556">
        <v>1.0000000052662701</v>
      </c>
    </row>
    <row r="557" spans="1:40" x14ac:dyDescent="0.25">
      <c r="A557" t="str">
        <f>"20190304164833537"</f>
        <v>20190304164833537</v>
      </c>
      <c r="B557" t="str">
        <f>"1551689313527388"</f>
        <v>1551689313527388</v>
      </c>
      <c r="C557" t="s">
        <v>40</v>
      </c>
      <c r="D557">
        <v>4.8219799999999999</v>
      </c>
      <c r="E557">
        <v>0.55076400000000003</v>
      </c>
      <c r="F557" t="s">
        <v>41</v>
      </c>
      <c r="G557">
        <v>-359.49349999999998</v>
      </c>
      <c r="H557">
        <v>0.84917770000000004</v>
      </c>
      <c r="I557">
        <v>368.0258</v>
      </c>
      <c r="J557">
        <v>-360.11439999999999</v>
      </c>
      <c r="K557">
        <v>1.1103190000000001</v>
      </c>
      <c r="L557">
        <v>368.02449999999999</v>
      </c>
      <c r="M557">
        <v>0.99991030000000003</v>
      </c>
      <c r="N557">
        <v>-1.302506E-2</v>
      </c>
      <c r="O557">
        <v>-3.1776009999999999E-3</v>
      </c>
      <c r="P557">
        <v>0.94975270000000001</v>
      </c>
      <c r="Q557">
        <v>0.30860140000000003</v>
      </c>
      <c r="R557">
        <v>5.2300470000000002E-2</v>
      </c>
      <c r="S557">
        <v>3.539215</v>
      </c>
      <c r="T557">
        <v>-1.174504</v>
      </c>
      <c r="U557">
        <v>5.0353999999999998E-3</v>
      </c>
      <c r="V557">
        <v>-5.5231450000000001E-2</v>
      </c>
      <c r="W557">
        <v>0.32095859999999998</v>
      </c>
      <c r="X557">
        <v>0.94548140000000003</v>
      </c>
      <c r="Y557">
        <v>-4.208308E-3</v>
      </c>
      <c r="Z557">
        <v>1.6948029999999999E-3</v>
      </c>
      <c r="AA557">
        <v>0.99998969999999998</v>
      </c>
      <c r="AB557">
        <v>35</v>
      </c>
      <c r="AC557">
        <v>0.620900000000006</v>
      </c>
      <c r="AD557">
        <v>-0.26114130000000002</v>
      </c>
      <c r="AE557">
        <v>1.3000000000147299E-3</v>
      </c>
      <c r="AF557">
        <v>-2.7811689785128802E-3</v>
      </c>
      <c r="AG557">
        <v>-0.26114130000000002</v>
      </c>
      <c r="AH557">
        <v>0.52757026654314698</v>
      </c>
      <c r="AI557">
        <v>116.33457167979699</v>
      </c>
      <c r="AJ557">
        <v>90.3020408438217</v>
      </c>
      <c r="AK557">
        <v>0.58867045076764701</v>
      </c>
      <c r="AL557">
        <v>71.279093282245697</v>
      </c>
      <c r="AM557">
        <v>93.343203504055296</v>
      </c>
      <c r="AN557">
        <v>1.0000000068645101</v>
      </c>
    </row>
    <row r="558" spans="1:40" x14ac:dyDescent="0.25">
      <c r="A558" t="str">
        <f>"20190304164833546"</f>
        <v>20190304164833546</v>
      </c>
      <c r="B558" t="str">
        <f>"1551689313537148"</f>
        <v>1551689313537148</v>
      </c>
      <c r="C558" t="s">
        <v>40</v>
      </c>
      <c r="D558">
        <v>4.5842099999999997</v>
      </c>
      <c r="E558">
        <v>0.55101009999999995</v>
      </c>
      <c r="F558" t="s">
        <v>41</v>
      </c>
      <c r="G558">
        <v>-359.19729999999998</v>
      </c>
      <c r="H558">
        <v>0.80627519999999997</v>
      </c>
      <c r="I558">
        <v>368.02609999999999</v>
      </c>
      <c r="J558">
        <v>-359.94699999999898</v>
      </c>
      <c r="K558">
        <v>1.1103350000000001</v>
      </c>
      <c r="L558">
        <v>368.02390000000003</v>
      </c>
      <c r="M558">
        <v>0.99990889999999999</v>
      </c>
      <c r="N558">
        <v>-1.311269E-2</v>
      </c>
      <c r="O558">
        <v>-3.2245680000000001E-3</v>
      </c>
      <c r="P558">
        <v>0.94969890000000001</v>
      </c>
      <c r="Q558">
        <v>0.30873790000000001</v>
      </c>
      <c r="R558">
        <v>5.2470549999999998E-2</v>
      </c>
      <c r="S558">
        <v>3.5397340000000002</v>
      </c>
      <c r="T558">
        <v>-1.1735880000000001</v>
      </c>
      <c r="U558">
        <v>5.8898930000000002E-3</v>
      </c>
      <c r="V558">
        <v>-5.5445330000000001E-2</v>
      </c>
      <c r="W558">
        <v>0.3211772</v>
      </c>
      <c r="X558">
        <v>0.94539459999999997</v>
      </c>
      <c r="Y558">
        <v>-4.4797509999999997E-3</v>
      </c>
      <c r="Z558">
        <v>1.753435E-3</v>
      </c>
      <c r="AA558">
        <v>0.9999884</v>
      </c>
      <c r="AB558">
        <v>35</v>
      </c>
      <c r="AC558">
        <v>0.74969999999996095</v>
      </c>
      <c r="AD558">
        <v>-0.30405979999999999</v>
      </c>
      <c r="AE558">
        <v>2.1999999999593399E-3</v>
      </c>
      <c r="AF558">
        <v>-3.9653884929402696E-3</v>
      </c>
      <c r="AG558">
        <v>-0.30405979999999999</v>
      </c>
      <c r="AH558">
        <v>0.64379176142795302</v>
      </c>
      <c r="AI558">
        <v>115.280724374659</v>
      </c>
      <c r="AJ558">
        <v>90.352904720501499</v>
      </c>
      <c r="AK558">
        <v>0.71199432467151402</v>
      </c>
      <c r="AL558">
        <v>71.265867408965093</v>
      </c>
      <c r="AM558">
        <v>93.356427726964398</v>
      </c>
      <c r="AN558">
        <v>0.99999996406390301</v>
      </c>
    </row>
    <row r="559" spans="1:40" x14ac:dyDescent="0.25">
      <c r="A559" t="str">
        <f>"20190304164833557"</f>
        <v>20190304164833557</v>
      </c>
      <c r="B559" t="str">
        <f>"1551689313546909"</f>
        <v>1551689313546909</v>
      </c>
      <c r="C559" t="s">
        <v>40</v>
      </c>
      <c r="D559">
        <v>4.8550329999999997</v>
      </c>
      <c r="E559">
        <v>0.55097320000000005</v>
      </c>
      <c r="F559" t="s">
        <v>41</v>
      </c>
      <c r="G559">
        <v>-359.17660000000001</v>
      </c>
      <c r="H559">
        <v>0.85578809999999905</v>
      </c>
      <c r="I559">
        <v>368.0249</v>
      </c>
      <c r="J559">
        <v>-359.78710000000001</v>
      </c>
      <c r="K559">
        <v>1.110344</v>
      </c>
      <c r="L559">
        <v>368.02330000000001</v>
      </c>
      <c r="M559">
        <v>0.99990769999999995</v>
      </c>
      <c r="N559">
        <v>-1.3193450000000001E-2</v>
      </c>
      <c r="O559">
        <v>-3.2697020000000002E-3</v>
      </c>
      <c r="P559">
        <v>0.94962530000000001</v>
      </c>
      <c r="Q559">
        <v>0.3089384</v>
      </c>
      <c r="R559">
        <v>5.2620689999999998E-2</v>
      </c>
      <c r="S559">
        <v>3.5387879999999998</v>
      </c>
      <c r="T559">
        <v>-1.1692560000000001</v>
      </c>
      <c r="U559">
        <v>4.0283200000000002E-3</v>
      </c>
      <c r="V559">
        <v>-5.5637270000000003E-2</v>
      </c>
      <c r="W559">
        <v>0.32145309999999999</v>
      </c>
      <c r="X559">
        <v>0.94528959999999995</v>
      </c>
      <c r="Y559">
        <v>-4.0250379999999999E-3</v>
      </c>
      <c r="Z559">
        <v>1.685307E-3</v>
      </c>
      <c r="AA559">
        <v>0.9999905</v>
      </c>
      <c r="AB559">
        <v>35</v>
      </c>
      <c r="AC559">
        <v>0.61050000000000104</v>
      </c>
      <c r="AD559">
        <v>-0.2545559</v>
      </c>
      <c r="AE559">
        <v>1.59999999999627E-3</v>
      </c>
      <c r="AF559">
        <v>-3.0636766736675302E-3</v>
      </c>
      <c r="AG559">
        <v>-0.2545559</v>
      </c>
      <c r="AH559">
        <v>0.52007317638749795</v>
      </c>
      <c r="AI559">
        <v>116.079585253465</v>
      </c>
      <c r="AJ559">
        <v>90.337517335470906</v>
      </c>
      <c r="AK559">
        <v>0.579037305479839</v>
      </c>
      <c r="AL559">
        <v>71.249175288922999</v>
      </c>
      <c r="AM559">
        <v>93.368393516005199</v>
      </c>
      <c r="AN559">
        <v>1.00000001459041</v>
      </c>
    </row>
    <row r="560" spans="1:40" x14ac:dyDescent="0.25">
      <c r="A560" t="str">
        <f>"20190304164833568"</f>
        <v>20190304164833568</v>
      </c>
      <c r="B560" t="str">
        <f>"1551689313556667"</f>
        <v>1551689313556667</v>
      </c>
      <c r="C560" t="s">
        <v>40</v>
      </c>
      <c r="D560">
        <v>4.9413720000000003</v>
      </c>
      <c r="E560">
        <v>0.55092259999999904</v>
      </c>
      <c r="F560" t="s">
        <v>41</v>
      </c>
      <c r="G560">
        <v>-358.88159999999999</v>
      </c>
      <c r="H560">
        <v>0.81120059999999905</v>
      </c>
      <c r="I560">
        <v>368.02429999999998</v>
      </c>
      <c r="J560">
        <v>-359.61509999999998</v>
      </c>
      <c r="K560">
        <v>1.110349</v>
      </c>
      <c r="L560">
        <v>368.02280000000002</v>
      </c>
      <c r="M560">
        <v>0.99990659999999998</v>
      </c>
      <c r="N560">
        <v>-1.3268769999999999E-2</v>
      </c>
      <c r="O560">
        <v>-3.3187300000000002E-3</v>
      </c>
      <c r="P560">
        <v>0.94964170000000003</v>
      </c>
      <c r="Q560">
        <v>0.30887199999999998</v>
      </c>
      <c r="R560">
        <v>5.2715440000000002E-2</v>
      </c>
      <c r="S560">
        <v>3.5392760000000001</v>
      </c>
      <c r="T560">
        <v>-1.1693009999999999</v>
      </c>
      <c r="U560">
        <v>5.0964360000000002E-3</v>
      </c>
      <c r="V560">
        <v>-5.577824E-2</v>
      </c>
      <c r="W560">
        <v>0.32145849999999998</v>
      </c>
      <c r="X560">
        <v>0.94527939999999999</v>
      </c>
      <c r="Y560">
        <v>-4.3551099999999997E-3</v>
      </c>
      <c r="Z560">
        <v>1.7555680000000001E-3</v>
      </c>
      <c r="AA560">
        <v>0.99998900000000002</v>
      </c>
      <c r="AB560">
        <v>35</v>
      </c>
      <c r="AC560">
        <v>0.73349999999999205</v>
      </c>
      <c r="AD560">
        <v>-0.29914839999999998</v>
      </c>
      <c r="AE560">
        <v>1.4999999999645199E-3</v>
      </c>
      <c r="AF560">
        <v>-3.3733962310836798E-3</v>
      </c>
      <c r="AG560">
        <v>-0.29914839999999998</v>
      </c>
      <c r="AH560">
        <v>0.62888788411493701</v>
      </c>
      <c r="AI560">
        <v>115.439105316198</v>
      </c>
      <c r="AJ560">
        <v>90.307335405571607</v>
      </c>
      <c r="AK560">
        <v>0.69642021496453899</v>
      </c>
      <c r="AL560">
        <v>71.248847520617005</v>
      </c>
      <c r="AM560">
        <v>93.376944754765404</v>
      </c>
      <c r="AN560">
        <v>0.99999996167205296</v>
      </c>
    </row>
    <row r="561" spans="1:40" x14ac:dyDescent="0.25">
      <c r="A561" t="str">
        <f>"20190304164833580"</f>
        <v>20190304164833580</v>
      </c>
      <c r="B561" t="str">
        <f>"1551689313577162"</f>
        <v>1551689313577162</v>
      </c>
      <c r="C561" t="s">
        <v>40</v>
      </c>
      <c r="D561">
        <v>4.877961</v>
      </c>
      <c r="E561">
        <v>0.55083300000000002</v>
      </c>
      <c r="F561" t="s">
        <v>41</v>
      </c>
      <c r="G561">
        <v>-358.86070000000001</v>
      </c>
      <c r="H561">
        <v>0.86086600000000002</v>
      </c>
      <c r="I561">
        <v>368.02370000000002</v>
      </c>
      <c r="J561">
        <v>-359.43630000000002</v>
      </c>
      <c r="K561">
        <v>1.110349</v>
      </c>
      <c r="L561">
        <v>368.02210000000002</v>
      </c>
      <c r="M561">
        <v>0.9999053</v>
      </c>
      <c r="N561">
        <v>-1.3339470000000001E-2</v>
      </c>
      <c r="O561">
        <v>-3.3697570000000001E-3</v>
      </c>
      <c r="P561">
        <v>0.94967009999999996</v>
      </c>
      <c r="Q561">
        <v>0.30877739999999998</v>
      </c>
      <c r="R561">
        <v>5.2758659999999999E-2</v>
      </c>
      <c r="S561">
        <v>3.5394589999999901</v>
      </c>
      <c r="T561">
        <v>-1.1703859999999999</v>
      </c>
      <c r="U561">
        <v>5.9814450000000002E-3</v>
      </c>
      <c r="V561">
        <v>-5.5870290000000003E-2</v>
      </c>
      <c r="W561">
        <v>0.32143100000000002</v>
      </c>
      <c r="X561">
        <v>0.9452834</v>
      </c>
      <c r="Y561">
        <v>-4.6372669999999996E-3</v>
      </c>
      <c r="Z561">
        <v>1.820115E-3</v>
      </c>
      <c r="AA561">
        <v>0.99998759999999998</v>
      </c>
      <c r="AB561">
        <v>35</v>
      </c>
      <c r="AC561">
        <v>0.57560000000000799</v>
      </c>
      <c r="AD561">
        <v>-0.24948299999999901</v>
      </c>
      <c r="AE561">
        <v>1.59999999999627E-3</v>
      </c>
      <c r="AF561">
        <v>-2.9799743109383599E-3</v>
      </c>
      <c r="AG561">
        <v>-0.24948299999999901</v>
      </c>
      <c r="AH561">
        <v>0.48456112619568997</v>
      </c>
      <c r="AI561">
        <v>117.241859928273</v>
      </c>
      <c r="AJ561">
        <v>90.3523555427779</v>
      </c>
      <c r="AK561">
        <v>0.54502305690303599</v>
      </c>
      <c r="AL561">
        <v>71.250513019061401</v>
      </c>
      <c r="AM561">
        <v>93.382490467550994</v>
      </c>
      <c r="AN561">
        <v>1.0000000416906201</v>
      </c>
    </row>
    <row r="562" spans="1:40" x14ac:dyDescent="0.25">
      <c r="A562" t="str">
        <f>"20190304164833590"</f>
        <v>20190304164833590</v>
      </c>
      <c r="B562" t="str">
        <f>"1551689313586923"</f>
        <v>1551689313586923</v>
      </c>
      <c r="C562" t="s">
        <v>40</v>
      </c>
      <c r="D562">
        <v>4.8926980000000002</v>
      </c>
      <c r="E562">
        <v>0.55079140000000004</v>
      </c>
      <c r="F562" t="s">
        <v>41</v>
      </c>
      <c r="G562">
        <v>-358.56400000000002</v>
      </c>
      <c r="H562">
        <v>0.82136609999999999</v>
      </c>
      <c r="I562">
        <v>368.02370000000002</v>
      </c>
      <c r="J562">
        <v>-359.26609999999999</v>
      </c>
      <c r="K562">
        <v>1.110352</v>
      </c>
      <c r="L562">
        <v>368.0215</v>
      </c>
      <c r="M562">
        <v>0.99990449999999997</v>
      </c>
      <c r="N562">
        <v>-1.339594E-2</v>
      </c>
      <c r="O562">
        <v>-3.4186630000000002E-3</v>
      </c>
      <c r="P562">
        <v>0.94961969999999996</v>
      </c>
      <c r="Q562">
        <v>0.30893350000000003</v>
      </c>
      <c r="R562">
        <v>5.2753510000000003E-2</v>
      </c>
      <c r="S562">
        <v>3.539917</v>
      </c>
      <c r="T562">
        <v>-1.172668</v>
      </c>
      <c r="U562">
        <v>7.2326659999999996E-3</v>
      </c>
      <c r="V562">
        <v>-5.591074E-2</v>
      </c>
      <c r="W562">
        <v>0.32163960000000003</v>
      </c>
      <c r="X562">
        <v>0.94520999999999999</v>
      </c>
      <c r="Y562">
        <v>-5.0144949999999999E-3</v>
      </c>
      <c r="Z562">
        <v>1.9018279999999999E-3</v>
      </c>
      <c r="AA562">
        <v>0.99998560000000003</v>
      </c>
      <c r="AB562">
        <v>35</v>
      </c>
      <c r="AC562">
        <v>0.70209999999997297</v>
      </c>
      <c r="AD562">
        <v>-0.28898590000000002</v>
      </c>
      <c r="AE562">
        <v>2.2000000000161799E-3</v>
      </c>
      <c r="AF562">
        <v>-3.9339728159347997E-3</v>
      </c>
      <c r="AG562">
        <v>-0.28898590000000002</v>
      </c>
      <c r="AH562">
        <v>0.600375874678443</v>
      </c>
      <c r="AI562">
        <v>115.70296768420801</v>
      </c>
      <c r="AJ562">
        <v>90.375426166799798</v>
      </c>
      <c r="AK562">
        <v>0.66631788017194304</v>
      </c>
      <c r="AL562">
        <v>71.237889916916998</v>
      </c>
      <c r="AM562">
        <v>93.385195937777496</v>
      </c>
      <c r="AN562">
        <v>0.99999999361775305</v>
      </c>
    </row>
    <row r="563" spans="1:40" x14ac:dyDescent="0.25">
      <c r="A563" t="str">
        <f>"20190304164833602"</f>
        <v>20190304164833602</v>
      </c>
      <c r="B563" t="str">
        <f>"1551689313596683"</f>
        <v>1551689313596683</v>
      </c>
      <c r="C563" t="s">
        <v>40</v>
      </c>
      <c r="D563">
        <v>4.8993849999999997</v>
      </c>
      <c r="E563">
        <v>0.55074899999999904</v>
      </c>
      <c r="F563" t="s">
        <v>41</v>
      </c>
      <c r="G563">
        <v>-358.54289999999997</v>
      </c>
      <c r="H563">
        <v>0.87072830000000001</v>
      </c>
      <c r="I563">
        <v>368.02280000000002</v>
      </c>
      <c r="J563">
        <v>-359.07889999999998</v>
      </c>
      <c r="K563">
        <v>1.110352</v>
      </c>
      <c r="L563">
        <v>368.02080000000001</v>
      </c>
      <c r="M563">
        <v>0.9999036</v>
      </c>
      <c r="N563">
        <v>-1.3447890000000001E-2</v>
      </c>
      <c r="O563">
        <v>-3.4725429999999998E-3</v>
      </c>
      <c r="P563">
        <v>0.94951839999999998</v>
      </c>
      <c r="Q563">
        <v>0.3092762</v>
      </c>
      <c r="R563">
        <v>5.2568509999999999E-2</v>
      </c>
      <c r="S563">
        <v>3.540375</v>
      </c>
      <c r="T563">
        <v>-1.173025</v>
      </c>
      <c r="U563">
        <v>6.9885249999999998E-3</v>
      </c>
      <c r="V563">
        <v>-5.5776720000000002E-2</v>
      </c>
      <c r="W563">
        <v>0.32203019999999999</v>
      </c>
      <c r="X563">
        <v>0.94508490000000001</v>
      </c>
      <c r="Y563">
        <v>-4.997324E-3</v>
      </c>
      <c r="Z563">
        <v>1.9158999999999999E-3</v>
      </c>
      <c r="AA563">
        <v>0.99998569999999998</v>
      </c>
      <c r="AB563">
        <v>35</v>
      </c>
      <c r="AC563">
        <v>0.53600000000000103</v>
      </c>
      <c r="AD563">
        <v>-0.239623699999999</v>
      </c>
      <c r="AE563">
        <v>2.0000000000095402E-3</v>
      </c>
      <c r="AF563">
        <v>-3.21824389827653E-3</v>
      </c>
      <c r="AG563">
        <v>-0.239623699999999</v>
      </c>
      <c r="AH563">
        <v>0.44671063864285898</v>
      </c>
      <c r="AI563">
        <v>118.209297625776</v>
      </c>
      <c r="AJ563">
        <v>90.412769669790194</v>
      </c>
      <c r="AK563">
        <v>0.50693221378423903</v>
      </c>
      <c r="AL563">
        <v>71.214252318205993</v>
      </c>
      <c r="AM563">
        <v>93.377546296451399</v>
      </c>
      <c r="AN563">
        <v>0.99999998020700398</v>
      </c>
    </row>
    <row r="564" spans="1:40" x14ac:dyDescent="0.25">
      <c r="A564" t="str">
        <f>"20190304164833614"</f>
        <v>20190304164833614</v>
      </c>
      <c r="B564" t="str">
        <f>"1551689313607419"</f>
        <v>1551689313607419</v>
      </c>
      <c r="C564" t="s">
        <v>40</v>
      </c>
      <c r="D564">
        <v>4.8830150000000003</v>
      </c>
      <c r="E564">
        <v>0.55070779999999997</v>
      </c>
      <c r="F564" t="s">
        <v>41</v>
      </c>
      <c r="G564">
        <v>-358.24540000000002</v>
      </c>
      <c r="H564">
        <v>0.834421999999999</v>
      </c>
      <c r="I564">
        <v>368.02229999999997</v>
      </c>
      <c r="J564">
        <v>-358.89819999999997</v>
      </c>
      <c r="K564">
        <v>1.1103540000000001</v>
      </c>
      <c r="L564">
        <v>368.02010000000001</v>
      </c>
      <c r="M564">
        <v>0.99990279999999998</v>
      </c>
      <c r="N564">
        <v>-1.3491909999999999E-2</v>
      </c>
      <c r="O564">
        <v>-3.5248179999999999E-3</v>
      </c>
      <c r="P564">
        <v>0.94944200000000001</v>
      </c>
      <c r="Q564">
        <v>0.30956719999999999</v>
      </c>
      <c r="R564">
        <v>5.2230279999999997E-2</v>
      </c>
      <c r="S564">
        <v>3.5409549999999999</v>
      </c>
      <c r="T564">
        <v>-1.1723570000000001</v>
      </c>
      <c r="U564">
        <v>6.6223139999999998E-3</v>
      </c>
      <c r="V564">
        <v>-5.5487099999999998E-2</v>
      </c>
      <c r="W564">
        <v>0.32236189999999998</v>
      </c>
      <c r="X564">
        <v>0.94498890000000002</v>
      </c>
      <c r="Y564">
        <v>-4.9467640000000002E-3</v>
      </c>
      <c r="Z564">
        <v>1.9221869999999999E-3</v>
      </c>
      <c r="AA564">
        <v>0.99998589999999998</v>
      </c>
      <c r="AB564">
        <v>35</v>
      </c>
      <c r="AC564">
        <v>0.65279999999995597</v>
      </c>
      <c r="AD564">
        <v>-0.27593200000000001</v>
      </c>
      <c r="AE564">
        <v>2.1999999999593399E-3</v>
      </c>
      <c r="AF564">
        <v>-3.8188949341252799E-3</v>
      </c>
      <c r="AG564">
        <v>-0.27593200000000001</v>
      </c>
      <c r="AH564">
        <v>0.55383702624039099</v>
      </c>
      <c r="AI564">
        <v>116.482803635426</v>
      </c>
      <c r="AJ564">
        <v>90.395067653640794</v>
      </c>
      <c r="AK564">
        <v>0.61877985117270695</v>
      </c>
      <c r="AL564">
        <v>71.194177453874801</v>
      </c>
      <c r="AM564">
        <v>93.360389271463603</v>
      </c>
      <c r="AN564">
        <v>1.00000001698061</v>
      </c>
    </row>
    <row r="565" spans="1:40" x14ac:dyDescent="0.25">
      <c r="A565" t="str">
        <f>"20190304164833624"</f>
        <v>20190304164833624</v>
      </c>
      <c r="B565" t="str">
        <f>"1551689313617179"</f>
        <v>1551689313617179</v>
      </c>
      <c r="C565" t="s">
        <v>40</v>
      </c>
      <c r="D565">
        <v>4.8932039999999999</v>
      </c>
      <c r="E565">
        <v>0.55066599999999999</v>
      </c>
      <c r="F565" t="s">
        <v>41</v>
      </c>
      <c r="G565">
        <v>-358.22269999999997</v>
      </c>
      <c r="H565">
        <v>0.88678060000000003</v>
      </c>
      <c r="I565">
        <v>368.0213</v>
      </c>
      <c r="J565">
        <v>-358.73430000000002</v>
      </c>
      <c r="K565">
        <v>1.110355</v>
      </c>
      <c r="L565">
        <v>368.01949999999999</v>
      </c>
      <c r="M565">
        <v>0.99990219999999996</v>
      </c>
      <c r="N565">
        <v>-1.3521409999999999E-2</v>
      </c>
      <c r="O565">
        <v>-3.5717499999999998E-3</v>
      </c>
      <c r="P565">
        <v>0.94933429999999996</v>
      </c>
      <c r="Q565">
        <v>0.3099287</v>
      </c>
      <c r="R565">
        <v>5.2045609999999999E-2</v>
      </c>
      <c r="S565">
        <v>3.541595</v>
      </c>
      <c r="T565">
        <v>-1.1722900000000001</v>
      </c>
      <c r="U565">
        <v>6.6223139999999998E-3</v>
      </c>
      <c r="V565">
        <v>-5.5346880000000001E-2</v>
      </c>
      <c r="W565">
        <v>0.32274960000000003</v>
      </c>
      <c r="X565">
        <v>0.9448647</v>
      </c>
      <c r="Y565">
        <v>-4.9889289999999996E-3</v>
      </c>
      <c r="Z565">
        <v>1.943324E-3</v>
      </c>
      <c r="AA565">
        <v>0.99998569999999998</v>
      </c>
      <c r="AB565">
        <v>35</v>
      </c>
      <c r="AC565">
        <v>0.51160000000004402</v>
      </c>
      <c r="AD565">
        <v>-0.22357439999999901</v>
      </c>
      <c r="AE565">
        <v>1.8000000000029099E-3</v>
      </c>
      <c r="AF565">
        <v>-3.0457913078051901E-3</v>
      </c>
      <c r="AG565">
        <v>-0.22357439999999901</v>
      </c>
      <c r="AH565">
        <v>0.42955568601024102</v>
      </c>
      <c r="AI565">
        <v>117.49540778792</v>
      </c>
      <c r="AJ565">
        <v>90.406252479971201</v>
      </c>
      <c r="AK565">
        <v>0.48426529564256399</v>
      </c>
      <c r="AL565">
        <v>71.170708053522304</v>
      </c>
      <c r="AM565">
        <v>93.352356302354494</v>
      </c>
      <c r="AN565">
        <v>0.99999994136599002</v>
      </c>
    </row>
    <row r="566" spans="1:40" x14ac:dyDescent="0.25">
      <c r="A566" t="str">
        <f>"20190304164833635"</f>
        <v>20190304164833635</v>
      </c>
      <c r="B566" t="str">
        <f>"1551689313626939"</f>
        <v>1551689313626939</v>
      </c>
      <c r="C566" t="s">
        <v>40</v>
      </c>
      <c r="D566">
        <v>4.8968809999999996</v>
      </c>
      <c r="E566">
        <v>0.55062259999999996</v>
      </c>
      <c r="F566" t="s">
        <v>41</v>
      </c>
      <c r="G566">
        <v>-357.92840000000001</v>
      </c>
      <c r="H566">
        <v>0.84376289999999998</v>
      </c>
      <c r="I566">
        <v>368.02080000000001</v>
      </c>
      <c r="J566">
        <v>-358.56369999999998</v>
      </c>
      <c r="K566">
        <v>1.1103529999999999</v>
      </c>
      <c r="L566">
        <v>368.0188</v>
      </c>
      <c r="M566">
        <v>0.9999017</v>
      </c>
      <c r="N566">
        <v>-1.3550609999999999E-2</v>
      </c>
      <c r="O566">
        <v>-3.6205880000000001E-3</v>
      </c>
      <c r="P566">
        <v>0.94920839999999995</v>
      </c>
      <c r="Q566">
        <v>0.31036190000000002</v>
      </c>
      <c r="R566">
        <v>5.1761639999999998E-2</v>
      </c>
      <c r="S566">
        <v>3.542297</v>
      </c>
      <c r="T566">
        <v>-1.171867</v>
      </c>
      <c r="U566">
        <v>6.9274899999999997E-3</v>
      </c>
      <c r="V566">
        <v>-5.5108450000000003E-2</v>
      </c>
      <c r="W566">
        <v>0.323208099999999</v>
      </c>
      <c r="X566">
        <v>0.9447219</v>
      </c>
      <c r="Y566">
        <v>-5.11467E-3</v>
      </c>
      <c r="Z566">
        <v>1.9784830000000001E-3</v>
      </c>
      <c r="AA566">
        <v>0.99998500000000001</v>
      </c>
      <c r="AB566">
        <v>35</v>
      </c>
      <c r="AC566">
        <v>0.635299999999972</v>
      </c>
      <c r="AD566">
        <v>-0.2665901</v>
      </c>
      <c r="AE566">
        <v>2.0000000000095402E-3</v>
      </c>
      <c r="AF566">
        <v>-3.6564976756105001E-3</v>
      </c>
      <c r="AG566">
        <v>-0.2665901</v>
      </c>
      <c r="AH566">
        <v>0.54017166456435595</v>
      </c>
      <c r="AI566">
        <v>116.267130375093</v>
      </c>
      <c r="AJ566">
        <v>90.387837235018296</v>
      </c>
      <c r="AK566">
        <v>0.60238615405028095</v>
      </c>
      <c r="AL566">
        <v>71.142950319302997</v>
      </c>
      <c r="AM566">
        <v>93.3384507488027</v>
      </c>
      <c r="AN566">
        <v>0.99999994275330895</v>
      </c>
    </row>
    <row r="567" spans="1:40" x14ac:dyDescent="0.25">
      <c r="A567" t="str">
        <f>"20190304164833646"</f>
        <v>20190304164833646</v>
      </c>
      <c r="B567" t="str">
        <f>"1551689313636700"</f>
        <v>1551689313636700</v>
      </c>
      <c r="C567" t="s">
        <v>40</v>
      </c>
      <c r="D567">
        <v>5.2331510000000003</v>
      </c>
      <c r="E567">
        <v>0.55059419999999903</v>
      </c>
      <c r="F567" t="s">
        <v>41</v>
      </c>
      <c r="G567">
        <v>-357.6327</v>
      </c>
      <c r="H567">
        <v>0.80259969999999903</v>
      </c>
      <c r="I567">
        <v>368.02010000000001</v>
      </c>
      <c r="J567">
        <v>-358.39089999999999</v>
      </c>
      <c r="K567">
        <v>1.1103609999999999</v>
      </c>
      <c r="L567">
        <v>368.01819999999998</v>
      </c>
      <c r="M567">
        <v>0.99990120000000005</v>
      </c>
      <c r="N567">
        <v>-1.357031E-2</v>
      </c>
      <c r="O567">
        <v>-3.6699549999999999E-3</v>
      </c>
      <c r="P567">
        <v>0.94911650000000003</v>
      </c>
      <c r="Q567">
        <v>0.31067440000000002</v>
      </c>
      <c r="R567">
        <v>5.1565630000000001E-2</v>
      </c>
      <c r="S567">
        <v>3.5431210000000002</v>
      </c>
      <c r="T567">
        <v>-1.1712389999999999</v>
      </c>
      <c r="U567">
        <v>6.5612789999999997E-3</v>
      </c>
      <c r="V567">
        <v>-5.4958180000000002E-2</v>
      </c>
      <c r="W567">
        <v>0.32353850000000001</v>
      </c>
      <c r="X567">
        <v>0.94461759999999995</v>
      </c>
      <c r="Y567">
        <v>-5.0614689999999999E-3</v>
      </c>
      <c r="Z567">
        <v>1.9833160000000002E-3</v>
      </c>
      <c r="AA567">
        <v>0.99998520000000002</v>
      </c>
      <c r="AB567">
        <v>35</v>
      </c>
      <c r="AC567">
        <v>0.758199999999987</v>
      </c>
      <c r="AD567">
        <v>-0.30776130000000002</v>
      </c>
      <c r="AE567">
        <v>1.90000000003465E-3</v>
      </c>
      <c r="AF567">
        <v>-4.0203940865801997E-3</v>
      </c>
      <c r="AG567">
        <v>-0.30776130000000002</v>
      </c>
      <c r="AH567">
        <v>0.65093791979642301</v>
      </c>
      <c r="AI567">
        <v>115.304207548574</v>
      </c>
      <c r="AJ567">
        <v>90.353871970188095</v>
      </c>
      <c r="AK567">
        <v>0.72003705236272098</v>
      </c>
      <c r="AL567">
        <v>71.122945787239502</v>
      </c>
      <c r="AM567">
        <v>93.329734735807406</v>
      </c>
      <c r="AN567">
        <v>0.99999998638046095</v>
      </c>
    </row>
    <row r="568" spans="1:40" x14ac:dyDescent="0.25">
      <c r="A568" t="str">
        <f>"20190304164833657"</f>
        <v>20190304164833657</v>
      </c>
      <c r="B568" t="str">
        <f>"1551689313647436"</f>
        <v>1551689313647436</v>
      </c>
      <c r="C568" t="s">
        <v>40</v>
      </c>
      <c r="D568">
        <v>4.9079259999999998</v>
      </c>
      <c r="E568">
        <v>0.55055390000000004</v>
      </c>
      <c r="F568" t="s">
        <v>41</v>
      </c>
      <c r="G568">
        <v>-357.61160000000001</v>
      </c>
      <c r="H568">
        <v>0.85294459999999905</v>
      </c>
      <c r="I568">
        <v>368.01909999999998</v>
      </c>
      <c r="J568">
        <v>-358.21899999999999</v>
      </c>
      <c r="K568">
        <v>1.1103609999999999</v>
      </c>
      <c r="L568">
        <v>368.01749999999998</v>
      </c>
      <c r="M568">
        <v>0.99990089999999998</v>
      </c>
      <c r="N568">
        <v>-1.3588370000000001E-2</v>
      </c>
      <c r="O568">
        <v>-3.7190729999999998E-3</v>
      </c>
      <c r="P568">
        <v>0.94896950000000002</v>
      </c>
      <c r="Q568">
        <v>0.31115080000000001</v>
      </c>
      <c r="R568">
        <v>5.140335E-2</v>
      </c>
      <c r="S568">
        <v>3.5436709999999998</v>
      </c>
      <c r="T568">
        <v>-1.1706350000000001</v>
      </c>
      <c r="U568">
        <v>5.859375E-3</v>
      </c>
      <c r="V568">
        <v>-5.4842580000000002E-2</v>
      </c>
      <c r="W568">
        <v>0.32402969999999998</v>
      </c>
      <c r="X568">
        <v>0.94445590000000001</v>
      </c>
      <c r="Y568">
        <v>-4.91838E-3</v>
      </c>
      <c r="Z568">
        <v>1.973158E-3</v>
      </c>
      <c r="AA568">
        <v>0.99998589999999998</v>
      </c>
      <c r="AB568">
        <v>35</v>
      </c>
      <c r="AC568">
        <v>0.60739999999998395</v>
      </c>
      <c r="AD568">
        <v>-0.25741639999999999</v>
      </c>
      <c r="AE568">
        <v>1.59999999999627E-3</v>
      </c>
      <c r="AF568">
        <v>-3.2715699064428598E-3</v>
      </c>
      <c r="AG568">
        <v>-0.25741639999999999</v>
      </c>
      <c r="AH568">
        <v>0.51490926757017197</v>
      </c>
      <c r="AI568">
        <v>116.56118500444801</v>
      </c>
      <c r="AJ568">
        <v>90.364034282385404</v>
      </c>
      <c r="AK568">
        <v>0.57567826082653495</v>
      </c>
      <c r="AL568">
        <v>71.093199014474294</v>
      </c>
      <c r="AM568">
        <v>93.323314234079405</v>
      </c>
      <c r="AN568">
        <v>0.99999995105397699</v>
      </c>
    </row>
    <row r="569" spans="1:40" x14ac:dyDescent="0.25">
      <c r="A569" t="str">
        <f>"20190304164833668"</f>
        <v>20190304164833668</v>
      </c>
      <c r="B569" t="str">
        <f>"1551689313657195"</f>
        <v>1551689313657195</v>
      </c>
      <c r="C569" t="s">
        <v>40</v>
      </c>
      <c r="D569">
        <v>4.9205699999999997</v>
      </c>
      <c r="E569">
        <v>0.55051260000000002</v>
      </c>
      <c r="F569" t="s">
        <v>41</v>
      </c>
      <c r="G569">
        <v>-357.31610000000001</v>
      </c>
      <c r="H569">
        <v>0.81244289999999997</v>
      </c>
      <c r="I569">
        <v>368.01889999999997</v>
      </c>
      <c r="J569">
        <v>-358.0453</v>
      </c>
      <c r="K569">
        <v>1.1103609999999999</v>
      </c>
      <c r="L569">
        <v>368.01679999999999</v>
      </c>
      <c r="M569">
        <v>0.99990029999999996</v>
      </c>
      <c r="N569">
        <v>-1.3600930000000001E-2</v>
      </c>
      <c r="O569">
        <v>-3.767917E-3</v>
      </c>
      <c r="P569">
        <v>0.94892569999999998</v>
      </c>
      <c r="Q569">
        <v>0.31128099999999997</v>
      </c>
      <c r="R569">
        <v>5.1421950000000001E-2</v>
      </c>
      <c r="S569">
        <v>3.5444640000000001</v>
      </c>
      <c r="T569">
        <v>-1.1695450000000001</v>
      </c>
      <c r="U569">
        <v>5.6457520000000004E-3</v>
      </c>
      <c r="V569">
        <v>-5.4906870000000003E-2</v>
      </c>
      <c r="W569">
        <v>0.3241714</v>
      </c>
      <c r="X569">
        <v>0.94440360000000001</v>
      </c>
      <c r="Y569">
        <v>-4.9059330000000003E-3</v>
      </c>
      <c r="Z569">
        <v>1.983926E-3</v>
      </c>
      <c r="AA569">
        <v>0.99998600000000004</v>
      </c>
      <c r="AB569">
        <v>35</v>
      </c>
      <c r="AC569">
        <v>0.72919999999999097</v>
      </c>
      <c r="AD569">
        <v>-0.29791810000000002</v>
      </c>
      <c r="AE569">
        <v>2.0999999999844398E-3</v>
      </c>
      <c r="AF569">
        <v>-4.1543747717097002E-3</v>
      </c>
      <c r="AG569">
        <v>-0.29791810000000002</v>
      </c>
      <c r="AH569">
        <v>0.62488403302675899</v>
      </c>
      <c r="AI569">
        <v>115.489326567565</v>
      </c>
      <c r="AJ569">
        <v>90.380910091438395</v>
      </c>
      <c r="AK569">
        <v>0.69228065686478701</v>
      </c>
      <c r="AL569">
        <v>71.084618129383799</v>
      </c>
      <c r="AM569">
        <v>93.327385132175706</v>
      </c>
      <c r="AN569">
        <v>1.0000000103220501</v>
      </c>
    </row>
    <row r="570" spans="1:40" x14ac:dyDescent="0.25">
      <c r="A570" t="str">
        <f>"20190304164833680"</f>
        <v>20190304164833680</v>
      </c>
      <c r="B570" t="str">
        <f>"1551689313676715"</f>
        <v>1551689313676715</v>
      </c>
      <c r="C570" t="s">
        <v>40</v>
      </c>
      <c r="D570">
        <v>4.9306999999999999</v>
      </c>
      <c r="E570">
        <v>0.55042930000000001</v>
      </c>
      <c r="F570" t="s">
        <v>41</v>
      </c>
      <c r="G570">
        <v>-357.29489999999998</v>
      </c>
      <c r="H570">
        <v>0.86268940000000005</v>
      </c>
      <c r="I570">
        <v>368.01799999999997</v>
      </c>
      <c r="J570">
        <v>-357.86180000000002</v>
      </c>
      <c r="K570">
        <v>1.1103609999999999</v>
      </c>
      <c r="L570">
        <v>368.01600000000002</v>
      </c>
      <c r="M570">
        <v>0.99990009999999996</v>
      </c>
      <c r="N570">
        <v>-1.3609970000000001E-2</v>
      </c>
      <c r="O570">
        <v>-3.8198339999999998E-3</v>
      </c>
      <c r="P570">
        <v>0.94887390000000005</v>
      </c>
      <c r="Q570">
        <v>0.31148419999999999</v>
      </c>
      <c r="R570">
        <v>5.1146940000000002E-2</v>
      </c>
      <c r="S570">
        <v>3.5449830000000002</v>
      </c>
      <c r="T570">
        <v>-1.170024</v>
      </c>
      <c r="U570">
        <v>5.493164E-3</v>
      </c>
      <c r="V570">
        <v>-5.4681130000000001E-2</v>
      </c>
      <c r="W570">
        <v>0.324382</v>
      </c>
      <c r="X570">
        <v>0.94434430000000003</v>
      </c>
      <c r="Y570">
        <v>-4.9115060000000004E-3</v>
      </c>
      <c r="Z570">
        <v>2.001353E-3</v>
      </c>
      <c r="AA570">
        <v>0.99998589999999998</v>
      </c>
      <c r="AB570">
        <v>35</v>
      </c>
      <c r="AC570">
        <v>0.56690000000003204</v>
      </c>
      <c r="AD570">
        <v>-0.24767159999999999</v>
      </c>
      <c r="AE570">
        <v>2.0000000000663901E-3</v>
      </c>
      <c r="AF570">
        <v>-3.49799335179341E-3</v>
      </c>
      <c r="AG570">
        <v>-0.24767159999999999</v>
      </c>
      <c r="AH570">
        <v>0.476029264800028</v>
      </c>
      <c r="AI570">
        <v>117.48671806337001</v>
      </c>
      <c r="AJ570">
        <v>90.421017494903296</v>
      </c>
      <c r="AK570">
        <v>0.53661654684709803</v>
      </c>
      <c r="AL570">
        <v>71.071860814125102</v>
      </c>
      <c r="AM570">
        <v>93.313943339871102</v>
      </c>
      <c r="AN570">
        <v>0.99999993242228102</v>
      </c>
    </row>
    <row r="571" spans="1:40" x14ac:dyDescent="0.25">
      <c r="A571" t="str">
        <f>"20190304164833693"</f>
        <v>20190304164833693</v>
      </c>
      <c r="B571" t="str">
        <f>"1551689313687451"</f>
        <v>1551689313687451</v>
      </c>
      <c r="C571" t="s">
        <v>40</v>
      </c>
      <c r="D571">
        <v>4.9242160000000004</v>
      </c>
      <c r="E571">
        <v>0.55038549999999997</v>
      </c>
      <c r="F571" t="s">
        <v>41</v>
      </c>
      <c r="G571">
        <v>-356.99849999999998</v>
      </c>
      <c r="H571">
        <v>0.82526109999999897</v>
      </c>
      <c r="I571">
        <v>368.01690000000002</v>
      </c>
      <c r="J571">
        <v>-357.67180000000002</v>
      </c>
      <c r="K571">
        <v>1.110358</v>
      </c>
      <c r="L571">
        <v>368.01530000000002</v>
      </c>
      <c r="M571">
        <v>0.99989989999999995</v>
      </c>
      <c r="N571">
        <v>-1.3613780000000001E-2</v>
      </c>
      <c r="O571">
        <v>-3.8737390000000002E-3</v>
      </c>
      <c r="P571">
        <v>0.94886539999999997</v>
      </c>
      <c r="Q571">
        <v>0.311533</v>
      </c>
      <c r="R571">
        <v>5.100872E-2</v>
      </c>
      <c r="S571">
        <v>3.545776</v>
      </c>
      <c r="T571">
        <v>-1.1709259999999999</v>
      </c>
      <c r="U571">
        <v>4.9133299999999996E-3</v>
      </c>
      <c r="V571">
        <v>-5.45941E-2</v>
      </c>
      <c r="W571">
        <v>0.32443430000000001</v>
      </c>
      <c r="X571">
        <v>0.94433140000000004</v>
      </c>
      <c r="Y571">
        <v>-4.8043599999999997E-3</v>
      </c>
      <c r="Z571">
        <v>2.0010420000000002E-3</v>
      </c>
      <c r="AA571">
        <v>0.9999865</v>
      </c>
      <c r="AB571">
        <v>35</v>
      </c>
      <c r="AC571">
        <v>0.67330000000003998</v>
      </c>
      <c r="AD571">
        <v>-0.28509689999999999</v>
      </c>
      <c r="AE571">
        <v>1.59999999999627E-3</v>
      </c>
      <c r="AF571">
        <v>-3.56859159155199E-3</v>
      </c>
      <c r="AG571">
        <v>-0.28509689999999999</v>
      </c>
      <c r="AH571">
        <v>0.57092536236367097</v>
      </c>
      <c r="AI571">
        <v>116.53522964129201</v>
      </c>
      <c r="AJ571">
        <v>90.358124875465705</v>
      </c>
      <c r="AK571">
        <v>0.638160439564884</v>
      </c>
      <c r="AL571">
        <v>71.068693495085299</v>
      </c>
      <c r="AM571">
        <v>93.308725722297595</v>
      </c>
      <c r="AN571">
        <v>0.99999996189862905</v>
      </c>
    </row>
    <row r="572" spans="1:40" x14ac:dyDescent="0.25">
      <c r="A572" t="str">
        <f>"20190304164833705"</f>
        <v>20190304164833705</v>
      </c>
      <c r="B572" t="str">
        <f>"1551689313697213"</f>
        <v>1551689313697213</v>
      </c>
      <c r="C572" t="s">
        <v>40</v>
      </c>
      <c r="D572">
        <v>4.9406999999999996</v>
      </c>
      <c r="E572">
        <v>0.55034179999999999</v>
      </c>
      <c r="F572" t="s">
        <v>41</v>
      </c>
      <c r="G572">
        <v>-356.97489999999999</v>
      </c>
      <c r="H572">
        <v>0.88009550000000003</v>
      </c>
      <c r="I572">
        <v>368.01589999999999</v>
      </c>
      <c r="J572">
        <v>-357.4717</v>
      </c>
      <c r="K572">
        <v>1.110349</v>
      </c>
      <c r="L572">
        <v>368.01440000000002</v>
      </c>
      <c r="M572">
        <v>0.99989969999999995</v>
      </c>
      <c r="N572">
        <v>-1.361164E-2</v>
      </c>
      <c r="O572">
        <v>-3.9303439999999997E-3</v>
      </c>
      <c r="P572">
        <v>0.94884219999999997</v>
      </c>
      <c r="Q572">
        <v>0.31161270000000002</v>
      </c>
      <c r="R572">
        <v>5.0953999999999999E-2</v>
      </c>
      <c r="S572">
        <v>3.5460820000000002</v>
      </c>
      <c r="T572">
        <v>-1.1716230000000001</v>
      </c>
      <c r="U572">
        <v>4.7607420000000001E-3</v>
      </c>
      <c r="V572">
        <v>-5.4593019999999999E-2</v>
      </c>
      <c r="W572">
        <v>0.32451149999999901</v>
      </c>
      <c r="X572">
        <v>0.94430499999999995</v>
      </c>
      <c r="Y572">
        <v>-4.8140600000000002E-3</v>
      </c>
      <c r="Z572">
        <v>2.0211159999999999E-3</v>
      </c>
      <c r="AA572">
        <v>0.99998640000000005</v>
      </c>
      <c r="AB572">
        <v>35</v>
      </c>
      <c r="AC572">
        <v>0.49680000000000701</v>
      </c>
      <c r="AD572">
        <v>-0.230253499999999</v>
      </c>
      <c r="AE572">
        <v>1.4999999999645199E-3</v>
      </c>
      <c r="AF572">
        <v>-2.84223619347484E-3</v>
      </c>
      <c r="AG572">
        <v>-0.230253499999999</v>
      </c>
      <c r="AH572">
        <v>0.408946350725511</v>
      </c>
      <c r="AI572">
        <v>119.38069658767201</v>
      </c>
      <c r="AJ572">
        <v>90.398207530041105</v>
      </c>
      <c r="AK572">
        <v>0.46932064768188297</v>
      </c>
      <c r="AL572">
        <v>71.064018438806599</v>
      </c>
      <c r="AM572">
        <v>93.308752708255696</v>
      </c>
      <c r="AN572">
        <v>1.0000000222449801</v>
      </c>
    </row>
    <row r="573" spans="1:40" x14ac:dyDescent="0.25">
      <c r="A573" t="str">
        <f>"20190304164833718"</f>
        <v>20190304164833718</v>
      </c>
      <c r="B573" t="str">
        <f>"1551689313706971"</f>
        <v>1551689313706971</v>
      </c>
      <c r="C573" t="s">
        <v>40</v>
      </c>
      <c r="D573">
        <v>5.2854729999999996</v>
      </c>
      <c r="E573">
        <v>0.55030749999999995</v>
      </c>
      <c r="F573" t="s">
        <v>41</v>
      </c>
      <c r="G573">
        <v>-356.67680000000001</v>
      </c>
      <c r="H573">
        <v>0.84760049999999898</v>
      </c>
      <c r="I573">
        <v>368.01560000000001</v>
      </c>
      <c r="J573">
        <v>-357.2706</v>
      </c>
      <c r="K573">
        <v>1.1103479999999999</v>
      </c>
      <c r="L573">
        <v>368.0136</v>
      </c>
      <c r="M573">
        <v>0.99989950000000005</v>
      </c>
      <c r="N573">
        <v>-1.3606989999999999E-2</v>
      </c>
      <c r="O573">
        <v>-3.9868129999999996E-3</v>
      </c>
      <c r="P573">
        <v>0.94882270000000002</v>
      </c>
      <c r="Q573">
        <v>0.31166270000000001</v>
      </c>
      <c r="R573">
        <v>5.1006559999999999E-2</v>
      </c>
      <c r="S573">
        <v>3.546478</v>
      </c>
      <c r="T573">
        <v>-1.1722809999999999</v>
      </c>
      <c r="U573">
        <v>4.9743649999999997E-3</v>
      </c>
      <c r="V573">
        <v>-5.4699280000000003E-2</v>
      </c>
      <c r="W573">
        <v>0.32455659999999997</v>
      </c>
      <c r="X573">
        <v>0.94428330000000005</v>
      </c>
      <c r="Y573">
        <v>-4.9214829999999999E-3</v>
      </c>
      <c r="Z573">
        <v>2.0574719999999999E-3</v>
      </c>
      <c r="AA573">
        <v>0.99998580000000004</v>
      </c>
      <c r="AB573">
        <v>35</v>
      </c>
      <c r="AC573">
        <v>0.593799999999987</v>
      </c>
      <c r="AD573">
        <v>-0.26274749999999902</v>
      </c>
      <c r="AE573">
        <v>2.0000000000095402E-3</v>
      </c>
      <c r="AF573">
        <v>-3.6524561490198898E-3</v>
      </c>
      <c r="AG573">
        <v>-0.26274749999999902</v>
      </c>
      <c r="AH573">
        <v>0.49656461416765502</v>
      </c>
      <c r="AI573">
        <v>117.88404309494</v>
      </c>
      <c r="AJ573">
        <v>90.421428636518598</v>
      </c>
      <c r="AK573">
        <v>0.56180602100337396</v>
      </c>
      <c r="AL573">
        <v>71.061285588438196</v>
      </c>
      <c r="AM573">
        <v>93.315254537174098</v>
      </c>
      <c r="AN573">
        <v>0.99999997424748399</v>
      </c>
    </row>
    <row r="574" spans="1:40" x14ac:dyDescent="0.25">
      <c r="A574" t="str">
        <f>"20190304164833729"</f>
        <v>20190304164833729</v>
      </c>
      <c r="B574" t="str">
        <f>"1551689313716731"</f>
        <v>1551689313716731</v>
      </c>
      <c r="C574" t="s">
        <v>40</v>
      </c>
      <c r="D574">
        <v>4.9878099999999996</v>
      </c>
      <c r="E574">
        <v>0.55025869999999999</v>
      </c>
      <c r="F574" t="s">
        <v>41</v>
      </c>
      <c r="G574">
        <v>-356.37830000000002</v>
      </c>
      <c r="H574">
        <v>0.81529510000000005</v>
      </c>
      <c r="I574">
        <v>368.01459999999997</v>
      </c>
      <c r="J574">
        <v>-357.09910000000002</v>
      </c>
      <c r="K574">
        <v>1.1103459999999901</v>
      </c>
      <c r="L574">
        <v>368.01280000000003</v>
      </c>
      <c r="M574">
        <v>0.99989930000000005</v>
      </c>
      <c r="N574">
        <v>-1.3600569999999999E-2</v>
      </c>
      <c r="O574">
        <v>-4.0353990000000003E-3</v>
      </c>
      <c r="P574">
        <v>0.94890909999999995</v>
      </c>
      <c r="Q574">
        <v>0.31140600000000002</v>
      </c>
      <c r="R574">
        <v>5.0967720000000001E-2</v>
      </c>
      <c r="S574">
        <v>3.5467219999999999</v>
      </c>
      <c r="T574">
        <v>-1.1728700000000001</v>
      </c>
      <c r="U574">
        <v>5.8898930000000002E-3</v>
      </c>
      <c r="V574">
        <v>-5.470672E-2</v>
      </c>
      <c r="W574">
        <v>0.32429540000000001</v>
      </c>
      <c r="X574">
        <v>0.94437269999999895</v>
      </c>
      <c r="Y574">
        <v>-5.2093299999999999E-3</v>
      </c>
      <c r="Z574">
        <v>2.1217150000000001E-3</v>
      </c>
      <c r="AA574">
        <v>0.99998419999999999</v>
      </c>
      <c r="AB574">
        <v>35</v>
      </c>
      <c r="AC574">
        <v>0.720799999999997</v>
      </c>
      <c r="AD574">
        <v>-0.29505089999999901</v>
      </c>
      <c r="AE574">
        <v>1.79999999994606E-3</v>
      </c>
      <c r="AF574">
        <v>-4.03318353613336E-3</v>
      </c>
      <c r="AG574">
        <v>-0.29505089999999901</v>
      </c>
      <c r="AH574">
        <v>0.61734638439762701</v>
      </c>
      <c r="AI574">
        <v>115.544251138795</v>
      </c>
      <c r="AJ574">
        <v>90.374313534316798</v>
      </c>
      <c r="AK574">
        <v>0.68424254361232795</v>
      </c>
      <c r="AL574">
        <v>71.077108774872698</v>
      </c>
      <c r="AM574">
        <v>93.315391275890704</v>
      </c>
      <c r="AN574">
        <v>1.0000000640897999</v>
      </c>
    </row>
    <row r="575" spans="1:40" x14ac:dyDescent="0.25">
      <c r="A575" t="str">
        <f>"20190304164833739"</f>
        <v>20190304164833739</v>
      </c>
      <c r="B575" t="str">
        <f>"1551689313726491"</f>
        <v>1551689313726491</v>
      </c>
      <c r="C575" t="s">
        <v>40</v>
      </c>
      <c r="D575">
        <v>4.9297879999999896</v>
      </c>
      <c r="E575">
        <v>0.55021779999999998</v>
      </c>
      <c r="F575" t="s">
        <v>41</v>
      </c>
      <c r="G575">
        <v>-356.35739999999998</v>
      </c>
      <c r="H575">
        <v>0.86466319999999997</v>
      </c>
      <c r="I575">
        <v>368.01369999999997</v>
      </c>
      <c r="J575">
        <v>-356.95080000000002</v>
      </c>
      <c r="K575">
        <v>1.1103459999999901</v>
      </c>
      <c r="L575">
        <v>368.01220000000001</v>
      </c>
      <c r="M575">
        <v>0.99989930000000005</v>
      </c>
      <c r="N575">
        <v>-1.3593879999999999E-2</v>
      </c>
      <c r="O575">
        <v>-4.0774280000000001E-3</v>
      </c>
      <c r="P575">
        <v>0.94892759999999998</v>
      </c>
      <c r="Q575">
        <v>0.31131589999999998</v>
      </c>
      <c r="R575">
        <v>5.117654E-2</v>
      </c>
      <c r="S575">
        <v>3.5467529999999998</v>
      </c>
      <c r="T575">
        <v>-1.1748499999999999</v>
      </c>
      <c r="U575">
        <v>6.286621E-3</v>
      </c>
      <c r="V575">
        <v>-5.4955860000000002E-2</v>
      </c>
      <c r="W575">
        <v>0.32419890000000001</v>
      </c>
      <c r="X575">
        <v>0.94439130000000004</v>
      </c>
      <c r="Y575">
        <v>-5.3515979999999999E-3</v>
      </c>
      <c r="Z575">
        <v>2.1620849999999998E-3</v>
      </c>
      <c r="AA575">
        <v>0.99998339999999997</v>
      </c>
      <c r="AB575">
        <v>35</v>
      </c>
      <c r="AC575">
        <v>0.59340000000003101</v>
      </c>
      <c r="AD575">
        <v>-0.24568279999999901</v>
      </c>
      <c r="AE575">
        <v>1.4999999999645199E-3</v>
      </c>
      <c r="AF575">
        <v>-3.3461694855780799E-3</v>
      </c>
      <c r="AG575">
        <v>-0.24568279999999901</v>
      </c>
      <c r="AH575">
        <v>0.50655692898648796</v>
      </c>
      <c r="AI575">
        <v>115.87314067974199</v>
      </c>
      <c r="AJ575">
        <v>90.378473947439602</v>
      </c>
      <c r="AK575">
        <v>0.56300191595614302</v>
      </c>
      <c r="AL575">
        <v>71.082952348659802</v>
      </c>
      <c r="AM575">
        <v>93.330390550125301</v>
      </c>
      <c r="AN575">
        <v>1.0000000004126099</v>
      </c>
    </row>
    <row r="576" spans="1:40" x14ac:dyDescent="0.25">
      <c r="A576" t="str">
        <f>"20190304164833750"</f>
        <v>20190304164833750</v>
      </c>
      <c r="B576" t="str">
        <f>"1551689313746987"</f>
        <v>1551689313746987</v>
      </c>
      <c r="C576" t="s">
        <v>40</v>
      </c>
      <c r="D576">
        <v>4.9233849999999997</v>
      </c>
      <c r="E576">
        <v>0.55013449999999997</v>
      </c>
      <c r="F576" t="s">
        <v>41</v>
      </c>
      <c r="G576">
        <v>-356.06580000000002</v>
      </c>
      <c r="H576">
        <v>0.81686230000000004</v>
      </c>
      <c r="I576">
        <v>368.01420000000002</v>
      </c>
      <c r="J576">
        <v>-356.75990000000002</v>
      </c>
      <c r="K576">
        <v>1.1103369999999999</v>
      </c>
      <c r="L576">
        <v>368.01139999999998</v>
      </c>
      <c r="M576">
        <v>0.99989930000000005</v>
      </c>
      <c r="N576">
        <v>-1.3582790000000001E-2</v>
      </c>
      <c r="O576">
        <v>-4.1315850000000001E-3</v>
      </c>
      <c r="P576">
        <v>0.94900739999999995</v>
      </c>
      <c r="Q576">
        <v>0.31105579999999999</v>
      </c>
      <c r="R576">
        <v>5.1279810000000002E-2</v>
      </c>
      <c r="S576">
        <v>3.5469059999999999</v>
      </c>
      <c r="T576">
        <v>-1.1761809999999999</v>
      </c>
      <c r="U576">
        <v>7.7209469999999997E-3</v>
      </c>
      <c r="V576">
        <v>-5.5111180000000003E-2</v>
      </c>
      <c r="W576">
        <v>0.32392949999999998</v>
      </c>
      <c r="X576">
        <v>0.9444747</v>
      </c>
      <c r="Y576">
        <v>-5.7822660000000003E-3</v>
      </c>
      <c r="Z576">
        <v>2.2536800000000001E-3</v>
      </c>
      <c r="AA576">
        <v>0.99998069999999895</v>
      </c>
      <c r="AB576">
        <v>35</v>
      </c>
      <c r="AC576">
        <v>0.69409999999999095</v>
      </c>
      <c r="AD576">
        <v>-0.29347469999999998</v>
      </c>
      <c r="AE576">
        <v>2.8000000000361E-3</v>
      </c>
      <c r="AF576">
        <v>-4.8083870503479002E-3</v>
      </c>
      <c r="AG576">
        <v>-0.29347469999999998</v>
      </c>
      <c r="AH576">
        <v>0.58882019954101805</v>
      </c>
      <c r="AI576">
        <v>116.491426186425</v>
      </c>
      <c r="AJ576">
        <v>90.467874846554906</v>
      </c>
      <c r="AK576">
        <v>0.65792077601610999</v>
      </c>
      <c r="AL576">
        <v>71.099268530115907</v>
      </c>
      <c r="AM576">
        <v>93.339487604976497</v>
      </c>
      <c r="AN576">
        <v>1.0000000110356599</v>
      </c>
    </row>
    <row r="577" spans="1:40" x14ac:dyDescent="0.25">
      <c r="A577" t="str">
        <f>"20190304164833763"</f>
        <v>20190304164833763</v>
      </c>
      <c r="B577" t="str">
        <f>"1551689313756748"</f>
        <v>1551689313756748</v>
      </c>
      <c r="C577" t="s">
        <v>40</v>
      </c>
      <c r="D577">
        <v>4.9184970000000003</v>
      </c>
      <c r="E577">
        <v>0.5500929</v>
      </c>
      <c r="F577" t="s">
        <v>41</v>
      </c>
      <c r="G577">
        <v>-356.04239999999999</v>
      </c>
      <c r="H577">
        <v>0.87185199999999996</v>
      </c>
      <c r="I577">
        <v>368.01310000000001</v>
      </c>
      <c r="J577">
        <v>-356.5711</v>
      </c>
      <c r="K577">
        <v>1.1103350000000001</v>
      </c>
      <c r="L577">
        <v>368.01060000000001</v>
      </c>
      <c r="M577">
        <v>0.99989930000000005</v>
      </c>
      <c r="N577">
        <v>-1.357009E-2</v>
      </c>
      <c r="O577">
        <v>-4.1848989999999997E-3</v>
      </c>
      <c r="P577">
        <v>0.94895680000000004</v>
      </c>
      <c r="Q577">
        <v>0.31117860000000003</v>
      </c>
      <c r="R577">
        <v>5.1468109999999997E-2</v>
      </c>
      <c r="S577">
        <v>3.5471189999999999</v>
      </c>
      <c r="T577">
        <v>-1.1788130000000001</v>
      </c>
      <c r="U577">
        <v>8.3312990000000003E-3</v>
      </c>
      <c r="V577">
        <v>-5.5349919999999997E-2</v>
      </c>
      <c r="W577">
        <v>0.32403969999999999</v>
      </c>
      <c r="X577">
        <v>0.94442300000000001</v>
      </c>
      <c r="Y577">
        <v>-5.9909239999999999E-3</v>
      </c>
      <c r="Z577">
        <v>2.3101570000000002E-3</v>
      </c>
      <c r="AA577">
        <v>0.99997939999999996</v>
      </c>
      <c r="AB577">
        <v>35</v>
      </c>
      <c r="AC577">
        <v>0.52870000000001405</v>
      </c>
      <c r="AD577">
        <v>-0.238483</v>
      </c>
      <c r="AE577">
        <v>2.4999999999977202E-3</v>
      </c>
      <c r="AF577">
        <v>-3.9159788670155501E-3</v>
      </c>
      <c r="AG577">
        <v>-0.238483</v>
      </c>
      <c r="AH577">
        <v>0.43930281570493801</v>
      </c>
      <c r="AI577">
        <v>118.495120236381</v>
      </c>
      <c r="AJ577">
        <v>90.510725429383896</v>
      </c>
      <c r="AK577">
        <v>0.49987642479494299</v>
      </c>
      <c r="AL577">
        <v>71.092595750848901</v>
      </c>
      <c r="AM577">
        <v>93.354104395417906</v>
      </c>
      <c r="AN577">
        <v>1.0000000718745401</v>
      </c>
    </row>
    <row r="578" spans="1:40" x14ac:dyDescent="0.25">
      <c r="A578" t="str">
        <f>"20190304164833774"</f>
        <v>20190304164833774</v>
      </c>
      <c r="B578" t="str">
        <f>"1551689313766507"</f>
        <v>1551689313766507</v>
      </c>
      <c r="C578" t="s">
        <v>40</v>
      </c>
      <c r="D578">
        <v>4.8953860000000002</v>
      </c>
      <c r="E578">
        <v>0.55005789999999999</v>
      </c>
      <c r="F578" t="s">
        <v>41</v>
      </c>
      <c r="G578">
        <v>-355.74619999999999</v>
      </c>
      <c r="H578">
        <v>0.83608459999999996</v>
      </c>
      <c r="I578">
        <v>368.01249999999999</v>
      </c>
      <c r="J578">
        <v>-356.38600000000002</v>
      </c>
      <c r="K578">
        <v>1.110336</v>
      </c>
      <c r="L578">
        <v>368.00979999999998</v>
      </c>
      <c r="M578">
        <v>0.99989919999999999</v>
      </c>
      <c r="N578">
        <v>-1.3556739999999999E-2</v>
      </c>
      <c r="O578">
        <v>-4.2367819999999997E-3</v>
      </c>
      <c r="P578">
        <v>0.94896519999999995</v>
      </c>
      <c r="Q578">
        <v>0.31112529999999999</v>
      </c>
      <c r="R578">
        <v>5.1632909999999997E-2</v>
      </c>
      <c r="S578">
        <v>3.5475159999999999</v>
      </c>
      <c r="T578">
        <v>-1.1793149999999999</v>
      </c>
      <c r="U578">
        <v>9.5825200000000006E-3</v>
      </c>
      <c r="V578">
        <v>-5.5563800000000003E-2</v>
      </c>
      <c r="W578">
        <v>0.32397419999999999</v>
      </c>
      <c r="X578">
        <v>0.94443290000000002</v>
      </c>
      <c r="Y578">
        <v>-6.3710049999999999E-3</v>
      </c>
      <c r="Z578">
        <v>2.3911399999999999E-3</v>
      </c>
      <c r="AA578">
        <v>0.99997689999999995</v>
      </c>
      <c r="AB578">
        <v>35</v>
      </c>
      <c r="AC578">
        <v>0.63979999999997905</v>
      </c>
      <c r="AD578">
        <v>-0.27425139999999998</v>
      </c>
      <c r="AE578">
        <v>2.7000000000043599E-3</v>
      </c>
      <c r="AF578">
        <v>-4.5710393262545796E-3</v>
      </c>
      <c r="AG578">
        <v>-0.27425139999999998</v>
      </c>
      <c r="AH578">
        <v>0.54047622104258997</v>
      </c>
      <c r="AI578">
        <v>116.90357086911401</v>
      </c>
      <c r="AJ578">
        <v>90.484563440573993</v>
      </c>
      <c r="AK578">
        <v>0.60609345015019001</v>
      </c>
      <c r="AL578">
        <v>71.096562392199303</v>
      </c>
      <c r="AM578">
        <v>93.367000158882504</v>
      </c>
      <c r="AN578">
        <v>1.0000000603692401</v>
      </c>
    </row>
    <row r="579" spans="1:40" x14ac:dyDescent="0.25">
      <c r="A579" t="str">
        <f>"20190304164833786"</f>
        <v>20190304164833786</v>
      </c>
      <c r="B579" t="str">
        <f>"1551689313777244"</f>
        <v>1551689313777244</v>
      </c>
      <c r="C579" t="s">
        <v>40</v>
      </c>
      <c r="D579">
        <v>4.893135</v>
      </c>
      <c r="E579">
        <v>0.55001889999999998</v>
      </c>
      <c r="F579" t="s">
        <v>41</v>
      </c>
      <c r="G579">
        <v>-355.72289999999998</v>
      </c>
      <c r="H579">
        <v>0.88970990000000005</v>
      </c>
      <c r="I579">
        <v>368.01130000000001</v>
      </c>
      <c r="J579">
        <v>-356.21300000000002</v>
      </c>
      <c r="K579">
        <v>1.110336</v>
      </c>
      <c r="L579">
        <v>368.00900000000001</v>
      </c>
      <c r="M579">
        <v>0.99989910000000004</v>
      </c>
      <c r="N579">
        <v>-1.354346E-2</v>
      </c>
      <c r="O579">
        <v>-4.2852039999999999E-3</v>
      </c>
      <c r="P579">
        <v>0.94897560000000003</v>
      </c>
      <c r="Q579">
        <v>0.31109150000000002</v>
      </c>
      <c r="R579">
        <v>5.1647819999999997E-2</v>
      </c>
      <c r="S579">
        <v>3.5477289999999999</v>
      </c>
      <c r="T579">
        <v>-1.180302</v>
      </c>
      <c r="U579">
        <v>1.0162350000000001E-2</v>
      </c>
      <c r="V579">
        <v>-5.5625069999999999E-2</v>
      </c>
      <c r="W579">
        <v>0.32392779999999999</v>
      </c>
      <c r="X579">
        <v>0.94444510000000004</v>
      </c>
      <c r="Y579">
        <v>-6.5683419999999996E-3</v>
      </c>
      <c r="Z579">
        <v>2.4413120000000002E-3</v>
      </c>
      <c r="AA579">
        <v>0.99997539999999996</v>
      </c>
      <c r="AB579">
        <v>35</v>
      </c>
      <c r="AC579">
        <v>0.49010000000004</v>
      </c>
      <c r="AD579">
        <v>-0.22062609999999899</v>
      </c>
      <c r="AE579">
        <v>2.29999999999108E-3</v>
      </c>
      <c r="AF579">
        <v>-3.6588950640215698E-3</v>
      </c>
      <c r="AG579">
        <v>-0.22062609999999899</v>
      </c>
      <c r="AH579">
        <v>0.40750666152124998</v>
      </c>
      <c r="AI579">
        <v>118.43036421875701</v>
      </c>
      <c r="AJ579">
        <v>90.514429901081797</v>
      </c>
      <c r="AK579">
        <v>0.46341228155767999</v>
      </c>
      <c r="AL579">
        <v>71.099370433233602</v>
      </c>
      <c r="AM579">
        <v>93.370660940669893</v>
      </c>
      <c r="AN579">
        <v>0.99999995746967596</v>
      </c>
    </row>
    <row r="580" spans="1:40" x14ac:dyDescent="0.25">
      <c r="A580" t="str">
        <f>"20190304164833798"</f>
        <v>20190304164833798</v>
      </c>
      <c r="B580" t="str">
        <f>"1551689313787005"</f>
        <v>1551689313787005</v>
      </c>
      <c r="C580" t="s">
        <v>40</v>
      </c>
      <c r="D580">
        <v>4.8813050000000002</v>
      </c>
      <c r="E580">
        <v>0.54997940000000001</v>
      </c>
      <c r="F580" t="s">
        <v>41</v>
      </c>
      <c r="G580">
        <v>-355.4289</v>
      </c>
      <c r="H580">
        <v>0.84928919999999997</v>
      </c>
      <c r="I580">
        <v>368.01130000000001</v>
      </c>
      <c r="J580">
        <v>-356.01799999999997</v>
      </c>
      <c r="K580">
        <v>1.1103350000000001</v>
      </c>
      <c r="L580">
        <v>368.00810000000001</v>
      </c>
      <c r="M580">
        <v>0.99989910000000004</v>
      </c>
      <c r="N580">
        <v>-1.352854E-2</v>
      </c>
      <c r="O580">
        <v>-4.3396959999999997E-3</v>
      </c>
      <c r="P580">
        <v>0.94892739999999998</v>
      </c>
      <c r="Q580">
        <v>0.31122149999999998</v>
      </c>
      <c r="R580">
        <v>5.1749969999999999E-2</v>
      </c>
      <c r="S580">
        <v>3.5479430000000001</v>
      </c>
      <c r="T580">
        <v>-1.1811849999999999</v>
      </c>
      <c r="U580">
        <v>1.055908E-2</v>
      </c>
      <c r="V580">
        <v>-5.5778130000000002E-2</v>
      </c>
      <c r="W580">
        <v>0.32404280000000002</v>
      </c>
      <c r="X580">
        <v>0.94439669999999998</v>
      </c>
      <c r="Y580">
        <v>-6.7223219999999898E-3</v>
      </c>
      <c r="Z580">
        <v>2.4859029999999998E-3</v>
      </c>
      <c r="AA580">
        <v>0.99997429999999998</v>
      </c>
      <c r="AB580">
        <v>35</v>
      </c>
      <c r="AC580">
        <v>0.58910000000003004</v>
      </c>
      <c r="AD580">
        <v>-0.26104579999999999</v>
      </c>
      <c r="AE580">
        <v>3.19999999999254E-3</v>
      </c>
      <c r="AF580">
        <v>-4.8118805681270204E-3</v>
      </c>
      <c r="AG580">
        <v>-0.26104579999999999</v>
      </c>
      <c r="AH580">
        <v>0.49239601186536402</v>
      </c>
      <c r="AI580">
        <v>117.929353391821</v>
      </c>
      <c r="AJ580">
        <v>90.559898263847302</v>
      </c>
      <c r="AK580">
        <v>0.55733463591737897</v>
      </c>
      <c r="AL580">
        <v>71.092407211196104</v>
      </c>
      <c r="AM580">
        <v>93.380087121195302</v>
      </c>
      <c r="AN580">
        <v>1.0000000314945101</v>
      </c>
    </row>
    <row r="581" spans="1:40" x14ac:dyDescent="0.25">
      <c r="A581" t="str">
        <f>"20190304164833816"</f>
        <v>20190304164833816</v>
      </c>
      <c r="B581" t="str">
        <f>"1551689313806523"</f>
        <v>1551689313806523</v>
      </c>
      <c r="C581" t="s">
        <v>40</v>
      </c>
      <c r="D581">
        <v>4.840357</v>
      </c>
      <c r="E581">
        <v>0.54991000000000001</v>
      </c>
      <c r="F581" t="s">
        <v>41</v>
      </c>
      <c r="G581">
        <v>-355.1318</v>
      </c>
      <c r="H581">
        <v>0.81519869999999905</v>
      </c>
      <c r="I581">
        <v>368.01069999999999</v>
      </c>
      <c r="J581">
        <v>-355.75130000000001</v>
      </c>
      <c r="K581">
        <v>1.1103430000000001</v>
      </c>
      <c r="L581">
        <v>368.0068</v>
      </c>
      <c r="M581">
        <v>0.99989910000000004</v>
      </c>
      <c r="N581">
        <v>-1.3508360000000001E-2</v>
      </c>
      <c r="O581">
        <v>-4.4140589999999997E-3</v>
      </c>
      <c r="P581">
        <v>0.94886060000000005</v>
      </c>
      <c r="Q581">
        <v>0.31140329999999999</v>
      </c>
      <c r="R581">
        <v>5.188251E-2</v>
      </c>
      <c r="S581">
        <v>3.5484010000000001</v>
      </c>
      <c r="T581">
        <v>-1.181638</v>
      </c>
      <c r="U581">
        <v>1.132202E-2</v>
      </c>
      <c r="V581">
        <v>-5.5981089999999997E-2</v>
      </c>
      <c r="W581">
        <v>0.32420470000000001</v>
      </c>
      <c r="X581">
        <v>0.94432910000000003</v>
      </c>
      <c r="Y581">
        <v>-6.9921230000000003E-3</v>
      </c>
      <c r="Z581">
        <v>2.5552679999999999E-3</v>
      </c>
      <c r="AA581">
        <v>0.99997230000000004</v>
      </c>
      <c r="AB581">
        <v>35</v>
      </c>
      <c r="AC581">
        <v>0.61950000000001604</v>
      </c>
      <c r="AD581">
        <v>-0.29514430000000003</v>
      </c>
      <c r="AE581">
        <v>3.8999999999873498E-3</v>
      </c>
      <c r="AF581">
        <v>-5.4074014862467001E-3</v>
      </c>
      <c r="AG581">
        <v>-0.29514430000000003</v>
      </c>
      <c r="AH581">
        <v>0.50488325940816403</v>
      </c>
      <c r="AI581">
        <v>120.30824049453599</v>
      </c>
      <c r="AJ581">
        <v>90.613625886711603</v>
      </c>
      <c r="AK581">
        <v>0.58484741894269698</v>
      </c>
      <c r="AL581">
        <v>71.0826012381753</v>
      </c>
      <c r="AM581">
        <v>93.392599855243503</v>
      </c>
      <c r="AN581">
        <v>1.00000000952324</v>
      </c>
    </row>
    <row r="582" spans="1:40" x14ac:dyDescent="0.25">
      <c r="A582" t="str">
        <f>"20190304164833827"</f>
        <v>20190304164833827</v>
      </c>
      <c r="B582" t="str">
        <f>"1551689313817259"</f>
        <v>1551689313817259</v>
      </c>
      <c r="C582" t="s">
        <v>40</v>
      </c>
      <c r="D582">
        <v>4.8267089999999904</v>
      </c>
      <c r="E582">
        <v>0.54987379999999997</v>
      </c>
      <c r="F582" t="s">
        <v>41</v>
      </c>
      <c r="G582">
        <v>-354.82589999999999</v>
      </c>
      <c r="H582">
        <v>0.80205859999999995</v>
      </c>
      <c r="I582">
        <v>368.00959999999998</v>
      </c>
      <c r="J582">
        <v>-355.56670000000003</v>
      </c>
      <c r="K582">
        <v>1.1103449999999999</v>
      </c>
      <c r="L582">
        <v>368.00599999999997</v>
      </c>
      <c r="M582">
        <v>0.99989899999999998</v>
      </c>
      <c r="N582">
        <v>-1.349497E-2</v>
      </c>
      <c r="O582">
        <v>-4.4658160000000001E-3</v>
      </c>
      <c r="P582">
        <v>0.9488181</v>
      </c>
      <c r="Q582">
        <v>0.31152990000000003</v>
      </c>
      <c r="R582">
        <v>5.190082E-2</v>
      </c>
      <c r="S582">
        <v>3.5491030000000001</v>
      </c>
      <c r="T582">
        <v>-1.1823049999999999</v>
      </c>
      <c r="U582">
        <v>1.1291499999999999E-2</v>
      </c>
      <c r="V582">
        <v>-5.604903E-2</v>
      </c>
      <c r="W582">
        <v>0.324318</v>
      </c>
      <c r="X582">
        <v>0.94428619999999996</v>
      </c>
      <c r="Y582">
        <v>-7.0295289999999996E-3</v>
      </c>
      <c r="Z582">
        <v>2.5786049999999999E-3</v>
      </c>
      <c r="AA582">
        <v>0.99997199999999997</v>
      </c>
      <c r="AB582">
        <v>35</v>
      </c>
      <c r="AC582">
        <v>0.74080000000003499</v>
      </c>
      <c r="AD582">
        <v>-0.30828640000000002</v>
      </c>
      <c r="AE582">
        <v>3.6000000000058199E-3</v>
      </c>
      <c r="AF582">
        <v>-5.88873369030156E-3</v>
      </c>
      <c r="AG582">
        <v>-0.30828640000000002</v>
      </c>
      <c r="AH582">
        <v>0.63142641097115204</v>
      </c>
      <c r="AI582">
        <v>116.022408496322</v>
      </c>
      <c r="AJ582">
        <v>90.534329574934901</v>
      </c>
      <c r="AK582">
        <v>0.70269089511772298</v>
      </c>
      <c r="AL582">
        <v>71.075739495319198</v>
      </c>
      <c r="AM582">
        <v>93.396861516656699</v>
      </c>
      <c r="AN582">
        <v>1.00000004319918</v>
      </c>
    </row>
    <row r="583" spans="1:40" x14ac:dyDescent="0.25">
      <c r="A583" t="str">
        <f>"20190304164833838"</f>
        <v>20190304164833838</v>
      </c>
      <c r="B583" t="str">
        <f>"1551689313827019"</f>
        <v>1551689313827019</v>
      </c>
      <c r="C583" t="s">
        <v>40</v>
      </c>
      <c r="D583">
        <v>4.8172920000000001</v>
      </c>
      <c r="E583">
        <v>0.54983930000000003</v>
      </c>
      <c r="F583" t="s">
        <v>41</v>
      </c>
      <c r="G583">
        <v>-354.80329999999998</v>
      </c>
      <c r="H583">
        <v>0.85598539999999901</v>
      </c>
      <c r="I583">
        <v>368.00819999999999</v>
      </c>
      <c r="J583">
        <v>-355.40699999999998</v>
      </c>
      <c r="K583">
        <v>1.1103430000000001</v>
      </c>
      <c r="L583">
        <v>368.0052</v>
      </c>
      <c r="M583">
        <v>0.99989899999999998</v>
      </c>
      <c r="N583">
        <v>-1.348356E-2</v>
      </c>
      <c r="O583">
        <v>-4.510554E-3</v>
      </c>
      <c r="P583">
        <v>0.94875960000000004</v>
      </c>
      <c r="Q583">
        <v>0.31172030000000001</v>
      </c>
      <c r="R583">
        <v>5.182457E-2</v>
      </c>
      <c r="S583">
        <v>3.5495000000000001</v>
      </c>
      <c r="T583">
        <v>-1.182566</v>
      </c>
      <c r="U583">
        <v>1.1291499999999999E-2</v>
      </c>
      <c r="V583">
        <v>-5.6015229999999999E-2</v>
      </c>
      <c r="W583">
        <v>0.32449699999999998</v>
      </c>
      <c r="X583">
        <v>0.94422660000000003</v>
      </c>
      <c r="Y583">
        <v>-7.0693140000000002E-3</v>
      </c>
      <c r="Z583">
        <v>2.5995359999999999E-3</v>
      </c>
      <c r="AA583">
        <v>0.99997159999999996</v>
      </c>
      <c r="AB583">
        <v>35</v>
      </c>
      <c r="AC583">
        <v>0.60370000000000301</v>
      </c>
      <c r="AD583">
        <v>-0.25435760000000002</v>
      </c>
      <c r="AE583">
        <v>2.9999999999858998E-3</v>
      </c>
      <c r="AF583">
        <v>-4.8604354769866999E-3</v>
      </c>
      <c r="AG583">
        <v>-0.25435760000000002</v>
      </c>
      <c r="AH583">
        <v>0.512672918420782</v>
      </c>
      <c r="AI583">
        <v>116.386828891243</v>
      </c>
      <c r="AJ583">
        <v>90.543180820385501</v>
      </c>
      <c r="AK583">
        <v>0.57232415097815603</v>
      </c>
      <c r="AL583">
        <v>71.064895153213499</v>
      </c>
      <c r="AM583">
        <v>93.395031635136306</v>
      </c>
      <c r="AN583">
        <v>0.99999994057425401</v>
      </c>
    </row>
    <row r="584" spans="1:40" x14ac:dyDescent="0.25">
      <c r="A584" t="str">
        <f>"20190304164833848"</f>
        <v>20190304164833848</v>
      </c>
      <c r="B584" t="str">
        <f>"1551689313836780"</f>
        <v>1551689313836780</v>
      </c>
      <c r="C584" t="s">
        <v>40</v>
      </c>
      <c r="D584">
        <v>4.8190410000000004</v>
      </c>
      <c r="E584">
        <v>0.54980390000000001</v>
      </c>
      <c r="F584" t="s">
        <v>41</v>
      </c>
      <c r="G584">
        <v>-354.51089999999999</v>
      </c>
      <c r="H584">
        <v>0.81177829999999995</v>
      </c>
      <c r="I584">
        <v>368.00790000000001</v>
      </c>
      <c r="J584">
        <v>-355.24369999999999</v>
      </c>
      <c r="K584">
        <v>1.110339</v>
      </c>
      <c r="L584">
        <v>368.00439999999998</v>
      </c>
      <c r="M584">
        <v>0.99989890000000003</v>
      </c>
      <c r="N584">
        <v>-1.3472369999999999E-2</v>
      </c>
      <c r="O584">
        <v>-4.5563679999999999E-3</v>
      </c>
      <c r="P584">
        <v>0.94880070000000005</v>
      </c>
      <c r="Q584">
        <v>0.31158849999999999</v>
      </c>
      <c r="R584">
        <v>5.1866429999999998E-2</v>
      </c>
      <c r="S584">
        <v>3.5500180000000001</v>
      </c>
      <c r="T584">
        <v>-1.182706</v>
      </c>
      <c r="U584">
        <v>1.0925290000000001E-2</v>
      </c>
      <c r="V584">
        <v>-5.6100509999999999E-2</v>
      </c>
      <c r="W584">
        <v>0.3243549</v>
      </c>
      <c r="X584">
        <v>0.94427039999999995</v>
      </c>
      <c r="Y584">
        <v>-7.0124669999999997E-3</v>
      </c>
      <c r="Z584">
        <v>2.6041219999999999E-3</v>
      </c>
      <c r="AA584">
        <v>0.99997199999999997</v>
      </c>
      <c r="AB584">
        <v>35</v>
      </c>
      <c r="AC584">
        <v>0.73279999999999701</v>
      </c>
      <c r="AD584">
        <v>-0.29856069999999901</v>
      </c>
      <c r="AE584">
        <v>3.5000000000309198E-3</v>
      </c>
      <c r="AF584">
        <v>-5.8655454985703402E-3</v>
      </c>
      <c r="AG584">
        <v>-0.29856069999999901</v>
      </c>
      <c r="AH584">
        <v>0.62845807952050703</v>
      </c>
      <c r="AI584">
        <v>115.409957770856</v>
      </c>
      <c r="AJ584">
        <v>90.534739316392802</v>
      </c>
      <c r="AK584">
        <v>0.69579627328916405</v>
      </c>
      <c r="AL584">
        <v>71.073503184972793</v>
      </c>
      <c r="AM584">
        <v>93.400030912135605</v>
      </c>
      <c r="AN584">
        <v>0.99999997834621401</v>
      </c>
    </row>
    <row r="585" spans="1:40" x14ac:dyDescent="0.25">
      <c r="A585" t="str">
        <f>"20190304164833859"</f>
        <v>20190304164833859</v>
      </c>
      <c r="B585" t="str">
        <f>"1551689313846539"</f>
        <v>1551689313846539</v>
      </c>
      <c r="C585" t="s">
        <v>40</v>
      </c>
      <c r="D585">
        <v>4.81074</v>
      </c>
      <c r="E585">
        <v>0.54976630000000004</v>
      </c>
      <c r="F585" t="s">
        <v>41</v>
      </c>
      <c r="G585">
        <v>-354.49079999999998</v>
      </c>
      <c r="H585">
        <v>0.85927580000000003</v>
      </c>
      <c r="I585">
        <v>368.00659999999999</v>
      </c>
      <c r="J585">
        <v>-355.08760000000001</v>
      </c>
      <c r="K585">
        <v>1.110339</v>
      </c>
      <c r="L585">
        <v>368.00369999999998</v>
      </c>
      <c r="M585">
        <v>0.99989879999999998</v>
      </c>
      <c r="N585">
        <v>-1.3461870000000001E-2</v>
      </c>
      <c r="O585">
        <v>-4.6002780000000002E-3</v>
      </c>
      <c r="P585">
        <v>0.94872310000000004</v>
      </c>
      <c r="Q585">
        <v>0.311843599999999</v>
      </c>
      <c r="R585">
        <v>5.1750600000000001E-2</v>
      </c>
      <c r="S585">
        <v>3.5501100000000001</v>
      </c>
      <c r="T585">
        <v>-1.1839040000000001</v>
      </c>
      <c r="U585">
        <v>1.062012E-2</v>
      </c>
      <c r="V585">
        <v>-5.6026220000000002E-2</v>
      </c>
      <c r="W585">
        <v>0.32459900000000003</v>
      </c>
      <c r="X585">
        <v>0.944191</v>
      </c>
      <c r="Y585">
        <v>-6.9693799999999998E-3</v>
      </c>
      <c r="Z585">
        <v>2.6129730000000002E-3</v>
      </c>
      <c r="AA585">
        <v>0.99997230000000004</v>
      </c>
      <c r="AB585">
        <v>35</v>
      </c>
      <c r="AC585">
        <v>0.59680000000002997</v>
      </c>
      <c r="AD585">
        <v>-0.25106319999999899</v>
      </c>
      <c r="AE585">
        <v>2.9000000000110001E-3</v>
      </c>
      <c r="AF585">
        <v>-4.7967805401420201E-3</v>
      </c>
      <c r="AG585">
        <v>-0.25106319999999899</v>
      </c>
      <c r="AH585">
        <v>0.50704829702957699</v>
      </c>
      <c r="AI585">
        <v>116.341132985065</v>
      </c>
      <c r="AJ585">
        <v>90.542013617664296</v>
      </c>
      <c r="AK585">
        <v>0.56582127480184397</v>
      </c>
      <c r="AL585">
        <v>71.058718608609098</v>
      </c>
      <c r="AM585">
        <v>93.395823902949701</v>
      </c>
      <c r="AN585">
        <v>1.00000004630474</v>
      </c>
    </row>
    <row r="586" spans="1:40" x14ac:dyDescent="0.25">
      <c r="A586" t="str">
        <f>"20190304164833869"</f>
        <v>20190304164833869</v>
      </c>
      <c r="B586" t="str">
        <f>"1551689313867036"</f>
        <v>1551689313867036</v>
      </c>
      <c r="C586" t="s">
        <v>40</v>
      </c>
      <c r="D586">
        <v>4.7843239999999998</v>
      </c>
      <c r="E586">
        <v>0.54969319999999999</v>
      </c>
      <c r="F586" t="s">
        <v>41</v>
      </c>
      <c r="G586">
        <v>-354.19900000000001</v>
      </c>
      <c r="H586">
        <v>0.81409419999999899</v>
      </c>
      <c r="I586">
        <v>368.00619999999998</v>
      </c>
      <c r="J586">
        <v>-354.9024</v>
      </c>
      <c r="K586">
        <v>1.1103430000000001</v>
      </c>
      <c r="L586">
        <v>368.0027</v>
      </c>
      <c r="M586">
        <v>0.99989870000000003</v>
      </c>
      <c r="N586">
        <v>-1.3449900000000001E-2</v>
      </c>
      <c r="O586">
        <v>-4.652995E-3</v>
      </c>
      <c r="P586">
        <v>0.94868549999999996</v>
      </c>
      <c r="Q586">
        <v>0.3119209</v>
      </c>
      <c r="R586">
        <v>5.1970759999999998E-2</v>
      </c>
      <c r="S586">
        <v>3.5506289999999998</v>
      </c>
      <c r="T586">
        <v>-1.183654</v>
      </c>
      <c r="U586">
        <v>1.0650629999999999E-2</v>
      </c>
      <c r="V586">
        <v>-5.6296369999999998E-2</v>
      </c>
      <c r="W586">
        <v>0.32466430000000002</v>
      </c>
      <c r="X586">
        <v>0.9441524</v>
      </c>
      <c r="Y586">
        <v>-7.0249290000000001E-3</v>
      </c>
      <c r="Z586">
        <v>2.6379110000000002E-3</v>
      </c>
      <c r="AA586">
        <v>0.99997190000000002</v>
      </c>
      <c r="AB586">
        <v>35</v>
      </c>
      <c r="AC586">
        <v>0.70339999999998704</v>
      </c>
      <c r="AD586">
        <v>-0.29624879999999998</v>
      </c>
      <c r="AE586">
        <v>3.4999999999740798E-3</v>
      </c>
      <c r="AF586">
        <v>-5.7527656437202203E-3</v>
      </c>
      <c r="AG586">
        <v>-0.29624879999999998</v>
      </c>
      <c r="AH586">
        <v>0.59740932276577896</v>
      </c>
      <c r="AI586">
        <v>116.3752566851</v>
      </c>
      <c r="AJ586">
        <v>90.551713861760902</v>
      </c>
      <c r="AK586">
        <v>0.66685406555067095</v>
      </c>
      <c r="AL586">
        <v>71.054761491131501</v>
      </c>
      <c r="AM586">
        <v>93.412298629944502</v>
      </c>
      <c r="AN586">
        <v>0.99999997169771304</v>
      </c>
    </row>
    <row r="587" spans="1:40" x14ac:dyDescent="0.25">
      <c r="A587" t="str">
        <f>"20190304164833881"</f>
        <v>20190304164833881</v>
      </c>
      <c r="B587" t="str">
        <f>"1551689313876796"</f>
        <v>1551689313876796</v>
      </c>
      <c r="C587" t="s">
        <v>40</v>
      </c>
      <c r="D587">
        <v>4.7738339999999999</v>
      </c>
      <c r="E587">
        <v>0.54966079999999995</v>
      </c>
      <c r="F587" t="s">
        <v>41</v>
      </c>
      <c r="G587">
        <v>-354.17610000000002</v>
      </c>
      <c r="H587">
        <v>0.86796450000000003</v>
      </c>
      <c r="I587">
        <v>368.00510000000003</v>
      </c>
      <c r="J587">
        <v>-354.72899999999998</v>
      </c>
      <c r="K587">
        <v>1.110341</v>
      </c>
      <c r="L587">
        <v>368.00189999999998</v>
      </c>
      <c r="M587">
        <v>0.99989870000000003</v>
      </c>
      <c r="N587">
        <v>-1.343928E-2</v>
      </c>
      <c r="O587">
        <v>-4.7021479999999997E-3</v>
      </c>
      <c r="P587">
        <v>0.94865069999999996</v>
      </c>
      <c r="Q587">
        <v>0.31201909999999999</v>
      </c>
      <c r="R587">
        <v>5.202151E-2</v>
      </c>
      <c r="S587">
        <v>3.5512999999999999</v>
      </c>
      <c r="T587">
        <v>-1.1851309999999999</v>
      </c>
      <c r="U587">
        <v>1.217651E-2</v>
      </c>
      <c r="V587">
        <v>-5.6394060000000003E-2</v>
      </c>
      <c r="W587">
        <v>0.32475189999999998</v>
      </c>
      <c r="X587">
        <v>0.94411650000000003</v>
      </c>
      <c r="Y587">
        <v>-7.4740300000000004E-3</v>
      </c>
      <c r="Z587">
        <v>2.7319710000000001E-3</v>
      </c>
      <c r="AA587">
        <v>0.99996830000000003</v>
      </c>
      <c r="AB587">
        <v>35</v>
      </c>
      <c r="AC587">
        <v>0.55290000000002204</v>
      </c>
      <c r="AD587">
        <v>-0.24237649999999999</v>
      </c>
      <c r="AE587">
        <v>3.2000000000493799E-3</v>
      </c>
      <c r="AF587">
        <v>-4.8651143365941001E-3</v>
      </c>
      <c r="AG587">
        <v>-0.24237649999999999</v>
      </c>
      <c r="AH587">
        <v>0.46376050548784697</v>
      </c>
      <c r="AI587">
        <v>117.591755016229</v>
      </c>
      <c r="AJ587">
        <v>90.601043620603804</v>
      </c>
      <c r="AK587">
        <v>0.52330091108281296</v>
      </c>
      <c r="AL587">
        <v>71.049455905305507</v>
      </c>
      <c r="AM587">
        <v>93.418335566701998</v>
      </c>
      <c r="AN587">
        <v>1.0000000260645701</v>
      </c>
    </row>
    <row r="588" spans="1:40" x14ac:dyDescent="0.25">
      <c r="A588" t="str">
        <f>"20190304164833894"</f>
        <v>20190304164833894</v>
      </c>
      <c r="B588" t="str">
        <f>"1551689313886555"</f>
        <v>1551689313886555</v>
      </c>
      <c r="C588" t="s">
        <v>40</v>
      </c>
      <c r="D588">
        <v>5.2555069999999997</v>
      </c>
      <c r="E588">
        <v>0.54963839999999997</v>
      </c>
      <c r="F588" t="s">
        <v>41</v>
      </c>
      <c r="G588">
        <v>-353.88260000000002</v>
      </c>
      <c r="H588">
        <v>0.82779919999999996</v>
      </c>
      <c r="I588">
        <v>368.00459999999998</v>
      </c>
      <c r="J588">
        <v>-354.52730000000003</v>
      </c>
      <c r="K588">
        <v>1.1103430000000001</v>
      </c>
      <c r="L588">
        <v>368.0009</v>
      </c>
      <c r="M588">
        <v>0.99989859999999997</v>
      </c>
      <c r="N588">
        <v>-1.3427410000000001E-2</v>
      </c>
      <c r="O588">
        <v>-4.7592800000000003E-3</v>
      </c>
      <c r="P588">
        <v>0.94867950000000001</v>
      </c>
      <c r="Q588">
        <v>0.31191829999999998</v>
      </c>
      <c r="R588">
        <v>5.2101019999999998E-2</v>
      </c>
      <c r="S588">
        <v>3.5516359999999998</v>
      </c>
      <c r="T588">
        <v>-1.1855340000000001</v>
      </c>
      <c r="U588">
        <v>1.254272E-2</v>
      </c>
      <c r="V588">
        <v>-5.6528259999999997E-2</v>
      </c>
      <c r="W588">
        <v>0.3246405</v>
      </c>
      <c r="X588">
        <v>0.94414679999999995</v>
      </c>
      <c r="Y588">
        <v>-7.62238699999999E-3</v>
      </c>
      <c r="Z588">
        <v>2.7755700000000002E-3</v>
      </c>
      <c r="AA588">
        <v>0.9999671</v>
      </c>
      <c r="AB588">
        <v>35</v>
      </c>
      <c r="AC588">
        <v>0.64470000000000005</v>
      </c>
      <c r="AD588">
        <v>-0.28254380000000001</v>
      </c>
      <c r="AE588">
        <v>3.69999999998071E-3</v>
      </c>
      <c r="AF588">
        <v>-5.6780109738771298E-3</v>
      </c>
      <c r="AG588">
        <v>-0.28254380000000001</v>
      </c>
      <c r="AH588">
        <v>0.54080658001385695</v>
      </c>
      <c r="AI588">
        <v>117.583471479064</v>
      </c>
      <c r="AJ588">
        <v>90.601535047540395</v>
      </c>
      <c r="AK588">
        <v>0.610192589035088</v>
      </c>
      <c r="AL588">
        <v>71.056204551698301</v>
      </c>
      <c r="AM588">
        <v>93.426341063257297</v>
      </c>
      <c r="AN588">
        <v>1.00000003918455</v>
      </c>
    </row>
    <row r="589" spans="1:40" x14ac:dyDescent="0.25">
      <c r="A589" t="str">
        <f>"20190304164833907"</f>
        <v>20190304164833907</v>
      </c>
      <c r="B589" t="str">
        <f>"1551689313897291"</f>
        <v>1551689313897291</v>
      </c>
      <c r="C589" t="s">
        <v>40</v>
      </c>
      <c r="D589">
        <v>4.7570620000000003</v>
      </c>
      <c r="E589">
        <v>0.54962</v>
      </c>
      <c r="F589" t="s">
        <v>41</v>
      </c>
      <c r="G589">
        <v>-353.85730000000001</v>
      </c>
      <c r="H589">
        <v>0.88654159999999904</v>
      </c>
      <c r="I589">
        <v>368.00299999999999</v>
      </c>
      <c r="J589">
        <v>-354.34300000000002</v>
      </c>
      <c r="K589">
        <v>1.110344</v>
      </c>
      <c r="L589">
        <v>368</v>
      </c>
      <c r="M589">
        <v>0.99989850000000002</v>
      </c>
      <c r="N589">
        <v>-1.341734E-2</v>
      </c>
      <c r="O589">
        <v>-4.8116560000000001E-3</v>
      </c>
      <c r="P589">
        <v>0.94861039999999996</v>
      </c>
      <c r="Q589">
        <v>0.31210900000000003</v>
      </c>
      <c r="R589">
        <v>5.2215709999999999E-2</v>
      </c>
      <c r="S589">
        <v>3.551666</v>
      </c>
      <c r="T589">
        <v>-1.1863729999999999</v>
      </c>
      <c r="U589">
        <v>1.2634279999999999E-2</v>
      </c>
      <c r="V589">
        <v>-5.6692470000000002E-2</v>
      </c>
      <c r="W589">
        <v>0.32482080000000002</v>
      </c>
      <c r="X589">
        <v>0.94407490000000005</v>
      </c>
      <c r="Y589">
        <v>-7.692979E-3</v>
      </c>
      <c r="Z589">
        <v>2.805742E-3</v>
      </c>
      <c r="AA589">
        <v>0.99996640000000003</v>
      </c>
      <c r="AB589">
        <v>35</v>
      </c>
      <c r="AC589">
        <v>0.48570000000000801</v>
      </c>
      <c r="AD589">
        <v>-0.22380240000000001</v>
      </c>
      <c r="AE589">
        <v>3.0000000000427402E-3</v>
      </c>
      <c r="AF589">
        <v>-4.4024905321045603E-3</v>
      </c>
      <c r="AG589">
        <v>-0.22380240000000001</v>
      </c>
      <c r="AH589">
        <v>0.40062254334435698</v>
      </c>
      <c r="AI589">
        <v>119.18784931665699</v>
      </c>
      <c r="AJ589">
        <v>90.629605043513294</v>
      </c>
      <c r="AK589">
        <v>0.45891755076957602</v>
      </c>
      <c r="AL589">
        <v>71.045281482077598</v>
      </c>
      <c r="AM589">
        <v>93.436531566296594</v>
      </c>
      <c r="AN589">
        <v>1.0000000025386699</v>
      </c>
    </row>
    <row r="590" spans="1:40" x14ac:dyDescent="0.25">
      <c r="A590" t="str">
        <f>"20190304164833919"</f>
        <v>20190304164833919</v>
      </c>
      <c r="B590" t="str">
        <f>"1551689313907017"</f>
        <v>1551689313907017</v>
      </c>
      <c r="C590" t="s">
        <v>40</v>
      </c>
      <c r="D590">
        <v>4.7606840000000004</v>
      </c>
      <c r="E590">
        <v>0.54959259999999999</v>
      </c>
      <c r="F590" t="s">
        <v>41</v>
      </c>
      <c r="G590">
        <v>-353.56259999999997</v>
      </c>
      <c r="H590">
        <v>0.84978779999999998</v>
      </c>
      <c r="I590">
        <v>368.00290000000001</v>
      </c>
      <c r="J590">
        <v>-354.1524</v>
      </c>
      <c r="K590">
        <v>1.1103510000000001</v>
      </c>
      <c r="L590">
        <v>367.99900000000002</v>
      </c>
      <c r="M590">
        <v>0.99989839999999997</v>
      </c>
      <c r="N590">
        <v>-1.3407240000000001E-2</v>
      </c>
      <c r="O590">
        <v>-4.8657020000000004E-3</v>
      </c>
      <c r="P590">
        <v>0.9486116</v>
      </c>
      <c r="Q590">
        <v>0.31212529999999999</v>
      </c>
      <c r="R590">
        <v>5.2095299999999997E-2</v>
      </c>
      <c r="S590">
        <v>3.5520019999999999</v>
      </c>
      <c r="T590">
        <v>-1.186064</v>
      </c>
      <c r="U590">
        <v>1.306152E-2</v>
      </c>
      <c r="V590">
        <v>-5.6623010000000001E-2</v>
      </c>
      <c r="W590">
        <v>0.32482719999999998</v>
      </c>
      <c r="X590">
        <v>0.9440769</v>
      </c>
      <c r="Y590">
        <v>-7.8555350000000003E-3</v>
      </c>
      <c r="Z590">
        <v>2.8492050000000001E-3</v>
      </c>
      <c r="AA590">
        <v>0.99996510000000005</v>
      </c>
      <c r="AB590">
        <v>35</v>
      </c>
      <c r="AC590">
        <v>0.58980000000002497</v>
      </c>
      <c r="AD590">
        <v>-0.26056319999999999</v>
      </c>
      <c r="AE590">
        <v>3.8999999999873498E-3</v>
      </c>
      <c r="AF590">
        <v>-5.6645010827059E-3</v>
      </c>
      <c r="AG590">
        <v>-0.26056319999999999</v>
      </c>
      <c r="AH590">
        <v>0.493467423426662</v>
      </c>
      <c r="AI590">
        <v>117.833621325027</v>
      </c>
      <c r="AJ590">
        <v>90.657668035892399</v>
      </c>
      <c r="AK590">
        <v>0.55806394414090599</v>
      </c>
      <c r="AL590">
        <v>71.044894386343202</v>
      </c>
      <c r="AM590">
        <v>93.4323239227447</v>
      </c>
      <c r="AN590">
        <v>1.00000003411745</v>
      </c>
    </row>
    <row r="591" spans="1:40" x14ac:dyDescent="0.25">
      <c r="A591" t="str">
        <f>"20190304164833930"</f>
        <v>20190304164833930</v>
      </c>
      <c r="B591" t="str">
        <f>"1551689313926538"</f>
        <v>1551689313926538</v>
      </c>
      <c r="C591" t="s">
        <v>40</v>
      </c>
      <c r="D591">
        <v>4.7234930000000004</v>
      </c>
      <c r="E591">
        <v>0.54954230000000004</v>
      </c>
      <c r="F591" t="s">
        <v>41</v>
      </c>
      <c r="G591">
        <v>-353.267</v>
      </c>
      <c r="H591">
        <v>0.81457080000000004</v>
      </c>
      <c r="I591">
        <v>368.0018</v>
      </c>
      <c r="J591">
        <v>-353.96710000000002</v>
      </c>
      <c r="K591">
        <v>1.1103529999999999</v>
      </c>
      <c r="L591">
        <v>367.99810000000002</v>
      </c>
      <c r="M591">
        <v>0.99989819999999996</v>
      </c>
      <c r="N591">
        <v>-1.339807E-2</v>
      </c>
      <c r="O591">
        <v>-4.917851E-3</v>
      </c>
      <c r="P591">
        <v>0.94860599999999995</v>
      </c>
      <c r="Q591">
        <v>0.31213370000000001</v>
      </c>
      <c r="R591">
        <v>5.2150259999999997E-2</v>
      </c>
      <c r="S591">
        <v>3.5523069999999999</v>
      </c>
      <c r="T591">
        <v>-1.186707</v>
      </c>
      <c r="U591">
        <v>1.2512209999999999E-2</v>
      </c>
      <c r="V591">
        <v>-5.6727470000000002E-2</v>
      </c>
      <c r="W591">
        <v>0.32482670000000002</v>
      </c>
      <c r="X591">
        <v>0.94407079999999999</v>
      </c>
      <c r="Y591">
        <v>-7.7551999999999899E-3</v>
      </c>
      <c r="Z591">
        <v>2.8497219999999998E-3</v>
      </c>
      <c r="AA591">
        <v>0.99996580000000002</v>
      </c>
      <c r="AB591">
        <v>35</v>
      </c>
      <c r="AC591">
        <v>0.70010000000002004</v>
      </c>
      <c r="AD591">
        <v>-0.2957822</v>
      </c>
      <c r="AE591">
        <v>3.69999999998071E-3</v>
      </c>
      <c r="AF591">
        <v>-6.0613640025480803E-3</v>
      </c>
      <c r="AG591">
        <v>-0.2957822</v>
      </c>
      <c r="AH591">
        <v>0.59404309638526898</v>
      </c>
      <c r="AI591">
        <v>116.468152780145</v>
      </c>
      <c r="AJ591">
        <v>90.584601564802995</v>
      </c>
      <c r="AK591">
        <v>0.66363472658790901</v>
      </c>
      <c r="AL591">
        <v>71.044924657720799</v>
      </c>
      <c r="AM591">
        <v>93.438662972416296</v>
      </c>
      <c r="AN591">
        <v>1.0000000331490599</v>
      </c>
    </row>
    <row r="592" spans="1:40" x14ac:dyDescent="0.25">
      <c r="A592" t="str">
        <f>"20190304164833941"</f>
        <v>20190304164833941</v>
      </c>
      <c r="B592" t="str">
        <f>"1551689313937273"</f>
        <v>1551689313937273</v>
      </c>
      <c r="C592" t="s">
        <v>40</v>
      </c>
      <c r="D592">
        <v>4.7123860000000004</v>
      </c>
      <c r="E592">
        <v>0.54951989999999995</v>
      </c>
      <c r="F592" t="s">
        <v>41</v>
      </c>
      <c r="G592">
        <v>-353.24400000000003</v>
      </c>
      <c r="H592">
        <v>0.86858210000000002</v>
      </c>
      <c r="I592">
        <v>368.00049999999999</v>
      </c>
      <c r="J592">
        <v>-353.81349999999998</v>
      </c>
      <c r="K592">
        <v>1.1103529999999999</v>
      </c>
      <c r="L592">
        <v>367.99720000000002</v>
      </c>
      <c r="M592">
        <v>0.99989810000000001</v>
      </c>
      <c r="N592">
        <v>-1.3390829999999999E-2</v>
      </c>
      <c r="O592">
        <v>-4.9608350000000002E-3</v>
      </c>
      <c r="P592">
        <v>0.9485555</v>
      </c>
      <c r="Q592">
        <v>0.31230639999999998</v>
      </c>
      <c r="R592">
        <v>5.2029499999999999E-2</v>
      </c>
      <c r="S592">
        <v>3.5526119999999999</v>
      </c>
      <c r="T592">
        <v>-1.187792</v>
      </c>
      <c r="U592">
        <v>1.3488770000000001E-2</v>
      </c>
      <c r="V592">
        <v>-5.6647080000000002E-2</v>
      </c>
      <c r="W592">
        <v>0.32499220000000001</v>
      </c>
      <c r="X592">
        <v>0.94401860000000004</v>
      </c>
      <c r="Y592">
        <v>-8.0526239999999995E-3</v>
      </c>
      <c r="Z592">
        <v>2.9158610000000001E-3</v>
      </c>
      <c r="AA592">
        <v>0.9999633</v>
      </c>
      <c r="AB592">
        <v>35</v>
      </c>
      <c r="AC592">
        <v>0.56949999999994805</v>
      </c>
      <c r="AD592">
        <v>-0.24177090000000001</v>
      </c>
      <c r="AE592">
        <v>3.2999999999674301E-3</v>
      </c>
      <c r="AF592">
        <v>-5.1900506138003403E-3</v>
      </c>
      <c r="AG592">
        <v>-0.24177090000000001</v>
      </c>
      <c r="AH592">
        <v>0.482516829136448</v>
      </c>
      <c r="AI592">
        <v>116.612386612848</v>
      </c>
      <c r="AJ592">
        <v>90.616261465666796</v>
      </c>
      <c r="AK592">
        <v>0.53972455485374804</v>
      </c>
      <c r="AL592">
        <v>71.034896969255598</v>
      </c>
      <c r="AM592">
        <v>93.433991039824605</v>
      </c>
      <c r="AN592">
        <v>0.99999996943966196</v>
      </c>
    </row>
    <row r="593" spans="1:40" x14ac:dyDescent="0.25">
      <c r="A593" t="str">
        <f>"20190304164833951"</f>
        <v>20190304164833951</v>
      </c>
      <c r="B593" t="str">
        <f>"1551689313947032"</f>
        <v>1551689313947032</v>
      </c>
      <c r="C593" t="s">
        <v>40</v>
      </c>
      <c r="D593">
        <v>4.7312240000000001</v>
      </c>
      <c r="E593">
        <v>0.54949429999999999</v>
      </c>
      <c r="F593" t="s">
        <v>41</v>
      </c>
      <c r="G593">
        <v>-352.95330000000001</v>
      </c>
      <c r="H593">
        <v>0.82281209999999905</v>
      </c>
      <c r="I593">
        <v>368.00009999999997</v>
      </c>
      <c r="J593">
        <v>-353.6454</v>
      </c>
      <c r="K593">
        <v>1.1103499999999999</v>
      </c>
      <c r="L593">
        <v>367.99639999999999</v>
      </c>
      <c r="M593">
        <v>0.99989799999999995</v>
      </c>
      <c r="N593">
        <v>-1.3383249999999999E-2</v>
      </c>
      <c r="O593">
        <v>-5.0079920000000002E-3</v>
      </c>
      <c r="P593">
        <v>0.94857930000000001</v>
      </c>
      <c r="Q593">
        <v>0.31223990000000001</v>
      </c>
      <c r="R593">
        <v>5.1996939999999998E-2</v>
      </c>
      <c r="S593">
        <v>3.5530400000000002</v>
      </c>
      <c r="T593">
        <v>-1.1875819999999999</v>
      </c>
      <c r="U593">
        <v>1.242065E-2</v>
      </c>
      <c r="V593">
        <v>-5.6659399999999999E-2</v>
      </c>
      <c r="W593">
        <v>0.32491920000000002</v>
      </c>
      <c r="X593">
        <v>0.94404299999999997</v>
      </c>
      <c r="Y593">
        <v>-7.8104869999999996E-3</v>
      </c>
      <c r="Z593">
        <v>2.8887100000000001E-3</v>
      </c>
      <c r="AA593">
        <v>0.99996529999999995</v>
      </c>
      <c r="AB593">
        <v>35</v>
      </c>
      <c r="AC593">
        <v>0.69209999999998195</v>
      </c>
      <c r="AD593">
        <v>-0.28753790000000001</v>
      </c>
      <c r="AE593">
        <v>3.69999999998071E-3</v>
      </c>
      <c r="AF593">
        <v>-6.1114588715543202E-3</v>
      </c>
      <c r="AG593">
        <v>-0.28753790000000001</v>
      </c>
      <c r="AH593">
        <v>0.59020378174785804</v>
      </c>
      <c r="AI593">
        <v>115.973398357957</v>
      </c>
      <c r="AJ593">
        <v>90.593266760745806</v>
      </c>
      <c r="AK593">
        <v>0.65654847334787203</v>
      </c>
      <c r="AL593">
        <v>71.039319787479897</v>
      </c>
      <c r="AM593">
        <v>93.434647537578499</v>
      </c>
      <c r="AN593">
        <v>0.99999997999299906</v>
      </c>
    </row>
    <row r="594" spans="1:40" x14ac:dyDescent="0.25">
      <c r="A594" t="str">
        <f>"20190304164833961"</f>
        <v>20190304164833961</v>
      </c>
      <c r="B594" t="str">
        <f>"1551689313956793"</f>
        <v>1551689313956793</v>
      </c>
      <c r="C594" t="s">
        <v>40</v>
      </c>
      <c r="D594">
        <v>4.7333590000000001</v>
      </c>
      <c r="E594">
        <v>0.54946989999999996</v>
      </c>
      <c r="F594" t="s">
        <v>41</v>
      </c>
      <c r="G594">
        <v>-352.9323</v>
      </c>
      <c r="H594">
        <v>0.87182890000000002</v>
      </c>
      <c r="I594">
        <v>367.99860000000001</v>
      </c>
      <c r="J594">
        <v>-353.4846</v>
      </c>
      <c r="K594">
        <v>1.1103510000000001</v>
      </c>
      <c r="L594">
        <v>367.99549999999999</v>
      </c>
      <c r="M594">
        <v>0.99989779999999995</v>
      </c>
      <c r="N594">
        <v>-1.337644E-2</v>
      </c>
      <c r="O594">
        <v>-5.0530050000000002E-3</v>
      </c>
      <c r="P594">
        <v>0.94862329999999995</v>
      </c>
      <c r="Q594">
        <v>0.31209120000000001</v>
      </c>
      <c r="R594">
        <v>5.2086189999999997E-2</v>
      </c>
      <c r="S594">
        <v>3.553223</v>
      </c>
      <c r="T594">
        <v>-1.1885220000000001</v>
      </c>
      <c r="U594">
        <v>1.1871339999999999E-2</v>
      </c>
      <c r="V594">
        <v>-5.6791769999999998E-2</v>
      </c>
      <c r="W594">
        <v>0.32476450000000001</v>
      </c>
      <c r="X594">
        <v>0.94408829999999999</v>
      </c>
      <c r="Y594">
        <v>-7.70354E-3</v>
      </c>
      <c r="Z594">
        <v>2.8866790000000001E-3</v>
      </c>
      <c r="AA594">
        <v>0.99996609999999997</v>
      </c>
      <c r="AB594">
        <v>35</v>
      </c>
      <c r="AC594">
        <v>0.55230000000000201</v>
      </c>
      <c r="AD594">
        <v>-0.23852209999999999</v>
      </c>
      <c r="AE594">
        <v>3.1000000000176399E-3</v>
      </c>
      <c r="AF594">
        <v>-4.9649839551348897E-3</v>
      </c>
      <c r="AG594">
        <v>-0.23852209999999999</v>
      </c>
      <c r="AH594">
        <v>0.46546511159177201</v>
      </c>
      <c r="AI594">
        <v>117.131012038636</v>
      </c>
      <c r="AJ594">
        <v>90.611134606321798</v>
      </c>
      <c r="AK594">
        <v>0.52304417916962398</v>
      </c>
      <c r="AL594">
        <v>71.048692129973801</v>
      </c>
      <c r="AM594">
        <v>93.442487633686</v>
      </c>
      <c r="AN594">
        <v>1.0000000018984301</v>
      </c>
    </row>
    <row r="595" spans="1:40" x14ac:dyDescent="0.25">
      <c r="A595" t="str">
        <f>"20190304164833972"</f>
        <v>20190304164833972</v>
      </c>
      <c r="B595" t="str">
        <f>"1551689313966552"</f>
        <v>1551689313966552</v>
      </c>
      <c r="C595" t="s">
        <v>40</v>
      </c>
      <c r="D595">
        <v>4.6971249999999998</v>
      </c>
      <c r="E595">
        <v>0.54944630000000005</v>
      </c>
      <c r="F595" t="s">
        <v>41</v>
      </c>
      <c r="G595">
        <v>-352.64109999999999</v>
      </c>
      <c r="H595">
        <v>0.82789889999999999</v>
      </c>
      <c r="I595">
        <v>367.99829999999997</v>
      </c>
      <c r="J595">
        <v>-353.32459999999998</v>
      </c>
      <c r="K595">
        <v>1.1103510000000001</v>
      </c>
      <c r="L595">
        <v>367.99470000000002</v>
      </c>
      <c r="M595">
        <v>0.9998977</v>
      </c>
      <c r="N595">
        <v>-1.336992E-2</v>
      </c>
      <c r="O595">
        <v>-5.0981389999999998E-3</v>
      </c>
      <c r="P595">
        <v>0.94861119999999999</v>
      </c>
      <c r="Q595">
        <v>0.31217040000000001</v>
      </c>
      <c r="R595">
        <v>5.183331E-2</v>
      </c>
      <c r="S595">
        <v>3.5531619999999999</v>
      </c>
      <c r="T595">
        <v>-1.189659</v>
      </c>
      <c r="U595">
        <v>1.339722E-2</v>
      </c>
      <c r="V595">
        <v>-5.6581390000000002E-2</v>
      </c>
      <c r="W595">
        <v>0.32483709999999999</v>
      </c>
      <c r="X595">
        <v>0.94407589999999997</v>
      </c>
      <c r="Y595">
        <v>-8.1492240000000001E-3</v>
      </c>
      <c r="Z595">
        <v>2.9791829999999998E-3</v>
      </c>
      <c r="AA595">
        <v>0.99996229999999997</v>
      </c>
      <c r="AB595">
        <v>35</v>
      </c>
      <c r="AC595">
        <v>0.68349999999998001</v>
      </c>
      <c r="AD595">
        <v>-0.28245209999999998</v>
      </c>
      <c r="AE595">
        <v>3.59999999994897E-3</v>
      </c>
      <c r="AF595">
        <v>-6.0514607602232696E-3</v>
      </c>
      <c r="AG595">
        <v>-0.28245209999999998</v>
      </c>
      <c r="AH595">
        <v>0.58378272164262002</v>
      </c>
      <c r="AI595">
        <v>115.81792342556599</v>
      </c>
      <c r="AJ595">
        <v>90.593903742948498</v>
      </c>
      <c r="AK595">
        <v>0.64855074979542504</v>
      </c>
      <c r="AL595">
        <v>71.044292981158904</v>
      </c>
      <c r="AM595">
        <v>93.429810687295102</v>
      </c>
      <c r="AN595">
        <v>0.99999995009577403</v>
      </c>
    </row>
    <row r="596" spans="1:40" x14ac:dyDescent="0.25">
      <c r="A596" t="str">
        <f>"20190304164833983"</f>
        <v>20190304164833983</v>
      </c>
      <c r="B596" t="str">
        <f>"1551689313977290"</f>
        <v>1551689313977290</v>
      </c>
      <c r="C596" t="s">
        <v>40</v>
      </c>
      <c r="D596">
        <v>4.8126379999999997</v>
      </c>
      <c r="E596">
        <v>0.54943359999999997</v>
      </c>
      <c r="F596" t="s">
        <v>41</v>
      </c>
      <c r="G596">
        <v>-352.62090000000001</v>
      </c>
      <c r="H596">
        <v>0.87473389999999995</v>
      </c>
      <c r="I596">
        <v>367.99689999999998</v>
      </c>
      <c r="J596">
        <v>-353.1592</v>
      </c>
      <c r="K596">
        <v>1.110358</v>
      </c>
      <c r="L596">
        <v>367.99380000000002</v>
      </c>
      <c r="M596">
        <v>0.99989749999999999</v>
      </c>
      <c r="N596">
        <v>-1.3365169999999999E-2</v>
      </c>
      <c r="O596">
        <v>-5.1435200000000004E-3</v>
      </c>
      <c r="P596">
        <v>0.94859210000000005</v>
      </c>
      <c r="Q596">
        <v>0.3122684</v>
      </c>
      <c r="R596">
        <v>5.1589790000000003E-2</v>
      </c>
      <c r="S596">
        <v>3.5533450000000002</v>
      </c>
      <c r="T596">
        <v>-1.189821</v>
      </c>
      <c r="U596">
        <v>1.3427730000000001E-2</v>
      </c>
      <c r="V596">
        <v>-5.6380960000000001E-2</v>
      </c>
      <c r="W596">
        <v>0.32493</v>
      </c>
      <c r="X596">
        <v>0.94405600000000001</v>
      </c>
      <c r="Y596">
        <v>-8.197836E-3</v>
      </c>
      <c r="Z596">
        <v>3.0018839999999998E-3</v>
      </c>
      <c r="AA596">
        <v>0.99996189999999996</v>
      </c>
      <c r="AB596">
        <v>35</v>
      </c>
      <c r="AC596">
        <v>0.53829999999999201</v>
      </c>
      <c r="AD596">
        <v>-0.2356241</v>
      </c>
      <c r="AE596">
        <v>3.0999999999607999E-3</v>
      </c>
      <c r="AF596">
        <v>-4.9253145526481799E-3</v>
      </c>
      <c r="AG596">
        <v>-0.2356241</v>
      </c>
      <c r="AH596">
        <v>0.45172941258527499</v>
      </c>
      <c r="AI596">
        <v>117.54535216739301</v>
      </c>
      <c r="AJ596">
        <v>90.624684926152497</v>
      </c>
      <c r="AK596">
        <v>0.50951196003517896</v>
      </c>
      <c r="AL596">
        <v>71.038666363910593</v>
      </c>
      <c r="AM596">
        <v>93.417761884987002</v>
      </c>
      <c r="AN596">
        <v>1.0000000243432601</v>
      </c>
    </row>
    <row r="597" spans="1:40" x14ac:dyDescent="0.25">
      <c r="A597" t="str">
        <f>"20190304164833993"</f>
        <v>20190304164833993</v>
      </c>
      <c r="B597" t="str">
        <f>"1551689313987048"</f>
        <v>1551689313987048</v>
      </c>
      <c r="C597" t="s">
        <v>40</v>
      </c>
      <c r="D597">
        <v>4.7010889999999996</v>
      </c>
      <c r="E597">
        <v>0.54942069999999998</v>
      </c>
      <c r="F597" t="s">
        <v>41</v>
      </c>
      <c r="G597">
        <v>-352.32929999999999</v>
      </c>
      <c r="H597">
        <v>0.83242629999999995</v>
      </c>
      <c r="I597">
        <v>367.9966</v>
      </c>
      <c r="J597">
        <v>-352.9794</v>
      </c>
      <c r="K597">
        <v>1.1103620000000001</v>
      </c>
      <c r="L597">
        <v>367.99279999999999</v>
      </c>
      <c r="M597">
        <v>0.99989740000000005</v>
      </c>
      <c r="N597">
        <v>-1.336095E-2</v>
      </c>
      <c r="O597">
        <v>-5.192955E-3</v>
      </c>
      <c r="P597">
        <v>0.9486078</v>
      </c>
      <c r="Q597">
        <v>0.31225350000000002</v>
      </c>
      <c r="R597">
        <v>5.1393189999999998E-2</v>
      </c>
      <c r="S597">
        <v>3.5535890000000001</v>
      </c>
      <c r="T597">
        <v>-1.1899580000000001</v>
      </c>
      <c r="U597">
        <v>1.269531E-2</v>
      </c>
      <c r="V597">
        <v>-5.623189E-2</v>
      </c>
      <c r="W597">
        <v>0.32491150000000002</v>
      </c>
      <c r="X597">
        <v>0.9440712</v>
      </c>
      <c r="Y597">
        <v>-8.0469449999999998E-3</v>
      </c>
      <c r="Z597">
        <v>2.9918620000000001E-3</v>
      </c>
      <c r="AA597">
        <v>0.99996320000000005</v>
      </c>
      <c r="AB597">
        <v>35</v>
      </c>
      <c r="AC597">
        <v>0.650100000000009</v>
      </c>
      <c r="AD597">
        <v>-0.27793570000000001</v>
      </c>
      <c r="AE597">
        <v>3.8000000000124601E-3</v>
      </c>
      <c r="AF597">
        <v>-6.0672554682262899E-3</v>
      </c>
      <c r="AG597">
        <v>-0.27793570000000001</v>
      </c>
      <c r="AH597">
        <v>0.54961616529281299</v>
      </c>
      <c r="AI597">
        <v>116.823886766971</v>
      </c>
      <c r="AJ597">
        <v>90.632466862772503</v>
      </c>
      <c r="AK597">
        <v>0.61592450355103001</v>
      </c>
      <c r="AL597">
        <v>71.039786068175999</v>
      </c>
      <c r="AM597">
        <v>93.408691982041006</v>
      </c>
      <c r="AN597">
        <v>0.99999996947733005</v>
      </c>
    </row>
    <row r="598" spans="1:40" x14ac:dyDescent="0.25">
      <c r="A598" t="str">
        <f>"20190304164834006"</f>
        <v>20190304164834006</v>
      </c>
      <c r="B598" t="str">
        <f>"1551689313996809"</f>
        <v>1551689313996809</v>
      </c>
      <c r="C598" t="s">
        <v>40</v>
      </c>
      <c r="D598">
        <v>4.7080479999999998</v>
      </c>
      <c r="E598">
        <v>0.54940880000000003</v>
      </c>
      <c r="F598" t="s">
        <v>41</v>
      </c>
      <c r="G598">
        <v>-352.30650000000003</v>
      </c>
      <c r="H598">
        <v>0.88496229999999998</v>
      </c>
      <c r="I598">
        <v>367.99489999999997</v>
      </c>
      <c r="J598">
        <v>-352.80579999999998</v>
      </c>
      <c r="K598">
        <v>1.1103639999999999</v>
      </c>
      <c r="L598">
        <v>367.99189999999999</v>
      </c>
      <c r="M598">
        <v>0.99989689999999998</v>
      </c>
      <c r="N598">
        <v>-1.3361319999999999E-2</v>
      </c>
      <c r="O598">
        <v>-5.2401430000000001E-3</v>
      </c>
      <c r="P598">
        <v>0.94851450000000004</v>
      </c>
      <c r="Q598">
        <v>0.31249650000000001</v>
      </c>
      <c r="R598">
        <v>5.163442E-2</v>
      </c>
      <c r="S598">
        <v>3.5537109999999998</v>
      </c>
      <c r="T598">
        <v>-1.1903549999999901</v>
      </c>
      <c r="U598">
        <v>1.208496E-2</v>
      </c>
      <c r="V598">
        <v>-5.651817E-2</v>
      </c>
      <c r="W598">
        <v>0.32515319999999998</v>
      </c>
      <c r="X598">
        <v>0.94397089999999995</v>
      </c>
      <c r="Y598">
        <v>-7.9263370000000003E-3</v>
      </c>
      <c r="Z598">
        <v>2.9869969999999999E-3</v>
      </c>
      <c r="AA598">
        <v>0.99996410000000002</v>
      </c>
      <c r="AB598">
        <v>35</v>
      </c>
      <c r="AC598">
        <v>0.49929999999994801</v>
      </c>
      <c r="AD598">
        <v>-0.22540169999999901</v>
      </c>
      <c r="AE598">
        <v>2.9999999999858998E-3</v>
      </c>
      <c r="AF598">
        <v>-4.6657739671534301E-3</v>
      </c>
      <c r="AG598">
        <v>-0.22540169999999901</v>
      </c>
      <c r="AH598">
        <v>0.41475576592625402</v>
      </c>
      <c r="AI598">
        <v>118.520633388023</v>
      </c>
      <c r="AJ598">
        <v>90.644518780575297</v>
      </c>
      <c r="AK598">
        <v>0.47206995369190402</v>
      </c>
      <c r="AL598">
        <v>71.025142855519505</v>
      </c>
      <c r="AM598">
        <v>93.426367767559199</v>
      </c>
      <c r="AN598">
        <v>0.99999998352859898</v>
      </c>
    </row>
    <row r="599" spans="1:40" x14ac:dyDescent="0.25">
      <c r="A599" t="str">
        <f>"20190304164834016"</f>
        <v>20190304164834016</v>
      </c>
      <c r="B599" t="str">
        <f>"1551689314007228"</f>
        <v>1551689314007228</v>
      </c>
      <c r="C599" t="s">
        <v>40</v>
      </c>
      <c r="D599">
        <v>4.71767</v>
      </c>
      <c r="E599">
        <v>0.54938509999999996</v>
      </c>
      <c r="F599" t="s">
        <v>41</v>
      </c>
      <c r="G599">
        <v>-352.01389999999998</v>
      </c>
      <c r="H599">
        <v>0.84527659999999905</v>
      </c>
      <c r="I599">
        <v>367.99439999999998</v>
      </c>
      <c r="J599">
        <v>-352.64330000000001</v>
      </c>
      <c r="K599">
        <v>1.110365</v>
      </c>
      <c r="L599">
        <v>367.99099999999999</v>
      </c>
      <c r="M599">
        <v>0.99989680000000003</v>
      </c>
      <c r="N599">
        <v>-1.3362570000000001E-2</v>
      </c>
      <c r="O599">
        <v>-5.284118E-3</v>
      </c>
      <c r="P599">
        <v>0.94850699999999999</v>
      </c>
      <c r="Q599">
        <v>0.31251370000000001</v>
      </c>
      <c r="R599">
        <v>5.1669010000000001E-2</v>
      </c>
      <c r="S599">
        <v>3.5541079999999998</v>
      </c>
      <c r="T599">
        <v>-1.189713</v>
      </c>
      <c r="U599">
        <v>1.2146000000000001E-2</v>
      </c>
      <c r="V599">
        <v>-5.6595220000000002E-2</v>
      </c>
      <c r="W599">
        <v>0.32517119999999999</v>
      </c>
      <c r="X599">
        <v>0.94396009999999997</v>
      </c>
      <c r="Y599">
        <v>-7.9826099999999994E-3</v>
      </c>
      <c r="Z599">
        <v>3.008452E-3</v>
      </c>
      <c r="AA599">
        <v>0.99996359999999995</v>
      </c>
      <c r="AB599">
        <v>35</v>
      </c>
      <c r="AC599">
        <v>0.62940000000003204</v>
      </c>
      <c r="AD599">
        <v>-0.2650884</v>
      </c>
      <c r="AE599">
        <v>3.3999999999991802E-3</v>
      </c>
      <c r="AF599">
        <v>-5.7127251746765901E-3</v>
      </c>
      <c r="AG599">
        <v>-0.2650884</v>
      </c>
      <c r="AH599">
        <v>0.534552072557541</v>
      </c>
      <c r="AI599">
        <v>116.37585724633399</v>
      </c>
      <c r="AJ599">
        <v>90.612293167922203</v>
      </c>
      <c r="AK599">
        <v>0.59669960056886595</v>
      </c>
      <c r="AL599">
        <v>71.024052577991199</v>
      </c>
      <c r="AM599">
        <v>93.431066870597704</v>
      </c>
      <c r="AN599">
        <v>0.99999999931414896</v>
      </c>
    </row>
    <row r="600" spans="1:40" x14ac:dyDescent="0.25">
      <c r="A600" t="str">
        <f>"20190304164834026"</f>
        <v>20190304164834026</v>
      </c>
      <c r="B600" t="str">
        <f>"1551689314016989"</f>
        <v>1551689314016989</v>
      </c>
      <c r="C600" t="s">
        <v>40</v>
      </c>
      <c r="D600">
        <v>4.7060279999999999</v>
      </c>
      <c r="E600">
        <v>0.54936399999999996</v>
      </c>
      <c r="F600" t="s">
        <v>41</v>
      </c>
      <c r="G600">
        <v>-351.72239999999999</v>
      </c>
      <c r="H600">
        <v>0.80201460000000002</v>
      </c>
      <c r="I600">
        <v>367.9941</v>
      </c>
      <c r="J600">
        <v>-352.46800000000002</v>
      </c>
      <c r="K600">
        <v>1.1103700000000001</v>
      </c>
      <c r="L600">
        <v>367.99</v>
      </c>
      <c r="M600">
        <v>0.99989649999999997</v>
      </c>
      <c r="N600">
        <v>-1.337112E-2</v>
      </c>
      <c r="O600">
        <v>-5.3294400000000004E-3</v>
      </c>
      <c r="P600">
        <v>0.94851220000000003</v>
      </c>
      <c r="Q600">
        <v>0.3125175</v>
      </c>
      <c r="R600">
        <v>5.1555320000000002E-2</v>
      </c>
      <c r="S600">
        <v>3.5543209999999998</v>
      </c>
      <c r="T600">
        <v>-1.190115</v>
      </c>
      <c r="U600">
        <v>1.223755E-2</v>
      </c>
      <c r="V600">
        <v>-5.6526569999999998E-2</v>
      </c>
      <c r="W600">
        <v>0.3251829</v>
      </c>
      <c r="X600">
        <v>0.94396020000000003</v>
      </c>
      <c r="Y600">
        <v>-8.047149E-3</v>
      </c>
      <c r="Z600">
        <v>3.0343840000000002E-3</v>
      </c>
      <c r="AA600">
        <v>0.99996300000000005</v>
      </c>
      <c r="AB600">
        <v>35</v>
      </c>
      <c r="AC600">
        <v>0.74560000000002402</v>
      </c>
      <c r="AD600">
        <v>-0.3083554</v>
      </c>
      <c r="AE600">
        <v>4.0999999999939904E-3</v>
      </c>
      <c r="AF600">
        <v>-6.8947090166563002E-3</v>
      </c>
      <c r="AG600">
        <v>-0.3083554</v>
      </c>
      <c r="AH600">
        <v>0.63667547366672195</v>
      </c>
      <c r="AI600">
        <v>115.84057075227</v>
      </c>
      <c r="AJ600">
        <v>90.620445270338294</v>
      </c>
      <c r="AK600">
        <v>0.70745052723871005</v>
      </c>
      <c r="AL600">
        <v>71.023344008093304</v>
      </c>
      <c r="AM600">
        <v>93.426914549002404</v>
      </c>
      <c r="AN600">
        <v>1.0000000153762001</v>
      </c>
    </row>
    <row r="601" spans="1:40" x14ac:dyDescent="0.25">
      <c r="A601" t="str">
        <f>"20190304164834037"</f>
        <v>20190304164834037</v>
      </c>
      <c r="B601" t="str">
        <f>"1551689314026748"</f>
        <v>1551689314026748</v>
      </c>
      <c r="C601" t="s">
        <v>40</v>
      </c>
      <c r="D601">
        <v>4.7266440000000003</v>
      </c>
      <c r="E601">
        <v>0.54934039999999995</v>
      </c>
      <c r="F601" t="s">
        <v>41</v>
      </c>
      <c r="G601">
        <v>-351.70089999999999</v>
      </c>
      <c r="H601">
        <v>0.85342619999999902</v>
      </c>
      <c r="I601">
        <v>367.99259999999998</v>
      </c>
      <c r="J601">
        <v>-352.31020000000001</v>
      </c>
      <c r="K601">
        <v>1.1103749999999999</v>
      </c>
      <c r="L601">
        <v>367.98910000000001</v>
      </c>
      <c r="M601">
        <v>0.99989600000000001</v>
      </c>
      <c r="N601">
        <v>-1.338024E-2</v>
      </c>
      <c r="O601">
        <v>-5.3692820000000004E-3</v>
      </c>
      <c r="P601">
        <v>0.9485344</v>
      </c>
      <c r="Q601">
        <v>0.31246859999999999</v>
      </c>
      <c r="R601">
        <v>5.1439270000000002E-2</v>
      </c>
      <c r="S601">
        <v>3.554443</v>
      </c>
      <c r="T601">
        <v>-1.1906049999999999</v>
      </c>
      <c r="U601">
        <v>1.205444E-2</v>
      </c>
      <c r="V601">
        <v>-5.6449979999999997E-2</v>
      </c>
      <c r="W601">
        <v>0.32514280000000001</v>
      </c>
      <c r="X601">
        <v>0.94397850000000005</v>
      </c>
      <c r="Y601">
        <v>-8.033597E-3</v>
      </c>
      <c r="Z601">
        <v>3.045636E-3</v>
      </c>
      <c r="AA601">
        <v>0.99996309999999999</v>
      </c>
      <c r="AB601">
        <v>35</v>
      </c>
      <c r="AC601">
        <v>0.60930000000001805</v>
      </c>
      <c r="AD601">
        <v>-0.25694879999999998</v>
      </c>
      <c r="AE601">
        <v>3.4999999999740798E-3</v>
      </c>
      <c r="AF601">
        <v>-5.7493179438387497E-3</v>
      </c>
      <c r="AG601">
        <v>-0.25694879999999998</v>
      </c>
      <c r="AH601">
        <v>0.51728177352439997</v>
      </c>
      <c r="AI601">
        <v>116.413508465289</v>
      </c>
      <c r="AJ601">
        <v>90.636786577197498</v>
      </c>
      <c r="AK601">
        <v>0.57761247709758501</v>
      </c>
      <c r="AL601">
        <v>71.025771808183904</v>
      </c>
      <c r="AM601">
        <v>93.422216148677506</v>
      </c>
      <c r="AN601">
        <v>0.99999992454804199</v>
      </c>
    </row>
    <row r="602" spans="1:40" x14ac:dyDescent="0.25">
      <c r="A602" t="str">
        <f>"20190304164834048"</f>
        <v>20190304164834048</v>
      </c>
      <c r="B602" t="str">
        <f>"1551689314037485"</f>
        <v>1551689314037485</v>
      </c>
      <c r="C602" t="s">
        <v>40</v>
      </c>
      <c r="D602">
        <v>4.7255799999999999</v>
      </c>
      <c r="E602">
        <v>0.549313099999999</v>
      </c>
      <c r="F602" t="s">
        <v>41</v>
      </c>
      <c r="G602">
        <v>-351.41030000000001</v>
      </c>
      <c r="H602">
        <v>0.80871749999999998</v>
      </c>
      <c r="I602">
        <v>367.99200000000002</v>
      </c>
      <c r="J602">
        <v>-352.13639999999998</v>
      </c>
      <c r="K602">
        <v>1.11039</v>
      </c>
      <c r="L602">
        <v>367.98809999999997</v>
      </c>
      <c r="M602">
        <v>0.9998958</v>
      </c>
      <c r="N602">
        <v>-1.3395829999999999E-2</v>
      </c>
      <c r="O602">
        <v>-5.4114139999999998E-3</v>
      </c>
      <c r="P602">
        <v>0.94855769999999995</v>
      </c>
      <c r="Q602">
        <v>0.31242399999999998</v>
      </c>
      <c r="R602">
        <v>5.127951E-2</v>
      </c>
      <c r="S602">
        <v>3.5545650000000002</v>
      </c>
      <c r="T602">
        <v>-1.1915</v>
      </c>
      <c r="U602">
        <v>1.266479E-2</v>
      </c>
      <c r="V602">
        <v>-5.6332199999999999E-2</v>
      </c>
      <c r="W602">
        <v>0.32511309999999999</v>
      </c>
      <c r="X602">
        <v>0.94399580000000005</v>
      </c>
      <c r="Y602">
        <v>-8.2328239999999997E-3</v>
      </c>
      <c r="Z602">
        <v>3.0947729999999999E-3</v>
      </c>
      <c r="AA602">
        <v>0.99996130000000005</v>
      </c>
      <c r="AB602">
        <v>35</v>
      </c>
      <c r="AC602">
        <v>0.72609999999997399</v>
      </c>
      <c r="AD602">
        <v>-0.30167250000000001</v>
      </c>
      <c r="AE602">
        <v>3.8999999999873498E-3</v>
      </c>
      <c r="AF602">
        <v>-6.6770045240221896E-3</v>
      </c>
      <c r="AG602">
        <v>-0.30167250000000001</v>
      </c>
      <c r="AH602">
        <v>0.619189874037404</v>
      </c>
      <c r="AI602">
        <v>115.974271059442</v>
      </c>
      <c r="AJ602">
        <v>90.617822363608596</v>
      </c>
      <c r="AK602">
        <v>0.68880111770823904</v>
      </c>
      <c r="AL602">
        <v>71.027571905710801</v>
      </c>
      <c r="AM602">
        <v>93.415030348555803</v>
      </c>
      <c r="AN602">
        <v>0.99999995748304404</v>
      </c>
    </row>
    <row r="603" spans="1:40" x14ac:dyDescent="0.25">
      <c r="A603" t="str">
        <f>"20190304164834060"</f>
        <v>20190304164834060</v>
      </c>
      <c r="B603" t="str">
        <f>"1551689314057004"</f>
        <v>1551689314057004</v>
      </c>
      <c r="C603" t="s">
        <v>40</v>
      </c>
      <c r="D603">
        <v>5.0658099999999999</v>
      </c>
      <c r="E603">
        <v>0.54927109999999901</v>
      </c>
      <c r="F603" t="s">
        <v>41</v>
      </c>
      <c r="G603">
        <v>-351.38889999999998</v>
      </c>
      <c r="H603">
        <v>0.85961569999999898</v>
      </c>
      <c r="I603">
        <v>367.99059999999997</v>
      </c>
      <c r="J603">
        <v>-351.95699999999999</v>
      </c>
      <c r="K603">
        <v>1.1103989999999999</v>
      </c>
      <c r="L603">
        <v>367.9871</v>
      </c>
      <c r="M603">
        <v>0.99989519999999998</v>
      </c>
      <c r="N603">
        <v>-1.341439E-2</v>
      </c>
      <c r="O603">
        <v>-5.4527200000000003E-3</v>
      </c>
      <c r="P603">
        <v>0.94856240000000003</v>
      </c>
      <c r="Q603">
        <v>0.3124557</v>
      </c>
      <c r="R603">
        <v>5.099977E-2</v>
      </c>
      <c r="S603">
        <v>3.5546880000000001</v>
      </c>
      <c r="T603">
        <v>-1.1922969999999999</v>
      </c>
      <c r="U603">
        <v>1.287842E-2</v>
      </c>
      <c r="V603">
        <v>-5.6094900000000003E-2</v>
      </c>
      <c r="W603">
        <v>0.32516129999999999</v>
      </c>
      <c r="X603">
        <v>0.94399339999999998</v>
      </c>
      <c r="Y603">
        <v>-8.3257980000000006E-3</v>
      </c>
      <c r="Z603">
        <v>3.1253930000000002E-3</v>
      </c>
      <c r="AA603">
        <v>0.99996050000000003</v>
      </c>
      <c r="AB603">
        <v>35</v>
      </c>
      <c r="AC603">
        <v>0.56810000000001504</v>
      </c>
      <c r="AD603">
        <v>-0.25078329999999999</v>
      </c>
      <c r="AE603">
        <v>3.4999999999740798E-3</v>
      </c>
      <c r="AF603">
        <v>-5.52189865439001E-3</v>
      </c>
      <c r="AG603">
        <v>-0.25078329999999999</v>
      </c>
      <c r="AH603">
        <v>0.475428636855175</v>
      </c>
      <c r="AI603">
        <v>117.809551990931</v>
      </c>
      <c r="AJ603">
        <v>90.665435857224296</v>
      </c>
      <c r="AK603">
        <v>0.53754548055546802</v>
      </c>
      <c r="AL603">
        <v>71.0246528895522</v>
      </c>
      <c r="AM603">
        <v>93.400686954779204</v>
      </c>
      <c r="AN603">
        <v>1.00000002403362</v>
      </c>
    </row>
    <row r="604" spans="1:40" x14ac:dyDescent="0.25">
      <c r="A604" t="str">
        <f>"20190304164834072"</f>
        <v>20190304164834072</v>
      </c>
      <c r="B604" t="str">
        <f>"1551689314066765"</f>
        <v>1551689314066765</v>
      </c>
      <c r="C604" t="s">
        <v>40</v>
      </c>
      <c r="D604">
        <v>4.7141029999999997</v>
      </c>
      <c r="E604">
        <v>0.54924680000000003</v>
      </c>
      <c r="F604" t="s">
        <v>41</v>
      </c>
      <c r="G604">
        <v>-351.09609999999998</v>
      </c>
      <c r="H604">
        <v>0.82142909999999902</v>
      </c>
      <c r="I604">
        <v>367.99020000000002</v>
      </c>
      <c r="J604">
        <v>-351.76859999999999</v>
      </c>
      <c r="K604">
        <v>1.1104099999999999</v>
      </c>
      <c r="L604">
        <v>367.98599999999999</v>
      </c>
      <c r="M604">
        <v>0.99989459999999997</v>
      </c>
      <c r="N604">
        <v>-1.343721E-2</v>
      </c>
      <c r="O604">
        <v>-5.4938030000000002E-3</v>
      </c>
      <c r="P604">
        <v>0.94863450000000005</v>
      </c>
      <c r="Q604">
        <v>0.31229800000000002</v>
      </c>
      <c r="R604">
        <v>5.0620779999999997E-2</v>
      </c>
      <c r="S604">
        <v>3.5550229999999998</v>
      </c>
      <c r="T604">
        <v>-1.1933039999999999</v>
      </c>
      <c r="U604">
        <v>1.33667E-2</v>
      </c>
      <c r="V604">
        <v>-5.575915E-2</v>
      </c>
      <c r="W604">
        <v>0.32502510000000001</v>
      </c>
      <c r="X604">
        <v>0.94406009999999996</v>
      </c>
      <c r="Y604">
        <v>-8.4912579999999998E-3</v>
      </c>
      <c r="Z604">
        <v>3.1686610000000001E-3</v>
      </c>
      <c r="AA604">
        <v>0.99995889999999998</v>
      </c>
      <c r="AB604">
        <v>35</v>
      </c>
      <c r="AC604">
        <v>0.67250000000001298</v>
      </c>
      <c r="AD604">
        <v>-0.28898089999999999</v>
      </c>
      <c r="AE604">
        <v>4.20000000002573E-3</v>
      </c>
      <c r="AF604">
        <v>-6.6643214129380396E-3</v>
      </c>
      <c r="AG604">
        <v>-0.28898089999999999</v>
      </c>
      <c r="AH604">
        <v>0.56765272632128705</v>
      </c>
      <c r="AI604">
        <v>116.978158105529</v>
      </c>
      <c r="AJ604">
        <v>90.672629463458506</v>
      </c>
      <c r="AK604">
        <v>0.63701176711635099</v>
      </c>
      <c r="AL604">
        <v>71.032903057202702</v>
      </c>
      <c r="AM604">
        <v>93.380141573042494</v>
      </c>
      <c r="AN604">
        <v>0.99999993542536902</v>
      </c>
    </row>
    <row r="605" spans="1:40" x14ac:dyDescent="0.25">
      <c r="A605" t="str">
        <f>"20190304164834084"</f>
        <v>20190304164834084</v>
      </c>
      <c r="B605" t="str">
        <f>"1551689314076524"</f>
        <v>1551689314076524</v>
      </c>
      <c r="C605" t="s">
        <v>40</v>
      </c>
      <c r="D605">
        <v>4.738035</v>
      </c>
      <c r="E605">
        <v>0.54922439999999995</v>
      </c>
      <c r="F605" t="s">
        <v>41</v>
      </c>
      <c r="G605">
        <v>-351.07249999999999</v>
      </c>
      <c r="H605">
        <v>0.87652389999999902</v>
      </c>
      <c r="I605">
        <v>367.98860000000002</v>
      </c>
      <c r="J605">
        <v>-351.59320000000002</v>
      </c>
      <c r="K605">
        <v>1.1104229999999999</v>
      </c>
      <c r="L605">
        <v>367.98500000000001</v>
      </c>
      <c r="M605">
        <v>0.99989419999999996</v>
      </c>
      <c r="N605">
        <v>-1.3461880000000001E-2</v>
      </c>
      <c r="O605">
        <v>-5.5275050000000003E-3</v>
      </c>
      <c r="P605">
        <v>0.9487622</v>
      </c>
      <c r="Q605">
        <v>0.31194450000000001</v>
      </c>
      <c r="R605">
        <v>5.0407970000000003E-2</v>
      </c>
      <c r="S605">
        <v>3.5549620000000002</v>
      </c>
      <c r="T605">
        <v>-1.194534</v>
      </c>
      <c r="U605">
        <v>1.3793949999999999E-2</v>
      </c>
      <c r="V605">
        <v>-5.5583019999999997E-2</v>
      </c>
      <c r="W605">
        <v>0.3246964</v>
      </c>
      <c r="X605">
        <v>0.94418360000000001</v>
      </c>
      <c r="Y605">
        <v>-8.6337800000000006E-3</v>
      </c>
      <c r="Z605">
        <v>3.2066740000000001E-3</v>
      </c>
      <c r="AA605">
        <v>0.9999576</v>
      </c>
      <c r="AB605">
        <v>35</v>
      </c>
      <c r="AC605">
        <v>0.52070000000003303</v>
      </c>
      <c r="AD605">
        <v>-0.2338991</v>
      </c>
      <c r="AE605">
        <v>3.6000000000058199E-3</v>
      </c>
      <c r="AF605">
        <v>-5.3906869904251902E-3</v>
      </c>
      <c r="AG605">
        <v>-0.2338991</v>
      </c>
      <c r="AH605">
        <v>0.43325363302798697</v>
      </c>
      <c r="AI605">
        <v>118.361267770149</v>
      </c>
      <c r="AJ605">
        <v>90.712856517743006</v>
      </c>
      <c r="AK605">
        <v>0.49238862600489502</v>
      </c>
      <c r="AL605">
        <v>71.052816470658101</v>
      </c>
      <c r="AM605">
        <v>93.369049425847294</v>
      </c>
      <c r="AN605">
        <v>0.99999994739711895</v>
      </c>
    </row>
    <row r="606" spans="1:40" x14ac:dyDescent="0.25">
      <c r="A606" t="str">
        <f>"20190304164834097"</f>
        <v>20190304164834097</v>
      </c>
      <c r="B606" t="str">
        <f>"1551689314087260"</f>
        <v>1551689314087260</v>
      </c>
      <c r="C606" t="s">
        <v>40</v>
      </c>
      <c r="D606">
        <v>5.0289339999999996</v>
      </c>
      <c r="E606">
        <v>0.54921309999999901</v>
      </c>
      <c r="F606" t="s">
        <v>41</v>
      </c>
      <c r="G606">
        <v>-350.78089999999997</v>
      </c>
      <c r="H606">
        <v>0.83697639999999995</v>
      </c>
      <c r="I606">
        <v>367.988</v>
      </c>
      <c r="J606">
        <v>-351.40210000000002</v>
      </c>
      <c r="K606">
        <v>1.1104350000000001</v>
      </c>
      <c r="L606">
        <v>367.98390000000001</v>
      </c>
      <c r="M606">
        <v>0.99989349999999999</v>
      </c>
      <c r="N606">
        <v>-1.34901E-2</v>
      </c>
      <c r="O606">
        <v>-5.5616959999999997E-3</v>
      </c>
      <c r="P606">
        <v>0.94879100000000005</v>
      </c>
      <c r="Q606">
        <v>0.31187769999999998</v>
      </c>
      <c r="R606">
        <v>5.0279480000000001E-2</v>
      </c>
      <c r="S606">
        <v>3.5545960000000001</v>
      </c>
      <c r="T606">
        <v>-1.196453</v>
      </c>
      <c r="U606">
        <v>1.464844E-2</v>
      </c>
      <c r="V606">
        <v>-5.5491560000000002E-2</v>
      </c>
      <c r="W606">
        <v>0.32465529999999998</v>
      </c>
      <c r="X606">
        <v>0.94420309999999996</v>
      </c>
      <c r="Y606">
        <v>-8.8897249999999994E-3</v>
      </c>
      <c r="Z606">
        <v>3.2663190000000002E-3</v>
      </c>
      <c r="AA606">
        <v>0.99995520000000004</v>
      </c>
      <c r="AB606">
        <v>35</v>
      </c>
      <c r="AC606">
        <v>0.62120000000004405</v>
      </c>
      <c r="AD606">
        <v>-0.2734586</v>
      </c>
      <c r="AE606">
        <v>4.1000000000508399E-3</v>
      </c>
      <c r="AF606">
        <v>-6.3288027173968898E-3</v>
      </c>
      <c r="AG606">
        <v>-0.2734586</v>
      </c>
      <c r="AH606">
        <v>0.52033820981003298</v>
      </c>
      <c r="AI606">
        <v>117.72198184266099</v>
      </c>
      <c r="AJ606">
        <v>90.696846394735005</v>
      </c>
      <c r="AK606">
        <v>0.58785330844191497</v>
      </c>
      <c r="AL606">
        <v>71.055305974979404</v>
      </c>
      <c r="AM606">
        <v>93.363449200784103</v>
      </c>
      <c r="AN606">
        <v>0.99999993554946398</v>
      </c>
    </row>
    <row r="607" spans="1:40" x14ac:dyDescent="0.25">
      <c r="A607" t="str">
        <f>"20190304164834109"</f>
        <v>20190304164834109</v>
      </c>
      <c r="B607" t="str">
        <f>"1551689314106540"</f>
        <v>1551689314106540</v>
      </c>
      <c r="C607" t="s">
        <v>40</v>
      </c>
      <c r="D607">
        <v>4.7563959999999996</v>
      </c>
      <c r="E607">
        <v>0.54917079999999996</v>
      </c>
      <c r="F607" t="s">
        <v>41</v>
      </c>
      <c r="G607">
        <v>-350.48680000000002</v>
      </c>
      <c r="H607">
        <v>0.80221180000000003</v>
      </c>
      <c r="I607">
        <v>367.98739999999998</v>
      </c>
      <c r="J607">
        <v>-351.19389999999999</v>
      </c>
      <c r="K607">
        <v>1.110449</v>
      </c>
      <c r="L607">
        <v>367.98270000000002</v>
      </c>
      <c r="M607">
        <v>0.99989309999999998</v>
      </c>
      <c r="N607">
        <v>-1.3522569999999999E-2</v>
      </c>
      <c r="O607">
        <v>-5.5911199999999998E-3</v>
      </c>
      <c r="P607">
        <v>0.94881329999999997</v>
      </c>
      <c r="Q607">
        <v>0.311841799999999</v>
      </c>
      <c r="R607">
        <v>5.0081380000000002E-2</v>
      </c>
      <c r="S607">
        <v>3.5546259999999998</v>
      </c>
      <c r="T607">
        <v>-1.1969700000000001</v>
      </c>
      <c r="U607">
        <v>1.394653E-2</v>
      </c>
      <c r="V607">
        <v>-5.5326880000000002E-2</v>
      </c>
      <c r="W607">
        <v>0.32464989999999999</v>
      </c>
      <c r="X607">
        <v>0.94421469999999996</v>
      </c>
      <c r="Y607">
        <v>-8.7287800000000002E-3</v>
      </c>
      <c r="Z607">
        <v>3.2493740000000002E-3</v>
      </c>
      <c r="AA607">
        <v>0.99995659999999997</v>
      </c>
      <c r="AB607">
        <v>35</v>
      </c>
      <c r="AC607">
        <v>0.70709999999996798</v>
      </c>
      <c r="AD607">
        <v>-0.30823719999999999</v>
      </c>
      <c r="AE607">
        <v>4.6999999999570701E-3</v>
      </c>
      <c r="AF607">
        <v>-7.2719789467958597E-3</v>
      </c>
      <c r="AG607">
        <v>-0.30823719999999999</v>
      </c>
      <c r="AH607">
        <v>0.59416252146087001</v>
      </c>
      <c r="AI607">
        <v>117.41744262710699</v>
      </c>
      <c r="AJ607">
        <v>90.701210334026698</v>
      </c>
      <c r="AK607">
        <v>0.66939685915784097</v>
      </c>
      <c r="AL607">
        <v>71.055634564176998</v>
      </c>
      <c r="AM607">
        <v>93.353449341453199</v>
      </c>
      <c r="AN607">
        <v>1.00000001045831</v>
      </c>
    </row>
    <row r="608" spans="1:40" x14ac:dyDescent="0.25">
      <c r="A608" t="str">
        <f>"20190304164834123"</f>
        <v>20190304164834123</v>
      </c>
      <c r="B608" t="str">
        <f>"1551689314117277"</f>
        <v>1551689314117277</v>
      </c>
      <c r="C608" t="s">
        <v>40</v>
      </c>
      <c r="D608">
        <v>4.7735729999999998</v>
      </c>
      <c r="E608">
        <v>0.54914300000000005</v>
      </c>
      <c r="F608" t="s">
        <v>41</v>
      </c>
      <c r="G608">
        <v>-350.46100000000001</v>
      </c>
      <c r="H608">
        <v>0.86342940000000001</v>
      </c>
      <c r="I608">
        <v>367.98540000000003</v>
      </c>
      <c r="J608">
        <v>-351.00069999999999</v>
      </c>
      <c r="K608">
        <v>1.1104620000000001</v>
      </c>
      <c r="L608">
        <v>367.98160000000001</v>
      </c>
      <c r="M608">
        <v>0.99989249999999996</v>
      </c>
      <c r="N608">
        <v>-1.3552460000000001E-2</v>
      </c>
      <c r="O608">
        <v>-5.6132580000000003E-3</v>
      </c>
      <c r="P608">
        <v>0.94873669999999999</v>
      </c>
      <c r="Q608">
        <v>0.31210100000000002</v>
      </c>
      <c r="R608">
        <v>4.9918219999999999E-2</v>
      </c>
      <c r="S608">
        <v>3.5549010000000001</v>
      </c>
      <c r="T608">
        <v>-1.1980789999999999</v>
      </c>
      <c r="U608">
        <v>1.351929E-2</v>
      </c>
      <c r="V608">
        <v>-5.519015E-2</v>
      </c>
      <c r="W608">
        <v>0.32493499999999997</v>
      </c>
      <c r="X608">
        <v>0.94412459999999998</v>
      </c>
      <c r="Y608">
        <v>-8.6335030000000007E-3</v>
      </c>
      <c r="Z608">
        <v>3.2426590000000002E-3</v>
      </c>
      <c r="AA608">
        <v>0.99995750000000005</v>
      </c>
      <c r="AB608">
        <v>35</v>
      </c>
      <c r="AC608">
        <v>0.53969999999998197</v>
      </c>
      <c r="AD608">
        <v>-0.24703259999999999</v>
      </c>
      <c r="AE608">
        <v>3.8000000000124601E-3</v>
      </c>
      <c r="AF608">
        <v>-5.6467122595341398E-3</v>
      </c>
      <c r="AG608">
        <v>-0.24703259999999999</v>
      </c>
      <c r="AH608">
        <v>0.44619310670623902</v>
      </c>
      <c r="AI608">
        <v>118.968944779973</v>
      </c>
      <c r="AJ608">
        <v>90.725057167833498</v>
      </c>
      <c r="AK608">
        <v>0.51004438953317299</v>
      </c>
      <c r="AL608">
        <v>71.038362645970395</v>
      </c>
      <c r="AM608">
        <v>93.345499277575996</v>
      </c>
      <c r="AN608">
        <v>0.99999998360359099</v>
      </c>
    </row>
    <row r="609" spans="1:40" x14ac:dyDescent="0.25">
      <c r="A609" t="str">
        <f>"20190304164834138"</f>
        <v>20190304164834138</v>
      </c>
      <c r="B609" t="str">
        <f>"1551689314127037"</f>
        <v>1551689314127037</v>
      </c>
      <c r="C609" t="s">
        <v>40</v>
      </c>
      <c r="D609">
        <v>4.7531299999999996</v>
      </c>
      <c r="E609">
        <v>0.54911679999999996</v>
      </c>
      <c r="F609" t="s">
        <v>41</v>
      </c>
      <c r="G609">
        <v>-350.16730000000001</v>
      </c>
      <c r="H609">
        <v>0.82974029999999999</v>
      </c>
      <c r="I609">
        <v>367.98430000000002</v>
      </c>
      <c r="J609">
        <v>-350.75049999999999</v>
      </c>
      <c r="K609">
        <v>1.1104799999999999</v>
      </c>
      <c r="L609">
        <v>367.98020000000002</v>
      </c>
      <c r="M609">
        <v>0.99989170000000005</v>
      </c>
      <c r="N609">
        <v>-1.359045E-2</v>
      </c>
      <c r="O609">
        <v>-5.6354119999999898E-3</v>
      </c>
      <c r="P609">
        <v>0.94867619999999997</v>
      </c>
      <c r="Q609">
        <v>0.31232209999999899</v>
      </c>
      <c r="R609">
        <v>4.9685680000000003E-2</v>
      </c>
      <c r="S609">
        <v>3.55545</v>
      </c>
      <c r="T609">
        <v>-1.197587</v>
      </c>
      <c r="U609">
        <v>1.1810299999999999E-2</v>
      </c>
      <c r="V609">
        <v>-5.4985609999999997E-2</v>
      </c>
      <c r="W609">
        <v>0.32519019999999998</v>
      </c>
      <c r="X609">
        <v>0.94404869999999996</v>
      </c>
      <c r="Y609">
        <v>-8.1991800000000004E-3</v>
      </c>
      <c r="Z609">
        <v>3.1736260000000001E-3</v>
      </c>
      <c r="AA609">
        <v>0.9999614</v>
      </c>
      <c r="AB609">
        <v>34</v>
      </c>
      <c r="AC609">
        <v>0.58319999999997596</v>
      </c>
      <c r="AD609">
        <v>-0.28073969999999898</v>
      </c>
      <c r="AE609">
        <v>4.0999999999939904E-3</v>
      </c>
      <c r="AF609">
        <v>-5.9971831705939197E-3</v>
      </c>
      <c r="AG609">
        <v>-0.28073969999999898</v>
      </c>
      <c r="AH609">
        <v>0.47346048646682698</v>
      </c>
      <c r="AI609">
        <v>120.663921856428</v>
      </c>
      <c r="AJ609">
        <v>90.725709788208704</v>
      </c>
      <c r="AK609">
        <v>0.55046850737119901</v>
      </c>
      <c r="AL609">
        <v>71.022901716875595</v>
      </c>
      <c r="AM609">
        <v>93.333395915928705</v>
      </c>
      <c r="AN609">
        <v>1.0000000157274</v>
      </c>
    </row>
    <row r="610" spans="1:40" x14ac:dyDescent="0.25">
      <c r="A610" t="str">
        <f>"20190304164834149"</f>
        <v>20190304164834149</v>
      </c>
      <c r="B610" t="str">
        <f>"1551689314146557"</f>
        <v>1551689314146557</v>
      </c>
      <c r="C610" t="s">
        <v>40</v>
      </c>
      <c r="D610">
        <v>4.7724320000000002</v>
      </c>
      <c r="E610">
        <v>0.54906580000000005</v>
      </c>
      <c r="F610" t="s">
        <v>41</v>
      </c>
      <c r="G610">
        <v>-349.86630000000002</v>
      </c>
      <c r="H610">
        <v>0.81276419999999905</v>
      </c>
      <c r="I610">
        <v>367.98289999999997</v>
      </c>
      <c r="J610">
        <v>-350.57749999999999</v>
      </c>
      <c r="K610">
        <v>1.110493</v>
      </c>
      <c r="L610">
        <v>367.97919999999999</v>
      </c>
      <c r="M610">
        <v>0.99989139999999999</v>
      </c>
      <c r="N610">
        <v>-1.361535E-2</v>
      </c>
      <c r="O610">
        <v>-5.6459689999999998E-3</v>
      </c>
      <c r="P610">
        <v>0.94873879999999999</v>
      </c>
      <c r="Q610">
        <v>0.3121372</v>
      </c>
      <c r="R610">
        <v>4.9652769999999999E-2</v>
      </c>
      <c r="S610">
        <v>3.5559690000000002</v>
      </c>
      <c r="T610">
        <v>-1.1973990000000001</v>
      </c>
      <c r="U610">
        <v>1.0528559999999999E-2</v>
      </c>
      <c r="V610">
        <v>-5.4968570000000001E-2</v>
      </c>
      <c r="W610">
        <v>0.3250287</v>
      </c>
      <c r="X610">
        <v>0.94410530000000004</v>
      </c>
      <c r="Y610">
        <v>-7.8678080000000004E-3</v>
      </c>
      <c r="Z610">
        <v>3.1193829999999999E-3</v>
      </c>
      <c r="AA610">
        <v>0.99996419999999997</v>
      </c>
      <c r="AB610">
        <v>34</v>
      </c>
      <c r="AC610">
        <v>0.71119999999996197</v>
      </c>
      <c r="AD610">
        <v>-0.29772880000000002</v>
      </c>
      <c r="AE610">
        <v>3.69999999998071E-3</v>
      </c>
      <c r="AF610">
        <v>-6.5652048133338801E-3</v>
      </c>
      <c r="AG610">
        <v>-0.29772880000000002</v>
      </c>
      <c r="AH610">
        <v>0.605122823793944</v>
      </c>
      <c r="AI610">
        <v>116.196488502054</v>
      </c>
      <c r="AJ610">
        <v>90.621599045052804</v>
      </c>
      <c r="AK610">
        <v>0.67443248152801605</v>
      </c>
      <c r="AL610">
        <v>71.032686389192094</v>
      </c>
      <c r="AM610">
        <v>93.332165899098896</v>
      </c>
      <c r="AN610">
        <v>1.00000000849981</v>
      </c>
    </row>
    <row r="611" spans="1:40" x14ac:dyDescent="0.25">
      <c r="A611" t="str">
        <f>"20190304164834161"</f>
        <v>20190304164834161</v>
      </c>
      <c r="B611" t="str">
        <f>"1551689314157292"</f>
        <v>1551689314157292</v>
      </c>
      <c r="C611" t="s">
        <v>40</v>
      </c>
      <c r="D611">
        <v>4.7661959999999999</v>
      </c>
      <c r="E611">
        <v>0.54904619999999904</v>
      </c>
      <c r="F611" t="s">
        <v>41</v>
      </c>
      <c r="G611">
        <v>-349.84480000000002</v>
      </c>
      <c r="H611">
        <v>0.86342199999999902</v>
      </c>
      <c r="I611">
        <v>367.98149999999998</v>
      </c>
      <c r="J611">
        <v>-350.41520000000003</v>
      </c>
      <c r="K611">
        <v>1.1105020000000001</v>
      </c>
      <c r="L611">
        <v>367.97829999999999</v>
      </c>
      <c r="M611">
        <v>0.99989110000000003</v>
      </c>
      <c r="N611">
        <v>-1.363789E-2</v>
      </c>
      <c r="O611">
        <v>-5.6535439999999999E-3</v>
      </c>
      <c r="P611">
        <v>0.94868929999999996</v>
      </c>
      <c r="Q611">
        <v>0.312274</v>
      </c>
      <c r="R611">
        <v>4.9736219999999998E-2</v>
      </c>
      <c r="S611">
        <v>3.5560610000000001</v>
      </c>
      <c r="T611">
        <v>-1.1991309999999999</v>
      </c>
      <c r="U611">
        <v>1.055908E-2</v>
      </c>
      <c r="V611">
        <v>-5.5062680000000003E-2</v>
      </c>
      <c r="W611">
        <v>0.32518520000000001</v>
      </c>
      <c r="X611">
        <v>0.94404589999999999</v>
      </c>
      <c r="Y611">
        <v>-7.8807140000000005E-3</v>
      </c>
      <c r="Z611">
        <v>3.1281780000000001E-3</v>
      </c>
      <c r="AA611">
        <v>0.99996410000000002</v>
      </c>
      <c r="AB611">
        <v>34</v>
      </c>
      <c r="AC611">
        <v>0.57040000000000601</v>
      </c>
      <c r="AD611">
        <v>-0.24707999999999999</v>
      </c>
      <c r="AE611">
        <v>3.19999999999254E-3</v>
      </c>
      <c r="AF611">
        <v>-5.4099589387790097E-3</v>
      </c>
      <c r="AG611">
        <v>-0.24707999999999999</v>
      </c>
      <c r="AH611">
        <v>0.480261316256337</v>
      </c>
      <c r="AI611">
        <v>117.222978793842</v>
      </c>
      <c r="AJ611">
        <v>90.645387613516704</v>
      </c>
      <c r="AK611">
        <v>0.54011917754139105</v>
      </c>
      <c r="AL611">
        <v>71.023204098224795</v>
      </c>
      <c r="AM611">
        <v>93.338067455409899</v>
      </c>
      <c r="AN611">
        <v>0.99999998716731597</v>
      </c>
    </row>
    <row r="612" spans="1:40" x14ac:dyDescent="0.25">
      <c r="A612" t="str">
        <f>"20190304164834171"</f>
        <v>20190304164834171</v>
      </c>
      <c r="B612" t="str">
        <f>"1551689314167052"</f>
        <v>1551689314167052</v>
      </c>
      <c r="C612" t="s">
        <v>40</v>
      </c>
      <c r="D612">
        <v>4.7377589999999996</v>
      </c>
      <c r="E612">
        <v>0.549077699999999</v>
      </c>
      <c r="F612" t="s">
        <v>41</v>
      </c>
      <c r="G612">
        <v>-349.55549999999999</v>
      </c>
      <c r="H612">
        <v>0.82061830000000002</v>
      </c>
      <c r="I612">
        <v>367.98070000000001</v>
      </c>
      <c r="J612">
        <v>-350.23500000000001</v>
      </c>
      <c r="K612">
        <v>1.110511</v>
      </c>
      <c r="L612">
        <v>367.97730000000001</v>
      </c>
      <c r="M612">
        <v>0.99989070000000002</v>
      </c>
      <c r="N612">
        <v>-1.3661929999999999E-2</v>
      </c>
      <c r="O612">
        <v>-5.65958E-3</v>
      </c>
      <c r="P612">
        <v>0.94867400000000002</v>
      </c>
      <c r="Q612">
        <v>0.3123147</v>
      </c>
      <c r="R612">
        <v>4.9769470000000003E-2</v>
      </c>
      <c r="S612">
        <v>3.5563959999999999</v>
      </c>
      <c r="T612">
        <v>-1.1991339999999999</v>
      </c>
      <c r="U612">
        <v>1.095581E-2</v>
      </c>
      <c r="V612">
        <v>-5.5105990000000001E-2</v>
      </c>
      <c r="W612">
        <v>0.32524789999999998</v>
      </c>
      <c r="X612">
        <v>0.94402180000000002</v>
      </c>
      <c r="Y612">
        <v>-7.9914670000000004E-3</v>
      </c>
      <c r="Z612">
        <v>3.1487170000000001E-3</v>
      </c>
      <c r="AA612">
        <v>0.99996309999999999</v>
      </c>
      <c r="AB612">
        <v>34</v>
      </c>
      <c r="AC612">
        <v>0.67950000000001798</v>
      </c>
      <c r="AD612">
        <v>-0.289892699999999</v>
      </c>
      <c r="AE612">
        <v>3.3999999999991802E-3</v>
      </c>
      <c r="AF612">
        <v>-6.1302492014046403E-3</v>
      </c>
      <c r="AG612">
        <v>-0.289892699999999</v>
      </c>
      <c r="AH612">
        <v>0.57484488064466899</v>
      </c>
      <c r="AI612">
        <v>116.760374669117</v>
      </c>
      <c r="AJ612">
        <v>90.610989337375898</v>
      </c>
      <c r="AK612">
        <v>0.64383382504489794</v>
      </c>
      <c r="AL612">
        <v>71.0194056435747</v>
      </c>
      <c r="AM612">
        <v>93.340772186834002</v>
      </c>
      <c r="AN612">
        <v>1.0000000127317601</v>
      </c>
    </row>
    <row r="613" spans="1:40" x14ac:dyDescent="0.25">
      <c r="A613" t="str">
        <f>"20190304164834183"</f>
        <v>20190304164834183</v>
      </c>
      <c r="B613" t="str">
        <f>"1551689314176812"</f>
        <v>1551689314176812</v>
      </c>
      <c r="C613" t="s">
        <v>40</v>
      </c>
      <c r="D613">
        <v>4.7428229999999996</v>
      </c>
      <c r="E613">
        <v>0.549077699999999</v>
      </c>
      <c r="F613" t="s">
        <v>41</v>
      </c>
      <c r="G613">
        <v>-349.53269999999998</v>
      </c>
      <c r="H613">
        <v>0.87385309999999905</v>
      </c>
      <c r="I613">
        <v>367.97919999999999</v>
      </c>
      <c r="J613">
        <v>-350.0539</v>
      </c>
      <c r="K613">
        <v>1.1105100000000001</v>
      </c>
      <c r="L613">
        <v>367.97629999999998</v>
      </c>
      <c r="M613">
        <v>0.99989030000000001</v>
      </c>
      <c r="N613">
        <v>-1.368454E-2</v>
      </c>
      <c r="O613">
        <v>-5.6627630000000003E-3</v>
      </c>
      <c r="P613">
        <v>0.94867190000000001</v>
      </c>
      <c r="Q613">
        <v>0.31230210000000003</v>
      </c>
      <c r="R613">
        <v>4.9890950000000003E-2</v>
      </c>
      <c r="S613">
        <v>3.556244</v>
      </c>
      <c r="T613">
        <v>-1.1983889999999999</v>
      </c>
      <c r="U613">
        <v>1.126099E-2</v>
      </c>
      <c r="V613">
        <v>-5.523322E-2</v>
      </c>
      <c r="W613">
        <v>0.32525599999999999</v>
      </c>
      <c r="X613">
        <v>0.94401159999999995</v>
      </c>
      <c r="Y613">
        <v>-8.0763980000000003E-3</v>
      </c>
      <c r="Z613">
        <v>3.1624679999999999E-3</v>
      </c>
      <c r="AA613">
        <v>0.99996240000000003</v>
      </c>
      <c r="AB613">
        <v>34</v>
      </c>
      <c r="AC613">
        <v>0.52120000000002098</v>
      </c>
      <c r="AD613">
        <v>-0.2366569</v>
      </c>
      <c r="AE613">
        <v>2.9000000000110001E-3</v>
      </c>
      <c r="AF613">
        <v>-4.8514584686772597E-3</v>
      </c>
      <c r="AG613">
        <v>-0.2366569</v>
      </c>
      <c r="AH613">
        <v>0.43209261029955198</v>
      </c>
      <c r="AI613">
        <v>118.707976444916</v>
      </c>
      <c r="AJ613">
        <v>90.643279723858996</v>
      </c>
      <c r="AK613">
        <v>0.49268047337231102</v>
      </c>
      <c r="AL613">
        <v>71.018915351462994</v>
      </c>
      <c r="AM613">
        <v>93.348504006942093</v>
      </c>
      <c r="AN613">
        <v>1.00000003753106</v>
      </c>
    </row>
    <row r="614" spans="1:40" x14ac:dyDescent="0.25">
      <c r="A614" t="str">
        <f>"20190304164834194"</f>
        <v>20190304164834194</v>
      </c>
      <c r="B614" t="str">
        <f>"1551689314186572"</f>
        <v>1551689314186572</v>
      </c>
      <c r="C614" t="s">
        <v>40</v>
      </c>
      <c r="D614">
        <v>4.7677100000000001</v>
      </c>
      <c r="E614">
        <v>0.57104769999999905</v>
      </c>
      <c r="F614" t="s">
        <v>41</v>
      </c>
      <c r="G614">
        <v>-349.2414</v>
      </c>
      <c r="H614">
        <v>0.83669249999999995</v>
      </c>
      <c r="I614">
        <v>367.9787</v>
      </c>
      <c r="J614">
        <v>-349.88670000000002</v>
      </c>
      <c r="K614">
        <v>1.1105149999999999</v>
      </c>
      <c r="L614">
        <v>367.9753</v>
      </c>
      <c r="M614">
        <v>0.99989019999999995</v>
      </c>
      <c r="N614">
        <v>-1.3704910000000001E-2</v>
      </c>
      <c r="O614">
        <v>-5.6648710000000001E-3</v>
      </c>
      <c r="P614">
        <v>0.9486945</v>
      </c>
      <c r="Q614">
        <v>0.31220360000000003</v>
      </c>
      <c r="R614">
        <v>5.0080430000000002E-2</v>
      </c>
      <c r="S614">
        <v>3.5562740000000002</v>
      </c>
      <c r="T614">
        <v>-1.198383</v>
      </c>
      <c r="U614">
        <v>1.107788E-2</v>
      </c>
      <c r="V614">
        <v>-5.542793E-2</v>
      </c>
      <c r="W614">
        <v>0.32517620000000003</v>
      </c>
      <c r="X614">
        <v>0.94402770000000003</v>
      </c>
      <c r="Y614">
        <v>-8.0296099999999995E-3</v>
      </c>
      <c r="Z614">
        <v>3.1550630000000001E-3</v>
      </c>
      <c r="AA614">
        <v>0.99996280000000004</v>
      </c>
      <c r="AB614">
        <v>34</v>
      </c>
      <c r="AC614">
        <v>0.64530000000001997</v>
      </c>
      <c r="AD614">
        <v>-0.27382250000000002</v>
      </c>
      <c r="AE614">
        <v>3.3999999999991802E-3</v>
      </c>
      <c r="AF614">
        <v>-5.9792426348645603E-3</v>
      </c>
      <c r="AG614">
        <v>-0.27382250000000002</v>
      </c>
      <c r="AH614">
        <v>0.54681426305395997</v>
      </c>
      <c r="AI614">
        <v>116.598487514429</v>
      </c>
      <c r="AJ614">
        <v>90.626486428349196</v>
      </c>
      <c r="AK614">
        <v>0.61157203265681004</v>
      </c>
      <c r="AL614">
        <v>71.023750780249102</v>
      </c>
      <c r="AM614">
        <v>93.360224086833398</v>
      </c>
      <c r="AN614">
        <v>1.0000000574189001</v>
      </c>
    </row>
    <row r="615" spans="1:40" x14ac:dyDescent="0.25">
      <c r="A615" t="str">
        <f>"20190304164834205"</f>
        <v>20190304164834205</v>
      </c>
      <c r="B615" t="str">
        <f>"1551689314197309"</f>
        <v>1551689314197309</v>
      </c>
      <c r="C615" t="s">
        <v>40</v>
      </c>
      <c r="D615">
        <v>4.777272</v>
      </c>
      <c r="E615">
        <v>0.5741214</v>
      </c>
      <c r="F615" t="s">
        <v>41</v>
      </c>
      <c r="G615">
        <v>-349.1848</v>
      </c>
      <c r="H615">
        <v>0.96772930000000001</v>
      </c>
      <c r="I615">
        <v>367.92899999999997</v>
      </c>
      <c r="J615">
        <v>-349.72699999999998</v>
      </c>
      <c r="K615">
        <v>1.110519</v>
      </c>
      <c r="L615">
        <v>367.9744</v>
      </c>
      <c r="M615">
        <v>0.99988980000000005</v>
      </c>
      <c r="N615">
        <v>-1.372257E-2</v>
      </c>
      <c r="O615">
        <v>-5.6647119999999997E-3</v>
      </c>
      <c r="P615">
        <v>0.94866039999999996</v>
      </c>
      <c r="Q615">
        <v>0.31223719999999999</v>
      </c>
      <c r="R615">
        <v>5.051133E-2</v>
      </c>
      <c r="S615">
        <v>3.4018250000000001</v>
      </c>
      <c r="T615">
        <v>-0.69212289999999999</v>
      </c>
      <c r="U615">
        <v>-0.22412109999999999</v>
      </c>
      <c r="V615">
        <v>-5.5860420000000001E-2</v>
      </c>
      <c r="W615">
        <v>0.32522579999999901</v>
      </c>
      <c r="X615">
        <v>0.94398499999999996</v>
      </c>
      <c r="Y615">
        <v>5.8902030000000001E-2</v>
      </c>
      <c r="Z615">
        <v>-5.2713179999999997E-3</v>
      </c>
      <c r="AA615">
        <v>0.99824979999999996</v>
      </c>
      <c r="AB615">
        <v>34</v>
      </c>
      <c r="AC615">
        <v>0.54219999999997903</v>
      </c>
      <c r="AD615">
        <v>-0.14278969999999999</v>
      </c>
      <c r="AE615">
        <v>-4.5399999999972303E-2</v>
      </c>
      <c r="AF615">
        <v>3.9600241735802302E-2</v>
      </c>
      <c r="AG615">
        <v>-0.14278969999999999</v>
      </c>
      <c r="AH615">
        <v>0.50749639167983696</v>
      </c>
      <c r="AI615">
        <v>105.66925093815701</v>
      </c>
      <c r="AJ615">
        <v>85.538217583916307</v>
      </c>
      <c r="AK615">
        <v>0.52868673630012597</v>
      </c>
      <c r="AL615">
        <v>71.020743323232296</v>
      </c>
      <c r="AM615">
        <v>93.386535099418694</v>
      </c>
      <c r="AN615">
        <v>0.99999994386660596</v>
      </c>
    </row>
    <row r="616" spans="1:40" x14ac:dyDescent="0.25">
      <c r="A616" t="str">
        <f>"20190304164834215"</f>
        <v>20190304164834215</v>
      </c>
      <c r="B616" t="str">
        <f>"1551689314207069"</f>
        <v>1551689314207069</v>
      </c>
      <c r="C616" t="s">
        <v>40</v>
      </c>
      <c r="D616">
        <v>4.803013</v>
      </c>
      <c r="E616">
        <v>0.57582409999999995</v>
      </c>
      <c r="F616" t="s">
        <v>41</v>
      </c>
      <c r="G616">
        <v>-348.88029999999998</v>
      </c>
      <c r="H616">
        <v>0.96311040000000003</v>
      </c>
      <c r="I616">
        <v>367.9092</v>
      </c>
      <c r="J616">
        <v>-349.5575</v>
      </c>
      <c r="K616">
        <v>1.11052</v>
      </c>
      <c r="L616">
        <v>367.97340000000003</v>
      </c>
      <c r="M616">
        <v>0.99988969999999999</v>
      </c>
      <c r="N616">
        <v>-1.3741079999999999E-2</v>
      </c>
      <c r="O616">
        <v>-5.6646780000000002E-3</v>
      </c>
      <c r="P616">
        <v>0.94867140000000005</v>
      </c>
      <c r="Q616">
        <v>0.31214789999999998</v>
      </c>
      <c r="R616">
        <v>5.0857039999999999E-2</v>
      </c>
      <c r="S616">
        <v>3.3692929999999999</v>
      </c>
      <c r="T616">
        <v>-0.58669969999999905</v>
      </c>
      <c r="U616">
        <v>-0.2593994</v>
      </c>
      <c r="V616">
        <v>-5.6208019999999997E-2</v>
      </c>
      <c r="W616">
        <v>0.3251542</v>
      </c>
      <c r="X616">
        <v>0.94398910000000003</v>
      </c>
      <c r="Y616">
        <v>7.0052050000000005E-2</v>
      </c>
      <c r="Z616">
        <v>-5.6303669999999998E-3</v>
      </c>
      <c r="AA616">
        <v>0.99752739999999995</v>
      </c>
      <c r="AB616">
        <v>34</v>
      </c>
      <c r="AC616">
        <v>0.677200000000027</v>
      </c>
      <c r="AD616">
        <v>-0.1474096</v>
      </c>
      <c r="AE616">
        <v>-6.4200000000027999E-2</v>
      </c>
      <c r="AF616">
        <v>5.76549864374548E-2</v>
      </c>
      <c r="AG616">
        <v>-0.1474096</v>
      </c>
      <c r="AH616">
        <v>0.64716185363929701</v>
      </c>
      <c r="AI616">
        <v>102.782867346986</v>
      </c>
      <c r="AJ616">
        <v>84.909018100637297</v>
      </c>
      <c r="AK616">
        <v>0.66623730940192305</v>
      </c>
      <c r="AL616">
        <v>71.025082751609602</v>
      </c>
      <c r="AM616">
        <v>93.407544063220001</v>
      </c>
      <c r="AN616">
        <v>1.0000000081043801</v>
      </c>
    </row>
    <row r="617" spans="1:40" x14ac:dyDescent="0.25">
      <c r="A617" t="str">
        <f>"20190304164834227"</f>
        <v>20190304164834227</v>
      </c>
      <c r="B617" t="str">
        <f>"1551689314216829"</f>
        <v>1551689314216829</v>
      </c>
      <c r="C617" t="s">
        <v>40</v>
      </c>
      <c r="D617">
        <v>4.8212279999999996</v>
      </c>
      <c r="E617">
        <v>0.57705799999999996</v>
      </c>
      <c r="F617" t="s">
        <v>41</v>
      </c>
      <c r="G617">
        <v>-348.57749999999999</v>
      </c>
      <c r="H617">
        <v>0.95521840000000002</v>
      </c>
      <c r="I617">
        <v>367.89179999999999</v>
      </c>
      <c r="J617">
        <v>-349.38199999999898</v>
      </c>
      <c r="K617">
        <v>1.1105240000000001</v>
      </c>
      <c r="L617">
        <v>367.97239999999999</v>
      </c>
      <c r="M617">
        <v>0.99988929999999998</v>
      </c>
      <c r="N617">
        <v>-1.37585E-2</v>
      </c>
      <c r="O617">
        <v>-5.6632169999999999E-3</v>
      </c>
      <c r="P617">
        <v>0.94863980000000003</v>
      </c>
      <c r="Q617">
        <v>0.31219829999999998</v>
      </c>
      <c r="R617">
        <v>5.1135519999999997E-2</v>
      </c>
      <c r="S617">
        <v>3.3520509999999999</v>
      </c>
      <c r="T617">
        <v>-0.53125009999999995</v>
      </c>
      <c r="U617">
        <v>-0.27856449999999999</v>
      </c>
      <c r="V617">
        <v>-5.6486649999999999E-2</v>
      </c>
      <c r="W617">
        <v>0.32522040000000002</v>
      </c>
      <c r="X617">
        <v>0.94394960000000006</v>
      </c>
      <c r="Y617">
        <v>7.6202140000000002E-2</v>
      </c>
      <c r="Z617">
        <v>-5.7064699999999999E-3</v>
      </c>
      <c r="AA617">
        <v>0.99707599999999996</v>
      </c>
      <c r="AB617">
        <v>34</v>
      </c>
      <c r="AC617">
        <v>0.80449999999996102</v>
      </c>
      <c r="AD617">
        <v>-0.15530559999999899</v>
      </c>
      <c r="AE617">
        <v>-8.0600000000004002E-2</v>
      </c>
      <c r="AF617">
        <v>7.3336365490212704E-2</v>
      </c>
      <c r="AG617">
        <v>-0.15530559999999899</v>
      </c>
      <c r="AH617">
        <v>0.77630084128678101</v>
      </c>
      <c r="AI617">
        <v>101.264295407597</v>
      </c>
      <c r="AJ617">
        <v>84.603340847638606</v>
      </c>
      <c r="AK617">
        <v>0.79507298286210004</v>
      </c>
      <c r="AL617">
        <v>71.021070603717206</v>
      </c>
      <c r="AM617">
        <v>93.424538530375301</v>
      </c>
      <c r="AN617">
        <v>0.99999994877227005</v>
      </c>
    </row>
    <row r="618" spans="1:40" x14ac:dyDescent="0.25">
      <c r="A618" t="str">
        <f>"20190304164834238"</f>
        <v>20190304164834238</v>
      </c>
      <c r="B618" t="str">
        <f>"1551689314226590"</f>
        <v>1551689314226590</v>
      </c>
      <c r="C618" t="s">
        <v>40</v>
      </c>
      <c r="D618">
        <v>4.7962040000000004</v>
      </c>
      <c r="E618">
        <v>0.5775515</v>
      </c>
      <c r="F618" t="s">
        <v>41</v>
      </c>
      <c r="G618">
        <v>-348.56099999999998</v>
      </c>
      <c r="H618">
        <v>0.98843879999999995</v>
      </c>
      <c r="I618">
        <v>367.90069999999997</v>
      </c>
      <c r="J618">
        <v>-349.22019999999998</v>
      </c>
      <c r="K618">
        <v>1.110527</v>
      </c>
      <c r="L618">
        <v>367.97149999999999</v>
      </c>
      <c r="M618">
        <v>0.99988909999999998</v>
      </c>
      <c r="N618">
        <v>-1.3774120000000001E-2</v>
      </c>
      <c r="O618">
        <v>-5.6619859999999999E-3</v>
      </c>
      <c r="P618">
        <v>0.94863109999999995</v>
      </c>
      <c r="Q618">
        <v>0.31216059999999901</v>
      </c>
      <c r="R618">
        <v>5.1527839999999998E-2</v>
      </c>
      <c r="S618">
        <v>3.341675</v>
      </c>
      <c r="T618">
        <v>-0.4970118</v>
      </c>
      <c r="U618">
        <v>-0.29107670000000002</v>
      </c>
      <c r="V618">
        <v>-5.687917E-2</v>
      </c>
      <c r="W618">
        <v>0.32519690000000001</v>
      </c>
      <c r="X618">
        <v>0.94393419999999895</v>
      </c>
      <c r="Y618">
        <v>8.0226480000000003E-2</v>
      </c>
      <c r="Z618">
        <v>-5.7208789999999999E-3</v>
      </c>
      <c r="AA618">
        <v>0.99676019999999999</v>
      </c>
      <c r="AB618">
        <v>34</v>
      </c>
      <c r="AC618">
        <v>0.65919999999999801</v>
      </c>
      <c r="AD618">
        <v>-0.12208819999999899</v>
      </c>
      <c r="AE618">
        <v>-7.0800000000019694E-2</v>
      </c>
      <c r="AF618">
        <v>6.4866486238437104E-2</v>
      </c>
      <c r="AG618">
        <v>-0.12208819999999899</v>
      </c>
      <c r="AH618">
        <v>0.63795701101097402</v>
      </c>
      <c r="AI618">
        <v>100.779645998017</v>
      </c>
      <c r="AJ618">
        <v>84.194206278619802</v>
      </c>
      <c r="AK618">
        <v>0.65276514728822499</v>
      </c>
      <c r="AL618">
        <v>71.022495832296897</v>
      </c>
      <c r="AM618">
        <v>93.448334199323497</v>
      </c>
      <c r="AN618">
        <v>1.0000000188395599</v>
      </c>
    </row>
    <row r="619" spans="1:40" x14ac:dyDescent="0.25">
      <c r="A619" t="str">
        <f>"20190304164834249"</f>
        <v>20190304164834249</v>
      </c>
      <c r="B619" t="str">
        <f>"1551689314247085"</f>
        <v>1551689314247085</v>
      </c>
      <c r="C619" t="s">
        <v>40</v>
      </c>
      <c r="D619">
        <v>4.8359629999999996</v>
      </c>
      <c r="E619">
        <v>0.57864469999999901</v>
      </c>
      <c r="F619" t="s">
        <v>41</v>
      </c>
      <c r="G619">
        <v>-348.26190000000003</v>
      </c>
      <c r="H619">
        <v>0.97334149999999997</v>
      </c>
      <c r="I619">
        <v>367.88600000000002</v>
      </c>
      <c r="J619">
        <v>-349.04570000000001</v>
      </c>
      <c r="K619">
        <v>1.1105339999999999</v>
      </c>
      <c r="L619">
        <v>367.97050000000002</v>
      </c>
      <c r="M619">
        <v>0.99988880000000002</v>
      </c>
      <c r="N619">
        <v>-1.378966E-2</v>
      </c>
      <c r="O619">
        <v>-5.6604009999999998E-3</v>
      </c>
      <c r="P619">
        <v>0.94853339999999997</v>
      </c>
      <c r="Q619">
        <v>0.31240390000000001</v>
      </c>
      <c r="R619">
        <v>5.1848869999999998E-2</v>
      </c>
      <c r="S619">
        <v>3.335693</v>
      </c>
      <c r="T619">
        <v>-0.47764970000000001</v>
      </c>
      <c r="U619">
        <v>-0.29656979999999999</v>
      </c>
      <c r="V619">
        <v>-5.7198800000000001E-2</v>
      </c>
      <c r="W619">
        <v>0.32545350000000001</v>
      </c>
      <c r="X619">
        <v>0.94382639999999995</v>
      </c>
      <c r="Y619">
        <v>8.2053699999999993E-2</v>
      </c>
      <c r="Z619">
        <v>-5.6764040000000003E-3</v>
      </c>
      <c r="AA619">
        <v>0.99661180000000005</v>
      </c>
      <c r="AB619">
        <v>34</v>
      </c>
      <c r="AC619">
        <v>0.78379999999998495</v>
      </c>
      <c r="AD619">
        <v>-0.137192499999999</v>
      </c>
      <c r="AE619">
        <v>-8.4500000000048203E-2</v>
      </c>
      <c r="AF619">
        <v>7.7708186634039195E-2</v>
      </c>
      <c r="AG619">
        <v>-0.137192499999999</v>
      </c>
      <c r="AH619">
        <v>0.76121225816525295</v>
      </c>
      <c r="AI619">
        <v>100.164961585554</v>
      </c>
      <c r="AJ619">
        <v>84.171164952172106</v>
      </c>
      <c r="AK619">
        <v>0.77737021187285305</v>
      </c>
      <c r="AL619">
        <v>71.006947167453205</v>
      </c>
      <c r="AM619">
        <v>93.468059904574105</v>
      </c>
      <c r="AN619">
        <v>0.99999997836032395</v>
      </c>
    </row>
    <row r="620" spans="1:40" x14ac:dyDescent="0.25">
      <c r="A620" t="str">
        <f>"20190304164834261"</f>
        <v>20190304164834261</v>
      </c>
      <c r="B620" t="str">
        <f>"1551689314256845"</f>
        <v>1551689314256845</v>
      </c>
      <c r="C620" t="s">
        <v>40</v>
      </c>
      <c r="D620">
        <v>4.860474</v>
      </c>
      <c r="E620">
        <v>0.57854309999999998</v>
      </c>
      <c r="F620" t="s">
        <v>41</v>
      </c>
      <c r="G620">
        <v>-348.24650000000003</v>
      </c>
      <c r="H620">
        <v>1.004418</v>
      </c>
      <c r="I620">
        <v>367.89620000000002</v>
      </c>
      <c r="J620">
        <v>-348.86680000000001</v>
      </c>
      <c r="K620">
        <v>1.110538</v>
      </c>
      <c r="L620">
        <v>367.96949999999998</v>
      </c>
      <c r="M620">
        <v>0.99988869999999996</v>
      </c>
      <c r="N620">
        <v>-1.38045999999999E-2</v>
      </c>
      <c r="O620">
        <v>-5.6590520000000004E-3</v>
      </c>
      <c r="P620">
        <v>0.94851490000000005</v>
      </c>
      <c r="Q620">
        <v>0.31244569999999999</v>
      </c>
      <c r="R620">
        <v>5.1935950000000002E-2</v>
      </c>
      <c r="S620">
        <v>3.3251040000000001</v>
      </c>
      <c r="T620">
        <v>-0.44172169999999999</v>
      </c>
      <c r="U620">
        <v>-0.3080444</v>
      </c>
      <c r="V620">
        <v>-5.72854E-2</v>
      </c>
      <c r="W620">
        <v>0.32550899999999999</v>
      </c>
      <c r="X620">
        <v>0.94380209999999998</v>
      </c>
      <c r="Y620">
        <v>8.5823269999999993E-2</v>
      </c>
      <c r="Z620">
        <v>-5.5909920000000004E-3</v>
      </c>
      <c r="AA620">
        <v>0.99629469999999998</v>
      </c>
      <c r="AB620">
        <v>34</v>
      </c>
      <c r="AC620">
        <v>0.62029999999998597</v>
      </c>
      <c r="AD620">
        <v>-0.10612000000000001</v>
      </c>
      <c r="AE620">
        <v>-7.3299999999960605E-2</v>
      </c>
      <c r="AF620">
        <v>6.7830274692398704E-2</v>
      </c>
      <c r="AG620">
        <v>-0.10612000000000001</v>
      </c>
      <c r="AH620">
        <v>0.60329104202504802</v>
      </c>
      <c r="AI620">
        <v>99.915151275534299</v>
      </c>
      <c r="AJ620">
        <v>83.584961655461797</v>
      </c>
      <c r="AK620">
        <v>0.61629739732738997</v>
      </c>
      <c r="AL620">
        <v>71.003585839009801</v>
      </c>
      <c r="AM620">
        <v>93.473386972170104</v>
      </c>
      <c r="AN620">
        <v>1.00000006504928</v>
      </c>
    </row>
    <row r="621" spans="1:40" x14ac:dyDescent="0.25">
      <c r="A621" t="str">
        <f>"20190304164834272"</f>
        <v>20190304164834272</v>
      </c>
      <c r="B621" t="str">
        <f>"1551689314266604"</f>
        <v>1551689314266604</v>
      </c>
      <c r="C621" t="s">
        <v>40</v>
      </c>
      <c r="D621">
        <v>4.8827730000000003</v>
      </c>
      <c r="E621">
        <v>0.57851949999999996</v>
      </c>
      <c r="F621" t="s">
        <v>41</v>
      </c>
      <c r="G621">
        <v>-347.94659999999999</v>
      </c>
      <c r="H621">
        <v>0.99151120000000004</v>
      </c>
      <c r="I621">
        <v>367.88389999999998</v>
      </c>
      <c r="J621">
        <v>-348.6961</v>
      </c>
      <c r="K621">
        <v>1.1105389999999999</v>
      </c>
      <c r="L621">
        <v>367.96850000000001</v>
      </c>
      <c r="M621">
        <v>0.99988849999999996</v>
      </c>
      <c r="N621">
        <v>-1.3817960000000001E-2</v>
      </c>
      <c r="O621">
        <v>-5.6578139999999997E-3</v>
      </c>
      <c r="P621">
        <v>0.94846810000000004</v>
      </c>
      <c r="Q621">
        <v>0.31257859999999998</v>
      </c>
      <c r="R621">
        <v>5.198904E-2</v>
      </c>
      <c r="S621">
        <v>3.3213200000000001</v>
      </c>
      <c r="T621">
        <v>-0.42963059999999997</v>
      </c>
      <c r="U621">
        <v>-0.30886839999999999</v>
      </c>
      <c r="V621">
        <v>-5.7338199999999902E-2</v>
      </c>
      <c r="W621">
        <v>0.32565329999999998</v>
      </c>
      <c r="X621">
        <v>0.94374910000000001</v>
      </c>
      <c r="Y621">
        <v>8.6208629999999994E-2</v>
      </c>
      <c r="Z621">
        <v>-5.4909800000000003E-3</v>
      </c>
      <c r="AA621">
        <v>0.99626199999999998</v>
      </c>
      <c r="AB621">
        <v>34</v>
      </c>
      <c r="AC621">
        <v>0.74950000000001105</v>
      </c>
      <c r="AD621">
        <v>-0.1190278</v>
      </c>
      <c r="AE621">
        <v>-8.4600000000023101E-2</v>
      </c>
      <c r="AF621">
        <v>7.8405169191685706E-2</v>
      </c>
      <c r="AG621">
        <v>-0.1190278</v>
      </c>
      <c r="AH621">
        <v>0.73174393010109995</v>
      </c>
      <c r="AI621">
        <v>99.187311552528598</v>
      </c>
      <c r="AJ621">
        <v>83.884184168908206</v>
      </c>
      <c r="AK621">
        <v>0.74549592015558397</v>
      </c>
      <c r="AL621">
        <v>70.994841371789093</v>
      </c>
      <c r="AM621">
        <v>93.476775309534602</v>
      </c>
      <c r="AN621">
        <v>1.00000005236546</v>
      </c>
    </row>
    <row r="622" spans="1:40" x14ac:dyDescent="0.25">
      <c r="A622" t="str">
        <f>"20190304164834284"</f>
        <v>20190304164834284</v>
      </c>
      <c r="B622" t="str">
        <f>"1551689314277340"</f>
        <v>1551689314277340</v>
      </c>
      <c r="C622" t="s">
        <v>40</v>
      </c>
      <c r="D622">
        <v>4.8799449999999904</v>
      </c>
      <c r="E622">
        <v>0.57851769999999902</v>
      </c>
      <c r="F622" t="s">
        <v>41</v>
      </c>
      <c r="G622">
        <v>-347.93529999999998</v>
      </c>
      <c r="H622">
        <v>1.014184</v>
      </c>
      <c r="I622">
        <v>367.89760000000001</v>
      </c>
      <c r="J622">
        <v>-348.51870000000002</v>
      </c>
      <c r="K622">
        <v>1.11054599999999</v>
      </c>
      <c r="L622">
        <v>367.96749999999997</v>
      </c>
      <c r="M622">
        <v>0.99988840000000001</v>
      </c>
      <c r="N622">
        <v>-1.383066E-2</v>
      </c>
      <c r="O622">
        <v>-5.6570509999999997E-3</v>
      </c>
      <c r="P622">
        <v>0.94849070000000002</v>
      </c>
      <c r="Q622">
        <v>0.3125018</v>
      </c>
      <c r="R622">
        <v>5.2041080000000003E-2</v>
      </c>
      <c r="S622">
        <v>3.3184809999999998</v>
      </c>
      <c r="T622">
        <v>-0.42038189999999998</v>
      </c>
      <c r="U622">
        <v>-0.30880740000000001</v>
      </c>
      <c r="V622">
        <v>-5.7390400000000001E-2</v>
      </c>
      <c r="W622">
        <v>0.32558870000000001</v>
      </c>
      <c r="X622">
        <v>0.9437681</v>
      </c>
      <c r="Y622">
        <v>8.6297860000000004E-2</v>
      </c>
      <c r="Z622">
        <v>-5.39902E-3</v>
      </c>
      <c r="AA622">
        <v>0.99625469999999905</v>
      </c>
      <c r="AB622">
        <v>34</v>
      </c>
      <c r="AC622">
        <v>0.58340000000004</v>
      </c>
      <c r="AD622">
        <v>-9.6361999999999795E-2</v>
      </c>
      <c r="AE622">
        <v>-6.9899999999961396E-2</v>
      </c>
      <c r="AF622">
        <v>6.4853927636785394E-2</v>
      </c>
      <c r="AG622">
        <v>-9.6361999999999795E-2</v>
      </c>
      <c r="AH622">
        <v>0.568495835496583</v>
      </c>
      <c r="AI622">
        <v>99.559542726202096</v>
      </c>
      <c r="AJ622">
        <v>83.491840804713704</v>
      </c>
      <c r="AK622">
        <v>0.58024062418179201</v>
      </c>
      <c r="AL622">
        <v>70.998753869893804</v>
      </c>
      <c r="AM622">
        <v>93.479862862593095</v>
      </c>
      <c r="AN622">
        <v>0.99999994307872797</v>
      </c>
    </row>
    <row r="623" spans="1:40" x14ac:dyDescent="0.25">
      <c r="A623" t="str">
        <f>"20190304164834295"</f>
        <v>20190304164834295</v>
      </c>
      <c r="B623" t="str">
        <f>"1551689314287101"</f>
        <v>1551689314287101</v>
      </c>
      <c r="C623" t="s">
        <v>40</v>
      </c>
      <c r="D623">
        <v>4.9001190000000001</v>
      </c>
      <c r="E623">
        <v>0.57844580000000001</v>
      </c>
      <c r="F623" t="s">
        <v>41</v>
      </c>
      <c r="G623">
        <v>-347.63619999999997</v>
      </c>
      <c r="H623">
        <v>1.0002230000000001</v>
      </c>
      <c r="I623">
        <v>367.88499999999999</v>
      </c>
      <c r="J623">
        <v>-348.339</v>
      </c>
      <c r="K623">
        <v>1.1105480000000001</v>
      </c>
      <c r="L623">
        <v>367.9665</v>
      </c>
      <c r="M623">
        <v>0.99988829999999995</v>
      </c>
      <c r="N623">
        <v>-1.384315E-2</v>
      </c>
      <c r="O623">
        <v>-5.6562879999999998E-3</v>
      </c>
      <c r="P623">
        <v>0.94850310000000004</v>
      </c>
      <c r="Q623">
        <v>0.31248969999999998</v>
      </c>
      <c r="R623">
        <v>5.1884920000000001E-2</v>
      </c>
      <c r="S623">
        <v>3.3165279999999999</v>
      </c>
      <c r="T623">
        <v>-0.41474529999999898</v>
      </c>
      <c r="U623">
        <v>-0.30923460000000003</v>
      </c>
      <c r="V623">
        <v>-5.723425E-2</v>
      </c>
      <c r="W623">
        <v>0.3255883</v>
      </c>
      <c r="X623">
        <v>0.9437778</v>
      </c>
      <c r="Y623">
        <v>8.6495550000000004E-2</v>
      </c>
      <c r="Z623">
        <v>-5.3532079999999999E-3</v>
      </c>
      <c r="AA623">
        <v>0.99623790000000001</v>
      </c>
      <c r="AB623">
        <v>34</v>
      </c>
      <c r="AC623">
        <v>0.70280000000002396</v>
      </c>
      <c r="AD623">
        <v>-0.11032500000000001</v>
      </c>
      <c r="AE623">
        <v>-8.1500000000005401E-2</v>
      </c>
      <c r="AF623">
        <v>7.5682811876904496E-2</v>
      </c>
      <c r="AG623">
        <v>-0.11032500000000001</v>
      </c>
      <c r="AH623">
        <v>0.68655584688324101</v>
      </c>
      <c r="AI623">
        <v>99.074961101143202</v>
      </c>
      <c r="AJ623">
        <v>83.709371262866895</v>
      </c>
      <c r="AK623">
        <v>0.69947010266927001</v>
      </c>
      <c r="AL623">
        <v>70.998779589538799</v>
      </c>
      <c r="AM623">
        <v>93.470382309071397</v>
      </c>
      <c r="AN623">
        <v>1.0000000181213899</v>
      </c>
    </row>
    <row r="624" spans="1:40" x14ac:dyDescent="0.25">
      <c r="A624" t="str">
        <f>"20190304164834308"</f>
        <v>20190304164834308</v>
      </c>
      <c r="B624" t="str">
        <f>"1551689314296861"</f>
        <v>1551689314296861</v>
      </c>
      <c r="C624" t="s">
        <v>40</v>
      </c>
      <c r="D624">
        <v>4.8973879999999896</v>
      </c>
      <c r="E624">
        <v>0.57843869999999997</v>
      </c>
      <c r="F624" t="s">
        <v>41</v>
      </c>
      <c r="G624">
        <v>-347.3372</v>
      </c>
      <c r="H624">
        <v>0.9866009</v>
      </c>
      <c r="I624">
        <v>367.87290000000002</v>
      </c>
      <c r="J624">
        <v>-348.15</v>
      </c>
      <c r="K624">
        <v>1.110552</v>
      </c>
      <c r="L624">
        <v>367.96539999999999</v>
      </c>
      <c r="M624">
        <v>0.9998882</v>
      </c>
      <c r="N624">
        <v>-1.385724E-2</v>
      </c>
      <c r="O624">
        <v>-5.6557760000000004E-3</v>
      </c>
      <c r="P624">
        <v>0.94851459999999999</v>
      </c>
      <c r="Q624">
        <v>0.31248480000000001</v>
      </c>
      <c r="R624">
        <v>5.170777E-2</v>
      </c>
      <c r="S624">
        <v>3.3149109999999999</v>
      </c>
      <c r="T624">
        <v>-0.41023860000000001</v>
      </c>
      <c r="U624">
        <v>-0.30923460000000003</v>
      </c>
      <c r="V624">
        <v>-5.7057650000000001E-2</v>
      </c>
      <c r="W624">
        <v>0.32559690000000002</v>
      </c>
      <c r="X624">
        <v>0.94378550000000005</v>
      </c>
      <c r="Y624">
        <v>8.6554149999999996E-2</v>
      </c>
      <c r="Z624">
        <v>-5.3097639999999998E-3</v>
      </c>
      <c r="AA624">
        <v>0.99623300000000004</v>
      </c>
      <c r="AB624">
        <v>34</v>
      </c>
      <c r="AC624">
        <v>0.81279999999998098</v>
      </c>
      <c r="AD624">
        <v>-0.123951099999999</v>
      </c>
      <c r="AE624">
        <v>-9.2499999999972701E-2</v>
      </c>
      <c r="AF624">
        <v>8.5928275009002603E-2</v>
      </c>
      <c r="AG624">
        <v>-0.123951099999999</v>
      </c>
      <c r="AH624">
        <v>0.79505684110716301</v>
      </c>
      <c r="AI624">
        <v>98.810707736686595</v>
      </c>
      <c r="AJ624">
        <v>83.8315213778002</v>
      </c>
      <c r="AK624">
        <v>0.80923601268636902</v>
      </c>
      <c r="AL624">
        <v>70.998257960457593</v>
      </c>
      <c r="AM624">
        <v>93.459672110750006</v>
      </c>
      <c r="AN624">
        <v>0.99999999336169099</v>
      </c>
    </row>
    <row r="625" spans="1:40" x14ac:dyDescent="0.25">
      <c r="A625" t="str">
        <f>"20190304164834329"</f>
        <v>20190304164834329</v>
      </c>
      <c r="B625" t="str">
        <f>"1551689314317358"</f>
        <v>1551689314317358</v>
      </c>
      <c r="C625" t="s">
        <v>40</v>
      </c>
      <c r="D625">
        <v>4.8902890000000001</v>
      </c>
      <c r="E625">
        <v>0.57833869999999998</v>
      </c>
      <c r="F625" t="s">
        <v>41</v>
      </c>
      <c r="G625">
        <v>-347.32580000000002</v>
      </c>
      <c r="H625">
        <v>1.009701</v>
      </c>
      <c r="I625">
        <v>367.8879</v>
      </c>
      <c r="J625">
        <v>-347.83409999999998</v>
      </c>
      <c r="K625">
        <v>1.1105499999999999</v>
      </c>
      <c r="L625">
        <v>367.96359999999999</v>
      </c>
      <c r="M625">
        <v>0.99988759999999999</v>
      </c>
      <c r="N625">
        <v>-1.388147E-2</v>
      </c>
      <c r="O625">
        <v>-5.6550910000000001E-3</v>
      </c>
      <c r="P625">
        <v>0.94848319999999997</v>
      </c>
      <c r="Q625">
        <v>0.31263780000000002</v>
      </c>
      <c r="R625">
        <v>5.1355390000000001E-2</v>
      </c>
      <c r="S625">
        <v>3.3133539999999999</v>
      </c>
      <c r="T625">
        <v>-0.4055029</v>
      </c>
      <c r="U625">
        <v>-0.31088259999999901</v>
      </c>
      <c r="V625">
        <v>-5.67048E-2</v>
      </c>
      <c r="W625">
        <v>0.32577220000000001</v>
      </c>
      <c r="X625">
        <v>0.94374630000000004</v>
      </c>
      <c r="Y625">
        <v>8.7099049999999997E-2</v>
      </c>
      <c r="Z625">
        <v>-5.2969380000000002E-3</v>
      </c>
      <c r="AA625">
        <v>0.9961856</v>
      </c>
      <c r="AB625">
        <v>34</v>
      </c>
      <c r="AC625">
        <v>0.508299999999962</v>
      </c>
      <c r="AD625">
        <v>-0.100848999999999</v>
      </c>
      <c r="AE625">
        <v>-7.5699999999983406E-2</v>
      </c>
      <c r="AF625">
        <v>7.0123556974366494E-2</v>
      </c>
      <c r="AG625">
        <v>-0.100848999999999</v>
      </c>
      <c r="AH625">
        <v>0.48985556493403198</v>
      </c>
      <c r="AI625">
        <v>101.51898648415199</v>
      </c>
      <c r="AJ625">
        <v>81.853370435008799</v>
      </c>
      <c r="AK625">
        <v>0.50502109712424503</v>
      </c>
      <c r="AL625">
        <v>70.987635340557205</v>
      </c>
      <c r="AM625">
        <v>93.438471126524206</v>
      </c>
      <c r="AN625">
        <v>1.00000001969978</v>
      </c>
    </row>
    <row r="626" spans="1:40" x14ac:dyDescent="0.25">
      <c r="A626" t="str">
        <f>"20190304164834339"</f>
        <v>20190304164834339</v>
      </c>
      <c r="B626" t="str">
        <f>"1551689314336877"</f>
        <v>1551689314336877</v>
      </c>
      <c r="C626" t="s">
        <v>40</v>
      </c>
      <c r="D626">
        <v>4.8911730000000002</v>
      </c>
      <c r="E626">
        <v>0.57823869999999999</v>
      </c>
      <c r="F626" t="s">
        <v>41</v>
      </c>
      <c r="G626">
        <v>-347.01900000000001</v>
      </c>
      <c r="H626">
        <v>1.012297</v>
      </c>
      <c r="I626">
        <v>367.88659999999999</v>
      </c>
      <c r="J626">
        <v>-347.66730000000001</v>
      </c>
      <c r="K626">
        <v>1.110552</v>
      </c>
      <c r="L626">
        <v>367.96260000000001</v>
      </c>
      <c r="M626">
        <v>0.99988750000000004</v>
      </c>
      <c r="N626">
        <v>-1.389511E-2</v>
      </c>
      <c r="O626">
        <v>-5.6551780000000003E-3</v>
      </c>
      <c r="P626">
        <v>0.94855829999999997</v>
      </c>
      <c r="Q626">
        <v>0.31243510000000002</v>
      </c>
      <c r="R626">
        <v>5.1204079999999999E-2</v>
      </c>
      <c r="S626">
        <v>3.3114620000000001</v>
      </c>
      <c r="T626">
        <v>-0.39920850000000002</v>
      </c>
      <c r="U626">
        <v>-0.3125</v>
      </c>
      <c r="V626">
        <v>-5.655433E-2</v>
      </c>
      <c r="W626">
        <v>0.32558330000000002</v>
      </c>
      <c r="X626">
        <v>0.94382049999999995</v>
      </c>
      <c r="Y626">
        <v>8.7648820000000002E-2</v>
      </c>
      <c r="Z626">
        <v>-5.2657549999999996E-3</v>
      </c>
      <c r="AA626">
        <v>0.99613750000000001</v>
      </c>
      <c r="AB626">
        <v>34</v>
      </c>
      <c r="AC626">
        <v>0.64830000000000598</v>
      </c>
      <c r="AD626">
        <v>-9.8254999999999898E-2</v>
      </c>
      <c r="AE626">
        <v>-7.60000000000218E-2</v>
      </c>
      <c r="AF626">
        <v>7.0729559135827E-2</v>
      </c>
      <c r="AG626">
        <v>-9.8254999999999898E-2</v>
      </c>
      <c r="AH626">
        <v>0.63434618813529697</v>
      </c>
      <c r="AI626">
        <v>98.751293063265095</v>
      </c>
      <c r="AJ626">
        <v>83.637802874090497</v>
      </c>
      <c r="AK626">
        <v>0.64579547997979203</v>
      </c>
      <c r="AL626">
        <v>70.999082355115704</v>
      </c>
      <c r="AM626">
        <v>93.429099754831896</v>
      </c>
      <c r="AN626">
        <v>1.00000000685044</v>
      </c>
    </row>
    <row r="627" spans="1:40" x14ac:dyDescent="0.25">
      <c r="A627" t="str">
        <f>"20190304164834349"</f>
        <v>20190304164834349</v>
      </c>
      <c r="B627" t="str">
        <f>"1551689314346637"</f>
        <v>1551689314346637</v>
      </c>
      <c r="C627" t="s">
        <v>40</v>
      </c>
      <c r="D627">
        <v>4.9146530000000004</v>
      </c>
      <c r="E627">
        <v>0.57823340000000001</v>
      </c>
      <c r="F627" t="s">
        <v>41</v>
      </c>
      <c r="G627">
        <v>-346.72120000000001</v>
      </c>
      <c r="H627">
        <v>0.99732430000000005</v>
      </c>
      <c r="I627">
        <v>367.87299999999999</v>
      </c>
      <c r="J627">
        <v>-347.50810000000001</v>
      </c>
      <c r="K627">
        <v>1.11056</v>
      </c>
      <c r="L627">
        <v>367.96179999999998</v>
      </c>
      <c r="M627">
        <v>0.99988739999999998</v>
      </c>
      <c r="N627">
        <v>-1.3909029999999999E-2</v>
      </c>
      <c r="O627">
        <v>-5.6551500000000003E-3</v>
      </c>
      <c r="P627">
        <v>0.94859479999999996</v>
      </c>
      <c r="Q627">
        <v>0.31235950000000001</v>
      </c>
      <c r="R627">
        <v>5.0988329999999998E-2</v>
      </c>
      <c r="S627">
        <v>3.3100890000000001</v>
      </c>
      <c r="T627">
        <v>-0.39619450000000001</v>
      </c>
      <c r="U627">
        <v>-0.31317139999999999</v>
      </c>
      <c r="V627">
        <v>-5.6339109999999998E-2</v>
      </c>
      <c r="W627">
        <v>0.32552160000000002</v>
      </c>
      <c r="X627">
        <v>0.94385459999999999</v>
      </c>
      <c r="Y627">
        <v>8.7894669999999994E-2</v>
      </c>
      <c r="Z627">
        <v>-5.2503000000000003E-3</v>
      </c>
      <c r="AA627">
        <v>0.99611590000000005</v>
      </c>
      <c r="AB627">
        <v>34</v>
      </c>
      <c r="AC627">
        <v>0.78690000000000204</v>
      </c>
      <c r="AD627">
        <v>-0.113235699999999</v>
      </c>
      <c r="AE627">
        <v>-8.8799999999935098E-2</v>
      </c>
      <c r="AF627">
        <v>8.2657994985150904E-2</v>
      </c>
      <c r="AG627">
        <v>-0.113235699999999</v>
      </c>
      <c r="AH627">
        <v>0.77161239525543002</v>
      </c>
      <c r="AI627">
        <v>98.301850126574706</v>
      </c>
      <c r="AJ627">
        <v>83.885580116257401</v>
      </c>
      <c r="AK627">
        <v>0.78424508694748996</v>
      </c>
      <c r="AL627">
        <v>71.0028201910376</v>
      </c>
      <c r="AM627">
        <v>93.415958001177898</v>
      </c>
      <c r="AN627">
        <v>0.99999995666165498</v>
      </c>
    </row>
    <row r="628" spans="1:40" x14ac:dyDescent="0.25">
      <c r="A628" t="str">
        <f>"20190304164834363"</f>
        <v>20190304164834363</v>
      </c>
      <c r="B628" t="str">
        <f>"1551689314357373"</f>
        <v>1551689314357373</v>
      </c>
      <c r="C628" t="s">
        <v>40</v>
      </c>
      <c r="D628">
        <v>4.9076370000000002</v>
      </c>
      <c r="E628">
        <v>0.57819370000000003</v>
      </c>
      <c r="F628" t="s">
        <v>41</v>
      </c>
      <c r="G628">
        <v>-346.7122</v>
      </c>
      <c r="H628">
        <v>1.015566</v>
      </c>
      <c r="I628">
        <v>367.8861</v>
      </c>
      <c r="J628">
        <v>-347.31880000000001</v>
      </c>
      <c r="K628">
        <v>1.110562</v>
      </c>
      <c r="L628">
        <v>367.96069999999997</v>
      </c>
      <c r="M628">
        <v>0.99988699999999997</v>
      </c>
      <c r="N628">
        <v>-1.3927510000000001E-2</v>
      </c>
      <c r="O628">
        <v>-5.6549159999999899E-3</v>
      </c>
      <c r="P628">
        <v>0.94870920000000003</v>
      </c>
      <c r="Q628">
        <v>0.31199120000000002</v>
      </c>
      <c r="R628">
        <v>5.1110269999999999E-2</v>
      </c>
      <c r="S628">
        <v>3.3095400000000001</v>
      </c>
      <c r="T628">
        <v>-0.39505990000000002</v>
      </c>
      <c r="U628">
        <v>-0.31399539999999998</v>
      </c>
      <c r="V628">
        <v>-5.646197E-2</v>
      </c>
      <c r="W628">
        <v>0.32517220000000002</v>
      </c>
      <c r="X628">
        <v>0.94396780000000002</v>
      </c>
      <c r="Y628">
        <v>8.8157399999999997E-2</v>
      </c>
      <c r="Z628">
        <v>-5.2564079999999997E-3</v>
      </c>
      <c r="AA628">
        <v>0.99609270000000005</v>
      </c>
      <c r="AB628">
        <v>34</v>
      </c>
      <c r="AC628">
        <v>0.60660000000001402</v>
      </c>
      <c r="AD628">
        <v>-9.4995999999999997E-2</v>
      </c>
      <c r="AE628">
        <v>-7.4599999999975297E-2</v>
      </c>
      <c r="AF628">
        <v>6.9489378530640897E-2</v>
      </c>
      <c r="AG628">
        <v>-9.4995999999999997E-2</v>
      </c>
      <c r="AH628">
        <v>0.59269307148380801</v>
      </c>
      <c r="AI628">
        <v>99.044919763534807</v>
      </c>
      <c r="AJ628">
        <v>83.312973827771501</v>
      </c>
      <c r="AK628">
        <v>0.60426657257330096</v>
      </c>
      <c r="AL628">
        <v>71.023993196433594</v>
      </c>
      <c r="AM628">
        <v>93.422980007994695</v>
      </c>
      <c r="AN628">
        <v>1.00000006057297</v>
      </c>
    </row>
    <row r="629" spans="1:40" x14ac:dyDescent="0.25">
      <c r="A629" t="str">
        <f>"20190304164834372"</f>
        <v>20190304164834372</v>
      </c>
      <c r="B629" t="str">
        <f>"1551689314367132"</f>
        <v>1551689314367132</v>
      </c>
      <c r="C629" t="s">
        <v>40</v>
      </c>
      <c r="D629">
        <v>4.9055780000000002</v>
      </c>
      <c r="E629">
        <v>0.57816339999999999</v>
      </c>
      <c r="F629" t="s">
        <v>41</v>
      </c>
      <c r="G629">
        <v>-346.41379999999998</v>
      </c>
      <c r="H629">
        <v>1.0024309999999901</v>
      </c>
      <c r="I629">
        <v>367.87459999999999</v>
      </c>
      <c r="J629">
        <v>-347.15120000000002</v>
      </c>
      <c r="K629">
        <v>1.110565</v>
      </c>
      <c r="L629">
        <v>367.9597</v>
      </c>
      <c r="M629">
        <v>0.99988679999999996</v>
      </c>
      <c r="N629">
        <v>-1.394509E-2</v>
      </c>
      <c r="O629">
        <v>-5.6549149999999999E-3</v>
      </c>
      <c r="P629">
        <v>0.94879259999999999</v>
      </c>
      <c r="Q629">
        <v>0.31179220000000002</v>
      </c>
      <c r="R629">
        <v>5.0779409999999997E-2</v>
      </c>
      <c r="S629">
        <v>3.3091129999999902</v>
      </c>
      <c r="T629">
        <v>-0.39552409999999999</v>
      </c>
      <c r="U629">
        <v>-0.31356810000000002</v>
      </c>
      <c r="V629">
        <v>-5.6131680000000003E-2</v>
      </c>
      <c r="W629">
        <v>0.32499090000000003</v>
      </c>
      <c r="X629">
        <v>0.9440499</v>
      </c>
      <c r="Y629">
        <v>8.8041209999999995E-2</v>
      </c>
      <c r="Z629">
        <v>-5.2555019999999996E-3</v>
      </c>
      <c r="AA629">
        <v>0.99610299999999996</v>
      </c>
      <c r="AB629">
        <v>34</v>
      </c>
      <c r="AC629">
        <v>0.73740000000003603</v>
      </c>
      <c r="AD629">
        <v>-0.10813399999999999</v>
      </c>
      <c r="AE629">
        <v>-8.5100000000011194E-2</v>
      </c>
      <c r="AF629">
        <v>7.9246582500188498E-2</v>
      </c>
      <c r="AG629">
        <v>-0.10813399999999999</v>
      </c>
      <c r="AH629">
        <v>0.72253631523037598</v>
      </c>
      <c r="AI629">
        <v>98.461651090114202</v>
      </c>
      <c r="AJ629">
        <v>83.740911662423002</v>
      </c>
      <c r="AK629">
        <v>0.73486849818225897</v>
      </c>
      <c r="AL629">
        <v>71.034976963556304</v>
      </c>
      <c r="AM629">
        <v>93.402708279989199</v>
      </c>
      <c r="AN629">
        <v>1.0000000321362199</v>
      </c>
    </row>
    <row r="630" spans="1:40" x14ac:dyDescent="0.25">
      <c r="A630" t="str">
        <f>"20190304164834384"</f>
        <v>20190304164834384</v>
      </c>
      <c r="B630" t="str">
        <f>"1551689314376893"</f>
        <v>1551689314376893</v>
      </c>
      <c r="C630" t="s">
        <v>40</v>
      </c>
      <c r="D630">
        <v>4.9698659999999997</v>
      </c>
      <c r="E630">
        <v>0.57774329999999996</v>
      </c>
      <c r="F630" t="s">
        <v>41</v>
      </c>
      <c r="G630">
        <v>-346.40440000000001</v>
      </c>
      <c r="H630">
        <v>1.021317</v>
      </c>
      <c r="I630">
        <v>367.88839999999999</v>
      </c>
      <c r="J630">
        <v>-346.98559999999998</v>
      </c>
      <c r="K630">
        <v>1.110571</v>
      </c>
      <c r="L630">
        <v>367.9588</v>
      </c>
      <c r="M630">
        <v>0.99988650000000001</v>
      </c>
      <c r="N630">
        <v>-1.396354E-2</v>
      </c>
      <c r="O630">
        <v>-5.6548029999999999E-3</v>
      </c>
      <c r="P630">
        <v>0.94888810000000001</v>
      </c>
      <c r="Q630">
        <v>0.3115116</v>
      </c>
      <c r="R630">
        <v>5.0715280000000001E-2</v>
      </c>
      <c r="S630">
        <v>3.3087460000000002</v>
      </c>
      <c r="T630">
        <v>-0.39560230000000002</v>
      </c>
      <c r="U630">
        <v>-0.31451420000000002</v>
      </c>
      <c r="V630">
        <v>-5.6068140000000002E-2</v>
      </c>
      <c r="W630">
        <v>0.32472879999999998</v>
      </c>
      <c r="X630">
        <v>0.94414379999999998</v>
      </c>
      <c r="Y630">
        <v>8.8331190000000004E-2</v>
      </c>
      <c r="Z630">
        <v>-5.2770509999999996E-3</v>
      </c>
      <c r="AA630">
        <v>0.9960772</v>
      </c>
      <c r="AB630">
        <v>34</v>
      </c>
      <c r="AC630">
        <v>0.58119999999996697</v>
      </c>
      <c r="AD630">
        <v>-8.9253999999999903E-2</v>
      </c>
      <c r="AE630">
        <v>-7.0400000000006402E-2</v>
      </c>
      <c r="AF630">
        <v>6.5587578400858895E-2</v>
      </c>
      <c r="AG630">
        <v>-8.9253999999999903E-2</v>
      </c>
      <c r="AH630">
        <v>0.56837844111618196</v>
      </c>
      <c r="AI630">
        <v>98.866537041279599</v>
      </c>
      <c r="AJ630">
        <v>83.417513115017798</v>
      </c>
      <c r="AK630">
        <v>0.57906999514924795</v>
      </c>
      <c r="AL630">
        <v>71.050854225174504</v>
      </c>
      <c r="AM630">
        <v>93.398528271265803</v>
      </c>
      <c r="AN630">
        <v>0.99999997247546901</v>
      </c>
    </row>
    <row r="631" spans="1:40" x14ac:dyDescent="0.25">
      <c r="A631" t="str">
        <f>"20190304164834394"</f>
        <v>20190304164834394</v>
      </c>
      <c r="B631" t="str">
        <f>"1551689314386653"</f>
        <v>1551689314386653</v>
      </c>
      <c r="C631" t="s">
        <v>40</v>
      </c>
      <c r="D631">
        <v>4.9488560000000001</v>
      </c>
      <c r="E631">
        <v>0.57774329999999996</v>
      </c>
      <c r="F631" t="s">
        <v>41</v>
      </c>
      <c r="G631">
        <v>-346.10770000000002</v>
      </c>
      <c r="H631">
        <v>1.0054829999999999</v>
      </c>
      <c r="I631">
        <v>367.87610000000001</v>
      </c>
      <c r="J631">
        <v>-346.82549999999998</v>
      </c>
      <c r="K631">
        <v>1.110573</v>
      </c>
      <c r="L631">
        <v>367.9579</v>
      </c>
      <c r="M631">
        <v>0.99988630000000001</v>
      </c>
      <c r="N631">
        <v>-1.398157E-2</v>
      </c>
      <c r="O631">
        <v>-5.6548070000000004E-3</v>
      </c>
      <c r="P631">
        <v>0.94888609999999896</v>
      </c>
      <c r="Q631">
        <v>0.31153579999999997</v>
      </c>
      <c r="R631">
        <v>5.060361E-2</v>
      </c>
      <c r="S631">
        <v>3.3082579999999999</v>
      </c>
      <c r="T631">
        <v>-0.39615699999999998</v>
      </c>
      <c r="U631">
        <v>-0.31109619999999999</v>
      </c>
      <c r="V631">
        <v>-5.595609E-2</v>
      </c>
      <c r="W631">
        <v>0.32477030000000001</v>
      </c>
      <c r="X631">
        <v>0.94413619999999998</v>
      </c>
      <c r="Y631">
        <v>8.7330809999999995E-2</v>
      </c>
      <c r="Z631">
        <v>-5.2186059999999998E-3</v>
      </c>
      <c r="AA631">
        <v>0.99616570000000004</v>
      </c>
      <c r="AB631">
        <v>34</v>
      </c>
      <c r="AC631">
        <v>0.71779999999995403</v>
      </c>
      <c r="AD631">
        <v>-0.10509</v>
      </c>
      <c r="AE631">
        <v>-8.1799999999986994E-2</v>
      </c>
      <c r="AF631">
        <v>7.6128410738067406E-2</v>
      </c>
      <c r="AG631">
        <v>-0.10509</v>
      </c>
      <c r="AH631">
        <v>0.70336798442518</v>
      </c>
      <c r="AI631">
        <v>98.449059040694706</v>
      </c>
      <c r="AJ631">
        <v>83.822688788389897</v>
      </c>
      <c r="AK631">
        <v>0.71523839699490699</v>
      </c>
      <c r="AL631">
        <v>71.048340691045496</v>
      </c>
      <c r="AM631">
        <v>93.3917795551491</v>
      </c>
      <c r="AN631">
        <v>0.99999999796030903</v>
      </c>
    </row>
    <row r="632" spans="1:40" x14ac:dyDescent="0.25">
      <c r="A632" t="str">
        <f>"20190304164834405"</f>
        <v>20190304164834405</v>
      </c>
      <c r="B632" t="str">
        <f>"1551689314397388"</f>
        <v>1551689314397388</v>
      </c>
      <c r="C632" t="s">
        <v>40</v>
      </c>
      <c r="D632">
        <v>4.8744959999999997</v>
      </c>
      <c r="E632">
        <v>0.54432829999999999</v>
      </c>
      <c r="F632" t="s">
        <v>41</v>
      </c>
      <c r="G632">
        <v>-346.09870000000001</v>
      </c>
      <c r="H632">
        <v>1.0235449999999999</v>
      </c>
      <c r="I632">
        <v>367.88929999999999</v>
      </c>
      <c r="J632">
        <v>-346.661</v>
      </c>
      <c r="K632">
        <v>1.1105769999999999</v>
      </c>
      <c r="L632">
        <v>367.95699999999999</v>
      </c>
      <c r="M632">
        <v>0.99988619999999995</v>
      </c>
      <c r="N632">
        <v>-1.399947E-2</v>
      </c>
      <c r="O632">
        <v>-5.6549310000000002E-3</v>
      </c>
      <c r="P632">
        <v>0.94890330000000001</v>
      </c>
      <c r="Q632">
        <v>0.31148890000000001</v>
      </c>
      <c r="R632">
        <v>5.056969E-2</v>
      </c>
      <c r="S632">
        <v>3.3082889999999998</v>
      </c>
      <c r="T632">
        <v>-0.3962388</v>
      </c>
      <c r="U632">
        <v>-0.31124879999999999</v>
      </c>
      <c r="V632">
        <v>-5.5922489999999998E-2</v>
      </c>
      <c r="W632">
        <v>0.32474059999999999</v>
      </c>
      <c r="X632">
        <v>0.9441484</v>
      </c>
      <c r="Y632">
        <v>8.7374670000000002E-2</v>
      </c>
      <c r="Z632">
        <v>-5.2232789999999999E-3</v>
      </c>
      <c r="AA632">
        <v>0.99616179999999999</v>
      </c>
      <c r="AB632">
        <v>34</v>
      </c>
      <c r="AC632">
        <v>0.56229999999999303</v>
      </c>
      <c r="AD632">
        <v>-8.7031999999999998E-2</v>
      </c>
      <c r="AE632">
        <v>-6.7700000000001995E-2</v>
      </c>
      <c r="AF632">
        <v>6.3030431243795301E-2</v>
      </c>
      <c r="AG632">
        <v>-8.7031999999999998E-2</v>
      </c>
      <c r="AH632">
        <v>0.54969336595635898</v>
      </c>
      <c r="AI632">
        <v>98.939240864092298</v>
      </c>
      <c r="AJ632">
        <v>83.458764189585906</v>
      </c>
      <c r="AK632">
        <v>0.56009838498536102</v>
      </c>
      <c r="AL632">
        <v>71.0501397730105</v>
      </c>
      <c r="AM632">
        <v>93.389703941841404</v>
      </c>
      <c r="AN632">
        <v>0.99999999169936005</v>
      </c>
    </row>
    <row r="633" spans="1:40" x14ac:dyDescent="0.25">
      <c r="A633" t="str">
        <f>"20190304164834416"</f>
        <v>20190304164834416</v>
      </c>
      <c r="B633" t="str">
        <f>"1551689314407149"</f>
        <v>1551689314407149</v>
      </c>
      <c r="C633" t="s">
        <v>40</v>
      </c>
      <c r="D633">
        <v>4.8851050000000003</v>
      </c>
      <c r="E633">
        <v>0.542386699999999</v>
      </c>
      <c r="F633" t="s">
        <v>41</v>
      </c>
      <c r="G633">
        <v>-345.78870000000001</v>
      </c>
      <c r="H633">
        <v>1.033442</v>
      </c>
      <c r="I633">
        <v>367.9418</v>
      </c>
      <c r="J633">
        <v>-346.48989999999998</v>
      </c>
      <c r="K633">
        <v>1.110579</v>
      </c>
      <c r="L633">
        <v>367.95609999999999</v>
      </c>
      <c r="M633">
        <v>0.99988600000000005</v>
      </c>
      <c r="N633">
        <v>-1.401783E-2</v>
      </c>
      <c r="O633">
        <v>-5.6548190000000002E-3</v>
      </c>
      <c r="P633">
        <v>0.94888879999999998</v>
      </c>
      <c r="Q633">
        <v>0.31150899999999998</v>
      </c>
      <c r="R633">
        <v>5.0719149999999998E-2</v>
      </c>
      <c r="S633">
        <v>3.2591860000000001</v>
      </c>
      <c r="T633">
        <v>-0.28833009999999998</v>
      </c>
      <c r="U633">
        <v>-5.6335450000000002E-2</v>
      </c>
      <c r="V633">
        <v>-5.6072089999999998E-2</v>
      </c>
      <c r="W633">
        <v>0.32477800000000001</v>
      </c>
      <c r="X633">
        <v>0.94412669999999999</v>
      </c>
      <c r="Y633">
        <v>1.1590919999999999E-2</v>
      </c>
      <c r="Z633">
        <v>-1.7299589999999999E-4</v>
      </c>
      <c r="AA633">
        <v>0.99993279999999995</v>
      </c>
      <c r="AB633">
        <v>34</v>
      </c>
      <c r="AC633">
        <v>0.70119999999997096</v>
      </c>
      <c r="AD633">
        <v>-7.7136999999999997E-2</v>
      </c>
      <c r="AE633">
        <v>-1.42999999999915E-2</v>
      </c>
      <c r="AF633">
        <v>1.02107093405526E-2</v>
      </c>
      <c r="AG633">
        <v>-7.7136999999999997E-2</v>
      </c>
      <c r="AH633">
        <v>0.69288811116097404</v>
      </c>
      <c r="AI633">
        <v>96.351713487150604</v>
      </c>
      <c r="AJ633">
        <v>89.155724859226098</v>
      </c>
      <c r="AK633">
        <v>0.69724336493254602</v>
      </c>
      <c r="AL633">
        <v>71.047874800747806</v>
      </c>
      <c r="AM633">
        <v>93.3988285503805</v>
      </c>
      <c r="AN633">
        <v>1.00000002710692</v>
      </c>
    </row>
    <row r="634" spans="1:40" x14ac:dyDescent="0.25">
      <c r="A634" t="str">
        <f>"20190304164834427"</f>
        <v>20190304164834427</v>
      </c>
      <c r="B634" t="str">
        <f>"1551689314416909"</f>
        <v>1551689314416909</v>
      </c>
      <c r="C634" t="s">
        <v>40</v>
      </c>
      <c r="D634">
        <v>4.8479710000000003</v>
      </c>
      <c r="E634">
        <v>0.540975599999999</v>
      </c>
      <c r="F634" t="s">
        <v>41</v>
      </c>
      <c r="G634">
        <v>-345.49110000000002</v>
      </c>
      <c r="H634">
        <v>1.020383</v>
      </c>
      <c r="I634">
        <v>367.94389999999999</v>
      </c>
      <c r="J634">
        <v>-346.32199999999898</v>
      </c>
      <c r="K634">
        <v>1.110579</v>
      </c>
      <c r="L634">
        <v>367.95510000000002</v>
      </c>
      <c r="M634">
        <v>0.99988569999999999</v>
      </c>
      <c r="N634">
        <v>-1.4034639999999999E-2</v>
      </c>
      <c r="O634">
        <v>-5.654816E-3</v>
      </c>
      <c r="P634">
        <v>0.94886269999999995</v>
      </c>
      <c r="Q634">
        <v>0.31162309999999999</v>
      </c>
      <c r="R634">
        <v>5.050441E-2</v>
      </c>
      <c r="S634">
        <v>3.2604060000000001</v>
      </c>
      <c r="T634">
        <v>-0.2945603</v>
      </c>
      <c r="U634">
        <v>-3.9428709999999999E-2</v>
      </c>
      <c r="V634">
        <v>-5.5857419999999998E-2</v>
      </c>
      <c r="W634">
        <v>0.32490750000000002</v>
      </c>
      <c r="X634">
        <v>0.94409480000000001</v>
      </c>
      <c r="Y634">
        <v>6.4233399999999996E-3</v>
      </c>
      <c r="Z634" s="1">
        <v>9.5848690000000002E-5</v>
      </c>
      <c r="AA634">
        <v>0.99997939999999996</v>
      </c>
      <c r="AB634">
        <v>34</v>
      </c>
      <c r="AC634">
        <v>0.83089999999992803</v>
      </c>
      <c r="AD634">
        <v>-9.0195999999999901E-2</v>
      </c>
      <c r="AE634">
        <v>-1.1200000000030699E-2</v>
      </c>
      <c r="AF634">
        <v>6.4250757130989702E-3</v>
      </c>
      <c r="AG634">
        <v>-9.0195999999999901E-2</v>
      </c>
      <c r="AH634">
        <v>0.82127426448160901</v>
      </c>
      <c r="AI634">
        <v>96.267170403422995</v>
      </c>
      <c r="AJ634">
        <v>89.551767019536399</v>
      </c>
      <c r="AK634">
        <v>0.82623726466053704</v>
      </c>
      <c r="AL634">
        <v>71.040028274505701</v>
      </c>
      <c r="AM634">
        <v>93.385960724903299</v>
      </c>
      <c r="AN634">
        <v>0.99999996315617201</v>
      </c>
    </row>
    <row r="635" spans="1:40" x14ac:dyDescent="0.25">
      <c r="A635" t="str">
        <f>"20190304164834439"</f>
        <v>20190304164834439</v>
      </c>
      <c r="B635" t="str">
        <f>"1551689314426669"</f>
        <v>1551689314426669</v>
      </c>
      <c r="C635" t="s">
        <v>40</v>
      </c>
      <c r="D635">
        <v>4.8621349999999897</v>
      </c>
      <c r="E635">
        <v>0.54031850000000003</v>
      </c>
      <c r="F635" t="s">
        <v>41</v>
      </c>
      <c r="G635">
        <v>-345.48430000000002</v>
      </c>
      <c r="H635">
        <v>1.0330140000000001</v>
      </c>
      <c r="I635">
        <v>367.9479</v>
      </c>
      <c r="J635">
        <v>-346.15269999999998</v>
      </c>
      <c r="K635">
        <v>1.110582</v>
      </c>
      <c r="L635">
        <v>367.95420000000001</v>
      </c>
      <c r="M635">
        <v>0.99988529999999998</v>
      </c>
      <c r="N635">
        <v>-1.405111E-2</v>
      </c>
      <c r="O635">
        <v>-5.6545730000000004E-3</v>
      </c>
      <c r="P635">
        <v>0.948882</v>
      </c>
      <c r="Q635">
        <v>0.31155690000000003</v>
      </c>
      <c r="R635">
        <v>5.055047E-2</v>
      </c>
      <c r="S635">
        <v>3.2624209999999998</v>
      </c>
      <c r="T635">
        <v>-0.30225400000000002</v>
      </c>
      <c r="U635">
        <v>-2.7801510000000001E-2</v>
      </c>
      <c r="V635">
        <v>-5.5903019999999998E-2</v>
      </c>
      <c r="W635">
        <v>0.3248569</v>
      </c>
      <c r="X635">
        <v>0.94410959999999999</v>
      </c>
      <c r="Y635">
        <v>2.869637E-3</v>
      </c>
      <c r="Z635">
        <v>2.9057650000000003E-4</v>
      </c>
      <c r="AA635">
        <v>0.99999579999999999</v>
      </c>
      <c r="AB635">
        <v>34</v>
      </c>
      <c r="AC635">
        <v>0.66839999999996202</v>
      </c>
      <c r="AD635">
        <v>-7.7567999999999998E-2</v>
      </c>
      <c r="AE635">
        <v>-6.3000000000101803E-3</v>
      </c>
      <c r="AF635">
        <v>2.4865248411599802E-3</v>
      </c>
      <c r="AG635">
        <v>-7.7567999999999998E-2</v>
      </c>
      <c r="AH635">
        <v>0.65954322124651499</v>
      </c>
      <c r="AI635">
        <v>96.707619982750401</v>
      </c>
      <c r="AJ635">
        <v>89.783991860600494</v>
      </c>
      <c r="AK635">
        <v>0.66409354621319305</v>
      </c>
      <c r="AL635">
        <v>71.043095338237407</v>
      </c>
      <c r="AM635">
        <v>93.388665464867302</v>
      </c>
      <c r="AN635">
        <v>1.00000004496744</v>
      </c>
    </row>
    <row r="636" spans="1:40" x14ac:dyDescent="0.25">
      <c r="A636" t="str">
        <f>"20190304164834451"</f>
        <v>20190304164834451</v>
      </c>
      <c r="B636" t="str">
        <f>"1551689314447165"</f>
        <v>1551689314447165</v>
      </c>
      <c r="C636" t="s">
        <v>40</v>
      </c>
      <c r="D636">
        <v>4.8181659999999997</v>
      </c>
      <c r="E636">
        <v>0.5396879</v>
      </c>
      <c r="F636" t="s">
        <v>41</v>
      </c>
      <c r="G636">
        <v>-345.18709999999999</v>
      </c>
      <c r="H636">
        <v>1.0208459999999999</v>
      </c>
      <c r="I636">
        <v>367.94749999999999</v>
      </c>
      <c r="J636">
        <v>-345.97539999999998</v>
      </c>
      <c r="K636">
        <v>1.110582</v>
      </c>
      <c r="L636">
        <v>367.95319999999998</v>
      </c>
      <c r="M636">
        <v>0.99988509999999997</v>
      </c>
      <c r="N636">
        <v>-1.4067430000000001E-2</v>
      </c>
      <c r="O636">
        <v>-5.6546859999999999E-3</v>
      </c>
      <c r="P636">
        <v>0.94888839999999997</v>
      </c>
      <c r="Q636">
        <v>0.31154500000000002</v>
      </c>
      <c r="R636">
        <v>5.05023E-2</v>
      </c>
      <c r="S636">
        <v>3.2623600000000001</v>
      </c>
      <c r="T636">
        <v>-0.30327959999999998</v>
      </c>
      <c r="U636">
        <v>-2.2125240000000001E-2</v>
      </c>
      <c r="V636">
        <v>-5.5855210000000002E-2</v>
      </c>
      <c r="W636">
        <v>0.3248605</v>
      </c>
      <c r="X636">
        <v>0.94411109999999998</v>
      </c>
      <c r="Y636">
        <v>1.1385010000000001E-3</v>
      </c>
      <c r="Z636">
        <v>3.842982E-4</v>
      </c>
      <c r="AA636">
        <v>0.99999930000000004</v>
      </c>
      <c r="AB636">
        <v>34</v>
      </c>
      <c r="AC636">
        <v>0.78829999999999201</v>
      </c>
      <c r="AD636">
        <v>-8.9735999999999996E-2</v>
      </c>
      <c r="AE636">
        <v>-5.6999999999902597E-3</v>
      </c>
      <c r="AF636">
        <v>1.2259928927528601E-3</v>
      </c>
      <c r="AG636">
        <v>-8.9735999999999996E-2</v>
      </c>
      <c r="AH636">
        <v>0.77823549330006103</v>
      </c>
      <c r="AI636">
        <v>96.5775479184245</v>
      </c>
      <c r="AJ636">
        <v>89.909739197243397</v>
      </c>
      <c r="AK636">
        <v>0.78339296383524104</v>
      </c>
      <c r="AL636">
        <v>71.0428755535753</v>
      </c>
      <c r="AM636">
        <v>93.3857687509295</v>
      </c>
      <c r="AN636">
        <v>0.99999995904380101</v>
      </c>
    </row>
    <row r="637" spans="1:40" x14ac:dyDescent="0.25">
      <c r="A637" t="str">
        <f>"20190304164834462"</f>
        <v>20190304164834462</v>
      </c>
      <c r="B637" t="str">
        <f>"1551689314456928"</f>
        <v>1551689314456928</v>
      </c>
      <c r="C637" t="s">
        <v>40</v>
      </c>
      <c r="D637">
        <v>4.7847929999999996</v>
      </c>
      <c r="E637">
        <v>0.53950359999999997</v>
      </c>
      <c r="F637" t="s">
        <v>41</v>
      </c>
      <c r="G637">
        <v>-345.17790000000002</v>
      </c>
      <c r="H637">
        <v>1.035709</v>
      </c>
      <c r="I637">
        <v>367.94900000000001</v>
      </c>
      <c r="J637">
        <v>-345.79910000000001</v>
      </c>
      <c r="K637">
        <v>1.1105860000000001</v>
      </c>
      <c r="L637">
        <v>367.95209999999997</v>
      </c>
      <c r="M637">
        <v>0.99988489999999997</v>
      </c>
      <c r="N637">
        <v>-1.408268E-2</v>
      </c>
      <c r="O637">
        <v>-5.6547919999999996E-3</v>
      </c>
      <c r="P637">
        <v>0.94892909999999997</v>
      </c>
      <c r="Q637">
        <v>0.31144759999999999</v>
      </c>
      <c r="R637">
        <v>5.0340910000000003E-2</v>
      </c>
      <c r="S637">
        <v>3.2630620000000001</v>
      </c>
      <c r="T637">
        <v>-0.30645509999999998</v>
      </c>
      <c r="U637">
        <v>-1.6571039999999999E-2</v>
      </c>
      <c r="V637">
        <v>-5.569437E-2</v>
      </c>
      <c r="W637">
        <v>0.32477800000000001</v>
      </c>
      <c r="X637">
        <v>0.94414900000000002</v>
      </c>
      <c r="Y637">
        <v>-5.5625789999999998E-4</v>
      </c>
      <c r="Z637">
        <v>4.8040479999999998E-4</v>
      </c>
      <c r="AA637">
        <v>0.99999970000000005</v>
      </c>
      <c r="AB637">
        <v>34</v>
      </c>
      <c r="AC637">
        <v>0.62119999999998698</v>
      </c>
      <c r="AD637">
        <v>-7.4876999999999999E-2</v>
      </c>
      <c r="AE637">
        <v>-3.0999999999607999E-3</v>
      </c>
      <c r="AF637">
        <v>-4.0723795899575598E-4</v>
      </c>
      <c r="AG637">
        <v>-7.4876999999999999E-2</v>
      </c>
      <c r="AH637">
        <v>0.61231157995959196</v>
      </c>
      <c r="AI637">
        <v>96.971843258726295</v>
      </c>
      <c r="AJ637">
        <v>90.038106437361805</v>
      </c>
      <c r="AK637">
        <v>0.61687292202232902</v>
      </c>
      <c r="AL637">
        <v>71.0478737394874</v>
      </c>
      <c r="AM637">
        <v>93.375906507295596</v>
      </c>
      <c r="AN637">
        <v>0.99999997316734801</v>
      </c>
    </row>
    <row r="638" spans="1:40" x14ac:dyDescent="0.25">
      <c r="A638" t="str">
        <f>"20190304164834473"</f>
        <v>20190304164834473</v>
      </c>
      <c r="B638" t="str">
        <f>"1551689314466685"</f>
        <v>1551689314466685</v>
      </c>
      <c r="C638" t="s">
        <v>40</v>
      </c>
      <c r="D638">
        <v>4.7515359999999998</v>
      </c>
      <c r="E638">
        <v>0.53936600000000001</v>
      </c>
      <c r="F638" t="s">
        <v>41</v>
      </c>
      <c r="G638">
        <v>-344.88209999999998</v>
      </c>
      <c r="H638">
        <v>1.0244040000000001</v>
      </c>
      <c r="I638">
        <v>367.9477</v>
      </c>
      <c r="J638">
        <v>-345.62849999999997</v>
      </c>
      <c r="K638">
        <v>1.110589</v>
      </c>
      <c r="L638">
        <v>367.95119999999997</v>
      </c>
      <c r="M638">
        <v>0.99988460000000001</v>
      </c>
      <c r="N638">
        <v>-1.4096879999999999E-2</v>
      </c>
      <c r="O638">
        <v>-5.6547709999999899E-3</v>
      </c>
      <c r="P638">
        <v>0.94892949999999998</v>
      </c>
      <c r="Q638">
        <v>0.31144660000000002</v>
      </c>
      <c r="R638">
        <v>5.0336520000000003E-2</v>
      </c>
      <c r="S638">
        <v>3.2629389999999998</v>
      </c>
      <c r="T638">
        <v>-0.306672099999999</v>
      </c>
      <c r="U638">
        <v>-1.5747069999999998E-2</v>
      </c>
      <c r="V638">
        <v>-5.5689629999999997E-2</v>
      </c>
      <c r="W638">
        <v>0.32479069999999999</v>
      </c>
      <c r="X638">
        <v>0.94414500000000001</v>
      </c>
      <c r="Y638">
        <v>-8.0726559999999895E-4</v>
      </c>
      <c r="Z638">
        <v>4.9428370000000001E-4</v>
      </c>
      <c r="AA638">
        <v>0.99999950000000004</v>
      </c>
      <c r="AB638">
        <v>34</v>
      </c>
      <c r="AC638">
        <v>0.74639999999999396</v>
      </c>
      <c r="AD638">
        <v>-8.6184999999999901E-2</v>
      </c>
      <c r="AE638">
        <v>-3.4999999999740798E-3</v>
      </c>
      <c r="AF638">
        <v>-7.1170784630385502E-4</v>
      </c>
      <c r="AG638">
        <v>-8.6184999999999901E-2</v>
      </c>
      <c r="AH638">
        <v>0.73658733032926005</v>
      </c>
      <c r="AI638">
        <v>96.673591972327102</v>
      </c>
      <c r="AJ638">
        <v>90.055360500337997</v>
      </c>
      <c r="AK638">
        <v>0.74161260504029003</v>
      </c>
      <c r="AL638">
        <v>71.047106030887903</v>
      </c>
      <c r="AM638">
        <v>93.375634125483202</v>
      </c>
      <c r="AN638">
        <v>1.0000000573605099</v>
      </c>
    </row>
    <row r="639" spans="1:40" x14ac:dyDescent="0.25">
      <c r="A639" t="str">
        <f>"20190304164834484"</f>
        <v>20190304164834484</v>
      </c>
      <c r="B639" t="str">
        <f>"1551689314477421"</f>
        <v>1551689314477421</v>
      </c>
      <c r="C639" t="s">
        <v>40</v>
      </c>
      <c r="D639">
        <v>4.7650290000000002</v>
      </c>
      <c r="E639">
        <v>0.53939499999999996</v>
      </c>
      <c r="F639" t="s">
        <v>41</v>
      </c>
      <c r="G639">
        <v>-344.87139999999999</v>
      </c>
      <c r="H639">
        <v>1.039328</v>
      </c>
      <c r="I639">
        <v>367.94779999999997</v>
      </c>
      <c r="J639">
        <v>-345.46820000000002</v>
      </c>
      <c r="K639">
        <v>1.1105910000000001</v>
      </c>
      <c r="L639">
        <v>367.95030000000003</v>
      </c>
      <c r="M639">
        <v>0.99988449999999995</v>
      </c>
      <c r="N639">
        <v>-1.410907E-2</v>
      </c>
      <c r="O639">
        <v>-5.6548569999999897E-3</v>
      </c>
      <c r="P639">
        <v>0.94892109999999996</v>
      </c>
      <c r="Q639">
        <v>0.31148670000000001</v>
      </c>
      <c r="R639">
        <v>5.0250660000000003E-2</v>
      </c>
      <c r="S639">
        <v>3.2629999999999999</v>
      </c>
      <c r="T639">
        <v>-0.30714629999999998</v>
      </c>
      <c r="U639">
        <v>-1.461792E-2</v>
      </c>
      <c r="V639">
        <v>-5.5604389999999997E-2</v>
      </c>
      <c r="W639">
        <v>0.32484210000000002</v>
      </c>
      <c r="X639">
        <v>0.94413230000000004</v>
      </c>
      <c r="Y639">
        <v>-1.1516580000000001E-3</v>
      </c>
      <c r="Z639">
        <v>5.1370050000000003E-4</v>
      </c>
      <c r="AA639">
        <v>0.99999919999999998</v>
      </c>
      <c r="AB639">
        <v>34</v>
      </c>
      <c r="AC639">
        <v>0.59680000000002997</v>
      </c>
      <c r="AD639">
        <v>-7.1262999999999799E-2</v>
      </c>
      <c r="AE639">
        <v>-2.5000000000545601E-3</v>
      </c>
      <c r="AF639">
        <v>-8.6289127102856598E-4</v>
      </c>
      <c r="AG639">
        <v>-7.1262999999999799E-2</v>
      </c>
      <c r="AH639">
        <v>0.58841489111658596</v>
      </c>
      <c r="AI639">
        <v>96.905460263813595</v>
      </c>
      <c r="AJ639">
        <v>90.084022334095096</v>
      </c>
      <c r="AK639">
        <v>0.59271514561219796</v>
      </c>
      <c r="AL639">
        <v>71.043991431615197</v>
      </c>
      <c r="AM639">
        <v>93.370524446062703</v>
      </c>
      <c r="AN639">
        <v>1.0000000190114799</v>
      </c>
    </row>
    <row r="640" spans="1:40" x14ac:dyDescent="0.25">
      <c r="A640" t="str">
        <f>"20190304164834494"</f>
        <v>20190304164834494</v>
      </c>
      <c r="B640" t="str">
        <f>"1551689314487181"</f>
        <v>1551689314487181</v>
      </c>
      <c r="C640" t="s">
        <v>40</v>
      </c>
      <c r="D640">
        <v>4.7378650000000002</v>
      </c>
      <c r="E640">
        <v>0.53940909999999997</v>
      </c>
      <c r="F640" t="s">
        <v>41</v>
      </c>
      <c r="G640">
        <v>-344.5779</v>
      </c>
      <c r="H640">
        <v>1.02685</v>
      </c>
      <c r="I640">
        <v>367.9461</v>
      </c>
      <c r="J640">
        <v>-345.30200000000002</v>
      </c>
      <c r="K640">
        <v>1.1105929999999999</v>
      </c>
      <c r="L640">
        <v>367.94940000000003</v>
      </c>
      <c r="M640">
        <v>0.99988440000000001</v>
      </c>
      <c r="N640">
        <v>-1.412151E-2</v>
      </c>
      <c r="O640">
        <v>-5.6547050000000003E-3</v>
      </c>
      <c r="P640">
        <v>0.94891709999999996</v>
      </c>
      <c r="Q640">
        <v>0.31153419999999998</v>
      </c>
      <c r="R640">
        <v>5.0029700000000003E-2</v>
      </c>
      <c r="S640">
        <v>3.2630620000000001</v>
      </c>
      <c r="T640">
        <v>-0.3070214</v>
      </c>
      <c r="U640">
        <v>-1.486206E-2</v>
      </c>
      <c r="V640">
        <v>-5.5382609999999999E-2</v>
      </c>
      <c r="W640">
        <v>0.3249011</v>
      </c>
      <c r="X640">
        <v>0.94412499999999999</v>
      </c>
      <c r="Y640">
        <v>-1.0771800000000001E-3</v>
      </c>
      <c r="Z640">
        <v>5.0935399999999995E-4</v>
      </c>
      <c r="AA640">
        <v>0.99999930000000004</v>
      </c>
      <c r="AB640">
        <v>34</v>
      </c>
      <c r="AC640">
        <v>0.72409999999996399</v>
      </c>
      <c r="AD640">
        <v>-8.3742999999999901E-2</v>
      </c>
      <c r="AE640">
        <v>-3.30000000002428E-3</v>
      </c>
      <c r="AF640">
        <v>-7.8453941877338295E-4</v>
      </c>
      <c r="AG640">
        <v>-8.3742999999999901E-2</v>
      </c>
      <c r="AH640">
        <v>0.71455003969277597</v>
      </c>
      <c r="AI640">
        <v>96.684387480119895</v>
      </c>
      <c r="AJ640">
        <v>90.062907811906499</v>
      </c>
      <c r="AK640">
        <v>0.71944093904645601</v>
      </c>
      <c r="AL640">
        <v>71.040416471290399</v>
      </c>
      <c r="AM640">
        <v>93.3571377013117</v>
      </c>
      <c r="AN640">
        <v>0.99999998694831005</v>
      </c>
    </row>
    <row r="641" spans="1:40" x14ac:dyDescent="0.25">
      <c r="A641" t="str">
        <f>"20190304164834506"</f>
        <v>20190304164834506</v>
      </c>
      <c r="B641" t="str">
        <f>"1551689314496941"</f>
        <v>1551689314496941</v>
      </c>
      <c r="C641" t="s">
        <v>40</v>
      </c>
      <c r="D641">
        <v>4.7195039999999997</v>
      </c>
      <c r="E641">
        <v>0.53923789999999905</v>
      </c>
      <c r="F641" t="s">
        <v>41</v>
      </c>
      <c r="G641">
        <v>-344.56</v>
      </c>
      <c r="H641">
        <v>1.0407759999999999</v>
      </c>
      <c r="I641">
        <v>367.94560000000001</v>
      </c>
      <c r="J641">
        <v>-345.12979999999999</v>
      </c>
      <c r="K641">
        <v>1.110595</v>
      </c>
      <c r="L641">
        <v>367.94839999999999</v>
      </c>
      <c r="M641">
        <v>0.9998842</v>
      </c>
      <c r="N641">
        <v>-1.413289E-2</v>
      </c>
      <c r="O641">
        <v>-5.6547849999999998E-3</v>
      </c>
      <c r="P641">
        <v>0.9488683</v>
      </c>
      <c r="Q641">
        <v>0.31164940000000002</v>
      </c>
      <c r="R641">
        <v>5.0238140000000001E-2</v>
      </c>
      <c r="S641">
        <v>3.263245</v>
      </c>
      <c r="T641">
        <v>-0.30721799999999999</v>
      </c>
      <c r="U641">
        <v>-1.596069E-2</v>
      </c>
      <c r="V641">
        <v>-5.5591670000000003E-2</v>
      </c>
      <c r="W641">
        <v>0.32502609999999998</v>
      </c>
      <c r="X641">
        <v>0.94406970000000001</v>
      </c>
      <c r="Y641">
        <v>-7.4253130000000004E-4</v>
      </c>
      <c r="Z641">
        <v>4.9155119999999997E-4</v>
      </c>
      <c r="AA641">
        <v>0.99999959999999999</v>
      </c>
      <c r="AB641">
        <v>34</v>
      </c>
      <c r="AC641">
        <v>0.56979999999998598</v>
      </c>
      <c r="AD641">
        <v>-6.9819000000000006E-2</v>
      </c>
      <c r="AE641">
        <v>-2.7999999999792601E-3</v>
      </c>
      <c r="AF641">
        <v>-4.1621392843566902E-4</v>
      </c>
      <c r="AG641">
        <v>-6.9819000000000006E-2</v>
      </c>
      <c r="AH641">
        <v>0.56137827760167802</v>
      </c>
      <c r="AI641">
        <v>97.089509212335301</v>
      </c>
      <c r="AJ641">
        <v>90.042479907142507</v>
      </c>
      <c r="AK641">
        <v>0.56570348819683003</v>
      </c>
      <c r="AL641">
        <v>71.032843722994997</v>
      </c>
      <c r="AM641">
        <v>93.369978114536806</v>
      </c>
      <c r="AN641">
        <v>0.99999999895634395</v>
      </c>
    </row>
    <row r="642" spans="1:40" x14ac:dyDescent="0.25">
      <c r="A642" t="str">
        <f>"20190304164834520"</f>
        <v>20190304164834520</v>
      </c>
      <c r="B642" t="str">
        <f>"1551689314506701"</f>
        <v>1551689314506701</v>
      </c>
      <c r="C642" t="s">
        <v>40</v>
      </c>
      <c r="D642">
        <v>4.7115989999999996</v>
      </c>
      <c r="E642">
        <v>0.53935829999999996</v>
      </c>
      <c r="F642" t="s">
        <v>41</v>
      </c>
      <c r="G642">
        <v>-344.27339999999998</v>
      </c>
      <c r="H642">
        <v>1.0303869999999999</v>
      </c>
      <c r="I642">
        <v>367.94450000000001</v>
      </c>
      <c r="J642">
        <v>-344.93290000000002</v>
      </c>
      <c r="K642">
        <v>1.1105989999999999</v>
      </c>
      <c r="L642">
        <v>367.94729999999998</v>
      </c>
      <c r="M642">
        <v>0.99988410000000005</v>
      </c>
      <c r="N642">
        <v>-1.4145410000000001E-2</v>
      </c>
      <c r="O642">
        <v>-5.6548719999999896E-3</v>
      </c>
      <c r="P642">
        <v>0.94890079999999999</v>
      </c>
      <c r="Q642">
        <v>0.3115696</v>
      </c>
      <c r="R642">
        <v>5.0120350000000001E-2</v>
      </c>
      <c r="S642">
        <v>3.262848</v>
      </c>
      <c r="T642">
        <v>-0.30574050000000003</v>
      </c>
      <c r="U642">
        <v>-1.44043E-2</v>
      </c>
      <c r="V642">
        <v>-5.5474170000000003E-2</v>
      </c>
      <c r="W642">
        <v>0.32495879999999999</v>
      </c>
      <c r="X642">
        <v>0.94409980000000004</v>
      </c>
      <c r="Y642">
        <v>-1.2168630000000001E-3</v>
      </c>
      <c r="Z642">
        <v>5.1438699999999896E-4</v>
      </c>
      <c r="AA642">
        <v>0.99999910000000003</v>
      </c>
      <c r="AB642">
        <v>34</v>
      </c>
      <c r="AC642">
        <v>0.65950000000003595</v>
      </c>
      <c r="AD642">
        <v>-8.02119999999997E-2</v>
      </c>
      <c r="AE642">
        <v>-2.7999999999792601E-3</v>
      </c>
      <c r="AF642">
        <v>-9.1625185470291096E-4</v>
      </c>
      <c r="AG642">
        <v>-8.02119999999997E-2</v>
      </c>
      <c r="AH642">
        <v>0.64989177138648102</v>
      </c>
      <c r="AI642">
        <v>97.036062288136094</v>
      </c>
      <c r="AJ642">
        <v>90.080778572331795</v>
      </c>
      <c r="AK642">
        <v>0.654823731226442</v>
      </c>
      <c r="AL642">
        <v>71.036921451284897</v>
      </c>
      <c r="AM642">
        <v>93.362764635671894</v>
      </c>
      <c r="AN642">
        <v>1.0000000187973299</v>
      </c>
    </row>
    <row r="643" spans="1:40" x14ac:dyDescent="0.25">
      <c r="A643" t="str">
        <f>"20190304164834533"</f>
        <v>20190304164834533</v>
      </c>
      <c r="B643" t="str">
        <f>"1551689314527197"</f>
        <v>1551689314527197</v>
      </c>
      <c r="C643" t="s">
        <v>40</v>
      </c>
      <c r="D643">
        <v>4.6964449999999998</v>
      </c>
      <c r="E643">
        <v>0.53925859999999903</v>
      </c>
      <c r="F643" t="s">
        <v>41</v>
      </c>
      <c r="G643">
        <v>-343.97570000000002</v>
      </c>
      <c r="H643">
        <v>1.0209349999999999</v>
      </c>
      <c r="I643">
        <v>367.94260000000003</v>
      </c>
      <c r="J643">
        <v>-344.73809999999997</v>
      </c>
      <c r="K643">
        <v>1.1105969999999901</v>
      </c>
      <c r="L643">
        <v>367.94619999999998</v>
      </c>
      <c r="M643">
        <v>0.99988390000000005</v>
      </c>
      <c r="N643">
        <v>-1.415686E-2</v>
      </c>
      <c r="O643">
        <v>-5.6549529999999999E-3</v>
      </c>
      <c r="P643">
        <v>0.948855</v>
      </c>
      <c r="Q643">
        <v>0.31171769999999999</v>
      </c>
      <c r="R643">
        <v>5.0064409999999997E-2</v>
      </c>
      <c r="S643">
        <v>3.2627869999999999</v>
      </c>
      <c r="T643">
        <v>-0.30569659999999999</v>
      </c>
      <c r="U643">
        <v>-1.556396E-2</v>
      </c>
      <c r="V643">
        <v>-5.5417859999999999E-2</v>
      </c>
      <c r="W643">
        <v>0.3251175</v>
      </c>
      <c r="X643">
        <v>0.94404849999999996</v>
      </c>
      <c r="Y643">
        <v>-8.6324169999999997E-4</v>
      </c>
      <c r="Z643">
        <v>4.9522339999999996E-4</v>
      </c>
      <c r="AA643">
        <v>0.99999950000000004</v>
      </c>
      <c r="AB643">
        <v>34</v>
      </c>
      <c r="AC643">
        <v>0.762399999999956</v>
      </c>
      <c r="AD643">
        <v>-8.9661999999999895E-2</v>
      </c>
      <c r="AE643">
        <v>-3.59999999994897E-3</v>
      </c>
      <c r="AF643">
        <v>-7.0211471151789299E-4</v>
      </c>
      <c r="AG643">
        <v>-8.9661999999999895E-2</v>
      </c>
      <c r="AH643">
        <v>0.75200744424232602</v>
      </c>
      <c r="AI643">
        <v>96.799286500687103</v>
      </c>
      <c r="AJ643">
        <v>90.053494414613695</v>
      </c>
      <c r="AK643">
        <v>0.75733411609734302</v>
      </c>
      <c r="AL643">
        <v>71.027307128240494</v>
      </c>
      <c r="AM643">
        <v>93.359541156592599</v>
      </c>
      <c r="AN643">
        <v>1.0000000491827301</v>
      </c>
    </row>
    <row r="644" spans="1:40" x14ac:dyDescent="0.25">
      <c r="A644" t="str">
        <f>"20190304164834543"</f>
        <v>20190304164834543</v>
      </c>
      <c r="B644" t="str">
        <f>"1551689314536957"</f>
        <v>1551689314536957</v>
      </c>
      <c r="C644" t="s">
        <v>40</v>
      </c>
      <c r="D644">
        <v>4.6560730000000001</v>
      </c>
      <c r="E644">
        <v>0.53920610000000002</v>
      </c>
      <c r="F644" t="s">
        <v>41</v>
      </c>
      <c r="G644">
        <v>-343.96390000000002</v>
      </c>
      <c r="H644">
        <v>1.0387109999999999</v>
      </c>
      <c r="I644">
        <v>367.9425</v>
      </c>
      <c r="J644">
        <v>-344.5625</v>
      </c>
      <c r="K644">
        <v>1.1105969999999901</v>
      </c>
      <c r="L644">
        <v>367.94510000000002</v>
      </c>
      <c r="M644">
        <v>0.99988370000000004</v>
      </c>
      <c r="N644">
        <v>-1.416621E-2</v>
      </c>
      <c r="O644">
        <v>-5.6548989999999997E-3</v>
      </c>
      <c r="P644">
        <v>0.94887719999999998</v>
      </c>
      <c r="Q644">
        <v>0.31168069999999998</v>
      </c>
      <c r="R644">
        <v>4.9875259999999998E-2</v>
      </c>
      <c r="S644">
        <v>3.2620239999999998</v>
      </c>
      <c r="T644">
        <v>-0.3029269</v>
      </c>
      <c r="U644">
        <v>-1.51062E-2</v>
      </c>
      <c r="V644">
        <v>-5.522846E-2</v>
      </c>
      <c r="W644">
        <v>0.32508920000000002</v>
      </c>
      <c r="X644">
        <v>0.9440693</v>
      </c>
      <c r="Y644">
        <v>-1.002157E-3</v>
      </c>
      <c r="Z644">
        <v>4.9758840000000001E-4</v>
      </c>
      <c r="AA644">
        <v>0.99999930000000004</v>
      </c>
      <c r="AB644">
        <v>34</v>
      </c>
      <c r="AC644">
        <v>0.59859999999997604</v>
      </c>
      <c r="AD644">
        <v>-7.1885999999999603E-2</v>
      </c>
      <c r="AE644">
        <v>-2.6000000000294598E-3</v>
      </c>
      <c r="AF644">
        <v>-7.7423811748536997E-4</v>
      </c>
      <c r="AG644">
        <v>-7.1885999999999603E-2</v>
      </c>
      <c r="AH644">
        <v>0.59009514108299999</v>
      </c>
      <c r="AI644">
        <v>96.945601635953594</v>
      </c>
      <c r="AJ644">
        <v>90.075175252135097</v>
      </c>
      <c r="AK644">
        <v>0.59445813306777795</v>
      </c>
      <c r="AL644">
        <v>71.029020907653802</v>
      </c>
      <c r="AM644">
        <v>93.348011917282307</v>
      </c>
      <c r="AN644">
        <v>1.00000000697655</v>
      </c>
    </row>
    <row r="645" spans="1:40" x14ac:dyDescent="0.25">
      <c r="A645" t="str">
        <f>"20190304164834554"</f>
        <v>20190304164834554</v>
      </c>
      <c r="B645" t="str">
        <f>"1551689314546717"</f>
        <v>1551689314546717</v>
      </c>
      <c r="C645" t="s">
        <v>40</v>
      </c>
      <c r="D645">
        <v>4.6707660000000004</v>
      </c>
      <c r="E645">
        <v>0.5391802</v>
      </c>
      <c r="F645" t="s">
        <v>41</v>
      </c>
      <c r="G645">
        <v>-343.67039999999997</v>
      </c>
      <c r="H645">
        <v>1.027714</v>
      </c>
      <c r="I645">
        <v>367.94080000000002</v>
      </c>
      <c r="J645">
        <v>-344.39800000000002</v>
      </c>
      <c r="K645">
        <v>1.110598</v>
      </c>
      <c r="L645">
        <v>367.94420000000002</v>
      </c>
      <c r="M645">
        <v>0.99988359999999998</v>
      </c>
      <c r="N645">
        <v>-1.417468E-2</v>
      </c>
      <c r="O645">
        <v>-5.6547209999999997E-3</v>
      </c>
      <c r="P645">
        <v>0.94895739999999995</v>
      </c>
      <c r="Q645">
        <v>0.3114247</v>
      </c>
      <c r="R645">
        <v>4.9946169999999998E-2</v>
      </c>
      <c r="S645">
        <v>3.2620239999999998</v>
      </c>
      <c r="T645">
        <v>-0.30316850000000001</v>
      </c>
      <c r="U645">
        <v>-1.528931E-2</v>
      </c>
      <c r="V645">
        <v>-5.5300050000000003E-2</v>
      </c>
      <c r="W645">
        <v>0.32484249999999998</v>
      </c>
      <c r="X645">
        <v>0.94415000000000004</v>
      </c>
      <c r="Y645">
        <v>-9.4608949999999995E-4</v>
      </c>
      <c r="Z645">
        <v>4.9498589999999996E-4</v>
      </c>
      <c r="AA645">
        <v>0.99999939999999998</v>
      </c>
      <c r="AB645">
        <v>34</v>
      </c>
      <c r="AC645">
        <v>0.72760000000005198</v>
      </c>
      <c r="AD645">
        <v>-8.2883999999999902E-2</v>
      </c>
      <c r="AE645">
        <v>-3.3999999999991802E-3</v>
      </c>
      <c r="AF645">
        <v>-7.0568544262038105E-4</v>
      </c>
      <c r="AG645">
        <v>-8.2883999999999902E-2</v>
      </c>
      <c r="AH645">
        <v>0.71828697849725698</v>
      </c>
      <c r="AI645">
        <v>96.582314103842606</v>
      </c>
      <c r="AJ645">
        <v>90.056290571495097</v>
      </c>
      <c r="AK645">
        <v>0.72305355190792198</v>
      </c>
      <c r="AL645">
        <v>71.043966508518096</v>
      </c>
      <c r="AM645">
        <v>93.352056009219794</v>
      </c>
      <c r="AN645">
        <v>0.99999998391812595</v>
      </c>
    </row>
    <row r="646" spans="1:40" x14ac:dyDescent="0.25">
      <c r="A646" t="str">
        <f>"20190304164834565"</f>
        <v>20190304164834565</v>
      </c>
      <c r="B646" t="str">
        <f>"1551689314556477"</f>
        <v>1551689314556477</v>
      </c>
      <c r="C646" t="s">
        <v>40</v>
      </c>
      <c r="D646">
        <v>4.6019259999999997</v>
      </c>
      <c r="E646">
        <v>0.53916629999999999</v>
      </c>
      <c r="F646" t="s">
        <v>41</v>
      </c>
      <c r="G646">
        <v>-343.64960000000002</v>
      </c>
      <c r="H646">
        <v>1.0408389999999901</v>
      </c>
      <c r="I646">
        <v>367.94069999999999</v>
      </c>
      <c r="J646">
        <v>-344.24930000000001</v>
      </c>
      <c r="K646">
        <v>1.110595</v>
      </c>
      <c r="L646">
        <v>367.9434</v>
      </c>
      <c r="M646">
        <v>0.99988350000000004</v>
      </c>
      <c r="N646">
        <v>-1.4179280000000001E-2</v>
      </c>
      <c r="O646">
        <v>-5.6546340000000004E-3</v>
      </c>
      <c r="P646">
        <v>0.94892730000000003</v>
      </c>
      <c r="Q646">
        <v>0.31151499999999999</v>
      </c>
      <c r="R646">
        <v>4.9953650000000002E-2</v>
      </c>
      <c r="S646">
        <v>3.2619929999999999</v>
      </c>
      <c r="T646">
        <v>-0.3042666</v>
      </c>
      <c r="U646">
        <v>-1.446533E-2</v>
      </c>
      <c r="V646">
        <v>-5.5307160000000001E-2</v>
      </c>
      <c r="W646">
        <v>0.32493670000000002</v>
      </c>
      <c r="X646">
        <v>0.94411719999999999</v>
      </c>
      <c r="Y646">
        <v>-1.1971169999999999E-3</v>
      </c>
      <c r="Z646">
        <v>5.1047790000000005E-4</v>
      </c>
      <c r="AA646">
        <v>0.99999919999999998</v>
      </c>
      <c r="AB646">
        <v>34</v>
      </c>
      <c r="AC646">
        <v>0.59969999999998402</v>
      </c>
      <c r="AD646">
        <v>-6.9756000000000096E-2</v>
      </c>
      <c r="AE646">
        <v>-2.7000000000043599E-3</v>
      </c>
      <c r="AF646">
        <v>-6.8223763036581904E-4</v>
      </c>
      <c r="AG646">
        <v>-6.9756000000000096E-2</v>
      </c>
      <c r="AH646">
        <v>0.59170018889865905</v>
      </c>
      <c r="AI646">
        <v>96.723605852949106</v>
      </c>
      <c r="AJ646">
        <v>90.066062712596803</v>
      </c>
      <c r="AK646">
        <v>0.59579818607217405</v>
      </c>
      <c r="AL646">
        <v>71.038260255645795</v>
      </c>
      <c r="AM646">
        <v>93.352602209074803</v>
      </c>
      <c r="AN646">
        <v>1.0000000141449901</v>
      </c>
    </row>
    <row r="647" spans="1:40" x14ac:dyDescent="0.25">
      <c r="A647" t="str">
        <f>"20190304164834574"</f>
        <v>20190304164834574</v>
      </c>
      <c r="B647" t="str">
        <f>"1551689314567213"</f>
        <v>1551689314567213</v>
      </c>
      <c r="C647" t="s">
        <v>40</v>
      </c>
      <c r="D647">
        <v>4.6228559999999996</v>
      </c>
      <c r="E647">
        <v>0.53916500000000001</v>
      </c>
      <c r="F647" t="s">
        <v>41</v>
      </c>
      <c r="G647">
        <v>-343.3682</v>
      </c>
      <c r="H647">
        <v>1.0284990000000001</v>
      </c>
      <c r="I647">
        <v>367.93939999999998</v>
      </c>
      <c r="J647">
        <v>-344.10520000000002</v>
      </c>
      <c r="K647">
        <v>1.1105940000000001</v>
      </c>
      <c r="L647">
        <v>367.94260000000003</v>
      </c>
      <c r="M647">
        <v>0.99988359999999998</v>
      </c>
      <c r="N647">
        <v>-1.4183670000000001E-2</v>
      </c>
      <c r="O647">
        <v>-5.6547840000000004E-3</v>
      </c>
      <c r="P647">
        <v>0.9489843</v>
      </c>
      <c r="Q647">
        <v>0.31137199999999998</v>
      </c>
      <c r="R647">
        <v>4.9766699999999997E-2</v>
      </c>
      <c r="S647">
        <v>3.2620239999999998</v>
      </c>
      <c r="T647">
        <v>-0.30406699999999998</v>
      </c>
      <c r="U647">
        <v>-1.428223E-2</v>
      </c>
      <c r="V647">
        <v>-5.5120839999999997E-2</v>
      </c>
      <c r="W647">
        <v>0.3247988</v>
      </c>
      <c r="X647">
        <v>0.94417549999999995</v>
      </c>
      <c r="Y647">
        <v>-1.2531949999999999E-3</v>
      </c>
      <c r="Z647">
        <v>5.1308850000000004E-4</v>
      </c>
      <c r="AA647">
        <v>0.99999910000000003</v>
      </c>
      <c r="AB647">
        <v>34</v>
      </c>
      <c r="AC647">
        <v>0.73700000000002297</v>
      </c>
      <c r="AD647">
        <v>-8.2095000000000001E-2</v>
      </c>
      <c r="AE647">
        <v>-3.2000000000493799E-3</v>
      </c>
      <c r="AF647">
        <v>-9.5618150434354703E-4</v>
      </c>
      <c r="AG647">
        <v>-8.2095000000000001E-2</v>
      </c>
      <c r="AH647">
        <v>0.72797385162086403</v>
      </c>
      <c r="AI647">
        <v>96.434165215368395</v>
      </c>
      <c r="AJ647">
        <v>90.075257006854798</v>
      </c>
      <c r="AK647">
        <v>0.73258885601118995</v>
      </c>
      <c r="AL647">
        <v>71.046613635140503</v>
      </c>
      <c r="AM647">
        <v>93.341127670684699</v>
      </c>
      <c r="AN647">
        <v>0.99999997114199701</v>
      </c>
    </row>
    <row r="648" spans="1:40" x14ac:dyDescent="0.25">
      <c r="A648" t="str">
        <f>"20190304164834584"</f>
        <v>20190304164834584</v>
      </c>
      <c r="B648" t="str">
        <f>"1551689314576973"</f>
        <v>1551689314576973</v>
      </c>
      <c r="C648" t="s">
        <v>40</v>
      </c>
      <c r="D648">
        <v>4.6178179999999998</v>
      </c>
      <c r="E648">
        <v>0.53907609999999995</v>
      </c>
      <c r="F648" t="s">
        <v>41</v>
      </c>
      <c r="G648">
        <v>-343.35419999999999</v>
      </c>
      <c r="H648">
        <v>1.04044</v>
      </c>
      <c r="I648">
        <v>367.93920000000003</v>
      </c>
      <c r="J648">
        <v>-343.94490000000002</v>
      </c>
      <c r="K648">
        <v>1.11059</v>
      </c>
      <c r="L648">
        <v>367.94159999999999</v>
      </c>
      <c r="M648">
        <v>0.99988359999999998</v>
      </c>
      <c r="N648">
        <v>-1.4185929999999999E-2</v>
      </c>
      <c r="O648">
        <v>-5.6547999999999998E-3</v>
      </c>
      <c r="P648">
        <v>0.94901880000000005</v>
      </c>
      <c r="Q648">
        <v>0.3112394</v>
      </c>
      <c r="R648">
        <v>4.9936010000000003E-2</v>
      </c>
      <c r="S648">
        <v>3.2620849999999999</v>
      </c>
      <c r="T648">
        <v>-0.30489670000000002</v>
      </c>
      <c r="U648">
        <v>-1.4251710000000001E-2</v>
      </c>
      <c r="V648">
        <v>-5.5290489999999998E-2</v>
      </c>
      <c r="W648">
        <v>0.32466840000000002</v>
      </c>
      <c r="X648">
        <v>0.94421049999999995</v>
      </c>
      <c r="Y648">
        <v>-1.2624579999999999E-3</v>
      </c>
      <c r="Z648">
        <v>5.1515359999999995E-4</v>
      </c>
      <c r="AA648">
        <v>0.99999899999999997</v>
      </c>
      <c r="AB648">
        <v>34</v>
      </c>
      <c r="AC648">
        <v>0.59070000000002598</v>
      </c>
      <c r="AD648">
        <v>-7.0149999999999907E-2</v>
      </c>
      <c r="AE648">
        <v>-2.3999999999659801E-3</v>
      </c>
      <c r="AF648">
        <v>-9.2758239514593901E-4</v>
      </c>
      <c r="AG648">
        <v>-7.0149999999999907E-2</v>
      </c>
      <c r="AH648">
        <v>0.58248922925976898</v>
      </c>
      <c r="AI648">
        <v>96.867130708475997</v>
      </c>
      <c r="AJ648">
        <v>90.091240333380199</v>
      </c>
      <c r="AK648">
        <v>0.58669888794230596</v>
      </c>
      <c r="AL648">
        <v>71.054514433482396</v>
      </c>
      <c r="AM648">
        <v>93.351263587897904</v>
      </c>
      <c r="AN648">
        <v>1.0000000382766201</v>
      </c>
    </row>
    <row r="649" spans="1:40" x14ac:dyDescent="0.25">
      <c r="A649" t="str">
        <f>"20190304164834595"</f>
        <v>20190304164834595</v>
      </c>
      <c r="B649" t="str">
        <f>"1551689314586733"</f>
        <v>1551689314586733</v>
      </c>
      <c r="C649" t="s">
        <v>40</v>
      </c>
      <c r="D649">
        <v>4.6007369999999996</v>
      </c>
      <c r="E649">
        <v>0.53900969999999904</v>
      </c>
      <c r="F649" t="s">
        <v>41</v>
      </c>
      <c r="G649">
        <v>-343.0668</v>
      </c>
      <c r="H649">
        <v>1.028535</v>
      </c>
      <c r="I649">
        <v>367.93790000000001</v>
      </c>
      <c r="J649">
        <v>-343.78590000000003</v>
      </c>
      <c r="K649">
        <v>1.110587</v>
      </c>
      <c r="L649">
        <v>367.94069999999999</v>
      </c>
      <c r="M649">
        <v>0.99988350000000004</v>
      </c>
      <c r="N649">
        <v>-1.418791E-2</v>
      </c>
      <c r="O649">
        <v>-5.6546950000000004E-3</v>
      </c>
      <c r="P649">
        <v>0.94900969999999996</v>
      </c>
      <c r="Q649">
        <v>0.31125999999999998</v>
      </c>
      <c r="R649">
        <v>4.998412E-2</v>
      </c>
      <c r="S649">
        <v>3.261841</v>
      </c>
      <c r="T649">
        <v>-0.30491459999999998</v>
      </c>
      <c r="U649">
        <v>-1.345825E-2</v>
      </c>
      <c r="V649">
        <v>-5.5338199999999997E-2</v>
      </c>
      <c r="W649">
        <v>0.3246909</v>
      </c>
      <c r="X649">
        <v>0.94419989999999998</v>
      </c>
      <c r="Y649">
        <v>-1.5040559999999999E-3</v>
      </c>
      <c r="Z649">
        <v>5.2819960000000002E-4</v>
      </c>
      <c r="AA649">
        <v>0.99999870000000002</v>
      </c>
      <c r="AB649">
        <v>34</v>
      </c>
      <c r="AC649">
        <v>0.71910000000002505</v>
      </c>
      <c r="AD649">
        <v>-8.2052E-2</v>
      </c>
      <c r="AE649">
        <v>-2.7999999999792601E-3</v>
      </c>
      <c r="AF649">
        <v>-1.2504643176307201E-3</v>
      </c>
      <c r="AG649">
        <v>-8.2052E-2</v>
      </c>
      <c r="AH649">
        <v>0.70986230715232801</v>
      </c>
      <c r="AI649">
        <v>96.593468921332303</v>
      </c>
      <c r="AJ649">
        <v>90.100929790188701</v>
      </c>
      <c r="AK649">
        <v>0.71458980504946801</v>
      </c>
      <c r="AL649">
        <v>71.0531501733997</v>
      </c>
      <c r="AM649">
        <v>93.354186352976797</v>
      </c>
      <c r="AN649">
        <v>0.99999997404102903</v>
      </c>
    </row>
    <row r="650" spans="1:40" x14ac:dyDescent="0.25">
      <c r="A650" t="str">
        <f>"20190304164834606"</f>
        <v>20190304164834606</v>
      </c>
      <c r="B650" t="str">
        <f>"1551689314597470"</f>
        <v>1551689314597470</v>
      </c>
      <c r="C650" t="s">
        <v>40</v>
      </c>
      <c r="D650">
        <v>4.5965420000000003</v>
      </c>
      <c r="E650">
        <v>0.53897530000000005</v>
      </c>
      <c r="F650" t="s">
        <v>41</v>
      </c>
      <c r="G650">
        <v>-342.77170000000001</v>
      </c>
      <c r="H650">
        <v>1.0158670000000001</v>
      </c>
      <c r="I650">
        <v>367.93669999999997</v>
      </c>
      <c r="J650">
        <v>-343.61759999999998</v>
      </c>
      <c r="K650">
        <v>1.110584</v>
      </c>
      <c r="L650">
        <v>367.93979999999999</v>
      </c>
      <c r="M650">
        <v>0.99988339999999998</v>
      </c>
      <c r="N650">
        <v>-1.4188610000000001E-2</v>
      </c>
      <c r="O650">
        <v>-5.6545800000000002E-3</v>
      </c>
      <c r="P650">
        <v>0.9489708</v>
      </c>
      <c r="Q650">
        <v>0.31141200000000002</v>
      </c>
      <c r="R650">
        <v>4.9770429999999997E-2</v>
      </c>
      <c r="S650">
        <v>3.261841</v>
      </c>
      <c r="T650">
        <v>-0.30474309999999899</v>
      </c>
      <c r="U650">
        <v>-1.266479E-2</v>
      </c>
      <c r="V650">
        <v>-5.5124010000000001E-2</v>
      </c>
      <c r="W650">
        <v>0.32484289999999999</v>
      </c>
      <c r="X650">
        <v>0.94416020000000001</v>
      </c>
      <c r="Y650">
        <v>-1.746009E-3</v>
      </c>
      <c r="Z650">
        <v>5.4085129999999996E-4</v>
      </c>
      <c r="AA650">
        <v>0.99999830000000001</v>
      </c>
      <c r="AB650">
        <v>34</v>
      </c>
      <c r="AC650">
        <v>0.84589999999997101</v>
      </c>
      <c r="AD650">
        <v>-9.4716999999999898E-2</v>
      </c>
      <c r="AE650">
        <v>-3.1000000000176399E-3</v>
      </c>
      <c r="AF650">
        <v>-1.6628915324776599E-3</v>
      </c>
      <c r="AG650">
        <v>-9.4716999999999898E-2</v>
      </c>
      <c r="AH650">
        <v>0.83542977869149504</v>
      </c>
      <c r="AI650">
        <v>96.468286510548396</v>
      </c>
      <c r="AJ650">
        <v>90.114044942139401</v>
      </c>
      <c r="AK650">
        <v>0.84078355741639599</v>
      </c>
      <c r="AL650">
        <v>71.0439430788186</v>
      </c>
      <c r="AM650">
        <v>93.341373406616</v>
      </c>
      <c r="AN650">
        <v>1.00000002471146</v>
      </c>
    </row>
    <row r="651" spans="1:40" x14ac:dyDescent="0.25">
      <c r="A651" t="str">
        <f>"20190304164834618"</f>
        <v>20190304164834618</v>
      </c>
      <c r="B651" t="str">
        <f>"1551689314607229"</f>
        <v>1551689314607229</v>
      </c>
      <c r="C651" t="s">
        <v>40</v>
      </c>
      <c r="D651">
        <v>4.5945519999999904</v>
      </c>
      <c r="E651">
        <v>0.53896480000000002</v>
      </c>
      <c r="F651" t="s">
        <v>41</v>
      </c>
      <c r="G651">
        <v>-342.76389999999998</v>
      </c>
      <c r="H651">
        <v>1.0310159999999999</v>
      </c>
      <c r="I651">
        <v>367.93639999999999</v>
      </c>
      <c r="J651">
        <v>-343.44549999999998</v>
      </c>
      <c r="K651">
        <v>1.110584</v>
      </c>
      <c r="L651">
        <v>367.93880000000001</v>
      </c>
      <c r="M651">
        <v>0.99988339999999998</v>
      </c>
      <c r="N651">
        <v>-1.4189139999999999E-2</v>
      </c>
      <c r="O651">
        <v>-5.6545839999999998E-3</v>
      </c>
      <c r="P651">
        <v>0.94908870000000001</v>
      </c>
      <c r="Q651">
        <v>0.31107230000000002</v>
      </c>
      <c r="R651">
        <v>4.9647879999999998E-2</v>
      </c>
      <c r="S651">
        <v>3.2618100000000001</v>
      </c>
      <c r="T651">
        <v>-0.3041779</v>
      </c>
      <c r="U651">
        <v>-1.260376E-2</v>
      </c>
      <c r="V651">
        <v>-5.5001979999999999E-2</v>
      </c>
      <c r="W651">
        <v>0.32450559999999901</v>
      </c>
      <c r="X651">
        <v>0.94428319999999999</v>
      </c>
      <c r="Y651">
        <v>-1.7647019999999999E-3</v>
      </c>
      <c r="Z651">
        <v>5.4073299999999995E-4</v>
      </c>
      <c r="AA651">
        <v>0.99999830000000001</v>
      </c>
      <c r="AB651">
        <v>34</v>
      </c>
      <c r="AC651">
        <v>0.68160000000000298</v>
      </c>
      <c r="AD651">
        <v>-7.9568E-2</v>
      </c>
      <c r="AE651">
        <v>-2.4000000000228201E-3</v>
      </c>
      <c r="AF651">
        <v>-1.43503487812894E-3</v>
      </c>
      <c r="AG651">
        <v>-7.9568E-2</v>
      </c>
      <c r="AH651">
        <v>0.67243909086707199</v>
      </c>
      <c r="AI651">
        <v>96.748269641761098</v>
      </c>
      <c r="AJ651">
        <v>90.122273256073697</v>
      </c>
      <c r="AK651">
        <v>0.67713178693311604</v>
      </c>
      <c r="AL651">
        <v>71.064374051095299</v>
      </c>
      <c r="AM651">
        <v>93.333559894406406</v>
      </c>
      <c r="AN651">
        <v>0.99999993201875703</v>
      </c>
    </row>
    <row r="652" spans="1:40" x14ac:dyDescent="0.25">
      <c r="A652" t="str">
        <f>"20190304164834628"</f>
        <v>20190304164834628</v>
      </c>
      <c r="B652" t="str">
        <f>"1551689314616989"</f>
        <v>1551689314616989</v>
      </c>
      <c r="C652" t="s">
        <v>40</v>
      </c>
      <c r="D652">
        <v>4.5950389999999999</v>
      </c>
      <c r="E652">
        <v>0.53895680000000001</v>
      </c>
      <c r="F652" t="s">
        <v>41</v>
      </c>
      <c r="G652">
        <v>-342.4692</v>
      </c>
      <c r="H652">
        <v>1.019139</v>
      </c>
      <c r="I652">
        <v>367.935</v>
      </c>
      <c r="J652">
        <v>-343.28019999999998</v>
      </c>
      <c r="K652">
        <v>1.110581</v>
      </c>
      <c r="L652">
        <v>367.93790000000001</v>
      </c>
      <c r="M652">
        <v>0.99988339999999998</v>
      </c>
      <c r="N652">
        <v>-1.4189169999999999E-2</v>
      </c>
      <c r="O652">
        <v>-5.6543449999999999E-3</v>
      </c>
      <c r="P652">
        <v>0.94908190000000003</v>
      </c>
      <c r="Q652">
        <v>0.31114380000000003</v>
      </c>
      <c r="R652">
        <v>4.9324890000000003E-2</v>
      </c>
      <c r="S652">
        <v>3.2617799999999999</v>
      </c>
      <c r="T652">
        <v>-0.30554779999999998</v>
      </c>
      <c r="U652">
        <v>-1.269531E-2</v>
      </c>
      <c r="V652">
        <v>-5.4679070000000003E-2</v>
      </c>
      <c r="W652">
        <v>0.3245769</v>
      </c>
      <c r="X652">
        <v>0.94427749999999999</v>
      </c>
      <c r="Y652">
        <v>-1.7362409999999999E-3</v>
      </c>
      <c r="Z652">
        <v>5.4191639999999995E-4</v>
      </c>
      <c r="AA652">
        <v>0.99999830000000001</v>
      </c>
      <c r="AB652">
        <v>34</v>
      </c>
      <c r="AC652">
        <v>0.81099999999997796</v>
      </c>
      <c r="AD652">
        <v>-9.1441999999999996E-2</v>
      </c>
      <c r="AE652">
        <v>-2.9000000000110001E-3</v>
      </c>
      <c r="AF652">
        <v>-1.66501444611517E-3</v>
      </c>
      <c r="AG652">
        <v>-9.1441999999999996E-2</v>
      </c>
      <c r="AH652">
        <v>0.80082266437510796</v>
      </c>
      <c r="AI652">
        <v>96.514096147928498</v>
      </c>
      <c r="AJ652">
        <v>90.119125203834599</v>
      </c>
      <c r="AK652">
        <v>0.80602813314049604</v>
      </c>
      <c r="AL652">
        <v>71.060056042852494</v>
      </c>
      <c r="AM652">
        <v>93.314052675449503</v>
      </c>
      <c r="AN652">
        <v>0.99999998085796205</v>
      </c>
    </row>
    <row r="653" spans="1:40" x14ac:dyDescent="0.25">
      <c r="A653" t="str">
        <f>"20190304164834641"</f>
        <v>20190304164834641</v>
      </c>
      <c r="B653" t="str">
        <f>"1551689314637485"</f>
        <v>1551689314637485</v>
      </c>
      <c r="C653" t="s">
        <v>40</v>
      </c>
      <c r="D653">
        <v>4.5562399999999998</v>
      </c>
      <c r="E653">
        <v>0.53892580000000001</v>
      </c>
      <c r="F653" t="s">
        <v>41</v>
      </c>
      <c r="G653">
        <v>-342.46069999999997</v>
      </c>
      <c r="H653">
        <v>1.033892</v>
      </c>
      <c r="I653">
        <v>367.93439999999998</v>
      </c>
      <c r="J653">
        <v>-343.10849999999999</v>
      </c>
      <c r="K653">
        <v>1.110581</v>
      </c>
      <c r="L653">
        <v>367.93689999999998</v>
      </c>
      <c r="M653">
        <v>0.99988350000000004</v>
      </c>
      <c r="N653">
        <v>-1.4188950000000001E-2</v>
      </c>
      <c r="O653">
        <v>-5.6545819999999896E-3</v>
      </c>
      <c r="P653">
        <v>0.94915850000000002</v>
      </c>
      <c r="Q653">
        <v>0.3109131</v>
      </c>
      <c r="R653">
        <v>4.9309550000000001E-2</v>
      </c>
      <c r="S653">
        <v>3.2617189999999998</v>
      </c>
      <c r="T653">
        <v>-0.30529020000000001</v>
      </c>
      <c r="U653">
        <v>-1.3427730000000001E-2</v>
      </c>
      <c r="V653">
        <v>-5.4664259999999999E-2</v>
      </c>
      <c r="W653">
        <v>0.32434730000000001</v>
      </c>
      <c r="X653">
        <v>0.94435729999999996</v>
      </c>
      <c r="Y653">
        <v>-1.5130300000000001E-3</v>
      </c>
      <c r="Z653">
        <v>5.2942419999999998E-4</v>
      </c>
      <c r="AA653">
        <v>0.99999870000000002</v>
      </c>
      <c r="AB653">
        <v>34</v>
      </c>
      <c r="AC653">
        <v>0.64780000000001703</v>
      </c>
      <c r="AD653">
        <v>-7.6688999999999993E-2</v>
      </c>
      <c r="AE653">
        <v>-2.4999999999977202E-3</v>
      </c>
      <c r="AF653">
        <v>-1.14736663234032E-3</v>
      </c>
      <c r="AG653">
        <v>-7.6688999999999993E-2</v>
      </c>
      <c r="AH653">
        <v>0.63885060361507395</v>
      </c>
      <c r="AI653">
        <v>96.845143201489194</v>
      </c>
      <c r="AJ653">
        <v>90.1029022975532</v>
      </c>
      <c r="AK653">
        <v>0.64343811894426495</v>
      </c>
      <c r="AL653">
        <v>71.073964558489394</v>
      </c>
      <c r="AM653">
        <v>93.312877709138505</v>
      </c>
      <c r="AN653">
        <v>1.00000003120096</v>
      </c>
    </row>
    <row r="654" spans="1:40" x14ac:dyDescent="0.25">
      <c r="A654" t="str">
        <f>"20190304164834651"</f>
        <v>20190304164834651</v>
      </c>
      <c r="B654" t="str">
        <f>"1551689314647246"</f>
        <v>1551689314647246</v>
      </c>
      <c r="C654" t="s">
        <v>40</v>
      </c>
      <c r="D654">
        <v>4.5675600000000003</v>
      </c>
      <c r="E654">
        <v>0.5389292</v>
      </c>
      <c r="F654" t="s">
        <v>41</v>
      </c>
      <c r="G654">
        <v>-342.1671</v>
      </c>
      <c r="H654">
        <v>1.022438</v>
      </c>
      <c r="I654">
        <v>367.93290000000002</v>
      </c>
      <c r="J654">
        <v>-342.94029999999998</v>
      </c>
      <c r="K654">
        <v>1.110582</v>
      </c>
      <c r="L654">
        <v>367.9359</v>
      </c>
      <c r="M654">
        <v>0.99988339999999998</v>
      </c>
      <c r="N654">
        <v>-1.418847E-2</v>
      </c>
      <c r="O654">
        <v>-5.6543399999999999E-3</v>
      </c>
      <c r="P654">
        <v>0.94914089999999995</v>
      </c>
      <c r="Q654">
        <v>0.31099549999999998</v>
      </c>
      <c r="R654">
        <v>4.9126599999999999E-2</v>
      </c>
      <c r="S654">
        <v>3.261444</v>
      </c>
      <c r="T654">
        <v>-0.30556299999999997</v>
      </c>
      <c r="U654">
        <v>-1.318359E-2</v>
      </c>
      <c r="V654">
        <v>-5.4480720000000003E-2</v>
      </c>
      <c r="W654">
        <v>0.32442890000000002</v>
      </c>
      <c r="X654">
        <v>0.94433979999999995</v>
      </c>
      <c r="Y654">
        <v>-1.58687E-3</v>
      </c>
      <c r="Z654">
        <v>5.3396740000000002E-4</v>
      </c>
      <c r="AA654">
        <v>0.99999859999999896</v>
      </c>
      <c r="AB654">
        <v>34</v>
      </c>
      <c r="AC654">
        <v>0.77319999999997402</v>
      </c>
      <c r="AD654">
        <v>-8.8144E-2</v>
      </c>
      <c r="AE654">
        <v>-2.9999999999858998E-3</v>
      </c>
      <c r="AF654">
        <v>-1.3548169544749199E-3</v>
      </c>
      <c r="AG654">
        <v>-8.8144E-2</v>
      </c>
      <c r="AH654">
        <v>0.76328527587789696</v>
      </c>
      <c r="AI654">
        <v>96.587314037290099</v>
      </c>
      <c r="AJ654">
        <v>90.101698820135198</v>
      </c>
      <c r="AK654">
        <v>0.76835903888545398</v>
      </c>
      <c r="AL654">
        <v>71.069020526639505</v>
      </c>
      <c r="AM654">
        <v>93.301840136825803</v>
      </c>
      <c r="AN654">
        <v>0.99999995893548299</v>
      </c>
    </row>
    <row r="655" spans="1:40" x14ac:dyDescent="0.25">
      <c r="A655" t="str">
        <f>"20190304164834664"</f>
        <v>20190304164834664</v>
      </c>
      <c r="B655" t="str">
        <f>"1551689314657005"</f>
        <v>1551689314657005</v>
      </c>
      <c r="C655" t="s">
        <v>40</v>
      </c>
      <c r="D655">
        <v>4.5829250000000004</v>
      </c>
      <c r="E655">
        <v>0.53892640000000003</v>
      </c>
      <c r="F655" t="s">
        <v>41</v>
      </c>
      <c r="G655">
        <v>-342.15719999999999</v>
      </c>
      <c r="H655">
        <v>1.0373889999999999</v>
      </c>
      <c r="I655">
        <v>367.9323</v>
      </c>
      <c r="J655">
        <v>-342.7559</v>
      </c>
      <c r="K655">
        <v>1.110581</v>
      </c>
      <c r="L655">
        <v>367.93490000000003</v>
      </c>
      <c r="M655">
        <v>0.99988350000000004</v>
      </c>
      <c r="N655">
        <v>-1.418761E-2</v>
      </c>
      <c r="O655">
        <v>-5.6545730000000004E-3</v>
      </c>
      <c r="P655">
        <v>0.9491792</v>
      </c>
      <c r="Q655">
        <v>0.31090630000000002</v>
      </c>
      <c r="R655">
        <v>4.8953869999999997E-2</v>
      </c>
      <c r="S655">
        <v>3.261444</v>
      </c>
      <c r="T655">
        <v>-0.305066</v>
      </c>
      <c r="U655">
        <v>-1.4190670000000001E-2</v>
      </c>
      <c r="V655">
        <v>-5.4308660000000002E-2</v>
      </c>
      <c r="W655">
        <v>0.32433959999999901</v>
      </c>
      <c r="X655">
        <v>0.94438049999999996</v>
      </c>
      <c r="Y655">
        <v>-1.2799599999999999E-3</v>
      </c>
      <c r="Z655">
        <v>5.1650749999999999E-4</v>
      </c>
      <c r="AA655">
        <v>0.99999899999999997</v>
      </c>
      <c r="AB655">
        <v>34</v>
      </c>
      <c r="AC655">
        <v>0.598700000000007</v>
      </c>
      <c r="AD655">
        <v>-7.3192000000000104E-2</v>
      </c>
      <c r="AE655">
        <v>-2.6000000000294598E-3</v>
      </c>
      <c r="AF655">
        <v>-7.7420413083589303E-4</v>
      </c>
      <c r="AG655">
        <v>-7.3192000000000104E-2</v>
      </c>
      <c r="AH655">
        <v>0.58988914320671804</v>
      </c>
      <c r="AI655">
        <v>97.072965080257404</v>
      </c>
      <c r="AJ655">
        <v>90.075198203288593</v>
      </c>
      <c r="AK655">
        <v>0.59441304623064295</v>
      </c>
      <c r="AL655">
        <v>71.074431666969502</v>
      </c>
      <c r="AM655">
        <v>93.291293750102</v>
      </c>
      <c r="AN655">
        <v>1.0000000677297001</v>
      </c>
    </row>
    <row r="656" spans="1:40" x14ac:dyDescent="0.25">
      <c r="A656" t="str">
        <f>"20190304164834674"</f>
        <v>20190304164834674</v>
      </c>
      <c r="B656" t="str">
        <f>"1551689314666765"</f>
        <v>1551689314666765</v>
      </c>
      <c r="C656" t="s">
        <v>40</v>
      </c>
      <c r="D656">
        <v>4.5754650000000003</v>
      </c>
      <c r="E656">
        <v>0.53887879999999999</v>
      </c>
      <c r="F656" t="s">
        <v>41</v>
      </c>
      <c r="G656">
        <v>-341.86450000000002</v>
      </c>
      <c r="H656">
        <v>1.0272049999999999</v>
      </c>
      <c r="I656">
        <v>367.93049999999999</v>
      </c>
      <c r="J656">
        <v>-342.59289999999999</v>
      </c>
      <c r="K656">
        <v>1.1105769999999999</v>
      </c>
      <c r="L656">
        <v>367.93400000000003</v>
      </c>
      <c r="M656">
        <v>0.99988339999999998</v>
      </c>
      <c r="N656">
        <v>-1.418673E-2</v>
      </c>
      <c r="O656">
        <v>-5.6543280000000001E-3</v>
      </c>
      <c r="P656">
        <v>0.9493085</v>
      </c>
      <c r="Q656">
        <v>0.31052869999999999</v>
      </c>
      <c r="R656">
        <v>4.884223E-2</v>
      </c>
      <c r="S656">
        <v>3.2613829999999999</v>
      </c>
      <c r="T656">
        <v>-0.30520960000000003</v>
      </c>
      <c r="U656">
        <v>-1.556396E-2</v>
      </c>
      <c r="V656">
        <v>-5.4197639999999998E-2</v>
      </c>
      <c r="W656">
        <v>0.32396249999999999</v>
      </c>
      <c r="X656">
        <v>0.94451620000000003</v>
      </c>
      <c r="Y656">
        <v>-8.6065100000000004E-4</v>
      </c>
      <c r="Z656">
        <v>4.9421939999999998E-4</v>
      </c>
      <c r="AA656">
        <v>0.99999950000000004</v>
      </c>
      <c r="AB656">
        <v>34</v>
      </c>
      <c r="AC656">
        <v>0.72839999999996496</v>
      </c>
      <c r="AD656">
        <v>-8.3372000000000196E-2</v>
      </c>
      <c r="AE656">
        <v>-3.5000000000309198E-3</v>
      </c>
      <c r="AF656">
        <v>-6.1107743360068901E-4</v>
      </c>
      <c r="AG656">
        <v>-8.3372000000000196E-2</v>
      </c>
      <c r="AH656">
        <v>0.718988972830507</v>
      </c>
      <c r="AI656">
        <v>96.614319897824799</v>
      </c>
      <c r="AJ656">
        <v>90.048696365026004</v>
      </c>
      <c r="AK656">
        <v>0.72380688505394697</v>
      </c>
      <c r="AL656">
        <v>71.097269171651504</v>
      </c>
      <c r="AM656">
        <v>93.284109430630906</v>
      </c>
      <c r="AN656">
        <v>0.99999996882512898</v>
      </c>
    </row>
    <row r="657" spans="1:40" x14ac:dyDescent="0.25">
      <c r="A657" t="str">
        <f>"20190304164834685"</f>
        <v>20190304164834685</v>
      </c>
      <c r="B657" t="str">
        <f>"1551689314677502"</f>
        <v>1551689314677502</v>
      </c>
      <c r="C657" t="s">
        <v>40</v>
      </c>
      <c r="D657">
        <v>4.5324019999999896</v>
      </c>
      <c r="E657">
        <v>0.53890660000000001</v>
      </c>
      <c r="F657" t="s">
        <v>41</v>
      </c>
      <c r="G657">
        <v>-341.84789999999998</v>
      </c>
      <c r="H657">
        <v>1.0406959999999901</v>
      </c>
      <c r="I657">
        <v>367.93009999999998</v>
      </c>
      <c r="J657">
        <v>-342.44409999999999</v>
      </c>
      <c r="K657">
        <v>1.110576</v>
      </c>
      <c r="L657">
        <v>367.93310000000002</v>
      </c>
      <c r="M657">
        <v>0.99988339999999998</v>
      </c>
      <c r="N657">
        <v>-1.4185639999999999E-2</v>
      </c>
      <c r="O657">
        <v>-5.65432E-3</v>
      </c>
      <c r="P657">
        <v>0.94947789999999999</v>
      </c>
      <c r="Q657">
        <v>0.31006250000000002</v>
      </c>
      <c r="R657">
        <v>4.8509709999999998E-2</v>
      </c>
      <c r="S657">
        <v>3.2611080000000001</v>
      </c>
      <c r="T657">
        <v>-0.30605670000000001</v>
      </c>
      <c r="U657">
        <v>-1.6235349999999999E-2</v>
      </c>
      <c r="V657">
        <v>-5.3866190000000001E-2</v>
      </c>
      <c r="W657">
        <v>0.32349830000000002</v>
      </c>
      <c r="X657">
        <v>0.94469429999999999</v>
      </c>
      <c r="Y657">
        <v>-6.5526549999999999E-4</v>
      </c>
      <c r="Z657">
        <v>4.8476580000000001E-4</v>
      </c>
      <c r="AA657">
        <v>0.99999959999999999</v>
      </c>
      <c r="AB657">
        <v>34</v>
      </c>
      <c r="AC657">
        <v>0.59620000000001006</v>
      </c>
      <c r="AD657">
        <v>-6.9880000000000095E-2</v>
      </c>
      <c r="AE657">
        <v>-3.0000000000427402E-3</v>
      </c>
      <c r="AF657">
        <v>-3.6645850066781402E-4</v>
      </c>
      <c r="AG657">
        <v>-6.9880000000000095E-2</v>
      </c>
      <c r="AH657">
        <v>0.58812796553211999</v>
      </c>
      <c r="AI657">
        <v>96.775982449515396</v>
      </c>
      <c r="AJ657">
        <v>90.035700602535798</v>
      </c>
      <c r="AK657">
        <v>0.59226501883260296</v>
      </c>
      <c r="AL657">
        <v>71.125380613125003</v>
      </c>
      <c r="AM657">
        <v>93.2634547229856</v>
      </c>
      <c r="AN657">
        <v>1.00000001849024</v>
      </c>
    </row>
    <row r="658" spans="1:40" x14ac:dyDescent="0.25">
      <c r="A658" t="str">
        <f>"20190304164834696"</f>
        <v>20190304164834696</v>
      </c>
      <c r="B658" t="str">
        <f>"1551689314687261"</f>
        <v>1551689314687261</v>
      </c>
      <c r="C658" t="s">
        <v>40</v>
      </c>
      <c r="D658">
        <v>4.5513690000000002</v>
      </c>
      <c r="E658">
        <v>0.53900419999999905</v>
      </c>
      <c r="F658" t="s">
        <v>41</v>
      </c>
      <c r="G658">
        <v>-341.56420000000003</v>
      </c>
      <c r="H658">
        <v>1.0278320000000001</v>
      </c>
      <c r="I658">
        <v>367.92829999999998</v>
      </c>
      <c r="J658">
        <v>-342.27409999999998</v>
      </c>
      <c r="K658">
        <v>1.1105769999999999</v>
      </c>
      <c r="L658">
        <v>367.93220000000002</v>
      </c>
      <c r="M658">
        <v>0.99988350000000004</v>
      </c>
      <c r="N658">
        <v>-1.418438E-2</v>
      </c>
      <c r="O658">
        <v>-5.6543100000000001E-3</v>
      </c>
      <c r="P658">
        <v>0.94972959999999995</v>
      </c>
      <c r="Q658">
        <v>0.30931760000000003</v>
      </c>
      <c r="R658">
        <v>4.8338069999999997E-2</v>
      </c>
      <c r="S658">
        <v>3.2607119999999998</v>
      </c>
      <c r="T658">
        <v>-0.30681799999999998</v>
      </c>
      <c r="U658">
        <v>-1.7303470000000001E-2</v>
      </c>
      <c r="V658">
        <v>-5.3695890000000003E-2</v>
      </c>
      <c r="W658">
        <v>0.32275549999999997</v>
      </c>
      <c r="X658">
        <v>0.94495799999999996</v>
      </c>
      <c r="Y658">
        <v>-3.2862320000000002E-4</v>
      </c>
      <c r="Z658">
        <v>4.685709E-4</v>
      </c>
      <c r="AA658">
        <v>0.99999979999999999</v>
      </c>
      <c r="AB658">
        <v>34</v>
      </c>
      <c r="AC658">
        <v>0.70989999999994702</v>
      </c>
      <c r="AD658">
        <v>-8.2744999999999999E-2</v>
      </c>
      <c r="AE658">
        <v>-3.9000000000442001E-3</v>
      </c>
      <c r="AF658">
        <v>-1.1292636107449501E-4</v>
      </c>
      <c r="AG658">
        <v>-8.2744999999999999E-2</v>
      </c>
      <c r="AH658">
        <v>0.70039547128072399</v>
      </c>
      <c r="AI658">
        <v>96.737715509485994</v>
      </c>
      <c r="AJ658">
        <v>90.009237929276495</v>
      </c>
      <c r="AK658">
        <v>0.70526630712654204</v>
      </c>
      <c r="AL658">
        <v>71.170351875419499</v>
      </c>
      <c r="AM658">
        <v>93.252253504595799</v>
      </c>
      <c r="AN658">
        <v>0.999999991573571</v>
      </c>
    </row>
    <row r="659" spans="1:40" x14ac:dyDescent="0.25">
      <c r="A659" t="str">
        <f>"20190304164834707"</f>
        <v>20190304164834707</v>
      </c>
      <c r="B659" t="str">
        <f>"1551689314697022"</f>
        <v>1551689314697022</v>
      </c>
      <c r="C659" t="s">
        <v>40</v>
      </c>
      <c r="D659">
        <v>4.5470920000000001</v>
      </c>
      <c r="E659">
        <v>0.53911469999999995</v>
      </c>
      <c r="F659" t="s">
        <v>41</v>
      </c>
      <c r="G659">
        <v>-341.2706</v>
      </c>
      <c r="H659">
        <v>1.0153430000000001</v>
      </c>
      <c r="I659">
        <v>367.9264</v>
      </c>
      <c r="J659">
        <v>-342.09870000000001</v>
      </c>
      <c r="K659">
        <v>1.110576</v>
      </c>
      <c r="L659">
        <v>367.93119999999999</v>
      </c>
      <c r="M659">
        <v>0.99988350000000004</v>
      </c>
      <c r="N659">
        <v>-1.418287E-2</v>
      </c>
      <c r="O659">
        <v>-5.6543000000000001E-3</v>
      </c>
      <c r="P659">
        <v>0.94978390000000001</v>
      </c>
      <c r="Q659">
        <v>0.30922139999999998</v>
      </c>
      <c r="R659">
        <v>4.7881939999999998E-2</v>
      </c>
      <c r="S659">
        <v>3.260529</v>
      </c>
      <c r="T659">
        <v>-0.30949149999999997</v>
      </c>
      <c r="U659">
        <v>-1.8554689999999999E-2</v>
      </c>
      <c r="V659">
        <v>-5.3239929999999998E-2</v>
      </c>
      <c r="W659">
        <v>0.32265899999999997</v>
      </c>
      <c r="X659">
        <v>0.94501679999999999</v>
      </c>
      <c r="Y659" s="1">
        <v>5.384679E-5</v>
      </c>
      <c r="Z659">
        <v>4.5251969999999999E-4</v>
      </c>
      <c r="AA659">
        <v>0.99999990000000005</v>
      </c>
      <c r="AB659">
        <v>34</v>
      </c>
      <c r="AC659">
        <v>0.82810000000000605</v>
      </c>
      <c r="AD659">
        <v>-9.5232999999999901E-2</v>
      </c>
      <c r="AE659">
        <v>-4.7999999999888097E-3</v>
      </c>
      <c r="AF659">
        <v>1.15597962860371E-4</v>
      </c>
      <c r="AG659">
        <v>-9.5232999999999901E-2</v>
      </c>
      <c r="AH659">
        <v>0.817305066116915</v>
      </c>
      <c r="AI659">
        <v>96.646176748486596</v>
      </c>
      <c r="AJ659">
        <v>89.991896201770103</v>
      </c>
      <c r="AK659">
        <v>0.82283467887070905</v>
      </c>
      <c r="AL659">
        <v>71.176194323897107</v>
      </c>
      <c r="AM659">
        <v>93.224495222350598</v>
      </c>
      <c r="AN659">
        <v>1.00000003635482</v>
      </c>
    </row>
    <row r="660" spans="1:40" x14ac:dyDescent="0.25">
      <c r="A660" t="str">
        <f>"20190304164834721"</f>
        <v>20190304164834721</v>
      </c>
      <c r="B660" t="str">
        <f>"1551689314717517"</f>
        <v>1551689314717517</v>
      </c>
      <c r="C660" t="s">
        <v>40</v>
      </c>
      <c r="D660">
        <v>4.5506859999999998</v>
      </c>
      <c r="E660">
        <v>0.53935059999999901</v>
      </c>
      <c r="F660" t="s">
        <v>41</v>
      </c>
      <c r="G660">
        <v>-341.26280000000003</v>
      </c>
      <c r="H660">
        <v>1.0312079999999999</v>
      </c>
      <c r="I660">
        <v>367.92579999999998</v>
      </c>
      <c r="J660">
        <v>-341.90960000000001</v>
      </c>
      <c r="K660">
        <v>1.110579</v>
      </c>
      <c r="L660">
        <v>367.93009999999998</v>
      </c>
      <c r="M660">
        <v>0.99988339999999998</v>
      </c>
      <c r="N660">
        <v>-1.418118E-2</v>
      </c>
      <c r="O660">
        <v>-5.6542880000000004E-3</v>
      </c>
      <c r="P660">
        <v>0.9499147</v>
      </c>
      <c r="Q660">
        <v>0.30885200000000002</v>
      </c>
      <c r="R660">
        <v>4.7670369999999997E-2</v>
      </c>
      <c r="S660">
        <v>3.2604980000000001</v>
      </c>
      <c r="T660">
        <v>-0.30963239999999997</v>
      </c>
      <c r="U660">
        <v>-2.0507810000000001E-2</v>
      </c>
      <c r="V660">
        <v>-5.302933E-2</v>
      </c>
      <c r="W660">
        <v>0.32228970000000001</v>
      </c>
      <c r="X660">
        <v>0.94515459999999996</v>
      </c>
      <c r="Y660">
        <v>6.4985260000000001E-4</v>
      </c>
      <c r="Z660">
        <v>4.2030090000000001E-4</v>
      </c>
      <c r="AA660">
        <v>0.99999970000000005</v>
      </c>
      <c r="AB660">
        <v>34</v>
      </c>
      <c r="AC660">
        <v>0.64679999999998405</v>
      </c>
      <c r="AD660">
        <v>-7.9370999999999997E-2</v>
      </c>
      <c r="AE660">
        <v>-4.3000000000006297E-3</v>
      </c>
      <c r="AF660">
        <v>6.3284052119669699E-4</v>
      </c>
      <c r="AG660">
        <v>-7.9370999999999997E-2</v>
      </c>
      <c r="AH660">
        <v>0.63721879566678696</v>
      </c>
      <c r="AI660">
        <v>97.100103078115495</v>
      </c>
      <c r="AJ660">
        <v>89.943097913471505</v>
      </c>
      <c r="AK660">
        <v>0.64214324700891701</v>
      </c>
      <c r="AL660">
        <v>71.198546899275101</v>
      </c>
      <c r="AM660">
        <v>93.211299631179898</v>
      </c>
      <c r="AN660">
        <v>0.999999989233749</v>
      </c>
    </row>
    <row r="661" spans="1:40" x14ac:dyDescent="0.25">
      <c r="A661" t="str">
        <f>"20190304164834733"</f>
        <v>20190304164834733</v>
      </c>
      <c r="B661" t="str">
        <f>"1551689314727277"</f>
        <v>1551689314727277</v>
      </c>
      <c r="C661" t="s">
        <v>40</v>
      </c>
      <c r="D661">
        <v>4.2576150000000004</v>
      </c>
      <c r="E661">
        <v>0.53935059999999901</v>
      </c>
      <c r="F661" t="s">
        <v>41</v>
      </c>
      <c r="G661">
        <v>-340.96890000000002</v>
      </c>
      <c r="H661">
        <v>1.020216</v>
      </c>
      <c r="I661">
        <v>367.92329999999998</v>
      </c>
      <c r="J661">
        <v>-341.71109999999999</v>
      </c>
      <c r="K661">
        <v>1.110579</v>
      </c>
      <c r="L661">
        <v>367.92899999999997</v>
      </c>
      <c r="M661">
        <v>0.99988359999999998</v>
      </c>
      <c r="N661">
        <v>-1.417934E-2</v>
      </c>
      <c r="O661">
        <v>-5.6542750000000003E-3</v>
      </c>
      <c r="P661">
        <v>0.94996570000000002</v>
      </c>
      <c r="Q661">
        <v>0.30871910000000002</v>
      </c>
      <c r="R661">
        <v>4.7514569999999999E-2</v>
      </c>
      <c r="S661">
        <v>3.2611690000000002</v>
      </c>
      <c r="T661">
        <v>-0.31350090000000003</v>
      </c>
      <c r="U661">
        <v>-2.2186279999999999E-2</v>
      </c>
      <c r="V661">
        <v>-5.2874129999999998E-2</v>
      </c>
      <c r="W661">
        <v>0.322156099999999</v>
      </c>
      <c r="X661">
        <v>0.94520879999999996</v>
      </c>
      <c r="Y661">
        <v>1.1609840000000001E-3</v>
      </c>
      <c r="Z661">
        <v>3.9834419999999998E-4</v>
      </c>
      <c r="AA661">
        <v>0.99999919999999998</v>
      </c>
      <c r="AB661">
        <v>34</v>
      </c>
      <c r="AC661">
        <v>0.742199999999968</v>
      </c>
      <c r="AD661">
        <v>-9.0362999999999902E-2</v>
      </c>
      <c r="AE661">
        <v>-5.7000000000471101E-3</v>
      </c>
      <c r="AF661">
        <v>1.48093377189732E-3</v>
      </c>
      <c r="AG661">
        <v>-9.0362999999999902E-2</v>
      </c>
      <c r="AH661">
        <v>0.73137968240461904</v>
      </c>
      <c r="AI661">
        <v>97.043267032577205</v>
      </c>
      <c r="AJ661">
        <v>89.883984829021202</v>
      </c>
      <c r="AK661">
        <v>0.73694226691655995</v>
      </c>
      <c r="AL661">
        <v>71.206632145799801</v>
      </c>
      <c r="AM661">
        <v>93.201737539630003</v>
      </c>
      <c r="AN661">
        <v>0.999999950993952</v>
      </c>
    </row>
    <row r="662" spans="1:40" x14ac:dyDescent="0.25">
      <c r="A662" t="str">
        <f>"20190304164834745"</f>
        <v>20190304164834745</v>
      </c>
      <c r="B662" t="str">
        <f>"1551689314727277"</f>
        <v>1551689314727277</v>
      </c>
      <c r="C662" t="s">
        <v>40</v>
      </c>
      <c r="D662">
        <v>4.2576150000000004</v>
      </c>
      <c r="E662">
        <v>0.53935059999999901</v>
      </c>
      <c r="F662" t="s">
        <v>41</v>
      </c>
      <c r="G662">
        <v>-340.95749999999998</v>
      </c>
      <c r="H662">
        <v>1.038076</v>
      </c>
      <c r="I662">
        <v>367.92349999999999</v>
      </c>
      <c r="J662">
        <v>-341.52879999999999</v>
      </c>
      <c r="K662">
        <v>1.110579</v>
      </c>
      <c r="L662">
        <v>367.92790000000002</v>
      </c>
      <c r="M662">
        <v>0.99988359999999998</v>
      </c>
      <c r="N662">
        <v>-1.4177560000000001E-2</v>
      </c>
      <c r="O662">
        <v>-5.6542619999999898E-3</v>
      </c>
      <c r="P662">
        <v>0.94993930000000004</v>
      </c>
      <c r="Q662">
        <v>0.30880220000000003</v>
      </c>
      <c r="R662">
        <v>4.750455E-2</v>
      </c>
      <c r="S662">
        <v>3.2611690000000002</v>
      </c>
      <c r="T662">
        <v>-0.31405699999999998</v>
      </c>
      <c r="U662">
        <v>-2.2277829999999998E-2</v>
      </c>
      <c r="V662">
        <v>-5.2864019999999998E-2</v>
      </c>
      <c r="W662">
        <v>0.32223689999999999</v>
      </c>
      <c r="X662">
        <v>0.94518190000000002</v>
      </c>
      <c r="Y662">
        <v>1.1889789999999999E-3</v>
      </c>
      <c r="Z662">
        <v>3.9767010000000001E-4</v>
      </c>
      <c r="AA662">
        <v>0.99999919999999998</v>
      </c>
      <c r="AB662">
        <v>34</v>
      </c>
      <c r="AC662">
        <v>0.57130000000000702</v>
      </c>
      <c r="AD662">
        <v>-7.2502999999999901E-2</v>
      </c>
      <c r="AE662">
        <v>-4.4000000000323702E-3</v>
      </c>
      <c r="AF662">
        <v>1.1507919970210399E-3</v>
      </c>
      <c r="AG662">
        <v>-7.2502999999999901E-2</v>
      </c>
      <c r="AH662">
        <v>0.56226060212732798</v>
      </c>
      <c r="AI662">
        <v>97.347677650211295</v>
      </c>
      <c r="AJ662">
        <v>89.882731544397998</v>
      </c>
      <c r="AK662">
        <v>0.56691709626347098</v>
      </c>
      <c r="AL662">
        <v>71.201743289393505</v>
      </c>
      <c r="AM662">
        <v>93.201217527483806</v>
      </c>
      <c r="AN662">
        <v>1.0000000242098801</v>
      </c>
    </row>
    <row r="663" spans="1:40" x14ac:dyDescent="0.25">
      <c r="A663" t="str">
        <f>"20190304164834875"</f>
        <v>20190304164834875</v>
      </c>
      <c r="B663" t="str">
        <f>"1551689314866845"</f>
        <v>1551689314866845</v>
      </c>
      <c r="C663" t="s">
        <v>40</v>
      </c>
      <c r="D663">
        <v>4.53552</v>
      </c>
      <c r="E663">
        <v>0.51943830000000002</v>
      </c>
      <c r="F663" t="s">
        <v>42</v>
      </c>
      <c r="G663">
        <v>-337.49149999999997</v>
      </c>
      <c r="H663" s="1">
        <v>-1.3214E-6</v>
      </c>
      <c r="I663">
        <v>368.13400000000001</v>
      </c>
      <c r="J663">
        <v>-339.59550000000002</v>
      </c>
      <c r="K663">
        <v>1.110562</v>
      </c>
      <c r="L663">
        <v>367.9171</v>
      </c>
      <c r="M663">
        <v>0.99988379999999999</v>
      </c>
      <c r="N663">
        <v>-1.415752E-2</v>
      </c>
      <c r="O663">
        <v>-5.6540019999999896E-3</v>
      </c>
      <c r="P663">
        <v>0.9513239</v>
      </c>
      <c r="Q663">
        <v>0.30485469999999998</v>
      </c>
      <c r="R663">
        <v>4.5238729999999998E-2</v>
      </c>
      <c r="S663">
        <v>3.7293400000000001</v>
      </c>
      <c r="T663">
        <v>-1.8481510000000001</v>
      </c>
      <c r="U663">
        <v>0.35989379999999999</v>
      </c>
      <c r="V663">
        <v>-5.0605419999999998E-2</v>
      </c>
      <c r="W663">
        <v>0.31829069999999998</v>
      </c>
      <c r="X663">
        <v>0.94664150000000002</v>
      </c>
      <c r="Y663">
        <v>-9.0341400000000002E-2</v>
      </c>
      <c r="Z663">
        <v>2.4360469999999999E-2</v>
      </c>
      <c r="AA663">
        <v>0.99561290000000002</v>
      </c>
      <c r="AB663">
        <v>33</v>
      </c>
      <c r="AC663">
        <v>2.1040000000000401</v>
      </c>
      <c r="AD663">
        <v>-1.1105633213999999</v>
      </c>
      <c r="AE663">
        <v>0.216900000000009</v>
      </c>
      <c r="AF663">
        <v>-0.179350523844928</v>
      </c>
      <c r="AG663">
        <v>-1.1105633213999999</v>
      </c>
      <c r="AH663">
        <v>1.6483295925659101</v>
      </c>
      <c r="AI663">
        <v>123.814078452489</v>
      </c>
      <c r="AJ663">
        <v>96.209778027475195</v>
      </c>
      <c r="AK663">
        <v>1.9956221954495701</v>
      </c>
      <c r="AL663">
        <v>71.440414955890503</v>
      </c>
      <c r="AM663">
        <v>93.059996553219406</v>
      </c>
      <c r="AN663">
        <v>1.0000000038810499</v>
      </c>
    </row>
    <row r="664" spans="1:40" x14ac:dyDescent="0.25">
      <c r="A664" t="str">
        <f>"20190304164834886"</f>
        <v>20190304164834886</v>
      </c>
      <c r="B664" t="str">
        <f>"1551689314876605"</f>
        <v>1551689314876605</v>
      </c>
      <c r="C664" t="s">
        <v>40</v>
      </c>
      <c r="D664">
        <v>4.7751780000000004</v>
      </c>
      <c r="E664">
        <v>0.52502190000000004</v>
      </c>
      <c r="F664" t="s">
        <v>42</v>
      </c>
      <c r="G664">
        <v>-337.2389</v>
      </c>
      <c r="H664" s="1">
        <v>-1.4348400000000001E-6</v>
      </c>
      <c r="I664">
        <v>368.10539999999997</v>
      </c>
      <c r="J664">
        <v>-339.43380000000002</v>
      </c>
      <c r="K664">
        <v>1.1105640000000001</v>
      </c>
      <c r="L664">
        <v>367.91609999999997</v>
      </c>
      <c r="M664">
        <v>0.99988379999999999</v>
      </c>
      <c r="N664">
        <v>-1.415579E-2</v>
      </c>
      <c r="O664">
        <v>-5.6539900000000002E-3</v>
      </c>
      <c r="P664">
        <v>0.95137249999999995</v>
      </c>
      <c r="Q664">
        <v>0.30477399999999999</v>
      </c>
      <c r="R664">
        <v>4.4761269999999999E-2</v>
      </c>
      <c r="S664">
        <v>3.6978759999999999</v>
      </c>
      <c r="T664">
        <v>-1.742618</v>
      </c>
      <c r="U664">
        <v>0.29562379999999999</v>
      </c>
      <c r="V664">
        <v>-5.0128390000000002E-2</v>
      </c>
      <c r="W664">
        <v>0.31820929999999997</v>
      </c>
      <c r="X664">
        <v>0.94669429999999999</v>
      </c>
      <c r="Y664">
        <v>-7.6480779999999998E-2</v>
      </c>
      <c r="Z664">
        <v>2.0116180000000001E-2</v>
      </c>
      <c r="AA664">
        <v>0.99686810000000003</v>
      </c>
      <c r="AB664">
        <v>33</v>
      </c>
      <c r="AC664">
        <v>2.1949000000000098</v>
      </c>
      <c r="AD664">
        <v>-1.11056543483999</v>
      </c>
      <c r="AE664">
        <v>0.18930000000000199</v>
      </c>
      <c r="AF664">
        <v>-0.16083629583314099</v>
      </c>
      <c r="AG664">
        <v>-1.11056543483999</v>
      </c>
      <c r="AH664">
        <v>1.7492687526662301</v>
      </c>
      <c r="AI664">
        <v>122.30137851376401</v>
      </c>
      <c r="AJ664">
        <v>95.253282972858599</v>
      </c>
      <c r="AK664">
        <v>2.0782601059956698</v>
      </c>
      <c r="AL664">
        <v>71.445335621223904</v>
      </c>
      <c r="AM664">
        <v>93.031036919454806</v>
      </c>
      <c r="AN664">
        <v>1.0000000558714801</v>
      </c>
    </row>
    <row r="665" spans="1:40" x14ac:dyDescent="0.25">
      <c r="A665" t="str">
        <f>"20190304164834897"</f>
        <v>20190304164834897</v>
      </c>
      <c r="B665" t="str">
        <f>"1551689314887342"</f>
        <v>1551689314887342</v>
      </c>
      <c r="C665" t="s">
        <v>40</v>
      </c>
      <c r="D665">
        <v>4.5521929999999999</v>
      </c>
      <c r="E665">
        <v>0.52850359999999996</v>
      </c>
      <c r="F665" t="s">
        <v>41</v>
      </c>
      <c r="G665">
        <v>-338.68819999999999</v>
      </c>
      <c r="H665">
        <v>0.77536949999999905</v>
      </c>
      <c r="I665">
        <v>367.96460000000002</v>
      </c>
      <c r="J665">
        <v>-339.27629999999999</v>
      </c>
      <c r="K665">
        <v>1.110562</v>
      </c>
      <c r="L665">
        <v>367.9153</v>
      </c>
      <c r="M665">
        <v>0.99988390000000005</v>
      </c>
      <c r="N665">
        <v>-1.415369E-2</v>
      </c>
      <c r="O665">
        <v>-5.6539750000000003E-3</v>
      </c>
      <c r="P665">
        <v>0.95136880000000001</v>
      </c>
      <c r="Q665">
        <v>0.304820599999999</v>
      </c>
      <c r="R665">
        <v>4.4519290000000003E-2</v>
      </c>
      <c r="S665">
        <v>3.670715</v>
      </c>
      <c r="T665">
        <v>-1.6501589999999999</v>
      </c>
      <c r="U665">
        <v>0.23934939999999999</v>
      </c>
      <c r="V665">
        <v>-4.9886090000000001E-2</v>
      </c>
      <c r="W665">
        <v>0.31825360000000003</v>
      </c>
      <c r="X665">
        <v>0.94669219999999998</v>
      </c>
      <c r="Y665">
        <v>-6.385536E-2</v>
      </c>
      <c r="Z665">
        <v>1.6500480000000001E-2</v>
      </c>
      <c r="AA665">
        <v>0.99782280000000001</v>
      </c>
      <c r="AB665">
        <v>33</v>
      </c>
      <c r="AC665">
        <v>0.58809999999999696</v>
      </c>
      <c r="AD665">
        <v>-0.3351925</v>
      </c>
      <c r="AE665">
        <v>4.9300000000016497E-2</v>
      </c>
      <c r="AF665">
        <v>-3.9789218873522603E-2</v>
      </c>
      <c r="AG665">
        <v>-0.3351925</v>
      </c>
      <c r="AH665">
        <v>0.444441429154662</v>
      </c>
      <c r="AI665">
        <v>126.91328548838599</v>
      </c>
      <c r="AJ665">
        <v>95.115843319633399</v>
      </c>
      <c r="AK665">
        <v>0.55809083305843099</v>
      </c>
      <c r="AL665">
        <v>71.442658091229703</v>
      </c>
      <c r="AM665">
        <v>93.016419935247797</v>
      </c>
      <c r="AN665">
        <v>1.0000000487146401</v>
      </c>
    </row>
    <row r="666" spans="1:40" x14ac:dyDescent="0.25">
      <c r="A666" t="str">
        <f>"20190304164834908"</f>
        <v>20190304164834908</v>
      </c>
      <c r="B666" t="str">
        <f>"1551689314897102"</f>
        <v>1551689314897102</v>
      </c>
      <c r="C666" t="s">
        <v>40</v>
      </c>
      <c r="D666">
        <v>4.5606600000000004</v>
      </c>
      <c r="E666">
        <v>0.53079279999999995</v>
      </c>
      <c r="F666" t="s">
        <v>42</v>
      </c>
      <c r="G666">
        <v>-336.7294</v>
      </c>
      <c r="H666" s="1">
        <v>-1.6618469999999999E-6</v>
      </c>
      <c r="I666">
        <v>368.05779999999999</v>
      </c>
      <c r="J666">
        <v>-339.10559999999998</v>
      </c>
      <c r="K666">
        <v>1.1105640000000001</v>
      </c>
      <c r="L666">
        <v>367.91430000000003</v>
      </c>
      <c r="M666">
        <v>0.999884</v>
      </c>
      <c r="N666">
        <v>-1.414935E-2</v>
      </c>
      <c r="O666">
        <v>-5.6539440000000002E-3</v>
      </c>
      <c r="P666">
        <v>0.95137229999999995</v>
      </c>
      <c r="Q666">
        <v>0.30482239999999999</v>
      </c>
      <c r="R666">
        <v>4.4433500000000001E-2</v>
      </c>
      <c r="S666">
        <v>3.6542970000000001</v>
      </c>
      <c r="T666">
        <v>-1.593405</v>
      </c>
      <c r="U666">
        <v>0.2047119</v>
      </c>
      <c r="V666">
        <v>-4.9800360000000002E-2</v>
      </c>
      <c r="W666">
        <v>0.31825130000000001</v>
      </c>
      <c r="X666">
        <v>0.94669740000000002</v>
      </c>
      <c r="Y666">
        <v>-5.5852939999999997E-2</v>
      </c>
      <c r="Z666">
        <v>1.4332599999999999E-2</v>
      </c>
      <c r="AA666">
        <v>0.99833609999999995</v>
      </c>
      <c r="AB666">
        <v>33</v>
      </c>
      <c r="AC666">
        <v>2.3761999999999799</v>
      </c>
      <c r="AD666">
        <v>-1.1105656618469999</v>
      </c>
      <c r="AE666">
        <v>0.14349999999995999</v>
      </c>
      <c r="AF666">
        <v>-0.12888355477979399</v>
      </c>
      <c r="AG666">
        <v>-1.1105656618469999</v>
      </c>
      <c r="AH666">
        <v>1.9507800897402201</v>
      </c>
      <c r="AI666">
        <v>119.598944404093</v>
      </c>
      <c r="AJ666">
        <v>93.779907099223706</v>
      </c>
      <c r="AK666">
        <v>2.2484461342209601</v>
      </c>
      <c r="AL666">
        <v>71.442795517485607</v>
      </c>
      <c r="AM666">
        <v>93.011229210776406</v>
      </c>
      <c r="AN666">
        <v>0.99999996648728895</v>
      </c>
    </row>
    <row r="667" spans="1:40" x14ac:dyDescent="0.25">
      <c r="A667" t="str">
        <f>"20190304164834922"</f>
        <v>20190304164834922</v>
      </c>
      <c r="B667" t="str">
        <f>"1551689314917598"</f>
        <v>1551689314917598</v>
      </c>
      <c r="C667" t="s">
        <v>40</v>
      </c>
      <c r="D667">
        <v>4.6434709999999999</v>
      </c>
      <c r="E667">
        <v>0.53435719999999898</v>
      </c>
      <c r="F667" t="s">
        <v>41</v>
      </c>
      <c r="G667">
        <v>-338.38369999999998</v>
      </c>
      <c r="H667">
        <v>0.8022686</v>
      </c>
      <c r="I667">
        <v>367.9502</v>
      </c>
      <c r="J667">
        <v>-338.90929999999997</v>
      </c>
      <c r="K667">
        <v>1.1105700000000001</v>
      </c>
      <c r="L667">
        <v>367.91309999999999</v>
      </c>
      <c r="M667">
        <v>0.99988410000000005</v>
      </c>
      <c r="N667">
        <v>-1.414323E-2</v>
      </c>
      <c r="O667">
        <v>-5.6539009999999898E-3</v>
      </c>
      <c r="P667">
        <v>0.95131589999999999</v>
      </c>
      <c r="Q667">
        <v>0.30503019999999997</v>
      </c>
      <c r="R667">
        <v>4.4215900000000002E-2</v>
      </c>
      <c r="S667">
        <v>3.6433719999999998</v>
      </c>
      <c r="T667">
        <v>-1.5558299999999901</v>
      </c>
      <c r="U667">
        <v>0.18133540000000001</v>
      </c>
      <c r="V667">
        <v>-4.9582399999999999E-2</v>
      </c>
      <c r="W667">
        <v>0.31845250000000003</v>
      </c>
      <c r="X667">
        <v>0.94664119999999996</v>
      </c>
      <c r="Y667">
        <v>-5.0348839999999999E-2</v>
      </c>
      <c r="Z667">
        <v>1.2901849999999999E-2</v>
      </c>
      <c r="AA667">
        <v>0.99864830000000004</v>
      </c>
      <c r="AB667">
        <v>33</v>
      </c>
      <c r="AC667">
        <v>0.52559999999999696</v>
      </c>
      <c r="AD667">
        <v>-0.3083014</v>
      </c>
      <c r="AE667">
        <v>3.7100000000009403E-2</v>
      </c>
      <c r="AF667">
        <v>-2.9851472119054302E-2</v>
      </c>
      <c r="AG667">
        <v>-0.3083014</v>
      </c>
      <c r="AH667">
        <v>0.39138694733201201</v>
      </c>
      <c r="AI667">
        <v>128.14729069010801</v>
      </c>
      <c r="AJ667">
        <v>94.361561771158804</v>
      </c>
      <c r="AK667">
        <v>0.49912383851255399</v>
      </c>
      <c r="AL667">
        <v>71.430635285053597</v>
      </c>
      <c r="AM667">
        <v>92.998251799143404</v>
      </c>
      <c r="AN667">
        <v>0.99999998534172396</v>
      </c>
    </row>
    <row r="668" spans="1:40" x14ac:dyDescent="0.25">
      <c r="A668" t="str">
        <f>"20190304164834936"</f>
        <v>20190304164834936</v>
      </c>
      <c r="B668" t="str">
        <f>"1551689314927357"</f>
        <v>1551689314927357</v>
      </c>
      <c r="C668" t="s">
        <v>40</v>
      </c>
      <c r="D668">
        <v>4.6499509999999997</v>
      </c>
      <c r="E668">
        <v>0.53564940000000005</v>
      </c>
      <c r="F668" t="s">
        <v>41</v>
      </c>
      <c r="G668">
        <v>-338.09800000000001</v>
      </c>
      <c r="H668">
        <v>0.77577359999999995</v>
      </c>
      <c r="I668">
        <v>367.9452</v>
      </c>
      <c r="J668">
        <v>-338.70589999999999</v>
      </c>
      <c r="K668">
        <v>1.1105719999999999</v>
      </c>
      <c r="L668">
        <v>367.91199999999998</v>
      </c>
      <c r="M668">
        <v>0.9998842</v>
      </c>
      <c r="N668">
        <v>-1.4135709999999999E-2</v>
      </c>
      <c r="O668">
        <v>-5.6538480000000004E-3</v>
      </c>
      <c r="P668">
        <v>0.95126770000000005</v>
      </c>
      <c r="Q668">
        <v>0.30524970000000001</v>
      </c>
      <c r="R668">
        <v>4.3733210000000002E-2</v>
      </c>
      <c r="S668">
        <v>3.6266479999999999</v>
      </c>
      <c r="T668">
        <v>-1.4963789999999999</v>
      </c>
      <c r="U668">
        <v>0.14465329999999901</v>
      </c>
      <c r="V668">
        <v>-4.9099320000000002E-2</v>
      </c>
      <c r="W668">
        <v>0.318664</v>
      </c>
      <c r="X668">
        <v>0.94659530000000003</v>
      </c>
      <c r="Y668">
        <v>-4.1553979999999997E-2</v>
      </c>
      <c r="Z668">
        <v>1.0702410000000001E-2</v>
      </c>
      <c r="AA668">
        <v>0.99907889999999999</v>
      </c>
      <c r="AB668">
        <v>33</v>
      </c>
      <c r="AC668">
        <v>0.60789999999997202</v>
      </c>
      <c r="AD668">
        <v>-0.334798399999999</v>
      </c>
      <c r="AE668">
        <v>3.3200000000022101E-2</v>
      </c>
      <c r="AF668">
        <v>-2.8129801351787002E-2</v>
      </c>
      <c r="AG668">
        <v>-0.334798399999999</v>
      </c>
      <c r="AH668">
        <v>0.46659529327589899</v>
      </c>
      <c r="AI668">
        <v>125.61154348932099</v>
      </c>
      <c r="AJ668">
        <v>93.450035894428893</v>
      </c>
      <c r="AK668">
        <v>0.57497167067071497</v>
      </c>
      <c r="AL668">
        <v>71.417852947680103</v>
      </c>
      <c r="AM668">
        <v>92.969236148829793</v>
      </c>
      <c r="AN668">
        <v>1.0000000750512701</v>
      </c>
    </row>
    <row r="669" spans="1:40" x14ac:dyDescent="0.25">
      <c r="A669" t="str">
        <f>"20190304164834947"</f>
        <v>20190304164834947</v>
      </c>
      <c r="B669" t="str">
        <f>"1551689314937117"</f>
        <v>1551689314937117</v>
      </c>
      <c r="C669" t="s">
        <v>40</v>
      </c>
      <c r="D669">
        <v>4.6780119999999998</v>
      </c>
      <c r="E669">
        <v>0.53663059999999996</v>
      </c>
      <c r="F669" t="s">
        <v>42</v>
      </c>
      <c r="G669">
        <v>-335.97770000000003</v>
      </c>
      <c r="H669" s="1">
        <v>-1.992785E-6</v>
      </c>
      <c r="I669">
        <v>368.01029999999997</v>
      </c>
      <c r="J669">
        <v>-338.52120000000002</v>
      </c>
      <c r="K669">
        <v>1.110574</v>
      </c>
      <c r="L669">
        <v>367.91090000000003</v>
      </c>
      <c r="M669">
        <v>0.9998842</v>
      </c>
      <c r="N669">
        <v>-1.4128480000000001E-2</v>
      </c>
      <c r="O669">
        <v>-5.6537970000000003E-3</v>
      </c>
      <c r="P669">
        <v>0.95121</v>
      </c>
      <c r="Q669">
        <v>0.30551420000000001</v>
      </c>
      <c r="R669">
        <v>4.3136189999999998E-2</v>
      </c>
      <c r="S669">
        <v>3.6206049999999999</v>
      </c>
      <c r="T669">
        <v>-1.473797</v>
      </c>
      <c r="U669">
        <v>0.13046259999999901</v>
      </c>
      <c r="V669">
        <v>-4.8502249999999997E-2</v>
      </c>
      <c r="W669">
        <v>0.31892120000000002</v>
      </c>
      <c r="X669">
        <v>0.94653940000000003</v>
      </c>
      <c r="Y669">
        <v>-3.8095469999999999E-2</v>
      </c>
      <c r="Z669">
        <v>9.8699909999999998E-3</v>
      </c>
      <c r="AA669">
        <v>0.99922540000000004</v>
      </c>
      <c r="AB669">
        <v>33</v>
      </c>
      <c r="AC669">
        <v>2.5434999999999901</v>
      </c>
      <c r="AD669">
        <v>-1.1105759927850001</v>
      </c>
      <c r="AE669">
        <v>9.9399999999945907E-2</v>
      </c>
      <c r="AF669">
        <v>-9.5584953190012006E-2</v>
      </c>
      <c r="AG669">
        <v>-1.1105759927850001</v>
      </c>
      <c r="AH669">
        <v>2.13624646319583</v>
      </c>
      <c r="AI669">
        <v>117.44524238389801</v>
      </c>
      <c r="AJ669">
        <v>92.561953431128003</v>
      </c>
      <c r="AK669">
        <v>2.4095776539766098</v>
      </c>
      <c r="AL669">
        <v>71.402304164579803</v>
      </c>
      <c r="AM669">
        <v>92.933365255101293</v>
      </c>
      <c r="AN669">
        <v>1.0000000179084301</v>
      </c>
    </row>
    <row r="670" spans="1:40" x14ac:dyDescent="0.25">
      <c r="A670" t="str">
        <f>"20190304164834958"</f>
        <v>20190304164834958</v>
      </c>
      <c r="B670" t="str">
        <f>"1551689314946877"</f>
        <v>1551689314946877</v>
      </c>
      <c r="C670" t="s">
        <v>40</v>
      </c>
      <c r="D670">
        <v>4.6677839999999904</v>
      </c>
      <c r="E670">
        <v>0.53739009999999998</v>
      </c>
      <c r="F670" t="s">
        <v>41</v>
      </c>
      <c r="G670">
        <v>-337.78629999999998</v>
      </c>
      <c r="H670">
        <v>0.81455929999999999</v>
      </c>
      <c r="I670">
        <v>367.93529999999998</v>
      </c>
      <c r="J670">
        <v>-338.37009999999998</v>
      </c>
      <c r="K670">
        <v>1.1105750000000001</v>
      </c>
      <c r="L670">
        <v>367.9101</v>
      </c>
      <c r="M670">
        <v>0.99988440000000001</v>
      </c>
      <c r="N670">
        <v>-1.412193E-2</v>
      </c>
      <c r="O670">
        <v>-5.6538700000000001E-3</v>
      </c>
      <c r="P670">
        <v>0.95111219999999996</v>
      </c>
      <c r="Q670">
        <v>0.30588149999999997</v>
      </c>
      <c r="R670">
        <v>4.2685960000000002E-2</v>
      </c>
      <c r="S670">
        <v>3.6161189999999999</v>
      </c>
      <c r="T670">
        <v>-1.456278</v>
      </c>
      <c r="U670">
        <v>0.1203003</v>
      </c>
      <c r="V670">
        <v>-4.8051070000000001E-2</v>
      </c>
      <c r="W670">
        <v>0.31928089999999998</v>
      </c>
      <c r="X670">
        <v>0.94644110000000004</v>
      </c>
      <c r="Y670">
        <v>-3.5608349999999997E-2</v>
      </c>
      <c r="Z670">
        <v>9.274348E-3</v>
      </c>
      <c r="AA670">
        <v>0.99932279999999996</v>
      </c>
      <c r="AB670">
        <v>33</v>
      </c>
      <c r="AC670">
        <v>0.58379999999999599</v>
      </c>
      <c r="AD670">
        <v>-0.29601569999999999</v>
      </c>
      <c r="AE670">
        <v>2.5199999999983898E-2</v>
      </c>
      <c r="AF670">
        <v>-2.2680383614510899E-2</v>
      </c>
      <c r="AG670">
        <v>-0.29601569999999999</v>
      </c>
      <c r="AH670">
        <v>0.46445825130842999</v>
      </c>
      <c r="AI670">
        <v>122.479888861701</v>
      </c>
      <c r="AJ670">
        <v>92.795641649797801</v>
      </c>
      <c r="AK670">
        <v>0.55123603080339001</v>
      </c>
      <c r="AL670">
        <v>71.380557210797406</v>
      </c>
      <c r="AM670">
        <v>92.906426677199704</v>
      </c>
      <c r="AN670">
        <v>0.99999997710108202</v>
      </c>
    </row>
    <row r="671" spans="1:40" x14ac:dyDescent="0.25">
      <c r="A671" t="str">
        <f>"20190304164834969"</f>
        <v>20190304164834969</v>
      </c>
      <c r="B671" t="str">
        <f>"1551689314956638"</f>
        <v>1551689314956638</v>
      </c>
      <c r="C671" t="s">
        <v>40</v>
      </c>
      <c r="D671">
        <v>4.4342689999999996</v>
      </c>
      <c r="E671">
        <v>0.53932150000000001</v>
      </c>
      <c r="F671" t="s">
        <v>41</v>
      </c>
      <c r="G671">
        <v>-337.50850000000003</v>
      </c>
      <c r="H671">
        <v>0.76657280000000005</v>
      </c>
      <c r="I671">
        <v>367.9366</v>
      </c>
      <c r="J671">
        <v>-338.21179999999998</v>
      </c>
      <c r="K671">
        <v>1.1105750000000001</v>
      </c>
      <c r="L671">
        <v>367.9092</v>
      </c>
      <c r="M671">
        <v>0.99988449999999995</v>
      </c>
      <c r="N671">
        <v>-1.4113509999999999E-2</v>
      </c>
      <c r="O671">
        <v>-5.6538109999999999E-3</v>
      </c>
      <c r="P671">
        <v>0.95105479999999998</v>
      </c>
      <c r="Q671">
        <v>0.30609829999999999</v>
      </c>
      <c r="R671">
        <v>4.2410749999999997E-2</v>
      </c>
      <c r="S671">
        <v>3.6131289999999998</v>
      </c>
      <c r="T671">
        <v>-1.442607</v>
      </c>
      <c r="U671">
        <v>0.1117554</v>
      </c>
      <c r="V671">
        <v>-4.7775860000000003E-2</v>
      </c>
      <c r="W671">
        <v>0.31948880000000002</v>
      </c>
      <c r="X671">
        <v>0.94638489999999997</v>
      </c>
      <c r="Y671">
        <v>-3.3496329999999998E-2</v>
      </c>
      <c r="Z671">
        <v>8.7805569999999996E-3</v>
      </c>
      <c r="AA671">
        <v>0.99940030000000002</v>
      </c>
      <c r="AB671">
        <v>33</v>
      </c>
      <c r="AC671">
        <v>0.70329999999995596</v>
      </c>
      <c r="AD671">
        <v>-0.34400219999999998</v>
      </c>
      <c r="AE671">
        <v>2.7400000000000001E-2</v>
      </c>
      <c r="AF671">
        <v>-2.53262986825596E-2</v>
      </c>
      <c r="AG671">
        <v>-0.34400219999999998</v>
      </c>
      <c r="AH671">
        <v>0.56755535123293799</v>
      </c>
      <c r="AI671">
        <v>121.195307660892</v>
      </c>
      <c r="AJ671">
        <v>92.555042442045007</v>
      </c>
      <c r="AK671">
        <v>0.66415209984079804</v>
      </c>
      <c r="AL671">
        <v>71.367987548632897</v>
      </c>
      <c r="AM671">
        <v>92.8899798843632</v>
      </c>
      <c r="AN671">
        <v>1.00000000253609</v>
      </c>
    </row>
    <row r="672" spans="1:40" x14ac:dyDescent="0.25">
      <c r="A672" t="str">
        <f>"20190304164834980"</f>
        <v>20190304164834980</v>
      </c>
      <c r="B672" t="str">
        <f>"1551689314967373"</f>
        <v>1551689314967373</v>
      </c>
      <c r="C672" t="s">
        <v>40</v>
      </c>
      <c r="D672">
        <v>4.7037760000000004</v>
      </c>
      <c r="E672">
        <v>0.53974129999999998</v>
      </c>
      <c r="F672" t="s">
        <v>41</v>
      </c>
      <c r="G672">
        <v>-337.4853</v>
      </c>
      <c r="H672">
        <v>0.8267989</v>
      </c>
      <c r="I672">
        <v>367.92739999999998</v>
      </c>
      <c r="J672">
        <v>-338.0566</v>
      </c>
      <c r="K672">
        <v>1.1105750000000001</v>
      </c>
      <c r="L672">
        <v>367.9083</v>
      </c>
      <c r="M672">
        <v>0.99988469999999996</v>
      </c>
      <c r="N672">
        <v>-1.410372E-2</v>
      </c>
      <c r="O672">
        <v>-5.6537419999999998E-3</v>
      </c>
      <c r="P672">
        <v>0.95097699999999996</v>
      </c>
      <c r="Q672">
        <v>0.30640240000000002</v>
      </c>
      <c r="R672">
        <v>4.1960509999999999E-2</v>
      </c>
      <c r="S672">
        <v>3.6033330000000001</v>
      </c>
      <c r="T672">
        <v>-1.4074709999999999</v>
      </c>
      <c r="U672">
        <v>9.1247560000000005E-2</v>
      </c>
      <c r="V672">
        <v>-4.7325039999999999E-2</v>
      </c>
      <c r="W672">
        <v>0.31978289999999998</v>
      </c>
      <c r="X672">
        <v>0.94630820000000004</v>
      </c>
      <c r="Y672">
        <v>-2.8410520000000002E-2</v>
      </c>
      <c r="Z672">
        <v>7.6114490000000002E-3</v>
      </c>
      <c r="AA672">
        <v>0.99956739999999999</v>
      </c>
      <c r="AB672">
        <v>33</v>
      </c>
      <c r="AC672">
        <v>0.57130000000000702</v>
      </c>
      <c r="AD672">
        <v>-0.28377609999999998</v>
      </c>
      <c r="AE672">
        <v>1.9099999999980299E-2</v>
      </c>
      <c r="AF672">
        <v>-1.7914801798529199E-2</v>
      </c>
      <c r="AG672">
        <v>-0.28377609999999998</v>
      </c>
      <c r="AH672">
        <v>0.45824579891130202</v>
      </c>
      <c r="AI672">
        <v>121.748950029195</v>
      </c>
      <c r="AJ672">
        <v>92.238798673329896</v>
      </c>
      <c r="AK672">
        <v>0.53929493533181605</v>
      </c>
      <c r="AL672">
        <v>71.350203619462903</v>
      </c>
      <c r="AM672">
        <v>92.862986835909993</v>
      </c>
      <c r="AN672">
        <v>0.99999998596532502</v>
      </c>
    </row>
    <row r="673" spans="1:40" x14ac:dyDescent="0.25">
      <c r="A673" t="str">
        <f>"20190304164834989"</f>
        <v>20190304164834989</v>
      </c>
      <c r="B673" t="str">
        <f>"1551689314977134"</f>
        <v>1551689314977134</v>
      </c>
      <c r="C673" t="s">
        <v>40</v>
      </c>
      <c r="D673">
        <v>4.7175050000000001</v>
      </c>
      <c r="E673">
        <v>0.54015329999999995</v>
      </c>
      <c r="F673" t="s">
        <v>41</v>
      </c>
      <c r="G673">
        <v>-337.20839999999998</v>
      </c>
      <c r="H673">
        <v>0.78095870000000001</v>
      </c>
      <c r="I673">
        <v>367.9282</v>
      </c>
      <c r="J673">
        <v>-337.90289999999999</v>
      </c>
      <c r="K673">
        <v>1.1105750000000001</v>
      </c>
      <c r="L673">
        <v>367.9074</v>
      </c>
      <c r="M673">
        <v>0.99988480000000002</v>
      </c>
      <c r="N673">
        <v>-1.409175E-2</v>
      </c>
      <c r="O673">
        <v>-5.6536569999999899E-3</v>
      </c>
      <c r="P673">
        <v>0.95094749999999995</v>
      </c>
      <c r="Q673">
        <v>0.306527299999999</v>
      </c>
      <c r="R673">
        <v>4.1716929999999999E-2</v>
      </c>
      <c r="S673">
        <v>3.6019589999999901</v>
      </c>
      <c r="T673">
        <v>-1.3997759999999999</v>
      </c>
      <c r="U673">
        <v>8.4686280000000003E-2</v>
      </c>
      <c r="V673">
        <v>-4.7081280000000003E-2</v>
      </c>
      <c r="W673">
        <v>0.31989580000000001</v>
      </c>
      <c r="X673">
        <v>0.94628219999999996</v>
      </c>
      <c r="Y673">
        <v>-2.6750679999999999E-2</v>
      </c>
      <c r="Z673">
        <v>7.2526129999999998E-3</v>
      </c>
      <c r="AA673">
        <v>0.99961580000000005</v>
      </c>
      <c r="AB673">
        <v>33</v>
      </c>
      <c r="AC673">
        <v>0.694500000000005</v>
      </c>
      <c r="AD673">
        <v>-0.32961629999999997</v>
      </c>
      <c r="AE673">
        <v>2.0800000000008301E-2</v>
      </c>
      <c r="AF673">
        <v>-2.0184053881957799E-2</v>
      </c>
      <c r="AG673">
        <v>-0.32961629999999997</v>
      </c>
      <c r="AH673">
        <v>0.56680950105363004</v>
      </c>
      <c r="AI673">
        <v>120.16347891093901</v>
      </c>
      <c r="AJ673">
        <v>92.039437670949496</v>
      </c>
      <c r="AK673">
        <v>0.65599337781830203</v>
      </c>
      <c r="AL673">
        <v>71.343376297850995</v>
      </c>
      <c r="AM673">
        <v>92.848342748655995</v>
      </c>
      <c r="AN673">
        <v>0.99999998591045902</v>
      </c>
    </row>
    <row r="674" spans="1:40" x14ac:dyDescent="0.25">
      <c r="A674" t="str">
        <f>"20190304164834999"</f>
        <v>20190304164834999</v>
      </c>
      <c r="B674" t="str">
        <f>"1551689314986894"</f>
        <v>1551689314986894</v>
      </c>
      <c r="C674" t="s">
        <v>40</v>
      </c>
      <c r="D674">
        <v>4.7124370000000004</v>
      </c>
      <c r="E674">
        <v>0.54053769999999901</v>
      </c>
      <c r="F674" t="s">
        <v>41</v>
      </c>
      <c r="G674">
        <v>-337.18669999999997</v>
      </c>
      <c r="H674">
        <v>0.83356299999999905</v>
      </c>
      <c r="I674">
        <v>367.92329999999998</v>
      </c>
      <c r="J674">
        <v>-337.76420000000002</v>
      </c>
      <c r="K674">
        <v>1.110574</v>
      </c>
      <c r="L674">
        <v>367.90660000000003</v>
      </c>
      <c r="M674">
        <v>0.99988500000000002</v>
      </c>
      <c r="N674">
        <v>-1.407927E-2</v>
      </c>
      <c r="O674">
        <v>-5.6535700000000001E-3</v>
      </c>
      <c r="P674">
        <v>0.95088150000000005</v>
      </c>
      <c r="Q674">
        <v>0.30676959999999998</v>
      </c>
      <c r="R674">
        <v>4.143554E-2</v>
      </c>
      <c r="S674">
        <v>3.6000369999999999</v>
      </c>
      <c r="T674">
        <v>-1.3923859999999999</v>
      </c>
      <c r="U674">
        <v>8.0017089999999999E-2</v>
      </c>
      <c r="V674">
        <v>-4.6799489999999999E-2</v>
      </c>
      <c r="W674">
        <v>0.320125299999999</v>
      </c>
      <c r="X674">
        <v>0.94621860000000002</v>
      </c>
      <c r="Y674">
        <v>-2.557713E-2</v>
      </c>
      <c r="Z674">
        <v>6.9933089999999996E-3</v>
      </c>
      <c r="AA674">
        <v>0.99964839999999999</v>
      </c>
      <c r="AB674">
        <v>33</v>
      </c>
      <c r="AC674">
        <v>0.57750000000004298</v>
      </c>
      <c r="AD674">
        <v>-0.27701100000000001</v>
      </c>
      <c r="AE674">
        <v>1.6699999999957499E-2</v>
      </c>
      <c r="AF674">
        <v>-1.6233104838804101E-2</v>
      </c>
      <c r="AG674">
        <v>-0.27701100000000001</v>
      </c>
      <c r="AH674">
        <v>0.46946850309538701</v>
      </c>
      <c r="AI674">
        <v>120.52785041134599</v>
      </c>
      <c r="AJ674">
        <v>91.980362857700797</v>
      </c>
      <c r="AK674">
        <v>0.54534327098840296</v>
      </c>
      <c r="AL674">
        <v>71.329497712275796</v>
      </c>
      <c r="AM674">
        <v>92.831512720975695</v>
      </c>
      <c r="AN674">
        <v>1.0000000194751499</v>
      </c>
    </row>
    <row r="675" spans="1:40" x14ac:dyDescent="0.25">
      <c r="A675" t="str">
        <f>"20190304164835009"</f>
        <v>20190304164835009</v>
      </c>
      <c r="B675" t="str">
        <f>"1551689314996653"</f>
        <v>1551689314996653</v>
      </c>
      <c r="C675" t="s">
        <v>40</v>
      </c>
      <c r="D675">
        <v>4.6908690000000002</v>
      </c>
      <c r="E675">
        <v>0.54085609999999995</v>
      </c>
      <c r="F675" t="s">
        <v>41</v>
      </c>
      <c r="G675">
        <v>-336.91230000000002</v>
      </c>
      <c r="H675">
        <v>0.78265869999999904</v>
      </c>
      <c r="I675">
        <v>367.92430000000002</v>
      </c>
      <c r="J675">
        <v>-337.6155</v>
      </c>
      <c r="K675">
        <v>1.110571</v>
      </c>
      <c r="L675">
        <v>367.9058</v>
      </c>
      <c r="M675">
        <v>0.99988509999999997</v>
      </c>
      <c r="N675">
        <v>-1.406347E-2</v>
      </c>
      <c r="O675">
        <v>-5.6534589999999996E-3</v>
      </c>
      <c r="P675">
        <v>0.95080609999999999</v>
      </c>
      <c r="Q675">
        <v>0.3070387</v>
      </c>
      <c r="R675">
        <v>4.1172229999999997E-2</v>
      </c>
      <c r="S675">
        <v>3.598541</v>
      </c>
      <c r="T675">
        <v>-1.3850480000000001</v>
      </c>
      <c r="U675">
        <v>7.5286870000000006E-2</v>
      </c>
      <c r="V675">
        <v>-4.6535859999999998E-2</v>
      </c>
      <c r="W675">
        <v>0.3203783</v>
      </c>
      <c r="X675">
        <v>0.94614600000000004</v>
      </c>
      <c r="Y675">
        <v>-2.4382870000000001E-2</v>
      </c>
      <c r="Z675">
        <v>6.7313769999999898E-3</v>
      </c>
      <c r="AA675">
        <v>0.99968000000000001</v>
      </c>
      <c r="AB675">
        <v>33</v>
      </c>
      <c r="AC675">
        <v>0.70319999999998095</v>
      </c>
      <c r="AD675">
        <v>-0.32791229999999999</v>
      </c>
      <c r="AE675">
        <v>1.8500000000017201E-2</v>
      </c>
      <c r="AF675">
        <v>-1.84635120491418E-2</v>
      </c>
      <c r="AG675">
        <v>-0.32791229999999999</v>
      </c>
      <c r="AH675">
        <v>0.57757733386240395</v>
      </c>
      <c r="AI675">
        <v>119.572640236594</v>
      </c>
      <c r="AJ675">
        <v>91.830960331359705</v>
      </c>
      <c r="AK675">
        <v>0.66442678630537</v>
      </c>
      <c r="AL675">
        <v>71.314196515518603</v>
      </c>
      <c r="AM675">
        <v>92.815803735033498</v>
      </c>
      <c r="AN675">
        <v>1.0000000473464099</v>
      </c>
    </row>
    <row r="676" spans="1:40" x14ac:dyDescent="0.25">
      <c r="A676" t="str">
        <f>"20190304164835022"</f>
        <v>20190304164835022</v>
      </c>
      <c r="B676" t="str">
        <f>"1551689315017149"</f>
        <v>1551689315017149</v>
      </c>
      <c r="C676" t="s">
        <v>40</v>
      </c>
      <c r="D676">
        <v>4.6958970000000004</v>
      </c>
      <c r="E676">
        <v>0.54143019999999997</v>
      </c>
      <c r="F676" t="s">
        <v>41</v>
      </c>
      <c r="G676">
        <v>-336.89139999999998</v>
      </c>
      <c r="H676">
        <v>0.83306480000000005</v>
      </c>
      <c r="I676">
        <v>367.92</v>
      </c>
      <c r="J676">
        <v>-337.4468</v>
      </c>
      <c r="K676">
        <v>1.1105670000000001</v>
      </c>
      <c r="L676">
        <v>367.90480000000002</v>
      </c>
      <c r="M676">
        <v>0.99988560000000004</v>
      </c>
      <c r="N676">
        <v>-1.4043389999999999E-2</v>
      </c>
      <c r="O676">
        <v>-5.6536759999999998E-3</v>
      </c>
      <c r="P676">
        <v>0.95068509999999995</v>
      </c>
      <c r="Q676">
        <v>0.30744149999999998</v>
      </c>
      <c r="R676">
        <v>4.0961360000000002E-2</v>
      </c>
      <c r="S676">
        <v>3.5973510000000002</v>
      </c>
      <c r="T676">
        <v>-1.378733</v>
      </c>
      <c r="U676">
        <v>7.1655269999999993E-2</v>
      </c>
      <c r="V676">
        <v>-4.6324259999999999E-2</v>
      </c>
      <c r="W676">
        <v>0.3207605</v>
      </c>
      <c r="X676">
        <v>0.9460269</v>
      </c>
      <c r="Y676">
        <v>-2.346645E-2</v>
      </c>
      <c r="Z676">
        <v>6.5288619999999999E-3</v>
      </c>
      <c r="AA676">
        <v>0.99970329999999996</v>
      </c>
      <c r="AB676">
        <v>33</v>
      </c>
      <c r="AC676">
        <v>0.55540000000001999</v>
      </c>
      <c r="AD676">
        <v>-0.27750219999999998</v>
      </c>
      <c r="AE676">
        <v>1.51999999999929E-2</v>
      </c>
      <c r="AF676">
        <v>-1.4678468796094701E-2</v>
      </c>
      <c r="AG676">
        <v>-0.27750219999999998</v>
      </c>
      <c r="AH676">
        <v>0.44443715336885298</v>
      </c>
      <c r="AI676">
        <v>121.96622232089599</v>
      </c>
      <c r="AJ676">
        <v>91.891625656367296</v>
      </c>
      <c r="AK676">
        <v>0.52416343991702397</v>
      </c>
      <c r="AL676">
        <v>71.291078341829405</v>
      </c>
      <c r="AM676">
        <v>92.803372976972199</v>
      </c>
      <c r="AN676">
        <v>1.0000000654742001</v>
      </c>
    </row>
    <row r="677" spans="1:40" x14ac:dyDescent="0.25">
      <c r="A677" t="str">
        <f>"20190304164835032"</f>
        <v>20190304164835032</v>
      </c>
      <c r="B677" t="str">
        <f>"1551689315026909"</f>
        <v>1551689315026909</v>
      </c>
      <c r="C677" t="s">
        <v>40</v>
      </c>
      <c r="D677">
        <v>4.7416029999999996</v>
      </c>
      <c r="E677">
        <v>0.5416183</v>
      </c>
      <c r="F677" t="s">
        <v>41</v>
      </c>
      <c r="G677">
        <v>-336.61270000000002</v>
      </c>
      <c r="H677">
        <v>0.79326090000000005</v>
      </c>
      <c r="I677">
        <v>367.92</v>
      </c>
      <c r="J677">
        <v>-337.26170000000002</v>
      </c>
      <c r="K677">
        <v>1.1105640000000001</v>
      </c>
      <c r="L677">
        <v>367.90379999999999</v>
      </c>
      <c r="M677">
        <v>0.99988580000000005</v>
      </c>
      <c r="N677">
        <v>-1.401881E-2</v>
      </c>
      <c r="O677">
        <v>-5.6535040000000002E-3</v>
      </c>
      <c r="P677">
        <v>0.95062849999999999</v>
      </c>
      <c r="Q677">
        <v>0.30769370000000001</v>
      </c>
      <c r="R677">
        <v>4.0378539999999997E-2</v>
      </c>
      <c r="S677">
        <v>3.595062</v>
      </c>
      <c r="T677">
        <v>-1.3675889999999999</v>
      </c>
      <c r="U677">
        <v>6.5856929999999994E-2</v>
      </c>
      <c r="V677">
        <v>-4.574131E-2</v>
      </c>
      <c r="W677">
        <v>0.32098850000000001</v>
      </c>
      <c r="X677">
        <v>0.94597790000000004</v>
      </c>
      <c r="Y677">
        <v>-2.2003399999999999E-2</v>
      </c>
      <c r="Z677">
        <v>6.2043180000000003E-3</v>
      </c>
      <c r="AA677">
        <v>0.99973860000000003</v>
      </c>
      <c r="AB677">
        <v>33</v>
      </c>
      <c r="AC677">
        <v>0.64900000000000002</v>
      </c>
      <c r="AD677">
        <v>-0.31730309999999901</v>
      </c>
      <c r="AE677">
        <v>1.62000000000261E-2</v>
      </c>
      <c r="AF677">
        <v>-1.6037991378732099E-2</v>
      </c>
      <c r="AG677">
        <v>-0.31730309999999901</v>
      </c>
      <c r="AH677">
        <v>0.52377587580189899</v>
      </c>
      <c r="AI677">
        <v>121.19555866153399</v>
      </c>
      <c r="AJ677">
        <v>91.753845943850393</v>
      </c>
      <c r="AK677">
        <v>0.61260072029758506</v>
      </c>
      <c r="AL677">
        <v>71.277284993108594</v>
      </c>
      <c r="AM677">
        <v>92.768293380034706</v>
      </c>
      <c r="AN677">
        <v>1.0000000359305801</v>
      </c>
    </row>
    <row r="678" spans="1:40" x14ac:dyDescent="0.25">
      <c r="A678" t="str">
        <f>"20190304164835043"</f>
        <v>20190304164835043</v>
      </c>
      <c r="B678" t="str">
        <f>"1551689315036669"</f>
        <v>1551689315036669</v>
      </c>
      <c r="C678" t="s">
        <v>40</v>
      </c>
      <c r="D678">
        <v>4.7397400000000003</v>
      </c>
      <c r="E678">
        <v>0.54177529999999996</v>
      </c>
      <c r="F678" t="s">
        <v>41</v>
      </c>
      <c r="G678">
        <v>-336.58690000000001</v>
      </c>
      <c r="H678">
        <v>0.85457559999999999</v>
      </c>
      <c r="I678">
        <v>367.91559999999998</v>
      </c>
      <c r="J678">
        <v>-337.10680000000002</v>
      </c>
      <c r="K678">
        <v>1.110563</v>
      </c>
      <c r="L678">
        <v>367.90289999999999</v>
      </c>
      <c r="M678">
        <v>0.9998861</v>
      </c>
      <c r="N678">
        <v>-1.399513E-2</v>
      </c>
      <c r="O678">
        <v>-5.6534580000000001E-3</v>
      </c>
      <c r="P678">
        <v>0.9506232</v>
      </c>
      <c r="Q678">
        <v>0.30776150000000002</v>
      </c>
      <c r="R678">
        <v>3.9982459999999997E-2</v>
      </c>
      <c r="S678">
        <v>3.5945130000000001</v>
      </c>
      <c r="T678">
        <v>-1.363672</v>
      </c>
      <c r="U678">
        <v>6.2805180000000002E-2</v>
      </c>
      <c r="V678">
        <v>-4.5344959999999997E-2</v>
      </c>
      <c r="W678">
        <v>0.32103409999999999</v>
      </c>
      <c r="X678">
        <v>0.94598150000000003</v>
      </c>
      <c r="Y678">
        <v>-2.1224199999999999E-2</v>
      </c>
      <c r="Z678">
        <v>6.0401700000000001E-3</v>
      </c>
      <c r="AA678">
        <v>0.99975650000000005</v>
      </c>
      <c r="AB678">
        <v>33</v>
      </c>
      <c r="AC678">
        <v>0.51990000000000602</v>
      </c>
      <c r="AD678">
        <v>-0.25598739999999998</v>
      </c>
      <c r="AE678">
        <v>1.26999999999952E-2</v>
      </c>
      <c r="AF678">
        <v>-1.25890868581251E-2</v>
      </c>
      <c r="AG678">
        <v>-0.25598739999999998</v>
      </c>
      <c r="AH678">
        <v>0.41843626538805201</v>
      </c>
      <c r="AI678">
        <v>121.445571244389</v>
      </c>
      <c r="AJ678">
        <v>91.723282825409896</v>
      </c>
      <c r="AK678">
        <v>0.49069027120840902</v>
      </c>
      <c r="AL678">
        <v>71.274526159675901</v>
      </c>
      <c r="AM678">
        <v>92.744332427251905</v>
      </c>
      <c r="AN678">
        <v>1.00000002855123</v>
      </c>
    </row>
    <row r="679" spans="1:40" x14ac:dyDescent="0.25">
      <c r="A679" t="str">
        <f>"20190304164835054"</f>
        <v>20190304164835054</v>
      </c>
      <c r="B679" t="str">
        <f>"1551689315047405"</f>
        <v>1551689315047405</v>
      </c>
      <c r="C679" t="s">
        <v>40</v>
      </c>
      <c r="D679">
        <v>4.7389279999999996</v>
      </c>
      <c r="E679">
        <v>0.54191080000000003</v>
      </c>
      <c r="F679" t="s">
        <v>41</v>
      </c>
      <c r="G679">
        <v>-336.31099999999998</v>
      </c>
      <c r="H679">
        <v>0.80919810000000003</v>
      </c>
      <c r="I679">
        <v>367.91629999999998</v>
      </c>
      <c r="J679">
        <v>-336.94529999999997</v>
      </c>
      <c r="K679">
        <v>1.1105529999999999</v>
      </c>
      <c r="L679">
        <v>367.90199999999999</v>
      </c>
      <c r="M679">
        <v>0.99988659999999996</v>
      </c>
      <c r="N679">
        <v>-1.396971E-2</v>
      </c>
      <c r="O679">
        <v>-5.6536379999999999E-3</v>
      </c>
      <c r="P679">
        <v>0.95052979999999998</v>
      </c>
      <c r="Q679">
        <v>0.30805549999999998</v>
      </c>
      <c r="R679">
        <v>3.9940780000000002E-2</v>
      </c>
      <c r="S679">
        <v>3.5938720000000002</v>
      </c>
      <c r="T679">
        <v>-1.3610439999999999</v>
      </c>
      <c r="U679">
        <v>6.1370849999999998E-2</v>
      </c>
      <c r="V679">
        <v>-4.5302719999999998E-2</v>
      </c>
      <c r="W679">
        <v>0.32130239999999999</v>
      </c>
      <c r="X679">
        <v>0.94589239999999997</v>
      </c>
      <c r="Y679">
        <v>-2.086116E-2</v>
      </c>
      <c r="Z679">
        <v>5.9612709999999998E-3</v>
      </c>
      <c r="AA679">
        <v>0.9997646</v>
      </c>
      <c r="AB679">
        <v>33</v>
      </c>
      <c r="AC679">
        <v>0.63429999999999598</v>
      </c>
      <c r="AD679">
        <v>-0.30135489999999998</v>
      </c>
      <c r="AE679">
        <v>1.42999999999915E-2</v>
      </c>
      <c r="AF679">
        <v>-1.45938053880981E-2</v>
      </c>
      <c r="AG679">
        <v>-0.30135489999999998</v>
      </c>
      <c r="AH679">
        <v>0.51746657809150898</v>
      </c>
      <c r="AI679">
        <v>120.20515950059099</v>
      </c>
      <c r="AJ679">
        <v>91.615450946555995</v>
      </c>
      <c r="AK679">
        <v>0.59899867641878102</v>
      </c>
      <c r="AL679">
        <v>71.2582931992862</v>
      </c>
      <c r="AM679">
        <v>92.742037786121699</v>
      </c>
      <c r="AN679">
        <v>1.00000000053145</v>
      </c>
    </row>
    <row r="680" spans="1:40" x14ac:dyDescent="0.25">
      <c r="A680" t="str">
        <f>"20190304164835065"</f>
        <v>20190304164835065</v>
      </c>
      <c r="B680" t="str">
        <f>"1551689315057166"</f>
        <v>1551689315057166</v>
      </c>
      <c r="C680" t="s">
        <v>40</v>
      </c>
      <c r="D680">
        <v>4.7165520000000001</v>
      </c>
      <c r="E680">
        <v>0.5420663</v>
      </c>
      <c r="F680" t="s">
        <v>41</v>
      </c>
      <c r="G680">
        <v>-336.28840000000002</v>
      </c>
      <c r="H680">
        <v>0.86231859999999905</v>
      </c>
      <c r="I680">
        <v>367.91289999999998</v>
      </c>
      <c r="J680">
        <v>-336.78519999999997</v>
      </c>
      <c r="K680">
        <v>1.1105480000000001</v>
      </c>
      <c r="L680">
        <v>367.90109999999999</v>
      </c>
      <c r="M680">
        <v>0.99988690000000002</v>
      </c>
      <c r="N680">
        <v>-1.3940940000000001E-2</v>
      </c>
      <c r="O680">
        <v>-5.6534380000000002E-3</v>
      </c>
      <c r="P680">
        <v>0.95041629999999999</v>
      </c>
      <c r="Q680">
        <v>0.30845709999999998</v>
      </c>
      <c r="R680">
        <v>3.9538089999999998E-2</v>
      </c>
      <c r="S680">
        <v>3.5937190000000001</v>
      </c>
      <c r="T680">
        <v>-1.357961</v>
      </c>
      <c r="U680">
        <v>6.0852049999999998E-2</v>
      </c>
      <c r="V680">
        <v>-4.4899370000000001E-2</v>
      </c>
      <c r="W680">
        <v>0.32167479999999998</v>
      </c>
      <c r="X680">
        <v>0.94578499999999999</v>
      </c>
      <c r="Y680">
        <v>-2.0734519999999999E-2</v>
      </c>
      <c r="Z680">
        <v>5.9247400000000004E-3</v>
      </c>
      <c r="AA680">
        <v>0.99976750000000003</v>
      </c>
      <c r="AB680">
        <v>33</v>
      </c>
      <c r="AC680">
        <v>0.49679999999995</v>
      </c>
      <c r="AD680">
        <v>-0.24822939999999999</v>
      </c>
      <c r="AE680">
        <v>1.17999999999938E-2</v>
      </c>
      <c r="AF680">
        <v>-1.16914971261253E-2</v>
      </c>
      <c r="AG680">
        <v>-0.24822939999999999</v>
      </c>
      <c r="AH680">
        <v>0.39753421367930197</v>
      </c>
      <c r="AI680">
        <v>121.97046652533299</v>
      </c>
      <c r="AJ680">
        <v>91.684585584996995</v>
      </c>
      <c r="AK680">
        <v>0.46881550440981701</v>
      </c>
      <c r="AL680">
        <v>71.235759026658101</v>
      </c>
      <c r="AM680">
        <v>92.717969130170502</v>
      </c>
      <c r="AN680">
        <v>0.99999994830321703</v>
      </c>
    </row>
    <row r="681" spans="1:40" x14ac:dyDescent="0.25">
      <c r="A681" t="str">
        <f>"20190304164835076"</f>
        <v>20190304164835076</v>
      </c>
      <c r="B681" t="str">
        <f>"1551689315066925"</f>
        <v>1551689315066925</v>
      </c>
      <c r="C681" t="s">
        <v>40</v>
      </c>
      <c r="D681">
        <v>4.7407570000000003</v>
      </c>
      <c r="E681">
        <v>0.54221980000000003</v>
      </c>
      <c r="F681" t="s">
        <v>41</v>
      </c>
      <c r="G681">
        <v>-336.01190000000003</v>
      </c>
      <c r="H681">
        <v>0.81917430000000002</v>
      </c>
      <c r="I681">
        <v>367.91390000000001</v>
      </c>
      <c r="J681">
        <v>-336.62639999999999</v>
      </c>
      <c r="K681">
        <v>1.1105430000000001</v>
      </c>
      <c r="L681">
        <v>367.90019999999998</v>
      </c>
      <c r="M681">
        <v>0.99988719999999998</v>
      </c>
      <c r="N681">
        <v>-1.391186E-2</v>
      </c>
      <c r="O681">
        <v>-5.6534740000000003E-3</v>
      </c>
      <c r="P681">
        <v>0.95039660000000004</v>
      </c>
      <c r="Q681">
        <v>0.30857289999999998</v>
      </c>
      <c r="R681">
        <v>3.9105130000000002E-2</v>
      </c>
      <c r="S681">
        <v>3.5934750000000002</v>
      </c>
      <c r="T681">
        <v>-1.3540479999999999</v>
      </c>
      <c r="U681">
        <v>5.9997559999999998E-2</v>
      </c>
      <c r="V681">
        <v>-4.4465900000000003E-2</v>
      </c>
      <c r="W681">
        <v>0.32176329999999997</v>
      </c>
      <c r="X681">
        <v>0.94577540000000004</v>
      </c>
      <c r="Y681">
        <v>-2.0523159999999999E-2</v>
      </c>
      <c r="Z681">
        <v>5.8691439999999998E-3</v>
      </c>
      <c r="AA681">
        <v>0.99977210000000005</v>
      </c>
      <c r="AB681">
        <v>33</v>
      </c>
      <c r="AC681">
        <v>0.61449999999996396</v>
      </c>
      <c r="AD681">
        <v>-0.29136869999999998</v>
      </c>
      <c r="AE681">
        <v>1.37000000000284E-2</v>
      </c>
      <c r="AF681">
        <v>-1.40230336555282E-2</v>
      </c>
      <c r="AG681">
        <v>-0.29136869999999998</v>
      </c>
      <c r="AH681">
        <v>0.50167936033085203</v>
      </c>
      <c r="AI681">
        <v>120.137733799407</v>
      </c>
      <c r="AJ681">
        <v>91.601125243480197</v>
      </c>
      <c r="AK681">
        <v>0.580322794136649</v>
      </c>
      <c r="AL681">
        <v>71.230404099785403</v>
      </c>
      <c r="AM681">
        <v>92.691795224287901</v>
      </c>
      <c r="AN681">
        <v>0.99999997236742899</v>
      </c>
    </row>
    <row r="682" spans="1:40" x14ac:dyDescent="0.25">
      <c r="A682" t="str">
        <f>"20190304164835086"</f>
        <v>20190304164835086</v>
      </c>
      <c r="B682" t="str">
        <f>"1551689315076686"</f>
        <v>1551689315076686</v>
      </c>
      <c r="C682" t="s">
        <v>40</v>
      </c>
      <c r="D682">
        <v>4.7411849999999998</v>
      </c>
      <c r="E682">
        <v>0.54234869999999902</v>
      </c>
      <c r="F682" t="s">
        <v>41</v>
      </c>
      <c r="G682">
        <v>-335.73500000000001</v>
      </c>
      <c r="H682">
        <v>0.77535559999999903</v>
      </c>
      <c r="I682">
        <v>367.91419999999999</v>
      </c>
      <c r="J682">
        <v>-336.46910000000003</v>
      </c>
      <c r="K682">
        <v>1.110541</v>
      </c>
      <c r="L682">
        <v>367.89929999999998</v>
      </c>
      <c r="M682">
        <v>0.99988779999999999</v>
      </c>
      <c r="N682">
        <v>-1.387995E-2</v>
      </c>
      <c r="O682">
        <v>-5.6536109999999898E-3</v>
      </c>
      <c r="P682">
        <v>0.95043</v>
      </c>
      <c r="Q682">
        <v>0.30846689999999999</v>
      </c>
      <c r="R682">
        <v>3.9131060000000002E-2</v>
      </c>
      <c r="S682">
        <v>3.5928650000000002</v>
      </c>
      <c r="T682">
        <v>-1.351029</v>
      </c>
      <c r="U682">
        <v>5.7312009999999997E-2</v>
      </c>
      <c r="V682">
        <v>-4.4492419999999998E-2</v>
      </c>
      <c r="W682">
        <v>0.32162740000000001</v>
      </c>
      <c r="X682">
        <v>0.94582040000000001</v>
      </c>
      <c r="Y682">
        <v>-1.9835160000000001E-2</v>
      </c>
      <c r="Z682">
        <v>5.7278399999999997E-3</v>
      </c>
      <c r="AA682">
        <v>0.99978690000000003</v>
      </c>
      <c r="AB682">
        <v>33</v>
      </c>
      <c r="AC682">
        <v>0.73410000000001197</v>
      </c>
      <c r="AD682">
        <v>-0.33518540000000002</v>
      </c>
      <c r="AE682">
        <v>1.4900000000011401E-2</v>
      </c>
      <c r="AF682">
        <v>-1.5765147738864501E-2</v>
      </c>
      <c r="AG682">
        <v>-0.33518540000000002</v>
      </c>
      <c r="AH682">
        <v>0.60742215414188405</v>
      </c>
      <c r="AI682">
        <v>118.88246686665499</v>
      </c>
      <c r="AJ682">
        <v>91.4867315638554</v>
      </c>
      <c r="AK682">
        <v>0.69394485775078296</v>
      </c>
      <c r="AL682">
        <v>71.238628168553902</v>
      </c>
      <c r="AM682">
        <v>92.693270322987999</v>
      </c>
      <c r="AN682">
        <v>0.99999999446218801</v>
      </c>
    </row>
    <row r="683" spans="1:40" x14ac:dyDescent="0.25">
      <c r="A683" t="str">
        <f>"20190304164835098"</f>
        <v>20190304164835098</v>
      </c>
      <c r="B683" t="str">
        <f>"1551689315087421"</f>
        <v>1551689315087421</v>
      </c>
      <c r="C683" t="s">
        <v>40</v>
      </c>
      <c r="D683">
        <v>4.7414449999999997</v>
      </c>
      <c r="E683">
        <v>0.54247579999999995</v>
      </c>
      <c r="F683" t="s">
        <v>41</v>
      </c>
      <c r="G683">
        <v>-335.714</v>
      </c>
      <c r="H683">
        <v>0.82683189999999995</v>
      </c>
      <c r="I683">
        <v>367.91090000000003</v>
      </c>
      <c r="J683">
        <v>-336.30560000000003</v>
      </c>
      <c r="K683">
        <v>1.1105339999999999</v>
      </c>
      <c r="L683">
        <v>367.89830000000001</v>
      </c>
      <c r="M683">
        <v>0.99988840000000001</v>
      </c>
      <c r="N683">
        <v>-1.3845949999999999E-2</v>
      </c>
      <c r="O683">
        <v>-5.6536140000000004E-3</v>
      </c>
      <c r="P683">
        <v>0.95049459999999997</v>
      </c>
      <c r="Q683">
        <v>0.30830210000000002</v>
      </c>
      <c r="R683">
        <v>3.8859039999999997E-2</v>
      </c>
      <c r="S683">
        <v>3.592133</v>
      </c>
      <c r="T683">
        <v>-1.3494200000000001</v>
      </c>
      <c r="U683">
        <v>5.6243899999999999E-2</v>
      </c>
      <c r="V683">
        <v>-4.4220860000000001E-2</v>
      </c>
      <c r="W683">
        <v>0.32143149999999998</v>
      </c>
      <c r="X683">
        <v>0.94589970000000001</v>
      </c>
      <c r="Y683">
        <v>-1.9563839999999999E-2</v>
      </c>
      <c r="Z683">
        <v>5.6712239999999999E-3</v>
      </c>
      <c r="AA683">
        <v>0.99979249999999997</v>
      </c>
      <c r="AB683">
        <v>33</v>
      </c>
      <c r="AC683">
        <v>0.59160000000002799</v>
      </c>
      <c r="AD683">
        <v>-0.28370210000000001</v>
      </c>
      <c r="AE683">
        <v>1.26000000000203E-2</v>
      </c>
      <c r="AF683">
        <v>-1.2964677892253799E-2</v>
      </c>
      <c r="AG683">
        <v>-0.28370210000000001</v>
      </c>
      <c r="AH683">
        <v>0.48096300374234202</v>
      </c>
      <c r="AI683">
        <v>120.525660956652</v>
      </c>
      <c r="AJ683">
        <v>91.544071966671595</v>
      </c>
      <c r="AK683">
        <v>0.55855203462713798</v>
      </c>
      <c r="AL683">
        <v>71.250481333609201</v>
      </c>
      <c r="AM683">
        <v>92.676631810644295</v>
      </c>
      <c r="AN683">
        <v>0.99999996805573899</v>
      </c>
    </row>
    <row r="684" spans="1:40" x14ac:dyDescent="0.25">
      <c r="A684" t="str">
        <f>"20190304164835109"</f>
        <v>20190304164835109</v>
      </c>
      <c r="B684" t="str">
        <f>"1551689315097182"</f>
        <v>1551689315097182</v>
      </c>
      <c r="C684" t="s">
        <v>40</v>
      </c>
      <c r="D684">
        <v>4.4726559999999997</v>
      </c>
      <c r="E684">
        <v>0.54360830000000004</v>
      </c>
      <c r="F684" t="s">
        <v>41</v>
      </c>
      <c r="G684">
        <v>-335.4366</v>
      </c>
      <c r="H684">
        <v>0.78437849999999998</v>
      </c>
      <c r="I684">
        <v>367.91160000000002</v>
      </c>
      <c r="J684">
        <v>-336.13869999999997</v>
      </c>
      <c r="K684">
        <v>1.1105320000000001</v>
      </c>
      <c r="L684">
        <v>367.8974</v>
      </c>
      <c r="M684">
        <v>0.99988869999999996</v>
      </c>
      <c r="N684">
        <v>-1.3808890000000001E-2</v>
      </c>
      <c r="O684">
        <v>-5.6535969999999998E-3</v>
      </c>
      <c r="P684">
        <v>0.95052859999999995</v>
      </c>
      <c r="Q684">
        <v>0.30820629999999999</v>
      </c>
      <c r="R684">
        <v>3.878939E-2</v>
      </c>
      <c r="S684">
        <v>3.5912169999999999</v>
      </c>
      <c r="T684">
        <v>-1.347933</v>
      </c>
      <c r="U684">
        <v>5.4992680000000002E-2</v>
      </c>
      <c r="V684">
        <v>-4.4151660000000002E-2</v>
      </c>
      <c r="W684">
        <v>0.32130140000000001</v>
      </c>
      <c r="X684">
        <v>0.94594719999999999</v>
      </c>
      <c r="Y684">
        <v>-1.924503E-2</v>
      </c>
      <c r="Z684">
        <v>5.6064649999999997E-3</v>
      </c>
      <c r="AA684">
        <v>0.99979910000000005</v>
      </c>
      <c r="AB684">
        <v>33</v>
      </c>
      <c r="AC684">
        <v>0.70209999999997297</v>
      </c>
      <c r="AD684">
        <v>-0.32615349999999999</v>
      </c>
      <c r="AE684">
        <v>1.42000000000166E-2</v>
      </c>
      <c r="AF684">
        <v>-1.49456324730271E-2</v>
      </c>
      <c r="AG684">
        <v>-0.32615349999999999</v>
      </c>
      <c r="AH684">
        <v>0.57744773883007205</v>
      </c>
      <c r="AI684">
        <v>119.450375711703</v>
      </c>
      <c r="AJ684">
        <v>91.482611271032596</v>
      </c>
      <c r="AK684">
        <v>0.66335915503762499</v>
      </c>
      <c r="AL684">
        <v>71.258354314052895</v>
      </c>
      <c r="AM684">
        <v>92.672315300335995</v>
      </c>
      <c r="AN684">
        <v>1.00000003195527</v>
      </c>
    </row>
    <row r="685" spans="1:40" x14ac:dyDescent="0.25">
      <c r="A685" t="str">
        <f>"20190304164835122"</f>
        <v>20190304164835122</v>
      </c>
      <c r="B685" t="str">
        <f>"1551689315116701"</f>
        <v>1551689315116701</v>
      </c>
      <c r="C685" t="s">
        <v>40</v>
      </c>
      <c r="D685">
        <v>4.8124250000000002</v>
      </c>
      <c r="E685">
        <v>0.54366119999999996</v>
      </c>
      <c r="F685" t="s">
        <v>41</v>
      </c>
      <c r="G685">
        <v>-335.41309999999999</v>
      </c>
      <c r="H685">
        <v>0.8413581</v>
      </c>
      <c r="I685">
        <v>367.90629999999999</v>
      </c>
      <c r="J685">
        <v>-335.9597</v>
      </c>
      <c r="K685">
        <v>1.110525</v>
      </c>
      <c r="L685">
        <v>367.89640000000003</v>
      </c>
      <c r="M685">
        <v>0.99988929999999998</v>
      </c>
      <c r="N685">
        <v>-1.37675E-2</v>
      </c>
      <c r="O685">
        <v>-5.6534319999999999E-3</v>
      </c>
      <c r="P685">
        <v>0.9505924</v>
      </c>
      <c r="Q685">
        <v>0.3080117</v>
      </c>
      <c r="R685">
        <v>3.876603E-2</v>
      </c>
      <c r="S685">
        <v>3.5856319999999999</v>
      </c>
      <c r="T685">
        <v>-1.3301700000000001</v>
      </c>
      <c r="U685">
        <v>4.4128420000000002E-2</v>
      </c>
      <c r="V685">
        <v>-4.4127819999999998E-2</v>
      </c>
      <c r="W685">
        <v>0.32106839999999998</v>
      </c>
      <c r="X685">
        <v>0.94602739999999996</v>
      </c>
      <c r="Y685">
        <v>-1.64703E-2</v>
      </c>
      <c r="Z685">
        <v>5.0278579999999996E-3</v>
      </c>
      <c r="AA685">
        <v>0.99985170000000001</v>
      </c>
      <c r="AB685">
        <v>33</v>
      </c>
      <c r="AC685">
        <v>0.54660000000001197</v>
      </c>
      <c r="AD685">
        <v>-0.26916689999999999</v>
      </c>
      <c r="AE685">
        <v>9.8999999999591602E-3</v>
      </c>
      <c r="AF685">
        <v>-1.0455675482647199E-2</v>
      </c>
      <c r="AG685">
        <v>-0.26916689999999999</v>
      </c>
      <c r="AH685">
        <v>0.43989711090570799</v>
      </c>
      <c r="AI685">
        <v>121.45467888107601</v>
      </c>
      <c r="AJ685">
        <v>91.361575896842794</v>
      </c>
      <c r="AK685">
        <v>0.51581935732250095</v>
      </c>
      <c r="AL685">
        <v>71.272450736558696</v>
      </c>
      <c r="AM685">
        <v>92.670648357812993</v>
      </c>
      <c r="AN685">
        <v>1.0000000117636301</v>
      </c>
    </row>
    <row r="686" spans="1:40" x14ac:dyDescent="0.25">
      <c r="A686" t="str">
        <f>"20190304164835134"</f>
        <v>20190304164835134</v>
      </c>
      <c r="B686" t="str">
        <f>"1551689315127437"</f>
        <v>1551689315127437</v>
      </c>
      <c r="C686" t="s">
        <v>40</v>
      </c>
      <c r="D686">
        <v>4.7937560000000001</v>
      </c>
      <c r="E686">
        <v>0.54368090000000002</v>
      </c>
      <c r="F686" t="s">
        <v>41</v>
      </c>
      <c r="G686">
        <v>-335.13400000000001</v>
      </c>
      <c r="H686">
        <v>0.80416799999999999</v>
      </c>
      <c r="I686">
        <v>367.90620000000001</v>
      </c>
      <c r="J686">
        <v>-335.76929999999999</v>
      </c>
      <c r="K686">
        <v>1.1105160000000001</v>
      </c>
      <c r="L686">
        <v>367.89530000000002</v>
      </c>
      <c r="M686">
        <v>0.9998899</v>
      </c>
      <c r="N686">
        <v>-1.3721830000000001E-2</v>
      </c>
      <c r="O686">
        <v>-5.6533579999999998E-3</v>
      </c>
      <c r="P686">
        <v>0.95056249999999998</v>
      </c>
      <c r="Q686">
        <v>0.30809520000000001</v>
      </c>
      <c r="R686">
        <v>3.8837240000000002E-2</v>
      </c>
      <c r="S686">
        <v>3.585175</v>
      </c>
      <c r="T686">
        <v>-1.3301940000000001</v>
      </c>
      <c r="U686">
        <v>4.3609620000000002E-2</v>
      </c>
      <c r="V686">
        <v>-4.4198920000000003E-2</v>
      </c>
      <c r="W686">
        <v>0.32110820000000001</v>
      </c>
      <c r="X686">
        <v>0.94601060000000003</v>
      </c>
      <c r="Y686">
        <v>-1.6336059999999999E-2</v>
      </c>
      <c r="Z686">
        <v>5.0033300000000003E-3</v>
      </c>
      <c r="AA686">
        <v>0.99985400000000002</v>
      </c>
      <c r="AB686">
        <v>33</v>
      </c>
      <c r="AC686">
        <v>0.635299999999972</v>
      </c>
      <c r="AD686">
        <v>-0.30634800000000001</v>
      </c>
      <c r="AE686">
        <v>1.08999999999923E-2</v>
      </c>
      <c r="AF686">
        <v>-1.17584061823846E-2</v>
      </c>
      <c r="AG686">
        <v>-0.30634800000000001</v>
      </c>
      <c r="AH686">
        <v>0.51541569782512098</v>
      </c>
      <c r="AI686">
        <v>120.71946371507801</v>
      </c>
      <c r="AJ686">
        <v>91.306887255719701</v>
      </c>
      <c r="AK686">
        <v>0.59970050757399396</v>
      </c>
      <c r="AL686">
        <v>71.270043375236298</v>
      </c>
      <c r="AM686">
        <v>92.674992572313997</v>
      </c>
      <c r="AN686">
        <v>1.0000000379743801</v>
      </c>
    </row>
    <row r="687" spans="1:40" x14ac:dyDescent="0.25">
      <c r="A687" t="str">
        <f>"20190304164835146"</f>
        <v>20190304164835146</v>
      </c>
      <c r="B687" t="str">
        <f>"1551689315137197"</f>
        <v>1551689315137197</v>
      </c>
      <c r="C687" t="s">
        <v>40</v>
      </c>
      <c r="D687">
        <v>5.1247850000000001</v>
      </c>
      <c r="E687">
        <v>0.54375699999999905</v>
      </c>
      <c r="F687" t="s">
        <v>41</v>
      </c>
      <c r="G687">
        <v>-335.10820000000001</v>
      </c>
      <c r="H687">
        <v>0.86530899999999999</v>
      </c>
      <c r="I687">
        <v>367.90320000000003</v>
      </c>
      <c r="J687">
        <v>-335.59300000000002</v>
      </c>
      <c r="K687">
        <v>1.1105119999999999</v>
      </c>
      <c r="L687">
        <v>367.89429999999999</v>
      </c>
      <c r="M687">
        <v>0.99989059999999996</v>
      </c>
      <c r="N687">
        <v>-1.3676900000000001E-2</v>
      </c>
      <c r="O687">
        <v>-5.6532889999999997E-3</v>
      </c>
      <c r="P687">
        <v>0.95052680000000001</v>
      </c>
      <c r="Q687">
        <v>0.30823499999999998</v>
      </c>
      <c r="R687">
        <v>3.8601870000000003E-2</v>
      </c>
      <c r="S687">
        <v>3.5852050000000002</v>
      </c>
      <c r="T687">
        <v>-1.3297030000000001</v>
      </c>
      <c r="U687">
        <v>4.4036869999999999E-2</v>
      </c>
      <c r="V687">
        <v>-4.3963740000000001E-2</v>
      </c>
      <c r="W687">
        <v>0.32120480000000001</v>
      </c>
      <c r="X687">
        <v>0.94598870000000002</v>
      </c>
      <c r="Y687">
        <v>-1.644839E-2</v>
      </c>
      <c r="Z687">
        <v>5.0223560000000004E-3</v>
      </c>
      <c r="AA687">
        <v>0.99985210000000002</v>
      </c>
      <c r="AB687">
        <v>33</v>
      </c>
      <c r="AC687">
        <v>0.484800000000007</v>
      </c>
      <c r="AD687">
        <v>-0.245203</v>
      </c>
      <c r="AE687">
        <v>8.9000000000396505E-3</v>
      </c>
      <c r="AF687">
        <v>-9.2701755188893294E-3</v>
      </c>
      <c r="AG687">
        <v>-0.245203</v>
      </c>
      <c r="AH687">
        <v>0.38602431660480302</v>
      </c>
      <c r="AI687">
        <v>122.41627566385699</v>
      </c>
      <c r="AJ687">
        <v>91.375664285010899</v>
      </c>
      <c r="AK687">
        <v>0.45741143445847099</v>
      </c>
      <c r="AL687">
        <v>71.264197824222094</v>
      </c>
      <c r="AM687">
        <v>92.660841104711096</v>
      </c>
      <c r="AN687">
        <v>0.99999997725275802</v>
      </c>
    </row>
    <row r="688" spans="1:40" x14ac:dyDescent="0.25">
      <c r="A688" t="str">
        <f>"20190304164835157"</f>
        <v>20190304164835157</v>
      </c>
      <c r="B688" t="str">
        <f>"1551689315146957"</f>
        <v>1551689315146957</v>
      </c>
      <c r="C688" t="s">
        <v>40</v>
      </c>
      <c r="D688">
        <v>4.8072249999999999</v>
      </c>
      <c r="E688">
        <v>0.54384429999999995</v>
      </c>
      <c r="F688" t="s">
        <v>41</v>
      </c>
      <c r="G688">
        <v>-334.82990000000001</v>
      </c>
      <c r="H688">
        <v>0.82784880000000005</v>
      </c>
      <c r="I688">
        <v>367.90320000000003</v>
      </c>
      <c r="J688">
        <v>-335.4332</v>
      </c>
      <c r="K688">
        <v>1.1105069999999999</v>
      </c>
      <c r="L688">
        <v>367.89339999999999</v>
      </c>
      <c r="M688">
        <v>0.99989110000000003</v>
      </c>
      <c r="N688">
        <v>-1.3635130000000001E-2</v>
      </c>
      <c r="O688">
        <v>-5.653005E-3</v>
      </c>
      <c r="P688">
        <v>0.95042479999999996</v>
      </c>
      <c r="Q688">
        <v>0.30859189999999997</v>
      </c>
      <c r="R688">
        <v>3.8265269999999997E-2</v>
      </c>
      <c r="S688">
        <v>3.584991</v>
      </c>
      <c r="T688">
        <v>-1.3278129999999999</v>
      </c>
      <c r="U688">
        <v>4.2114260000000001E-2</v>
      </c>
      <c r="V688">
        <v>-4.3625879999999999E-2</v>
      </c>
      <c r="W688">
        <v>0.3215209</v>
      </c>
      <c r="X688">
        <v>0.94589699999999999</v>
      </c>
      <c r="Y688">
        <v>-1.595098E-2</v>
      </c>
      <c r="Z688">
        <v>4.9231120000000003E-3</v>
      </c>
      <c r="AA688">
        <v>0.99986059999999999</v>
      </c>
      <c r="AB688">
        <v>33</v>
      </c>
      <c r="AC688">
        <v>0.60329999999998996</v>
      </c>
      <c r="AD688">
        <v>-0.28265819999999903</v>
      </c>
      <c r="AE688">
        <v>9.8000000000411092E-3</v>
      </c>
      <c r="AF688">
        <v>-1.0833230888866899E-2</v>
      </c>
      <c r="AG688">
        <v>-0.28265819999999903</v>
      </c>
      <c r="AH688">
        <v>0.49467658682378202</v>
      </c>
      <c r="AI688">
        <v>119.737730512898</v>
      </c>
      <c r="AJ688">
        <v>91.2545554527062</v>
      </c>
      <c r="AK688">
        <v>0.56984027803443105</v>
      </c>
      <c r="AL688">
        <v>71.245072969644099</v>
      </c>
      <c r="AM688">
        <v>92.6406772864581</v>
      </c>
      <c r="AN688">
        <v>1.00000002057579</v>
      </c>
    </row>
    <row r="689" spans="1:40" x14ac:dyDescent="0.25">
      <c r="A689" t="str">
        <f>"20190304164835167"</f>
        <v>20190304164835167</v>
      </c>
      <c r="B689" t="str">
        <f>"1551689315156718"</f>
        <v>1551689315156718</v>
      </c>
      <c r="C689" t="s">
        <v>40</v>
      </c>
      <c r="D689">
        <v>4.9158039999999996</v>
      </c>
      <c r="E689">
        <v>0.54392369999999901</v>
      </c>
      <c r="F689" t="s">
        <v>41</v>
      </c>
      <c r="G689">
        <v>-334.55290000000002</v>
      </c>
      <c r="H689">
        <v>0.7851861</v>
      </c>
      <c r="I689">
        <v>367.90300000000002</v>
      </c>
      <c r="J689">
        <v>-335.28199999999998</v>
      </c>
      <c r="K689">
        <v>1.110501</v>
      </c>
      <c r="L689">
        <v>367.89249999999998</v>
      </c>
      <c r="M689">
        <v>0.99989159999999999</v>
      </c>
      <c r="N689">
        <v>-1.359202E-2</v>
      </c>
      <c r="O689">
        <v>-5.6529500000000003E-3</v>
      </c>
      <c r="P689">
        <v>0.95035049999999999</v>
      </c>
      <c r="Q689">
        <v>0.30888149999999998</v>
      </c>
      <c r="R689">
        <v>3.7763989999999997E-2</v>
      </c>
      <c r="S689">
        <v>3.5850219999999999</v>
      </c>
      <c r="T689">
        <v>-1.324878</v>
      </c>
      <c r="U689">
        <v>4.0679930000000003E-2</v>
      </c>
      <c r="V689">
        <v>-4.3124549999999998E-2</v>
      </c>
      <c r="W689">
        <v>0.32176870000000002</v>
      </c>
      <c r="X689">
        <v>0.94583569999999995</v>
      </c>
      <c r="Y689">
        <v>-1.5582399999999901E-2</v>
      </c>
      <c r="Z689">
        <v>4.8442789999999999E-3</v>
      </c>
      <c r="AA689">
        <v>0.99986679999999994</v>
      </c>
      <c r="AB689">
        <v>33</v>
      </c>
      <c r="AC689">
        <v>0.729099999999959</v>
      </c>
      <c r="AD689">
        <v>-0.32531490000000002</v>
      </c>
      <c r="AE689">
        <v>1.0500000000035901E-2</v>
      </c>
      <c r="AF689">
        <v>-1.2194556159865399E-2</v>
      </c>
      <c r="AG689">
        <v>-0.32531490000000002</v>
      </c>
      <c r="AH689">
        <v>0.60800979986984605</v>
      </c>
      <c r="AI689">
        <v>118.144161613888</v>
      </c>
      <c r="AJ689">
        <v>91.148999468416505</v>
      </c>
      <c r="AK689">
        <v>0.68967703173276396</v>
      </c>
      <c r="AL689">
        <v>71.230077808965902</v>
      </c>
      <c r="AM689">
        <v>92.610542912834006</v>
      </c>
      <c r="AN689">
        <v>0.99999999725344102</v>
      </c>
    </row>
    <row r="690" spans="1:40" x14ac:dyDescent="0.25">
      <c r="A690" t="str">
        <f>"20190304164835178"</f>
        <v>20190304164835178</v>
      </c>
      <c r="B690" t="str">
        <f>"1551689315167454"</f>
        <v>1551689315167454</v>
      </c>
      <c r="C690" t="s">
        <v>40</v>
      </c>
      <c r="D690">
        <v>4.8427150000000001</v>
      </c>
      <c r="E690">
        <v>0.54398669999999905</v>
      </c>
      <c r="F690" t="s">
        <v>41</v>
      </c>
      <c r="G690">
        <v>-334.53280000000001</v>
      </c>
      <c r="H690">
        <v>0.8341364</v>
      </c>
      <c r="I690">
        <v>367.90050000000002</v>
      </c>
      <c r="J690">
        <v>-335.13240000000002</v>
      </c>
      <c r="K690">
        <v>1.1104969999999901</v>
      </c>
      <c r="L690">
        <v>367.89159999999998</v>
      </c>
      <c r="M690">
        <v>0.99989220000000001</v>
      </c>
      <c r="N690">
        <v>-1.354853E-2</v>
      </c>
      <c r="O690">
        <v>-5.6527749999999996E-3</v>
      </c>
      <c r="P690">
        <v>0.95035809999999998</v>
      </c>
      <c r="Q690">
        <v>0.30892209999999998</v>
      </c>
      <c r="R690">
        <v>3.7236169999999999E-2</v>
      </c>
      <c r="S690">
        <v>3.584991</v>
      </c>
      <c r="T690">
        <v>-1.32254</v>
      </c>
      <c r="U690">
        <v>3.9611819999999999E-2</v>
      </c>
      <c r="V690">
        <v>-4.2596420000000003E-2</v>
      </c>
      <c r="W690">
        <v>0.32176830000000001</v>
      </c>
      <c r="X690">
        <v>0.94585980000000003</v>
      </c>
      <c r="Y690">
        <v>-1.530808E-2</v>
      </c>
      <c r="Z690">
        <v>4.785264E-3</v>
      </c>
      <c r="AA690">
        <v>0.99987139999999997</v>
      </c>
      <c r="AB690">
        <v>33</v>
      </c>
      <c r="AC690">
        <v>0.59960000000000901</v>
      </c>
      <c r="AD690">
        <v>-0.27636059999999901</v>
      </c>
      <c r="AE690">
        <v>8.9000000000396505E-3</v>
      </c>
      <c r="AF690">
        <v>-1.0136652852627199E-2</v>
      </c>
      <c r="AG690">
        <v>-0.27636059999999901</v>
      </c>
      <c r="AH690">
        <v>0.49451107434292202</v>
      </c>
      <c r="AI690">
        <v>119.193789462618</v>
      </c>
      <c r="AJ690">
        <v>91.174303533460204</v>
      </c>
      <c r="AK690">
        <v>0.56658550600170299</v>
      </c>
      <c r="AL690">
        <v>71.230102604857805</v>
      </c>
      <c r="AM690">
        <v>92.578550390923198</v>
      </c>
      <c r="AN690">
        <v>1.0000000275688701</v>
      </c>
    </row>
    <row r="691" spans="1:40" x14ac:dyDescent="0.25">
      <c r="A691" t="str">
        <f>"20190304164835186"</f>
        <v>20190304164835186</v>
      </c>
      <c r="B691" t="str">
        <f>"1551689315177214"</f>
        <v>1551689315177214</v>
      </c>
      <c r="C691" t="s">
        <v>40</v>
      </c>
      <c r="D691">
        <v>4.8409120000000003</v>
      </c>
      <c r="E691">
        <v>0.54408559999999995</v>
      </c>
      <c r="F691" t="s">
        <v>41</v>
      </c>
      <c r="G691">
        <v>-334.25740000000002</v>
      </c>
      <c r="H691">
        <v>0.78797910000000004</v>
      </c>
      <c r="I691">
        <v>367.90089999999998</v>
      </c>
      <c r="J691">
        <v>-334.9846</v>
      </c>
      <c r="K691">
        <v>1.1104909999999999</v>
      </c>
      <c r="L691">
        <v>367.89080000000001</v>
      </c>
      <c r="M691">
        <v>0.99989300000000003</v>
      </c>
      <c r="N691">
        <v>-1.3502790000000001E-2</v>
      </c>
      <c r="O691">
        <v>-5.6528230000000004E-3</v>
      </c>
      <c r="P691">
        <v>0.95033029999999996</v>
      </c>
      <c r="Q691">
        <v>0.30906230000000001</v>
      </c>
      <c r="R691">
        <v>3.67824E-2</v>
      </c>
      <c r="S691">
        <v>3.5846559999999998</v>
      </c>
      <c r="T691">
        <v>-1.3212219999999999</v>
      </c>
      <c r="U691">
        <v>3.8574219999999999E-2</v>
      </c>
      <c r="V691">
        <v>-4.2142590000000001E-2</v>
      </c>
      <c r="W691">
        <v>0.3218645</v>
      </c>
      <c r="X691">
        <v>0.9458474</v>
      </c>
      <c r="Y691">
        <v>-1.504053E-2</v>
      </c>
      <c r="Z691">
        <v>4.7315350000000003E-3</v>
      </c>
      <c r="AA691">
        <v>0.99987570000000003</v>
      </c>
      <c r="AB691">
        <v>33</v>
      </c>
      <c r="AC691">
        <v>0.72719999999998197</v>
      </c>
      <c r="AD691">
        <v>-0.32251189999999902</v>
      </c>
      <c r="AE691">
        <v>1.00999999999658E-2</v>
      </c>
      <c r="AF691">
        <v>-1.1875580383067999E-2</v>
      </c>
      <c r="AG691">
        <v>-0.32251189999999902</v>
      </c>
      <c r="AH691">
        <v>0.607637673291057</v>
      </c>
      <c r="AI691">
        <v>117.9532008739</v>
      </c>
      <c r="AJ691">
        <v>91.119637661279697</v>
      </c>
      <c r="AK691">
        <v>0.68802507007638403</v>
      </c>
      <c r="AL691">
        <v>71.224281088046993</v>
      </c>
      <c r="AM691">
        <v>92.551147937227697</v>
      </c>
      <c r="AN691">
        <v>1.00000002916945</v>
      </c>
    </row>
    <row r="692" spans="1:40" x14ac:dyDescent="0.25">
      <c r="A692" t="str">
        <f>"20190304164835198"</f>
        <v>20190304164835198</v>
      </c>
      <c r="B692" t="str">
        <f>"1551689315186974"</f>
        <v>1551689315186974</v>
      </c>
      <c r="C692" t="s">
        <v>40</v>
      </c>
      <c r="D692">
        <v>4.8330659999999996</v>
      </c>
      <c r="E692">
        <v>0.54408619999999996</v>
      </c>
      <c r="F692" t="s">
        <v>41</v>
      </c>
      <c r="G692">
        <v>-334.23770000000002</v>
      </c>
      <c r="H692">
        <v>0.83573699999999995</v>
      </c>
      <c r="I692">
        <v>367.89850000000001</v>
      </c>
      <c r="J692">
        <v>-334.82429999999999</v>
      </c>
      <c r="K692">
        <v>1.1104830000000001</v>
      </c>
      <c r="L692">
        <v>367.88990000000001</v>
      </c>
      <c r="M692">
        <v>0.99989360000000005</v>
      </c>
      <c r="N692">
        <v>-1.3451009999999999E-2</v>
      </c>
      <c r="O692">
        <v>-5.652715E-3</v>
      </c>
      <c r="P692">
        <v>0.95029810000000003</v>
      </c>
      <c r="Q692">
        <v>0.30923859999999997</v>
      </c>
      <c r="R692">
        <v>3.6126510000000001E-2</v>
      </c>
      <c r="S692">
        <v>3.5841980000000002</v>
      </c>
      <c r="T692">
        <v>-1.318462</v>
      </c>
      <c r="U692">
        <v>3.771973E-2</v>
      </c>
      <c r="V692">
        <v>-4.1486259999999997E-2</v>
      </c>
      <c r="W692">
        <v>0.32199169999999999</v>
      </c>
      <c r="X692">
        <v>0.94583309999999998</v>
      </c>
      <c r="Y692">
        <v>-1.482346E-2</v>
      </c>
      <c r="Z692">
        <v>4.6825460000000001E-3</v>
      </c>
      <c r="AA692">
        <v>0.99987919999999997</v>
      </c>
      <c r="AB692">
        <v>33</v>
      </c>
      <c r="AC692">
        <v>0.58659999999997503</v>
      </c>
      <c r="AD692">
        <v>-0.27474599999999899</v>
      </c>
      <c r="AE692">
        <v>8.6000000000012698E-3</v>
      </c>
      <c r="AF692">
        <v>-9.7726685184959094E-3</v>
      </c>
      <c r="AG692">
        <v>-0.27474599999999899</v>
      </c>
      <c r="AH692">
        <v>0.48103885127031498</v>
      </c>
      <c r="AI692">
        <v>119.72781624780301</v>
      </c>
      <c r="AJ692">
        <v>91.1638470460652</v>
      </c>
      <c r="AK692">
        <v>0.55405707828475304</v>
      </c>
      <c r="AL692">
        <v>71.216582868700002</v>
      </c>
      <c r="AM692">
        <v>92.511505477181998</v>
      </c>
      <c r="AN692">
        <v>1.0000000088466401</v>
      </c>
    </row>
    <row r="693" spans="1:40" x14ac:dyDescent="0.25">
      <c r="A693" t="str">
        <f>"20190304164835210"</f>
        <v>20190304164835210</v>
      </c>
      <c r="B693" t="str">
        <f>"1551689315207470"</f>
        <v>1551689315207470</v>
      </c>
      <c r="C693" t="s">
        <v>40</v>
      </c>
      <c r="D693">
        <v>4.847054</v>
      </c>
      <c r="E693">
        <v>0.54417219999999999</v>
      </c>
      <c r="F693" t="s">
        <v>41</v>
      </c>
      <c r="G693">
        <v>-333.96100000000001</v>
      </c>
      <c r="H693">
        <v>0.7930353</v>
      </c>
      <c r="I693">
        <v>367.89870000000002</v>
      </c>
      <c r="J693">
        <v>-334.64909999999998</v>
      </c>
      <c r="K693">
        <v>1.1104700000000001</v>
      </c>
      <c r="L693">
        <v>367.88889999999998</v>
      </c>
      <c r="M693">
        <v>0.99989439999999996</v>
      </c>
      <c r="N693">
        <v>-1.338925E-2</v>
      </c>
      <c r="O693">
        <v>-5.6525400000000002E-3</v>
      </c>
      <c r="P693">
        <v>0.95034090000000004</v>
      </c>
      <c r="Q693">
        <v>0.30918489999999998</v>
      </c>
      <c r="R693">
        <v>3.5451450000000002E-2</v>
      </c>
      <c r="S693">
        <v>3.5843509999999998</v>
      </c>
      <c r="T693">
        <v>-1.3179590000000001</v>
      </c>
      <c r="U693">
        <v>3.7384029999999999E-2</v>
      </c>
      <c r="V693">
        <v>-4.081137E-2</v>
      </c>
      <c r="W693">
        <v>0.32188030000000001</v>
      </c>
      <c r="X693">
        <v>0.94590039999999997</v>
      </c>
      <c r="Y693">
        <v>-1.4736300000000001E-2</v>
      </c>
      <c r="Z693">
        <v>4.6643800000000001E-3</v>
      </c>
      <c r="AA693">
        <v>0.99988060000000001</v>
      </c>
      <c r="AB693">
        <v>33</v>
      </c>
      <c r="AC693">
        <v>0.68809999999996296</v>
      </c>
      <c r="AD693">
        <v>-0.31743470000000001</v>
      </c>
      <c r="AE693">
        <v>9.8000000000411092E-3</v>
      </c>
      <c r="AF693">
        <v>-1.1287931716004399E-2</v>
      </c>
      <c r="AG693">
        <v>-0.31743470000000001</v>
      </c>
      <c r="AH693">
        <v>0.56732241240340897</v>
      </c>
      <c r="AI693">
        <v>119.22355130589</v>
      </c>
      <c r="AJ693">
        <v>91.139855409558095</v>
      </c>
      <c r="AK693">
        <v>0.65018991516459101</v>
      </c>
      <c r="AL693">
        <v>71.223324968314301</v>
      </c>
      <c r="AM693">
        <v>92.470524296362399</v>
      </c>
      <c r="AN693">
        <v>1.0000000310847601</v>
      </c>
    </row>
    <row r="694" spans="1:40" x14ac:dyDescent="0.25">
      <c r="A694" t="str">
        <f>"20190304164835222"</f>
        <v>20190304164835222</v>
      </c>
      <c r="B694" t="str">
        <f>"1551689315216760"</f>
        <v>1551689315216760</v>
      </c>
      <c r="C694" t="s">
        <v>40</v>
      </c>
      <c r="D694">
        <v>4.841259</v>
      </c>
      <c r="E694">
        <v>0.54415769999999997</v>
      </c>
      <c r="F694" t="s">
        <v>41</v>
      </c>
      <c r="G694">
        <v>-333.93759999999997</v>
      </c>
      <c r="H694">
        <v>0.84914650000000003</v>
      </c>
      <c r="I694">
        <v>367.89550000000003</v>
      </c>
      <c r="J694">
        <v>-334.47579999999999</v>
      </c>
      <c r="K694">
        <v>1.1104590000000001</v>
      </c>
      <c r="L694">
        <v>367.8879</v>
      </c>
      <c r="M694">
        <v>0.99989519999999998</v>
      </c>
      <c r="N694">
        <v>-1.3323140000000001E-2</v>
      </c>
      <c r="O694">
        <v>-5.652458E-3</v>
      </c>
      <c r="P694">
        <v>0.95036330000000002</v>
      </c>
      <c r="Q694">
        <v>0.30918379999999901</v>
      </c>
      <c r="R694">
        <v>3.4855440000000001E-2</v>
      </c>
      <c r="S694">
        <v>3.5836489999999999</v>
      </c>
      <c r="T694">
        <v>-1.316217</v>
      </c>
      <c r="U694">
        <v>3.4515379999999998E-2</v>
      </c>
      <c r="V694">
        <v>-4.0215099999999997E-2</v>
      </c>
      <c r="W694">
        <v>0.32181659999999901</v>
      </c>
      <c r="X694">
        <v>0.9459476</v>
      </c>
      <c r="Y694">
        <v>-1.3991450000000001E-2</v>
      </c>
      <c r="Z694">
        <v>4.5217310000000002E-3</v>
      </c>
      <c r="AA694">
        <v>0.99989189999999994</v>
      </c>
      <c r="AB694">
        <v>33</v>
      </c>
      <c r="AC694">
        <v>0.538200000000017</v>
      </c>
      <c r="AD694">
        <v>-0.2613125</v>
      </c>
      <c r="AE694">
        <v>7.6000000000249202E-3</v>
      </c>
      <c r="AF694">
        <v>-8.6124167363886995E-3</v>
      </c>
      <c r="AG694">
        <v>-0.2613125</v>
      </c>
      <c r="AH694">
        <v>0.43550340381576202</v>
      </c>
      <c r="AI694">
        <v>120.959826480847</v>
      </c>
      <c r="AJ694">
        <v>91.132920693978406</v>
      </c>
      <c r="AK694">
        <v>0.50795827694152795</v>
      </c>
      <c r="AL694">
        <v>71.227179608010701</v>
      </c>
      <c r="AM694">
        <v>92.434351397031406</v>
      </c>
      <c r="AN694">
        <v>1.0000000201246599</v>
      </c>
    </row>
    <row r="695" spans="1:40" x14ac:dyDescent="0.25">
      <c r="A695" t="str">
        <f>"20190304164835234"</f>
        <v>20190304164835234</v>
      </c>
      <c r="B695" t="str">
        <f>"1551689315227496"</f>
        <v>1551689315227496</v>
      </c>
      <c r="C695" t="s">
        <v>40</v>
      </c>
      <c r="D695">
        <v>4.861192</v>
      </c>
      <c r="E695">
        <v>0.54414770000000001</v>
      </c>
      <c r="F695" t="s">
        <v>41</v>
      </c>
      <c r="G695">
        <v>-333.65949999999998</v>
      </c>
      <c r="H695">
        <v>0.81055929999999998</v>
      </c>
      <c r="I695">
        <v>367.8954</v>
      </c>
      <c r="J695">
        <v>-334.30309999999997</v>
      </c>
      <c r="K695">
        <v>1.1104459999999901</v>
      </c>
      <c r="L695">
        <v>367.88690000000003</v>
      </c>
      <c r="M695">
        <v>0.99989620000000001</v>
      </c>
      <c r="N695">
        <v>-1.325409E-2</v>
      </c>
      <c r="O695">
        <v>-5.652359E-3</v>
      </c>
      <c r="P695">
        <v>0.95041750000000003</v>
      </c>
      <c r="Q695">
        <v>0.30907649999999998</v>
      </c>
      <c r="R695">
        <v>3.4330470000000002E-2</v>
      </c>
      <c r="S695">
        <v>3.5838009999999998</v>
      </c>
      <c r="T695">
        <v>-1.3166599999999999</v>
      </c>
      <c r="U695">
        <v>3.3660889999999999E-2</v>
      </c>
      <c r="V695">
        <v>-3.9690690000000001E-2</v>
      </c>
      <c r="W695">
        <v>0.32164549999999997</v>
      </c>
      <c r="X695">
        <v>0.94602790000000003</v>
      </c>
      <c r="Y695">
        <v>-1.3767089999999999E-2</v>
      </c>
      <c r="Z695">
        <v>4.4813800000000001E-3</v>
      </c>
      <c r="AA695">
        <v>0.99989519999999998</v>
      </c>
      <c r="AB695">
        <v>33</v>
      </c>
      <c r="AC695">
        <v>0.64359999999999196</v>
      </c>
      <c r="AD695">
        <v>-0.29988669999999901</v>
      </c>
      <c r="AE695">
        <v>8.4999999999695302E-3</v>
      </c>
      <c r="AF695">
        <v>-9.9731388683131899E-3</v>
      </c>
      <c r="AG695">
        <v>-0.29988669999999901</v>
      </c>
      <c r="AH695">
        <v>0.52876159420082003</v>
      </c>
      <c r="AI695">
        <v>119.55533148422801</v>
      </c>
      <c r="AJ695">
        <v>91.080545610327306</v>
      </c>
      <c r="AK695">
        <v>0.60796407775259997</v>
      </c>
      <c r="AL695">
        <v>71.237532694898405</v>
      </c>
      <c r="AM695">
        <v>92.402440892217996</v>
      </c>
      <c r="AN695">
        <v>0.99999998306066795</v>
      </c>
    </row>
    <row r="696" spans="1:40" x14ac:dyDescent="0.25">
      <c r="A696" t="str">
        <f>"20190304164835245"</f>
        <v>20190304164835245</v>
      </c>
      <c r="B696" t="str">
        <f>"1551689315237256"</f>
        <v>1551689315237256</v>
      </c>
      <c r="C696" t="s">
        <v>40</v>
      </c>
      <c r="D696">
        <v>4.8587300000000004</v>
      </c>
      <c r="E696">
        <v>0.54413679999999998</v>
      </c>
      <c r="F696" t="s">
        <v>41</v>
      </c>
      <c r="G696">
        <v>-333.63630000000001</v>
      </c>
      <c r="H696">
        <v>0.86536659999999899</v>
      </c>
      <c r="I696">
        <v>367.8929</v>
      </c>
      <c r="J696">
        <v>-334.1465</v>
      </c>
      <c r="K696">
        <v>1.110436</v>
      </c>
      <c r="L696">
        <v>367.88600000000002</v>
      </c>
      <c r="M696">
        <v>0.99989720000000004</v>
      </c>
      <c r="N696">
        <v>-1.3186150000000001E-2</v>
      </c>
      <c r="O696">
        <v>-5.6522689999999997E-3</v>
      </c>
      <c r="P696">
        <v>0.95056450000000003</v>
      </c>
      <c r="Q696">
        <v>0.30872709999999998</v>
      </c>
      <c r="R696">
        <v>3.3388689999999999E-2</v>
      </c>
      <c r="S696">
        <v>3.5836489999999999</v>
      </c>
      <c r="T696">
        <v>-1.317045</v>
      </c>
      <c r="U696">
        <v>3.3172609999999998E-2</v>
      </c>
      <c r="V696">
        <v>-3.8749529999999997E-2</v>
      </c>
      <c r="W696">
        <v>0.3212332</v>
      </c>
      <c r="X696">
        <v>0.94620700000000002</v>
      </c>
      <c r="Y696">
        <v>-1.363908E-2</v>
      </c>
      <c r="Z696">
        <v>4.4589959999999998E-3</v>
      </c>
      <c r="AA696">
        <v>0.99989709999999998</v>
      </c>
      <c r="AB696">
        <v>33</v>
      </c>
      <c r="AC696">
        <v>0.51019999999999699</v>
      </c>
      <c r="AD696">
        <v>-0.24506939999999999</v>
      </c>
      <c r="AE696">
        <v>6.9000000000300999E-3</v>
      </c>
      <c r="AF696">
        <v>-7.9499906204872003E-3</v>
      </c>
      <c r="AG696">
        <v>-0.24506939999999999</v>
      </c>
      <c r="AH696">
        <v>0.41452782651080999</v>
      </c>
      <c r="AI696">
        <v>120.587020609286</v>
      </c>
      <c r="AJ696">
        <v>91.098708088306196</v>
      </c>
      <c r="AK696">
        <v>0.481617620233108</v>
      </c>
      <c r="AL696">
        <v>71.2624798291085</v>
      </c>
      <c r="AM696">
        <v>92.345094268812204</v>
      </c>
      <c r="AN696">
        <v>0.99999999085322999</v>
      </c>
    </row>
    <row r="697" spans="1:40" x14ac:dyDescent="0.25">
      <c r="A697" t="str">
        <f>"20190304164835254"</f>
        <v>20190304164835254</v>
      </c>
      <c r="B697" t="str">
        <f>"1551689315247016"</f>
        <v>1551689315247016</v>
      </c>
      <c r="C697" t="s">
        <v>40</v>
      </c>
      <c r="D697">
        <v>4.8340839999999998</v>
      </c>
      <c r="E697">
        <v>0.54413630000000002</v>
      </c>
      <c r="F697" t="s">
        <v>41</v>
      </c>
      <c r="G697">
        <v>-333.36070000000001</v>
      </c>
      <c r="H697">
        <v>0.82123139999999994</v>
      </c>
      <c r="I697">
        <v>367.89240000000001</v>
      </c>
      <c r="J697">
        <v>-333.99250000000001</v>
      </c>
      <c r="K697">
        <v>1.110425</v>
      </c>
      <c r="L697">
        <v>367.88510000000002</v>
      </c>
      <c r="M697">
        <v>0.99989799999999995</v>
      </c>
      <c r="N697">
        <v>-1.3118690000000001E-2</v>
      </c>
      <c r="O697">
        <v>-5.6519459999999997E-3</v>
      </c>
      <c r="P697">
        <v>0.95050840000000003</v>
      </c>
      <c r="Q697">
        <v>0.30896410000000002</v>
      </c>
      <c r="R697">
        <v>3.2784939999999999E-2</v>
      </c>
      <c r="S697">
        <v>3.5831909999999998</v>
      </c>
      <c r="T697">
        <v>-1.318651</v>
      </c>
      <c r="U697">
        <v>3.0303960000000001E-2</v>
      </c>
      <c r="V697">
        <v>-3.8144829999999998E-2</v>
      </c>
      <c r="W697">
        <v>0.32140570000000002</v>
      </c>
      <c r="X697">
        <v>0.94617300000000004</v>
      </c>
      <c r="Y697">
        <v>-1.288739E-2</v>
      </c>
      <c r="Z697">
        <v>4.3254030000000002E-3</v>
      </c>
      <c r="AA697">
        <v>0.99990760000000001</v>
      </c>
      <c r="AB697">
        <v>33</v>
      </c>
      <c r="AC697">
        <v>0.63179999999999803</v>
      </c>
      <c r="AD697">
        <v>-0.289193599999999</v>
      </c>
      <c r="AE697">
        <v>7.2999999999865299E-3</v>
      </c>
      <c r="AF697">
        <v>-8.98817169379495E-3</v>
      </c>
      <c r="AG697">
        <v>-0.289193599999999</v>
      </c>
      <c r="AH697">
        <v>0.52232712987039798</v>
      </c>
      <c r="AI697">
        <v>118.96811547752399</v>
      </c>
      <c r="AJ697">
        <v>90.985844793393895</v>
      </c>
      <c r="AK697">
        <v>0.59710916599061203</v>
      </c>
      <c r="AL697">
        <v>71.252043000821601</v>
      </c>
      <c r="AM697">
        <v>92.308621023801507</v>
      </c>
      <c r="AN697">
        <v>0.99999999898860903</v>
      </c>
    </row>
    <row r="698" spans="1:40" x14ac:dyDescent="0.25">
      <c r="A698" t="str">
        <f>"20190304164835266"</f>
        <v>20190304164835266</v>
      </c>
      <c r="B698" t="str">
        <f>"1551689315256776"</f>
        <v>1551689315256776</v>
      </c>
      <c r="C698" t="s">
        <v>40</v>
      </c>
      <c r="D698">
        <v>4.8629360000000004</v>
      </c>
      <c r="E698">
        <v>0.54415150000000001</v>
      </c>
      <c r="F698" t="s">
        <v>41</v>
      </c>
      <c r="G698">
        <v>-333.33969999999999</v>
      </c>
      <c r="H698">
        <v>0.87034089999999997</v>
      </c>
      <c r="I698">
        <v>367.89019999999999</v>
      </c>
      <c r="J698">
        <v>-333.8254</v>
      </c>
      <c r="K698">
        <v>1.110409</v>
      </c>
      <c r="L698">
        <v>367.88420000000002</v>
      </c>
      <c r="M698">
        <v>0.99989899999999998</v>
      </c>
      <c r="N698">
        <v>-1.3040039999999999E-2</v>
      </c>
      <c r="O698">
        <v>-5.6517909999999998E-3</v>
      </c>
      <c r="P698">
        <v>0.95043100000000003</v>
      </c>
      <c r="Q698">
        <v>0.30925599999999998</v>
      </c>
      <c r="R698">
        <v>3.2274070000000002E-2</v>
      </c>
      <c r="S698">
        <v>3.5835569999999999</v>
      </c>
      <c r="T698">
        <v>-1.3177829999999999</v>
      </c>
      <c r="U698">
        <v>2.9052729999999999E-2</v>
      </c>
      <c r="V698">
        <v>-3.7633439999999997E-2</v>
      </c>
      <c r="W698">
        <v>0.32162200000000002</v>
      </c>
      <c r="X698">
        <v>0.94611999999999996</v>
      </c>
      <c r="Y698">
        <v>-1.2561269999999999E-2</v>
      </c>
      <c r="Z698">
        <v>4.2619199999999998E-3</v>
      </c>
      <c r="AA698">
        <v>0.99991200000000002</v>
      </c>
      <c r="AB698">
        <v>33</v>
      </c>
      <c r="AC698">
        <v>0.48570000000000801</v>
      </c>
      <c r="AD698">
        <v>-0.24006810000000001</v>
      </c>
      <c r="AE698">
        <v>5.9999999999717996E-3</v>
      </c>
      <c r="AF698">
        <v>-7.0283998578386997E-3</v>
      </c>
      <c r="AG698">
        <v>-0.24006810000000001</v>
      </c>
      <c r="AH698">
        <v>0.39031652271261502</v>
      </c>
      <c r="AI698">
        <v>121.589867664887</v>
      </c>
      <c r="AJ698">
        <v>91.031609242266697</v>
      </c>
      <c r="AK698">
        <v>0.45828929612706298</v>
      </c>
      <c r="AL698">
        <v>71.238955434981705</v>
      </c>
      <c r="AM698">
        <v>92.277830692745098</v>
      </c>
      <c r="AN698">
        <v>1.0000000205451101</v>
      </c>
    </row>
    <row r="699" spans="1:40" x14ac:dyDescent="0.25">
      <c r="A699" t="str">
        <f>"20190304164835277"</f>
        <v>20190304164835277</v>
      </c>
      <c r="B699" t="str">
        <f>"1551689315267512"</f>
        <v>1551689315267512</v>
      </c>
      <c r="C699" t="s">
        <v>40</v>
      </c>
      <c r="D699">
        <v>4.842473</v>
      </c>
      <c r="E699">
        <v>0.54419300000000004</v>
      </c>
      <c r="F699" t="s">
        <v>41</v>
      </c>
      <c r="G699">
        <v>-333.0625</v>
      </c>
      <c r="H699">
        <v>0.83018729999999996</v>
      </c>
      <c r="I699">
        <v>367.88990000000001</v>
      </c>
      <c r="J699">
        <v>-333.67360000000002</v>
      </c>
      <c r="K699">
        <v>1.110392</v>
      </c>
      <c r="L699">
        <v>367.88330000000002</v>
      </c>
      <c r="M699">
        <v>0.99990000000000001</v>
      </c>
      <c r="N699">
        <v>-1.2967569999999999E-2</v>
      </c>
      <c r="O699">
        <v>-5.6516780000000003E-3</v>
      </c>
      <c r="P699">
        <v>0.95053659999999995</v>
      </c>
      <c r="Q699">
        <v>0.30901109999999998</v>
      </c>
      <c r="R699">
        <v>3.150638E-2</v>
      </c>
      <c r="S699">
        <v>3.5838009999999998</v>
      </c>
      <c r="T699">
        <v>-1.3162720000000001</v>
      </c>
      <c r="U699">
        <v>2.7648929999999999E-2</v>
      </c>
      <c r="V699">
        <v>-3.6866540000000003E-2</v>
      </c>
      <c r="W699">
        <v>0.3213105</v>
      </c>
      <c r="X699">
        <v>0.94625599999999999</v>
      </c>
      <c r="Y699">
        <v>-1.2196520000000001E-2</v>
      </c>
      <c r="Z699">
        <v>4.1896520000000003E-3</v>
      </c>
      <c r="AA699">
        <v>0.9999169</v>
      </c>
      <c r="AB699">
        <v>33</v>
      </c>
      <c r="AC699">
        <v>0.61110000000002096</v>
      </c>
      <c r="AD699">
        <v>-0.28020469999999997</v>
      </c>
      <c r="AE699">
        <v>6.5999999999917201E-3</v>
      </c>
      <c r="AF699">
        <v>-8.3075134216881296E-3</v>
      </c>
      <c r="AG699">
        <v>-0.28020469999999997</v>
      </c>
      <c r="AH699">
        <v>0.50491030467104203</v>
      </c>
      <c r="AI699">
        <v>119.025204555881</v>
      </c>
      <c r="AJ699">
        <v>90.942627844230799</v>
      </c>
      <c r="AK699">
        <v>0.57751026349697598</v>
      </c>
      <c r="AL699">
        <v>71.257803074756296</v>
      </c>
      <c r="AM699">
        <v>92.231139730713096</v>
      </c>
      <c r="AN699">
        <v>0.99999999835890996</v>
      </c>
    </row>
    <row r="700" spans="1:40" x14ac:dyDescent="0.25">
      <c r="A700" t="str">
        <f>"20190304164835287"</f>
        <v>20190304164835287</v>
      </c>
      <c r="B700" t="str">
        <f>"1551689315277272"</f>
        <v>1551689315277272</v>
      </c>
      <c r="C700" t="s">
        <v>40</v>
      </c>
      <c r="D700">
        <v>4.6259829999999997</v>
      </c>
      <c r="E700">
        <v>0.54444979999999998</v>
      </c>
      <c r="F700" t="s">
        <v>41</v>
      </c>
      <c r="G700">
        <v>-332.78649999999999</v>
      </c>
      <c r="H700">
        <v>0.78444190000000003</v>
      </c>
      <c r="I700">
        <v>367.88909999999998</v>
      </c>
      <c r="J700">
        <v>-333.51100000000002</v>
      </c>
      <c r="K700">
        <v>1.110376</v>
      </c>
      <c r="L700">
        <v>367.88229999999999</v>
      </c>
      <c r="M700">
        <v>0.99990100000000004</v>
      </c>
      <c r="N700">
        <v>-1.2883769999999999E-2</v>
      </c>
      <c r="O700">
        <v>-5.6514959999999998E-3</v>
      </c>
      <c r="P700">
        <v>0.95074890000000001</v>
      </c>
      <c r="Q700">
        <v>0.30841089999999999</v>
      </c>
      <c r="R700">
        <v>3.0971519999999999E-2</v>
      </c>
      <c r="S700">
        <v>3.583221</v>
      </c>
      <c r="T700">
        <v>-1.3164199999999999</v>
      </c>
      <c r="U700">
        <v>2.444458E-2</v>
      </c>
      <c r="V700">
        <v>-3.6332530000000002E-2</v>
      </c>
      <c r="W700">
        <v>0.32063350000000002</v>
      </c>
      <c r="X700">
        <v>0.94650630000000002</v>
      </c>
      <c r="Y700">
        <v>-1.1359579999999999E-2</v>
      </c>
      <c r="Z700">
        <v>4.036169E-3</v>
      </c>
      <c r="AA700">
        <v>0.99992729999999996</v>
      </c>
      <c r="AB700">
        <v>33</v>
      </c>
      <c r="AC700">
        <v>0.72449999999997705</v>
      </c>
      <c r="AD700">
        <v>-0.3259341</v>
      </c>
      <c r="AE700">
        <v>6.7999999999983603E-3</v>
      </c>
      <c r="AF700">
        <v>-9.0610601159598504E-3</v>
      </c>
      <c r="AG700">
        <v>-0.3259341</v>
      </c>
      <c r="AH700">
        <v>0.602518721276594</v>
      </c>
      <c r="AI700">
        <v>118.40857837329899</v>
      </c>
      <c r="AJ700">
        <v>90.861585460592394</v>
      </c>
      <c r="AK700">
        <v>0.68508681920032399</v>
      </c>
      <c r="AL700">
        <v>71.298760080792803</v>
      </c>
      <c r="AM700">
        <v>92.198272830189197</v>
      </c>
      <c r="AN700">
        <v>1.0000000349990601</v>
      </c>
    </row>
    <row r="701" spans="1:40" x14ac:dyDescent="0.25">
      <c r="A701" t="str">
        <f>"20190304164835299"</f>
        <v>20190304164835299</v>
      </c>
      <c r="B701" t="str">
        <f>"1551689315287032"</f>
        <v>1551689315287032</v>
      </c>
      <c r="C701" t="s">
        <v>40</v>
      </c>
      <c r="D701">
        <v>4.6371769999999897</v>
      </c>
      <c r="E701">
        <v>0.5446974</v>
      </c>
      <c r="F701" t="s">
        <v>41</v>
      </c>
      <c r="G701">
        <v>-332.76499999999999</v>
      </c>
      <c r="H701">
        <v>0.836790699999999</v>
      </c>
      <c r="I701">
        <v>367.88639999999998</v>
      </c>
      <c r="J701">
        <v>-333.34350000000001</v>
      </c>
      <c r="K701">
        <v>1.110363</v>
      </c>
      <c r="L701">
        <v>367.88139999999999</v>
      </c>
      <c r="M701">
        <v>0.99990230000000002</v>
      </c>
      <c r="N701">
        <v>-1.2796200000000001E-2</v>
      </c>
      <c r="O701">
        <v>-5.6517690000000001E-3</v>
      </c>
      <c r="P701">
        <v>0.95095909999999995</v>
      </c>
      <c r="Q701">
        <v>0.30780580000000002</v>
      </c>
      <c r="R701">
        <v>3.0543049999999999E-2</v>
      </c>
      <c r="S701">
        <v>3.5807190000000002</v>
      </c>
      <c r="T701">
        <v>-1.3132790000000001</v>
      </c>
      <c r="U701">
        <v>2.0751950000000002E-2</v>
      </c>
      <c r="V701">
        <v>-3.5905769999999997E-2</v>
      </c>
      <c r="W701">
        <v>0.31994830000000002</v>
      </c>
      <c r="X701">
        <v>0.9467544</v>
      </c>
      <c r="Y701">
        <v>-1.0401820000000001E-2</v>
      </c>
      <c r="Z701">
        <v>3.8534089999999999E-3</v>
      </c>
      <c r="AA701">
        <v>0.99993849999999995</v>
      </c>
      <c r="AB701">
        <v>33</v>
      </c>
      <c r="AC701">
        <v>0.578500000000019</v>
      </c>
      <c r="AD701">
        <v>-0.27357229999999999</v>
      </c>
      <c r="AE701">
        <v>4.9999999999954499E-3</v>
      </c>
      <c r="AF701">
        <v>-6.75843407728784E-3</v>
      </c>
      <c r="AG701">
        <v>-0.27357229999999999</v>
      </c>
      <c r="AH701">
        <v>0.47274795542747899</v>
      </c>
      <c r="AI701">
        <v>120.054798366629</v>
      </c>
      <c r="AJ701">
        <v>90.819048220516095</v>
      </c>
      <c r="AK701">
        <v>0.54623997393025803</v>
      </c>
      <c r="AL701">
        <v>71.340202000540899</v>
      </c>
      <c r="AM701">
        <v>92.171908161006598</v>
      </c>
      <c r="AN701">
        <v>1.0000000164557701</v>
      </c>
    </row>
    <row r="702" spans="1:40" x14ac:dyDescent="0.25">
      <c r="A702" t="str">
        <f>"20190304164835311"</f>
        <v>20190304164835311</v>
      </c>
      <c r="B702" t="str">
        <f>"1551689315307528"</f>
        <v>1551689315307528</v>
      </c>
      <c r="C702" t="s">
        <v>40</v>
      </c>
      <c r="D702">
        <v>4.8165940000000003</v>
      </c>
      <c r="E702">
        <v>0.54492379999999996</v>
      </c>
      <c r="F702" t="s">
        <v>41</v>
      </c>
      <c r="G702">
        <v>-332.48669999999998</v>
      </c>
      <c r="H702">
        <v>0.79664019999999902</v>
      </c>
      <c r="I702">
        <v>367.88529999999997</v>
      </c>
      <c r="J702">
        <v>-333.16980000000001</v>
      </c>
      <c r="K702">
        <v>1.110352</v>
      </c>
      <c r="L702">
        <v>367.88040000000001</v>
      </c>
      <c r="M702">
        <v>0.9999034</v>
      </c>
      <c r="N702">
        <v>-1.270278E-2</v>
      </c>
      <c r="O702">
        <v>-5.6512940000000003E-3</v>
      </c>
      <c r="P702">
        <v>0.95100399999999996</v>
      </c>
      <c r="Q702">
        <v>0.30770890000000001</v>
      </c>
      <c r="R702">
        <v>3.0114910000000002E-2</v>
      </c>
      <c r="S702">
        <v>3.5782780000000001</v>
      </c>
      <c r="T702">
        <v>-1.310244</v>
      </c>
      <c r="U702">
        <v>1.644897E-2</v>
      </c>
      <c r="V702">
        <v>-3.5477420000000003E-2</v>
      </c>
      <c r="W702">
        <v>0.31976349999999998</v>
      </c>
      <c r="X702">
        <v>0.94683300000000004</v>
      </c>
      <c r="Y702">
        <v>-9.2816189999999996E-3</v>
      </c>
      <c r="Z702">
        <v>3.641362E-3</v>
      </c>
      <c r="AA702">
        <v>0.99995029999999996</v>
      </c>
      <c r="AB702">
        <v>33</v>
      </c>
      <c r="AC702">
        <v>0.68310000000002402</v>
      </c>
      <c r="AD702">
        <v>-0.31371179999999999</v>
      </c>
      <c r="AE702">
        <v>4.8999999999637103E-3</v>
      </c>
      <c r="AF702">
        <v>-7.2348272301106503E-3</v>
      </c>
      <c r="AG702">
        <v>-0.31371179999999999</v>
      </c>
      <c r="AH702">
        <v>0.564095285903217</v>
      </c>
      <c r="AI702">
        <v>119.077862692127</v>
      </c>
      <c r="AJ702">
        <v>90.734809081659805</v>
      </c>
      <c r="AK702">
        <v>0.64550052499012101</v>
      </c>
      <c r="AL702">
        <v>71.351377732686899</v>
      </c>
      <c r="AM702">
        <v>92.145844039504098</v>
      </c>
      <c r="AN702">
        <v>1.0000000365755499</v>
      </c>
    </row>
    <row r="703" spans="1:40" x14ac:dyDescent="0.25">
      <c r="A703" t="str">
        <f>"20190304164835334"</f>
        <v>20190304164835334</v>
      </c>
      <c r="B703" t="str">
        <f>"1551689315327048"</f>
        <v>1551689315327048</v>
      </c>
      <c r="C703" t="s">
        <v>40</v>
      </c>
      <c r="D703">
        <v>4.8279820000000004</v>
      </c>
      <c r="E703">
        <v>0.54495369999999999</v>
      </c>
      <c r="F703" t="s">
        <v>41</v>
      </c>
      <c r="G703">
        <v>-332.46339999999998</v>
      </c>
      <c r="H703">
        <v>0.85252169999999905</v>
      </c>
      <c r="I703">
        <v>367.88279999999997</v>
      </c>
      <c r="J703">
        <v>-332.82389999999998</v>
      </c>
      <c r="K703">
        <v>1.1103179999999999</v>
      </c>
      <c r="L703">
        <v>367.8784</v>
      </c>
      <c r="M703">
        <v>0.99990579999999996</v>
      </c>
      <c r="N703">
        <v>-1.2507870000000001E-2</v>
      </c>
      <c r="O703">
        <v>-5.6511419999999996E-3</v>
      </c>
      <c r="P703">
        <v>0.95105059999999997</v>
      </c>
      <c r="Q703">
        <v>0.30757579999999901</v>
      </c>
      <c r="R703">
        <v>3.000247E-2</v>
      </c>
      <c r="S703">
        <v>3.5765989999999999</v>
      </c>
      <c r="T703">
        <v>-1.3055330000000001</v>
      </c>
      <c r="U703">
        <v>1.2329100000000001E-2</v>
      </c>
      <c r="V703">
        <v>-3.5364930000000003E-2</v>
      </c>
      <c r="W703">
        <v>0.31944669999999997</v>
      </c>
      <c r="X703">
        <v>0.94694409999999896</v>
      </c>
      <c r="Y703">
        <v>-8.2093519999999996E-3</v>
      </c>
      <c r="Z703">
        <v>3.4341979999999999E-3</v>
      </c>
      <c r="AA703">
        <v>0.99996039999999997</v>
      </c>
      <c r="AB703">
        <v>33</v>
      </c>
      <c r="AC703">
        <v>0.36050000000000099</v>
      </c>
      <c r="AD703">
        <v>-0.25779629999999998</v>
      </c>
      <c r="AE703">
        <v>4.3999999999755303E-3</v>
      </c>
      <c r="AF703">
        <v>-4.2594548315904798E-3</v>
      </c>
      <c r="AG703">
        <v>-0.25779629999999998</v>
      </c>
      <c r="AH703">
        <v>0.238515661574114</v>
      </c>
      <c r="AI703">
        <v>137.22014387294999</v>
      </c>
      <c r="AJ703">
        <v>91.023089404972495</v>
      </c>
      <c r="AK703">
        <v>0.35123609732669803</v>
      </c>
      <c r="AL703">
        <v>71.370533054911206</v>
      </c>
      <c r="AM703">
        <v>92.138795706662606</v>
      </c>
      <c r="AN703">
        <v>1.0000000004698</v>
      </c>
    </row>
    <row r="704" spans="1:40" x14ac:dyDescent="0.25">
      <c r="A704" t="str">
        <f>"20190304164835347"</f>
        <v>20190304164835347</v>
      </c>
      <c r="B704" t="str">
        <f>"1551689315336808"</f>
        <v>1551689315336808</v>
      </c>
      <c r="C704" t="s">
        <v>40</v>
      </c>
      <c r="D704">
        <v>4.8243029999999996</v>
      </c>
      <c r="E704">
        <v>0.54497130000000005</v>
      </c>
      <c r="F704" t="s">
        <v>41</v>
      </c>
      <c r="G704">
        <v>-332.16149999999999</v>
      </c>
      <c r="H704">
        <v>0.86851979999999995</v>
      </c>
      <c r="I704">
        <v>367.8802</v>
      </c>
      <c r="J704">
        <v>-332.64400000000001</v>
      </c>
      <c r="K704">
        <v>1.110304</v>
      </c>
      <c r="L704">
        <v>367.87740000000002</v>
      </c>
      <c r="M704">
        <v>0.9999072</v>
      </c>
      <c r="N704">
        <v>-1.2398360000000001E-2</v>
      </c>
      <c r="O704">
        <v>-5.6509389999999998E-3</v>
      </c>
      <c r="P704">
        <v>0.95110170000000005</v>
      </c>
      <c r="Q704">
        <v>0.30744629999999901</v>
      </c>
      <c r="R704">
        <v>2.970679E-2</v>
      </c>
      <c r="S704">
        <v>3.5762629999999902</v>
      </c>
      <c r="T704">
        <v>-1.305437</v>
      </c>
      <c r="U704">
        <v>1.119995E-2</v>
      </c>
      <c r="V704">
        <v>-3.5069820000000002E-2</v>
      </c>
      <c r="W704">
        <v>0.319214</v>
      </c>
      <c r="X704">
        <v>0.94703349999999997</v>
      </c>
      <c r="Y704">
        <v>-7.9134689999999994E-3</v>
      </c>
      <c r="Z704">
        <v>3.3801230000000001E-3</v>
      </c>
      <c r="AA704">
        <v>0.99996300000000005</v>
      </c>
      <c r="AB704">
        <v>33</v>
      </c>
      <c r="AC704">
        <v>0.48250000000001497</v>
      </c>
      <c r="AD704">
        <v>-0.2417842</v>
      </c>
      <c r="AE704">
        <v>2.7999999999792601E-3</v>
      </c>
      <c r="AF704">
        <v>-4.4175071634276596E-3</v>
      </c>
      <c r="AG704">
        <v>-0.2417842</v>
      </c>
      <c r="AH704">
        <v>0.38564183670751001</v>
      </c>
      <c r="AI704">
        <v>122.084609289551</v>
      </c>
      <c r="AJ704">
        <v>90.656291467299198</v>
      </c>
      <c r="AK704">
        <v>0.45519088299121402</v>
      </c>
      <c r="AL704">
        <v>71.384601626172795</v>
      </c>
      <c r="AM704">
        <v>92.120764414221497</v>
      </c>
      <c r="AN704">
        <v>0.99999996009654002</v>
      </c>
    </row>
    <row r="705" spans="1:40" x14ac:dyDescent="0.25">
      <c r="A705" t="str">
        <f>"20190304164835358"</f>
        <v>20190304164835358</v>
      </c>
      <c r="B705" t="str">
        <f>"1551689315347546"</f>
        <v>1551689315347546</v>
      </c>
      <c r="C705" t="s">
        <v>40</v>
      </c>
      <c r="D705">
        <v>4.8177240000000001</v>
      </c>
      <c r="E705">
        <v>0.54499399999999998</v>
      </c>
      <c r="F705" t="s">
        <v>41</v>
      </c>
      <c r="G705">
        <v>-331.88189999999997</v>
      </c>
      <c r="H705">
        <v>0.83206460000000004</v>
      </c>
      <c r="I705">
        <v>367.87939999999998</v>
      </c>
      <c r="J705">
        <v>-332.4785</v>
      </c>
      <c r="K705">
        <v>1.11029</v>
      </c>
      <c r="L705">
        <v>367.87650000000002</v>
      </c>
      <c r="M705">
        <v>0.99990849999999998</v>
      </c>
      <c r="N705">
        <v>-1.2295439999999999E-2</v>
      </c>
      <c r="O705">
        <v>-5.6507819999999896E-3</v>
      </c>
      <c r="P705">
        <v>0.95121330000000004</v>
      </c>
      <c r="Q705">
        <v>0.30711549999999999</v>
      </c>
      <c r="R705">
        <v>2.9554029999999998E-2</v>
      </c>
      <c r="S705">
        <v>3.5758969999999999</v>
      </c>
      <c r="T705">
        <v>-1.3055559999999999</v>
      </c>
      <c r="U705">
        <v>1.071167E-2</v>
      </c>
      <c r="V705">
        <v>-3.4917049999999998E-2</v>
      </c>
      <c r="W705">
        <v>0.3187874</v>
      </c>
      <c r="X705">
        <v>0.94718290000000005</v>
      </c>
      <c r="Y705">
        <v>-7.7852909999999997E-3</v>
      </c>
      <c r="Z705">
        <v>3.3573539999999999E-3</v>
      </c>
      <c r="AA705">
        <v>0.99996410000000002</v>
      </c>
      <c r="AB705">
        <v>33</v>
      </c>
      <c r="AC705">
        <v>0.596600000000023</v>
      </c>
      <c r="AD705">
        <v>-0.27822540000000001</v>
      </c>
      <c r="AE705">
        <v>2.8999999999541602E-3</v>
      </c>
      <c r="AF705">
        <v>-5.1511905143523801E-3</v>
      </c>
      <c r="AG705">
        <v>-0.27822540000000001</v>
      </c>
      <c r="AH705">
        <v>0.490007808244875</v>
      </c>
      <c r="AI705">
        <v>119.586459685912</v>
      </c>
      <c r="AJ705">
        <v>90.602297758271604</v>
      </c>
      <c r="AK705">
        <v>0.56351003550054102</v>
      </c>
      <c r="AL705">
        <v>71.410392685645505</v>
      </c>
      <c r="AM705">
        <v>92.111201637848396</v>
      </c>
      <c r="AN705">
        <v>1.0000000264159301</v>
      </c>
    </row>
    <row r="706" spans="1:40" x14ac:dyDescent="0.25">
      <c r="A706" t="str">
        <f>"20190304164835369"</f>
        <v>20190304164835369</v>
      </c>
      <c r="B706" t="str">
        <f>"1551689315357305"</f>
        <v>1551689315357305</v>
      </c>
      <c r="C706" t="s">
        <v>40</v>
      </c>
      <c r="D706">
        <v>4.7327779999999997</v>
      </c>
      <c r="E706">
        <v>0.54507019999999995</v>
      </c>
      <c r="F706" t="s">
        <v>41</v>
      </c>
      <c r="G706">
        <v>-331.60320000000002</v>
      </c>
      <c r="H706">
        <v>0.7904909</v>
      </c>
      <c r="I706">
        <v>367.87880000000001</v>
      </c>
      <c r="J706">
        <v>-332.31119999999999</v>
      </c>
      <c r="K706">
        <v>1.1102749999999999</v>
      </c>
      <c r="L706">
        <v>367.87549999999999</v>
      </c>
      <c r="M706">
        <v>0.99990979999999996</v>
      </c>
      <c r="N706">
        <v>-1.21856E-2</v>
      </c>
      <c r="O706">
        <v>-5.6507079999999999E-3</v>
      </c>
      <c r="P706">
        <v>0.95126339999999998</v>
      </c>
      <c r="Q706">
        <v>0.30695109999999998</v>
      </c>
      <c r="R706">
        <v>2.9652129999999999E-2</v>
      </c>
      <c r="S706">
        <v>3.5752559999999902</v>
      </c>
      <c r="T706">
        <v>-1.3062279999999999</v>
      </c>
      <c r="U706">
        <v>1.055908E-2</v>
      </c>
      <c r="V706">
        <v>-3.501522E-2</v>
      </c>
      <c r="W706">
        <v>0.31851940000000001</v>
      </c>
      <c r="X706">
        <v>0.94726940000000004</v>
      </c>
      <c r="Y706">
        <v>-7.7445819999999999E-3</v>
      </c>
      <c r="Z706">
        <v>3.3522349999999999E-3</v>
      </c>
      <c r="AA706">
        <v>0.99996439999999998</v>
      </c>
      <c r="AB706">
        <v>33</v>
      </c>
      <c r="AC706">
        <v>0.70799999999996899</v>
      </c>
      <c r="AD706">
        <v>-0.31978409999999902</v>
      </c>
      <c r="AE706">
        <v>3.30000000002428E-3</v>
      </c>
      <c r="AF706">
        <v>-6.0638902723100302E-3</v>
      </c>
      <c r="AG706">
        <v>-0.31978409999999902</v>
      </c>
      <c r="AH706">
        <v>0.58801324152712198</v>
      </c>
      <c r="AI706">
        <v>118.537760948727</v>
      </c>
      <c r="AJ706">
        <v>90.590842144288402</v>
      </c>
      <c r="AK706">
        <v>0.66937150640677701</v>
      </c>
      <c r="AL706">
        <v>71.426591820482201</v>
      </c>
      <c r="AM706">
        <v>92.116938780302306</v>
      </c>
      <c r="AN706">
        <v>0.99999999499218395</v>
      </c>
    </row>
    <row r="707" spans="1:40" x14ac:dyDescent="0.25">
      <c r="A707" t="str">
        <f>"20190304164835380"</f>
        <v>20190304164835380</v>
      </c>
      <c r="B707" t="str">
        <f>"1551689315376824"</f>
        <v>1551689315376824</v>
      </c>
      <c r="C707" t="s">
        <v>40</v>
      </c>
      <c r="D707">
        <v>4.808459</v>
      </c>
      <c r="E707">
        <v>0.5451144</v>
      </c>
      <c r="F707" t="s">
        <v>41</v>
      </c>
      <c r="G707">
        <v>-331.5813</v>
      </c>
      <c r="H707">
        <v>0.84368989999999999</v>
      </c>
      <c r="I707">
        <v>367.8777</v>
      </c>
      <c r="J707">
        <v>-332.15039999999999</v>
      </c>
      <c r="K707">
        <v>1.1102540000000001</v>
      </c>
      <c r="L707">
        <v>367.87459999999999</v>
      </c>
      <c r="M707">
        <v>0.9999112</v>
      </c>
      <c r="N707">
        <v>-1.207899E-2</v>
      </c>
      <c r="O707">
        <v>-5.6505399999999999E-3</v>
      </c>
      <c r="P707">
        <v>0.95133330000000005</v>
      </c>
      <c r="Q707">
        <v>0.30675069999999999</v>
      </c>
      <c r="R707">
        <v>2.948717E-2</v>
      </c>
      <c r="S707">
        <v>3.574554</v>
      </c>
      <c r="T707">
        <v>-1.3053699999999999</v>
      </c>
      <c r="U707">
        <v>1.205444E-2</v>
      </c>
      <c r="V707">
        <v>-3.4850909999999999E-2</v>
      </c>
      <c r="W707">
        <v>0.31821840000000001</v>
      </c>
      <c r="X707">
        <v>0.94737669999999996</v>
      </c>
      <c r="Y707">
        <v>-8.1377440000000006E-3</v>
      </c>
      <c r="Z707">
        <v>3.4228639999999999E-3</v>
      </c>
      <c r="AA707">
        <v>0.99996099999999999</v>
      </c>
      <c r="AB707">
        <v>33</v>
      </c>
      <c r="AC707">
        <v>0.56909999999999095</v>
      </c>
      <c r="AD707">
        <v>-0.26656410000000003</v>
      </c>
      <c r="AE707">
        <v>3.1000000000176399E-3</v>
      </c>
      <c r="AF707">
        <v>-5.1795704250841203E-3</v>
      </c>
      <c r="AG707">
        <v>-0.26656410000000003</v>
      </c>
      <c r="AH707">
        <v>0.46668763572994398</v>
      </c>
      <c r="AI707">
        <v>119.732758951566</v>
      </c>
      <c r="AJ707">
        <v>90.635875729509493</v>
      </c>
      <c r="AK707">
        <v>0.53747613593703303</v>
      </c>
      <c r="AL707">
        <v>71.444785987174299</v>
      </c>
      <c r="AM707">
        <v>92.106775528818901</v>
      </c>
      <c r="AN707">
        <v>1.00000007386463</v>
      </c>
    </row>
    <row r="708" spans="1:40" x14ac:dyDescent="0.25">
      <c r="A708" t="str">
        <f>"20190304164835390"</f>
        <v>20190304164835390</v>
      </c>
      <c r="B708" t="str">
        <f>"1551689315387560"</f>
        <v>1551689315387560</v>
      </c>
      <c r="C708" t="s">
        <v>40</v>
      </c>
      <c r="D708">
        <v>4.7384430000000002</v>
      </c>
      <c r="E708">
        <v>0.54519499999999999</v>
      </c>
      <c r="F708" t="s">
        <v>41</v>
      </c>
      <c r="G708">
        <v>-331.303</v>
      </c>
      <c r="H708">
        <v>0.80077790000000004</v>
      </c>
      <c r="I708">
        <v>367.87740000000002</v>
      </c>
      <c r="J708">
        <v>-331.99110000000002</v>
      </c>
      <c r="K708">
        <v>1.110239</v>
      </c>
      <c r="L708">
        <v>367.87369999999999</v>
      </c>
      <c r="M708">
        <v>0.99991240000000003</v>
      </c>
      <c r="N708">
        <v>-1.1972139999999999E-2</v>
      </c>
      <c r="O708">
        <v>-5.6502569999999997E-3</v>
      </c>
      <c r="P708">
        <v>0.95138049999999996</v>
      </c>
      <c r="Q708">
        <v>0.30659370000000002</v>
      </c>
      <c r="R708">
        <v>2.9589600000000001E-2</v>
      </c>
      <c r="S708">
        <v>3.573944</v>
      </c>
      <c r="T708">
        <v>-1.3051299999999999</v>
      </c>
      <c r="U708">
        <v>1.211548E-2</v>
      </c>
      <c r="V708">
        <v>-3.4953030000000003E-2</v>
      </c>
      <c r="W708">
        <v>0.31796059999999998</v>
      </c>
      <c r="X708">
        <v>0.94745939999999995</v>
      </c>
      <c r="Y708">
        <v>-8.1540169999999995E-3</v>
      </c>
      <c r="Z708">
        <v>3.4258420000000001E-3</v>
      </c>
      <c r="AA708">
        <v>0.99996090000000004</v>
      </c>
      <c r="AB708">
        <v>33</v>
      </c>
      <c r="AC708">
        <v>0.68809999999996296</v>
      </c>
      <c r="AD708">
        <v>-0.30946109999999899</v>
      </c>
      <c r="AE708">
        <v>3.70000000003756E-3</v>
      </c>
      <c r="AF708">
        <v>-6.31161406285789E-3</v>
      </c>
      <c r="AG708">
        <v>-0.30946109999999899</v>
      </c>
      <c r="AH708">
        <v>0.57231523739296897</v>
      </c>
      <c r="AI708">
        <v>118.39942587860899</v>
      </c>
      <c r="AJ708">
        <v>90.631844418162402</v>
      </c>
      <c r="AK708">
        <v>0.65065408616057896</v>
      </c>
      <c r="AL708">
        <v>71.460364368731007</v>
      </c>
      <c r="AM708">
        <v>92.112758943577603</v>
      </c>
      <c r="AN708">
        <v>0.99999998605344997</v>
      </c>
    </row>
    <row r="709" spans="1:40" x14ac:dyDescent="0.25">
      <c r="A709" t="str">
        <f>"20190304164835402"</f>
        <v>20190304164835402</v>
      </c>
      <c r="B709" t="str">
        <f>"1551689315397320"</f>
        <v>1551689315397320</v>
      </c>
      <c r="C709" t="s">
        <v>40</v>
      </c>
      <c r="D709">
        <v>4.8161670000000001</v>
      </c>
      <c r="E709">
        <v>0.54520550000000001</v>
      </c>
      <c r="F709" t="s">
        <v>41</v>
      </c>
      <c r="G709">
        <v>-331.28199999999998</v>
      </c>
      <c r="H709">
        <v>0.85145329999999997</v>
      </c>
      <c r="I709">
        <v>367.8759</v>
      </c>
      <c r="J709">
        <v>-331.84190000000001</v>
      </c>
      <c r="K709">
        <v>1.1102240000000001</v>
      </c>
      <c r="L709">
        <v>367.87290000000002</v>
      </c>
      <c r="M709">
        <v>0.99991370000000002</v>
      </c>
      <c r="N709">
        <v>-1.186947E-2</v>
      </c>
      <c r="O709">
        <v>-5.6501240000000003E-3</v>
      </c>
      <c r="P709">
        <v>0.95144269999999997</v>
      </c>
      <c r="Q709">
        <v>0.30636540000000001</v>
      </c>
      <c r="R709">
        <v>2.9951769999999999E-2</v>
      </c>
      <c r="S709">
        <v>3.5730900000000001</v>
      </c>
      <c r="T709">
        <v>-1.3038209999999999</v>
      </c>
      <c r="U709">
        <v>1.165771E-2</v>
      </c>
      <c r="V709">
        <v>-3.5315340000000001E-2</v>
      </c>
      <c r="W709">
        <v>0.31763599999999997</v>
      </c>
      <c r="X709">
        <v>0.94755480000000003</v>
      </c>
      <c r="Y709">
        <v>-8.0357559999999998E-3</v>
      </c>
      <c r="Z709">
        <v>3.4018249999999998E-3</v>
      </c>
      <c r="AA709">
        <v>0.99996189999999996</v>
      </c>
      <c r="AB709">
        <v>33</v>
      </c>
      <c r="AC709">
        <v>0.55990000000002704</v>
      </c>
      <c r="AD709">
        <v>-0.25877069999999902</v>
      </c>
      <c r="AE709">
        <v>2.9999999999858998E-3</v>
      </c>
      <c r="AF709">
        <v>-5.0788482014045297E-3</v>
      </c>
      <c r="AG709">
        <v>-0.25877069999999902</v>
      </c>
      <c r="AH709">
        <v>0.46133414612940299</v>
      </c>
      <c r="AI709">
        <v>119.287377008967</v>
      </c>
      <c r="AJ709">
        <v>90.630746312307096</v>
      </c>
      <c r="AK709">
        <v>0.52897756498975201</v>
      </c>
      <c r="AL709">
        <v>71.479978773032698</v>
      </c>
      <c r="AM709">
        <v>92.134424137224002</v>
      </c>
      <c r="AN709">
        <v>0.99999995036917599</v>
      </c>
    </row>
    <row r="710" spans="1:40" x14ac:dyDescent="0.25">
      <c r="A710" t="str">
        <f>"20190304164835411"</f>
        <v>20190304164835411</v>
      </c>
      <c r="B710" t="str">
        <f>"1551689315407081"</f>
        <v>1551689315407081</v>
      </c>
      <c r="C710" t="s">
        <v>40</v>
      </c>
      <c r="D710">
        <v>4.8273469999999996</v>
      </c>
      <c r="E710">
        <v>0.54521109999999995</v>
      </c>
      <c r="F710" t="s">
        <v>41</v>
      </c>
      <c r="G710">
        <v>-331.00510000000003</v>
      </c>
      <c r="H710">
        <v>0.80467709999999903</v>
      </c>
      <c r="I710">
        <v>367.87549999999999</v>
      </c>
      <c r="J710">
        <v>-331.67910000000001</v>
      </c>
      <c r="K710">
        <v>1.1102080000000001</v>
      </c>
      <c r="L710">
        <v>367.87189999999998</v>
      </c>
      <c r="M710">
        <v>0.99991490000000005</v>
      </c>
      <c r="N710">
        <v>-1.175532E-2</v>
      </c>
      <c r="O710">
        <v>-5.6498090000000004E-3</v>
      </c>
      <c r="P710">
        <v>0.95149640000000002</v>
      </c>
      <c r="Q710">
        <v>0.3061449</v>
      </c>
      <c r="R710">
        <v>3.04929E-2</v>
      </c>
      <c r="S710">
        <v>3.5727839999999902</v>
      </c>
      <c r="T710">
        <v>-1.3045329999999999</v>
      </c>
      <c r="U710">
        <v>1.217651E-2</v>
      </c>
      <c r="V710">
        <v>-3.5856720000000002E-2</v>
      </c>
      <c r="W710">
        <v>0.31730819999999998</v>
      </c>
      <c r="X710">
        <v>0.94764440000000005</v>
      </c>
      <c r="Y710">
        <v>-8.170788E-3</v>
      </c>
      <c r="Z710">
        <v>3.4286009999999999E-3</v>
      </c>
      <c r="AA710">
        <v>0.99996070000000004</v>
      </c>
      <c r="AB710">
        <v>33</v>
      </c>
      <c r="AC710">
        <v>0.67399999999997795</v>
      </c>
      <c r="AD710">
        <v>-0.30553089999999999</v>
      </c>
      <c r="AE710">
        <v>3.6000000000058199E-3</v>
      </c>
      <c r="AF710">
        <v>-6.14539624815383E-3</v>
      </c>
      <c r="AG710">
        <v>-0.30553089999999999</v>
      </c>
      <c r="AH710">
        <v>0.55908571010183905</v>
      </c>
      <c r="AI710">
        <v>118.65440303041601</v>
      </c>
      <c r="AJ710">
        <v>90.629762275321994</v>
      </c>
      <c r="AK710">
        <v>0.63715282938235096</v>
      </c>
      <c r="AL710">
        <v>71.499786928825202</v>
      </c>
      <c r="AM710">
        <v>92.166908939419301</v>
      </c>
      <c r="AN710">
        <v>1.00000005350387</v>
      </c>
    </row>
    <row r="711" spans="1:40" x14ac:dyDescent="0.25">
      <c r="A711" t="str">
        <f>"20190304164835423"</f>
        <v>20190304164835423</v>
      </c>
      <c r="B711" t="str">
        <f>"1551689315416840"</f>
        <v>1551689315416840</v>
      </c>
      <c r="C711" t="s">
        <v>40</v>
      </c>
      <c r="D711">
        <v>4.7301409999999997</v>
      </c>
      <c r="E711">
        <v>0.5452941</v>
      </c>
      <c r="F711" t="s">
        <v>41</v>
      </c>
      <c r="G711">
        <v>-330.98360000000002</v>
      </c>
      <c r="H711">
        <v>0.85609159999999995</v>
      </c>
      <c r="I711">
        <v>367.87439999999998</v>
      </c>
      <c r="J711">
        <v>-331.50970000000001</v>
      </c>
      <c r="K711">
        <v>1.1101920000000001</v>
      </c>
      <c r="L711">
        <v>367.87099999999998</v>
      </c>
      <c r="M711">
        <v>0.99991640000000004</v>
      </c>
      <c r="N711">
        <v>-1.16334E-2</v>
      </c>
      <c r="O711">
        <v>-5.6496929999999999E-3</v>
      </c>
      <c r="P711">
        <v>0.95140469999999999</v>
      </c>
      <c r="Q711">
        <v>0.3064231</v>
      </c>
      <c r="R711">
        <v>3.0565390000000001E-2</v>
      </c>
      <c r="S711">
        <v>3.5724490000000002</v>
      </c>
      <c r="T711">
        <v>-1.3052170000000001</v>
      </c>
      <c r="U711">
        <v>1.3549800000000001E-2</v>
      </c>
      <c r="V711">
        <v>-3.5928769999999999E-2</v>
      </c>
      <c r="W711">
        <v>0.31746999999999997</v>
      </c>
      <c r="X711">
        <v>0.94758739999999997</v>
      </c>
      <c r="Y711">
        <v>-8.5302380000000008E-3</v>
      </c>
      <c r="Z711">
        <v>3.4964829999999999E-3</v>
      </c>
      <c r="AA711">
        <v>0.99995750000000005</v>
      </c>
      <c r="AB711">
        <v>33</v>
      </c>
      <c r="AC711">
        <v>0.52609999999998502</v>
      </c>
      <c r="AD711">
        <v>-0.2541004</v>
      </c>
      <c r="AE711">
        <v>3.3999999999991802E-3</v>
      </c>
      <c r="AF711">
        <v>-5.1671235153119503E-3</v>
      </c>
      <c r="AG711">
        <v>-0.2541004</v>
      </c>
      <c r="AH711">
        <v>0.42656763274665399</v>
      </c>
      <c r="AI711">
        <v>120.779820273179</v>
      </c>
      <c r="AJ711">
        <v>90.694004580001504</v>
      </c>
      <c r="AK711">
        <v>0.49654169789924602</v>
      </c>
      <c r="AL711">
        <v>71.490009583721601</v>
      </c>
      <c r="AM711">
        <v>92.171389415409195</v>
      </c>
      <c r="AN711">
        <v>0.99999997902623605</v>
      </c>
    </row>
    <row r="712" spans="1:40" x14ac:dyDescent="0.25">
      <c r="A712" t="str">
        <f>"20190304164835433"</f>
        <v>20190304164835433</v>
      </c>
      <c r="B712" t="str">
        <f>"1551689315426600"</f>
        <v>1551689315426600</v>
      </c>
      <c r="C712" t="s">
        <v>40</v>
      </c>
      <c r="D712">
        <v>4.8406560000000001</v>
      </c>
      <c r="E712">
        <v>0.5452977</v>
      </c>
      <c r="F712" t="s">
        <v>41</v>
      </c>
      <c r="G712">
        <v>-330.70359999999999</v>
      </c>
      <c r="H712">
        <v>0.81631769999999904</v>
      </c>
      <c r="I712">
        <v>367.87360000000001</v>
      </c>
      <c r="J712">
        <v>-331.3553</v>
      </c>
      <c r="K712">
        <v>1.110179</v>
      </c>
      <c r="L712">
        <v>367.87009999999998</v>
      </c>
      <c r="M712">
        <v>0.99991759999999996</v>
      </c>
      <c r="N712">
        <v>-1.1521099999999999E-2</v>
      </c>
      <c r="O712">
        <v>-5.6496410000000004E-3</v>
      </c>
      <c r="P712">
        <v>0.95115419999999995</v>
      </c>
      <c r="Q712">
        <v>0.30718839999999997</v>
      </c>
      <c r="R712">
        <v>3.0679919999999999E-2</v>
      </c>
      <c r="S712">
        <v>3.5722960000000001</v>
      </c>
      <c r="T712">
        <v>-1.302281</v>
      </c>
      <c r="U712">
        <v>1.1993409999999999E-2</v>
      </c>
      <c r="V712">
        <v>-3.6041509999999999E-2</v>
      </c>
      <c r="W712">
        <v>0.3181252</v>
      </c>
      <c r="X712">
        <v>0.94736339999999997</v>
      </c>
      <c r="Y712">
        <v>-8.1254910000000003E-3</v>
      </c>
      <c r="Z712">
        <v>3.4154179999999999E-3</v>
      </c>
      <c r="AA712">
        <v>0.99996110000000005</v>
      </c>
      <c r="AB712">
        <v>33</v>
      </c>
      <c r="AC712">
        <v>0.65170000000000505</v>
      </c>
      <c r="AD712">
        <v>-0.29386129999999999</v>
      </c>
      <c r="AE712">
        <v>3.5000000000309198E-3</v>
      </c>
      <c r="AF712">
        <v>-5.9685445041962604E-3</v>
      </c>
      <c r="AG712">
        <v>-0.29386129999999999</v>
      </c>
      <c r="AH712">
        <v>0.54156056077145998</v>
      </c>
      <c r="AI712">
        <v>118.48366062370501</v>
      </c>
      <c r="AJ712">
        <v>90.631431810361505</v>
      </c>
      <c r="AK712">
        <v>0.61618011014985496</v>
      </c>
      <c r="AL712">
        <v>71.450417678672295</v>
      </c>
      <c r="AM712">
        <v>92.178710940733893</v>
      </c>
      <c r="AN712">
        <v>1.0000000224888299</v>
      </c>
    </row>
    <row r="713" spans="1:40" x14ac:dyDescent="0.25">
      <c r="A713" t="str">
        <f>"20190304164835445"</f>
        <v>20190304164835445</v>
      </c>
      <c r="B713" t="str">
        <f>"1551689315437336"</f>
        <v>1551689315437336</v>
      </c>
      <c r="C713" t="s">
        <v>40</v>
      </c>
      <c r="D713">
        <v>5.1147039999999997</v>
      </c>
      <c r="E713">
        <v>0.54535549999999999</v>
      </c>
      <c r="F713" t="s">
        <v>41</v>
      </c>
      <c r="G713">
        <v>-330.68279999999999</v>
      </c>
      <c r="H713">
        <v>0.86562619999999901</v>
      </c>
      <c r="I713">
        <v>367.87220000000002</v>
      </c>
      <c r="J713">
        <v>-331.18869999999998</v>
      </c>
      <c r="K713">
        <v>1.11016</v>
      </c>
      <c r="L713">
        <v>367.8691</v>
      </c>
      <c r="M713">
        <v>0.99991909999999895</v>
      </c>
      <c r="N713">
        <v>-1.139634E-2</v>
      </c>
      <c r="O713">
        <v>-5.6492850000000004E-3</v>
      </c>
      <c r="P713">
        <v>0.95094650000000003</v>
      </c>
      <c r="Q713">
        <v>0.30782359999999998</v>
      </c>
      <c r="R713">
        <v>3.0746119999999998E-2</v>
      </c>
      <c r="S713">
        <v>3.573334</v>
      </c>
      <c r="T713">
        <v>-1.299331</v>
      </c>
      <c r="U713">
        <v>1.126099E-2</v>
      </c>
      <c r="V713">
        <v>-3.6106289999999999E-2</v>
      </c>
      <c r="W713">
        <v>0.31864049999999999</v>
      </c>
      <c r="X713">
        <v>0.94718769999999997</v>
      </c>
      <c r="Y713">
        <v>-7.9360839999999995E-3</v>
      </c>
      <c r="Z713">
        <v>3.372725E-3</v>
      </c>
      <c r="AA713">
        <v>0.99996280000000004</v>
      </c>
      <c r="AB713">
        <v>33</v>
      </c>
      <c r="AC713">
        <v>0.50589999999999602</v>
      </c>
      <c r="AD713">
        <v>-0.2445338</v>
      </c>
      <c r="AE713">
        <v>3.1000000000176399E-3</v>
      </c>
      <c r="AF713">
        <v>-4.8297303715407599E-3</v>
      </c>
      <c r="AG713">
        <v>-0.2445338</v>
      </c>
      <c r="AH713">
        <v>0.41006917467980802</v>
      </c>
      <c r="AI713">
        <v>120.806860298551</v>
      </c>
      <c r="AJ713">
        <v>90.674789496917796</v>
      </c>
      <c r="AK713">
        <v>0.47746919655667902</v>
      </c>
      <c r="AL713">
        <v>71.4192717260959</v>
      </c>
      <c r="AM713">
        <v>92.1830275880492</v>
      </c>
      <c r="AN713">
        <v>0.99999998572455095</v>
      </c>
    </row>
    <row r="714" spans="1:40" x14ac:dyDescent="0.25">
      <c r="A714" t="str">
        <f>"20190304164835455"</f>
        <v>20190304164835455</v>
      </c>
      <c r="B714" t="str">
        <f>"1551689315447096"</f>
        <v>1551689315447096</v>
      </c>
      <c r="C714" t="s">
        <v>40</v>
      </c>
      <c r="D714">
        <v>4.8394349999999999</v>
      </c>
      <c r="E714">
        <v>0.54536960000000001</v>
      </c>
      <c r="F714" t="s">
        <v>41</v>
      </c>
      <c r="G714">
        <v>-330.40269999999998</v>
      </c>
      <c r="H714">
        <v>0.82524050000000004</v>
      </c>
      <c r="I714">
        <v>367.87139999999999</v>
      </c>
      <c r="J714">
        <v>-331.02929999999998</v>
      </c>
      <c r="K714">
        <v>1.110142</v>
      </c>
      <c r="L714">
        <v>367.86829999999998</v>
      </c>
      <c r="M714">
        <v>0.99992060000000005</v>
      </c>
      <c r="N714">
        <v>-1.1276370000000001E-2</v>
      </c>
      <c r="O714">
        <v>-5.6490840000000004E-3</v>
      </c>
      <c r="P714">
        <v>0.95103470000000001</v>
      </c>
      <c r="Q714">
        <v>0.30753530000000001</v>
      </c>
      <c r="R714">
        <v>3.0909579999999999E-2</v>
      </c>
      <c r="S714">
        <v>3.5737610000000002</v>
      </c>
      <c r="T714">
        <v>-1.295498</v>
      </c>
      <c r="U714">
        <v>1.077271E-2</v>
      </c>
      <c r="V714">
        <v>-3.6269990000000002E-2</v>
      </c>
      <c r="W714">
        <v>0.318239099999999</v>
      </c>
      <c r="X714">
        <v>0.94731639999999995</v>
      </c>
      <c r="Y714">
        <v>-7.8121500000000003E-3</v>
      </c>
      <c r="Z714">
        <v>3.340534E-3</v>
      </c>
      <c r="AA714">
        <v>0.99996390000000002</v>
      </c>
      <c r="AB714">
        <v>33</v>
      </c>
      <c r="AC714">
        <v>0.62659999999999605</v>
      </c>
      <c r="AD714">
        <v>-0.28490149999999898</v>
      </c>
      <c r="AE714">
        <v>3.1000000000176399E-3</v>
      </c>
      <c r="AF714">
        <v>-5.50239523847017E-3</v>
      </c>
      <c r="AG714">
        <v>-0.28490149999999898</v>
      </c>
      <c r="AH714">
        <v>0.51923282988419595</v>
      </c>
      <c r="AI714">
        <v>118.75208810052099</v>
      </c>
      <c r="AJ714">
        <v>90.607150021450593</v>
      </c>
      <c r="AK714">
        <v>0.59228529669844199</v>
      </c>
      <c r="AL714">
        <v>71.4435334933153</v>
      </c>
      <c r="AM714">
        <v>92.192617803079202</v>
      </c>
      <c r="AN714">
        <v>0.999999999326185</v>
      </c>
    </row>
    <row r="715" spans="1:40" x14ac:dyDescent="0.25">
      <c r="A715" t="str">
        <f>"20190304164835465"</f>
        <v>20190304164835465</v>
      </c>
      <c r="B715" t="str">
        <f>"1551689315456857"</f>
        <v>1551689315456857</v>
      </c>
      <c r="C715" t="s">
        <v>40</v>
      </c>
      <c r="D715">
        <v>4.8274549999999996</v>
      </c>
      <c r="E715">
        <v>0.54537369999999996</v>
      </c>
      <c r="F715" t="s">
        <v>41</v>
      </c>
      <c r="G715">
        <v>-330.12290000000002</v>
      </c>
      <c r="H715">
        <v>0.78132590000000002</v>
      </c>
      <c r="I715">
        <v>367.87090000000001</v>
      </c>
      <c r="J715">
        <v>-330.8664</v>
      </c>
      <c r="K715">
        <v>1.110123</v>
      </c>
      <c r="L715">
        <v>367.8673</v>
      </c>
      <c r="M715">
        <v>0.99992190000000003</v>
      </c>
      <c r="N715">
        <v>-1.1151650000000001E-2</v>
      </c>
      <c r="O715">
        <v>-5.6488629999999996E-3</v>
      </c>
      <c r="P715">
        <v>0.9510575</v>
      </c>
      <c r="Q715">
        <v>0.30746279999999998</v>
      </c>
      <c r="R715">
        <v>3.0927739999999999E-2</v>
      </c>
      <c r="S715">
        <v>3.573242</v>
      </c>
      <c r="T715">
        <v>-1.2962149999999999</v>
      </c>
      <c r="U715">
        <v>1.1108399999999999E-2</v>
      </c>
      <c r="V715">
        <v>-3.6288239999999999E-2</v>
      </c>
      <c r="W715">
        <v>0.31804880000000002</v>
      </c>
      <c r="X715">
        <v>0.94737959999999999</v>
      </c>
      <c r="Y715">
        <v>-7.8993559999999997E-3</v>
      </c>
      <c r="Z715">
        <v>3.3586800000000002E-3</v>
      </c>
      <c r="AA715">
        <v>0.99996320000000005</v>
      </c>
      <c r="AB715">
        <v>33</v>
      </c>
      <c r="AC715">
        <v>0.74349999999998295</v>
      </c>
      <c r="AD715">
        <v>-0.32879709999999901</v>
      </c>
      <c r="AE715">
        <v>3.6000000000058199E-3</v>
      </c>
      <c r="AF715">
        <v>-6.5242413985654897E-3</v>
      </c>
      <c r="AG715">
        <v>-0.32879709999999901</v>
      </c>
      <c r="AH715">
        <v>0.62185648111990899</v>
      </c>
      <c r="AI715">
        <v>117.865659186485</v>
      </c>
      <c r="AJ715">
        <v>90.601099760851099</v>
      </c>
      <c r="AK715">
        <v>0.70345972294444303</v>
      </c>
      <c r="AL715">
        <v>71.455034281997499</v>
      </c>
      <c r="AM715">
        <v>92.193573785908796</v>
      </c>
      <c r="AN715">
        <v>0.99999999101994796</v>
      </c>
    </row>
    <row r="716" spans="1:40" x14ac:dyDescent="0.25">
      <c r="A716" t="str">
        <f>"20190304164835478"</f>
        <v>20190304164835478</v>
      </c>
      <c r="B716" t="str">
        <f>"1551689315467592"</f>
        <v>1551689315467592</v>
      </c>
      <c r="C716" t="s">
        <v>40</v>
      </c>
      <c r="D716">
        <v>4.8366480000000003</v>
      </c>
      <c r="E716">
        <v>0.54539159999999998</v>
      </c>
      <c r="F716" t="s">
        <v>41</v>
      </c>
      <c r="G716">
        <v>-330.1019</v>
      </c>
      <c r="H716">
        <v>0.83277860000000004</v>
      </c>
      <c r="I716">
        <v>367.8698</v>
      </c>
      <c r="J716">
        <v>-330.69450000000001</v>
      </c>
      <c r="K716">
        <v>1.1101099999999999</v>
      </c>
      <c r="L716">
        <v>367.8664</v>
      </c>
      <c r="M716">
        <v>0.99992349999999997</v>
      </c>
      <c r="N716">
        <v>-1.1020479999999999E-2</v>
      </c>
      <c r="O716">
        <v>-5.6488519999999898E-3</v>
      </c>
      <c r="P716">
        <v>0.95106769999999996</v>
      </c>
      <c r="Q716">
        <v>0.30741540000000001</v>
      </c>
      <c r="R716">
        <v>3.1080549999999998E-2</v>
      </c>
      <c r="S716">
        <v>3.5730900000000001</v>
      </c>
      <c r="T716">
        <v>-1.296298</v>
      </c>
      <c r="U716">
        <v>1.196289E-2</v>
      </c>
      <c r="V716">
        <v>-3.6440889999999997E-2</v>
      </c>
      <c r="W716">
        <v>0.31787739999999998</v>
      </c>
      <c r="X716">
        <v>0.94743129999999998</v>
      </c>
      <c r="Y716">
        <v>-8.1236030000000001E-3</v>
      </c>
      <c r="Z716">
        <v>3.3998959999999999E-3</v>
      </c>
      <c r="AA716">
        <v>0.99996119999999999</v>
      </c>
      <c r="AB716">
        <v>33</v>
      </c>
      <c r="AC716">
        <v>0.59260000000000401</v>
      </c>
      <c r="AD716">
        <v>-0.27733139999999901</v>
      </c>
      <c r="AE716">
        <v>3.3999999999991802E-3</v>
      </c>
      <c r="AF716">
        <v>-5.5353670185559999E-3</v>
      </c>
      <c r="AG716">
        <v>-0.27733139999999901</v>
      </c>
      <c r="AH716">
        <v>0.48610936891386902</v>
      </c>
      <c r="AI716">
        <v>119.703693476243</v>
      </c>
      <c r="AJ716">
        <v>90.652403515775504</v>
      </c>
      <c r="AK716">
        <v>0.55968353938616999</v>
      </c>
      <c r="AL716">
        <v>71.465392964013205</v>
      </c>
      <c r="AM716">
        <v>92.202672110819506</v>
      </c>
      <c r="AN716">
        <v>1.00000002405722</v>
      </c>
    </row>
    <row r="717" spans="1:40" x14ac:dyDescent="0.25">
      <c r="A717" t="str">
        <f>"20190304164835489"</f>
        <v>20190304164835489</v>
      </c>
      <c r="B717" t="str">
        <f>"1551689315477353"</f>
        <v>1551689315477353</v>
      </c>
      <c r="C717" t="s">
        <v>40</v>
      </c>
      <c r="D717">
        <v>4.9192799999999997</v>
      </c>
      <c r="E717">
        <v>0.54553039999999997</v>
      </c>
      <c r="F717" t="s">
        <v>41</v>
      </c>
      <c r="G717">
        <v>-329.81990000000002</v>
      </c>
      <c r="H717">
        <v>0.792844199999999</v>
      </c>
      <c r="I717">
        <v>367.86880000000002</v>
      </c>
      <c r="J717">
        <v>-330.53489999999999</v>
      </c>
      <c r="K717">
        <v>1.110098</v>
      </c>
      <c r="L717">
        <v>367.8655</v>
      </c>
      <c r="M717">
        <v>0.9999247</v>
      </c>
      <c r="N717">
        <v>-1.089997E-2</v>
      </c>
      <c r="O717">
        <v>-5.6485509999999999E-3</v>
      </c>
      <c r="P717">
        <v>0.95089539999999995</v>
      </c>
      <c r="Q717">
        <v>0.30793340000000002</v>
      </c>
      <c r="R717">
        <v>3.1226719999999999E-2</v>
      </c>
      <c r="S717">
        <v>3.572937</v>
      </c>
      <c r="T717">
        <v>-1.296028</v>
      </c>
      <c r="U717">
        <v>1.107788E-2</v>
      </c>
      <c r="V717">
        <v>-3.6586109999999998E-2</v>
      </c>
      <c r="W717">
        <v>0.31827929999999999</v>
      </c>
      <c r="X717">
        <v>0.94729070000000004</v>
      </c>
      <c r="Y717">
        <v>-7.8912859999999904E-3</v>
      </c>
      <c r="Z717">
        <v>3.357278E-3</v>
      </c>
      <c r="AA717">
        <v>0.99996320000000005</v>
      </c>
      <c r="AB717">
        <v>33</v>
      </c>
      <c r="AC717">
        <v>0.71499999999997499</v>
      </c>
      <c r="AD717">
        <v>-0.31725379999999997</v>
      </c>
      <c r="AE717">
        <v>3.30000000002428E-3</v>
      </c>
      <c r="AF717">
        <v>-6.1317147719398496E-3</v>
      </c>
      <c r="AG717">
        <v>-0.31725379999999997</v>
      </c>
      <c r="AH717">
        <v>0.59736352945954996</v>
      </c>
      <c r="AI717">
        <v>117.971074323569</v>
      </c>
      <c r="AJ717">
        <v>90.588099243347898</v>
      </c>
      <c r="AK717">
        <v>0.67641019941220204</v>
      </c>
      <c r="AL717">
        <v>71.441103178329001</v>
      </c>
      <c r="AM717">
        <v>92.211769149337499</v>
      </c>
      <c r="AN717">
        <v>0.999999963279955</v>
      </c>
    </row>
    <row r="718" spans="1:40" x14ac:dyDescent="0.25">
      <c r="A718" t="str">
        <f>"20190304164835500"</f>
        <v>20190304164835500</v>
      </c>
      <c r="B718" t="str">
        <f>"1551689315496873"</f>
        <v>1551689315496873</v>
      </c>
      <c r="C718" t="s">
        <v>40</v>
      </c>
      <c r="D718">
        <v>4.8229559999999996</v>
      </c>
      <c r="E718">
        <v>0.54561040000000005</v>
      </c>
      <c r="F718" t="s">
        <v>41</v>
      </c>
      <c r="G718">
        <v>-329.7989</v>
      </c>
      <c r="H718">
        <v>0.84408819999999996</v>
      </c>
      <c r="I718">
        <v>367.86720000000003</v>
      </c>
      <c r="J718">
        <v>-330.36559999999997</v>
      </c>
      <c r="K718">
        <v>1.1100779999999999</v>
      </c>
      <c r="L718">
        <v>367.8646</v>
      </c>
      <c r="M718">
        <v>0.99992599999999998</v>
      </c>
      <c r="N718">
        <v>-1.0773120000000001E-2</v>
      </c>
      <c r="O718">
        <v>-5.6483419999999998E-3</v>
      </c>
      <c r="P718">
        <v>0.95070200000000005</v>
      </c>
      <c r="Q718">
        <v>0.30851919999999999</v>
      </c>
      <c r="R718">
        <v>3.133354E-2</v>
      </c>
      <c r="S718">
        <v>3.572845</v>
      </c>
      <c r="T718">
        <v>-1.2913019999999999</v>
      </c>
      <c r="U718">
        <v>9.6435549999999998E-3</v>
      </c>
      <c r="V718">
        <v>-3.6691649999999999E-2</v>
      </c>
      <c r="W718">
        <v>0.318743099999999</v>
      </c>
      <c r="X718">
        <v>0.94713069999999999</v>
      </c>
      <c r="Y718">
        <v>-7.5199659999999899E-3</v>
      </c>
      <c r="Z718">
        <v>3.2787739999999999E-3</v>
      </c>
      <c r="AA718">
        <v>0.99996629999999997</v>
      </c>
      <c r="AB718">
        <v>33</v>
      </c>
      <c r="AC718">
        <v>0.56669999999996801</v>
      </c>
      <c r="AD718">
        <v>-0.2659898</v>
      </c>
      <c r="AE718">
        <v>2.6000000000294598E-3</v>
      </c>
      <c r="AF718">
        <v>-4.7537982320829597E-3</v>
      </c>
      <c r="AG718">
        <v>-0.2659898</v>
      </c>
      <c r="AH718">
        <v>0.46437457635514301</v>
      </c>
      <c r="AI718">
        <v>119.80241895345701</v>
      </c>
      <c r="AJ718">
        <v>90.586515875985597</v>
      </c>
      <c r="AK718">
        <v>0.53517933393087003</v>
      </c>
      <c r="AL718">
        <v>71.413070112912393</v>
      </c>
      <c r="AM718">
        <v>92.218517418108803</v>
      </c>
      <c r="AN718">
        <v>1.00000000192991</v>
      </c>
    </row>
    <row r="719" spans="1:40" x14ac:dyDescent="0.25">
      <c r="A719" t="str">
        <f>"20190304164835512"</f>
        <v>20190304164835512</v>
      </c>
      <c r="B719" t="str">
        <f>"1551689315506632"</f>
        <v>1551689315506632</v>
      </c>
      <c r="C719" t="s">
        <v>40</v>
      </c>
      <c r="D719">
        <v>4.8543599999999998</v>
      </c>
      <c r="E719">
        <v>0.5456145</v>
      </c>
      <c r="F719" t="s">
        <v>41</v>
      </c>
      <c r="G719">
        <v>-329.51650000000001</v>
      </c>
      <c r="H719">
        <v>0.8041507</v>
      </c>
      <c r="I719">
        <v>367.86689999999999</v>
      </c>
      <c r="J719">
        <v>-330.1814</v>
      </c>
      <c r="K719">
        <v>1.110063</v>
      </c>
      <c r="L719">
        <v>367.86349999999999</v>
      </c>
      <c r="M719">
        <v>0.99992749999999997</v>
      </c>
      <c r="N719">
        <v>-1.063655E-2</v>
      </c>
      <c r="O719">
        <v>-5.6480890000000002E-3</v>
      </c>
      <c r="P719">
        <v>0.95066329999999999</v>
      </c>
      <c r="Q719">
        <v>0.30862240000000002</v>
      </c>
      <c r="R719">
        <v>3.1488059999999998E-2</v>
      </c>
      <c r="S719">
        <v>3.5730900000000001</v>
      </c>
      <c r="T719">
        <v>-1.2875540000000001</v>
      </c>
      <c r="U719">
        <v>9.5825200000000006E-3</v>
      </c>
      <c r="V719">
        <v>-3.684511E-2</v>
      </c>
      <c r="W719">
        <v>0.3187159</v>
      </c>
      <c r="X719">
        <v>0.94713389999999997</v>
      </c>
      <c r="Y719">
        <v>-7.5079509999999997E-3</v>
      </c>
      <c r="Z719">
        <v>3.267514E-3</v>
      </c>
      <c r="AA719">
        <v>0.99996649999999998</v>
      </c>
      <c r="AB719">
        <v>33</v>
      </c>
      <c r="AC719">
        <v>0.66489999999998795</v>
      </c>
      <c r="AD719">
        <v>-0.30591230000000003</v>
      </c>
      <c r="AE719">
        <v>3.3999999999991802E-3</v>
      </c>
      <c r="AF719">
        <v>-5.9055206086072801E-3</v>
      </c>
      <c r="AG719">
        <v>-0.30591230000000003</v>
      </c>
      <c r="AH719">
        <v>0.54871983954424397</v>
      </c>
      <c r="AI719">
        <v>119.13833433628901</v>
      </c>
      <c r="AJ719">
        <v>90.616614015517001</v>
      </c>
      <c r="AK719">
        <v>0.62826003595200097</v>
      </c>
      <c r="AL719">
        <v>71.414714384331006</v>
      </c>
      <c r="AM719">
        <v>92.227779347412394</v>
      </c>
      <c r="AN719">
        <v>1.00000000578646</v>
      </c>
    </row>
    <row r="720" spans="1:40" x14ac:dyDescent="0.25">
      <c r="A720" t="str">
        <f>"20190304164835523"</f>
        <v>20190304164835523</v>
      </c>
      <c r="B720" t="str">
        <f>"1551689315517368"</f>
        <v>1551689315517368</v>
      </c>
      <c r="C720" t="s">
        <v>40</v>
      </c>
      <c r="D720">
        <v>4.7677550000000002</v>
      </c>
      <c r="E720">
        <v>0.54569999999999996</v>
      </c>
      <c r="F720" t="s">
        <v>41</v>
      </c>
      <c r="G720">
        <v>-329.49250000000001</v>
      </c>
      <c r="H720">
        <v>0.86194649999999995</v>
      </c>
      <c r="I720">
        <v>367.86540000000002</v>
      </c>
      <c r="J720">
        <v>-330.02019999999999</v>
      </c>
      <c r="K720">
        <v>1.1100479999999999</v>
      </c>
      <c r="L720">
        <v>367.86259999999999</v>
      </c>
      <c r="M720">
        <v>0.99992879999999995</v>
      </c>
      <c r="N720">
        <v>-1.05179E-2</v>
      </c>
      <c r="O720">
        <v>-5.6478199999999996E-3</v>
      </c>
      <c r="P720">
        <v>0.95092019999999999</v>
      </c>
      <c r="Q720">
        <v>0.30779810000000002</v>
      </c>
      <c r="R720">
        <v>3.1801709999999997E-2</v>
      </c>
      <c r="S720">
        <v>3.5731199999999999</v>
      </c>
      <c r="T720">
        <v>-1.2868790000000001</v>
      </c>
      <c r="U720">
        <v>9.7961430000000002E-3</v>
      </c>
      <c r="V720">
        <v>-3.7159980000000002E-2</v>
      </c>
      <c r="W720">
        <v>0.31778210000000001</v>
      </c>
      <c r="X720">
        <v>0.94743529999999998</v>
      </c>
      <c r="Y720">
        <v>-7.5645719999999899E-3</v>
      </c>
      <c r="Z720">
        <v>3.276157E-3</v>
      </c>
      <c r="AA720">
        <v>0.99996600000000002</v>
      </c>
      <c r="AB720">
        <v>33</v>
      </c>
      <c r="AC720">
        <v>0.52769999999998096</v>
      </c>
      <c r="AD720">
        <v>-0.248101499999999</v>
      </c>
      <c r="AE720">
        <v>2.8000000000361E-3</v>
      </c>
      <c r="AF720">
        <v>-4.7340554191185298E-3</v>
      </c>
      <c r="AG720">
        <v>-0.248101499999999</v>
      </c>
      <c r="AH720">
        <v>0.43215245991846901</v>
      </c>
      <c r="AI720">
        <v>119.858925577291</v>
      </c>
      <c r="AJ720">
        <v>90.627626986982705</v>
      </c>
      <c r="AK720">
        <v>0.49832972437588502</v>
      </c>
      <c r="AL720">
        <v>71.471151160096099</v>
      </c>
      <c r="AM720">
        <v>92.2460839950121</v>
      </c>
      <c r="AN720">
        <v>0.99999998744005003</v>
      </c>
    </row>
    <row r="721" spans="1:40" x14ac:dyDescent="0.25">
      <c r="A721" t="str">
        <f>"20190304164835534"</f>
        <v>20190304164835534</v>
      </c>
      <c r="B721" t="str">
        <f>"1551689315527128"</f>
        <v>1551689315527128</v>
      </c>
      <c r="C721" t="s">
        <v>40</v>
      </c>
      <c r="D721">
        <v>4.851083</v>
      </c>
      <c r="E721">
        <v>0.54572600000000004</v>
      </c>
      <c r="F721" t="s">
        <v>41</v>
      </c>
      <c r="G721">
        <v>-329.2115</v>
      </c>
      <c r="H721">
        <v>0.81829580000000002</v>
      </c>
      <c r="I721">
        <v>367.86470000000003</v>
      </c>
      <c r="J721">
        <v>-329.84289999999999</v>
      </c>
      <c r="K721">
        <v>1.1100300000000001</v>
      </c>
      <c r="L721">
        <v>367.86160000000001</v>
      </c>
      <c r="M721">
        <v>0.99993019999999999</v>
      </c>
      <c r="N721">
        <v>-1.038767E-2</v>
      </c>
      <c r="O721">
        <v>-5.6476180000000001E-3</v>
      </c>
      <c r="P721">
        <v>0.9509166</v>
      </c>
      <c r="Q721">
        <v>0.30776799999999999</v>
      </c>
      <c r="R721">
        <v>3.2199100000000001E-2</v>
      </c>
      <c r="S721">
        <v>3.5715029999999999</v>
      </c>
      <c r="T721">
        <v>-1.288338</v>
      </c>
      <c r="U721">
        <v>1.00708E-2</v>
      </c>
      <c r="V721">
        <v>-3.755733E-2</v>
      </c>
      <c r="W721">
        <v>0.31762839999999998</v>
      </c>
      <c r="X721">
        <v>0.94747119999999996</v>
      </c>
      <c r="Y721">
        <v>-7.6352969999999897E-3</v>
      </c>
      <c r="Z721">
        <v>3.2939649999999998E-3</v>
      </c>
      <c r="AA721">
        <v>0.9999654</v>
      </c>
      <c r="AB721">
        <v>33</v>
      </c>
      <c r="AC721">
        <v>0.63139999999998497</v>
      </c>
      <c r="AD721">
        <v>-0.291734199999999</v>
      </c>
      <c r="AE721">
        <v>3.1000000000176399E-3</v>
      </c>
      <c r="AF721">
        <v>-5.49333680745916E-3</v>
      </c>
      <c r="AG721">
        <v>-0.291734199999999</v>
      </c>
      <c r="AH721">
        <v>0.52029944074758905</v>
      </c>
      <c r="AI721">
        <v>119.27818019086899</v>
      </c>
      <c r="AJ721">
        <v>90.604908050174501</v>
      </c>
      <c r="AK721">
        <v>0.59653208483800302</v>
      </c>
      <c r="AL721">
        <v>71.480439227276193</v>
      </c>
      <c r="AM721">
        <v>92.269990352706998</v>
      </c>
      <c r="AN721">
        <v>1.0000000141763601</v>
      </c>
    </row>
    <row r="722" spans="1:40" x14ac:dyDescent="0.25">
      <c r="A722" t="str">
        <f>"20190304164835546"</f>
        <v>20190304164835546</v>
      </c>
      <c r="B722" t="str">
        <f>"1551689315536888"</f>
        <v>1551689315536888</v>
      </c>
      <c r="C722" t="s">
        <v>40</v>
      </c>
      <c r="D722">
        <v>4.852068</v>
      </c>
      <c r="E722">
        <v>0.54574269999999903</v>
      </c>
      <c r="F722" t="s">
        <v>41</v>
      </c>
      <c r="G722">
        <v>-329.18799999999999</v>
      </c>
      <c r="H722">
        <v>0.87386549999999996</v>
      </c>
      <c r="I722">
        <v>367.86329999999998</v>
      </c>
      <c r="J722">
        <v>-329.67079999999999</v>
      </c>
      <c r="K722">
        <v>1.1100129999999999</v>
      </c>
      <c r="L722">
        <v>367.86059999999998</v>
      </c>
      <c r="M722">
        <v>0.99993149999999997</v>
      </c>
      <c r="N722">
        <v>-1.0262240000000001E-2</v>
      </c>
      <c r="O722">
        <v>-5.6474480000000002E-3</v>
      </c>
      <c r="P722">
        <v>0.95096009999999997</v>
      </c>
      <c r="Q722">
        <v>0.30760399999999999</v>
      </c>
      <c r="R722">
        <v>3.2478800000000002E-2</v>
      </c>
      <c r="S722">
        <v>3.5713200000000001</v>
      </c>
      <c r="T722">
        <v>-1.28786</v>
      </c>
      <c r="U722">
        <v>1.0284420000000001E-2</v>
      </c>
      <c r="V722">
        <v>-3.7837129999999997E-2</v>
      </c>
      <c r="W722">
        <v>0.31734620000000002</v>
      </c>
      <c r="X722">
        <v>0.94755460000000002</v>
      </c>
      <c r="Y722">
        <v>-7.6918709999999899E-3</v>
      </c>
      <c r="Z722">
        <v>3.3032920000000002E-3</v>
      </c>
      <c r="AA722">
        <v>0.99996499999999999</v>
      </c>
      <c r="AB722">
        <v>33</v>
      </c>
      <c r="AC722">
        <v>0.48279999999994</v>
      </c>
      <c r="AD722">
        <v>-0.23614749999999901</v>
      </c>
      <c r="AE722">
        <v>2.7000000000043599E-3</v>
      </c>
      <c r="AF722">
        <v>-4.37907490196183E-3</v>
      </c>
      <c r="AG722">
        <v>-0.23614749999999901</v>
      </c>
      <c r="AH722">
        <v>0.389577734610288</v>
      </c>
      <c r="AI722">
        <v>121.221077214391</v>
      </c>
      <c r="AJ722">
        <v>90.644009966068495</v>
      </c>
      <c r="AK722">
        <v>0.45558273601765298</v>
      </c>
      <c r="AL722">
        <v>71.497489801479901</v>
      </c>
      <c r="AM722">
        <v>92.2866826957044</v>
      </c>
      <c r="AN722">
        <v>0.99999998952111802</v>
      </c>
    </row>
    <row r="723" spans="1:40" x14ac:dyDescent="0.25">
      <c r="A723" t="str">
        <f>"20190304164835560"</f>
        <v>20190304164835560</v>
      </c>
      <c r="B723" t="str">
        <f>"1551689315557384"</f>
        <v>1551689315557384</v>
      </c>
      <c r="C723" t="s">
        <v>40</v>
      </c>
      <c r="D723">
        <v>4.852983</v>
      </c>
      <c r="E723">
        <v>0.54578159999999998</v>
      </c>
      <c r="F723" t="s">
        <v>41</v>
      </c>
      <c r="G723">
        <v>-328.90519999999998</v>
      </c>
      <c r="H723">
        <v>0.83385540000000002</v>
      </c>
      <c r="I723">
        <v>367.86279999999999</v>
      </c>
      <c r="J723">
        <v>-329.48349999999999</v>
      </c>
      <c r="K723">
        <v>1.1100000000000001</v>
      </c>
      <c r="L723">
        <v>367.8596</v>
      </c>
      <c r="M723">
        <v>0.99993290000000001</v>
      </c>
      <c r="N723">
        <v>-1.012679E-2</v>
      </c>
      <c r="O723">
        <v>-5.6473549999999997E-3</v>
      </c>
      <c r="P723">
        <v>0.95074840000000005</v>
      </c>
      <c r="Q723">
        <v>0.3082184</v>
      </c>
      <c r="R723">
        <v>3.2850730000000002E-2</v>
      </c>
      <c r="S723">
        <v>3.5709840000000002</v>
      </c>
      <c r="T723">
        <v>-1.2879910000000001</v>
      </c>
      <c r="U723">
        <v>1.049805E-2</v>
      </c>
      <c r="V723">
        <v>-3.8207430000000001E-2</v>
      </c>
      <c r="W723">
        <v>0.31783</v>
      </c>
      <c r="X723">
        <v>0.94737760000000004</v>
      </c>
      <c r="Y723">
        <v>-7.7478449999999997E-3</v>
      </c>
      <c r="Z723">
        <v>3.3141529999999998E-3</v>
      </c>
      <c r="AA723">
        <v>0.99996450000000003</v>
      </c>
      <c r="AB723">
        <v>33</v>
      </c>
      <c r="AC723">
        <v>0.57830000000001203</v>
      </c>
      <c r="AD723">
        <v>-0.27614460000000002</v>
      </c>
      <c r="AE723">
        <v>3.19999999999254E-3</v>
      </c>
      <c r="AF723">
        <v>-5.2654153624978996E-3</v>
      </c>
      <c r="AG723">
        <v>-0.27614460000000002</v>
      </c>
      <c r="AH723">
        <v>0.47090237062293799</v>
      </c>
      <c r="AI723">
        <v>120.38647137313301</v>
      </c>
      <c r="AJ723">
        <v>90.640628555847996</v>
      </c>
      <c r="AK723">
        <v>0.54592362777810099</v>
      </c>
      <c r="AL723">
        <v>71.468257191107099</v>
      </c>
      <c r="AM723">
        <v>92.309468562791807</v>
      </c>
      <c r="AN723">
        <v>1.00000001679448</v>
      </c>
    </row>
    <row r="724" spans="1:40" x14ac:dyDescent="0.25">
      <c r="A724" t="str">
        <f>"20190304164835578"</f>
        <v>20190304164835578</v>
      </c>
      <c r="B724" t="str">
        <f>"1551689315567144"</f>
        <v>1551689315567144</v>
      </c>
      <c r="C724" t="s">
        <v>40</v>
      </c>
      <c r="D724">
        <v>4.8625879999999997</v>
      </c>
      <c r="E724">
        <v>0.54579089999999997</v>
      </c>
      <c r="F724" t="s">
        <v>41</v>
      </c>
      <c r="G724">
        <v>-328.61869999999999</v>
      </c>
      <c r="H724">
        <v>0.79889600000000005</v>
      </c>
      <c r="I724">
        <v>367.8621</v>
      </c>
      <c r="J724">
        <v>-329.19069999999999</v>
      </c>
      <c r="K724">
        <v>1.1099829999999999</v>
      </c>
      <c r="L724">
        <v>367.85789999999997</v>
      </c>
      <c r="M724">
        <v>0.99993489999999996</v>
      </c>
      <c r="N724">
        <v>-9.9209420000000003E-3</v>
      </c>
      <c r="O724">
        <v>-5.6469210000000001E-3</v>
      </c>
      <c r="P724">
        <v>0.95031180000000004</v>
      </c>
      <c r="Q724">
        <v>0.30948959999999998</v>
      </c>
      <c r="R724">
        <v>3.3520880000000003E-2</v>
      </c>
      <c r="S724">
        <v>3.5715330000000001</v>
      </c>
      <c r="T724">
        <v>-1.284834</v>
      </c>
      <c r="U724">
        <v>1.095581E-2</v>
      </c>
      <c r="V724">
        <v>-3.8875239999999998E-2</v>
      </c>
      <c r="W724">
        <v>0.31890170000000001</v>
      </c>
      <c r="X724">
        <v>0.9469902</v>
      </c>
      <c r="Y724">
        <v>-7.871322E-3</v>
      </c>
      <c r="Z724">
        <v>3.3283060000000001E-3</v>
      </c>
      <c r="AA724">
        <v>0.99996350000000001</v>
      </c>
      <c r="AB724">
        <v>34</v>
      </c>
      <c r="AC724">
        <v>0.57200000000000195</v>
      </c>
      <c r="AD724">
        <v>-0.311086999999999</v>
      </c>
      <c r="AE724">
        <v>4.20000000002573E-3</v>
      </c>
      <c r="AF724">
        <v>-5.7341607966290599E-3</v>
      </c>
      <c r="AG724">
        <v>-0.311086999999999</v>
      </c>
      <c r="AH724">
        <v>0.44141238397872801</v>
      </c>
      <c r="AI724">
        <v>125.172131729263</v>
      </c>
      <c r="AJ724">
        <v>90.744258080744203</v>
      </c>
      <c r="AK724">
        <v>0.54004897453733403</v>
      </c>
      <c r="AL724">
        <v>71.4034828078358</v>
      </c>
      <c r="AM724">
        <v>92.350750023338406</v>
      </c>
      <c r="AN724">
        <v>1.00000000872199</v>
      </c>
    </row>
    <row r="725" spans="1:40" x14ac:dyDescent="0.25">
      <c r="A725" t="str">
        <f>"20190304164835589"</f>
        <v>20190304164835589</v>
      </c>
      <c r="B725" t="str">
        <f>"1551689315576904"</f>
        <v>1551689315576904</v>
      </c>
      <c r="C725" t="s">
        <v>40</v>
      </c>
      <c r="D725">
        <v>4.8769970000000002</v>
      </c>
      <c r="E725">
        <v>0.54580069999999903</v>
      </c>
      <c r="F725" t="s">
        <v>41</v>
      </c>
      <c r="G725">
        <v>-328.31810000000002</v>
      </c>
      <c r="H725">
        <v>0.79748009999999903</v>
      </c>
      <c r="I725">
        <v>367.86059999999998</v>
      </c>
      <c r="J725">
        <v>-329.02670000000001</v>
      </c>
      <c r="K725">
        <v>1.1099730000000001</v>
      </c>
      <c r="L725">
        <v>367.85700000000003</v>
      </c>
      <c r="M725">
        <v>0.99993600000000005</v>
      </c>
      <c r="N725">
        <v>-9.8113820000000004E-3</v>
      </c>
      <c r="O725">
        <v>-5.6467389999999996E-3</v>
      </c>
      <c r="P725">
        <v>0.95023349999999995</v>
      </c>
      <c r="Q725">
        <v>0.3097432</v>
      </c>
      <c r="R725">
        <v>3.3400810000000003E-2</v>
      </c>
      <c r="S725">
        <v>3.5731809999999999</v>
      </c>
      <c r="T725">
        <v>-1.279706</v>
      </c>
      <c r="U725">
        <v>1.1566160000000001E-2</v>
      </c>
      <c r="V725">
        <v>-3.8754429999999999E-2</v>
      </c>
      <c r="W725">
        <v>0.31905080000000002</v>
      </c>
      <c r="X725">
        <v>0.94694489999999998</v>
      </c>
      <c r="Y725">
        <v>-8.0371669999999996E-3</v>
      </c>
      <c r="Z725">
        <v>3.3440140000000002E-3</v>
      </c>
      <c r="AA725">
        <v>0.99996209999999996</v>
      </c>
      <c r="AB725">
        <v>34</v>
      </c>
      <c r="AC725">
        <v>0.70859999999998902</v>
      </c>
      <c r="AD725">
        <v>-0.31249290000000002</v>
      </c>
      <c r="AE725">
        <v>3.6000000000058199E-3</v>
      </c>
      <c r="AF725">
        <v>-6.3638046302293503E-3</v>
      </c>
      <c r="AG725">
        <v>-0.31249290000000002</v>
      </c>
      <c r="AH725">
        <v>0.59320418544745601</v>
      </c>
      <c r="AI725">
        <v>117.778367851403</v>
      </c>
      <c r="AJ725">
        <v>90.614636864100802</v>
      </c>
      <c r="AK725">
        <v>0.67050989268776695</v>
      </c>
      <c r="AL725">
        <v>71.394468628296195</v>
      </c>
      <c r="AM725">
        <v>92.343564892150496</v>
      </c>
      <c r="AN725">
        <v>0.99999998123063705</v>
      </c>
    </row>
    <row r="726" spans="1:40" x14ac:dyDescent="0.25">
      <c r="A726" t="str">
        <f>"20190304164835601"</f>
        <v>20190304164835601</v>
      </c>
      <c r="B726" t="str">
        <f>"1551689315597400"</f>
        <v>1551689315597400</v>
      </c>
      <c r="C726" t="s">
        <v>40</v>
      </c>
      <c r="D726">
        <v>4.8787699999999896</v>
      </c>
      <c r="E726">
        <v>0.54581829999999998</v>
      </c>
      <c r="F726" t="s">
        <v>41</v>
      </c>
      <c r="G726">
        <v>-328.29700000000003</v>
      </c>
      <c r="H726">
        <v>0.84889720000000002</v>
      </c>
      <c r="I726">
        <v>367.85919999999999</v>
      </c>
      <c r="J726">
        <v>-328.85730000000001</v>
      </c>
      <c r="K726">
        <v>1.109964</v>
      </c>
      <c r="L726">
        <v>367.85599999999999</v>
      </c>
      <c r="M726">
        <v>0.99993710000000002</v>
      </c>
      <c r="N726">
        <v>-9.7017219999999994E-3</v>
      </c>
      <c r="O726">
        <v>-5.6464430000000001E-3</v>
      </c>
      <c r="P726">
        <v>0.9502893</v>
      </c>
      <c r="Q726">
        <v>0.3095387</v>
      </c>
      <c r="R726">
        <v>3.3706970000000003E-2</v>
      </c>
      <c r="S726">
        <v>3.5734560000000002</v>
      </c>
      <c r="T726">
        <v>-1.2785740000000001</v>
      </c>
      <c r="U726">
        <v>1.165771E-2</v>
      </c>
      <c r="V726">
        <v>-3.9060320000000003E-2</v>
      </c>
      <c r="W726">
        <v>0.318743099999999</v>
      </c>
      <c r="X726">
        <v>0.94703599999999999</v>
      </c>
      <c r="Y726">
        <v>-8.0621949999999994E-3</v>
      </c>
      <c r="Z726">
        <v>3.3454859999999999E-3</v>
      </c>
      <c r="AA726">
        <v>0.99996189999999996</v>
      </c>
      <c r="AB726">
        <v>34</v>
      </c>
      <c r="AC726">
        <v>0.56030000000003999</v>
      </c>
      <c r="AD726">
        <v>-0.26106679999999899</v>
      </c>
      <c r="AE726">
        <v>3.19999999999254E-3</v>
      </c>
      <c r="AF726">
        <v>-5.2286835739860701E-3</v>
      </c>
      <c r="AG726">
        <v>-0.26106679999999899</v>
      </c>
      <c r="AH726">
        <v>0.460336657535583</v>
      </c>
      <c r="AI726">
        <v>119.556916937029</v>
      </c>
      <c r="AJ726">
        <v>90.650759860170993</v>
      </c>
      <c r="AK726">
        <v>0.52923818027915304</v>
      </c>
      <c r="AL726">
        <v>71.413070631522203</v>
      </c>
      <c r="AM726">
        <v>92.361814899053698</v>
      </c>
      <c r="AN726">
        <v>1.00000002884605</v>
      </c>
    </row>
    <row r="727" spans="1:40" x14ac:dyDescent="0.25">
      <c r="A727" t="str">
        <f>"20190304164835613"</f>
        <v>20190304164835613</v>
      </c>
      <c r="B727" t="str">
        <f>"1551689315607165"</f>
        <v>1551689315607165</v>
      </c>
      <c r="C727" t="s">
        <v>40</v>
      </c>
      <c r="D727">
        <v>4.8835040000000003</v>
      </c>
      <c r="E727">
        <v>0.54583769999999998</v>
      </c>
      <c r="F727" t="s">
        <v>41</v>
      </c>
      <c r="G727">
        <v>-328.01229999999998</v>
      </c>
      <c r="H727">
        <v>0.80750909999999998</v>
      </c>
      <c r="I727">
        <v>367.85890000000001</v>
      </c>
      <c r="J727">
        <v>-328.66969999999998</v>
      </c>
      <c r="K727">
        <v>1.109952</v>
      </c>
      <c r="L727">
        <v>367.85500000000002</v>
      </c>
      <c r="M727">
        <v>0.99993829999999995</v>
      </c>
      <c r="N727">
        <v>-9.5844940000000007E-3</v>
      </c>
      <c r="O727">
        <v>-5.6461169999999896E-3</v>
      </c>
      <c r="P727">
        <v>0.95012949999999996</v>
      </c>
      <c r="Q727">
        <v>0.31001770000000001</v>
      </c>
      <c r="R727">
        <v>3.3810550000000002E-2</v>
      </c>
      <c r="S727">
        <v>3.573029</v>
      </c>
      <c r="T727">
        <v>-1.278861</v>
      </c>
      <c r="U727">
        <v>1.281738E-2</v>
      </c>
      <c r="V727">
        <v>-3.9163150000000001E-2</v>
      </c>
      <c r="W727">
        <v>0.31910919999999998</v>
      </c>
      <c r="X727">
        <v>0.94690839999999998</v>
      </c>
      <c r="Y727">
        <v>-8.3667410000000005E-3</v>
      </c>
      <c r="Z727">
        <v>3.4009840000000001E-3</v>
      </c>
      <c r="AA727">
        <v>0.99995919999999905</v>
      </c>
      <c r="AB727">
        <v>34</v>
      </c>
      <c r="AC727">
        <v>0.65739999999999499</v>
      </c>
      <c r="AD727">
        <v>-0.30244290000000001</v>
      </c>
      <c r="AE727">
        <v>3.8999999999873498E-3</v>
      </c>
      <c r="AF727">
        <v>-6.2822464334835798E-3</v>
      </c>
      <c r="AG727">
        <v>-0.30244290000000001</v>
      </c>
      <c r="AH727">
        <v>0.54254044546444002</v>
      </c>
      <c r="AI727">
        <v>119.13614808640401</v>
      </c>
      <c r="AJ727">
        <v>90.6634161997398</v>
      </c>
      <c r="AK727">
        <v>0.62117735739916802</v>
      </c>
      <c r="AL727">
        <v>71.390937898470298</v>
      </c>
      <c r="AM727">
        <v>92.368344270460398</v>
      </c>
      <c r="AN727">
        <v>0.99999997591655998</v>
      </c>
    </row>
    <row r="728" spans="1:40" x14ac:dyDescent="0.25">
      <c r="A728" t="str">
        <f>"20190304164835623"</f>
        <v>20190304164835623</v>
      </c>
      <c r="B728" t="str">
        <f>"1551689315616650"</f>
        <v>1551689315616650</v>
      </c>
      <c r="C728" t="s">
        <v>40</v>
      </c>
      <c r="D728">
        <v>4.7578950000000004</v>
      </c>
      <c r="E728">
        <v>0.54587240000000004</v>
      </c>
      <c r="F728" t="s">
        <v>41</v>
      </c>
      <c r="G728">
        <v>-327.98770000000002</v>
      </c>
      <c r="H728">
        <v>0.866326499999999</v>
      </c>
      <c r="I728">
        <v>367.85730000000001</v>
      </c>
      <c r="J728">
        <v>-328.50749999999999</v>
      </c>
      <c r="K728">
        <v>1.109944</v>
      </c>
      <c r="L728">
        <v>367.85410000000002</v>
      </c>
      <c r="M728">
        <v>0.99993909999999997</v>
      </c>
      <c r="N728">
        <v>-9.4893949999999994E-3</v>
      </c>
      <c r="O728">
        <v>-5.6459029999999999E-3</v>
      </c>
      <c r="P728">
        <v>0.94996700000000001</v>
      </c>
      <c r="Q728">
        <v>0.31049460000000001</v>
      </c>
      <c r="R728">
        <v>3.4003239999999997E-2</v>
      </c>
      <c r="S728">
        <v>3.5735169999999998</v>
      </c>
      <c r="T728">
        <v>-1.2764629999999999</v>
      </c>
      <c r="U728">
        <v>1.2847900000000001E-2</v>
      </c>
      <c r="V728">
        <v>-3.9354630000000002E-2</v>
      </c>
      <c r="W728">
        <v>0.31949470000000002</v>
      </c>
      <c r="X728">
        <v>0.94677049999999996</v>
      </c>
      <c r="Y728">
        <v>-8.3772729999999993E-3</v>
      </c>
      <c r="Z728">
        <v>3.3964239999999999E-3</v>
      </c>
      <c r="AA728">
        <v>0.99995919999999905</v>
      </c>
      <c r="AB728">
        <v>34</v>
      </c>
      <c r="AC728">
        <v>0.51979999999997495</v>
      </c>
      <c r="AD728">
        <v>-0.24361749999999999</v>
      </c>
      <c r="AE728">
        <v>3.19999999999254E-3</v>
      </c>
      <c r="AF728">
        <v>-5.0299918845200103E-3</v>
      </c>
      <c r="AG728">
        <v>-0.24361749999999999</v>
      </c>
      <c r="AH728">
        <v>0.42616680844677901</v>
      </c>
      <c r="AI728">
        <v>119.75264843044</v>
      </c>
      <c r="AJ728">
        <v>90.676223297232596</v>
      </c>
      <c r="AK728">
        <v>0.490910313342796</v>
      </c>
      <c r="AL728">
        <v>71.367631046156504</v>
      </c>
      <c r="AM728">
        <v>92.380256752902199</v>
      </c>
      <c r="AN728">
        <v>1.00000001495038</v>
      </c>
    </row>
    <row r="729" spans="1:40" x14ac:dyDescent="0.25">
      <c r="A729" t="str">
        <f>"20190304164835634"</f>
        <v>20190304164835634</v>
      </c>
      <c r="B729" t="str">
        <f>"1551689315627386"</f>
        <v>1551689315627386</v>
      </c>
      <c r="C729" t="s">
        <v>40</v>
      </c>
      <c r="D729">
        <v>4.7500609999999996</v>
      </c>
      <c r="E729">
        <v>0.5459058</v>
      </c>
      <c r="F729" t="s">
        <v>41</v>
      </c>
      <c r="G729">
        <v>-327.70339999999999</v>
      </c>
      <c r="H729">
        <v>0.82329549999999996</v>
      </c>
      <c r="I729">
        <v>367.85660000000001</v>
      </c>
      <c r="J729">
        <v>-328.339</v>
      </c>
      <c r="K729">
        <v>1.109936</v>
      </c>
      <c r="L729">
        <v>367.85309999999998</v>
      </c>
      <c r="M729">
        <v>0.9999401</v>
      </c>
      <c r="N729">
        <v>-9.3922180000000008E-3</v>
      </c>
      <c r="O729">
        <v>-5.6455639999999996E-3</v>
      </c>
      <c r="P729">
        <v>0.94966059999999997</v>
      </c>
      <c r="Q729">
        <v>0.3113725</v>
      </c>
      <c r="R729">
        <v>3.4526080000000001E-2</v>
      </c>
      <c r="S729">
        <v>3.5740970000000001</v>
      </c>
      <c r="T729">
        <v>-1.2742119999999999</v>
      </c>
      <c r="U729">
        <v>1.1993409999999999E-2</v>
      </c>
      <c r="V729">
        <v>-3.9875309999999997E-2</v>
      </c>
      <c r="W729">
        <v>0.32027749999999999</v>
      </c>
      <c r="X729">
        <v>0.94648410000000005</v>
      </c>
      <c r="Y729">
        <v>-8.1546099999999996E-3</v>
      </c>
      <c r="Z729">
        <v>3.350652E-3</v>
      </c>
      <c r="AA729">
        <v>0.99996110000000005</v>
      </c>
      <c r="AB729">
        <v>34</v>
      </c>
      <c r="AC729">
        <v>0.63560000000001005</v>
      </c>
      <c r="AD729">
        <v>-0.28664050000000002</v>
      </c>
      <c r="AE729">
        <v>3.5000000000309198E-3</v>
      </c>
      <c r="AF729">
        <v>-5.8904596262967599E-3</v>
      </c>
      <c r="AG729">
        <v>-0.28664050000000002</v>
      </c>
      <c r="AH729">
        <v>0.52815701849690799</v>
      </c>
      <c r="AI729">
        <v>118.488001821948</v>
      </c>
      <c r="AJ729">
        <v>90.638985134756993</v>
      </c>
      <c r="AK729">
        <v>0.60095533107079002</v>
      </c>
      <c r="AL729">
        <v>71.320290996315293</v>
      </c>
      <c r="AM729">
        <v>92.412440617678101</v>
      </c>
      <c r="AN729">
        <v>0.99999993445332502</v>
      </c>
    </row>
    <row r="730" spans="1:40" x14ac:dyDescent="0.25">
      <c r="A730" t="str">
        <f>"20190304164835645"</f>
        <v>20190304164835645</v>
      </c>
      <c r="B730" t="str">
        <f>"1551689315637146"</f>
        <v>1551689315637146</v>
      </c>
      <c r="C730" t="s">
        <v>40</v>
      </c>
      <c r="D730">
        <v>4.7645860000000004</v>
      </c>
      <c r="E730">
        <v>0.54593619999999898</v>
      </c>
      <c r="F730" t="s">
        <v>41</v>
      </c>
      <c r="G730">
        <v>-327.68110000000001</v>
      </c>
      <c r="H730">
        <v>0.87615100000000001</v>
      </c>
      <c r="I730">
        <v>367.8553</v>
      </c>
      <c r="J730">
        <v>-328.17520000000002</v>
      </c>
      <c r="K730">
        <v>1.1099319999999999</v>
      </c>
      <c r="L730">
        <v>367.85219999999998</v>
      </c>
      <c r="M730">
        <v>0.99994090000000002</v>
      </c>
      <c r="N730">
        <v>-9.3061810000000002E-3</v>
      </c>
      <c r="O730">
        <v>-5.6450429999999998E-3</v>
      </c>
      <c r="P730">
        <v>0.94953980000000004</v>
      </c>
      <c r="Q730">
        <v>0.31169590000000003</v>
      </c>
      <c r="R730">
        <v>3.4929019999999998E-2</v>
      </c>
      <c r="S730">
        <v>3.5750730000000002</v>
      </c>
      <c r="T730">
        <v>-1.270294</v>
      </c>
      <c r="U730">
        <v>1.242065E-2</v>
      </c>
      <c r="V730">
        <v>-4.0277130000000001E-2</v>
      </c>
      <c r="W730">
        <v>0.32051829999999998</v>
      </c>
      <c r="X730">
        <v>0.94638560000000005</v>
      </c>
      <c r="Y730">
        <v>-8.2708599999999997E-3</v>
      </c>
      <c r="Z730">
        <v>3.3605620000000001E-3</v>
      </c>
      <c r="AA730">
        <v>0.99996010000000002</v>
      </c>
      <c r="AB730">
        <v>34</v>
      </c>
      <c r="AC730">
        <v>0.49410000000000298</v>
      </c>
      <c r="AD730">
        <v>-0.23378099999999899</v>
      </c>
      <c r="AE730">
        <v>3.1000000000176399E-3</v>
      </c>
      <c r="AF730">
        <v>-4.8120690706343096E-3</v>
      </c>
      <c r="AG730">
        <v>-0.23378099999999899</v>
      </c>
      <c r="AH730">
        <v>0.403702744886204</v>
      </c>
      <c r="AI730">
        <v>120.07302072648901</v>
      </c>
      <c r="AJ730">
        <v>90.682923748159794</v>
      </c>
      <c r="AK730">
        <v>0.466532547844624</v>
      </c>
      <c r="AL730">
        <v>71.3057269778012</v>
      </c>
      <c r="AM730">
        <v>92.436974722353199</v>
      </c>
      <c r="AN730">
        <v>0.99999996586164197</v>
      </c>
    </row>
    <row r="731" spans="1:40" x14ac:dyDescent="0.25">
      <c r="A731" t="str">
        <f>"20190304164835656"</f>
        <v>20190304164835656</v>
      </c>
      <c r="B731" t="str">
        <f>"1551689315646906"</f>
        <v>1551689315646906</v>
      </c>
      <c r="C731" t="s">
        <v>40</v>
      </c>
      <c r="D731">
        <v>4.693397</v>
      </c>
      <c r="E731">
        <v>0.54602050000000002</v>
      </c>
      <c r="F731" t="s">
        <v>41</v>
      </c>
      <c r="G731">
        <v>-327.39620000000002</v>
      </c>
      <c r="H731">
        <v>0.83351189999999997</v>
      </c>
      <c r="I731">
        <v>367.85489999999999</v>
      </c>
      <c r="J731">
        <v>-328.01069999999999</v>
      </c>
      <c r="K731">
        <v>1.1099239999999999</v>
      </c>
      <c r="L731">
        <v>367.85129999999998</v>
      </c>
      <c r="M731">
        <v>0.99994150000000004</v>
      </c>
      <c r="N731">
        <v>-9.2211159999999997E-3</v>
      </c>
      <c r="O731">
        <v>-5.6446500000000002E-3</v>
      </c>
      <c r="P731">
        <v>0.94940970000000002</v>
      </c>
      <c r="Q731">
        <v>0.31206539999999999</v>
      </c>
      <c r="R731">
        <v>3.516234E-2</v>
      </c>
      <c r="S731">
        <v>3.5753780000000002</v>
      </c>
      <c r="T731">
        <v>-1.268581</v>
      </c>
      <c r="U731">
        <v>1.3031010000000001E-2</v>
      </c>
      <c r="V731">
        <v>-4.0508959999999997E-2</v>
      </c>
      <c r="W731">
        <v>0.32080649999999999</v>
      </c>
      <c r="X731">
        <v>0.94627810000000001</v>
      </c>
      <c r="Y731">
        <v>-8.4330469999999904E-3</v>
      </c>
      <c r="Z731">
        <v>3.3846610000000002E-3</v>
      </c>
      <c r="AA731">
        <v>0.99995869999999998</v>
      </c>
      <c r="AB731">
        <v>34</v>
      </c>
      <c r="AC731">
        <v>0.61449999999996396</v>
      </c>
      <c r="AD731">
        <v>-0.27641209999999899</v>
      </c>
      <c r="AE731">
        <v>3.6000000000058199E-3</v>
      </c>
      <c r="AF731">
        <v>-5.8792020826331799E-3</v>
      </c>
      <c r="AG731">
        <v>-0.27641209999999899</v>
      </c>
      <c r="AH731">
        <v>0.51106688269518996</v>
      </c>
      <c r="AI731">
        <v>118.40528962397801</v>
      </c>
      <c r="AJ731">
        <v>90.659089092703397</v>
      </c>
      <c r="AK731">
        <v>0.58105728859667305</v>
      </c>
      <c r="AL731">
        <v>71.288294688586404</v>
      </c>
      <c r="AM731">
        <v>92.451262679013396</v>
      </c>
      <c r="AN731">
        <v>1.0000000144110699</v>
      </c>
    </row>
    <row r="732" spans="1:40" x14ac:dyDescent="0.25">
      <c r="A732" t="str">
        <f>"20190304164835667"</f>
        <v>20190304164835667</v>
      </c>
      <c r="B732" t="str">
        <f>"1551689315656666"</f>
        <v>1551689315656666</v>
      </c>
      <c r="C732" t="s">
        <v>40</v>
      </c>
      <c r="D732">
        <v>4.6926180000000004</v>
      </c>
      <c r="E732">
        <v>0.54609839999999998</v>
      </c>
      <c r="F732" t="s">
        <v>41</v>
      </c>
      <c r="G732">
        <v>-327.1096</v>
      </c>
      <c r="H732">
        <v>0.79108979999999995</v>
      </c>
      <c r="I732">
        <v>367.85430000000002</v>
      </c>
      <c r="J732">
        <v>-327.84140000000002</v>
      </c>
      <c r="K732">
        <v>1.109915</v>
      </c>
      <c r="L732">
        <v>367.8503</v>
      </c>
      <c r="M732">
        <v>0.9999422</v>
      </c>
      <c r="N732">
        <v>-9.1414600000000006E-3</v>
      </c>
      <c r="O732">
        <v>-5.6444030000000001E-3</v>
      </c>
      <c r="P732">
        <v>0.94938520000000004</v>
      </c>
      <c r="Q732">
        <v>0.31210100000000002</v>
      </c>
      <c r="R732">
        <v>3.5507619999999997E-2</v>
      </c>
      <c r="S732">
        <v>3.5751040000000001</v>
      </c>
      <c r="T732">
        <v>-1.264837</v>
      </c>
      <c r="U732">
        <v>1.2390139999999999E-2</v>
      </c>
      <c r="V732">
        <v>-4.0854290000000001E-2</v>
      </c>
      <c r="W732">
        <v>0.3207663</v>
      </c>
      <c r="X732">
        <v>0.94627680000000003</v>
      </c>
      <c r="Y732">
        <v>-8.2688509999999903E-3</v>
      </c>
      <c r="Z732">
        <v>3.3464929999999999E-3</v>
      </c>
      <c r="AA732">
        <v>0.99996019999999997</v>
      </c>
      <c r="AB732">
        <v>34</v>
      </c>
      <c r="AC732">
        <v>0.73180000000002099</v>
      </c>
      <c r="AD732">
        <v>-0.31882519999999898</v>
      </c>
      <c r="AE732">
        <v>4.0000000000190898E-3</v>
      </c>
      <c r="AF732">
        <v>-6.8336271906235899E-3</v>
      </c>
      <c r="AG732">
        <v>-0.31882519999999898</v>
      </c>
      <c r="AH732">
        <v>0.61503002937252305</v>
      </c>
      <c r="AI732">
        <v>117.400310956325</v>
      </c>
      <c r="AJ732">
        <v>90.636589868456198</v>
      </c>
      <c r="AK732">
        <v>0.69279011514713995</v>
      </c>
      <c r="AL732">
        <v>71.290724998354506</v>
      </c>
      <c r="AM732">
        <v>92.472136732144094</v>
      </c>
      <c r="AN732">
        <v>0.999999937222665</v>
      </c>
    </row>
    <row r="733" spans="1:40" x14ac:dyDescent="0.25">
      <c r="A733" t="str">
        <f>"20190304164835679"</f>
        <v>20190304164835679</v>
      </c>
      <c r="B733" t="str">
        <f>"1551689315677162"</f>
        <v>1551689315677162</v>
      </c>
      <c r="C733" t="s">
        <v>40</v>
      </c>
      <c r="D733">
        <v>4.7833709999999998</v>
      </c>
      <c r="E733">
        <v>0.54614859999999998</v>
      </c>
      <c r="F733" t="s">
        <v>41</v>
      </c>
      <c r="G733">
        <v>-327.0881</v>
      </c>
      <c r="H733">
        <v>0.84384760000000003</v>
      </c>
      <c r="I733">
        <v>367.8528</v>
      </c>
      <c r="J733">
        <v>-327.66840000000002</v>
      </c>
      <c r="K733">
        <v>1.1099060000000001</v>
      </c>
      <c r="L733">
        <v>367.84930000000003</v>
      </c>
      <c r="M733">
        <v>0.99994300000000003</v>
      </c>
      <c r="N733">
        <v>-9.0646370000000004E-3</v>
      </c>
      <c r="O733">
        <v>-5.6440539999999999E-3</v>
      </c>
      <c r="P733">
        <v>0.94945069999999998</v>
      </c>
      <c r="Q733">
        <v>0.31187749999999997</v>
      </c>
      <c r="R733">
        <v>3.5716940000000003E-2</v>
      </c>
      <c r="S733">
        <v>3.5745239999999998</v>
      </c>
      <c r="T733">
        <v>-1.262432</v>
      </c>
      <c r="U733">
        <v>1.190186E-2</v>
      </c>
      <c r="V733">
        <v>-4.1063919999999997E-2</v>
      </c>
      <c r="W733">
        <v>0.3204709</v>
      </c>
      <c r="X733">
        <v>0.94636790000000004</v>
      </c>
      <c r="Y733">
        <v>-8.1431249999999993E-3</v>
      </c>
      <c r="Z733">
        <v>3.3188190000000002E-3</v>
      </c>
      <c r="AA733">
        <v>0.99996130000000005</v>
      </c>
      <c r="AB733">
        <v>34</v>
      </c>
      <c r="AC733">
        <v>0.58030000000002202</v>
      </c>
      <c r="AD733">
        <v>-0.26605839999999997</v>
      </c>
      <c r="AE733">
        <v>3.4999999999740798E-3</v>
      </c>
      <c r="AF733">
        <v>-5.59851470736365E-3</v>
      </c>
      <c r="AG733">
        <v>-0.26605839999999997</v>
      </c>
      <c r="AH733">
        <v>0.47948350019665498</v>
      </c>
      <c r="AI733">
        <v>119.02359830018101</v>
      </c>
      <c r="AJ733">
        <v>90.668962932380794</v>
      </c>
      <c r="AK733">
        <v>0.54838202244267997</v>
      </c>
      <c r="AL733">
        <v>71.308595136067098</v>
      </c>
      <c r="AM733">
        <v>92.4845669142221</v>
      </c>
      <c r="AN733">
        <v>1.00000002271149</v>
      </c>
    </row>
    <row r="734" spans="1:40" x14ac:dyDescent="0.25">
      <c r="A734" t="str">
        <f>"20190304164835689"</f>
        <v>20190304164835689</v>
      </c>
      <c r="B734" t="str">
        <f>"1551689315686922"</f>
        <v>1551689315686922</v>
      </c>
      <c r="C734" t="s">
        <v>40</v>
      </c>
      <c r="D734">
        <v>4.7789640000000002</v>
      </c>
      <c r="E734">
        <v>0.54616609999999999</v>
      </c>
      <c r="F734" t="s">
        <v>41</v>
      </c>
      <c r="G734">
        <v>-326.80040000000002</v>
      </c>
      <c r="H734">
        <v>0.80321919999999902</v>
      </c>
      <c r="I734">
        <v>367.85210000000001</v>
      </c>
      <c r="J734">
        <v>-327.50310000000002</v>
      </c>
      <c r="K734">
        <v>1.109899</v>
      </c>
      <c r="L734">
        <v>367.84840000000003</v>
      </c>
      <c r="M734">
        <v>0.99994360000000004</v>
      </c>
      <c r="N734">
        <v>-8.9994480000000002E-3</v>
      </c>
      <c r="O734">
        <v>-5.6439979999999999E-3</v>
      </c>
      <c r="P734">
        <v>0.94947649999999995</v>
      </c>
      <c r="Q734">
        <v>0.31176690000000001</v>
      </c>
      <c r="R734">
        <v>3.5996729999999998E-2</v>
      </c>
      <c r="S734">
        <v>3.5740660000000002</v>
      </c>
      <c r="T734">
        <v>-1.262805</v>
      </c>
      <c r="U734">
        <v>1.208496E-2</v>
      </c>
      <c r="V734">
        <v>-4.1343539999999998E-2</v>
      </c>
      <c r="W734">
        <v>0.32029829999999998</v>
      </c>
      <c r="X734">
        <v>0.94641410000000004</v>
      </c>
      <c r="Y734">
        <v>-8.1910300000000002E-3</v>
      </c>
      <c r="Z734">
        <v>3.3286539999999999E-3</v>
      </c>
      <c r="AA734">
        <v>0.99996090000000004</v>
      </c>
      <c r="AB734">
        <v>34</v>
      </c>
      <c r="AC734">
        <v>0.702699999999992</v>
      </c>
      <c r="AD734">
        <v>-0.3066798</v>
      </c>
      <c r="AE734">
        <v>3.69999999998071E-3</v>
      </c>
      <c r="AF734">
        <v>-6.4396096484685399E-3</v>
      </c>
      <c r="AG734">
        <v>-0.3066798</v>
      </c>
      <c r="AH734">
        <v>0.59024590491139095</v>
      </c>
      <c r="AI734">
        <v>117.454078341749</v>
      </c>
      <c r="AJ734">
        <v>90.625074758597606</v>
      </c>
      <c r="AK734">
        <v>0.66519485608739604</v>
      </c>
      <c r="AL734">
        <v>71.319033640466003</v>
      </c>
      <c r="AM734">
        <v>92.501341910569394</v>
      </c>
      <c r="AN734">
        <v>0.99999996898071497</v>
      </c>
    </row>
    <row r="735" spans="1:40" x14ac:dyDescent="0.25">
      <c r="A735" t="str">
        <f>"20190304164835702"</f>
        <v>20190304164835702</v>
      </c>
      <c r="B735" t="str">
        <f>"1551689315696685"</f>
        <v>1551689315696685</v>
      </c>
      <c r="C735" t="s">
        <v>40</v>
      </c>
      <c r="D735">
        <v>4.7854910000000004</v>
      </c>
      <c r="E735">
        <v>0.54618679999999997</v>
      </c>
      <c r="F735" t="s">
        <v>41</v>
      </c>
      <c r="G735">
        <v>-326.77940000000001</v>
      </c>
      <c r="H735">
        <v>0.85415959999999902</v>
      </c>
      <c r="I735">
        <v>367.85079999999999</v>
      </c>
      <c r="J735">
        <v>-327.32279999999997</v>
      </c>
      <c r="K735">
        <v>1.1098950000000001</v>
      </c>
      <c r="L735">
        <v>367.84739999999999</v>
      </c>
      <c r="M735">
        <v>0.99994419999999995</v>
      </c>
      <c r="N735">
        <v>-8.9354069999999994E-3</v>
      </c>
      <c r="O735">
        <v>-5.6434730000000004E-3</v>
      </c>
      <c r="P735">
        <v>0.94948659999999996</v>
      </c>
      <c r="Q735">
        <v>0.31169629999999998</v>
      </c>
      <c r="R735">
        <v>3.6336670000000001E-2</v>
      </c>
      <c r="S735">
        <v>3.5737920000000001</v>
      </c>
      <c r="T735">
        <v>-1.2627809999999999</v>
      </c>
      <c r="U735">
        <v>1.306152E-2</v>
      </c>
      <c r="V735">
        <v>-4.1682589999999999E-2</v>
      </c>
      <c r="W735">
        <v>0.3201678</v>
      </c>
      <c r="X735">
        <v>0.94644340000000005</v>
      </c>
      <c r="Y735">
        <v>-8.447932E-3</v>
      </c>
      <c r="Z735">
        <v>3.373975E-3</v>
      </c>
      <c r="AA735">
        <v>0.99995860000000003</v>
      </c>
      <c r="AB735">
        <v>34</v>
      </c>
      <c r="AC735">
        <v>0.54339999999996202</v>
      </c>
      <c r="AD735">
        <v>-0.2557354</v>
      </c>
      <c r="AE735">
        <v>3.3999999999991802E-3</v>
      </c>
      <c r="AF735">
        <v>-5.2941971221970802E-3</v>
      </c>
      <c r="AG735">
        <v>-0.2557354</v>
      </c>
      <c r="AH735">
        <v>0.44484905093211502</v>
      </c>
      <c r="AI735">
        <v>119.892037312402</v>
      </c>
      <c r="AJ735">
        <v>90.681851136905806</v>
      </c>
      <c r="AK735">
        <v>0.51314647173251804</v>
      </c>
      <c r="AL735">
        <v>71.326926670754503</v>
      </c>
      <c r="AM735">
        <v>92.521750564289604</v>
      </c>
      <c r="AN735">
        <v>0.99999998393475398</v>
      </c>
    </row>
    <row r="736" spans="1:40" x14ac:dyDescent="0.25">
      <c r="A736" t="str">
        <f>"20190304164835713"</f>
        <v>20190304164835713</v>
      </c>
      <c r="B736" t="str">
        <f>"1551689315707417"</f>
        <v>1551689315707417</v>
      </c>
      <c r="C736" t="s">
        <v>40</v>
      </c>
      <c r="D736">
        <v>4.7910579999999996</v>
      </c>
      <c r="E736">
        <v>0.54620789999999997</v>
      </c>
      <c r="F736" t="s">
        <v>41</v>
      </c>
      <c r="G736">
        <v>-326.49040000000002</v>
      </c>
      <c r="H736">
        <v>0.81571400000000005</v>
      </c>
      <c r="I736">
        <v>367.85039999999998</v>
      </c>
      <c r="J736">
        <v>-327.14350000000002</v>
      </c>
      <c r="K736">
        <v>1.1098870000000001</v>
      </c>
      <c r="L736">
        <v>367.84640000000002</v>
      </c>
      <c r="M736">
        <v>0.99994470000000002</v>
      </c>
      <c r="N736">
        <v>-8.8772079999999993E-3</v>
      </c>
      <c r="O736">
        <v>-5.6432139999999997E-3</v>
      </c>
      <c r="P736">
        <v>0.94951019999999997</v>
      </c>
      <c r="Q736">
        <v>0.31160110000000002</v>
      </c>
      <c r="R736">
        <v>3.6542289999999998E-2</v>
      </c>
      <c r="S736">
        <v>3.5736690000000002</v>
      </c>
      <c r="T736">
        <v>-1.2628889999999999</v>
      </c>
      <c r="U736">
        <v>1.403809E-2</v>
      </c>
      <c r="V736">
        <v>-4.188882E-2</v>
      </c>
      <c r="W736">
        <v>0.3200173</v>
      </c>
      <c r="X736">
        <v>0.94648520000000003</v>
      </c>
      <c r="Y736">
        <v>-8.7048569999999999E-3</v>
      </c>
      <c r="Z736">
        <v>3.4195720000000001E-3</v>
      </c>
      <c r="AA736">
        <v>0.99995630000000002</v>
      </c>
      <c r="AB736">
        <v>34</v>
      </c>
      <c r="AC736">
        <v>0.65309999999999402</v>
      </c>
      <c r="AD736">
        <v>-0.29417300000000002</v>
      </c>
      <c r="AE736">
        <v>3.9999999999622499E-3</v>
      </c>
      <c r="AF736">
        <v>-6.3894089030044603E-3</v>
      </c>
      <c r="AG736">
        <v>-0.29417300000000002</v>
      </c>
      <c r="AH736">
        <v>0.54292147056824103</v>
      </c>
      <c r="AI736">
        <v>118.44865347923199</v>
      </c>
      <c r="AJ736">
        <v>90.674258219819095</v>
      </c>
      <c r="AK736">
        <v>0.61752919095303604</v>
      </c>
      <c r="AL736">
        <v>71.336028681749099</v>
      </c>
      <c r="AM736">
        <v>92.534099251636206</v>
      </c>
      <c r="AN736">
        <v>0.99999998967966097</v>
      </c>
    </row>
    <row r="737" spans="1:40" x14ac:dyDescent="0.25">
      <c r="A737" t="str">
        <f>"20190304164835724"</f>
        <v>20190304164835724</v>
      </c>
      <c r="B737" t="str">
        <f>"1551689315717177"</f>
        <v>1551689315717177</v>
      </c>
      <c r="C737" t="s">
        <v>40</v>
      </c>
      <c r="D737">
        <v>4.7935030000000003</v>
      </c>
      <c r="E737">
        <v>0.54622950000000003</v>
      </c>
      <c r="F737" t="s">
        <v>41</v>
      </c>
      <c r="G737">
        <v>-326.46730000000002</v>
      </c>
      <c r="H737">
        <v>0.87090000000000001</v>
      </c>
      <c r="I737">
        <v>367.84879999999998</v>
      </c>
      <c r="J737">
        <v>-326.98110000000003</v>
      </c>
      <c r="K737">
        <v>1.1098840000000001</v>
      </c>
      <c r="L737">
        <v>367.84550000000002</v>
      </c>
      <c r="M737">
        <v>0.99994519999999998</v>
      </c>
      <c r="N737">
        <v>-8.8314469999999992E-3</v>
      </c>
      <c r="O737">
        <v>-5.6430119999999898E-3</v>
      </c>
      <c r="P737">
        <v>0.94951079999999999</v>
      </c>
      <c r="Q737">
        <v>0.31155729999999998</v>
      </c>
      <c r="R737">
        <v>3.6898609999999998E-2</v>
      </c>
      <c r="S737">
        <v>3.5734560000000002</v>
      </c>
      <c r="T737">
        <v>-1.262948</v>
      </c>
      <c r="U737">
        <v>1.397705E-2</v>
      </c>
      <c r="V737">
        <v>-4.2244429999999999E-2</v>
      </c>
      <c r="W737">
        <v>0.3199302</v>
      </c>
      <c r="X737">
        <v>0.94649890000000003</v>
      </c>
      <c r="Y737">
        <v>-8.6886340000000006E-3</v>
      </c>
      <c r="Z737">
        <v>3.4170390000000002E-3</v>
      </c>
      <c r="AA737">
        <v>0.99995639999999997</v>
      </c>
      <c r="AB737">
        <v>34</v>
      </c>
      <c r="AC737">
        <v>0.51380000000000303</v>
      </c>
      <c r="AD737">
        <v>-0.238984</v>
      </c>
      <c r="AE737">
        <v>3.2999999999674301E-3</v>
      </c>
      <c r="AF737">
        <v>-5.0968094208143598E-3</v>
      </c>
      <c r="AG737">
        <v>-0.238984</v>
      </c>
      <c r="AH737">
        <v>0.42239366357920199</v>
      </c>
      <c r="AI737">
        <v>119.498743026138</v>
      </c>
      <c r="AJ737">
        <v>90.691325467714805</v>
      </c>
      <c r="AK737">
        <v>0.48534084595687199</v>
      </c>
      <c r="AL737">
        <v>71.3412971636169</v>
      </c>
      <c r="AM737">
        <v>92.555546833373796</v>
      </c>
      <c r="AN737">
        <v>1.0000000462196299</v>
      </c>
    </row>
    <row r="738" spans="1:40" x14ac:dyDescent="0.25">
      <c r="A738" t="str">
        <f>"20190304164835735"</f>
        <v>20190304164835735</v>
      </c>
      <c r="B738" t="str">
        <f>"1551689315726938"</f>
        <v>1551689315726938</v>
      </c>
      <c r="C738" t="s">
        <v>40</v>
      </c>
      <c r="D738">
        <v>4.7967899999999997</v>
      </c>
      <c r="E738">
        <v>0.54625419999999902</v>
      </c>
      <c r="F738" t="s">
        <v>41</v>
      </c>
      <c r="G738">
        <v>-326.18040000000002</v>
      </c>
      <c r="H738">
        <v>0.82689259999999998</v>
      </c>
      <c r="I738">
        <v>367.8485</v>
      </c>
      <c r="J738">
        <v>-326.80849999999998</v>
      </c>
      <c r="K738">
        <v>1.1098809999999999</v>
      </c>
      <c r="L738">
        <v>367.84449999999998</v>
      </c>
      <c r="M738">
        <v>0.99994559999999999</v>
      </c>
      <c r="N738">
        <v>-8.7843839999999992E-3</v>
      </c>
      <c r="O738">
        <v>-5.6428040000000004E-3</v>
      </c>
      <c r="P738">
        <v>0.94954159999999999</v>
      </c>
      <c r="Q738">
        <v>0.31147960000000002</v>
      </c>
      <c r="R738">
        <v>3.6763509999999999E-2</v>
      </c>
      <c r="S738">
        <v>3.5733030000000001</v>
      </c>
      <c r="T738">
        <v>-1.262856</v>
      </c>
      <c r="U738">
        <v>1.49231E-2</v>
      </c>
      <c r="V738">
        <v>-4.2109489999999999E-2</v>
      </c>
      <c r="W738">
        <v>0.3198086</v>
      </c>
      <c r="X738">
        <v>0.946546</v>
      </c>
      <c r="Y738">
        <v>-8.9378740000000002E-3</v>
      </c>
      <c r="Z738">
        <v>3.460791E-3</v>
      </c>
      <c r="AA738">
        <v>0.99995400000000001</v>
      </c>
      <c r="AB738">
        <v>34</v>
      </c>
      <c r="AC738">
        <v>0.62809999999996002</v>
      </c>
      <c r="AD738">
        <v>-0.28298839999999897</v>
      </c>
      <c r="AE738">
        <v>4.0000000000190898E-3</v>
      </c>
      <c r="AF738">
        <v>-6.2713362128730202E-3</v>
      </c>
      <c r="AG738">
        <v>-0.28298839999999897</v>
      </c>
      <c r="AH738">
        <v>0.52209120292053102</v>
      </c>
      <c r="AI738">
        <v>118.457230805037</v>
      </c>
      <c r="AJ738">
        <v>90.688201246439306</v>
      </c>
      <c r="AK738">
        <v>0.59388634296425902</v>
      </c>
      <c r="AL738">
        <v>71.348650549985393</v>
      </c>
      <c r="AM738">
        <v>92.547267913166394</v>
      </c>
      <c r="AN738">
        <v>1.0000000399490001</v>
      </c>
    </row>
    <row r="739" spans="1:40" x14ac:dyDescent="0.25">
      <c r="A739" t="str">
        <f>"20190304164835748"</f>
        <v>20190304164835748</v>
      </c>
      <c r="B739" t="str">
        <f>"1551689315736698"</f>
        <v>1551689315736698</v>
      </c>
      <c r="C739" t="s">
        <v>40</v>
      </c>
      <c r="D739">
        <v>4.8015420000000004</v>
      </c>
      <c r="E739">
        <v>0.54626989999999997</v>
      </c>
      <c r="F739" t="s">
        <v>41</v>
      </c>
      <c r="G739">
        <v>-325.89100000000002</v>
      </c>
      <c r="H739">
        <v>0.78558240000000001</v>
      </c>
      <c r="I739">
        <v>367.84809999999999</v>
      </c>
      <c r="J739">
        <v>-326.61419999999998</v>
      </c>
      <c r="K739">
        <v>1.109882</v>
      </c>
      <c r="L739">
        <v>367.84339999999997</v>
      </c>
      <c r="M739">
        <v>0.99994590000000005</v>
      </c>
      <c r="N739">
        <v>-8.7413149999999995E-3</v>
      </c>
      <c r="O739">
        <v>-5.6424969999999998E-3</v>
      </c>
      <c r="P739">
        <v>0.94951059999999998</v>
      </c>
      <c r="Q739">
        <v>0.31154720000000002</v>
      </c>
      <c r="R739">
        <v>3.6984679999999999E-2</v>
      </c>
      <c r="S739">
        <v>3.5730900000000001</v>
      </c>
      <c r="T739">
        <v>-1.262837</v>
      </c>
      <c r="U739">
        <v>1.45874E-2</v>
      </c>
      <c r="V739">
        <v>-4.2329810000000002E-2</v>
      </c>
      <c r="W739">
        <v>0.31983489999999998</v>
      </c>
      <c r="X739">
        <v>0.94652720000000001</v>
      </c>
      <c r="Y739">
        <v>-8.8493069999999903E-3</v>
      </c>
      <c r="Z739">
        <v>3.4452839999999998E-3</v>
      </c>
      <c r="AA739">
        <v>0.99995489999999998</v>
      </c>
      <c r="AB739">
        <v>34</v>
      </c>
      <c r="AC739">
        <v>0.72320000000001905</v>
      </c>
      <c r="AD739">
        <v>-0.32429959999999902</v>
      </c>
      <c r="AE739">
        <v>4.7000000000139101E-3</v>
      </c>
      <c r="AF739">
        <v>-7.3107310226051096E-3</v>
      </c>
      <c r="AG739">
        <v>-0.32429959999999902</v>
      </c>
      <c r="AH739">
        <v>0.60209569362859106</v>
      </c>
      <c r="AI739">
        <v>118.305943341667</v>
      </c>
      <c r="AJ739">
        <v>90.695659267977703</v>
      </c>
      <c r="AK739">
        <v>0.68391732075912404</v>
      </c>
      <c r="AL739">
        <v>71.347058558062301</v>
      </c>
      <c r="AM739">
        <v>92.560628507707705</v>
      </c>
      <c r="AN739">
        <v>0.99999995820624199</v>
      </c>
    </row>
    <row r="740" spans="1:40" x14ac:dyDescent="0.25">
      <c r="A740" t="str">
        <f>"20190304164835762"</f>
        <v>20190304164835762</v>
      </c>
      <c r="B740" t="str">
        <f>"1551689315757194"</f>
        <v>1551689315757194</v>
      </c>
      <c r="C740" t="s">
        <v>40</v>
      </c>
      <c r="D740">
        <v>4.9274129999999996</v>
      </c>
      <c r="E740">
        <v>0.5462629</v>
      </c>
      <c r="F740" t="s">
        <v>41</v>
      </c>
      <c r="G740">
        <v>-325.8664</v>
      </c>
      <c r="H740">
        <v>0.84568099999999902</v>
      </c>
      <c r="I740">
        <v>367.84660000000002</v>
      </c>
      <c r="J740">
        <v>-326.4126</v>
      </c>
      <c r="K740">
        <v>1.1098809999999999</v>
      </c>
      <c r="L740">
        <v>367.84219999999999</v>
      </c>
      <c r="M740">
        <v>0.99994640000000001</v>
      </c>
      <c r="N740">
        <v>-8.7007969999999997E-3</v>
      </c>
      <c r="O740">
        <v>-5.6424379999999996E-3</v>
      </c>
      <c r="P740">
        <v>0.9494108</v>
      </c>
      <c r="Q740">
        <v>0.31185380000000001</v>
      </c>
      <c r="R740">
        <v>3.696733E-2</v>
      </c>
      <c r="S740">
        <v>3.5730590000000002</v>
      </c>
      <c r="T740">
        <v>-1.2624379999999999</v>
      </c>
      <c r="U740">
        <v>1.5838620000000001E-2</v>
      </c>
      <c r="V740">
        <v>-4.2312240000000001E-2</v>
      </c>
      <c r="W740">
        <v>0.32010229999999901</v>
      </c>
      <c r="X740">
        <v>0.94643770000000005</v>
      </c>
      <c r="Y740">
        <v>-9.1794340000000002E-3</v>
      </c>
      <c r="Z740">
        <v>3.5023820000000001E-3</v>
      </c>
      <c r="AA740">
        <v>0.9999517</v>
      </c>
      <c r="AB740">
        <v>34</v>
      </c>
      <c r="AC740">
        <v>0.54619999999999802</v>
      </c>
      <c r="AD740">
        <v>-0.26419999999999999</v>
      </c>
      <c r="AE740">
        <v>4.4000000000323702E-3</v>
      </c>
      <c r="AF740">
        <v>-6.0633816443812199E-3</v>
      </c>
      <c r="AG740">
        <v>-0.26419999999999999</v>
      </c>
      <c r="AH740">
        <v>0.442614249609945</v>
      </c>
      <c r="AI740">
        <v>120.830950694267</v>
      </c>
      <c r="AJ740">
        <v>90.7848469604683</v>
      </c>
      <c r="AK740">
        <v>0.515505362294846</v>
      </c>
      <c r="AL740">
        <v>71.330889573705804</v>
      </c>
      <c r="AM740">
        <v>92.559808795232698</v>
      </c>
      <c r="AN740">
        <v>1.00000006405019</v>
      </c>
    </row>
    <row r="741" spans="1:40" x14ac:dyDescent="0.25">
      <c r="A741" t="str">
        <f>"20190304164835775"</f>
        <v>20190304164835775</v>
      </c>
      <c r="B741" t="str">
        <f>"1551689315766954"</f>
        <v>1551689315766954</v>
      </c>
      <c r="C741" t="s">
        <v>40</v>
      </c>
      <c r="D741">
        <v>4.932156</v>
      </c>
      <c r="E741">
        <v>0.54625679999999999</v>
      </c>
      <c r="F741" t="s">
        <v>41</v>
      </c>
      <c r="G741">
        <v>-325.57310000000001</v>
      </c>
      <c r="H741">
        <v>0.81351479999999998</v>
      </c>
      <c r="I741">
        <v>367.84570000000002</v>
      </c>
      <c r="J741">
        <v>-326.19990000000001</v>
      </c>
      <c r="K741">
        <v>1.10988</v>
      </c>
      <c r="L741">
        <v>367.84100000000001</v>
      </c>
      <c r="M741">
        <v>0.99994649999999996</v>
      </c>
      <c r="N741">
        <v>-8.6630359999999903E-3</v>
      </c>
      <c r="O741">
        <v>-5.6422719999999899E-3</v>
      </c>
      <c r="P741">
        <v>0.94941260000000005</v>
      </c>
      <c r="Q741">
        <v>0.31185649999999998</v>
      </c>
      <c r="R741">
        <v>3.6893130000000003E-2</v>
      </c>
      <c r="S741">
        <v>3.5735779999999999</v>
      </c>
      <c r="T741">
        <v>-1.261442</v>
      </c>
      <c r="U741">
        <v>1.5350340000000001E-2</v>
      </c>
      <c r="V741">
        <v>-4.2238270000000001E-2</v>
      </c>
      <c r="W741">
        <v>0.3200693</v>
      </c>
      <c r="X741">
        <v>0.94645210000000002</v>
      </c>
      <c r="Y741">
        <v>-9.0515609999999996E-3</v>
      </c>
      <c r="Z741">
        <v>3.476785E-3</v>
      </c>
      <c r="AA741">
        <v>0.99995299999999998</v>
      </c>
      <c r="AB741">
        <v>34</v>
      </c>
      <c r="AC741">
        <v>0.62680000000000202</v>
      </c>
      <c r="AD741">
        <v>-0.2963652</v>
      </c>
      <c r="AE741">
        <v>4.7000000000139101E-3</v>
      </c>
      <c r="AF741">
        <v>-6.7317587239466804E-3</v>
      </c>
      <c r="AG741">
        <v>-0.2963652</v>
      </c>
      <c r="AH741">
        <v>0.51225058433007498</v>
      </c>
      <c r="AI741">
        <v>120.049603456906</v>
      </c>
      <c r="AJ741">
        <v>90.752911122306799</v>
      </c>
      <c r="AK741">
        <v>0.59184314602186705</v>
      </c>
      <c r="AL741">
        <v>71.332884150928194</v>
      </c>
      <c r="AM741">
        <v>92.555300862833207</v>
      </c>
      <c r="AN741">
        <v>1.00000000292474</v>
      </c>
    </row>
    <row r="742" spans="1:40" x14ac:dyDescent="0.25">
      <c r="A742" t="str">
        <f>"20190304164835792"</f>
        <v>20190304164835792</v>
      </c>
      <c r="B742" t="str">
        <f>"1551689315787450"</f>
        <v>1551689315787450</v>
      </c>
      <c r="C742" t="s">
        <v>40</v>
      </c>
      <c r="D742">
        <v>4.9551930000000004</v>
      </c>
      <c r="E742">
        <v>0.54626079999999999</v>
      </c>
      <c r="F742" t="s">
        <v>41</v>
      </c>
      <c r="G742">
        <v>-325.27760000000001</v>
      </c>
      <c r="H742">
        <v>0.78426039999999997</v>
      </c>
      <c r="I742">
        <v>367.84480000000002</v>
      </c>
      <c r="J742">
        <v>-325.94729999999998</v>
      </c>
      <c r="K742">
        <v>1.109872</v>
      </c>
      <c r="L742">
        <v>367.83960000000002</v>
      </c>
      <c r="M742">
        <v>0.99994680000000002</v>
      </c>
      <c r="N742">
        <v>-8.6298509999999991E-3</v>
      </c>
      <c r="O742">
        <v>-5.6416540000000003E-3</v>
      </c>
      <c r="P742">
        <v>0.94944910000000005</v>
      </c>
      <c r="Q742">
        <v>0.31176160000000003</v>
      </c>
      <c r="R742">
        <v>3.6757350000000001E-2</v>
      </c>
      <c r="S742">
        <v>3.5737000000000001</v>
      </c>
      <c r="T742">
        <v>-1.2617560000000001</v>
      </c>
      <c r="U742">
        <v>1.51062E-2</v>
      </c>
      <c r="V742">
        <v>-4.2102059999999997E-2</v>
      </c>
      <c r="W742">
        <v>0.31994329999999999</v>
      </c>
      <c r="X742">
        <v>0.94650080000000003</v>
      </c>
      <c r="Y742">
        <v>-8.9861960000000001E-3</v>
      </c>
      <c r="Z742">
        <v>3.4658229999999998E-3</v>
      </c>
      <c r="AA742">
        <v>0.9999536</v>
      </c>
      <c r="AB742">
        <v>34</v>
      </c>
      <c r="AC742">
        <v>0.66969999999997698</v>
      </c>
      <c r="AD742">
        <v>-0.325611599999999</v>
      </c>
      <c r="AE742">
        <v>5.2000000000020901E-3</v>
      </c>
      <c r="AF742">
        <v>-7.2617358703796799E-3</v>
      </c>
      <c r="AG742">
        <v>-0.325611599999999</v>
      </c>
      <c r="AH742">
        <v>0.54162906794157195</v>
      </c>
      <c r="AI742">
        <v>121.01078383722999</v>
      </c>
      <c r="AJ742">
        <v>90.768130654030401</v>
      </c>
      <c r="AK742">
        <v>0.63201083384833401</v>
      </c>
      <c r="AL742">
        <v>71.340504665183005</v>
      </c>
      <c r="AM742">
        <v>92.546940515667998</v>
      </c>
      <c r="AN742">
        <v>1.0000000315358799</v>
      </c>
    </row>
    <row r="743" spans="1:40" x14ac:dyDescent="0.25">
      <c r="A743" t="str">
        <f>"20190304164835805"</f>
        <v>20190304164835805</v>
      </c>
      <c r="B743" t="str">
        <f>"1551689315797210"</f>
        <v>1551689315797210</v>
      </c>
      <c r="C743" t="s">
        <v>40</v>
      </c>
      <c r="D743">
        <v>5.0018459999999996</v>
      </c>
      <c r="E743">
        <v>0.54624430000000002</v>
      </c>
      <c r="F743" t="s">
        <v>41</v>
      </c>
      <c r="G743">
        <v>-325.24560000000002</v>
      </c>
      <c r="H743">
        <v>0.86207599999999995</v>
      </c>
      <c r="I743">
        <v>367.84249999999997</v>
      </c>
      <c r="J743">
        <v>-325.76049999999998</v>
      </c>
      <c r="K743">
        <v>1.1098680000000001</v>
      </c>
      <c r="L743">
        <v>367.83850000000001</v>
      </c>
      <c r="M743">
        <v>0.99994700000000003</v>
      </c>
      <c r="N743">
        <v>-8.6100869999999902E-3</v>
      </c>
      <c r="O743">
        <v>-5.6415679999999996E-3</v>
      </c>
      <c r="P743">
        <v>0.94957570000000002</v>
      </c>
      <c r="Q743">
        <v>0.31138919999999998</v>
      </c>
      <c r="R743">
        <v>3.6645329999999997E-2</v>
      </c>
      <c r="S743">
        <v>3.5734560000000002</v>
      </c>
      <c r="T743">
        <v>-1.261927</v>
      </c>
      <c r="U743">
        <v>1.531982E-2</v>
      </c>
      <c r="V743">
        <v>-4.1990550000000001E-2</v>
      </c>
      <c r="W743">
        <v>0.31955289999999997</v>
      </c>
      <c r="X743">
        <v>0.94663759999999997</v>
      </c>
      <c r="Y743">
        <v>-9.0423389999999999E-3</v>
      </c>
      <c r="Z743">
        <v>3.4763480000000002E-3</v>
      </c>
      <c r="AA743">
        <v>0.99995310000000004</v>
      </c>
      <c r="AB743">
        <v>34</v>
      </c>
      <c r="AC743">
        <v>0.51489999999995395</v>
      </c>
      <c r="AD743">
        <v>-0.24779200000000001</v>
      </c>
      <c r="AE743">
        <v>3.9999999999622499E-3</v>
      </c>
      <c r="AF743">
        <v>-5.6065240511701097E-3</v>
      </c>
      <c r="AG743">
        <v>-0.24779200000000001</v>
      </c>
      <c r="AH743">
        <v>0.41805558666628501</v>
      </c>
      <c r="AI743">
        <v>120.65402283366301</v>
      </c>
      <c r="AJ743">
        <v>90.768344976245999</v>
      </c>
      <c r="AK743">
        <v>0.48600697723266101</v>
      </c>
      <c r="AL743">
        <v>71.364111742581997</v>
      </c>
      <c r="AM743">
        <v>92.5398370206631</v>
      </c>
      <c r="AN743">
        <v>1.00000000396073</v>
      </c>
    </row>
    <row r="744" spans="1:40" x14ac:dyDescent="0.25">
      <c r="A744" t="str">
        <f>"20190304164835816"</f>
        <v>20190304164835816</v>
      </c>
      <c r="B744" t="str">
        <f>"1551689315806970"</f>
        <v>1551689315806970</v>
      </c>
      <c r="C744" t="s">
        <v>40</v>
      </c>
      <c r="D744">
        <v>5.2832910000000002</v>
      </c>
      <c r="E744">
        <v>0.54626300000000005</v>
      </c>
      <c r="F744" t="s">
        <v>41</v>
      </c>
      <c r="G744">
        <v>-324.95359999999999</v>
      </c>
      <c r="H744">
        <v>0.82453940000000003</v>
      </c>
      <c r="I744">
        <v>367.8417</v>
      </c>
      <c r="J744">
        <v>-325.56990000000002</v>
      </c>
      <c r="K744">
        <v>1.1098680000000001</v>
      </c>
      <c r="L744">
        <v>367.83749999999998</v>
      </c>
      <c r="M744">
        <v>0.99994720000000004</v>
      </c>
      <c r="N744">
        <v>-8.5925069999999992E-3</v>
      </c>
      <c r="O744">
        <v>-5.64161E-3</v>
      </c>
      <c r="P744">
        <v>0.94957519999999995</v>
      </c>
      <c r="Q744">
        <v>0.31142219999999998</v>
      </c>
      <c r="R744">
        <v>3.637286E-2</v>
      </c>
      <c r="S744">
        <v>3.5730590000000002</v>
      </c>
      <c r="T744">
        <v>-1.2635719999999999</v>
      </c>
      <c r="U744">
        <v>1.467896E-2</v>
      </c>
      <c r="V744">
        <v>-4.1718560000000002E-2</v>
      </c>
      <c r="W744">
        <v>0.31956960000000001</v>
      </c>
      <c r="X744">
        <v>0.94664400000000004</v>
      </c>
      <c r="Y744">
        <v>-8.8716790000000004E-3</v>
      </c>
      <c r="Z744">
        <v>3.4509889999999998E-3</v>
      </c>
      <c r="AA744">
        <v>0.99995469999999997</v>
      </c>
      <c r="AB744">
        <v>34</v>
      </c>
      <c r="AC744">
        <v>0.61630000000002305</v>
      </c>
      <c r="AD744">
        <v>-0.28532859999999999</v>
      </c>
      <c r="AE744">
        <v>4.20000000002573E-3</v>
      </c>
      <c r="AF744">
        <v>-6.3219848374387799E-3</v>
      </c>
      <c r="AG744">
        <v>-0.28532859999999999</v>
      </c>
      <c r="AH744">
        <v>0.50749442805282297</v>
      </c>
      <c r="AI744">
        <v>119.344102290397</v>
      </c>
      <c r="AJ744">
        <v>90.713710917976499</v>
      </c>
      <c r="AK744">
        <v>0.58223961731825402</v>
      </c>
      <c r="AL744">
        <v>71.363102171034498</v>
      </c>
      <c r="AM744">
        <v>92.523389752185807</v>
      </c>
      <c r="AN744">
        <v>1.00000001511431</v>
      </c>
    </row>
    <row r="745" spans="1:40" x14ac:dyDescent="0.25">
      <c r="A745" t="str">
        <f>"20190304164835828"</f>
        <v>20190304164835828</v>
      </c>
      <c r="B745" t="str">
        <f>"1551689315816730"</f>
        <v>1551689315816730</v>
      </c>
      <c r="C745" t="s">
        <v>40</v>
      </c>
      <c r="D745">
        <v>5.0166510000000004</v>
      </c>
      <c r="E745">
        <v>0.5462745</v>
      </c>
      <c r="F745" t="s">
        <v>41</v>
      </c>
      <c r="G745">
        <v>-324.66000000000003</v>
      </c>
      <c r="H745">
        <v>0.78823019999999999</v>
      </c>
      <c r="I745">
        <v>367.8408</v>
      </c>
      <c r="J745">
        <v>-325.37630000000001</v>
      </c>
      <c r="K745">
        <v>1.109866</v>
      </c>
      <c r="L745">
        <v>367.83640000000003</v>
      </c>
      <c r="M745">
        <v>0.99994740000000004</v>
      </c>
      <c r="N745">
        <v>-8.5814259999999996E-3</v>
      </c>
      <c r="O745">
        <v>-5.6414439999999998E-3</v>
      </c>
      <c r="P745">
        <v>0.94958779999999998</v>
      </c>
      <c r="Q745">
        <v>0.3113939</v>
      </c>
      <c r="R745">
        <v>3.6291950000000003E-2</v>
      </c>
      <c r="S745">
        <v>3.5729679999999999</v>
      </c>
      <c r="T745">
        <v>-1.262913</v>
      </c>
      <c r="U745">
        <v>1.345825E-2</v>
      </c>
      <c r="V745">
        <v>-4.1637430000000003E-2</v>
      </c>
      <c r="W745">
        <v>0.3195308</v>
      </c>
      <c r="X745">
        <v>0.94666059999999996</v>
      </c>
      <c r="Y745">
        <v>-8.5507989999999996E-3</v>
      </c>
      <c r="Z745">
        <v>3.3928650000000001E-3</v>
      </c>
      <c r="AA745">
        <v>0.99995769999999995</v>
      </c>
      <c r="AB745">
        <v>34</v>
      </c>
      <c r="AC745">
        <v>0.71629999999998895</v>
      </c>
      <c r="AD745">
        <v>-0.32163579999999897</v>
      </c>
      <c r="AE745">
        <v>4.3999999999755303E-3</v>
      </c>
      <c r="AF745">
        <v>-7.0247506537338099E-3</v>
      </c>
      <c r="AG745">
        <v>-0.32163579999999897</v>
      </c>
      <c r="AH745">
        <v>0.59608433501550195</v>
      </c>
      <c r="AI745">
        <v>118.348794862864</v>
      </c>
      <c r="AJ745">
        <v>90.675189582541094</v>
      </c>
      <c r="AK745">
        <v>0.67735918788650096</v>
      </c>
      <c r="AL745">
        <v>71.365446989257705</v>
      </c>
      <c r="AM745">
        <v>92.518444740155005</v>
      </c>
      <c r="AN745">
        <v>0.99999994965900096</v>
      </c>
    </row>
    <row r="746" spans="1:40" x14ac:dyDescent="0.25">
      <c r="A746" t="str">
        <f>"20190304164835839"</f>
        <v>20190304164835839</v>
      </c>
      <c r="B746" t="str">
        <f>"1551689315827465"</f>
        <v>1551689315827465</v>
      </c>
      <c r="C746" t="s">
        <v>40</v>
      </c>
      <c r="D746">
        <v>5.0156700000000001</v>
      </c>
      <c r="E746">
        <v>0.54626330000000001</v>
      </c>
      <c r="F746" t="s">
        <v>41</v>
      </c>
      <c r="G746">
        <v>-324.63549999999998</v>
      </c>
      <c r="H746">
        <v>0.84809509999999899</v>
      </c>
      <c r="I746">
        <v>367.83890000000002</v>
      </c>
      <c r="J746">
        <v>-325.21960000000001</v>
      </c>
      <c r="K746">
        <v>1.1098650000000001</v>
      </c>
      <c r="L746">
        <v>367.83550000000002</v>
      </c>
      <c r="M746">
        <v>0.99994740000000004</v>
      </c>
      <c r="N746">
        <v>-8.5740569999999995E-3</v>
      </c>
      <c r="O746">
        <v>-5.6410549999999999E-3</v>
      </c>
      <c r="P746">
        <v>0.94963160000000002</v>
      </c>
      <c r="Q746">
        <v>0.31124790000000002</v>
      </c>
      <c r="R746">
        <v>3.6393540000000002E-2</v>
      </c>
      <c r="S746">
        <v>3.5729060000000001</v>
      </c>
      <c r="T746">
        <v>-1.262707</v>
      </c>
      <c r="U746">
        <v>1.2451169999999999E-2</v>
      </c>
      <c r="V746">
        <v>-4.173901E-2</v>
      </c>
      <c r="W746">
        <v>0.31937850000000001</v>
      </c>
      <c r="X746">
        <v>0.94670750000000004</v>
      </c>
      <c r="Y746">
        <v>-8.2853890000000006E-3</v>
      </c>
      <c r="Z746">
        <v>3.345584E-3</v>
      </c>
      <c r="AA746">
        <v>0.99996010000000002</v>
      </c>
      <c r="AB746">
        <v>34</v>
      </c>
      <c r="AC746">
        <v>0.58410000000003404</v>
      </c>
      <c r="AD746">
        <v>-0.2617699</v>
      </c>
      <c r="AE746">
        <v>3.3999999999991802E-3</v>
      </c>
      <c r="AF746">
        <v>-5.5752696651851803E-3</v>
      </c>
      <c r="AG746">
        <v>-0.2617699</v>
      </c>
      <c r="AH746">
        <v>0.48638578731552101</v>
      </c>
      <c r="AI746">
        <v>118.287299253082</v>
      </c>
      <c r="AJ746">
        <v>90.656732660093994</v>
      </c>
      <c r="AK746">
        <v>0.55238184101252696</v>
      </c>
      <c r="AL746">
        <v>71.374655294249195</v>
      </c>
      <c r="AM746">
        <v>92.524455972235003</v>
      </c>
      <c r="AN746">
        <v>0.99999993088713701</v>
      </c>
    </row>
    <row r="747" spans="1:40" x14ac:dyDescent="0.25">
      <c r="A747" t="str">
        <f>"20190304164835848"</f>
        <v>20190304164835848</v>
      </c>
      <c r="B747" t="str">
        <f>"1551689315837225"</f>
        <v>1551689315837225</v>
      </c>
      <c r="C747" t="s">
        <v>40</v>
      </c>
      <c r="D747">
        <v>4.8499210000000001</v>
      </c>
      <c r="E747">
        <v>0.54635049999999996</v>
      </c>
      <c r="F747" t="s">
        <v>41</v>
      </c>
      <c r="G747">
        <v>-324.346</v>
      </c>
      <c r="H747">
        <v>0.800987</v>
      </c>
      <c r="I747">
        <v>367.83839999999998</v>
      </c>
      <c r="J747">
        <v>-325.05829999999997</v>
      </c>
      <c r="K747">
        <v>1.1098629999999901</v>
      </c>
      <c r="L747">
        <v>367.83460000000002</v>
      </c>
      <c r="M747">
        <v>0.99994740000000004</v>
      </c>
      <c r="N747">
        <v>-8.569274E-3</v>
      </c>
      <c r="O747">
        <v>-5.6409160000000002E-3</v>
      </c>
      <c r="P747">
        <v>0.94981870000000002</v>
      </c>
      <c r="Q747">
        <v>0.31068959999999901</v>
      </c>
      <c r="R747">
        <v>3.6286350000000002E-2</v>
      </c>
      <c r="S747">
        <v>3.572632</v>
      </c>
      <c r="T747">
        <v>-1.2631250000000001</v>
      </c>
      <c r="U747">
        <v>1.248169E-2</v>
      </c>
      <c r="V747">
        <v>-4.1632639999999999E-2</v>
      </c>
      <c r="W747">
        <v>0.31881730000000003</v>
      </c>
      <c r="X747">
        <v>0.9469014</v>
      </c>
      <c r="Y747">
        <v>-8.2929249999999996E-3</v>
      </c>
      <c r="Z747">
        <v>3.3481629999999999E-3</v>
      </c>
      <c r="AA747">
        <v>0.99995999999999996</v>
      </c>
      <c r="AB747">
        <v>34</v>
      </c>
      <c r="AC747">
        <v>0.71229999999996996</v>
      </c>
      <c r="AD747">
        <v>-0.30887599999999898</v>
      </c>
      <c r="AE747">
        <v>3.7999999999556102E-3</v>
      </c>
      <c r="AF747">
        <v>-6.5807286584144697E-3</v>
      </c>
      <c r="AG747">
        <v>-0.30887599999999898</v>
      </c>
      <c r="AH747">
        <v>0.59953575963026495</v>
      </c>
      <c r="AI747">
        <v>117.25575432298101</v>
      </c>
      <c r="AJ747">
        <v>90.6288746433234</v>
      </c>
      <c r="AK747">
        <v>0.67445594106740203</v>
      </c>
      <c r="AL747">
        <v>71.408584806949094</v>
      </c>
      <c r="AM747">
        <v>92.517515838600801</v>
      </c>
      <c r="AN747">
        <v>1.0000000044073001</v>
      </c>
    </row>
    <row r="748" spans="1:40" x14ac:dyDescent="0.25">
      <c r="A748" t="str">
        <f>"20190304164835859"</f>
        <v>20190304164835859</v>
      </c>
      <c r="B748" t="str">
        <f>"1551689315846986"</f>
        <v>1551689315846986</v>
      </c>
      <c r="C748" t="s">
        <v>40</v>
      </c>
      <c r="D748">
        <v>5.0035119999999997</v>
      </c>
      <c r="E748">
        <v>0.54634550000000004</v>
      </c>
      <c r="F748" t="s">
        <v>41</v>
      </c>
      <c r="G748">
        <v>-324.32560000000001</v>
      </c>
      <c r="H748">
        <v>0.85069719999999904</v>
      </c>
      <c r="I748">
        <v>367.83679999999998</v>
      </c>
      <c r="J748">
        <v>-324.9126</v>
      </c>
      <c r="K748">
        <v>1.109858</v>
      </c>
      <c r="L748">
        <v>367.83370000000002</v>
      </c>
      <c r="M748">
        <v>0.99994749999999999</v>
      </c>
      <c r="N748">
        <v>-8.5666289999999992E-3</v>
      </c>
      <c r="O748">
        <v>-5.6406659999999999E-3</v>
      </c>
      <c r="P748">
        <v>0.95002730000000002</v>
      </c>
      <c r="Q748">
        <v>0.31003609999999998</v>
      </c>
      <c r="R748">
        <v>3.6414479999999999E-2</v>
      </c>
      <c r="S748">
        <v>3.5712589999999902</v>
      </c>
      <c r="T748">
        <v>-1.2631920000000001</v>
      </c>
      <c r="U748">
        <v>1.1444090000000001E-2</v>
      </c>
      <c r="V748">
        <v>-4.1761529999999998E-2</v>
      </c>
      <c r="W748">
        <v>0.31816280000000002</v>
      </c>
      <c r="X748">
        <v>0.94711579999999995</v>
      </c>
      <c r="Y748">
        <v>-8.0197979999999999E-3</v>
      </c>
      <c r="Z748">
        <v>3.3013830000000002E-3</v>
      </c>
      <c r="AA748">
        <v>0.99996240000000003</v>
      </c>
      <c r="AB748">
        <v>34</v>
      </c>
      <c r="AC748">
        <v>0.58699999999998898</v>
      </c>
      <c r="AD748">
        <v>-0.25916080000000002</v>
      </c>
      <c r="AE748">
        <v>3.0999999999607999E-3</v>
      </c>
      <c r="AF748">
        <v>-5.3653445036690199E-3</v>
      </c>
      <c r="AG748">
        <v>-0.25916080000000002</v>
      </c>
      <c r="AH748">
        <v>0.49122495036474101</v>
      </c>
      <c r="AI748">
        <v>117.813853328427</v>
      </c>
      <c r="AJ748">
        <v>90.625781267373696</v>
      </c>
      <c r="AK748">
        <v>0.55542331517422405</v>
      </c>
      <c r="AL748">
        <v>71.448144196617704</v>
      </c>
      <c r="AM748">
        <v>92.524728796056806</v>
      </c>
      <c r="AN748">
        <v>0.99999996565071003</v>
      </c>
    </row>
    <row r="749" spans="1:40" x14ac:dyDescent="0.25">
      <c r="A749" t="str">
        <f>"20190304164835869"</f>
        <v>20190304164835869</v>
      </c>
      <c r="B749" t="str">
        <f>"1551689315856746"</f>
        <v>1551689315856746</v>
      </c>
      <c r="C749" t="s">
        <v>40</v>
      </c>
      <c r="D749">
        <v>4.7457770000000004</v>
      </c>
      <c r="E749">
        <v>0.54657979999999995</v>
      </c>
      <c r="F749" t="s">
        <v>41</v>
      </c>
      <c r="G749">
        <v>-324.03719999999998</v>
      </c>
      <c r="H749">
        <v>0.79957290000000003</v>
      </c>
      <c r="I749">
        <v>367.83659999999998</v>
      </c>
      <c r="J749">
        <v>-324.75209999999998</v>
      </c>
      <c r="K749">
        <v>1.109856</v>
      </c>
      <c r="L749">
        <v>367.8329</v>
      </c>
      <c r="M749">
        <v>0.99994749999999999</v>
      </c>
      <c r="N749">
        <v>-8.5666609999999997E-3</v>
      </c>
      <c r="O749">
        <v>-5.6405469999999897E-3</v>
      </c>
      <c r="P749">
        <v>0.95007949999999997</v>
      </c>
      <c r="Q749">
        <v>0.30986639999999999</v>
      </c>
      <c r="R749">
        <v>3.6496800000000003E-2</v>
      </c>
      <c r="S749">
        <v>3.5703740000000002</v>
      </c>
      <c r="T749">
        <v>-1.265574</v>
      </c>
      <c r="U749">
        <v>1.223755E-2</v>
      </c>
      <c r="V749">
        <v>-4.1843970000000001E-2</v>
      </c>
      <c r="W749">
        <v>0.31799369999999999</v>
      </c>
      <c r="X749">
        <v>0.94716900000000004</v>
      </c>
      <c r="Y749">
        <v>-8.2263500000000003E-3</v>
      </c>
      <c r="Z749">
        <v>3.3444519999999999E-3</v>
      </c>
      <c r="AA749">
        <v>0.99996050000000003</v>
      </c>
      <c r="AB749">
        <v>35</v>
      </c>
      <c r="AC749">
        <v>0.71489999999999998</v>
      </c>
      <c r="AD749">
        <v>-0.31028309999999898</v>
      </c>
      <c r="AE749">
        <v>3.69999999998071E-3</v>
      </c>
      <c r="AF749">
        <v>-6.5068196882711203E-3</v>
      </c>
      <c r="AG749">
        <v>-0.31028309999999898</v>
      </c>
      <c r="AH749">
        <v>0.601552682416714</v>
      </c>
      <c r="AI749">
        <v>117.28348569421</v>
      </c>
      <c r="AJ749">
        <v>90.619727545472799</v>
      </c>
      <c r="AK749">
        <v>0.67689258421909904</v>
      </c>
      <c r="AL749">
        <v>71.458364573326193</v>
      </c>
      <c r="AM749">
        <v>92.529564405728294</v>
      </c>
      <c r="AN749">
        <v>1.00000001281302</v>
      </c>
    </row>
    <row r="750" spans="1:40" x14ac:dyDescent="0.25">
      <c r="A750" t="str">
        <f>"20190304164835880"</f>
        <v>20190304164835880</v>
      </c>
      <c r="B750" t="str">
        <f>"1551689315877242"</f>
        <v>1551689315877242</v>
      </c>
      <c r="C750" t="s">
        <v>40</v>
      </c>
      <c r="D750">
        <v>4.7602449999999896</v>
      </c>
      <c r="E750">
        <v>0.54703630000000003</v>
      </c>
      <c r="F750" t="s">
        <v>41</v>
      </c>
      <c r="G750">
        <v>-324.01670000000001</v>
      </c>
      <c r="H750">
        <v>0.84976379999999996</v>
      </c>
      <c r="I750">
        <v>367.8347</v>
      </c>
      <c r="J750">
        <v>-324.58269999999999</v>
      </c>
      <c r="K750">
        <v>1.1098589999999999</v>
      </c>
      <c r="L750">
        <v>367.83190000000002</v>
      </c>
      <c r="M750">
        <v>0.99994740000000004</v>
      </c>
      <c r="N750">
        <v>-8.5683329999999992E-3</v>
      </c>
      <c r="O750">
        <v>-5.6401969999999996E-3</v>
      </c>
      <c r="P750">
        <v>0.95005830000000002</v>
      </c>
      <c r="Q750">
        <v>0.30994260000000001</v>
      </c>
      <c r="R750">
        <v>3.6398640000000003E-2</v>
      </c>
      <c r="S750">
        <v>3.5688780000000002</v>
      </c>
      <c r="T750">
        <v>-1.2620899999999999</v>
      </c>
      <c r="U750">
        <v>9.6435549999999998E-3</v>
      </c>
      <c r="V750">
        <v>-4.1745270000000001E-2</v>
      </c>
      <c r="W750">
        <v>0.3180714</v>
      </c>
      <c r="X750">
        <v>0.94714730000000003</v>
      </c>
      <c r="Y750">
        <v>-7.5467779999999996E-3</v>
      </c>
      <c r="Z750">
        <v>3.2173190000000002E-3</v>
      </c>
      <c r="AA750">
        <v>0.99996629999999997</v>
      </c>
      <c r="AB750">
        <v>35</v>
      </c>
      <c r="AC750">
        <v>0.56599999999997397</v>
      </c>
      <c r="AD750">
        <v>-0.26009519999999903</v>
      </c>
      <c r="AE750">
        <v>2.7999999999792601E-3</v>
      </c>
      <c r="AF750">
        <v>-4.94765446033338E-3</v>
      </c>
      <c r="AG750">
        <v>-0.26009519999999903</v>
      </c>
      <c r="AH750">
        <v>0.46729832381210701</v>
      </c>
      <c r="AI750">
        <v>119.098662503656</v>
      </c>
      <c r="AJ750">
        <v>90.606612762186202</v>
      </c>
      <c r="AK750">
        <v>0.53482867891064301</v>
      </c>
      <c r="AL750">
        <v>71.453669518467606</v>
      </c>
      <c r="AM750">
        <v>92.523663229519798</v>
      </c>
      <c r="AN750">
        <v>1.0000000454813101</v>
      </c>
    </row>
    <row r="751" spans="1:40" x14ac:dyDescent="0.25">
      <c r="A751" t="str">
        <f>"20190304164835891"</f>
        <v>20190304164835891</v>
      </c>
      <c r="B751" t="str">
        <f>"1551689315887002"</f>
        <v>1551689315887002</v>
      </c>
      <c r="C751" t="s">
        <v>40</v>
      </c>
      <c r="D751">
        <v>5.0240369999999999</v>
      </c>
      <c r="E751">
        <v>0.54702439999999997</v>
      </c>
      <c r="F751" t="s">
        <v>41</v>
      </c>
      <c r="G751">
        <v>-323.72399999999999</v>
      </c>
      <c r="H751">
        <v>0.8079499</v>
      </c>
      <c r="I751">
        <v>367.83260000000001</v>
      </c>
      <c r="J751">
        <v>-324.40129999999999</v>
      </c>
      <c r="K751">
        <v>1.1098619999999999</v>
      </c>
      <c r="L751">
        <v>367.83089999999999</v>
      </c>
      <c r="M751">
        <v>0.99994740000000004</v>
      </c>
      <c r="N751">
        <v>-8.5722560000000003E-3</v>
      </c>
      <c r="O751">
        <v>-5.6398560000000004E-3</v>
      </c>
      <c r="P751">
        <v>0.94963909999999996</v>
      </c>
      <c r="Q751">
        <v>0.31121959999999999</v>
      </c>
      <c r="R751">
        <v>3.6439760000000002E-2</v>
      </c>
      <c r="S751">
        <v>3.566589</v>
      </c>
      <c r="T751">
        <v>-1.2539009999999999</v>
      </c>
      <c r="U751">
        <v>4.8217770000000002E-3</v>
      </c>
      <c r="V751">
        <v>-4.1783689999999998E-2</v>
      </c>
      <c r="W751">
        <v>0.31934869999999999</v>
      </c>
      <c r="X751">
        <v>0.94671570000000005</v>
      </c>
      <c r="Y751">
        <v>-6.2831409999999999E-3</v>
      </c>
      <c r="Z751">
        <v>2.9781069999999998E-3</v>
      </c>
      <c r="AA751">
        <v>0.99997579999999997</v>
      </c>
      <c r="AB751">
        <v>35</v>
      </c>
      <c r="AC751">
        <v>0.67730000000000201</v>
      </c>
      <c r="AD751">
        <v>-0.30191210000000002</v>
      </c>
      <c r="AE751">
        <v>1.7000000000280101E-3</v>
      </c>
      <c r="AF751">
        <v>-4.6049814154142804E-3</v>
      </c>
      <c r="AG751">
        <v>-0.30191210000000002</v>
      </c>
      <c r="AH751">
        <v>0.56501216562988599</v>
      </c>
      <c r="AI751">
        <v>118.11685807077799</v>
      </c>
      <c r="AJ751">
        <v>90.466963676210796</v>
      </c>
      <c r="AK751">
        <v>0.640633178418055</v>
      </c>
      <c r="AL751">
        <v>71.376459223734301</v>
      </c>
      <c r="AM751">
        <v>92.527132942743293</v>
      </c>
      <c r="AN751">
        <v>1.00000004278409</v>
      </c>
    </row>
    <row r="752" spans="1:40" x14ac:dyDescent="0.25">
      <c r="A752" t="str">
        <f>"20190304164835903"</f>
        <v>20190304164835903</v>
      </c>
      <c r="B752" t="str">
        <f>"1551689315896762"</f>
        <v>1551689315896762</v>
      </c>
      <c r="C752" t="s">
        <v>40</v>
      </c>
      <c r="D752">
        <v>5.0445900000000004</v>
      </c>
      <c r="E752">
        <v>0.54701140000000004</v>
      </c>
      <c r="F752" t="s">
        <v>41</v>
      </c>
      <c r="G752">
        <v>-323.70060000000001</v>
      </c>
      <c r="H752">
        <v>0.86450910000000003</v>
      </c>
      <c r="I752">
        <v>367.83159999999998</v>
      </c>
      <c r="J752">
        <v>-324.22329999999999</v>
      </c>
      <c r="K752">
        <v>1.1098650000000001</v>
      </c>
      <c r="L752">
        <v>367.82990000000001</v>
      </c>
      <c r="M752">
        <v>0.99994729999999998</v>
      </c>
      <c r="N752">
        <v>-8.5790869999999905E-3</v>
      </c>
      <c r="O752">
        <v>-5.6395280000000004E-3</v>
      </c>
      <c r="P752">
        <v>0.94935179999999997</v>
      </c>
      <c r="Q752">
        <v>0.31208520000000001</v>
      </c>
      <c r="R752">
        <v>3.6526459999999997E-2</v>
      </c>
      <c r="S752">
        <v>3.568298</v>
      </c>
      <c r="T752">
        <v>-1.2492299999999901</v>
      </c>
      <c r="U752">
        <v>5.432129E-3</v>
      </c>
      <c r="V752">
        <v>-4.1868679999999998E-2</v>
      </c>
      <c r="W752">
        <v>0.32021840000000001</v>
      </c>
      <c r="X752">
        <v>0.94641810000000004</v>
      </c>
      <c r="Y752">
        <v>-6.4489219999999898E-3</v>
      </c>
      <c r="Z752">
        <v>2.994993E-3</v>
      </c>
      <c r="AA752">
        <v>0.99997469999999999</v>
      </c>
      <c r="AB752">
        <v>35</v>
      </c>
      <c r="AC752">
        <v>0.52269999999998595</v>
      </c>
      <c r="AD752">
        <v>-0.24535589999999899</v>
      </c>
      <c r="AE752">
        <v>1.6999999999711599E-3</v>
      </c>
      <c r="AF752">
        <v>-3.80867783307893E-3</v>
      </c>
      <c r="AG752">
        <v>-0.24535589999999899</v>
      </c>
      <c r="AH752">
        <v>0.42831035366570502</v>
      </c>
      <c r="AI752">
        <v>119.805091516787</v>
      </c>
      <c r="AJ752">
        <v>90.509479661006793</v>
      </c>
      <c r="AK752">
        <v>0.49362311812645898</v>
      </c>
      <c r="AL752">
        <v>71.323866989702694</v>
      </c>
      <c r="AM752">
        <v>92.533061797275707</v>
      </c>
      <c r="AN752">
        <v>1.0000000150355499</v>
      </c>
    </row>
    <row r="753" spans="1:40" x14ac:dyDescent="0.25">
      <c r="A753" t="str">
        <f>"20190304164835914"</f>
        <v>20190304164835914</v>
      </c>
      <c r="B753" t="str">
        <f>"1551689315907498"</f>
        <v>1551689315907498</v>
      </c>
      <c r="C753" t="s">
        <v>40</v>
      </c>
      <c r="D753">
        <v>4.8570960000000003</v>
      </c>
      <c r="E753">
        <v>0.54711180000000004</v>
      </c>
      <c r="F753" t="s">
        <v>41</v>
      </c>
      <c r="G753">
        <v>-323.40679999999998</v>
      </c>
      <c r="H753">
        <v>0.82484760000000001</v>
      </c>
      <c r="I753">
        <v>367.8313</v>
      </c>
      <c r="J753">
        <v>-324.05290000000002</v>
      </c>
      <c r="K753">
        <v>1.1098619999999999</v>
      </c>
      <c r="L753">
        <v>367.82889999999998</v>
      </c>
      <c r="M753">
        <v>0.99994720000000004</v>
      </c>
      <c r="N753">
        <v>-8.5868030000000005E-3</v>
      </c>
      <c r="O753">
        <v>-5.6393229999999999E-3</v>
      </c>
      <c r="P753">
        <v>0.94943100000000002</v>
      </c>
      <c r="Q753">
        <v>0.3118107</v>
      </c>
      <c r="R753">
        <v>3.6809649999999999E-2</v>
      </c>
      <c r="S753">
        <v>3.5693969999999999</v>
      </c>
      <c r="T753">
        <v>-1.245984</v>
      </c>
      <c r="U753">
        <v>6.225586E-3</v>
      </c>
      <c r="V753">
        <v>-4.215203E-2</v>
      </c>
      <c r="W753">
        <v>0.3199514</v>
      </c>
      <c r="X753">
        <v>0.9464958</v>
      </c>
      <c r="Y753">
        <v>-6.6616779999999999E-3</v>
      </c>
      <c r="Z753">
        <v>3.0236379999999999E-3</v>
      </c>
      <c r="AA753">
        <v>0.99997320000000001</v>
      </c>
      <c r="AB753">
        <v>35</v>
      </c>
      <c r="AC753">
        <v>0.64610000000004597</v>
      </c>
      <c r="AD753">
        <v>-0.2850144</v>
      </c>
      <c r="AE753">
        <v>2.4000000000228201E-3</v>
      </c>
      <c r="AF753">
        <v>-5.0591798140072197E-3</v>
      </c>
      <c r="AG753">
        <v>-0.2850144</v>
      </c>
      <c r="AH753">
        <v>0.54083354610308199</v>
      </c>
      <c r="AI753">
        <v>117.787792158036</v>
      </c>
      <c r="AJ753">
        <v>90.535952694976004</v>
      </c>
      <c r="AK753">
        <v>0.61135891921046204</v>
      </c>
      <c r="AL753">
        <v>71.340014127613898</v>
      </c>
      <c r="AM753">
        <v>92.549972887818498</v>
      </c>
      <c r="AN753">
        <v>0.99999999570636</v>
      </c>
    </row>
    <row r="754" spans="1:40" x14ac:dyDescent="0.25">
      <c r="A754" t="str">
        <f>"20190304164835925"</f>
        <v>20190304164835925</v>
      </c>
      <c r="B754" t="str">
        <f>"1551689315917258"</f>
        <v>1551689315917258</v>
      </c>
      <c r="C754" t="s">
        <v>40</v>
      </c>
      <c r="D754">
        <v>5.0553319999999999</v>
      </c>
      <c r="E754">
        <v>0.54710249999999905</v>
      </c>
      <c r="F754" t="s">
        <v>41</v>
      </c>
      <c r="G754">
        <v>-323.38490000000002</v>
      </c>
      <c r="H754">
        <v>0.87684449999999903</v>
      </c>
      <c r="I754">
        <v>367.83030000000002</v>
      </c>
      <c r="J754">
        <v>-323.8922</v>
      </c>
      <c r="K754">
        <v>1.109861</v>
      </c>
      <c r="L754">
        <v>367.82799999999997</v>
      </c>
      <c r="M754">
        <v>0.99994709999999998</v>
      </c>
      <c r="N754">
        <v>-8.598273E-3</v>
      </c>
      <c r="O754">
        <v>-5.6391339999999996E-3</v>
      </c>
      <c r="P754">
        <v>0.94954300000000003</v>
      </c>
      <c r="Q754">
        <v>0.31145349999999999</v>
      </c>
      <c r="R754">
        <v>3.6942509999999998E-2</v>
      </c>
      <c r="S754">
        <v>3.5682680000000002</v>
      </c>
      <c r="T754">
        <v>-1.2446790000000001</v>
      </c>
      <c r="U754">
        <v>7.2021480000000002E-3</v>
      </c>
      <c r="V754">
        <v>-4.2284950000000002E-2</v>
      </c>
      <c r="W754">
        <v>0.31960620000000001</v>
      </c>
      <c r="X754">
        <v>0.94660650000000002</v>
      </c>
      <c r="Y754">
        <v>-6.9210369999999997E-3</v>
      </c>
      <c r="Z754">
        <v>3.0665319999999999E-3</v>
      </c>
      <c r="AA754">
        <v>0.99997130000000001</v>
      </c>
      <c r="AB754">
        <v>35</v>
      </c>
      <c r="AC754">
        <v>0.50729999999998598</v>
      </c>
      <c r="AD754">
        <v>-0.23301649999999999</v>
      </c>
      <c r="AE754">
        <v>2.29999999999108E-3</v>
      </c>
      <c r="AF754">
        <v>-4.2616852453688896E-3</v>
      </c>
      <c r="AG754">
        <v>-0.23301649999999999</v>
      </c>
      <c r="AH754">
        <v>0.41890064570688401</v>
      </c>
      <c r="AI754">
        <v>119.084055248281</v>
      </c>
      <c r="AJ754">
        <v>90.582878439314598</v>
      </c>
      <c r="AK754">
        <v>0.47936687641828701</v>
      </c>
      <c r="AL754">
        <v>71.360888848876797</v>
      </c>
      <c r="AM754">
        <v>92.557704428613903</v>
      </c>
      <c r="AN754">
        <v>1.00000000295859</v>
      </c>
    </row>
    <row r="755" spans="1:40" x14ac:dyDescent="0.25">
      <c r="A755" t="str">
        <f>"20190304164835935"</f>
        <v>20190304164835935</v>
      </c>
      <c r="B755" t="str">
        <f>"1551689315927018"</f>
        <v>1551689315927018</v>
      </c>
      <c r="C755" t="s">
        <v>40</v>
      </c>
      <c r="D755">
        <v>4.7835169999999998</v>
      </c>
      <c r="E755">
        <v>0.54731490000000005</v>
      </c>
      <c r="F755" t="s">
        <v>41</v>
      </c>
      <c r="G755">
        <v>-323.09350000000001</v>
      </c>
      <c r="H755">
        <v>0.83092520000000003</v>
      </c>
      <c r="I755">
        <v>367.82960000000003</v>
      </c>
      <c r="J755">
        <v>-323.7165</v>
      </c>
      <c r="K755">
        <v>1.1098619999999999</v>
      </c>
      <c r="L755">
        <v>367.82709999999997</v>
      </c>
      <c r="M755">
        <v>0.99994700000000003</v>
      </c>
      <c r="N755">
        <v>-8.611446E-3</v>
      </c>
      <c r="O755">
        <v>-5.6388339999999997E-3</v>
      </c>
      <c r="P755">
        <v>0.94961419999999996</v>
      </c>
      <c r="Q755">
        <v>0.3112354</v>
      </c>
      <c r="R755">
        <v>3.6951669999999999E-2</v>
      </c>
      <c r="S755">
        <v>3.5678100000000001</v>
      </c>
      <c r="T755">
        <v>-1.246046</v>
      </c>
      <c r="U755">
        <v>7.8125E-3</v>
      </c>
      <c r="V755">
        <v>-4.2294360000000003E-2</v>
      </c>
      <c r="W755">
        <v>0.31940109999999999</v>
      </c>
      <c r="X755">
        <v>0.9466753</v>
      </c>
      <c r="Y755">
        <v>-7.0806209999999996E-3</v>
      </c>
      <c r="Z755">
        <v>3.0977560000000001E-3</v>
      </c>
      <c r="AA755">
        <v>0.99997009999999997</v>
      </c>
      <c r="AB755">
        <v>35</v>
      </c>
      <c r="AC755">
        <v>0.62299999999999001</v>
      </c>
      <c r="AD755">
        <v>-0.27893679999999998</v>
      </c>
      <c r="AE755">
        <v>2.5000000000545601E-3</v>
      </c>
      <c r="AF755">
        <v>-5.0089817964510397E-3</v>
      </c>
      <c r="AG755">
        <v>-0.27893679999999998</v>
      </c>
      <c r="AH755">
        <v>0.518947571379893</v>
      </c>
      <c r="AI755">
        <v>118.257129127691</v>
      </c>
      <c r="AJ755">
        <v>90.553012713333104</v>
      </c>
      <c r="AK755">
        <v>0.58918368115042496</v>
      </c>
      <c r="AL755">
        <v>71.373290166269896</v>
      </c>
      <c r="AM755">
        <v>92.5580871819256</v>
      </c>
      <c r="AN755">
        <v>0.99999999959955399</v>
      </c>
    </row>
    <row r="756" spans="1:40" x14ac:dyDescent="0.25">
      <c r="A756" t="str">
        <f>"20190304164835948"</f>
        <v>20190304164835948</v>
      </c>
      <c r="B756" t="str">
        <f>"1551689315936778"</f>
        <v>1551689315936778</v>
      </c>
      <c r="C756" t="s">
        <v>40</v>
      </c>
      <c r="D756">
        <v>4.7908530000000003</v>
      </c>
      <c r="E756">
        <v>0.54752049999999997</v>
      </c>
      <c r="F756" t="s">
        <v>41</v>
      </c>
      <c r="G756">
        <v>-322.7987</v>
      </c>
      <c r="H756">
        <v>0.78993440000000004</v>
      </c>
      <c r="I756">
        <v>367.82870000000003</v>
      </c>
      <c r="J756">
        <v>-323.52100000000002</v>
      </c>
      <c r="K756">
        <v>1.1098629999999901</v>
      </c>
      <c r="L756">
        <v>367.82589999999999</v>
      </c>
      <c r="M756">
        <v>0.99994700000000003</v>
      </c>
      <c r="N756">
        <v>-8.6291839999999998E-3</v>
      </c>
      <c r="O756">
        <v>-5.638672E-3</v>
      </c>
      <c r="P756">
        <v>0.94947479999999995</v>
      </c>
      <c r="Q756">
        <v>0.31167299999999998</v>
      </c>
      <c r="R756">
        <v>3.6848489999999998E-2</v>
      </c>
      <c r="S756">
        <v>3.566376</v>
      </c>
      <c r="T756">
        <v>-1.243209</v>
      </c>
      <c r="U756">
        <v>6.7749019999999898E-3</v>
      </c>
      <c r="V756">
        <v>-4.219005E-2</v>
      </c>
      <c r="W756">
        <v>0.31985429999999998</v>
      </c>
      <c r="X756">
        <v>0.94652689999999995</v>
      </c>
      <c r="Y756">
        <v>-6.8095830000000001E-3</v>
      </c>
      <c r="Z756">
        <v>3.0450590000000001E-3</v>
      </c>
      <c r="AA756">
        <v>0.99997219999999998</v>
      </c>
      <c r="AB756">
        <v>35</v>
      </c>
      <c r="AC756">
        <v>0.72229999999996097</v>
      </c>
      <c r="AD756">
        <v>-0.31992859999999901</v>
      </c>
      <c r="AE756">
        <v>2.8000000000361E-3</v>
      </c>
      <c r="AF756">
        <v>-5.7457024454173498E-3</v>
      </c>
      <c r="AG756">
        <v>-0.31992859999999901</v>
      </c>
      <c r="AH756">
        <v>0.60381388822409798</v>
      </c>
      <c r="AI756">
        <v>117.915644415285</v>
      </c>
      <c r="AJ756">
        <v>90.545192104923501</v>
      </c>
      <c r="AK756">
        <v>0.68335827631401003</v>
      </c>
      <c r="AL756">
        <v>71.345885679444294</v>
      </c>
      <c r="AM756">
        <v>92.552186105956196</v>
      </c>
      <c r="AN756">
        <v>0.99999997298554999</v>
      </c>
    </row>
    <row r="757" spans="1:40" x14ac:dyDescent="0.25">
      <c r="A757" t="str">
        <f>"20190304164835970"</f>
        <v>20190304164835970</v>
      </c>
      <c r="B757" t="str">
        <f>"1551689315967035"</f>
        <v>1551689315967035</v>
      </c>
      <c r="C757" t="s">
        <v>40</v>
      </c>
      <c r="D757">
        <v>5.3348389999999997</v>
      </c>
      <c r="E757">
        <v>0.54774299999999998</v>
      </c>
      <c r="F757" t="s">
        <v>41</v>
      </c>
      <c r="G757">
        <v>-322.774</v>
      </c>
      <c r="H757">
        <v>0.85049390000000002</v>
      </c>
      <c r="I757">
        <v>367.82679999999999</v>
      </c>
      <c r="J757">
        <v>-323.18329999999997</v>
      </c>
      <c r="K757">
        <v>1.109864</v>
      </c>
      <c r="L757">
        <v>367.82400000000001</v>
      </c>
      <c r="M757">
        <v>0.99994660000000002</v>
      </c>
      <c r="N757">
        <v>-8.6636779999999993E-3</v>
      </c>
      <c r="O757">
        <v>-5.6382250000000002E-3</v>
      </c>
      <c r="P757">
        <v>0.94871760000000005</v>
      </c>
      <c r="Q757">
        <v>0.31395489999999998</v>
      </c>
      <c r="R757">
        <v>3.6975420000000002E-2</v>
      </c>
      <c r="S757">
        <v>3.5659179999999999</v>
      </c>
      <c r="T757">
        <v>-1.238119</v>
      </c>
      <c r="U757">
        <v>4.5166019999999998E-3</v>
      </c>
      <c r="V757">
        <v>-4.2312589999999997E-2</v>
      </c>
      <c r="W757">
        <v>0.32216240000000002</v>
      </c>
      <c r="X757">
        <v>0.94573839999999998</v>
      </c>
      <c r="Y757">
        <v>-6.2173790000000003E-3</v>
      </c>
      <c r="Z757">
        <v>2.9308300000000002E-3</v>
      </c>
      <c r="AA757">
        <v>0.99997639999999999</v>
      </c>
      <c r="AB757">
        <v>35</v>
      </c>
      <c r="AC757">
        <v>0.40929999999997302</v>
      </c>
      <c r="AD757">
        <v>-0.25937009999999899</v>
      </c>
      <c r="AE757">
        <v>2.7999999999792601E-3</v>
      </c>
      <c r="AF757">
        <v>-3.64437925842544E-3</v>
      </c>
      <c r="AG757">
        <v>-0.25937009999999899</v>
      </c>
      <c r="AH757">
        <v>0.29201861132810902</v>
      </c>
      <c r="AI757">
        <v>131.60917652536801</v>
      </c>
      <c r="AJ757">
        <v>90.7150116561875</v>
      </c>
      <c r="AK757">
        <v>0.39059057801768099</v>
      </c>
      <c r="AL757">
        <v>71.206252672111503</v>
      </c>
      <c r="AM757">
        <v>92.561720216005398</v>
      </c>
      <c r="AN757">
        <v>1.00000004424041</v>
      </c>
    </row>
    <row r="758" spans="1:40" x14ac:dyDescent="0.25">
      <c r="A758" t="str">
        <f>"20190304164835982"</f>
        <v>20190304164835982</v>
      </c>
      <c r="B758" t="str">
        <f>"1551689315976794"</f>
        <v>1551689315976794</v>
      </c>
      <c r="C758" t="s">
        <v>40</v>
      </c>
      <c r="D758">
        <v>4.8649699999999996</v>
      </c>
      <c r="E758">
        <v>0.54783309999999996</v>
      </c>
      <c r="F758" t="s">
        <v>41</v>
      </c>
      <c r="G758">
        <v>-322.4579</v>
      </c>
      <c r="H758">
        <v>0.8606412</v>
      </c>
      <c r="I758">
        <v>367.82440000000003</v>
      </c>
      <c r="J758">
        <v>-322.98829999999998</v>
      </c>
      <c r="K758">
        <v>1.1098680000000001</v>
      </c>
      <c r="L758">
        <v>367.8229</v>
      </c>
      <c r="M758">
        <v>0.99994629999999995</v>
      </c>
      <c r="N758">
        <v>-8.6887119999999995E-3</v>
      </c>
      <c r="O758">
        <v>-5.6379759999999899E-3</v>
      </c>
      <c r="P758">
        <v>0.94908419999999905</v>
      </c>
      <c r="Q758">
        <v>0.3128513</v>
      </c>
      <c r="R758">
        <v>3.6923119999999997E-2</v>
      </c>
      <c r="S758">
        <v>3.567596</v>
      </c>
      <c r="T758">
        <v>-1.2255799999999999</v>
      </c>
      <c r="U758">
        <v>3.1433110000000002E-3</v>
      </c>
      <c r="V758">
        <v>-4.2261729999999997E-2</v>
      </c>
      <c r="W758">
        <v>0.32108560000000003</v>
      </c>
      <c r="X758">
        <v>0.94610669999999997</v>
      </c>
      <c r="Y758">
        <v>-5.8664859999999997E-3</v>
      </c>
      <c r="Z758">
        <v>2.840937E-3</v>
      </c>
      <c r="AA758">
        <v>0.99997879999999995</v>
      </c>
      <c r="AB758">
        <v>35</v>
      </c>
      <c r="AC758">
        <v>0.53039999999998599</v>
      </c>
      <c r="AD758">
        <v>-0.2492268</v>
      </c>
      <c r="AE758">
        <v>1.5000000000213701E-3</v>
      </c>
      <c r="AF758">
        <v>-3.6783332711857598E-3</v>
      </c>
      <c r="AG758">
        <v>-0.2492268</v>
      </c>
      <c r="AH758">
        <v>0.43445900209488802</v>
      </c>
      <c r="AI758">
        <v>119.839791400244</v>
      </c>
      <c r="AJ758">
        <v>90.485081297924197</v>
      </c>
      <c r="AK758">
        <v>0.50088137565213997</v>
      </c>
      <c r="AL758">
        <v>71.271408993885302</v>
      </c>
      <c r="AM758">
        <v>92.5576504013967</v>
      </c>
      <c r="AN758">
        <v>0.99999995206741998</v>
      </c>
    </row>
    <row r="759" spans="1:40" x14ac:dyDescent="0.25">
      <c r="A759" t="str">
        <f>"20190304164835993"</f>
        <v>20190304164835993</v>
      </c>
      <c r="B759" t="str">
        <f>"1551689315987530"</f>
        <v>1551689315987530</v>
      </c>
      <c r="C759" t="s">
        <v>40</v>
      </c>
      <c r="D759">
        <v>5.0251479999999997</v>
      </c>
      <c r="E759">
        <v>0.54783349999999997</v>
      </c>
      <c r="F759" t="s">
        <v>41</v>
      </c>
      <c r="G759">
        <v>-322.16059999999999</v>
      </c>
      <c r="H759">
        <v>0.82484829999999998</v>
      </c>
      <c r="I759">
        <v>367.82319999999999</v>
      </c>
      <c r="J759">
        <v>-322.82069999999999</v>
      </c>
      <c r="K759">
        <v>1.109864</v>
      </c>
      <c r="L759">
        <v>367.822</v>
      </c>
      <c r="M759">
        <v>0.99994620000000001</v>
      </c>
      <c r="N759">
        <v>-8.7125929999999994E-3</v>
      </c>
      <c r="O759">
        <v>-5.6378419999999997E-3</v>
      </c>
      <c r="P759">
        <v>0.94954249999999996</v>
      </c>
      <c r="Q759">
        <v>0.3114092</v>
      </c>
      <c r="R759">
        <v>3.7334970000000002E-2</v>
      </c>
      <c r="S759">
        <v>3.565582</v>
      </c>
      <c r="T759">
        <v>-1.22783</v>
      </c>
      <c r="U759">
        <v>2.166748E-3</v>
      </c>
      <c r="V759">
        <v>-4.2676230000000002E-2</v>
      </c>
      <c r="W759">
        <v>0.31966999999999901</v>
      </c>
      <c r="X759">
        <v>0.94656739999999995</v>
      </c>
      <c r="Y759">
        <v>-5.6053739999999998E-3</v>
      </c>
      <c r="Z759">
        <v>2.802475E-3</v>
      </c>
      <c r="AA759">
        <v>0.99998039999999999</v>
      </c>
      <c r="AB759">
        <v>35</v>
      </c>
      <c r="AC759">
        <v>0.66009999999999902</v>
      </c>
      <c r="AD759">
        <v>-0.28501569999999998</v>
      </c>
      <c r="AE759">
        <v>1.20000000003983E-3</v>
      </c>
      <c r="AF759">
        <v>-4.1482935900625604E-3</v>
      </c>
      <c r="AG759">
        <v>-0.28501569999999998</v>
      </c>
      <c r="AH759">
        <v>0.55636028730976494</v>
      </c>
      <c r="AI759">
        <v>117.124791090825</v>
      </c>
      <c r="AJ759">
        <v>90.427196757119404</v>
      </c>
      <c r="AK759">
        <v>0.62513032791698997</v>
      </c>
      <c r="AL759">
        <v>71.357031055135593</v>
      </c>
      <c r="AM759">
        <v>92.581446534361206</v>
      </c>
      <c r="AN759">
        <v>1.0000000061248799</v>
      </c>
    </row>
    <row r="760" spans="1:40" x14ac:dyDescent="0.25">
      <c r="A760" t="str">
        <f>"20190304164836004"</f>
        <v>20190304164836004</v>
      </c>
      <c r="B760" t="str">
        <f>"1551689315997290"</f>
        <v>1551689315997290</v>
      </c>
      <c r="C760" t="s">
        <v>40</v>
      </c>
      <c r="D760">
        <v>5.0716760000000001</v>
      </c>
      <c r="E760">
        <v>0.54781740000000001</v>
      </c>
      <c r="F760" t="s">
        <v>41</v>
      </c>
      <c r="G760">
        <v>-322.13979999999998</v>
      </c>
      <c r="H760">
        <v>0.87423119999999999</v>
      </c>
      <c r="I760">
        <v>367.82249999999999</v>
      </c>
      <c r="J760">
        <v>-322.65469999999999</v>
      </c>
      <c r="K760">
        <v>1.1098669999999999</v>
      </c>
      <c r="L760">
        <v>367.82100000000003</v>
      </c>
      <c r="M760">
        <v>0.99994609999999995</v>
      </c>
      <c r="N760">
        <v>-8.7408450000000006E-3</v>
      </c>
      <c r="O760">
        <v>-5.6376079999999997E-3</v>
      </c>
      <c r="P760">
        <v>0.94979349999999996</v>
      </c>
      <c r="Q760">
        <v>0.31063420000000003</v>
      </c>
      <c r="R760">
        <v>3.7402879999999999E-2</v>
      </c>
      <c r="S760">
        <v>3.5636899999999998</v>
      </c>
      <c r="T760">
        <v>-1.233196</v>
      </c>
      <c r="U760">
        <v>4.1809079999999997E-3</v>
      </c>
      <c r="V760">
        <v>-4.274534E-2</v>
      </c>
      <c r="W760">
        <v>0.31892429999999999</v>
      </c>
      <c r="X760">
        <v>0.94681579999999999</v>
      </c>
      <c r="Y760">
        <v>-6.1329959999999999E-3</v>
      </c>
      <c r="Z760">
        <v>2.906521E-3</v>
      </c>
      <c r="AA760">
        <v>0.999977</v>
      </c>
      <c r="AB760">
        <v>35</v>
      </c>
      <c r="AC760">
        <v>0.51490000000001102</v>
      </c>
      <c r="AD760">
        <v>-0.23563579999999901</v>
      </c>
      <c r="AE760">
        <v>1.5000000000213701E-3</v>
      </c>
      <c r="AF760">
        <v>-3.6404761446942398E-3</v>
      </c>
      <c r="AG760">
        <v>-0.23563579999999901</v>
      </c>
      <c r="AH760">
        <v>0.425724972980079</v>
      </c>
      <c r="AI760">
        <v>118.963334187401</v>
      </c>
      <c r="AJ760">
        <v>90.489937983035801</v>
      </c>
      <c r="AK760">
        <v>0.48659966700264901</v>
      </c>
      <c r="AL760">
        <v>71.402116728215404</v>
      </c>
      <c r="AM760">
        <v>92.584943841657207</v>
      </c>
      <c r="AN760">
        <v>1.0000000161759199</v>
      </c>
    </row>
    <row r="761" spans="1:40" x14ac:dyDescent="0.25">
      <c r="A761" t="str">
        <f>"20190304164836015"</f>
        <v>20190304164836015</v>
      </c>
      <c r="B761" t="str">
        <f>"1551689316007050"</f>
        <v>1551689316007050</v>
      </c>
      <c r="C761" t="s">
        <v>40</v>
      </c>
      <c r="D761">
        <v>5.2837009999999998</v>
      </c>
      <c r="E761">
        <v>0.5478191</v>
      </c>
      <c r="F761" t="s">
        <v>41</v>
      </c>
      <c r="G761">
        <v>-321.84620000000001</v>
      </c>
      <c r="H761">
        <v>0.82926759999999999</v>
      </c>
      <c r="I761">
        <v>367.82190000000003</v>
      </c>
      <c r="J761">
        <v>-322.47809999999998</v>
      </c>
      <c r="K761">
        <v>1.1098699999999999</v>
      </c>
      <c r="L761">
        <v>367.82</v>
      </c>
      <c r="M761">
        <v>0.99994570000000005</v>
      </c>
      <c r="N761">
        <v>-8.7719930000000005E-3</v>
      </c>
      <c r="O761">
        <v>-5.6372669999999996E-3</v>
      </c>
      <c r="P761">
        <v>0.94962939999999996</v>
      </c>
      <c r="Q761">
        <v>0.31114399999999998</v>
      </c>
      <c r="R761">
        <v>3.7333900000000003E-2</v>
      </c>
      <c r="S761">
        <v>3.5627749999999998</v>
      </c>
      <c r="T761">
        <v>-1.2364120000000001</v>
      </c>
      <c r="U761">
        <v>4.8217770000000002E-3</v>
      </c>
      <c r="V761">
        <v>-4.2674879999999998E-2</v>
      </c>
      <c r="W761">
        <v>0.31946160000000001</v>
      </c>
      <c r="X761">
        <v>0.94663779999999997</v>
      </c>
      <c r="Y761">
        <v>-6.2990930000000004E-3</v>
      </c>
      <c r="Z761">
        <v>2.9430229999999999E-3</v>
      </c>
      <c r="AA761">
        <v>0.99997579999999997</v>
      </c>
      <c r="AB761">
        <v>35</v>
      </c>
      <c r="AC761">
        <v>0.63189999999997304</v>
      </c>
      <c r="AD761">
        <v>-0.28060239999999997</v>
      </c>
      <c r="AE761">
        <v>1.90000000003465E-3</v>
      </c>
      <c r="AF761">
        <v>-4.5626019048716103E-3</v>
      </c>
      <c r="AG761">
        <v>-0.28060239999999997</v>
      </c>
      <c r="AH761">
        <v>0.52780252862065802</v>
      </c>
      <c r="AI761">
        <v>117.99613514898</v>
      </c>
      <c r="AJ761">
        <v>90.495282434503807</v>
      </c>
      <c r="AK761">
        <v>0.59777423283398801</v>
      </c>
      <c r="AL761">
        <v>71.369631974478693</v>
      </c>
      <c r="AM761">
        <v>92.581173272033794</v>
      </c>
      <c r="AN761">
        <v>0.99999999182320698</v>
      </c>
    </row>
    <row r="762" spans="1:40" x14ac:dyDescent="0.25">
      <c r="A762" t="str">
        <f>"20190304164836025"</f>
        <v>20190304164836025</v>
      </c>
      <c r="B762" t="str">
        <f>"1551689316016811"</f>
        <v>1551689316016811</v>
      </c>
      <c r="C762" t="s">
        <v>40</v>
      </c>
      <c r="D762">
        <v>4.9557919999999998</v>
      </c>
      <c r="E762">
        <v>0.54784330000000003</v>
      </c>
      <c r="F762" t="s">
        <v>41</v>
      </c>
      <c r="G762">
        <v>-321.54969999999997</v>
      </c>
      <c r="H762">
        <v>0.78825679999999998</v>
      </c>
      <c r="I762">
        <v>367.82130000000001</v>
      </c>
      <c r="J762">
        <v>-322.30990000000003</v>
      </c>
      <c r="K762">
        <v>1.1098790000000001</v>
      </c>
      <c r="L762">
        <v>367.81909999999999</v>
      </c>
      <c r="M762">
        <v>0.99994550000000004</v>
      </c>
      <c r="N762">
        <v>-8.8077969999999992E-3</v>
      </c>
      <c r="O762">
        <v>-5.6370669999999999E-3</v>
      </c>
      <c r="P762">
        <v>0.94938029999999995</v>
      </c>
      <c r="Q762">
        <v>0.31194559999999999</v>
      </c>
      <c r="R762">
        <v>3.697611E-2</v>
      </c>
      <c r="S762">
        <v>3.5634160000000001</v>
      </c>
      <c r="T762">
        <v>-1.234445</v>
      </c>
      <c r="U762">
        <v>5.6152340000000002E-3</v>
      </c>
      <c r="V762">
        <v>-4.2315640000000002E-2</v>
      </c>
      <c r="W762">
        <v>0.32029479999999999</v>
      </c>
      <c r="X762">
        <v>0.9463724</v>
      </c>
      <c r="Y762">
        <v>-6.5110489999999997E-3</v>
      </c>
      <c r="Z762">
        <v>2.9745470000000001E-3</v>
      </c>
      <c r="AA762">
        <v>0.99997440000000004</v>
      </c>
      <c r="AB762">
        <v>35</v>
      </c>
      <c r="AC762">
        <v>0.76020000000005405</v>
      </c>
      <c r="AD762">
        <v>-0.32162220000000002</v>
      </c>
      <c r="AE762">
        <v>2.2000000000161799E-3</v>
      </c>
      <c r="AF762">
        <v>-5.5008269778719704E-3</v>
      </c>
      <c r="AG762">
        <v>-0.32162220000000002</v>
      </c>
      <c r="AH762">
        <v>0.64476754009631498</v>
      </c>
      <c r="AI762">
        <v>116.510052624224</v>
      </c>
      <c r="AJ762">
        <v>90.488806435825595</v>
      </c>
      <c r="AK762">
        <v>0.72055275961731902</v>
      </c>
      <c r="AL762">
        <v>71.319246817833701</v>
      </c>
      <c r="AM762">
        <v>92.560190621806498</v>
      </c>
      <c r="AN762">
        <v>1.0000000458887</v>
      </c>
    </row>
    <row r="763" spans="1:40" x14ac:dyDescent="0.25">
      <c r="A763" t="str">
        <f>"20190304164836036"</f>
        <v>20190304164836036</v>
      </c>
      <c r="B763" t="str">
        <f>"1551689316027546"</f>
        <v>1551689316027546</v>
      </c>
      <c r="C763" t="s">
        <v>40</v>
      </c>
      <c r="D763">
        <v>5.0391430000000001</v>
      </c>
      <c r="E763">
        <v>0.54783389999999998</v>
      </c>
      <c r="F763" t="s">
        <v>41</v>
      </c>
      <c r="G763">
        <v>-321.52870000000001</v>
      </c>
      <c r="H763">
        <v>0.840054999999999</v>
      </c>
      <c r="I763">
        <v>367.82</v>
      </c>
      <c r="J763">
        <v>-322.15370000000001</v>
      </c>
      <c r="K763">
        <v>1.109885</v>
      </c>
      <c r="L763">
        <v>367.81819999999999</v>
      </c>
      <c r="M763">
        <v>0.99994519999999998</v>
      </c>
      <c r="N763">
        <v>-8.8414889999999993E-3</v>
      </c>
      <c r="O763">
        <v>-5.6368579999999998E-3</v>
      </c>
      <c r="P763">
        <v>0.94917960000000001</v>
      </c>
      <c r="Q763">
        <v>0.31258180000000002</v>
      </c>
      <c r="R763">
        <v>3.6754700000000001E-2</v>
      </c>
      <c r="S763">
        <v>3.5642399999999999</v>
      </c>
      <c r="T763">
        <v>-1.230985</v>
      </c>
      <c r="U763">
        <v>5.1269530000000001E-3</v>
      </c>
      <c r="V763">
        <v>-4.2092610000000003E-2</v>
      </c>
      <c r="W763">
        <v>0.32096140000000001</v>
      </c>
      <c r="X763">
        <v>0.94615640000000001</v>
      </c>
      <c r="Y763">
        <v>-6.3851759999999898E-3</v>
      </c>
      <c r="Z763">
        <v>2.9441139999999998E-3</v>
      </c>
      <c r="AA763">
        <v>0.99997530000000001</v>
      </c>
      <c r="AB763">
        <v>35</v>
      </c>
      <c r="AC763">
        <v>0.625</v>
      </c>
      <c r="AD763">
        <v>-0.26983000000000001</v>
      </c>
      <c r="AE763">
        <v>1.8000000000029099E-3</v>
      </c>
      <c r="AF763">
        <v>-4.4868516023105296E-3</v>
      </c>
      <c r="AG763">
        <v>-0.26983000000000001</v>
      </c>
      <c r="AH763">
        <v>0.52679239492975005</v>
      </c>
      <c r="AI763">
        <v>117.12127912676701</v>
      </c>
      <c r="AJ763">
        <v>90.487993840336898</v>
      </c>
      <c r="AK763">
        <v>0.59189406830371505</v>
      </c>
      <c r="AL763">
        <v>71.2789231895743</v>
      </c>
      <c r="AM763">
        <v>92.547295251133306</v>
      </c>
      <c r="AN763">
        <v>0.999999970683765</v>
      </c>
    </row>
    <row r="764" spans="1:40" x14ac:dyDescent="0.25">
      <c r="A764" t="str">
        <f>"20190304164836047"</f>
        <v>20190304164836047</v>
      </c>
      <c r="B764" t="str">
        <f>"1551689316037305"</f>
        <v>1551689316037305</v>
      </c>
      <c r="C764" t="s">
        <v>40</v>
      </c>
      <c r="D764">
        <v>5.0337589999999999</v>
      </c>
      <c r="E764">
        <v>0.5478227</v>
      </c>
      <c r="F764" t="s">
        <v>41</v>
      </c>
      <c r="G764">
        <v>-321.23439999999999</v>
      </c>
      <c r="H764">
        <v>0.79304390000000002</v>
      </c>
      <c r="I764">
        <v>367.81979999999999</v>
      </c>
      <c r="J764">
        <v>-321.97489999999999</v>
      </c>
      <c r="K764">
        <v>1.109896</v>
      </c>
      <c r="L764">
        <v>367.81720000000001</v>
      </c>
      <c r="M764">
        <v>0.99994459999999996</v>
      </c>
      <c r="N764">
        <v>-8.8848139999999996E-3</v>
      </c>
      <c r="O764">
        <v>-5.6363350000000001E-3</v>
      </c>
      <c r="P764">
        <v>0.94930170000000003</v>
      </c>
      <c r="Q764">
        <v>0.312247099999999</v>
      </c>
      <c r="R764">
        <v>3.6443400000000001E-2</v>
      </c>
      <c r="S764">
        <v>3.5650330000000001</v>
      </c>
      <c r="T764">
        <v>-1.228761</v>
      </c>
      <c r="U764">
        <v>6.4392090000000004E-3</v>
      </c>
      <c r="V764">
        <v>-4.178163E-2</v>
      </c>
      <c r="W764">
        <v>0.32066869999999997</v>
      </c>
      <c r="X764">
        <v>0.94626949999999999</v>
      </c>
      <c r="Y764">
        <v>-6.7344939999999997E-3</v>
      </c>
      <c r="Z764">
        <v>2.9982640000000001E-3</v>
      </c>
      <c r="AA764">
        <v>0.9999728</v>
      </c>
      <c r="AB764">
        <v>35</v>
      </c>
      <c r="AC764">
        <v>0.74049999999999705</v>
      </c>
      <c r="AD764">
        <v>-0.31685210000000003</v>
      </c>
      <c r="AE764">
        <v>2.5999999999726199E-3</v>
      </c>
      <c r="AF764">
        <v>-5.7255546160302796E-3</v>
      </c>
      <c r="AG764">
        <v>-0.31685210000000003</v>
      </c>
      <c r="AH764">
        <v>0.625882569254818</v>
      </c>
      <c r="AI764">
        <v>116.84977798313</v>
      </c>
      <c r="AJ764">
        <v>90.524125419764502</v>
      </c>
      <c r="AK764">
        <v>0.70153904078610096</v>
      </c>
      <c r="AL764">
        <v>71.296630998962499</v>
      </c>
      <c r="AM764">
        <v>92.5281985421136</v>
      </c>
      <c r="AN764">
        <v>1.0000000431976901</v>
      </c>
    </row>
    <row r="765" spans="1:40" x14ac:dyDescent="0.25">
      <c r="A765" t="str">
        <f>"20190304164836058"</f>
        <v>20190304164836058</v>
      </c>
      <c r="B765" t="str">
        <f>"1551689316047067"</f>
        <v>1551689316047067</v>
      </c>
      <c r="C765" t="s">
        <v>40</v>
      </c>
      <c r="D765">
        <v>5.0594769999999896</v>
      </c>
      <c r="E765">
        <v>0.54781230000000003</v>
      </c>
      <c r="F765" t="s">
        <v>41</v>
      </c>
      <c r="G765">
        <v>-321.2124</v>
      </c>
      <c r="H765">
        <v>0.84676459999999998</v>
      </c>
      <c r="I765">
        <v>367.81849999999997</v>
      </c>
      <c r="J765">
        <v>-321.80399999999997</v>
      </c>
      <c r="K765">
        <v>1.1098980000000001</v>
      </c>
      <c r="L765">
        <v>367.81619999999998</v>
      </c>
      <c r="M765">
        <v>0.99994430000000001</v>
      </c>
      <c r="N765">
        <v>-8.9285479999999997E-3</v>
      </c>
      <c r="O765">
        <v>-5.6361719999999896E-3</v>
      </c>
      <c r="P765">
        <v>0.94949249999999996</v>
      </c>
      <c r="Q765">
        <v>0.3116603</v>
      </c>
      <c r="R765">
        <v>3.649699E-2</v>
      </c>
      <c r="S765">
        <v>3.5646059999999999</v>
      </c>
      <c r="T765">
        <v>-1.2301930000000001</v>
      </c>
      <c r="U765">
        <v>6.3476560000000001E-3</v>
      </c>
      <c r="V765">
        <v>-4.1836669999999999E-2</v>
      </c>
      <c r="W765">
        <v>0.32012489999999999</v>
      </c>
      <c r="X765">
        <v>0.94645109999999999</v>
      </c>
      <c r="Y765">
        <v>-6.70866E-3</v>
      </c>
      <c r="Z765">
        <v>2.997343E-3</v>
      </c>
      <c r="AA765">
        <v>0.999973</v>
      </c>
      <c r="AB765">
        <v>35</v>
      </c>
      <c r="AC765">
        <v>0.59160000000002799</v>
      </c>
      <c r="AD765">
        <v>-0.26313340000000002</v>
      </c>
      <c r="AE765">
        <v>2.29999999999108E-3</v>
      </c>
      <c r="AF765">
        <v>-4.7038913786609298E-3</v>
      </c>
      <c r="AG765">
        <v>-0.26313340000000002</v>
      </c>
      <c r="AH765">
        <v>0.493875035983598</v>
      </c>
      <c r="AI765">
        <v>118.04732172762</v>
      </c>
      <c r="AJ765">
        <v>90.545694668570704</v>
      </c>
      <c r="AK765">
        <v>0.55961939204915201</v>
      </c>
      <c r="AL765">
        <v>71.329520977220994</v>
      </c>
      <c r="AM765">
        <v>92.531039568478107</v>
      </c>
      <c r="AN765">
        <v>0.99999997162395404</v>
      </c>
    </row>
    <row r="766" spans="1:40" x14ac:dyDescent="0.25">
      <c r="A766" t="str">
        <f>"20190304164836069"</f>
        <v>20190304164836069</v>
      </c>
      <c r="B766" t="str">
        <f>"1551689316067562"</f>
        <v>1551689316067562</v>
      </c>
      <c r="C766" t="s">
        <v>40</v>
      </c>
      <c r="D766">
        <v>4.7273990000000001</v>
      </c>
      <c r="E766">
        <v>0.54804410000000003</v>
      </c>
      <c r="F766" t="s">
        <v>41</v>
      </c>
      <c r="G766">
        <v>-320.91660000000002</v>
      </c>
      <c r="H766">
        <v>0.8030041</v>
      </c>
      <c r="I766">
        <v>367.8177</v>
      </c>
      <c r="J766">
        <v>-321.62720000000002</v>
      </c>
      <c r="K766">
        <v>1.109904</v>
      </c>
      <c r="L766">
        <v>367.8152</v>
      </c>
      <c r="M766">
        <v>0.99994380000000005</v>
      </c>
      <c r="N766">
        <v>-8.9794899999999997E-3</v>
      </c>
      <c r="O766">
        <v>-5.6359230000000001E-3</v>
      </c>
      <c r="P766">
        <v>0.94969840000000005</v>
      </c>
      <c r="Q766">
        <v>0.31104959999999998</v>
      </c>
      <c r="R766">
        <v>3.6348159999999997E-2</v>
      </c>
      <c r="S766">
        <v>3.563904</v>
      </c>
      <c r="T766">
        <v>-1.232594</v>
      </c>
      <c r="U766">
        <v>6.7443850000000003E-3</v>
      </c>
      <c r="V766">
        <v>-4.1688839999999998E-2</v>
      </c>
      <c r="W766">
        <v>0.31956469999999998</v>
      </c>
      <c r="X766">
        <v>0.94664700000000002</v>
      </c>
      <c r="Y766">
        <v>-6.8110330000000002E-3</v>
      </c>
      <c r="Z766">
        <v>3.0209669999999998E-3</v>
      </c>
      <c r="AA766">
        <v>0.99997219999999998</v>
      </c>
      <c r="AB766">
        <v>35</v>
      </c>
      <c r="AC766">
        <v>0.71059999999999901</v>
      </c>
      <c r="AD766">
        <v>-0.3068999</v>
      </c>
      <c r="AE766">
        <v>2.4999999999977202E-3</v>
      </c>
      <c r="AF766">
        <v>-5.4824020452415197E-3</v>
      </c>
      <c r="AG766">
        <v>-0.3068999</v>
      </c>
      <c r="AH766">
        <v>0.59887019014134402</v>
      </c>
      <c r="AI766">
        <v>117.13256851332</v>
      </c>
      <c r="AJ766">
        <v>90.524503856374807</v>
      </c>
      <c r="AK766">
        <v>0.67295104576196696</v>
      </c>
      <c r="AL766">
        <v>71.363399125509105</v>
      </c>
      <c r="AM766">
        <v>92.5215864479364</v>
      </c>
      <c r="AN766">
        <v>1.0000000497378101</v>
      </c>
    </row>
    <row r="767" spans="1:40" x14ac:dyDescent="0.25">
      <c r="A767" t="str">
        <f>"20190304164836081"</f>
        <v>20190304164836081</v>
      </c>
      <c r="B767" t="str">
        <f>"1551689316077322"</f>
        <v>1551689316077322</v>
      </c>
      <c r="C767" t="s">
        <v>40</v>
      </c>
      <c r="D767">
        <v>4.7299300000000004</v>
      </c>
      <c r="E767">
        <v>0.54826580000000003</v>
      </c>
      <c r="F767" t="s">
        <v>41</v>
      </c>
      <c r="G767">
        <v>-320.89449999999999</v>
      </c>
      <c r="H767">
        <v>0.85664989999999996</v>
      </c>
      <c r="I767">
        <v>367.8159</v>
      </c>
      <c r="J767">
        <v>-321.44569999999999</v>
      </c>
      <c r="K767">
        <v>1.1099139999999901</v>
      </c>
      <c r="L767">
        <v>367.8141</v>
      </c>
      <c r="M767">
        <v>0.99994329999999998</v>
      </c>
      <c r="N767">
        <v>-9.0375339999999998E-3</v>
      </c>
      <c r="O767">
        <v>-5.6357069999999898E-3</v>
      </c>
      <c r="P767">
        <v>0.94976819999999895</v>
      </c>
      <c r="Q767">
        <v>0.31082009999999899</v>
      </c>
      <c r="R767">
        <v>3.6488649999999997E-2</v>
      </c>
      <c r="S767">
        <v>3.5619510000000001</v>
      </c>
      <c r="T767">
        <v>-1.2311289999999999</v>
      </c>
      <c r="U767">
        <v>3.8757319999999998E-3</v>
      </c>
      <c r="V767">
        <v>-4.1829110000000003E-2</v>
      </c>
      <c r="W767">
        <v>0.31939070000000003</v>
      </c>
      <c r="X767">
        <v>0.94669950000000003</v>
      </c>
      <c r="Y767">
        <v>-6.0527039999999999E-3</v>
      </c>
      <c r="Z767">
        <v>2.888056E-3</v>
      </c>
      <c r="AA767">
        <v>0.99997749999999996</v>
      </c>
      <c r="AB767">
        <v>35</v>
      </c>
      <c r="AC767">
        <v>0.55119999999999403</v>
      </c>
      <c r="AD767">
        <v>-0.25326409999999899</v>
      </c>
      <c r="AE767">
        <v>1.8000000000029099E-3</v>
      </c>
      <c r="AF767">
        <v>-4.0512171186957496E-3</v>
      </c>
      <c r="AG767">
        <v>-0.25326409999999899</v>
      </c>
      <c r="AH767">
        <v>0.45510126386215799</v>
      </c>
      <c r="AI767">
        <v>119.09499694228499</v>
      </c>
      <c r="AJ767">
        <v>90.510021681691995</v>
      </c>
      <c r="AK767">
        <v>0.52084189259110703</v>
      </c>
      <c r="AL767">
        <v>71.373919343607</v>
      </c>
      <c r="AM767">
        <v>92.529919672553703</v>
      </c>
      <c r="AN767">
        <v>1.0000000184950599</v>
      </c>
    </row>
    <row r="768" spans="1:40" x14ac:dyDescent="0.25">
      <c r="A768" t="str">
        <f>"20190304164836092"</f>
        <v>20190304164836092</v>
      </c>
      <c r="B768" t="str">
        <f>"1551689316087085"</f>
        <v>1551689316087085</v>
      </c>
      <c r="C768" t="s">
        <v>40</v>
      </c>
      <c r="D768">
        <v>5.0237059999999998</v>
      </c>
      <c r="E768">
        <v>0.5482494</v>
      </c>
      <c r="F768" t="s">
        <v>41</v>
      </c>
      <c r="G768">
        <v>-320.59699999999998</v>
      </c>
      <c r="H768">
        <v>0.81711040000000001</v>
      </c>
      <c r="I768">
        <v>367.8141</v>
      </c>
      <c r="J768">
        <v>-321.26069999999999</v>
      </c>
      <c r="K768">
        <v>1.10992</v>
      </c>
      <c r="L768">
        <v>367.81310000000002</v>
      </c>
      <c r="M768">
        <v>0.99994280000000002</v>
      </c>
      <c r="N768">
        <v>-9.1020530000000006E-3</v>
      </c>
      <c r="O768">
        <v>-5.6355229999999999E-3</v>
      </c>
      <c r="P768">
        <v>0.94970049999999995</v>
      </c>
      <c r="Q768">
        <v>0.31104310000000002</v>
      </c>
      <c r="R768">
        <v>3.6349800000000002E-2</v>
      </c>
      <c r="S768">
        <v>3.5606379999999902</v>
      </c>
      <c r="T768">
        <v>-1.228504</v>
      </c>
      <c r="U768">
        <v>1.4343260000000001E-3</v>
      </c>
      <c r="V768">
        <v>-4.1689480000000001E-2</v>
      </c>
      <c r="W768">
        <v>0.31967400000000001</v>
      </c>
      <c r="X768">
        <v>0.94660999999999995</v>
      </c>
      <c r="Y768">
        <v>-5.4079849999999997E-3</v>
      </c>
      <c r="Z768">
        <v>2.7718690000000002E-3</v>
      </c>
      <c r="AA768">
        <v>0.99998149999999997</v>
      </c>
      <c r="AB768">
        <v>35</v>
      </c>
      <c r="AC768">
        <v>0.66370000000000495</v>
      </c>
      <c r="AD768">
        <v>-0.292809599999999</v>
      </c>
      <c r="AE768">
        <v>9.9999999997635292E-4</v>
      </c>
      <c r="AF768">
        <v>-3.9680959340222003E-3</v>
      </c>
      <c r="AG768">
        <v>-0.292809599999999</v>
      </c>
      <c r="AH768">
        <v>0.55555258609373304</v>
      </c>
      <c r="AI768">
        <v>117.791322526605</v>
      </c>
      <c r="AJ768">
        <v>90.409234497713101</v>
      </c>
      <c r="AK768">
        <v>0.62800627668275399</v>
      </c>
      <c r="AL768">
        <v>71.356788782896004</v>
      </c>
      <c r="AM768">
        <v>92.521723544079606</v>
      </c>
      <c r="AN768">
        <v>0.999999985559335</v>
      </c>
    </row>
    <row r="769" spans="1:40" x14ac:dyDescent="0.25">
      <c r="A769" t="str">
        <f>"20190304164836104"</f>
        <v>20190304164836104</v>
      </c>
      <c r="B769" t="str">
        <f>"1551689316096842"</f>
        <v>1551689316096842</v>
      </c>
      <c r="C769" t="s">
        <v>40</v>
      </c>
      <c r="D769">
        <v>5.0202710000000002</v>
      </c>
      <c r="E769">
        <v>0.54824989999999996</v>
      </c>
      <c r="F769" t="s">
        <v>41</v>
      </c>
      <c r="G769">
        <v>-320.5736</v>
      </c>
      <c r="H769">
        <v>0.8729808</v>
      </c>
      <c r="I769">
        <v>367.81290000000001</v>
      </c>
      <c r="J769">
        <v>-321.08780000000002</v>
      </c>
      <c r="K769">
        <v>1.1098520000000001</v>
      </c>
      <c r="L769">
        <v>367.81220000000002</v>
      </c>
      <c r="M769">
        <v>0.99994470000000002</v>
      </c>
      <c r="N769">
        <v>-8.8779800000000006E-3</v>
      </c>
      <c r="O769">
        <v>-5.6353519999999997E-3</v>
      </c>
      <c r="P769">
        <v>0.94938840000000002</v>
      </c>
      <c r="Q769">
        <v>0.31202580000000002</v>
      </c>
      <c r="R769">
        <v>3.6074790000000002E-2</v>
      </c>
      <c r="S769">
        <v>3.5609739999999999</v>
      </c>
      <c r="T769">
        <v>-1.22787</v>
      </c>
      <c r="U769">
        <v>7.6293949999999998E-4</v>
      </c>
      <c r="V769">
        <v>-4.1412730000000002E-2</v>
      </c>
      <c r="W769">
        <v>0.32044149999999999</v>
      </c>
      <c r="X769">
        <v>0.94636260000000005</v>
      </c>
      <c r="Y769">
        <v>-5.2303380000000002E-3</v>
      </c>
      <c r="Z769">
        <v>2.7402239999999999E-3</v>
      </c>
      <c r="AA769">
        <v>0.99998260000000005</v>
      </c>
      <c r="AB769">
        <v>35</v>
      </c>
      <c r="AC769">
        <v>0.51420000000001598</v>
      </c>
      <c r="AD769">
        <v>-0.236871199999999</v>
      </c>
      <c r="AE769">
        <v>6.9999999999481501E-4</v>
      </c>
      <c r="AF769">
        <v>-2.9679760234910899E-3</v>
      </c>
      <c r="AG769">
        <v>-0.236871199999999</v>
      </c>
      <c r="AH769">
        <v>0.42417501099093102</v>
      </c>
      <c r="AI769">
        <v>119.179616537808</v>
      </c>
      <c r="AJ769">
        <v>90.400895197334904</v>
      </c>
      <c r="AK769">
        <v>0.48584072927274502</v>
      </c>
      <c r="AL769">
        <v>71.310372388778703</v>
      </c>
      <c r="AM769">
        <v>92.5056588460222</v>
      </c>
      <c r="AN769">
        <v>0.99999996990353102</v>
      </c>
    </row>
    <row r="770" spans="1:40" x14ac:dyDescent="0.25">
      <c r="A770" t="str">
        <f>"20190304164836114"</f>
        <v>20190304164836114</v>
      </c>
      <c r="B770" t="str">
        <f>"1551689316106602"</f>
        <v>1551689316106602</v>
      </c>
      <c r="C770" t="s">
        <v>40</v>
      </c>
      <c r="D770">
        <v>4.926158</v>
      </c>
      <c r="E770">
        <v>0.54828399999999999</v>
      </c>
      <c r="F770" t="s">
        <v>41</v>
      </c>
      <c r="G770">
        <v>-320.2749</v>
      </c>
      <c r="H770">
        <v>0.83053580000000005</v>
      </c>
      <c r="I770">
        <v>367.81200000000001</v>
      </c>
      <c r="J770">
        <v>-320.9135</v>
      </c>
      <c r="K770">
        <v>1.1097600000000001</v>
      </c>
      <c r="L770">
        <v>367.81110000000001</v>
      </c>
      <c r="M770">
        <v>0.99994740000000004</v>
      </c>
      <c r="N770">
        <v>-8.5800939999999999E-3</v>
      </c>
      <c r="O770">
        <v>-5.6353649999999998E-3</v>
      </c>
      <c r="P770">
        <v>0.9491771</v>
      </c>
      <c r="Q770">
        <v>0.31267539999999999</v>
      </c>
      <c r="R770">
        <v>3.601393E-2</v>
      </c>
      <c r="S770">
        <v>3.5622250000000002</v>
      </c>
      <c r="T770">
        <v>-1.2240580000000001</v>
      </c>
      <c r="U770">
        <v>-1.220703E-4</v>
      </c>
      <c r="V770">
        <v>-4.1350909999999998E-2</v>
      </c>
      <c r="W770">
        <v>0.32080740000000002</v>
      </c>
      <c r="X770">
        <v>0.94624140000000001</v>
      </c>
      <c r="Y770">
        <v>-4.9993449999999997E-3</v>
      </c>
      <c r="Z770">
        <v>2.6924150000000001E-3</v>
      </c>
      <c r="AA770">
        <v>0.99998390000000004</v>
      </c>
      <c r="AB770">
        <v>35</v>
      </c>
      <c r="AC770">
        <v>0.63859999999999595</v>
      </c>
      <c r="AD770">
        <v>-0.27922419999999998</v>
      </c>
      <c r="AE770">
        <v>8.9999999994461101E-4</v>
      </c>
      <c r="AF770">
        <v>-3.7768042609632301E-3</v>
      </c>
      <c r="AG770">
        <v>-0.27922419999999998</v>
      </c>
      <c r="AH770">
        <v>0.53609329904235803</v>
      </c>
      <c r="AI770">
        <v>117.512171690866</v>
      </c>
      <c r="AJ770">
        <v>90.403644971131797</v>
      </c>
      <c r="AK770">
        <v>0.60446376516230105</v>
      </c>
      <c r="AL770">
        <v>71.288240670753197</v>
      </c>
      <c r="AM770">
        <v>92.502243264171796</v>
      </c>
      <c r="AN770">
        <v>1.00000003636327</v>
      </c>
    </row>
    <row r="771" spans="1:40" x14ac:dyDescent="0.25">
      <c r="A771" t="str">
        <f>"20190304164836126"</f>
        <v>20190304164836126</v>
      </c>
      <c r="B771" t="str">
        <f>"1551689316117338"</f>
        <v>1551689316117338</v>
      </c>
      <c r="C771" t="s">
        <v>40</v>
      </c>
      <c r="D771">
        <v>5.0239520000000004</v>
      </c>
      <c r="E771">
        <v>0.54827559999999997</v>
      </c>
      <c r="F771" t="s">
        <v>41</v>
      </c>
      <c r="G771">
        <v>-320.2525</v>
      </c>
      <c r="H771">
        <v>0.88325849999999995</v>
      </c>
      <c r="I771">
        <v>367.8109</v>
      </c>
      <c r="J771">
        <v>-320.74250000000001</v>
      </c>
      <c r="K771">
        <v>1.1096469999999901</v>
      </c>
      <c r="L771">
        <v>367.81020000000001</v>
      </c>
      <c r="M771">
        <v>0.99994919999999998</v>
      </c>
      <c r="N771">
        <v>-8.3600930000000007E-3</v>
      </c>
      <c r="O771">
        <v>-5.635508E-3</v>
      </c>
      <c r="P771">
        <v>0.94897600000000004</v>
      </c>
      <c r="Q771">
        <v>0.31335400000000002</v>
      </c>
      <c r="R771">
        <v>3.5408019999999998E-2</v>
      </c>
      <c r="S771">
        <v>3.5628660000000001</v>
      </c>
      <c r="T771">
        <v>-1.221036</v>
      </c>
      <c r="U771">
        <v>-2.13623E-4</v>
      </c>
      <c r="V771">
        <v>-4.0743500000000002E-2</v>
      </c>
      <c r="W771">
        <v>0.32127650000000002</v>
      </c>
      <c r="X771">
        <v>0.94610850000000002</v>
      </c>
      <c r="Y771">
        <v>-4.9779459999999996E-3</v>
      </c>
      <c r="Z771">
        <v>2.6826279999999998E-3</v>
      </c>
      <c r="AA771">
        <v>0.99998399999999998</v>
      </c>
      <c r="AB771">
        <v>35</v>
      </c>
      <c r="AC771">
        <v>0.49000000000000898</v>
      </c>
      <c r="AD771">
        <v>-0.22638849999999899</v>
      </c>
      <c r="AE771">
        <v>6.9999999999481501E-4</v>
      </c>
      <c r="AF771">
        <v>-2.8525747818607698E-3</v>
      </c>
      <c r="AG771">
        <v>-0.22638849999999899</v>
      </c>
      <c r="AH771">
        <v>0.403794470115037</v>
      </c>
      <c r="AI771">
        <v>119.276681953202</v>
      </c>
      <c r="AJ771">
        <v>90.404754866727501</v>
      </c>
      <c r="AK771">
        <v>0.46293613405157702</v>
      </c>
      <c r="AL771">
        <v>71.259859416427005</v>
      </c>
      <c r="AM771">
        <v>92.465879021975297</v>
      </c>
      <c r="AN771">
        <v>0.99999995800837405</v>
      </c>
    </row>
    <row r="772" spans="1:40" x14ac:dyDescent="0.25">
      <c r="A772" t="str">
        <f>"20190304164836136"</f>
        <v>20190304164836136</v>
      </c>
      <c r="B772" t="str">
        <f>"1551689316127098"</f>
        <v>1551689316127098</v>
      </c>
      <c r="C772" t="s">
        <v>40</v>
      </c>
      <c r="D772">
        <v>5.0124050000000002</v>
      </c>
      <c r="E772">
        <v>0.54826980000000003</v>
      </c>
      <c r="F772" t="s">
        <v>41</v>
      </c>
      <c r="G772">
        <v>-319.95319999999998</v>
      </c>
      <c r="H772">
        <v>0.83971549999999995</v>
      </c>
      <c r="I772">
        <v>367.80970000000002</v>
      </c>
      <c r="J772">
        <v>-320.5686</v>
      </c>
      <c r="K772">
        <v>1.1095269999999999</v>
      </c>
      <c r="L772">
        <v>367.80919999999998</v>
      </c>
      <c r="M772">
        <v>0.99995080000000003</v>
      </c>
      <c r="N772">
        <v>-8.1761330000000004E-3</v>
      </c>
      <c r="O772">
        <v>-5.6358210000000001E-3</v>
      </c>
      <c r="P772">
        <v>0.94881950000000004</v>
      </c>
      <c r="Q772">
        <v>0.31385259999999998</v>
      </c>
      <c r="R772">
        <v>3.5188740000000003E-2</v>
      </c>
      <c r="S772">
        <v>3.5637509999999999</v>
      </c>
      <c r="T772">
        <v>-1.2186840000000001</v>
      </c>
      <c r="U772">
        <v>-1.4343260000000001E-3</v>
      </c>
      <c r="V772">
        <v>-4.0523629999999998E-2</v>
      </c>
      <c r="W772">
        <v>0.32159949999999998</v>
      </c>
      <c r="X772">
        <v>0.94600830000000002</v>
      </c>
      <c r="Y772">
        <v>-4.6568119999999998E-3</v>
      </c>
      <c r="Z772">
        <v>2.6229500000000002E-3</v>
      </c>
      <c r="AA772">
        <v>0.99998569999999998</v>
      </c>
      <c r="AB772">
        <v>35</v>
      </c>
      <c r="AC772">
        <v>0.61540000000002204</v>
      </c>
      <c r="AD772">
        <v>-0.26981149999999998</v>
      </c>
      <c r="AE772">
        <v>5.0000000004501999E-4</v>
      </c>
      <c r="AF772">
        <v>-3.3285647345979901E-3</v>
      </c>
      <c r="AG772">
        <v>-0.26981149999999998</v>
      </c>
      <c r="AH772">
        <v>0.51616798317108004</v>
      </c>
      <c r="AI772">
        <v>117.59649450449101</v>
      </c>
      <c r="AJ772">
        <v>90.369472872873999</v>
      </c>
      <c r="AK772">
        <v>0.58244202434778203</v>
      </c>
      <c r="AL772">
        <v>71.240317561151301</v>
      </c>
      <c r="AM772">
        <v>92.452847795917293</v>
      </c>
      <c r="AN772">
        <v>1.0000000533287501</v>
      </c>
    </row>
    <row r="773" spans="1:40" x14ac:dyDescent="0.25">
      <c r="A773" t="str">
        <f>"20190304164836147"</f>
        <v>20190304164836147</v>
      </c>
      <c r="B773" t="str">
        <f>"1551689316136858"</f>
        <v>1551689316136858</v>
      </c>
      <c r="C773" t="s">
        <v>40</v>
      </c>
      <c r="D773">
        <v>5.0080019999999896</v>
      </c>
      <c r="E773">
        <v>0.54827179999999998</v>
      </c>
      <c r="F773" t="s">
        <v>41</v>
      </c>
      <c r="G773">
        <v>-319.6524</v>
      </c>
      <c r="H773">
        <v>0.79672290000000001</v>
      </c>
      <c r="I773">
        <v>367.80880000000002</v>
      </c>
      <c r="J773">
        <v>-320.38619999999997</v>
      </c>
      <c r="K773">
        <v>1.109386</v>
      </c>
      <c r="L773">
        <v>367.8082</v>
      </c>
      <c r="M773">
        <v>0.99995020000000001</v>
      </c>
      <c r="N773">
        <v>-8.2465539999999997E-3</v>
      </c>
      <c r="O773">
        <v>-5.6359909999999999E-3</v>
      </c>
      <c r="P773">
        <v>0.94878770000000001</v>
      </c>
      <c r="Q773">
        <v>0.3139805</v>
      </c>
      <c r="R773">
        <v>3.4899470000000002E-2</v>
      </c>
      <c r="S773">
        <v>3.5643919999999998</v>
      </c>
      <c r="T773">
        <v>-1.2168969999999999</v>
      </c>
      <c r="U773">
        <v>-1.6479489999999999E-3</v>
      </c>
      <c r="V773">
        <v>-4.0234369999999998E-2</v>
      </c>
      <c r="W773">
        <v>0.32179400000000002</v>
      </c>
      <c r="X773">
        <v>0.94595439999999997</v>
      </c>
      <c r="Y773">
        <v>-4.6022199999999997E-3</v>
      </c>
      <c r="Z773">
        <v>2.6093639999999999E-3</v>
      </c>
      <c r="AA773">
        <v>0.99998600000000004</v>
      </c>
      <c r="AB773">
        <v>36</v>
      </c>
      <c r="AC773">
        <v>0.73379999999997303</v>
      </c>
      <c r="AD773">
        <v>-0.31266310000000003</v>
      </c>
      <c r="AE773">
        <v>6.0000000001991696E-4</v>
      </c>
      <c r="AF773">
        <v>-4.00814079987307E-3</v>
      </c>
      <c r="AG773">
        <v>-0.31266310000000003</v>
      </c>
      <c r="AH773">
        <v>0.62103561033793397</v>
      </c>
      <c r="AI773">
        <v>116.72269027503501</v>
      </c>
      <c r="AJ773">
        <v>90.3697797021686</v>
      </c>
      <c r="AK773">
        <v>0.69531252584869496</v>
      </c>
      <c r="AL773">
        <v>71.228545973043296</v>
      </c>
      <c r="AM773">
        <v>92.435498982143798</v>
      </c>
      <c r="AN773">
        <v>0.99999995492232696</v>
      </c>
    </row>
    <row r="774" spans="1:40" x14ac:dyDescent="0.25">
      <c r="A774" t="str">
        <f>"20190304164836160"</f>
        <v>20190304164836160</v>
      </c>
      <c r="B774" t="str">
        <f>"1551689316146618"</f>
        <v>1551689316146618</v>
      </c>
      <c r="C774" t="s">
        <v>40</v>
      </c>
      <c r="D774">
        <v>4.9909369999999997</v>
      </c>
      <c r="E774">
        <v>0.54827109999999901</v>
      </c>
      <c r="F774" t="s">
        <v>41</v>
      </c>
      <c r="G774">
        <v>-319.63</v>
      </c>
      <c r="H774">
        <v>0.85134650000000001</v>
      </c>
      <c r="I774">
        <v>367.80759999999998</v>
      </c>
      <c r="J774">
        <v>-320.20429999999999</v>
      </c>
      <c r="K774">
        <v>1.109226</v>
      </c>
      <c r="L774">
        <v>367.80709999999999</v>
      </c>
      <c r="M774">
        <v>0.99994879999999997</v>
      </c>
      <c r="N774">
        <v>-8.4123919999999994E-3</v>
      </c>
      <c r="O774">
        <v>-5.636205E-3</v>
      </c>
      <c r="P774">
        <v>0.94884400000000002</v>
      </c>
      <c r="Q774">
        <v>0.31382450000000001</v>
      </c>
      <c r="R774">
        <v>3.4779499999999998E-2</v>
      </c>
      <c r="S774">
        <v>3.564514</v>
      </c>
      <c r="T774">
        <v>-1.2163740000000001</v>
      </c>
      <c r="U774">
        <v>-2.5634770000000002E-3</v>
      </c>
      <c r="V774">
        <v>-4.0114820000000002E-2</v>
      </c>
      <c r="W774">
        <v>0.321795</v>
      </c>
      <c r="X774">
        <v>0.9459592</v>
      </c>
      <c r="Y774">
        <v>-4.360348E-3</v>
      </c>
      <c r="Z774">
        <v>2.566577E-3</v>
      </c>
      <c r="AA774">
        <v>0.99998719999999996</v>
      </c>
      <c r="AB774">
        <v>36</v>
      </c>
      <c r="AC774">
        <v>0.57429999999999304</v>
      </c>
      <c r="AD774">
        <v>-0.25787949999999998</v>
      </c>
      <c r="AE774">
        <v>4.9999999998817603E-4</v>
      </c>
      <c r="AF774">
        <v>-3.10992414073657E-3</v>
      </c>
      <c r="AG774">
        <v>-0.25787949999999998</v>
      </c>
      <c r="AH774">
        <v>0.47792410499451699</v>
      </c>
      <c r="AI774">
        <v>118.35001724765399</v>
      </c>
      <c r="AJ774">
        <v>90.372827005587993</v>
      </c>
      <c r="AK774">
        <v>0.54306809727991001</v>
      </c>
      <c r="AL774">
        <v>71.228486617401899</v>
      </c>
      <c r="AM774">
        <v>92.428258654712707</v>
      </c>
      <c r="AN774">
        <v>1.0000000144366299</v>
      </c>
    </row>
    <row r="775" spans="1:40" x14ac:dyDescent="0.25">
      <c r="A775" t="str">
        <f>"20190304164836172"</f>
        <v>20190304164836172</v>
      </c>
      <c r="B775" t="str">
        <f>"1551689316167114"</f>
        <v>1551689316167114</v>
      </c>
      <c r="C775" t="s">
        <v>40</v>
      </c>
      <c r="D775">
        <v>4.9838610000000001</v>
      </c>
      <c r="E775">
        <v>0.54847409999999996</v>
      </c>
      <c r="F775" t="s">
        <v>41</v>
      </c>
      <c r="G775">
        <v>-319.32870000000003</v>
      </c>
      <c r="H775">
        <v>0.81026609999999999</v>
      </c>
      <c r="I775">
        <v>367.80610000000001</v>
      </c>
      <c r="J775">
        <v>-320.00470000000001</v>
      </c>
      <c r="K775">
        <v>1.1090040000000001</v>
      </c>
      <c r="L775">
        <v>367.80599999999998</v>
      </c>
      <c r="M775">
        <v>0.99994570000000005</v>
      </c>
      <c r="N775">
        <v>-8.7652100000000007E-3</v>
      </c>
      <c r="O775">
        <v>-5.6361709999999997E-3</v>
      </c>
      <c r="P775">
        <v>0.94886870000000001</v>
      </c>
      <c r="Q775">
        <v>0.3137568</v>
      </c>
      <c r="R775">
        <v>3.4714429999999998E-2</v>
      </c>
      <c r="S775">
        <v>3.564362</v>
      </c>
      <c r="T775">
        <v>-1.2169779999999999</v>
      </c>
      <c r="U775">
        <v>-3.0822750000000002E-3</v>
      </c>
      <c r="V775">
        <v>-4.0050099999999998E-2</v>
      </c>
      <c r="W775">
        <v>0.32206129999999999</v>
      </c>
      <c r="X775">
        <v>0.94587129999999997</v>
      </c>
      <c r="Y775">
        <v>-4.2225559999999997E-3</v>
      </c>
      <c r="Z775">
        <v>2.5432499999999999E-3</v>
      </c>
      <c r="AA775">
        <v>0.99998779999999998</v>
      </c>
      <c r="AB775">
        <v>36</v>
      </c>
      <c r="AC775">
        <v>0.67599999999998694</v>
      </c>
      <c r="AD775">
        <v>-0.2987379</v>
      </c>
      <c r="AE775">
        <v>1.00000000031741E-4</v>
      </c>
      <c r="AF775">
        <v>-3.2713280701493E-3</v>
      </c>
      <c r="AG775">
        <v>-0.2987379</v>
      </c>
      <c r="AH775">
        <v>0.56554213371436901</v>
      </c>
      <c r="AI775">
        <v>117.844087271661</v>
      </c>
      <c r="AJ775">
        <v>90.331418633946996</v>
      </c>
      <c r="AK775">
        <v>0.63960373630080802</v>
      </c>
      <c r="AL775">
        <v>71.212370605126907</v>
      </c>
      <c r="AM775">
        <v>92.424570682122095</v>
      </c>
      <c r="AN775">
        <v>1.00000000381569</v>
      </c>
    </row>
    <row r="776" spans="1:40" x14ac:dyDescent="0.25">
      <c r="A776" t="str">
        <f>"20190304164836184"</f>
        <v>20190304164836184</v>
      </c>
      <c r="B776" t="str">
        <f>"1551689316176874"</f>
        <v>1551689316176874</v>
      </c>
      <c r="C776" t="s">
        <v>40</v>
      </c>
      <c r="D776">
        <v>4.9767060000000001</v>
      </c>
      <c r="E776">
        <v>0.54845859999999902</v>
      </c>
      <c r="F776" t="s">
        <v>41</v>
      </c>
      <c r="G776">
        <v>-319.30369999999999</v>
      </c>
      <c r="H776">
        <v>0.87016510000000002</v>
      </c>
      <c r="I776">
        <v>367.80489999999998</v>
      </c>
      <c r="J776">
        <v>-319.81380000000001</v>
      </c>
      <c r="K776">
        <v>1.108708</v>
      </c>
      <c r="L776">
        <v>367.80489999999998</v>
      </c>
      <c r="M776">
        <v>0.99994159999999999</v>
      </c>
      <c r="N776">
        <v>-9.2256749999999992E-3</v>
      </c>
      <c r="O776">
        <v>-5.6363330000000003E-3</v>
      </c>
      <c r="P776">
        <v>0.94901760000000002</v>
      </c>
      <c r="Q776">
        <v>0.3133262</v>
      </c>
      <c r="R776">
        <v>3.4531729999999997E-2</v>
      </c>
      <c r="S776">
        <v>3.5632320000000002</v>
      </c>
      <c r="T776">
        <v>-1.2139949999999999</v>
      </c>
      <c r="U776">
        <v>-4.2114259999999999E-3</v>
      </c>
      <c r="V776">
        <v>-3.986779E-2</v>
      </c>
      <c r="W776">
        <v>0.32206810000000002</v>
      </c>
      <c r="X776">
        <v>0.94587670000000001</v>
      </c>
      <c r="Y776">
        <v>-3.9256129999999997E-3</v>
      </c>
      <c r="Z776">
        <v>2.4859650000000001E-3</v>
      </c>
      <c r="AA776">
        <v>0.99998920000000002</v>
      </c>
      <c r="AB776">
        <v>36</v>
      </c>
      <c r="AC776">
        <v>0.51010000000002198</v>
      </c>
      <c r="AD776">
        <v>-0.2385429</v>
      </c>
      <c r="AE776">
        <v>0</v>
      </c>
      <c r="AF776">
        <v>-2.3592739113329798E-3</v>
      </c>
      <c r="AG776">
        <v>-0.2385429</v>
      </c>
      <c r="AH776">
        <v>0.41855868518353301</v>
      </c>
      <c r="AI776">
        <v>119.679075422362</v>
      </c>
      <c r="AJ776">
        <v>90.322953533256396</v>
      </c>
      <c r="AK776">
        <v>0.48176721998945299</v>
      </c>
      <c r="AL776">
        <v>71.2119593164214</v>
      </c>
      <c r="AM776">
        <v>92.413533237372206</v>
      </c>
      <c r="AN776">
        <v>1.0000000166599901</v>
      </c>
    </row>
    <row r="777" spans="1:40" x14ac:dyDescent="0.25">
      <c r="A777" t="str">
        <f>"20190304164836196"</f>
        <v>20190304164836196</v>
      </c>
      <c r="B777" t="str">
        <f>"1551689316187610"</f>
        <v>1551689316187610</v>
      </c>
      <c r="C777" t="s">
        <v>40</v>
      </c>
      <c r="D777">
        <v>4.943613</v>
      </c>
      <c r="E777">
        <v>0.54845699999999997</v>
      </c>
      <c r="F777" t="s">
        <v>41</v>
      </c>
      <c r="G777">
        <v>-319.0016</v>
      </c>
      <c r="H777">
        <v>0.83148659999999996</v>
      </c>
      <c r="I777">
        <v>367.80369999999999</v>
      </c>
      <c r="J777">
        <v>-319.6216</v>
      </c>
      <c r="K777">
        <v>1.108366</v>
      </c>
      <c r="L777">
        <v>367.80380000000002</v>
      </c>
      <c r="M777">
        <v>0.99993670000000001</v>
      </c>
      <c r="N777">
        <v>-9.7464920000000007E-3</v>
      </c>
      <c r="O777">
        <v>-5.6361800000000002E-3</v>
      </c>
      <c r="P777">
        <v>0.94914909999999997</v>
      </c>
      <c r="Q777">
        <v>0.3129419</v>
      </c>
      <c r="R777">
        <v>3.4402170000000003E-2</v>
      </c>
      <c r="S777">
        <v>3.5627439999999999</v>
      </c>
      <c r="T777">
        <v>-1.215846</v>
      </c>
      <c r="U777">
        <v>-4.6386719999999999E-3</v>
      </c>
      <c r="V777">
        <v>-3.9739040000000003E-2</v>
      </c>
      <c r="W777">
        <v>0.322177299999999</v>
      </c>
      <c r="X777">
        <v>0.94584489999999999</v>
      </c>
      <c r="Y777">
        <v>-3.8109609999999999E-3</v>
      </c>
      <c r="Z777">
        <v>2.4684759999999998E-3</v>
      </c>
      <c r="AA777">
        <v>0.99998969999999998</v>
      </c>
      <c r="AB777">
        <v>36</v>
      </c>
      <c r="AC777">
        <v>0.62000000000000399</v>
      </c>
      <c r="AD777">
        <v>-0.2768794</v>
      </c>
      <c r="AE777">
        <v>-1.00000000031741E-4</v>
      </c>
      <c r="AF777">
        <v>-2.83016871051459E-3</v>
      </c>
      <c r="AG777">
        <v>-0.2768794</v>
      </c>
      <c r="AH777">
        <v>0.51690299220415203</v>
      </c>
      <c r="AI777">
        <v>118.17539752189499</v>
      </c>
      <c r="AJ777">
        <v>90.313705094581707</v>
      </c>
      <c r="AK777">
        <v>0.58639484594332403</v>
      </c>
      <c r="AL777">
        <v>71.205349813938298</v>
      </c>
      <c r="AM777">
        <v>92.405828875623001</v>
      </c>
      <c r="AN777">
        <v>0.99999998939571</v>
      </c>
    </row>
    <row r="778" spans="1:40" x14ac:dyDescent="0.25">
      <c r="A778" t="str">
        <f>"20190304164836205"</f>
        <v>20190304164836205</v>
      </c>
      <c r="B778" t="str">
        <f>"1551689316197370"</f>
        <v>1551689316197370</v>
      </c>
      <c r="C778" t="s">
        <v>40</v>
      </c>
      <c r="D778">
        <v>4.9499380000000004</v>
      </c>
      <c r="E778">
        <v>0.54844689999999996</v>
      </c>
      <c r="F778" t="s">
        <v>41</v>
      </c>
      <c r="G778">
        <v>-318.69850000000002</v>
      </c>
      <c r="H778">
        <v>0.79291109999999998</v>
      </c>
      <c r="I778">
        <v>367.80239999999998</v>
      </c>
      <c r="J778">
        <v>-319.46530000000001</v>
      </c>
      <c r="K778">
        <v>1.107998</v>
      </c>
      <c r="L778">
        <v>367.80290000000002</v>
      </c>
      <c r="M778">
        <v>0.99993120000000002</v>
      </c>
      <c r="N778">
        <v>-1.0299930000000001E-2</v>
      </c>
      <c r="O778">
        <v>-5.6352559999999999E-3</v>
      </c>
      <c r="P778">
        <v>0.94945199999999996</v>
      </c>
      <c r="Q778">
        <v>0.31205939999999999</v>
      </c>
      <c r="R778">
        <v>3.405851E-2</v>
      </c>
      <c r="S778">
        <v>3.5622250000000002</v>
      </c>
      <c r="T778">
        <v>-1.217282</v>
      </c>
      <c r="U778">
        <v>-4.5776369999999999E-3</v>
      </c>
      <c r="V778">
        <v>-3.9395880000000001E-2</v>
      </c>
      <c r="W778">
        <v>0.321822</v>
      </c>
      <c r="X778">
        <v>0.94598020000000005</v>
      </c>
      <c r="Y778">
        <v>-3.8254790000000001E-3</v>
      </c>
      <c r="Z778">
        <v>2.471862E-3</v>
      </c>
      <c r="AA778">
        <v>0.99998960000000003</v>
      </c>
      <c r="AB778">
        <v>36</v>
      </c>
      <c r="AC778">
        <v>0.76679999999998905</v>
      </c>
      <c r="AD778">
        <v>-0.3150869</v>
      </c>
      <c r="AE778">
        <v>-5.0000000004501999E-4</v>
      </c>
      <c r="AF778">
        <v>-3.2693305256099501E-3</v>
      </c>
      <c r="AG778">
        <v>-0.3150869</v>
      </c>
      <c r="AH778">
        <v>0.656022463093766</v>
      </c>
      <c r="AI778">
        <v>115.65464765804801</v>
      </c>
      <c r="AJ778">
        <v>90.285534872304893</v>
      </c>
      <c r="AK778">
        <v>0.72777463211993598</v>
      </c>
      <c r="AL778">
        <v>71.226852179694305</v>
      </c>
      <c r="AM778">
        <v>92.384737093846596</v>
      </c>
      <c r="AN778">
        <v>0.999999986918507</v>
      </c>
    </row>
    <row r="779" spans="1:40" x14ac:dyDescent="0.25">
      <c r="A779" t="str">
        <f>"20190304164836215"</f>
        <v>20190304164836215</v>
      </c>
      <c r="B779" t="str">
        <f>"1551689316207131"</f>
        <v>1551689316207131</v>
      </c>
      <c r="C779" t="s">
        <v>40</v>
      </c>
      <c r="D779">
        <v>4.9374180000000001</v>
      </c>
      <c r="E779">
        <v>0.54843379999999997</v>
      </c>
      <c r="F779" t="s">
        <v>41</v>
      </c>
      <c r="G779">
        <v>-318.6798</v>
      </c>
      <c r="H779">
        <v>0.83871299999999904</v>
      </c>
      <c r="I779">
        <v>367.80130000000003</v>
      </c>
      <c r="J779">
        <v>-319.31389999999999</v>
      </c>
      <c r="K779">
        <v>1.1076440000000001</v>
      </c>
      <c r="L779">
        <v>367.8021</v>
      </c>
      <c r="M779">
        <v>0.99992550000000002</v>
      </c>
      <c r="N779">
        <v>-1.08434E-2</v>
      </c>
      <c r="O779">
        <v>-5.634193E-3</v>
      </c>
      <c r="P779">
        <v>0.94965290000000002</v>
      </c>
      <c r="Q779">
        <v>0.31146020000000002</v>
      </c>
      <c r="R779">
        <v>3.3943569999999999E-2</v>
      </c>
      <c r="S779">
        <v>3.5611570000000001</v>
      </c>
      <c r="T779">
        <v>-1.2206969999999999</v>
      </c>
      <c r="U779">
        <v>-6.3781740000000003E-3</v>
      </c>
      <c r="V779">
        <v>-3.9280679999999998E-2</v>
      </c>
      <c r="W779">
        <v>0.32173849999999998</v>
      </c>
      <c r="X779">
        <v>0.9460134</v>
      </c>
      <c r="Y779">
        <v>-3.3443290000000001E-3</v>
      </c>
      <c r="Z779">
        <v>2.394129E-3</v>
      </c>
      <c r="AA779">
        <v>0.99999150000000003</v>
      </c>
      <c r="AB779">
        <v>36</v>
      </c>
      <c r="AC779">
        <v>0.63409999999998901</v>
      </c>
      <c r="AD779">
        <v>-0.26893099999999998</v>
      </c>
      <c r="AE779">
        <v>-7.9999999996971296E-4</v>
      </c>
      <c r="AF779">
        <v>-2.35013800308176E-3</v>
      </c>
      <c r="AG779">
        <v>-0.26893099999999998</v>
      </c>
      <c r="AH779">
        <v>0.53742609612264203</v>
      </c>
      <c r="AI779">
        <v>116.583417866684</v>
      </c>
      <c r="AJ779">
        <v>90.250550041245802</v>
      </c>
      <c r="AK779">
        <v>0.60096273986267801</v>
      </c>
      <c r="AL779">
        <v>71.231905251100201</v>
      </c>
      <c r="AM779">
        <v>92.377688396583906</v>
      </c>
      <c r="AN779">
        <v>0.99999999359153602</v>
      </c>
    </row>
    <row r="780" spans="1:40" x14ac:dyDescent="0.25">
      <c r="A780" t="str">
        <f>"20190304164836225"</f>
        <v>20190304164836225</v>
      </c>
      <c r="B780" t="str">
        <f>"1551689316216889"</f>
        <v>1551689316216889</v>
      </c>
      <c r="C780" t="s">
        <v>40</v>
      </c>
      <c r="D780">
        <v>4.927168</v>
      </c>
      <c r="E780">
        <v>0.54842309999999905</v>
      </c>
      <c r="F780" t="s">
        <v>41</v>
      </c>
      <c r="G780">
        <v>-318.3827</v>
      </c>
      <c r="H780">
        <v>0.78766210000000003</v>
      </c>
      <c r="I780">
        <v>367.80020000000002</v>
      </c>
      <c r="J780">
        <v>-319.14699999999999</v>
      </c>
      <c r="K780">
        <v>1.107175</v>
      </c>
      <c r="L780">
        <v>367.80110000000002</v>
      </c>
      <c r="M780">
        <v>0.99991580000000002</v>
      </c>
      <c r="N780">
        <v>-1.170041E-2</v>
      </c>
      <c r="O780">
        <v>-5.6326969999999999E-3</v>
      </c>
      <c r="P780">
        <v>0.94986429999999999</v>
      </c>
      <c r="Q780">
        <v>0.31083529999999998</v>
      </c>
      <c r="R780">
        <v>3.3754409999999999E-2</v>
      </c>
      <c r="S780">
        <v>3.560425</v>
      </c>
      <c r="T780">
        <v>-1.2232449999999999</v>
      </c>
      <c r="U780">
        <v>-6.3476560000000001E-3</v>
      </c>
      <c r="V780">
        <v>-3.9091720000000003E-2</v>
      </c>
      <c r="W780">
        <v>0.32192720000000002</v>
      </c>
      <c r="X780">
        <v>0.9459571</v>
      </c>
      <c r="Y780">
        <v>-3.349646E-3</v>
      </c>
      <c r="Z780">
        <v>2.3966289999999999E-3</v>
      </c>
      <c r="AA780">
        <v>0.99999150000000003</v>
      </c>
      <c r="AB780">
        <v>36</v>
      </c>
      <c r="AC780">
        <v>0.76429999999999099</v>
      </c>
      <c r="AD780">
        <v>-0.31951289999999999</v>
      </c>
      <c r="AE780">
        <v>-9.0000000000145497E-4</v>
      </c>
      <c r="AF780">
        <v>-2.8987804283072999E-3</v>
      </c>
      <c r="AG780">
        <v>-0.31951289999999999</v>
      </c>
      <c r="AH780">
        <v>0.65059353256824204</v>
      </c>
      <c r="AI780">
        <v>116.155884940701</v>
      </c>
      <c r="AJ780">
        <v>90.255285023443506</v>
      </c>
      <c r="AK780">
        <v>0.72482331696352398</v>
      </c>
      <c r="AL780">
        <v>71.220487283914593</v>
      </c>
      <c r="AM780">
        <v>92.366404213238894</v>
      </c>
      <c r="AN780">
        <v>1.0000000598564001</v>
      </c>
    </row>
    <row r="781" spans="1:40" x14ac:dyDescent="0.25">
      <c r="A781" t="str">
        <f>"20190304164836237"</f>
        <v>20190304164836237</v>
      </c>
      <c r="B781" t="str">
        <f>"1551689316227626"</f>
        <v>1551689316227626</v>
      </c>
      <c r="C781" t="s">
        <v>40</v>
      </c>
      <c r="D781">
        <v>5.208596</v>
      </c>
      <c r="E781">
        <v>0.54843929999999996</v>
      </c>
      <c r="F781" t="s">
        <v>41</v>
      </c>
      <c r="G781">
        <v>-318.36250000000001</v>
      </c>
      <c r="H781">
        <v>0.837001199999999</v>
      </c>
      <c r="I781">
        <v>367.79930000000002</v>
      </c>
      <c r="J781">
        <v>-318.9674</v>
      </c>
      <c r="K781">
        <v>1.10666</v>
      </c>
      <c r="L781">
        <v>367.80009999999999</v>
      </c>
      <c r="M781">
        <v>0.99990409999999996</v>
      </c>
      <c r="N781">
        <v>-1.265574E-2</v>
      </c>
      <c r="O781">
        <v>-5.6314679999999997E-3</v>
      </c>
      <c r="P781">
        <v>0.95019039999999999</v>
      </c>
      <c r="Q781">
        <v>0.30987599999999998</v>
      </c>
      <c r="R781">
        <v>3.3395309999999997E-2</v>
      </c>
      <c r="S781">
        <v>3.5597530000000002</v>
      </c>
      <c r="T781">
        <v>-1.2257359999999999</v>
      </c>
      <c r="U781">
        <v>-7.1716310000000004E-3</v>
      </c>
      <c r="V781">
        <v>-3.873294E-2</v>
      </c>
      <c r="W781">
        <v>0.32187569999999999</v>
      </c>
      <c r="X781">
        <v>0.94598930000000003</v>
      </c>
      <c r="Y781">
        <v>-3.128928E-3</v>
      </c>
      <c r="Z781">
        <v>2.3594129999999999E-3</v>
      </c>
      <c r="AA781">
        <v>0.99999229999999995</v>
      </c>
      <c r="AB781">
        <v>36</v>
      </c>
      <c r="AC781">
        <v>0.604899999999986</v>
      </c>
      <c r="AD781">
        <v>-0.26965879999999998</v>
      </c>
      <c r="AE781">
        <v>-7.9999999996971296E-4</v>
      </c>
      <c r="AF781">
        <v>-2.1746035543246602E-3</v>
      </c>
      <c r="AG781">
        <v>-0.26965879999999998</v>
      </c>
      <c r="AH781">
        <v>0.50461355964917598</v>
      </c>
      <c r="AI781">
        <v>118.119235437602</v>
      </c>
      <c r="AJ781">
        <v>90.246911388134905</v>
      </c>
      <c r="AK781">
        <v>0.57214984217412101</v>
      </c>
      <c r="AL781">
        <v>71.223602374022406</v>
      </c>
      <c r="AM781">
        <v>92.344630216417499</v>
      </c>
      <c r="AN781">
        <v>0.99999998130301104</v>
      </c>
    </row>
    <row r="782" spans="1:40" x14ac:dyDescent="0.25">
      <c r="A782" t="str">
        <f>"20190304164836248"</f>
        <v>20190304164836248</v>
      </c>
      <c r="B782" t="str">
        <f>"1551689316237387"</f>
        <v>1551689316237387</v>
      </c>
      <c r="C782" t="s">
        <v>40</v>
      </c>
      <c r="D782">
        <v>4.8071699999999904</v>
      </c>
      <c r="E782">
        <v>0.54847380000000001</v>
      </c>
      <c r="F782" t="s">
        <v>41</v>
      </c>
      <c r="G782">
        <v>-318.06290000000001</v>
      </c>
      <c r="H782">
        <v>0.79425119999999905</v>
      </c>
      <c r="I782">
        <v>367.7978</v>
      </c>
      <c r="J782">
        <v>-318.78660000000002</v>
      </c>
      <c r="K782">
        <v>1.1060700000000001</v>
      </c>
      <c r="L782">
        <v>367.79910000000001</v>
      </c>
      <c r="M782">
        <v>0.99988960000000005</v>
      </c>
      <c r="N782">
        <v>-1.376254E-2</v>
      </c>
      <c r="O782">
        <v>-5.6306519999999999E-3</v>
      </c>
      <c r="P782">
        <v>0.95051030000000003</v>
      </c>
      <c r="Q782">
        <v>0.30892700000000001</v>
      </c>
      <c r="R782">
        <v>3.3081510000000001E-2</v>
      </c>
      <c r="S782">
        <v>3.5583499999999999</v>
      </c>
      <c r="T782">
        <v>-1.2290449999999999</v>
      </c>
      <c r="U782">
        <v>-7.8430180000000002E-3</v>
      </c>
      <c r="V782">
        <v>-3.8420269999999999E-2</v>
      </c>
      <c r="W782">
        <v>0.32197819999999999</v>
      </c>
      <c r="X782">
        <v>0.94596720000000001</v>
      </c>
      <c r="Y782">
        <v>-2.9480930000000002E-3</v>
      </c>
      <c r="Z782">
        <v>2.330291E-3</v>
      </c>
      <c r="AA782">
        <v>0.99999300000000002</v>
      </c>
      <c r="AB782">
        <v>35</v>
      </c>
      <c r="AC782">
        <v>0.723700000000007</v>
      </c>
      <c r="AD782">
        <v>-0.31181880000000001</v>
      </c>
      <c r="AE782">
        <v>-1.3000000000147299E-3</v>
      </c>
      <c r="AF782">
        <v>-2.3407562782035798E-3</v>
      </c>
      <c r="AG782">
        <v>-0.31181880000000001</v>
      </c>
      <c r="AH782">
        <v>0.61038094757027805</v>
      </c>
      <c r="AI782">
        <v>117.060470248638</v>
      </c>
      <c r="AJ782">
        <v>90.219723106842395</v>
      </c>
      <c r="AK782">
        <v>0.68542056018927799</v>
      </c>
      <c r="AL782">
        <v>71.217399912332098</v>
      </c>
      <c r="AM782">
        <v>92.325778431876103</v>
      </c>
      <c r="AN782">
        <v>1.00000001094897</v>
      </c>
    </row>
    <row r="783" spans="1:40" x14ac:dyDescent="0.25">
      <c r="A783" t="str">
        <f>"20190304164836259"</f>
        <v>20190304164836259</v>
      </c>
      <c r="B783" t="str">
        <f>"1551689316256906"</f>
        <v>1551689316256906</v>
      </c>
      <c r="C783" t="s">
        <v>40</v>
      </c>
      <c r="D783">
        <v>4.9297120000000003</v>
      </c>
      <c r="E783">
        <v>0.54854269999999905</v>
      </c>
      <c r="F783" t="s">
        <v>41</v>
      </c>
      <c r="G783">
        <v>-318.04059999999998</v>
      </c>
      <c r="H783">
        <v>0.847651499999999</v>
      </c>
      <c r="I783">
        <v>367.7971</v>
      </c>
      <c r="J783">
        <v>-318.61649999999997</v>
      </c>
      <c r="K783">
        <v>1.1054630000000001</v>
      </c>
      <c r="L783">
        <v>367.79820000000001</v>
      </c>
      <c r="M783">
        <v>0.99987559999999998</v>
      </c>
      <c r="N783">
        <v>-1.4735979999999999E-2</v>
      </c>
      <c r="O783">
        <v>-5.6299360000000003E-3</v>
      </c>
      <c r="P783">
        <v>0.95083669999999998</v>
      </c>
      <c r="Q783">
        <v>0.30793419999999999</v>
      </c>
      <c r="R783">
        <v>3.2960370000000003E-2</v>
      </c>
      <c r="S783">
        <v>3.556915</v>
      </c>
      <c r="T783">
        <v>-1.2320679999999999</v>
      </c>
      <c r="U783">
        <v>-8.178711E-3</v>
      </c>
      <c r="V783">
        <v>-3.8300760000000003E-2</v>
      </c>
      <c r="W783">
        <v>0.321911</v>
      </c>
      <c r="X783">
        <v>0.94599489999999997</v>
      </c>
      <c r="Y783">
        <v>-2.856351E-3</v>
      </c>
      <c r="Z783">
        <v>2.3165339999999999E-3</v>
      </c>
      <c r="AA783">
        <v>0.99999329999999997</v>
      </c>
      <c r="AB783">
        <v>35</v>
      </c>
      <c r="AC783">
        <v>0.57589999999998998</v>
      </c>
      <c r="AD783">
        <v>-0.25781150000000003</v>
      </c>
      <c r="AE783">
        <v>-1.1000000000080899E-3</v>
      </c>
      <c r="AF783">
        <v>-1.78493869891863E-3</v>
      </c>
      <c r="AG783">
        <v>-0.25781150000000003</v>
      </c>
      <c r="AH783">
        <v>0.47975225301498498</v>
      </c>
      <c r="AI783">
        <v>118.252736678277</v>
      </c>
      <c r="AJ783">
        <v>90.213170405376204</v>
      </c>
      <c r="AK783">
        <v>0.54463949527312305</v>
      </c>
      <c r="AL783">
        <v>71.221466409780902</v>
      </c>
      <c r="AM783">
        <v>92.318483962393699</v>
      </c>
      <c r="AN783">
        <v>0.99999999548179297</v>
      </c>
    </row>
    <row r="784" spans="1:40" x14ac:dyDescent="0.25">
      <c r="A784" t="str">
        <f>"20190304164836271"</f>
        <v>20190304164836271</v>
      </c>
      <c r="B784" t="str">
        <f>"1551689316266669"</f>
        <v>1551689316266669</v>
      </c>
      <c r="C784" t="s">
        <v>40</v>
      </c>
      <c r="D784">
        <v>4.762391</v>
      </c>
      <c r="E784">
        <v>0.54856459999999996</v>
      </c>
      <c r="F784" t="s">
        <v>41</v>
      </c>
      <c r="G784">
        <v>-317.74180000000001</v>
      </c>
      <c r="H784">
        <v>0.8017261</v>
      </c>
      <c r="I784">
        <v>367.79590000000002</v>
      </c>
      <c r="J784">
        <v>-318.42689999999999</v>
      </c>
      <c r="K784">
        <v>1.1046940000000001</v>
      </c>
      <c r="L784">
        <v>367.7971</v>
      </c>
      <c r="M784">
        <v>0.99986090000000005</v>
      </c>
      <c r="N784">
        <v>-1.5706319999999999E-2</v>
      </c>
      <c r="O784">
        <v>-5.6296660000000002E-3</v>
      </c>
      <c r="P784">
        <v>0.95112280000000005</v>
      </c>
      <c r="Q784">
        <v>0.30710300000000001</v>
      </c>
      <c r="R784">
        <v>3.2456819999999997E-2</v>
      </c>
      <c r="S784">
        <v>3.5551759999999999</v>
      </c>
      <c r="T784">
        <v>-1.234477</v>
      </c>
      <c r="U784">
        <v>-8.9721680000000009E-3</v>
      </c>
      <c r="V784">
        <v>-3.7799270000000003E-2</v>
      </c>
      <c r="W784">
        <v>0.32200210000000001</v>
      </c>
      <c r="X784">
        <v>0.94598409999999999</v>
      </c>
      <c r="Y784">
        <v>-2.6438730000000001E-3</v>
      </c>
      <c r="Z784">
        <v>2.2804959999999999E-3</v>
      </c>
      <c r="AA784">
        <v>0.99999389999999999</v>
      </c>
      <c r="AB784">
        <v>35</v>
      </c>
      <c r="AC784">
        <v>0.68509999999997695</v>
      </c>
      <c r="AD784">
        <v>-0.30296790000000001</v>
      </c>
      <c r="AE784">
        <v>-1.1999999999829901E-3</v>
      </c>
      <c r="AF784">
        <v>-2.2227029019264502E-3</v>
      </c>
      <c r="AG784">
        <v>-0.30296790000000001</v>
      </c>
      <c r="AH784">
        <v>0.57303262173188696</v>
      </c>
      <c r="AI784">
        <v>117.865664124964</v>
      </c>
      <c r="AJ784">
        <v>90.222240151577097</v>
      </c>
      <c r="AK784">
        <v>0.648198175257783</v>
      </c>
      <c r="AL784">
        <v>71.215953831636398</v>
      </c>
      <c r="AM784">
        <v>92.288185529172694</v>
      </c>
      <c r="AN784">
        <v>1.0000000273348699</v>
      </c>
    </row>
    <row r="785" spans="1:40" x14ac:dyDescent="0.25">
      <c r="A785" t="str">
        <f>"20190304164836283"</f>
        <v>20190304164836283</v>
      </c>
      <c r="B785" t="str">
        <f>"1551689316277402"</f>
        <v>1551689316277402</v>
      </c>
      <c r="C785" t="s">
        <v>40</v>
      </c>
      <c r="D785">
        <v>4.761469</v>
      </c>
      <c r="E785">
        <v>0.54858609999999997</v>
      </c>
      <c r="F785" t="s">
        <v>41</v>
      </c>
      <c r="G785">
        <v>-317.71800000000002</v>
      </c>
      <c r="H785">
        <v>0.85790440000000001</v>
      </c>
      <c r="I785">
        <v>367.79489999999998</v>
      </c>
      <c r="J785">
        <v>-318.24209999999999</v>
      </c>
      <c r="K785">
        <v>1.1038479999999999</v>
      </c>
      <c r="L785">
        <v>367.79610000000002</v>
      </c>
      <c r="M785">
        <v>0.99984770000000001</v>
      </c>
      <c r="N785">
        <v>-1.6520320000000002E-2</v>
      </c>
      <c r="O785">
        <v>-5.629762E-3</v>
      </c>
      <c r="P785">
        <v>0.95125709999999997</v>
      </c>
      <c r="Q785">
        <v>0.3066873</v>
      </c>
      <c r="R785">
        <v>3.2449289999999999E-2</v>
      </c>
      <c r="S785">
        <v>3.5539550000000002</v>
      </c>
      <c r="T785">
        <v>-1.2371129999999999</v>
      </c>
      <c r="U785">
        <v>-1.037598E-2</v>
      </c>
      <c r="V785">
        <v>-3.7792180000000002E-2</v>
      </c>
      <c r="W785">
        <v>0.3223588</v>
      </c>
      <c r="X785">
        <v>0.94586289999999995</v>
      </c>
      <c r="Y785">
        <v>-2.2700889999999999E-3</v>
      </c>
      <c r="Z785">
        <v>2.2163009999999999E-3</v>
      </c>
      <c r="AA785">
        <v>0.99999499999999997</v>
      </c>
      <c r="AB785">
        <v>35</v>
      </c>
      <c r="AC785">
        <v>0.52409999999997503</v>
      </c>
      <c r="AD785">
        <v>-0.24594360000000001</v>
      </c>
      <c r="AE785">
        <v>-1.20000000003983E-3</v>
      </c>
      <c r="AF785">
        <v>-1.4349804207199101E-3</v>
      </c>
      <c r="AG785">
        <v>-0.24594360000000001</v>
      </c>
      <c r="AH785">
        <v>0.42951434945880501</v>
      </c>
      <c r="AI785">
        <v>119.79568449761101</v>
      </c>
      <c r="AJ785">
        <v>90.191420882663493</v>
      </c>
      <c r="AK785">
        <v>0.49494736077767798</v>
      </c>
      <c r="AL785">
        <v>71.194365442726706</v>
      </c>
      <c r="AM785">
        <v>92.288049625510297</v>
      </c>
      <c r="AN785">
        <v>1.0000000352014999</v>
      </c>
    </row>
    <row r="786" spans="1:40" x14ac:dyDescent="0.25">
      <c r="A786" t="str">
        <f>"20190304164836293"</f>
        <v>20190304164836293</v>
      </c>
      <c r="B786" t="str">
        <f>"1551689316287162"</f>
        <v>1551689316287162</v>
      </c>
      <c r="C786" t="s">
        <v>40</v>
      </c>
      <c r="D786">
        <v>4.7535160000000003</v>
      </c>
      <c r="E786">
        <v>0.54860900000000001</v>
      </c>
      <c r="F786" t="s">
        <v>41</v>
      </c>
      <c r="G786">
        <v>-317.4169</v>
      </c>
      <c r="H786">
        <v>0.8162819</v>
      </c>
      <c r="I786">
        <v>367.79360000000003</v>
      </c>
      <c r="J786">
        <v>-318.07010000000002</v>
      </c>
      <c r="K786">
        <v>1.1030139999999999</v>
      </c>
      <c r="L786">
        <v>367.79500000000002</v>
      </c>
      <c r="M786">
        <v>0.99983599999999995</v>
      </c>
      <c r="N786">
        <v>-1.7218279999999999E-2</v>
      </c>
      <c r="O786">
        <v>-5.6302610000000001E-3</v>
      </c>
      <c r="P786">
        <v>0.95132680000000003</v>
      </c>
      <c r="Q786">
        <v>0.30648059999999899</v>
      </c>
      <c r="R786">
        <v>3.235789E-2</v>
      </c>
      <c r="S786">
        <v>3.5533139999999999</v>
      </c>
      <c r="T786">
        <v>-1.2382919999999999</v>
      </c>
      <c r="U786">
        <v>-9.7351069999999998E-3</v>
      </c>
      <c r="V786">
        <v>-3.7702100000000002E-2</v>
      </c>
      <c r="W786">
        <v>0.32281369999999998</v>
      </c>
      <c r="X786">
        <v>0.94571130000000003</v>
      </c>
      <c r="Y786">
        <v>-2.4398990000000001E-3</v>
      </c>
      <c r="Z786">
        <v>2.2461540000000002E-3</v>
      </c>
      <c r="AA786">
        <v>0.99999450000000001</v>
      </c>
      <c r="AB786">
        <v>35</v>
      </c>
      <c r="AC786">
        <v>0.65320000000002598</v>
      </c>
      <c r="AD786">
        <v>-0.28673209999999899</v>
      </c>
      <c r="AE786">
        <v>-1.39999999998963E-3</v>
      </c>
      <c r="AF786">
        <v>-1.91018148877141E-3</v>
      </c>
      <c r="AG786">
        <v>-0.28673209999999899</v>
      </c>
      <c r="AH786">
        <v>0.54766766234445097</v>
      </c>
      <c r="AI786">
        <v>117.63421985935901</v>
      </c>
      <c r="AJ786">
        <v>90.199838152103894</v>
      </c>
      <c r="AK786">
        <v>0.61818995004898403</v>
      </c>
      <c r="AL786">
        <v>71.166828800149702</v>
      </c>
      <c r="AM786">
        <v>92.282967213097194</v>
      </c>
      <c r="AN786">
        <v>0.99999999809989504</v>
      </c>
    </row>
    <row r="787" spans="1:40" x14ac:dyDescent="0.25">
      <c r="A787" t="str">
        <f>"20190304164836304"</f>
        <v>20190304164836304</v>
      </c>
      <c r="B787" t="str">
        <f>"1551689316296922"</f>
        <v>1551689316296922</v>
      </c>
      <c r="C787" t="s">
        <v>40</v>
      </c>
      <c r="D787">
        <v>4.9301139999999997</v>
      </c>
      <c r="E787">
        <v>0.54867790000000005</v>
      </c>
      <c r="F787" t="s">
        <v>41</v>
      </c>
      <c r="G787">
        <v>-317.3947</v>
      </c>
      <c r="H787">
        <v>0.86757139999999999</v>
      </c>
      <c r="I787">
        <v>367.79300000000001</v>
      </c>
      <c r="J787">
        <v>-317.89949999999999</v>
      </c>
      <c r="K787">
        <v>1.10209</v>
      </c>
      <c r="L787">
        <v>367.79410000000001</v>
      </c>
      <c r="M787">
        <v>0.99982570000000004</v>
      </c>
      <c r="N787">
        <v>-1.7808939999999999E-2</v>
      </c>
      <c r="O787">
        <v>-5.6305289999999996E-3</v>
      </c>
      <c r="P787">
        <v>0.95144070000000003</v>
      </c>
      <c r="Q787">
        <v>0.3061219</v>
      </c>
      <c r="R787">
        <v>3.2403759999999997E-2</v>
      </c>
      <c r="S787">
        <v>3.552826</v>
      </c>
      <c r="T787">
        <v>-1.238556</v>
      </c>
      <c r="U787">
        <v>-9.8876950000000002E-3</v>
      </c>
      <c r="V787">
        <v>-3.7748499999999997E-2</v>
      </c>
      <c r="W787">
        <v>0.32301590000000002</v>
      </c>
      <c r="X787">
        <v>0.94564040000000005</v>
      </c>
      <c r="Y787">
        <v>-2.3998729999999999E-3</v>
      </c>
      <c r="Z787">
        <v>2.237368E-3</v>
      </c>
      <c r="AA787">
        <v>0.99999459999999996</v>
      </c>
      <c r="AB787">
        <v>35</v>
      </c>
      <c r="AC787">
        <v>0.50479999999998804</v>
      </c>
      <c r="AD787">
        <v>-0.23451859999999999</v>
      </c>
      <c r="AE787">
        <v>-1.1000000000080899E-3</v>
      </c>
      <c r="AF787">
        <v>-1.43338909468501E-3</v>
      </c>
      <c r="AG787">
        <v>-0.23451859999999999</v>
      </c>
      <c r="AH787">
        <v>0.41518779210368401</v>
      </c>
      <c r="AI787">
        <v>119.45976345692399</v>
      </c>
      <c r="AJ787">
        <v>90.197806440360793</v>
      </c>
      <c r="AK787">
        <v>0.476845814768452</v>
      </c>
      <c r="AL787">
        <v>71.154587730382801</v>
      </c>
      <c r="AM787">
        <v>92.285945079605099</v>
      </c>
      <c r="AN787">
        <v>0.99999999350861002</v>
      </c>
    </row>
    <row r="788" spans="1:40" x14ac:dyDescent="0.25">
      <c r="A788" t="str">
        <f>"20190304164836315"</f>
        <v>20190304164836315</v>
      </c>
      <c r="B788" t="str">
        <f>"1551689316306683"</f>
        <v>1551689316306683</v>
      </c>
      <c r="C788" t="s">
        <v>40</v>
      </c>
      <c r="D788">
        <v>4.6187500000000004</v>
      </c>
      <c r="E788">
        <v>0.54874619999999996</v>
      </c>
      <c r="F788" t="s">
        <v>41</v>
      </c>
      <c r="G788">
        <v>-317.09550000000002</v>
      </c>
      <c r="H788">
        <v>0.82175989999999999</v>
      </c>
      <c r="I788">
        <v>367.79149999999998</v>
      </c>
      <c r="J788">
        <v>-317.71960000000001</v>
      </c>
      <c r="K788">
        <v>1.101094</v>
      </c>
      <c r="L788">
        <v>367.79309999999998</v>
      </c>
      <c r="M788">
        <v>0.9998146</v>
      </c>
      <c r="N788">
        <v>-1.8410860000000001E-2</v>
      </c>
      <c r="O788">
        <v>-5.6304780000000004E-3</v>
      </c>
      <c r="P788">
        <v>0.95171309999999998</v>
      </c>
      <c r="Q788">
        <v>0.3052607</v>
      </c>
      <c r="R788">
        <v>3.2528109999999999E-2</v>
      </c>
      <c r="S788">
        <v>3.5519409999999998</v>
      </c>
      <c r="T788">
        <v>-1.2383649999999999</v>
      </c>
      <c r="U788">
        <v>-1.107788E-2</v>
      </c>
      <c r="V788">
        <v>-3.7875069999999997E-2</v>
      </c>
      <c r="W788">
        <v>0.32272889999999999</v>
      </c>
      <c r="X788">
        <v>0.94573339999999995</v>
      </c>
      <c r="Y788">
        <v>-2.0845220000000001E-3</v>
      </c>
      <c r="Z788">
        <v>2.1786140000000002E-3</v>
      </c>
      <c r="AA788">
        <v>0.99999550000000004</v>
      </c>
      <c r="AB788">
        <v>36</v>
      </c>
      <c r="AC788">
        <v>0.62409999999999799</v>
      </c>
      <c r="AD788">
        <v>-0.27933409999999997</v>
      </c>
      <c r="AE788">
        <v>-1.59999999999627E-3</v>
      </c>
      <c r="AF788">
        <v>-1.5950692016341E-3</v>
      </c>
      <c r="AG788">
        <v>-0.27933409999999997</v>
      </c>
      <c r="AH788">
        <v>0.51994146970938504</v>
      </c>
      <c r="AI788">
        <v>118.246421863951</v>
      </c>
      <c r="AJ788">
        <v>90.175770643252207</v>
      </c>
      <c r="AK788">
        <v>0.59022810471217302</v>
      </c>
      <c r="AL788">
        <v>71.171963523899095</v>
      </c>
      <c r="AM788">
        <v>92.293376334110107</v>
      </c>
      <c r="AN788">
        <v>1.00000006384913</v>
      </c>
    </row>
    <row r="789" spans="1:40" x14ac:dyDescent="0.25">
      <c r="A789" t="str">
        <f>"20190304164836327"</f>
        <v>20190304164836327</v>
      </c>
      <c r="B789" t="str">
        <f>"1551689316317419"</f>
        <v>1551689316317419</v>
      </c>
      <c r="C789" t="s">
        <v>40</v>
      </c>
      <c r="D789">
        <v>4.792414</v>
      </c>
      <c r="E789">
        <v>0.54874780000000001</v>
      </c>
      <c r="F789" t="s">
        <v>41</v>
      </c>
      <c r="G789">
        <v>-316.7946</v>
      </c>
      <c r="H789">
        <v>0.77800970000000003</v>
      </c>
      <c r="I789">
        <v>367.78969999999998</v>
      </c>
      <c r="J789">
        <v>-317.53859999999997</v>
      </c>
      <c r="K789">
        <v>1.099993</v>
      </c>
      <c r="L789">
        <v>367.79199999999997</v>
      </c>
      <c r="M789">
        <v>0.9998049</v>
      </c>
      <c r="N789">
        <v>-1.8931920000000001E-2</v>
      </c>
      <c r="O789">
        <v>-5.6306790000000004E-3</v>
      </c>
      <c r="P789">
        <v>0.95205419999999996</v>
      </c>
      <c r="Q789">
        <v>0.30419839999999998</v>
      </c>
      <c r="R789">
        <v>3.2500149999999998E-2</v>
      </c>
      <c r="S789">
        <v>3.5504150000000001</v>
      </c>
      <c r="T789">
        <v>-1.240084</v>
      </c>
      <c r="U789">
        <v>-1.211548E-2</v>
      </c>
      <c r="V789">
        <v>-3.7848920000000001E-2</v>
      </c>
      <c r="W789">
        <v>0.3221656</v>
      </c>
      <c r="X789">
        <v>0.94592639999999995</v>
      </c>
      <c r="Y789">
        <v>-1.8077099999999999E-3</v>
      </c>
      <c r="Z789">
        <v>2.1306179999999999E-3</v>
      </c>
      <c r="AA789">
        <v>0.99999610000000005</v>
      </c>
      <c r="AB789">
        <v>36</v>
      </c>
      <c r="AC789">
        <v>0.74399999999997102</v>
      </c>
      <c r="AD789">
        <v>-0.32198329999999997</v>
      </c>
      <c r="AE789">
        <v>-2.29999999999108E-3</v>
      </c>
      <c r="AF789">
        <v>-1.5918699313711899E-3</v>
      </c>
      <c r="AG789">
        <v>-0.32198329999999997</v>
      </c>
      <c r="AH789">
        <v>0.62663762983645599</v>
      </c>
      <c r="AI789">
        <v>117.19524513253501</v>
      </c>
      <c r="AJ789">
        <v>90.145550200088394</v>
      </c>
      <c r="AK789">
        <v>0.70452146784595504</v>
      </c>
      <c r="AL789">
        <v>71.206057832838297</v>
      </c>
      <c r="AM789">
        <v>92.291327509572696</v>
      </c>
      <c r="AN789">
        <v>0.99999998439274296</v>
      </c>
    </row>
    <row r="790" spans="1:40" x14ac:dyDescent="0.25">
      <c r="A790" t="str">
        <f>"20190304164836338"</f>
        <v>20190304164836338</v>
      </c>
      <c r="B790" t="str">
        <f>"1551689316327179"</f>
        <v>1551689316327179</v>
      </c>
      <c r="C790" t="s">
        <v>40</v>
      </c>
      <c r="D790">
        <v>4.7786869999999997</v>
      </c>
      <c r="E790">
        <v>0.54873909999999904</v>
      </c>
      <c r="F790" t="s">
        <v>41</v>
      </c>
      <c r="G790">
        <v>-316.7722</v>
      </c>
      <c r="H790">
        <v>0.83134509999999995</v>
      </c>
      <c r="I790">
        <v>367.78910000000002</v>
      </c>
      <c r="J790">
        <v>-317.3646</v>
      </c>
      <c r="K790">
        <v>1.0989100000000001</v>
      </c>
      <c r="L790">
        <v>367.791</v>
      </c>
      <c r="M790">
        <v>0.99979589999999996</v>
      </c>
      <c r="N790">
        <v>-1.9403940000000001E-2</v>
      </c>
      <c r="O790">
        <v>-5.6307789999999998E-3</v>
      </c>
      <c r="P790">
        <v>0.95219989999999999</v>
      </c>
      <c r="Q790">
        <v>0.30374020000000002</v>
      </c>
      <c r="R790">
        <v>3.2514700000000001E-2</v>
      </c>
      <c r="S790">
        <v>3.5489199999999999</v>
      </c>
      <c r="T790">
        <v>-1.2439020000000001</v>
      </c>
      <c r="U790">
        <v>-1.242065E-2</v>
      </c>
      <c r="V790">
        <v>-3.7863929999999997E-2</v>
      </c>
      <c r="W790">
        <v>0.32215700000000003</v>
      </c>
      <c r="X790">
        <v>0.94592880000000001</v>
      </c>
      <c r="Y790">
        <v>-1.7235389999999901E-3</v>
      </c>
      <c r="Z790">
        <v>2.1206829999999999E-3</v>
      </c>
      <c r="AA790">
        <v>0.9999962</v>
      </c>
      <c r="AB790">
        <v>36</v>
      </c>
      <c r="AC790">
        <v>0.59239999999999704</v>
      </c>
      <c r="AD790">
        <v>-0.26756489999999999</v>
      </c>
      <c r="AE790">
        <v>-1.8999999999778001E-3</v>
      </c>
      <c r="AF790">
        <v>-1.19296949055198E-3</v>
      </c>
      <c r="AG790">
        <v>-0.26756489999999999</v>
      </c>
      <c r="AH790">
        <v>0.492028901240399</v>
      </c>
      <c r="AI790">
        <v>118.53723949978</v>
      </c>
      <c r="AJ790">
        <v>90.138918634221099</v>
      </c>
      <c r="AK790">
        <v>0.560075743577643</v>
      </c>
      <c r="AL790">
        <v>71.206579649987901</v>
      </c>
      <c r="AM790">
        <v>92.292229417951802</v>
      </c>
      <c r="AN790">
        <v>1.00000005225674</v>
      </c>
    </row>
    <row r="791" spans="1:40" x14ac:dyDescent="0.25">
      <c r="A791" t="str">
        <f>"20190304164836348"</f>
        <v>20190304164836348</v>
      </c>
      <c r="B791" t="str">
        <f>"1551689316336939"</f>
        <v>1551689316336939</v>
      </c>
      <c r="C791" t="s">
        <v>40</v>
      </c>
      <c r="D791">
        <v>4.7786179999999998</v>
      </c>
      <c r="E791">
        <v>0.54873319999999903</v>
      </c>
      <c r="F791" t="s">
        <v>41</v>
      </c>
      <c r="G791">
        <v>-316.47250000000003</v>
      </c>
      <c r="H791">
        <v>0.78570699999999905</v>
      </c>
      <c r="I791">
        <v>367.78800000000001</v>
      </c>
      <c r="J791">
        <v>-317.19200000000001</v>
      </c>
      <c r="K791">
        <v>1.0977650000000001</v>
      </c>
      <c r="L791">
        <v>367.7901</v>
      </c>
      <c r="M791">
        <v>0.99978820000000002</v>
      </c>
      <c r="N791">
        <v>-1.9793600000000001E-2</v>
      </c>
      <c r="O791">
        <v>-5.630655E-3</v>
      </c>
      <c r="P791">
        <v>0.9524437</v>
      </c>
      <c r="Q791">
        <v>0.30295840000000002</v>
      </c>
      <c r="R791">
        <v>3.2669280000000002E-2</v>
      </c>
      <c r="S791">
        <v>3.5483699999999998</v>
      </c>
      <c r="T791">
        <v>-1.2457100000000001</v>
      </c>
      <c r="U791">
        <v>-1.177979E-2</v>
      </c>
      <c r="V791">
        <v>-3.8020140000000001E-2</v>
      </c>
      <c r="W791">
        <v>0.32174940000000002</v>
      </c>
      <c r="X791">
        <v>0.94606120000000005</v>
      </c>
      <c r="Y791">
        <v>-1.8921000000000001E-3</v>
      </c>
      <c r="Z791">
        <v>2.1526649999999998E-3</v>
      </c>
      <c r="AA791">
        <v>0.99999590000000005</v>
      </c>
      <c r="AB791">
        <v>36</v>
      </c>
      <c r="AC791">
        <v>0.71949999999998204</v>
      </c>
      <c r="AD791">
        <v>-0.312057999999999</v>
      </c>
      <c r="AE791">
        <v>-2.0999999999844398E-3</v>
      </c>
      <c r="AF791">
        <v>-1.6430197588301501E-3</v>
      </c>
      <c r="AG791">
        <v>-0.312057999999999</v>
      </c>
      <c r="AH791">
        <v>0.60558545208149706</v>
      </c>
      <c r="AI791">
        <v>117.261951703652</v>
      </c>
      <c r="AJ791">
        <v>90.1554493532376</v>
      </c>
      <c r="AK791">
        <v>0.68126106203912695</v>
      </c>
      <c r="AL791">
        <v>71.231245794430805</v>
      </c>
      <c r="AM791">
        <v>92.301354233087196</v>
      </c>
      <c r="AN791">
        <v>1.0000000007957</v>
      </c>
    </row>
    <row r="792" spans="1:40" x14ac:dyDescent="0.25">
      <c r="A792" t="str">
        <f>"20190304164836361"</f>
        <v>20190304164836361</v>
      </c>
      <c r="B792" t="str">
        <f>"1551689316357435"</f>
        <v>1551689316357435</v>
      </c>
      <c r="C792" t="s">
        <v>40</v>
      </c>
      <c r="D792">
        <v>4.7780719999999999</v>
      </c>
      <c r="E792">
        <v>0.54871749999999997</v>
      </c>
      <c r="F792" t="s">
        <v>41</v>
      </c>
      <c r="G792">
        <v>-316.45069999999998</v>
      </c>
      <c r="H792">
        <v>0.83680059999999901</v>
      </c>
      <c r="I792">
        <v>367.78789999999998</v>
      </c>
      <c r="J792">
        <v>-317.00560000000002</v>
      </c>
      <c r="K792">
        <v>1.09649</v>
      </c>
      <c r="L792">
        <v>367.78899999999999</v>
      </c>
      <c r="M792">
        <v>0.99978129999999998</v>
      </c>
      <c r="N792">
        <v>-2.0149480000000001E-2</v>
      </c>
      <c r="O792">
        <v>-5.6305069999999999E-3</v>
      </c>
      <c r="P792">
        <v>0.95250170000000001</v>
      </c>
      <c r="Q792">
        <v>0.30275400000000002</v>
      </c>
      <c r="R792">
        <v>3.2877950000000003E-2</v>
      </c>
      <c r="S792">
        <v>3.5473940000000002</v>
      </c>
      <c r="T792">
        <v>-1.2488189999999999</v>
      </c>
      <c r="U792">
        <v>-1.00708E-2</v>
      </c>
      <c r="V792">
        <v>-3.8228520000000002E-2</v>
      </c>
      <c r="W792">
        <v>0.32188250000000002</v>
      </c>
      <c r="X792">
        <v>0.9460075</v>
      </c>
      <c r="Y792">
        <v>-2.342284E-3</v>
      </c>
      <c r="Z792">
        <v>2.2385E-3</v>
      </c>
      <c r="AA792">
        <v>0.99999479999999996</v>
      </c>
      <c r="AB792">
        <v>36</v>
      </c>
      <c r="AC792">
        <v>0.55490000000003104</v>
      </c>
      <c r="AD792">
        <v>-0.25968940000000001</v>
      </c>
      <c r="AE792">
        <v>-1.1000000000080899E-3</v>
      </c>
      <c r="AF792">
        <v>-1.66119104109493E-3</v>
      </c>
      <c r="AG792">
        <v>-0.25968940000000001</v>
      </c>
      <c r="AH792">
        <v>0.455200803911265</v>
      </c>
      <c r="AI792">
        <v>119.704341526905</v>
      </c>
      <c r="AJ792">
        <v>90.209091926636802</v>
      </c>
      <c r="AK792">
        <v>0.524069762445323</v>
      </c>
      <c r="AL792">
        <v>71.223190774708002</v>
      </c>
      <c r="AM792">
        <v>92.314084983152796</v>
      </c>
      <c r="AN792">
        <v>0.99999997680194497</v>
      </c>
    </row>
    <row r="793" spans="1:40" x14ac:dyDescent="0.25">
      <c r="A793" t="str">
        <f>"20190304164836373"</f>
        <v>20190304164836373</v>
      </c>
      <c r="B793" t="str">
        <f>"1551689316367195"</f>
        <v>1551689316367195</v>
      </c>
      <c r="C793" t="s">
        <v>40</v>
      </c>
      <c r="D793">
        <v>4.7761750000000003</v>
      </c>
      <c r="E793">
        <v>0.54871150000000002</v>
      </c>
      <c r="F793" t="s">
        <v>41</v>
      </c>
      <c r="G793">
        <v>-316.1499</v>
      </c>
      <c r="H793">
        <v>0.7949948</v>
      </c>
      <c r="I793">
        <v>367.78680000000003</v>
      </c>
      <c r="J793">
        <v>-316.81810000000002</v>
      </c>
      <c r="K793">
        <v>1.0951569999999999</v>
      </c>
      <c r="L793">
        <v>367.78800000000001</v>
      </c>
      <c r="M793">
        <v>0.99977539999999998</v>
      </c>
      <c r="N793">
        <v>-2.043377E-2</v>
      </c>
      <c r="O793">
        <v>-5.6300500000000002E-3</v>
      </c>
      <c r="P793">
        <v>0.9525846</v>
      </c>
      <c r="Q793">
        <v>0.30247489999999999</v>
      </c>
      <c r="R793">
        <v>3.3040010000000002E-2</v>
      </c>
      <c r="S793">
        <v>3.54718</v>
      </c>
      <c r="T793">
        <v>-1.2498129999999901</v>
      </c>
      <c r="U793">
        <v>-9.0637210000000003E-3</v>
      </c>
      <c r="V793">
        <v>-3.839103E-2</v>
      </c>
      <c r="W793">
        <v>0.3218744</v>
      </c>
      <c r="X793">
        <v>0.9460037</v>
      </c>
      <c r="Y793">
        <v>-2.60823E-3</v>
      </c>
      <c r="Z793">
        <v>2.287304E-3</v>
      </c>
      <c r="AA793">
        <v>0.99999400000000005</v>
      </c>
      <c r="AB793">
        <v>36</v>
      </c>
      <c r="AC793">
        <v>0.66820000000001301</v>
      </c>
      <c r="AD793">
        <v>-0.30016219999999899</v>
      </c>
      <c r="AE793">
        <v>-1.1999999999829901E-3</v>
      </c>
      <c r="AF793">
        <v>-2.1324905978298099E-3</v>
      </c>
      <c r="AG793">
        <v>-0.30016219999999899</v>
      </c>
      <c r="AH793">
        <v>0.55600119436643203</v>
      </c>
      <c r="AI793">
        <v>118.36261106434701</v>
      </c>
      <c r="AJ793">
        <v>90.219751527935003</v>
      </c>
      <c r="AK793">
        <v>0.63185379793262997</v>
      </c>
      <c r="AL793">
        <v>71.223681418923903</v>
      </c>
      <c r="AM793">
        <v>92.323920754585899</v>
      </c>
      <c r="AN793">
        <v>1.00000000048675</v>
      </c>
    </row>
    <row r="794" spans="1:40" x14ac:dyDescent="0.25">
      <c r="A794" t="str">
        <f>"20190304164836385"</f>
        <v>20190304164836385</v>
      </c>
      <c r="B794" t="str">
        <f>"1551689316376955"</f>
        <v>1551689316376955</v>
      </c>
      <c r="C794" t="s">
        <v>40</v>
      </c>
      <c r="D794">
        <v>4.755134</v>
      </c>
      <c r="E794">
        <v>0.54870189999999996</v>
      </c>
      <c r="F794" t="s">
        <v>41</v>
      </c>
      <c r="G794">
        <v>-316.12569999999999</v>
      </c>
      <c r="H794">
        <v>0.85096099999999997</v>
      </c>
      <c r="I794">
        <v>367.78620000000001</v>
      </c>
      <c r="J794">
        <v>-316.62360000000001</v>
      </c>
      <c r="K794">
        <v>1.0937110000000001</v>
      </c>
      <c r="L794">
        <v>367.7869</v>
      </c>
      <c r="M794">
        <v>0.99977190000000005</v>
      </c>
      <c r="N794">
        <v>-2.0610320000000001E-2</v>
      </c>
      <c r="O794">
        <v>-5.6299540000000004E-3</v>
      </c>
      <c r="P794">
        <v>0.95266030000000002</v>
      </c>
      <c r="Q794">
        <v>0.30219620000000003</v>
      </c>
      <c r="R794">
        <v>3.340709E-2</v>
      </c>
      <c r="S794">
        <v>3.5468440000000001</v>
      </c>
      <c r="T794">
        <v>-1.250929</v>
      </c>
      <c r="U794">
        <v>-8.6364749999999994E-3</v>
      </c>
      <c r="V794">
        <v>-3.8757949999999999E-2</v>
      </c>
      <c r="W794">
        <v>0.32176379999999999</v>
      </c>
      <c r="X794">
        <v>0.94602640000000005</v>
      </c>
      <c r="Y794">
        <v>-2.7204870000000002E-3</v>
      </c>
      <c r="Z794">
        <v>2.3091679999999999E-3</v>
      </c>
      <c r="AA794">
        <v>0.99999360000000004</v>
      </c>
      <c r="AB794">
        <v>36</v>
      </c>
      <c r="AC794">
        <v>0.497900000000015</v>
      </c>
      <c r="AD794">
        <v>-0.24274999999999999</v>
      </c>
      <c r="AE794">
        <v>-6.9999999999481501E-4</v>
      </c>
      <c r="AF794">
        <v>-1.6997304624237E-3</v>
      </c>
      <c r="AG794">
        <v>-0.24274999999999999</v>
      </c>
      <c r="AH794">
        <v>0.40227448190864701</v>
      </c>
      <c r="AI794">
        <v>121.108390206026</v>
      </c>
      <c r="AJ794">
        <v>90.242090429880705</v>
      </c>
      <c r="AK794">
        <v>0.46984594323939299</v>
      </c>
      <c r="AL794">
        <v>71.230375073807295</v>
      </c>
      <c r="AM794">
        <v>92.346050556390296</v>
      </c>
      <c r="AN794">
        <v>1.0000000355878</v>
      </c>
    </row>
    <row r="795" spans="1:40" x14ac:dyDescent="0.25">
      <c r="A795" t="str">
        <f>"20190304164836397"</f>
        <v>20190304164836397</v>
      </c>
      <c r="B795" t="str">
        <f>"1551689316386714"</f>
        <v>1551689316386714</v>
      </c>
      <c r="C795" t="s">
        <v>40</v>
      </c>
      <c r="D795">
        <v>4.7444009999999999</v>
      </c>
      <c r="E795">
        <v>0.5486955</v>
      </c>
      <c r="F795" t="s">
        <v>41</v>
      </c>
      <c r="G795">
        <v>-315.8245</v>
      </c>
      <c r="H795">
        <v>0.81160929999999998</v>
      </c>
      <c r="I795">
        <v>367.78519999999997</v>
      </c>
      <c r="J795">
        <v>-316.42630000000003</v>
      </c>
      <c r="K795">
        <v>1.092212</v>
      </c>
      <c r="L795">
        <v>367.78570000000002</v>
      </c>
      <c r="M795">
        <v>0.99976900000000002</v>
      </c>
      <c r="N795">
        <v>-2.0743870000000001E-2</v>
      </c>
      <c r="O795">
        <v>-5.6294309999999998E-3</v>
      </c>
      <c r="P795">
        <v>0.95282820000000001</v>
      </c>
      <c r="Q795">
        <v>0.30165150000000002</v>
      </c>
      <c r="R795">
        <v>3.353648E-2</v>
      </c>
      <c r="S795">
        <v>3.54657</v>
      </c>
      <c r="T795">
        <v>-1.2520739999999999</v>
      </c>
      <c r="U795">
        <v>-6.9580079999999999E-3</v>
      </c>
      <c r="V795">
        <v>-3.8887329999999998E-2</v>
      </c>
      <c r="W795">
        <v>0.3213493</v>
      </c>
      <c r="X795">
        <v>0.9461619</v>
      </c>
      <c r="Y795">
        <v>-3.1638170000000002E-3</v>
      </c>
      <c r="Z795">
        <v>2.391406E-3</v>
      </c>
      <c r="AA795">
        <v>0.99999210000000005</v>
      </c>
      <c r="AB795">
        <v>36</v>
      </c>
      <c r="AC795">
        <v>0.60180000000002498</v>
      </c>
      <c r="AD795">
        <v>-0.28060269999999998</v>
      </c>
      <c r="AE795">
        <v>-5.0000000004501999E-4</v>
      </c>
      <c r="AF795">
        <v>-2.3726839191480398E-3</v>
      </c>
      <c r="AG795">
        <v>-0.28060269999999998</v>
      </c>
      <c r="AH795">
        <v>0.49432269909415599</v>
      </c>
      <c r="AI795">
        <v>119.58116429317</v>
      </c>
      <c r="AJ795">
        <v>90.275010091486095</v>
      </c>
      <c r="AK795">
        <v>0.568417483647364</v>
      </c>
      <c r="AL795">
        <v>71.255454930050504</v>
      </c>
      <c r="AM795">
        <v>92.353536520235295</v>
      </c>
      <c r="AN795">
        <v>0.99999996902831401</v>
      </c>
    </row>
    <row r="796" spans="1:40" x14ac:dyDescent="0.25">
      <c r="A796" t="str">
        <f>"20190304164836408"</f>
        <v>20190304164836408</v>
      </c>
      <c r="B796" t="str">
        <f>"1551689316397450"</f>
        <v>1551689316397450</v>
      </c>
      <c r="C796" t="s">
        <v>40</v>
      </c>
      <c r="D796">
        <v>4.7159750000000003</v>
      </c>
      <c r="E796">
        <v>0.54870379999999996</v>
      </c>
      <c r="F796" t="s">
        <v>41</v>
      </c>
      <c r="G796">
        <v>-315.52300000000002</v>
      </c>
      <c r="H796">
        <v>0.77267410000000003</v>
      </c>
      <c r="I796">
        <v>367.78410000000002</v>
      </c>
      <c r="J796">
        <v>-316.25150000000002</v>
      </c>
      <c r="K796">
        <v>1.0908409999999999</v>
      </c>
      <c r="L796">
        <v>367.78480000000002</v>
      </c>
      <c r="M796">
        <v>0.99976779999999998</v>
      </c>
      <c r="N796">
        <v>-2.08075E-2</v>
      </c>
      <c r="O796">
        <v>-5.6284280000000004E-3</v>
      </c>
      <c r="P796">
        <v>0.95299069999999997</v>
      </c>
      <c r="Q796">
        <v>0.30113659999999998</v>
      </c>
      <c r="R796">
        <v>3.3553109999999997E-2</v>
      </c>
      <c r="S796">
        <v>3.5458370000000001</v>
      </c>
      <c r="T796">
        <v>-1.2542469999999999</v>
      </c>
      <c r="U796">
        <v>-6.225586E-3</v>
      </c>
      <c r="V796">
        <v>-3.8904000000000001E-2</v>
      </c>
      <c r="W796">
        <v>0.32089810000000002</v>
      </c>
      <c r="X796">
        <v>0.94631430000000005</v>
      </c>
      <c r="Y796">
        <v>-3.3548229999999998E-3</v>
      </c>
      <c r="Z796">
        <v>2.4302149999999999E-3</v>
      </c>
      <c r="AA796">
        <v>0.99999139999999997</v>
      </c>
      <c r="AB796">
        <v>35</v>
      </c>
      <c r="AC796">
        <v>0.72850000000005299</v>
      </c>
      <c r="AD796">
        <v>-0.31816689999999898</v>
      </c>
      <c r="AE796">
        <v>-6.9999999999481501E-4</v>
      </c>
      <c r="AF796">
        <v>-2.8563727568318101E-3</v>
      </c>
      <c r="AG796">
        <v>-0.31816689999999898</v>
      </c>
      <c r="AH796">
        <v>0.61179607505596001</v>
      </c>
      <c r="AI796">
        <v>117.47660430785901</v>
      </c>
      <c r="AJ796">
        <v>90.267502393741395</v>
      </c>
      <c r="AK796">
        <v>0.68958884313394597</v>
      </c>
      <c r="AL796">
        <v>71.282751845801798</v>
      </c>
      <c r="AM796">
        <v>92.354165522733993</v>
      </c>
      <c r="AN796">
        <v>0.99999993309204704</v>
      </c>
    </row>
    <row r="797" spans="1:40" x14ac:dyDescent="0.25">
      <c r="A797" t="str">
        <f>"20190304164836418"</f>
        <v>20190304164836418</v>
      </c>
      <c r="B797" t="str">
        <f>"1551689316407210"</f>
        <v>1551689316407210</v>
      </c>
      <c r="C797" t="s">
        <v>40</v>
      </c>
      <c r="D797">
        <v>4.7351519999999896</v>
      </c>
      <c r="E797">
        <v>0.54870069999999904</v>
      </c>
      <c r="F797" t="s">
        <v>41</v>
      </c>
      <c r="G797">
        <v>-315.50080000000003</v>
      </c>
      <c r="H797">
        <v>0.82485759999999897</v>
      </c>
      <c r="I797">
        <v>367.78339999999997</v>
      </c>
      <c r="J797">
        <v>-316.09210000000002</v>
      </c>
      <c r="K797">
        <v>1.0895840000000001</v>
      </c>
      <c r="L797">
        <v>367.78390000000002</v>
      </c>
      <c r="M797">
        <v>0.99976679999999996</v>
      </c>
      <c r="N797">
        <v>-2.0856E-2</v>
      </c>
      <c r="O797">
        <v>-5.627389E-3</v>
      </c>
      <c r="P797">
        <v>0.95314030000000005</v>
      </c>
      <c r="Q797">
        <v>0.30064239999999998</v>
      </c>
      <c r="R797">
        <v>3.3739949999999998E-2</v>
      </c>
      <c r="S797">
        <v>3.5450740000000001</v>
      </c>
      <c r="T797">
        <v>-1.255984</v>
      </c>
      <c r="U797">
        <v>-5.8288569999999998E-3</v>
      </c>
      <c r="V797">
        <v>-3.9090710000000001E-2</v>
      </c>
      <c r="W797">
        <v>0.3204533</v>
      </c>
      <c r="X797">
        <v>0.9464574</v>
      </c>
      <c r="Y797">
        <v>-3.457154E-3</v>
      </c>
      <c r="Z797">
        <v>2.4521870000000002E-3</v>
      </c>
      <c r="AA797">
        <v>0.99999099999999996</v>
      </c>
      <c r="AB797">
        <v>35</v>
      </c>
      <c r="AC797">
        <v>0.59129999999998895</v>
      </c>
      <c r="AD797">
        <v>-0.26472639999999997</v>
      </c>
      <c r="AE797">
        <v>-5.0000000004501999E-4</v>
      </c>
      <c r="AF797">
        <v>-2.3559802551394002E-3</v>
      </c>
      <c r="AG797">
        <v>-0.26472639999999997</v>
      </c>
      <c r="AH797">
        <v>0.49256506068793499</v>
      </c>
      <c r="AI797">
        <v>118.255290673904</v>
      </c>
      <c r="AJ797">
        <v>90.274048458998493</v>
      </c>
      <c r="AK797">
        <v>0.55920117713612805</v>
      </c>
      <c r="AL797">
        <v>71.309659352028504</v>
      </c>
      <c r="AM797">
        <v>92.3650937080006</v>
      </c>
      <c r="AN797">
        <v>1.00000000555197</v>
      </c>
    </row>
    <row r="798" spans="1:40" x14ac:dyDescent="0.25">
      <c r="A798" t="str">
        <f>"20190304164836428"</f>
        <v>20190304164836428</v>
      </c>
      <c r="B798" t="str">
        <f>"1551689316416970"</f>
        <v>1551689316416970</v>
      </c>
      <c r="C798" t="s">
        <v>40</v>
      </c>
      <c r="D798">
        <v>4.7576539999999996</v>
      </c>
      <c r="E798">
        <v>0.54869630000000003</v>
      </c>
      <c r="F798" t="s">
        <v>41</v>
      </c>
      <c r="G798">
        <v>-315.20519999999999</v>
      </c>
      <c r="H798">
        <v>0.77483769999999996</v>
      </c>
      <c r="I798">
        <v>367.78250000000003</v>
      </c>
      <c r="J798">
        <v>-315.9246</v>
      </c>
      <c r="K798">
        <v>1.088252</v>
      </c>
      <c r="L798">
        <v>367.78289999999998</v>
      </c>
      <c r="M798">
        <v>0.99976620000000005</v>
      </c>
      <c r="N798">
        <v>-2.0884449999999999E-2</v>
      </c>
      <c r="O798">
        <v>-5.6263769999999897E-3</v>
      </c>
      <c r="P798">
        <v>0.95313519999999896</v>
      </c>
      <c r="Q798">
        <v>0.3006664</v>
      </c>
      <c r="R798">
        <v>3.366856E-2</v>
      </c>
      <c r="S798">
        <v>3.544403</v>
      </c>
      <c r="T798">
        <v>-1.2578009999999999</v>
      </c>
      <c r="U798">
        <v>-5.0353999999999998E-3</v>
      </c>
      <c r="V798">
        <v>-3.9018240000000003E-2</v>
      </c>
      <c r="W798">
        <v>0.32050390000000001</v>
      </c>
      <c r="X798">
        <v>0.94644329999999999</v>
      </c>
      <c r="Y798">
        <v>-3.6645940000000002E-3</v>
      </c>
      <c r="Z798">
        <v>2.4936189999999999E-3</v>
      </c>
      <c r="AA798">
        <v>0.99999020000000005</v>
      </c>
      <c r="AB798">
        <v>35</v>
      </c>
      <c r="AC798">
        <v>0.71940000000000703</v>
      </c>
      <c r="AD798">
        <v>-0.31341429999999998</v>
      </c>
      <c r="AE798">
        <v>-3.9999999995643499E-4</v>
      </c>
      <c r="AF798">
        <v>-3.06648499543688E-3</v>
      </c>
      <c r="AG798">
        <v>-0.31341429999999998</v>
      </c>
      <c r="AH798">
        <v>0.60463166234472698</v>
      </c>
      <c r="AI798">
        <v>117.39992411918401</v>
      </c>
      <c r="AJ798">
        <v>90.290582105995298</v>
      </c>
      <c r="AK798">
        <v>0.681041389259467</v>
      </c>
      <c r="AL798">
        <v>71.306599551450702</v>
      </c>
      <c r="AM798">
        <v>92.360749172010003</v>
      </c>
      <c r="AN798">
        <v>1.0000000465413901</v>
      </c>
    </row>
    <row r="799" spans="1:40" x14ac:dyDescent="0.25">
      <c r="A799" t="str">
        <f>"20190304164836440"</f>
        <v>20190304164836440</v>
      </c>
      <c r="B799" t="str">
        <f>"1551689316437467"</f>
        <v>1551689316437467</v>
      </c>
      <c r="C799" t="s">
        <v>40</v>
      </c>
      <c r="D799">
        <v>4.7018230000000001</v>
      </c>
      <c r="E799">
        <v>0.54870319999999995</v>
      </c>
      <c r="F799" t="s">
        <v>41</v>
      </c>
      <c r="G799">
        <v>-315.18369999999999</v>
      </c>
      <c r="H799">
        <v>0.82530389999999998</v>
      </c>
      <c r="I799">
        <v>367.78179999999998</v>
      </c>
      <c r="J799">
        <v>-315.7568</v>
      </c>
      <c r="K799">
        <v>1.0869200000000001</v>
      </c>
      <c r="L799">
        <v>367.78199999999998</v>
      </c>
      <c r="M799">
        <v>0.99976589999999999</v>
      </c>
      <c r="N799">
        <v>-2.089094E-2</v>
      </c>
      <c r="O799">
        <v>-5.625611E-3</v>
      </c>
      <c r="P799">
        <v>0.95291720000000002</v>
      </c>
      <c r="Q799">
        <v>0.30134040000000001</v>
      </c>
      <c r="R799">
        <v>3.3801539999999998E-2</v>
      </c>
      <c r="S799">
        <v>3.5444949999999902</v>
      </c>
      <c r="T799">
        <v>-1.2577910000000001</v>
      </c>
      <c r="U799">
        <v>-5.0048829999999999E-3</v>
      </c>
      <c r="V799">
        <v>-3.9149139999999999E-2</v>
      </c>
      <c r="W799">
        <v>0.32117899999999999</v>
      </c>
      <c r="X799">
        <v>0.94620899999999997</v>
      </c>
      <c r="Y799">
        <v>-3.6720749999999999E-3</v>
      </c>
      <c r="Z799">
        <v>2.4946349999999998E-3</v>
      </c>
      <c r="AA799">
        <v>0.99999020000000005</v>
      </c>
      <c r="AB799">
        <v>35</v>
      </c>
      <c r="AC799">
        <v>0.57310000000001005</v>
      </c>
      <c r="AD799">
        <v>-0.26161610000000002</v>
      </c>
      <c r="AE799">
        <v>-2.0000000000663901E-4</v>
      </c>
      <c r="AF799">
        <v>-2.5031283648342599E-3</v>
      </c>
      <c r="AG799">
        <v>-0.26161610000000002</v>
      </c>
      <c r="AH799">
        <v>0.47426249606147802</v>
      </c>
      <c r="AI799">
        <v>118.881986753177</v>
      </c>
      <c r="AJ799">
        <v>90.302400802038903</v>
      </c>
      <c r="AK799">
        <v>0.54164025385977699</v>
      </c>
      <c r="AL799">
        <v>71.265759952092907</v>
      </c>
      <c r="AM799">
        <v>92.369245963595304</v>
      </c>
      <c r="AN799">
        <v>1.00000003844236</v>
      </c>
    </row>
    <row r="800" spans="1:40" x14ac:dyDescent="0.25">
      <c r="A800" t="str">
        <f>"20190304164836450"</f>
        <v>20190304164836450</v>
      </c>
      <c r="B800" t="str">
        <f>"1551689316447225"</f>
        <v>1551689316447225</v>
      </c>
      <c r="C800" t="s">
        <v>40</v>
      </c>
      <c r="D800">
        <v>4.5324400000000002</v>
      </c>
      <c r="E800">
        <v>0.54876569999999902</v>
      </c>
      <c r="F800" t="s">
        <v>41</v>
      </c>
      <c r="G800">
        <v>-314.88729999999998</v>
      </c>
      <c r="H800">
        <v>0.77908250000000001</v>
      </c>
      <c r="I800">
        <v>367.78059999999999</v>
      </c>
      <c r="J800">
        <v>-315.58670000000001</v>
      </c>
      <c r="K800">
        <v>1.085569</v>
      </c>
      <c r="L800">
        <v>367.78100000000001</v>
      </c>
      <c r="M800">
        <v>0.9997665</v>
      </c>
      <c r="N800">
        <v>-2.0865270000000002E-2</v>
      </c>
      <c r="O800">
        <v>-5.6252209999999997E-3</v>
      </c>
      <c r="P800">
        <v>0.95248109999999997</v>
      </c>
      <c r="Q800">
        <v>0.30275750000000001</v>
      </c>
      <c r="R800">
        <v>3.3429739999999999E-2</v>
      </c>
      <c r="S800">
        <v>3.545258</v>
      </c>
      <c r="T800">
        <v>-1.255093</v>
      </c>
      <c r="U800">
        <v>-5.3100589999999998E-3</v>
      </c>
      <c r="V800">
        <v>-3.8774330000000003E-2</v>
      </c>
      <c r="W800">
        <v>0.32256319999999999</v>
      </c>
      <c r="X800">
        <v>0.94575339999999997</v>
      </c>
      <c r="Y800">
        <v>-3.5935199999999998E-3</v>
      </c>
      <c r="Z800">
        <v>2.4745240000000001E-3</v>
      </c>
      <c r="AA800">
        <v>0.9999905</v>
      </c>
      <c r="AB800">
        <v>35</v>
      </c>
      <c r="AC800">
        <v>0.699400000000025</v>
      </c>
      <c r="AD800">
        <v>-0.3064865</v>
      </c>
      <c r="AE800">
        <v>-4.0000000001327803E-4</v>
      </c>
      <c r="AF800">
        <v>-2.9656464760213302E-3</v>
      </c>
      <c r="AG800">
        <v>-0.3064865</v>
      </c>
      <c r="AH800">
        <v>0.58672231765055605</v>
      </c>
      <c r="AI800">
        <v>117.580943767497</v>
      </c>
      <c r="AJ800">
        <v>90.289604766051099</v>
      </c>
      <c r="AK800">
        <v>0.66195607691939096</v>
      </c>
      <c r="AL800">
        <v>71.181992224831703</v>
      </c>
      <c r="AM800">
        <v>92.347717678639697</v>
      </c>
      <c r="AN800">
        <v>0.99999998013637403</v>
      </c>
    </row>
    <row r="801" spans="1:40" x14ac:dyDescent="0.25">
      <c r="A801" t="str">
        <f>"20190304164836460"</f>
        <v>20190304164836460</v>
      </c>
      <c r="B801" t="str">
        <f>"1551689316456988"</f>
        <v>1551689316456988</v>
      </c>
      <c r="C801" t="s">
        <v>40</v>
      </c>
      <c r="D801">
        <v>4.5260009999999999</v>
      </c>
      <c r="E801">
        <v>0.54882949999999997</v>
      </c>
      <c r="F801" t="s">
        <v>41</v>
      </c>
      <c r="G801">
        <v>-314.8648</v>
      </c>
      <c r="H801">
        <v>0.83147409999999999</v>
      </c>
      <c r="I801">
        <v>367.7792</v>
      </c>
      <c r="J801">
        <v>-315.42160000000001</v>
      </c>
      <c r="K801">
        <v>1.0842689999999999</v>
      </c>
      <c r="L801">
        <v>367.7801</v>
      </c>
      <c r="M801">
        <v>0.99976790000000004</v>
      </c>
      <c r="N801">
        <v>-2.080359E-2</v>
      </c>
      <c r="O801">
        <v>-5.625171E-3</v>
      </c>
      <c r="P801">
        <v>0.95198830000000001</v>
      </c>
      <c r="Q801">
        <v>0.30432799999999999</v>
      </c>
      <c r="R801">
        <v>3.3206520000000003E-2</v>
      </c>
      <c r="S801">
        <v>3.5468139999999999</v>
      </c>
      <c r="T801">
        <v>-1.2483550000000001</v>
      </c>
      <c r="U801">
        <v>-8.5449219999999999E-3</v>
      </c>
      <c r="V801">
        <v>-3.8548239999999998E-2</v>
      </c>
      <c r="W801">
        <v>0.32406449999999998</v>
      </c>
      <c r="X801">
        <v>0.94524929999999996</v>
      </c>
      <c r="Y801">
        <v>-2.7425650000000002E-3</v>
      </c>
      <c r="Z801">
        <v>2.3062099999999999E-3</v>
      </c>
      <c r="AA801">
        <v>0.99999360000000004</v>
      </c>
      <c r="AB801">
        <v>35</v>
      </c>
      <c r="AC801">
        <v>0.55680000000000895</v>
      </c>
      <c r="AD801">
        <v>-0.25279489999999999</v>
      </c>
      <c r="AE801">
        <v>-9.0000000000145497E-4</v>
      </c>
      <c r="AF801">
        <v>-1.8512023310520999E-3</v>
      </c>
      <c r="AG801">
        <v>-0.25279489999999999</v>
      </c>
      <c r="AH801">
        <v>0.46163942971990302</v>
      </c>
      <c r="AI801">
        <v>118.70502853623201</v>
      </c>
      <c r="AJ801">
        <v>90.229758346527802</v>
      </c>
      <c r="AK801">
        <v>0.52632656354035301</v>
      </c>
      <c r="AL801">
        <v>71.091092416837796</v>
      </c>
      <c r="AM801">
        <v>92.335286873870203</v>
      </c>
      <c r="AN801">
        <v>1.00000000305891</v>
      </c>
    </row>
    <row r="802" spans="1:40" x14ac:dyDescent="0.25">
      <c r="A802" t="str">
        <f>"20190304164836472"</f>
        <v>20190304164836472</v>
      </c>
      <c r="B802" t="str">
        <f>"1551689316466746"</f>
        <v>1551689316466746</v>
      </c>
      <c r="C802" t="s">
        <v>40</v>
      </c>
      <c r="D802">
        <v>4.7144769999999996</v>
      </c>
      <c r="E802">
        <v>0.54882849999999905</v>
      </c>
      <c r="F802" t="s">
        <v>41</v>
      </c>
      <c r="G802">
        <v>-314.56889999999999</v>
      </c>
      <c r="H802">
        <v>0.78597939999999999</v>
      </c>
      <c r="I802">
        <v>367.77760000000001</v>
      </c>
      <c r="J802">
        <v>-315.2355</v>
      </c>
      <c r="K802">
        <v>1.082811</v>
      </c>
      <c r="L802">
        <v>367.77910000000003</v>
      </c>
      <c r="M802">
        <v>0.99977000000000005</v>
      </c>
      <c r="N802">
        <v>-2.0698479999999998E-2</v>
      </c>
      <c r="O802">
        <v>-5.6255069999999897E-3</v>
      </c>
      <c r="P802">
        <v>0.95175810000000005</v>
      </c>
      <c r="Q802">
        <v>0.30508999999999997</v>
      </c>
      <c r="R802">
        <v>3.2814339999999997E-2</v>
      </c>
      <c r="S802">
        <v>3.5484010000000001</v>
      </c>
      <c r="T802">
        <v>-1.2412270000000001</v>
      </c>
      <c r="U802">
        <v>-9.9487299999999994E-3</v>
      </c>
      <c r="V802">
        <v>-3.8155109999999999E-2</v>
      </c>
      <c r="W802">
        <v>0.32472210000000001</v>
      </c>
      <c r="X802">
        <v>0.94503959999999998</v>
      </c>
      <c r="Y802">
        <v>-2.3771119999999998E-3</v>
      </c>
      <c r="Z802">
        <v>2.2268370000000002E-3</v>
      </c>
      <c r="AA802">
        <v>0.99999470000000001</v>
      </c>
      <c r="AB802">
        <v>35</v>
      </c>
      <c r="AC802">
        <v>0.66660000000001596</v>
      </c>
      <c r="AD802">
        <v>-0.29683159999999997</v>
      </c>
      <c r="AE802">
        <v>-1.5000000000213701E-3</v>
      </c>
      <c r="AF802">
        <v>-1.8783445465217099E-3</v>
      </c>
      <c r="AG802">
        <v>-0.29683159999999997</v>
      </c>
      <c r="AH802">
        <v>0.55629378709819999</v>
      </c>
      <c r="AI802">
        <v>118.083702952754</v>
      </c>
      <c r="AJ802">
        <v>90.193460377394402</v>
      </c>
      <c r="AK802">
        <v>0.630535728171571</v>
      </c>
      <c r="AL802">
        <v>71.051261629180203</v>
      </c>
      <c r="AM802">
        <v>92.312009026958606</v>
      </c>
      <c r="AN802">
        <v>1.0000000501078301</v>
      </c>
    </row>
    <row r="803" spans="1:40" x14ac:dyDescent="0.25">
      <c r="A803" t="str">
        <f>"20190304164836484"</f>
        <v>20190304164836484</v>
      </c>
      <c r="B803" t="str">
        <f>"1551689316477482"</f>
        <v>1551689316477482</v>
      </c>
      <c r="C803" t="s">
        <v>40</v>
      </c>
      <c r="D803">
        <v>4.5300979999999997</v>
      </c>
      <c r="E803">
        <v>0.54890220000000001</v>
      </c>
      <c r="F803" t="s">
        <v>41</v>
      </c>
      <c r="G803">
        <v>-314.54469999999998</v>
      </c>
      <c r="H803">
        <v>0.84177199999999996</v>
      </c>
      <c r="I803">
        <v>367.77690000000001</v>
      </c>
      <c r="J803">
        <v>-315.0557</v>
      </c>
      <c r="K803">
        <v>1.0814429999999999</v>
      </c>
      <c r="L803">
        <v>367.77800000000002</v>
      </c>
      <c r="M803">
        <v>0.99977329999999998</v>
      </c>
      <c r="N803">
        <v>-2.0542879999999999E-2</v>
      </c>
      <c r="O803">
        <v>-5.6260470000000003E-3</v>
      </c>
      <c r="P803">
        <v>0.95186210000000004</v>
      </c>
      <c r="Q803">
        <v>0.30476550000000002</v>
      </c>
      <c r="R803">
        <v>3.2815869999999997E-2</v>
      </c>
      <c r="S803">
        <v>3.5494080000000001</v>
      </c>
      <c r="T803">
        <v>-1.2383740000000001</v>
      </c>
      <c r="U803">
        <v>-1.077271E-2</v>
      </c>
      <c r="V803">
        <v>-3.8157999999999997E-2</v>
      </c>
      <c r="W803">
        <v>0.3242525</v>
      </c>
      <c r="X803">
        <v>0.9452007</v>
      </c>
      <c r="Y803">
        <v>-2.1618779999999999E-3</v>
      </c>
      <c r="Z803">
        <v>2.1832610000000001E-3</v>
      </c>
      <c r="AA803">
        <v>0.99999530000000003</v>
      </c>
      <c r="AB803">
        <v>35</v>
      </c>
      <c r="AC803">
        <v>0.51100000000002399</v>
      </c>
      <c r="AD803">
        <v>-0.239671</v>
      </c>
      <c r="AE803">
        <v>-1.1000000000080899E-3</v>
      </c>
      <c r="AF803">
        <v>-1.4553770317166401E-3</v>
      </c>
      <c r="AG803">
        <v>-0.239671</v>
      </c>
      <c r="AH803">
        <v>0.41885707797114202</v>
      </c>
      <c r="AI803">
        <v>119.778141820939</v>
      </c>
      <c r="AJ803">
        <v>90.1990813342438</v>
      </c>
      <c r="AK803">
        <v>0.48258217759240501</v>
      </c>
      <c r="AL803">
        <v>71.0797066995991</v>
      </c>
      <c r="AM803">
        <v>92.311790295457698</v>
      </c>
      <c r="AN803">
        <v>1.0000000400003599</v>
      </c>
    </row>
    <row r="804" spans="1:40" x14ac:dyDescent="0.25">
      <c r="A804" t="str">
        <f>"20190304164836494"</f>
        <v>20190304164836494</v>
      </c>
      <c r="B804" t="str">
        <f>"1551689316487243"</f>
        <v>1551689316487243</v>
      </c>
      <c r="C804" t="s">
        <v>40</v>
      </c>
      <c r="D804">
        <v>4.7025670000000002</v>
      </c>
      <c r="E804">
        <v>0.54889719999999997</v>
      </c>
      <c r="F804" t="s">
        <v>41</v>
      </c>
      <c r="G804">
        <v>-314.2482</v>
      </c>
      <c r="H804">
        <v>0.799701</v>
      </c>
      <c r="I804">
        <v>367.7756</v>
      </c>
      <c r="J804">
        <v>-314.8931</v>
      </c>
      <c r="K804">
        <v>1.080211</v>
      </c>
      <c r="L804">
        <v>367.77710000000002</v>
      </c>
      <c r="M804">
        <v>0.99977629999999995</v>
      </c>
      <c r="N804">
        <v>-2.0388489999999999E-2</v>
      </c>
      <c r="O804">
        <v>-5.6264949999999996E-3</v>
      </c>
      <c r="P804">
        <v>0.95205589999999995</v>
      </c>
      <c r="Q804">
        <v>0.30414449999999998</v>
      </c>
      <c r="R804">
        <v>3.295323E-2</v>
      </c>
      <c r="S804">
        <v>3.5484309999999999</v>
      </c>
      <c r="T804">
        <v>-1.237975</v>
      </c>
      <c r="U804">
        <v>-1.1047360000000001E-2</v>
      </c>
      <c r="V804">
        <v>-3.829747E-2</v>
      </c>
      <c r="W804">
        <v>0.32349020000000001</v>
      </c>
      <c r="X804">
        <v>0.94545619999999997</v>
      </c>
      <c r="Y804">
        <v>-2.0884779999999999E-3</v>
      </c>
      <c r="Z804">
        <v>2.1707699999999998E-3</v>
      </c>
      <c r="AA804">
        <v>0.99999550000000004</v>
      </c>
      <c r="AB804">
        <v>35</v>
      </c>
      <c r="AC804">
        <v>0.64490000000000602</v>
      </c>
      <c r="AD804">
        <v>-0.28050999999999998</v>
      </c>
      <c r="AE804">
        <v>-1.5000000000213701E-3</v>
      </c>
      <c r="AF804">
        <v>-1.79054304612091E-3</v>
      </c>
      <c r="AG804">
        <v>-0.28050999999999998</v>
      </c>
      <c r="AH804">
        <v>0.54229814608419802</v>
      </c>
      <c r="AI804">
        <v>117.350661790342</v>
      </c>
      <c r="AJ804">
        <v>90.189176724131201</v>
      </c>
      <c r="AK804">
        <v>0.610554129779463</v>
      </c>
      <c r="AL804">
        <v>71.125871030825394</v>
      </c>
      <c r="AM804">
        <v>92.319604489074294</v>
      </c>
      <c r="AN804">
        <v>1.0000000159114399</v>
      </c>
    </row>
    <row r="805" spans="1:40" x14ac:dyDescent="0.25">
      <c r="A805" t="str">
        <f>"20190304164836504"</f>
        <v>20190304164836504</v>
      </c>
      <c r="B805" t="str">
        <f>"1551689316497003"</f>
        <v>1551689316497003</v>
      </c>
      <c r="C805" t="s">
        <v>40</v>
      </c>
      <c r="D805">
        <v>4.5238300000000002</v>
      </c>
      <c r="E805">
        <v>0.54896009999999995</v>
      </c>
      <c r="F805" t="s">
        <v>41</v>
      </c>
      <c r="G805">
        <v>-314.22710000000001</v>
      </c>
      <c r="H805">
        <v>0.84733259999999899</v>
      </c>
      <c r="I805">
        <v>367.77530000000002</v>
      </c>
      <c r="J805">
        <v>-314.72669999999999</v>
      </c>
      <c r="K805">
        <v>1.079016</v>
      </c>
      <c r="L805">
        <v>367.77620000000002</v>
      </c>
      <c r="M805">
        <v>0.99978040000000001</v>
      </c>
      <c r="N805">
        <v>-2.0185160000000001E-2</v>
      </c>
      <c r="O805">
        <v>-5.6269419999999898E-3</v>
      </c>
      <c r="P805">
        <v>0.95212839999999999</v>
      </c>
      <c r="Q805">
        <v>0.3039229</v>
      </c>
      <c r="R805">
        <v>3.2900720000000001E-2</v>
      </c>
      <c r="S805">
        <v>3.5477289999999999</v>
      </c>
      <c r="T805">
        <v>-1.2405040000000001</v>
      </c>
      <c r="U805">
        <v>-1.025391E-2</v>
      </c>
      <c r="V805">
        <v>-3.8245920000000003E-2</v>
      </c>
      <c r="W805">
        <v>0.32307720000000001</v>
      </c>
      <c r="X805">
        <v>0.94559939999999998</v>
      </c>
      <c r="Y805">
        <v>-2.296584E-3</v>
      </c>
      <c r="Z805">
        <v>2.2141079999999998E-3</v>
      </c>
      <c r="AA805">
        <v>0.99999490000000002</v>
      </c>
      <c r="AB805">
        <v>35</v>
      </c>
      <c r="AC805">
        <v>0.499599999999986</v>
      </c>
      <c r="AD805">
        <v>-0.23168340000000001</v>
      </c>
      <c r="AE805">
        <v>-9.0000000000145497E-4</v>
      </c>
      <c r="AF805">
        <v>-1.57343665963462E-3</v>
      </c>
      <c r="AG805">
        <v>-0.23168340000000001</v>
      </c>
      <c r="AH805">
        <v>0.411173461033215</v>
      </c>
      <c r="AI805">
        <v>119.399721337682</v>
      </c>
      <c r="AJ805">
        <v>90.219252574469607</v>
      </c>
      <c r="AK805">
        <v>0.47195687154284999</v>
      </c>
      <c r="AL805">
        <v>71.150875202847999</v>
      </c>
      <c r="AM805">
        <v>92.316135185197894</v>
      </c>
      <c r="AN805">
        <v>0.99999992641841995</v>
      </c>
    </row>
    <row r="806" spans="1:40" x14ac:dyDescent="0.25">
      <c r="A806" t="str">
        <f>"20190304164836516"</f>
        <v>20190304164836516</v>
      </c>
      <c r="B806" t="str">
        <f>"1551689316506763"</f>
        <v>1551689316506763</v>
      </c>
      <c r="C806" t="s">
        <v>40</v>
      </c>
      <c r="D806">
        <v>4.5209339999999996</v>
      </c>
      <c r="E806">
        <v>0.54902079999999998</v>
      </c>
      <c r="F806" t="s">
        <v>41</v>
      </c>
      <c r="G806">
        <v>-313.93279999999999</v>
      </c>
      <c r="H806">
        <v>0.8014694</v>
      </c>
      <c r="I806">
        <v>367.77350000000001</v>
      </c>
      <c r="J806">
        <v>-314.55220000000003</v>
      </c>
      <c r="K806">
        <v>1.077774</v>
      </c>
      <c r="L806">
        <v>367.77519999999998</v>
      </c>
      <c r="M806">
        <v>0.99978480000000003</v>
      </c>
      <c r="N806">
        <v>-1.996566E-2</v>
      </c>
      <c r="O806">
        <v>-5.6271300000000002E-3</v>
      </c>
      <c r="P806">
        <v>0.95187829999999996</v>
      </c>
      <c r="Q806">
        <v>0.30472329999999997</v>
      </c>
      <c r="R806">
        <v>3.2729260000000003E-2</v>
      </c>
      <c r="S806">
        <v>3.5470280000000001</v>
      </c>
      <c r="T806">
        <v>-1.239978</v>
      </c>
      <c r="U806">
        <v>-1.135254E-2</v>
      </c>
      <c r="V806">
        <v>-3.8073250000000003E-2</v>
      </c>
      <c r="W806">
        <v>0.32366479999999997</v>
      </c>
      <c r="X806">
        <v>0.94540550000000001</v>
      </c>
      <c r="Y806">
        <v>-2.004703E-3</v>
      </c>
      <c r="Z806">
        <v>2.1620670000000002E-3</v>
      </c>
      <c r="AA806">
        <v>0.99999559999999998</v>
      </c>
      <c r="AB806">
        <v>35</v>
      </c>
      <c r="AC806">
        <v>0.61940000000004103</v>
      </c>
      <c r="AD806">
        <v>-0.27630459999999901</v>
      </c>
      <c r="AE806">
        <v>-1.6999999999711599E-3</v>
      </c>
      <c r="AF806">
        <v>-1.4897261315238699E-3</v>
      </c>
      <c r="AG806">
        <v>-0.27630459999999901</v>
      </c>
      <c r="AH806">
        <v>0.51660140787429998</v>
      </c>
      <c r="AI806">
        <v>118.140028931815</v>
      </c>
      <c r="AJ806">
        <v>90.165223675486899</v>
      </c>
      <c r="AK806">
        <v>0.58585276809349895</v>
      </c>
      <c r="AL806">
        <v>71.1152984246649</v>
      </c>
      <c r="AM806">
        <v>92.306162151308996</v>
      </c>
      <c r="AN806">
        <v>1.0000000172774199</v>
      </c>
    </row>
    <row r="807" spans="1:40" x14ac:dyDescent="0.25">
      <c r="A807" t="str">
        <f>"20190304164836527"</f>
        <v>20190304164836527</v>
      </c>
      <c r="B807" t="str">
        <f>"1551689316517498"</f>
        <v>1551689316517498</v>
      </c>
      <c r="C807" t="s">
        <v>40</v>
      </c>
      <c r="D807">
        <v>4.7078730000000002</v>
      </c>
      <c r="E807">
        <v>0.54901429999999996</v>
      </c>
      <c r="F807" t="s">
        <v>41</v>
      </c>
      <c r="G807">
        <v>-313.63630000000001</v>
      </c>
      <c r="H807">
        <v>0.75872680000000003</v>
      </c>
      <c r="I807">
        <v>367.77190000000002</v>
      </c>
      <c r="J807">
        <v>-314.36939999999998</v>
      </c>
      <c r="K807">
        <v>1.0765549999999999</v>
      </c>
      <c r="L807">
        <v>367.77420000000001</v>
      </c>
      <c r="M807">
        <v>0.99979010000000001</v>
      </c>
      <c r="N807">
        <v>-1.9704269999999999E-2</v>
      </c>
      <c r="O807">
        <v>-5.6274089999999999E-3</v>
      </c>
      <c r="P807">
        <v>0.95149790000000001</v>
      </c>
      <c r="Q807">
        <v>0.3059402</v>
      </c>
      <c r="R807">
        <v>3.2444389999999997E-2</v>
      </c>
      <c r="S807">
        <v>3.5476380000000001</v>
      </c>
      <c r="T807">
        <v>-1.2356560000000001</v>
      </c>
      <c r="U807">
        <v>-1.235962E-2</v>
      </c>
      <c r="V807">
        <v>-3.7785979999999997E-2</v>
      </c>
      <c r="W807">
        <v>0.32462729999999901</v>
      </c>
      <c r="X807">
        <v>0.94508689999999995</v>
      </c>
      <c r="Y807">
        <v>-1.740835E-3</v>
      </c>
      <c r="Z807">
        <v>2.1082029999999999E-3</v>
      </c>
      <c r="AA807">
        <v>0.9999962</v>
      </c>
      <c r="AB807">
        <v>35</v>
      </c>
      <c r="AC807">
        <v>0.73309999999997899</v>
      </c>
      <c r="AD807">
        <v>-0.31782819999999901</v>
      </c>
      <c r="AE807">
        <v>-2.29999999999108E-3</v>
      </c>
      <c r="AF807">
        <v>-1.5373398408193299E-3</v>
      </c>
      <c r="AG807">
        <v>-0.31782819999999901</v>
      </c>
      <c r="AH807">
        <v>0.61711198138329904</v>
      </c>
      <c r="AI807">
        <v>117.24953464137801</v>
      </c>
      <c r="AJ807">
        <v>90.1427340661008</v>
      </c>
      <c r="AK807">
        <v>0.69415007433252296</v>
      </c>
      <c r="AL807">
        <v>71.057002534593806</v>
      </c>
      <c r="AM807">
        <v>92.289551043360007</v>
      </c>
      <c r="AN807">
        <v>0.99999995637072903</v>
      </c>
    </row>
    <row r="808" spans="1:40" x14ac:dyDescent="0.25">
      <c r="A808" t="str">
        <f>"20190304164836538"</f>
        <v>20190304164836538</v>
      </c>
      <c r="B808" t="str">
        <f>"1551689316527258"</f>
        <v>1551689316527258</v>
      </c>
      <c r="C808" t="s">
        <v>40</v>
      </c>
      <c r="D808">
        <v>4.6955369999999998</v>
      </c>
      <c r="E808">
        <v>0.54902050000000002</v>
      </c>
      <c r="F808" t="s">
        <v>41</v>
      </c>
      <c r="G808">
        <v>-313.61279999999999</v>
      </c>
      <c r="H808">
        <v>0.81409449999999906</v>
      </c>
      <c r="I808">
        <v>367.77140000000003</v>
      </c>
      <c r="J808">
        <v>-314.19970000000001</v>
      </c>
      <c r="K808">
        <v>1.0754549999999901</v>
      </c>
      <c r="L808">
        <v>367.77319999999997</v>
      </c>
      <c r="M808">
        <v>0.99979499999999999</v>
      </c>
      <c r="N808">
        <v>-1.945643E-2</v>
      </c>
      <c r="O808">
        <v>-5.6276149999999999E-3</v>
      </c>
      <c r="P808">
        <v>0.95122640000000003</v>
      </c>
      <c r="Q808">
        <v>0.30681649999999999</v>
      </c>
      <c r="R808">
        <v>3.2129820000000003E-2</v>
      </c>
      <c r="S808">
        <v>3.549255</v>
      </c>
      <c r="T808">
        <v>-1.231347</v>
      </c>
      <c r="U808">
        <v>-1.281738E-2</v>
      </c>
      <c r="V808">
        <v>-3.7470419999999997E-2</v>
      </c>
      <c r="W808">
        <v>0.32526369999999999</v>
      </c>
      <c r="X808">
        <v>0.94488070000000002</v>
      </c>
      <c r="Y808">
        <v>-1.6237139999999901E-3</v>
      </c>
      <c r="Z808">
        <v>2.0802799999999999E-3</v>
      </c>
      <c r="AA808">
        <v>0.99999649999999995</v>
      </c>
      <c r="AB808">
        <v>35</v>
      </c>
      <c r="AC808">
        <v>0.58690000000001397</v>
      </c>
      <c r="AD808">
        <v>-0.261360499999999</v>
      </c>
      <c r="AE808">
        <v>-1.79999999994606E-3</v>
      </c>
      <c r="AF808">
        <v>-1.2546827930921399E-3</v>
      </c>
      <c r="AG808">
        <v>-0.261360499999999</v>
      </c>
      <c r="AH808">
        <v>0.48977323619208801</v>
      </c>
      <c r="AI808">
        <v>118.085896437599</v>
      </c>
      <c r="AJ808">
        <v>90.146777868005302</v>
      </c>
      <c r="AK808">
        <v>0.55514746516509605</v>
      </c>
      <c r="AL808">
        <v>71.018448500731594</v>
      </c>
      <c r="AM808">
        <v>92.270945493172903</v>
      </c>
      <c r="AN808">
        <v>1.00000002207257</v>
      </c>
    </row>
    <row r="809" spans="1:40" x14ac:dyDescent="0.25">
      <c r="A809" t="str">
        <f>"20190304164836549"</f>
        <v>20190304164836549</v>
      </c>
      <c r="B809" t="str">
        <f>"1551689316546779"</f>
        <v>1551689316546779</v>
      </c>
      <c r="C809" t="s">
        <v>40</v>
      </c>
      <c r="D809">
        <v>4.6631260000000001</v>
      </c>
      <c r="E809">
        <v>0.54904929999999996</v>
      </c>
      <c r="F809" t="s">
        <v>41</v>
      </c>
      <c r="G809">
        <v>-313.31740000000002</v>
      </c>
      <c r="H809">
        <v>0.77028869999999905</v>
      </c>
      <c r="I809">
        <v>367.76990000000001</v>
      </c>
      <c r="J809">
        <v>-314.02359999999999</v>
      </c>
      <c r="K809">
        <v>1.0743830000000001</v>
      </c>
      <c r="L809">
        <v>367.7722</v>
      </c>
      <c r="M809">
        <v>0.99980020000000003</v>
      </c>
      <c r="N809">
        <v>-1.9187180000000002E-2</v>
      </c>
      <c r="O809">
        <v>-5.6275279999999997E-3</v>
      </c>
      <c r="P809">
        <v>0.95119350000000003</v>
      </c>
      <c r="Q809">
        <v>0.3069153</v>
      </c>
      <c r="R809">
        <v>3.2159489999999999E-2</v>
      </c>
      <c r="S809">
        <v>3.5503230000000001</v>
      </c>
      <c r="T809">
        <v>-1.2279089999999999</v>
      </c>
      <c r="U809">
        <v>-1.3488770000000001E-2</v>
      </c>
      <c r="V809">
        <v>-3.7499600000000001E-2</v>
      </c>
      <c r="W809">
        <v>0.32510719999999999</v>
      </c>
      <c r="X809">
        <v>0.94493340000000003</v>
      </c>
      <c r="Y809">
        <v>-1.4484249999999999E-3</v>
      </c>
      <c r="Z809">
        <v>2.0439529999999998E-3</v>
      </c>
      <c r="AA809">
        <v>0.99999680000000002</v>
      </c>
      <c r="AB809">
        <v>35</v>
      </c>
      <c r="AC809">
        <v>0.70619999999996697</v>
      </c>
      <c r="AD809">
        <v>-0.30409429999999998</v>
      </c>
      <c r="AE809">
        <v>-2.29999999999108E-3</v>
      </c>
      <c r="AF809">
        <v>-1.41294053398542E-3</v>
      </c>
      <c r="AG809">
        <v>-0.30409429999999998</v>
      </c>
      <c r="AH809">
        <v>0.595739714154498</v>
      </c>
      <c r="AI809">
        <v>117.041894637691</v>
      </c>
      <c r="AJ809">
        <v>90.135890516582194</v>
      </c>
      <c r="AK809">
        <v>0.66886556699708</v>
      </c>
      <c r="AL809">
        <v>71.0279306200392</v>
      </c>
      <c r="AM809">
        <v>92.272585513987295</v>
      </c>
      <c r="AN809">
        <v>1.0000000209637701</v>
      </c>
    </row>
    <row r="810" spans="1:40" x14ac:dyDescent="0.25">
      <c r="A810" t="str">
        <f>"20190304164836562"</f>
        <v>20190304164836562</v>
      </c>
      <c r="B810" t="str">
        <f>"1551689316557514"</f>
        <v>1551689316557514</v>
      </c>
      <c r="C810" t="s">
        <v>40</v>
      </c>
      <c r="D810">
        <v>4.7119819999999999</v>
      </c>
      <c r="E810">
        <v>0.54905269999999995</v>
      </c>
      <c r="F810" t="s">
        <v>41</v>
      </c>
      <c r="G810">
        <v>-313.29500000000002</v>
      </c>
      <c r="H810">
        <v>0.82255429999999996</v>
      </c>
      <c r="I810">
        <v>367.76960000000003</v>
      </c>
      <c r="J810">
        <v>-313.8399</v>
      </c>
      <c r="K810">
        <v>1.0733159999999999</v>
      </c>
      <c r="L810">
        <v>367.77120000000002</v>
      </c>
      <c r="M810">
        <v>0.99980559999999996</v>
      </c>
      <c r="N810">
        <v>-1.890352E-2</v>
      </c>
      <c r="O810">
        <v>-5.6275789999999997E-3</v>
      </c>
      <c r="P810">
        <v>0.95133749999999995</v>
      </c>
      <c r="Q810">
        <v>0.30648189999999997</v>
      </c>
      <c r="R810">
        <v>3.2034189999999997E-2</v>
      </c>
      <c r="S810">
        <v>3.5503230000000001</v>
      </c>
      <c r="T810">
        <v>-1.2271840000000001</v>
      </c>
      <c r="U810">
        <v>-1.254272E-2</v>
      </c>
      <c r="V810">
        <v>-3.7374789999999998E-2</v>
      </c>
      <c r="W810">
        <v>0.32440859999999999</v>
      </c>
      <c r="X810">
        <v>0.94517839999999997</v>
      </c>
      <c r="Y810">
        <v>-1.699505E-3</v>
      </c>
      <c r="Z810">
        <v>2.0887319999999998E-3</v>
      </c>
      <c r="AA810">
        <v>0.99999640000000001</v>
      </c>
      <c r="AB810">
        <v>35</v>
      </c>
      <c r="AC810">
        <v>0.54489999999998395</v>
      </c>
      <c r="AD810">
        <v>-0.25076169999999998</v>
      </c>
      <c r="AE810">
        <v>-1.59999999999627E-3</v>
      </c>
      <c r="AF810">
        <v>-1.21064940191058E-3</v>
      </c>
      <c r="AG810">
        <v>-0.25076169999999998</v>
      </c>
      <c r="AH810">
        <v>0.44966937135246199</v>
      </c>
      <c r="AI810">
        <v>119.146481971311</v>
      </c>
      <c r="AJ810">
        <v>90.154257634655394</v>
      </c>
      <c r="AK810">
        <v>0.51486448643442295</v>
      </c>
      <c r="AL810">
        <v>71.070251164271994</v>
      </c>
      <c r="AM810">
        <v>92.264443046093604</v>
      </c>
      <c r="AN810">
        <v>1.0000000112540299</v>
      </c>
    </row>
    <row r="811" spans="1:40" x14ac:dyDescent="0.25">
      <c r="A811" t="str">
        <f>"20190304164836573"</f>
        <v>20190304164836573</v>
      </c>
      <c r="B811" t="str">
        <f>"1551689316567274"</f>
        <v>1551689316567274</v>
      </c>
      <c r="C811" t="s">
        <v>40</v>
      </c>
      <c r="D811">
        <v>5.0691680000000003</v>
      </c>
      <c r="E811">
        <v>0.54905660000000001</v>
      </c>
      <c r="F811" t="s">
        <v>41</v>
      </c>
      <c r="G811">
        <v>-312.99849999999998</v>
      </c>
      <c r="H811">
        <v>0.78211160000000002</v>
      </c>
      <c r="I811">
        <v>367.76780000000002</v>
      </c>
      <c r="J811">
        <v>-313.65320000000003</v>
      </c>
      <c r="K811">
        <v>1.0722780000000001</v>
      </c>
      <c r="L811">
        <v>367.77010000000001</v>
      </c>
      <c r="M811">
        <v>0.99981109999999895</v>
      </c>
      <c r="N811">
        <v>-1.8612770000000001E-2</v>
      </c>
      <c r="O811">
        <v>-5.6271269999999896E-3</v>
      </c>
      <c r="P811">
        <v>0.95151660000000005</v>
      </c>
      <c r="Q811">
        <v>0.30593369999999998</v>
      </c>
      <c r="R811">
        <v>3.1955549999999999E-2</v>
      </c>
      <c r="S811">
        <v>3.5497130000000001</v>
      </c>
      <c r="T811">
        <v>-1.2286060000000001</v>
      </c>
      <c r="U811">
        <v>-1.33667E-2</v>
      </c>
      <c r="V811">
        <v>-3.7297080000000003E-2</v>
      </c>
      <c r="W811">
        <v>0.32358890000000001</v>
      </c>
      <c r="X811">
        <v>0.94546240000000004</v>
      </c>
      <c r="Y811">
        <v>-1.4784220000000001E-3</v>
      </c>
      <c r="Z811">
        <v>2.053376E-3</v>
      </c>
      <c r="AA811">
        <v>0.99999680000000002</v>
      </c>
      <c r="AB811">
        <v>35</v>
      </c>
      <c r="AC811">
        <v>0.65470000000004802</v>
      </c>
      <c r="AD811">
        <v>-0.29016639999999999</v>
      </c>
      <c r="AE811">
        <v>-2.29999999999108E-3</v>
      </c>
      <c r="AF811">
        <v>-1.1574066695610001E-3</v>
      </c>
      <c r="AG811">
        <v>-0.29016639999999999</v>
      </c>
      <c r="AH811">
        <v>0.54721418747246997</v>
      </c>
      <c r="AI811">
        <v>117.935214888418</v>
      </c>
      <c r="AJ811">
        <v>90.121185488198805</v>
      </c>
      <c r="AK811">
        <v>0.61938779956527601</v>
      </c>
      <c r="AL811">
        <v>71.119894157492197</v>
      </c>
      <c r="AM811">
        <v>92.259061599718507</v>
      </c>
      <c r="AN811">
        <v>0.99999999909674797</v>
      </c>
    </row>
    <row r="812" spans="1:40" x14ac:dyDescent="0.25">
      <c r="A812" t="str">
        <f>"20190304164836584"</f>
        <v>20190304164836584</v>
      </c>
      <c r="B812" t="str">
        <f>"1551689316577034"</f>
        <v>1551689316577034</v>
      </c>
      <c r="C812" t="s">
        <v>40</v>
      </c>
      <c r="D812">
        <v>4.5314220000000001</v>
      </c>
      <c r="E812">
        <v>0.54911369999999904</v>
      </c>
      <c r="F812" t="s">
        <v>41</v>
      </c>
      <c r="G812">
        <v>-312.97469999999998</v>
      </c>
      <c r="H812">
        <v>0.83701809999999999</v>
      </c>
      <c r="I812">
        <v>367.76729999999998</v>
      </c>
      <c r="J812">
        <v>-313.47739999999999</v>
      </c>
      <c r="K812">
        <v>1.0713900000000001</v>
      </c>
      <c r="L812">
        <v>367.76909999999998</v>
      </c>
      <c r="M812">
        <v>0.99981609999999999</v>
      </c>
      <c r="N812">
        <v>-1.8342020000000001E-2</v>
      </c>
      <c r="O812">
        <v>-5.6273709999999999E-3</v>
      </c>
      <c r="P812">
        <v>0.95163200000000003</v>
      </c>
      <c r="Q812">
        <v>0.30556660000000002</v>
      </c>
      <c r="R812">
        <v>3.2028149999999998E-2</v>
      </c>
      <c r="S812">
        <v>3.5490719999999998</v>
      </c>
      <c r="T812">
        <v>-1.230637</v>
      </c>
      <c r="U812">
        <v>-1.3610840000000001E-2</v>
      </c>
      <c r="V812">
        <v>-3.737037E-2</v>
      </c>
      <c r="W812">
        <v>0.32296849999999999</v>
      </c>
      <c r="X812">
        <v>0.94567159999999995</v>
      </c>
      <c r="Y812">
        <v>-1.4114479999999901E-3</v>
      </c>
      <c r="Z812">
        <v>2.0465399999999999E-3</v>
      </c>
      <c r="AA812">
        <v>0.99999689999999997</v>
      </c>
      <c r="AB812">
        <v>35</v>
      </c>
      <c r="AC812">
        <v>0.50270000000000403</v>
      </c>
      <c r="AD812">
        <v>-0.23437189999999999</v>
      </c>
      <c r="AE812">
        <v>-1.8000000000029099E-3</v>
      </c>
      <c r="AF812">
        <v>-8.45583876679404E-4</v>
      </c>
      <c r="AG812">
        <v>-0.23437189999999999</v>
      </c>
      <c r="AH812">
        <v>0.41294316467981301</v>
      </c>
      <c r="AI812">
        <v>119.577656195114</v>
      </c>
      <c r="AJ812">
        <v>90.117324425698698</v>
      </c>
      <c r="AK812">
        <v>0.47481887049429899</v>
      </c>
      <c r="AL812">
        <v>71.157457206914899</v>
      </c>
      <c r="AM812">
        <v>92.262995911542603</v>
      </c>
      <c r="AN812">
        <v>0.99999998579637295</v>
      </c>
    </row>
    <row r="813" spans="1:40" x14ac:dyDescent="0.25">
      <c r="A813" t="str">
        <f>"20190304164836597"</f>
        <v>20190304164836597</v>
      </c>
      <c r="B813" t="str">
        <f>"1551689316586794"</f>
        <v>1551689316586794</v>
      </c>
      <c r="C813" t="s">
        <v>40</v>
      </c>
      <c r="D813">
        <v>4.7511260000000002</v>
      </c>
      <c r="E813">
        <v>0.54910939999999997</v>
      </c>
      <c r="F813" t="s">
        <v>41</v>
      </c>
      <c r="G813">
        <v>-312.67970000000003</v>
      </c>
      <c r="H813">
        <v>0.79469899999999905</v>
      </c>
      <c r="I813">
        <v>367.76569999999998</v>
      </c>
      <c r="J813">
        <v>-313.2919</v>
      </c>
      <c r="K813">
        <v>1.0704830000000001</v>
      </c>
      <c r="L813">
        <v>367.7681</v>
      </c>
      <c r="M813">
        <v>0.99982110000000002</v>
      </c>
      <c r="N813">
        <v>-1.8058210000000002E-2</v>
      </c>
      <c r="O813">
        <v>-5.627534E-3</v>
      </c>
      <c r="P813">
        <v>0.95176269999999996</v>
      </c>
      <c r="Q813">
        <v>0.30515579999999998</v>
      </c>
      <c r="R813">
        <v>3.205583E-2</v>
      </c>
      <c r="S813">
        <v>3.5481569999999998</v>
      </c>
      <c r="T813">
        <v>-1.23068</v>
      </c>
      <c r="U813">
        <v>-1.5014649999999999E-2</v>
      </c>
      <c r="V813">
        <v>-3.7399330000000001E-2</v>
      </c>
      <c r="W813">
        <v>0.32229099999999999</v>
      </c>
      <c r="X813">
        <v>0.94590160000000001</v>
      </c>
      <c r="Y813">
        <v>-1.037353E-3</v>
      </c>
      <c r="Z813">
        <v>1.982017E-3</v>
      </c>
      <c r="AA813">
        <v>0.99999749999999998</v>
      </c>
      <c r="AB813">
        <v>35</v>
      </c>
      <c r="AC813">
        <v>0.61219999999997299</v>
      </c>
      <c r="AD813">
        <v>-0.27578399999999997</v>
      </c>
      <c r="AE813">
        <v>-2.4000000000228201E-3</v>
      </c>
      <c r="AF813">
        <v>-8.6935797590123696E-4</v>
      </c>
      <c r="AG813">
        <v>-0.27578399999999997</v>
      </c>
      <c r="AH813">
        <v>0.50892749817132599</v>
      </c>
      <c r="AI813">
        <v>118.452897231183</v>
      </c>
      <c r="AJ813">
        <v>90.097873458665802</v>
      </c>
      <c r="AK813">
        <v>0.57884779418618804</v>
      </c>
      <c r="AL813">
        <v>71.198468772059002</v>
      </c>
      <c r="AM813">
        <v>92.264197674795</v>
      </c>
      <c r="AN813">
        <v>1.000000017724</v>
      </c>
    </row>
    <row r="814" spans="1:40" x14ac:dyDescent="0.25">
      <c r="A814" t="str">
        <f>"20190304164836608"</f>
        <v>20190304164836608</v>
      </c>
      <c r="B814" t="str">
        <f>"1551689316597530"</f>
        <v>1551689316597530</v>
      </c>
      <c r="C814" t="s">
        <v>40</v>
      </c>
      <c r="D814">
        <v>4.7827999999999999</v>
      </c>
      <c r="E814">
        <v>0.54913159999999905</v>
      </c>
      <c r="F814" t="s">
        <v>41</v>
      </c>
      <c r="G814">
        <v>-312.3827</v>
      </c>
      <c r="H814">
        <v>0.75466409999999995</v>
      </c>
      <c r="I814">
        <v>367.76409999999998</v>
      </c>
      <c r="J814">
        <v>-313.10829999999999</v>
      </c>
      <c r="K814">
        <v>1.0696730000000001</v>
      </c>
      <c r="L814">
        <v>367.76710000000003</v>
      </c>
      <c r="M814">
        <v>0.99982610000000005</v>
      </c>
      <c r="N814">
        <v>-1.778627E-2</v>
      </c>
      <c r="O814">
        <v>-5.6277250000000001E-3</v>
      </c>
      <c r="P814">
        <v>0.95169689999999996</v>
      </c>
      <c r="Q814">
        <v>0.30540420000000001</v>
      </c>
      <c r="R814">
        <v>3.1645340000000001E-2</v>
      </c>
      <c r="S814">
        <v>3.5476380000000001</v>
      </c>
      <c r="T814">
        <v>-1.232275</v>
      </c>
      <c r="U814">
        <v>-1.498413E-2</v>
      </c>
      <c r="V814">
        <v>-3.6988559999999997E-2</v>
      </c>
      <c r="W814">
        <v>0.32228109999999999</v>
      </c>
      <c r="X814">
        <v>0.94592109999999996</v>
      </c>
      <c r="Y814">
        <v>-1.0436110000000001E-3</v>
      </c>
      <c r="Z814">
        <v>1.9873690000000001E-3</v>
      </c>
      <c r="AA814">
        <v>0.99999749999999998</v>
      </c>
      <c r="AB814">
        <v>35</v>
      </c>
      <c r="AC814">
        <v>0.72559999999998503</v>
      </c>
      <c r="AD814">
        <v>-0.31500889999999898</v>
      </c>
      <c r="AE814">
        <v>-3.0000000000427402E-3</v>
      </c>
      <c r="AF814">
        <v>-9.1223989954733898E-4</v>
      </c>
      <c r="AG814">
        <v>-0.31500889999999898</v>
      </c>
      <c r="AH814">
        <v>0.61053708440319798</v>
      </c>
      <c r="AI814">
        <v>117.291615347198</v>
      </c>
      <c r="AJ814">
        <v>90.085608980333504</v>
      </c>
      <c r="AK814">
        <v>0.68701307898205399</v>
      </c>
      <c r="AL814">
        <v>71.199067513455105</v>
      </c>
      <c r="AM814">
        <v>92.239308536322298</v>
      </c>
      <c r="AN814">
        <v>0.99999999420664598</v>
      </c>
    </row>
    <row r="815" spans="1:40" x14ac:dyDescent="0.25">
      <c r="A815" t="str">
        <f>"20190304164836619"</f>
        <v>20190304164836619</v>
      </c>
      <c r="B815" t="str">
        <f>"1551689316607290"</f>
        <v>1551689316607290</v>
      </c>
      <c r="C815" t="s">
        <v>40</v>
      </c>
      <c r="D815">
        <v>4.8365600000000004</v>
      </c>
      <c r="E815">
        <v>0.54913159999999905</v>
      </c>
      <c r="F815" t="s">
        <v>41</v>
      </c>
      <c r="G815">
        <v>-312.35939999999999</v>
      </c>
      <c r="H815">
        <v>0.80991080000000004</v>
      </c>
      <c r="I815">
        <v>367.76339999999999</v>
      </c>
      <c r="J815">
        <v>-312.95389999999998</v>
      </c>
      <c r="K815">
        <v>1.069021</v>
      </c>
      <c r="L815">
        <v>367.76620000000003</v>
      </c>
      <c r="M815">
        <v>0.99983010000000005</v>
      </c>
      <c r="N815">
        <v>-1.7561380000000001E-2</v>
      </c>
      <c r="O815">
        <v>-5.6280069999999896E-3</v>
      </c>
      <c r="P815">
        <v>0.95165480000000002</v>
      </c>
      <c r="Q815">
        <v>0.30556060000000002</v>
      </c>
      <c r="R815">
        <v>3.1405200000000001E-2</v>
      </c>
      <c r="S815">
        <v>3.5476679999999998</v>
      </c>
      <c r="T815">
        <v>-1.230488</v>
      </c>
      <c r="U815">
        <v>-1.6357420000000001E-2</v>
      </c>
      <c r="V815">
        <v>-3.6748900000000001E-2</v>
      </c>
      <c r="W815">
        <v>0.32222430000000002</v>
      </c>
      <c r="X815">
        <v>0.94594979999999995</v>
      </c>
      <c r="Y815">
        <v>-6.7990279999999997E-4</v>
      </c>
      <c r="Z815">
        <v>1.921128E-3</v>
      </c>
      <c r="AA815">
        <v>0.9999979</v>
      </c>
      <c r="AB815">
        <v>35</v>
      </c>
      <c r="AC815">
        <v>0.59449999999998204</v>
      </c>
      <c r="AD815">
        <v>-0.25911020000000001</v>
      </c>
      <c r="AE815">
        <v>-2.8000000000361E-3</v>
      </c>
      <c r="AF815">
        <v>-4.59184649636719E-4</v>
      </c>
      <c r="AG815">
        <v>-0.25911020000000001</v>
      </c>
      <c r="AH815">
        <v>0.49960314767441999</v>
      </c>
      <c r="AI815">
        <v>117.41269143233301</v>
      </c>
      <c r="AJ815">
        <v>90.052660466923797</v>
      </c>
      <c r="AK815">
        <v>0.56279802039521398</v>
      </c>
      <c r="AL815">
        <v>71.202505471881693</v>
      </c>
      <c r="AM815">
        <v>92.224746577980497</v>
      </c>
      <c r="AN815">
        <v>1.00000000264087</v>
      </c>
    </row>
    <row r="816" spans="1:40" x14ac:dyDescent="0.25">
      <c r="A816" t="str">
        <f>"20190304164836628"</f>
        <v>20190304164836628</v>
      </c>
      <c r="B816" t="str">
        <f>"1551689316617051"</f>
        <v>1551689316617051</v>
      </c>
      <c r="C816" t="s">
        <v>40</v>
      </c>
      <c r="D816">
        <v>4.6631080000000003</v>
      </c>
      <c r="E816">
        <v>0.54728390000000005</v>
      </c>
      <c r="F816" t="s">
        <v>41</v>
      </c>
      <c r="G816">
        <v>-312.06659999999999</v>
      </c>
      <c r="H816">
        <v>0.76138850000000002</v>
      </c>
      <c r="I816">
        <v>367.762</v>
      </c>
      <c r="J816">
        <v>-312.78960000000001</v>
      </c>
      <c r="K816">
        <v>1.068379</v>
      </c>
      <c r="L816">
        <v>367.76519999999999</v>
      </c>
      <c r="M816">
        <v>0.999834</v>
      </c>
      <c r="N816">
        <v>-1.7330620000000001E-2</v>
      </c>
      <c r="O816">
        <v>-5.6279059999999898E-3</v>
      </c>
      <c r="P816">
        <v>0.95152729999999996</v>
      </c>
      <c r="Q816">
        <v>0.30596800000000002</v>
      </c>
      <c r="R816">
        <v>3.1296560000000001E-2</v>
      </c>
      <c r="S816">
        <v>3.547882</v>
      </c>
      <c r="T816">
        <v>-1.229957</v>
      </c>
      <c r="U816">
        <v>-1.644897E-2</v>
      </c>
      <c r="V816">
        <v>-3.6639100000000001E-2</v>
      </c>
      <c r="W816">
        <v>0.32241069999999999</v>
      </c>
      <c r="X816">
        <v>0.94589049999999997</v>
      </c>
      <c r="Y816">
        <v>-6.5569770000000003E-4</v>
      </c>
      <c r="Z816">
        <v>1.9170509999999999E-3</v>
      </c>
      <c r="AA816">
        <v>0.99999800000000005</v>
      </c>
      <c r="AB816">
        <v>35</v>
      </c>
      <c r="AC816">
        <v>0.72300000000001297</v>
      </c>
      <c r="AD816">
        <v>-0.3069905</v>
      </c>
      <c r="AE816">
        <v>-3.2000000000493799E-3</v>
      </c>
      <c r="AF816">
        <v>-7.3680190829226305E-4</v>
      </c>
      <c r="AG816">
        <v>-0.3069905</v>
      </c>
      <c r="AH816">
        <v>0.61256835623961203</v>
      </c>
      <c r="AI816">
        <v>116.617862109755</v>
      </c>
      <c r="AJ816">
        <v>90.068915768981299</v>
      </c>
      <c r="AK816">
        <v>0.68518880685063899</v>
      </c>
      <c r="AL816">
        <v>71.191222613299402</v>
      </c>
      <c r="AM816">
        <v>92.218244949665504</v>
      </c>
      <c r="AN816">
        <v>0.99999996055677398</v>
      </c>
    </row>
    <row r="817" spans="1:40" x14ac:dyDescent="0.25">
      <c r="A817" t="str">
        <f>"20190304164836640"</f>
        <v>20190304164836640</v>
      </c>
      <c r="B817" t="str">
        <f>"1551689316637547"</f>
        <v>1551689316637547</v>
      </c>
      <c r="C817" t="s">
        <v>40</v>
      </c>
      <c r="D817">
        <v>4.7227949999999996</v>
      </c>
      <c r="E817">
        <v>0.53851099999999996</v>
      </c>
      <c r="F817" t="s">
        <v>41</v>
      </c>
      <c r="G817">
        <v>-312.0043</v>
      </c>
      <c r="H817">
        <v>0.90500440000000004</v>
      </c>
      <c r="I817">
        <v>367.7484</v>
      </c>
      <c r="J817">
        <v>-312.61989999999997</v>
      </c>
      <c r="K817">
        <v>1.067752</v>
      </c>
      <c r="L817">
        <v>367.76429999999999</v>
      </c>
      <c r="M817">
        <v>0.99983809999999995</v>
      </c>
      <c r="N817">
        <v>-1.7098760000000001E-2</v>
      </c>
      <c r="O817">
        <v>-5.627941E-3</v>
      </c>
      <c r="P817">
        <v>0.95136339999999997</v>
      </c>
      <c r="Q817">
        <v>0.30648300000000001</v>
      </c>
      <c r="R817">
        <v>3.1240980000000002E-2</v>
      </c>
      <c r="S817">
        <v>3.3814090000000001</v>
      </c>
      <c r="T817">
        <v>-0.7035536</v>
      </c>
      <c r="U817">
        <v>-7.1838379999999993E-2</v>
      </c>
      <c r="V817">
        <v>-3.6582459999999997E-2</v>
      </c>
      <c r="W817">
        <v>0.32270359999999998</v>
      </c>
      <c r="X817">
        <v>0.94579290000000005</v>
      </c>
      <c r="Y817">
        <v>1.5357579999999999E-2</v>
      </c>
      <c r="Z817">
        <v>-6.5028830000000005E-4</v>
      </c>
      <c r="AA817">
        <v>0.99988189999999999</v>
      </c>
      <c r="AB817">
        <v>35</v>
      </c>
      <c r="AC817">
        <v>0.61559999999997195</v>
      </c>
      <c r="AD817">
        <v>-0.16274759999999999</v>
      </c>
      <c r="AE817">
        <v>-1.5899999999987799E-2</v>
      </c>
      <c r="AF817">
        <v>1.1622869119642601E-2</v>
      </c>
      <c r="AG817">
        <v>-0.16274759999999999</v>
      </c>
      <c r="AH817">
        <v>0.57548438872320395</v>
      </c>
      <c r="AI817">
        <v>105.787900646108</v>
      </c>
      <c r="AJ817">
        <v>88.842973268196104</v>
      </c>
      <c r="AK817">
        <v>0.59816732947934503</v>
      </c>
      <c r="AL817">
        <v>71.173494774971005</v>
      </c>
      <c r="AM817">
        <v>92.215047533831495</v>
      </c>
      <c r="AN817">
        <v>1.0000000497615</v>
      </c>
    </row>
    <row r="818" spans="1:40" x14ac:dyDescent="0.25">
      <c r="A818" t="str">
        <f>"20190304164836650"</f>
        <v>20190304164836650</v>
      </c>
      <c r="B818" t="str">
        <f>"1551689316647307"</f>
        <v>1551689316647307</v>
      </c>
      <c r="C818" t="s">
        <v>40</v>
      </c>
      <c r="D818">
        <v>4.7551969999999999</v>
      </c>
      <c r="E818">
        <v>0.53594649999999999</v>
      </c>
      <c r="F818" t="s">
        <v>41</v>
      </c>
      <c r="G818">
        <v>-311.68610000000001</v>
      </c>
      <c r="H818">
        <v>0.91437820000000003</v>
      </c>
      <c r="I818">
        <v>367.75799999999998</v>
      </c>
      <c r="J818">
        <v>-312.45209999999997</v>
      </c>
      <c r="K818">
        <v>1.067178</v>
      </c>
      <c r="L818">
        <v>367.76330000000002</v>
      </c>
      <c r="M818">
        <v>0.99984170000000006</v>
      </c>
      <c r="N818">
        <v>-1.6878210000000001E-2</v>
      </c>
      <c r="O818">
        <v>-5.6278609999999996E-3</v>
      </c>
      <c r="P818">
        <v>0.95114730000000003</v>
      </c>
      <c r="Q818">
        <v>0.30715290000000001</v>
      </c>
      <c r="R818">
        <v>3.12377E-2</v>
      </c>
      <c r="S818">
        <v>3.3303219999999998</v>
      </c>
      <c r="T818">
        <v>-0.54703900000000005</v>
      </c>
      <c r="U818">
        <v>-2.215576E-2</v>
      </c>
      <c r="V818">
        <v>-3.6578230000000003E-2</v>
      </c>
      <c r="W818">
        <v>0.32316119999999998</v>
      </c>
      <c r="X818">
        <v>0.9456367</v>
      </c>
      <c r="Y818">
        <v>1.068837E-3</v>
      </c>
      <c r="Z818">
        <v>7.2754919999999895E-4</v>
      </c>
      <c r="AA818">
        <v>0.99999919999999998</v>
      </c>
      <c r="AB818">
        <v>35</v>
      </c>
      <c r="AC818">
        <v>0.76599999999996204</v>
      </c>
      <c r="AD818">
        <v>-0.15279980000000001</v>
      </c>
      <c r="AE818">
        <v>-5.2999999999769898E-3</v>
      </c>
      <c r="AF818">
        <v>9.5053892636541104E-4</v>
      </c>
      <c r="AG818">
        <v>-0.15279980000000001</v>
      </c>
      <c r="AH818">
        <v>0.73670467087115998</v>
      </c>
      <c r="AI818">
        <v>101.71755900385</v>
      </c>
      <c r="AJ818">
        <v>89.926073716273294</v>
      </c>
      <c r="AK818">
        <v>0.75238451239221704</v>
      </c>
      <c r="AL818">
        <v>71.145789980962306</v>
      </c>
      <c r="AM818">
        <v>92.215157139011097</v>
      </c>
      <c r="AN818">
        <v>0.99999994824113003</v>
      </c>
    </row>
    <row r="819" spans="1:40" x14ac:dyDescent="0.25">
      <c r="A819" t="str">
        <f>"20190304164836662"</f>
        <v>20190304164836662</v>
      </c>
      <c r="B819" t="str">
        <f>"1551689316657066"</f>
        <v>1551689316657066</v>
      </c>
      <c r="C819" t="s">
        <v>40</v>
      </c>
      <c r="D819">
        <v>4.7455749999999997</v>
      </c>
      <c r="E819">
        <v>0.53425059999999902</v>
      </c>
      <c r="F819" t="s">
        <v>41</v>
      </c>
      <c r="G819">
        <v>-311.6696</v>
      </c>
      <c r="H819">
        <v>0.94818899999999995</v>
      </c>
      <c r="I819">
        <v>367.76170000000002</v>
      </c>
      <c r="J819">
        <v>-312.2636</v>
      </c>
      <c r="K819">
        <v>1.0665830000000001</v>
      </c>
      <c r="L819">
        <v>367.76220000000001</v>
      </c>
      <c r="M819">
        <v>0.99984569999999995</v>
      </c>
      <c r="N819">
        <v>-1.6641240000000002E-2</v>
      </c>
      <c r="O819">
        <v>-5.6279069999999997E-3</v>
      </c>
      <c r="P819">
        <v>0.95104549999999999</v>
      </c>
      <c r="Q819">
        <v>0.30747229999999998</v>
      </c>
      <c r="R819">
        <v>3.120568E-2</v>
      </c>
      <c r="S819">
        <v>3.3172609999999998</v>
      </c>
      <c r="T819">
        <v>-0.50449179999999905</v>
      </c>
      <c r="U819">
        <v>-6.9885249999999998E-3</v>
      </c>
      <c r="V819">
        <v>-3.6545889999999998E-2</v>
      </c>
      <c r="W819">
        <v>0.3232546</v>
      </c>
      <c r="X819">
        <v>0.9456061</v>
      </c>
      <c r="Y819">
        <v>-3.4269119999999998E-3</v>
      </c>
      <c r="Z819">
        <v>1.0456040000000001E-3</v>
      </c>
      <c r="AA819">
        <v>0.99999360000000004</v>
      </c>
      <c r="AB819">
        <v>35</v>
      </c>
      <c r="AC819">
        <v>0.59399999999999398</v>
      </c>
      <c r="AD819">
        <v>-0.118394</v>
      </c>
      <c r="AE819">
        <v>-4.9999999998817603E-4</v>
      </c>
      <c r="AF819">
        <v>-2.7348020295340299E-3</v>
      </c>
      <c r="AG819">
        <v>-0.118394</v>
      </c>
      <c r="AH819">
        <v>0.57129744901412205</v>
      </c>
      <c r="AI819">
        <v>101.70794594456601</v>
      </c>
      <c r="AJ819">
        <v>90.274272915960395</v>
      </c>
      <c r="AK819">
        <v>0.58344270809410603</v>
      </c>
      <c r="AL819">
        <v>71.1401363970202</v>
      </c>
      <c r="AM819">
        <v>92.213272143542099</v>
      </c>
      <c r="AN819">
        <v>1.00000001742713</v>
      </c>
    </row>
    <row r="820" spans="1:40" x14ac:dyDescent="0.25">
      <c r="A820" t="str">
        <f>"20190304164836673"</f>
        <v>20190304164836673</v>
      </c>
      <c r="B820" t="str">
        <f>"1551689316666827"</f>
        <v>1551689316666827</v>
      </c>
      <c r="C820" t="s">
        <v>40</v>
      </c>
      <c r="D820">
        <v>4.7236320000000003</v>
      </c>
      <c r="E820">
        <v>0.53317789999999998</v>
      </c>
      <c r="F820" t="s">
        <v>41</v>
      </c>
      <c r="G820">
        <v>-311.36180000000002</v>
      </c>
      <c r="H820">
        <v>0.93710740000000003</v>
      </c>
      <c r="I820">
        <v>367.76310000000001</v>
      </c>
      <c r="J820">
        <v>-312.08760000000001</v>
      </c>
      <c r="K820">
        <v>1.0660590000000001</v>
      </c>
      <c r="L820">
        <v>367.76130000000001</v>
      </c>
      <c r="M820">
        <v>0.99984930000000005</v>
      </c>
      <c r="N820">
        <v>-1.6426650000000001E-2</v>
      </c>
      <c r="O820">
        <v>-5.6278069999999899E-3</v>
      </c>
      <c r="P820">
        <v>0.95094040000000002</v>
      </c>
      <c r="Q820">
        <v>0.30779210000000001</v>
      </c>
      <c r="R820">
        <v>3.1248040000000001E-2</v>
      </c>
      <c r="S820">
        <v>3.3078609999999999</v>
      </c>
      <c r="T820">
        <v>-0.47492909999999999</v>
      </c>
      <c r="U820">
        <v>3.2043459999999998E-3</v>
      </c>
      <c r="V820">
        <v>-3.6586750000000001E-2</v>
      </c>
      <c r="W820">
        <v>0.32336969999999998</v>
      </c>
      <c r="X820">
        <v>0.94556519999999999</v>
      </c>
      <c r="Y820">
        <v>-6.4778889999999997E-3</v>
      </c>
      <c r="Z820">
        <v>1.2280310000000001E-3</v>
      </c>
      <c r="AA820">
        <v>0.99997820000000004</v>
      </c>
      <c r="AB820">
        <v>35</v>
      </c>
      <c r="AC820">
        <v>0.72579999999999201</v>
      </c>
      <c r="AD820">
        <v>-0.1289516</v>
      </c>
      <c r="AE820">
        <v>1.8000000000029099E-3</v>
      </c>
      <c r="AF820">
        <v>-5.7050987119111798E-3</v>
      </c>
      <c r="AG820">
        <v>-0.1289516</v>
      </c>
      <c r="AH820">
        <v>0.70356962970127201</v>
      </c>
      <c r="AI820">
        <v>100.38567439155101</v>
      </c>
      <c r="AJ820">
        <v>90.464589288726202</v>
      </c>
      <c r="AK820">
        <v>0.71531202082158396</v>
      </c>
      <c r="AL820">
        <v>71.133168006301204</v>
      </c>
      <c r="AM820">
        <v>92.215839964894499</v>
      </c>
      <c r="AN820">
        <v>1.0000000503023401</v>
      </c>
    </row>
    <row r="821" spans="1:40" x14ac:dyDescent="0.25">
      <c r="A821" t="str">
        <f>"20190304164836684"</f>
        <v>20190304164836684</v>
      </c>
      <c r="B821" t="str">
        <f>"1551689316677563"</f>
        <v>1551689316677563</v>
      </c>
      <c r="C821" t="s">
        <v>40</v>
      </c>
      <c r="D821">
        <v>4.7154600000000002</v>
      </c>
      <c r="E821">
        <v>0.53240069999999995</v>
      </c>
      <c r="F821" t="s">
        <v>41</v>
      </c>
      <c r="G821">
        <v>-311.34840000000003</v>
      </c>
      <c r="H821">
        <v>0.9646441</v>
      </c>
      <c r="I821">
        <v>367.76339999999999</v>
      </c>
      <c r="J821">
        <v>-311.91390000000001</v>
      </c>
      <c r="K821">
        <v>1.06559</v>
      </c>
      <c r="L821">
        <v>367.76029999999997</v>
      </c>
      <c r="M821">
        <v>0.99985259999999998</v>
      </c>
      <c r="N821">
        <v>-1.6229239999999999E-2</v>
      </c>
      <c r="O821">
        <v>-5.6277489999999996E-3</v>
      </c>
      <c r="P821">
        <v>0.95084049999999998</v>
      </c>
      <c r="Q821">
        <v>0.30808829999999998</v>
      </c>
      <c r="R821">
        <v>3.1375769999999997E-2</v>
      </c>
      <c r="S821">
        <v>3.3009949999999999</v>
      </c>
      <c r="T821">
        <v>-0.45275880000000002</v>
      </c>
      <c r="U821">
        <v>9.6740720000000006E-3</v>
      </c>
      <c r="V821">
        <v>-3.671427E-2</v>
      </c>
      <c r="W821">
        <v>0.32347749999999997</v>
      </c>
      <c r="X821">
        <v>0.94552329999999996</v>
      </c>
      <c r="Y821">
        <v>-8.4297529999999999E-3</v>
      </c>
      <c r="Z821">
        <v>1.321504E-3</v>
      </c>
      <c r="AA821">
        <v>0.99996359999999995</v>
      </c>
      <c r="AB821">
        <v>35</v>
      </c>
      <c r="AC821">
        <v>0.56549999999998501</v>
      </c>
      <c r="AD821">
        <v>-0.10094590000000001</v>
      </c>
      <c r="AE821">
        <v>3.1000000000176399E-3</v>
      </c>
      <c r="AF821">
        <v>-6.0888472112428501E-3</v>
      </c>
      <c r="AG821">
        <v>-0.10094590000000001</v>
      </c>
      <c r="AH821">
        <v>0.54801179430969105</v>
      </c>
      <c r="AI821">
        <v>100.436477149474</v>
      </c>
      <c r="AJ821">
        <v>90.636575519376905</v>
      </c>
      <c r="AK821">
        <v>0.55726481630343305</v>
      </c>
      <c r="AL821">
        <v>71.1266391487936</v>
      </c>
      <c r="AM821">
        <v>92.223653783520703</v>
      </c>
      <c r="AN821">
        <v>0.99999997073538505</v>
      </c>
    </row>
    <row r="822" spans="1:40" x14ac:dyDescent="0.25">
      <c r="A822" t="str">
        <f>"20190304164836695"</f>
        <v>20190304164836695</v>
      </c>
      <c r="B822" t="str">
        <f>"1551689316687322"</f>
        <v>1551689316687322</v>
      </c>
      <c r="C822" t="s">
        <v>40</v>
      </c>
      <c r="D822">
        <v>4.7256019999999896</v>
      </c>
      <c r="E822">
        <v>0.53194799999999998</v>
      </c>
      <c r="F822" t="s">
        <v>41</v>
      </c>
      <c r="G822">
        <v>-311.04239999999999</v>
      </c>
      <c r="H822">
        <v>0.95012189999999996</v>
      </c>
      <c r="I822">
        <v>367.76420000000002</v>
      </c>
      <c r="J822">
        <v>-311.7475</v>
      </c>
      <c r="K822">
        <v>1.0651539999999999</v>
      </c>
      <c r="L822">
        <v>367.75940000000003</v>
      </c>
      <c r="M822">
        <v>0.99985550000000001</v>
      </c>
      <c r="N822">
        <v>-1.6042609999999999E-2</v>
      </c>
      <c r="O822">
        <v>-5.6275580000000004E-3</v>
      </c>
      <c r="P822">
        <v>0.95075259999999995</v>
      </c>
      <c r="Q822">
        <v>0.30836449999999999</v>
      </c>
      <c r="R822">
        <v>3.1322469999999998E-2</v>
      </c>
      <c r="S822">
        <v>3.2961119999999999</v>
      </c>
      <c r="T822">
        <v>-0.43680740000000001</v>
      </c>
      <c r="U822">
        <v>1.4892580000000001E-2</v>
      </c>
      <c r="V822">
        <v>-3.666022E-2</v>
      </c>
      <c r="W822">
        <v>0.32357590000000003</v>
      </c>
      <c r="X822">
        <v>0.94549179999999999</v>
      </c>
      <c r="Y822">
        <v>-1.0010120000000001E-2</v>
      </c>
      <c r="Z822">
        <v>1.393666E-3</v>
      </c>
      <c r="AA822">
        <v>0.99994890000000003</v>
      </c>
      <c r="AB822">
        <v>35</v>
      </c>
      <c r="AC822">
        <v>0.70510000000001505</v>
      </c>
      <c r="AD822">
        <v>-0.1150321</v>
      </c>
      <c r="AE822">
        <v>4.7999999999888097E-3</v>
      </c>
      <c r="AF822">
        <v>-8.5411092922872793E-3</v>
      </c>
      <c r="AG822">
        <v>-0.1150321</v>
      </c>
      <c r="AH822">
        <v>0.68678349150891405</v>
      </c>
      <c r="AI822">
        <v>99.507714621476893</v>
      </c>
      <c r="AJ822">
        <v>90.712516089770006</v>
      </c>
      <c r="AK822">
        <v>0.69640282795773301</v>
      </c>
      <c r="AL822">
        <v>71.120682142092093</v>
      </c>
      <c r="AM822">
        <v>92.220457344944194</v>
      </c>
      <c r="AN822">
        <v>1.0000000393292401</v>
      </c>
    </row>
    <row r="823" spans="1:40" x14ac:dyDescent="0.25">
      <c r="A823" t="str">
        <f>"20190304164836705"</f>
        <v>20190304164836705</v>
      </c>
      <c r="B823" t="str">
        <f>"1551689316697083"</f>
        <v>1551689316697083</v>
      </c>
      <c r="C823" t="s">
        <v>40</v>
      </c>
      <c r="D823">
        <v>4.7362479999999998</v>
      </c>
      <c r="E823">
        <v>0.5316206</v>
      </c>
      <c r="F823" t="s">
        <v>41</v>
      </c>
      <c r="G823">
        <v>-310.73680000000002</v>
      </c>
      <c r="H823">
        <v>0.93506869999999997</v>
      </c>
      <c r="I823">
        <v>367.76459999999997</v>
      </c>
      <c r="J823">
        <v>-311.57810000000001</v>
      </c>
      <c r="K823">
        <v>1.0647709999999999</v>
      </c>
      <c r="L823">
        <v>367.75839999999999</v>
      </c>
      <c r="M823">
        <v>0.99985829999999998</v>
      </c>
      <c r="N823">
        <v>-1.586825E-2</v>
      </c>
      <c r="O823">
        <v>-5.627717E-3</v>
      </c>
      <c r="P823">
        <v>0.95079119999999995</v>
      </c>
      <c r="Q823">
        <v>0.30824179999999901</v>
      </c>
      <c r="R823">
        <v>3.1357990000000002E-2</v>
      </c>
      <c r="S823">
        <v>3.2922669999999998</v>
      </c>
      <c r="T823">
        <v>-0.42380010000000001</v>
      </c>
      <c r="U823">
        <v>1.742554E-2</v>
      </c>
      <c r="V823">
        <v>-3.6696930000000003E-2</v>
      </c>
      <c r="W823">
        <v>0.32328889999999999</v>
      </c>
      <c r="X823">
        <v>0.94558850000000005</v>
      </c>
      <c r="Y823">
        <v>-1.0785319999999999E-2</v>
      </c>
      <c r="Z823">
        <v>1.4097580000000001E-3</v>
      </c>
      <c r="AA823">
        <v>0.99994090000000002</v>
      </c>
      <c r="AB823">
        <v>35</v>
      </c>
      <c r="AC823">
        <v>0.84129999999998895</v>
      </c>
      <c r="AD823">
        <v>-0.12970229999999899</v>
      </c>
      <c r="AE823">
        <v>6.1999999999784398E-3</v>
      </c>
      <c r="AF823">
        <v>-1.0681237669904E-2</v>
      </c>
      <c r="AG823">
        <v>-0.12970229999999899</v>
      </c>
      <c r="AH823">
        <v>0.82172210527952005</v>
      </c>
      <c r="AI823">
        <v>98.968935813743599</v>
      </c>
      <c r="AJ823">
        <v>90.744723027428194</v>
      </c>
      <c r="AK823">
        <v>0.83196393778123401</v>
      </c>
      <c r="AL823">
        <v>71.138059192866606</v>
      </c>
      <c r="AM823">
        <v>92.222451515583003</v>
      </c>
      <c r="AN823">
        <v>0.99999999443344201</v>
      </c>
    </row>
    <row r="824" spans="1:40" x14ac:dyDescent="0.25">
      <c r="A824" t="str">
        <f>"20190304164836717"</f>
        <v>20190304164836717</v>
      </c>
      <c r="B824" t="str">
        <f>"1551689316706843"</f>
        <v>1551689316706843</v>
      </c>
      <c r="C824" t="s">
        <v>40</v>
      </c>
      <c r="D824">
        <v>4.7234829999999999</v>
      </c>
      <c r="E824">
        <v>0.5315571</v>
      </c>
      <c r="F824" t="s">
        <v>41</v>
      </c>
      <c r="G824">
        <v>-310.72609999999997</v>
      </c>
      <c r="H824">
        <v>0.95720229999999995</v>
      </c>
      <c r="I824">
        <v>367.76339999999999</v>
      </c>
      <c r="J824">
        <v>-311.4067</v>
      </c>
      <c r="K824">
        <v>1.0643959999999999</v>
      </c>
      <c r="L824">
        <v>367.75740000000002</v>
      </c>
      <c r="M824">
        <v>0.99986109999999995</v>
      </c>
      <c r="N824">
        <v>-1.5694710000000001E-2</v>
      </c>
      <c r="O824">
        <v>-5.6277810000000001E-3</v>
      </c>
      <c r="P824">
        <v>0.95090870000000005</v>
      </c>
      <c r="Q824">
        <v>0.30787930000000002</v>
      </c>
      <c r="R824">
        <v>3.1359890000000001E-2</v>
      </c>
      <c r="S824">
        <v>3.2892459999999999</v>
      </c>
      <c r="T824">
        <v>-0.41531800000000002</v>
      </c>
      <c r="U824">
        <v>1.9744870000000001E-2</v>
      </c>
      <c r="V824">
        <v>-3.6699379999999997E-2</v>
      </c>
      <c r="W824">
        <v>0.322764099999999</v>
      </c>
      <c r="X824">
        <v>0.94576769999999999</v>
      </c>
      <c r="Y824">
        <v>-1.149407E-2</v>
      </c>
      <c r="Z824">
        <v>1.4331350000000001E-3</v>
      </c>
      <c r="AA824">
        <v>0.99993290000000001</v>
      </c>
      <c r="AB824">
        <v>35</v>
      </c>
      <c r="AC824">
        <v>0.68060000000002596</v>
      </c>
      <c r="AD824">
        <v>-0.107193699999999</v>
      </c>
      <c r="AE824">
        <v>5.9999999999717996E-3</v>
      </c>
      <c r="AF824">
        <v>-9.5927070806078405E-3</v>
      </c>
      <c r="AG824">
        <v>-0.107193699999999</v>
      </c>
      <c r="AH824">
        <v>0.66408355189401302</v>
      </c>
      <c r="AI824">
        <v>99.168423984943004</v>
      </c>
      <c r="AJ824">
        <v>90.827581718033002</v>
      </c>
      <c r="AK824">
        <v>0.67274770400573902</v>
      </c>
      <c r="AL824">
        <v>71.169831933248105</v>
      </c>
      <c r="AM824">
        <v>92.222179038063004</v>
      </c>
      <c r="AN824">
        <v>1.0000000255522401</v>
      </c>
    </row>
    <row r="825" spans="1:40" x14ac:dyDescent="0.25">
      <c r="A825" t="str">
        <f>"20190304164836728"</f>
        <v>20190304164836728</v>
      </c>
      <c r="B825" t="str">
        <f>"1551689316717578"</f>
        <v>1551689316717578</v>
      </c>
      <c r="C825" t="s">
        <v>40</v>
      </c>
      <c r="D825">
        <v>4.6984579999999996</v>
      </c>
      <c r="E825">
        <v>0.53145810000000004</v>
      </c>
      <c r="F825" t="s">
        <v>41</v>
      </c>
      <c r="G825">
        <v>-310.42099999999999</v>
      </c>
      <c r="H825">
        <v>0.9414209</v>
      </c>
      <c r="I825">
        <v>367.76319999999998</v>
      </c>
      <c r="J825">
        <v>-311.2296</v>
      </c>
      <c r="K825">
        <v>1.0640480000000001</v>
      </c>
      <c r="L825">
        <v>367.75639999999999</v>
      </c>
      <c r="M825">
        <v>0.99986359999999996</v>
      </c>
      <c r="N825">
        <v>-1.552837E-2</v>
      </c>
      <c r="O825">
        <v>-5.6270879999999997E-3</v>
      </c>
      <c r="P825">
        <v>0.95093119999999998</v>
      </c>
      <c r="Q825">
        <v>0.30778719999999998</v>
      </c>
      <c r="R825">
        <v>3.1573089999999998E-2</v>
      </c>
      <c r="S825">
        <v>3.2870180000000002</v>
      </c>
      <c r="T825">
        <v>-0.41020889999999999</v>
      </c>
      <c r="U825">
        <v>1.9958500000000001E-2</v>
      </c>
      <c r="V825">
        <v>-3.6911480000000003E-2</v>
      </c>
      <c r="W825">
        <v>0.32251489999999999</v>
      </c>
      <c r="X825">
        <v>0.94584440000000003</v>
      </c>
      <c r="Y825">
        <v>-1.1564949999999999E-2</v>
      </c>
      <c r="Z825">
        <v>1.4214620000000001E-3</v>
      </c>
      <c r="AA825">
        <v>0.99993209999999999</v>
      </c>
      <c r="AB825">
        <v>35</v>
      </c>
      <c r="AC825">
        <v>0.80860000000001198</v>
      </c>
      <c r="AD825">
        <v>-0.122627099999999</v>
      </c>
      <c r="AE825">
        <v>6.7999999999983603E-3</v>
      </c>
      <c r="AF825">
        <v>-1.1095342643906599E-2</v>
      </c>
      <c r="AG825">
        <v>-0.122627099999999</v>
      </c>
      <c r="AH825">
        <v>0.79037257967397501</v>
      </c>
      <c r="AI825">
        <v>98.818326544179698</v>
      </c>
      <c r="AJ825">
        <v>90.804272019422299</v>
      </c>
      <c r="AK825">
        <v>0.79990582382133502</v>
      </c>
      <c r="AL825">
        <v>71.184915732729607</v>
      </c>
      <c r="AM825">
        <v>92.234827832152604</v>
      </c>
      <c r="AN825">
        <v>0.99999997354458003</v>
      </c>
    </row>
    <row r="826" spans="1:40" x14ac:dyDescent="0.25">
      <c r="A826" t="str">
        <f>"20190304164836740"</f>
        <v>20190304164836740</v>
      </c>
      <c r="B826" t="str">
        <f>"1551689316737098"</f>
        <v>1551689316737098</v>
      </c>
      <c r="C826" t="s">
        <v>40</v>
      </c>
      <c r="D826">
        <v>4.7364629999999996</v>
      </c>
      <c r="E826">
        <v>0.53121099999999999</v>
      </c>
      <c r="F826" t="s">
        <v>41</v>
      </c>
      <c r="G826">
        <v>-310.41059999999999</v>
      </c>
      <c r="H826">
        <v>0.96303340000000004</v>
      </c>
      <c r="I826">
        <v>367.76139999999998</v>
      </c>
      <c r="J826">
        <v>-311.05540000000002</v>
      </c>
      <c r="K826">
        <v>1.063728</v>
      </c>
      <c r="L826">
        <v>367.75549999999998</v>
      </c>
      <c r="M826">
        <v>0.99986609999999998</v>
      </c>
      <c r="N826">
        <v>-1.537084E-2</v>
      </c>
      <c r="O826">
        <v>-5.626949E-3</v>
      </c>
      <c r="P826">
        <v>0.95087149999999998</v>
      </c>
      <c r="Q826">
        <v>0.307944299999999</v>
      </c>
      <c r="R826">
        <v>3.1839529999999998E-2</v>
      </c>
      <c r="S826">
        <v>3.285339</v>
      </c>
      <c r="T826">
        <v>-0.4053659</v>
      </c>
      <c r="U826">
        <v>2.0446780000000001E-2</v>
      </c>
      <c r="V826">
        <v>-3.7177479999999999E-2</v>
      </c>
      <c r="W826">
        <v>0.32252219999999998</v>
      </c>
      <c r="X826">
        <v>0.94583150000000005</v>
      </c>
      <c r="Y826">
        <v>-1.171821E-2</v>
      </c>
      <c r="Z826">
        <v>1.416095E-3</v>
      </c>
      <c r="AA826">
        <v>0.99993030000000005</v>
      </c>
      <c r="AB826">
        <v>35</v>
      </c>
      <c r="AC826">
        <v>0.64480000000003201</v>
      </c>
      <c r="AD826">
        <v>-0.100694599999999</v>
      </c>
      <c r="AE826">
        <v>5.8999999999968999E-3</v>
      </c>
      <c r="AF826">
        <v>-9.3017664759118199E-3</v>
      </c>
      <c r="AG826">
        <v>-0.100694599999999</v>
      </c>
      <c r="AH826">
        <v>0.62940835137728801</v>
      </c>
      <c r="AI826">
        <v>99.088348124940694</v>
      </c>
      <c r="AJ826">
        <v>90.846689061114404</v>
      </c>
      <c r="AK826">
        <v>0.63748003742251302</v>
      </c>
      <c r="AL826">
        <v>71.1844739961589</v>
      </c>
      <c r="AM826">
        <v>92.2509471242508</v>
      </c>
      <c r="AN826">
        <v>0.99999998045212002</v>
      </c>
    </row>
    <row r="827" spans="1:40" x14ac:dyDescent="0.25">
      <c r="A827" t="str">
        <f>"20190304164836751"</f>
        <v>20190304164836751</v>
      </c>
      <c r="B827" t="str">
        <f>"1551689316746860"</f>
        <v>1551689316746860</v>
      </c>
      <c r="C827" t="s">
        <v>40</v>
      </c>
      <c r="D827">
        <v>4.7642110000000004</v>
      </c>
      <c r="E827">
        <v>0.53112380000000003</v>
      </c>
      <c r="F827" t="s">
        <v>41</v>
      </c>
      <c r="G827">
        <v>-310.10489999999999</v>
      </c>
      <c r="H827">
        <v>0.94887259999999995</v>
      </c>
      <c r="I827">
        <v>367.76159999999999</v>
      </c>
      <c r="J827">
        <v>-310.86489999999998</v>
      </c>
      <c r="K827">
        <v>1.0634159999999999</v>
      </c>
      <c r="L827">
        <v>367.7543</v>
      </c>
      <c r="M827">
        <v>0.9998686</v>
      </c>
      <c r="N827">
        <v>-1.520816E-2</v>
      </c>
      <c r="O827">
        <v>-5.6271339999999998E-3</v>
      </c>
      <c r="P827">
        <v>0.95089109999999999</v>
      </c>
      <c r="Q827">
        <v>0.30788330000000003</v>
      </c>
      <c r="R827">
        <v>3.1843000000000003E-2</v>
      </c>
      <c r="S827">
        <v>3.2827760000000001</v>
      </c>
      <c r="T827">
        <v>-0.39674809999999999</v>
      </c>
      <c r="U827">
        <v>2.157593E-2</v>
      </c>
      <c r="V827">
        <v>-3.7181260000000001E-2</v>
      </c>
      <c r="W827">
        <v>0.32230730000000002</v>
      </c>
      <c r="X827">
        <v>0.94590459999999998</v>
      </c>
      <c r="Y827">
        <v>-1.206963E-2</v>
      </c>
      <c r="Z827">
        <v>1.4111589999999999E-3</v>
      </c>
      <c r="AA827">
        <v>0.99992610000000004</v>
      </c>
      <c r="AB827">
        <v>35</v>
      </c>
      <c r="AC827">
        <v>0.75999999999999002</v>
      </c>
      <c r="AD827">
        <v>-0.114543399999999</v>
      </c>
      <c r="AE827">
        <v>7.2999999999865299E-3</v>
      </c>
      <c r="AF827">
        <v>-1.13198927545154E-2</v>
      </c>
      <c r="AG827">
        <v>-0.114543399999999</v>
      </c>
      <c r="AH827">
        <v>0.74306960444497205</v>
      </c>
      <c r="AI827">
        <v>98.762108465524804</v>
      </c>
      <c r="AJ827">
        <v>90.872774111020703</v>
      </c>
      <c r="AK827">
        <v>0.75193135824059198</v>
      </c>
      <c r="AL827">
        <v>71.197481411433301</v>
      </c>
      <c r="AM827">
        <v>92.251001959553804</v>
      </c>
      <c r="AN827">
        <v>0.99999997701481802</v>
      </c>
    </row>
    <row r="828" spans="1:40" x14ac:dyDescent="0.25">
      <c r="A828" t="str">
        <f>"20190304164836764"</f>
        <v>20190304164836764</v>
      </c>
      <c r="B828" t="str">
        <f>"1551689316757596"</f>
        <v>1551689316757596</v>
      </c>
      <c r="C828" t="s">
        <v>40</v>
      </c>
      <c r="D828">
        <v>4.7289729999999999</v>
      </c>
      <c r="E828">
        <v>0.53101399999999999</v>
      </c>
      <c r="F828" t="s">
        <v>41</v>
      </c>
      <c r="G828">
        <v>-310.09410000000003</v>
      </c>
      <c r="H828">
        <v>0.97095129999999996</v>
      </c>
      <c r="I828">
        <v>367.75920000000002</v>
      </c>
      <c r="J828">
        <v>-310.67930000000001</v>
      </c>
      <c r="K828">
        <v>1.0631360000000001</v>
      </c>
      <c r="L828">
        <v>367.75330000000002</v>
      </c>
      <c r="M828">
        <v>0.99987090000000001</v>
      </c>
      <c r="N828">
        <v>-1.5060399999999899E-2</v>
      </c>
      <c r="O828">
        <v>-5.6272079999999999E-3</v>
      </c>
      <c r="P828">
        <v>0.95087219999999995</v>
      </c>
      <c r="Q828">
        <v>0.30793429999999999</v>
      </c>
      <c r="R828">
        <v>3.1917069999999999E-2</v>
      </c>
      <c r="S828">
        <v>3.2817379999999998</v>
      </c>
      <c r="T828">
        <v>-0.39375640000000001</v>
      </c>
      <c r="U828">
        <v>2.111816E-2</v>
      </c>
      <c r="V828">
        <v>-3.7255509999999999E-2</v>
      </c>
      <c r="W828">
        <v>0.32221880000000003</v>
      </c>
      <c r="X828">
        <v>0.94593190000000005</v>
      </c>
      <c r="Y828">
        <v>-1.193526E-2</v>
      </c>
      <c r="Z828">
        <v>1.391967E-3</v>
      </c>
      <c r="AA828">
        <v>0.99992780000000003</v>
      </c>
      <c r="AB828">
        <v>35</v>
      </c>
      <c r="AC828">
        <v>0.58519999999998595</v>
      </c>
      <c r="AD828">
        <v>-9.2184699999999994E-2</v>
      </c>
      <c r="AE828">
        <v>5.8999999999968999E-3</v>
      </c>
      <c r="AF828">
        <v>-8.9707381503376996E-3</v>
      </c>
      <c r="AG828">
        <v>-9.2184699999999994E-2</v>
      </c>
      <c r="AH828">
        <v>0.57099002127186005</v>
      </c>
      <c r="AI828">
        <v>99.169990996204902</v>
      </c>
      <c r="AJ828">
        <v>90.900091303006803</v>
      </c>
      <c r="AK828">
        <v>0.57845319382737503</v>
      </c>
      <c r="AL828">
        <v>71.202839155188002</v>
      </c>
      <c r="AM828">
        <v>92.255427486144399</v>
      </c>
      <c r="AN828">
        <v>1.0000000437682</v>
      </c>
    </row>
    <row r="829" spans="1:40" x14ac:dyDescent="0.25">
      <c r="A829" t="str">
        <f>"20190304164836778"</f>
        <v>20190304164836778</v>
      </c>
      <c r="B829" t="str">
        <f>"1551689316767354"</f>
        <v>1551689316767354</v>
      </c>
      <c r="C829" t="s">
        <v>40</v>
      </c>
      <c r="D829">
        <v>4.7399579999999997</v>
      </c>
      <c r="E829">
        <v>0.53088639999999998</v>
      </c>
      <c r="F829" t="s">
        <v>41</v>
      </c>
      <c r="G829">
        <v>-309.78829999999999</v>
      </c>
      <c r="H829">
        <v>0.957202</v>
      </c>
      <c r="I829">
        <v>367.75900000000001</v>
      </c>
      <c r="J829">
        <v>-310.46850000000001</v>
      </c>
      <c r="K829">
        <v>1.06284</v>
      </c>
      <c r="L829">
        <v>367.75209999999998</v>
      </c>
      <c r="M829">
        <v>0.99987320000000002</v>
      </c>
      <c r="N829">
        <v>-1.489979E-2</v>
      </c>
      <c r="O829">
        <v>-5.6275569999999896E-3</v>
      </c>
      <c r="P829">
        <v>0.95093490000000003</v>
      </c>
      <c r="Q829">
        <v>0.3077066</v>
      </c>
      <c r="R829">
        <v>3.224254E-2</v>
      </c>
      <c r="S829">
        <v>3.2806700000000002</v>
      </c>
      <c r="T829">
        <v>-0.39016650000000003</v>
      </c>
      <c r="U829">
        <v>2.1240229999999999E-2</v>
      </c>
      <c r="V829">
        <v>-3.7581780000000002E-2</v>
      </c>
      <c r="W829">
        <v>0.32184000000000001</v>
      </c>
      <c r="X829">
        <v>0.94604790000000005</v>
      </c>
      <c r="Y829">
        <v>-1.1976789999999999E-2</v>
      </c>
      <c r="Z829">
        <v>1.3825969999999999E-3</v>
      </c>
      <c r="AA829">
        <v>0.99992729999999996</v>
      </c>
      <c r="AB829">
        <v>35</v>
      </c>
      <c r="AC829">
        <v>0.68020000000001302</v>
      </c>
      <c r="AD829">
        <v>-0.105638</v>
      </c>
      <c r="AE829">
        <v>6.9000000000300999E-3</v>
      </c>
      <c r="AF829">
        <v>-1.0475541663780501E-2</v>
      </c>
      <c r="AG829">
        <v>-0.105638</v>
      </c>
      <c r="AH829">
        <v>0.66413351694114797</v>
      </c>
      <c r="AI829">
        <v>99.036727672087807</v>
      </c>
      <c r="AJ829">
        <v>90.9036655153851</v>
      </c>
      <c r="AK829">
        <v>0.67256408790669797</v>
      </c>
      <c r="AL829">
        <v>71.225763205327794</v>
      </c>
      <c r="AM829">
        <v>92.2748803438339</v>
      </c>
      <c r="AN829">
        <v>1.0000000024411799</v>
      </c>
    </row>
    <row r="830" spans="1:40" x14ac:dyDescent="0.25">
      <c r="A830" t="str">
        <f>"20190304164836790"</f>
        <v>20190304164836790</v>
      </c>
      <c r="B830" t="str">
        <f>"1551689316786875"</f>
        <v>1551689316786875</v>
      </c>
      <c r="C830" t="s">
        <v>40</v>
      </c>
      <c r="D830">
        <v>4.8006719999999996</v>
      </c>
      <c r="E830">
        <v>0.53071679999999999</v>
      </c>
      <c r="F830" t="s">
        <v>41</v>
      </c>
      <c r="G830">
        <v>-309.48140000000001</v>
      </c>
      <c r="H830">
        <v>0.94595589999999996</v>
      </c>
      <c r="I830">
        <v>367.75880000000001</v>
      </c>
      <c r="J830">
        <v>-310.25599999999997</v>
      </c>
      <c r="K830">
        <v>1.062578</v>
      </c>
      <c r="L830">
        <v>367.7509</v>
      </c>
      <c r="M830">
        <v>0.99987539999999997</v>
      </c>
      <c r="N830">
        <v>-1.475103E-2</v>
      </c>
      <c r="O830">
        <v>-5.6275319999999898E-3</v>
      </c>
      <c r="P830">
        <v>0.95103930000000003</v>
      </c>
      <c r="Q830">
        <v>0.30737560000000003</v>
      </c>
      <c r="R830">
        <v>3.2320960000000003E-2</v>
      </c>
      <c r="S830">
        <v>3.2796940000000001</v>
      </c>
      <c r="T830">
        <v>-0.38839289999999999</v>
      </c>
      <c r="U830">
        <v>2.2186279999999999E-2</v>
      </c>
      <c r="V830">
        <v>-3.7660760000000001E-2</v>
      </c>
      <c r="W830">
        <v>0.32136959999999998</v>
      </c>
      <c r="X830">
        <v>0.94620470000000001</v>
      </c>
      <c r="Y830">
        <v>-1.22659E-2</v>
      </c>
      <c r="Z830">
        <v>1.395919E-3</v>
      </c>
      <c r="AA830">
        <v>0.99992380000000003</v>
      </c>
      <c r="AB830">
        <v>35</v>
      </c>
      <c r="AC830">
        <v>0.77459999999996398</v>
      </c>
      <c r="AD830">
        <v>-0.11662209999999899</v>
      </c>
      <c r="AE830">
        <v>7.9000000000064505E-3</v>
      </c>
      <c r="AF830">
        <v>-1.1987729781417499E-2</v>
      </c>
      <c r="AG830">
        <v>-0.11662209999999899</v>
      </c>
      <c r="AH830">
        <v>0.75737708712834995</v>
      </c>
      <c r="AI830">
        <v>98.752661203058196</v>
      </c>
      <c r="AJ830">
        <v>90.906799249036993</v>
      </c>
      <c r="AK830">
        <v>0.76639707200689799</v>
      </c>
      <c r="AL830">
        <v>71.254228123330805</v>
      </c>
      <c r="AM830">
        <v>92.279278706666901</v>
      </c>
      <c r="AN830">
        <v>1.00000004347501</v>
      </c>
    </row>
    <row r="831" spans="1:40" x14ac:dyDescent="0.25">
      <c r="A831" t="str">
        <f>"20190304164836804"</f>
        <v>20190304164836804</v>
      </c>
      <c r="B831" t="str">
        <f>"1551689316797611"</f>
        <v>1551689316797611</v>
      </c>
      <c r="C831" t="s">
        <v>40</v>
      </c>
      <c r="D831">
        <v>4.7767269999999904</v>
      </c>
      <c r="E831">
        <v>0.53059419999999902</v>
      </c>
      <c r="F831" t="s">
        <v>41</v>
      </c>
      <c r="G831">
        <v>-309.46969999999999</v>
      </c>
      <c r="H831">
        <v>0.97000399999999998</v>
      </c>
      <c r="I831">
        <v>367.75639999999999</v>
      </c>
      <c r="J831">
        <v>-310.04640000000001</v>
      </c>
      <c r="K831">
        <v>1.062346</v>
      </c>
      <c r="L831">
        <v>367.74979999999999</v>
      </c>
      <c r="M831">
        <v>0.99987729999999997</v>
      </c>
      <c r="N831">
        <v>-1.461408E-2</v>
      </c>
      <c r="O831">
        <v>-5.6271269999999896E-3</v>
      </c>
      <c r="P831">
        <v>0.9510362</v>
      </c>
      <c r="Q831">
        <v>0.3073497</v>
      </c>
      <c r="R831">
        <v>3.2654580000000002E-2</v>
      </c>
      <c r="S831">
        <v>3.2784420000000001</v>
      </c>
      <c r="T831">
        <v>-0.3860381</v>
      </c>
      <c r="U831">
        <v>2.29187E-2</v>
      </c>
      <c r="V831">
        <v>-3.7994050000000001E-2</v>
      </c>
      <c r="W831">
        <v>0.32121430000000001</v>
      </c>
      <c r="X831">
        <v>0.94624410000000003</v>
      </c>
      <c r="Y831">
        <v>-1.249113E-2</v>
      </c>
      <c r="Z831">
        <v>1.4028279999999901E-3</v>
      </c>
      <c r="AA831">
        <v>0.99992099999999995</v>
      </c>
      <c r="AB831">
        <v>35</v>
      </c>
      <c r="AC831">
        <v>0.57670000000001598</v>
      </c>
      <c r="AD831">
        <v>-9.2341999999999896E-2</v>
      </c>
      <c r="AE831">
        <v>6.5999999999917201E-3</v>
      </c>
      <c r="AF831">
        <v>-9.5993230251350207E-3</v>
      </c>
      <c r="AG831">
        <v>-9.2341999999999896E-2</v>
      </c>
      <c r="AH831">
        <v>0.56224041110184897</v>
      </c>
      <c r="AI831">
        <v>99.325617769014599</v>
      </c>
      <c r="AJ831">
        <v>90.978135424729999</v>
      </c>
      <c r="AK831">
        <v>0.56985390394601698</v>
      </c>
      <c r="AL831">
        <v>71.2636241896721</v>
      </c>
      <c r="AM831">
        <v>92.299332657110696</v>
      </c>
      <c r="AN831">
        <v>1.00000003557235</v>
      </c>
    </row>
    <row r="832" spans="1:40" x14ac:dyDescent="0.25">
      <c r="A832" t="str">
        <f>"20190304164836819"</f>
        <v>20190304164836819</v>
      </c>
      <c r="B832" t="str">
        <f>"1551689316807370"</f>
        <v>1551689316807370</v>
      </c>
      <c r="C832" t="s">
        <v>40</v>
      </c>
      <c r="D832">
        <v>4.7482430000000004</v>
      </c>
      <c r="E832">
        <v>0.53049809999999997</v>
      </c>
      <c r="F832" t="s">
        <v>41</v>
      </c>
      <c r="G832">
        <v>-309.16289999999998</v>
      </c>
      <c r="H832">
        <v>0.95865730000000005</v>
      </c>
      <c r="I832">
        <v>367.7561</v>
      </c>
      <c r="J832">
        <v>-309.82330000000002</v>
      </c>
      <c r="K832">
        <v>1.0621229999999999</v>
      </c>
      <c r="L832">
        <v>367.74849999999998</v>
      </c>
      <c r="M832">
        <v>0.99987939999999997</v>
      </c>
      <c r="N832">
        <v>-1.447647E-2</v>
      </c>
      <c r="O832">
        <v>-5.6269650000000003E-3</v>
      </c>
      <c r="P832">
        <v>0.95103559999999998</v>
      </c>
      <c r="Q832">
        <v>0.3073111</v>
      </c>
      <c r="R832">
        <v>3.3037070000000002E-2</v>
      </c>
      <c r="S832">
        <v>3.2779850000000001</v>
      </c>
      <c r="T832">
        <v>-0.38487320000000003</v>
      </c>
      <c r="U832">
        <v>2.44751E-2</v>
      </c>
      <c r="V832">
        <v>-3.8376279999999999E-2</v>
      </c>
      <c r="W832">
        <v>0.32104500000000002</v>
      </c>
      <c r="X832">
        <v>0.94628610000000002</v>
      </c>
      <c r="Y832">
        <v>-1.2963769999999999E-2</v>
      </c>
      <c r="Z832">
        <v>1.42981799999999E-3</v>
      </c>
      <c r="AA832">
        <v>0.99991490000000005</v>
      </c>
      <c r="AB832">
        <v>35</v>
      </c>
      <c r="AC832">
        <v>0.66040000000003796</v>
      </c>
      <c r="AD832">
        <v>-0.10346569999999899</v>
      </c>
      <c r="AE832">
        <v>7.6000000000249202E-3</v>
      </c>
      <c r="AF832">
        <v>-1.10452374877082E-2</v>
      </c>
      <c r="AG832">
        <v>-0.10346569999999899</v>
      </c>
      <c r="AH832">
        <v>0.64452835033537803</v>
      </c>
      <c r="AI832">
        <v>99.118529113613803</v>
      </c>
      <c r="AJ832">
        <v>90.981777686241003</v>
      </c>
      <c r="AK832">
        <v>0.65287360394925897</v>
      </c>
      <c r="AL832">
        <v>71.273866310152101</v>
      </c>
      <c r="AM832">
        <v>92.322336370569701</v>
      </c>
      <c r="AN832">
        <v>1.00000000697242</v>
      </c>
    </row>
    <row r="833" spans="1:40" x14ac:dyDescent="0.25">
      <c r="A833" t="str">
        <f>"20190304164836831"</f>
        <v>20190304164836831</v>
      </c>
      <c r="B833" t="str">
        <f>"1551689316826891"</f>
        <v>1551689316826891</v>
      </c>
      <c r="C833" t="s">
        <v>40</v>
      </c>
      <c r="D833">
        <v>4.7427159999999997</v>
      </c>
      <c r="E833">
        <v>0.53031830000000002</v>
      </c>
      <c r="F833" t="s">
        <v>41</v>
      </c>
      <c r="G833">
        <v>-308.85539999999997</v>
      </c>
      <c r="H833">
        <v>0.94908049999999999</v>
      </c>
      <c r="I833">
        <v>367.75580000000002</v>
      </c>
      <c r="J833">
        <v>-309.61200000000002</v>
      </c>
      <c r="K833">
        <v>1.061936</v>
      </c>
      <c r="L833">
        <v>367.7473</v>
      </c>
      <c r="M833">
        <v>0.99988120000000003</v>
      </c>
      <c r="N833">
        <v>-1.43561E-2</v>
      </c>
      <c r="O833">
        <v>-5.6268150000000003E-3</v>
      </c>
      <c r="P833">
        <v>0.95094500000000004</v>
      </c>
      <c r="Q833">
        <v>0.30754090000000001</v>
      </c>
      <c r="R833">
        <v>3.3497100000000002E-2</v>
      </c>
      <c r="S833">
        <v>3.2772830000000002</v>
      </c>
      <c r="T833">
        <v>-0.38285789999999997</v>
      </c>
      <c r="U833">
        <v>2.5207520000000001E-2</v>
      </c>
      <c r="V833">
        <v>-3.8835380000000003E-2</v>
      </c>
      <c r="W833">
        <v>0.32115959999999899</v>
      </c>
      <c r="X833">
        <v>0.94622839999999997</v>
      </c>
      <c r="Y833">
        <v>-1.318825E-2</v>
      </c>
      <c r="Z833">
        <v>1.437305E-3</v>
      </c>
      <c r="AA833">
        <v>0.99991200000000002</v>
      </c>
      <c r="AB833">
        <v>35</v>
      </c>
      <c r="AC833">
        <v>0.75660000000004801</v>
      </c>
      <c r="AD833">
        <v>-0.1128555</v>
      </c>
      <c r="AE833">
        <v>8.5000000000263701E-3</v>
      </c>
      <c r="AF833">
        <v>-1.24799198852762E-2</v>
      </c>
      <c r="AG833">
        <v>-0.1128555</v>
      </c>
      <c r="AH833">
        <v>0.740076222540479</v>
      </c>
      <c r="AI833">
        <v>98.669124354510302</v>
      </c>
      <c r="AJ833">
        <v>90.966088290145095</v>
      </c>
      <c r="AK833">
        <v>0.74873555241512102</v>
      </c>
      <c r="AL833">
        <v>71.2669315683235</v>
      </c>
      <c r="AM833">
        <v>92.350230935831604</v>
      </c>
      <c r="AN833">
        <v>0.99999993018922895</v>
      </c>
    </row>
    <row r="834" spans="1:40" x14ac:dyDescent="0.25">
      <c r="A834" t="str">
        <f>"20190304164836842"</f>
        <v>20190304164836842</v>
      </c>
      <c r="B834" t="str">
        <f>"1551689316836650"</f>
        <v>1551689316836650</v>
      </c>
      <c r="C834" t="s">
        <v>40</v>
      </c>
      <c r="D834">
        <v>4.7791249999999996</v>
      </c>
      <c r="E834">
        <v>0.53026379999999995</v>
      </c>
      <c r="F834" t="s">
        <v>41</v>
      </c>
      <c r="G834">
        <v>-308.84379999999999</v>
      </c>
      <c r="H834">
        <v>0.97303519999999999</v>
      </c>
      <c r="I834">
        <v>367.75369999999998</v>
      </c>
      <c r="J834">
        <v>-309.45549999999997</v>
      </c>
      <c r="K834">
        <v>1.061812</v>
      </c>
      <c r="L834">
        <v>367.74639999999999</v>
      </c>
      <c r="M834">
        <v>0.9998823</v>
      </c>
      <c r="N834">
        <v>-1.427319E-2</v>
      </c>
      <c r="O834">
        <v>-5.6269369999999898E-3</v>
      </c>
      <c r="P834">
        <v>0.95083419999999996</v>
      </c>
      <c r="Q834">
        <v>0.3078574</v>
      </c>
      <c r="R834">
        <v>3.3734519999999997E-2</v>
      </c>
      <c r="S834">
        <v>3.2764280000000001</v>
      </c>
      <c r="T834">
        <v>-0.3793262</v>
      </c>
      <c r="U834">
        <v>2.8015140000000001E-2</v>
      </c>
      <c r="V834">
        <v>-3.9072559999999999E-2</v>
      </c>
      <c r="W834">
        <v>0.32139630000000002</v>
      </c>
      <c r="X834">
        <v>0.94613829999999999</v>
      </c>
      <c r="Y834">
        <v>-1.404304E-2</v>
      </c>
      <c r="Z834">
        <v>1.479986E-3</v>
      </c>
      <c r="AA834">
        <v>0.99990029999999996</v>
      </c>
      <c r="AB834">
        <v>35</v>
      </c>
      <c r="AC834">
        <v>0.61169999999998403</v>
      </c>
      <c r="AD834">
        <v>-8.87768000000001E-2</v>
      </c>
      <c r="AE834">
        <v>7.2999999999865299E-3</v>
      </c>
      <c r="AF834">
        <v>-1.0520666283259201E-2</v>
      </c>
      <c r="AG834">
        <v>-8.87768000000001E-2</v>
      </c>
      <c r="AH834">
        <v>0.59903353470606502</v>
      </c>
      <c r="AI834">
        <v>98.428597786652404</v>
      </c>
      <c r="AJ834">
        <v>91.006167059918297</v>
      </c>
      <c r="AK834">
        <v>0.60566754935337797</v>
      </c>
      <c r="AL834">
        <v>71.252611090057201</v>
      </c>
      <c r="AM834">
        <v>92.364793220080699</v>
      </c>
      <c r="AN834">
        <v>0.99999996466276597</v>
      </c>
    </row>
    <row r="835" spans="1:40" x14ac:dyDescent="0.25">
      <c r="A835" t="str">
        <f>"20190304164836852"</f>
        <v>20190304164836852</v>
      </c>
      <c r="B835" t="str">
        <f>"1551689316847386"</f>
        <v>1551689316847386</v>
      </c>
      <c r="C835" t="s">
        <v>40</v>
      </c>
      <c r="D835">
        <v>4.7906769999999996</v>
      </c>
      <c r="E835">
        <v>0.53021879999999999</v>
      </c>
      <c r="F835" t="s">
        <v>41</v>
      </c>
      <c r="G835">
        <v>-308.53980000000001</v>
      </c>
      <c r="H835">
        <v>0.95633049999999997</v>
      </c>
      <c r="I835">
        <v>367.75420000000003</v>
      </c>
      <c r="J835">
        <v>-309.29349999999999</v>
      </c>
      <c r="K835">
        <v>1.0616890000000001</v>
      </c>
      <c r="L835">
        <v>367.74549999999999</v>
      </c>
      <c r="M835">
        <v>0.99988359999999998</v>
      </c>
      <c r="N835">
        <v>-1.419018E-2</v>
      </c>
      <c r="O835">
        <v>-5.6269429999999997E-3</v>
      </c>
      <c r="P835">
        <v>0.9507099</v>
      </c>
      <c r="Q835">
        <v>0.30821900000000002</v>
      </c>
      <c r="R835">
        <v>3.394614E-2</v>
      </c>
      <c r="S835">
        <v>3.276367</v>
      </c>
      <c r="T835">
        <v>-0.37750080000000003</v>
      </c>
      <c r="U835">
        <v>2.8778080000000001E-2</v>
      </c>
      <c r="V835">
        <v>-3.9283350000000002E-2</v>
      </c>
      <c r="W835">
        <v>0.32167709999999999</v>
      </c>
      <c r="X835">
        <v>0.94603419999999905</v>
      </c>
      <c r="Y835">
        <v>-1.427558E-2</v>
      </c>
      <c r="Z835">
        <v>1.487918E-3</v>
      </c>
      <c r="AA835">
        <v>0.99989700000000004</v>
      </c>
      <c r="AB835">
        <v>35</v>
      </c>
      <c r="AC835">
        <v>0.75369999999998005</v>
      </c>
      <c r="AD835">
        <v>-0.10535849999999899</v>
      </c>
      <c r="AE835">
        <v>8.7000000000330095E-3</v>
      </c>
      <c r="AF835">
        <v>-1.26933114348212E-2</v>
      </c>
      <c r="AG835">
        <v>-0.10535849999999899</v>
      </c>
      <c r="AH835">
        <v>0.73919654573274696</v>
      </c>
      <c r="AI835">
        <v>98.110614715723301</v>
      </c>
      <c r="AJ835">
        <v>90.983773133840103</v>
      </c>
      <c r="AK835">
        <v>0.74677511132914398</v>
      </c>
      <c r="AL835">
        <v>71.235621301300796</v>
      </c>
      <c r="AM835">
        <v>92.377797607503993</v>
      </c>
      <c r="AN835">
        <v>1.0000000229106301</v>
      </c>
    </row>
    <row r="836" spans="1:40" x14ac:dyDescent="0.25">
      <c r="A836" t="str">
        <f>"20190304164836863"</f>
        <v>20190304164836863</v>
      </c>
      <c r="B836" t="str">
        <f>"1551689316857146"</f>
        <v>1551689316857146</v>
      </c>
      <c r="C836" t="s">
        <v>40</v>
      </c>
      <c r="D836">
        <v>4.7824530000000003</v>
      </c>
      <c r="E836">
        <v>0.53016129999999995</v>
      </c>
      <c r="F836" t="s">
        <v>41</v>
      </c>
      <c r="G836">
        <v>-308.53109999999998</v>
      </c>
      <c r="H836">
        <v>0.97434509999999996</v>
      </c>
      <c r="I836">
        <v>367.75229999999999</v>
      </c>
      <c r="J836">
        <v>-309.11399999999998</v>
      </c>
      <c r="K836">
        <v>1.061569</v>
      </c>
      <c r="L836">
        <v>367.74439999999998</v>
      </c>
      <c r="M836">
        <v>0.99988469999999996</v>
      </c>
      <c r="N836">
        <v>-1.410547E-2</v>
      </c>
      <c r="O836">
        <v>-5.6270599999999997E-3</v>
      </c>
      <c r="P836">
        <v>0.95054499999999997</v>
      </c>
      <c r="Q836">
        <v>0.30869000000000002</v>
      </c>
      <c r="R836">
        <v>3.4275609999999998E-2</v>
      </c>
      <c r="S836">
        <v>3.276154</v>
      </c>
      <c r="T836">
        <v>-0.375442</v>
      </c>
      <c r="U836">
        <v>2.990723E-2</v>
      </c>
      <c r="V836">
        <v>-3.9612080000000001E-2</v>
      </c>
      <c r="W836">
        <v>0.32206580000000001</v>
      </c>
      <c r="X836">
        <v>0.94588819999999996</v>
      </c>
      <c r="Y836">
        <v>-1.4619770000000001E-2</v>
      </c>
      <c r="Z836">
        <v>1.502036E-3</v>
      </c>
      <c r="AA836">
        <v>0.999892</v>
      </c>
      <c r="AB836">
        <v>35</v>
      </c>
      <c r="AC836">
        <v>0.58290000000005104</v>
      </c>
      <c r="AD836">
        <v>-8.7223899999999993E-2</v>
      </c>
      <c r="AE836">
        <v>7.9000000000064505E-3</v>
      </c>
      <c r="AF836">
        <v>-1.0935399594620801E-2</v>
      </c>
      <c r="AG836">
        <v>-8.7223899999999993E-2</v>
      </c>
      <c r="AH836">
        <v>0.57008363670205298</v>
      </c>
      <c r="AI836">
        <v>98.697329047620201</v>
      </c>
      <c r="AJ836">
        <v>91.098918427863694</v>
      </c>
      <c r="AK836">
        <v>0.57682141476451998</v>
      </c>
      <c r="AL836">
        <v>71.212098026189196</v>
      </c>
      <c r="AM836">
        <v>92.398041965691505</v>
      </c>
      <c r="AN836">
        <v>0.99999999165540299</v>
      </c>
    </row>
    <row r="837" spans="1:40" x14ac:dyDescent="0.25">
      <c r="A837" t="str">
        <f>"20190304164836873"</f>
        <v>20190304164836873</v>
      </c>
      <c r="B837" t="str">
        <f>"1551689316866907"</f>
        <v>1551689316866907</v>
      </c>
      <c r="C837" t="s">
        <v>40</v>
      </c>
      <c r="D837">
        <v>4.7590919999999999</v>
      </c>
      <c r="E837">
        <v>0.53010139999999994</v>
      </c>
      <c r="F837" t="s">
        <v>41</v>
      </c>
      <c r="G837">
        <v>-308.22590000000002</v>
      </c>
      <c r="H837">
        <v>0.96034609999999998</v>
      </c>
      <c r="I837">
        <v>367.75290000000001</v>
      </c>
      <c r="J837">
        <v>-308.9547</v>
      </c>
      <c r="K837">
        <v>1.061469</v>
      </c>
      <c r="L837">
        <v>367.74360000000001</v>
      </c>
      <c r="M837">
        <v>0.99988569999999999</v>
      </c>
      <c r="N837">
        <v>-1.403219E-2</v>
      </c>
      <c r="O837">
        <v>-5.6270230000000001E-3</v>
      </c>
      <c r="P837">
        <v>0.95054380000000005</v>
      </c>
      <c r="Q837">
        <v>0.3086835</v>
      </c>
      <c r="R837">
        <v>3.4367130000000003E-2</v>
      </c>
      <c r="S837">
        <v>3.2762150000000001</v>
      </c>
      <c r="T837">
        <v>-0.37335620000000003</v>
      </c>
      <c r="U837">
        <v>3.1311039999999998E-2</v>
      </c>
      <c r="V837">
        <v>-3.9703370000000002E-2</v>
      </c>
      <c r="W837">
        <v>0.32199040000000001</v>
      </c>
      <c r="X837">
        <v>0.94591000000000003</v>
      </c>
      <c r="Y837">
        <v>-1.504636E-2</v>
      </c>
      <c r="Z837">
        <v>1.5209449999999999E-3</v>
      </c>
      <c r="AA837">
        <v>0.99988560000000004</v>
      </c>
      <c r="AB837">
        <v>35</v>
      </c>
      <c r="AC837">
        <v>0.72879999999997802</v>
      </c>
      <c r="AD837">
        <v>-0.1011229</v>
      </c>
      <c r="AE837">
        <v>9.2999999999960892E-3</v>
      </c>
      <c r="AF837">
        <v>-1.3148140399697901E-2</v>
      </c>
      <c r="AG837">
        <v>-0.1011229</v>
      </c>
      <c r="AH837">
        <v>0.714973489995267</v>
      </c>
      <c r="AI837">
        <v>98.048939391132095</v>
      </c>
      <c r="AJ837">
        <v>91.053532837556901</v>
      </c>
      <c r="AK837">
        <v>0.72220897661022798</v>
      </c>
      <c r="AL837">
        <v>71.216660429435905</v>
      </c>
      <c r="AM837">
        <v>92.403506690252499</v>
      </c>
      <c r="AN837">
        <v>0.99999995169075695</v>
      </c>
    </row>
    <row r="838" spans="1:40" x14ac:dyDescent="0.25">
      <c r="A838" t="str">
        <f>"20190304164836885"</f>
        <v>20190304164836885</v>
      </c>
      <c r="B838" t="str">
        <f>"1551689316876667"</f>
        <v>1551689316876667</v>
      </c>
      <c r="C838" t="s">
        <v>40</v>
      </c>
      <c r="D838">
        <v>4.7714319999999999</v>
      </c>
      <c r="E838">
        <v>0.53005249999999904</v>
      </c>
      <c r="F838" t="s">
        <v>41</v>
      </c>
      <c r="G838">
        <v>-308.21690000000001</v>
      </c>
      <c r="H838">
        <v>0.97756330000000002</v>
      </c>
      <c r="I838">
        <v>367.75069999999999</v>
      </c>
      <c r="J838">
        <v>-308.7867</v>
      </c>
      <c r="K838">
        <v>1.0613779999999999</v>
      </c>
      <c r="L838">
        <v>367.74259999999998</v>
      </c>
      <c r="M838">
        <v>0.99988659999999996</v>
      </c>
      <c r="N838">
        <v>-1.3962199999999999E-2</v>
      </c>
      <c r="O838">
        <v>-5.626893E-3</v>
      </c>
      <c r="P838">
        <v>0.95036799999999999</v>
      </c>
      <c r="Q838">
        <v>0.30918379999999901</v>
      </c>
      <c r="R838">
        <v>3.4727800000000003E-2</v>
      </c>
      <c r="S838">
        <v>3.2758790000000002</v>
      </c>
      <c r="T838">
        <v>-0.37251089999999998</v>
      </c>
      <c r="U838">
        <v>3.1738280000000001E-2</v>
      </c>
      <c r="V838">
        <v>-4.0062939999999998E-2</v>
      </c>
      <c r="W838">
        <v>0.32242150000000003</v>
      </c>
      <c r="X838">
        <v>0.94574800000000003</v>
      </c>
      <c r="Y838">
        <v>-1.517725E-2</v>
      </c>
      <c r="Z838">
        <v>1.5259200000000001E-3</v>
      </c>
      <c r="AA838">
        <v>0.99988370000000004</v>
      </c>
      <c r="AB838">
        <v>35</v>
      </c>
      <c r="AC838">
        <v>0.56979999999998598</v>
      </c>
      <c r="AD838">
        <v>-8.3814700000000103E-2</v>
      </c>
      <c r="AE838">
        <v>8.1000000000130898E-3</v>
      </c>
      <c r="AF838">
        <v>-1.1066981185553999E-2</v>
      </c>
      <c r="AG838">
        <v>-8.3814700000000103E-2</v>
      </c>
      <c r="AH838">
        <v>0.557681325415048</v>
      </c>
      <c r="AI838">
        <v>98.5454351658245</v>
      </c>
      <c r="AJ838">
        <v>91.136864491601102</v>
      </c>
      <c r="AK838">
        <v>0.56405304956655899</v>
      </c>
      <c r="AL838">
        <v>71.190569116812298</v>
      </c>
      <c r="AM838">
        <v>92.425662889754307</v>
      </c>
      <c r="AN838">
        <v>0.99999997116384598</v>
      </c>
    </row>
    <row r="839" spans="1:40" x14ac:dyDescent="0.25">
      <c r="A839" t="str">
        <f>"20190304164836896"</f>
        <v>20190304164836896</v>
      </c>
      <c r="B839" t="str">
        <f>"1551689316887403"</f>
        <v>1551689316887403</v>
      </c>
      <c r="C839" t="s">
        <v>40</v>
      </c>
      <c r="D839">
        <v>4.7531739999999996</v>
      </c>
      <c r="E839">
        <v>0.53005559999999996</v>
      </c>
      <c r="F839" t="s">
        <v>41</v>
      </c>
      <c r="G839">
        <v>-307.9128</v>
      </c>
      <c r="H839">
        <v>0.96265339999999999</v>
      </c>
      <c r="I839">
        <v>367.75139999999999</v>
      </c>
      <c r="J839">
        <v>-308.60980000000001</v>
      </c>
      <c r="K839">
        <v>1.061286</v>
      </c>
      <c r="L839">
        <v>367.74160000000001</v>
      </c>
      <c r="M839">
        <v>0.99988779999999999</v>
      </c>
      <c r="N839">
        <v>-1.389001E-2</v>
      </c>
      <c r="O839">
        <v>-5.6268689999999996E-3</v>
      </c>
      <c r="P839">
        <v>0.95016909999999999</v>
      </c>
      <c r="Q839">
        <v>0.30978450000000002</v>
      </c>
      <c r="R839">
        <v>3.4819870000000003E-2</v>
      </c>
      <c r="S839">
        <v>3.2758479999999999</v>
      </c>
      <c r="T839">
        <v>-0.37010660000000001</v>
      </c>
      <c r="U839">
        <v>3.3447270000000001E-2</v>
      </c>
      <c r="V839">
        <v>-4.0154049999999997E-2</v>
      </c>
      <c r="W839">
        <v>0.3229514</v>
      </c>
      <c r="X839">
        <v>0.94556340000000005</v>
      </c>
      <c r="Y839">
        <v>-1.569694E-2</v>
      </c>
      <c r="Z839">
        <v>1.5490549999999999E-3</v>
      </c>
      <c r="AA839">
        <v>0.99987559999999998</v>
      </c>
      <c r="AB839">
        <v>35</v>
      </c>
      <c r="AC839">
        <v>0.69700000000000195</v>
      </c>
      <c r="AD839">
        <v>-9.8632599999999904E-2</v>
      </c>
      <c r="AE839">
        <v>9.7999999999842605E-3</v>
      </c>
      <c r="AF839">
        <v>-1.3452809451903599E-2</v>
      </c>
      <c r="AG839">
        <v>-9.8632599999999904E-2</v>
      </c>
      <c r="AH839">
        <v>0.68325426199867301</v>
      </c>
      <c r="AI839">
        <v>98.212736647907406</v>
      </c>
      <c r="AJ839">
        <v>91.127968995544407</v>
      </c>
      <c r="AK839">
        <v>0.69046777941063997</v>
      </c>
      <c r="AL839">
        <v>71.158493675054302</v>
      </c>
      <c r="AM839">
        <v>92.431646714027494</v>
      </c>
      <c r="AN839">
        <v>1.00000004895646</v>
      </c>
    </row>
    <row r="840" spans="1:40" x14ac:dyDescent="0.25">
      <c r="A840" t="str">
        <f>"20190304164836906"</f>
        <v>20190304164836906</v>
      </c>
      <c r="B840" t="str">
        <f>"1551689316897163"</f>
        <v>1551689316897163</v>
      </c>
      <c r="C840" t="s">
        <v>40</v>
      </c>
      <c r="D840">
        <v>4.7315709999999997</v>
      </c>
      <c r="E840">
        <v>0.53005939999999996</v>
      </c>
      <c r="F840" t="s">
        <v>41</v>
      </c>
      <c r="G840">
        <v>-307.60770000000002</v>
      </c>
      <c r="H840">
        <v>0.94879080000000005</v>
      </c>
      <c r="I840">
        <v>367.75170000000003</v>
      </c>
      <c r="J840">
        <v>-308.44130000000001</v>
      </c>
      <c r="K840">
        <v>1.061212</v>
      </c>
      <c r="L840">
        <v>367.7407</v>
      </c>
      <c r="M840">
        <v>0.99988869999999996</v>
      </c>
      <c r="N840">
        <v>-1.3827610000000001E-2</v>
      </c>
      <c r="O840">
        <v>-5.6267959999999999E-3</v>
      </c>
      <c r="P840">
        <v>0.95004920000000004</v>
      </c>
      <c r="Q840">
        <v>0.31015890000000002</v>
      </c>
      <c r="R840">
        <v>3.4763370000000002E-2</v>
      </c>
      <c r="S840">
        <v>3.2760310000000001</v>
      </c>
      <c r="T840">
        <v>-0.36783729999999998</v>
      </c>
      <c r="U840">
        <v>3.3508299999999998E-2</v>
      </c>
      <c r="V840">
        <v>-4.0096769999999997E-2</v>
      </c>
      <c r="W840">
        <v>0.32326450000000001</v>
      </c>
      <c r="X840">
        <v>0.94545880000000004</v>
      </c>
      <c r="Y840">
        <v>-1.571649E-2</v>
      </c>
      <c r="Z840">
        <v>1.5407979999999999E-3</v>
      </c>
      <c r="AA840">
        <v>0.99987530000000002</v>
      </c>
      <c r="AB840">
        <v>35</v>
      </c>
      <c r="AC840">
        <v>0.83359999999998902</v>
      </c>
      <c r="AD840">
        <v>-0.112421199999999</v>
      </c>
      <c r="AE840">
        <v>1.10000000000241E-2</v>
      </c>
      <c r="AF840">
        <v>-1.54105353243122E-2</v>
      </c>
      <c r="AG840">
        <v>-0.112421199999999</v>
      </c>
      <c r="AH840">
        <v>0.81863823498162303</v>
      </c>
      <c r="AI840">
        <v>97.817984691006103</v>
      </c>
      <c r="AJ840">
        <v>91.078442615895199</v>
      </c>
      <c r="AK840">
        <v>0.82646510548373997</v>
      </c>
      <c r="AL840">
        <v>71.139536943303597</v>
      </c>
      <c r="AM840">
        <v>92.428450428012297</v>
      </c>
      <c r="AN840">
        <v>1.00000001521106</v>
      </c>
    </row>
    <row r="841" spans="1:40" x14ac:dyDescent="0.25">
      <c r="A841" t="str">
        <f>"20190304164836918"</f>
        <v>20190304164836918</v>
      </c>
      <c r="B841" t="str">
        <f>"1551689316906924"</f>
        <v>1551689316906924</v>
      </c>
      <c r="C841" t="s">
        <v>40</v>
      </c>
      <c r="D841">
        <v>4.7020140000000001</v>
      </c>
      <c r="E841">
        <v>0.53007320000000002</v>
      </c>
      <c r="F841" t="s">
        <v>41</v>
      </c>
      <c r="G841">
        <v>-307.59899999999999</v>
      </c>
      <c r="H841">
        <v>0.96696349999999998</v>
      </c>
      <c r="I841">
        <v>367.74919999999997</v>
      </c>
      <c r="J841">
        <v>-308.27010000000001</v>
      </c>
      <c r="K841">
        <v>1.0611330000000001</v>
      </c>
      <c r="L841">
        <v>367.73970000000003</v>
      </c>
      <c r="M841">
        <v>0.99988940000000004</v>
      </c>
      <c r="N841">
        <v>-1.376605E-2</v>
      </c>
      <c r="O841">
        <v>-5.6266119999999996E-3</v>
      </c>
      <c r="P841">
        <v>0.94985120000000001</v>
      </c>
      <c r="Q841">
        <v>0.31074859999999999</v>
      </c>
      <c r="R841">
        <v>3.4900699999999903E-2</v>
      </c>
      <c r="S841">
        <v>3.2762150000000001</v>
      </c>
      <c r="T841">
        <v>-0.36664659999999999</v>
      </c>
      <c r="U841">
        <v>3.3721920000000002E-2</v>
      </c>
      <c r="V841">
        <v>-4.023289E-2</v>
      </c>
      <c r="W841">
        <v>0.32379340000000001</v>
      </c>
      <c r="X841">
        <v>0.945272</v>
      </c>
      <c r="Y841">
        <v>-1.5781380000000001E-2</v>
      </c>
      <c r="Z841">
        <v>1.5397640000000001E-3</v>
      </c>
      <c r="AA841">
        <v>0.99987429999999999</v>
      </c>
      <c r="AB841">
        <v>35</v>
      </c>
      <c r="AC841">
        <v>0.67110000000002401</v>
      </c>
      <c r="AD841">
        <v>-9.4169499999999906E-2</v>
      </c>
      <c r="AE841">
        <v>9.4999999999458799E-3</v>
      </c>
      <c r="AF841">
        <v>-1.3019915809376999E-2</v>
      </c>
      <c r="AG841">
        <v>-9.4169499999999906E-2</v>
      </c>
      <c r="AH841">
        <v>0.65808089023123895</v>
      </c>
      <c r="AI841">
        <v>98.142006281439393</v>
      </c>
      <c r="AJ841">
        <v>91.133430441146103</v>
      </c>
      <c r="AK841">
        <v>0.66491192726967496</v>
      </c>
      <c r="AL841">
        <v>71.107510537028404</v>
      </c>
      <c r="AM841">
        <v>92.437165525363994</v>
      </c>
      <c r="AN841">
        <v>1.0000000026526501</v>
      </c>
    </row>
    <row r="842" spans="1:40" x14ac:dyDescent="0.25">
      <c r="A842" t="str">
        <f>"20190304164836929"</f>
        <v>20190304164836929</v>
      </c>
      <c r="B842" t="str">
        <f>"1551689316926789"</f>
        <v>1551689316926789</v>
      </c>
      <c r="C842" t="s">
        <v>40</v>
      </c>
      <c r="D842">
        <v>4.6989679999999998</v>
      </c>
      <c r="E842">
        <v>0.53000340000000001</v>
      </c>
      <c r="F842" t="s">
        <v>41</v>
      </c>
      <c r="G842">
        <v>-307.29419999999999</v>
      </c>
      <c r="H842">
        <v>0.95257639999999999</v>
      </c>
      <c r="I842">
        <v>367.74970000000002</v>
      </c>
      <c r="J842">
        <v>-308.08620000000002</v>
      </c>
      <c r="K842">
        <v>1.061061</v>
      </c>
      <c r="L842">
        <v>367.73869999999999</v>
      </c>
      <c r="M842">
        <v>0.99989030000000001</v>
      </c>
      <c r="N842">
        <v>-1.370505E-2</v>
      </c>
      <c r="O842">
        <v>-5.6263149999999998E-3</v>
      </c>
      <c r="P842">
        <v>0.94975529999999997</v>
      </c>
      <c r="Q842">
        <v>0.31106519999999999</v>
      </c>
      <c r="R842">
        <v>3.4693830000000002E-2</v>
      </c>
      <c r="S842">
        <v>3.2764280000000001</v>
      </c>
      <c r="T842">
        <v>-0.36465140000000001</v>
      </c>
      <c r="U842">
        <v>3.4179689999999999E-2</v>
      </c>
      <c r="V842">
        <v>-4.002497E-2</v>
      </c>
      <c r="W842">
        <v>0.32405089999999998</v>
      </c>
      <c r="X842">
        <v>0.94519260000000005</v>
      </c>
      <c r="Y842">
        <v>-1.592062E-2</v>
      </c>
      <c r="Z842">
        <v>1.5400170000000001E-3</v>
      </c>
      <c r="AA842">
        <v>0.99987210000000004</v>
      </c>
      <c r="AB842">
        <v>35</v>
      </c>
      <c r="AC842">
        <v>0.79200000000003001</v>
      </c>
      <c r="AD842">
        <v>-0.108484599999999</v>
      </c>
      <c r="AE842">
        <v>1.10000000000241E-2</v>
      </c>
      <c r="AF842">
        <v>-1.5171685032903901E-2</v>
      </c>
      <c r="AG842">
        <v>-0.108484599999999</v>
      </c>
      <c r="AH842">
        <v>0.77734363370295301</v>
      </c>
      <c r="AI842">
        <v>97.9432831099449</v>
      </c>
      <c r="AJ842">
        <v>91.118119621095204</v>
      </c>
      <c r="AK842">
        <v>0.78502370239528996</v>
      </c>
      <c r="AL842">
        <v>71.091916371368697</v>
      </c>
      <c r="AM842">
        <v>92.424788972212795</v>
      </c>
      <c r="AN842">
        <v>1.0000000175545301</v>
      </c>
    </row>
    <row r="843" spans="1:40" x14ac:dyDescent="0.25">
      <c r="A843" t="str">
        <f>"20190304164836942"</f>
        <v>20190304164836942</v>
      </c>
      <c r="B843" t="str">
        <f>"1551689316937525"</f>
        <v>1551689316937525</v>
      </c>
      <c r="C843" t="s">
        <v>40</v>
      </c>
      <c r="D843">
        <v>4.691001</v>
      </c>
      <c r="E843">
        <v>0.52996949999999998</v>
      </c>
      <c r="F843" t="s">
        <v>41</v>
      </c>
      <c r="G843">
        <v>-307.28440000000001</v>
      </c>
      <c r="H843">
        <v>0.97282659999999999</v>
      </c>
      <c r="I843">
        <v>367.74669999999998</v>
      </c>
      <c r="J843">
        <v>-307.90789999999998</v>
      </c>
      <c r="K843">
        <v>1.060997</v>
      </c>
      <c r="L843">
        <v>367.73770000000002</v>
      </c>
      <c r="M843">
        <v>0.99989099999999997</v>
      </c>
      <c r="N843">
        <v>-1.3649400000000001E-2</v>
      </c>
      <c r="O843">
        <v>-5.6259359999999998E-3</v>
      </c>
      <c r="P843">
        <v>0.94971899999999998</v>
      </c>
      <c r="Q843">
        <v>0.31117329999999999</v>
      </c>
      <c r="R843">
        <v>3.4715860000000001E-2</v>
      </c>
      <c r="S843">
        <v>3.275604</v>
      </c>
      <c r="T843">
        <v>-0.3606567</v>
      </c>
      <c r="U843">
        <v>3.3843989999999997E-2</v>
      </c>
      <c r="V843">
        <v>-4.0046249999999999E-2</v>
      </c>
      <c r="W843">
        <v>0.32410640000000002</v>
      </c>
      <c r="X843">
        <v>0.94517269999999998</v>
      </c>
      <c r="Y843">
        <v>-1.582395E-2</v>
      </c>
      <c r="Z843">
        <v>1.517827E-3</v>
      </c>
      <c r="AA843">
        <v>0.99987360000000003</v>
      </c>
      <c r="AB843">
        <v>35</v>
      </c>
      <c r="AC843">
        <v>0.62349999999997796</v>
      </c>
      <c r="AD843">
        <v>-8.8170399999999899E-2</v>
      </c>
      <c r="AE843">
        <v>8.9999999999576998E-3</v>
      </c>
      <c r="AF843">
        <v>-1.2262783266305401E-2</v>
      </c>
      <c r="AG843">
        <v>-8.8170399999999899E-2</v>
      </c>
      <c r="AH843">
        <v>0.61121926601794596</v>
      </c>
      <c r="AI843">
        <v>98.206852344270303</v>
      </c>
      <c r="AJ843">
        <v>91.149360823281</v>
      </c>
      <c r="AK843">
        <v>0.61766769904303098</v>
      </c>
      <c r="AL843">
        <v>71.088555618328101</v>
      </c>
      <c r="AM843">
        <v>92.426127633629406</v>
      </c>
      <c r="AN843">
        <v>1.00000004674265</v>
      </c>
    </row>
    <row r="844" spans="1:40" x14ac:dyDescent="0.25">
      <c r="A844" t="str">
        <f>"20190304164836952"</f>
        <v>20190304164836952</v>
      </c>
      <c r="B844" t="str">
        <f>"1551689316947285"</f>
        <v>1551689316947285</v>
      </c>
      <c r="C844" t="s">
        <v>40</v>
      </c>
      <c r="D844">
        <v>4.6865629999999996</v>
      </c>
      <c r="E844">
        <v>0.52993259999999998</v>
      </c>
      <c r="F844" t="s">
        <v>41</v>
      </c>
      <c r="G844">
        <v>-306.97930000000002</v>
      </c>
      <c r="H844">
        <v>0.95935000000000004</v>
      </c>
      <c r="I844">
        <v>367.7473</v>
      </c>
      <c r="J844">
        <v>-307.73020000000002</v>
      </c>
      <c r="K844">
        <v>1.060945</v>
      </c>
      <c r="L844">
        <v>367.73669999999998</v>
      </c>
      <c r="M844">
        <v>0.9998918</v>
      </c>
      <c r="N844">
        <v>-1.3596779999999999E-2</v>
      </c>
      <c r="O844">
        <v>-5.6258169999999904E-3</v>
      </c>
      <c r="P844">
        <v>0.94982789999999995</v>
      </c>
      <c r="Q844">
        <v>0.3108571</v>
      </c>
      <c r="R844">
        <v>3.4563410000000003E-2</v>
      </c>
      <c r="S844">
        <v>3.2750849999999998</v>
      </c>
      <c r="T844">
        <v>-0.35860940000000002</v>
      </c>
      <c r="U844">
        <v>3.4179689999999999E-2</v>
      </c>
      <c r="V844">
        <v>-3.9894220000000001E-2</v>
      </c>
      <c r="W844">
        <v>0.32374190000000003</v>
      </c>
      <c r="X844">
        <v>0.94530400000000003</v>
      </c>
      <c r="Y844">
        <v>-1.5928689999999999E-2</v>
      </c>
      <c r="Z844">
        <v>1.515965E-3</v>
      </c>
      <c r="AA844">
        <v>0.99987199999999998</v>
      </c>
      <c r="AB844">
        <v>35</v>
      </c>
      <c r="AC844">
        <v>0.75090000000000101</v>
      </c>
      <c r="AD844">
        <v>-0.101595</v>
      </c>
      <c r="AE844">
        <v>1.06000000000108E-2</v>
      </c>
      <c r="AF844">
        <v>-1.45582070027653E-2</v>
      </c>
      <c r="AG844">
        <v>-0.101595</v>
      </c>
      <c r="AH844">
        <v>0.73733393366438404</v>
      </c>
      <c r="AI844">
        <v>97.843702592833196</v>
      </c>
      <c r="AJ844">
        <v>91.131123109841695</v>
      </c>
      <c r="AK844">
        <v>0.74444262045447696</v>
      </c>
      <c r="AL844">
        <v>71.1106293887579</v>
      </c>
      <c r="AM844">
        <v>92.416592815442201</v>
      </c>
      <c r="AN844">
        <v>1.0000000095104999</v>
      </c>
    </row>
    <row r="845" spans="1:40" x14ac:dyDescent="0.25">
      <c r="A845" t="str">
        <f>"20190304164836963"</f>
        <v>20190304164836963</v>
      </c>
      <c r="B845" t="str">
        <f>"1551689316957045"</f>
        <v>1551689316957045</v>
      </c>
      <c r="C845" t="s">
        <v>40</v>
      </c>
      <c r="D845">
        <v>4.6715059999999999</v>
      </c>
      <c r="E845">
        <v>0.52992640000000002</v>
      </c>
      <c r="F845" t="s">
        <v>41</v>
      </c>
      <c r="G845">
        <v>-306.96949999999998</v>
      </c>
      <c r="H845">
        <v>0.97781770000000001</v>
      </c>
      <c r="I845">
        <v>367.74419999999998</v>
      </c>
      <c r="J845">
        <v>-307.55520000000001</v>
      </c>
      <c r="K845">
        <v>1.0608900000000001</v>
      </c>
      <c r="L845">
        <v>367.73570000000001</v>
      </c>
      <c r="M845">
        <v>0.99989240000000001</v>
      </c>
      <c r="N845">
        <v>-1.3549230000000001E-2</v>
      </c>
      <c r="O845">
        <v>-5.6256129999999998E-3</v>
      </c>
      <c r="P845">
        <v>0.94986970000000004</v>
      </c>
      <c r="Q845">
        <v>0.31073539999999999</v>
      </c>
      <c r="R845">
        <v>3.4511600000000003E-2</v>
      </c>
      <c r="S845">
        <v>3.2744140000000002</v>
      </c>
      <c r="T845">
        <v>-0.35802209999999901</v>
      </c>
      <c r="U845">
        <v>3.3081050000000001E-2</v>
      </c>
      <c r="V845">
        <v>-3.9842969999999998E-2</v>
      </c>
      <c r="W845">
        <v>0.32357590000000003</v>
      </c>
      <c r="X845">
        <v>0.94536299999999995</v>
      </c>
      <c r="Y845">
        <v>-1.559779E-2</v>
      </c>
      <c r="Z845">
        <v>1.4934340000000001E-3</v>
      </c>
      <c r="AA845">
        <v>0.99987720000000002</v>
      </c>
      <c r="AB845">
        <v>35</v>
      </c>
      <c r="AC845">
        <v>0.58570000000003097</v>
      </c>
      <c r="AD845">
        <v>-8.3072299999999794E-2</v>
      </c>
      <c r="AE845">
        <v>8.4999999999695302E-3</v>
      </c>
      <c r="AF845">
        <v>-1.1562535516225001E-2</v>
      </c>
      <c r="AG845">
        <v>-8.3072299999999794E-2</v>
      </c>
      <c r="AH845">
        <v>0.57409627698855503</v>
      </c>
      <c r="AI845">
        <v>98.231960789515995</v>
      </c>
      <c r="AJ845">
        <v>91.153804610829795</v>
      </c>
      <c r="AK845">
        <v>0.58019068805606799</v>
      </c>
      <c r="AL845">
        <v>71.120681636867801</v>
      </c>
      <c r="AM845">
        <v>92.413341571848306</v>
      </c>
      <c r="AN845">
        <v>1.0000000135441101</v>
      </c>
    </row>
    <row r="846" spans="1:40" x14ac:dyDescent="0.25">
      <c r="A846" t="str">
        <f>"20190304164836975"</f>
        <v>20190304164836975</v>
      </c>
      <c r="B846" t="str">
        <f>"1551689316966804"</f>
        <v>1551689316966804</v>
      </c>
      <c r="C846" t="s">
        <v>40</v>
      </c>
      <c r="D846">
        <v>4.6390029999999998</v>
      </c>
      <c r="E846">
        <v>0.52993129999999999</v>
      </c>
      <c r="F846" t="s">
        <v>41</v>
      </c>
      <c r="G846">
        <v>-306.66559999999998</v>
      </c>
      <c r="H846">
        <v>0.96394599999999997</v>
      </c>
      <c r="I846">
        <v>367.74419999999998</v>
      </c>
      <c r="J846">
        <v>-307.38380000000001</v>
      </c>
      <c r="K846">
        <v>1.0608420000000001</v>
      </c>
      <c r="L846">
        <v>367.73469999999998</v>
      </c>
      <c r="M846">
        <v>0.99989320000000004</v>
      </c>
      <c r="N846">
        <v>-1.350371E-2</v>
      </c>
      <c r="O846">
        <v>-5.6257819999999898E-3</v>
      </c>
      <c r="P846">
        <v>0.95000989999999996</v>
      </c>
      <c r="Q846">
        <v>0.31030089999999999</v>
      </c>
      <c r="R846">
        <v>3.4568599999999998E-2</v>
      </c>
      <c r="S846">
        <v>3.273987</v>
      </c>
      <c r="T846">
        <v>-0.3570855</v>
      </c>
      <c r="U846">
        <v>3.225708E-2</v>
      </c>
      <c r="V846">
        <v>-3.9900320000000003E-2</v>
      </c>
      <c r="W846">
        <v>0.3230999</v>
      </c>
      <c r="X846">
        <v>0.94552340000000001</v>
      </c>
      <c r="Y846">
        <v>-1.5349949999999999E-2</v>
      </c>
      <c r="Z846">
        <v>1.4745769999999999E-3</v>
      </c>
      <c r="AA846">
        <v>0.99988109999999997</v>
      </c>
      <c r="AB846">
        <v>35</v>
      </c>
      <c r="AC846">
        <v>0.71820000000002404</v>
      </c>
      <c r="AD846">
        <v>-9.6896000000000204E-2</v>
      </c>
      <c r="AE846">
        <v>9.5000000000027198E-3</v>
      </c>
      <c r="AF846">
        <v>-1.3298633498919099E-2</v>
      </c>
      <c r="AG846">
        <v>-9.6896000000000204E-2</v>
      </c>
      <c r="AH846">
        <v>0.70529951399365198</v>
      </c>
      <c r="AI846">
        <v>97.821111224743504</v>
      </c>
      <c r="AJ846">
        <v>91.080201077013399</v>
      </c>
      <c r="AK846">
        <v>0.712048518647865</v>
      </c>
      <c r="AL846">
        <v>71.149503112251097</v>
      </c>
      <c r="AM846">
        <v>92.416401715951906</v>
      </c>
      <c r="AN846">
        <v>1.0000000404318301</v>
      </c>
    </row>
    <row r="847" spans="1:40" x14ac:dyDescent="0.25">
      <c r="A847" t="str">
        <f>"20190304164836987"</f>
        <v>20190304164836987</v>
      </c>
      <c r="B847" t="str">
        <f>"1551689316977541"</f>
        <v>1551689316977541</v>
      </c>
      <c r="C847" t="s">
        <v>40</v>
      </c>
      <c r="D847">
        <v>4.6601780000000002</v>
      </c>
      <c r="E847">
        <v>0.52995579999999998</v>
      </c>
      <c r="F847" t="s">
        <v>41</v>
      </c>
      <c r="G847">
        <v>-306.65519999999998</v>
      </c>
      <c r="H847">
        <v>0.9814041</v>
      </c>
      <c r="I847">
        <v>367.74160000000001</v>
      </c>
      <c r="J847">
        <v>-307.19970000000001</v>
      </c>
      <c r="K847">
        <v>1.0608</v>
      </c>
      <c r="L847">
        <v>367.7337</v>
      </c>
      <c r="M847">
        <v>0.9998937</v>
      </c>
      <c r="N847">
        <v>-1.346252E-2</v>
      </c>
      <c r="O847">
        <v>-5.6257429999999999E-3</v>
      </c>
      <c r="P847">
        <v>0.9501404</v>
      </c>
      <c r="Q847">
        <v>0.30989480000000003</v>
      </c>
      <c r="R847">
        <v>3.4623269999999998E-2</v>
      </c>
      <c r="S847">
        <v>3.2734380000000001</v>
      </c>
      <c r="T847">
        <v>-0.35726229999999998</v>
      </c>
      <c r="U847">
        <v>3.1921390000000001E-2</v>
      </c>
      <c r="V847">
        <v>-3.99563E-2</v>
      </c>
      <c r="W847">
        <v>0.32265670000000002</v>
      </c>
      <c r="X847">
        <v>0.94567230000000002</v>
      </c>
      <c r="Y847">
        <v>-1.5249550000000001E-2</v>
      </c>
      <c r="Z847">
        <v>1.4693009999999999E-3</v>
      </c>
      <c r="AA847">
        <v>0.99988259999999995</v>
      </c>
      <c r="AB847">
        <v>35</v>
      </c>
      <c r="AC847">
        <v>0.54450000000002696</v>
      </c>
      <c r="AD847">
        <v>-7.9395900000000005E-2</v>
      </c>
      <c r="AE847">
        <v>7.9000000000064505E-3</v>
      </c>
      <c r="AF847">
        <v>-1.0735168047144699E-2</v>
      </c>
      <c r="AG847">
        <v>-7.9395900000000005E-2</v>
      </c>
      <c r="AH847">
        <v>0.53311434033620797</v>
      </c>
      <c r="AI847">
        <v>98.469020737805707</v>
      </c>
      <c r="AJ847">
        <v>91.153592502629195</v>
      </c>
      <c r="AK847">
        <v>0.53910096702001997</v>
      </c>
      <c r="AL847">
        <v>71.176332361578204</v>
      </c>
      <c r="AM847">
        <v>92.419407338718102</v>
      </c>
      <c r="AN847">
        <v>0.999999975475934</v>
      </c>
    </row>
    <row r="848" spans="1:40" x14ac:dyDescent="0.25">
      <c r="A848" t="str">
        <f>"20190304164836999"</f>
        <v>20190304164836999</v>
      </c>
      <c r="B848" t="str">
        <f>"1551689316987301"</f>
        <v>1551689316987301</v>
      </c>
      <c r="C848" t="s">
        <v>40</v>
      </c>
      <c r="D848">
        <v>4.6279300000000001</v>
      </c>
      <c r="E848">
        <v>0.52994989999999997</v>
      </c>
      <c r="F848" t="s">
        <v>41</v>
      </c>
      <c r="G848">
        <v>-306.35210000000001</v>
      </c>
      <c r="H848">
        <v>0.96827260000000004</v>
      </c>
      <c r="I848">
        <v>367.74149999999997</v>
      </c>
      <c r="J848">
        <v>-307.00510000000003</v>
      </c>
      <c r="K848">
        <v>1.0607569999999999</v>
      </c>
      <c r="L848">
        <v>367.73259999999999</v>
      </c>
      <c r="M848">
        <v>0.99989410000000001</v>
      </c>
      <c r="N848">
        <v>-1.3422359999999999E-2</v>
      </c>
      <c r="O848">
        <v>-5.6255929999999999E-3</v>
      </c>
      <c r="P848">
        <v>0.95013950000000003</v>
      </c>
      <c r="Q848">
        <v>0.30989609999999901</v>
      </c>
      <c r="R848">
        <v>3.4633150000000001E-2</v>
      </c>
      <c r="S848">
        <v>3.2728269999999999</v>
      </c>
      <c r="T848">
        <v>-0.35739290000000001</v>
      </c>
      <c r="U848">
        <v>3.091431E-2</v>
      </c>
      <c r="V848">
        <v>-3.9965840000000002E-2</v>
      </c>
      <c r="W848">
        <v>0.32262000000000002</v>
      </c>
      <c r="X848">
        <v>0.94568439999999998</v>
      </c>
      <c r="Y848">
        <v>-1.4945480000000001E-2</v>
      </c>
      <c r="Z848">
        <v>1.45139799999999E-3</v>
      </c>
      <c r="AA848">
        <v>0.99988719999999998</v>
      </c>
      <c r="AB848">
        <v>35</v>
      </c>
      <c r="AC848">
        <v>0.65300000000002001</v>
      </c>
      <c r="AD848">
        <v>-9.2484399999999897E-2</v>
      </c>
      <c r="AE848">
        <v>8.8999999999828001E-3</v>
      </c>
      <c r="AF848">
        <v>-1.2326490389383301E-2</v>
      </c>
      <c r="AG848">
        <v>-9.2484399999999897E-2</v>
      </c>
      <c r="AH848">
        <v>0.64010212980119496</v>
      </c>
      <c r="AI848">
        <v>98.219915958934394</v>
      </c>
      <c r="AJ848">
        <v>91.103212379201494</v>
      </c>
      <c r="AK848">
        <v>0.64686632559185397</v>
      </c>
      <c r="AL848">
        <v>71.178553590712895</v>
      </c>
      <c r="AM848">
        <v>92.419953384975599</v>
      </c>
      <c r="AN848">
        <v>0.99999995858513102</v>
      </c>
    </row>
    <row r="849" spans="1:40" x14ac:dyDescent="0.25">
      <c r="A849" t="str">
        <f>"20190304164837011"</f>
        <v>20190304164837011</v>
      </c>
      <c r="B849" t="str">
        <f>"1551689317007797"</f>
        <v>1551689317007797</v>
      </c>
      <c r="C849" t="s">
        <v>40</v>
      </c>
      <c r="D849">
        <v>4.5966110000000002</v>
      </c>
      <c r="E849">
        <v>0.52994719999999995</v>
      </c>
      <c r="F849" t="s">
        <v>41</v>
      </c>
      <c r="G849">
        <v>-306.04649999999998</v>
      </c>
      <c r="H849">
        <v>0.95645089999999999</v>
      </c>
      <c r="I849">
        <v>367.74160000000001</v>
      </c>
      <c r="J849">
        <v>-306.80790000000002</v>
      </c>
      <c r="K849">
        <v>1.060719</v>
      </c>
      <c r="L849">
        <v>367.73149999999998</v>
      </c>
      <c r="M849">
        <v>0.99989459999999997</v>
      </c>
      <c r="N849">
        <v>-1.338817E-2</v>
      </c>
      <c r="O849">
        <v>-5.6256020000000004E-3</v>
      </c>
      <c r="P849">
        <v>0.95017969999999896</v>
      </c>
      <c r="Q849">
        <v>0.30975350000000001</v>
      </c>
      <c r="R849">
        <v>3.4808400000000003E-2</v>
      </c>
      <c r="S849">
        <v>3.2724609999999998</v>
      </c>
      <c r="T849">
        <v>-0.35625770000000001</v>
      </c>
      <c r="U849">
        <v>3.1219480000000001E-2</v>
      </c>
      <c r="V849">
        <v>-4.0141070000000001E-2</v>
      </c>
      <c r="W849">
        <v>0.32244539999999999</v>
      </c>
      <c r="X849">
        <v>0.94573660000000004</v>
      </c>
      <c r="Y849">
        <v>-1.503992E-2</v>
      </c>
      <c r="Z849">
        <v>1.452746E-3</v>
      </c>
      <c r="AA849">
        <v>0.99988589999999999</v>
      </c>
      <c r="AB849">
        <v>35</v>
      </c>
      <c r="AC849">
        <v>0.76140000000003705</v>
      </c>
      <c r="AD849">
        <v>-0.104268099999999</v>
      </c>
      <c r="AE849">
        <v>1.01000000000226E-2</v>
      </c>
      <c r="AF849">
        <v>-1.4118829484354899E-2</v>
      </c>
      <c r="AG849">
        <v>-0.104268099999999</v>
      </c>
      <c r="AH849">
        <v>0.747318912743139</v>
      </c>
      <c r="AI849">
        <v>97.941399102548402</v>
      </c>
      <c r="AJ849">
        <v>91.082339950598794</v>
      </c>
      <c r="AK849">
        <v>0.75468982725832801</v>
      </c>
      <c r="AL849">
        <v>71.189123615585103</v>
      </c>
      <c r="AM849">
        <v>92.430416966526806</v>
      </c>
      <c r="AN849">
        <v>1.00000002903073</v>
      </c>
    </row>
    <row r="850" spans="1:40" x14ac:dyDescent="0.25">
      <c r="A850" t="str">
        <f>"20190304164837023"</f>
        <v>20190304164837023</v>
      </c>
      <c r="B850" t="str">
        <f>"1551689317017557"</f>
        <v>1551689317017557</v>
      </c>
      <c r="C850" t="s">
        <v>40</v>
      </c>
      <c r="D850">
        <v>4.5813249999999996</v>
      </c>
      <c r="E850">
        <v>0.52994069999999904</v>
      </c>
      <c r="F850" t="s">
        <v>41</v>
      </c>
      <c r="G850">
        <v>-306.03590000000003</v>
      </c>
      <c r="H850">
        <v>0.97715200000000002</v>
      </c>
      <c r="I850">
        <v>367.73869999999999</v>
      </c>
      <c r="J850">
        <v>-306.63529999999997</v>
      </c>
      <c r="K850">
        <v>1.060694</v>
      </c>
      <c r="L850">
        <v>367.73059999999998</v>
      </c>
      <c r="M850">
        <v>0.99989499999999998</v>
      </c>
      <c r="N850">
        <v>-1.336444E-2</v>
      </c>
      <c r="O850">
        <v>-5.6254440000000003E-3</v>
      </c>
      <c r="P850">
        <v>0.95019450000000005</v>
      </c>
      <c r="Q850">
        <v>0.30969419999999998</v>
      </c>
      <c r="R850">
        <v>3.4930559999999999E-2</v>
      </c>
      <c r="S850">
        <v>3.2716669999999999</v>
      </c>
      <c r="T850">
        <v>-0.35429250000000001</v>
      </c>
      <c r="U850">
        <v>3.106689E-2</v>
      </c>
      <c r="V850">
        <v>-4.0263109999999998E-2</v>
      </c>
      <c r="W850">
        <v>0.32236409999999999</v>
      </c>
      <c r="X850">
        <v>0.94575909999999996</v>
      </c>
      <c r="Y850">
        <v>-1.499702E-2</v>
      </c>
      <c r="Z850">
        <v>1.442594E-3</v>
      </c>
      <c r="AA850">
        <v>0.99988650000000001</v>
      </c>
      <c r="AB850">
        <v>35</v>
      </c>
      <c r="AC850">
        <v>0.59939999999994598</v>
      </c>
      <c r="AD850">
        <v>-8.3541999999999894E-2</v>
      </c>
      <c r="AE850">
        <v>8.1000000000130898E-3</v>
      </c>
      <c r="AF850">
        <v>-1.12534967351203E-2</v>
      </c>
      <c r="AG850">
        <v>-8.3541999999999894E-2</v>
      </c>
      <c r="AH850">
        <v>0.58792616286508304</v>
      </c>
      <c r="AI850">
        <v>98.085902418999396</v>
      </c>
      <c r="AJ850">
        <v>91.096564809610499</v>
      </c>
      <c r="AK850">
        <v>0.59393861630140499</v>
      </c>
      <c r="AL850">
        <v>71.194044024048296</v>
      </c>
      <c r="AM850">
        <v>92.437739281811901</v>
      </c>
      <c r="AN850">
        <v>1.00000000311424</v>
      </c>
    </row>
    <row r="851" spans="1:40" x14ac:dyDescent="0.25">
      <c r="A851" t="str">
        <f>"20190304164837034"</f>
        <v>20190304164837034</v>
      </c>
      <c r="B851" t="str">
        <f>"1551689317027317"</f>
        <v>1551689317027317</v>
      </c>
      <c r="C851" t="s">
        <v>40</v>
      </c>
      <c r="D851">
        <v>4.5775230000000002</v>
      </c>
      <c r="E851">
        <v>0.52992490000000003</v>
      </c>
      <c r="F851" t="s">
        <v>41</v>
      </c>
      <c r="G851">
        <v>-305.7321</v>
      </c>
      <c r="H851">
        <v>0.96315059999999997</v>
      </c>
      <c r="I851">
        <v>367.73910000000001</v>
      </c>
      <c r="J851">
        <v>-306.4545</v>
      </c>
      <c r="K851">
        <v>1.0606709999999999</v>
      </c>
      <c r="L851">
        <v>367.7296</v>
      </c>
      <c r="M851">
        <v>0.99989530000000004</v>
      </c>
      <c r="N851">
        <v>-1.3342059999999999E-2</v>
      </c>
      <c r="O851">
        <v>-5.6254139999999996E-3</v>
      </c>
      <c r="P851">
        <v>0.95020369999999998</v>
      </c>
      <c r="Q851">
        <v>0.3096547</v>
      </c>
      <c r="R851">
        <v>3.5033839999999997E-2</v>
      </c>
      <c r="S851">
        <v>3.2713009999999998</v>
      </c>
      <c r="T851">
        <v>-0.35350320000000002</v>
      </c>
      <c r="U851">
        <v>3.1677249999999997E-2</v>
      </c>
      <c r="V851">
        <v>-4.0366819999999998E-2</v>
      </c>
      <c r="W851">
        <v>0.32230330000000001</v>
      </c>
      <c r="X851">
        <v>0.94577540000000004</v>
      </c>
      <c r="Y851">
        <v>-1.518389E-2</v>
      </c>
      <c r="Z851">
        <v>1.4508819999999999E-3</v>
      </c>
      <c r="AA851">
        <v>0.99988370000000004</v>
      </c>
      <c r="AB851">
        <v>35</v>
      </c>
      <c r="AC851">
        <v>0.72239999999999305</v>
      </c>
      <c r="AD851">
        <v>-9.7520399999999896E-2</v>
      </c>
      <c r="AE851">
        <v>9.5000000000027198E-3</v>
      </c>
      <c r="AF851">
        <v>-1.33212893374335E-2</v>
      </c>
      <c r="AG851">
        <v>-9.7520399999999896E-2</v>
      </c>
      <c r="AH851">
        <v>0.70940932631730202</v>
      </c>
      <c r="AI851">
        <v>97.825860525167897</v>
      </c>
      <c r="AJ851">
        <v>91.075773796920302</v>
      </c>
      <c r="AK851">
        <v>0.71620477339357402</v>
      </c>
      <c r="AL851">
        <v>71.197724007367299</v>
      </c>
      <c r="AM851">
        <v>92.443968753138194</v>
      </c>
      <c r="AN851">
        <v>1.0000000022964799</v>
      </c>
    </row>
    <row r="852" spans="1:40" x14ac:dyDescent="0.25">
      <c r="A852" t="str">
        <f>"20190304164837044"</f>
        <v>20190304164837044</v>
      </c>
      <c r="B852" t="str">
        <f>"1551689317037078"</f>
        <v>1551689317037078</v>
      </c>
      <c r="C852" t="s">
        <v>40</v>
      </c>
      <c r="D852">
        <v>4.5593700000000004</v>
      </c>
      <c r="E852">
        <v>0.52990809999999999</v>
      </c>
      <c r="F852" t="s">
        <v>41</v>
      </c>
      <c r="G852">
        <v>-305.72109999999998</v>
      </c>
      <c r="H852">
        <v>0.98163199999999995</v>
      </c>
      <c r="I852">
        <v>367.73649999999998</v>
      </c>
      <c r="J852">
        <v>-306.30040000000002</v>
      </c>
      <c r="K852">
        <v>1.060649</v>
      </c>
      <c r="L852">
        <v>367.7287</v>
      </c>
      <c r="M852">
        <v>0.99989530000000004</v>
      </c>
      <c r="N852">
        <v>-1.333195E-2</v>
      </c>
      <c r="O852">
        <v>-5.6252269999999896E-3</v>
      </c>
      <c r="P852">
        <v>0.95018170000000002</v>
      </c>
      <c r="Q852">
        <v>0.30968329999999999</v>
      </c>
      <c r="R852">
        <v>3.5374790000000003E-2</v>
      </c>
      <c r="S852">
        <v>3.2709959999999998</v>
      </c>
      <c r="T852">
        <v>-0.35272120000000001</v>
      </c>
      <c r="U852">
        <v>3.1982419999999998E-2</v>
      </c>
      <c r="V852">
        <v>-4.0707010000000002E-2</v>
      </c>
      <c r="W852">
        <v>0.32232270000000002</v>
      </c>
      <c r="X852">
        <v>0.94575419999999999</v>
      </c>
      <c r="Y852">
        <v>-1.5277799999999999E-2</v>
      </c>
      <c r="Z852">
        <v>1.4535170000000001E-3</v>
      </c>
      <c r="AA852">
        <v>0.99988220000000005</v>
      </c>
      <c r="AB852">
        <v>35</v>
      </c>
      <c r="AC852">
        <v>0.579300000000046</v>
      </c>
      <c r="AD852">
        <v>-7.9016999999999907E-2</v>
      </c>
      <c r="AE852">
        <v>7.79999999997471E-3</v>
      </c>
      <c r="AF852">
        <v>-1.08569021474748E-2</v>
      </c>
      <c r="AG852">
        <v>-7.9016999999999907E-2</v>
      </c>
      <c r="AH852">
        <v>0.56866868330436504</v>
      </c>
      <c r="AI852">
        <v>97.9092228377921</v>
      </c>
      <c r="AJ852">
        <v>91.093746020362403</v>
      </c>
      <c r="AK852">
        <v>0.57423482129209102</v>
      </c>
      <c r="AL852">
        <v>71.196549667527293</v>
      </c>
      <c r="AM852">
        <v>92.464595103265793</v>
      </c>
      <c r="AN852">
        <v>0.99999999520803495</v>
      </c>
    </row>
    <row r="853" spans="1:40" x14ac:dyDescent="0.25">
      <c r="A853" t="str">
        <f>"20190304164837055"</f>
        <v>20190304164837055</v>
      </c>
      <c r="B853" t="str">
        <f>"1551689317046836"</f>
        <v>1551689317046836</v>
      </c>
      <c r="C853" t="s">
        <v>40</v>
      </c>
      <c r="D853">
        <v>4.5444779999999998</v>
      </c>
      <c r="E853">
        <v>0.52989960000000003</v>
      </c>
      <c r="F853" t="s">
        <v>41</v>
      </c>
      <c r="G853">
        <v>-305.41969999999998</v>
      </c>
      <c r="H853">
        <v>0.96598519999999999</v>
      </c>
      <c r="I853">
        <v>367.73750000000001</v>
      </c>
      <c r="J853">
        <v>-306.1379</v>
      </c>
      <c r="K853">
        <v>1.06063</v>
      </c>
      <c r="L853">
        <v>367.7278</v>
      </c>
      <c r="M853">
        <v>0.99989550000000005</v>
      </c>
      <c r="N853">
        <v>-1.3321639999999999E-2</v>
      </c>
      <c r="O853">
        <v>-5.6249200000000003E-3</v>
      </c>
      <c r="P853">
        <v>0.95021180000000005</v>
      </c>
      <c r="Q853">
        <v>0.30956470000000003</v>
      </c>
      <c r="R853">
        <v>3.55959E-2</v>
      </c>
      <c r="S853">
        <v>3.270721</v>
      </c>
      <c r="T853">
        <v>-0.35172320000000001</v>
      </c>
      <c r="U853">
        <v>3.3264160000000001E-2</v>
      </c>
      <c r="V853">
        <v>-4.0928079999999999E-2</v>
      </c>
      <c r="W853">
        <v>0.32219449999999999</v>
      </c>
      <c r="X853">
        <v>0.94578839999999997</v>
      </c>
      <c r="Y853">
        <v>-1.5668250000000002E-2</v>
      </c>
      <c r="Z853">
        <v>1.473111E-3</v>
      </c>
      <c r="AA853">
        <v>0.99987610000000005</v>
      </c>
      <c r="AB853">
        <v>35</v>
      </c>
      <c r="AC853">
        <v>0.71820000000002404</v>
      </c>
      <c r="AD853">
        <v>-9.4644800000000001E-2</v>
      </c>
      <c r="AE853">
        <v>9.7000000000093695E-3</v>
      </c>
      <c r="AF853">
        <v>-1.3505526565005701E-2</v>
      </c>
      <c r="AG853">
        <v>-9.4644800000000001E-2</v>
      </c>
      <c r="AH853">
        <v>0.70587794640360801</v>
      </c>
      <c r="AI853">
        <v>97.635346532948404</v>
      </c>
      <c r="AJ853">
        <v>91.096103475377205</v>
      </c>
      <c r="AK853">
        <v>0.71232275875042295</v>
      </c>
      <c r="AL853">
        <v>71.204310009715698</v>
      </c>
      <c r="AM853">
        <v>92.477873596542594</v>
      </c>
      <c r="AN853">
        <v>1.0000000505686399</v>
      </c>
    </row>
    <row r="854" spans="1:40" x14ac:dyDescent="0.25">
      <c r="A854" t="str">
        <f>"20190304164837064"</f>
        <v>20190304164837064</v>
      </c>
      <c r="B854" t="str">
        <f>"1551689317057573"</f>
        <v>1551689317057573</v>
      </c>
      <c r="C854" t="s">
        <v>40</v>
      </c>
      <c r="D854">
        <v>4.5351819999999998</v>
      </c>
      <c r="E854">
        <v>0.52988919999999995</v>
      </c>
      <c r="F854" t="s">
        <v>41</v>
      </c>
      <c r="G854">
        <v>-305.11619999999999</v>
      </c>
      <c r="H854">
        <v>0.95088640000000002</v>
      </c>
      <c r="I854">
        <v>367.73829999999998</v>
      </c>
      <c r="J854">
        <v>-305.98790000000002</v>
      </c>
      <c r="K854">
        <v>1.0606139999999999</v>
      </c>
      <c r="L854">
        <v>367.72699999999998</v>
      </c>
      <c r="M854">
        <v>0.99989550000000005</v>
      </c>
      <c r="N854">
        <v>-1.3322260000000001E-2</v>
      </c>
      <c r="O854">
        <v>-5.6249239999999999E-3</v>
      </c>
      <c r="P854">
        <v>0.95029390000000002</v>
      </c>
      <c r="Q854">
        <v>0.30929200000000001</v>
      </c>
      <c r="R854">
        <v>3.5780970000000002E-2</v>
      </c>
      <c r="S854">
        <v>3.2703549999999999</v>
      </c>
      <c r="T854">
        <v>-0.35133789999999998</v>
      </c>
      <c r="U854">
        <v>3.4423830000000002E-2</v>
      </c>
      <c r="V854">
        <v>-4.1113829999999997E-2</v>
      </c>
      <c r="W854">
        <v>0.32192310000000002</v>
      </c>
      <c r="X854">
        <v>0.94587270000000001</v>
      </c>
      <c r="Y854">
        <v>-1.6021870000000001E-2</v>
      </c>
      <c r="Z854">
        <v>1.4930010000000001E-3</v>
      </c>
      <c r="AA854">
        <v>0.9998705</v>
      </c>
      <c r="AB854">
        <v>35</v>
      </c>
      <c r="AC854">
        <v>0.871700000000032</v>
      </c>
      <c r="AD854">
        <v>-0.10972759999999999</v>
      </c>
      <c r="AE854">
        <v>1.1300000000005601E-2</v>
      </c>
      <c r="AF854">
        <v>-1.5950801167726399E-2</v>
      </c>
      <c r="AG854">
        <v>-0.10972759999999999</v>
      </c>
      <c r="AH854">
        <v>0.85802928047479399</v>
      </c>
      <c r="AI854">
        <v>97.286371129606593</v>
      </c>
      <c r="AJ854">
        <v>91.065008327426497</v>
      </c>
      <c r="AK854">
        <v>0.86516404248659395</v>
      </c>
      <c r="AL854">
        <v>71.220734180120402</v>
      </c>
      <c r="AM854">
        <v>92.488883626991793</v>
      </c>
      <c r="AN854">
        <v>0.99999999696808395</v>
      </c>
    </row>
    <row r="855" spans="1:40" x14ac:dyDescent="0.25">
      <c r="A855" t="str">
        <f>"20190304164837074"</f>
        <v>20190304164837074</v>
      </c>
      <c r="B855" t="str">
        <f>"1551689317067334"</f>
        <v>1551689317067334</v>
      </c>
      <c r="C855" t="s">
        <v>40</v>
      </c>
      <c r="D855">
        <v>4.5302930000000003</v>
      </c>
      <c r="E855">
        <v>0.52988219999999997</v>
      </c>
      <c r="F855" t="s">
        <v>41</v>
      </c>
      <c r="G855">
        <v>-305.10879999999997</v>
      </c>
      <c r="H855">
        <v>0.9662364</v>
      </c>
      <c r="I855">
        <v>367.7362</v>
      </c>
      <c r="J855">
        <v>-305.83199999999999</v>
      </c>
      <c r="K855">
        <v>1.0606009999999999</v>
      </c>
      <c r="L855">
        <v>367.726</v>
      </c>
      <c r="M855">
        <v>0.9998956</v>
      </c>
      <c r="N855">
        <v>-1.332292E-2</v>
      </c>
      <c r="O855">
        <v>-5.6249280000000004E-3</v>
      </c>
      <c r="P855">
        <v>0.95034039999999997</v>
      </c>
      <c r="Q855">
        <v>0.30912610000000001</v>
      </c>
      <c r="R855">
        <v>3.5979480000000001E-2</v>
      </c>
      <c r="S855">
        <v>3.2698670000000001</v>
      </c>
      <c r="T855">
        <v>-0.35113100000000003</v>
      </c>
      <c r="U855">
        <v>3.515625E-2</v>
      </c>
      <c r="V855">
        <v>-4.1312920000000003E-2</v>
      </c>
      <c r="W855">
        <v>0.32175880000000001</v>
      </c>
      <c r="X855">
        <v>0.94591990000000004</v>
      </c>
      <c r="Y855">
        <v>-1.624604E-2</v>
      </c>
      <c r="Z855">
        <v>1.505862E-3</v>
      </c>
      <c r="AA855">
        <v>0.9998669</v>
      </c>
      <c r="AB855">
        <v>35</v>
      </c>
      <c r="AC855">
        <v>0.72320000000001905</v>
      </c>
      <c r="AD855">
        <v>-9.4364600000000104E-2</v>
      </c>
      <c r="AE855">
        <v>1.0199999999997499E-2</v>
      </c>
      <c r="AF855">
        <v>-1.4029337104149799E-2</v>
      </c>
      <c r="AG855">
        <v>-9.4364600000000104E-2</v>
      </c>
      <c r="AH855">
        <v>0.71102793731542602</v>
      </c>
      <c r="AI855">
        <v>97.558419100031401</v>
      </c>
      <c r="AJ855">
        <v>91.130359968094396</v>
      </c>
      <c r="AK855">
        <v>0.71739962899054499</v>
      </c>
      <c r="AL855">
        <v>71.230676365565301</v>
      </c>
      <c r="AM855">
        <v>92.500795921106999</v>
      </c>
      <c r="AN855">
        <v>0.99999996997618701</v>
      </c>
    </row>
    <row r="856" spans="1:40" x14ac:dyDescent="0.25">
      <c r="A856" t="str">
        <f>"20190304164837085"</f>
        <v>20190304164837085</v>
      </c>
      <c r="B856" t="str">
        <f>"1551689317077094"</f>
        <v>1551689317077094</v>
      </c>
      <c r="C856" t="s">
        <v>40</v>
      </c>
      <c r="D856">
        <v>4.502885</v>
      </c>
      <c r="E856">
        <v>0.52988789999999997</v>
      </c>
      <c r="F856" t="s">
        <v>41</v>
      </c>
      <c r="G856">
        <v>-305.09879999999998</v>
      </c>
      <c r="H856">
        <v>0.98192330000000005</v>
      </c>
      <c r="I856">
        <v>367.73390000000001</v>
      </c>
      <c r="J856">
        <v>-305.65969999999999</v>
      </c>
      <c r="K856">
        <v>1.0605960000000001</v>
      </c>
      <c r="L856">
        <v>367.7251</v>
      </c>
      <c r="M856">
        <v>0.99989530000000004</v>
      </c>
      <c r="N856">
        <v>-1.3332770000000001E-2</v>
      </c>
      <c r="O856">
        <v>-5.6246359999999997E-3</v>
      </c>
      <c r="P856">
        <v>0.95036969999999998</v>
      </c>
      <c r="Q856">
        <v>0.30903120000000001</v>
      </c>
      <c r="R856">
        <v>3.6017220000000003E-2</v>
      </c>
      <c r="S856">
        <v>3.2695919999999998</v>
      </c>
      <c r="T856">
        <v>-0.35092830000000003</v>
      </c>
      <c r="U856">
        <v>3.5919189999999997E-2</v>
      </c>
      <c r="V856">
        <v>-4.1350270000000001E-2</v>
      </c>
      <c r="W856">
        <v>0.3216734</v>
      </c>
      <c r="X856">
        <v>0.94594730000000005</v>
      </c>
      <c r="Y856">
        <v>-1.647856E-2</v>
      </c>
      <c r="Z856">
        <v>1.519133E-3</v>
      </c>
      <c r="AA856">
        <v>0.9998631</v>
      </c>
      <c r="AB856">
        <v>35</v>
      </c>
      <c r="AC856">
        <v>0.56090000000000295</v>
      </c>
      <c r="AD856">
        <v>-7.8672699999999804E-2</v>
      </c>
      <c r="AE856">
        <v>8.8000000000079091E-3</v>
      </c>
      <c r="AF856">
        <v>-1.1724398676096899E-2</v>
      </c>
      <c r="AG856">
        <v>-7.8672699999999804E-2</v>
      </c>
      <c r="AH856">
        <v>0.55002350963427005</v>
      </c>
      <c r="AI856">
        <v>98.138273723149695</v>
      </c>
      <c r="AJ856">
        <v>91.221142065770906</v>
      </c>
      <c r="AK856">
        <v>0.55574519017262403</v>
      </c>
      <c r="AL856">
        <v>71.235843927039994</v>
      </c>
      <c r="AM856">
        <v>92.502981544814006</v>
      </c>
      <c r="AN856">
        <v>0.99999995773696004</v>
      </c>
    </row>
    <row r="857" spans="1:40" x14ac:dyDescent="0.25">
      <c r="A857" t="str">
        <f>"20190304164837097"</f>
        <v>20190304164837097</v>
      </c>
      <c r="B857" t="str">
        <f>"1551689317086854"</f>
        <v>1551689317086854</v>
      </c>
      <c r="C857" t="s">
        <v>40</v>
      </c>
      <c r="D857">
        <v>4.4858010000000004</v>
      </c>
      <c r="E857">
        <v>0.52988029999999997</v>
      </c>
      <c r="F857" t="s">
        <v>41</v>
      </c>
      <c r="G857">
        <v>-304.79730000000001</v>
      </c>
      <c r="H857">
        <v>0.96832130000000005</v>
      </c>
      <c r="I857">
        <v>367.73439999999999</v>
      </c>
      <c r="J857">
        <v>-305.4837</v>
      </c>
      <c r="K857">
        <v>1.0605910000000001</v>
      </c>
      <c r="L857">
        <v>367.72410000000002</v>
      </c>
      <c r="M857">
        <v>0.99989519999999998</v>
      </c>
      <c r="N857">
        <v>-1.3345289999999999E-2</v>
      </c>
      <c r="O857">
        <v>-5.6245990000000001E-3</v>
      </c>
      <c r="P857">
        <v>0.95041200000000003</v>
      </c>
      <c r="Q857">
        <v>0.30894349999999998</v>
      </c>
      <c r="R857">
        <v>3.565335E-2</v>
      </c>
      <c r="S857">
        <v>3.269104</v>
      </c>
      <c r="T857">
        <v>-0.34998689999999999</v>
      </c>
      <c r="U857">
        <v>3.616333E-2</v>
      </c>
      <c r="V857">
        <v>-4.0986910000000001E-2</v>
      </c>
      <c r="W857">
        <v>0.32159860000000001</v>
      </c>
      <c r="X857">
        <v>0.94598859999999996</v>
      </c>
      <c r="Y857">
        <v>-1.655498E-2</v>
      </c>
      <c r="Z857">
        <v>1.520013E-3</v>
      </c>
      <c r="AA857">
        <v>0.99986180000000002</v>
      </c>
      <c r="AB857">
        <v>35</v>
      </c>
      <c r="AC857">
        <v>0.68639999999999102</v>
      </c>
      <c r="AD857">
        <v>-9.2269700000000093E-2</v>
      </c>
      <c r="AE857">
        <v>1.0299999999972401E-2</v>
      </c>
      <c r="AF857">
        <v>-1.39096120599919E-2</v>
      </c>
      <c r="AG857">
        <v>-9.2269700000000093E-2</v>
      </c>
      <c r="AH857">
        <v>0.674151865518962</v>
      </c>
      <c r="AI857">
        <v>97.791886664884402</v>
      </c>
      <c r="AJ857">
        <v>91.182002221724503</v>
      </c>
      <c r="AK857">
        <v>0.68057910093423102</v>
      </c>
      <c r="AL857">
        <v>71.240371154338405</v>
      </c>
      <c r="AM857">
        <v>92.480906351703496</v>
      </c>
      <c r="AN857">
        <v>1.0000000088216301</v>
      </c>
    </row>
    <row r="858" spans="1:40" x14ac:dyDescent="0.25">
      <c r="A858" t="str">
        <f>"20190304164837108"</f>
        <v>20190304164837108</v>
      </c>
      <c r="B858" t="str">
        <f>"1551689317097590"</f>
        <v>1551689317097590</v>
      </c>
      <c r="C858" t="s">
        <v>40</v>
      </c>
      <c r="D858">
        <v>4.4965780000000004</v>
      </c>
      <c r="E858">
        <v>0.52987039999999996</v>
      </c>
      <c r="F858" t="s">
        <v>41</v>
      </c>
      <c r="G858">
        <v>-304.49349999999998</v>
      </c>
      <c r="H858">
        <v>0.95475489999999996</v>
      </c>
      <c r="I858">
        <v>367.73450000000003</v>
      </c>
      <c r="J858">
        <v>-305.3141</v>
      </c>
      <c r="K858">
        <v>1.060584</v>
      </c>
      <c r="L858">
        <v>367.72309999999999</v>
      </c>
      <c r="M858">
        <v>0.99989499999999998</v>
      </c>
      <c r="N858">
        <v>-1.336647E-2</v>
      </c>
      <c r="O858">
        <v>-5.6245019999999904E-3</v>
      </c>
      <c r="P858">
        <v>0.95032499999999998</v>
      </c>
      <c r="Q858">
        <v>0.30925659999999999</v>
      </c>
      <c r="R858">
        <v>3.5254679999999997E-2</v>
      </c>
      <c r="S858">
        <v>3.2688600000000001</v>
      </c>
      <c r="T858">
        <v>-0.34953299999999998</v>
      </c>
      <c r="U858">
        <v>3.5003659999999999E-2</v>
      </c>
      <c r="V858">
        <v>-4.0587369999999998E-2</v>
      </c>
      <c r="W858">
        <v>0.3219303</v>
      </c>
      <c r="X858">
        <v>0.94589299999999998</v>
      </c>
      <c r="Y858">
        <v>-1.620359E-2</v>
      </c>
      <c r="Z858">
        <v>1.497169E-3</v>
      </c>
      <c r="AA858">
        <v>0.99986759999999997</v>
      </c>
      <c r="AB858">
        <v>35</v>
      </c>
      <c r="AC858">
        <v>0.82060000000001299</v>
      </c>
      <c r="AD858">
        <v>-0.105829099999999</v>
      </c>
      <c r="AE858">
        <v>1.14000000000373E-2</v>
      </c>
      <c r="AF858">
        <v>-1.57537305175071E-2</v>
      </c>
      <c r="AG858">
        <v>-0.105829099999999</v>
      </c>
      <c r="AH858">
        <v>0.80710168413171401</v>
      </c>
      <c r="AI858">
        <v>97.468735822517104</v>
      </c>
      <c r="AJ858">
        <v>91.118208132903902</v>
      </c>
      <c r="AK858">
        <v>0.81416282582802602</v>
      </c>
      <c r="AL858">
        <v>71.220298709446396</v>
      </c>
      <c r="AM858">
        <v>92.457000273686504</v>
      </c>
      <c r="AN858">
        <v>1.0000000100552999</v>
      </c>
    </row>
    <row r="859" spans="1:40" x14ac:dyDescent="0.25">
      <c r="A859" t="str">
        <f>"20190304164837120"</f>
        <v>20190304164837120</v>
      </c>
      <c r="B859" t="str">
        <f>"1551689317117109"</f>
        <v>1551689317117109</v>
      </c>
      <c r="C859" t="s">
        <v>40</v>
      </c>
      <c r="D859">
        <v>4.4801679999999999</v>
      </c>
      <c r="E859">
        <v>0.52988139999999995</v>
      </c>
      <c r="F859" t="s">
        <v>41</v>
      </c>
      <c r="G859">
        <v>-304.48500000000001</v>
      </c>
      <c r="H859">
        <v>0.97245729999999997</v>
      </c>
      <c r="I859">
        <v>367.73160000000001</v>
      </c>
      <c r="J859">
        <v>-305.13990000000001</v>
      </c>
      <c r="K859">
        <v>1.0605819999999999</v>
      </c>
      <c r="L859">
        <v>367.72210000000001</v>
      </c>
      <c r="M859">
        <v>0.99989459999999997</v>
      </c>
      <c r="N859">
        <v>-1.339183E-2</v>
      </c>
      <c r="O859">
        <v>-5.6238319999999996E-3</v>
      </c>
      <c r="P859">
        <v>0.95034490000000005</v>
      </c>
      <c r="Q859">
        <v>0.30924010000000002</v>
      </c>
      <c r="R859">
        <v>3.4858689999999998E-2</v>
      </c>
      <c r="S859">
        <v>3.2686769999999998</v>
      </c>
      <c r="T859">
        <v>-0.34758070000000002</v>
      </c>
      <c r="U859">
        <v>3.3966059999999999E-2</v>
      </c>
      <c r="V859">
        <v>-4.0191249999999998E-2</v>
      </c>
      <c r="W859">
        <v>0.32193759999999999</v>
      </c>
      <c r="X859">
        <v>0.94590739999999995</v>
      </c>
      <c r="Y859">
        <v>-1.5889549999999999E-2</v>
      </c>
      <c r="Z859">
        <v>1.47036E-3</v>
      </c>
      <c r="AA859">
        <v>0.99987269999999995</v>
      </c>
      <c r="AB859">
        <v>35</v>
      </c>
      <c r="AC859">
        <v>0.65489999999999704</v>
      </c>
      <c r="AD859">
        <v>-8.8124699999999806E-2</v>
      </c>
      <c r="AE859">
        <v>9.5000000000027198E-3</v>
      </c>
      <c r="AF859">
        <v>-1.2948813097010301E-2</v>
      </c>
      <c r="AG859">
        <v>-8.8124699999999806E-2</v>
      </c>
      <c r="AH859">
        <v>0.64319240730501803</v>
      </c>
      <c r="AI859">
        <v>97.800039057626194</v>
      </c>
      <c r="AJ859">
        <v>91.153328496109296</v>
      </c>
      <c r="AK859">
        <v>0.64933050700358697</v>
      </c>
      <c r="AL859">
        <v>71.219856386700997</v>
      </c>
      <c r="AM859">
        <v>92.433012685551901</v>
      </c>
      <c r="AN859">
        <v>0.99999998212254104</v>
      </c>
    </row>
    <row r="860" spans="1:40" x14ac:dyDescent="0.25">
      <c r="A860" t="str">
        <f>"20190304164837130"</f>
        <v>20190304164837130</v>
      </c>
      <c r="B860" t="str">
        <f>"1551689317126869"</f>
        <v>1551689317126869</v>
      </c>
      <c r="C860" t="s">
        <v>40</v>
      </c>
      <c r="D860">
        <v>4.4895829999999997</v>
      </c>
      <c r="E860">
        <v>0.52988780000000002</v>
      </c>
      <c r="F860" t="s">
        <v>41</v>
      </c>
      <c r="G860">
        <v>-304.18150000000003</v>
      </c>
      <c r="H860">
        <v>0.95900759999999996</v>
      </c>
      <c r="I860">
        <v>367.73149999999998</v>
      </c>
      <c r="J860">
        <v>-304.95819999999998</v>
      </c>
      <c r="K860">
        <v>1.0605800000000001</v>
      </c>
      <c r="L860">
        <v>367.72109999999998</v>
      </c>
      <c r="M860">
        <v>0.99989410000000001</v>
      </c>
      <c r="N860">
        <v>-1.342432E-2</v>
      </c>
      <c r="O860">
        <v>-5.6227289999999999E-3</v>
      </c>
      <c r="P860">
        <v>0.95037590000000005</v>
      </c>
      <c r="Q860">
        <v>0.30915609999999999</v>
      </c>
      <c r="R860">
        <v>3.476125E-2</v>
      </c>
      <c r="S860">
        <v>3.2682500000000001</v>
      </c>
      <c r="T860">
        <v>-0.34644960000000002</v>
      </c>
      <c r="U860">
        <v>3.2562260000000003E-2</v>
      </c>
      <c r="V860">
        <v>-4.0093230000000001E-2</v>
      </c>
      <c r="W860">
        <v>0.32188519999999998</v>
      </c>
      <c r="X860">
        <v>0.94592940000000003</v>
      </c>
      <c r="Y860">
        <v>-1.546382E-2</v>
      </c>
      <c r="Z860">
        <v>1.440497E-3</v>
      </c>
      <c r="AA860">
        <v>0.99987939999999997</v>
      </c>
      <c r="AB860">
        <v>35</v>
      </c>
      <c r="AC860">
        <v>0.77669999999994799</v>
      </c>
      <c r="AD860">
        <v>-0.10157239999999899</v>
      </c>
      <c r="AE860">
        <v>1.04000000000041E-2</v>
      </c>
      <c r="AF860">
        <v>-1.4519141999068799E-2</v>
      </c>
      <c r="AG860">
        <v>-0.10157239999999899</v>
      </c>
      <c r="AH860">
        <v>0.76357301613086603</v>
      </c>
      <c r="AI860">
        <v>97.575791404711097</v>
      </c>
      <c r="AJ860">
        <v>91.089333048620304</v>
      </c>
      <c r="AK860">
        <v>0.77043592133891103</v>
      </c>
      <c r="AL860">
        <v>71.223027626042196</v>
      </c>
      <c r="AM860">
        <v>92.4270296825499</v>
      </c>
      <c r="AN860">
        <v>0.99999998942761603</v>
      </c>
    </row>
    <row r="861" spans="1:40" x14ac:dyDescent="0.25">
      <c r="A861" t="str">
        <f>"20190304164837143"</f>
        <v>20190304164837143</v>
      </c>
      <c r="B861" t="str">
        <f>"1551689317137609"</f>
        <v>1551689317137609</v>
      </c>
      <c r="C861" t="s">
        <v>40</v>
      </c>
      <c r="D861">
        <v>4.4616689999999997</v>
      </c>
      <c r="E861">
        <v>0.52987830000000002</v>
      </c>
      <c r="F861" t="s">
        <v>41</v>
      </c>
      <c r="G861">
        <v>-304.17180000000002</v>
      </c>
      <c r="H861">
        <v>0.97728459999999995</v>
      </c>
      <c r="I861">
        <v>367.72879999999998</v>
      </c>
      <c r="J861">
        <v>-304.77510000000001</v>
      </c>
      <c r="K861">
        <v>1.0605850000000001</v>
      </c>
      <c r="L861">
        <v>367.7201</v>
      </c>
      <c r="M861">
        <v>0.99989360000000005</v>
      </c>
      <c r="N861">
        <v>-1.346286E-2</v>
      </c>
      <c r="O861">
        <v>-5.6178269999999997E-3</v>
      </c>
      <c r="P861">
        <v>0.95043239999999996</v>
      </c>
      <c r="Q861">
        <v>0.30901210000000001</v>
      </c>
      <c r="R861">
        <v>3.449282E-2</v>
      </c>
      <c r="S861">
        <v>3.268097</v>
      </c>
      <c r="T861">
        <v>-0.34626600000000002</v>
      </c>
      <c r="U861">
        <v>3.2409670000000002E-2</v>
      </c>
      <c r="V861">
        <v>-3.9822330000000003E-2</v>
      </c>
      <c r="W861">
        <v>0.3217778</v>
      </c>
      <c r="X861">
        <v>0.94597739999999997</v>
      </c>
      <c r="Y861">
        <v>-1.541315E-2</v>
      </c>
      <c r="Z861">
        <v>1.43643E-3</v>
      </c>
      <c r="AA861">
        <v>0.9998802</v>
      </c>
      <c r="AB861">
        <v>35</v>
      </c>
      <c r="AC861">
        <v>0.60329999999998996</v>
      </c>
      <c r="AD861">
        <v>-8.3300400000000094E-2</v>
      </c>
      <c r="AE861">
        <v>8.6999999999761695E-3</v>
      </c>
      <c r="AF861">
        <v>-1.1863283236980699E-2</v>
      </c>
      <c r="AG861">
        <v>-8.3300400000000094E-2</v>
      </c>
      <c r="AH861">
        <v>0.59195849756156105</v>
      </c>
      <c r="AI861">
        <v>98.008479158882494</v>
      </c>
      <c r="AJ861">
        <v>91.148095832750002</v>
      </c>
      <c r="AK861">
        <v>0.59790848544293296</v>
      </c>
      <c r="AL861">
        <v>71.229527299361607</v>
      </c>
      <c r="AM861">
        <v>92.410528082368202</v>
      </c>
      <c r="AN861">
        <v>1.00000000592511</v>
      </c>
    </row>
    <row r="862" spans="1:40" x14ac:dyDescent="0.25">
      <c r="A862" t="str">
        <f>"20190304164837153"</f>
        <v>20190304164837153</v>
      </c>
      <c r="B862" t="str">
        <f>"1551689317147365"</f>
        <v>1551689317147365</v>
      </c>
      <c r="C862" t="s">
        <v>40</v>
      </c>
      <c r="D862">
        <v>4.4383019999999904</v>
      </c>
      <c r="E862">
        <v>0.52988869999999999</v>
      </c>
      <c r="F862" t="s">
        <v>41</v>
      </c>
      <c r="G862">
        <v>-303.8691</v>
      </c>
      <c r="H862">
        <v>0.96471629999999997</v>
      </c>
      <c r="I862">
        <v>367.72859999999997</v>
      </c>
      <c r="J862">
        <v>-304.608</v>
      </c>
      <c r="K862">
        <v>1.0605869999999999</v>
      </c>
      <c r="L862">
        <v>367.7192</v>
      </c>
      <c r="M862">
        <v>0.99989309999999998</v>
      </c>
      <c r="N862">
        <v>-1.3500699999999999E-2</v>
      </c>
      <c r="O862">
        <v>-5.6118390000000004E-3</v>
      </c>
      <c r="P862">
        <v>0.95033129999999999</v>
      </c>
      <c r="Q862">
        <v>0.30938359999999998</v>
      </c>
      <c r="R862">
        <v>3.394921E-2</v>
      </c>
      <c r="S862">
        <v>3.267792</v>
      </c>
      <c r="T862">
        <v>-0.34592800000000001</v>
      </c>
      <c r="U862">
        <v>3.125E-2</v>
      </c>
      <c r="V862">
        <v>-3.9274389999999999E-2</v>
      </c>
      <c r="W862">
        <v>0.32218409999999997</v>
      </c>
      <c r="X862">
        <v>0.94586199999999998</v>
      </c>
      <c r="Y862">
        <v>-1.505576E-2</v>
      </c>
      <c r="Z862">
        <v>1.4134410000000001E-3</v>
      </c>
      <c r="AA862">
        <v>0.99988569999999999</v>
      </c>
      <c r="AB862">
        <v>35</v>
      </c>
      <c r="AC862">
        <v>0.738900000000001</v>
      </c>
      <c r="AD862">
        <v>-9.5870700000000003E-2</v>
      </c>
      <c r="AE862">
        <v>9.3999999999709802E-3</v>
      </c>
      <c r="AF862">
        <v>-1.33225750740095E-2</v>
      </c>
      <c r="AG862">
        <v>-9.5870700000000003E-2</v>
      </c>
      <c r="AH862">
        <v>0.72660553826644703</v>
      </c>
      <c r="AI862">
        <v>97.515126055295696</v>
      </c>
      <c r="AJ862">
        <v>91.050421117357899</v>
      </c>
      <c r="AK862">
        <v>0.733024072159002</v>
      </c>
      <c r="AL862">
        <v>71.204938416195503</v>
      </c>
      <c r="AM862">
        <v>92.377688183766693</v>
      </c>
      <c r="AN862">
        <v>0.99999999752334101</v>
      </c>
    </row>
    <row r="863" spans="1:40" x14ac:dyDescent="0.25">
      <c r="A863" t="str">
        <f>"20190304164837164"</f>
        <v>20190304164837164</v>
      </c>
      <c r="B863" t="str">
        <f>"1551689317157125"</f>
        <v>1551689317157125</v>
      </c>
      <c r="C863" t="s">
        <v>40</v>
      </c>
      <c r="D863">
        <v>4.4450849999999997</v>
      </c>
      <c r="E863">
        <v>0.529887199999999</v>
      </c>
      <c r="F863" t="s">
        <v>41</v>
      </c>
      <c r="G863">
        <v>-303.8587</v>
      </c>
      <c r="H863">
        <v>0.98177460000000005</v>
      </c>
      <c r="I863">
        <v>367.72570000000002</v>
      </c>
      <c r="J863">
        <v>-304.4384</v>
      </c>
      <c r="K863">
        <v>1.060594</v>
      </c>
      <c r="L863">
        <v>367.71820000000002</v>
      </c>
      <c r="M863">
        <v>0.99989269999999997</v>
      </c>
      <c r="N863">
        <v>-1.3544179999999999E-2</v>
      </c>
      <c r="O863">
        <v>-5.5988169999999999E-3</v>
      </c>
      <c r="P863">
        <v>0.95041019999999998</v>
      </c>
      <c r="Q863">
        <v>0.30918400000000001</v>
      </c>
      <c r="R863">
        <v>3.355611E-2</v>
      </c>
      <c r="S863">
        <v>3.2676699999999999</v>
      </c>
      <c r="T863">
        <v>-0.3438503</v>
      </c>
      <c r="U863">
        <v>2.9083250000000001E-2</v>
      </c>
      <c r="V863">
        <v>-3.8873390000000001E-2</v>
      </c>
      <c r="W863">
        <v>0.32202609999999998</v>
      </c>
      <c r="X863">
        <v>0.94593240000000001</v>
      </c>
      <c r="Y863">
        <v>-1.4385749999999999E-2</v>
      </c>
      <c r="Z863">
        <v>1.364393E-3</v>
      </c>
      <c r="AA863">
        <v>0.9998956</v>
      </c>
      <c r="AB863">
        <v>35</v>
      </c>
      <c r="AC863">
        <v>0.57970000000000199</v>
      </c>
      <c r="AD863">
        <v>-7.8819400000000095E-2</v>
      </c>
      <c r="AE863">
        <v>7.4999999999931797E-3</v>
      </c>
      <c r="AF863">
        <v>-1.0550797157437701E-2</v>
      </c>
      <c r="AG863">
        <v>-7.8819400000000095E-2</v>
      </c>
      <c r="AH863">
        <v>0.56912934854835795</v>
      </c>
      <c r="AI863">
        <v>97.883468661021993</v>
      </c>
      <c r="AJ863">
        <v>91.062055420219295</v>
      </c>
      <c r="AK863">
        <v>0.57465818754812503</v>
      </c>
      <c r="AL863">
        <v>71.214501369524797</v>
      </c>
      <c r="AM863">
        <v>92.353263956296601</v>
      </c>
      <c r="AN863">
        <v>1.0000000274505301</v>
      </c>
    </row>
    <row r="864" spans="1:40" x14ac:dyDescent="0.25">
      <c r="A864" t="str">
        <f>"20190304164837175"</f>
        <v>20190304164837175</v>
      </c>
      <c r="B864" t="str">
        <f>"1551689317166886"</f>
        <v>1551689317166886</v>
      </c>
      <c r="C864" t="s">
        <v>40</v>
      </c>
      <c r="D864">
        <v>4.4489650000000003</v>
      </c>
      <c r="E864">
        <v>0.5298834</v>
      </c>
      <c r="F864" t="s">
        <v>41</v>
      </c>
      <c r="G864">
        <v>-303.5582</v>
      </c>
      <c r="H864">
        <v>0.96806760000000003</v>
      </c>
      <c r="I864">
        <v>367.72539999999998</v>
      </c>
      <c r="J864">
        <v>-304.2722</v>
      </c>
      <c r="K864">
        <v>1.060595</v>
      </c>
      <c r="L864">
        <v>367.71730000000002</v>
      </c>
      <c r="M864">
        <v>0.99989220000000001</v>
      </c>
      <c r="N864">
        <v>-1.358763E-2</v>
      </c>
      <c r="O864">
        <v>-5.5850750000000001E-3</v>
      </c>
      <c r="P864">
        <v>0.95034989999999997</v>
      </c>
      <c r="Q864">
        <v>0.30940889999999999</v>
      </c>
      <c r="R864">
        <v>3.3192329999999999E-2</v>
      </c>
      <c r="S864">
        <v>3.267395</v>
      </c>
      <c r="T864">
        <v>-0.34379150000000003</v>
      </c>
      <c r="U864">
        <v>2.7771000000000001E-2</v>
      </c>
      <c r="V864">
        <v>-3.8500310000000003E-2</v>
      </c>
      <c r="W864">
        <v>0.32229059999999998</v>
      </c>
      <c r="X864">
        <v>0.94585759999999997</v>
      </c>
      <c r="Y864">
        <v>-1.3973849999999999E-2</v>
      </c>
      <c r="Z864">
        <v>1.3386769999999999E-3</v>
      </c>
      <c r="AA864">
        <v>0.9999015</v>
      </c>
      <c r="AB864">
        <v>35</v>
      </c>
      <c r="AC864">
        <v>0.71399999999999797</v>
      </c>
      <c r="AD864">
        <v>-9.2527400000000204E-2</v>
      </c>
      <c r="AE864">
        <v>8.0999999999562498E-3</v>
      </c>
      <c r="AF864">
        <v>-1.1888361975816501E-2</v>
      </c>
      <c r="AG864">
        <v>-9.2527400000000204E-2</v>
      </c>
      <c r="AH864">
        <v>0.70215343876213998</v>
      </c>
      <c r="AI864">
        <v>97.505926353019404</v>
      </c>
      <c r="AJ864">
        <v>90.969998652379502</v>
      </c>
      <c r="AK864">
        <v>0.708323446221235</v>
      </c>
      <c r="AL864">
        <v>71.198493652733703</v>
      </c>
      <c r="AM864">
        <v>92.330888090783205</v>
      </c>
      <c r="AN864">
        <v>1.0000000520981001</v>
      </c>
    </row>
    <row r="865" spans="1:40" x14ac:dyDescent="0.25">
      <c r="A865" t="str">
        <f>"20190304164837188"</f>
        <v>20190304164837188</v>
      </c>
      <c r="B865" t="str">
        <f>"1551689317177621"</f>
        <v>1551689317177621</v>
      </c>
      <c r="C865" t="s">
        <v>40</v>
      </c>
      <c r="D865">
        <v>4.4246230000000004</v>
      </c>
      <c r="E865">
        <v>0.52990109999999901</v>
      </c>
      <c r="F865" t="s">
        <v>41</v>
      </c>
      <c r="G865">
        <v>-303.2559</v>
      </c>
      <c r="H865">
        <v>0.95425280000000001</v>
      </c>
      <c r="I865">
        <v>367.7253</v>
      </c>
      <c r="J865">
        <v>-304.07499999999999</v>
      </c>
      <c r="K865">
        <v>1.060608</v>
      </c>
      <c r="L865">
        <v>367.71620000000001</v>
      </c>
      <c r="M865">
        <v>0.99989159999999999</v>
      </c>
      <c r="N865">
        <v>-1.3643300000000001E-2</v>
      </c>
      <c r="O865">
        <v>-5.5582409999999898E-3</v>
      </c>
      <c r="P865">
        <v>0.95042349999999998</v>
      </c>
      <c r="Q865">
        <v>0.30920239999999999</v>
      </c>
      <c r="R865">
        <v>3.3001500000000003E-2</v>
      </c>
      <c r="S865">
        <v>3.2672119999999998</v>
      </c>
      <c r="T865">
        <v>-0.34202529999999998</v>
      </c>
      <c r="U865">
        <v>2.624512E-2</v>
      </c>
      <c r="V865">
        <v>-3.8291789999999999E-2</v>
      </c>
      <c r="W865">
        <v>0.32213709999999901</v>
      </c>
      <c r="X865">
        <v>0.94591829999999999</v>
      </c>
      <c r="Y865">
        <v>-1.348476E-2</v>
      </c>
      <c r="Z865">
        <v>1.300774E-3</v>
      </c>
      <c r="AA865">
        <v>0.99990820000000002</v>
      </c>
      <c r="AB865">
        <v>35</v>
      </c>
      <c r="AC865">
        <v>0.81909999999999095</v>
      </c>
      <c r="AD865">
        <v>-0.106355199999999</v>
      </c>
      <c r="AE865">
        <v>9.0999999999894499E-3</v>
      </c>
      <c r="AF865">
        <v>-1.3426698904155999E-2</v>
      </c>
      <c r="AG865">
        <v>-0.106355199999999</v>
      </c>
      <c r="AH865">
        <v>0.80545883675401098</v>
      </c>
      <c r="AI865">
        <v>97.520958842446802</v>
      </c>
      <c r="AJ865">
        <v>90.9550108591731</v>
      </c>
      <c r="AK865">
        <v>0.81256116232295195</v>
      </c>
      <c r="AL865">
        <v>71.207783049572896</v>
      </c>
      <c r="AM865">
        <v>92.318129069088798</v>
      </c>
      <c r="AN865">
        <v>1.0000000013263499</v>
      </c>
    </row>
    <row r="866" spans="1:40" x14ac:dyDescent="0.25">
      <c r="A866" t="str">
        <f>"20190304164837209"</f>
        <v>20190304164837209</v>
      </c>
      <c r="B866" t="str">
        <f>"1551689317197141"</f>
        <v>1551689317197141</v>
      </c>
      <c r="C866" t="s">
        <v>40</v>
      </c>
      <c r="D866">
        <v>4.4042320000000004</v>
      </c>
      <c r="E866">
        <v>0.52993710000000005</v>
      </c>
      <c r="F866" t="s">
        <v>41</v>
      </c>
      <c r="G866">
        <v>-303.24639999999999</v>
      </c>
      <c r="H866">
        <v>0.9738928</v>
      </c>
      <c r="I866">
        <v>367.72239999999999</v>
      </c>
      <c r="J866">
        <v>-303.74529999999999</v>
      </c>
      <c r="K866">
        <v>1.0606230000000001</v>
      </c>
      <c r="L866">
        <v>367.71449999999999</v>
      </c>
      <c r="M866">
        <v>0.99989059999999996</v>
      </c>
      <c r="N866">
        <v>-1.3736719999999999E-2</v>
      </c>
      <c r="O866">
        <v>-5.5019789999999997E-3</v>
      </c>
      <c r="P866">
        <v>0.95055469999999997</v>
      </c>
      <c r="Q866">
        <v>0.30878899999999998</v>
      </c>
      <c r="R866">
        <v>3.3096460000000001E-2</v>
      </c>
      <c r="S866">
        <v>3.2668759999999999</v>
      </c>
      <c r="T866">
        <v>-0.34205249999999998</v>
      </c>
      <c r="U866">
        <v>2.4902339999999999E-2</v>
      </c>
      <c r="V866">
        <v>-3.8346789999999999E-2</v>
      </c>
      <c r="W866">
        <v>0.32181209999999999</v>
      </c>
      <c r="X866">
        <v>0.9460267</v>
      </c>
      <c r="Y866">
        <v>-1.3021410000000001E-2</v>
      </c>
      <c r="Z866">
        <v>1.2686360000000001E-3</v>
      </c>
      <c r="AA866">
        <v>0.99991439999999998</v>
      </c>
      <c r="AB866">
        <v>35</v>
      </c>
      <c r="AC866">
        <v>0.49889999999999102</v>
      </c>
      <c r="AD866">
        <v>-8.6730199999999799E-2</v>
      </c>
      <c r="AE866">
        <v>7.9000000000064505E-3</v>
      </c>
      <c r="AF866">
        <v>-1.03328812784026E-2</v>
      </c>
      <c r="AG866">
        <v>-8.6730199999999799E-2</v>
      </c>
      <c r="AH866">
        <v>0.48421890275027701</v>
      </c>
      <c r="AI866">
        <v>100.15251086445301</v>
      </c>
      <c r="AJ866">
        <v>91.222464974775804</v>
      </c>
      <c r="AK866">
        <v>0.49203337468939701</v>
      </c>
      <c r="AL866">
        <v>71.227451739304499</v>
      </c>
      <c r="AM866">
        <v>92.321189336800998</v>
      </c>
      <c r="AN866">
        <v>1.0000000105613001</v>
      </c>
    </row>
    <row r="867" spans="1:40" x14ac:dyDescent="0.25">
      <c r="A867" t="str">
        <f>"20190304164837220"</f>
        <v>20190304164837220</v>
      </c>
      <c r="B867" t="str">
        <f>"1551689317217637"</f>
        <v>1551689317217637</v>
      </c>
      <c r="C867" t="s">
        <v>40</v>
      </c>
      <c r="D867">
        <v>4.3859620000000001</v>
      </c>
      <c r="E867">
        <v>0.5299528</v>
      </c>
      <c r="F867" t="s">
        <v>41</v>
      </c>
      <c r="G867">
        <v>-302.9366</v>
      </c>
      <c r="H867">
        <v>0.97609040000000002</v>
      </c>
      <c r="I867">
        <v>367.72030000000001</v>
      </c>
      <c r="J867">
        <v>-303.58260000000001</v>
      </c>
      <c r="K867">
        <v>1.060632</v>
      </c>
      <c r="L867">
        <v>367.71359999999999</v>
      </c>
      <c r="M867">
        <v>0.99989019999999995</v>
      </c>
      <c r="N867">
        <v>-1.378217E-2</v>
      </c>
      <c r="O867">
        <v>-5.4684219999999997E-3</v>
      </c>
      <c r="P867">
        <v>0.95057060000000004</v>
      </c>
      <c r="Q867">
        <v>0.30875130000000001</v>
      </c>
      <c r="R867">
        <v>3.2991510000000002E-2</v>
      </c>
      <c r="S867">
        <v>3.266235</v>
      </c>
      <c r="T867">
        <v>-0.34172370000000002</v>
      </c>
      <c r="U867">
        <v>2.4810789999999999E-2</v>
      </c>
      <c r="V867">
        <v>-3.8216350000000003E-2</v>
      </c>
      <c r="W867">
        <v>0.32181700000000002</v>
      </c>
      <c r="X867">
        <v>0.94603029999999999</v>
      </c>
      <c r="Y867">
        <v>-1.296198E-2</v>
      </c>
      <c r="Z867">
        <v>1.261177E-3</v>
      </c>
      <c r="AA867">
        <v>0.9999152</v>
      </c>
      <c r="AB867">
        <v>35</v>
      </c>
      <c r="AC867">
        <v>0.64600000000001501</v>
      </c>
      <c r="AD867">
        <v>-8.4541599999999995E-2</v>
      </c>
      <c r="AE867">
        <v>6.7000000000234598E-3</v>
      </c>
      <c r="AF867">
        <v>-1.0060549155001699E-2</v>
      </c>
      <c r="AG867">
        <v>-8.4541599999999995E-2</v>
      </c>
      <c r="AH867">
        <v>0.63507802136758595</v>
      </c>
      <c r="AI867">
        <v>97.581694470127104</v>
      </c>
      <c r="AJ867">
        <v>90.907571630082899</v>
      </c>
      <c r="AK867">
        <v>0.64075938542016597</v>
      </c>
      <c r="AL867">
        <v>71.227155004360796</v>
      </c>
      <c r="AM867">
        <v>92.313293404893997</v>
      </c>
      <c r="AN867">
        <v>0.99999999970720599</v>
      </c>
    </row>
    <row r="868" spans="1:40" x14ac:dyDescent="0.25">
      <c r="A868" t="str">
        <f>"20190304164837231"</f>
        <v>20190304164837231</v>
      </c>
      <c r="B868" t="str">
        <f>"1551689317227397"</f>
        <v>1551689317227397</v>
      </c>
      <c r="C868" t="s">
        <v>40</v>
      </c>
      <c r="D868">
        <v>4.3936650000000004</v>
      </c>
      <c r="E868">
        <v>0.53243119999999999</v>
      </c>
      <c r="F868" t="s">
        <v>41</v>
      </c>
      <c r="G868">
        <v>-302.63549999999998</v>
      </c>
      <c r="H868">
        <v>0.96171989999999996</v>
      </c>
      <c r="I868">
        <v>367.72050000000002</v>
      </c>
      <c r="J868">
        <v>-303.40699999999998</v>
      </c>
      <c r="K868">
        <v>1.060643</v>
      </c>
      <c r="L868">
        <v>367.71260000000001</v>
      </c>
      <c r="M868">
        <v>0.99988969999999999</v>
      </c>
      <c r="N868">
        <v>-1.383036E-2</v>
      </c>
      <c r="O868">
        <v>-5.4279669999999997E-3</v>
      </c>
      <c r="P868">
        <v>0.95059289999999996</v>
      </c>
      <c r="Q868">
        <v>0.30863269999999998</v>
      </c>
      <c r="R868">
        <v>3.3452629999999997E-2</v>
      </c>
      <c r="S868">
        <v>3.2659609999999999</v>
      </c>
      <c r="T868">
        <v>-0.34118490000000001</v>
      </c>
      <c r="U868">
        <v>2.39563E-2</v>
      </c>
      <c r="V868">
        <v>-3.8644999999999999E-2</v>
      </c>
      <c r="W868">
        <v>0.32174350000000002</v>
      </c>
      <c r="X868">
        <v>0.94603789999999999</v>
      </c>
      <c r="Y868">
        <v>-1.266287E-2</v>
      </c>
      <c r="Z868">
        <v>1.238063E-3</v>
      </c>
      <c r="AA868">
        <v>0.99991909999999895</v>
      </c>
      <c r="AB868">
        <v>35</v>
      </c>
      <c r="AC868">
        <v>0.77150000000000296</v>
      </c>
      <c r="AD868">
        <v>-9.8923099999999903E-2</v>
      </c>
      <c r="AE868">
        <v>7.9000000000064505E-3</v>
      </c>
      <c r="AF868">
        <v>-1.1892459056782399E-2</v>
      </c>
      <c r="AG868">
        <v>-9.8923099999999903E-2</v>
      </c>
      <c r="AH868">
        <v>0.75896898039110705</v>
      </c>
      <c r="AI868">
        <v>97.425098753442398</v>
      </c>
      <c r="AJ868">
        <v>90.897707247533603</v>
      </c>
      <c r="AK868">
        <v>0.76548097526453496</v>
      </c>
      <c r="AL868">
        <v>71.231603042950397</v>
      </c>
      <c r="AM868">
        <v>92.339192802212295</v>
      </c>
      <c r="AN868">
        <v>1.00000001202683</v>
      </c>
    </row>
    <row r="869" spans="1:40" x14ac:dyDescent="0.25">
      <c r="A869" t="str">
        <f>"20190304164837243"</f>
        <v>20190304164837243</v>
      </c>
      <c r="B869" t="str">
        <f>"1551689317237158"</f>
        <v>1551689317237158</v>
      </c>
      <c r="C869" t="s">
        <v>40</v>
      </c>
      <c r="D869">
        <v>4.3866860000000001</v>
      </c>
      <c r="E869">
        <v>0.53321929999999995</v>
      </c>
      <c r="F869" t="s">
        <v>43</v>
      </c>
      <c r="G869">
        <v>-290.01190000000003</v>
      </c>
      <c r="H869">
        <v>-0.05</v>
      </c>
      <c r="I869">
        <v>367.69529999999997</v>
      </c>
      <c r="J869">
        <v>-303.22160000000002</v>
      </c>
      <c r="K869">
        <v>1.0606549999999999</v>
      </c>
      <c r="L869">
        <v>367.71170000000001</v>
      </c>
      <c r="M869">
        <v>0.99988929999999998</v>
      </c>
      <c r="N869">
        <v>-1.3879300000000001E-2</v>
      </c>
      <c r="O869">
        <v>-5.3808569999999898E-3</v>
      </c>
      <c r="P869">
        <v>0.95042800000000005</v>
      </c>
      <c r="Q869">
        <v>0.309102299999999</v>
      </c>
      <c r="R869">
        <v>3.3802239999999997E-2</v>
      </c>
      <c r="S869">
        <v>3.243347</v>
      </c>
      <c r="T869">
        <v>-0.26891920000000002</v>
      </c>
      <c r="U869">
        <v>-4.2114259999999999E-3</v>
      </c>
      <c r="V869">
        <v>-3.8954959999999997E-2</v>
      </c>
      <c r="W869">
        <v>0.3222563</v>
      </c>
      <c r="X869">
        <v>0.94585059999999999</v>
      </c>
      <c r="Y869">
        <v>-4.0538620000000001E-3</v>
      </c>
      <c r="Z869">
        <v>5.6676600000000001E-4</v>
      </c>
      <c r="AA869">
        <v>0.99999159999999998</v>
      </c>
      <c r="AB869">
        <v>35</v>
      </c>
      <c r="AC869">
        <v>13.2096999999999</v>
      </c>
      <c r="AD869">
        <v>-1.1106549999999999</v>
      </c>
      <c r="AE869">
        <v>-1.6400000000032802E-2</v>
      </c>
      <c r="AF869">
        <v>-5.4302706207757401E-2</v>
      </c>
      <c r="AG869">
        <v>-1.1106549999999999</v>
      </c>
      <c r="AH869">
        <v>13.1168708771574</v>
      </c>
      <c r="AI869">
        <v>94.839864006988293</v>
      </c>
      <c r="AJ869">
        <v>90.237198195845593</v>
      </c>
      <c r="AK869">
        <v>13.163920575609099</v>
      </c>
      <c r="AL869">
        <v>71.200568344497796</v>
      </c>
      <c r="AM869">
        <v>92.358400073767598</v>
      </c>
      <c r="AN869">
        <v>0.99999998465932505</v>
      </c>
    </row>
    <row r="870" spans="1:40" x14ac:dyDescent="0.25">
      <c r="A870" t="str">
        <f>"20190304164837254"</f>
        <v>20190304164837254</v>
      </c>
      <c r="B870" t="str">
        <f>"1551689317246917"</f>
        <v>1551689317246917</v>
      </c>
      <c r="C870" t="s">
        <v>40</v>
      </c>
      <c r="D870">
        <v>4.3550319999999996</v>
      </c>
      <c r="E870">
        <v>0.53349269999999904</v>
      </c>
      <c r="F870" t="s">
        <v>41</v>
      </c>
      <c r="G870">
        <v>-302.31389999999999</v>
      </c>
      <c r="H870">
        <v>0.98595060000000001</v>
      </c>
      <c r="I870">
        <v>367.709</v>
      </c>
      <c r="J870">
        <v>-303.04840000000002</v>
      </c>
      <c r="K870">
        <v>1.0606640000000001</v>
      </c>
      <c r="L870">
        <v>367.71080000000001</v>
      </c>
      <c r="M870">
        <v>0.99988880000000002</v>
      </c>
      <c r="N870">
        <v>-1.3924280000000001E-2</v>
      </c>
      <c r="O870">
        <v>-5.3349299999999999E-3</v>
      </c>
      <c r="P870">
        <v>0.95045950000000001</v>
      </c>
      <c r="Q870">
        <v>0.30895450000000002</v>
      </c>
      <c r="R870">
        <v>3.4262460000000002E-2</v>
      </c>
      <c r="S870">
        <v>3.243744</v>
      </c>
      <c r="T870">
        <v>-0.26708579999999998</v>
      </c>
      <c r="U870">
        <v>-9.3078610000000006E-3</v>
      </c>
      <c r="V870">
        <v>-3.9376790000000002E-2</v>
      </c>
      <c r="W870">
        <v>0.32215110000000002</v>
      </c>
      <c r="X870">
        <v>0.94586899999999996</v>
      </c>
      <c r="Y870">
        <v>-2.44386E-3</v>
      </c>
      <c r="Z870">
        <v>4.8183250000000003E-4</v>
      </c>
      <c r="AA870">
        <v>0.99999689999999997</v>
      </c>
      <c r="AB870">
        <v>34</v>
      </c>
      <c r="AC870">
        <v>0.73450000000002502</v>
      </c>
      <c r="AD870">
        <v>-7.4713400000000096E-2</v>
      </c>
      <c r="AE870">
        <v>-1.8000000000029099E-3</v>
      </c>
      <c r="AF870">
        <v>-2.09721204088619E-3</v>
      </c>
      <c r="AG870">
        <v>-7.4713400000000096E-2</v>
      </c>
      <c r="AH870">
        <v>0.72697717968279396</v>
      </c>
      <c r="AI870">
        <v>95.867815832417506</v>
      </c>
      <c r="AJ870">
        <v>90.165288634508897</v>
      </c>
      <c r="AK870">
        <v>0.73080935285302295</v>
      </c>
      <c r="AL870">
        <v>71.206935986021804</v>
      </c>
      <c r="AM870">
        <v>92.383862758568696</v>
      </c>
      <c r="AN870">
        <v>1.00000001399145</v>
      </c>
    </row>
    <row r="871" spans="1:40" x14ac:dyDescent="0.25">
      <c r="A871" t="str">
        <f>"20190304164837265"</f>
        <v>20190304164837265</v>
      </c>
      <c r="B871" t="str">
        <f>"1551689317257653"</f>
        <v>1551689317257653</v>
      </c>
      <c r="C871" t="s">
        <v>40</v>
      </c>
      <c r="D871">
        <v>4.3788650000000002</v>
      </c>
      <c r="E871">
        <v>0.5338098</v>
      </c>
      <c r="F871" t="s">
        <v>43</v>
      </c>
      <c r="G871">
        <v>-289.47280000000001</v>
      </c>
      <c r="H871">
        <v>-0.05</v>
      </c>
      <c r="I871">
        <v>367.666</v>
      </c>
      <c r="J871">
        <v>-302.89440000000002</v>
      </c>
      <c r="K871">
        <v>1.060667</v>
      </c>
      <c r="L871">
        <v>367.71</v>
      </c>
      <c r="M871">
        <v>0.99988869999999996</v>
      </c>
      <c r="N871">
        <v>-1.3961319999999999E-2</v>
      </c>
      <c r="O871">
        <v>-5.2900580000000003E-3</v>
      </c>
      <c r="P871">
        <v>0.95038440000000002</v>
      </c>
      <c r="Q871">
        <v>0.30913659999999998</v>
      </c>
      <c r="R871">
        <v>3.470293E-2</v>
      </c>
      <c r="S871">
        <v>3.2430110000000001</v>
      </c>
      <c r="T871">
        <v>-0.265322</v>
      </c>
      <c r="U871">
        <v>-1.071167E-2</v>
      </c>
      <c r="V871">
        <v>-3.977692E-2</v>
      </c>
      <c r="W871">
        <v>0.32236690000000001</v>
      </c>
      <c r="X871">
        <v>0.94577869999999997</v>
      </c>
      <c r="Y871">
        <v>-1.9677509999999998E-3</v>
      </c>
      <c r="Z871">
        <v>4.5243829999999999E-4</v>
      </c>
      <c r="AA871">
        <v>0.99999800000000005</v>
      </c>
      <c r="AB871">
        <v>34</v>
      </c>
      <c r="AC871">
        <v>13.4216</v>
      </c>
      <c r="AD871">
        <v>-1.1106670000000001</v>
      </c>
      <c r="AE871">
        <v>-4.3999999999982699E-2</v>
      </c>
      <c r="AF871">
        <v>-2.6824874928986601E-2</v>
      </c>
      <c r="AG871">
        <v>-1.1106670000000001</v>
      </c>
      <c r="AH871">
        <v>13.330360585752199</v>
      </c>
      <c r="AI871">
        <v>94.762793833753307</v>
      </c>
      <c r="AJ871">
        <v>90.115296959518304</v>
      </c>
      <c r="AK871">
        <v>13.376577069825499</v>
      </c>
      <c r="AL871">
        <v>71.193874204322498</v>
      </c>
      <c r="AM871">
        <v>92.408287816897499</v>
      </c>
      <c r="AN871">
        <v>0.99999998547699298</v>
      </c>
    </row>
    <row r="872" spans="1:40" x14ac:dyDescent="0.25">
      <c r="A872" t="str">
        <f>"20190304164837276"</f>
        <v>20190304164837276</v>
      </c>
      <c r="B872" t="str">
        <f>"1551689317267414"</f>
        <v>1551689317267414</v>
      </c>
      <c r="C872" t="s">
        <v>40</v>
      </c>
      <c r="D872">
        <v>4.3672529999999998</v>
      </c>
      <c r="E872">
        <v>0.5340627</v>
      </c>
      <c r="F872" t="s">
        <v>41</v>
      </c>
      <c r="G872">
        <v>-302.00439999999998</v>
      </c>
      <c r="H872">
        <v>0.9883381</v>
      </c>
      <c r="I872">
        <v>367.70679999999999</v>
      </c>
      <c r="J872">
        <v>-302.7269</v>
      </c>
      <c r="K872">
        <v>1.0606719999999901</v>
      </c>
      <c r="L872">
        <v>367.70920000000001</v>
      </c>
      <c r="M872">
        <v>0.99988829999999995</v>
      </c>
      <c r="N872">
        <v>-1.4001329999999999E-2</v>
      </c>
      <c r="O872">
        <v>-5.2407929999999997E-3</v>
      </c>
      <c r="P872">
        <v>0.95033250000000002</v>
      </c>
      <c r="Q872">
        <v>0.30924740000000001</v>
      </c>
      <c r="R872">
        <v>3.5133009999999999E-2</v>
      </c>
      <c r="S872">
        <v>3.2427670000000002</v>
      </c>
      <c r="T872">
        <v>-0.26360670000000003</v>
      </c>
      <c r="U872">
        <v>-1.141357E-2</v>
      </c>
      <c r="V872">
        <v>-4.0163530000000003E-2</v>
      </c>
      <c r="W872">
        <v>0.32251410000000003</v>
      </c>
      <c r="X872">
        <v>0.9457122</v>
      </c>
      <c r="Y872">
        <v>-1.7032099999999999E-3</v>
      </c>
      <c r="Z872">
        <v>4.3310100000000003E-4</v>
      </c>
      <c r="AA872">
        <v>0.99999850000000001</v>
      </c>
      <c r="AB872">
        <v>34</v>
      </c>
      <c r="AC872">
        <v>0.72250000000002501</v>
      </c>
      <c r="AD872">
        <v>-7.2333899999999896E-2</v>
      </c>
      <c r="AE872">
        <v>-2.4000000000228201E-3</v>
      </c>
      <c r="AF872">
        <v>-1.37311399168789E-3</v>
      </c>
      <c r="AG872">
        <v>-7.2333899999999896E-2</v>
      </c>
      <c r="AH872">
        <v>0.71533278315770998</v>
      </c>
      <c r="AI872">
        <v>95.774067725580906</v>
      </c>
      <c r="AJ872">
        <v>90.109981734009907</v>
      </c>
      <c r="AK872">
        <v>0.71898196722268404</v>
      </c>
      <c r="AL872">
        <v>71.184964859521401</v>
      </c>
      <c r="AM872">
        <v>92.431837883718401</v>
      </c>
      <c r="AN872">
        <v>1.00000000953485</v>
      </c>
    </row>
    <row r="873" spans="1:40" x14ac:dyDescent="0.25">
      <c r="A873" t="str">
        <f>"20190304164837286"</f>
        <v>20190304164837286</v>
      </c>
      <c r="B873" t="str">
        <f>"1551689317277174"</f>
        <v>1551689317277174</v>
      </c>
      <c r="C873" t="s">
        <v>40</v>
      </c>
      <c r="D873">
        <v>4.38896</v>
      </c>
      <c r="E873">
        <v>0.53429150000000003</v>
      </c>
      <c r="F873" t="s">
        <v>41</v>
      </c>
      <c r="G873">
        <v>-301.70519999999999</v>
      </c>
      <c r="H873">
        <v>0.9782554</v>
      </c>
      <c r="I873">
        <v>367.70499999999998</v>
      </c>
      <c r="J873">
        <v>-302.55489999999998</v>
      </c>
      <c r="K873">
        <v>1.060676</v>
      </c>
      <c r="L873">
        <v>367.70830000000001</v>
      </c>
      <c r="M873">
        <v>0.999888</v>
      </c>
      <c r="N873">
        <v>-1.403896E-2</v>
      </c>
      <c r="O873">
        <v>-5.1868870000000003E-3</v>
      </c>
      <c r="P873">
        <v>0.95040219999999997</v>
      </c>
      <c r="Q873">
        <v>0.30897819999999998</v>
      </c>
      <c r="R873">
        <v>3.5611169999999998E-2</v>
      </c>
      <c r="S873">
        <v>3.2424620000000002</v>
      </c>
      <c r="T873">
        <v>-0.26183459999999997</v>
      </c>
      <c r="U873">
        <v>-1.2329100000000001E-2</v>
      </c>
      <c r="V873">
        <v>-4.0593070000000002E-2</v>
      </c>
      <c r="W873">
        <v>0.32228109999999999</v>
      </c>
      <c r="X873">
        <v>0.94577330000000004</v>
      </c>
      <c r="Y873">
        <v>-1.36829799999999E-3</v>
      </c>
      <c r="Z873">
        <v>4.102213E-4</v>
      </c>
      <c r="AA873">
        <v>0.99999899999999997</v>
      </c>
      <c r="AB873">
        <v>34</v>
      </c>
      <c r="AC873">
        <v>0.84969999999998402</v>
      </c>
      <c r="AD873">
        <v>-8.2420599999999899E-2</v>
      </c>
      <c r="AE873">
        <v>-3.30000000002428E-3</v>
      </c>
      <c r="AF873">
        <v>-1.09745096636524E-3</v>
      </c>
      <c r="AG873">
        <v>-8.2420599999999899E-2</v>
      </c>
      <c r="AH873">
        <v>0.84178550332553204</v>
      </c>
      <c r="AI873">
        <v>95.592094621159006</v>
      </c>
      <c r="AJ873">
        <v>90.074697500398798</v>
      </c>
      <c r="AK873">
        <v>0.84581155898462601</v>
      </c>
      <c r="AL873">
        <v>71.199068014068104</v>
      </c>
      <c r="AM873">
        <v>92.457655534252098</v>
      </c>
      <c r="AN873">
        <v>1.0000000198710599</v>
      </c>
    </row>
    <row r="874" spans="1:40" x14ac:dyDescent="0.25">
      <c r="A874" t="str">
        <f>"20190304164837298"</f>
        <v>20190304164837298</v>
      </c>
      <c r="B874" t="str">
        <f>"1551689317286934"</f>
        <v>1551689317286934</v>
      </c>
      <c r="C874" t="s">
        <v>40</v>
      </c>
      <c r="D874">
        <v>4.3770850000000001</v>
      </c>
      <c r="E874">
        <v>0.53439910000000002</v>
      </c>
      <c r="F874" t="s">
        <v>41</v>
      </c>
      <c r="G874">
        <v>-301.68950000000001</v>
      </c>
      <c r="H874">
        <v>0.99059770000000003</v>
      </c>
      <c r="I874">
        <v>367.70479999999998</v>
      </c>
      <c r="J874">
        <v>-302.38220000000001</v>
      </c>
      <c r="K874">
        <v>1.060675</v>
      </c>
      <c r="L874">
        <v>367.70749999999998</v>
      </c>
      <c r="M874">
        <v>0.99988779999999999</v>
      </c>
      <c r="N874">
        <v>-1.407578E-2</v>
      </c>
      <c r="O874">
        <v>-5.1325030000000001E-3</v>
      </c>
      <c r="P874">
        <v>0.95039119999999999</v>
      </c>
      <c r="Q874">
        <v>0.30897039999999998</v>
      </c>
      <c r="R874">
        <v>3.597376E-2</v>
      </c>
      <c r="S874">
        <v>3.242432</v>
      </c>
      <c r="T874">
        <v>-0.26287569999999999</v>
      </c>
      <c r="U874">
        <v>-1.1932369999999999E-2</v>
      </c>
      <c r="V874">
        <v>-4.0905669999999998E-2</v>
      </c>
      <c r="W874">
        <v>0.32230769999999997</v>
      </c>
      <c r="X874">
        <v>0.94575070000000006</v>
      </c>
      <c r="Y874">
        <v>-1.4359500000000001E-3</v>
      </c>
      <c r="Z874">
        <v>4.115147E-4</v>
      </c>
      <c r="AA874">
        <v>0.99999890000000002</v>
      </c>
      <c r="AB874">
        <v>34</v>
      </c>
      <c r="AC874">
        <v>0.69270000000000198</v>
      </c>
      <c r="AD874">
        <v>-7.0077300000000106E-2</v>
      </c>
      <c r="AE874">
        <v>-2.7000000000043599E-3</v>
      </c>
      <c r="AF874">
        <v>-8.4700401772272698E-4</v>
      </c>
      <c r="AG874">
        <v>-7.0077300000000106E-2</v>
      </c>
      <c r="AH874">
        <v>0.68568721127310295</v>
      </c>
      <c r="AI874">
        <v>95.835369569453306</v>
      </c>
      <c r="AJ874">
        <v>90.070775318490504</v>
      </c>
      <c r="AK874">
        <v>0.68925938302977097</v>
      </c>
      <c r="AL874">
        <v>71.197456809403604</v>
      </c>
      <c r="AM874">
        <v>92.476617134167697</v>
      </c>
      <c r="AN874">
        <v>0.99999995693396304</v>
      </c>
    </row>
    <row r="875" spans="1:40" x14ac:dyDescent="0.25">
      <c r="A875" t="str">
        <f>"20190304164837309"</f>
        <v>20190304164837309</v>
      </c>
      <c r="B875" t="str">
        <f>"1551689317296693"</f>
        <v>1551689317296693</v>
      </c>
      <c r="C875" t="s">
        <v>40</v>
      </c>
      <c r="D875">
        <v>4.3851899999999997</v>
      </c>
      <c r="E875">
        <v>0.53445569999999998</v>
      </c>
      <c r="F875" t="s">
        <v>41</v>
      </c>
      <c r="G875">
        <v>-301.39710000000002</v>
      </c>
      <c r="H875">
        <v>0.98063370000000005</v>
      </c>
      <c r="I875">
        <v>367.70400000000001</v>
      </c>
      <c r="J875">
        <v>-302.21559999999999</v>
      </c>
      <c r="K875">
        <v>1.060681</v>
      </c>
      <c r="L875">
        <v>367.70659999999998</v>
      </c>
      <c r="M875">
        <v>0.99988770000000005</v>
      </c>
      <c r="N875">
        <v>-1.4108809999999999E-2</v>
      </c>
      <c r="O875">
        <v>-5.0789399999999997E-3</v>
      </c>
      <c r="P875">
        <v>0.9505401</v>
      </c>
      <c r="Q875">
        <v>0.30847799999999997</v>
      </c>
      <c r="R875">
        <v>3.6265449999999998E-2</v>
      </c>
      <c r="S875">
        <v>3.242645</v>
      </c>
      <c r="T875">
        <v>-0.26362439999999998</v>
      </c>
      <c r="U875">
        <v>-1.095581E-2</v>
      </c>
      <c r="V875">
        <v>-4.1148770000000001E-2</v>
      </c>
      <c r="W875">
        <v>0.32184869999999999</v>
      </c>
      <c r="X875">
        <v>0.94589650000000003</v>
      </c>
      <c r="Y875">
        <v>-1.682851E-3</v>
      </c>
      <c r="Z875">
        <v>4.2085560000000002E-4</v>
      </c>
      <c r="AA875">
        <v>0.99999850000000001</v>
      </c>
      <c r="AB875">
        <v>34</v>
      </c>
      <c r="AC875">
        <v>0.81849999999997103</v>
      </c>
      <c r="AD875">
        <v>-8.0047300000000002E-2</v>
      </c>
      <c r="AE875">
        <v>-2.5999999999726199E-3</v>
      </c>
      <c r="AF875">
        <v>-1.54280341116894E-3</v>
      </c>
      <c r="AG875">
        <v>-8.0047300000000002E-2</v>
      </c>
      <c r="AH875">
        <v>0.81074843420752696</v>
      </c>
      <c r="AI875">
        <v>95.638676254653404</v>
      </c>
      <c r="AJ875">
        <v>90.109030142581602</v>
      </c>
      <c r="AK875">
        <v>0.81469195040187503</v>
      </c>
      <c r="AL875">
        <v>71.225236629427897</v>
      </c>
      <c r="AM875">
        <v>92.490933508147407</v>
      </c>
      <c r="AN875">
        <v>0.99999999783822602</v>
      </c>
    </row>
    <row r="876" spans="1:40" x14ac:dyDescent="0.25">
      <c r="A876" t="str">
        <f>"20190304164837321"</f>
        <v>20190304164837321</v>
      </c>
      <c r="B876" t="str">
        <f>"1551689317317190"</f>
        <v>1551689317317190</v>
      </c>
      <c r="C876" t="s">
        <v>40</v>
      </c>
      <c r="D876">
        <v>4.3841619999999999</v>
      </c>
      <c r="E876">
        <v>0.53464449999999997</v>
      </c>
      <c r="F876" t="s">
        <v>43</v>
      </c>
      <c r="G876">
        <v>-288.64690000000002</v>
      </c>
      <c r="H876">
        <v>-0.05</v>
      </c>
      <c r="I876">
        <v>367.66559999999998</v>
      </c>
      <c r="J876">
        <v>-302.03739999999999</v>
      </c>
      <c r="K876">
        <v>1.060684</v>
      </c>
      <c r="L876">
        <v>367.70580000000001</v>
      </c>
      <c r="M876">
        <v>0.99988739999999998</v>
      </c>
      <c r="N876">
        <v>-1.414231E-2</v>
      </c>
      <c r="O876">
        <v>-5.0215659999999999E-3</v>
      </c>
      <c r="P876">
        <v>0.95056339999999995</v>
      </c>
      <c r="Q876">
        <v>0.3083572</v>
      </c>
      <c r="R876">
        <v>3.6678090000000003E-2</v>
      </c>
      <c r="S876">
        <v>3.2425839999999999</v>
      </c>
      <c r="T876">
        <v>-0.26542450000000001</v>
      </c>
      <c r="U876">
        <v>-9.7961430000000002E-3</v>
      </c>
      <c r="V876">
        <v>-4.1508219999999998E-2</v>
      </c>
      <c r="W876">
        <v>0.32175930000000003</v>
      </c>
      <c r="X876">
        <v>0.94591119999999995</v>
      </c>
      <c r="Y876">
        <v>-1.9817369999999999E-3</v>
      </c>
      <c r="Z876">
        <v>4.3444719999999998E-4</v>
      </c>
      <c r="AA876">
        <v>0.9999979</v>
      </c>
      <c r="AB876">
        <v>34</v>
      </c>
      <c r="AC876">
        <v>13.3904999999999</v>
      </c>
      <c r="AD876">
        <v>-1.110684</v>
      </c>
      <c r="AE876">
        <v>-4.0200000000027103E-2</v>
      </c>
      <c r="AF876">
        <v>-2.6863690537798399E-2</v>
      </c>
      <c r="AG876">
        <v>-1.110684</v>
      </c>
      <c r="AH876">
        <v>13.2990366858178</v>
      </c>
      <c r="AI876">
        <v>94.774032756930197</v>
      </c>
      <c r="AJ876">
        <v>90.115735750859301</v>
      </c>
      <c r="AK876">
        <v>13.345363141423</v>
      </c>
      <c r="AL876">
        <v>71.230646476632003</v>
      </c>
      <c r="AM876">
        <v>92.512625985084696</v>
      </c>
      <c r="AN876">
        <v>0.99999998887474895</v>
      </c>
    </row>
    <row r="877" spans="1:40" x14ac:dyDescent="0.25">
      <c r="A877" t="str">
        <f>"20190304164837332"</f>
        <v>20190304164837332</v>
      </c>
      <c r="B877" t="str">
        <f>"1551689317327483"</f>
        <v>1551689317327483</v>
      </c>
      <c r="C877" t="s">
        <v>40</v>
      </c>
      <c r="D877">
        <v>4.3930259999999999</v>
      </c>
      <c r="E877">
        <v>0.53477629999999998</v>
      </c>
      <c r="F877" t="s">
        <v>41</v>
      </c>
      <c r="G877">
        <v>-301.08850000000001</v>
      </c>
      <c r="H877">
        <v>0.98324370000000005</v>
      </c>
      <c r="I877">
        <v>367.70229999999998</v>
      </c>
      <c r="J877">
        <v>-301.85610000000003</v>
      </c>
      <c r="K877">
        <v>1.060683</v>
      </c>
      <c r="L877">
        <v>367.70490000000001</v>
      </c>
      <c r="M877">
        <v>0.99988739999999998</v>
      </c>
      <c r="N877">
        <v>-1.4174340000000001E-2</v>
      </c>
      <c r="O877">
        <v>-4.9634689999999999E-3</v>
      </c>
      <c r="P877">
        <v>0.9504707</v>
      </c>
      <c r="Q877">
        <v>0.30859710000000001</v>
      </c>
      <c r="R877">
        <v>3.7064130000000001E-2</v>
      </c>
      <c r="S877">
        <v>3.242432</v>
      </c>
      <c r="T877">
        <v>-0.26497290000000001</v>
      </c>
      <c r="U877">
        <v>-1.0925290000000001E-2</v>
      </c>
      <c r="V877">
        <v>-4.1840200000000001E-2</v>
      </c>
      <c r="W877">
        <v>0.32202789999999998</v>
      </c>
      <c r="X877">
        <v>0.94580520000000001</v>
      </c>
      <c r="Y877">
        <v>-1.5770490000000001E-3</v>
      </c>
      <c r="Z877">
        <v>4.1020819999999997E-4</v>
      </c>
      <c r="AA877">
        <v>0.99999870000000002</v>
      </c>
      <c r="AB877">
        <v>34</v>
      </c>
      <c r="AC877">
        <v>0.76760000000001505</v>
      </c>
      <c r="AD877">
        <v>-7.74393000000001E-2</v>
      </c>
      <c r="AE877">
        <v>-2.6000000000294598E-3</v>
      </c>
      <c r="AF877">
        <v>-1.19817829057941E-3</v>
      </c>
      <c r="AG877">
        <v>-7.74393000000001E-2</v>
      </c>
      <c r="AH877">
        <v>0.75986975334559403</v>
      </c>
      <c r="AI877">
        <v>95.818989406967702</v>
      </c>
      <c r="AJ877">
        <v>90.090345091320501</v>
      </c>
      <c r="AK877">
        <v>0.76380646950991404</v>
      </c>
      <c r="AL877">
        <v>71.214392357799696</v>
      </c>
      <c r="AM877">
        <v>92.5329792167487</v>
      </c>
      <c r="AN877">
        <v>1.00000002353074</v>
      </c>
    </row>
    <row r="878" spans="1:40" x14ac:dyDescent="0.25">
      <c r="A878" t="str">
        <f>"20190304164837344"</f>
        <v>20190304164837344</v>
      </c>
      <c r="B878" t="str">
        <f>"1551689317337240"</f>
        <v>1551689317337240</v>
      </c>
      <c r="C878" t="s">
        <v>40</v>
      </c>
      <c r="D878">
        <v>4.3869740000000004</v>
      </c>
      <c r="E878">
        <v>0.53491529999999998</v>
      </c>
      <c r="F878" t="s">
        <v>43</v>
      </c>
      <c r="G878">
        <v>-288.20839999999998</v>
      </c>
      <c r="H878">
        <v>-0.05</v>
      </c>
      <c r="I878">
        <v>367.65750000000003</v>
      </c>
      <c r="J878">
        <v>-301.68779999999998</v>
      </c>
      <c r="K878">
        <v>1.060683</v>
      </c>
      <c r="L878">
        <v>367.70409999999998</v>
      </c>
      <c r="M878">
        <v>0.99988719999999998</v>
      </c>
      <c r="N878">
        <v>-1.420164E-2</v>
      </c>
      <c r="O878">
        <v>-4.909755E-3</v>
      </c>
      <c r="P878">
        <v>0.95036799999999999</v>
      </c>
      <c r="Q878">
        <v>0.30889100000000003</v>
      </c>
      <c r="R878">
        <v>3.7246500000000002E-2</v>
      </c>
      <c r="S878">
        <v>3.2424930000000001</v>
      </c>
      <c r="T878">
        <v>-0.26388279999999997</v>
      </c>
      <c r="U878">
        <v>-1.126099E-2</v>
      </c>
      <c r="V878">
        <v>-4.1972049999999997E-2</v>
      </c>
      <c r="W878">
        <v>0.32234610000000002</v>
      </c>
      <c r="X878">
        <v>0.9456909</v>
      </c>
      <c r="Y878">
        <v>-1.4207619999999999E-3</v>
      </c>
      <c r="Z878">
        <v>3.9709689999999998E-4</v>
      </c>
      <c r="AA878">
        <v>0.99999890000000002</v>
      </c>
      <c r="AB878">
        <v>34</v>
      </c>
      <c r="AC878">
        <v>13.479399999999901</v>
      </c>
      <c r="AD878">
        <v>-1.1106830000000001</v>
      </c>
      <c r="AE878">
        <v>-4.6599999999955302E-2</v>
      </c>
      <c r="AF878">
        <v>-1.9455688192948298E-2</v>
      </c>
      <c r="AG878">
        <v>-1.1106830000000001</v>
      </c>
      <c r="AH878">
        <v>13.388565460705999</v>
      </c>
      <c r="AI878">
        <v>94.742255480178002</v>
      </c>
      <c r="AJ878">
        <v>90.083259706919804</v>
      </c>
      <c r="AK878">
        <v>13.434570344670499</v>
      </c>
      <c r="AL878">
        <v>71.1951328550402</v>
      </c>
      <c r="AM878">
        <v>92.541257593886698</v>
      </c>
      <c r="AN878">
        <v>0.99999996975461003</v>
      </c>
    </row>
    <row r="879" spans="1:40" x14ac:dyDescent="0.25">
      <c r="A879" t="str">
        <f>"20190304164837353"</f>
        <v>20190304164837353</v>
      </c>
      <c r="B879" t="str">
        <f>"1551689317347000"</f>
        <v>1551689317347000</v>
      </c>
      <c r="C879" t="s">
        <v>40</v>
      </c>
      <c r="D879">
        <v>4.3769460000000002</v>
      </c>
      <c r="E879">
        <v>0.53503199999999995</v>
      </c>
      <c r="F879" t="s">
        <v>41</v>
      </c>
      <c r="G879">
        <v>-300.779</v>
      </c>
      <c r="H879">
        <v>0.98707440000000002</v>
      </c>
      <c r="I879">
        <v>367.70069999999998</v>
      </c>
      <c r="J879">
        <v>-301.5265</v>
      </c>
      <c r="K879">
        <v>1.060684</v>
      </c>
      <c r="L879">
        <v>367.70339999999999</v>
      </c>
      <c r="M879">
        <v>0.99988699999999997</v>
      </c>
      <c r="N879">
        <v>-1.4227109999999999E-2</v>
      </c>
      <c r="O879">
        <v>-4.8582950000000003E-3</v>
      </c>
      <c r="P879">
        <v>0.95037660000000002</v>
      </c>
      <c r="Q879">
        <v>0.30884699999999998</v>
      </c>
      <c r="R879">
        <v>3.7389220000000001E-2</v>
      </c>
      <c r="S879">
        <v>3.2425229999999998</v>
      </c>
      <c r="T879">
        <v>-0.26261440000000003</v>
      </c>
      <c r="U879">
        <v>-1.2329100000000001E-2</v>
      </c>
      <c r="V879">
        <v>-4.206704E-2</v>
      </c>
      <c r="W879">
        <v>0.32232620000000001</v>
      </c>
      <c r="X879">
        <v>0.94569349999999996</v>
      </c>
      <c r="Y879">
        <v>-1.041686E-3</v>
      </c>
      <c r="Z879">
        <v>3.7333949999999999E-4</v>
      </c>
      <c r="AA879">
        <v>0.99999939999999998</v>
      </c>
      <c r="AB879">
        <v>34</v>
      </c>
      <c r="AC879">
        <v>0.74750000000000205</v>
      </c>
      <c r="AD879">
        <v>-7.36095999999999E-2</v>
      </c>
      <c r="AE879">
        <v>-2.7000000000043599E-3</v>
      </c>
      <c r="AF879">
        <v>-9.2302428794366895E-4</v>
      </c>
      <c r="AG879">
        <v>-7.36095999999999E-2</v>
      </c>
      <c r="AH879">
        <v>0.74032530359423099</v>
      </c>
      <c r="AI879">
        <v>95.678179274368503</v>
      </c>
      <c r="AJ879">
        <v>90.071435311514605</v>
      </c>
      <c r="AK879">
        <v>0.74397633048900602</v>
      </c>
      <c r="AL879">
        <v>71.196338026984407</v>
      </c>
      <c r="AM879">
        <v>92.546994340257697</v>
      </c>
      <c r="AN879">
        <v>1.0000000055015199</v>
      </c>
    </row>
    <row r="880" spans="1:40" x14ac:dyDescent="0.25">
      <c r="A880" t="str">
        <f>"20190304164837365"</f>
        <v>20190304164837365</v>
      </c>
      <c r="B880" t="str">
        <f>"1551689317356760"</f>
        <v>1551689317356760</v>
      </c>
      <c r="C880" t="s">
        <v>40</v>
      </c>
      <c r="D880">
        <v>4.3921219999999996</v>
      </c>
      <c r="E880">
        <v>0.53510089999999999</v>
      </c>
      <c r="F880" t="s">
        <v>43</v>
      </c>
      <c r="G880">
        <v>-287.8014</v>
      </c>
      <c r="H880">
        <v>-0.05</v>
      </c>
      <c r="I880">
        <v>367.64640000000003</v>
      </c>
      <c r="J880">
        <v>-301.35829999999999</v>
      </c>
      <c r="K880">
        <v>1.0606850000000001</v>
      </c>
      <c r="L880">
        <v>367.70260000000002</v>
      </c>
      <c r="M880">
        <v>0.99988699999999997</v>
      </c>
      <c r="N880">
        <v>-1.4250870000000001E-2</v>
      </c>
      <c r="O880">
        <v>-4.805279E-3</v>
      </c>
      <c r="P880">
        <v>0.95043120000000003</v>
      </c>
      <c r="Q880">
        <v>0.30868379999999901</v>
      </c>
      <c r="R880">
        <v>3.734846E-2</v>
      </c>
      <c r="S880">
        <v>3.2424930000000001</v>
      </c>
      <c r="T880">
        <v>-0.2623935</v>
      </c>
      <c r="U880">
        <v>-1.345825E-2</v>
      </c>
      <c r="V880">
        <v>-4.197671E-2</v>
      </c>
      <c r="W880">
        <v>0.32218639999999998</v>
      </c>
      <c r="X880">
        <v>0.94574519999999995</v>
      </c>
      <c r="Y880">
        <v>-6.4208910000000002E-4</v>
      </c>
      <c r="Z880">
        <v>3.5035200000000001E-4</v>
      </c>
      <c r="AA880">
        <v>0.99999979999999999</v>
      </c>
      <c r="AB880">
        <v>34</v>
      </c>
      <c r="AC880">
        <v>13.556899999999899</v>
      </c>
      <c r="AD880">
        <v>-1.1106849999999999</v>
      </c>
      <c r="AE880">
        <v>-5.61999999999898E-2</v>
      </c>
      <c r="AF880">
        <v>-8.8922606050981304E-3</v>
      </c>
      <c r="AG880">
        <v>-1.1106849999999999</v>
      </c>
      <c r="AH880">
        <v>13.466625207266899</v>
      </c>
      <c r="AI880">
        <v>94.714903508168803</v>
      </c>
      <c r="AJ880">
        <v>90.037833452784994</v>
      </c>
      <c r="AK880">
        <v>13.512353411397999</v>
      </c>
      <c r="AL880">
        <v>71.204800273948393</v>
      </c>
      <c r="AM880">
        <v>92.541393639020697</v>
      </c>
      <c r="AN880">
        <v>1.0000000519252099</v>
      </c>
    </row>
    <row r="881" spans="1:40" x14ac:dyDescent="0.25">
      <c r="A881" t="str">
        <f>"20190304164837376"</f>
        <v>20190304164837376</v>
      </c>
      <c r="B881" t="str">
        <f>"1551689317367496"</f>
        <v>1551689317367496</v>
      </c>
      <c r="C881" t="s">
        <v>40</v>
      </c>
      <c r="D881">
        <v>4.3830830000000001</v>
      </c>
      <c r="E881">
        <v>0.53517769999999898</v>
      </c>
      <c r="F881" t="s">
        <v>41</v>
      </c>
      <c r="G881">
        <v>-300.47179999999997</v>
      </c>
      <c r="H881">
        <v>0.98888640000000005</v>
      </c>
      <c r="I881">
        <v>367.69850000000002</v>
      </c>
      <c r="J881">
        <v>-301.18579999999997</v>
      </c>
      <c r="K881">
        <v>1.060684</v>
      </c>
      <c r="L881">
        <v>367.70179999999999</v>
      </c>
      <c r="M881">
        <v>0.99988690000000002</v>
      </c>
      <c r="N881">
        <v>-1.427461E-2</v>
      </c>
      <c r="O881">
        <v>-4.7509520000000001E-3</v>
      </c>
      <c r="P881">
        <v>0.95034870000000005</v>
      </c>
      <c r="Q881">
        <v>0.30896990000000002</v>
      </c>
      <c r="R881">
        <v>3.7086750000000002E-2</v>
      </c>
      <c r="S881">
        <v>3.2424010000000001</v>
      </c>
      <c r="T881">
        <v>-0.26291690000000001</v>
      </c>
      <c r="U881">
        <v>-1.4129640000000001E-2</v>
      </c>
      <c r="V881">
        <v>-4.1664109999999997E-2</v>
      </c>
      <c r="W881">
        <v>0.32249329999999998</v>
      </c>
      <c r="X881">
        <v>0.94565440000000001</v>
      </c>
      <c r="Y881">
        <v>-3.816518E-4</v>
      </c>
      <c r="Z881">
        <v>3.3505339999999898E-4</v>
      </c>
      <c r="AA881">
        <v>0.99999990000000005</v>
      </c>
      <c r="AB881">
        <v>34</v>
      </c>
      <c r="AC881">
        <v>0.71399999999999797</v>
      </c>
      <c r="AD881">
        <v>-7.1797600000000003E-2</v>
      </c>
      <c r="AE881">
        <v>-3.2999999999674301E-3</v>
      </c>
      <c r="AF881" s="1">
        <v>-9.1635809654523601E-5</v>
      </c>
      <c r="AG881">
        <v>-7.1797600000000003E-2</v>
      </c>
      <c r="AH881">
        <v>0.70686022640497104</v>
      </c>
      <c r="AI881">
        <v>95.799787869592805</v>
      </c>
      <c r="AJ881">
        <v>90.007427699168701</v>
      </c>
      <c r="AK881">
        <v>0.71049720860547305</v>
      </c>
      <c r="AL881">
        <v>71.1862243889951</v>
      </c>
      <c r="AM881">
        <v>92.522734344148901</v>
      </c>
      <c r="AN881">
        <v>1.00000003542317</v>
      </c>
    </row>
    <row r="882" spans="1:40" x14ac:dyDescent="0.25">
      <c r="A882" t="str">
        <f>"20190304164837387"</f>
        <v>20190304164837387</v>
      </c>
      <c r="B882" t="str">
        <f>"1551689317377256"</f>
        <v>1551689317377256</v>
      </c>
      <c r="C882" t="s">
        <v>40</v>
      </c>
      <c r="D882">
        <v>4.3810000000000002</v>
      </c>
      <c r="E882">
        <v>0.53529969999999905</v>
      </c>
      <c r="F882" t="s">
        <v>41</v>
      </c>
      <c r="G882">
        <v>-300.17450000000002</v>
      </c>
      <c r="H882">
        <v>0.9789561</v>
      </c>
      <c r="I882">
        <v>367.6968</v>
      </c>
      <c r="J882">
        <v>-301.0086</v>
      </c>
      <c r="K882">
        <v>1.060686</v>
      </c>
      <c r="L882">
        <v>367.70100000000002</v>
      </c>
      <c r="M882">
        <v>0.99988690000000002</v>
      </c>
      <c r="N882">
        <v>-1.429632E-2</v>
      </c>
      <c r="O882">
        <v>-4.6958970000000001E-3</v>
      </c>
      <c r="P882">
        <v>0.95040849999999999</v>
      </c>
      <c r="Q882">
        <v>0.3087722</v>
      </c>
      <c r="R882">
        <v>3.7203649999999998E-2</v>
      </c>
      <c r="S882">
        <v>3.2425839999999999</v>
      </c>
      <c r="T882">
        <v>-0.26221430000000001</v>
      </c>
      <c r="U882">
        <v>-1.556396E-2</v>
      </c>
      <c r="V882">
        <v>-4.1729879999999997E-2</v>
      </c>
      <c r="W882">
        <v>0.32231680000000001</v>
      </c>
      <c r="X882">
        <v>0.94571170000000004</v>
      </c>
      <c r="Y882">
        <v>1.133846E-4</v>
      </c>
      <c r="Z882">
        <v>3.0667809999999999E-4</v>
      </c>
      <c r="AA882">
        <v>0.99999990000000005</v>
      </c>
      <c r="AB882">
        <v>34</v>
      </c>
      <c r="AC882">
        <v>0.83409999999997797</v>
      </c>
      <c r="AD882">
        <v>-8.1729899999999994E-2</v>
      </c>
      <c r="AE882">
        <v>-4.1999999999688901E-3</v>
      </c>
      <c r="AF882">
        <v>2.8001770999596602E-4</v>
      </c>
      <c r="AG882">
        <v>-8.1729899999999994E-2</v>
      </c>
      <c r="AH882">
        <v>0.82617841994908103</v>
      </c>
      <c r="AI882">
        <v>95.649616937374404</v>
      </c>
      <c r="AJ882">
        <v>89.980580668811996</v>
      </c>
      <c r="AK882">
        <v>0.83021119996871195</v>
      </c>
      <c r="AL882">
        <v>71.196908054083494</v>
      </c>
      <c r="AM882">
        <v>92.526558623894402</v>
      </c>
      <c r="AN882">
        <v>1.0000000609819699</v>
      </c>
    </row>
    <row r="883" spans="1:40" x14ac:dyDescent="0.25">
      <c r="A883" t="str">
        <f>"20190304164837403"</f>
        <v>20190304164837403</v>
      </c>
      <c r="B883" t="str">
        <f>"1551689317396776"</f>
        <v>1551689317396776</v>
      </c>
      <c r="C883" t="s">
        <v>40</v>
      </c>
      <c r="D883">
        <v>4.3872269999999904</v>
      </c>
      <c r="E883">
        <v>0.53547149999999999</v>
      </c>
      <c r="F883" t="s">
        <v>43</v>
      </c>
      <c r="G883">
        <v>-287.28949999999998</v>
      </c>
      <c r="H883">
        <v>-0.05</v>
      </c>
      <c r="I883">
        <v>367.63499999999999</v>
      </c>
      <c r="J883">
        <v>-300.78530000000001</v>
      </c>
      <c r="K883">
        <v>1.0606910000000001</v>
      </c>
      <c r="L883">
        <v>367.70010000000002</v>
      </c>
      <c r="M883">
        <v>0.99988679999999996</v>
      </c>
      <c r="N883">
        <v>-1.432194E-2</v>
      </c>
      <c r="O883">
        <v>-4.6260909999999997E-3</v>
      </c>
      <c r="P883">
        <v>0.95044450000000003</v>
      </c>
      <c r="Q883">
        <v>0.30868889999999999</v>
      </c>
      <c r="R883">
        <v>3.6966930000000002E-2</v>
      </c>
      <c r="S883">
        <v>3.2424010000000001</v>
      </c>
      <c r="T883">
        <v>-0.26250220000000002</v>
      </c>
      <c r="U883">
        <v>-1.5594480000000001E-2</v>
      </c>
      <c r="V883">
        <v>-4.142726E-2</v>
      </c>
      <c r="W883">
        <v>0.3222585</v>
      </c>
      <c r="X883">
        <v>0.94574480000000005</v>
      </c>
      <c r="Y883">
        <v>1.9244020000000001E-4</v>
      </c>
      <c r="Z883">
        <v>2.985819E-4</v>
      </c>
      <c r="AA883">
        <v>0.99999990000000005</v>
      </c>
      <c r="AB883">
        <v>34</v>
      </c>
      <c r="AC883">
        <v>13.495799999999999</v>
      </c>
      <c r="AD883">
        <v>-1.1106910000000001</v>
      </c>
      <c r="AE883">
        <v>-6.5100000000029398E-2</v>
      </c>
      <c r="AF883">
        <v>2.6422088186226198E-3</v>
      </c>
      <c r="AG883">
        <v>-1.1106910000000001</v>
      </c>
      <c r="AH883">
        <v>13.405163979576701</v>
      </c>
      <c r="AI883">
        <v>94.736449110631</v>
      </c>
      <c r="AJ883">
        <v>89.988706784029603</v>
      </c>
      <c r="AK883">
        <v>13.451098943881499</v>
      </c>
      <c r="AL883">
        <v>71.200435347309707</v>
      </c>
      <c r="AM883">
        <v>92.508172140384602</v>
      </c>
      <c r="AN883">
        <v>0.99999999271019802</v>
      </c>
    </row>
    <row r="884" spans="1:40" x14ac:dyDescent="0.25">
      <c r="A884" t="str">
        <f>"20190304164837416"</f>
        <v>20190304164837416</v>
      </c>
      <c r="B884" t="str">
        <f>"1551689317407512"</f>
        <v>1551689317407512</v>
      </c>
      <c r="C884" t="s">
        <v>40</v>
      </c>
      <c r="D884">
        <v>4.3716119999999998</v>
      </c>
      <c r="E884">
        <v>0.53550799999999998</v>
      </c>
      <c r="F884" t="s">
        <v>41</v>
      </c>
      <c r="G884">
        <v>-299.86410000000001</v>
      </c>
      <c r="H884">
        <v>0.9860158</v>
      </c>
      <c r="I884">
        <v>367.69459999999998</v>
      </c>
      <c r="J884">
        <v>-300.58629999999999</v>
      </c>
      <c r="K884">
        <v>1.0606910000000001</v>
      </c>
      <c r="L884">
        <v>367.69920000000002</v>
      </c>
      <c r="M884">
        <v>0.99988679999999996</v>
      </c>
      <c r="N884">
        <v>-1.434319E-2</v>
      </c>
      <c r="O884">
        <v>-4.5640100000000003E-3</v>
      </c>
      <c r="P884">
        <v>0.95042969999999904</v>
      </c>
      <c r="Q884">
        <v>0.30873820000000002</v>
      </c>
      <c r="R884">
        <v>3.693623E-2</v>
      </c>
      <c r="S884">
        <v>3.2426149999999998</v>
      </c>
      <c r="T884">
        <v>-0.26308819999999999</v>
      </c>
      <c r="U884">
        <v>-1.843262E-2</v>
      </c>
      <c r="V884">
        <v>-4.1337840000000001E-2</v>
      </c>
      <c r="W884">
        <v>0.32232810000000001</v>
      </c>
      <c r="X884">
        <v>0.94572500000000004</v>
      </c>
      <c r="Y884">
        <v>1.1257420000000001E-3</v>
      </c>
      <c r="Z884">
        <v>2.5062670000000002E-4</v>
      </c>
      <c r="AA884">
        <v>0.99999930000000004</v>
      </c>
      <c r="AB884">
        <v>34</v>
      </c>
      <c r="AC884">
        <v>0.72219999999998596</v>
      </c>
      <c r="AD884">
        <v>-7.46751999999999E-2</v>
      </c>
      <c r="AE884">
        <v>-4.6000000000390104E-3</v>
      </c>
      <c r="AF884">
        <v>1.2896970248440099E-3</v>
      </c>
      <c r="AG884">
        <v>-7.46751999999999E-2</v>
      </c>
      <c r="AH884">
        <v>0.71457393041200501</v>
      </c>
      <c r="AI884">
        <v>95.965922761539801</v>
      </c>
      <c r="AJ884">
        <v>89.896589963622702</v>
      </c>
      <c r="AK884">
        <v>0.71846638810588503</v>
      </c>
      <c r="AL884">
        <v>71.196222887664305</v>
      </c>
      <c r="AM884">
        <v>92.502817519200505</v>
      </c>
      <c r="AN884">
        <v>0.99999999834523701</v>
      </c>
    </row>
    <row r="885" spans="1:40" x14ac:dyDescent="0.25">
      <c r="A885" t="str">
        <f>"20190304164837428"</f>
        <v>20190304164837428</v>
      </c>
      <c r="B885" t="str">
        <f>"1551689317417271"</f>
        <v>1551689317417271</v>
      </c>
      <c r="C885" t="s">
        <v>40</v>
      </c>
      <c r="D885">
        <v>4.4136319999999998</v>
      </c>
      <c r="E885">
        <v>0.53555980000000003</v>
      </c>
      <c r="F885" t="s">
        <v>41</v>
      </c>
      <c r="G885">
        <v>-299.56540000000001</v>
      </c>
      <c r="H885">
        <v>0.97791729999999999</v>
      </c>
      <c r="I885">
        <v>367.69330000000002</v>
      </c>
      <c r="J885">
        <v>-300.39600000000002</v>
      </c>
      <c r="K885">
        <v>1.0606930000000001</v>
      </c>
      <c r="L885">
        <v>367.69839999999999</v>
      </c>
      <c r="M885">
        <v>0.99988679999999996</v>
      </c>
      <c r="N885">
        <v>-1.4360909999999999E-2</v>
      </c>
      <c r="O885">
        <v>-4.504882E-3</v>
      </c>
      <c r="P885">
        <v>0.95045139999999995</v>
      </c>
      <c r="Q885">
        <v>0.3086624</v>
      </c>
      <c r="R885">
        <v>3.7009779999999999E-2</v>
      </c>
      <c r="S885">
        <v>3.242645</v>
      </c>
      <c r="T885">
        <v>-0.26306869999999999</v>
      </c>
      <c r="U885">
        <v>-1.8402100000000001E-2</v>
      </c>
      <c r="V885">
        <v>-4.1355860000000001E-2</v>
      </c>
      <c r="W885">
        <v>0.32226890000000002</v>
      </c>
      <c r="X885">
        <v>0.94574440000000004</v>
      </c>
      <c r="Y885">
        <v>1.17508E-3</v>
      </c>
      <c r="Z885">
        <v>2.4421499999999999E-4</v>
      </c>
      <c r="AA885">
        <v>0.99999930000000004</v>
      </c>
      <c r="AB885">
        <v>34</v>
      </c>
      <c r="AC885">
        <v>0.83059999999994705</v>
      </c>
      <c r="AD885">
        <v>-8.2775699999999994E-2</v>
      </c>
      <c r="AE885">
        <v>-5.0999999999703496E-3</v>
      </c>
      <c r="AF885">
        <v>1.3444554436640699E-3</v>
      </c>
      <c r="AG885">
        <v>-8.2775699999999994E-2</v>
      </c>
      <c r="AH885">
        <v>0.82244659488759697</v>
      </c>
      <c r="AI885">
        <v>95.7472118381028</v>
      </c>
      <c r="AJ885">
        <v>89.906338533677001</v>
      </c>
      <c r="AK885">
        <v>0.826602701128622</v>
      </c>
      <c r="AL885">
        <v>71.199806238486502</v>
      </c>
      <c r="AM885">
        <v>92.503855862535602</v>
      </c>
      <c r="AN885">
        <v>1.00000001059745</v>
      </c>
    </row>
    <row r="886" spans="1:40" x14ac:dyDescent="0.25">
      <c r="A886" t="str">
        <f>"20190304164837438"</f>
        <v>20190304164837438</v>
      </c>
      <c r="B886" t="str">
        <f>"1551689317427584"</f>
        <v>1551689317427584</v>
      </c>
      <c r="C886" t="s">
        <v>40</v>
      </c>
      <c r="D886">
        <v>4.409319</v>
      </c>
      <c r="E886">
        <v>0.53560010000000002</v>
      </c>
      <c r="F886" t="s">
        <v>43</v>
      </c>
      <c r="G886">
        <v>-286.7208</v>
      </c>
      <c r="H886">
        <v>-0.05</v>
      </c>
      <c r="I886">
        <v>367.61630000000002</v>
      </c>
      <c r="J886">
        <v>-300.24250000000001</v>
      </c>
      <c r="K886">
        <v>1.0606979999999999</v>
      </c>
      <c r="L886">
        <v>367.69779999999997</v>
      </c>
      <c r="M886">
        <v>0.99988679999999996</v>
      </c>
      <c r="N886">
        <v>-1.4374659999999999E-2</v>
      </c>
      <c r="O886">
        <v>-4.4571740000000004E-3</v>
      </c>
      <c r="P886">
        <v>0.95043169999999999</v>
      </c>
      <c r="Q886">
        <v>0.3087107</v>
      </c>
      <c r="R886">
        <v>3.7110160000000003E-2</v>
      </c>
      <c r="S886">
        <v>3.2427060000000001</v>
      </c>
      <c r="T886">
        <v>-0.26336999999999999</v>
      </c>
      <c r="U886">
        <v>-1.9470210000000002E-2</v>
      </c>
      <c r="V886">
        <v>-4.1410860000000001E-2</v>
      </c>
      <c r="W886">
        <v>0.3223299</v>
      </c>
      <c r="X886">
        <v>0.94572120000000004</v>
      </c>
      <c r="Y886">
        <v>1.550516E-3</v>
      </c>
      <c r="Z886">
        <v>2.233929E-4</v>
      </c>
      <c r="AA886">
        <v>0.99999870000000002</v>
      </c>
      <c r="AB886">
        <v>34</v>
      </c>
      <c r="AC886">
        <v>13.521699999999999</v>
      </c>
      <c r="AD886">
        <v>-1.110698</v>
      </c>
      <c r="AE886">
        <v>-8.14999999999486E-2</v>
      </c>
      <c r="AF886">
        <v>2.1082154033741501E-2</v>
      </c>
      <c r="AG886">
        <v>-1.110698</v>
      </c>
      <c r="AH886">
        <v>13.4313073194353</v>
      </c>
      <c r="AI886">
        <v>94.727295634116899</v>
      </c>
      <c r="AJ886">
        <v>89.910067022631793</v>
      </c>
      <c r="AK886">
        <v>13.4771699853322</v>
      </c>
      <c r="AL886">
        <v>71.196114088762002</v>
      </c>
      <c r="AM886">
        <v>92.507242971607198</v>
      </c>
      <c r="AN886">
        <v>1.0000000059446901</v>
      </c>
    </row>
    <row r="887" spans="1:40" x14ac:dyDescent="0.25">
      <c r="A887" t="str">
        <f>"20190304164837448"</f>
        <v>20190304164837448</v>
      </c>
      <c r="B887" t="str">
        <f>"1551689317437344"</f>
        <v>1551689317437344</v>
      </c>
      <c r="C887" t="s">
        <v>40</v>
      </c>
      <c r="D887">
        <v>4.3971470000000004</v>
      </c>
      <c r="E887">
        <v>0.53564419999999902</v>
      </c>
      <c r="F887" t="s">
        <v>41</v>
      </c>
      <c r="G887">
        <v>-299.25959999999998</v>
      </c>
      <c r="H887">
        <v>0.98097979999999996</v>
      </c>
      <c r="I887">
        <v>367.69159999999999</v>
      </c>
      <c r="J887">
        <v>-300.08960000000002</v>
      </c>
      <c r="K887">
        <v>1.0606979999999999</v>
      </c>
      <c r="L887">
        <v>367.69709999999998</v>
      </c>
      <c r="M887">
        <v>0.99988690000000002</v>
      </c>
      <c r="N887">
        <v>-1.43871E-2</v>
      </c>
      <c r="O887">
        <v>-4.4092239999999998E-3</v>
      </c>
      <c r="P887">
        <v>0.95025289999999996</v>
      </c>
      <c r="Q887">
        <v>0.30923279999999997</v>
      </c>
      <c r="R887">
        <v>3.7346530000000003E-2</v>
      </c>
      <c r="S887">
        <v>3.2427060000000001</v>
      </c>
      <c r="T887">
        <v>-0.26319179999999998</v>
      </c>
      <c r="U887">
        <v>-1.971436E-2</v>
      </c>
      <c r="V887">
        <v>-4.1600860000000003E-2</v>
      </c>
      <c r="W887">
        <v>0.32286150000000002</v>
      </c>
      <c r="X887">
        <v>0.94553149999999997</v>
      </c>
      <c r="Y887">
        <v>1.673162E-3</v>
      </c>
      <c r="Z887">
        <v>2.140768E-4</v>
      </c>
      <c r="AA887">
        <v>0.99999859999999896</v>
      </c>
      <c r="AB887">
        <v>34</v>
      </c>
      <c r="AC887">
        <v>0.83000000000004004</v>
      </c>
      <c r="AD887">
        <v>-7.9718199999999795E-2</v>
      </c>
      <c r="AE887">
        <v>-5.4999999999836204E-3</v>
      </c>
      <c r="AF887">
        <v>1.82309521607928E-3</v>
      </c>
      <c r="AG887">
        <v>-7.9718199999999795E-2</v>
      </c>
      <c r="AH887">
        <v>0.82242973485280602</v>
      </c>
      <c r="AI887">
        <v>95.536376647139207</v>
      </c>
      <c r="AJ887">
        <v>89.872991593065095</v>
      </c>
      <c r="AK887">
        <v>0.82628626023761498</v>
      </c>
      <c r="AL887">
        <v>71.163935127896906</v>
      </c>
      <c r="AM887">
        <v>92.519236520513999</v>
      </c>
      <c r="AN887">
        <v>0.99999999861361899</v>
      </c>
    </row>
    <row r="888" spans="1:40" x14ac:dyDescent="0.25">
      <c r="A888" t="str">
        <f>"20190304164837459"</f>
        <v>20190304164837459</v>
      </c>
      <c r="B888" t="str">
        <f>"1551689317447104"</f>
        <v>1551689317447104</v>
      </c>
      <c r="C888" t="s">
        <v>40</v>
      </c>
      <c r="D888">
        <v>4.4008770000000004</v>
      </c>
      <c r="E888">
        <v>0.53568719999999903</v>
      </c>
      <c r="F888" t="s">
        <v>43</v>
      </c>
      <c r="G888">
        <v>-286.3023</v>
      </c>
      <c r="H888">
        <v>-0.05</v>
      </c>
      <c r="I888">
        <v>367.61169999999998</v>
      </c>
      <c r="J888">
        <v>-299.93209999999999</v>
      </c>
      <c r="K888">
        <v>1.0607</v>
      </c>
      <c r="L888">
        <v>367.69650000000001</v>
      </c>
      <c r="M888">
        <v>0.99988679999999996</v>
      </c>
      <c r="N888">
        <v>-1.439933E-2</v>
      </c>
      <c r="O888">
        <v>-4.3597210000000004E-3</v>
      </c>
      <c r="P888">
        <v>0.95025579999999998</v>
      </c>
      <c r="Q888">
        <v>0.3092316</v>
      </c>
      <c r="R888">
        <v>3.7278239999999997E-2</v>
      </c>
      <c r="S888">
        <v>3.2428590000000002</v>
      </c>
      <c r="T888">
        <v>-0.26124370000000002</v>
      </c>
      <c r="U888">
        <v>-2.0080569999999999E-2</v>
      </c>
      <c r="V888">
        <v>-4.148574E-2</v>
      </c>
      <c r="W888">
        <v>0.32287199999999999</v>
      </c>
      <c r="X888">
        <v>0.94553299999999996</v>
      </c>
      <c r="Y888">
        <v>1.8344909999999999E-3</v>
      </c>
      <c r="Z888">
        <v>2.0094120000000001E-4</v>
      </c>
      <c r="AA888">
        <v>0.99999830000000001</v>
      </c>
      <c r="AB888">
        <v>34</v>
      </c>
      <c r="AC888">
        <v>13.6297999999999</v>
      </c>
      <c r="AD888">
        <v>-1.1107</v>
      </c>
      <c r="AE888">
        <v>-8.4800000000029699E-2</v>
      </c>
      <c r="AF888">
        <v>2.5203543232962301E-2</v>
      </c>
      <c r="AG888">
        <v>-1.1107</v>
      </c>
      <c r="AH888">
        <v>13.5401275900764</v>
      </c>
      <c r="AI888">
        <v>94.689479161330496</v>
      </c>
      <c r="AJ888">
        <v>89.893349971879204</v>
      </c>
      <c r="AK888">
        <v>13.585630087123</v>
      </c>
      <c r="AL888">
        <v>71.1632999866288</v>
      </c>
      <c r="AM888">
        <v>92.512270126000402</v>
      </c>
      <c r="AN888">
        <v>1.0000000245481699</v>
      </c>
    </row>
    <row r="889" spans="1:40" x14ac:dyDescent="0.25">
      <c r="A889" t="str">
        <f>"20190304164837468"</f>
        <v>20190304164837468</v>
      </c>
      <c r="B889" t="str">
        <f>"1551689317456863"</f>
        <v>1551689317456863</v>
      </c>
      <c r="C889" t="s">
        <v>40</v>
      </c>
      <c r="D889">
        <v>4.4086650000000001</v>
      </c>
      <c r="E889">
        <v>0.53569639999999996</v>
      </c>
      <c r="F889" t="s">
        <v>41</v>
      </c>
      <c r="G889">
        <v>-298.95479999999998</v>
      </c>
      <c r="H889">
        <v>0.98209939999999996</v>
      </c>
      <c r="I889">
        <v>367.69</v>
      </c>
      <c r="J889">
        <v>-299.77929999999998</v>
      </c>
      <c r="K889">
        <v>1.0606979999999999</v>
      </c>
      <c r="L889">
        <v>367.69589999999999</v>
      </c>
      <c r="M889">
        <v>0.99988690000000002</v>
      </c>
      <c r="N889">
        <v>-1.44101E-2</v>
      </c>
      <c r="O889">
        <v>-4.3124699999999997E-3</v>
      </c>
      <c r="P889">
        <v>0.95021469999999997</v>
      </c>
      <c r="Q889">
        <v>0.30931530000000002</v>
      </c>
      <c r="R889">
        <v>3.7633670000000001E-2</v>
      </c>
      <c r="S889">
        <v>3.2427980000000001</v>
      </c>
      <c r="T889">
        <v>-0.2608935</v>
      </c>
      <c r="U889">
        <v>-2.157593E-2</v>
      </c>
      <c r="V889">
        <v>-4.1795880000000001E-2</v>
      </c>
      <c r="W889">
        <v>0.32296540000000001</v>
      </c>
      <c r="X889">
        <v>0.94548739999999998</v>
      </c>
      <c r="Y889">
        <v>2.3409250000000002E-3</v>
      </c>
      <c r="Z889">
        <v>1.734087E-4</v>
      </c>
      <c r="AA889">
        <v>0.99999729999999998</v>
      </c>
      <c r="AB889">
        <v>34</v>
      </c>
      <c r="AC889">
        <v>0.82450000000000001</v>
      </c>
      <c r="AD889">
        <v>-7.8598599999999796E-2</v>
      </c>
      <c r="AE889">
        <v>-5.8999999999968999E-3</v>
      </c>
      <c r="AF889">
        <v>2.3228366118222799E-3</v>
      </c>
      <c r="AG889">
        <v>-7.8598599999999796E-2</v>
      </c>
      <c r="AH889">
        <v>0.81709276126053199</v>
      </c>
      <c r="AI889">
        <v>95.494525004923602</v>
      </c>
      <c r="AJ889">
        <v>89.837119624421405</v>
      </c>
      <c r="AK889">
        <v>0.82086766046436799</v>
      </c>
      <c r="AL889">
        <v>71.157644853376198</v>
      </c>
      <c r="AM889">
        <v>92.531148986846105</v>
      </c>
      <c r="AN889">
        <v>0.99999998437044701</v>
      </c>
    </row>
    <row r="890" spans="1:40" x14ac:dyDescent="0.25">
      <c r="A890" t="str">
        <f>"20190304164837479"</f>
        <v>20190304164837479</v>
      </c>
      <c r="B890" t="str">
        <f>"1551689317467600"</f>
        <v>1551689317467600</v>
      </c>
      <c r="C890" t="s">
        <v>40</v>
      </c>
      <c r="D890">
        <v>4.4211289999999996</v>
      </c>
      <c r="E890">
        <v>0.53573539999999997</v>
      </c>
      <c r="F890" t="s">
        <v>43</v>
      </c>
      <c r="G890">
        <v>-285.97050000000002</v>
      </c>
      <c r="H890">
        <v>-0.05</v>
      </c>
      <c r="I890">
        <v>367.60939999999999</v>
      </c>
      <c r="J890">
        <v>-299.62509999999997</v>
      </c>
      <c r="K890">
        <v>1.0606979999999999</v>
      </c>
      <c r="L890">
        <v>367.69529999999997</v>
      </c>
      <c r="M890">
        <v>0.99988699999999997</v>
      </c>
      <c r="N890">
        <v>-1.442046E-2</v>
      </c>
      <c r="O890">
        <v>-4.2643840000000004E-3</v>
      </c>
      <c r="P890">
        <v>0.95020090000000001</v>
      </c>
      <c r="Q890">
        <v>0.3093399</v>
      </c>
      <c r="R890">
        <v>3.7778569999999997E-2</v>
      </c>
      <c r="S890">
        <v>3.2428889999999999</v>
      </c>
      <c r="T890">
        <v>-0.26083790000000001</v>
      </c>
      <c r="U890">
        <v>-2.029419E-2</v>
      </c>
      <c r="V890">
        <v>-4.1895450000000001E-2</v>
      </c>
      <c r="W890">
        <v>0.3229997</v>
      </c>
      <c r="X890">
        <v>0.94547130000000001</v>
      </c>
      <c r="Y890">
        <v>1.9948090000000002E-3</v>
      </c>
      <c r="Z890">
        <v>1.8652020000000001E-4</v>
      </c>
      <c r="AA890">
        <v>0.99999800000000005</v>
      </c>
      <c r="AB890">
        <v>34</v>
      </c>
      <c r="AC890">
        <v>13.654599999999901</v>
      </c>
      <c r="AD890">
        <v>-1.110698</v>
      </c>
      <c r="AE890">
        <v>-8.5899999999980894E-2</v>
      </c>
      <c r="AF890">
        <v>2.7482874449202398E-2</v>
      </c>
      <c r="AG890">
        <v>-1.110698</v>
      </c>
      <c r="AH890">
        <v>13.5650911170044</v>
      </c>
      <c r="AI890">
        <v>94.680877721449207</v>
      </c>
      <c r="AJ890">
        <v>89.883918910181194</v>
      </c>
      <c r="AK890">
        <v>13.610514404982</v>
      </c>
      <c r="AL890">
        <v>71.155568758958907</v>
      </c>
      <c r="AM890">
        <v>92.537214200993105</v>
      </c>
      <c r="AN890">
        <v>1.0000000070272399</v>
      </c>
    </row>
    <row r="891" spans="1:40" x14ac:dyDescent="0.25">
      <c r="A891" t="str">
        <f>"20190304164837489"</f>
        <v>20190304164837489</v>
      </c>
      <c r="B891" t="str">
        <f>"1551689317477360"</f>
        <v>1551689317477360</v>
      </c>
      <c r="C891" t="s">
        <v>40</v>
      </c>
      <c r="D891">
        <v>4.4191979999999997</v>
      </c>
      <c r="E891">
        <v>0.53581889999999999</v>
      </c>
      <c r="F891" t="s">
        <v>41</v>
      </c>
      <c r="G891">
        <v>-298.65089999999998</v>
      </c>
      <c r="H891">
        <v>0.98242350000000001</v>
      </c>
      <c r="I891">
        <v>367.6891</v>
      </c>
      <c r="J891">
        <v>-299.471</v>
      </c>
      <c r="K891">
        <v>1.060697</v>
      </c>
      <c r="L891">
        <v>367.69459999999998</v>
      </c>
      <c r="M891">
        <v>0.99988699999999997</v>
      </c>
      <c r="N891">
        <v>-1.4429900000000001E-2</v>
      </c>
      <c r="O891">
        <v>-4.216292E-3</v>
      </c>
      <c r="P891">
        <v>0.95022669999999998</v>
      </c>
      <c r="Q891">
        <v>0.30926330000000002</v>
      </c>
      <c r="R891">
        <v>3.7754749999999997E-2</v>
      </c>
      <c r="S891">
        <v>3.24295</v>
      </c>
      <c r="T891">
        <v>-0.26073939999999901</v>
      </c>
      <c r="U891">
        <v>-1.9927980000000001E-2</v>
      </c>
      <c r="V891">
        <v>-4.1825689999999999E-2</v>
      </c>
      <c r="W891">
        <v>0.322932</v>
      </c>
      <c r="X891">
        <v>0.94549749999999999</v>
      </c>
      <c r="Y891">
        <v>1.9300020000000001E-3</v>
      </c>
      <c r="Z891">
        <v>1.862693E-4</v>
      </c>
      <c r="AA891">
        <v>0.9999981</v>
      </c>
      <c r="AB891">
        <v>34</v>
      </c>
      <c r="AC891">
        <v>0.82010000000002403</v>
      </c>
      <c r="AD891">
        <v>-7.8273499999999996E-2</v>
      </c>
      <c r="AE891">
        <v>-5.4999999999836204E-3</v>
      </c>
      <c r="AF891">
        <v>2.0233788073122099E-3</v>
      </c>
      <c r="AG891">
        <v>-7.8273499999999996E-2</v>
      </c>
      <c r="AH891">
        <v>0.81271280374450805</v>
      </c>
      <c r="AI891">
        <v>95.501251397972595</v>
      </c>
      <c r="AJ891">
        <v>89.857353266796594</v>
      </c>
      <c r="AK891">
        <v>0.81647592507942801</v>
      </c>
      <c r="AL891">
        <v>71.159667062873098</v>
      </c>
      <c r="AM891">
        <v>92.532924901001905</v>
      </c>
      <c r="AN891">
        <v>0.99999999373711301</v>
      </c>
    </row>
    <row r="892" spans="1:40" x14ac:dyDescent="0.25">
      <c r="A892" t="str">
        <f>"20190304164837499"</f>
        <v>20190304164837499</v>
      </c>
      <c r="B892" t="str">
        <f>"1551689317496880"</f>
        <v>1551689317496880</v>
      </c>
      <c r="C892" t="s">
        <v>40</v>
      </c>
      <c r="D892">
        <v>4.4312500000000004</v>
      </c>
      <c r="E892">
        <v>0.53594090000000005</v>
      </c>
      <c r="F892" t="s">
        <v>43</v>
      </c>
      <c r="G892">
        <v>-285.673</v>
      </c>
      <c r="H892">
        <v>-0.05</v>
      </c>
      <c r="I892">
        <v>367.60550000000001</v>
      </c>
      <c r="J892">
        <v>-299.31009999999998</v>
      </c>
      <c r="K892">
        <v>1.060697</v>
      </c>
      <c r="L892">
        <v>367.69400000000002</v>
      </c>
      <c r="M892">
        <v>0.99988719999999998</v>
      </c>
      <c r="N892">
        <v>-1.4439159999999999E-2</v>
      </c>
      <c r="O892">
        <v>-4.1661729999999996E-3</v>
      </c>
      <c r="P892">
        <v>0.95026279999999996</v>
      </c>
      <c r="Q892">
        <v>0.3091083</v>
      </c>
      <c r="R892">
        <v>3.8121540000000002E-2</v>
      </c>
      <c r="S892">
        <v>3.24295</v>
      </c>
      <c r="T892">
        <v>-0.26104820000000001</v>
      </c>
      <c r="U892">
        <v>-2.0935059999999998E-2</v>
      </c>
      <c r="V892">
        <v>-4.2145299999999997E-2</v>
      </c>
      <c r="W892">
        <v>0.32278570000000001</v>
      </c>
      <c r="X892">
        <v>0.94553330000000002</v>
      </c>
      <c r="Y892">
        <v>2.2891859999999999E-3</v>
      </c>
      <c r="Z892">
        <v>1.6619270000000001E-4</v>
      </c>
      <c r="AA892">
        <v>0.99999740000000004</v>
      </c>
      <c r="AB892">
        <v>34</v>
      </c>
      <c r="AC892">
        <v>13.637099999999901</v>
      </c>
      <c r="AD892">
        <v>-1.110697</v>
      </c>
      <c r="AE892">
        <v>-8.8500000000010404E-2</v>
      </c>
      <c r="AF892">
        <v>3.1470047903058601E-2</v>
      </c>
      <c r="AG892">
        <v>-1.110697</v>
      </c>
      <c r="AH892">
        <v>13.547485992986999</v>
      </c>
      <c r="AI892">
        <v>94.686926283124194</v>
      </c>
      <c r="AJ892">
        <v>89.866905366527305</v>
      </c>
      <c r="AK892">
        <v>13.592976676206799</v>
      </c>
      <c r="AL892">
        <v>71.168524403764394</v>
      </c>
      <c r="AM892">
        <v>92.552158181989995</v>
      </c>
      <c r="AN892">
        <v>1.0000000279227299</v>
      </c>
    </row>
    <row r="893" spans="1:40" x14ac:dyDescent="0.25">
      <c r="A893" t="str">
        <f>"20190304164837510"</f>
        <v>20190304164837510</v>
      </c>
      <c r="B893" t="str">
        <f>"1551689317507616"</f>
        <v>1551689317507616</v>
      </c>
      <c r="C893" t="s">
        <v>40</v>
      </c>
      <c r="D893">
        <v>4.4431469999999997</v>
      </c>
      <c r="E893">
        <v>0.5359486</v>
      </c>
      <c r="F893" t="s">
        <v>41</v>
      </c>
      <c r="G893">
        <v>-298.34710000000001</v>
      </c>
      <c r="H893">
        <v>0.9830854</v>
      </c>
      <c r="I893">
        <v>367.68779999999998</v>
      </c>
      <c r="J893">
        <v>-299.1431</v>
      </c>
      <c r="K893">
        <v>1.0606949999999999</v>
      </c>
      <c r="L893">
        <v>367.69330000000002</v>
      </c>
      <c r="M893">
        <v>0.99988719999999998</v>
      </c>
      <c r="N893">
        <v>-1.444787E-2</v>
      </c>
      <c r="O893">
        <v>-4.114024E-3</v>
      </c>
      <c r="P893">
        <v>0.95024419999999998</v>
      </c>
      <c r="Q893">
        <v>0.30913760000000001</v>
      </c>
      <c r="R893">
        <v>3.8341060000000003E-2</v>
      </c>
      <c r="S893">
        <v>3.2428279999999998</v>
      </c>
      <c r="T893">
        <v>-0.26139829999999997</v>
      </c>
      <c r="U893">
        <v>-2.0935059999999998E-2</v>
      </c>
      <c r="V893">
        <v>-4.2315600000000002E-2</v>
      </c>
      <c r="W893">
        <v>0.32282359999999999</v>
      </c>
      <c r="X893">
        <v>0.94551269999999998</v>
      </c>
      <c r="Y893">
        <v>2.341274E-3</v>
      </c>
      <c r="Z893">
        <v>1.605632E-4</v>
      </c>
      <c r="AA893">
        <v>0.99999729999999998</v>
      </c>
      <c r="AB893">
        <v>34</v>
      </c>
      <c r="AC893">
        <v>0.79599999999999205</v>
      </c>
      <c r="AD893">
        <v>-7.7609600000000195E-2</v>
      </c>
      <c r="AE893">
        <v>-5.5000000000404699E-3</v>
      </c>
      <c r="AF893">
        <v>2.2038990299037401E-3</v>
      </c>
      <c r="AG893">
        <v>-7.7609600000000195E-2</v>
      </c>
      <c r="AH893">
        <v>0.78852045437519402</v>
      </c>
      <c r="AI893">
        <v>95.6211722468624</v>
      </c>
      <c r="AJ893">
        <v>89.839859849705604</v>
      </c>
      <c r="AK893">
        <v>0.79233365077545304</v>
      </c>
      <c r="AL893">
        <v>71.166229058896604</v>
      </c>
      <c r="AM893">
        <v>92.562512934431396</v>
      </c>
      <c r="AN893">
        <v>0.99999997629080395</v>
      </c>
    </row>
    <row r="894" spans="1:40" x14ac:dyDescent="0.25">
      <c r="A894" t="str">
        <f>"20190304164837522"</f>
        <v>20190304164837522</v>
      </c>
      <c r="B894" t="str">
        <f>"1551689317517375"</f>
        <v>1551689317517375</v>
      </c>
      <c r="C894" t="s">
        <v>40</v>
      </c>
      <c r="D894">
        <v>4.4561000000000002</v>
      </c>
      <c r="E894">
        <v>0.5359486</v>
      </c>
      <c r="F894" t="s">
        <v>43</v>
      </c>
      <c r="G894">
        <v>-285.3501</v>
      </c>
      <c r="H894">
        <v>-0.05</v>
      </c>
      <c r="I894">
        <v>367.60660000000001</v>
      </c>
      <c r="J894">
        <v>-298.97289999999998</v>
      </c>
      <c r="K894">
        <v>1.0606949999999999</v>
      </c>
      <c r="L894">
        <v>367.6927</v>
      </c>
      <c r="M894">
        <v>0.99988730000000003</v>
      </c>
      <c r="N894">
        <v>-1.445598E-2</v>
      </c>
      <c r="O894">
        <v>-4.0612729999999998E-3</v>
      </c>
      <c r="P894">
        <v>0.9502564</v>
      </c>
      <c r="Q894">
        <v>0.30908859999999999</v>
      </c>
      <c r="R894">
        <v>3.8433340000000003E-2</v>
      </c>
      <c r="S894">
        <v>3.2428279999999998</v>
      </c>
      <c r="T894">
        <v>-0.26113259999999999</v>
      </c>
      <c r="U894">
        <v>-2.0385739999999999E-2</v>
      </c>
      <c r="V894">
        <v>-4.2357270000000002E-2</v>
      </c>
      <c r="W894">
        <v>0.32278210000000002</v>
      </c>
      <c r="X894">
        <v>0.94552510000000001</v>
      </c>
      <c r="Y894">
        <v>2.2249639999999998E-3</v>
      </c>
      <c r="Z894">
        <v>1.623188E-4</v>
      </c>
      <c r="AA894">
        <v>0.99999749999999998</v>
      </c>
      <c r="AB894">
        <v>34</v>
      </c>
      <c r="AC894">
        <v>13.6227999999999</v>
      </c>
      <c r="AD894">
        <v>-1.110695</v>
      </c>
      <c r="AE894">
        <v>-8.6099999999987603E-2</v>
      </c>
      <c r="AF894">
        <v>3.0564432189389999E-2</v>
      </c>
      <c r="AG894">
        <v>-1.110695</v>
      </c>
      <c r="AH894">
        <v>13.533080090190101</v>
      </c>
      <c r="AI894">
        <v>94.691885510954094</v>
      </c>
      <c r="AJ894">
        <v>89.870597825589698</v>
      </c>
      <c r="AK894">
        <v>13.578616803453899</v>
      </c>
      <c r="AL894">
        <v>71.168743127941497</v>
      </c>
      <c r="AM894">
        <v>92.564999389087802</v>
      </c>
      <c r="AN894">
        <v>1.0000000685661301</v>
      </c>
    </row>
    <row r="895" spans="1:40" x14ac:dyDescent="0.25">
      <c r="A895" t="str">
        <f>"20190304164837532"</f>
        <v>20190304164837532</v>
      </c>
      <c r="B895" t="str">
        <f>"1551689317527112"</f>
        <v>1551689317527112</v>
      </c>
      <c r="C895" t="s">
        <v>40</v>
      </c>
      <c r="D895">
        <v>4.4368100000000004</v>
      </c>
      <c r="E895">
        <v>0.53524629999999995</v>
      </c>
      <c r="F895" t="s">
        <v>41</v>
      </c>
      <c r="G895">
        <v>-298.04180000000002</v>
      </c>
      <c r="H895">
        <v>0.98578259999999995</v>
      </c>
      <c r="I895">
        <v>367.68650000000002</v>
      </c>
      <c r="J895">
        <v>-298.7946</v>
      </c>
      <c r="K895">
        <v>1.060697</v>
      </c>
      <c r="L895">
        <v>367.69200000000001</v>
      </c>
      <c r="M895">
        <v>0.99988750000000004</v>
      </c>
      <c r="N895">
        <v>-1.446393E-2</v>
      </c>
      <c r="O895">
        <v>-4.0062559999999997E-3</v>
      </c>
      <c r="P895">
        <v>0.95026909999999998</v>
      </c>
      <c r="Q895">
        <v>0.30902499999999999</v>
      </c>
      <c r="R895">
        <v>3.863043E-2</v>
      </c>
      <c r="S895">
        <v>3.2428279999999998</v>
      </c>
      <c r="T895">
        <v>-0.2612487</v>
      </c>
      <c r="U895">
        <v>-2.0202640000000001E-2</v>
      </c>
      <c r="V895">
        <v>-4.2502400000000003E-2</v>
      </c>
      <c r="W895">
        <v>0.32272620000000002</v>
      </c>
      <c r="X895">
        <v>0.94553759999999998</v>
      </c>
      <c r="Y895">
        <v>2.2234099999999999E-3</v>
      </c>
      <c r="Z895">
        <v>1.58826299999999E-4</v>
      </c>
      <c r="AA895">
        <v>0.99999749999999998</v>
      </c>
      <c r="AB895">
        <v>34</v>
      </c>
      <c r="AC895">
        <v>0.75279999999997904</v>
      </c>
      <c r="AD895">
        <v>-7.4914400000000006E-2</v>
      </c>
      <c r="AE895">
        <v>-5.4999999999267796E-3</v>
      </c>
      <c r="AF895">
        <v>2.4593770491487901E-3</v>
      </c>
      <c r="AG895">
        <v>-7.4914400000000006E-2</v>
      </c>
      <c r="AH895">
        <v>0.74543427419780295</v>
      </c>
      <c r="AI895">
        <v>95.738792203480998</v>
      </c>
      <c r="AJ895">
        <v>89.810967353193504</v>
      </c>
      <c r="AK895">
        <v>0.749193214739452</v>
      </c>
      <c r="AL895">
        <v>71.172125790904005</v>
      </c>
      <c r="AM895">
        <v>92.573742146882594</v>
      </c>
      <c r="AN895">
        <v>1.0000000035929799</v>
      </c>
    </row>
    <row r="896" spans="1:40" x14ac:dyDescent="0.25">
      <c r="A896" t="str">
        <f>"20190304164837544"</f>
        <v>20190304164837544</v>
      </c>
      <c r="B896" t="str">
        <f>"1551689317536872"</f>
        <v>1551689317536872</v>
      </c>
      <c r="C896" t="s">
        <v>40</v>
      </c>
      <c r="D896">
        <v>4.4110360000000002</v>
      </c>
      <c r="E896">
        <v>0.53472159999999902</v>
      </c>
      <c r="F896" t="s">
        <v>43</v>
      </c>
      <c r="G896">
        <v>-284.99209999999999</v>
      </c>
      <c r="H896">
        <v>-0.05</v>
      </c>
      <c r="I896">
        <v>367.63400000000001</v>
      </c>
      <c r="J896">
        <v>-298.62729999999999</v>
      </c>
      <c r="K896">
        <v>1.0606930000000001</v>
      </c>
      <c r="L896">
        <v>367.69139999999999</v>
      </c>
      <c r="M896">
        <v>0.99988750000000004</v>
      </c>
      <c r="N896">
        <v>-1.4470419999999999E-2</v>
      </c>
      <c r="O896">
        <v>-3.9540920000000002E-3</v>
      </c>
      <c r="P896">
        <v>0.95039450000000003</v>
      </c>
      <c r="Q896">
        <v>0.30862329999999999</v>
      </c>
      <c r="R896">
        <v>3.875725E-2</v>
      </c>
      <c r="S896">
        <v>3.2424010000000001</v>
      </c>
      <c r="T896">
        <v>-0.26091789999999998</v>
      </c>
      <c r="U896">
        <v>-1.364136E-2</v>
      </c>
      <c r="V896">
        <v>-4.257967E-2</v>
      </c>
      <c r="W896">
        <v>0.32233260000000002</v>
      </c>
      <c r="X896">
        <v>0.94566839999999996</v>
      </c>
      <c r="Y896">
        <v>2.6024050000000002E-4</v>
      </c>
      <c r="Z896">
        <v>2.4818680000000001E-4</v>
      </c>
      <c r="AA896">
        <v>0.99999990000000005</v>
      </c>
      <c r="AB896">
        <v>34</v>
      </c>
      <c r="AC896">
        <v>13.6351999999999</v>
      </c>
      <c r="AD896">
        <v>-1.1106929999999999</v>
      </c>
      <c r="AE896">
        <v>-5.7399999999972799E-2</v>
      </c>
      <c r="AF896">
        <v>3.4561391067400101E-3</v>
      </c>
      <c r="AG896">
        <v>-1.1106929999999999</v>
      </c>
      <c r="AH896">
        <v>13.545442961467501</v>
      </c>
      <c r="AI896">
        <v>94.6876256850624</v>
      </c>
      <c r="AJ896">
        <v>89.985380900388904</v>
      </c>
      <c r="AK896">
        <v>13.590904160780299</v>
      </c>
      <c r="AL896">
        <v>71.195951098943397</v>
      </c>
      <c r="AM896">
        <v>92.578058787718504</v>
      </c>
      <c r="AN896">
        <v>1.00000002803931</v>
      </c>
    </row>
    <row r="897" spans="1:40" x14ac:dyDescent="0.25">
      <c r="A897" t="str">
        <f>"20190304164837555"</f>
        <v>20190304164837555</v>
      </c>
      <c r="B897" t="str">
        <f>"1551689317547608"</f>
        <v>1551689317547608</v>
      </c>
      <c r="C897" t="s">
        <v>40</v>
      </c>
      <c r="D897">
        <v>4.422688</v>
      </c>
      <c r="E897">
        <v>0.53425509999999998</v>
      </c>
      <c r="F897" t="s">
        <v>41</v>
      </c>
      <c r="G897">
        <v>-297.73610000000002</v>
      </c>
      <c r="H897">
        <v>0.98883330000000003</v>
      </c>
      <c r="I897">
        <v>367.68869999999998</v>
      </c>
      <c r="J897">
        <v>-298.46480000000003</v>
      </c>
      <c r="K897">
        <v>1.0606930000000001</v>
      </c>
      <c r="L897">
        <v>367.69080000000002</v>
      </c>
      <c r="M897">
        <v>0.99988759999999999</v>
      </c>
      <c r="N897">
        <v>-1.4476549999999999E-2</v>
      </c>
      <c r="O897">
        <v>-3.903475E-3</v>
      </c>
      <c r="P897">
        <v>0.95036730000000003</v>
      </c>
      <c r="Q897">
        <v>0.30868329999999999</v>
      </c>
      <c r="R897">
        <v>3.8943640000000002E-2</v>
      </c>
      <c r="S897">
        <v>3.2418209999999998</v>
      </c>
      <c r="T897">
        <v>-0.26128269999999998</v>
      </c>
      <c r="U897">
        <v>-9.6435549999999998E-3</v>
      </c>
      <c r="V897">
        <v>-4.2717999999999999E-2</v>
      </c>
      <c r="W897">
        <v>0.32239800000000002</v>
      </c>
      <c r="X897">
        <v>0.94563980000000003</v>
      </c>
      <c r="Y897">
        <v>-9.1714110000000004E-4</v>
      </c>
      <c r="Z897">
        <v>3.0121379999999999E-4</v>
      </c>
      <c r="AA897">
        <v>0.99999950000000004</v>
      </c>
      <c r="AB897">
        <v>34</v>
      </c>
      <c r="AC897">
        <v>0.72870000000000301</v>
      </c>
      <c r="AD897">
        <v>-7.1859699999999999E-2</v>
      </c>
      <c r="AE897">
        <v>-2.1000000000412902E-3</v>
      </c>
      <c r="AF897">
        <v>-7.37603446667489E-4</v>
      </c>
      <c r="AG897">
        <v>-7.1859699999999999E-2</v>
      </c>
      <c r="AH897">
        <v>0.72168458523164702</v>
      </c>
      <c r="AI897">
        <v>95.686318992223207</v>
      </c>
      <c r="AJ897">
        <v>90.058559584890205</v>
      </c>
      <c r="AK897">
        <v>0.72525374945870402</v>
      </c>
      <c r="AL897">
        <v>71.191991396534306</v>
      </c>
      <c r="AM897">
        <v>92.586500976300101</v>
      </c>
      <c r="AN897">
        <v>0.99999996463601903</v>
      </c>
    </row>
    <row r="898" spans="1:40" x14ac:dyDescent="0.25">
      <c r="A898" t="str">
        <f>"20190304164837566"</f>
        <v>20190304164837566</v>
      </c>
      <c r="B898" t="str">
        <f>"1551689317557368"</f>
        <v>1551689317557368</v>
      </c>
      <c r="C898" t="s">
        <v>40</v>
      </c>
      <c r="D898">
        <v>4.4207640000000001</v>
      </c>
      <c r="E898">
        <v>0.53380360000000004</v>
      </c>
      <c r="F898" t="s">
        <v>41</v>
      </c>
      <c r="G898">
        <v>-297.44220000000001</v>
      </c>
      <c r="H898">
        <v>0.97860769999999997</v>
      </c>
      <c r="I898">
        <v>367.68889999999999</v>
      </c>
      <c r="J898">
        <v>-298.2998</v>
      </c>
      <c r="K898">
        <v>1.060692</v>
      </c>
      <c r="L898">
        <v>367.6902</v>
      </c>
      <c r="M898">
        <v>0.99988770000000005</v>
      </c>
      <c r="N898">
        <v>-1.4481799999999901E-2</v>
      </c>
      <c r="O898">
        <v>-3.8522539999999998E-3</v>
      </c>
      <c r="P898">
        <v>0.95040919999999895</v>
      </c>
      <c r="Q898">
        <v>0.30855880000000002</v>
      </c>
      <c r="R898">
        <v>3.8910060000000003E-2</v>
      </c>
      <c r="S898">
        <v>3.2414860000000001</v>
      </c>
      <c r="T898">
        <v>-0.26046659999999999</v>
      </c>
      <c r="U898">
        <v>-5.1269530000000001E-3</v>
      </c>
      <c r="V898">
        <v>-4.2635949999999999E-2</v>
      </c>
      <c r="W898">
        <v>0.32227929999999999</v>
      </c>
      <c r="X898">
        <v>0.94568399999999997</v>
      </c>
      <c r="Y898">
        <v>-2.2540770000000002E-3</v>
      </c>
      <c r="Z898">
        <v>3.6009799999999999E-4</v>
      </c>
      <c r="AA898">
        <v>0.99999740000000004</v>
      </c>
      <c r="AB898">
        <v>34</v>
      </c>
      <c r="AC898">
        <v>0.85759999999999004</v>
      </c>
      <c r="AD898">
        <v>-8.2084299999999999E-2</v>
      </c>
      <c r="AE898">
        <v>-1.3000000000147299E-3</v>
      </c>
      <c r="AF898">
        <v>-1.98585648861356E-3</v>
      </c>
      <c r="AG898">
        <v>-8.2084299999999999E-2</v>
      </c>
      <c r="AH898">
        <v>0.84981338197434697</v>
      </c>
      <c r="AI898">
        <v>95.517124540391194</v>
      </c>
      <c r="AJ898">
        <v>90.133889381859404</v>
      </c>
      <c r="AK898">
        <v>0.85377078897978298</v>
      </c>
      <c r="AL898">
        <v>71.199176564854298</v>
      </c>
      <c r="AM898">
        <v>92.581419223623897</v>
      </c>
      <c r="AN898">
        <v>0.99999999964844599</v>
      </c>
    </row>
    <row r="899" spans="1:40" x14ac:dyDescent="0.25">
      <c r="A899" t="str">
        <f>"20190304164837577"</f>
        <v>20190304164837577</v>
      </c>
      <c r="B899" t="str">
        <f>"1551689317567128"</f>
        <v>1551689317567128</v>
      </c>
      <c r="C899" t="s">
        <v>40</v>
      </c>
      <c r="D899">
        <v>4.4302169999999998</v>
      </c>
      <c r="E899">
        <v>0.53336930000000005</v>
      </c>
      <c r="F899" t="s">
        <v>43</v>
      </c>
      <c r="G899">
        <v>-284.47370000000001</v>
      </c>
      <c r="H899">
        <v>-0.05</v>
      </c>
      <c r="I899">
        <v>367.68169999999998</v>
      </c>
      <c r="J899">
        <v>-298.13580000000002</v>
      </c>
      <c r="K899">
        <v>1.060694</v>
      </c>
      <c r="L899">
        <v>367.68959999999998</v>
      </c>
      <c r="M899">
        <v>0.99988790000000005</v>
      </c>
      <c r="N899">
        <v>-1.4486860000000001E-2</v>
      </c>
      <c r="O899">
        <v>-3.8015100000000001E-3</v>
      </c>
      <c r="P899">
        <v>0.95037380000000005</v>
      </c>
      <c r="Q899">
        <v>0.30866169999999998</v>
      </c>
      <c r="R899">
        <v>3.8960069999999999E-2</v>
      </c>
      <c r="S899">
        <v>3.2411500000000002</v>
      </c>
      <c r="T899">
        <v>-0.26037169999999998</v>
      </c>
      <c r="U899">
        <v>-1.9836430000000002E-3</v>
      </c>
      <c r="V899">
        <v>-4.2637899999999999E-2</v>
      </c>
      <c r="W899">
        <v>0.32238670000000003</v>
      </c>
      <c r="X899">
        <v>0.94564729999999997</v>
      </c>
      <c r="Y899">
        <v>-3.169608E-3</v>
      </c>
      <c r="Z899">
        <v>4.0000410000000001E-4</v>
      </c>
      <c r="AA899">
        <v>0.99999490000000002</v>
      </c>
      <c r="AB899">
        <v>34</v>
      </c>
      <c r="AC899">
        <v>13.662100000000001</v>
      </c>
      <c r="AD899">
        <v>-1.1106940000000001</v>
      </c>
      <c r="AE899">
        <v>-7.9000000000064505E-3</v>
      </c>
      <c r="AF899">
        <v>-4.3752939028338302E-2</v>
      </c>
      <c r="AG899">
        <v>-1.1106940000000001</v>
      </c>
      <c r="AH899">
        <v>13.572328054123499</v>
      </c>
      <c r="AI899">
        <v>94.678361484376495</v>
      </c>
      <c r="AJ899">
        <v>90.184703026170794</v>
      </c>
      <c r="AK899">
        <v>13.6177694315206</v>
      </c>
      <c r="AL899">
        <v>71.192675959026204</v>
      </c>
      <c r="AM899">
        <v>92.581637180179101</v>
      </c>
      <c r="AN899">
        <v>0.99999999542529405</v>
      </c>
    </row>
    <row r="900" spans="1:40" x14ac:dyDescent="0.25">
      <c r="A900" t="str">
        <f>"20190304164837588"</f>
        <v>20190304164837588</v>
      </c>
      <c r="B900" t="str">
        <f>"1551689317576888"</f>
        <v>1551689317576888</v>
      </c>
      <c r="C900" t="s">
        <v>40</v>
      </c>
      <c r="D900">
        <v>4.4318809999999997</v>
      </c>
      <c r="E900">
        <v>0.5329682</v>
      </c>
      <c r="F900" t="s">
        <v>41</v>
      </c>
      <c r="G900">
        <v>-297.13839999999999</v>
      </c>
      <c r="H900">
        <v>0.98094429999999999</v>
      </c>
      <c r="I900">
        <v>367.68970000000002</v>
      </c>
      <c r="J900">
        <v>-297.95830000000001</v>
      </c>
      <c r="K900">
        <v>1.0606949999999999</v>
      </c>
      <c r="L900">
        <v>367.68900000000002</v>
      </c>
      <c r="M900">
        <v>0.99988790000000005</v>
      </c>
      <c r="N900">
        <v>-1.4491560000000001E-2</v>
      </c>
      <c r="O900">
        <v>-3.7465939999999998E-3</v>
      </c>
      <c r="P900">
        <v>0.95023270000000004</v>
      </c>
      <c r="Q900">
        <v>0.30907430000000002</v>
      </c>
      <c r="R900">
        <v>3.9127469999999998E-2</v>
      </c>
      <c r="S900">
        <v>3.240875</v>
      </c>
      <c r="T900">
        <v>-0.25933579999999901</v>
      </c>
      <c r="U900">
        <v>8.8500979999999905E-4</v>
      </c>
      <c r="V900">
        <v>-4.2752369999999998E-2</v>
      </c>
      <c r="W900">
        <v>0.32280150000000002</v>
      </c>
      <c r="X900">
        <v>0.94550060000000002</v>
      </c>
      <c r="Y900">
        <v>-3.9969339999999997E-3</v>
      </c>
      <c r="Z900">
        <v>4.3377839999999998E-4</v>
      </c>
      <c r="AA900">
        <v>0.99999190000000004</v>
      </c>
      <c r="AB900">
        <v>34</v>
      </c>
      <c r="AC900">
        <v>0.81990000000001795</v>
      </c>
      <c r="AD900">
        <v>-7.9750699999999994E-2</v>
      </c>
      <c r="AE900">
        <v>6.9999999999481501E-4</v>
      </c>
      <c r="AF900">
        <v>-3.7367957029234701E-3</v>
      </c>
      <c r="AG900">
        <v>-7.9750699999999994E-2</v>
      </c>
      <c r="AH900">
        <v>0.81220715479578898</v>
      </c>
      <c r="AI900">
        <v>95.6078428480225</v>
      </c>
      <c r="AJ900">
        <v>90.263604070437296</v>
      </c>
      <c r="AK900">
        <v>0.81612168216148195</v>
      </c>
      <c r="AL900">
        <v>71.167566975223096</v>
      </c>
      <c r="AM900">
        <v>92.588959772228193</v>
      </c>
      <c r="AN900">
        <v>0.99999997907161298</v>
      </c>
    </row>
    <row r="901" spans="1:40" x14ac:dyDescent="0.25">
      <c r="A901" t="str">
        <f>"20190304164837602"</f>
        <v>20190304164837602</v>
      </c>
      <c r="B901" t="str">
        <f>"1551689317597384"</f>
        <v>1551689317597384</v>
      </c>
      <c r="C901" t="s">
        <v>40</v>
      </c>
      <c r="D901">
        <v>4.4418449999999998</v>
      </c>
      <c r="E901">
        <v>0.53224300000000002</v>
      </c>
      <c r="F901" t="s">
        <v>43</v>
      </c>
      <c r="G901">
        <v>-283.96089999999998</v>
      </c>
      <c r="H901">
        <v>-0.05</v>
      </c>
      <c r="I901">
        <v>367.7045</v>
      </c>
      <c r="J901">
        <v>-297.78089999999997</v>
      </c>
      <c r="K901">
        <v>1.0606979999999999</v>
      </c>
      <c r="L901">
        <v>367.68830000000003</v>
      </c>
      <c r="M901">
        <v>0.9998882</v>
      </c>
      <c r="N901">
        <v>-1.4495890000000001E-2</v>
      </c>
      <c r="O901">
        <v>-3.6934720000000002E-3</v>
      </c>
      <c r="P901">
        <v>0.95019229999999999</v>
      </c>
      <c r="Q901">
        <v>0.30920140000000002</v>
      </c>
      <c r="R901">
        <v>3.910574E-2</v>
      </c>
      <c r="S901">
        <v>3.24057</v>
      </c>
      <c r="T901">
        <v>-0.25713970000000003</v>
      </c>
      <c r="U901">
        <v>3.6010740000000001E-3</v>
      </c>
      <c r="V901">
        <v>-4.2679580000000002E-2</v>
      </c>
      <c r="W901">
        <v>0.322932</v>
      </c>
      <c r="X901">
        <v>0.94545939999999995</v>
      </c>
      <c r="Y901">
        <v>-4.779564E-3</v>
      </c>
      <c r="Z901">
        <v>4.6318299999999999E-4</v>
      </c>
      <c r="AA901">
        <v>0.99998849999999995</v>
      </c>
      <c r="AB901">
        <v>34</v>
      </c>
      <c r="AC901">
        <v>13.819999999999901</v>
      </c>
      <c r="AD901">
        <v>-1.110698</v>
      </c>
      <c r="AE901">
        <v>1.6199999999969301E-2</v>
      </c>
      <c r="AF901">
        <v>-6.6817447730624799E-2</v>
      </c>
      <c r="AG901">
        <v>-1.110698</v>
      </c>
      <c r="AH901">
        <v>13.731154304619301</v>
      </c>
      <c r="AI901">
        <v>94.624469630130804</v>
      </c>
      <c r="AJ901">
        <v>90.278805951117505</v>
      </c>
      <c r="AK901">
        <v>13.776164675111501</v>
      </c>
      <c r="AL901">
        <v>71.159668164981198</v>
      </c>
      <c r="AM901">
        <v>92.584670276561994</v>
      </c>
      <c r="AN901">
        <v>1.0000000501106601</v>
      </c>
    </row>
    <row r="902" spans="1:40" x14ac:dyDescent="0.25">
      <c r="A902" t="str">
        <f>"20190304164837614"</f>
        <v>20190304164837614</v>
      </c>
      <c r="B902" t="str">
        <f>"1551689317607143"</f>
        <v>1551689317607143</v>
      </c>
      <c r="C902" t="s">
        <v>40</v>
      </c>
      <c r="D902">
        <v>4.4384810000000003</v>
      </c>
      <c r="E902">
        <v>0.5319064</v>
      </c>
      <c r="F902" t="s">
        <v>41</v>
      </c>
      <c r="G902">
        <v>-296.83229999999998</v>
      </c>
      <c r="H902">
        <v>0.98589709999999997</v>
      </c>
      <c r="I902">
        <v>367.69069999999999</v>
      </c>
      <c r="J902">
        <v>-297.56900000000002</v>
      </c>
      <c r="K902">
        <v>1.060697</v>
      </c>
      <c r="L902">
        <v>367.68770000000001</v>
      </c>
      <c r="M902">
        <v>0.99988829999999995</v>
      </c>
      <c r="N902">
        <v>-1.4500549999999999E-2</v>
      </c>
      <c r="O902">
        <v>-3.6320240000000002E-3</v>
      </c>
      <c r="P902">
        <v>0.95014940000000003</v>
      </c>
      <c r="Q902">
        <v>0.30933149999999998</v>
      </c>
      <c r="R902">
        <v>3.9120849999999999E-2</v>
      </c>
      <c r="S902">
        <v>3.2400820000000001</v>
      </c>
      <c r="T902">
        <v>-0.2557142</v>
      </c>
      <c r="U902">
        <v>9.0637210000000003E-3</v>
      </c>
      <c r="V902">
        <v>-4.2635140000000002E-2</v>
      </c>
      <c r="W902">
        <v>0.32306600000000002</v>
      </c>
      <c r="X902">
        <v>0.94541560000000002</v>
      </c>
      <c r="Y902">
        <v>-6.3986479999999998E-3</v>
      </c>
      <c r="Z902">
        <v>5.3218389999999996E-4</v>
      </c>
      <c r="AA902">
        <v>0.99997939999999996</v>
      </c>
      <c r="AB902">
        <v>34</v>
      </c>
      <c r="AC902">
        <v>0.73670000000004099</v>
      </c>
      <c r="AD902">
        <v>-7.4799900000000002E-2</v>
      </c>
      <c r="AE902">
        <v>2.9999999999858998E-3</v>
      </c>
      <c r="AF902">
        <v>-5.6180573979662E-3</v>
      </c>
      <c r="AG902">
        <v>-7.4799900000000002E-2</v>
      </c>
      <c r="AH902">
        <v>0.72916730955810305</v>
      </c>
      <c r="AI902">
        <v>95.856891420487599</v>
      </c>
      <c r="AJ902">
        <v>90.4414413598507</v>
      </c>
      <c r="AK902">
        <v>0.73301538383388598</v>
      </c>
      <c r="AL902">
        <v>71.151555227817894</v>
      </c>
      <c r="AM902">
        <v>92.582102097807194</v>
      </c>
      <c r="AN902">
        <v>1.00000002612108</v>
      </c>
    </row>
    <row r="903" spans="1:40" x14ac:dyDescent="0.25">
      <c r="A903" t="str">
        <f>"20190304164837627"</f>
        <v>20190304164837627</v>
      </c>
      <c r="B903" t="str">
        <f>"1551689317616904"</f>
        <v>1551689317616904</v>
      </c>
      <c r="C903" t="s">
        <v>40</v>
      </c>
      <c r="D903">
        <v>4.4646049999999997</v>
      </c>
      <c r="E903">
        <v>0.53158309999999998</v>
      </c>
      <c r="F903" t="s">
        <v>43</v>
      </c>
      <c r="G903">
        <v>-283.44709999999998</v>
      </c>
      <c r="H903">
        <v>-0.05</v>
      </c>
      <c r="I903">
        <v>367.7398</v>
      </c>
      <c r="J903">
        <v>-297.39359999999999</v>
      </c>
      <c r="K903">
        <v>1.060694</v>
      </c>
      <c r="L903">
        <v>367.68700000000001</v>
      </c>
      <c r="M903">
        <v>0.99988840000000001</v>
      </c>
      <c r="N903">
        <v>-1.450367E-2</v>
      </c>
      <c r="O903">
        <v>-3.5866959999999999E-3</v>
      </c>
      <c r="P903">
        <v>0.9501811</v>
      </c>
      <c r="Q903">
        <v>0.30923349999999999</v>
      </c>
      <c r="R903">
        <v>3.9123190000000002E-2</v>
      </c>
      <c r="S903">
        <v>3.2398989999999999</v>
      </c>
      <c r="T903">
        <v>-0.25482050000000001</v>
      </c>
      <c r="U903">
        <v>1.196289E-2</v>
      </c>
      <c r="V903">
        <v>-4.2591039999999997E-2</v>
      </c>
      <c r="W903">
        <v>0.322972599999999</v>
      </c>
      <c r="X903">
        <v>0.94544950000000005</v>
      </c>
      <c r="Y903">
        <v>-7.2454829999999996E-3</v>
      </c>
      <c r="Z903">
        <v>5.6683619999999999E-4</v>
      </c>
      <c r="AA903">
        <v>0.99997360000000002</v>
      </c>
      <c r="AB903">
        <v>34</v>
      </c>
      <c r="AC903">
        <v>13.9465</v>
      </c>
      <c r="AD903">
        <v>-1.1106940000000001</v>
      </c>
      <c r="AE903">
        <v>5.2800000000047399E-2</v>
      </c>
      <c r="AF903">
        <v>-0.10217872114237</v>
      </c>
      <c r="AG903">
        <v>-1.1106940000000001</v>
      </c>
      <c r="AH903">
        <v>13.858326125431001</v>
      </c>
      <c r="AI903">
        <v>94.582128008217595</v>
      </c>
      <c r="AJ903">
        <v>90.422439430361806</v>
      </c>
      <c r="AK903">
        <v>13.9031393811432</v>
      </c>
      <c r="AL903">
        <v>71.157209798661597</v>
      </c>
      <c r="AM903">
        <v>92.579342525679706</v>
      </c>
      <c r="AN903">
        <v>1.0000000270446401</v>
      </c>
    </row>
    <row r="904" spans="1:40" x14ac:dyDescent="0.25">
      <c r="A904" t="str">
        <f>"20190304164837645"</f>
        <v>20190304164837645</v>
      </c>
      <c r="B904" t="str">
        <f>"1551689317636971"</f>
        <v>1551689317636971</v>
      </c>
      <c r="C904" t="s">
        <v>40</v>
      </c>
      <c r="D904">
        <v>4.4235129999999998</v>
      </c>
      <c r="E904">
        <v>0.53098840000000003</v>
      </c>
      <c r="F904" t="s">
        <v>43</v>
      </c>
      <c r="G904">
        <v>-283.28199999999998</v>
      </c>
      <c r="H904">
        <v>-0.05</v>
      </c>
      <c r="I904">
        <v>367.75029999999998</v>
      </c>
      <c r="J904">
        <v>-297.10719999999998</v>
      </c>
      <c r="K904">
        <v>1.060689</v>
      </c>
      <c r="L904">
        <v>367.68610000000001</v>
      </c>
      <c r="M904">
        <v>0.99988860000000002</v>
      </c>
      <c r="N904">
        <v>-1.4508180000000001E-2</v>
      </c>
      <c r="O904">
        <v>-3.5212049999999999E-3</v>
      </c>
      <c r="P904">
        <v>0.95010159999999999</v>
      </c>
      <c r="Q904">
        <v>0.30943850000000001</v>
      </c>
      <c r="R904">
        <v>3.943137E-2</v>
      </c>
      <c r="S904">
        <v>3.239716</v>
      </c>
      <c r="T904">
        <v>-0.2549903</v>
      </c>
      <c r="U904">
        <v>1.452637E-2</v>
      </c>
      <c r="V904">
        <v>-4.282992E-2</v>
      </c>
      <c r="W904">
        <v>0.323181</v>
      </c>
      <c r="X904">
        <v>0.94536750000000003</v>
      </c>
      <c r="Y904">
        <v>-7.9688620000000002E-3</v>
      </c>
      <c r="Z904">
        <v>5.9672739999999897E-4</v>
      </c>
      <c r="AA904">
        <v>0.99996810000000003</v>
      </c>
      <c r="AB904">
        <v>34</v>
      </c>
      <c r="AC904">
        <v>13.825199999999899</v>
      </c>
      <c r="AD904">
        <v>-1.110689</v>
      </c>
      <c r="AE904">
        <v>6.41999999999711E-2</v>
      </c>
      <c r="AF904">
        <v>-0.112162186056559</v>
      </c>
      <c r="AG904">
        <v>-1.110689</v>
      </c>
      <c r="AH904">
        <v>13.736233765698399</v>
      </c>
      <c r="AI904">
        <v>94.622630743985297</v>
      </c>
      <c r="AJ904">
        <v>90.467833990884003</v>
      </c>
      <c r="AK904">
        <v>13.7815212685906</v>
      </c>
      <c r="AL904">
        <v>71.144592904516202</v>
      </c>
      <c r="AM904">
        <v>92.594014234487304</v>
      </c>
      <c r="AN904">
        <v>1.00000003543222</v>
      </c>
    </row>
    <row r="905" spans="1:40" x14ac:dyDescent="0.25">
      <c r="A905" t="str">
        <f>"20190304164837656"</f>
        <v>20190304164837656</v>
      </c>
      <c r="B905" t="str">
        <f>"1551689317647704"</f>
        <v>1551689317647704</v>
      </c>
      <c r="C905" t="s">
        <v>40</v>
      </c>
      <c r="D905">
        <v>4.4432179999999999</v>
      </c>
      <c r="E905">
        <v>0.53071480000000004</v>
      </c>
      <c r="F905" t="s">
        <v>43</v>
      </c>
      <c r="G905">
        <v>-282.93939999999998</v>
      </c>
      <c r="H905">
        <v>-0.05</v>
      </c>
      <c r="I905">
        <v>367.77379999999999</v>
      </c>
      <c r="J905">
        <v>-296.94690000000003</v>
      </c>
      <c r="K905">
        <v>1.060684</v>
      </c>
      <c r="L905">
        <v>367.68560000000002</v>
      </c>
      <c r="M905">
        <v>0.99988869999999996</v>
      </c>
      <c r="N905">
        <v>-1.451039E-2</v>
      </c>
      <c r="O905">
        <v>-3.4893889999999999E-3</v>
      </c>
      <c r="P905">
        <v>0.95008199999999998</v>
      </c>
      <c r="Q905">
        <v>0.30948249999999999</v>
      </c>
      <c r="R905">
        <v>3.956113E-2</v>
      </c>
      <c r="S905">
        <v>3.2394409999999998</v>
      </c>
      <c r="T905">
        <v>-0.25395679999999998</v>
      </c>
      <c r="U905">
        <v>2.005005E-2</v>
      </c>
      <c r="V905">
        <v>-4.2923860000000001E-2</v>
      </c>
      <c r="W905">
        <v>0.3232276</v>
      </c>
      <c r="X905">
        <v>0.9453473</v>
      </c>
      <c r="Y905">
        <v>-9.6367220000000003E-3</v>
      </c>
      <c r="Z905">
        <v>6.6976100000000005E-4</v>
      </c>
      <c r="AA905">
        <v>0.99995330000000004</v>
      </c>
      <c r="AB905">
        <v>34</v>
      </c>
      <c r="AC905">
        <v>14.0075</v>
      </c>
      <c r="AD905">
        <v>-1.110684</v>
      </c>
      <c r="AE905">
        <v>8.8199999999971995E-2</v>
      </c>
      <c r="AF905">
        <v>-0.13622577273386099</v>
      </c>
      <c r="AG905">
        <v>-1.110684</v>
      </c>
      <c r="AH905">
        <v>13.9195946008343</v>
      </c>
      <c r="AI905">
        <v>94.561909677468705</v>
      </c>
      <c r="AJ905">
        <v>90.560714078916405</v>
      </c>
      <c r="AK905">
        <v>13.9645010745314</v>
      </c>
      <c r="AL905">
        <v>71.141771356120898</v>
      </c>
      <c r="AM905">
        <v>92.599751431269297</v>
      </c>
      <c r="AN905">
        <v>1.00000002838817</v>
      </c>
    </row>
    <row r="906" spans="1:40" x14ac:dyDescent="0.25">
      <c r="A906" t="str">
        <f>"20190304164837667"</f>
        <v>20190304164837667</v>
      </c>
      <c r="B906" t="str">
        <f>"1551689317657464"</f>
        <v>1551689317657464</v>
      </c>
      <c r="C906" t="s">
        <v>40</v>
      </c>
      <c r="D906">
        <v>4.4365569999999996</v>
      </c>
      <c r="E906">
        <v>0.53047449999999996</v>
      </c>
      <c r="F906" t="s">
        <v>41</v>
      </c>
      <c r="G906">
        <v>-295.93259999999998</v>
      </c>
      <c r="H906">
        <v>0.98132600000000003</v>
      </c>
      <c r="I906">
        <v>367.69240000000002</v>
      </c>
      <c r="J906">
        <v>-296.77960000000002</v>
      </c>
      <c r="K906">
        <v>1.060675</v>
      </c>
      <c r="L906">
        <v>367.685</v>
      </c>
      <c r="M906">
        <v>0.99988880000000002</v>
      </c>
      <c r="N906">
        <v>-1.451218E-2</v>
      </c>
      <c r="O906">
        <v>-3.463809E-3</v>
      </c>
      <c r="P906">
        <v>0.95007620000000004</v>
      </c>
      <c r="Q906">
        <v>0.30941540000000001</v>
      </c>
      <c r="R906">
        <v>4.0221020000000003E-2</v>
      </c>
      <c r="S906">
        <v>3.2392880000000002</v>
      </c>
      <c r="T906">
        <v>-0.25358890000000001</v>
      </c>
      <c r="U906">
        <v>2.23999E-2</v>
      </c>
      <c r="V906">
        <v>-4.3552800000000003E-2</v>
      </c>
      <c r="W906">
        <v>0.32316299999999998</v>
      </c>
      <c r="X906">
        <v>0.94534059999999998</v>
      </c>
      <c r="Y906">
        <v>-1.033442E-2</v>
      </c>
      <c r="Z906">
        <v>6.9956420000000003E-4</v>
      </c>
      <c r="AA906">
        <v>0.99994640000000001</v>
      </c>
      <c r="AB906">
        <v>34</v>
      </c>
      <c r="AC906">
        <v>0.84700000000003595</v>
      </c>
      <c r="AD906">
        <v>-7.9349000000000003E-2</v>
      </c>
      <c r="AE906">
        <v>7.40000000001828E-3</v>
      </c>
      <c r="AF906">
        <v>-1.02442101364063E-2</v>
      </c>
      <c r="AG906">
        <v>-7.9349000000000003E-2</v>
      </c>
      <c r="AH906">
        <v>0.83960117486997898</v>
      </c>
      <c r="AI906">
        <v>95.398472485800895</v>
      </c>
      <c r="AJ906">
        <v>90.699047236671603</v>
      </c>
      <c r="AK906">
        <v>0.84340461255874599</v>
      </c>
      <c r="AL906">
        <v>71.145682218886705</v>
      </c>
      <c r="AM906">
        <v>92.637809430324594</v>
      </c>
      <c r="AN906">
        <v>1.0000000104825999</v>
      </c>
    </row>
    <row r="907" spans="1:40" x14ac:dyDescent="0.25">
      <c r="A907" t="str">
        <f>"20190304164837678"</f>
        <v>20190304164837678</v>
      </c>
      <c r="B907" t="str">
        <f>"1551689317667224"</f>
        <v>1551689317667224</v>
      </c>
      <c r="C907" t="s">
        <v>40</v>
      </c>
      <c r="D907">
        <v>4.449986</v>
      </c>
      <c r="E907">
        <v>0.53018030000000005</v>
      </c>
      <c r="F907" t="s">
        <v>43</v>
      </c>
      <c r="G907">
        <v>-282.6046</v>
      </c>
      <c r="H907">
        <v>-0.05</v>
      </c>
      <c r="I907">
        <v>367.8005</v>
      </c>
      <c r="J907">
        <v>-296.61579999999998</v>
      </c>
      <c r="K907">
        <v>1.0606679999999999</v>
      </c>
      <c r="L907">
        <v>367.68450000000001</v>
      </c>
      <c r="M907">
        <v>0.99988880000000002</v>
      </c>
      <c r="N907">
        <v>-1.451379E-2</v>
      </c>
      <c r="O907">
        <v>-3.440846E-3</v>
      </c>
      <c r="P907">
        <v>0.95007580000000003</v>
      </c>
      <c r="Q907">
        <v>0.30937989999999999</v>
      </c>
      <c r="R907">
        <v>4.0501889999999999E-2</v>
      </c>
      <c r="S907">
        <v>3.2391969999999999</v>
      </c>
      <c r="T907">
        <v>-0.2538049</v>
      </c>
      <c r="U907">
        <v>2.6397710000000001E-2</v>
      </c>
      <c r="V907">
        <v>-4.380531E-2</v>
      </c>
      <c r="W907">
        <v>0.32312970000000002</v>
      </c>
      <c r="X907">
        <v>0.94534030000000002</v>
      </c>
      <c r="Y907">
        <v>-1.1541289999999999E-2</v>
      </c>
      <c r="Z907">
        <v>7.5467660000000001E-4</v>
      </c>
      <c r="AA907">
        <v>0.99993310000000002</v>
      </c>
      <c r="AB907">
        <v>34</v>
      </c>
      <c r="AC907">
        <v>14.011199999999899</v>
      </c>
      <c r="AD907">
        <v>-1.110668</v>
      </c>
      <c r="AE907">
        <v>0.115999999999985</v>
      </c>
      <c r="AF907">
        <v>-0.16318940209090399</v>
      </c>
      <c r="AG907">
        <v>-1.110668</v>
      </c>
      <c r="AH907">
        <v>13.9232339453722</v>
      </c>
      <c r="AI907">
        <v>94.560562424818201</v>
      </c>
      <c r="AJ907">
        <v>90.671513236221799</v>
      </c>
      <c r="AK907">
        <v>13.968416434397399</v>
      </c>
      <c r="AL907">
        <v>71.147698041948601</v>
      </c>
      <c r="AM907">
        <v>92.653081948100194</v>
      </c>
      <c r="AN907">
        <v>0.99999999550518803</v>
      </c>
    </row>
    <row r="908" spans="1:40" x14ac:dyDescent="0.25">
      <c r="A908" t="str">
        <f>"20190304164837689"</f>
        <v>20190304164837689</v>
      </c>
      <c r="B908" t="str">
        <f>"1551689317676984"</f>
        <v>1551689317676984</v>
      </c>
      <c r="C908" t="s">
        <v>40</v>
      </c>
      <c r="D908">
        <v>4.4123159999999997</v>
      </c>
      <c r="E908">
        <v>0.5299104</v>
      </c>
      <c r="F908" t="s">
        <v>41</v>
      </c>
      <c r="G908">
        <v>-295.63029999999998</v>
      </c>
      <c r="H908">
        <v>0.98353279999999998</v>
      </c>
      <c r="I908">
        <v>367.69330000000002</v>
      </c>
      <c r="J908">
        <v>-296.44819999999999</v>
      </c>
      <c r="K908">
        <v>1.0606580000000001</v>
      </c>
      <c r="L908">
        <v>367.68389999999999</v>
      </c>
      <c r="M908">
        <v>0.99988880000000002</v>
      </c>
      <c r="N908">
        <v>-1.451506E-2</v>
      </c>
      <c r="O908">
        <v>-3.423368E-3</v>
      </c>
      <c r="P908">
        <v>0.95013080000000005</v>
      </c>
      <c r="Q908">
        <v>0.30914340000000001</v>
      </c>
      <c r="R908">
        <v>4.1009410000000003E-2</v>
      </c>
      <c r="S908">
        <v>3.2389830000000002</v>
      </c>
      <c r="T908">
        <v>-0.25364720000000002</v>
      </c>
      <c r="U908">
        <v>2.9479979999999999E-2</v>
      </c>
      <c r="V908">
        <v>-4.4288649999999999E-2</v>
      </c>
      <c r="W908">
        <v>0.32289630000000002</v>
      </c>
      <c r="X908">
        <v>0.94539759999999995</v>
      </c>
      <c r="Y908">
        <v>-1.2472530000000001E-2</v>
      </c>
      <c r="Z908">
        <v>7.9634270000000004E-4</v>
      </c>
      <c r="AA908">
        <v>0.99992190000000003</v>
      </c>
      <c r="AB908">
        <v>34</v>
      </c>
      <c r="AC908">
        <v>0.81790000000000795</v>
      </c>
      <c r="AD908">
        <v>-7.7125199999999894E-2</v>
      </c>
      <c r="AE908">
        <v>9.4000000000278305E-3</v>
      </c>
      <c r="AF908">
        <v>-1.2092700281637499E-2</v>
      </c>
      <c r="AG908">
        <v>-7.7125199999999894E-2</v>
      </c>
      <c r="AH908">
        <v>0.81065574491599801</v>
      </c>
      <c r="AI908">
        <v>95.434119947786499</v>
      </c>
      <c r="AJ908">
        <v>90.854628253644094</v>
      </c>
      <c r="AK908">
        <v>0.81440608214848997</v>
      </c>
      <c r="AL908">
        <v>71.161829668893702</v>
      </c>
      <c r="AM908">
        <v>92.682150725999506</v>
      </c>
      <c r="AN908">
        <v>1.00000006357913</v>
      </c>
    </row>
    <row r="909" spans="1:40" x14ac:dyDescent="0.25">
      <c r="A909" t="str">
        <f>"20190304164837700"</f>
        <v>20190304164837700</v>
      </c>
      <c r="B909" t="str">
        <f>"1551689317697480"</f>
        <v>1551689317697480</v>
      </c>
      <c r="C909" t="s">
        <v>40</v>
      </c>
      <c r="D909">
        <v>4.4363239999999999</v>
      </c>
      <c r="E909">
        <v>0.52947529999999998</v>
      </c>
      <c r="F909" t="s">
        <v>43</v>
      </c>
      <c r="G909">
        <v>-282.29910000000001</v>
      </c>
      <c r="H909">
        <v>-0.05</v>
      </c>
      <c r="I909">
        <v>367.82839999999999</v>
      </c>
      <c r="J909">
        <v>-296.28320000000002</v>
      </c>
      <c r="K909">
        <v>1.0606500000000001</v>
      </c>
      <c r="L909">
        <v>367.68329999999997</v>
      </c>
      <c r="M909">
        <v>0.99988889999999997</v>
      </c>
      <c r="N909">
        <v>-1.451616E-2</v>
      </c>
      <c r="O909">
        <v>-3.4092129999999999E-3</v>
      </c>
      <c r="P909">
        <v>0.95016330000000004</v>
      </c>
      <c r="Q909">
        <v>0.3089578</v>
      </c>
      <c r="R909">
        <v>4.1653179999999998E-2</v>
      </c>
      <c r="S909">
        <v>3.2387700000000001</v>
      </c>
      <c r="T909">
        <v>-0.25423309999999999</v>
      </c>
      <c r="U909">
        <v>3.3081050000000001E-2</v>
      </c>
      <c r="V909">
        <v>-4.4913260000000003E-2</v>
      </c>
      <c r="W909">
        <v>0.32271309999999997</v>
      </c>
      <c r="X909">
        <v>0.94543060000000001</v>
      </c>
      <c r="Y909">
        <v>-1.3566450000000001E-2</v>
      </c>
      <c r="Z909">
        <v>8.4805079999999999E-4</v>
      </c>
      <c r="AA909">
        <v>0.99990760000000001</v>
      </c>
      <c r="AB909">
        <v>34</v>
      </c>
      <c r="AC909">
        <v>13.9841</v>
      </c>
      <c r="AD909">
        <v>-1.1106499999999999</v>
      </c>
      <c r="AE909">
        <v>0.145100000000013</v>
      </c>
      <c r="AF909">
        <v>-0.19157067198938901</v>
      </c>
      <c r="AG909">
        <v>-1.1106499999999999</v>
      </c>
      <c r="AH909">
        <v>13.8958794837338</v>
      </c>
      <c r="AI909">
        <v>94.569308468812494</v>
      </c>
      <c r="AJ909">
        <v>90.789838146260607</v>
      </c>
      <c r="AK909">
        <v>13.941510297357301</v>
      </c>
      <c r="AL909">
        <v>71.172918386050597</v>
      </c>
      <c r="AM909">
        <v>92.719826326206601</v>
      </c>
      <c r="AN909">
        <v>0.99999998262589795</v>
      </c>
    </row>
    <row r="910" spans="1:40" x14ac:dyDescent="0.25">
      <c r="A910" t="str">
        <f>"20190304164837711"</f>
        <v>20190304164837711</v>
      </c>
      <c r="B910" t="str">
        <f>"1551689317707243"</f>
        <v>1551689317707243</v>
      </c>
      <c r="C910" t="s">
        <v>40</v>
      </c>
      <c r="D910">
        <v>4.4111719999999996</v>
      </c>
      <c r="E910">
        <v>0.52925040000000001</v>
      </c>
      <c r="F910" t="s">
        <v>43</v>
      </c>
      <c r="G910">
        <v>-282.16370000000001</v>
      </c>
      <c r="H910">
        <v>-0.05</v>
      </c>
      <c r="I910">
        <v>367.85379999999998</v>
      </c>
      <c r="J910">
        <v>-296.11430000000001</v>
      </c>
      <c r="K910">
        <v>1.06064</v>
      </c>
      <c r="L910">
        <v>367.68279999999999</v>
      </c>
      <c r="M910">
        <v>0.99988889999999997</v>
      </c>
      <c r="N910">
        <v>-1.451711E-2</v>
      </c>
      <c r="O910">
        <v>-3.39815E-3</v>
      </c>
      <c r="P910">
        <v>0.95013049999999999</v>
      </c>
      <c r="Q910">
        <v>0.30902669999999999</v>
      </c>
      <c r="R910">
        <v>4.1888139999999997E-2</v>
      </c>
      <c r="S910">
        <v>3.238464</v>
      </c>
      <c r="T910">
        <v>-0.25474059999999998</v>
      </c>
      <c r="U910">
        <v>3.9093019999999999E-2</v>
      </c>
      <c r="V910">
        <v>-4.5131669999999999E-2</v>
      </c>
      <c r="W910">
        <v>0.3227835</v>
      </c>
      <c r="X910">
        <v>0.94539620000000002</v>
      </c>
      <c r="Y910">
        <v>-1.540541E-2</v>
      </c>
      <c r="Z910">
        <v>9.3459140000000005E-4</v>
      </c>
      <c r="AA910">
        <v>0.99988089999999996</v>
      </c>
      <c r="AB910">
        <v>34</v>
      </c>
      <c r="AC910">
        <v>13.9506</v>
      </c>
      <c r="AD910">
        <v>-1.1106400000000001</v>
      </c>
      <c r="AE910">
        <v>0.17099999999999199</v>
      </c>
      <c r="AF910">
        <v>-0.21703484998022801</v>
      </c>
      <c r="AG910">
        <v>-1.1106400000000001</v>
      </c>
      <c r="AH910">
        <v>13.8620918094917</v>
      </c>
      <c r="AI910">
        <v>94.580231806588401</v>
      </c>
      <c r="AJ910">
        <v>90.896990522153999</v>
      </c>
      <c r="AK910">
        <v>13.908206738126999</v>
      </c>
      <c r="AL910">
        <v>71.168657335461106</v>
      </c>
      <c r="AM910">
        <v>92.733131939247102</v>
      </c>
      <c r="AN910">
        <v>1.00000001524183</v>
      </c>
    </row>
    <row r="911" spans="1:40" x14ac:dyDescent="0.25">
      <c r="A911" t="str">
        <f>"20190304164837723"</f>
        <v>20190304164837723</v>
      </c>
      <c r="B911" t="str">
        <f>"1551689317717000"</f>
        <v>1551689317717000</v>
      </c>
      <c r="C911" t="s">
        <v>40</v>
      </c>
      <c r="D911">
        <v>4.4489390000000002</v>
      </c>
      <c r="E911">
        <v>0.5290222</v>
      </c>
      <c r="F911" t="s">
        <v>43</v>
      </c>
      <c r="G911">
        <v>-281.97300000000001</v>
      </c>
      <c r="H911">
        <v>-0.05</v>
      </c>
      <c r="I911">
        <v>367.86689999999999</v>
      </c>
      <c r="J911">
        <v>-295.9357</v>
      </c>
      <c r="K911">
        <v>1.060635</v>
      </c>
      <c r="L911">
        <v>367.68220000000002</v>
      </c>
      <c r="M911">
        <v>0.99988900000000003</v>
      </c>
      <c r="N911">
        <v>-1.4517840000000001E-2</v>
      </c>
      <c r="O911">
        <v>-3.391116E-3</v>
      </c>
      <c r="P911">
        <v>0.95019699999999996</v>
      </c>
      <c r="Q911">
        <v>0.30877749999999998</v>
      </c>
      <c r="R911">
        <v>4.222149E-2</v>
      </c>
      <c r="S911">
        <v>3.2382810000000002</v>
      </c>
      <c r="T911">
        <v>-0.25433030000000001</v>
      </c>
      <c r="U911">
        <v>4.214478E-2</v>
      </c>
      <c r="V911">
        <v>-4.5453519999999997E-2</v>
      </c>
      <c r="W911">
        <v>0.32253609999999999</v>
      </c>
      <c r="X911">
        <v>0.94546520000000001</v>
      </c>
      <c r="Y911">
        <v>-1.633799E-2</v>
      </c>
      <c r="Z911">
        <v>9.7613569999999996E-4</v>
      </c>
      <c r="AA911">
        <v>0.99986609999999998</v>
      </c>
      <c r="AB911">
        <v>34</v>
      </c>
      <c r="AC911">
        <v>13.9626999999999</v>
      </c>
      <c r="AD911">
        <v>-1.110635</v>
      </c>
      <c r="AE911">
        <v>0.184699999999963</v>
      </c>
      <c r="AF911">
        <v>-0.23059432176431599</v>
      </c>
      <c r="AG911">
        <v>-1.110635</v>
      </c>
      <c r="AH911">
        <v>13.874225204209401</v>
      </c>
      <c r="AI911">
        <v>94.576151927683</v>
      </c>
      <c r="AJ911">
        <v>90.952187590628697</v>
      </c>
      <c r="AK911">
        <v>13.9205175500617</v>
      </c>
      <c r="AL911">
        <v>71.183633029286298</v>
      </c>
      <c r="AM911">
        <v>92.752392430041098</v>
      </c>
      <c r="AN911">
        <v>1.00000000134732</v>
      </c>
    </row>
    <row r="912" spans="1:40" x14ac:dyDescent="0.25">
      <c r="A912" t="str">
        <f>"20190304164837734"</f>
        <v>20190304164837734</v>
      </c>
      <c r="B912" t="str">
        <f>"1551689317727505"</f>
        <v>1551689317727505</v>
      </c>
      <c r="C912" t="s">
        <v>40</v>
      </c>
      <c r="D912">
        <v>4.4519590000000004</v>
      </c>
      <c r="E912">
        <v>0.5288195</v>
      </c>
      <c r="F912" t="s">
        <v>43</v>
      </c>
      <c r="G912">
        <v>-281.83449999999999</v>
      </c>
      <c r="H912">
        <v>-0.05</v>
      </c>
      <c r="I912">
        <v>367.87900000000002</v>
      </c>
      <c r="J912">
        <v>-295.77730000000003</v>
      </c>
      <c r="K912">
        <v>1.060632</v>
      </c>
      <c r="L912">
        <v>367.68169999999998</v>
      </c>
      <c r="M912">
        <v>0.99988900000000003</v>
      </c>
      <c r="N912">
        <v>-1.4518390000000001E-2</v>
      </c>
      <c r="O912">
        <v>-3.3860829999999998E-3</v>
      </c>
      <c r="P912">
        <v>0.95014509999999996</v>
      </c>
      <c r="Q912">
        <v>0.30888330000000003</v>
      </c>
      <c r="R912">
        <v>4.26092E-2</v>
      </c>
      <c r="S912">
        <v>3.2380979999999999</v>
      </c>
      <c r="T912">
        <v>-0.25503969999999998</v>
      </c>
      <c r="U912">
        <v>4.5196529999999999E-2</v>
      </c>
      <c r="V912">
        <v>-4.583226E-2</v>
      </c>
      <c r="W912">
        <v>0.3226427</v>
      </c>
      <c r="X912">
        <v>0.94541050000000004</v>
      </c>
      <c r="Y912">
        <v>-1.7272059999999999E-2</v>
      </c>
      <c r="Z912">
        <v>1.021905E-3</v>
      </c>
      <c r="AA912">
        <v>0.99985029999999997</v>
      </c>
      <c r="AB912">
        <v>34</v>
      </c>
      <c r="AC912">
        <v>13.9428</v>
      </c>
      <c r="AD912">
        <v>-1.1106320000000001</v>
      </c>
      <c r="AE912">
        <v>0.197300000000041</v>
      </c>
      <c r="AF912">
        <v>-0.242973925108734</v>
      </c>
      <c r="AG912">
        <v>-1.1106320000000001</v>
      </c>
      <c r="AH912">
        <v>13.8541630721021</v>
      </c>
      <c r="AI912">
        <v>94.582666598960799</v>
      </c>
      <c r="AJ912">
        <v>91.004748775979905</v>
      </c>
      <c r="AK912">
        <v>13.900732865432101</v>
      </c>
      <c r="AL912">
        <v>71.177179537952597</v>
      </c>
      <c r="AM912">
        <v>92.775451266714001</v>
      </c>
      <c r="AN912">
        <v>0.99999996071512298</v>
      </c>
    </row>
    <row r="913" spans="1:40" x14ac:dyDescent="0.25">
      <c r="A913" t="str">
        <f>"20190304164837746"</f>
        <v>20190304164837746</v>
      </c>
      <c r="B913" t="str">
        <f>"1551689317737265"</f>
        <v>1551689317737265</v>
      </c>
      <c r="C913" t="s">
        <v>40</v>
      </c>
      <c r="D913">
        <v>4.4398679999999997</v>
      </c>
      <c r="E913">
        <v>0.52861519999999995</v>
      </c>
      <c r="F913" t="s">
        <v>43</v>
      </c>
      <c r="G913">
        <v>-281.65109999999999</v>
      </c>
      <c r="H913">
        <v>-0.05</v>
      </c>
      <c r="I913">
        <v>367.8947</v>
      </c>
      <c r="J913">
        <v>-295.60390000000001</v>
      </c>
      <c r="K913">
        <v>1.0606329999999999</v>
      </c>
      <c r="L913">
        <v>367.68110000000001</v>
      </c>
      <c r="M913">
        <v>0.99988900000000003</v>
      </c>
      <c r="N913">
        <v>-1.4518680000000001E-2</v>
      </c>
      <c r="O913">
        <v>-3.384841E-3</v>
      </c>
      <c r="P913">
        <v>0.95008680000000001</v>
      </c>
      <c r="Q913">
        <v>0.3090618</v>
      </c>
      <c r="R913">
        <v>4.2614899999999997E-2</v>
      </c>
      <c r="S913">
        <v>3.2379760000000002</v>
      </c>
      <c r="T913">
        <v>-0.25457790000000002</v>
      </c>
      <c r="U913">
        <v>4.8828129999999997E-2</v>
      </c>
      <c r="V913">
        <v>-4.5833369999999998E-2</v>
      </c>
      <c r="W913">
        <v>0.32282050000000001</v>
      </c>
      <c r="X913">
        <v>0.94534980000000002</v>
      </c>
      <c r="Y913">
        <v>-1.8388649999999999E-2</v>
      </c>
      <c r="Z913">
        <v>1.072094E-3</v>
      </c>
      <c r="AA913">
        <v>0.99983040000000001</v>
      </c>
      <c r="AB913">
        <v>34</v>
      </c>
      <c r="AC913">
        <v>13.9528</v>
      </c>
      <c r="AD913">
        <v>-1.110633</v>
      </c>
      <c r="AE913">
        <v>0.213599999999985</v>
      </c>
      <c r="AF913">
        <v>-0.25918990317734703</v>
      </c>
      <c r="AG913">
        <v>-1.110633</v>
      </c>
      <c r="AH913">
        <v>13.8641734986081</v>
      </c>
      <c r="AI913">
        <v>94.5792803908179</v>
      </c>
      <c r="AJ913">
        <v>91.071016445577897</v>
      </c>
      <c r="AK913">
        <v>13.9110025471245</v>
      </c>
      <c r="AL913">
        <v>71.166417356657803</v>
      </c>
      <c r="AM913">
        <v>92.775696314231496</v>
      </c>
      <c r="AN913">
        <v>1.0000000086929199</v>
      </c>
    </row>
    <row r="914" spans="1:40" x14ac:dyDescent="0.25">
      <c r="A914" t="str">
        <f>"20190304164837759"</f>
        <v>20190304164837759</v>
      </c>
      <c r="B914" t="str">
        <f>"1551689317747026"</f>
        <v>1551689317747026</v>
      </c>
      <c r="C914" t="s">
        <v>40</v>
      </c>
      <c r="D914">
        <v>4.4493519999999904</v>
      </c>
      <c r="E914">
        <v>0.52841470000000001</v>
      </c>
      <c r="F914" t="s">
        <v>43</v>
      </c>
      <c r="G914">
        <v>-281.41879999999998</v>
      </c>
      <c r="H914">
        <v>-0.05</v>
      </c>
      <c r="I914">
        <v>367.90309999999999</v>
      </c>
      <c r="J914">
        <v>-295.41340000000002</v>
      </c>
      <c r="K914">
        <v>1.0606310000000001</v>
      </c>
      <c r="L914">
        <v>367.68049999999999</v>
      </c>
      <c r="M914">
        <v>0.99988880000000002</v>
      </c>
      <c r="N914">
        <v>-1.451888E-2</v>
      </c>
      <c r="O914">
        <v>-3.3843089999999998E-3</v>
      </c>
      <c r="P914">
        <v>0.95007189999999997</v>
      </c>
      <c r="Q914">
        <v>0.30909009999999998</v>
      </c>
      <c r="R914">
        <v>4.27429E-2</v>
      </c>
      <c r="S914">
        <v>3.2377929999999999</v>
      </c>
      <c r="T914">
        <v>-0.25350669999999997</v>
      </c>
      <c r="U914">
        <v>5.0659179999999998E-2</v>
      </c>
      <c r="V914">
        <v>-4.5958220000000001E-2</v>
      </c>
      <c r="W914">
        <v>0.32284940000000001</v>
      </c>
      <c r="X914">
        <v>0.94533389999999995</v>
      </c>
      <c r="Y914">
        <v>-1.895281E-2</v>
      </c>
      <c r="Z914">
        <v>1.094123E-3</v>
      </c>
      <c r="AA914">
        <v>0.99981980000000004</v>
      </c>
      <c r="AB914">
        <v>33</v>
      </c>
      <c r="AC914">
        <v>13.9946</v>
      </c>
      <c r="AD914">
        <v>-1.1106309999999999</v>
      </c>
      <c r="AE914">
        <v>0.22259999999999899</v>
      </c>
      <c r="AF914">
        <v>-0.268276531355016</v>
      </c>
      <c r="AG914">
        <v>-1.1106309999999999</v>
      </c>
      <c r="AH914">
        <v>13.906204076793699</v>
      </c>
      <c r="AI914">
        <v>94.565438709463805</v>
      </c>
      <c r="AJ914">
        <v>91.105205015758997</v>
      </c>
      <c r="AK914">
        <v>13.9530636542972</v>
      </c>
      <c r="AL914">
        <v>71.164668399215401</v>
      </c>
      <c r="AM914">
        <v>92.783292171249002</v>
      </c>
      <c r="AN914">
        <v>1.00000003777756</v>
      </c>
    </row>
    <row r="915" spans="1:40" x14ac:dyDescent="0.25">
      <c r="A915" t="str">
        <f>"20190304164837771"</f>
        <v>20190304164837771</v>
      </c>
      <c r="B915" t="str">
        <f>"1551689317767522"</f>
        <v>1551689317767522</v>
      </c>
      <c r="C915" t="s">
        <v>40</v>
      </c>
      <c r="D915">
        <v>4.4448809999999996</v>
      </c>
      <c r="E915">
        <v>0.52812590000000004</v>
      </c>
      <c r="F915" t="s">
        <v>43</v>
      </c>
      <c r="G915">
        <v>-281.20530000000002</v>
      </c>
      <c r="H915">
        <v>-0.05</v>
      </c>
      <c r="I915">
        <v>367.91199999999998</v>
      </c>
      <c r="J915">
        <v>-295.22890000000001</v>
      </c>
      <c r="K915">
        <v>1.0606279999999999</v>
      </c>
      <c r="L915">
        <v>367.6798</v>
      </c>
      <c r="M915">
        <v>0.99988900000000003</v>
      </c>
      <c r="N915">
        <v>-1.451888E-2</v>
      </c>
      <c r="O915">
        <v>-3.3863790000000001E-3</v>
      </c>
      <c r="P915">
        <v>0.95008859999999995</v>
      </c>
      <c r="Q915">
        <v>0.30907760000000001</v>
      </c>
      <c r="R915">
        <v>4.2464450000000001E-2</v>
      </c>
      <c r="S915">
        <v>3.2376100000000001</v>
      </c>
      <c r="T915">
        <v>-0.25308039999999998</v>
      </c>
      <c r="U915">
        <v>5.2764890000000002E-2</v>
      </c>
      <c r="V915">
        <v>-4.5679850000000001E-2</v>
      </c>
      <c r="W915">
        <v>0.32283719999999999</v>
      </c>
      <c r="X915">
        <v>0.94535150000000001</v>
      </c>
      <c r="Y915">
        <v>-1.9603740000000001E-2</v>
      </c>
      <c r="Z915">
        <v>1.1227559999999999E-3</v>
      </c>
      <c r="AA915">
        <v>0.99980720000000001</v>
      </c>
      <c r="AB915">
        <v>33</v>
      </c>
      <c r="AC915">
        <v>14.023599999999901</v>
      </c>
      <c r="AD915">
        <v>-1.1106279999999999</v>
      </c>
      <c r="AE915">
        <v>0.23219999999997701</v>
      </c>
      <c r="AF915">
        <v>-0.27795001889959903</v>
      </c>
      <c r="AG915">
        <v>-1.1106279999999999</v>
      </c>
      <c r="AH915">
        <v>13.9353521560021</v>
      </c>
      <c r="AI915">
        <v>94.5558591626545</v>
      </c>
      <c r="AJ915">
        <v>91.142651542773294</v>
      </c>
      <c r="AK915">
        <v>13.982302760246</v>
      </c>
      <c r="AL915">
        <v>71.165405874799504</v>
      </c>
      <c r="AM915">
        <v>92.766408551097996</v>
      </c>
      <c r="AN915">
        <v>0.99999998247605604</v>
      </c>
    </row>
    <row r="916" spans="1:40" x14ac:dyDescent="0.25">
      <c r="A916" t="str">
        <f>"20190304164837782"</f>
        <v>20190304164837782</v>
      </c>
      <c r="B916" t="str">
        <f>"1551689317777281"</f>
        <v>1551689317777281</v>
      </c>
      <c r="C916" t="s">
        <v>40</v>
      </c>
      <c r="D916">
        <v>4.4122409999999999</v>
      </c>
      <c r="E916">
        <v>0.52798699999999998</v>
      </c>
      <c r="F916" t="s">
        <v>43</v>
      </c>
      <c r="G916">
        <v>-281.03969999999998</v>
      </c>
      <c r="H916">
        <v>-0.05</v>
      </c>
      <c r="I916">
        <v>367.92020000000002</v>
      </c>
      <c r="J916">
        <v>-295.0607</v>
      </c>
      <c r="K916">
        <v>1.060627</v>
      </c>
      <c r="L916">
        <v>367.67930000000001</v>
      </c>
      <c r="M916">
        <v>0.99988900000000003</v>
      </c>
      <c r="N916">
        <v>-1.451874E-2</v>
      </c>
      <c r="O916">
        <v>-3.3886749999999998E-3</v>
      </c>
      <c r="P916">
        <v>0.95008340000000002</v>
      </c>
      <c r="Q916">
        <v>0.30915609999999999</v>
      </c>
      <c r="R916">
        <v>4.1999019999999998E-2</v>
      </c>
      <c r="S916">
        <v>3.2375790000000002</v>
      </c>
      <c r="T916">
        <v>-0.25341590000000003</v>
      </c>
      <c r="U916">
        <v>5.4840090000000001E-2</v>
      </c>
      <c r="V916">
        <v>-4.5215159999999997E-2</v>
      </c>
      <c r="W916">
        <v>0.32291570000000003</v>
      </c>
      <c r="X916">
        <v>0.94534700000000005</v>
      </c>
      <c r="Y916">
        <v>-2.0244330000000001E-2</v>
      </c>
      <c r="Z916">
        <v>1.1539580000000001E-3</v>
      </c>
      <c r="AA916">
        <v>0.99979439999999997</v>
      </c>
      <c r="AB916">
        <v>33</v>
      </c>
      <c r="AC916">
        <v>14.021000000000001</v>
      </c>
      <c r="AD916">
        <v>-1.110627</v>
      </c>
      <c r="AE916">
        <v>0.24090000000001</v>
      </c>
      <c r="AF916">
        <v>-0.286618376741823</v>
      </c>
      <c r="AG916">
        <v>-1.110627</v>
      </c>
      <c r="AH916">
        <v>13.932708214301901</v>
      </c>
      <c r="AI916">
        <v>94.556658464236605</v>
      </c>
      <c r="AJ916">
        <v>91.178500769547199</v>
      </c>
      <c r="AK916">
        <v>13.9798426533309</v>
      </c>
      <c r="AL916">
        <v>71.160653098055107</v>
      </c>
      <c r="AM916">
        <v>92.738322618149596</v>
      </c>
      <c r="AN916">
        <v>0.99999995520465601</v>
      </c>
    </row>
    <row r="917" spans="1:40" x14ac:dyDescent="0.25">
      <c r="A917" t="str">
        <f>"20190304164837794"</f>
        <v>20190304164837794</v>
      </c>
      <c r="B917" t="str">
        <f>"1551689317787042"</f>
        <v>1551689317787042</v>
      </c>
      <c r="C917" t="s">
        <v>40</v>
      </c>
      <c r="D917">
        <v>4.298921</v>
      </c>
      <c r="E917">
        <v>0.52798699999999998</v>
      </c>
      <c r="F917" t="s">
        <v>43</v>
      </c>
      <c r="G917">
        <v>-280.83159999999998</v>
      </c>
      <c r="H917">
        <v>-0.05</v>
      </c>
      <c r="I917">
        <v>367.92110000000002</v>
      </c>
      <c r="J917">
        <v>-294.87310000000002</v>
      </c>
      <c r="K917">
        <v>1.060627</v>
      </c>
      <c r="L917">
        <v>367.67860000000002</v>
      </c>
      <c r="M917">
        <v>0.99988880000000002</v>
      </c>
      <c r="N917">
        <v>-1.451848E-2</v>
      </c>
      <c r="O917">
        <v>-3.3914449999999999E-3</v>
      </c>
      <c r="P917">
        <v>0.95012779999999997</v>
      </c>
      <c r="Q917">
        <v>0.30910029999999999</v>
      </c>
      <c r="R917">
        <v>4.1402309999999998E-2</v>
      </c>
      <c r="S917">
        <v>3.2374269999999998</v>
      </c>
      <c r="T917">
        <v>-0.2526911</v>
      </c>
      <c r="U917">
        <v>5.502319E-2</v>
      </c>
      <c r="V917">
        <v>-4.4619649999999997E-2</v>
      </c>
      <c r="W917">
        <v>0.32286110000000001</v>
      </c>
      <c r="X917">
        <v>0.94539399999999996</v>
      </c>
      <c r="Y917">
        <v>-2.0304630000000001E-2</v>
      </c>
      <c r="Z917">
        <v>1.153956E-3</v>
      </c>
      <c r="AA917">
        <v>0.99979320000000005</v>
      </c>
      <c r="AB917">
        <v>33</v>
      </c>
      <c r="AC917">
        <v>14.041499999999999</v>
      </c>
      <c r="AD917">
        <v>-1.110627</v>
      </c>
      <c r="AE917">
        <v>0.24250000000000599</v>
      </c>
      <c r="AF917">
        <v>-0.288321348860963</v>
      </c>
      <c r="AG917">
        <v>-1.110627</v>
      </c>
      <c r="AH917">
        <v>13.953328172520299</v>
      </c>
      <c r="AI917">
        <v>94.549944459728906</v>
      </c>
      <c r="AJ917">
        <v>91.183749547330905</v>
      </c>
      <c r="AK917">
        <v>14.000428158573801</v>
      </c>
      <c r="AL917">
        <v>71.163959548909403</v>
      </c>
      <c r="AM917">
        <v>92.702176984464401</v>
      </c>
      <c r="AN917">
        <v>1.00000000914766</v>
      </c>
    </row>
    <row r="918" spans="1:40" x14ac:dyDescent="0.25">
      <c r="A918" t="str">
        <f>"20190304164837946"</f>
        <v>20190304164837946</v>
      </c>
      <c r="B918" t="str">
        <f>"1551689317937383"</f>
        <v>1551689317937383</v>
      </c>
      <c r="C918" t="s">
        <v>40</v>
      </c>
      <c r="D918">
        <v>4.4517870000000004</v>
      </c>
      <c r="E918">
        <v>0.51883040000000002</v>
      </c>
      <c r="F918" t="s">
        <v>43</v>
      </c>
      <c r="G918">
        <v>-280.65519999999998</v>
      </c>
      <c r="H918">
        <v>-0.05</v>
      </c>
      <c r="I918">
        <v>367.91489999999999</v>
      </c>
      <c r="J918">
        <v>-292.62459999999999</v>
      </c>
      <c r="K918">
        <v>1.0606340000000001</v>
      </c>
      <c r="L918">
        <v>367.67099999999999</v>
      </c>
      <c r="M918">
        <v>0.99988909999999998</v>
      </c>
      <c r="N918">
        <v>-1.4506730000000001E-2</v>
      </c>
      <c r="O918">
        <v>-3.3993819999999998E-3</v>
      </c>
      <c r="P918">
        <v>0.94994210000000001</v>
      </c>
      <c r="Q918">
        <v>0.3101197</v>
      </c>
      <c r="R918">
        <v>3.789609E-2</v>
      </c>
      <c r="S918">
        <v>3.2373959999999999</v>
      </c>
      <c r="T918">
        <v>-0.25288759999999999</v>
      </c>
      <c r="U918">
        <v>5.3802490000000001E-2</v>
      </c>
      <c r="V918">
        <v>-4.1113869999999997E-2</v>
      </c>
      <c r="W918">
        <v>0.32386730000000002</v>
      </c>
      <c r="X918">
        <v>0.94520879999999996</v>
      </c>
      <c r="Y918">
        <v>-1.9937050000000001E-2</v>
      </c>
      <c r="Z918">
        <v>1.138207E-3</v>
      </c>
      <c r="AA918">
        <v>0.99980060000000004</v>
      </c>
      <c r="AB918">
        <v>33</v>
      </c>
      <c r="AC918">
        <v>11.9694</v>
      </c>
      <c r="AD918">
        <v>-1.1106339999999999</v>
      </c>
      <c r="AE918">
        <v>0.24389999999999601</v>
      </c>
      <c r="AF918">
        <v>-0.28216304900828798</v>
      </c>
      <c r="AG918">
        <v>-1.1106339999999999</v>
      </c>
      <c r="AH918">
        <v>11.866375946363</v>
      </c>
      <c r="AI918">
        <v>95.345521807368499</v>
      </c>
      <c r="AJ918">
        <v>91.362143420804301</v>
      </c>
      <c r="AK918">
        <v>11.9215771594451</v>
      </c>
      <c r="AL918">
        <v>71.103035704302599</v>
      </c>
      <c r="AM918">
        <v>92.490631999730297</v>
      </c>
      <c r="AN918">
        <v>1.0000000269565501</v>
      </c>
    </row>
    <row r="919" spans="1:40" x14ac:dyDescent="0.25">
      <c r="A919" t="str">
        <f>"20190304164837956"</f>
        <v>20190304164837956</v>
      </c>
      <c r="B919" t="str">
        <f>"1551689317947144"</f>
        <v>1551689317947144</v>
      </c>
      <c r="C919" t="s">
        <v>40</v>
      </c>
      <c r="D919">
        <v>4.4766949999999897</v>
      </c>
      <c r="E919">
        <v>0.51883040000000002</v>
      </c>
      <c r="F919" t="s">
        <v>41</v>
      </c>
      <c r="G919">
        <v>-291.81310000000002</v>
      </c>
      <c r="H919">
        <v>0.87472399999999995</v>
      </c>
      <c r="I919">
        <v>367.71519999999998</v>
      </c>
      <c r="J919">
        <v>-292.46440000000001</v>
      </c>
      <c r="K919">
        <v>1.0606359999999999</v>
      </c>
      <c r="L919">
        <v>367.67039999999997</v>
      </c>
      <c r="M919">
        <v>0.99988909999999998</v>
      </c>
      <c r="N919">
        <v>-1.4505570000000001E-2</v>
      </c>
      <c r="O919">
        <v>-3.3993750000000001E-3</v>
      </c>
      <c r="P919">
        <v>0.94998249999999995</v>
      </c>
      <c r="Q919">
        <v>0.30997780000000003</v>
      </c>
      <c r="R919">
        <v>3.8043460000000001E-2</v>
      </c>
      <c r="S919">
        <v>3.4054259999999998</v>
      </c>
      <c r="T919">
        <v>-0.78024340000000003</v>
      </c>
      <c r="U919">
        <v>0.1857605</v>
      </c>
      <c r="V919">
        <v>-4.1261119999999998E-2</v>
      </c>
      <c r="W919">
        <v>0.32372479999999998</v>
      </c>
      <c r="X919">
        <v>0.94525119999999896</v>
      </c>
      <c r="Y919">
        <v>-5.6237080000000002E-2</v>
      </c>
      <c r="Z919">
        <v>7.4889259999999999E-3</v>
      </c>
      <c r="AA919">
        <v>0.99838939999999998</v>
      </c>
      <c r="AB919">
        <v>33</v>
      </c>
      <c r="AC919">
        <v>0.651299999999992</v>
      </c>
      <c r="AD919">
        <v>-0.18591199999999999</v>
      </c>
      <c r="AE919">
        <v>4.4800000000009201E-2</v>
      </c>
      <c r="AF919">
        <v>-4.3487313167867997E-2</v>
      </c>
      <c r="AG919">
        <v>-0.18591199999999999</v>
      </c>
      <c r="AH919">
        <v>0.60229948245435405</v>
      </c>
      <c r="AI919">
        <v>107.111972637843</v>
      </c>
      <c r="AJ919">
        <v>94.129711728349903</v>
      </c>
      <c r="AK919">
        <v>0.63183786267945596</v>
      </c>
      <c r="AL919">
        <v>71.111665285971299</v>
      </c>
      <c r="AM919">
        <v>92.4994289690746</v>
      </c>
      <c r="AN919">
        <v>1.0000000286300601</v>
      </c>
    </row>
    <row r="920" spans="1:40" x14ac:dyDescent="0.25">
      <c r="A920" t="str">
        <f>"20190304164837967"</f>
        <v>20190304164837967</v>
      </c>
      <c r="B920" t="str">
        <f>"1551689317956904"</f>
        <v>1551689317956904</v>
      </c>
      <c r="C920" t="s">
        <v>40</v>
      </c>
      <c r="D920">
        <v>4.633502</v>
      </c>
      <c r="E920">
        <v>0.55124689999999998</v>
      </c>
      <c r="F920" t="s">
        <v>41</v>
      </c>
      <c r="G920">
        <v>-291.52969999999999</v>
      </c>
      <c r="H920">
        <v>0.84636219999999995</v>
      </c>
      <c r="I920">
        <v>367.72149999999999</v>
      </c>
      <c r="J920">
        <v>-292.30059999999997</v>
      </c>
      <c r="K920">
        <v>1.0606370000000001</v>
      </c>
      <c r="L920">
        <v>367.66989999999998</v>
      </c>
      <c r="M920">
        <v>0.99988920000000003</v>
      </c>
      <c r="N920">
        <v>-1.450428E-2</v>
      </c>
      <c r="O920">
        <v>-3.3993679999999998E-3</v>
      </c>
      <c r="P920">
        <v>0.9499107</v>
      </c>
      <c r="Q920">
        <v>0.3101952</v>
      </c>
      <c r="R920">
        <v>3.8067080000000003E-2</v>
      </c>
      <c r="S920">
        <v>3.405243</v>
      </c>
      <c r="T920">
        <v>-0.78075119999999998</v>
      </c>
      <c r="U920">
        <v>0.1864624</v>
      </c>
      <c r="V920">
        <v>-4.1284510000000003E-2</v>
      </c>
      <c r="W920">
        <v>0.3239399</v>
      </c>
      <c r="X920">
        <v>0.94517640000000003</v>
      </c>
      <c r="Y920">
        <v>-5.6437460000000002E-2</v>
      </c>
      <c r="Z920">
        <v>7.5178919999999896E-3</v>
      </c>
      <c r="AA920">
        <v>0.99837790000000004</v>
      </c>
      <c r="AB920">
        <v>33</v>
      </c>
      <c r="AC920">
        <v>0.77089999999998304</v>
      </c>
      <c r="AD920">
        <v>-0.21427479999999999</v>
      </c>
      <c r="AE920">
        <v>5.1600000000007598E-2</v>
      </c>
      <c r="AF920">
        <v>-5.03480835715698E-2</v>
      </c>
      <c r="AG920">
        <v>-0.21427479999999999</v>
      </c>
      <c r="AH920">
        <v>0.71567479643327703</v>
      </c>
      <c r="AI920">
        <v>106.62900777950399</v>
      </c>
      <c r="AJ920">
        <v>94.024157003021998</v>
      </c>
      <c r="AK920">
        <v>0.74875832795647901</v>
      </c>
      <c r="AL920">
        <v>71.098637463005602</v>
      </c>
      <c r="AM920">
        <v>92.501041702878595</v>
      </c>
      <c r="AN920">
        <v>0.99999994834745298</v>
      </c>
    </row>
    <row r="921" spans="1:40" x14ac:dyDescent="0.25">
      <c r="A921" t="str">
        <f>"20190304164837980"</f>
        <v>20190304164837980</v>
      </c>
      <c r="B921" t="str">
        <f>"1551689317977399"</f>
        <v>1551689317977399</v>
      </c>
      <c r="C921" t="s">
        <v>40</v>
      </c>
      <c r="D921">
        <v>4.4832199999999904</v>
      </c>
      <c r="E921">
        <v>0.55198999999999998</v>
      </c>
      <c r="F921" t="s">
        <v>41</v>
      </c>
      <c r="G921">
        <v>-291.46899999999999</v>
      </c>
      <c r="H921">
        <v>0.98333550000000003</v>
      </c>
      <c r="I921">
        <v>367.6352</v>
      </c>
      <c r="J921">
        <v>-292.1293</v>
      </c>
      <c r="K921">
        <v>1.0606329999999999</v>
      </c>
      <c r="L921">
        <v>367.66930000000002</v>
      </c>
      <c r="M921">
        <v>0.99988920000000003</v>
      </c>
      <c r="N921">
        <v>-1.4502900000000001E-2</v>
      </c>
      <c r="O921">
        <v>-3.3993589999999998E-3</v>
      </c>
      <c r="P921">
        <v>0.94989210000000002</v>
      </c>
      <c r="Q921">
        <v>0.3102586</v>
      </c>
      <c r="R921">
        <v>3.8013419999999999E-2</v>
      </c>
      <c r="S921">
        <v>3.2627259999999998</v>
      </c>
      <c r="T921">
        <v>-0.30352580000000001</v>
      </c>
      <c r="U921">
        <v>-0.1352844</v>
      </c>
      <c r="V921">
        <v>-4.1230860000000001E-2</v>
      </c>
      <c r="W921">
        <v>0.32400129999999999</v>
      </c>
      <c r="X921">
        <v>0.94515780000000005</v>
      </c>
      <c r="Y921">
        <v>3.785268E-2</v>
      </c>
      <c r="Z921">
        <v>-1.76522299999999E-3</v>
      </c>
      <c r="AA921">
        <v>0.9992818</v>
      </c>
      <c r="AB921">
        <v>33</v>
      </c>
      <c r="AC921">
        <v>0.66030000000000599</v>
      </c>
      <c r="AD921">
        <v>-7.7297500000000005E-2</v>
      </c>
      <c r="AE921">
        <v>-3.41000000000235E-2</v>
      </c>
      <c r="AF921">
        <v>3.1425460488248499E-2</v>
      </c>
      <c r="AG921">
        <v>-7.7297500000000005E-2</v>
      </c>
      <c r="AH921">
        <v>0.65150758348289595</v>
      </c>
      <c r="AI921">
        <v>96.758389256837503</v>
      </c>
      <c r="AJ921">
        <v>87.238479098561399</v>
      </c>
      <c r="AK921">
        <v>0.65682919728714195</v>
      </c>
      <c r="AL921">
        <v>71.094920879197005</v>
      </c>
      <c r="AM921">
        <v>92.497844763530395</v>
      </c>
      <c r="AN921">
        <v>1.0000000465594301</v>
      </c>
    </row>
    <row r="922" spans="1:40" x14ac:dyDescent="0.25">
      <c r="A922" t="str">
        <f>"20190304164837991"</f>
        <v>20190304164837991</v>
      </c>
      <c r="B922" t="str">
        <f>"1551689317987159"</f>
        <v>1551689317987159</v>
      </c>
      <c r="C922" t="s">
        <v>40</v>
      </c>
      <c r="D922">
        <v>4.4842339999999998</v>
      </c>
      <c r="E922">
        <v>0.55214839999999998</v>
      </c>
      <c r="F922" t="s">
        <v>41</v>
      </c>
      <c r="G922">
        <v>-291.17450000000002</v>
      </c>
      <c r="H922">
        <v>0.98269300000000004</v>
      </c>
      <c r="I922">
        <v>367.62610000000001</v>
      </c>
      <c r="J922">
        <v>-291.96620000000001</v>
      </c>
      <c r="K922">
        <v>1.0606340000000001</v>
      </c>
      <c r="L922">
        <v>367.6687</v>
      </c>
      <c r="M922">
        <v>0.99988909999999998</v>
      </c>
      <c r="N922">
        <v>-1.450154E-2</v>
      </c>
      <c r="O922">
        <v>-3.3989929999999999E-3</v>
      </c>
      <c r="P922">
        <v>0.94989690000000004</v>
      </c>
      <c r="Q922">
        <v>0.31024030000000002</v>
      </c>
      <c r="R922">
        <v>3.803786E-2</v>
      </c>
      <c r="S922">
        <v>3.2508849999999998</v>
      </c>
      <c r="T922">
        <v>-0.26557429999999999</v>
      </c>
      <c r="U922">
        <v>-0.146698</v>
      </c>
      <c r="V922">
        <v>-4.1254569999999997E-2</v>
      </c>
      <c r="W922">
        <v>0.3239823</v>
      </c>
      <c r="X922">
        <v>0.94516319999999998</v>
      </c>
      <c r="Y922">
        <v>4.1528469999999998E-2</v>
      </c>
      <c r="Z922">
        <v>-1.7666209999999999E-3</v>
      </c>
      <c r="AA922">
        <v>0.99913569999999996</v>
      </c>
      <c r="AB922">
        <v>33</v>
      </c>
      <c r="AC922">
        <v>0.79169999999999097</v>
      </c>
      <c r="AD922">
        <v>-7.7940999999999996E-2</v>
      </c>
      <c r="AE922">
        <v>-4.2599999999992998E-2</v>
      </c>
      <c r="AF922">
        <v>3.9526505689887199E-2</v>
      </c>
      <c r="AG922">
        <v>-7.7940999999999996E-2</v>
      </c>
      <c r="AH922">
        <v>0.78426117075851598</v>
      </c>
      <c r="AI922">
        <v>95.668353029569005</v>
      </c>
      <c r="AJ922">
        <v>87.114752823400295</v>
      </c>
      <c r="AK922">
        <v>0.78911515515327102</v>
      </c>
      <c r="AL922">
        <v>71.096070113014605</v>
      </c>
      <c r="AM922">
        <v>92.499265079022393</v>
      </c>
      <c r="AN922">
        <v>0.99999997244670702</v>
      </c>
    </row>
    <row r="923" spans="1:40" x14ac:dyDescent="0.25">
      <c r="A923" t="str">
        <f>"20190304164838002"</f>
        <v>20190304164838002</v>
      </c>
      <c r="B923" t="str">
        <f>"1551689317996919"</f>
        <v>1551689317996919</v>
      </c>
      <c r="C923" t="s">
        <v>40</v>
      </c>
      <c r="D923">
        <v>4.4805149999999996</v>
      </c>
      <c r="E923">
        <v>0.55215879999999995</v>
      </c>
      <c r="F923" t="s">
        <v>41</v>
      </c>
      <c r="G923">
        <v>-291.1653</v>
      </c>
      <c r="H923">
        <v>0.99649620000000005</v>
      </c>
      <c r="I923">
        <v>367.63200000000001</v>
      </c>
      <c r="J923">
        <v>-291.79390000000001</v>
      </c>
      <c r="K923">
        <v>1.0606340000000001</v>
      </c>
      <c r="L923">
        <v>367.66820000000001</v>
      </c>
      <c r="M923">
        <v>0.99988909999999998</v>
      </c>
      <c r="N923">
        <v>-1.450007E-2</v>
      </c>
      <c r="O923">
        <v>-3.3989839999999999E-3</v>
      </c>
      <c r="P923">
        <v>0.94983079999999998</v>
      </c>
      <c r="Q923">
        <v>0.31044640000000001</v>
      </c>
      <c r="R923">
        <v>3.8009859999999999E-2</v>
      </c>
      <c r="S923">
        <v>3.2492369999999999</v>
      </c>
      <c r="T923">
        <v>-0.26044669999999998</v>
      </c>
      <c r="U923">
        <v>-0.14840699999999901</v>
      </c>
      <c r="V923">
        <v>-4.1226310000000002E-2</v>
      </c>
      <c r="W923">
        <v>0.32418580000000002</v>
      </c>
      <c r="X923">
        <v>0.94509460000000001</v>
      </c>
      <c r="Y923">
        <v>4.2078909999999997E-2</v>
      </c>
      <c r="Z923">
        <v>-1.7660270000000001E-3</v>
      </c>
      <c r="AA923">
        <v>0.99911269999999996</v>
      </c>
      <c r="AB923">
        <v>33</v>
      </c>
      <c r="AC923">
        <v>0.62860000000000504</v>
      </c>
      <c r="AD923">
        <v>-6.4137800000000106E-2</v>
      </c>
      <c r="AE923">
        <v>-3.6200000000064798E-2</v>
      </c>
      <c r="AF923">
        <v>3.3713147997986401E-2</v>
      </c>
      <c r="AG923">
        <v>-6.4137800000000106E-2</v>
      </c>
      <c r="AH923">
        <v>0.62226265616875898</v>
      </c>
      <c r="AI923">
        <v>95.876246908122596</v>
      </c>
      <c r="AJ923">
        <v>86.898842570295002</v>
      </c>
      <c r="AK923">
        <v>0.62646711565649904</v>
      </c>
      <c r="AL923">
        <v>71.083744240764602</v>
      </c>
      <c r="AM923">
        <v>92.497736269837802</v>
      </c>
      <c r="AN923">
        <v>0.99999992225350498</v>
      </c>
    </row>
    <row r="924" spans="1:40" x14ac:dyDescent="0.25">
      <c r="A924" t="str">
        <f>"20190304164838014"</f>
        <v>20190304164838014</v>
      </c>
      <c r="B924" t="str">
        <f>"1551689318006679"</f>
        <v>1551689318006679</v>
      </c>
      <c r="C924" t="s">
        <v>40</v>
      </c>
      <c r="D924">
        <v>4.4485989999999997</v>
      </c>
      <c r="E924">
        <v>0.55208440000000003</v>
      </c>
      <c r="F924" t="s">
        <v>41</v>
      </c>
      <c r="G924">
        <v>-290.87729999999999</v>
      </c>
      <c r="H924">
        <v>0.98784959999999999</v>
      </c>
      <c r="I924">
        <v>367.62610000000001</v>
      </c>
      <c r="J924">
        <v>-291.61759999999998</v>
      </c>
      <c r="K924">
        <v>1.0606439999999999</v>
      </c>
      <c r="L924">
        <v>367.66750000000002</v>
      </c>
      <c r="M924">
        <v>0.99988909999999998</v>
      </c>
      <c r="N924">
        <v>-1.4498550000000001E-2</v>
      </c>
      <c r="O924">
        <v>-3.3988550000000001E-3</v>
      </c>
      <c r="P924">
        <v>0.94986579999999998</v>
      </c>
      <c r="Q924">
        <v>0.31037779999999998</v>
      </c>
      <c r="R924">
        <v>3.7690870000000001E-2</v>
      </c>
      <c r="S924">
        <v>3.2487789999999999</v>
      </c>
      <c r="T924">
        <v>-0.25817810000000002</v>
      </c>
      <c r="U924">
        <v>-0.14840699999999901</v>
      </c>
      <c r="V924">
        <v>-4.0907359999999997E-2</v>
      </c>
      <c r="W924">
        <v>0.32411630000000002</v>
      </c>
      <c r="X924">
        <v>0.94513239999999998</v>
      </c>
      <c r="Y924">
        <v>4.2087779999999998E-2</v>
      </c>
      <c r="Z924">
        <v>-1.754352E-3</v>
      </c>
      <c r="AA924">
        <v>0.99911240000000001</v>
      </c>
      <c r="AB924">
        <v>33</v>
      </c>
      <c r="AC924">
        <v>0.74029999999998997</v>
      </c>
      <c r="AD924">
        <v>-7.2794400000000203E-2</v>
      </c>
      <c r="AE924">
        <v>-4.1400000000009998E-2</v>
      </c>
      <c r="AF924">
        <v>3.8512112203085903E-2</v>
      </c>
      <c r="AG924">
        <v>-7.2794400000000203E-2</v>
      </c>
      <c r="AH924">
        <v>0.73336764399681797</v>
      </c>
      <c r="AI924">
        <v>95.660886884389598</v>
      </c>
      <c r="AJ924">
        <v>86.993927296446202</v>
      </c>
      <c r="AK924">
        <v>0.73797717357594905</v>
      </c>
      <c r="AL924">
        <v>71.087955513693302</v>
      </c>
      <c r="AM924">
        <v>92.478337562593495</v>
      </c>
      <c r="AN924">
        <v>1.0000000207788</v>
      </c>
    </row>
    <row r="925" spans="1:40" x14ac:dyDescent="0.25">
      <c r="A925" t="str">
        <f>"20190304164838027"</f>
        <v>20190304164838027</v>
      </c>
      <c r="B925" t="str">
        <f>"1551689318017416"</f>
        <v>1551689318017416</v>
      </c>
      <c r="C925" t="s">
        <v>40</v>
      </c>
      <c r="D925">
        <v>4.5459759999999996</v>
      </c>
      <c r="E925">
        <v>0.55172900000000002</v>
      </c>
      <c r="F925" t="s">
        <v>42</v>
      </c>
      <c r="G925">
        <v>-278.0532</v>
      </c>
      <c r="H925" s="1">
        <v>-1.332938E-6</v>
      </c>
      <c r="I925">
        <v>367.04419999999999</v>
      </c>
      <c r="J925">
        <v>-291.43549999999999</v>
      </c>
      <c r="K925">
        <v>1.0606450000000001</v>
      </c>
      <c r="L925">
        <v>367.6669</v>
      </c>
      <c r="M925">
        <v>0.99988920000000003</v>
      </c>
      <c r="N925">
        <v>-1.449694E-2</v>
      </c>
      <c r="O925">
        <v>-3.3988439999999998E-3</v>
      </c>
      <c r="P925">
        <v>0.94988830000000002</v>
      </c>
      <c r="Q925">
        <v>0.31031619999999999</v>
      </c>
      <c r="R925">
        <v>3.7633100000000003E-2</v>
      </c>
      <c r="S925">
        <v>3.2472530000000002</v>
      </c>
      <c r="T925">
        <v>-0.25391049999999998</v>
      </c>
      <c r="U925">
        <v>-0.14920039999999901</v>
      </c>
      <c r="V925">
        <v>-4.0849249999999997E-2</v>
      </c>
      <c r="W925">
        <v>0.32405410000000001</v>
      </c>
      <c r="X925">
        <v>0.9451562</v>
      </c>
      <c r="Y925">
        <v>4.2356169999999999E-2</v>
      </c>
      <c r="Z925">
        <v>-1.7442989999999999E-3</v>
      </c>
      <c r="AA925">
        <v>0.99910100000000002</v>
      </c>
      <c r="AB925">
        <v>33</v>
      </c>
      <c r="AC925">
        <v>13.382299999999899</v>
      </c>
      <c r="AD925">
        <v>-1.060646332938</v>
      </c>
      <c r="AE925">
        <v>-0.62270000000000802</v>
      </c>
      <c r="AF925">
        <v>0.57361178225735598</v>
      </c>
      <c r="AG925">
        <v>-1.060646332938</v>
      </c>
      <c r="AH925">
        <v>13.3009667277506</v>
      </c>
      <c r="AI925">
        <v>94.555019472591695</v>
      </c>
      <c r="AJ925">
        <v>87.530616910986794</v>
      </c>
      <c r="AK925">
        <v>13.3555126076481</v>
      </c>
      <c r="AL925">
        <v>71.091721862857597</v>
      </c>
      <c r="AM925">
        <v>92.474759157018298</v>
      </c>
      <c r="AN925">
        <v>0.99999998167540605</v>
      </c>
    </row>
    <row r="926" spans="1:40" x14ac:dyDescent="0.25">
      <c r="A926" t="str">
        <f>"20190304164838040"</f>
        <v>20190304164838040</v>
      </c>
      <c r="B926" t="str">
        <f>"1551689318036936"</f>
        <v>1551689318036936</v>
      </c>
      <c r="C926" t="s">
        <v>40</v>
      </c>
      <c r="D926">
        <v>4.5309210000000002</v>
      </c>
      <c r="E926">
        <v>0.55090399999999995</v>
      </c>
      <c r="F926" t="s">
        <v>41</v>
      </c>
      <c r="G926">
        <v>-290.57909999999998</v>
      </c>
      <c r="H926">
        <v>0.99367280000000002</v>
      </c>
      <c r="I926">
        <v>367.62819999999999</v>
      </c>
      <c r="J926">
        <v>-291.23899999999998</v>
      </c>
      <c r="K926">
        <v>1.0606439999999999</v>
      </c>
      <c r="L926">
        <v>367.66629999999998</v>
      </c>
      <c r="M926">
        <v>0.99988929999999998</v>
      </c>
      <c r="N926">
        <v>-1.449517E-2</v>
      </c>
      <c r="O926">
        <v>-3.3988320000000001E-3</v>
      </c>
      <c r="P926">
        <v>0.94991000000000003</v>
      </c>
      <c r="Q926">
        <v>0.310291599999999</v>
      </c>
      <c r="R926">
        <v>3.7285359999999997E-2</v>
      </c>
      <c r="S926">
        <v>3.2470699999999999</v>
      </c>
      <c r="T926">
        <v>-0.25406960000000001</v>
      </c>
      <c r="U926">
        <v>-0.14608759999999901</v>
      </c>
      <c r="V926">
        <v>-4.0501710000000003E-2</v>
      </c>
      <c r="W926">
        <v>0.32402789999999998</v>
      </c>
      <c r="X926">
        <v>0.94518020000000003</v>
      </c>
      <c r="Y926">
        <v>4.1406199999999997E-2</v>
      </c>
      <c r="Z926">
        <v>-1.701234E-3</v>
      </c>
      <c r="AA926">
        <v>0.9991409</v>
      </c>
      <c r="AB926">
        <v>33</v>
      </c>
      <c r="AC926">
        <v>0.65990000000005</v>
      </c>
      <c r="AD926">
        <v>-6.6971199999999995E-2</v>
      </c>
      <c r="AE926">
        <v>-3.8099999999985798E-2</v>
      </c>
      <c r="AF926">
        <v>3.5492313557002102E-2</v>
      </c>
      <c r="AG926">
        <v>-6.6971199999999995E-2</v>
      </c>
      <c r="AH926">
        <v>0.65331913393254304</v>
      </c>
      <c r="AI926">
        <v>95.844340587649597</v>
      </c>
      <c r="AJ926">
        <v>86.890397613459598</v>
      </c>
      <c r="AK926">
        <v>0.657701099826842</v>
      </c>
      <c r="AL926">
        <v>71.093309763816293</v>
      </c>
      <c r="AM926">
        <v>92.453667849919995</v>
      </c>
      <c r="AN926">
        <v>1.0000000394816799</v>
      </c>
    </row>
    <row r="927" spans="1:40" x14ac:dyDescent="0.25">
      <c r="A927" t="str">
        <f>"20190304164838050"</f>
        <v>20190304164838050</v>
      </c>
      <c r="B927" t="str">
        <f>"1551689318036936"</f>
        <v>1551689318036936</v>
      </c>
      <c r="C927" t="s">
        <v>40</v>
      </c>
      <c r="D927">
        <v>4.5309210000000002</v>
      </c>
      <c r="E927">
        <v>0.55090399999999995</v>
      </c>
      <c r="F927" t="s">
        <v>41</v>
      </c>
      <c r="G927">
        <v>-290.29020000000003</v>
      </c>
      <c r="H927">
        <v>0.98580840000000003</v>
      </c>
      <c r="I927">
        <v>367.62470000000002</v>
      </c>
      <c r="J927">
        <v>-291.08190000000002</v>
      </c>
      <c r="K927">
        <v>1.060648</v>
      </c>
      <c r="L927">
        <v>367.66570000000002</v>
      </c>
      <c r="M927">
        <v>0.99988920000000003</v>
      </c>
      <c r="N927">
        <v>-1.449374E-2</v>
      </c>
      <c r="O927">
        <v>-3.3985840000000001E-3</v>
      </c>
      <c r="P927">
        <v>0.94990090000000005</v>
      </c>
      <c r="Q927">
        <v>0.31031789999999998</v>
      </c>
      <c r="R927">
        <v>3.72988E-2</v>
      </c>
      <c r="S927">
        <v>3.247528</v>
      </c>
      <c r="T927">
        <v>-0.2565095</v>
      </c>
      <c r="U927">
        <v>-0.14059449999999901</v>
      </c>
      <c r="V927">
        <v>-4.051532E-2</v>
      </c>
      <c r="W927">
        <v>0.32405230000000002</v>
      </c>
      <c r="X927">
        <v>0.94517119999999999</v>
      </c>
      <c r="Y927">
        <v>3.9717059999999998E-2</v>
      </c>
      <c r="Z927">
        <v>-1.6351650000000001E-3</v>
      </c>
      <c r="AA927">
        <v>0.99920960000000003</v>
      </c>
      <c r="AB927">
        <v>33</v>
      </c>
      <c r="AC927">
        <v>0.79169999999999097</v>
      </c>
      <c r="AD927">
        <v>-7.4839600000000006E-2</v>
      </c>
      <c r="AE927">
        <v>-4.0999999999996803E-2</v>
      </c>
      <c r="AF927">
        <v>3.7970426616491401E-2</v>
      </c>
      <c r="AG927">
        <v>-7.4839600000000006E-2</v>
      </c>
      <c r="AH927">
        <v>0.78484023468373298</v>
      </c>
      <c r="AI927">
        <v>95.440728448509603</v>
      </c>
      <c r="AJ927">
        <v>87.230200351707694</v>
      </c>
      <c r="AK927">
        <v>0.78931420423302701</v>
      </c>
      <c r="AL927">
        <v>71.091831056907793</v>
      </c>
      <c r="AM927">
        <v>92.454514703744294</v>
      </c>
      <c r="AN927">
        <v>0.99999999079971602</v>
      </c>
    </row>
    <row r="928" spans="1:40" x14ac:dyDescent="0.25">
      <c r="A928" t="str">
        <f>"20190304164838060"</f>
        <v>20190304164838060</v>
      </c>
      <c r="B928" t="str">
        <f>"1551689318046696"</f>
        <v>1551689318046696</v>
      </c>
      <c r="C928" t="s">
        <v>40</v>
      </c>
      <c r="D928">
        <v>4.52719</v>
      </c>
      <c r="E928">
        <v>0.55050849999999996</v>
      </c>
      <c r="F928" t="s">
        <v>41</v>
      </c>
      <c r="G928">
        <v>-290.28149999999999</v>
      </c>
      <c r="H928">
        <v>0.99755539999999998</v>
      </c>
      <c r="I928">
        <v>367.63060000000002</v>
      </c>
      <c r="J928">
        <v>-290.94569999999999</v>
      </c>
      <c r="K928">
        <v>1.060648</v>
      </c>
      <c r="L928">
        <v>367.6653</v>
      </c>
      <c r="M928">
        <v>0.99988929999999998</v>
      </c>
      <c r="N928">
        <v>-1.449251E-2</v>
      </c>
      <c r="O928">
        <v>-3.398575E-3</v>
      </c>
      <c r="P928">
        <v>0.94982480000000002</v>
      </c>
      <c r="Q928">
        <v>0.3105812</v>
      </c>
      <c r="R928">
        <v>3.70452E-2</v>
      </c>
      <c r="S928">
        <v>3.2474980000000002</v>
      </c>
      <c r="T928">
        <v>-0.25636959999999998</v>
      </c>
      <c r="U928">
        <v>-0.14050289999999999</v>
      </c>
      <c r="V928">
        <v>-4.0260909999999997E-2</v>
      </c>
      <c r="W928">
        <v>0.32431389999999999</v>
      </c>
      <c r="X928">
        <v>0.94509240000000005</v>
      </c>
      <c r="Y928">
        <v>3.9689589999999997E-2</v>
      </c>
      <c r="Z928">
        <v>-1.6331620000000001E-3</v>
      </c>
      <c r="AA928">
        <v>0.99921070000000001</v>
      </c>
      <c r="AB928">
        <v>33</v>
      </c>
      <c r="AC928">
        <v>0.66419999999999302</v>
      </c>
      <c r="AD928">
        <v>-6.3092599999999999E-2</v>
      </c>
      <c r="AE928">
        <v>-3.4699999999986603E-2</v>
      </c>
      <c r="AF928">
        <v>3.2152897819612301E-2</v>
      </c>
      <c r="AG928">
        <v>-6.3092599999999999E-2</v>
      </c>
      <c r="AH928">
        <v>0.65838951651993105</v>
      </c>
      <c r="AI928">
        <v>95.467387941549802</v>
      </c>
      <c r="AJ928">
        <v>87.204143036896795</v>
      </c>
      <c r="AK928">
        <v>0.66218671118975703</v>
      </c>
      <c r="AL928">
        <v>71.075987877452306</v>
      </c>
      <c r="AM928">
        <v>92.439323736092703</v>
      </c>
      <c r="AN928">
        <v>1.00000004557249</v>
      </c>
    </row>
    <row r="929" spans="1:40" x14ac:dyDescent="0.25">
      <c r="A929" t="str">
        <f>"20190304164838070"</f>
        <v>20190304164838070</v>
      </c>
      <c r="B929" t="str">
        <f>"1551689318057431"</f>
        <v>1551689318057431</v>
      </c>
      <c r="C929" t="s">
        <v>40</v>
      </c>
      <c r="D929">
        <v>4.5342399999999996</v>
      </c>
      <c r="E929">
        <v>0.55023929999999999</v>
      </c>
      <c r="F929" t="s">
        <v>41</v>
      </c>
      <c r="G929">
        <v>-289.99650000000003</v>
      </c>
      <c r="H929">
        <v>0.98592080000000004</v>
      </c>
      <c r="I929">
        <v>367.62470000000002</v>
      </c>
      <c r="J929">
        <v>-290.79820000000001</v>
      </c>
      <c r="K929">
        <v>1.060646</v>
      </c>
      <c r="L929">
        <v>367.66469999999998</v>
      </c>
      <c r="M929">
        <v>0.99988940000000004</v>
      </c>
      <c r="N929">
        <v>-1.4491189999999999E-2</v>
      </c>
      <c r="O929">
        <v>-3.398566E-3</v>
      </c>
      <c r="P929">
        <v>0.94982060000000001</v>
      </c>
      <c r="Q929">
        <v>0.31059389999999998</v>
      </c>
      <c r="R929">
        <v>3.704781E-2</v>
      </c>
      <c r="S929">
        <v>3.2474980000000002</v>
      </c>
      <c r="T929">
        <v>-0.25567450000000003</v>
      </c>
      <c r="U929">
        <v>-0.13851930000000001</v>
      </c>
      <c r="V929">
        <v>-4.0263449999999999E-2</v>
      </c>
      <c r="W929">
        <v>0.32432519999999998</v>
      </c>
      <c r="X929">
        <v>0.94508840000000005</v>
      </c>
      <c r="Y929">
        <v>3.9083279999999998E-2</v>
      </c>
      <c r="Z929">
        <v>-1.6014180000000001E-3</v>
      </c>
      <c r="AA929">
        <v>0.99923470000000003</v>
      </c>
      <c r="AB929">
        <v>33</v>
      </c>
      <c r="AC929">
        <v>0.80169999999998198</v>
      </c>
      <c r="AD929">
        <v>-7.4725199999999894E-2</v>
      </c>
      <c r="AE929">
        <v>-3.9999999999963599E-2</v>
      </c>
      <c r="AF929">
        <v>3.6954595625392397E-2</v>
      </c>
      <c r="AG929">
        <v>-7.4725199999999894E-2</v>
      </c>
      <c r="AH929">
        <v>0.79494216796372097</v>
      </c>
      <c r="AI929">
        <v>95.364310006142205</v>
      </c>
      <c r="AJ929">
        <v>87.338398701608298</v>
      </c>
      <c r="AK929">
        <v>0.79930128741278605</v>
      </c>
      <c r="AL929">
        <v>71.075303178689794</v>
      </c>
      <c r="AM929">
        <v>92.439487755822697</v>
      </c>
      <c r="AN929">
        <v>1.00000003228775</v>
      </c>
    </row>
    <row r="930" spans="1:40" x14ac:dyDescent="0.25">
      <c r="A930" t="str">
        <f>"20190304164838080"</f>
        <v>20190304164838080</v>
      </c>
      <c r="B930" t="str">
        <f>"1551689318067192"</f>
        <v>1551689318067192</v>
      </c>
      <c r="C930" t="s">
        <v>40</v>
      </c>
      <c r="D930">
        <v>4.5365729999999997</v>
      </c>
      <c r="E930">
        <v>0.54998959999999997</v>
      </c>
      <c r="F930" t="s">
        <v>41</v>
      </c>
      <c r="G930">
        <v>-289.98849999999999</v>
      </c>
      <c r="H930">
        <v>0.99671319999999997</v>
      </c>
      <c r="I930">
        <v>367.63069999999999</v>
      </c>
      <c r="J930">
        <v>-290.65170000000001</v>
      </c>
      <c r="K930">
        <v>1.0606390000000001</v>
      </c>
      <c r="L930">
        <v>367.66419999999999</v>
      </c>
      <c r="M930">
        <v>0.99988920000000003</v>
      </c>
      <c r="N930">
        <v>-1.448988E-2</v>
      </c>
      <c r="O930">
        <v>-3.3984380000000002E-3</v>
      </c>
      <c r="P930">
        <v>0.94980589999999998</v>
      </c>
      <c r="Q930">
        <v>0.31067600000000001</v>
      </c>
      <c r="R930">
        <v>3.6729270000000001E-2</v>
      </c>
      <c r="S930">
        <v>3.24762</v>
      </c>
      <c r="T930">
        <v>-0.25643680000000002</v>
      </c>
      <c r="U930">
        <v>-0.13601679999999999</v>
      </c>
      <c r="V930">
        <v>-3.9944569999999999E-2</v>
      </c>
      <c r="W930">
        <v>0.32440550000000001</v>
      </c>
      <c r="X930">
        <v>0.94507430000000003</v>
      </c>
      <c r="Y930">
        <v>3.8315309999999998E-2</v>
      </c>
      <c r="Z930">
        <v>-1.5693020000000001E-3</v>
      </c>
      <c r="AA930">
        <v>0.9992645</v>
      </c>
      <c r="AB930">
        <v>33</v>
      </c>
      <c r="AC930">
        <v>0.663200000000017</v>
      </c>
      <c r="AD930">
        <v>-6.3925799999999894E-2</v>
      </c>
      <c r="AE930">
        <v>-3.3500000000003603E-2</v>
      </c>
      <c r="AF930">
        <v>3.0958818795083699E-2</v>
      </c>
      <c r="AG930">
        <v>-6.3925799999999894E-2</v>
      </c>
      <c r="AH930">
        <v>0.65721933288259904</v>
      </c>
      <c r="AI930">
        <v>95.549401604658797</v>
      </c>
      <c r="AJ930">
        <v>87.303032167658102</v>
      </c>
      <c r="AK930">
        <v>0.66104629783508795</v>
      </c>
      <c r="AL930">
        <v>71.070438023772596</v>
      </c>
      <c r="AM930">
        <v>92.420226537854802</v>
      </c>
      <c r="AN930">
        <v>0.99999996481161102</v>
      </c>
    </row>
    <row r="931" spans="1:40" x14ac:dyDescent="0.25">
      <c r="A931" t="str">
        <f>"20190304164838103"</f>
        <v>20190304164838103</v>
      </c>
      <c r="B931" t="str">
        <f>"1551689318097448"</f>
        <v>1551689318097448</v>
      </c>
      <c r="C931" t="s">
        <v>40</v>
      </c>
      <c r="D931">
        <v>4.6902949999999999</v>
      </c>
      <c r="E931">
        <v>0.5503924</v>
      </c>
      <c r="F931" t="s">
        <v>41</v>
      </c>
      <c r="G931">
        <v>-289.70330000000001</v>
      </c>
      <c r="H931">
        <v>0.98580659999999998</v>
      </c>
      <c r="I931">
        <v>367.62470000000002</v>
      </c>
      <c r="J931">
        <v>-290.31459999999998</v>
      </c>
      <c r="K931">
        <v>1.060643</v>
      </c>
      <c r="L931">
        <v>367.66309999999999</v>
      </c>
      <c r="M931">
        <v>0.99988929999999998</v>
      </c>
      <c r="N931">
        <v>-1.4486880000000001E-2</v>
      </c>
      <c r="O931">
        <v>-3.3985360000000002E-3</v>
      </c>
      <c r="P931">
        <v>0.94991429999999999</v>
      </c>
      <c r="Q931">
        <v>0.310451599999999</v>
      </c>
      <c r="R931">
        <v>3.58179E-2</v>
      </c>
      <c r="S931">
        <v>3.2476500000000001</v>
      </c>
      <c r="T931">
        <v>-0.25655559999999999</v>
      </c>
      <c r="U931">
        <v>-0.13461300000000001</v>
      </c>
      <c r="V931">
        <v>-3.9034279999999998E-2</v>
      </c>
      <c r="W931">
        <v>0.32417990000000002</v>
      </c>
      <c r="X931">
        <v>0.94518979999999997</v>
      </c>
      <c r="Y931">
        <v>3.788511E-2</v>
      </c>
      <c r="Z931">
        <v>-1.549716E-3</v>
      </c>
      <c r="AA931">
        <v>0.99928090000000003</v>
      </c>
      <c r="AB931">
        <v>33</v>
      </c>
      <c r="AC931">
        <v>0.61129999999997098</v>
      </c>
      <c r="AD931">
        <v>-7.4836400000000095E-2</v>
      </c>
      <c r="AE931">
        <v>-3.8399999999967301E-2</v>
      </c>
      <c r="AF931">
        <v>3.5787788845718503E-2</v>
      </c>
      <c r="AG931">
        <v>-7.4836400000000095E-2</v>
      </c>
      <c r="AH931">
        <v>0.60243375152107004</v>
      </c>
      <c r="AI931">
        <v>97.068868120015907</v>
      </c>
      <c r="AJ931">
        <v>86.600319467094494</v>
      </c>
      <c r="AK931">
        <v>0.60811814441535605</v>
      </c>
      <c r="AL931">
        <v>71.084103509562794</v>
      </c>
      <c r="AM931">
        <v>92.3648470839928</v>
      </c>
      <c r="AN931">
        <v>1.00000002030158</v>
      </c>
    </row>
    <row r="932" spans="1:40" x14ac:dyDescent="0.25">
      <c r="A932" t="str">
        <f>"20190304164838114"</f>
        <v>20190304164838114</v>
      </c>
      <c r="B932" t="str">
        <f>"1551689318107208"</f>
        <v>1551689318107208</v>
      </c>
      <c r="C932" t="s">
        <v>40</v>
      </c>
      <c r="D932">
        <v>4.9686019999999997</v>
      </c>
      <c r="E932">
        <v>0.5503924</v>
      </c>
      <c r="F932" t="s">
        <v>41</v>
      </c>
      <c r="G932">
        <v>-289.40940000000001</v>
      </c>
      <c r="H932">
        <v>0.98792429999999998</v>
      </c>
      <c r="I932">
        <v>367.6241</v>
      </c>
      <c r="J932">
        <v>-290.15120000000002</v>
      </c>
      <c r="K932">
        <v>1.060646</v>
      </c>
      <c r="L932">
        <v>367.66250000000002</v>
      </c>
      <c r="M932">
        <v>0.99988940000000004</v>
      </c>
      <c r="N932">
        <v>-1.4485410000000001E-2</v>
      </c>
      <c r="O932">
        <v>-3.3985259999999998E-3</v>
      </c>
      <c r="P932">
        <v>0.94989619999999997</v>
      </c>
      <c r="Q932">
        <v>0.31055389999999999</v>
      </c>
      <c r="R932">
        <v>3.5411150000000002E-2</v>
      </c>
      <c r="S932">
        <v>3.2487789999999999</v>
      </c>
      <c r="T932">
        <v>-0.2611445</v>
      </c>
      <c r="U932">
        <v>-0.13912959999999999</v>
      </c>
      <c r="V932">
        <v>-3.8626800000000003E-2</v>
      </c>
      <c r="W932">
        <v>0.32428050000000003</v>
      </c>
      <c r="X932">
        <v>0.94517200000000001</v>
      </c>
      <c r="Y932">
        <v>3.9248079999999998E-2</v>
      </c>
      <c r="Z932">
        <v>-1.6356490000000001E-3</v>
      </c>
      <c r="AA932">
        <v>0.99922820000000001</v>
      </c>
      <c r="AB932">
        <v>33</v>
      </c>
      <c r="AC932">
        <v>0.74180000000001201</v>
      </c>
      <c r="AD932">
        <v>-7.2721699999999806E-2</v>
      </c>
      <c r="AE932">
        <v>-3.8400000000024102E-2</v>
      </c>
      <c r="AF932">
        <v>3.5537856923037299E-2</v>
      </c>
      <c r="AG932">
        <v>-7.2721699999999806E-2</v>
      </c>
      <c r="AH932">
        <v>0.73488238396846295</v>
      </c>
      <c r="AI932">
        <v>95.644861033607398</v>
      </c>
      <c r="AJ932">
        <v>87.231415184176399</v>
      </c>
      <c r="AK932">
        <v>0.73932638475354295</v>
      </c>
      <c r="AL932">
        <v>71.078009817145599</v>
      </c>
      <c r="AM932">
        <v>92.340231989027899</v>
      </c>
      <c r="AN932">
        <v>0.99999999097124503</v>
      </c>
    </row>
    <row r="933" spans="1:40" x14ac:dyDescent="0.25">
      <c r="A933" t="str">
        <f>"20190304164838125"</f>
        <v>20190304164838125</v>
      </c>
      <c r="B933" t="str">
        <f>"1551689318116967"</f>
        <v>1551689318116967</v>
      </c>
      <c r="C933" t="s">
        <v>40</v>
      </c>
      <c r="D933">
        <v>4.7006329999999998</v>
      </c>
      <c r="E933">
        <v>0.56092600000000004</v>
      </c>
      <c r="F933" t="s">
        <v>41</v>
      </c>
      <c r="G933">
        <v>-289.39229999999998</v>
      </c>
      <c r="H933">
        <v>0.99975919999999896</v>
      </c>
      <c r="I933">
        <v>367.62959999999998</v>
      </c>
      <c r="J933">
        <v>-289.98880000000003</v>
      </c>
      <c r="K933">
        <v>1.0606439999999999</v>
      </c>
      <c r="L933">
        <v>367.66199999999998</v>
      </c>
      <c r="M933">
        <v>0.99988940000000004</v>
      </c>
      <c r="N933">
        <v>-1.4483950000000001E-2</v>
      </c>
      <c r="O933">
        <v>-3.3985159999999999E-3</v>
      </c>
      <c r="P933">
        <v>0.9499147</v>
      </c>
      <c r="Q933">
        <v>0.31054929999999997</v>
      </c>
      <c r="R933">
        <v>3.4948970000000003E-2</v>
      </c>
      <c r="S933">
        <v>3.2487490000000001</v>
      </c>
      <c r="T933">
        <v>-0.26086910000000002</v>
      </c>
      <c r="U933">
        <v>-0.1398315</v>
      </c>
      <c r="V933">
        <v>-3.8164900000000002E-2</v>
      </c>
      <c r="W933">
        <v>0.32427509999999998</v>
      </c>
      <c r="X933">
        <v>0.94519260000000005</v>
      </c>
      <c r="Y933">
        <v>3.9463449999999997E-2</v>
      </c>
      <c r="Z933">
        <v>-1.6444470000000001E-3</v>
      </c>
      <c r="AA933">
        <v>0.99921970000000004</v>
      </c>
      <c r="AB933">
        <v>33</v>
      </c>
      <c r="AC933">
        <v>0.59650000000004799</v>
      </c>
      <c r="AD933">
        <v>-6.0884800000000197E-2</v>
      </c>
      <c r="AE933">
        <v>-3.2399999999995502E-2</v>
      </c>
      <c r="AF933">
        <v>3.0060131308612799E-2</v>
      </c>
      <c r="AG933">
        <v>-6.0884800000000197E-2</v>
      </c>
      <c r="AH933">
        <v>0.59047304859875405</v>
      </c>
      <c r="AI933">
        <v>95.879511266728102</v>
      </c>
      <c r="AJ933">
        <v>87.085670431910302</v>
      </c>
      <c r="AK933">
        <v>0.59436435919967301</v>
      </c>
      <c r="AL933">
        <v>71.078336586452096</v>
      </c>
      <c r="AM933">
        <v>92.312227669464207</v>
      </c>
      <c r="AN933">
        <v>0.99999997558338904</v>
      </c>
    </row>
    <row r="934" spans="1:40" x14ac:dyDescent="0.25">
      <c r="A934" t="str">
        <f>"20190304164838136"</f>
        <v>20190304164838136</v>
      </c>
      <c r="B934" t="str">
        <f>"1551689318127235"</f>
        <v>1551689318127235</v>
      </c>
      <c r="C934" t="s">
        <v>40</v>
      </c>
      <c r="D934">
        <v>4.6631669999999996</v>
      </c>
      <c r="E934">
        <v>0.55758819999999998</v>
      </c>
      <c r="F934" t="s">
        <v>41</v>
      </c>
      <c r="G934">
        <v>-289.18380000000002</v>
      </c>
      <c r="H934">
        <v>0.84779099999999996</v>
      </c>
      <c r="I934">
        <v>367.62939999999998</v>
      </c>
      <c r="J934">
        <v>-289.82229999999998</v>
      </c>
      <c r="K934">
        <v>1.0606450000000001</v>
      </c>
      <c r="L934">
        <v>367.66140000000001</v>
      </c>
      <c r="M934">
        <v>0.99988949999999999</v>
      </c>
      <c r="N934">
        <v>-1.4482439999999999E-2</v>
      </c>
      <c r="O934">
        <v>-3.3987430000000001E-3</v>
      </c>
      <c r="P934">
        <v>0.94998260000000001</v>
      </c>
      <c r="Q934">
        <v>0.31036950000000002</v>
      </c>
      <c r="R934">
        <v>3.470434E-2</v>
      </c>
      <c r="S934">
        <v>3.462555</v>
      </c>
      <c r="T934">
        <v>-0.91559579999999996</v>
      </c>
      <c r="U934">
        <v>-0.1383972</v>
      </c>
      <c r="V934">
        <v>-3.7920849999999999E-2</v>
      </c>
      <c r="W934">
        <v>0.32409470000000001</v>
      </c>
      <c r="X934">
        <v>0.94526429999999995</v>
      </c>
      <c r="Y934">
        <v>3.5362980000000002E-2</v>
      </c>
      <c r="Z934">
        <v>-4.0207300000000001E-3</v>
      </c>
      <c r="AA934">
        <v>0.99936650000000005</v>
      </c>
      <c r="AB934">
        <v>33</v>
      </c>
      <c r="AC934">
        <v>0.63849999999996498</v>
      </c>
      <c r="AD934">
        <v>-0.21285399999999999</v>
      </c>
      <c r="AE934">
        <v>-3.2000000000039101E-2</v>
      </c>
      <c r="AF934">
        <v>2.68527490575113E-2</v>
      </c>
      <c r="AG934">
        <v>-0.21285399999999999</v>
      </c>
      <c r="AH934">
        <v>0.57487747098775399</v>
      </c>
      <c r="AI934">
        <v>110.29724157178499</v>
      </c>
      <c r="AJ934">
        <v>87.325635873638205</v>
      </c>
      <c r="AK934">
        <v>0.61360573831836196</v>
      </c>
      <c r="AL934">
        <v>71.0892629401568</v>
      </c>
      <c r="AM934">
        <v>92.297283669433199</v>
      </c>
      <c r="AN934">
        <v>0.99999998114365096</v>
      </c>
    </row>
    <row r="935" spans="1:40" x14ac:dyDescent="0.25">
      <c r="A935" t="str">
        <f>"20190304164838147"</f>
        <v>20190304164838147</v>
      </c>
      <c r="B935" t="str">
        <f>"1551689318136996"</f>
        <v>1551689318136996</v>
      </c>
      <c r="C935" t="s">
        <v>40</v>
      </c>
      <c r="D935">
        <v>4.73034</v>
      </c>
      <c r="E935">
        <v>0.5548767</v>
      </c>
      <c r="F935" t="s">
        <v>41</v>
      </c>
      <c r="G935">
        <v>-288.9126</v>
      </c>
      <c r="H935">
        <v>0.79800629999999995</v>
      </c>
      <c r="I935">
        <v>367.63490000000002</v>
      </c>
      <c r="J935">
        <v>-289.66180000000003</v>
      </c>
      <c r="K935">
        <v>1.060649</v>
      </c>
      <c r="L935">
        <v>367.66079999999999</v>
      </c>
      <c r="M935">
        <v>0.99988949999999999</v>
      </c>
      <c r="N935">
        <v>-1.4480949999999999E-2</v>
      </c>
      <c r="O935">
        <v>-3.3984950000000001E-3</v>
      </c>
      <c r="P935">
        <v>0.95004739999999999</v>
      </c>
      <c r="Q935">
        <v>0.31019380000000002</v>
      </c>
      <c r="R935">
        <v>3.4499439999999999E-2</v>
      </c>
      <c r="S935">
        <v>3.490875</v>
      </c>
      <c r="T935">
        <v>-1.0078419999999999</v>
      </c>
      <c r="U935">
        <v>-0.1009216</v>
      </c>
      <c r="V935">
        <v>-3.7716359999999997E-2</v>
      </c>
      <c r="W935">
        <v>0.32391829999999999</v>
      </c>
      <c r="X935">
        <v>0.94533290000000003</v>
      </c>
      <c r="Y935">
        <v>2.4570470000000001E-2</v>
      </c>
      <c r="Z935">
        <v>-2.7438060000000001E-3</v>
      </c>
      <c r="AA935">
        <v>0.99969430000000004</v>
      </c>
      <c r="AB935">
        <v>33</v>
      </c>
      <c r="AC935">
        <v>0.74920000000002995</v>
      </c>
      <c r="AD935">
        <v>-0.26264269999999901</v>
      </c>
      <c r="AE935">
        <v>-2.58999999999787E-2</v>
      </c>
      <c r="AF935">
        <v>2.0800232611740001E-2</v>
      </c>
      <c r="AG935">
        <v>-0.26264269999999901</v>
      </c>
      <c r="AH935">
        <v>0.66736554163109796</v>
      </c>
      <c r="AI935">
        <v>111.472714886969</v>
      </c>
      <c r="AJ935">
        <v>88.214801651000897</v>
      </c>
      <c r="AK935">
        <v>0.71748909656980897</v>
      </c>
      <c r="AL935">
        <v>71.099945427225094</v>
      </c>
      <c r="AM935">
        <v>92.284742989641899</v>
      </c>
      <c r="AN935">
        <v>0.99999994035447304</v>
      </c>
    </row>
    <row r="936" spans="1:40" x14ac:dyDescent="0.25">
      <c r="A936" t="str">
        <f>"20190304164838158"</f>
        <v>20190304164838158</v>
      </c>
      <c r="B936" t="str">
        <f>"1551689318146755"</f>
        <v>1551689318146755</v>
      </c>
      <c r="C936" t="s">
        <v>40</v>
      </c>
      <c r="D936">
        <v>4.7308690000000002</v>
      </c>
      <c r="E936">
        <v>0.55284509999999998</v>
      </c>
      <c r="F936" t="s">
        <v>41</v>
      </c>
      <c r="G936">
        <v>-288.89940000000001</v>
      </c>
      <c r="H936">
        <v>0.82765900000000003</v>
      </c>
      <c r="I936">
        <v>367.64510000000001</v>
      </c>
      <c r="J936">
        <v>-289.50819999999999</v>
      </c>
      <c r="K936">
        <v>1.0606500000000001</v>
      </c>
      <c r="L936">
        <v>367.66030000000001</v>
      </c>
      <c r="M936">
        <v>0.99988940000000004</v>
      </c>
      <c r="N936">
        <v>-1.4479509999999999E-2</v>
      </c>
      <c r="O936">
        <v>-3.398365E-3</v>
      </c>
      <c r="P936">
        <v>0.95005609999999996</v>
      </c>
      <c r="Q936">
        <v>0.31015510000000002</v>
      </c>
      <c r="R936">
        <v>3.4599900000000003E-2</v>
      </c>
      <c r="S936">
        <v>3.5106510000000002</v>
      </c>
      <c r="T936">
        <v>-1.0728709999999999</v>
      </c>
      <c r="U936">
        <v>-7.1685789999999999E-2</v>
      </c>
      <c r="V936">
        <v>-3.7816519999999999E-2</v>
      </c>
      <c r="W936">
        <v>0.32387860000000002</v>
      </c>
      <c r="X936">
        <v>0.94534249999999997</v>
      </c>
      <c r="Y936">
        <v>1.637357E-2</v>
      </c>
      <c r="Z936">
        <v>-1.600069E-3</v>
      </c>
      <c r="AA936">
        <v>0.99986459999999999</v>
      </c>
      <c r="AB936">
        <v>33</v>
      </c>
      <c r="AC936">
        <v>0.60879999999997303</v>
      </c>
      <c r="AD936">
        <v>-0.232991</v>
      </c>
      <c r="AE936">
        <v>-1.51999999999929E-2</v>
      </c>
      <c r="AF936">
        <v>1.14541957694731E-2</v>
      </c>
      <c r="AG936">
        <v>-0.232991</v>
      </c>
      <c r="AH936">
        <v>0.53110864535928004</v>
      </c>
      <c r="AI936">
        <v>113.681585269734</v>
      </c>
      <c r="AJ936">
        <v>88.764517654105404</v>
      </c>
      <c r="AK936">
        <v>0.58007964785630495</v>
      </c>
      <c r="AL936">
        <v>71.102349662083995</v>
      </c>
      <c r="AM936">
        <v>92.290780685525505</v>
      </c>
      <c r="AN936">
        <v>0.99999993951455801</v>
      </c>
    </row>
    <row r="937" spans="1:40" x14ac:dyDescent="0.25">
      <c r="A937" t="str">
        <f>"20190304164838169"</f>
        <v>20190304164838169</v>
      </c>
      <c r="B937" t="str">
        <f>"1551689318157492"</f>
        <v>1551689318157492</v>
      </c>
      <c r="C937" t="s">
        <v>40</v>
      </c>
      <c r="D937">
        <v>4.6545350000000001</v>
      </c>
      <c r="E937">
        <v>0.55352089999999998</v>
      </c>
      <c r="F937" t="s">
        <v>41</v>
      </c>
      <c r="G937">
        <v>-288.62729999999999</v>
      </c>
      <c r="H937">
        <v>0.7808541</v>
      </c>
      <c r="I937">
        <v>367.64769999999999</v>
      </c>
      <c r="J937">
        <v>-289.34879999999998</v>
      </c>
      <c r="K937">
        <v>1.060651</v>
      </c>
      <c r="L937">
        <v>367.65969999999999</v>
      </c>
      <c r="M937">
        <v>0.99988960000000005</v>
      </c>
      <c r="N937">
        <v>-1.4478E-2</v>
      </c>
      <c r="O937">
        <v>-3.3984739999999999E-3</v>
      </c>
      <c r="P937">
        <v>0.95004069999999996</v>
      </c>
      <c r="Q937">
        <v>0.31021330000000003</v>
      </c>
      <c r="R937">
        <v>3.4508369999999997E-2</v>
      </c>
      <c r="S937">
        <v>3.524994</v>
      </c>
      <c r="T937">
        <v>-1.119543</v>
      </c>
      <c r="U937">
        <v>-4.9194340000000003E-2</v>
      </c>
      <c r="V937">
        <v>-3.7725149999999999E-2</v>
      </c>
      <c r="W937">
        <v>0.32393499999999997</v>
      </c>
      <c r="X937">
        <v>0.94532689999999997</v>
      </c>
      <c r="Y937">
        <v>1.018312E-2</v>
      </c>
      <c r="Z937">
        <v>-6.4844739999999896E-4</v>
      </c>
      <c r="AA937">
        <v>0.99994799999999995</v>
      </c>
      <c r="AB937">
        <v>33</v>
      </c>
      <c r="AC937">
        <v>0.72149999999999104</v>
      </c>
      <c r="AD937">
        <v>-0.27979690000000002</v>
      </c>
      <c r="AE937">
        <v>-1.2000000000000399E-2</v>
      </c>
      <c r="AF937">
        <v>8.2998262161732596E-3</v>
      </c>
      <c r="AG937">
        <v>-0.27979690000000002</v>
      </c>
      <c r="AH937">
        <v>0.62723421783271904</v>
      </c>
      <c r="AI937">
        <v>114.03884828017399</v>
      </c>
      <c r="AJ937">
        <v>89.241882463064599</v>
      </c>
      <c r="AK937">
        <v>0.68686094399452602</v>
      </c>
      <c r="AL937">
        <v>71.098935413568498</v>
      </c>
      <c r="AM937">
        <v>92.285289386056903</v>
      </c>
      <c r="AN937">
        <v>1.0000000095155599</v>
      </c>
    </row>
    <row r="938" spans="1:40" x14ac:dyDescent="0.25">
      <c r="A938" t="str">
        <f>"20190304164838180"</f>
        <v>20190304164838180</v>
      </c>
      <c r="B938" t="str">
        <f>"1551689318167251"</f>
        <v>1551689318167251</v>
      </c>
      <c r="C938" t="s">
        <v>40</v>
      </c>
      <c r="D938">
        <v>4.7062030000000004</v>
      </c>
      <c r="E938">
        <v>0.55239919999999998</v>
      </c>
      <c r="F938" t="s">
        <v>41</v>
      </c>
      <c r="G938">
        <v>-288.60750000000002</v>
      </c>
      <c r="H938">
        <v>0.82716039999999902</v>
      </c>
      <c r="I938">
        <v>367.6474</v>
      </c>
      <c r="J938">
        <v>-289.18529999999998</v>
      </c>
      <c r="K938">
        <v>1.060648</v>
      </c>
      <c r="L938">
        <v>367.6592</v>
      </c>
      <c r="M938">
        <v>0.99988949999999999</v>
      </c>
      <c r="N938">
        <v>-1.447643E-2</v>
      </c>
      <c r="O938">
        <v>-3.398463E-3</v>
      </c>
      <c r="P938">
        <v>0.95009679999999996</v>
      </c>
      <c r="Q938">
        <v>0.31005939999999999</v>
      </c>
      <c r="R938">
        <v>3.4342949999999997E-2</v>
      </c>
      <c r="S938">
        <v>3.5220340000000001</v>
      </c>
      <c r="T938">
        <v>-1.1092850000000001</v>
      </c>
      <c r="U938">
        <v>-5.7128909999999998E-2</v>
      </c>
      <c r="V938">
        <v>-3.7559549999999997E-2</v>
      </c>
      <c r="W938">
        <v>0.32378069999999998</v>
      </c>
      <c r="X938">
        <v>0.94538639999999996</v>
      </c>
      <c r="Y938">
        <v>1.2343170000000001E-2</v>
      </c>
      <c r="Z938">
        <v>-9.9237450000000003E-4</v>
      </c>
      <c r="AA938">
        <v>0.99992329999999996</v>
      </c>
      <c r="AB938">
        <v>33</v>
      </c>
      <c r="AC938">
        <v>0.57779999999996701</v>
      </c>
      <c r="AD938">
        <v>-0.23348759999999999</v>
      </c>
      <c r="AE938">
        <v>-1.17999999999938E-2</v>
      </c>
      <c r="AF938">
        <v>8.4558696864806705E-3</v>
      </c>
      <c r="AG938">
        <v>-0.23348759999999999</v>
      </c>
      <c r="AH938">
        <v>0.49675331357233099</v>
      </c>
      <c r="AI938">
        <v>115.17160884939</v>
      </c>
      <c r="AJ938">
        <v>89.024789879482697</v>
      </c>
      <c r="AK938">
        <v>0.54895520366511297</v>
      </c>
      <c r="AL938">
        <v>71.108280619127598</v>
      </c>
      <c r="AM938">
        <v>92.275125295460299</v>
      </c>
      <c r="AN938">
        <v>1.0000000533968201</v>
      </c>
    </row>
    <row r="939" spans="1:40" x14ac:dyDescent="0.25">
      <c r="A939" t="str">
        <f>"20190304164838192"</f>
        <v>20190304164838192</v>
      </c>
      <c r="B939" t="str">
        <f>"1551689318186771"</f>
        <v>1551689318186771</v>
      </c>
      <c r="C939" t="s">
        <v>40</v>
      </c>
      <c r="D939">
        <v>4.5944469999999997</v>
      </c>
      <c r="E939">
        <v>0.55246719999999905</v>
      </c>
      <c r="F939" t="s">
        <v>41</v>
      </c>
      <c r="G939">
        <v>-288.33330000000001</v>
      </c>
      <c r="H939">
        <v>0.78664899999999904</v>
      </c>
      <c r="I939">
        <v>367.64819999999997</v>
      </c>
      <c r="J939">
        <v>-289.00729999999999</v>
      </c>
      <c r="K939">
        <v>1.060648</v>
      </c>
      <c r="L939">
        <v>367.65859999999998</v>
      </c>
      <c r="M939">
        <v>0.99988960000000005</v>
      </c>
      <c r="N939">
        <v>-1.447472E-2</v>
      </c>
      <c r="O939">
        <v>-3.3984509999999998E-3</v>
      </c>
      <c r="P939">
        <v>0.95003110000000002</v>
      </c>
      <c r="Q939">
        <v>0.31028319999999998</v>
      </c>
      <c r="R939">
        <v>3.4143319999999998E-2</v>
      </c>
      <c r="S939">
        <v>3.5296020000000001</v>
      </c>
      <c r="T939">
        <v>-1.1350260000000001</v>
      </c>
      <c r="U939">
        <v>-4.4921879999999997E-2</v>
      </c>
      <c r="V939">
        <v>-3.7359570000000002E-2</v>
      </c>
      <c r="W939">
        <v>0.32400220000000002</v>
      </c>
      <c r="X939">
        <v>0.94531829999999994</v>
      </c>
      <c r="Y939">
        <v>9.0080860000000002E-3</v>
      </c>
      <c r="Z939">
        <v>-4.6169599999999999E-4</v>
      </c>
      <c r="AA939">
        <v>0.9999593</v>
      </c>
      <c r="AB939">
        <v>33</v>
      </c>
      <c r="AC939">
        <v>0.67399999999997795</v>
      </c>
      <c r="AD939">
        <v>-0.27399899999999999</v>
      </c>
      <c r="AE939">
        <v>-1.04000000000041E-2</v>
      </c>
      <c r="AF939">
        <v>6.9592970446321701E-3</v>
      </c>
      <c r="AG939">
        <v>-0.27399899999999999</v>
      </c>
      <c r="AH939">
        <v>0.57845623984561501</v>
      </c>
      <c r="AI939">
        <v>115.34403902728199</v>
      </c>
      <c r="AJ939">
        <v>89.310718624169894</v>
      </c>
      <c r="AK939">
        <v>0.64010585470895598</v>
      </c>
      <c r="AL939">
        <v>71.094864001072096</v>
      </c>
      <c r="AM939">
        <v>92.263187228680906</v>
      </c>
      <c r="AN939">
        <v>0.99999992569515395</v>
      </c>
    </row>
    <row r="940" spans="1:40" x14ac:dyDescent="0.25">
      <c r="A940" t="str">
        <f>"20190304164838204"</f>
        <v>20190304164838204</v>
      </c>
      <c r="B940" t="str">
        <f>"1551689318197507"</f>
        <v>1551689318197507</v>
      </c>
      <c r="C940" t="s">
        <v>40</v>
      </c>
      <c r="D940">
        <v>4.6218669999999999</v>
      </c>
      <c r="E940">
        <v>0.55198719999999901</v>
      </c>
      <c r="F940" t="s">
        <v>41</v>
      </c>
      <c r="G940">
        <v>-288.3116</v>
      </c>
      <c r="H940">
        <v>0.83666689999999999</v>
      </c>
      <c r="I940">
        <v>367.64940000000001</v>
      </c>
      <c r="J940">
        <v>-288.84179999999998</v>
      </c>
      <c r="K940">
        <v>1.0606469999999999</v>
      </c>
      <c r="L940">
        <v>367.65800000000002</v>
      </c>
      <c r="M940">
        <v>0.99988969999999999</v>
      </c>
      <c r="N940">
        <v>-1.4473120000000001E-2</v>
      </c>
      <c r="O940">
        <v>-3.3984390000000001E-3</v>
      </c>
      <c r="P940">
        <v>0.95004449999999996</v>
      </c>
      <c r="Q940">
        <v>0.31024299999999999</v>
      </c>
      <c r="R940">
        <v>3.4131380000000003E-2</v>
      </c>
      <c r="S940">
        <v>3.5307010000000001</v>
      </c>
      <c r="T940">
        <v>-1.1367069999999999</v>
      </c>
      <c r="U940">
        <v>-4.5654300000000002E-2</v>
      </c>
      <c r="V940">
        <v>-3.734751E-2</v>
      </c>
      <c r="W940">
        <v>0.32396029999999998</v>
      </c>
      <c r="X940">
        <v>0.94533319999999998</v>
      </c>
      <c r="Y940">
        <v>9.2006629999999996E-3</v>
      </c>
      <c r="Z940">
        <v>-4.9373790000000004E-4</v>
      </c>
      <c r="AA940">
        <v>0.9999576</v>
      </c>
      <c r="AB940">
        <v>33</v>
      </c>
      <c r="AC940">
        <v>0.53019999999997902</v>
      </c>
      <c r="AD940">
        <v>-0.22398009999999899</v>
      </c>
      <c r="AE940">
        <v>-8.6000000000012698E-3</v>
      </c>
      <c r="AF940">
        <v>5.7687014168212097E-3</v>
      </c>
      <c r="AG940">
        <v>-0.22398009999999899</v>
      </c>
      <c r="AH940">
        <v>0.44994956052106999</v>
      </c>
      <c r="AI940">
        <v>116.461754592563</v>
      </c>
      <c r="AJ940">
        <v>89.265464030461203</v>
      </c>
      <c r="AK940">
        <v>0.50264795844124399</v>
      </c>
      <c r="AL940">
        <v>71.097402739828695</v>
      </c>
      <c r="AM940">
        <v>92.262421788144493</v>
      </c>
      <c r="AN940">
        <v>0.99999998575076399</v>
      </c>
    </row>
    <row r="941" spans="1:40" x14ac:dyDescent="0.25">
      <c r="A941" t="str">
        <f>"20190304164838216"</f>
        <v>20190304164838216</v>
      </c>
      <c r="B941" t="str">
        <f>"1551689318207267"</f>
        <v>1551689318207267</v>
      </c>
      <c r="C941" t="s">
        <v>40</v>
      </c>
      <c r="D941">
        <v>4.6133199999999999</v>
      </c>
      <c r="E941">
        <v>0.55160489999999995</v>
      </c>
      <c r="F941" t="s">
        <v>41</v>
      </c>
      <c r="G941">
        <v>-288.0367</v>
      </c>
      <c r="H941">
        <v>0.79909680000000005</v>
      </c>
      <c r="I941">
        <v>367.64870000000002</v>
      </c>
      <c r="J941">
        <v>-288.67500000000001</v>
      </c>
      <c r="K941">
        <v>1.0606450000000001</v>
      </c>
      <c r="L941">
        <v>367.65750000000003</v>
      </c>
      <c r="M941">
        <v>0.99988960000000005</v>
      </c>
      <c r="N941">
        <v>-1.44715E-2</v>
      </c>
      <c r="O941">
        <v>-3.398309E-3</v>
      </c>
      <c r="P941">
        <v>0.94985120000000001</v>
      </c>
      <c r="Q941">
        <v>0.3108534</v>
      </c>
      <c r="R941">
        <v>3.3956600000000003E-2</v>
      </c>
      <c r="S941">
        <v>3.5341490000000002</v>
      </c>
      <c r="T941">
        <v>-1.1482139999999901</v>
      </c>
      <c r="U941">
        <v>-4.0191650000000002E-2</v>
      </c>
      <c r="V941">
        <v>-3.7172110000000001E-2</v>
      </c>
      <c r="W941">
        <v>0.32456649999999998</v>
      </c>
      <c r="X941">
        <v>0.94513219999999998</v>
      </c>
      <c r="Y941">
        <v>7.7170819999999897E-3</v>
      </c>
      <c r="Z941">
        <v>-2.5108859999999999E-4</v>
      </c>
      <c r="AA941">
        <v>0.99997020000000003</v>
      </c>
      <c r="AB941">
        <v>33</v>
      </c>
      <c r="AC941">
        <v>0.63830000000001497</v>
      </c>
      <c r="AD941">
        <v>-0.26154820000000001</v>
      </c>
      <c r="AE941">
        <v>-8.8000000000079091E-3</v>
      </c>
      <c r="AF941">
        <v>5.6775031676691602E-3</v>
      </c>
      <c r="AG941">
        <v>-0.26154820000000001</v>
      </c>
      <c r="AH941">
        <v>0.54657334464366203</v>
      </c>
      <c r="AI941">
        <v>115.57100775311299</v>
      </c>
      <c r="AJ941">
        <v>89.404864372049502</v>
      </c>
      <c r="AK941">
        <v>0.60595553965651505</v>
      </c>
      <c r="AL941">
        <v>71.060686934310198</v>
      </c>
      <c r="AM941">
        <v>92.252285839938594</v>
      </c>
      <c r="AN941">
        <v>1.0000000270804701</v>
      </c>
    </row>
    <row r="942" spans="1:40" x14ac:dyDescent="0.25">
      <c r="A942" t="str">
        <f>"20190304164838227"</f>
        <v>20190304164838227</v>
      </c>
      <c r="B942" t="str">
        <f>"1551689318218005"</f>
        <v>1551689318218005</v>
      </c>
      <c r="C942" t="s">
        <v>40</v>
      </c>
      <c r="D942">
        <v>4.71319</v>
      </c>
      <c r="E942">
        <v>0.55112369999999899</v>
      </c>
      <c r="F942" t="s">
        <v>41</v>
      </c>
      <c r="G942">
        <v>-287.7611</v>
      </c>
      <c r="H942">
        <v>0.76228899999999999</v>
      </c>
      <c r="I942">
        <v>367.64800000000002</v>
      </c>
      <c r="J942">
        <v>-288.49810000000002</v>
      </c>
      <c r="K942">
        <v>1.060643</v>
      </c>
      <c r="L942">
        <v>367.65690000000001</v>
      </c>
      <c r="M942">
        <v>0.99988960000000005</v>
      </c>
      <c r="N942">
        <v>-1.446976E-2</v>
      </c>
      <c r="O942">
        <v>-3.3982959999999999E-3</v>
      </c>
      <c r="P942">
        <v>0.94989699999999999</v>
      </c>
      <c r="Q942">
        <v>0.3107143</v>
      </c>
      <c r="R942">
        <v>3.3952799999999998E-2</v>
      </c>
      <c r="S942">
        <v>3.537598</v>
      </c>
      <c r="T942">
        <v>-1.154982</v>
      </c>
      <c r="U942">
        <v>-3.6010739999999999E-2</v>
      </c>
      <c r="V942">
        <v>-3.7168590000000001E-2</v>
      </c>
      <c r="W942">
        <v>0.3244262</v>
      </c>
      <c r="X942">
        <v>0.94518049999999998</v>
      </c>
      <c r="Y942">
        <v>6.5836459999999899E-3</v>
      </c>
      <c r="Z942" s="1">
        <v>-6.3007230000000004E-5</v>
      </c>
      <c r="AA942">
        <v>0.99997829999999999</v>
      </c>
      <c r="AB942">
        <v>33</v>
      </c>
      <c r="AC942">
        <v>0.73700000000002297</v>
      </c>
      <c r="AD942">
        <v>-0.29835400000000001</v>
      </c>
      <c r="AE942">
        <v>-8.8999999999828001E-3</v>
      </c>
      <c r="AF942">
        <v>5.4947828617516398E-3</v>
      </c>
      <c r="AG942">
        <v>-0.29835400000000001</v>
      </c>
      <c r="AH942">
        <v>0.63326155159804798</v>
      </c>
      <c r="AI942">
        <v>115.226105948853</v>
      </c>
      <c r="AJ942">
        <v>89.502859496527904</v>
      </c>
      <c r="AK942">
        <v>0.70004678035618795</v>
      </c>
      <c r="AL942">
        <v>71.069185280214995</v>
      </c>
      <c r="AM942">
        <v>92.251957814659704</v>
      </c>
      <c r="AN942">
        <v>1.00000002045463</v>
      </c>
    </row>
    <row r="943" spans="1:40" x14ac:dyDescent="0.25">
      <c r="A943" t="str">
        <f>"20190304164838241"</f>
        <v>20190304164838241</v>
      </c>
      <c r="B943" t="str">
        <f>"1551689318237523"</f>
        <v>1551689318237523</v>
      </c>
      <c r="C943" t="s">
        <v>40</v>
      </c>
      <c r="D943">
        <v>4.7292969999999999</v>
      </c>
      <c r="E943">
        <v>0.55035630000000002</v>
      </c>
      <c r="F943" t="s">
        <v>41</v>
      </c>
      <c r="G943">
        <v>-287.7405</v>
      </c>
      <c r="H943">
        <v>0.8111659</v>
      </c>
      <c r="I943">
        <v>367.65019999999998</v>
      </c>
      <c r="J943">
        <v>-288.30599999999998</v>
      </c>
      <c r="K943">
        <v>1.0606420000000001</v>
      </c>
      <c r="L943">
        <v>367.65620000000001</v>
      </c>
      <c r="M943">
        <v>0.99988960000000005</v>
      </c>
      <c r="N943">
        <v>-1.4467850000000001E-2</v>
      </c>
      <c r="O943">
        <v>-3.3982819999999999E-3</v>
      </c>
      <c r="P943">
        <v>0.9499744</v>
      </c>
      <c r="Q943">
        <v>0.31047010000000003</v>
      </c>
      <c r="R943">
        <v>3.401535E-2</v>
      </c>
      <c r="S943">
        <v>3.54068</v>
      </c>
      <c r="T943">
        <v>-1.165851</v>
      </c>
      <c r="U943">
        <v>-3.02124E-2</v>
      </c>
      <c r="V943">
        <v>-3.7231380000000001E-2</v>
      </c>
      <c r="W943">
        <v>0.32418130000000001</v>
      </c>
      <c r="X943">
        <v>0.94526200000000005</v>
      </c>
      <c r="Y943">
        <v>5.0206670000000004E-3</v>
      </c>
      <c r="Z943">
        <v>1.9958709999999999E-4</v>
      </c>
      <c r="AA943">
        <v>0.99998739999999997</v>
      </c>
      <c r="AB943">
        <v>33</v>
      </c>
      <c r="AC943">
        <v>0.56549999999998501</v>
      </c>
      <c r="AD943">
        <v>-0.24947610000000001</v>
      </c>
      <c r="AE943">
        <v>-6.0000000000286404E-3</v>
      </c>
      <c r="AF943">
        <v>3.4137237070435999E-3</v>
      </c>
      <c r="AG943">
        <v>-0.24947610000000001</v>
      </c>
      <c r="AH943">
        <v>0.47339437821505498</v>
      </c>
      <c r="AI943">
        <v>117.78835684974</v>
      </c>
      <c r="AJ943">
        <v>89.5868379946468</v>
      </c>
      <c r="AK943">
        <v>0.53511887960188498</v>
      </c>
      <c r="AL943">
        <v>71.084017724358702</v>
      </c>
      <c r="AM943">
        <v>92.255563897628605</v>
      </c>
      <c r="AN943">
        <v>0.99999996978519601</v>
      </c>
    </row>
    <row r="944" spans="1:40" x14ac:dyDescent="0.25">
      <c r="A944" t="str">
        <f>"20190304164838252"</f>
        <v>20190304164838252</v>
      </c>
      <c r="B944" t="str">
        <f>"1551689318247284"</f>
        <v>1551689318247284</v>
      </c>
      <c r="C944" t="s">
        <v>40</v>
      </c>
      <c r="D944">
        <v>5.1382849999999998</v>
      </c>
      <c r="E944">
        <v>0.55023</v>
      </c>
      <c r="F944" t="s">
        <v>41</v>
      </c>
      <c r="G944">
        <v>-287.46339999999998</v>
      </c>
      <c r="H944">
        <v>0.77953549999999905</v>
      </c>
      <c r="I944">
        <v>367.65069999999997</v>
      </c>
      <c r="J944">
        <v>-288.14060000000001</v>
      </c>
      <c r="K944">
        <v>1.060648</v>
      </c>
      <c r="L944">
        <v>367.65570000000002</v>
      </c>
      <c r="M944">
        <v>0.99988960000000005</v>
      </c>
      <c r="N944">
        <v>-1.446621E-2</v>
      </c>
      <c r="O944">
        <v>-3.3982700000000001E-3</v>
      </c>
      <c r="P944">
        <v>0.95004840000000002</v>
      </c>
      <c r="Q944">
        <v>0.31022640000000001</v>
      </c>
      <c r="R944">
        <v>3.4172170000000002E-2</v>
      </c>
      <c r="S944">
        <v>3.5453489999999999</v>
      </c>
      <c r="T944">
        <v>-1.182806</v>
      </c>
      <c r="U944">
        <v>-2.163696E-2</v>
      </c>
      <c r="V944">
        <v>-3.7388850000000001E-2</v>
      </c>
      <c r="W944">
        <v>0.32393719999999998</v>
      </c>
      <c r="X944">
        <v>0.9453395</v>
      </c>
      <c r="Y944">
        <v>2.7186530000000001E-3</v>
      </c>
      <c r="Z944">
        <v>5.941535E-4</v>
      </c>
      <c r="AA944">
        <v>0.99999610000000005</v>
      </c>
      <c r="AB944">
        <v>33</v>
      </c>
      <c r="AC944">
        <v>0.677200000000027</v>
      </c>
      <c r="AD944">
        <v>-0.28111249999999999</v>
      </c>
      <c r="AE944">
        <v>-5.0000000000522899E-3</v>
      </c>
      <c r="AF944">
        <v>2.3018049393274099E-3</v>
      </c>
      <c r="AG944">
        <v>-0.28111249999999999</v>
      </c>
      <c r="AH944">
        <v>0.57767557746346898</v>
      </c>
      <c r="AI944">
        <v>115.948623599917</v>
      </c>
      <c r="AJ944">
        <v>89.771700560895894</v>
      </c>
      <c r="AK944">
        <v>0.64244735874620995</v>
      </c>
      <c r="AL944">
        <v>71.098802049970899</v>
      </c>
      <c r="AM944">
        <v>92.264908380350505</v>
      </c>
      <c r="AN944">
        <v>1.0000000029542</v>
      </c>
    </row>
    <row r="945" spans="1:40" x14ac:dyDescent="0.25">
      <c r="A945" t="str">
        <f>"20190304164838261"</f>
        <v>20190304164838261</v>
      </c>
      <c r="B945" t="str">
        <f>"1551689318257043"</f>
        <v>1551689318257043</v>
      </c>
      <c r="C945" t="s">
        <v>40</v>
      </c>
      <c r="D945">
        <v>4.9998089999999999</v>
      </c>
      <c r="E945">
        <v>0.55021580000000003</v>
      </c>
      <c r="F945" t="s">
        <v>41</v>
      </c>
      <c r="G945">
        <v>-287.44290000000001</v>
      </c>
      <c r="H945">
        <v>0.82714009999999905</v>
      </c>
      <c r="I945">
        <v>367.65159999999997</v>
      </c>
      <c r="J945">
        <v>-288.0034</v>
      </c>
      <c r="K945">
        <v>1.060651</v>
      </c>
      <c r="L945">
        <v>367.65519999999998</v>
      </c>
      <c r="M945">
        <v>0.99988969999999999</v>
      </c>
      <c r="N945">
        <v>-1.446483E-2</v>
      </c>
      <c r="O945">
        <v>-3.3983799999999999E-3</v>
      </c>
      <c r="P945">
        <v>0.95003309999999996</v>
      </c>
      <c r="Q945">
        <v>0.31028260000000002</v>
      </c>
      <c r="R945">
        <v>3.4087840000000001E-2</v>
      </c>
      <c r="S945">
        <v>3.5459290000000001</v>
      </c>
      <c r="T945">
        <v>-1.186741</v>
      </c>
      <c r="U945">
        <v>-1.9103999999999999E-2</v>
      </c>
      <c r="V945">
        <v>-3.730427E-2</v>
      </c>
      <c r="W945">
        <v>0.3239919</v>
      </c>
      <c r="X945">
        <v>0.9453241</v>
      </c>
      <c r="Y945">
        <v>2.0419800000000001E-3</v>
      </c>
      <c r="Z945">
        <v>7.1144440000000001E-4</v>
      </c>
      <c r="AA945">
        <v>0.99999769999999999</v>
      </c>
      <c r="AB945">
        <v>33</v>
      </c>
      <c r="AC945">
        <v>0.56049999999999001</v>
      </c>
      <c r="AD945">
        <v>-0.23351089999999999</v>
      </c>
      <c r="AE945">
        <v>-3.6000000000058199E-3</v>
      </c>
      <c r="AF945">
        <v>1.44431531549146E-3</v>
      </c>
      <c r="AG945">
        <v>-0.23351089999999999</v>
      </c>
      <c r="AH945">
        <v>0.47761499402412599</v>
      </c>
      <c r="AI945">
        <v>116.054383013009</v>
      </c>
      <c r="AJ945">
        <v>89.826737182353199</v>
      </c>
      <c r="AK945">
        <v>0.53164415635103701</v>
      </c>
      <c r="AL945">
        <v>71.0954893903954</v>
      </c>
      <c r="AM945">
        <v>92.259826861827094</v>
      </c>
      <c r="AN945">
        <v>1.0000000069333199</v>
      </c>
    </row>
    <row r="946" spans="1:40" x14ac:dyDescent="0.25">
      <c r="A946" t="str">
        <f>"20190304164838272"</f>
        <v>20190304164838272</v>
      </c>
      <c r="B946" t="str">
        <f>"1551689318266804"</f>
        <v>1551689318266804</v>
      </c>
      <c r="C946" t="s">
        <v>40</v>
      </c>
      <c r="D946">
        <v>4.8933400000000002</v>
      </c>
      <c r="E946">
        <v>0.54997890000000005</v>
      </c>
      <c r="F946" t="s">
        <v>41</v>
      </c>
      <c r="G946">
        <v>-287.1721</v>
      </c>
      <c r="H946">
        <v>0.78223480000000001</v>
      </c>
      <c r="I946">
        <v>367.65039999999999</v>
      </c>
      <c r="J946">
        <v>-287.84660000000002</v>
      </c>
      <c r="K946">
        <v>1.060651</v>
      </c>
      <c r="L946">
        <v>367.65469999999999</v>
      </c>
      <c r="M946">
        <v>0.99988969999999999</v>
      </c>
      <c r="N946">
        <v>-1.4463230000000001E-2</v>
      </c>
      <c r="O946">
        <v>-3.3982489999999999E-3</v>
      </c>
      <c r="P946">
        <v>0.94999359999999999</v>
      </c>
      <c r="Q946">
        <v>0.3104054</v>
      </c>
      <c r="R946">
        <v>3.4071709999999998E-2</v>
      </c>
      <c r="S946">
        <v>3.5463870000000002</v>
      </c>
      <c r="T946">
        <v>-1.1877040000000001</v>
      </c>
      <c r="U946">
        <v>-1.9409180000000002E-2</v>
      </c>
      <c r="V946">
        <v>-3.7287760000000003E-2</v>
      </c>
      <c r="W946">
        <v>0.32411230000000002</v>
      </c>
      <c r="X946">
        <v>0.94528350000000005</v>
      </c>
      <c r="Y946">
        <v>2.122924E-3</v>
      </c>
      <c r="Z946">
        <v>6.9811699999999897E-4</v>
      </c>
      <c r="AA946">
        <v>0.99999749999999998</v>
      </c>
      <c r="AB946">
        <v>32</v>
      </c>
      <c r="AC946">
        <v>0.67450000000002297</v>
      </c>
      <c r="AD946">
        <v>-0.278416199999999</v>
      </c>
      <c r="AE946">
        <v>-4.3000000000006297E-3</v>
      </c>
      <c r="AF946">
        <v>1.7153609275164E-3</v>
      </c>
      <c r="AG946">
        <v>-0.278416199999999</v>
      </c>
      <c r="AH946">
        <v>0.57631986516359102</v>
      </c>
      <c r="AI946">
        <v>115.784772273413</v>
      </c>
      <c r="AJ946">
        <v>89.829465098807503</v>
      </c>
      <c r="AK946">
        <v>0.64004930268513804</v>
      </c>
      <c r="AL946">
        <v>71.088197910699407</v>
      </c>
      <c r="AM946">
        <v>92.258924667708001</v>
      </c>
      <c r="AN946">
        <v>1.0000000277146699</v>
      </c>
    </row>
    <row r="947" spans="1:40" x14ac:dyDescent="0.25">
      <c r="A947" t="str">
        <f>"20190304164838283"</f>
        <v>20190304164838283</v>
      </c>
      <c r="B947" t="str">
        <f>"1551689318277540"</f>
        <v>1551689318277540</v>
      </c>
      <c r="C947" t="s">
        <v>40</v>
      </c>
      <c r="D947">
        <v>4.5825319999999996</v>
      </c>
      <c r="E947">
        <v>0.54999019999999899</v>
      </c>
      <c r="F947" t="s">
        <v>41</v>
      </c>
      <c r="G947">
        <v>-287.15260000000001</v>
      </c>
      <c r="H947">
        <v>0.82735040000000004</v>
      </c>
      <c r="I947">
        <v>367.65120000000002</v>
      </c>
      <c r="J947">
        <v>-287.69439999999997</v>
      </c>
      <c r="K947">
        <v>1.0606469999999999</v>
      </c>
      <c r="L947">
        <v>367.6542</v>
      </c>
      <c r="M947">
        <v>0.99988969999999999</v>
      </c>
      <c r="N947">
        <v>-1.4461679999999999E-2</v>
      </c>
      <c r="O947">
        <v>-3.398238E-3</v>
      </c>
      <c r="P947">
        <v>0.95004250000000001</v>
      </c>
      <c r="Q947">
        <v>0.31023820000000002</v>
      </c>
      <c r="R947">
        <v>3.4226550000000001E-2</v>
      </c>
      <c r="S947">
        <v>3.548187</v>
      </c>
      <c r="T947">
        <v>-1.1926399999999999</v>
      </c>
      <c r="U947">
        <v>-1.6326899999999998E-2</v>
      </c>
      <c r="V947">
        <v>-3.7442389999999999E-2</v>
      </c>
      <c r="W947">
        <v>0.32394440000000002</v>
      </c>
      <c r="X947">
        <v>0.94533489999999998</v>
      </c>
      <c r="Y947">
        <v>1.299255E-3</v>
      </c>
      <c r="Z947">
        <v>8.416087E-4</v>
      </c>
      <c r="AA947">
        <v>0.99999879999999997</v>
      </c>
      <c r="AB947">
        <v>32</v>
      </c>
      <c r="AC947">
        <v>0.54179999999996598</v>
      </c>
      <c r="AD947">
        <v>-0.23329659999999899</v>
      </c>
      <c r="AE947">
        <v>-2.9999999999858998E-3</v>
      </c>
      <c r="AF947">
        <v>9.7740701523359392E-4</v>
      </c>
      <c r="AG947">
        <v>-0.23329659999999899</v>
      </c>
      <c r="AH947">
        <v>0.45706427289731899</v>
      </c>
      <c r="AI947">
        <v>117.04080673255</v>
      </c>
      <c r="AJ947">
        <v>89.877476287698101</v>
      </c>
      <c r="AK947">
        <v>0.51316275045563098</v>
      </c>
      <c r="AL947">
        <v>71.098365753848995</v>
      </c>
      <c r="AM947">
        <v>92.268159319052401</v>
      </c>
      <c r="AN947">
        <v>0.99999999000914097</v>
      </c>
    </row>
    <row r="948" spans="1:40" x14ac:dyDescent="0.25">
      <c r="A948" t="str">
        <f>"20190304164838293"</f>
        <v>20190304164838293</v>
      </c>
      <c r="B948" t="str">
        <f>"1551689318287299"</f>
        <v>1551689318287299</v>
      </c>
      <c r="C948" t="s">
        <v>40</v>
      </c>
      <c r="D948">
        <v>4.5558360000000002</v>
      </c>
      <c r="E948">
        <v>0.55003009999999997</v>
      </c>
      <c r="F948" t="s">
        <v>41</v>
      </c>
      <c r="G948">
        <v>-286.88029999999998</v>
      </c>
      <c r="H948">
        <v>0.78667119999999902</v>
      </c>
      <c r="I948">
        <v>367.65030000000002</v>
      </c>
      <c r="J948">
        <v>-287.53949999999998</v>
      </c>
      <c r="K948">
        <v>1.060646</v>
      </c>
      <c r="L948">
        <v>367.65359999999998</v>
      </c>
      <c r="M948">
        <v>0.99988980000000005</v>
      </c>
      <c r="N948">
        <v>-1.44601E-2</v>
      </c>
      <c r="O948">
        <v>-3.3982259999999999E-3</v>
      </c>
      <c r="P948">
        <v>0.95001159999999996</v>
      </c>
      <c r="Q948">
        <v>0.31032850000000001</v>
      </c>
      <c r="R948">
        <v>3.4268409999999999E-2</v>
      </c>
      <c r="S948">
        <v>3.5483090000000002</v>
      </c>
      <c r="T948">
        <v>-1.194207</v>
      </c>
      <c r="U948">
        <v>-1.5716549999999999E-2</v>
      </c>
      <c r="V948">
        <v>-3.7484459999999997E-2</v>
      </c>
      <c r="W948">
        <v>0.32403330000000002</v>
      </c>
      <c r="X948">
        <v>0.9453028</v>
      </c>
      <c r="Y948">
        <v>1.136729E-3</v>
      </c>
      <c r="Z948">
        <v>8.705284E-4</v>
      </c>
      <c r="AA948">
        <v>0.99999899999999997</v>
      </c>
      <c r="AB948">
        <v>32</v>
      </c>
      <c r="AC948">
        <v>0.65919999999999801</v>
      </c>
      <c r="AD948">
        <v>-0.27397480000000002</v>
      </c>
      <c r="AE948">
        <v>-3.2999999999674301E-3</v>
      </c>
      <c r="AF948">
        <v>9.0356132522744002E-4</v>
      </c>
      <c r="AG948">
        <v>-0.27397480000000002</v>
      </c>
      <c r="AH948">
        <v>0.56211197702511295</v>
      </c>
      <c r="AI948">
        <v>115.98469202440501</v>
      </c>
      <c r="AJ948">
        <v>89.907900546521404</v>
      </c>
      <c r="AK948">
        <v>0.62532622060264698</v>
      </c>
      <c r="AL948">
        <v>71.092982417152498</v>
      </c>
      <c r="AM948">
        <v>92.270782166839396</v>
      </c>
      <c r="AN948">
        <v>1.00000002396911</v>
      </c>
    </row>
    <row r="949" spans="1:40" x14ac:dyDescent="0.25">
      <c r="A949" t="str">
        <f>"20190304164838303"</f>
        <v>20190304164838303</v>
      </c>
      <c r="B949" t="str">
        <f>"1551689318297060"</f>
        <v>1551689318297060</v>
      </c>
      <c r="C949" t="s">
        <v>40</v>
      </c>
      <c r="D949">
        <v>4.5351679999999996</v>
      </c>
      <c r="E949">
        <v>0.55003979999999997</v>
      </c>
      <c r="F949" t="s">
        <v>41</v>
      </c>
      <c r="G949">
        <v>-286.86059999999998</v>
      </c>
      <c r="H949">
        <v>0.83220090000000002</v>
      </c>
      <c r="I949">
        <v>367.65030000000002</v>
      </c>
      <c r="J949">
        <v>-287.38839999999999</v>
      </c>
      <c r="K949">
        <v>1.0606469999999999</v>
      </c>
      <c r="L949">
        <v>367.65309999999999</v>
      </c>
      <c r="M949">
        <v>0.99988980000000005</v>
      </c>
      <c r="N949">
        <v>-1.4458550000000001E-2</v>
      </c>
      <c r="O949">
        <v>-3.398215E-3</v>
      </c>
      <c r="P949">
        <v>0.94995879999999999</v>
      </c>
      <c r="Q949">
        <v>0.31048179999999997</v>
      </c>
      <c r="R949">
        <v>3.4343100000000001E-2</v>
      </c>
      <c r="S949">
        <v>3.5484619999999998</v>
      </c>
      <c r="T949">
        <v>-1.194015</v>
      </c>
      <c r="U949">
        <v>-1.638794E-2</v>
      </c>
      <c r="V949">
        <v>-3.7559040000000002E-2</v>
      </c>
      <c r="W949">
        <v>0.32418400000000003</v>
      </c>
      <c r="X949">
        <v>0.94524810000000004</v>
      </c>
      <c r="Y949">
        <v>1.315416E-3</v>
      </c>
      <c r="Z949">
        <v>8.3976630000000003E-4</v>
      </c>
      <c r="AA949">
        <v>0.99999879999999997</v>
      </c>
      <c r="AB949">
        <v>32</v>
      </c>
      <c r="AC949">
        <v>0.52780000000001304</v>
      </c>
      <c r="AD949">
        <v>-0.22844609999999901</v>
      </c>
      <c r="AE949">
        <v>-2.7999999999792601E-3</v>
      </c>
      <c r="AF949">
        <v>8.4746050887333504E-4</v>
      </c>
      <c r="AG949">
        <v>-0.22844609999999901</v>
      </c>
      <c r="AH949">
        <v>0.444530762041696</v>
      </c>
      <c r="AI949">
        <v>117.198766796841</v>
      </c>
      <c r="AJ949">
        <v>89.890770547767303</v>
      </c>
      <c r="AK949">
        <v>0.499795895537263</v>
      </c>
      <c r="AL949">
        <v>71.083853981430906</v>
      </c>
      <c r="AM949">
        <v>92.275426956287902</v>
      </c>
      <c r="AN949">
        <v>0.99999995894766402</v>
      </c>
    </row>
    <row r="950" spans="1:40" x14ac:dyDescent="0.25">
      <c r="A950" t="str">
        <f>"20190304164838314"</f>
        <v>20190304164838314</v>
      </c>
      <c r="B950" t="str">
        <f>"1551689318306819"</f>
        <v>1551689318306819</v>
      </c>
      <c r="C950" t="s">
        <v>40</v>
      </c>
      <c r="D950">
        <v>4.6506629999999998</v>
      </c>
      <c r="E950">
        <v>0.5499752</v>
      </c>
      <c r="F950" t="s">
        <v>41</v>
      </c>
      <c r="G950">
        <v>-286.58879999999999</v>
      </c>
      <c r="H950">
        <v>0.79159139999999995</v>
      </c>
      <c r="I950">
        <v>367.64920000000001</v>
      </c>
      <c r="J950">
        <v>-287.23469999999998</v>
      </c>
      <c r="K950">
        <v>1.0606549999999999</v>
      </c>
      <c r="L950">
        <v>367.65260000000001</v>
      </c>
      <c r="M950">
        <v>0.99988980000000005</v>
      </c>
      <c r="N950">
        <v>-1.445697E-2</v>
      </c>
      <c r="O950">
        <v>-3.3982040000000002E-3</v>
      </c>
      <c r="P950">
        <v>0.94996740000000002</v>
      </c>
      <c r="Q950">
        <v>0.31049680000000002</v>
      </c>
      <c r="R950">
        <v>3.3965450000000001E-2</v>
      </c>
      <c r="S950">
        <v>3.5489199999999999</v>
      </c>
      <c r="T950">
        <v>-1.194099</v>
      </c>
      <c r="U950">
        <v>-1.6845699999999901E-2</v>
      </c>
      <c r="V950">
        <v>-3.7181140000000001E-2</v>
      </c>
      <c r="W950">
        <v>0.32419750000000003</v>
      </c>
      <c r="X950">
        <v>0.94525840000000005</v>
      </c>
      <c r="Y950">
        <v>1.436814E-3</v>
      </c>
      <c r="Z950">
        <v>8.18941E-4</v>
      </c>
      <c r="AA950">
        <v>0.99999859999999896</v>
      </c>
      <c r="AB950">
        <v>32</v>
      </c>
      <c r="AC950">
        <v>0.64589999999998304</v>
      </c>
      <c r="AD950">
        <v>-0.26906359999999901</v>
      </c>
      <c r="AE950">
        <v>-3.3999999999991802E-3</v>
      </c>
      <c r="AF950">
        <v>1.0266922506837501E-3</v>
      </c>
      <c r="AG950">
        <v>-0.26906359999999901</v>
      </c>
      <c r="AH950">
        <v>0.55039873229337</v>
      </c>
      <c r="AI950">
        <v>116.051756729066</v>
      </c>
      <c r="AJ950">
        <v>89.893122819616096</v>
      </c>
      <c r="AK950">
        <v>0.61264593318823801</v>
      </c>
      <c r="AL950">
        <v>71.083036142328396</v>
      </c>
      <c r="AM950">
        <v>92.252531948330301</v>
      </c>
      <c r="AN950">
        <v>0.99999994947425297</v>
      </c>
    </row>
    <row r="951" spans="1:40" x14ac:dyDescent="0.25">
      <c r="A951" t="str">
        <f>"20190304164838326"</f>
        <v>20190304164838326</v>
      </c>
      <c r="B951" t="str">
        <f>"1551689318317556"</f>
        <v>1551689318317556</v>
      </c>
      <c r="C951" t="s">
        <v>40</v>
      </c>
      <c r="D951">
        <v>4.6537230000000003</v>
      </c>
      <c r="E951">
        <v>0.54992540000000001</v>
      </c>
      <c r="F951" t="s">
        <v>41</v>
      </c>
      <c r="G951">
        <v>-286.56920000000002</v>
      </c>
      <c r="H951">
        <v>0.83651759999999997</v>
      </c>
      <c r="I951">
        <v>367.64929999999998</v>
      </c>
      <c r="J951">
        <v>-287.077</v>
      </c>
      <c r="K951">
        <v>1.060656</v>
      </c>
      <c r="L951">
        <v>367.65210000000002</v>
      </c>
      <c r="M951">
        <v>0.9998899</v>
      </c>
      <c r="N951">
        <v>-1.4455340000000001E-2</v>
      </c>
      <c r="O951">
        <v>-3.398192E-3</v>
      </c>
      <c r="P951">
        <v>0.94994400000000001</v>
      </c>
      <c r="Q951">
        <v>0.31057859999999998</v>
      </c>
      <c r="R951">
        <v>3.3876120000000003E-2</v>
      </c>
      <c r="S951">
        <v>3.5493160000000001</v>
      </c>
      <c r="T951">
        <v>-1.1952560000000001</v>
      </c>
      <c r="U951">
        <v>-1.6876220000000001E-2</v>
      </c>
      <c r="V951">
        <v>-3.7092159999999999E-2</v>
      </c>
      <c r="W951">
        <v>0.3242778</v>
      </c>
      <c r="X951">
        <v>0.94523440000000003</v>
      </c>
      <c r="Y951">
        <v>1.4446089999999999E-3</v>
      </c>
      <c r="Z951">
        <v>8.1832309999999996E-4</v>
      </c>
      <c r="AA951">
        <v>0.99999859999999896</v>
      </c>
      <c r="AB951">
        <v>32</v>
      </c>
      <c r="AC951">
        <v>0.50779999999997405</v>
      </c>
      <c r="AD951">
        <v>-0.22413839999999999</v>
      </c>
      <c r="AE951">
        <v>-2.8000000000361E-3</v>
      </c>
      <c r="AF951">
        <v>8.9904900179844601E-4</v>
      </c>
      <c r="AG951">
        <v>-0.22413839999999999</v>
      </c>
      <c r="AH951">
        <v>0.42500670171153099</v>
      </c>
      <c r="AI951">
        <v>117.806042517366</v>
      </c>
      <c r="AJ951">
        <v>89.878798060510206</v>
      </c>
      <c r="AK951">
        <v>0.48048884185106999</v>
      </c>
      <c r="AL951">
        <v>71.078173440468206</v>
      </c>
      <c r="AM951">
        <v>92.247203834889802</v>
      </c>
      <c r="AN951">
        <v>0.99999999542483198</v>
      </c>
    </row>
    <row r="952" spans="1:40" x14ac:dyDescent="0.25">
      <c r="A952" t="str">
        <f>"20190304164838337"</f>
        <v>20190304164838337</v>
      </c>
      <c r="B952" t="str">
        <f>"1551689318327316"</f>
        <v>1551689318327316</v>
      </c>
      <c r="C952" t="s">
        <v>40</v>
      </c>
      <c r="D952">
        <v>4.6388759999999998</v>
      </c>
      <c r="E952">
        <v>0.5498731</v>
      </c>
      <c r="F952" t="s">
        <v>41</v>
      </c>
      <c r="G952">
        <v>-286.29689999999999</v>
      </c>
      <c r="H952">
        <v>0.79778669999999996</v>
      </c>
      <c r="I952">
        <v>367.64830000000001</v>
      </c>
      <c r="J952">
        <v>-286.90890000000002</v>
      </c>
      <c r="K952">
        <v>1.060657</v>
      </c>
      <c r="L952">
        <v>367.6515</v>
      </c>
      <c r="M952">
        <v>0.9998899</v>
      </c>
      <c r="N952">
        <v>-1.44536E-2</v>
      </c>
      <c r="O952">
        <v>-3.398299E-3</v>
      </c>
      <c r="P952">
        <v>0.94990960000000002</v>
      </c>
      <c r="Q952">
        <v>0.31073210000000001</v>
      </c>
      <c r="R952">
        <v>3.3429800000000003E-2</v>
      </c>
      <c r="S952">
        <v>3.549744</v>
      </c>
      <c r="T952">
        <v>-1.1961059999999999</v>
      </c>
      <c r="U952">
        <v>-1.5625E-2</v>
      </c>
      <c r="V952">
        <v>-3.6645289999999997E-2</v>
      </c>
      <c r="W952">
        <v>0.32442890000000002</v>
      </c>
      <c r="X952">
        <v>0.94520000000000004</v>
      </c>
      <c r="Y952">
        <v>1.11085E-3</v>
      </c>
      <c r="Z952">
        <v>8.7605530000000004E-4</v>
      </c>
      <c r="AA952">
        <v>0.99999899999999997</v>
      </c>
      <c r="AB952">
        <v>32</v>
      </c>
      <c r="AC952">
        <v>0.61200000000002297</v>
      </c>
      <c r="AD952">
        <v>-0.2628703</v>
      </c>
      <c r="AE952">
        <v>-3.19999999999254E-3</v>
      </c>
      <c r="AF952">
        <v>9.4556082964649497E-4</v>
      </c>
      <c r="AG952">
        <v>-0.2628703</v>
      </c>
      <c r="AH952">
        <v>0.51668509684277197</v>
      </c>
      <c r="AI952">
        <v>116.965272749721</v>
      </c>
      <c r="AJ952">
        <v>89.895145835128702</v>
      </c>
      <c r="AK952">
        <v>0.57971128849350295</v>
      </c>
      <c r="AL952">
        <v>71.069021612999705</v>
      </c>
      <c r="AM952">
        <v>92.220238490731703</v>
      </c>
      <c r="AN952">
        <v>1.0000000142171901</v>
      </c>
    </row>
    <row r="953" spans="1:40" x14ac:dyDescent="0.25">
      <c r="A953" t="str">
        <f>"20190304164838348"</f>
        <v>20190304164838348</v>
      </c>
      <c r="B953" t="str">
        <f>"1551689318337076"</f>
        <v>1551689318337076</v>
      </c>
      <c r="C953" t="s">
        <v>40</v>
      </c>
      <c r="D953">
        <v>4.6347740000000002</v>
      </c>
      <c r="E953">
        <v>0.54980130000000005</v>
      </c>
      <c r="F953" t="s">
        <v>41</v>
      </c>
      <c r="G953">
        <v>-286.02289999999999</v>
      </c>
      <c r="H953">
        <v>0.76202239999999999</v>
      </c>
      <c r="I953">
        <v>367.6472</v>
      </c>
      <c r="J953">
        <v>-286.74099999999999</v>
      </c>
      <c r="K953">
        <v>1.0606580000000001</v>
      </c>
      <c r="L953">
        <v>367.65089999999998</v>
      </c>
      <c r="M953">
        <v>0.9998899</v>
      </c>
      <c r="N953">
        <v>-1.4451830000000001E-2</v>
      </c>
      <c r="O953">
        <v>-3.3981670000000001E-3</v>
      </c>
      <c r="P953">
        <v>0.94989049999999997</v>
      </c>
      <c r="Q953">
        <v>0.31081779999999998</v>
      </c>
      <c r="R953">
        <v>3.3173620000000001E-2</v>
      </c>
      <c r="S953">
        <v>3.5502009999999999</v>
      </c>
      <c r="T953">
        <v>-1.196696</v>
      </c>
      <c r="U953">
        <v>-1.6052250000000001E-2</v>
      </c>
      <c r="V953">
        <v>-3.6389089999999999E-2</v>
      </c>
      <c r="W953">
        <v>0.32451279999999999</v>
      </c>
      <c r="X953">
        <v>0.9451811</v>
      </c>
      <c r="Y953">
        <v>1.224281E-3</v>
      </c>
      <c r="Z953">
        <v>8.5689770000000004E-4</v>
      </c>
      <c r="AA953">
        <v>0.99999890000000002</v>
      </c>
      <c r="AB953">
        <v>32</v>
      </c>
      <c r="AC953">
        <v>0.71809999999999197</v>
      </c>
      <c r="AD953">
        <v>-0.2986356</v>
      </c>
      <c r="AE953">
        <v>-3.69999999998071E-3</v>
      </c>
      <c r="AF953">
        <v>1.0737954230560301E-3</v>
      </c>
      <c r="AG953">
        <v>-0.2986356</v>
      </c>
      <c r="AH953">
        <v>0.61222815063908398</v>
      </c>
      <c r="AI953">
        <v>116.002382904336</v>
      </c>
      <c r="AJ953">
        <v>89.899508242718696</v>
      </c>
      <c r="AK953">
        <v>0.68118109417314499</v>
      </c>
      <c r="AL953">
        <v>71.063939599717699</v>
      </c>
      <c r="AM953">
        <v>92.204775443960997</v>
      </c>
      <c r="AN953">
        <v>1.00000001751603</v>
      </c>
    </row>
    <row r="954" spans="1:40" x14ac:dyDescent="0.25">
      <c r="A954" t="str">
        <f>"20190304164838359"</f>
        <v>20190304164838359</v>
      </c>
      <c r="B954" t="str">
        <f>"1551689318346836"</f>
        <v>1551689318346836</v>
      </c>
      <c r="C954" t="s">
        <v>40</v>
      </c>
      <c r="D954">
        <v>4.6241770000000004</v>
      </c>
      <c r="E954">
        <v>0.54976179999999997</v>
      </c>
      <c r="F954" t="s">
        <v>41</v>
      </c>
      <c r="G954">
        <v>-286.00209999999998</v>
      </c>
      <c r="H954">
        <v>0.81137720000000002</v>
      </c>
      <c r="I954">
        <v>367.6474</v>
      </c>
      <c r="J954">
        <v>-286.5926</v>
      </c>
      <c r="K954">
        <v>1.0606599999999999</v>
      </c>
      <c r="L954">
        <v>367.65039999999999</v>
      </c>
      <c r="M954">
        <v>0.9998899</v>
      </c>
      <c r="N954">
        <v>-1.4450269999999999E-2</v>
      </c>
      <c r="O954">
        <v>-3.3981559999999998E-3</v>
      </c>
      <c r="P954">
        <v>0.94986409999999999</v>
      </c>
      <c r="Q954">
        <v>0.31091990000000003</v>
      </c>
      <c r="R954">
        <v>3.297551E-2</v>
      </c>
      <c r="S954">
        <v>3.550751</v>
      </c>
      <c r="T954">
        <v>-1.197953</v>
      </c>
      <c r="U954">
        <v>-1.580811E-2</v>
      </c>
      <c r="V954">
        <v>-3.6190819999999999E-2</v>
      </c>
      <c r="W954">
        <v>0.3246134</v>
      </c>
      <c r="X954">
        <v>0.9451541</v>
      </c>
      <c r="Y954">
        <v>1.1588200000000001E-3</v>
      </c>
      <c r="Z954">
        <v>8.6890860000000004E-4</v>
      </c>
      <c r="AA954">
        <v>0.99999890000000002</v>
      </c>
      <c r="AB954">
        <v>32</v>
      </c>
      <c r="AC954">
        <v>0.59050000000002001</v>
      </c>
      <c r="AD954">
        <v>-0.249282799999999</v>
      </c>
      <c r="AE954">
        <v>-2.9999999999858998E-3</v>
      </c>
      <c r="AF954">
        <v>8.4294112251038795E-4</v>
      </c>
      <c r="AG954">
        <v>-0.249282799999999</v>
      </c>
      <c r="AH954">
        <v>0.50118948890923798</v>
      </c>
      <c r="AI954">
        <v>116.444908509789</v>
      </c>
      <c r="AJ954">
        <v>89.903635402922205</v>
      </c>
      <c r="AK954">
        <v>0.55976202865028202</v>
      </c>
      <c r="AL954">
        <v>71.0578444956044</v>
      </c>
      <c r="AM954">
        <v>92.192836818043006</v>
      </c>
      <c r="AN954">
        <v>0.99999995382932005</v>
      </c>
    </row>
    <row r="955" spans="1:40" x14ac:dyDescent="0.25">
      <c r="A955" t="str">
        <f>"20190304164838370"</f>
        <v>20190304164838370</v>
      </c>
      <c r="B955" t="str">
        <f>"1551689318367332"</f>
        <v>1551689318367332</v>
      </c>
      <c r="C955" t="s">
        <v>40</v>
      </c>
      <c r="D955">
        <v>4.6269</v>
      </c>
      <c r="E955">
        <v>0.549655</v>
      </c>
      <c r="F955" t="s">
        <v>41</v>
      </c>
      <c r="G955">
        <v>-285.7312</v>
      </c>
      <c r="H955">
        <v>0.76995419999999903</v>
      </c>
      <c r="I955">
        <v>367.64609999999999</v>
      </c>
      <c r="J955">
        <v>-286.43209999999999</v>
      </c>
      <c r="K955">
        <v>1.0606599999999999</v>
      </c>
      <c r="L955">
        <v>367.6499</v>
      </c>
      <c r="M955">
        <v>0.9998899</v>
      </c>
      <c r="N955">
        <v>-1.4448600000000001E-2</v>
      </c>
      <c r="O955">
        <v>-3.3981430000000002E-3</v>
      </c>
      <c r="P955">
        <v>0.94977619999999896</v>
      </c>
      <c r="Q955">
        <v>0.31118639999999997</v>
      </c>
      <c r="R955">
        <v>3.2986639999999998E-2</v>
      </c>
      <c r="S955">
        <v>3.5512700000000001</v>
      </c>
      <c r="T955">
        <v>-1.198404</v>
      </c>
      <c r="U955">
        <v>-1.6510009999999999E-2</v>
      </c>
      <c r="V955">
        <v>-3.6201770000000001E-2</v>
      </c>
      <c r="W955">
        <v>0.32487680000000002</v>
      </c>
      <c r="X955">
        <v>0.94506319999999999</v>
      </c>
      <c r="Y955">
        <v>1.345092E-3</v>
      </c>
      <c r="Z955">
        <v>8.3714770000000002E-4</v>
      </c>
      <c r="AA955">
        <v>0.99999870000000002</v>
      </c>
      <c r="AB955">
        <v>32</v>
      </c>
      <c r="AC955">
        <v>0.70089999999998998</v>
      </c>
      <c r="AD955">
        <v>-0.29070580000000001</v>
      </c>
      <c r="AE955">
        <v>-3.8000000000124601E-3</v>
      </c>
      <c r="AF955">
        <v>1.2098508676488999E-3</v>
      </c>
      <c r="AG955">
        <v>-0.29070580000000001</v>
      </c>
      <c r="AH955">
        <v>0.59803418224205396</v>
      </c>
      <c r="AI955">
        <v>115.924447720893</v>
      </c>
      <c r="AJ955">
        <v>89.884088140700001</v>
      </c>
      <c r="AK955">
        <v>0.66494827544906399</v>
      </c>
      <c r="AL955">
        <v>71.041888436827904</v>
      </c>
      <c r="AM955">
        <v>92.193710414701599</v>
      </c>
      <c r="AN955">
        <v>0.99999997766180604</v>
      </c>
    </row>
    <row r="956" spans="1:40" x14ac:dyDescent="0.25">
      <c r="A956" t="str">
        <f>"20190304164838381"</f>
        <v>20190304164838381</v>
      </c>
      <c r="B956" t="str">
        <f>"1551689318377095"</f>
        <v>1551689318377095</v>
      </c>
      <c r="C956" t="s">
        <v>40</v>
      </c>
      <c r="D956">
        <v>4.6161570000000003</v>
      </c>
      <c r="E956">
        <v>0.5496181</v>
      </c>
      <c r="F956" t="s">
        <v>41</v>
      </c>
      <c r="G956">
        <v>-285.71109999999999</v>
      </c>
      <c r="H956">
        <v>0.8172005</v>
      </c>
      <c r="I956">
        <v>367.64640000000003</v>
      </c>
      <c r="J956">
        <v>-286.2645</v>
      </c>
      <c r="K956">
        <v>1.060665</v>
      </c>
      <c r="L956">
        <v>367.64929999999998</v>
      </c>
      <c r="M956">
        <v>0.9998899</v>
      </c>
      <c r="N956">
        <v>-1.4446850000000001E-2</v>
      </c>
      <c r="O956">
        <v>-3.398131E-3</v>
      </c>
      <c r="P956">
        <v>0.94979499999999994</v>
      </c>
      <c r="Q956">
        <v>0.31112859999999998</v>
      </c>
      <c r="R956">
        <v>3.2990140000000001E-2</v>
      </c>
      <c r="S956">
        <v>3.5521240000000001</v>
      </c>
      <c r="T956">
        <v>-1.1993119999999999</v>
      </c>
      <c r="U956">
        <v>-1.5777590000000001E-2</v>
      </c>
      <c r="V956">
        <v>-3.6205250000000001E-2</v>
      </c>
      <c r="W956">
        <v>0.32481769999999999</v>
      </c>
      <c r="X956">
        <v>0.94508340000000002</v>
      </c>
      <c r="Y956">
        <v>1.149256E-3</v>
      </c>
      <c r="Z956">
        <v>8.7121339999999897E-4</v>
      </c>
      <c r="AA956">
        <v>0.99999899999999997</v>
      </c>
      <c r="AB956">
        <v>32</v>
      </c>
      <c r="AC956">
        <v>0.55340000000001</v>
      </c>
      <c r="AD956">
        <v>-0.2434645</v>
      </c>
      <c r="AE956">
        <v>-2.8999999999541602E-3</v>
      </c>
      <c r="AF956">
        <v>8.5397843658076799E-4</v>
      </c>
      <c r="AG956">
        <v>-0.2434645</v>
      </c>
      <c r="AH956">
        <v>0.46366651128804098</v>
      </c>
      <c r="AI956">
        <v>117.703266981718</v>
      </c>
      <c r="AJ956">
        <v>89.894473066969397</v>
      </c>
      <c r="AK956">
        <v>0.52370060695920895</v>
      </c>
      <c r="AL956">
        <v>71.0454691468574</v>
      </c>
      <c r="AM956">
        <v>92.193874238858399</v>
      </c>
      <c r="AN956">
        <v>0.99999999565820596</v>
      </c>
    </row>
    <row r="957" spans="1:40" x14ac:dyDescent="0.25">
      <c r="A957" t="str">
        <f>"20190304164838392"</f>
        <v>20190304164838392</v>
      </c>
      <c r="B957" t="str">
        <f>"1551689318386851"</f>
        <v>1551689318386851</v>
      </c>
      <c r="C957" t="s">
        <v>40</v>
      </c>
      <c r="D957">
        <v>4.6152670000000002</v>
      </c>
      <c r="E957">
        <v>0.54958019999999996</v>
      </c>
      <c r="F957" t="s">
        <v>41</v>
      </c>
      <c r="G957">
        <v>-285.43830000000003</v>
      </c>
      <c r="H957">
        <v>0.7815183</v>
      </c>
      <c r="I957">
        <v>367.64519999999999</v>
      </c>
      <c r="J957">
        <v>-286.1037</v>
      </c>
      <c r="K957">
        <v>1.060665</v>
      </c>
      <c r="L957">
        <v>367.64879999999999</v>
      </c>
      <c r="M957">
        <v>0.99988999999999995</v>
      </c>
      <c r="N957">
        <v>-1.444516E-2</v>
      </c>
      <c r="O957">
        <v>-3.3981189999999998E-3</v>
      </c>
      <c r="P957">
        <v>0.94972020000000001</v>
      </c>
      <c r="Q957">
        <v>0.31136229999999998</v>
      </c>
      <c r="R957">
        <v>3.2943170000000001E-2</v>
      </c>
      <c r="S957">
        <v>3.5522770000000001</v>
      </c>
      <c r="T957">
        <v>-1.2000690000000001</v>
      </c>
      <c r="U957">
        <v>-1.6754149999999999E-2</v>
      </c>
      <c r="V957">
        <v>-3.6158049999999997E-2</v>
      </c>
      <c r="W957">
        <v>0.32504860000000002</v>
      </c>
      <c r="X957">
        <v>0.94500580000000001</v>
      </c>
      <c r="Y957">
        <v>1.4090420000000001E-3</v>
      </c>
      <c r="Z957">
        <v>8.2710779999999897E-4</v>
      </c>
      <c r="AA957">
        <v>0.99999870000000002</v>
      </c>
      <c r="AB957">
        <v>32</v>
      </c>
      <c r="AC957">
        <v>0.66539999999997601</v>
      </c>
      <c r="AD957">
        <v>-0.27914669999999903</v>
      </c>
      <c r="AE957">
        <v>-3.6000000000058199E-3</v>
      </c>
      <c r="AF957">
        <v>1.1383053745948799E-3</v>
      </c>
      <c r="AG957">
        <v>-0.27914669999999903</v>
      </c>
      <c r="AH957">
        <v>0.56582852751455004</v>
      </c>
      <c r="AI957">
        <v>116.25899032459699</v>
      </c>
      <c r="AJ957">
        <v>89.884735387833501</v>
      </c>
      <c r="AK957">
        <v>0.63094064571027497</v>
      </c>
      <c r="AL957">
        <v>71.031480165824703</v>
      </c>
      <c r="AM957">
        <v>92.191196663784396</v>
      </c>
      <c r="AN957">
        <v>0.99999997948770103</v>
      </c>
    </row>
    <row r="958" spans="1:40" x14ac:dyDescent="0.25">
      <c r="A958" t="str">
        <f>"20190304164838405"</f>
        <v>20190304164838405</v>
      </c>
      <c r="B958" t="str">
        <f>"1551689318397588"</f>
        <v>1551689318397588</v>
      </c>
      <c r="C958" t="s">
        <v>40</v>
      </c>
      <c r="D958">
        <v>4.5944960000000004</v>
      </c>
      <c r="E958">
        <v>0.54954259999999999</v>
      </c>
      <c r="F958" t="s">
        <v>41</v>
      </c>
      <c r="G958">
        <v>-285.4178</v>
      </c>
      <c r="H958">
        <v>0.82898579999999999</v>
      </c>
      <c r="I958">
        <v>367.64530000000002</v>
      </c>
      <c r="J958">
        <v>-285.94069999999999</v>
      </c>
      <c r="K958">
        <v>1.060665</v>
      </c>
      <c r="L958">
        <v>367.64819999999997</v>
      </c>
      <c r="M958">
        <v>0.9998899</v>
      </c>
      <c r="N958">
        <v>-1.444343E-2</v>
      </c>
      <c r="O958">
        <v>-3.3979869999999999E-3</v>
      </c>
      <c r="P958">
        <v>0.94974740000000002</v>
      </c>
      <c r="Q958">
        <v>0.31128929999999999</v>
      </c>
      <c r="R958">
        <v>3.2844249999999998E-2</v>
      </c>
      <c r="S958">
        <v>3.5527950000000001</v>
      </c>
      <c r="T958">
        <v>-1.199924</v>
      </c>
      <c r="U958">
        <v>-1.663208E-2</v>
      </c>
      <c r="V958">
        <v>-3.6058989999999999E-2</v>
      </c>
      <c r="W958">
        <v>0.32497419999999999</v>
      </c>
      <c r="X958">
        <v>0.94503519999999996</v>
      </c>
      <c r="Y958">
        <v>1.375986E-3</v>
      </c>
      <c r="Z958">
        <v>8.3252550000000004E-4</v>
      </c>
      <c r="AA958">
        <v>0.99999870000000002</v>
      </c>
      <c r="AB958">
        <v>32</v>
      </c>
      <c r="AC958">
        <v>0.52289999999999204</v>
      </c>
      <c r="AD958">
        <v>-0.2316792</v>
      </c>
      <c r="AE958">
        <v>-2.8999999999541602E-3</v>
      </c>
      <c r="AF958">
        <v>9.3871865671968997E-4</v>
      </c>
      <c r="AG958">
        <v>-0.2316792</v>
      </c>
      <c r="AH958">
        <v>0.43710291205163798</v>
      </c>
      <c r="AI958">
        <v>117.92503490435</v>
      </c>
      <c r="AJ958">
        <v>89.8769522393698</v>
      </c>
      <c r="AK958">
        <v>0.49470707355907001</v>
      </c>
      <c r="AL958">
        <v>71.035988193509894</v>
      </c>
      <c r="AM958">
        <v>92.185131488230297</v>
      </c>
      <c r="AN958">
        <v>1.00000000533225</v>
      </c>
    </row>
    <row r="959" spans="1:40" x14ac:dyDescent="0.25">
      <c r="A959" t="str">
        <f>"20190304164838417"</f>
        <v>20190304164838417</v>
      </c>
      <c r="B959" t="str">
        <f>"1551689318407348"</f>
        <v>1551689318407348</v>
      </c>
      <c r="C959" t="s">
        <v>40</v>
      </c>
      <c r="D959">
        <v>4.5897290000000002</v>
      </c>
      <c r="E959">
        <v>0.54951269999999997</v>
      </c>
      <c r="F959" t="s">
        <v>41</v>
      </c>
      <c r="G959">
        <v>-285.14600000000002</v>
      </c>
      <c r="H959">
        <v>0.79206589999999999</v>
      </c>
      <c r="I959">
        <v>367.64409999999998</v>
      </c>
      <c r="J959">
        <v>-285.76179999999999</v>
      </c>
      <c r="K959">
        <v>1.060662</v>
      </c>
      <c r="L959">
        <v>367.64760000000001</v>
      </c>
      <c r="M959">
        <v>0.99988999999999995</v>
      </c>
      <c r="N959">
        <v>-1.4441539999999999E-2</v>
      </c>
      <c r="O959">
        <v>-3.3979729999999999E-3</v>
      </c>
      <c r="P959">
        <v>0.94976570000000005</v>
      </c>
      <c r="Q959">
        <v>0.31124099999999999</v>
      </c>
      <c r="R959">
        <v>3.277658E-2</v>
      </c>
      <c r="S959">
        <v>3.5529480000000002</v>
      </c>
      <c r="T959">
        <v>-1.200895</v>
      </c>
      <c r="U959">
        <v>-1.7395020000000001E-2</v>
      </c>
      <c r="V959">
        <v>-3.5991589999999997E-2</v>
      </c>
      <c r="W959">
        <v>0.3249245</v>
      </c>
      <c r="X959">
        <v>0.94505479999999997</v>
      </c>
      <c r="Y959">
        <v>1.5788969999999999E-3</v>
      </c>
      <c r="Z959">
        <v>7.9830509999999995E-4</v>
      </c>
      <c r="AA959">
        <v>0.99999850000000001</v>
      </c>
      <c r="AB959">
        <v>32</v>
      </c>
      <c r="AC959">
        <v>0.61580000000003499</v>
      </c>
      <c r="AD959">
        <v>-0.26859609999999901</v>
      </c>
      <c r="AE959">
        <v>-3.5000000000309198E-3</v>
      </c>
      <c r="AF959">
        <v>1.18235628431724E-3</v>
      </c>
      <c r="AG959">
        <v>-0.26859609999999901</v>
      </c>
      <c r="AH959">
        <v>0.51738085882510498</v>
      </c>
      <c r="AI959">
        <v>117.43583207108</v>
      </c>
      <c r="AJ959">
        <v>89.869063754704797</v>
      </c>
      <c r="AK959">
        <v>0.58294786729191805</v>
      </c>
      <c r="AL959">
        <v>71.0389981098851</v>
      </c>
      <c r="AM959">
        <v>92.181005887066604</v>
      </c>
      <c r="AN959">
        <v>0.99999995012700704</v>
      </c>
    </row>
    <row r="960" spans="1:40" x14ac:dyDescent="0.25">
      <c r="A960" t="str">
        <f>"20190304164838429"</f>
        <v>20190304164838429</v>
      </c>
      <c r="B960" t="str">
        <f>"1551689318417109"</f>
        <v>1551689318417109</v>
      </c>
      <c r="C960" t="s">
        <v>40</v>
      </c>
      <c r="D960">
        <v>4.5911210000000002</v>
      </c>
      <c r="E960">
        <v>0.54947679999999999</v>
      </c>
      <c r="F960" t="s">
        <v>41</v>
      </c>
      <c r="G960">
        <v>-284.87189999999998</v>
      </c>
      <c r="H960">
        <v>0.75968000000000002</v>
      </c>
      <c r="I960">
        <v>367.64319999999998</v>
      </c>
      <c r="J960">
        <v>-285.57819999999998</v>
      </c>
      <c r="K960">
        <v>1.0606580000000001</v>
      </c>
      <c r="L960">
        <v>367.64699999999999</v>
      </c>
      <c r="M960">
        <v>0.9998901</v>
      </c>
      <c r="N960">
        <v>-1.4439570000000001E-2</v>
      </c>
      <c r="O960">
        <v>-3.3980780000000001E-3</v>
      </c>
      <c r="P960">
        <v>0.94979999999999998</v>
      </c>
      <c r="Q960">
        <v>0.31114750000000002</v>
      </c>
      <c r="R960">
        <v>3.2678209999999999E-2</v>
      </c>
      <c r="S960">
        <v>3.5530400000000002</v>
      </c>
      <c r="T960">
        <v>-1.2016129999999901</v>
      </c>
      <c r="U960">
        <v>-1.6540530000000001E-2</v>
      </c>
      <c r="V960">
        <v>-3.5893689999999999E-2</v>
      </c>
      <c r="W960">
        <v>0.32482949999999999</v>
      </c>
      <c r="X960">
        <v>0.94509120000000002</v>
      </c>
      <c r="Y960">
        <v>1.351508E-3</v>
      </c>
      <c r="Z960">
        <v>8.3791080000000003E-4</v>
      </c>
      <c r="AA960">
        <v>0.99999870000000002</v>
      </c>
      <c r="AB960">
        <v>32</v>
      </c>
      <c r="AC960">
        <v>0.70629999999999804</v>
      </c>
      <c r="AD960">
        <v>-0.30097800000000002</v>
      </c>
      <c r="AE960">
        <v>-3.8000000000124601E-3</v>
      </c>
      <c r="AF960">
        <v>1.1845667879572001E-3</v>
      </c>
      <c r="AG960">
        <v>-0.30097800000000002</v>
      </c>
      <c r="AH960">
        <v>0.59776418771253303</v>
      </c>
      <c r="AI960">
        <v>116.725494796954</v>
      </c>
      <c r="AJ960">
        <v>89.886459259262693</v>
      </c>
      <c r="AK960">
        <v>0.66926167064467401</v>
      </c>
      <c r="AL960">
        <v>71.044753762661102</v>
      </c>
      <c r="AM960">
        <v>92.174995390358802</v>
      </c>
      <c r="AN960">
        <v>0.99999996868475205</v>
      </c>
    </row>
    <row r="961" spans="1:40" x14ac:dyDescent="0.25">
      <c r="A961" t="str">
        <f>"20190304164838442"</f>
        <v>20190304164838442</v>
      </c>
      <c r="B961" t="str">
        <f>"1551689318437603"</f>
        <v>1551689318437603</v>
      </c>
      <c r="C961" t="s">
        <v>40</v>
      </c>
      <c r="D961">
        <v>4.567698</v>
      </c>
      <c r="E961">
        <v>0.54939659999999901</v>
      </c>
      <c r="F961" t="s">
        <v>41</v>
      </c>
      <c r="G961">
        <v>-284.84899999999999</v>
      </c>
      <c r="H961">
        <v>0.81383179999999999</v>
      </c>
      <c r="I961">
        <v>367.64350000000002</v>
      </c>
      <c r="J961">
        <v>-285.40609999999998</v>
      </c>
      <c r="K961">
        <v>1.060657</v>
      </c>
      <c r="L961">
        <v>367.64640000000003</v>
      </c>
      <c r="M961">
        <v>0.9998901</v>
      </c>
      <c r="N961">
        <v>-1.4437729999999999E-2</v>
      </c>
      <c r="O961">
        <v>-3.398065E-3</v>
      </c>
      <c r="P961">
        <v>0.94986429999999999</v>
      </c>
      <c r="Q961">
        <v>0.31094480000000002</v>
      </c>
      <c r="R961">
        <v>3.273566E-2</v>
      </c>
      <c r="S961">
        <v>3.5530699999999902</v>
      </c>
      <c r="T961">
        <v>-1.2026209999999999</v>
      </c>
      <c r="U961">
        <v>-1.586914E-2</v>
      </c>
      <c r="V961">
        <v>-3.5951320000000002E-2</v>
      </c>
      <c r="W961">
        <v>0.32462649999999998</v>
      </c>
      <c r="X961">
        <v>0.94515879999999997</v>
      </c>
      <c r="Y961">
        <v>1.173087E-3</v>
      </c>
      <c r="Z961">
        <v>8.6932229999999995E-4</v>
      </c>
      <c r="AA961">
        <v>0.99999890000000002</v>
      </c>
      <c r="AB961">
        <v>32</v>
      </c>
      <c r="AC961">
        <v>0.55709999999999105</v>
      </c>
      <c r="AD961">
        <v>-0.24682519999999999</v>
      </c>
      <c r="AE961">
        <v>-2.9000000000110001E-3</v>
      </c>
      <c r="AF961">
        <v>8.4153764080378195E-4</v>
      </c>
      <c r="AG961">
        <v>-0.24682519999999999</v>
      </c>
      <c r="AH961">
        <v>0.46569482539409401</v>
      </c>
      <c r="AI961">
        <v>117.924217847097</v>
      </c>
      <c r="AJ961">
        <v>89.896463305995098</v>
      </c>
      <c r="AK961">
        <v>0.52706266984057704</v>
      </c>
      <c r="AL961">
        <v>71.057052041817997</v>
      </c>
      <c r="AM961">
        <v>92.1783284857231</v>
      </c>
      <c r="AN961">
        <v>1.0000000095647099</v>
      </c>
    </row>
    <row r="962" spans="1:40" x14ac:dyDescent="0.25">
      <c r="A962" t="str">
        <f>"20190304164838453"</f>
        <v>20190304164838453</v>
      </c>
      <c r="B962" t="str">
        <f>"1551689318447364"</f>
        <v>1551689318447364</v>
      </c>
      <c r="C962" t="s">
        <v>40</v>
      </c>
      <c r="D962">
        <v>4.5880280000000004</v>
      </c>
      <c r="E962">
        <v>0.54937550000000002</v>
      </c>
      <c r="F962" t="s">
        <v>41</v>
      </c>
      <c r="G962">
        <v>-284.57659999999998</v>
      </c>
      <c r="H962">
        <v>0.77935639999999995</v>
      </c>
      <c r="I962">
        <v>367.64280000000002</v>
      </c>
      <c r="J962">
        <v>-285.2328</v>
      </c>
      <c r="K962">
        <v>1.060659</v>
      </c>
      <c r="L962">
        <v>367.64580000000001</v>
      </c>
      <c r="M962">
        <v>0.99989019999999995</v>
      </c>
      <c r="N962">
        <v>-1.443589E-2</v>
      </c>
      <c r="O962">
        <v>-3.3980519999999999E-3</v>
      </c>
      <c r="P962">
        <v>0.94985799999999998</v>
      </c>
      <c r="Q962">
        <v>0.31098540000000002</v>
      </c>
      <c r="R962">
        <v>3.2529629999999997E-2</v>
      </c>
      <c r="S962">
        <v>3.5533450000000002</v>
      </c>
      <c r="T962">
        <v>-1.2049799999999999</v>
      </c>
      <c r="U962">
        <v>-1.473999E-2</v>
      </c>
      <c r="V962">
        <v>-3.5744869999999998E-2</v>
      </c>
      <c r="W962">
        <v>0.32466430000000002</v>
      </c>
      <c r="X962">
        <v>0.94515360000000004</v>
      </c>
      <c r="Y962">
        <v>8.7295579999999997E-4</v>
      </c>
      <c r="Z962">
        <v>9.2271400000000004E-4</v>
      </c>
      <c r="AA962">
        <v>0.99999919999999998</v>
      </c>
      <c r="AB962">
        <v>32</v>
      </c>
      <c r="AC962">
        <v>0.656200000000012</v>
      </c>
      <c r="AD962">
        <v>-0.28130260000000001</v>
      </c>
      <c r="AE962">
        <v>-2.9999999999858998E-3</v>
      </c>
      <c r="AF962">
        <v>6.5042310038461698E-4</v>
      </c>
      <c r="AG962">
        <v>-0.28130260000000001</v>
      </c>
      <c r="AH962">
        <v>0.55433778131996803</v>
      </c>
      <c r="AI962">
        <v>116.905819472915</v>
      </c>
      <c r="AJ962">
        <v>89.932772972177005</v>
      </c>
      <c r="AK962">
        <v>0.62162846750749301</v>
      </c>
      <c r="AL962">
        <v>71.054761369423801</v>
      </c>
      <c r="AM962">
        <v>92.165843313587104</v>
      </c>
      <c r="AN962">
        <v>0.99999996550938197</v>
      </c>
    </row>
    <row r="963" spans="1:40" x14ac:dyDescent="0.25">
      <c r="A963" t="str">
        <f>"20190304164838463"</f>
        <v>20190304164838463</v>
      </c>
      <c r="B963" t="str">
        <f>"1551689318457127"</f>
        <v>1551689318457127</v>
      </c>
      <c r="C963" t="s">
        <v>40</v>
      </c>
      <c r="D963">
        <v>4.5545960000000001</v>
      </c>
      <c r="E963">
        <v>0.54934589999999905</v>
      </c>
      <c r="F963" t="s">
        <v>41</v>
      </c>
      <c r="G963">
        <v>-284.55450000000002</v>
      </c>
      <c r="H963">
        <v>0.83063759999999998</v>
      </c>
      <c r="I963">
        <v>367.64260000000002</v>
      </c>
      <c r="J963">
        <v>-285.08629999999999</v>
      </c>
      <c r="K963">
        <v>1.0606580000000001</v>
      </c>
      <c r="L963">
        <v>367.64530000000002</v>
      </c>
      <c r="M963">
        <v>0.9998901</v>
      </c>
      <c r="N963">
        <v>-1.4434310000000001E-2</v>
      </c>
      <c r="O963">
        <v>-3.3980400000000002E-3</v>
      </c>
      <c r="P963">
        <v>0.94986689999999996</v>
      </c>
      <c r="Q963">
        <v>0.31095270000000003</v>
      </c>
      <c r="R963">
        <v>3.2580980000000002E-2</v>
      </c>
      <c r="S963">
        <v>3.553436</v>
      </c>
      <c r="T963">
        <v>-1.2050540000000001</v>
      </c>
      <c r="U963">
        <v>-1.5655519999999999E-2</v>
      </c>
      <c r="V963">
        <v>-3.5796670000000003E-2</v>
      </c>
      <c r="W963">
        <v>0.324631</v>
      </c>
      <c r="X963">
        <v>0.94516310000000003</v>
      </c>
      <c r="Y963">
        <v>1.1162870000000001E-3</v>
      </c>
      <c r="Z963">
        <v>8.808059E-4</v>
      </c>
      <c r="AA963">
        <v>0.99999899999999997</v>
      </c>
      <c r="AB963">
        <v>32</v>
      </c>
      <c r="AC963">
        <v>0.53179999999997496</v>
      </c>
      <c r="AD963">
        <v>-0.23002040000000001</v>
      </c>
      <c r="AE963">
        <v>-2.7000000000043599E-3</v>
      </c>
      <c r="AF963">
        <v>7.5202965882250998E-4</v>
      </c>
      <c r="AG963">
        <v>-0.23002040000000001</v>
      </c>
      <c r="AH963">
        <v>0.44799557717174199</v>
      </c>
      <c r="AI963">
        <v>117.177902059046</v>
      </c>
      <c r="AJ963">
        <v>89.903820289211495</v>
      </c>
      <c r="AK963">
        <v>0.50359704837321095</v>
      </c>
      <c r="AL963">
        <v>71.056778997349895</v>
      </c>
      <c r="AM963">
        <v>92.168957189381501</v>
      </c>
      <c r="AN963">
        <v>0.99999998667284895</v>
      </c>
    </row>
    <row r="964" spans="1:40" x14ac:dyDescent="0.25">
      <c r="A964" t="str">
        <f>"20190304164838473"</f>
        <v>20190304164838473</v>
      </c>
      <c r="B964" t="str">
        <f>"1551689318466884"</f>
        <v>1551689318466884</v>
      </c>
      <c r="C964" t="s">
        <v>40</v>
      </c>
      <c r="D964">
        <v>4.5597279999999998</v>
      </c>
      <c r="E964">
        <v>0.54933710000000002</v>
      </c>
      <c r="F964" t="s">
        <v>41</v>
      </c>
      <c r="G964">
        <v>-284.28579999999999</v>
      </c>
      <c r="H964">
        <v>0.78902490000000003</v>
      </c>
      <c r="I964">
        <v>367.64190000000002</v>
      </c>
      <c r="J964">
        <v>-284.93669999999997</v>
      </c>
      <c r="K964">
        <v>1.060659</v>
      </c>
      <c r="L964">
        <v>367.64479999999998</v>
      </c>
      <c r="M964">
        <v>0.9998901</v>
      </c>
      <c r="N964">
        <v>-1.443269E-2</v>
      </c>
      <c r="O964">
        <v>-3.3979090000000002E-3</v>
      </c>
      <c r="P964">
        <v>0.94992080000000001</v>
      </c>
      <c r="Q964">
        <v>0.310816799999999</v>
      </c>
      <c r="R964">
        <v>3.2303720000000001E-2</v>
      </c>
      <c r="S964">
        <v>3.5535890000000001</v>
      </c>
      <c r="T964">
        <v>-1.2058709999999999</v>
      </c>
      <c r="U964">
        <v>-1.4251710000000001E-2</v>
      </c>
      <c r="V964">
        <v>-3.5519469999999997E-2</v>
      </c>
      <c r="W964">
        <v>0.32449430000000001</v>
      </c>
      <c r="X964">
        <v>0.94522050000000002</v>
      </c>
      <c r="Y964">
        <v>7.4317459999999997E-4</v>
      </c>
      <c r="Z964">
        <v>9.4568650000000001E-4</v>
      </c>
      <c r="AA964">
        <v>0.99999930000000004</v>
      </c>
      <c r="AB964">
        <v>32</v>
      </c>
      <c r="AC964">
        <v>0.65089999999997805</v>
      </c>
      <c r="AD964">
        <v>-0.27163409999999999</v>
      </c>
      <c r="AE964">
        <v>-2.8999999999541602E-3</v>
      </c>
      <c r="AF964">
        <v>5.8600017194030199E-4</v>
      </c>
      <c r="AG964">
        <v>-0.27163409999999999</v>
      </c>
      <c r="AH964">
        <v>0.55436216211588096</v>
      </c>
      <c r="AI964">
        <v>116.10456137238199</v>
      </c>
      <c r="AJ964">
        <v>89.939434314902897</v>
      </c>
      <c r="AK964">
        <v>0.61733526909193004</v>
      </c>
      <c r="AL964">
        <v>71.065059644926606</v>
      </c>
      <c r="AM964">
        <v>92.152046639536096</v>
      </c>
      <c r="AN964">
        <v>0.99999998855090999</v>
      </c>
    </row>
    <row r="965" spans="1:40" x14ac:dyDescent="0.25">
      <c r="A965" t="str">
        <f>"20190304164838484"</f>
        <v>20190304164838484</v>
      </c>
      <c r="B965" t="str">
        <f>"1551689318477621"</f>
        <v>1551689318477621</v>
      </c>
      <c r="C965" t="s">
        <v>40</v>
      </c>
      <c r="D965">
        <v>4.5461220000000004</v>
      </c>
      <c r="E965">
        <v>0.54931929999999995</v>
      </c>
      <c r="F965" t="s">
        <v>41</v>
      </c>
      <c r="G965">
        <v>-284.26659999999998</v>
      </c>
      <c r="H965">
        <v>0.83312900000000001</v>
      </c>
      <c r="I965">
        <v>367.64170000000001</v>
      </c>
      <c r="J965">
        <v>-284.7971</v>
      </c>
      <c r="K965">
        <v>1.0606599999999999</v>
      </c>
      <c r="L965">
        <v>367.64429999999999</v>
      </c>
      <c r="M965">
        <v>0.9998901</v>
      </c>
      <c r="N965">
        <v>-1.443118E-2</v>
      </c>
      <c r="O965">
        <v>-3.3978989999999998E-3</v>
      </c>
      <c r="P965">
        <v>0.94994149999999999</v>
      </c>
      <c r="Q965">
        <v>0.31077979999999999</v>
      </c>
      <c r="R965">
        <v>3.2051429999999999E-2</v>
      </c>
      <c r="S965">
        <v>3.553436</v>
      </c>
      <c r="T965">
        <v>-1.206477</v>
      </c>
      <c r="U965">
        <v>-1.5625E-2</v>
      </c>
      <c r="V965">
        <v>-3.5266649999999997E-2</v>
      </c>
      <c r="W965">
        <v>0.32445600000000002</v>
      </c>
      <c r="X965">
        <v>0.9452431</v>
      </c>
      <c r="Y965">
        <v>1.108562E-3</v>
      </c>
      <c r="Z965">
        <v>8.8315559999999895E-4</v>
      </c>
      <c r="AA965">
        <v>0.99999899999999997</v>
      </c>
      <c r="AB965">
        <v>32</v>
      </c>
      <c r="AC965">
        <v>0.53050000000001696</v>
      </c>
      <c r="AD965">
        <v>-0.22753099999999901</v>
      </c>
      <c r="AE965">
        <v>-2.5999999999726199E-3</v>
      </c>
      <c r="AF965">
        <v>6.7334921945479695E-4</v>
      </c>
      <c r="AG965">
        <v>-0.22753099999999901</v>
      </c>
      <c r="AH965">
        <v>0.44808120587554001</v>
      </c>
      <c r="AI965">
        <v>116.920962802635</v>
      </c>
      <c r="AJ965">
        <v>89.913899447540899</v>
      </c>
      <c r="AK965">
        <v>0.50254111913260402</v>
      </c>
      <c r="AL965">
        <v>71.067379336004194</v>
      </c>
      <c r="AM965">
        <v>92.136692040177905</v>
      </c>
      <c r="AN965">
        <v>0.99999997531791596</v>
      </c>
    </row>
    <row r="966" spans="1:40" x14ac:dyDescent="0.25">
      <c r="A966" t="str">
        <f>"20190304164838494"</f>
        <v>20190304164838494</v>
      </c>
      <c r="B966" t="str">
        <f>"1551689318487380"</f>
        <v>1551689318487380</v>
      </c>
      <c r="C966" t="s">
        <v>40</v>
      </c>
      <c r="D966">
        <v>4.2500210000000003</v>
      </c>
      <c r="E966">
        <v>0.54999639999999905</v>
      </c>
      <c r="F966" t="s">
        <v>41</v>
      </c>
      <c r="G966">
        <v>-283.9991</v>
      </c>
      <c r="H966">
        <v>0.78961409999999999</v>
      </c>
      <c r="I966">
        <v>367.6404</v>
      </c>
      <c r="J966">
        <v>-284.65140000000002</v>
      </c>
      <c r="K966">
        <v>1.060657</v>
      </c>
      <c r="L966">
        <v>367.6438</v>
      </c>
      <c r="M966">
        <v>0.9998901</v>
      </c>
      <c r="N966">
        <v>-1.4429620000000001E-2</v>
      </c>
      <c r="O966">
        <v>-3.397887E-3</v>
      </c>
      <c r="P966">
        <v>0.94993620000000001</v>
      </c>
      <c r="Q966">
        <v>0.31081340000000002</v>
      </c>
      <c r="R966">
        <v>3.188353E-2</v>
      </c>
      <c r="S966">
        <v>3.5534970000000001</v>
      </c>
      <c r="T966">
        <v>-1.2069110000000001</v>
      </c>
      <c r="U966">
        <v>-1.6235349999999999E-2</v>
      </c>
      <c r="V966">
        <v>-3.5099030000000003E-2</v>
      </c>
      <c r="W966">
        <v>0.32448759999999999</v>
      </c>
      <c r="X966">
        <v>0.94523849999999998</v>
      </c>
      <c r="Y966">
        <v>1.270824E-3</v>
      </c>
      <c r="Z966">
        <v>8.5545559999999996E-4</v>
      </c>
      <c r="AA966">
        <v>0.99999879999999997</v>
      </c>
      <c r="AB966">
        <v>32</v>
      </c>
      <c r="AC966">
        <v>0.65230000000002497</v>
      </c>
      <c r="AD966">
        <v>-0.27104289999999998</v>
      </c>
      <c r="AE966">
        <v>-3.3999999999991802E-3</v>
      </c>
      <c r="AF966">
        <v>1.0090876966256099E-3</v>
      </c>
      <c r="AG966">
        <v>-0.27104289999999998</v>
      </c>
      <c r="AH966">
        <v>0.55626754718515503</v>
      </c>
      <c r="AI966">
        <v>115.97774986970001</v>
      </c>
      <c r="AJ966">
        <v>89.896063678262806</v>
      </c>
      <c r="AK966">
        <v>0.61878821574895704</v>
      </c>
      <c r="AL966">
        <v>71.065465381535603</v>
      </c>
      <c r="AM966">
        <v>92.126556173000793</v>
      </c>
      <c r="AN966">
        <v>0.99999998317147498</v>
      </c>
    </row>
    <row r="967" spans="1:40" x14ac:dyDescent="0.25">
      <c r="A967" t="str">
        <f>"20190304164838504"</f>
        <v>20190304164838504</v>
      </c>
      <c r="B967" t="str">
        <f>"1551689318497140"</f>
        <v>1551689318497140</v>
      </c>
      <c r="C967" t="s">
        <v>40</v>
      </c>
      <c r="D967">
        <v>4.2445680000000001</v>
      </c>
      <c r="E967">
        <v>0.55062809999999995</v>
      </c>
      <c r="F967" t="s">
        <v>41</v>
      </c>
      <c r="G967">
        <v>-283.97969999999998</v>
      </c>
      <c r="H967">
        <v>0.83428159999999896</v>
      </c>
      <c r="I967">
        <v>367.63909999999998</v>
      </c>
      <c r="J967">
        <v>-284.49549999999999</v>
      </c>
      <c r="K967">
        <v>1.0606580000000001</v>
      </c>
      <c r="L967">
        <v>367.64330000000001</v>
      </c>
      <c r="M967">
        <v>0.99989030000000001</v>
      </c>
      <c r="N967">
        <v>-1.442793E-2</v>
      </c>
      <c r="O967">
        <v>-3.3979940000000001E-3</v>
      </c>
      <c r="P967">
        <v>0.94997849999999995</v>
      </c>
      <c r="Q967">
        <v>0.31071690000000002</v>
      </c>
      <c r="R967">
        <v>3.156047E-2</v>
      </c>
      <c r="S967">
        <v>3.5503849999999999</v>
      </c>
      <c r="T967">
        <v>-1.196394</v>
      </c>
      <c r="U967">
        <v>-2.3468019999999999E-2</v>
      </c>
      <c r="V967">
        <v>-3.4776179999999997E-2</v>
      </c>
      <c r="W967">
        <v>0.32439059999999997</v>
      </c>
      <c r="X967">
        <v>0.94528380000000001</v>
      </c>
      <c r="Y967">
        <v>3.198804E-3</v>
      </c>
      <c r="Z967">
        <v>5.1828559999999896E-4</v>
      </c>
      <c r="AA967">
        <v>0.99999479999999996</v>
      </c>
      <c r="AB967">
        <v>32</v>
      </c>
      <c r="AC967">
        <v>0.51580000000001203</v>
      </c>
      <c r="AD967">
        <v>-0.22637640000000001</v>
      </c>
      <c r="AE967">
        <v>-4.20000000002573E-3</v>
      </c>
      <c r="AF967">
        <v>2.0518992429024198E-3</v>
      </c>
      <c r="AG967">
        <v>-0.22637640000000001</v>
      </c>
      <c r="AH967">
        <v>0.432507550394302</v>
      </c>
      <c r="AI967">
        <v>117.627497803528</v>
      </c>
      <c r="AJ967">
        <v>89.728179809851298</v>
      </c>
      <c r="AK967">
        <v>0.488173397386157</v>
      </c>
      <c r="AL967">
        <v>71.071342277053802</v>
      </c>
      <c r="AM967">
        <v>92.106912387264103</v>
      </c>
      <c r="AN967">
        <v>1.0000000533030899</v>
      </c>
    </row>
    <row r="968" spans="1:40" x14ac:dyDescent="0.25">
      <c r="A968" t="str">
        <f>"20190304164838515"</f>
        <v>20190304164838515</v>
      </c>
      <c r="B968" t="str">
        <f>"1551689318506900"</f>
        <v>1551689318506900</v>
      </c>
      <c r="C968" t="s">
        <v>40</v>
      </c>
      <c r="D968">
        <v>4.2520379999999998</v>
      </c>
      <c r="E968">
        <v>0.5512378</v>
      </c>
      <c r="F968" t="s">
        <v>41</v>
      </c>
      <c r="G968">
        <v>-283.70960000000002</v>
      </c>
      <c r="H968">
        <v>0.79767069999999995</v>
      </c>
      <c r="I968">
        <v>367.63619999999997</v>
      </c>
      <c r="J968">
        <v>-284.34589999999997</v>
      </c>
      <c r="K968">
        <v>1.060659</v>
      </c>
      <c r="L968">
        <v>367.64280000000002</v>
      </c>
      <c r="M968">
        <v>0.99989030000000001</v>
      </c>
      <c r="N968">
        <v>-1.4426319999999999E-2</v>
      </c>
      <c r="O968">
        <v>-3.3979829999999998E-3</v>
      </c>
      <c r="P968">
        <v>0.95000180000000001</v>
      </c>
      <c r="Q968">
        <v>0.31066349999999998</v>
      </c>
      <c r="R968">
        <v>3.138411E-2</v>
      </c>
      <c r="S968">
        <v>3.5472109999999999</v>
      </c>
      <c r="T968">
        <v>-1.1869719999999999</v>
      </c>
      <c r="U968">
        <v>-3.0822749999999999E-2</v>
      </c>
      <c r="V968">
        <v>-3.460017E-2</v>
      </c>
      <c r="W968">
        <v>0.32433610000000002</v>
      </c>
      <c r="X968">
        <v>0.94530890000000001</v>
      </c>
      <c r="Y968">
        <v>5.1659139999999997E-3</v>
      </c>
      <c r="Z968">
        <v>1.7940330000000001E-4</v>
      </c>
      <c r="AA968">
        <v>0.99998659999999995</v>
      </c>
      <c r="AB968">
        <v>32</v>
      </c>
      <c r="AC968">
        <v>0.63629999999994802</v>
      </c>
      <c r="AD968">
        <v>-0.26298830000000001</v>
      </c>
      <c r="AE968">
        <v>-6.6000000000485601E-3</v>
      </c>
      <c r="AF968">
        <v>3.7902110392876E-3</v>
      </c>
      <c r="AG968">
        <v>-0.26298830000000001</v>
      </c>
      <c r="AH968">
        <v>0.54348793346450197</v>
      </c>
      <c r="AI968">
        <v>115.821322790247</v>
      </c>
      <c r="AJ968">
        <v>89.600433492288303</v>
      </c>
      <c r="AK968">
        <v>0.60378501592713196</v>
      </c>
      <c r="AL968">
        <v>71.074642272361601</v>
      </c>
      <c r="AM968">
        <v>92.096202761037006</v>
      </c>
      <c r="AN968">
        <v>0.99999999697322395</v>
      </c>
    </row>
    <row r="969" spans="1:40" x14ac:dyDescent="0.25">
      <c r="A969" t="str">
        <f>"20190304164838526"</f>
        <v>20190304164838526</v>
      </c>
      <c r="B969" t="str">
        <f>"1551689318517636"</f>
        <v>1551689318517636</v>
      </c>
      <c r="C969" t="s">
        <v>40</v>
      </c>
      <c r="D969">
        <v>4.4397250000000001</v>
      </c>
      <c r="E969">
        <v>0.55128509999999997</v>
      </c>
      <c r="F969" t="s">
        <v>41</v>
      </c>
      <c r="G969">
        <v>-283.43970000000002</v>
      </c>
      <c r="H969">
        <v>0.75950620000000002</v>
      </c>
      <c r="I969">
        <v>367.6327</v>
      </c>
      <c r="J969">
        <v>-284.1891</v>
      </c>
      <c r="K969">
        <v>1.0606599999999999</v>
      </c>
      <c r="L969">
        <v>367.6422</v>
      </c>
      <c r="M969">
        <v>0.9998901</v>
      </c>
      <c r="N969">
        <v>-1.4424630000000001E-2</v>
      </c>
      <c r="O969">
        <v>-3.3978509999999999E-3</v>
      </c>
      <c r="P969">
        <v>0.95000430000000002</v>
      </c>
      <c r="Q969">
        <v>0.31068649999999998</v>
      </c>
      <c r="R969">
        <v>3.1075519999999999E-2</v>
      </c>
      <c r="S969">
        <v>3.5442499999999999</v>
      </c>
      <c r="T969">
        <v>-1.1776979999999999</v>
      </c>
      <c r="U969">
        <v>-3.7658690000000002E-2</v>
      </c>
      <c r="V969">
        <v>-3.4291130000000003E-2</v>
      </c>
      <c r="W969">
        <v>0.32435720000000001</v>
      </c>
      <c r="X969">
        <v>0.94531290000000001</v>
      </c>
      <c r="Y969">
        <v>7.0002119999999996E-3</v>
      </c>
      <c r="Z969">
        <v>-1.327547E-4</v>
      </c>
      <c r="AA969">
        <v>0.99997550000000002</v>
      </c>
      <c r="AB969">
        <v>32</v>
      </c>
      <c r="AC969">
        <v>0.74939999999997997</v>
      </c>
      <c r="AD969">
        <v>-0.30115379999999897</v>
      </c>
      <c r="AE969">
        <v>-9.5000000000027198E-3</v>
      </c>
      <c r="AF969">
        <v>5.9866874273321003E-3</v>
      </c>
      <c r="AG969">
        <v>-0.30115379999999897</v>
      </c>
      <c r="AH969">
        <v>0.645243450144802</v>
      </c>
      <c r="AI969">
        <v>115.01887886942301</v>
      </c>
      <c r="AJ969">
        <v>89.468414471175194</v>
      </c>
      <c r="AK969">
        <v>0.71208746768607001</v>
      </c>
      <c r="AL969">
        <v>71.073363843326803</v>
      </c>
      <c r="AM969">
        <v>92.077487702853503</v>
      </c>
      <c r="AN969">
        <v>0.999999976847463</v>
      </c>
    </row>
    <row r="970" spans="1:40" x14ac:dyDescent="0.25">
      <c r="A970" t="str">
        <f>"20190304164838538"</f>
        <v>20190304164838538</v>
      </c>
      <c r="B970" t="str">
        <f>"1551689318527396"</f>
        <v>1551689318527396</v>
      </c>
      <c r="C970" t="s">
        <v>40</v>
      </c>
      <c r="D970">
        <v>4.4502090000000001</v>
      </c>
      <c r="E970">
        <v>0.55133299999999996</v>
      </c>
      <c r="F970" t="s">
        <v>41</v>
      </c>
      <c r="G970">
        <v>-283.4205</v>
      </c>
      <c r="H970">
        <v>0.80546189999999995</v>
      </c>
      <c r="I970">
        <v>367.63319999999999</v>
      </c>
      <c r="J970">
        <v>-284.0283</v>
      </c>
      <c r="K970">
        <v>1.0606610000000001</v>
      </c>
      <c r="L970">
        <v>367.64170000000001</v>
      </c>
      <c r="M970">
        <v>0.99989030000000001</v>
      </c>
      <c r="N970">
        <v>-1.4422900000000001E-2</v>
      </c>
      <c r="O970">
        <v>-3.3978390000000002E-3</v>
      </c>
      <c r="P970">
        <v>0.95002929999999997</v>
      </c>
      <c r="Q970">
        <v>0.3106469</v>
      </c>
      <c r="R970">
        <v>3.07125E-2</v>
      </c>
      <c r="S970">
        <v>3.5439449999999999</v>
      </c>
      <c r="T970">
        <v>-1.1765669999999999</v>
      </c>
      <c r="U970">
        <v>-3.9520260000000001E-2</v>
      </c>
      <c r="V970">
        <v>-3.3927859999999997E-2</v>
      </c>
      <c r="W970">
        <v>0.32431659999999901</v>
      </c>
      <c r="X970">
        <v>0.94533999999999996</v>
      </c>
      <c r="Y970">
        <v>7.4987319999999897E-3</v>
      </c>
      <c r="Z970">
        <v>-2.170005E-4</v>
      </c>
      <c r="AA970">
        <v>0.99997190000000002</v>
      </c>
      <c r="AB970">
        <v>32</v>
      </c>
      <c r="AC970">
        <v>0.60779999999999701</v>
      </c>
      <c r="AD970">
        <v>-0.25519910000000001</v>
      </c>
      <c r="AE970">
        <v>-8.5000000000263701E-3</v>
      </c>
      <c r="AF970">
        <v>5.4703328716064698E-3</v>
      </c>
      <c r="AG970">
        <v>-0.25519910000000001</v>
      </c>
      <c r="AH970">
        <v>0.516744388856893</v>
      </c>
      <c r="AI970">
        <v>116.28162382628599</v>
      </c>
      <c r="AJ970">
        <v>89.393481021962998</v>
      </c>
      <c r="AK970">
        <v>0.57635168829250405</v>
      </c>
      <c r="AL970">
        <v>71.075824154574306</v>
      </c>
      <c r="AM970">
        <v>92.055439523312998</v>
      </c>
      <c r="AN970">
        <v>1.00000003615986</v>
      </c>
    </row>
    <row r="971" spans="1:40" x14ac:dyDescent="0.25">
      <c r="A971" t="str">
        <f>"20190304164838548"</f>
        <v>20190304164838548</v>
      </c>
      <c r="B971" t="str">
        <f>"1551689318537156"</f>
        <v>1551689318537156</v>
      </c>
      <c r="C971" t="s">
        <v>40</v>
      </c>
      <c r="D971">
        <v>4.4495979999999999</v>
      </c>
      <c r="E971">
        <v>0.55138949999999998</v>
      </c>
      <c r="F971" t="s">
        <v>41</v>
      </c>
      <c r="G971">
        <v>-283.15010000000001</v>
      </c>
      <c r="H971">
        <v>0.76930019999999999</v>
      </c>
      <c r="I971">
        <v>367.6311</v>
      </c>
      <c r="J971">
        <v>-283.86950000000002</v>
      </c>
      <c r="K971">
        <v>1.060659</v>
      </c>
      <c r="L971">
        <v>367.64109999999999</v>
      </c>
      <c r="M971">
        <v>0.99989030000000001</v>
      </c>
      <c r="N971">
        <v>-1.442119E-2</v>
      </c>
      <c r="O971">
        <v>-3.3978260000000001E-3</v>
      </c>
      <c r="P971">
        <v>0.95002690000000001</v>
      </c>
      <c r="Q971">
        <v>0.31069400000000003</v>
      </c>
      <c r="R971">
        <v>3.0305849999999999E-2</v>
      </c>
      <c r="S971">
        <v>3.5435180000000002</v>
      </c>
      <c r="T971">
        <v>-1.1756070000000001</v>
      </c>
      <c r="U971">
        <v>-4.1564940000000002E-2</v>
      </c>
      <c r="V971">
        <v>-3.352161E-2</v>
      </c>
      <c r="W971">
        <v>0.32436169999999998</v>
      </c>
      <c r="X971">
        <v>0.94533900000000004</v>
      </c>
      <c r="Y971">
        <v>8.0466349999999999E-3</v>
      </c>
      <c r="Z971">
        <v>-3.0948759999999999E-4</v>
      </c>
      <c r="AA971">
        <v>0.99996759999999996</v>
      </c>
      <c r="AB971">
        <v>32</v>
      </c>
      <c r="AC971">
        <v>0.71940000000000703</v>
      </c>
      <c r="AD971">
        <v>-0.29135879999999997</v>
      </c>
      <c r="AE971">
        <v>-9.9999999999908998E-3</v>
      </c>
      <c r="AF971">
        <v>6.4908268268554104E-3</v>
      </c>
      <c r="AG971">
        <v>-0.29135879999999997</v>
      </c>
      <c r="AH971">
        <v>0.618069337560747</v>
      </c>
      <c r="AI971">
        <v>115.238040729319</v>
      </c>
      <c r="AJ971">
        <v>89.398314575418198</v>
      </c>
      <c r="AK971">
        <v>0.68333138900764401</v>
      </c>
      <c r="AL971">
        <v>71.073092081061205</v>
      </c>
      <c r="AM971">
        <v>92.030850703385795</v>
      </c>
      <c r="AN971">
        <v>1.00000001784244</v>
      </c>
    </row>
    <row r="972" spans="1:40" x14ac:dyDescent="0.25">
      <c r="A972" t="str">
        <f>"20190304164838561"</f>
        <v>20190304164838561</v>
      </c>
      <c r="B972" t="str">
        <f>"1551689318557652"</f>
        <v>1551689318557652</v>
      </c>
      <c r="C972" t="s">
        <v>40</v>
      </c>
      <c r="D972">
        <v>4.622452</v>
      </c>
      <c r="E972">
        <v>0.55138100000000001</v>
      </c>
      <c r="F972" t="s">
        <v>41</v>
      </c>
      <c r="G972">
        <v>-283.13049999999998</v>
      </c>
      <c r="H972">
        <v>0.81571459999999996</v>
      </c>
      <c r="I972">
        <v>367.6318</v>
      </c>
      <c r="J972">
        <v>-283.71050000000002</v>
      </c>
      <c r="K972">
        <v>1.0606610000000001</v>
      </c>
      <c r="L972">
        <v>367.64060000000001</v>
      </c>
      <c r="M972">
        <v>0.99989030000000001</v>
      </c>
      <c r="N972">
        <v>-1.441948E-2</v>
      </c>
      <c r="O972">
        <v>-3.3978139999999999E-3</v>
      </c>
      <c r="P972">
        <v>0.9500402</v>
      </c>
      <c r="Q972">
        <v>0.31067689999999998</v>
      </c>
      <c r="R972">
        <v>3.0060779999999999E-2</v>
      </c>
      <c r="S972">
        <v>3.5432429999999999</v>
      </c>
      <c r="T972">
        <v>-1.174342</v>
      </c>
      <c r="U972">
        <v>-4.3640140000000001E-2</v>
      </c>
      <c r="V972">
        <v>-3.3276159999999999E-2</v>
      </c>
      <c r="W972">
        <v>0.32434370000000001</v>
      </c>
      <c r="X972">
        <v>0.94535380000000002</v>
      </c>
      <c r="Y972">
        <v>8.6025559999999904E-3</v>
      </c>
      <c r="Z972">
        <v>-4.0312570000000002E-4</v>
      </c>
      <c r="AA972">
        <v>0.99996289999999999</v>
      </c>
      <c r="AB972">
        <v>32</v>
      </c>
      <c r="AC972">
        <v>0.58000000000004004</v>
      </c>
      <c r="AD972">
        <v>-0.24494640000000001</v>
      </c>
      <c r="AE972">
        <v>-8.8000000000079091E-3</v>
      </c>
      <c r="AF972">
        <v>5.7955778375652399E-3</v>
      </c>
      <c r="AG972">
        <v>-0.24494640000000001</v>
      </c>
      <c r="AH972">
        <v>0.492251138361879</v>
      </c>
      <c r="AI972">
        <v>116.453562364031</v>
      </c>
      <c r="AJ972">
        <v>89.325452432603299</v>
      </c>
      <c r="AK972">
        <v>0.54985771870002598</v>
      </c>
      <c r="AL972">
        <v>71.074181465463298</v>
      </c>
      <c r="AM972">
        <v>92.015961305443696</v>
      </c>
      <c r="AN972">
        <v>0.99999997286423703</v>
      </c>
    </row>
    <row r="973" spans="1:40" x14ac:dyDescent="0.25">
      <c r="A973" t="str">
        <f>"20190304164838571"</f>
        <v>20190304164838571</v>
      </c>
      <c r="B973" t="str">
        <f>"1551689318567412"</f>
        <v>1551689318567412</v>
      </c>
      <c r="C973" t="s">
        <v>40</v>
      </c>
      <c r="D973">
        <v>4.4970980000000003</v>
      </c>
      <c r="E973">
        <v>0.55736609999999998</v>
      </c>
      <c r="F973" t="s">
        <v>41</v>
      </c>
      <c r="G973">
        <v>-282.86099999999999</v>
      </c>
      <c r="H973">
        <v>0.77912019999999904</v>
      </c>
      <c r="I973">
        <v>367.62970000000001</v>
      </c>
      <c r="J973">
        <v>-283.54300000000001</v>
      </c>
      <c r="K973">
        <v>1.060662</v>
      </c>
      <c r="L973">
        <v>367.64</v>
      </c>
      <c r="M973">
        <v>0.99989039999999996</v>
      </c>
      <c r="N973">
        <v>-1.441769E-2</v>
      </c>
      <c r="O973">
        <v>-3.39792E-3</v>
      </c>
      <c r="P973">
        <v>0.95002059999999999</v>
      </c>
      <c r="Q973">
        <v>0.3107782</v>
      </c>
      <c r="R973">
        <v>2.9631419999999999E-2</v>
      </c>
      <c r="S973">
        <v>3.5431210000000002</v>
      </c>
      <c r="T973">
        <v>-1.1741779999999999</v>
      </c>
      <c r="U973">
        <v>-4.4250490000000003E-2</v>
      </c>
      <c r="V973">
        <v>-3.2847179999999997E-2</v>
      </c>
      <c r="W973">
        <v>0.32444289999999998</v>
      </c>
      <c r="X973">
        <v>0.94533480000000003</v>
      </c>
      <c r="Y973">
        <v>8.7660359999999996E-3</v>
      </c>
      <c r="Z973">
        <v>-4.3064230000000001E-4</v>
      </c>
      <c r="AA973">
        <v>0.99996149999999995</v>
      </c>
      <c r="AB973">
        <v>32</v>
      </c>
      <c r="AC973">
        <v>0.68200000000001604</v>
      </c>
      <c r="AD973">
        <v>-0.28154180000000001</v>
      </c>
      <c r="AE973">
        <v>-1.0299999999972401E-2</v>
      </c>
      <c r="AF973">
        <v>6.8202807460969496E-3</v>
      </c>
      <c r="AG973">
        <v>-0.28154180000000001</v>
      </c>
      <c r="AH973">
        <v>0.58274339234369199</v>
      </c>
      <c r="AI973">
        <v>115.785123366881</v>
      </c>
      <c r="AJ973">
        <v>89.329455355410602</v>
      </c>
      <c r="AK973">
        <v>0.64722651575544299</v>
      </c>
      <c r="AL973">
        <v>71.068173485728394</v>
      </c>
      <c r="AM973">
        <v>91.990033512714206</v>
      </c>
      <c r="AN973">
        <v>1.0000000083427001</v>
      </c>
    </row>
    <row r="974" spans="1:40" x14ac:dyDescent="0.25">
      <c r="A974" t="str">
        <f>"20190304164838583"</f>
        <v>20190304164838583</v>
      </c>
      <c r="B974" t="str">
        <f>"1551689318577172"</f>
        <v>1551689318577172</v>
      </c>
      <c r="C974" t="s">
        <v>40</v>
      </c>
      <c r="D974">
        <v>4.4623100000000004</v>
      </c>
      <c r="E974">
        <v>0.55438980000000004</v>
      </c>
      <c r="F974" t="s">
        <v>41</v>
      </c>
      <c r="G974">
        <v>-282.80779999999999</v>
      </c>
      <c r="H974">
        <v>0.90206299999999995</v>
      </c>
      <c r="I974">
        <v>367.6069</v>
      </c>
      <c r="J974">
        <v>-283.3818</v>
      </c>
      <c r="K974">
        <v>1.060654</v>
      </c>
      <c r="L974">
        <v>367.6395</v>
      </c>
      <c r="M974">
        <v>0.99989039999999996</v>
      </c>
      <c r="N974">
        <v>-1.441597E-2</v>
      </c>
      <c r="O974">
        <v>-3.3979079999999998E-3</v>
      </c>
      <c r="P974">
        <v>0.95007039999999998</v>
      </c>
      <c r="Q974">
        <v>0.31064849999999999</v>
      </c>
      <c r="R974">
        <v>2.93958E-2</v>
      </c>
      <c r="S974">
        <v>3.4027400000000001</v>
      </c>
      <c r="T974">
        <v>-0.73417690000000002</v>
      </c>
      <c r="U974">
        <v>-0.15191650000000001</v>
      </c>
      <c r="V974">
        <v>-3.2612090000000003E-2</v>
      </c>
      <c r="W974">
        <v>0.32431209999999899</v>
      </c>
      <c r="X974">
        <v>0.9453878</v>
      </c>
      <c r="Y974">
        <v>4.0285179999999997E-2</v>
      </c>
      <c r="Z974">
        <v>-3.9125419999999998E-3</v>
      </c>
      <c r="AA974">
        <v>0.99918059999999997</v>
      </c>
      <c r="AB974">
        <v>32</v>
      </c>
      <c r="AC974">
        <v>0.57400000000001195</v>
      </c>
      <c r="AD974">
        <v>-0.15859100000000001</v>
      </c>
      <c r="AE974">
        <v>-3.26000000000021E-2</v>
      </c>
      <c r="AF974">
        <v>2.84819807172619E-2</v>
      </c>
      <c r="AG974">
        <v>-0.15859100000000001</v>
      </c>
      <c r="AH974">
        <v>0.53351188611770595</v>
      </c>
      <c r="AI974">
        <v>106.532779523819</v>
      </c>
      <c r="AJ974">
        <v>86.9441175597523</v>
      </c>
      <c r="AK974">
        <v>0.55731253452210405</v>
      </c>
      <c r="AL974">
        <v>71.076095801318402</v>
      </c>
      <c r="AM974">
        <v>91.975691327690697</v>
      </c>
      <c r="AN974">
        <v>0.99999998950470903</v>
      </c>
    </row>
    <row r="975" spans="1:40" x14ac:dyDescent="0.25">
      <c r="A975" t="str">
        <f>"20190304164838593"</f>
        <v>20190304164838593</v>
      </c>
      <c r="B975" t="str">
        <f>"1551689318586933"</f>
        <v>1551689318586933</v>
      </c>
      <c r="C975" t="s">
        <v>40</v>
      </c>
      <c r="D975">
        <v>4.5067750000000002</v>
      </c>
      <c r="E975">
        <v>0.55183729999999998</v>
      </c>
      <c r="F975" t="s">
        <v>41</v>
      </c>
      <c r="G975">
        <v>-282.5222</v>
      </c>
      <c r="H975">
        <v>0.90390029999999999</v>
      </c>
      <c r="I975">
        <v>367.60230000000001</v>
      </c>
      <c r="J975">
        <v>-283.22199999999998</v>
      </c>
      <c r="K975">
        <v>1.060651</v>
      </c>
      <c r="L975">
        <v>367.63889999999998</v>
      </c>
      <c r="M975">
        <v>0.99989030000000001</v>
      </c>
      <c r="N975">
        <v>-1.441425E-2</v>
      </c>
      <c r="O975">
        <v>-3.3977759999999999E-3</v>
      </c>
      <c r="P975">
        <v>0.95004109999999997</v>
      </c>
      <c r="Q975">
        <v>0.31075380000000002</v>
      </c>
      <c r="R975">
        <v>2.9223840000000001E-2</v>
      </c>
      <c r="S975">
        <v>3.3626710000000002</v>
      </c>
      <c r="T975">
        <v>-0.61335589999999995</v>
      </c>
      <c r="U975">
        <v>-0.14450070000000001</v>
      </c>
      <c r="V975">
        <v>-3.2439559999999999E-2</v>
      </c>
      <c r="W975">
        <v>0.32441589999999998</v>
      </c>
      <c r="X975">
        <v>0.94535820000000004</v>
      </c>
      <c r="Y975">
        <v>3.889256E-2</v>
      </c>
      <c r="Z975">
        <v>-3.2335340000000001E-3</v>
      </c>
      <c r="AA975">
        <v>0.99923819999999997</v>
      </c>
      <c r="AB975">
        <v>32</v>
      </c>
      <c r="AC975">
        <v>0.69979999999998199</v>
      </c>
      <c r="AD975">
        <v>-0.15675069999999899</v>
      </c>
      <c r="AE975">
        <v>-3.6599999999964397E-2</v>
      </c>
      <c r="AF975">
        <v>3.2591044195745697E-2</v>
      </c>
      <c r="AG975">
        <v>-0.15675069999999899</v>
      </c>
      <c r="AH975">
        <v>0.66656777774089904</v>
      </c>
      <c r="AI975">
        <v>103.218054177143</v>
      </c>
      <c r="AJ975">
        <v>87.200819692361605</v>
      </c>
      <c r="AK975">
        <v>0.68552575475666899</v>
      </c>
      <c r="AL975">
        <v>71.0698100223632</v>
      </c>
      <c r="AM975">
        <v>91.965308894053805</v>
      </c>
      <c r="AN975">
        <v>1.0000000637665101</v>
      </c>
    </row>
    <row r="976" spans="1:40" x14ac:dyDescent="0.25">
      <c r="A976" t="str">
        <f>"20190304164838605"</f>
        <v>20190304164838605</v>
      </c>
      <c r="B976" t="str">
        <f>"1551689318597668"</f>
        <v>1551689318597668</v>
      </c>
      <c r="C976" t="s">
        <v>40</v>
      </c>
      <c r="D976">
        <v>4.4993220000000003</v>
      </c>
      <c r="E976">
        <v>0.55003559999999996</v>
      </c>
      <c r="F976" t="s">
        <v>41</v>
      </c>
      <c r="G976">
        <v>-282.50040000000001</v>
      </c>
      <c r="H976">
        <v>0.94809060000000001</v>
      </c>
      <c r="I976">
        <v>367.60910000000001</v>
      </c>
      <c r="J976">
        <v>-283.0736</v>
      </c>
      <c r="K976">
        <v>1.060651</v>
      </c>
      <c r="L976">
        <v>367.63839999999999</v>
      </c>
      <c r="M976">
        <v>0.99989039999999996</v>
      </c>
      <c r="N976">
        <v>-1.4412680000000001E-2</v>
      </c>
      <c r="O976">
        <v>-3.3977650000000001E-3</v>
      </c>
      <c r="P976">
        <v>0.9500982</v>
      </c>
      <c r="Q976">
        <v>0.31059789999999998</v>
      </c>
      <c r="R976">
        <v>2.9026860000000002E-2</v>
      </c>
      <c r="S976">
        <v>3.332001</v>
      </c>
      <c r="T976">
        <v>-0.51994689999999999</v>
      </c>
      <c r="U976">
        <v>-0.1368103</v>
      </c>
      <c r="V976">
        <v>-3.2243040000000001E-2</v>
      </c>
      <c r="W976">
        <v>0.32425890000000002</v>
      </c>
      <c r="X976">
        <v>0.94541869999999995</v>
      </c>
      <c r="Y976">
        <v>3.7172110000000001E-2</v>
      </c>
      <c r="Z976">
        <v>-2.6733070000000002E-3</v>
      </c>
      <c r="AA976">
        <v>0.99930529999999995</v>
      </c>
      <c r="AB976">
        <v>32</v>
      </c>
      <c r="AC976">
        <v>0.57319999999998505</v>
      </c>
      <c r="AD976">
        <v>-0.1125604</v>
      </c>
      <c r="AE976">
        <v>-2.9299999999977899E-2</v>
      </c>
      <c r="AF976">
        <v>2.6338993918281501E-2</v>
      </c>
      <c r="AG976">
        <v>-0.1125604</v>
      </c>
      <c r="AH976">
        <v>0.55206311012318598</v>
      </c>
      <c r="AI976">
        <v>101.511360842637</v>
      </c>
      <c r="AJ976">
        <v>87.268483114235096</v>
      </c>
      <c r="AK976">
        <v>0.564036580203511</v>
      </c>
      <c r="AL976">
        <v>71.079317944548194</v>
      </c>
      <c r="AM976">
        <v>91.953287327809093</v>
      </c>
      <c r="AN976">
        <v>0.99999998308367</v>
      </c>
    </row>
    <row r="977" spans="1:40" x14ac:dyDescent="0.25">
      <c r="A977" t="str">
        <f>"20190304164838617"</f>
        <v>20190304164838617</v>
      </c>
      <c r="B977" t="str">
        <f>"1551689318607428"</f>
        <v>1551689318607428</v>
      </c>
      <c r="C977" t="s">
        <v>40</v>
      </c>
      <c r="D977">
        <v>4.5373720000000004</v>
      </c>
      <c r="E977">
        <v>0.54872469999999995</v>
      </c>
      <c r="F977" t="s">
        <v>41</v>
      </c>
      <c r="G977">
        <v>-282.21899999999999</v>
      </c>
      <c r="H977">
        <v>0.94203009999999998</v>
      </c>
      <c r="I977">
        <v>367.6044</v>
      </c>
      <c r="J977">
        <v>-282.9085</v>
      </c>
      <c r="K977">
        <v>1.0606530000000001</v>
      </c>
      <c r="L977">
        <v>367.63780000000003</v>
      </c>
      <c r="M977">
        <v>0.99989039999999996</v>
      </c>
      <c r="N977">
        <v>-1.4410930000000001E-2</v>
      </c>
      <c r="O977">
        <v>-3.397752E-3</v>
      </c>
      <c r="P977">
        <v>0.95009739999999998</v>
      </c>
      <c r="Q977">
        <v>0.31059979999999998</v>
      </c>
      <c r="R977">
        <v>2.903068E-2</v>
      </c>
      <c r="S977">
        <v>3.3119510000000001</v>
      </c>
      <c r="T977">
        <v>-0.46003080000000002</v>
      </c>
      <c r="U977">
        <v>-0.13085939999999999</v>
      </c>
      <c r="V977">
        <v>-3.2246660000000003E-2</v>
      </c>
      <c r="W977">
        <v>0.32425890000000002</v>
      </c>
      <c r="X977">
        <v>0.9454186</v>
      </c>
      <c r="Y977">
        <v>3.57325E-2</v>
      </c>
      <c r="Z977">
        <v>-2.306996E-3</v>
      </c>
      <c r="AA977">
        <v>0.99935870000000004</v>
      </c>
      <c r="AB977">
        <v>32</v>
      </c>
      <c r="AC977">
        <v>0.68950000000000899</v>
      </c>
      <c r="AD977">
        <v>-0.1186229</v>
      </c>
      <c r="AE977">
        <v>-3.3400000000028698E-2</v>
      </c>
      <c r="AF977">
        <v>3.0166037074127999E-2</v>
      </c>
      <c r="AG977">
        <v>-0.1186229</v>
      </c>
      <c r="AH977">
        <v>0.66983001839341305</v>
      </c>
      <c r="AI977">
        <v>100.03265610446999</v>
      </c>
      <c r="AJ977">
        <v>87.421406198266894</v>
      </c>
      <c r="AK977">
        <v>0.68092116705099404</v>
      </c>
      <c r="AL977">
        <v>71.079318380247997</v>
      </c>
      <c r="AM977">
        <v>91.953506664417603</v>
      </c>
      <c r="AN977">
        <v>1.0000000052681599</v>
      </c>
    </row>
    <row r="978" spans="1:40" x14ac:dyDescent="0.25">
      <c r="A978" t="str">
        <f>"20190304164838627"</f>
        <v>20190304164838627</v>
      </c>
      <c r="B978" t="str">
        <f>"1551689318617188"</f>
        <v>1551689318617188</v>
      </c>
      <c r="C978" t="s">
        <v>40</v>
      </c>
      <c r="D978">
        <v>4.4689180000000004</v>
      </c>
      <c r="E978">
        <v>0.54748819999999998</v>
      </c>
      <c r="F978" t="s">
        <v>41</v>
      </c>
      <c r="G978">
        <v>-281.93729999999999</v>
      </c>
      <c r="H978">
        <v>0.93698099999999995</v>
      </c>
      <c r="I978">
        <v>367.60090000000002</v>
      </c>
      <c r="J978">
        <v>-282.7407</v>
      </c>
      <c r="K978">
        <v>1.060654</v>
      </c>
      <c r="L978">
        <v>367.63720000000001</v>
      </c>
      <c r="M978">
        <v>0.99989039999999996</v>
      </c>
      <c r="N978">
        <v>-1.4409129999999999E-2</v>
      </c>
      <c r="O978">
        <v>-3.3977389999999999E-3</v>
      </c>
      <c r="P978">
        <v>0.95009149999999998</v>
      </c>
      <c r="Q978">
        <v>0.31062779999999901</v>
      </c>
      <c r="R978">
        <v>2.892809E-2</v>
      </c>
      <c r="S978">
        <v>3.2987669999999998</v>
      </c>
      <c r="T978">
        <v>-0.42015770000000002</v>
      </c>
      <c r="U978">
        <v>-0.1251526</v>
      </c>
      <c r="V978">
        <v>-3.2144020000000002E-2</v>
      </c>
      <c r="W978">
        <v>0.32428499999999999</v>
      </c>
      <c r="X978">
        <v>0.94541310000000001</v>
      </c>
      <c r="Y978">
        <v>3.422994E-2</v>
      </c>
      <c r="Z978">
        <v>-2.036085E-3</v>
      </c>
      <c r="AA978">
        <v>0.99941190000000002</v>
      </c>
      <c r="AB978">
        <v>32</v>
      </c>
      <c r="AC978">
        <v>0.80340000000001</v>
      </c>
      <c r="AD978">
        <v>-0.12367300000000001</v>
      </c>
      <c r="AE978">
        <v>-3.6299999999982901E-2</v>
      </c>
      <c r="AF978">
        <v>3.2794234661803902E-2</v>
      </c>
      <c r="AG978">
        <v>-0.12367300000000001</v>
      </c>
      <c r="AH978">
        <v>0.78495582010724396</v>
      </c>
      <c r="AI978">
        <v>98.9459052627315</v>
      </c>
      <c r="AJ978">
        <v>87.607662591702905</v>
      </c>
      <c r="AK978">
        <v>0.79531510250735804</v>
      </c>
      <c r="AL978">
        <v>71.077736736105606</v>
      </c>
      <c r="AM978">
        <v>91.947304834997595</v>
      </c>
      <c r="AN978">
        <v>0.99999996444918404</v>
      </c>
    </row>
    <row r="979" spans="1:40" x14ac:dyDescent="0.25">
      <c r="A979" t="str">
        <f>"20190304164838640"</f>
        <v>20190304164838640</v>
      </c>
      <c r="B979" t="str">
        <f>"1551689318637684"</f>
        <v>1551689318637684</v>
      </c>
      <c r="C979" t="s">
        <v>40</v>
      </c>
      <c r="D979">
        <v>4.4944680000000004</v>
      </c>
      <c r="E979">
        <v>0.54634229999999995</v>
      </c>
      <c r="F979" t="s">
        <v>41</v>
      </c>
      <c r="G979">
        <v>-281.9237</v>
      </c>
      <c r="H979">
        <v>0.96440709999999996</v>
      </c>
      <c r="I979">
        <v>367.60739999999998</v>
      </c>
      <c r="J979">
        <v>-282.56920000000002</v>
      </c>
      <c r="K979">
        <v>1.060654</v>
      </c>
      <c r="L979">
        <v>367.63670000000002</v>
      </c>
      <c r="M979">
        <v>0.99989059999999996</v>
      </c>
      <c r="N979">
        <v>-1.4407299999999901E-2</v>
      </c>
      <c r="O979">
        <v>-3.397845E-3</v>
      </c>
      <c r="P979">
        <v>0.95003179999999998</v>
      </c>
      <c r="Q979">
        <v>0.31082490000000002</v>
      </c>
      <c r="R979">
        <v>2.8770690000000002E-2</v>
      </c>
      <c r="S979">
        <v>3.2879330000000002</v>
      </c>
      <c r="T979">
        <v>-0.38744269999999997</v>
      </c>
      <c r="U979">
        <v>-0.119751</v>
      </c>
      <c r="V979">
        <v>-3.1986670000000002E-2</v>
      </c>
      <c r="W979">
        <v>0.32447989999999999</v>
      </c>
      <c r="X979">
        <v>0.94535159999999996</v>
      </c>
      <c r="Y979">
        <v>3.2764849999999998E-2</v>
      </c>
      <c r="Z979">
        <v>-1.810128E-3</v>
      </c>
      <c r="AA979">
        <v>0.9994615</v>
      </c>
      <c r="AB979">
        <v>32</v>
      </c>
      <c r="AC979">
        <v>0.64550000000002605</v>
      </c>
      <c r="AD979">
        <v>-9.6246899999999996E-2</v>
      </c>
      <c r="AE979">
        <v>-2.9300000000034701E-2</v>
      </c>
      <c r="AF979">
        <v>2.6517956196448599E-2</v>
      </c>
      <c r="AG979">
        <v>-9.6246899999999996E-2</v>
      </c>
      <c r="AH979">
        <v>0.63158327176920204</v>
      </c>
      <c r="AI979">
        <v>98.657123829401399</v>
      </c>
      <c r="AJ979">
        <v>87.595764216931499</v>
      </c>
      <c r="AK979">
        <v>0.63942481726872002</v>
      </c>
      <c r="AL979">
        <v>71.065932128720206</v>
      </c>
      <c r="AM979">
        <v>91.937905725203194</v>
      </c>
      <c r="AN979">
        <v>1.0000000000921201</v>
      </c>
    </row>
    <row r="980" spans="1:40" x14ac:dyDescent="0.25">
      <c r="A980" t="str">
        <f>"20190304164838653"</f>
        <v>20190304164838653</v>
      </c>
      <c r="B980" t="str">
        <f>"1551689318647444"</f>
        <v>1551689318647444</v>
      </c>
      <c r="C980" t="s">
        <v>40</v>
      </c>
      <c r="D980">
        <v>4.5020069999999999</v>
      </c>
      <c r="E980">
        <v>0.54607539999999999</v>
      </c>
      <c r="F980" t="s">
        <v>41</v>
      </c>
      <c r="G980">
        <v>-281.64100000000002</v>
      </c>
      <c r="H980">
        <v>0.96205890000000005</v>
      </c>
      <c r="I980">
        <v>367.60359999999997</v>
      </c>
      <c r="J980">
        <v>-282.38010000000003</v>
      </c>
      <c r="K980">
        <v>1.060657</v>
      </c>
      <c r="L980">
        <v>367.63600000000002</v>
      </c>
      <c r="M980">
        <v>0.99989050000000002</v>
      </c>
      <c r="N980">
        <v>-1.4405289999999999E-2</v>
      </c>
      <c r="O980">
        <v>-3.3977120000000002E-3</v>
      </c>
      <c r="P980">
        <v>0.9500229</v>
      </c>
      <c r="Q980">
        <v>0.31085489999999999</v>
      </c>
      <c r="R980">
        <v>2.8738329999999999E-2</v>
      </c>
      <c r="S980">
        <v>3.2752080000000001</v>
      </c>
      <c r="T980">
        <v>-0.34820509999999999</v>
      </c>
      <c r="U980">
        <v>-0.115722699999999</v>
      </c>
      <c r="V980">
        <v>-3.1953889999999999E-2</v>
      </c>
      <c r="W980">
        <v>0.32450790000000002</v>
      </c>
      <c r="X980">
        <v>0.94534309999999999</v>
      </c>
      <c r="Y980">
        <v>3.17261E-2</v>
      </c>
      <c r="Z980">
        <v>-1.599269E-3</v>
      </c>
      <c r="AA980">
        <v>0.99949529999999998</v>
      </c>
      <c r="AB980">
        <v>32</v>
      </c>
      <c r="AC980">
        <v>0.73910000000006404</v>
      </c>
      <c r="AD980">
        <v>-9.8598099999999994E-2</v>
      </c>
      <c r="AE980">
        <v>-3.2399999999995502E-2</v>
      </c>
      <c r="AF980">
        <v>2.9366686349904601E-2</v>
      </c>
      <c r="AG980">
        <v>-9.8598099999999994E-2</v>
      </c>
      <c r="AH980">
        <v>0.72630505004339496</v>
      </c>
      <c r="AI980">
        <v>97.724580548360805</v>
      </c>
      <c r="AJ980">
        <v>87.684621397747804</v>
      </c>
      <c r="AK980">
        <v>0.733555051314707</v>
      </c>
      <c r="AL980">
        <v>71.064236116370296</v>
      </c>
      <c r="AM980">
        <v>91.935938661169303</v>
      </c>
      <c r="AN980">
        <v>1.00000000248307</v>
      </c>
    </row>
    <row r="981" spans="1:40" x14ac:dyDescent="0.25">
      <c r="A981" t="str">
        <f>"20190304164838664"</f>
        <v>20190304164838664</v>
      </c>
      <c r="B981" t="str">
        <f>"1551689318657204"</f>
        <v>1551689318657204</v>
      </c>
      <c r="C981" t="s">
        <v>40</v>
      </c>
      <c r="D981">
        <v>4.4774890000000003</v>
      </c>
      <c r="E981">
        <v>0.54580410000000001</v>
      </c>
      <c r="F981" t="s">
        <v>41</v>
      </c>
      <c r="G981">
        <v>-281.63029999999998</v>
      </c>
      <c r="H981">
        <v>0.98367570000000004</v>
      </c>
      <c r="I981">
        <v>367.60930000000002</v>
      </c>
      <c r="J981">
        <v>-282.23399999999998</v>
      </c>
      <c r="K981">
        <v>1.0606599999999999</v>
      </c>
      <c r="L981">
        <v>367.63549999999998</v>
      </c>
      <c r="M981">
        <v>0.99989050000000002</v>
      </c>
      <c r="N981">
        <v>-1.440372E-2</v>
      </c>
      <c r="O981">
        <v>-3.3977009999999999E-3</v>
      </c>
      <c r="P981">
        <v>0.95001869999999999</v>
      </c>
      <c r="Q981">
        <v>0.31087619999999999</v>
      </c>
      <c r="R981">
        <v>2.8644490000000002E-2</v>
      </c>
      <c r="S981">
        <v>3.2713320000000001</v>
      </c>
      <c r="T981">
        <v>-0.33621250000000003</v>
      </c>
      <c r="U981">
        <v>-0.11541750000000001</v>
      </c>
      <c r="V981">
        <v>-3.1860350000000003E-2</v>
      </c>
      <c r="W981">
        <v>0.32452769999999997</v>
      </c>
      <c r="X981">
        <v>0.94533940000000005</v>
      </c>
      <c r="Y981">
        <v>3.1686409999999998E-2</v>
      </c>
      <c r="Z981">
        <v>-1.5531290000000001E-3</v>
      </c>
      <c r="AA981">
        <v>0.99949659999999996</v>
      </c>
      <c r="AB981">
        <v>32</v>
      </c>
      <c r="AC981">
        <v>0.60370000000005997</v>
      </c>
      <c r="AD981">
        <v>-7.6984300000000006E-2</v>
      </c>
      <c r="AE981">
        <v>-2.61999999999602E-2</v>
      </c>
      <c r="AF981">
        <v>2.3762751099374899E-2</v>
      </c>
      <c r="AG981">
        <v>-7.6984300000000006E-2</v>
      </c>
      <c r="AH981">
        <v>0.59414203561501699</v>
      </c>
      <c r="AI981">
        <v>97.3769751890122</v>
      </c>
      <c r="AJ981">
        <v>87.709672090399806</v>
      </c>
      <c r="AK981">
        <v>0.59957986062830504</v>
      </c>
      <c r="AL981">
        <v>71.063035631138206</v>
      </c>
      <c r="AM981">
        <v>91.930283347154003</v>
      </c>
      <c r="AN981">
        <v>0.99999994558088401</v>
      </c>
    </row>
    <row r="982" spans="1:40" x14ac:dyDescent="0.25">
      <c r="A982" t="str">
        <f>"20190304164838674"</f>
        <v>20190304164838674</v>
      </c>
      <c r="B982" t="str">
        <f>"1551689318666964"</f>
        <v>1551689318666964</v>
      </c>
      <c r="C982" t="s">
        <v>40</v>
      </c>
      <c r="D982">
        <v>4.5120959999999997</v>
      </c>
      <c r="E982">
        <v>0.54566510000000001</v>
      </c>
      <c r="F982" t="s">
        <v>41</v>
      </c>
      <c r="G982">
        <v>-281.35230000000001</v>
      </c>
      <c r="H982">
        <v>0.9726707</v>
      </c>
      <c r="I982">
        <v>367.6046</v>
      </c>
      <c r="J982">
        <v>-282.08120000000002</v>
      </c>
      <c r="K982">
        <v>1.0606610000000001</v>
      </c>
      <c r="L982">
        <v>367.63499999999999</v>
      </c>
      <c r="M982">
        <v>0.99989059999999996</v>
      </c>
      <c r="N982">
        <v>-1.4402089999999999E-2</v>
      </c>
      <c r="O982">
        <v>-3.3976890000000002E-3</v>
      </c>
      <c r="P982">
        <v>0.94999089999999997</v>
      </c>
      <c r="Q982">
        <v>0.31098999999999999</v>
      </c>
      <c r="R982">
        <v>2.8334990000000001E-2</v>
      </c>
      <c r="S982">
        <v>3.268005</v>
      </c>
      <c r="T982">
        <v>-0.32614720000000003</v>
      </c>
      <c r="U982">
        <v>-0.1145325</v>
      </c>
      <c r="V982">
        <v>-3.1550290000000002E-2</v>
      </c>
      <c r="W982">
        <v>0.32463959999999997</v>
      </c>
      <c r="X982">
        <v>0.94531140000000002</v>
      </c>
      <c r="Y982">
        <v>3.1462520000000001E-2</v>
      </c>
      <c r="Z982">
        <v>-1.503578E-3</v>
      </c>
      <c r="AA982">
        <v>0.99950380000000005</v>
      </c>
      <c r="AB982">
        <v>32</v>
      </c>
      <c r="AC982">
        <v>0.72890000000000998</v>
      </c>
      <c r="AD982">
        <v>-8.7990299999999994E-2</v>
      </c>
      <c r="AE982">
        <v>-3.03999999999859E-2</v>
      </c>
      <c r="AF982">
        <v>2.75226157656457E-2</v>
      </c>
      <c r="AG982">
        <v>-8.7990299999999994E-2</v>
      </c>
      <c r="AH982">
        <v>0.71854626776280195</v>
      </c>
      <c r="AI982">
        <v>96.976388259710902</v>
      </c>
      <c r="AJ982">
        <v>87.806461067229506</v>
      </c>
      <c r="AK982">
        <v>0.72443669577715697</v>
      </c>
      <c r="AL982">
        <v>71.056257647855702</v>
      </c>
      <c r="AM982">
        <v>91.911568709176393</v>
      </c>
      <c r="AN982">
        <v>0.99999996682860104</v>
      </c>
    </row>
    <row r="983" spans="1:40" x14ac:dyDescent="0.25">
      <c r="A983" t="str">
        <f>"20190304164838684"</f>
        <v>20190304164838684</v>
      </c>
      <c r="B983" t="str">
        <f>"1551689318677700"</f>
        <v>1551689318677700</v>
      </c>
      <c r="C983" t="s">
        <v>40</v>
      </c>
      <c r="D983">
        <v>4.4715499999999997</v>
      </c>
      <c r="E983">
        <v>0.54542429999999997</v>
      </c>
      <c r="F983" t="s">
        <v>41</v>
      </c>
      <c r="G983">
        <v>-281.34390000000002</v>
      </c>
      <c r="H983">
        <v>0.98881209999999997</v>
      </c>
      <c r="I983">
        <v>367.60890000000001</v>
      </c>
      <c r="J983">
        <v>-281.9427</v>
      </c>
      <c r="K983">
        <v>1.0606629999999999</v>
      </c>
      <c r="L983">
        <v>367.6345</v>
      </c>
      <c r="M983">
        <v>0.99989059999999996</v>
      </c>
      <c r="N983">
        <v>-1.4400609999999999E-2</v>
      </c>
      <c r="O983">
        <v>-3.3976779999999999E-3</v>
      </c>
      <c r="P983">
        <v>0.94996760000000002</v>
      </c>
      <c r="Q983">
        <v>0.31106699999999998</v>
      </c>
      <c r="R983">
        <v>2.8275020000000001E-2</v>
      </c>
      <c r="S983">
        <v>3.2655029999999998</v>
      </c>
      <c r="T983">
        <v>-0.31824209999999997</v>
      </c>
      <c r="U983">
        <v>-0.11529540000000001</v>
      </c>
      <c r="V983">
        <v>-3.149039E-2</v>
      </c>
      <c r="W983">
        <v>0.32471440000000001</v>
      </c>
      <c r="X983">
        <v>0.94528780000000001</v>
      </c>
      <c r="Y983">
        <v>3.1728220000000001E-2</v>
      </c>
      <c r="Z983">
        <v>-1.4896589999999999E-3</v>
      </c>
      <c r="AA983">
        <v>0.99949540000000003</v>
      </c>
      <c r="AB983">
        <v>32</v>
      </c>
      <c r="AC983">
        <v>0.59879999999998201</v>
      </c>
      <c r="AD983">
        <v>-7.1850899999999898E-2</v>
      </c>
      <c r="AE983">
        <v>-2.5599999999997101E-2</v>
      </c>
      <c r="AF983">
        <v>2.32312396304677E-2</v>
      </c>
      <c r="AG983">
        <v>-7.1850899999999898E-2</v>
      </c>
      <c r="AH983">
        <v>0.59039850924269299</v>
      </c>
      <c r="AI983">
        <v>96.933403788330693</v>
      </c>
      <c r="AJ983">
        <v>87.7466649293128</v>
      </c>
      <c r="AK983">
        <v>0.59520806617650301</v>
      </c>
      <c r="AL983">
        <v>71.051728190087204</v>
      </c>
      <c r="AM983">
        <v>91.907989771708898</v>
      </c>
      <c r="AN983">
        <v>1.0000000555292701</v>
      </c>
    </row>
    <row r="984" spans="1:40" x14ac:dyDescent="0.25">
      <c r="A984" t="str">
        <f>"20190304164838694"</f>
        <v>20190304164838694</v>
      </c>
      <c r="B984" t="str">
        <f>"1551689318687460"</f>
        <v>1551689318687460</v>
      </c>
      <c r="C984" t="s">
        <v>40</v>
      </c>
      <c r="D984">
        <v>4.5041960000000003</v>
      </c>
      <c r="E984">
        <v>0.54535999999999996</v>
      </c>
      <c r="F984" t="s">
        <v>41</v>
      </c>
      <c r="G984">
        <v>-281.0668</v>
      </c>
      <c r="H984">
        <v>0.97732090000000005</v>
      </c>
      <c r="I984">
        <v>367.6035</v>
      </c>
      <c r="J984">
        <v>-281.79469999999998</v>
      </c>
      <c r="K984">
        <v>1.0606629999999999</v>
      </c>
      <c r="L984">
        <v>367.63400000000001</v>
      </c>
      <c r="M984">
        <v>0.99989059999999996</v>
      </c>
      <c r="N984">
        <v>-1.439903E-2</v>
      </c>
      <c r="O984">
        <v>-3.397667E-3</v>
      </c>
      <c r="P984">
        <v>0.94985019999999998</v>
      </c>
      <c r="Q984">
        <v>0.31144840000000001</v>
      </c>
      <c r="R984">
        <v>2.8015930000000001E-2</v>
      </c>
      <c r="S984">
        <v>3.2631839999999999</v>
      </c>
      <c r="T984">
        <v>-0.31071929999999998</v>
      </c>
      <c r="U984">
        <v>-0.1142883</v>
      </c>
      <c r="V984">
        <v>-3.1230959999999999E-2</v>
      </c>
      <c r="W984">
        <v>0.32509280000000002</v>
      </c>
      <c r="X984">
        <v>0.94516630000000001</v>
      </c>
      <c r="Y984">
        <v>3.1453330000000002E-2</v>
      </c>
      <c r="Z984">
        <v>-1.4468979999999901E-3</v>
      </c>
      <c r="AA984">
        <v>0.99950410000000001</v>
      </c>
      <c r="AB984">
        <v>32</v>
      </c>
      <c r="AC984">
        <v>0.72789999999997601</v>
      </c>
      <c r="AD984">
        <v>-8.3342099999999794E-2</v>
      </c>
      <c r="AE984">
        <v>-3.05000000000177E-2</v>
      </c>
      <c r="AF984">
        <v>2.76643758557692E-2</v>
      </c>
      <c r="AG984">
        <v>-8.3342099999999794E-2</v>
      </c>
      <c r="AH984">
        <v>0.71859553462971604</v>
      </c>
      <c r="AI984">
        <v>96.610705590840595</v>
      </c>
      <c r="AJ984">
        <v>87.795324993320193</v>
      </c>
      <c r="AK984">
        <v>0.72394113414950101</v>
      </c>
      <c r="AL984">
        <v>71.028803014001696</v>
      </c>
      <c r="AM984">
        <v>91.892525563650693</v>
      </c>
      <c r="AN984">
        <v>1.0000000180650199</v>
      </c>
    </row>
    <row r="985" spans="1:40" x14ac:dyDescent="0.25">
      <c r="A985" t="str">
        <f>"20190304164838705"</f>
        <v>20190304164838705</v>
      </c>
      <c r="B985" t="str">
        <f>"1551689318697220"</f>
        <v>1551689318697220</v>
      </c>
      <c r="C985" t="s">
        <v>40</v>
      </c>
      <c r="D985">
        <v>4.429297</v>
      </c>
      <c r="E985">
        <v>0.54507260000000002</v>
      </c>
      <c r="F985" t="s">
        <v>41</v>
      </c>
      <c r="G985">
        <v>-281.05799999999999</v>
      </c>
      <c r="H985">
        <v>0.99194360000000004</v>
      </c>
      <c r="I985">
        <v>367.60759999999999</v>
      </c>
      <c r="J985">
        <v>-281.64710000000002</v>
      </c>
      <c r="K985">
        <v>1.060665</v>
      </c>
      <c r="L985">
        <v>367.63350000000003</v>
      </c>
      <c r="M985">
        <v>0.99989070000000002</v>
      </c>
      <c r="N985">
        <v>-1.4397449999999999E-2</v>
      </c>
      <c r="O985">
        <v>-3.3976549999999999E-3</v>
      </c>
      <c r="P985">
        <v>0.94987080000000002</v>
      </c>
      <c r="Q985">
        <v>0.31140570000000001</v>
      </c>
      <c r="R985">
        <v>2.778825E-2</v>
      </c>
      <c r="S985">
        <v>3.2616879999999999</v>
      </c>
      <c r="T985">
        <v>-0.30456879999999997</v>
      </c>
      <c r="U985">
        <v>-0.115448</v>
      </c>
      <c r="V985">
        <v>-3.1003409999999999E-2</v>
      </c>
      <c r="W985">
        <v>0.32504899999999998</v>
      </c>
      <c r="X985">
        <v>0.94518880000000005</v>
      </c>
      <c r="Y985">
        <v>3.1827769999999998E-2</v>
      </c>
      <c r="Z985">
        <v>-1.4444340000000001E-3</v>
      </c>
      <c r="AA985">
        <v>0.9994923</v>
      </c>
      <c r="AB985">
        <v>32</v>
      </c>
      <c r="AC985">
        <v>0.58910000000003004</v>
      </c>
      <c r="AD985">
        <v>-6.8721400000000002E-2</v>
      </c>
      <c r="AE985">
        <v>-2.5900000000035499E-2</v>
      </c>
      <c r="AF985">
        <v>2.3577847719115499E-2</v>
      </c>
      <c r="AG985">
        <v>-6.8721400000000002E-2</v>
      </c>
      <c r="AH985">
        <v>0.58128946899499601</v>
      </c>
      <c r="AI985">
        <v>96.736857171077503</v>
      </c>
      <c r="AJ985">
        <v>87.677282801308905</v>
      </c>
      <c r="AK985">
        <v>0.58581225020095895</v>
      </c>
      <c r="AL985">
        <v>71.031455660765801</v>
      </c>
      <c r="AM985">
        <v>91.878701775166206</v>
      </c>
      <c r="AN985">
        <v>0.99999996573903305</v>
      </c>
    </row>
    <row r="986" spans="1:40" x14ac:dyDescent="0.25">
      <c r="A986" t="str">
        <f>"20190304164838716"</f>
        <v>20190304164838716</v>
      </c>
      <c r="B986" t="str">
        <f>"1551689318706980"</f>
        <v>1551689318706980</v>
      </c>
      <c r="C986" t="s">
        <v>40</v>
      </c>
      <c r="D986">
        <v>4.4797710000000004</v>
      </c>
      <c r="E986">
        <v>0.54491119999999904</v>
      </c>
      <c r="F986" t="s">
        <v>41</v>
      </c>
      <c r="G986">
        <v>-280.78199999999998</v>
      </c>
      <c r="H986">
        <v>0.981456</v>
      </c>
      <c r="I986">
        <v>367.60289999999998</v>
      </c>
      <c r="J986">
        <v>-281.48719999999997</v>
      </c>
      <c r="K986">
        <v>1.0606709999999999</v>
      </c>
      <c r="L986">
        <v>367.63290000000001</v>
      </c>
      <c r="M986">
        <v>0.99989070000000002</v>
      </c>
      <c r="N986">
        <v>-1.4395720000000001E-2</v>
      </c>
      <c r="O986">
        <v>-3.3976430000000001E-3</v>
      </c>
      <c r="P986">
        <v>0.94976309999999997</v>
      </c>
      <c r="Q986">
        <v>0.31175920000000001</v>
      </c>
      <c r="R986">
        <v>2.750443E-2</v>
      </c>
      <c r="S986">
        <v>3.2595830000000001</v>
      </c>
      <c r="T986">
        <v>-0.29863479999999998</v>
      </c>
      <c r="U986">
        <v>-0.114624</v>
      </c>
      <c r="V986">
        <v>-3.0719159999999999E-2</v>
      </c>
      <c r="W986">
        <v>0.32539899999999999</v>
      </c>
      <c r="X986">
        <v>0.94507770000000002</v>
      </c>
      <c r="Y986">
        <v>3.1604439999999998E-2</v>
      </c>
      <c r="Z986">
        <v>-1.41068799999999E-3</v>
      </c>
      <c r="AA986">
        <v>0.99949940000000004</v>
      </c>
      <c r="AB986">
        <v>32</v>
      </c>
      <c r="AC986">
        <v>0.70519999999998995</v>
      </c>
      <c r="AD986">
        <v>-7.9214999999999897E-2</v>
      </c>
      <c r="AE986">
        <v>-3.00000000000295E-2</v>
      </c>
      <c r="AF986">
        <v>2.7260213104513199E-2</v>
      </c>
      <c r="AG986">
        <v>-7.9214999999999897E-2</v>
      </c>
      <c r="AH986">
        <v>0.69652499843909899</v>
      </c>
      <c r="AI986">
        <v>96.483384990480602</v>
      </c>
      <c r="AJ986">
        <v>87.758733106992693</v>
      </c>
      <c r="AK986">
        <v>0.70154487304383395</v>
      </c>
      <c r="AL986">
        <v>71.010250316401098</v>
      </c>
      <c r="AM986">
        <v>91.861708037100101</v>
      </c>
      <c r="AN986">
        <v>1.0000000175146899</v>
      </c>
    </row>
    <row r="987" spans="1:40" x14ac:dyDescent="0.25">
      <c r="A987" t="str">
        <f>"20190304164838727"</f>
        <v>20190304164838727</v>
      </c>
      <c r="B987" t="str">
        <f>"1551689318717717"</f>
        <v>1551689318717717</v>
      </c>
      <c r="C987" t="s">
        <v>40</v>
      </c>
      <c r="D987">
        <v>4.4918680000000002</v>
      </c>
      <c r="E987">
        <v>0.54473439999999995</v>
      </c>
      <c r="F987" t="s">
        <v>41</v>
      </c>
      <c r="G987">
        <v>-280.50409999999999</v>
      </c>
      <c r="H987">
        <v>0.97223479999999995</v>
      </c>
      <c r="I987">
        <v>367.59809999999999</v>
      </c>
      <c r="J987">
        <v>-281.32889999999998</v>
      </c>
      <c r="K987">
        <v>1.060673</v>
      </c>
      <c r="L987">
        <v>367.63240000000002</v>
      </c>
      <c r="M987">
        <v>0.99989059999999996</v>
      </c>
      <c r="N987">
        <v>-1.439402E-2</v>
      </c>
      <c r="O987">
        <v>-3.3973919999999999E-3</v>
      </c>
      <c r="P987">
        <v>0.94971729999999999</v>
      </c>
      <c r="Q987">
        <v>0.31193080000000001</v>
      </c>
      <c r="R987">
        <v>2.7125929999999999E-2</v>
      </c>
      <c r="S987">
        <v>3.25827</v>
      </c>
      <c r="T987">
        <v>-0.29335830000000002</v>
      </c>
      <c r="U987">
        <v>-0.114624</v>
      </c>
      <c r="V987">
        <v>-3.034009E-2</v>
      </c>
      <c r="W987">
        <v>0.32556889999999999</v>
      </c>
      <c r="X987">
        <v>0.94503139999999997</v>
      </c>
      <c r="Y987">
        <v>3.1623209999999999E-2</v>
      </c>
      <c r="Z987">
        <v>-1.3921339999999999E-3</v>
      </c>
      <c r="AA987">
        <v>0.99949889999999997</v>
      </c>
      <c r="AB987">
        <v>32</v>
      </c>
      <c r="AC987">
        <v>0.82479999999998199</v>
      </c>
      <c r="AD987">
        <v>-8.8438199999999995E-2</v>
      </c>
      <c r="AE987">
        <v>-3.4300000000030098E-2</v>
      </c>
      <c r="AF987">
        <v>3.11399464699341E-2</v>
      </c>
      <c r="AG987">
        <v>-8.8438199999999995E-2</v>
      </c>
      <c r="AH987">
        <v>0.81555161614328697</v>
      </c>
      <c r="AI987">
        <v>96.184484037310298</v>
      </c>
      <c r="AJ987">
        <v>87.813355815172997</v>
      </c>
      <c r="AK987">
        <v>0.82092353485529801</v>
      </c>
      <c r="AL987">
        <v>70.999954592290706</v>
      </c>
      <c r="AM987">
        <v>91.838840721641205</v>
      </c>
      <c r="AN987">
        <v>0.99999998834718895</v>
      </c>
    </row>
    <row r="988" spans="1:40" x14ac:dyDescent="0.25">
      <c r="A988" t="str">
        <f>"20190304164838739"</f>
        <v>20190304164838739</v>
      </c>
      <c r="B988" t="str">
        <f>"1551689318727477"</f>
        <v>1551689318727477</v>
      </c>
      <c r="C988" t="s">
        <v>40</v>
      </c>
      <c r="D988">
        <v>4.5543100000000001</v>
      </c>
      <c r="E988">
        <v>0.54468139999999998</v>
      </c>
      <c r="F988" t="s">
        <v>41</v>
      </c>
      <c r="G988">
        <v>-280.49680000000001</v>
      </c>
      <c r="H988">
        <v>0.98681969999999997</v>
      </c>
      <c r="I988">
        <v>367.60289999999998</v>
      </c>
      <c r="J988">
        <v>-281.17529999999999</v>
      </c>
      <c r="K988">
        <v>1.060718</v>
      </c>
      <c r="L988">
        <v>367.63189999999997</v>
      </c>
      <c r="M988">
        <v>0.99988840000000001</v>
      </c>
      <c r="N988">
        <v>-1.4551659999999999E-2</v>
      </c>
      <c r="O988">
        <v>-3.39734E-3</v>
      </c>
      <c r="P988">
        <v>0.94963379999999997</v>
      </c>
      <c r="Q988">
        <v>0.31220890000000001</v>
      </c>
      <c r="R988">
        <v>2.685746E-2</v>
      </c>
      <c r="S988">
        <v>3.2571409999999998</v>
      </c>
      <c r="T988">
        <v>-0.289410099999999</v>
      </c>
      <c r="U988">
        <v>-0.1142883</v>
      </c>
      <c r="V988">
        <v>-3.0071819999999999E-2</v>
      </c>
      <c r="W988">
        <v>0.32599409999999901</v>
      </c>
      <c r="X988">
        <v>0.94489339999999999</v>
      </c>
      <c r="Y988">
        <v>3.1535979999999998E-2</v>
      </c>
      <c r="Z988">
        <v>-1.376092E-3</v>
      </c>
      <c r="AA988">
        <v>0.99950159999999999</v>
      </c>
      <c r="AB988">
        <v>32</v>
      </c>
      <c r="AC988">
        <v>0.678499999999985</v>
      </c>
      <c r="AD988">
        <v>-7.38983E-2</v>
      </c>
      <c r="AE988">
        <v>-2.89999999999963E-2</v>
      </c>
      <c r="AF988">
        <v>2.63821113847705E-2</v>
      </c>
      <c r="AG988">
        <v>-7.38983E-2</v>
      </c>
      <c r="AH988">
        <v>0.67065362387108796</v>
      </c>
      <c r="AI988">
        <v>96.283147279690198</v>
      </c>
      <c r="AJ988">
        <v>87.7472653606888</v>
      </c>
      <c r="AK988">
        <v>0.67522830046987203</v>
      </c>
      <c r="AL988">
        <v>70.974186938098001</v>
      </c>
      <c r="AM988">
        <v>91.8228585365854</v>
      </c>
      <c r="AN988">
        <v>1.0000000024782401</v>
      </c>
    </row>
    <row r="989" spans="1:40" x14ac:dyDescent="0.25">
      <c r="A989" t="str">
        <f>"20190304164838750"</f>
        <v>20190304164838750</v>
      </c>
      <c r="B989" t="str">
        <f>"1551689318746997"</f>
        <v>1551689318746997</v>
      </c>
      <c r="C989" t="s">
        <v>40</v>
      </c>
      <c r="D989">
        <v>4.5687360000000004</v>
      </c>
      <c r="E989">
        <v>0.54466359999999903</v>
      </c>
      <c r="F989" t="s">
        <v>41</v>
      </c>
      <c r="G989">
        <v>-280.22269999999997</v>
      </c>
      <c r="H989">
        <v>0.97691079999999997</v>
      </c>
      <c r="I989">
        <v>367.59809999999999</v>
      </c>
      <c r="J989">
        <v>-281.00909999999999</v>
      </c>
      <c r="K989">
        <v>1.0608690000000001</v>
      </c>
      <c r="L989">
        <v>367.63130000000001</v>
      </c>
      <c r="M989">
        <v>0.99988049999999995</v>
      </c>
      <c r="N989">
        <v>-1.5085599999999999E-2</v>
      </c>
      <c r="O989">
        <v>-3.3974780000000002E-3</v>
      </c>
      <c r="P989">
        <v>0.94972559999999995</v>
      </c>
      <c r="Q989">
        <v>0.31195659999999997</v>
      </c>
      <c r="R989">
        <v>2.6542349999999999E-2</v>
      </c>
      <c r="S989">
        <v>3.256561</v>
      </c>
      <c r="T989">
        <v>-0.28659240000000002</v>
      </c>
      <c r="U989">
        <v>-0.11529540000000001</v>
      </c>
      <c r="V989">
        <v>-2.975682E-2</v>
      </c>
      <c r="W989">
        <v>0.32624779999999998</v>
      </c>
      <c r="X989">
        <v>0.94481579999999998</v>
      </c>
      <c r="Y989">
        <v>3.1850799999999999E-2</v>
      </c>
      <c r="Z989">
        <v>-1.3920860000000001E-3</v>
      </c>
      <c r="AA989">
        <v>0.99949169999999998</v>
      </c>
      <c r="AB989">
        <v>32</v>
      </c>
      <c r="AC989">
        <v>0.78640000000001398</v>
      </c>
      <c r="AD989">
        <v>-8.3958200000000094E-2</v>
      </c>
      <c r="AE989">
        <v>-3.3200000000022101E-2</v>
      </c>
      <c r="AF989">
        <v>3.01842909480072E-2</v>
      </c>
      <c r="AG989">
        <v>-8.3958200000000094E-2</v>
      </c>
      <c r="AH989">
        <v>0.77766005472351496</v>
      </c>
      <c r="AI989">
        <v>96.157333421880793</v>
      </c>
      <c r="AJ989">
        <v>87.777223141642096</v>
      </c>
      <c r="AK989">
        <v>0.78276128639570197</v>
      </c>
      <c r="AL989">
        <v>70.958810194368894</v>
      </c>
      <c r="AM989">
        <v>91.803924964898698</v>
      </c>
      <c r="AN989">
        <v>0.99999999563549602</v>
      </c>
    </row>
    <row r="990" spans="1:40" x14ac:dyDescent="0.25">
      <c r="A990" t="str">
        <f>"20190304164838762"</f>
        <v>20190304164838762</v>
      </c>
      <c r="B990" t="str">
        <f>"1551689318756756"</f>
        <v>1551689318756756</v>
      </c>
      <c r="C990" t="s">
        <v>40</v>
      </c>
      <c r="D990">
        <v>4.5596860000000001</v>
      </c>
      <c r="E990">
        <v>0.54466029999999999</v>
      </c>
      <c r="F990" t="s">
        <v>41</v>
      </c>
      <c r="G990">
        <v>-280.21409999999997</v>
      </c>
      <c r="H990">
        <v>0.99154759999999997</v>
      </c>
      <c r="I990">
        <v>367.60270000000003</v>
      </c>
      <c r="J990">
        <v>-280.84660000000002</v>
      </c>
      <c r="K990">
        <v>1.0611389999999901</v>
      </c>
      <c r="L990">
        <v>367.63080000000002</v>
      </c>
      <c r="M990">
        <v>0.99987130000000002</v>
      </c>
      <c r="N990">
        <v>-1.5689120000000001E-2</v>
      </c>
      <c r="O990">
        <v>-3.3978260000000001E-3</v>
      </c>
      <c r="P990">
        <v>0.94973980000000002</v>
      </c>
      <c r="Q990">
        <v>0.31193100000000001</v>
      </c>
      <c r="R990">
        <v>2.6338500000000001E-2</v>
      </c>
      <c r="S990">
        <v>3.255341</v>
      </c>
      <c r="T990">
        <v>-0.28399459999999999</v>
      </c>
      <c r="U990">
        <v>-0.1167908</v>
      </c>
      <c r="V990">
        <v>-2.955315E-2</v>
      </c>
      <c r="W990">
        <v>0.32679269999999999</v>
      </c>
      <c r="X990">
        <v>0.94463379999999997</v>
      </c>
      <c r="Y990">
        <v>3.2321229999999999E-2</v>
      </c>
      <c r="Z990">
        <v>-1.4183829999999901E-3</v>
      </c>
      <c r="AA990">
        <v>0.99947660000000005</v>
      </c>
      <c r="AB990">
        <v>32</v>
      </c>
      <c r="AC990">
        <v>0.63250000000005002</v>
      </c>
      <c r="AD990">
        <v>-6.9591399999999706E-2</v>
      </c>
      <c r="AE990">
        <v>-2.80999999999949E-2</v>
      </c>
      <c r="AF990">
        <v>2.56406617404842E-2</v>
      </c>
      <c r="AG990">
        <v>-6.9591399999999706E-2</v>
      </c>
      <c r="AH990">
        <v>0.62504019142542599</v>
      </c>
      <c r="AI990">
        <v>96.347798519897793</v>
      </c>
      <c r="AJ990">
        <v>87.6509055486938</v>
      </c>
      <c r="AK990">
        <v>0.62942485443902096</v>
      </c>
      <c r="AL990">
        <v>70.925778141156499</v>
      </c>
      <c r="AM990">
        <v>91.791931063351996</v>
      </c>
      <c r="AN990">
        <v>0.99999993677532395</v>
      </c>
    </row>
    <row r="991" spans="1:40" x14ac:dyDescent="0.25">
      <c r="A991" t="str">
        <f>"20190304164838774"</f>
        <v>20190304164838774</v>
      </c>
      <c r="B991" t="str">
        <f>"1551689318767493"</f>
        <v>1551689318767493</v>
      </c>
      <c r="C991" t="s">
        <v>40</v>
      </c>
      <c r="D991">
        <v>4.7512840000000001</v>
      </c>
      <c r="E991">
        <v>0.54482749999999902</v>
      </c>
      <c r="F991" t="s">
        <v>41</v>
      </c>
      <c r="G991">
        <v>-279.94459999999998</v>
      </c>
      <c r="H991">
        <v>0.98267040000000005</v>
      </c>
      <c r="I991">
        <v>367.59789999999998</v>
      </c>
      <c r="J991">
        <v>-280.67660000000001</v>
      </c>
      <c r="K991">
        <v>1.0615059999999901</v>
      </c>
      <c r="L991">
        <v>367.6302</v>
      </c>
      <c r="M991">
        <v>0.99986019999999998</v>
      </c>
      <c r="N991">
        <v>-1.6374360000000001E-2</v>
      </c>
      <c r="O991">
        <v>-3.3979510000000002E-3</v>
      </c>
      <c r="P991">
        <v>0.94992330000000003</v>
      </c>
      <c r="Q991">
        <v>0.31138290000000002</v>
      </c>
      <c r="R991">
        <v>2.619689E-2</v>
      </c>
      <c r="S991">
        <v>3.2550659999999998</v>
      </c>
      <c r="T991">
        <v>-0.28336</v>
      </c>
      <c r="U991">
        <v>-0.1179504</v>
      </c>
      <c r="V991">
        <v>-2.941241E-2</v>
      </c>
      <c r="W991">
        <v>0.32689550000000001</v>
      </c>
      <c r="X991">
        <v>0.94460270000000002</v>
      </c>
      <c r="Y991">
        <v>3.2677520000000002E-2</v>
      </c>
      <c r="Z991">
        <v>-1.44781799999999E-3</v>
      </c>
      <c r="AA991">
        <v>0.99946489999999999</v>
      </c>
      <c r="AB991">
        <v>31</v>
      </c>
      <c r="AC991">
        <v>0.73200000000002696</v>
      </c>
      <c r="AD991">
        <v>-7.8835599999999895E-2</v>
      </c>
      <c r="AE991">
        <v>-3.2300000000020597E-2</v>
      </c>
      <c r="AF991">
        <v>2.94710083921348E-2</v>
      </c>
      <c r="AG991">
        <v>-7.8835599999999895E-2</v>
      </c>
      <c r="AH991">
        <v>0.72372730210375802</v>
      </c>
      <c r="AI991">
        <v>96.211609090500502</v>
      </c>
      <c r="AJ991">
        <v>87.668138276917801</v>
      </c>
      <c r="AK991">
        <v>0.728604693900193</v>
      </c>
      <c r="AL991">
        <v>70.919547283799304</v>
      </c>
      <c r="AM991">
        <v>91.783461611242203</v>
      </c>
      <c r="AN991">
        <v>1.0000000093147701</v>
      </c>
    </row>
    <row r="992" spans="1:40" x14ac:dyDescent="0.25">
      <c r="A992" t="str">
        <f>"20190304164838787"</f>
        <v>20190304164838787</v>
      </c>
      <c r="B992" t="str">
        <f>"1551689318777253"</f>
        <v>1551689318777253</v>
      </c>
      <c r="C992" t="s">
        <v>40</v>
      </c>
      <c r="D992">
        <v>4.5682419999999997</v>
      </c>
      <c r="E992">
        <v>0.54476340000000001</v>
      </c>
      <c r="F992" t="s">
        <v>41</v>
      </c>
      <c r="G992">
        <v>-279.93419999999998</v>
      </c>
      <c r="H992">
        <v>0.99658599999999997</v>
      </c>
      <c r="I992">
        <v>367.60270000000003</v>
      </c>
      <c r="J992">
        <v>-280.51240000000001</v>
      </c>
      <c r="K992">
        <v>1.061868</v>
      </c>
      <c r="L992">
        <v>367.62959999999998</v>
      </c>
      <c r="M992">
        <v>0.99986129999999995</v>
      </c>
      <c r="N992">
        <v>-1.6310229999999998E-2</v>
      </c>
      <c r="O992">
        <v>-3.398266E-3</v>
      </c>
      <c r="P992">
        <v>0.95000649999999998</v>
      </c>
      <c r="Q992">
        <v>0.31113229999999997</v>
      </c>
      <c r="R992">
        <v>2.6164659999999999E-2</v>
      </c>
      <c r="S992">
        <v>3.2548219999999999</v>
      </c>
      <c r="T992">
        <v>-0.28479359999999998</v>
      </c>
      <c r="U992">
        <v>-0.1197815</v>
      </c>
      <c r="V992">
        <v>-2.9380159999999999E-2</v>
      </c>
      <c r="W992">
        <v>0.32658540000000003</v>
      </c>
      <c r="X992">
        <v>0.94471099999999997</v>
      </c>
      <c r="Y992">
        <v>3.3237719999999998E-2</v>
      </c>
      <c r="Z992">
        <v>-1.4813059999999999E-3</v>
      </c>
      <c r="AA992">
        <v>0.99944639999999996</v>
      </c>
      <c r="AB992">
        <v>31</v>
      </c>
      <c r="AC992">
        <v>0.57820000000003802</v>
      </c>
      <c r="AD992">
        <v>-6.5281999999999896E-2</v>
      </c>
      <c r="AE992">
        <v>-2.6899999999955002E-2</v>
      </c>
      <c r="AF992">
        <v>2.4621516988345801E-2</v>
      </c>
      <c r="AG992">
        <v>-6.5281999999999896E-2</v>
      </c>
      <c r="AH992">
        <v>0.57102457611870405</v>
      </c>
      <c r="AI992">
        <v>96.515983307325797</v>
      </c>
      <c r="AJ992">
        <v>87.531041936866899</v>
      </c>
      <c r="AK992">
        <v>0.57527126223578395</v>
      </c>
      <c r="AL992">
        <v>70.938347232210404</v>
      </c>
      <c r="AM992">
        <v>91.781303252044296</v>
      </c>
      <c r="AN992">
        <v>1.0000000454078899</v>
      </c>
    </row>
    <row r="993" spans="1:40" x14ac:dyDescent="0.25">
      <c r="A993" t="str">
        <f>"20190304164838799"</f>
        <v>20190304164838799</v>
      </c>
      <c r="B993" t="str">
        <f>"1551689318787013"</f>
        <v>1551689318787013</v>
      </c>
      <c r="C993" t="s">
        <v>40</v>
      </c>
      <c r="D993">
        <v>4.5616890000000003</v>
      </c>
      <c r="E993">
        <v>0.54472359999999997</v>
      </c>
      <c r="F993" t="s">
        <v>41</v>
      </c>
      <c r="G993">
        <v>-279.66699999999997</v>
      </c>
      <c r="H993">
        <v>0.98790849999999997</v>
      </c>
      <c r="I993">
        <v>367.5985</v>
      </c>
      <c r="J993">
        <v>-280.3408</v>
      </c>
      <c r="K993">
        <v>1.062241</v>
      </c>
      <c r="L993">
        <v>367.62900000000002</v>
      </c>
      <c r="M993">
        <v>0.99986739999999996</v>
      </c>
      <c r="N993">
        <v>-1.5927589999999998E-2</v>
      </c>
      <c r="O993">
        <v>-3.3984089999999998E-3</v>
      </c>
      <c r="P993">
        <v>0.94988289999999997</v>
      </c>
      <c r="Q993">
        <v>0.31153409999999998</v>
      </c>
      <c r="R993">
        <v>2.5863299999999999E-2</v>
      </c>
      <c r="S993">
        <v>3.2544559999999998</v>
      </c>
      <c r="T993">
        <v>-0.284856099999999</v>
      </c>
      <c r="U993">
        <v>-0.1194153</v>
      </c>
      <c r="V993">
        <v>-2.9078380000000001E-2</v>
      </c>
      <c r="W993">
        <v>0.32662370000000002</v>
      </c>
      <c r="X993">
        <v>0.94470699999999996</v>
      </c>
      <c r="Y993">
        <v>3.3130470000000002E-2</v>
      </c>
      <c r="Z993">
        <v>-1.4684629999999999E-3</v>
      </c>
      <c r="AA993">
        <v>0.99944999999999995</v>
      </c>
      <c r="AB993">
        <v>31</v>
      </c>
      <c r="AC993">
        <v>0.67379999999997098</v>
      </c>
      <c r="AD993">
        <v>-7.4332499999999996E-2</v>
      </c>
      <c r="AE993">
        <v>-3.05000000000177E-2</v>
      </c>
      <c r="AF993">
        <v>2.78711828715443E-2</v>
      </c>
      <c r="AG993">
        <v>-7.4332499999999996E-2</v>
      </c>
      <c r="AH993">
        <v>0.665813302632835</v>
      </c>
      <c r="AI993">
        <v>96.364689149243105</v>
      </c>
      <c r="AJ993">
        <v>87.602977625536099</v>
      </c>
      <c r="AK993">
        <v>0.67052925167642896</v>
      </c>
      <c r="AL993">
        <v>70.936023685987294</v>
      </c>
      <c r="AM993">
        <v>91.763025560400607</v>
      </c>
      <c r="AN993">
        <v>0.99999995471705605</v>
      </c>
    </row>
    <row r="994" spans="1:40" x14ac:dyDescent="0.25">
      <c r="A994" t="str">
        <f>"20190304164838819"</f>
        <v>20190304164838819</v>
      </c>
      <c r="B994" t="str">
        <f>"1551689318807508"</f>
        <v>1551689318807508</v>
      </c>
      <c r="C994" t="s">
        <v>40</v>
      </c>
      <c r="D994">
        <v>4.5636989999999997</v>
      </c>
      <c r="E994">
        <v>0.54454089999999999</v>
      </c>
      <c r="F994" t="s">
        <v>41</v>
      </c>
      <c r="G994">
        <v>-279.39350000000002</v>
      </c>
      <c r="H994">
        <v>0.98001300000000002</v>
      </c>
      <c r="I994">
        <v>367.59390000000002</v>
      </c>
      <c r="J994">
        <v>-280.07740000000001</v>
      </c>
      <c r="K994">
        <v>1.0628439999999999</v>
      </c>
      <c r="L994">
        <v>367.62810000000002</v>
      </c>
      <c r="M994">
        <v>0.99989130000000004</v>
      </c>
      <c r="N994">
        <v>-1.4352719999999999E-2</v>
      </c>
      <c r="O994">
        <v>-3.3983049999999999E-3</v>
      </c>
      <c r="P994">
        <v>0.94955040000000002</v>
      </c>
      <c r="Q994">
        <v>0.31258789999999997</v>
      </c>
      <c r="R994">
        <v>2.5353000000000001E-2</v>
      </c>
      <c r="S994">
        <v>3.2542420000000001</v>
      </c>
      <c r="T994">
        <v>-0.28274060000000001</v>
      </c>
      <c r="U994">
        <v>-0.119812</v>
      </c>
      <c r="V994">
        <v>-2.8566279999999999E-2</v>
      </c>
      <c r="W994">
        <v>0.3261848</v>
      </c>
      <c r="X994">
        <v>0.94487429999999994</v>
      </c>
      <c r="Y994">
        <v>3.3258700000000002E-2</v>
      </c>
      <c r="Z994">
        <v>-1.4349969999999999E-3</v>
      </c>
      <c r="AA994">
        <v>0.99944569999999999</v>
      </c>
      <c r="AB994">
        <v>31</v>
      </c>
      <c r="AC994">
        <v>0.68389999999999396</v>
      </c>
      <c r="AD994">
        <v>-8.2831000000000196E-2</v>
      </c>
      <c r="AE994">
        <v>-3.4199999999998398E-2</v>
      </c>
      <c r="AF994">
        <v>3.1415773928238001E-2</v>
      </c>
      <c r="AG994">
        <v>-8.2831000000000196E-2</v>
      </c>
      <c r="AH994">
        <v>0.67414787510535701</v>
      </c>
      <c r="AI994">
        <v>96.997174709359896</v>
      </c>
      <c r="AJ994">
        <v>87.331905879963799</v>
      </c>
      <c r="AK994">
        <v>0.67994358804358002</v>
      </c>
      <c r="AL994">
        <v>70.962628795838498</v>
      </c>
      <c r="AM994">
        <v>91.731689476995996</v>
      </c>
      <c r="AN994">
        <v>0.99999999945228402</v>
      </c>
    </row>
    <row r="995" spans="1:40" x14ac:dyDescent="0.25">
      <c r="A995" t="str">
        <f>"20190304164838831"</f>
        <v>20190304164838831</v>
      </c>
      <c r="B995" t="str">
        <f>"1551689318827028"</f>
        <v>1551689318827028</v>
      </c>
      <c r="C995" t="s">
        <v>40</v>
      </c>
      <c r="D995">
        <v>4.5654029999999999</v>
      </c>
      <c r="E995">
        <v>0.54446450000000002</v>
      </c>
      <c r="F995" t="s">
        <v>41</v>
      </c>
      <c r="G995">
        <v>-279.11509999999998</v>
      </c>
      <c r="H995">
        <v>0.98072000000000004</v>
      </c>
      <c r="I995">
        <v>367.59289999999999</v>
      </c>
      <c r="J995">
        <v>-279.88130000000001</v>
      </c>
      <c r="K995">
        <v>1.0634619999999999</v>
      </c>
      <c r="L995">
        <v>367.62740000000002</v>
      </c>
      <c r="M995">
        <v>0.99990959999999995</v>
      </c>
      <c r="N995">
        <v>-1.301707E-2</v>
      </c>
      <c r="O995">
        <v>-3.3977550000000001E-3</v>
      </c>
      <c r="P995">
        <v>0.94912019999999997</v>
      </c>
      <c r="Q995">
        <v>0.31390960000000001</v>
      </c>
      <c r="R995">
        <v>2.513636E-2</v>
      </c>
      <c r="S995">
        <v>3.2540279999999999</v>
      </c>
      <c r="T995">
        <v>-0.2778139</v>
      </c>
      <c r="U995">
        <v>-0.1186218</v>
      </c>
      <c r="V995">
        <v>-2.834766E-2</v>
      </c>
      <c r="W995">
        <v>0.32623790000000003</v>
      </c>
      <c r="X995">
        <v>0.94486250000000005</v>
      </c>
      <c r="Y995">
        <v>3.2904660000000002E-2</v>
      </c>
      <c r="Z995">
        <v>-1.370991E-3</v>
      </c>
      <c r="AA995">
        <v>0.9994575</v>
      </c>
      <c r="AB995">
        <v>31</v>
      </c>
      <c r="AC995">
        <v>0.76620000000002597</v>
      </c>
      <c r="AD995">
        <v>-8.2742000000000093E-2</v>
      </c>
      <c r="AE995">
        <v>-3.45000000000368E-2</v>
      </c>
      <c r="AF995">
        <v>3.1529274664807101E-2</v>
      </c>
      <c r="AG995">
        <v>-8.2742000000000093E-2</v>
      </c>
      <c r="AH995">
        <v>0.75749686243765202</v>
      </c>
      <c r="AI995">
        <v>96.228400223680595</v>
      </c>
      <c r="AJ995">
        <v>87.616554855557595</v>
      </c>
      <c r="AK995">
        <v>0.76265446325828001</v>
      </c>
      <c r="AL995">
        <v>70.959409363052799</v>
      </c>
      <c r="AM995">
        <v>91.718466145430597</v>
      </c>
      <c r="AN995">
        <v>0.99999995056506596</v>
      </c>
    </row>
    <row r="996" spans="1:40" x14ac:dyDescent="0.25">
      <c r="A996" t="str">
        <f>"20190304164838844"</f>
        <v>20190304164838844</v>
      </c>
      <c r="B996" t="str">
        <f>"1551689318837764"</f>
        <v>1551689318837764</v>
      </c>
      <c r="C996" t="s">
        <v>40</v>
      </c>
      <c r="D996">
        <v>4.5525669999999998</v>
      </c>
      <c r="E996">
        <v>0.5444445</v>
      </c>
      <c r="F996" t="s">
        <v>41</v>
      </c>
      <c r="G996">
        <v>-279.10410000000002</v>
      </c>
      <c r="H996">
        <v>0.99841310000000005</v>
      </c>
      <c r="I996">
        <v>367.59910000000002</v>
      </c>
      <c r="J996">
        <v>-279.71230000000003</v>
      </c>
      <c r="K996">
        <v>1.064138</v>
      </c>
      <c r="L996">
        <v>367.62689999999998</v>
      </c>
      <c r="M996">
        <v>0.99992289999999995</v>
      </c>
      <c r="N996">
        <v>-1.1950870000000001E-2</v>
      </c>
      <c r="O996">
        <v>-3.3974180000000001E-3</v>
      </c>
      <c r="P996">
        <v>0.94883499999999998</v>
      </c>
      <c r="Q996">
        <v>0.31476340000000003</v>
      </c>
      <c r="R996">
        <v>2.5219040000000002E-2</v>
      </c>
      <c r="S996">
        <v>3.254089</v>
      </c>
      <c r="T996">
        <v>-0.27246979999999998</v>
      </c>
      <c r="U996">
        <v>-0.11816409999999999</v>
      </c>
      <c r="V996">
        <v>-2.8429030000000001E-2</v>
      </c>
      <c r="W996">
        <v>0.32608019999999999</v>
      </c>
      <c r="X996">
        <v>0.94491460000000005</v>
      </c>
      <c r="Y996">
        <v>3.2770710000000002E-2</v>
      </c>
      <c r="Z996">
        <v>-1.3220599999999999E-3</v>
      </c>
      <c r="AA996">
        <v>0.99946199999999996</v>
      </c>
      <c r="AB996">
        <v>31</v>
      </c>
      <c r="AC996">
        <v>0.60820000000000995</v>
      </c>
      <c r="AD996">
        <v>-6.5724900000000003E-2</v>
      </c>
      <c r="AE996">
        <v>-2.7799999999956498E-2</v>
      </c>
      <c r="AF996">
        <v>2.54369501201221E-2</v>
      </c>
      <c r="AG996">
        <v>-6.5724900000000003E-2</v>
      </c>
      <c r="AH996">
        <v>0.601283815048686</v>
      </c>
      <c r="AI996">
        <v>96.232568434401301</v>
      </c>
      <c r="AJ996">
        <v>87.577580926299007</v>
      </c>
      <c r="AK996">
        <v>0.60539989027990904</v>
      </c>
      <c r="AL996">
        <v>70.968969644074207</v>
      </c>
      <c r="AM996">
        <v>91.723300947331097</v>
      </c>
      <c r="AN996">
        <v>1.0000000539359599</v>
      </c>
    </row>
    <row r="997" spans="1:40" x14ac:dyDescent="0.25">
      <c r="A997" t="str">
        <f>"20190304164838858"</f>
        <v>20190304164838858</v>
      </c>
      <c r="B997" t="str">
        <f>"1551689318847523"</f>
        <v>1551689318847523</v>
      </c>
      <c r="C997" t="s">
        <v>40</v>
      </c>
      <c r="D997">
        <v>4.5616659999999998</v>
      </c>
      <c r="E997">
        <v>0.54442199999999996</v>
      </c>
      <c r="F997" t="s">
        <v>41</v>
      </c>
      <c r="G997">
        <v>-278.83249999999998</v>
      </c>
      <c r="H997">
        <v>0.99145090000000002</v>
      </c>
      <c r="I997">
        <v>367.59480000000002</v>
      </c>
      <c r="J997">
        <v>-279.53109999999998</v>
      </c>
      <c r="K997">
        <v>1.0649280000000001</v>
      </c>
      <c r="L997">
        <v>367.62630000000001</v>
      </c>
      <c r="M997">
        <v>0.99993549999999998</v>
      </c>
      <c r="N997">
        <v>-1.0849040000000001E-2</v>
      </c>
      <c r="O997">
        <v>-3.3969759999999999E-3</v>
      </c>
      <c r="P997">
        <v>0.94843739999999999</v>
      </c>
      <c r="Q997">
        <v>0.31596619999999997</v>
      </c>
      <c r="R997">
        <v>2.5143740000000001E-2</v>
      </c>
      <c r="S997">
        <v>3.2542110000000002</v>
      </c>
      <c r="T997">
        <v>-0.26918069999999999</v>
      </c>
      <c r="U997">
        <v>-0.11740109999999999</v>
      </c>
      <c r="V997">
        <v>-2.835261E-2</v>
      </c>
      <c r="W997">
        <v>0.32623750000000001</v>
      </c>
      <c r="X997">
        <v>0.94486250000000005</v>
      </c>
      <c r="Y997">
        <v>3.2541180000000003E-2</v>
      </c>
      <c r="Z997">
        <v>-1.276433E-3</v>
      </c>
      <c r="AA997">
        <v>0.99946959999999996</v>
      </c>
      <c r="AB997">
        <v>31</v>
      </c>
      <c r="AC997">
        <v>0.698599999999999</v>
      </c>
      <c r="AD997">
        <v>-7.3477100000000004E-2</v>
      </c>
      <c r="AE997">
        <v>-3.1499999999993998E-2</v>
      </c>
      <c r="AF997">
        <v>2.8808508630116199E-2</v>
      </c>
      <c r="AG997">
        <v>-7.3477100000000004E-2</v>
      </c>
      <c r="AH997">
        <v>0.69107360277843399</v>
      </c>
      <c r="AI997">
        <v>96.063837773085993</v>
      </c>
      <c r="AJ997">
        <v>87.612915872217997</v>
      </c>
      <c r="AK997">
        <v>0.69556562512178999</v>
      </c>
      <c r="AL997">
        <v>70.959433802390393</v>
      </c>
      <c r="AM997">
        <v>91.718766039868996</v>
      </c>
      <c r="AN997">
        <v>0.99999996040315497</v>
      </c>
    </row>
    <row r="998" spans="1:40" x14ac:dyDescent="0.25">
      <c r="A998" t="str">
        <f>"20190304164838869"</f>
        <v>20190304164838869</v>
      </c>
      <c r="B998" t="str">
        <f>"1551689318867045"</f>
        <v>1551689318867045</v>
      </c>
      <c r="C998" t="s">
        <v>40</v>
      </c>
      <c r="D998">
        <v>4.5058989999999897</v>
      </c>
      <c r="E998">
        <v>0.54430349999999905</v>
      </c>
      <c r="F998" t="s">
        <v>41</v>
      </c>
      <c r="G998">
        <v>-278.55840000000001</v>
      </c>
      <c r="H998">
        <v>0.98583810000000005</v>
      </c>
      <c r="I998">
        <v>367.59100000000001</v>
      </c>
      <c r="J998">
        <v>-279.35059999999999</v>
      </c>
      <c r="K998">
        <v>1.0658160000000001</v>
      </c>
      <c r="L998">
        <v>367.62569999999999</v>
      </c>
      <c r="M998">
        <v>0.99994620000000001</v>
      </c>
      <c r="N998">
        <v>-9.8029629999999996E-3</v>
      </c>
      <c r="O998">
        <v>-3.3964580000000002E-3</v>
      </c>
      <c r="P998">
        <v>0.9480073</v>
      </c>
      <c r="Q998">
        <v>0.31728119999999999</v>
      </c>
      <c r="R998">
        <v>2.4796970000000002E-2</v>
      </c>
      <c r="S998">
        <v>3.2544249999999999</v>
      </c>
      <c r="T998">
        <v>-0.26480150000000002</v>
      </c>
      <c r="U998">
        <v>-0.1170654</v>
      </c>
      <c r="V998">
        <v>-2.8003299999999998E-2</v>
      </c>
      <c r="W998">
        <v>0.32655970000000001</v>
      </c>
      <c r="X998">
        <v>0.94476159999999998</v>
      </c>
      <c r="Y998">
        <v>3.2441909999999997E-2</v>
      </c>
      <c r="Z998">
        <v>-1.234034E-3</v>
      </c>
      <c r="AA998">
        <v>0.9994729</v>
      </c>
      <c r="AB998">
        <v>31</v>
      </c>
      <c r="AC998">
        <v>0.79219999999997903</v>
      </c>
      <c r="AD998">
        <v>-7.9977899999999894E-2</v>
      </c>
      <c r="AE998">
        <v>-3.4699999999986603E-2</v>
      </c>
      <c r="AF998">
        <v>3.1686656498707798E-2</v>
      </c>
      <c r="AG998">
        <v>-7.9977899999999894E-2</v>
      </c>
      <c r="AH998">
        <v>0.784334463745745</v>
      </c>
      <c r="AI998">
        <v>95.817563855684895</v>
      </c>
      <c r="AJ998">
        <v>87.686541867701493</v>
      </c>
      <c r="AK998">
        <v>0.78903805973337104</v>
      </c>
      <c r="AL998">
        <v>70.939903295112998</v>
      </c>
      <c r="AM998">
        <v>91.697784152722505</v>
      </c>
      <c r="AN998">
        <v>0.99999995165476796</v>
      </c>
    </row>
    <row r="999" spans="1:40" x14ac:dyDescent="0.25">
      <c r="A999" t="str">
        <f>"20190304164838884"</f>
        <v>20190304164838884</v>
      </c>
      <c r="B999" t="str">
        <f>"1551689318877780"</f>
        <v>1551689318877780</v>
      </c>
      <c r="C999" t="s">
        <v>40</v>
      </c>
      <c r="D999">
        <v>4.5261329999999997</v>
      </c>
      <c r="E999">
        <v>0.54427590000000003</v>
      </c>
      <c r="F999" t="s">
        <v>41</v>
      </c>
      <c r="G999">
        <v>-278.5487</v>
      </c>
      <c r="H999">
        <v>1.002127</v>
      </c>
      <c r="I999">
        <v>367.59629999999999</v>
      </c>
      <c r="J999">
        <v>-279.14780000000002</v>
      </c>
      <c r="K999">
        <v>1.066846</v>
      </c>
      <c r="L999">
        <v>367.625</v>
      </c>
      <c r="M999">
        <v>0.99995690000000004</v>
      </c>
      <c r="N999">
        <v>-8.6411649999999993E-3</v>
      </c>
      <c r="O999">
        <v>-3.3963370000000001E-3</v>
      </c>
      <c r="P999">
        <v>0.94748350000000003</v>
      </c>
      <c r="Q999">
        <v>0.31883089999999997</v>
      </c>
      <c r="R999">
        <v>2.494004E-2</v>
      </c>
      <c r="S999">
        <v>3.2542110000000002</v>
      </c>
      <c r="T999">
        <v>-0.25873170000000001</v>
      </c>
      <c r="U999">
        <v>-0.11788940000000001</v>
      </c>
      <c r="V999">
        <v>-2.8144659999999998E-2</v>
      </c>
      <c r="W999">
        <v>0.32700679999999999</v>
      </c>
      <c r="X999">
        <v>0.94460279999999996</v>
      </c>
      <c r="Y999">
        <v>3.2702719999999998E-2</v>
      </c>
      <c r="Z999">
        <v>-1.1989469999999999E-3</v>
      </c>
      <c r="AA999">
        <v>0.99946440000000003</v>
      </c>
      <c r="AB999">
        <v>31</v>
      </c>
      <c r="AC999">
        <v>0.59910000000002095</v>
      </c>
      <c r="AD999">
        <v>-6.4718999999999902E-2</v>
      </c>
      <c r="AE999">
        <v>-2.87000000000148E-2</v>
      </c>
      <c r="AF999">
        <v>2.6358122175501899E-2</v>
      </c>
      <c r="AG999">
        <v>-6.4718999999999902E-2</v>
      </c>
      <c r="AH999">
        <v>0.59229782727175995</v>
      </c>
      <c r="AI999">
        <v>96.229720072310798</v>
      </c>
      <c r="AJ999">
        <v>87.451934921343394</v>
      </c>
      <c r="AK999">
        <v>0.59640591525945397</v>
      </c>
      <c r="AL999">
        <v>70.9127994114437</v>
      </c>
      <c r="AM999">
        <v>91.7066361631354</v>
      </c>
      <c r="AN999">
        <v>1.0000000094502901</v>
      </c>
    </row>
    <row r="1000" spans="1:40" x14ac:dyDescent="0.25">
      <c r="A1000" t="str">
        <f>"20190304164838894"</f>
        <v>20190304164838894</v>
      </c>
      <c r="B1000" t="str">
        <f>"1551689318887540"</f>
        <v>1551689318887540</v>
      </c>
      <c r="C1000" t="s">
        <v>40</v>
      </c>
      <c r="D1000">
        <v>4.5044360000000001</v>
      </c>
      <c r="E1000">
        <v>0.5442342</v>
      </c>
      <c r="F1000" t="s">
        <v>41</v>
      </c>
      <c r="G1000">
        <v>-278.27510000000001</v>
      </c>
      <c r="H1000">
        <v>0.99910580000000004</v>
      </c>
      <c r="I1000">
        <v>367.59309999999999</v>
      </c>
      <c r="J1000">
        <v>-279.005</v>
      </c>
      <c r="K1000">
        <v>1.067588</v>
      </c>
      <c r="L1000">
        <v>367.62450000000001</v>
      </c>
      <c r="M1000">
        <v>0.99996370000000001</v>
      </c>
      <c r="N1000">
        <v>-7.8272840000000003E-3</v>
      </c>
      <c r="O1000">
        <v>-3.3965559999999998E-3</v>
      </c>
      <c r="P1000">
        <v>0.9473182</v>
      </c>
      <c r="Q1000">
        <v>0.31930609999999998</v>
      </c>
      <c r="R1000">
        <v>2.5139499999999999E-2</v>
      </c>
      <c r="S1000">
        <v>3.2544559999999998</v>
      </c>
      <c r="T1000">
        <v>-0.25274730000000001</v>
      </c>
      <c r="U1000">
        <v>-0.1183777</v>
      </c>
      <c r="V1000">
        <v>-2.8344100000000001E-2</v>
      </c>
      <c r="W1000">
        <v>0.32671169999999999</v>
      </c>
      <c r="X1000">
        <v>0.94469890000000001</v>
      </c>
      <c r="Y1000">
        <v>3.2854830000000002E-2</v>
      </c>
      <c r="Z1000">
        <v>-1.165534E-3</v>
      </c>
      <c r="AA1000">
        <v>0.9994594</v>
      </c>
      <c r="AB1000">
        <v>31</v>
      </c>
      <c r="AC1000">
        <v>0.729899999999986</v>
      </c>
      <c r="AD1000">
        <v>-6.8482199999999896E-2</v>
      </c>
      <c r="AE1000">
        <v>-3.14000000000191E-2</v>
      </c>
      <c r="AF1000">
        <v>2.86686938019322E-2</v>
      </c>
      <c r="AG1000">
        <v>-6.8482199999999896E-2</v>
      </c>
      <c r="AH1000">
        <v>0.72364400353226299</v>
      </c>
      <c r="AI1000">
        <v>95.401885212489603</v>
      </c>
      <c r="AJ1000">
        <v>87.731292459689101</v>
      </c>
      <c r="AK1000">
        <v>0.72744233418832005</v>
      </c>
      <c r="AL1000">
        <v>70.9306892408934</v>
      </c>
      <c r="AM1000">
        <v>91.718547846533795</v>
      </c>
      <c r="AN1000">
        <v>0.99999996729145402</v>
      </c>
    </row>
    <row r="1001" spans="1:40" x14ac:dyDescent="0.25">
      <c r="A1001" t="str">
        <f>"20190304164838906"</f>
        <v>20190304164838906</v>
      </c>
      <c r="B1001" t="str">
        <f>"1551689318897301"</f>
        <v>1551689318897301</v>
      </c>
      <c r="C1001" t="s">
        <v>40</v>
      </c>
      <c r="D1001">
        <v>4.5323279999999997</v>
      </c>
      <c r="E1001">
        <v>0.5442266</v>
      </c>
      <c r="F1001" t="s">
        <v>41</v>
      </c>
      <c r="G1001">
        <v>-278.25689999999997</v>
      </c>
      <c r="H1001">
        <v>1.01014</v>
      </c>
      <c r="I1001">
        <v>367.59719999999999</v>
      </c>
      <c r="J1001">
        <v>-278.84820000000002</v>
      </c>
      <c r="K1001">
        <v>1.0684089999999999</v>
      </c>
      <c r="L1001">
        <v>367.62400000000002</v>
      </c>
      <c r="M1001">
        <v>0.99996989999999997</v>
      </c>
      <c r="N1001">
        <v>-6.9698869999999897E-3</v>
      </c>
      <c r="O1001">
        <v>-3.3965950000000001E-3</v>
      </c>
      <c r="P1001">
        <v>0.94702200000000003</v>
      </c>
      <c r="Q1001">
        <v>0.32017279999999998</v>
      </c>
      <c r="R1001">
        <v>2.5275820000000001E-2</v>
      </c>
      <c r="S1001">
        <v>3.2542719999999998</v>
      </c>
      <c r="T1001">
        <v>-0.2500463</v>
      </c>
      <c r="U1001">
        <v>-0.11828610000000001</v>
      </c>
      <c r="V1001">
        <v>-2.8479569999999999E-2</v>
      </c>
      <c r="W1001">
        <v>0.32676620000000001</v>
      </c>
      <c r="X1001">
        <v>0.94467599999999996</v>
      </c>
      <c r="Y1001">
        <v>3.2832130000000001E-2</v>
      </c>
      <c r="Z1001">
        <v>-1.136848E-3</v>
      </c>
      <c r="AA1001">
        <v>0.99946020000000002</v>
      </c>
      <c r="AB1001">
        <v>31</v>
      </c>
      <c r="AC1001">
        <v>0.59130000000004601</v>
      </c>
      <c r="AD1001">
        <v>-5.8268999999999897E-2</v>
      </c>
      <c r="AE1001">
        <v>-2.6800000000036999E-2</v>
      </c>
      <c r="AF1001">
        <v>2.4553442743007501E-2</v>
      </c>
      <c r="AG1001">
        <v>-5.8268999999999897E-2</v>
      </c>
      <c r="AH1001">
        <v>0.58571149578350801</v>
      </c>
      <c r="AI1001">
        <v>95.676374366472501</v>
      </c>
      <c r="AJ1001">
        <v>87.599525642861906</v>
      </c>
      <c r="AK1001">
        <v>0.58911467831356001</v>
      </c>
      <c r="AL1001">
        <v>70.927385735043202</v>
      </c>
      <c r="AM1001">
        <v>91.726798480332306</v>
      </c>
      <c r="AN1001">
        <v>0.99999999017291197</v>
      </c>
    </row>
    <row r="1002" spans="1:40" x14ac:dyDescent="0.25">
      <c r="A1002" t="str">
        <f>"20190304164838917"</f>
        <v>20190304164838917</v>
      </c>
      <c r="B1002" t="str">
        <f>"1551689318907061"</f>
        <v>1551689318907061</v>
      </c>
      <c r="C1002" t="s">
        <v>40</v>
      </c>
      <c r="D1002">
        <v>4.4752099999999997</v>
      </c>
      <c r="E1002">
        <v>0.54417499999999996</v>
      </c>
      <c r="F1002" t="s">
        <v>41</v>
      </c>
      <c r="G1002">
        <v>-277.99610000000001</v>
      </c>
      <c r="H1002">
        <v>1.003674</v>
      </c>
      <c r="I1002">
        <v>367.59289999999999</v>
      </c>
      <c r="J1002">
        <v>-278.69479999999999</v>
      </c>
      <c r="K1002">
        <v>1.0692269999999999</v>
      </c>
      <c r="L1002">
        <v>367.6234</v>
      </c>
      <c r="M1002">
        <v>0.99997480000000005</v>
      </c>
      <c r="N1002">
        <v>-6.2218129999999996E-3</v>
      </c>
      <c r="O1002">
        <v>-3.3968620000000001E-3</v>
      </c>
      <c r="P1002">
        <v>0.94683660000000003</v>
      </c>
      <c r="Q1002">
        <v>0.32071270000000002</v>
      </c>
      <c r="R1002">
        <v>2.5373449999999999E-2</v>
      </c>
      <c r="S1002">
        <v>3.254578</v>
      </c>
      <c r="T1002">
        <v>-0.2473147</v>
      </c>
      <c r="U1002">
        <v>-0.11816409999999999</v>
      </c>
      <c r="V1002">
        <v>-2.8576819999999999E-2</v>
      </c>
      <c r="W1002">
        <v>0.32659850000000001</v>
      </c>
      <c r="X1002">
        <v>0.94473110000000005</v>
      </c>
      <c r="Y1002">
        <v>3.2794289999999997E-2</v>
      </c>
      <c r="Z1002">
        <v>-1.1094620000000001E-3</v>
      </c>
      <c r="AA1002">
        <v>0.9994615</v>
      </c>
      <c r="AB1002">
        <v>31</v>
      </c>
      <c r="AC1002">
        <v>0.69869999999997301</v>
      </c>
      <c r="AD1002">
        <v>-6.5553000000000194E-2</v>
      </c>
      <c r="AE1002">
        <v>-3.05000000000177E-2</v>
      </c>
      <c r="AF1002">
        <v>2.7881432244999001E-2</v>
      </c>
      <c r="AG1002">
        <v>-6.5553000000000194E-2</v>
      </c>
      <c r="AH1002">
        <v>0.69271359414209799</v>
      </c>
      <c r="AI1002">
        <v>95.401578255667303</v>
      </c>
      <c r="AJ1002">
        <v>87.695112978297004</v>
      </c>
      <c r="AK1002">
        <v>0.69636678092963</v>
      </c>
      <c r="AL1002">
        <v>70.937552868153603</v>
      </c>
      <c r="AM1002">
        <v>91.732590445095099</v>
      </c>
      <c r="AN1002">
        <v>1.00000003307538</v>
      </c>
    </row>
    <row r="1003" spans="1:40" x14ac:dyDescent="0.25">
      <c r="A1003" t="str">
        <f>"20190304164838928"</f>
        <v>20190304164838928</v>
      </c>
      <c r="B1003" t="str">
        <f>"1551689318916821"</f>
        <v>1551689318916821</v>
      </c>
      <c r="C1003" t="s">
        <v>40</v>
      </c>
      <c r="D1003">
        <v>4.4603609999999998</v>
      </c>
      <c r="E1003">
        <v>0.54417550000000003</v>
      </c>
      <c r="F1003" t="s">
        <v>41</v>
      </c>
      <c r="G1003">
        <v>-277.72550000000001</v>
      </c>
      <c r="H1003">
        <v>0.99654039999999999</v>
      </c>
      <c r="I1003">
        <v>367.58800000000002</v>
      </c>
      <c r="J1003">
        <v>-278.53550000000001</v>
      </c>
      <c r="K1003">
        <v>1.070173</v>
      </c>
      <c r="L1003">
        <v>367.62290000000002</v>
      </c>
      <c r="M1003">
        <v>0.99997749999999996</v>
      </c>
      <c r="N1003">
        <v>-5.8167690000000003E-3</v>
      </c>
      <c r="O1003">
        <v>-3.397068E-3</v>
      </c>
      <c r="P1003">
        <v>0.94678340000000005</v>
      </c>
      <c r="Q1003">
        <v>0.32084240000000003</v>
      </c>
      <c r="R1003">
        <v>2.5722700000000001E-2</v>
      </c>
      <c r="S1003">
        <v>3.2543950000000001</v>
      </c>
      <c r="T1003">
        <v>-0.24429619999999999</v>
      </c>
      <c r="U1003">
        <v>-0.1178284</v>
      </c>
      <c r="V1003">
        <v>-2.8925920000000001E-2</v>
      </c>
      <c r="W1003">
        <v>0.32634479999999999</v>
      </c>
      <c r="X1003">
        <v>0.94480810000000004</v>
      </c>
      <c r="Y1003">
        <v>3.2696219999999998E-2</v>
      </c>
      <c r="Z1003">
        <v>-1.0855089999999999E-3</v>
      </c>
      <c r="AA1003">
        <v>0.99946480000000004</v>
      </c>
      <c r="AB1003">
        <v>31</v>
      </c>
      <c r="AC1003">
        <v>0.81000000000000205</v>
      </c>
      <c r="AD1003">
        <v>-7.3632600000000006E-2</v>
      </c>
      <c r="AE1003">
        <v>-3.48999999999932E-2</v>
      </c>
      <c r="AF1003">
        <v>3.1885129215467302E-2</v>
      </c>
      <c r="AG1003">
        <v>-7.3632600000000006E-2</v>
      </c>
      <c r="AH1003">
        <v>0.80348648374369702</v>
      </c>
      <c r="AI1003">
        <v>95.231943523895097</v>
      </c>
      <c r="AJ1003">
        <v>87.727497229851494</v>
      </c>
      <c r="AK1003">
        <v>0.80748309629778503</v>
      </c>
      <c r="AL1003">
        <v>70.952930624588305</v>
      </c>
      <c r="AM1003">
        <v>91.753600132417404</v>
      </c>
      <c r="AN1003">
        <v>0.99999999158024799</v>
      </c>
    </row>
    <row r="1004" spans="1:40" x14ac:dyDescent="0.25">
      <c r="A1004" t="str">
        <f>"20190304164838940"</f>
        <v>20190304164838940</v>
      </c>
      <c r="B1004" t="str">
        <f>"1551689318937316"</f>
        <v>1551689318937316</v>
      </c>
      <c r="C1004" t="s">
        <v>40</v>
      </c>
      <c r="D1004">
        <v>4.4317869999999999</v>
      </c>
      <c r="E1004">
        <v>0.54417069999999901</v>
      </c>
      <c r="F1004" t="s">
        <v>41</v>
      </c>
      <c r="G1004">
        <v>-277.71780000000001</v>
      </c>
      <c r="H1004">
        <v>1.0091139999999901</v>
      </c>
      <c r="I1004">
        <v>367.59339999999997</v>
      </c>
      <c r="J1004">
        <v>-278.38569999999999</v>
      </c>
      <c r="K1004">
        <v>1.07117</v>
      </c>
      <c r="L1004">
        <v>367.62240000000003</v>
      </c>
      <c r="M1004">
        <v>0.99997849999999999</v>
      </c>
      <c r="N1004">
        <v>-5.6258549999999999E-3</v>
      </c>
      <c r="O1004">
        <v>-3.3972350000000002E-3</v>
      </c>
      <c r="P1004">
        <v>0.94673649999999998</v>
      </c>
      <c r="Q1004">
        <v>0.32096019999999997</v>
      </c>
      <c r="R1004">
        <v>2.5983289999999999E-2</v>
      </c>
      <c r="S1004">
        <v>3.2542420000000001</v>
      </c>
      <c r="T1004">
        <v>-0.24331269999999999</v>
      </c>
      <c r="U1004">
        <v>-0.1164246</v>
      </c>
      <c r="V1004">
        <v>-2.9186989999999999E-2</v>
      </c>
      <c r="W1004">
        <v>0.3262816</v>
      </c>
      <c r="X1004">
        <v>0.94482189999999999</v>
      </c>
      <c r="Y1004">
        <v>3.2269399999999997E-2</v>
      </c>
      <c r="Z1004">
        <v>-1.060746E-3</v>
      </c>
      <c r="AA1004">
        <v>0.99947859999999999</v>
      </c>
      <c r="AB1004">
        <v>31</v>
      </c>
      <c r="AC1004">
        <v>0.66789999999997396</v>
      </c>
      <c r="AD1004">
        <v>-6.2056000000000298E-2</v>
      </c>
      <c r="AE1004">
        <v>-2.9000000000053199E-2</v>
      </c>
      <c r="AF1004">
        <v>2.65024277464131E-2</v>
      </c>
      <c r="AG1004">
        <v>-6.2056000000000298E-2</v>
      </c>
      <c r="AH1004">
        <v>0.66228811684741196</v>
      </c>
      <c r="AI1004">
        <v>95.348695283029201</v>
      </c>
      <c r="AJ1004">
        <v>87.708448219635002</v>
      </c>
      <c r="AK1004">
        <v>0.66571681331459998</v>
      </c>
      <c r="AL1004">
        <v>70.956761432613604</v>
      </c>
      <c r="AM1004">
        <v>91.769391352792198</v>
      </c>
      <c r="AN1004">
        <v>0.99999999280171403</v>
      </c>
    </row>
    <row r="1005" spans="1:40" x14ac:dyDescent="0.25">
      <c r="A1005" t="str">
        <f>"20190304164838951"</f>
        <v>20190304164838951</v>
      </c>
      <c r="B1005" t="str">
        <f>"1551689318947076"</f>
        <v>1551689318947076</v>
      </c>
      <c r="C1005" t="s">
        <v>40</v>
      </c>
      <c r="D1005">
        <v>4.5680269999999998</v>
      </c>
      <c r="E1005">
        <v>0.54393329999999995</v>
      </c>
      <c r="F1005" t="s">
        <v>41</v>
      </c>
      <c r="G1005">
        <v>-277.45089999999999</v>
      </c>
      <c r="H1005">
        <v>1.0017469999999999</v>
      </c>
      <c r="I1005">
        <v>367.589</v>
      </c>
      <c r="J1005">
        <v>-278.22730000000001</v>
      </c>
      <c r="K1005">
        <v>1.0723689999999999</v>
      </c>
      <c r="L1005">
        <v>367.62189999999998</v>
      </c>
      <c r="M1005">
        <v>0.99997809999999998</v>
      </c>
      <c r="N1005">
        <v>-5.6856780000000004E-3</v>
      </c>
      <c r="O1005">
        <v>-3.3972849999999999E-3</v>
      </c>
      <c r="P1005">
        <v>0.94684480000000004</v>
      </c>
      <c r="Q1005">
        <v>0.32061830000000002</v>
      </c>
      <c r="R1005">
        <v>2.6247220000000002E-2</v>
      </c>
      <c r="S1005">
        <v>3.2539980000000002</v>
      </c>
      <c r="T1005">
        <v>-0.24188109999999999</v>
      </c>
      <c r="U1005">
        <v>-0.115722699999999</v>
      </c>
      <c r="V1005">
        <v>-2.9450899999999999E-2</v>
      </c>
      <c r="W1005">
        <v>0.32599719999999999</v>
      </c>
      <c r="X1005">
        <v>0.94491190000000003</v>
      </c>
      <c r="Y1005">
        <v>3.205823E-2</v>
      </c>
      <c r="Z1005">
        <v>-1.047971E-3</v>
      </c>
      <c r="AA1005">
        <v>0.99948539999999997</v>
      </c>
      <c r="AB1005">
        <v>31</v>
      </c>
      <c r="AC1005">
        <v>0.77640000000002296</v>
      </c>
      <c r="AD1005">
        <v>-7.0622000000000101E-2</v>
      </c>
      <c r="AE1005">
        <v>-3.2899999999983699E-2</v>
      </c>
      <c r="AF1005">
        <v>3.0014226668872601E-2</v>
      </c>
      <c r="AG1005">
        <v>-7.0622000000000101E-2</v>
      </c>
      <c r="AH1005">
        <v>0.770146616342409</v>
      </c>
      <c r="AI1005">
        <v>95.235385000499406</v>
      </c>
      <c r="AJ1005">
        <v>87.768192919718103</v>
      </c>
      <c r="AK1005">
        <v>0.77396003214002695</v>
      </c>
      <c r="AL1005">
        <v>70.973999291866093</v>
      </c>
      <c r="AM1005">
        <v>91.785210014165997</v>
      </c>
      <c r="AN1005">
        <v>1.00000001434013</v>
      </c>
    </row>
    <row r="1006" spans="1:40" x14ac:dyDescent="0.25">
      <c r="A1006" t="str">
        <f>"20190304164838963"</f>
        <v>20190304164838963</v>
      </c>
      <c r="B1006" t="str">
        <f>"1551689318956837"</f>
        <v>1551689318956837</v>
      </c>
      <c r="C1006" t="s">
        <v>40</v>
      </c>
      <c r="D1006">
        <v>4.5573379999999997</v>
      </c>
      <c r="E1006">
        <v>0.54393329999999995</v>
      </c>
      <c r="F1006" t="s">
        <v>41</v>
      </c>
      <c r="G1006">
        <v>-277.44220000000001</v>
      </c>
      <c r="H1006">
        <v>1.0137890000000001</v>
      </c>
      <c r="I1006">
        <v>367.59440000000001</v>
      </c>
      <c r="J1006">
        <v>-278.06169999999997</v>
      </c>
      <c r="K1006">
        <v>1.073728</v>
      </c>
      <c r="L1006">
        <v>367.62130000000002</v>
      </c>
      <c r="M1006">
        <v>0.99997760000000002</v>
      </c>
      <c r="N1006">
        <v>-5.7469660000000001E-3</v>
      </c>
      <c r="O1006">
        <v>-3.3974610000000001E-3</v>
      </c>
      <c r="P1006">
        <v>0.9469746</v>
      </c>
      <c r="Q1006">
        <v>0.32021870000000002</v>
      </c>
      <c r="R1006">
        <v>2.6432190000000001E-2</v>
      </c>
      <c r="S1006">
        <v>3.253876</v>
      </c>
      <c r="T1006">
        <v>-0.24304999999999999</v>
      </c>
      <c r="U1006">
        <v>-0.11322019999999999</v>
      </c>
      <c r="V1006">
        <v>-2.9636619999999999E-2</v>
      </c>
      <c r="W1006">
        <v>0.32565640000000001</v>
      </c>
      <c r="X1006">
        <v>0.94502359999999996</v>
      </c>
      <c r="Y1006">
        <v>3.1293050000000003E-2</v>
      </c>
      <c r="Z1006">
        <v>-1.022984E-3</v>
      </c>
      <c r="AA1006">
        <v>0.9995098</v>
      </c>
      <c r="AB1006">
        <v>31</v>
      </c>
      <c r="AC1006">
        <v>0.61949999999995897</v>
      </c>
      <c r="AD1006">
        <v>-5.9938999999999902E-2</v>
      </c>
      <c r="AE1006">
        <v>-2.6900000000011901E-2</v>
      </c>
      <c r="AF1006">
        <v>2.45655498470225E-2</v>
      </c>
      <c r="AG1006">
        <v>-5.9938999999999902E-2</v>
      </c>
      <c r="AH1006">
        <v>0.61385217513396395</v>
      </c>
      <c r="AI1006">
        <v>95.572479292745498</v>
      </c>
      <c r="AJ1006">
        <v>87.708321747735795</v>
      </c>
      <c r="AK1006">
        <v>0.61726059559718005</v>
      </c>
      <c r="AL1006">
        <v>70.994652724493207</v>
      </c>
      <c r="AM1006">
        <v>91.796248154887493</v>
      </c>
      <c r="AN1006">
        <v>1.0000000123314701</v>
      </c>
    </row>
    <row r="1007" spans="1:40" x14ac:dyDescent="0.25">
      <c r="A1007" t="str">
        <f>"20190304164838974"</f>
        <v>20190304164838974</v>
      </c>
      <c r="B1007" t="str">
        <f>"1551689318967572"</f>
        <v>1551689318967572</v>
      </c>
      <c r="C1007" t="s">
        <v>40</v>
      </c>
      <c r="D1007">
        <v>4.5086259999999996</v>
      </c>
      <c r="E1007">
        <v>0.5070209</v>
      </c>
      <c r="F1007" t="s">
        <v>41</v>
      </c>
      <c r="G1007">
        <v>-277.17610000000002</v>
      </c>
      <c r="H1007">
        <v>1.0072719999999999</v>
      </c>
      <c r="I1007">
        <v>367.59050000000002</v>
      </c>
      <c r="J1007">
        <v>-277.9076</v>
      </c>
      <c r="K1007">
        <v>1.075029</v>
      </c>
      <c r="L1007">
        <v>367.62079999999997</v>
      </c>
      <c r="M1007">
        <v>0.99997749999999996</v>
      </c>
      <c r="N1007">
        <v>-5.8035539999999998E-3</v>
      </c>
      <c r="O1007">
        <v>-3.3976259999999999E-3</v>
      </c>
      <c r="P1007">
        <v>0.94704659999999996</v>
      </c>
      <c r="Q1007">
        <v>0.31996970000000002</v>
      </c>
      <c r="R1007">
        <v>2.6867720000000001E-2</v>
      </c>
      <c r="S1007">
        <v>3.253784</v>
      </c>
      <c r="T1007">
        <v>-0.2444472</v>
      </c>
      <c r="U1007">
        <v>-0.11242679999999999</v>
      </c>
      <c r="V1007">
        <v>-3.007224E-2</v>
      </c>
      <c r="W1007">
        <v>0.32546160000000002</v>
      </c>
      <c r="X1007">
        <v>0.9450769</v>
      </c>
      <c r="Y1007">
        <v>3.105012E-2</v>
      </c>
      <c r="Z1007">
        <v>-1.019502E-3</v>
      </c>
      <c r="AA1007">
        <v>0.99951730000000005</v>
      </c>
      <c r="AB1007">
        <v>31</v>
      </c>
      <c r="AC1007">
        <v>0.73149999999998205</v>
      </c>
      <c r="AD1007">
        <v>-6.7756999999999998E-2</v>
      </c>
      <c r="AE1007">
        <v>-3.02999999999542E-2</v>
      </c>
      <c r="AF1007">
        <v>2.7578208509430401E-2</v>
      </c>
      <c r="AG1007">
        <v>-6.7756999999999998E-2</v>
      </c>
      <c r="AH1007">
        <v>0.72538568742601806</v>
      </c>
      <c r="AI1007">
        <v>95.332583306865899</v>
      </c>
      <c r="AJ1007">
        <v>87.822738536186804</v>
      </c>
      <c r="AK1007">
        <v>0.72906513025662301</v>
      </c>
      <c r="AL1007">
        <v>71.006456181122203</v>
      </c>
      <c r="AM1007">
        <v>91.822530278586896</v>
      </c>
      <c r="AN1007">
        <v>0.99999996980339301</v>
      </c>
    </row>
    <row r="1008" spans="1:40" x14ac:dyDescent="0.25">
      <c r="A1008" t="str">
        <f>"20190304164838986"</f>
        <v>20190304164838986</v>
      </c>
      <c r="B1008" t="str">
        <f>"1551689318977333"</f>
        <v>1551689318977333</v>
      </c>
      <c r="C1008" t="s">
        <v>40</v>
      </c>
      <c r="D1008">
        <v>4.4698880000000001</v>
      </c>
      <c r="E1008">
        <v>0.50321059999999995</v>
      </c>
      <c r="F1008" t="s">
        <v>42</v>
      </c>
      <c r="G1008">
        <v>-256.8854</v>
      </c>
      <c r="H1008" s="1">
        <v>-1.4710829999999999E-6</v>
      </c>
      <c r="I1008">
        <v>368.75599999999997</v>
      </c>
      <c r="J1008">
        <v>-277.76209999999998</v>
      </c>
      <c r="K1008">
        <v>1.076325</v>
      </c>
      <c r="L1008">
        <v>367.62029999999999</v>
      </c>
      <c r="M1008">
        <v>0.99997789999999998</v>
      </c>
      <c r="N1008">
        <v>-5.7298979999999998E-3</v>
      </c>
      <c r="O1008">
        <v>-3.3978900000000002E-3</v>
      </c>
      <c r="P1008">
        <v>0.94720550000000003</v>
      </c>
      <c r="Q1008">
        <v>0.31949379999999999</v>
      </c>
      <c r="R1008">
        <v>2.6940909999999998E-2</v>
      </c>
      <c r="S1008">
        <v>3.2184140000000001</v>
      </c>
      <c r="T1008">
        <v>-0.1645826</v>
      </c>
      <c r="U1008">
        <v>0.1737976</v>
      </c>
      <c r="V1008">
        <v>-3.0146719999999998E-2</v>
      </c>
      <c r="W1008">
        <v>0.32491639999999999</v>
      </c>
      <c r="X1008">
        <v>0.94526209999999999</v>
      </c>
      <c r="Y1008">
        <v>-5.7228699999999903E-2</v>
      </c>
      <c r="Z1008">
        <v>1.7795350000000001E-3</v>
      </c>
      <c r="AA1008">
        <v>0.99835949999999996</v>
      </c>
      <c r="AB1008">
        <v>31</v>
      </c>
      <c r="AC1008">
        <v>20.8766999999999</v>
      </c>
      <c r="AD1008">
        <v>-1.0763264710830001</v>
      </c>
      <c r="AE1008">
        <v>1.1356999999999799</v>
      </c>
      <c r="AF1008">
        <v>-1.2034419528906399</v>
      </c>
      <c r="AG1008">
        <v>-1.0763264710830001</v>
      </c>
      <c r="AH1008">
        <v>20.817549464622701</v>
      </c>
      <c r="AI1008">
        <v>92.954794816840007</v>
      </c>
      <c r="AJ1008">
        <v>93.308530073700894</v>
      </c>
      <c r="AK1008">
        <v>20.880065060203801</v>
      </c>
      <c r="AL1008">
        <v>71.039489118603498</v>
      </c>
      <c r="AM1008">
        <v>91.8266833692917</v>
      </c>
      <c r="AN1008">
        <v>0.999999964706063</v>
      </c>
    </row>
    <row r="1009" spans="1:40" x14ac:dyDescent="0.25">
      <c r="A1009" t="str">
        <f>"20190304164838996"</f>
        <v>20190304164838996</v>
      </c>
      <c r="B1009" t="str">
        <f>"1551689318987094"</f>
        <v>1551689318987094</v>
      </c>
      <c r="C1009" t="s">
        <v>40</v>
      </c>
      <c r="D1009">
        <v>4.4791230000000004</v>
      </c>
      <c r="E1009">
        <v>0.5009924</v>
      </c>
      <c r="F1009" t="s">
        <v>42</v>
      </c>
      <c r="G1009">
        <v>-256.0865</v>
      </c>
      <c r="H1009" s="1">
        <v>-1.7720689999999999E-6</v>
      </c>
      <c r="I1009">
        <v>368.99130000000002</v>
      </c>
      <c r="J1009">
        <v>-277.61399999999998</v>
      </c>
      <c r="K1009">
        <v>1.0776520000000001</v>
      </c>
      <c r="L1009">
        <v>367.6198</v>
      </c>
      <c r="M1009">
        <v>0.99997829999999999</v>
      </c>
      <c r="N1009">
        <v>-5.6536700000000004E-3</v>
      </c>
      <c r="O1009">
        <v>-3.3977920000000002E-3</v>
      </c>
      <c r="P1009">
        <v>0.94743440000000001</v>
      </c>
      <c r="Q1009">
        <v>0.31877860000000002</v>
      </c>
      <c r="R1009">
        <v>2.736077E-2</v>
      </c>
      <c r="S1009">
        <v>3.215271</v>
      </c>
      <c r="T1009">
        <v>-0.15965739999999901</v>
      </c>
      <c r="U1009">
        <v>0.2033691</v>
      </c>
      <c r="V1009">
        <v>-3.0566949999999999E-2</v>
      </c>
      <c r="W1009">
        <v>0.32413029999999998</v>
      </c>
      <c r="X1009">
        <v>0.94551850000000004</v>
      </c>
      <c r="Y1009">
        <v>-6.6421450000000007E-2</v>
      </c>
      <c r="Z1009">
        <v>1.9838059999999999E-3</v>
      </c>
      <c r="AA1009">
        <v>0.9977897</v>
      </c>
      <c r="AB1009">
        <v>31</v>
      </c>
      <c r="AC1009">
        <v>21.5275</v>
      </c>
      <c r="AD1009">
        <v>-1.077653772069</v>
      </c>
      <c r="AE1009">
        <v>1.3715000000000199</v>
      </c>
      <c r="AF1009">
        <v>-1.44104264133274</v>
      </c>
      <c r="AG1009">
        <v>-1.077653772069</v>
      </c>
      <c r="AH1009">
        <v>21.4691326303926</v>
      </c>
      <c r="AI1009">
        <v>92.867137696358498</v>
      </c>
      <c r="AJ1009">
        <v>93.840024762156403</v>
      </c>
      <c r="AK1009">
        <v>21.5444098885995</v>
      </c>
      <c r="AL1009">
        <v>71.087107422187302</v>
      </c>
      <c r="AM1009">
        <v>91.851626897364497</v>
      </c>
      <c r="AN1009">
        <v>1.0000000118263199</v>
      </c>
    </row>
    <row r="1010" spans="1:40" x14ac:dyDescent="0.25">
      <c r="A1010" t="str">
        <f>"20190304164839006"</f>
        <v>20190304164839006</v>
      </c>
      <c r="B1010" t="str">
        <f>"1551689318996853"</f>
        <v>1551689318996853</v>
      </c>
      <c r="C1010" t="s">
        <v>40</v>
      </c>
      <c r="D1010">
        <v>4.4708040000000002</v>
      </c>
      <c r="E1010">
        <v>0.49971539999999998</v>
      </c>
      <c r="F1010" t="s">
        <v>42</v>
      </c>
      <c r="G1010">
        <v>-256.2235</v>
      </c>
      <c r="H1010" s="1">
        <v>-1.694299E-6</v>
      </c>
      <c r="I1010">
        <v>369.09829999999999</v>
      </c>
      <c r="J1010">
        <v>-277.46510000000001</v>
      </c>
      <c r="K1010">
        <v>1.0790470000000001</v>
      </c>
      <c r="L1010">
        <v>367.61930000000001</v>
      </c>
      <c r="M1010">
        <v>0.9999787</v>
      </c>
      <c r="N1010">
        <v>-5.5892939999999999E-3</v>
      </c>
      <c r="O1010">
        <v>-3.3978490000000001E-3</v>
      </c>
      <c r="P1010">
        <v>0.94751289999999999</v>
      </c>
      <c r="Q1010">
        <v>0.31853969999999998</v>
      </c>
      <c r="R1010">
        <v>2.7420759999999999E-2</v>
      </c>
      <c r="S1010">
        <v>3.2145389999999998</v>
      </c>
      <c r="T1010">
        <v>-0.16194819999999999</v>
      </c>
      <c r="U1010">
        <v>0.22219849999999999</v>
      </c>
      <c r="V1010">
        <v>-3.0627080000000001E-2</v>
      </c>
      <c r="W1010">
        <v>0.32383119999999999</v>
      </c>
      <c r="X1010">
        <v>0.94561899999999999</v>
      </c>
      <c r="Y1010">
        <v>-7.2243100000000005E-2</v>
      </c>
      <c r="Z1010">
        <v>2.1706809999999998E-3</v>
      </c>
      <c r="AA1010">
        <v>0.99738470000000001</v>
      </c>
      <c r="AB1010">
        <v>31</v>
      </c>
      <c r="AC1010">
        <v>21.241599999999998</v>
      </c>
      <c r="AD1010">
        <v>-1.0790486942990001</v>
      </c>
      <c r="AE1010">
        <v>1.4789999999999801</v>
      </c>
      <c r="AF1010">
        <v>-1.5471950230723801</v>
      </c>
      <c r="AG1010">
        <v>-1.0790486942990001</v>
      </c>
      <c r="AH1010">
        <v>21.182054827359899</v>
      </c>
      <c r="AI1010">
        <v>92.908485305635097</v>
      </c>
      <c r="AJ1010">
        <v>94.1776209179868</v>
      </c>
      <c r="AK1010">
        <v>21.265878896329902</v>
      </c>
      <c r="AL1010">
        <v>71.105220951258204</v>
      </c>
      <c r="AM1010">
        <v>91.855069756552595</v>
      </c>
      <c r="AN1010">
        <v>0.99999997864188295</v>
      </c>
    </row>
    <row r="1011" spans="1:40" x14ac:dyDescent="0.25">
      <c r="A1011" t="str">
        <f>"20190304164839019"</f>
        <v>20190304164839019</v>
      </c>
      <c r="B1011" t="str">
        <f>"1551689319007588"</f>
        <v>1551689319007588</v>
      </c>
      <c r="C1011" t="s">
        <v>40</v>
      </c>
      <c r="D1011">
        <v>4.4172440000000002</v>
      </c>
      <c r="E1011">
        <v>0.49847039999999998</v>
      </c>
      <c r="F1011" t="s">
        <v>42</v>
      </c>
      <c r="G1011">
        <v>-256.226</v>
      </c>
      <c r="H1011" s="1">
        <v>-1.682838E-6</v>
      </c>
      <c r="I1011">
        <v>369.15699999999998</v>
      </c>
      <c r="J1011">
        <v>-277.30349999999999</v>
      </c>
      <c r="K1011">
        <v>1.0805769999999999</v>
      </c>
      <c r="L1011">
        <v>367.61869999999999</v>
      </c>
      <c r="M1011">
        <v>0.99997879999999995</v>
      </c>
      <c r="N1011">
        <v>-5.5529169999999897E-3</v>
      </c>
      <c r="O1011">
        <v>-3.3978670000000002E-3</v>
      </c>
      <c r="P1011">
        <v>0.94754090000000002</v>
      </c>
      <c r="Q1011">
        <v>0.31845499999999999</v>
      </c>
      <c r="R1011">
        <v>2.7438959999999998E-2</v>
      </c>
      <c r="S1011">
        <v>3.2143549999999999</v>
      </c>
      <c r="T1011">
        <v>-0.163304</v>
      </c>
      <c r="U1011">
        <v>0.23272709999999999</v>
      </c>
      <c r="V1011">
        <v>-3.0645530000000001E-2</v>
      </c>
      <c r="W1011">
        <v>0.323712099999999</v>
      </c>
      <c r="X1011">
        <v>0.94565920000000003</v>
      </c>
      <c r="Y1011">
        <v>-7.5491030000000001E-2</v>
      </c>
      <c r="Z1011">
        <v>2.2773950000000002E-3</v>
      </c>
      <c r="AA1011">
        <v>0.99714389999999997</v>
      </c>
      <c r="AB1011">
        <v>31</v>
      </c>
      <c r="AC1011">
        <v>21.077499999999901</v>
      </c>
      <c r="AD1011">
        <v>-1.080578682838</v>
      </c>
      <c r="AE1011">
        <v>1.53829999999999</v>
      </c>
      <c r="AF1011">
        <v>-1.60571283469616</v>
      </c>
      <c r="AG1011">
        <v>-1.080578682838</v>
      </c>
      <c r="AH1011">
        <v>21.017204501354499</v>
      </c>
      <c r="AI1011">
        <v>92.934676724027696</v>
      </c>
      <c r="AJ1011">
        <v>94.368906053278906</v>
      </c>
      <c r="AK1011">
        <v>21.1061329724103</v>
      </c>
      <c r="AL1011">
        <v>71.112433741216506</v>
      </c>
      <c r="AM1011">
        <v>91.856107632676498</v>
      </c>
      <c r="AN1011">
        <v>0.99999999737001499</v>
      </c>
    </row>
    <row r="1012" spans="1:40" x14ac:dyDescent="0.25">
      <c r="A1012" t="str">
        <f>"20190304164839031"</f>
        <v>20190304164839031</v>
      </c>
      <c r="B1012" t="str">
        <f>"1551689319027108"</f>
        <v>1551689319027108</v>
      </c>
      <c r="C1012" t="s">
        <v>40</v>
      </c>
      <c r="D1012">
        <v>4.4281620000000004</v>
      </c>
      <c r="E1012">
        <v>0.4977724</v>
      </c>
      <c r="F1012" t="s">
        <v>42</v>
      </c>
      <c r="G1012">
        <v>-256.35169999999999</v>
      </c>
      <c r="H1012" s="1">
        <v>-1.6206899999999999E-6</v>
      </c>
      <c r="I1012">
        <v>369.20330000000001</v>
      </c>
      <c r="J1012">
        <v>-277.12240000000003</v>
      </c>
      <c r="K1012">
        <v>1.0823339999999999</v>
      </c>
      <c r="L1012">
        <v>367.61810000000003</v>
      </c>
      <c r="M1012">
        <v>0.9999787</v>
      </c>
      <c r="N1012">
        <v>-5.5936199999999997E-3</v>
      </c>
      <c r="O1012">
        <v>-3.3976240000000001E-3</v>
      </c>
      <c r="P1012">
        <v>0.94750650000000003</v>
      </c>
      <c r="Q1012">
        <v>0.3185308</v>
      </c>
      <c r="R1012">
        <v>2.7743670000000002E-2</v>
      </c>
      <c r="S1012">
        <v>3.2147830000000002</v>
      </c>
      <c r="T1012">
        <v>-0.16580020000000001</v>
      </c>
      <c r="U1012">
        <v>0.2431335</v>
      </c>
      <c r="V1012">
        <v>-3.0949959999999999E-2</v>
      </c>
      <c r="W1012">
        <v>0.32382670000000002</v>
      </c>
      <c r="X1012">
        <v>0.94560999999999995</v>
      </c>
      <c r="Y1012">
        <v>-7.8683160000000002E-2</v>
      </c>
      <c r="Z1012">
        <v>2.401224E-3</v>
      </c>
      <c r="AA1012">
        <v>0.99689680000000003</v>
      </c>
      <c r="AB1012">
        <v>31</v>
      </c>
      <c r="AC1012">
        <v>20.770700000000001</v>
      </c>
      <c r="AD1012">
        <v>-1.0823356206900001</v>
      </c>
      <c r="AE1012">
        <v>1.58519999999998</v>
      </c>
      <c r="AF1012">
        <v>-1.6513051117622</v>
      </c>
      <c r="AG1012">
        <v>-1.0823356206900001</v>
      </c>
      <c r="AH1012">
        <v>20.709287324132099</v>
      </c>
      <c r="AI1012">
        <v>92.982295739892393</v>
      </c>
      <c r="AJ1012">
        <v>94.558971815243297</v>
      </c>
      <c r="AK1012">
        <v>20.803193034758099</v>
      </c>
      <c r="AL1012">
        <v>71.105492941738305</v>
      </c>
      <c r="AM1012">
        <v>91.874630414804102</v>
      </c>
      <c r="AN1012">
        <v>0.99999995187844404</v>
      </c>
    </row>
    <row r="1013" spans="1:40" x14ac:dyDescent="0.25">
      <c r="A1013" t="str">
        <f>"20190304164839044"</f>
        <v>20190304164839044</v>
      </c>
      <c r="B1013" t="str">
        <f>"1551689319036867"</f>
        <v>1551689319036867</v>
      </c>
      <c r="C1013" t="s">
        <v>40</v>
      </c>
      <c r="D1013">
        <v>4.4258059999999997</v>
      </c>
      <c r="E1013">
        <v>0.49757269999999998</v>
      </c>
      <c r="F1013" t="s">
        <v>42</v>
      </c>
      <c r="G1013">
        <v>-256.72390000000001</v>
      </c>
      <c r="H1013" s="1">
        <v>-1.4604560000000001E-6</v>
      </c>
      <c r="I1013">
        <v>369.20659999999998</v>
      </c>
      <c r="J1013">
        <v>-276.95359999999999</v>
      </c>
      <c r="K1013">
        <v>1.083985</v>
      </c>
      <c r="L1013">
        <v>367.61750000000001</v>
      </c>
      <c r="M1013">
        <v>0.99997789999999998</v>
      </c>
      <c r="N1013">
        <v>-5.7213869999999997E-3</v>
      </c>
      <c r="O1013">
        <v>-3.3973900000000001E-3</v>
      </c>
      <c r="P1013">
        <v>0.94755690000000004</v>
      </c>
      <c r="Q1013">
        <v>0.31838689999999997</v>
      </c>
      <c r="R1013">
        <v>2.7670340000000002E-2</v>
      </c>
      <c r="S1013">
        <v>3.2162480000000002</v>
      </c>
      <c r="T1013">
        <v>-0.17065179999999999</v>
      </c>
      <c r="U1013">
        <v>0.25045780000000001</v>
      </c>
      <c r="V1013">
        <v>-3.0876730000000002E-2</v>
      </c>
      <c r="W1013">
        <v>0.32380409999999998</v>
      </c>
      <c r="X1013">
        <v>0.94562020000000002</v>
      </c>
      <c r="Y1013">
        <v>-8.0895190000000006E-2</v>
      </c>
      <c r="Z1013">
        <v>2.5337990000000002E-3</v>
      </c>
      <c r="AA1013">
        <v>0.99671940000000003</v>
      </c>
      <c r="AB1013">
        <v>31</v>
      </c>
      <c r="AC1013">
        <v>20.229699999999902</v>
      </c>
      <c r="AD1013">
        <v>-1.0839864604559999</v>
      </c>
      <c r="AE1013">
        <v>1.58909999999997</v>
      </c>
      <c r="AF1013">
        <v>-1.6531027924817101</v>
      </c>
      <c r="AG1013">
        <v>-1.0839864604559999</v>
      </c>
      <c r="AH1013">
        <v>20.166636305806399</v>
      </c>
      <c r="AI1013">
        <v>93.066506201617599</v>
      </c>
      <c r="AJ1013">
        <v>94.686181537424602</v>
      </c>
      <c r="AK1013">
        <v>20.263291819929702</v>
      </c>
      <c r="AL1013">
        <v>71.106862808104594</v>
      </c>
      <c r="AM1013">
        <v>91.8701778890876</v>
      </c>
      <c r="AN1013">
        <v>1.00000001514017</v>
      </c>
    </row>
    <row r="1014" spans="1:40" x14ac:dyDescent="0.25">
      <c r="A1014" t="str">
        <f>"20190304164839057"</f>
        <v>20190304164839057</v>
      </c>
      <c r="B1014" t="str">
        <f>"1551689319047604"</f>
        <v>1551689319047604</v>
      </c>
      <c r="C1014" t="s">
        <v>40</v>
      </c>
      <c r="D1014">
        <v>4.4143059999999998</v>
      </c>
      <c r="E1014">
        <v>0.49745200000000001</v>
      </c>
      <c r="F1014" t="s">
        <v>42</v>
      </c>
      <c r="G1014">
        <v>-256.9058</v>
      </c>
      <c r="H1014" s="1">
        <v>-1.3854699999999999E-6</v>
      </c>
      <c r="I1014">
        <v>369.1893</v>
      </c>
      <c r="J1014">
        <v>-276.77359999999999</v>
      </c>
      <c r="K1014">
        <v>1.0857429999999999</v>
      </c>
      <c r="L1014">
        <v>367.61689999999999</v>
      </c>
      <c r="M1014">
        <v>0.9999768</v>
      </c>
      <c r="N1014">
        <v>-5.905843E-3</v>
      </c>
      <c r="O1014">
        <v>-3.3973319999999999E-3</v>
      </c>
      <c r="P1014">
        <v>0.94751700000000005</v>
      </c>
      <c r="Q1014">
        <v>0.3185308</v>
      </c>
      <c r="R1014">
        <v>2.7388470000000002E-2</v>
      </c>
      <c r="S1014">
        <v>3.217133</v>
      </c>
      <c r="T1014">
        <v>-0.1739502</v>
      </c>
      <c r="U1014">
        <v>0.2522278</v>
      </c>
      <c r="V1014">
        <v>-3.0594550000000002E-2</v>
      </c>
      <c r="W1014">
        <v>0.32412180000000002</v>
      </c>
      <c r="X1014">
        <v>0.94552049999999999</v>
      </c>
      <c r="Y1014">
        <v>-8.1413020000000003E-2</v>
      </c>
      <c r="Z1014">
        <v>2.6002659999999999E-3</v>
      </c>
      <c r="AA1014">
        <v>0.99667700000000004</v>
      </c>
      <c r="AB1014">
        <v>31</v>
      </c>
      <c r="AC1014">
        <v>19.8677999999999</v>
      </c>
      <c r="AD1014">
        <v>-1.08574438547</v>
      </c>
      <c r="AE1014">
        <v>1.57240000000001</v>
      </c>
      <c r="AF1014">
        <v>-1.6350370486535299</v>
      </c>
      <c r="AG1014">
        <v>-1.08574438547</v>
      </c>
      <c r="AH1014">
        <v>19.8035690026453</v>
      </c>
      <c r="AI1014">
        <v>93.127518846157898</v>
      </c>
      <c r="AJ1014">
        <v>94.719792025521301</v>
      </c>
      <c r="AK1014">
        <v>19.900591254120702</v>
      </c>
      <c r="AL1014">
        <v>71.087621836017107</v>
      </c>
      <c r="AM1014">
        <v>91.853293715137795</v>
      </c>
      <c r="AN1014">
        <v>0.99999999182259602</v>
      </c>
    </row>
    <row r="1015" spans="1:40" x14ac:dyDescent="0.25">
      <c r="A1015" t="str">
        <f>"20190304164839070"</f>
        <v>20190304164839070</v>
      </c>
      <c r="B1015" t="str">
        <f>"1551689319057364"</f>
        <v>1551689319057364</v>
      </c>
      <c r="C1015" t="s">
        <v>40</v>
      </c>
      <c r="D1015">
        <v>4.3818599999999996</v>
      </c>
      <c r="E1015">
        <v>0.49714330000000001</v>
      </c>
      <c r="F1015" t="s">
        <v>42</v>
      </c>
      <c r="G1015">
        <v>-256.69349999999997</v>
      </c>
      <c r="H1015" s="1">
        <v>-1.4767209999999999E-6</v>
      </c>
      <c r="I1015">
        <v>369.18830000000003</v>
      </c>
      <c r="J1015">
        <v>-276.601</v>
      </c>
      <c r="K1015">
        <v>1.0873969999999999</v>
      </c>
      <c r="L1015">
        <v>367.61630000000002</v>
      </c>
      <c r="M1015">
        <v>0.99997530000000001</v>
      </c>
      <c r="N1015">
        <v>-6.1566040000000004E-3</v>
      </c>
      <c r="O1015">
        <v>-3.3971359999999998E-3</v>
      </c>
      <c r="P1015">
        <v>0.94728889999999999</v>
      </c>
      <c r="Q1015">
        <v>0.31919920000000002</v>
      </c>
      <c r="R1015">
        <v>2.7489759999999999E-2</v>
      </c>
      <c r="S1015">
        <v>3.217346</v>
      </c>
      <c r="T1015">
        <v>-0.17396339999999999</v>
      </c>
      <c r="U1015">
        <v>0.25176999999999999</v>
      </c>
      <c r="V1015">
        <v>-3.069494E-2</v>
      </c>
      <c r="W1015">
        <v>0.32502560000000003</v>
      </c>
      <c r="X1015">
        <v>0.94520689999999996</v>
      </c>
      <c r="Y1015">
        <v>-8.1266450000000004E-2</v>
      </c>
      <c r="Z1015">
        <v>2.605268E-3</v>
      </c>
      <c r="AA1015">
        <v>0.99668900000000005</v>
      </c>
      <c r="AB1015">
        <v>31</v>
      </c>
      <c r="AC1015">
        <v>19.907499999999999</v>
      </c>
      <c r="AD1015">
        <v>-1.0873984767210001</v>
      </c>
      <c r="AE1015">
        <v>1.5720000000000001</v>
      </c>
      <c r="AF1015">
        <v>-1.6347733714589401</v>
      </c>
      <c r="AG1015">
        <v>-1.0873984767210001</v>
      </c>
      <c r="AH1015">
        <v>19.843206953226399</v>
      </c>
      <c r="AI1015">
        <v>93.126075093419004</v>
      </c>
      <c r="AJ1015">
        <v>94.709650220388795</v>
      </c>
      <c r="AK1015">
        <v>19.9401048545833</v>
      </c>
      <c r="AL1015">
        <v>71.032873089041701</v>
      </c>
      <c r="AM1015">
        <v>91.859987139621893</v>
      </c>
      <c r="AN1015">
        <v>0.99999995190228497</v>
      </c>
    </row>
    <row r="1016" spans="1:40" x14ac:dyDescent="0.25">
      <c r="A1016" t="str">
        <f>"20190304164839081"</f>
        <v>20190304164839081</v>
      </c>
      <c r="B1016" t="str">
        <f>"1551689319076885"</f>
        <v>1551689319076885</v>
      </c>
      <c r="C1016" t="s">
        <v>40</v>
      </c>
      <c r="D1016">
        <v>4.3982859999999997</v>
      </c>
      <c r="E1016">
        <v>0.49699450000000001</v>
      </c>
      <c r="F1016" t="s">
        <v>42</v>
      </c>
      <c r="G1016">
        <v>-256.37450000000001</v>
      </c>
      <c r="H1016" s="1">
        <v>-1.6085839999999999E-6</v>
      </c>
      <c r="I1016">
        <v>369.2165</v>
      </c>
      <c r="J1016">
        <v>-276.44690000000003</v>
      </c>
      <c r="K1016">
        <v>1.0888389999999999</v>
      </c>
      <c r="L1016">
        <v>367.61579999999998</v>
      </c>
      <c r="M1016">
        <v>0.99997380000000002</v>
      </c>
      <c r="N1016">
        <v>-6.4040809999999998E-3</v>
      </c>
      <c r="O1016">
        <v>-3.3970799999999998E-3</v>
      </c>
      <c r="P1016">
        <v>0.94711540000000005</v>
      </c>
      <c r="Q1016">
        <v>0.31971509999999997</v>
      </c>
      <c r="R1016">
        <v>2.7474740000000001E-2</v>
      </c>
      <c r="S1016">
        <v>3.2178339999999999</v>
      </c>
      <c r="T1016">
        <v>-0.17299310000000001</v>
      </c>
      <c r="U1016">
        <v>0.25457760000000001</v>
      </c>
      <c r="V1016">
        <v>-3.0679370000000001E-2</v>
      </c>
      <c r="W1016">
        <v>0.32577450000000002</v>
      </c>
      <c r="X1016">
        <v>0.94494959999999995</v>
      </c>
      <c r="Y1016">
        <v>-8.2118499999999997E-2</v>
      </c>
      <c r="Z1016">
        <v>2.6264320000000002E-3</v>
      </c>
      <c r="AA1016">
        <v>0.99661909999999998</v>
      </c>
      <c r="AB1016">
        <v>31</v>
      </c>
      <c r="AC1016">
        <v>20.072399999999998</v>
      </c>
      <c r="AD1016">
        <v>-1.0888406085839999</v>
      </c>
      <c r="AE1016">
        <v>1.60070000000001</v>
      </c>
      <c r="AF1016">
        <v>-1.66401413333202</v>
      </c>
      <c r="AG1016">
        <v>-1.0888406085839999</v>
      </c>
      <c r="AH1016">
        <v>20.008342033177399</v>
      </c>
      <c r="AI1016">
        <v>93.104229791186</v>
      </c>
      <c r="AJ1016">
        <v>94.754121209078406</v>
      </c>
      <c r="AK1016">
        <v>20.106920893648599</v>
      </c>
      <c r="AL1016">
        <v>70.987495519621305</v>
      </c>
      <c r="AM1016">
        <v>91.859550167047402</v>
      </c>
      <c r="AN1016">
        <v>0.99999999756700297</v>
      </c>
    </row>
    <row r="1017" spans="1:40" x14ac:dyDescent="0.25">
      <c r="A1017" t="str">
        <f>"20190304164839096"</f>
        <v>20190304164839096</v>
      </c>
      <c r="B1017" t="str">
        <f>"1551689319086644"</f>
        <v>1551689319086644</v>
      </c>
      <c r="C1017" t="s">
        <v>40</v>
      </c>
      <c r="D1017">
        <v>4.3863949999999896</v>
      </c>
      <c r="E1017">
        <v>0.4970252</v>
      </c>
      <c r="F1017" t="s">
        <v>42</v>
      </c>
      <c r="G1017">
        <v>-256.18200000000002</v>
      </c>
      <c r="H1017" s="1">
        <v>-1.6898600000000001E-6</v>
      </c>
      <c r="I1017">
        <v>369.22370000000001</v>
      </c>
      <c r="J1017">
        <v>-276.2353</v>
      </c>
      <c r="K1017">
        <v>1.09076</v>
      </c>
      <c r="L1017">
        <v>367.61509999999998</v>
      </c>
      <c r="M1017">
        <v>0.99997139999999995</v>
      </c>
      <c r="N1017">
        <v>-6.7765459999999996E-3</v>
      </c>
      <c r="O1017">
        <v>-3.3968779999999999E-3</v>
      </c>
      <c r="P1017">
        <v>0.94699630000000001</v>
      </c>
      <c r="Q1017">
        <v>0.32003379999999998</v>
      </c>
      <c r="R1017">
        <v>2.7869399999999999E-2</v>
      </c>
      <c r="S1017">
        <v>3.2184750000000002</v>
      </c>
      <c r="T1017">
        <v>-0.17292929999999901</v>
      </c>
      <c r="U1017">
        <v>0.25537110000000002</v>
      </c>
      <c r="V1017">
        <v>-3.1073699999999999E-2</v>
      </c>
      <c r="W1017">
        <v>0.32644440000000002</v>
      </c>
      <c r="X1017">
        <v>0.94470549999999998</v>
      </c>
      <c r="Y1017">
        <v>-8.2345870000000002E-2</v>
      </c>
      <c r="Z1017">
        <v>2.6459869999999998E-3</v>
      </c>
      <c r="AA1017">
        <v>0.99660029999999999</v>
      </c>
      <c r="AB1017">
        <v>31</v>
      </c>
      <c r="AC1017">
        <v>20.053299999999901</v>
      </c>
      <c r="AD1017">
        <v>-1.0907616898600001</v>
      </c>
      <c r="AE1017">
        <v>1.60860000000002</v>
      </c>
      <c r="AF1017">
        <v>-1.67179631419985</v>
      </c>
      <c r="AG1017">
        <v>-1.0907616898600001</v>
      </c>
      <c r="AH1017">
        <v>19.9889584880823</v>
      </c>
      <c r="AI1017">
        <v>93.112584619389395</v>
      </c>
      <c r="AJ1017">
        <v>94.780862564459994</v>
      </c>
      <c r="AK1017">
        <v>20.088382847270601</v>
      </c>
      <c r="AL1017">
        <v>70.946893518515594</v>
      </c>
      <c r="AM1017">
        <v>91.883920653494599</v>
      </c>
      <c r="AN1017">
        <v>1.0000000014266499</v>
      </c>
    </row>
    <row r="1018" spans="1:40" x14ac:dyDescent="0.25">
      <c r="A1018" t="str">
        <f>"20190304164839107"</f>
        <v>20190304164839107</v>
      </c>
      <c r="B1018" t="str">
        <f>"1551689319097381"</f>
        <v>1551689319097381</v>
      </c>
      <c r="C1018" t="s">
        <v>40</v>
      </c>
      <c r="D1018">
        <v>4.3666460000000002</v>
      </c>
      <c r="E1018">
        <v>0.4970156</v>
      </c>
      <c r="F1018" t="s">
        <v>42</v>
      </c>
      <c r="G1018">
        <v>-255.88890000000001</v>
      </c>
      <c r="H1018" s="1">
        <v>-1.8139750000000001E-6</v>
      </c>
      <c r="I1018">
        <v>369.233</v>
      </c>
      <c r="J1018">
        <v>-276.0856</v>
      </c>
      <c r="K1018">
        <v>1.0920339999999999</v>
      </c>
      <c r="L1018">
        <v>367.6146</v>
      </c>
      <c r="M1018">
        <v>0.99996929999999995</v>
      </c>
      <c r="N1018">
        <v>-7.0614149999999997E-3</v>
      </c>
      <c r="O1018">
        <v>-3.3967910000000001E-3</v>
      </c>
      <c r="P1018">
        <v>0.94707850000000005</v>
      </c>
      <c r="Q1018">
        <v>0.31974859999999999</v>
      </c>
      <c r="R1018">
        <v>2.8334959999999999E-2</v>
      </c>
      <c r="S1018">
        <v>3.2186889999999999</v>
      </c>
      <c r="T1018">
        <v>-0.1725515</v>
      </c>
      <c r="U1018">
        <v>0.25595089999999998</v>
      </c>
      <c r="V1018">
        <v>-3.1539200000000003E-2</v>
      </c>
      <c r="W1018">
        <v>0.32642860000000001</v>
      </c>
      <c r="X1018">
        <v>0.94469550000000002</v>
      </c>
      <c r="Y1018">
        <v>-8.2518729999999998E-2</v>
      </c>
      <c r="Z1018">
        <v>2.6566239999999998E-3</v>
      </c>
      <c r="AA1018">
        <v>0.99658599999999997</v>
      </c>
      <c r="AB1018">
        <v>31</v>
      </c>
      <c r="AC1018">
        <v>20.1967</v>
      </c>
      <c r="AD1018">
        <v>-1.0920358139749999</v>
      </c>
      <c r="AE1018">
        <v>1.6184000000000001</v>
      </c>
      <c r="AF1018">
        <v>-1.68210995821266</v>
      </c>
      <c r="AG1018">
        <v>-1.0920358139749999</v>
      </c>
      <c r="AH1018">
        <v>20.132602506596101</v>
      </c>
      <c r="AI1018">
        <v>93.094044428297806</v>
      </c>
      <c r="AJ1018">
        <v>94.776057605679895</v>
      </c>
      <c r="AK1018">
        <v>20.2322445571203</v>
      </c>
      <c r="AL1018">
        <v>70.947850633346803</v>
      </c>
      <c r="AM1018">
        <v>91.912142183208999</v>
      </c>
      <c r="AN1018">
        <v>0.99999996987742401</v>
      </c>
    </row>
    <row r="1019" spans="1:40" x14ac:dyDescent="0.25">
      <c r="A1019" t="str">
        <f>"20190304164839118"</f>
        <v>20190304164839118</v>
      </c>
      <c r="B1019" t="str">
        <f>"1551689319107141"</f>
        <v>1551689319107141</v>
      </c>
      <c r="C1019" t="s">
        <v>40</v>
      </c>
      <c r="D1019">
        <v>4.3762759999999998</v>
      </c>
      <c r="E1019">
        <v>0.4969788</v>
      </c>
      <c r="F1019" t="s">
        <v>42</v>
      </c>
      <c r="G1019">
        <v>-255.85220000000001</v>
      </c>
      <c r="H1019" s="1">
        <v>-1.829169E-6</v>
      </c>
      <c r="I1019">
        <v>369.23599999999999</v>
      </c>
      <c r="J1019">
        <v>-275.93040000000002</v>
      </c>
      <c r="K1019">
        <v>1.093318</v>
      </c>
      <c r="L1019">
        <v>367.61399999999998</v>
      </c>
      <c r="M1019">
        <v>0.9999673</v>
      </c>
      <c r="N1019">
        <v>-7.3593240000000004E-3</v>
      </c>
      <c r="O1019">
        <v>-3.3966740000000001E-3</v>
      </c>
      <c r="P1019">
        <v>0.94720320000000002</v>
      </c>
      <c r="Q1019">
        <v>0.31935010000000003</v>
      </c>
      <c r="R1019">
        <v>2.866906E-2</v>
      </c>
      <c r="S1019">
        <v>3.2185969999999999</v>
      </c>
      <c r="T1019">
        <v>-0.1737137</v>
      </c>
      <c r="U1019">
        <v>0.25793460000000001</v>
      </c>
      <c r="V1019">
        <v>-3.1874350000000003E-2</v>
      </c>
      <c r="W1019">
        <v>0.32631280000000001</v>
      </c>
      <c r="X1019">
        <v>0.94472429999999996</v>
      </c>
      <c r="Y1019">
        <v>-8.3127770000000004E-2</v>
      </c>
      <c r="Z1019">
        <v>2.70266E-3</v>
      </c>
      <c r="AA1019">
        <v>0.99653519999999896</v>
      </c>
      <c r="AB1019">
        <v>31</v>
      </c>
      <c r="AC1019">
        <v>20.078199999999999</v>
      </c>
      <c r="AD1019">
        <v>-1.0933198291689901</v>
      </c>
      <c r="AE1019">
        <v>1.6219999999999499</v>
      </c>
      <c r="AF1019">
        <v>-1.6852270475804001</v>
      </c>
      <c r="AG1019">
        <v>-1.0933198291689901</v>
      </c>
      <c r="AH1019">
        <v>20.013616249254699</v>
      </c>
      <c r="AI1019">
        <v>93.115886629970703</v>
      </c>
      <c r="AJ1019">
        <v>94.813181031527407</v>
      </c>
      <c r="AK1019">
        <v>20.1141784277455</v>
      </c>
      <c r="AL1019">
        <v>70.954870643716504</v>
      </c>
      <c r="AM1019">
        <v>91.932387291606403</v>
      </c>
      <c r="AN1019">
        <v>1.00000001032112</v>
      </c>
    </row>
    <row r="1020" spans="1:40" x14ac:dyDescent="0.25">
      <c r="A1020" t="str">
        <f>"20190304164839129"</f>
        <v>20190304164839129</v>
      </c>
      <c r="B1020" t="str">
        <f>"1551689319116902"</f>
        <v>1551689319116902</v>
      </c>
      <c r="C1020" t="s">
        <v>40</v>
      </c>
      <c r="D1020">
        <v>4.3706209999999999</v>
      </c>
      <c r="E1020">
        <v>0.49694189999999999</v>
      </c>
      <c r="F1020" t="s">
        <v>42</v>
      </c>
      <c r="G1020">
        <v>-255.8717</v>
      </c>
      <c r="H1020" s="1">
        <v>-1.8225239999999999E-6</v>
      </c>
      <c r="I1020">
        <v>369.22649999999999</v>
      </c>
      <c r="J1020">
        <v>-275.77420000000001</v>
      </c>
      <c r="K1020">
        <v>1.094541</v>
      </c>
      <c r="L1020">
        <v>367.61349999999999</v>
      </c>
      <c r="M1020">
        <v>0.99996490000000005</v>
      </c>
      <c r="N1020">
        <v>-7.6656780000000004E-3</v>
      </c>
      <c r="O1020">
        <v>-3.3966339999999999E-3</v>
      </c>
      <c r="P1020">
        <v>0.94750230000000002</v>
      </c>
      <c r="Q1020">
        <v>0.31841700000000001</v>
      </c>
      <c r="R1020">
        <v>2.915686E-2</v>
      </c>
      <c r="S1020">
        <v>3.2185359999999998</v>
      </c>
      <c r="T1020">
        <v>-0.17542829999999901</v>
      </c>
      <c r="U1020">
        <v>0.25872800000000001</v>
      </c>
      <c r="V1020">
        <v>-3.236257E-2</v>
      </c>
      <c r="W1020">
        <v>0.3256713</v>
      </c>
      <c r="X1020">
        <v>0.94492909999999997</v>
      </c>
      <c r="Y1020">
        <v>-8.3369659999999998E-2</v>
      </c>
      <c r="Z1020">
        <v>2.7457829999999999E-3</v>
      </c>
      <c r="AA1020">
        <v>0.99651489999999998</v>
      </c>
      <c r="AB1020">
        <v>31</v>
      </c>
      <c r="AC1020">
        <v>19.9025</v>
      </c>
      <c r="AD1020">
        <v>-1.0945428225239999</v>
      </c>
      <c r="AE1020">
        <v>1.61299999999999</v>
      </c>
      <c r="AF1020">
        <v>-1.67555956382638</v>
      </c>
      <c r="AG1020">
        <v>-1.0945428225239999</v>
      </c>
      <c r="AH1020">
        <v>19.8373003094752</v>
      </c>
      <c r="AI1020">
        <v>93.1469662863624</v>
      </c>
      <c r="AJ1020">
        <v>94.828033902909098</v>
      </c>
      <c r="AK1020">
        <v>19.9380040979676</v>
      </c>
      <c r="AL1020">
        <v>70.993750889507396</v>
      </c>
      <c r="AM1020">
        <v>91.961537849913398</v>
      </c>
      <c r="AN1020">
        <v>1.0000000678037499</v>
      </c>
    </row>
    <row r="1021" spans="1:40" x14ac:dyDescent="0.25">
      <c r="A1021" t="str">
        <f>"20190304164839141"</f>
        <v>20190304164839141</v>
      </c>
      <c r="B1021" t="str">
        <f>"1551689319136899"</f>
        <v>1551689319136899</v>
      </c>
      <c r="C1021" t="s">
        <v>40</v>
      </c>
      <c r="D1021">
        <v>4.4035349999999998</v>
      </c>
      <c r="E1021">
        <v>0.4968553</v>
      </c>
      <c r="F1021" t="s">
        <v>42</v>
      </c>
      <c r="G1021">
        <v>-256.10719999999998</v>
      </c>
      <c r="H1021" s="1">
        <v>-1.7249129999999999E-6</v>
      </c>
      <c r="I1021">
        <v>369.20699999999999</v>
      </c>
      <c r="J1021">
        <v>-275.61669999999998</v>
      </c>
      <c r="K1021">
        <v>1.0957110000000001</v>
      </c>
      <c r="L1021">
        <v>367.613</v>
      </c>
      <c r="M1021">
        <v>0.99996249999999998</v>
      </c>
      <c r="N1021">
        <v>-7.9730340000000004E-3</v>
      </c>
      <c r="O1021">
        <v>-3.3967630000000001E-3</v>
      </c>
      <c r="P1021">
        <v>0.94778309999999999</v>
      </c>
      <c r="Q1021">
        <v>0.31752449999999999</v>
      </c>
      <c r="R1021">
        <v>2.9762509999999999E-2</v>
      </c>
      <c r="S1021">
        <v>3.2183839999999999</v>
      </c>
      <c r="T1021">
        <v>-0.1791151</v>
      </c>
      <c r="U1021">
        <v>0.26077270000000002</v>
      </c>
      <c r="V1021">
        <v>-3.2969940000000003E-2</v>
      </c>
      <c r="W1021">
        <v>0.32507160000000002</v>
      </c>
      <c r="X1021">
        <v>0.94511449999999997</v>
      </c>
      <c r="Y1021">
        <v>-8.3995009999999995E-2</v>
      </c>
      <c r="Z1021">
        <v>2.8289679999999998E-3</v>
      </c>
      <c r="AA1021">
        <v>0.99646219999999996</v>
      </c>
      <c r="AB1021">
        <v>31</v>
      </c>
      <c r="AC1021">
        <v>19.509499999999999</v>
      </c>
      <c r="AD1021">
        <v>-1.0957127249130001</v>
      </c>
      <c r="AE1021">
        <v>1.5939999999999299</v>
      </c>
      <c r="AF1021">
        <v>-1.6550760890440199</v>
      </c>
      <c r="AG1021">
        <v>-1.0957127249130001</v>
      </c>
      <c r="AH1021">
        <v>19.443050566091198</v>
      </c>
      <c r="AI1021">
        <v>93.213892146827405</v>
      </c>
      <c r="AJ1021">
        <v>94.865533681598805</v>
      </c>
      <c r="AK1021">
        <v>19.544105979850801</v>
      </c>
      <c r="AL1021">
        <v>71.030086896568804</v>
      </c>
      <c r="AM1021">
        <v>91.997930084337895</v>
      </c>
      <c r="AN1021">
        <v>0.99999999009020601</v>
      </c>
    </row>
    <row r="1022" spans="1:40" x14ac:dyDescent="0.25">
      <c r="A1022" t="str">
        <f>"20190304164839152"</f>
        <v>20190304164839152</v>
      </c>
      <c r="B1022" t="str">
        <f>"1551689319146656"</f>
        <v>1551689319146656</v>
      </c>
      <c r="C1022" t="s">
        <v>40</v>
      </c>
      <c r="D1022">
        <v>4.387505</v>
      </c>
      <c r="E1022">
        <v>0.49680059999999898</v>
      </c>
      <c r="F1022" t="s">
        <v>42</v>
      </c>
      <c r="G1022">
        <v>-256.37329999999997</v>
      </c>
      <c r="H1022" s="1">
        <v>-1.6144529999999999E-6</v>
      </c>
      <c r="I1022">
        <v>369.18639999999999</v>
      </c>
      <c r="J1022">
        <v>-275.45839999999998</v>
      </c>
      <c r="K1022">
        <v>1.0968359999999999</v>
      </c>
      <c r="L1022">
        <v>367.61239999999998</v>
      </c>
      <c r="M1022">
        <v>0.99995990000000001</v>
      </c>
      <c r="N1022">
        <v>-8.2809169999999901E-3</v>
      </c>
      <c r="O1022">
        <v>-3.396703E-3</v>
      </c>
      <c r="P1022">
        <v>0.94819889999999996</v>
      </c>
      <c r="Q1022">
        <v>0.31623299999999999</v>
      </c>
      <c r="R1022">
        <v>3.0260100000000002E-2</v>
      </c>
      <c r="S1022">
        <v>3.218445</v>
      </c>
      <c r="T1022">
        <v>-0.18325569999999999</v>
      </c>
      <c r="U1022">
        <v>0.26315309999999997</v>
      </c>
      <c r="V1022">
        <v>-3.3468749999999999E-2</v>
      </c>
      <c r="W1022">
        <v>0.32407439999999998</v>
      </c>
      <c r="X1022">
        <v>0.94543940000000004</v>
      </c>
      <c r="Y1022">
        <v>-8.4716890000000003E-2</v>
      </c>
      <c r="Z1022">
        <v>2.9224530000000002E-3</v>
      </c>
      <c r="AA1022">
        <v>0.99640079999999998</v>
      </c>
      <c r="AB1022">
        <v>31</v>
      </c>
      <c r="AC1022">
        <v>19.085100000000001</v>
      </c>
      <c r="AD1022">
        <v>-1.0968376144529901</v>
      </c>
      <c r="AE1022">
        <v>1.5740000000000101</v>
      </c>
      <c r="AF1022">
        <v>-1.6334608475621399</v>
      </c>
      <c r="AG1022">
        <v>-1.0968376144529901</v>
      </c>
      <c r="AH1022">
        <v>19.0172554999616</v>
      </c>
      <c r="AI1022">
        <v>93.288846506035497</v>
      </c>
      <c r="AJ1022">
        <v>94.909292247053997</v>
      </c>
      <c r="AK1022">
        <v>19.118767058673399</v>
      </c>
      <c r="AL1022">
        <v>71.090493095095795</v>
      </c>
      <c r="AM1022">
        <v>92.027435799223298</v>
      </c>
      <c r="AN1022">
        <v>1.0000000165171401</v>
      </c>
    </row>
    <row r="1023" spans="1:40" x14ac:dyDescent="0.25">
      <c r="A1023" t="str">
        <f>"20190304164839164"</f>
        <v>20190304164839164</v>
      </c>
      <c r="B1023" t="str">
        <f>"1551689319157391"</f>
        <v>1551689319157391</v>
      </c>
      <c r="C1023" t="s">
        <v>40</v>
      </c>
      <c r="D1023">
        <v>4.3710849999999999</v>
      </c>
      <c r="E1023">
        <v>0.49675259999999999</v>
      </c>
      <c r="F1023" t="s">
        <v>42</v>
      </c>
      <c r="G1023">
        <v>-256.69130000000001</v>
      </c>
      <c r="H1023" s="1">
        <v>-1.482852E-6</v>
      </c>
      <c r="I1023">
        <v>369.15910000000002</v>
      </c>
      <c r="J1023">
        <v>-275.30410000000001</v>
      </c>
      <c r="K1023">
        <v>1.0978509999999999</v>
      </c>
      <c r="L1023">
        <v>367.61189999999999</v>
      </c>
      <c r="M1023">
        <v>0.9999576</v>
      </c>
      <c r="N1023">
        <v>-8.5728999999999996E-3</v>
      </c>
      <c r="O1023">
        <v>-3.3967419999999999E-3</v>
      </c>
      <c r="P1023">
        <v>0.94845400000000002</v>
      </c>
      <c r="Q1023">
        <v>0.31540010000000002</v>
      </c>
      <c r="R1023">
        <v>3.0947860000000001E-2</v>
      </c>
      <c r="S1023">
        <v>3.21814</v>
      </c>
      <c r="T1023">
        <v>-0.1880819</v>
      </c>
      <c r="U1023">
        <v>0.26522829999999997</v>
      </c>
      <c r="V1023">
        <v>-3.4157689999999997E-2</v>
      </c>
      <c r="W1023">
        <v>0.32351990000000003</v>
      </c>
      <c r="X1023">
        <v>0.94560460000000002</v>
      </c>
      <c r="Y1023">
        <v>-8.5352830000000005E-2</v>
      </c>
      <c r="Z1023">
        <v>3.023675E-3</v>
      </c>
      <c r="AA1023">
        <v>0.99634619999999996</v>
      </c>
      <c r="AB1023">
        <v>31</v>
      </c>
      <c r="AC1023">
        <v>18.6128</v>
      </c>
      <c r="AD1023">
        <v>-1.097852482852</v>
      </c>
      <c r="AE1023">
        <v>1.5472000000000301</v>
      </c>
      <c r="AF1023">
        <v>-1.60487110865198</v>
      </c>
      <c r="AG1023">
        <v>-1.097852482852</v>
      </c>
      <c r="AH1023">
        <v>18.543365833109199</v>
      </c>
      <c r="AI1023">
        <v>93.375628973100405</v>
      </c>
      <c r="AJ1023">
        <v>94.946447300530707</v>
      </c>
      <c r="AK1023">
        <v>18.645034399807699</v>
      </c>
      <c r="AL1023">
        <v>71.124071672618598</v>
      </c>
      <c r="AM1023">
        <v>92.068772623563405</v>
      </c>
      <c r="AN1023">
        <v>0.99999996651165202</v>
      </c>
    </row>
    <row r="1024" spans="1:40" x14ac:dyDescent="0.25">
      <c r="A1024" t="str">
        <f>"20190304164839173"</f>
        <v>20190304164839173</v>
      </c>
      <c r="B1024" t="str">
        <f>"1551689319167151"</f>
        <v>1551689319167151</v>
      </c>
      <c r="C1024" t="s">
        <v>40</v>
      </c>
      <c r="D1024">
        <v>4.4033329999999999</v>
      </c>
      <c r="E1024">
        <v>0.49674689999999999</v>
      </c>
      <c r="F1024" t="s">
        <v>42</v>
      </c>
      <c r="G1024">
        <v>-256.82429999999999</v>
      </c>
      <c r="H1024" s="1">
        <v>-1.4270489999999999E-6</v>
      </c>
      <c r="I1024">
        <v>369.15199999999999</v>
      </c>
      <c r="J1024">
        <v>-275.15969999999999</v>
      </c>
      <c r="K1024">
        <v>1.098779</v>
      </c>
      <c r="L1024">
        <v>367.6114</v>
      </c>
      <c r="M1024">
        <v>0.99995520000000004</v>
      </c>
      <c r="N1024">
        <v>-8.8441059999999991E-3</v>
      </c>
      <c r="O1024">
        <v>-3.3967310000000001E-3</v>
      </c>
      <c r="P1024">
        <v>0.94856490000000004</v>
      </c>
      <c r="Q1024">
        <v>0.31500420000000001</v>
      </c>
      <c r="R1024">
        <v>3.15806E-2</v>
      </c>
      <c r="S1024">
        <v>3.2178650000000002</v>
      </c>
      <c r="T1024">
        <v>-0.19116639999999999</v>
      </c>
      <c r="U1024">
        <v>0.2681885</v>
      </c>
      <c r="V1024">
        <v>-3.4790679999999997E-2</v>
      </c>
      <c r="W1024">
        <v>0.3233819</v>
      </c>
      <c r="X1024">
        <v>0.94562880000000005</v>
      </c>
      <c r="Y1024">
        <v>-8.62623E-2</v>
      </c>
      <c r="Z1024">
        <v>3.1094680000000002E-3</v>
      </c>
      <c r="AA1024">
        <v>0.99626760000000003</v>
      </c>
      <c r="AB1024">
        <v>31</v>
      </c>
      <c r="AC1024">
        <v>18.3354</v>
      </c>
      <c r="AD1024">
        <v>-1.098780427049</v>
      </c>
      <c r="AE1024">
        <v>1.54059999999998</v>
      </c>
      <c r="AF1024">
        <v>-1.59717836841144</v>
      </c>
      <c r="AG1024">
        <v>-1.098780427049</v>
      </c>
      <c r="AH1024">
        <v>18.264927615785599</v>
      </c>
      <c r="AI1024">
        <v>93.429591090825696</v>
      </c>
      <c r="AJ1024">
        <v>94.997522778050495</v>
      </c>
      <c r="AK1024">
        <v>18.367522369042401</v>
      </c>
      <c r="AL1024">
        <v>71.132429028493803</v>
      </c>
      <c r="AM1024">
        <v>92.107021770791405</v>
      </c>
      <c r="AN1024">
        <v>1.00000003602595</v>
      </c>
    </row>
    <row r="1025" spans="1:40" x14ac:dyDescent="0.25">
      <c r="A1025" t="str">
        <f>"20190304164839185"</f>
        <v>20190304164839185</v>
      </c>
      <c r="B1025" t="str">
        <f>"1551689319176911"</f>
        <v>1551689319176911</v>
      </c>
      <c r="C1025" t="s">
        <v>40</v>
      </c>
      <c r="D1025">
        <v>4.4100339999999996</v>
      </c>
      <c r="E1025">
        <v>0.49675780000000003</v>
      </c>
      <c r="F1025" t="s">
        <v>42</v>
      </c>
      <c r="G1025">
        <v>-256.8535</v>
      </c>
      <c r="H1025" s="1">
        <v>-1.4154400000000001E-6</v>
      </c>
      <c r="I1025">
        <v>369.14690000000002</v>
      </c>
      <c r="J1025">
        <v>-275.01100000000002</v>
      </c>
      <c r="K1025">
        <v>1.099642</v>
      </c>
      <c r="L1025">
        <v>367.61090000000002</v>
      </c>
      <c r="M1025">
        <v>0.99995270000000003</v>
      </c>
      <c r="N1025">
        <v>-9.1102089999999993E-3</v>
      </c>
      <c r="O1025">
        <v>-3.396376E-3</v>
      </c>
      <c r="P1025">
        <v>0.94864680000000001</v>
      </c>
      <c r="Q1025">
        <v>0.3147199</v>
      </c>
      <c r="R1025">
        <v>3.1948799999999999E-2</v>
      </c>
      <c r="S1025">
        <v>3.2178339999999999</v>
      </c>
      <c r="T1025">
        <v>-0.1931407</v>
      </c>
      <c r="U1025">
        <v>0.26989750000000001</v>
      </c>
      <c r="V1025">
        <v>-3.5159030000000001E-2</v>
      </c>
      <c r="W1025">
        <v>0.32334940000000001</v>
      </c>
      <c r="X1025">
        <v>0.94562630000000003</v>
      </c>
      <c r="Y1025">
        <v>-8.6782960000000006E-2</v>
      </c>
      <c r="Z1025">
        <v>3.1664269999999999E-3</v>
      </c>
      <c r="AA1025">
        <v>0.99622219999999995</v>
      </c>
      <c r="AB1025">
        <v>31</v>
      </c>
      <c r="AC1025">
        <v>18.157499999999899</v>
      </c>
      <c r="AD1025">
        <v>-1.0996434154400001</v>
      </c>
      <c r="AE1025">
        <v>1.536</v>
      </c>
      <c r="AF1025">
        <v>-1.59186642232394</v>
      </c>
      <c r="AG1025">
        <v>-1.0996434154400001</v>
      </c>
      <c r="AH1025">
        <v>18.0863146862051</v>
      </c>
      <c r="AI1025">
        <v>93.465920254775796</v>
      </c>
      <c r="AJ1025">
        <v>95.029924637602093</v>
      </c>
      <c r="AK1025">
        <v>18.1895033817881</v>
      </c>
      <c r="AL1025">
        <v>71.134397051746106</v>
      </c>
      <c r="AM1025">
        <v>92.129315283300798</v>
      </c>
      <c r="AN1025">
        <v>1.0000000455612901</v>
      </c>
    </row>
    <row r="1026" spans="1:40" x14ac:dyDescent="0.25">
      <c r="A1026" t="str">
        <f>"20190304164839196"</f>
        <v>20190304164839196</v>
      </c>
      <c r="B1026" t="str">
        <f>"1551689319186671"</f>
        <v>1551689319186671</v>
      </c>
      <c r="C1026" t="s">
        <v>40</v>
      </c>
      <c r="D1026">
        <v>4.3963169999999998</v>
      </c>
      <c r="E1026">
        <v>0.49673659999999997</v>
      </c>
      <c r="F1026" t="s">
        <v>42</v>
      </c>
      <c r="G1026">
        <v>-256.85899999999998</v>
      </c>
      <c r="H1026" s="1">
        <v>-1.4147659999999999E-6</v>
      </c>
      <c r="I1026">
        <v>369.13729999999998</v>
      </c>
      <c r="J1026">
        <v>-274.85840000000002</v>
      </c>
      <c r="K1026">
        <v>1.1005049999999901</v>
      </c>
      <c r="L1026">
        <v>367.61040000000003</v>
      </c>
      <c r="M1026">
        <v>0.99995020000000001</v>
      </c>
      <c r="N1026">
        <v>-9.3801790000000006E-3</v>
      </c>
      <c r="O1026">
        <v>-3.3961939999999999E-3</v>
      </c>
      <c r="P1026">
        <v>0.94856430000000003</v>
      </c>
      <c r="Q1026">
        <v>0.31494919999999998</v>
      </c>
      <c r="R1026">
        <v>3.2137319999999997E-2</v>
      </c>
      <c r="S1026">
        <v>3.2179570000000002</v>
      </c>
      <c r="T1026">
        <v>-0.1949427</v>
      </c>
      <c r="U1026">
        <v>0.27059939999999999</v>
      </c>
      <c r="V1026">
        <v>-3.5347190000000001E-2</v>
      </c>
      <c r="W1026">
        <v>0.32383309999999998</v>
      </c>
      <c r="X1026">
        <v>0.94545369999999995</v>
      </c>
      <c r="Y1026">
        <v>-8.6991120000000005E-2</v>
      </c>
      <c r="Z1026">
        <v>3.2104830000000001E-3</v>
      </c>
      <c r="AA1026">
        <v>0.99620390000000003</v>
      </c>
      <c r="AB1026">
        <v>31</v>
      </c>
      <c r="AC1026">
        <v>17.999399999999898</v>
      </c>
      <c r="AD1026">
        <v>-1.10050641476599</v>
      </c>
      <c r="AE1026">
        <v>1.52689999999995</v>
      </c>
      <c r="AF1026">
        <v>-1.58215111076541</v>
      </c>
      <c r="AG1026">
        <v>-1.10050641476599</v>
      </c>
      <c r="AH1026">
        <v>17.927571279815901</v>
      </c>
      <c r="AI1026">
        <v>93.499198943636202</v>
      </c>
      <c r="AJ1026">
        <v>95.043423334635193</v>
      </c>
      <c r="AK1026">
        <v>18.030865994153402</v>
      </c>
      <c r="AL1026">
        <v>71.105106301482905</v>
      </c>
      <c r="AM1026">
        <v>92.1410905689239</v>
      </c>
      <c r="AN1026">
        <v>0.99999999967009801</v>
      </c>
    </row>
    <row r="1027" spans="1:40" x14ac:dyDescent="0.25">
      <c r="A1027" t="str">
        <f>"20190304164839207"</f>
        <v>20190304164839207</v>
      </c>
      <c r="B1027" t="str">
        <f>"1551689319197408"</f>
        <v>1551689319197408</v>
      </c>
      <c r="C1027" t="s">
        <v>40</v>
      </c>
      <c r="D1027">
        <v>4.3711849999999997</v>
      </c>
      <c r="E1027">
        <v>0.49671330000000002</v>
      </c>
      <c r="F1027" t="s">
        <v>42</v>
      </c>
      <c r="G1027">
        <v>-256.6807</v>
      </c>
      <c r="H1027" s="1">
        <v>-1.4900060000000001E-6</v>
      </c>
      <c r="I1027">
        <v>369.14429999999999</v>
      </c>
      <c r="J1027">
        <v>-274.7047</v>
      </c>
      <c r="K1027">
        <v>1.1012869999999999</v>
      </c>
      <c r="L1027">
        <v>367.60989999999998</v>
      </c>
      <c r="M1027">
        <v>0.99994780000000005</v>
      </c>
      <c r="N1027">
        <v>-9.6368849999999995E-3</v>
      </c>
      <c r="O1027">
        <v>-3.3962229999999999E-3</v>
      </c>
      <c r="P1027">
        <v>0.94854870000000002</v>
      </c>
      <c r="Q1027">
        <v>0.31498520000000002</v>
      </c>
      <c r="R1027">
        <v>3.2245900000000001E-2</v>
      </c>
      <c r="S1027">
        <v>3.2181700000000002</v>
      </c>
      <c r="T1027">
        <v>-0.1948328</v>
      </c>
      <c r="U1027">
        <v>0.27157589999999998</v>
      </c>
      <c r="V1027">
        <v>-3.545587E-2</v>
      </c>
      <c r="W1027">
        <v>0.32411180000000001</v>
      </c>
      <c r="X1027">
        <v>0.94535409999999997</v>
      </c>
      <c r="Y1027">
        <v>-8.7284780000000006E-2</v>
      </c>
      <c r="Z1027">
        <v>3.229287E-3</v>
      </c>
      <c r="AA1027">
        <v>0.99617820000000001</v>
      </c>
      <c r="AB1027">
        <v>31</v>
      </c>
      <c r="AC1027">
        <v>18.024000000000001</v>
      </c>
      <c r="AD1027">
        <v>-1.101288490006</v>
      </c>
      <c r="AE1027">
        <v>1.5344</v>
      </c>
      <c r="AF1027">
        <v>-1.5897152398308201</v>
      </c>
      <c r="AG1027">
        <v>-1.101288490006</v>
      </c>
      <c r="AH1027">
        <v>17.952145050782502</v>
      </c>
      <c r="AI1027">
        <v>93.496806139346504</v>
      </c>
      <c r="AJ1027">
        <v>95.060509787258397</v>
      </c>
      <c r="AK1027">
        <v>18.0560112651245</v>
      </c>
      <c r="AL1027">
        <v>71.088227178162796</v>
      </c>
      <c r="AM1027">
        <v>92.147893564098098</v>
      </c>
      <c r="AN1027">
        <v>0.99999997600175305</v>
      </c>
    </row>
    <row r="1028" spans="1:40" x14ac:dyDescent="0.25">
      <c r="A1028" t="str">
        <f>"20190304164839219"</f>
        <v>20190304164839219</v>
      </c>
      <c r="B1028" t="str">
        <f>"1551689319207168"</f>
        <v>1551689319207168</v>
      </c>
      <c r="C1028" t="s">
        <v>40</v>
      </c>
      <c r="D1028">
        <v>4.3957829999999998</v>
      </c>
      <c r="E1028">
        <v>0.49670779999999998</v>
      </c>
      <c r="F1028" t="s">
        <v>42</v>
      </c>
      <c r="G1028">
        <v>-256.53390000000002</v>
      </c>
      <c r="H1028" s="1">
        <v>-1.5526169999999901E-6</v>
      </c>
      <c r="I1028">
        <v>369.1465</v>
      </c>
      <c r="J1028">
        <v>-274.55</v>
      </c>
      <c r="K1028">
        <v>1.102044</v>
      </c>
      <c r="L1028">
        <v>367.60930000000002</v>
      </c>
      <c r="M1028">
        <v>0.99994550000000004</v>
      </c>
      <c r="N1028">
        <v>-9.8892340000000002E-3</v>
      </c>
      <c r="O1028">
        <v>-3.3962630000000001E-3</v>
      </c>
      <c r="P1028">
        <v>0.94873269999999998</v>
      </c>
      <c r="Q1028">
        <v>0.3144285</v>
      </c>
      <c r="R1028">
        <v>3.2273610000000001E-2</v>
      </c>
      <c r="S1028">
        <v>3.2182620000000002</v>
      </c>
      <c r="T1028">
        <v>-0.19505</v>
      </c>
      <c r="U1028">
        <v>0.2721558</v>
      </c>
      <c r="V1028">
        <v>-3.5484269999999998E-2</v>
      </c>
      <c r="W1028">
        <v>0.32379560000000002</v>
      </c>
      <c r="X1028">
        <v>0.94546140000000001</v>
      </c>
      <c r="Y1028">
        <v>-8.7459300000000004E-2</v>
      </c>
      <c r="Z1028">
        <v>3.248683E-3</v>
      </c>
      <c r="AA1028">
        <v>0.99616280000000001</v>
      </c>
      <c r="AB1028">
        <v>31</v>
      </c>
      <c r="AC1028">
        <v>18.016099999999899</v>
      </c>
      <c r="AD1028">
        <v>-1.1020455526170001</v>
      </c>
      <c r="AE1028">
        <v>1.5371999999999799</v>
      </c>
      <c r="AF1028">
        <v>-1.59246594831018</v>
      </c>
      <c r="AG1028">
        <v>-1.1020455526170001</v>
      </c>
      <c r="AH1028">
        <v>17.944117542926499</v>
      </c>
      <c r="AI1028">
        <v>93.500706255061004</v>
      </c>
      <c r="AJ1028">
        <v>95.071476430762601</v>
      </c>
      <c r="AK1028">
        <v>18.048318663823899</v>
      </c>
      <c r="AL1028">
        <v>71.107377089179806</v>
      </c>
      <c r="AM1028">
        <v>92.149368674539502</v>
      </c>
      <c r="AN1028">
        <v>0.99999999144337604</v>
      </c>
    </row>
    <row r="1029" spans="1:40" x14ac:dyDescent="0.25">
      <c r="A1029" t="str">
        <f>"20190304164839230"</f>
        <v>20190304164839230</v>
      </c>
      <c r="B1029" t="str">
        <f>"1551689319226687"</f>
        <v>1551689319226687</v>
      </c>
      <c r="C1029" t="s">
        <v>40</v>
      </c>
      <c r="D1029">
        <v>4.4014540000000002</v>
      </c>
      <c r="E1029">
        <v>0.49675989999999998</v>
      </c>
      <c r="F1029" t="s">
        <v>42</v>
      </c>
      <c r="G1029">
        <v>-256.57670000000002</v>
      </c>
      <c r="H1029" s="1">
        <v>-1.537487E-6</v>
      </c>
      <c r="I1029">
        <v>369.12830000000002</v>
      </c>
      <c r="J1029">
        <v>-274.39249999999998</v>
      </c>
      <c r="K1029">
        <v>1.1027530000000001</v>
      </c>
      <c r="L1029">
        <v>367.60890000000001</v>
      </c>
      <c r="M1029">
        <v>0.99994289999999997</v>
      </c>
      <c r="N1029">
        <v>-1.013374E-2</v>
      </c>
      <c r="O1029">
        <v>-3.3960560000000002E-3</v>
      </c>
      <c r="P1029">
        <v>0.9490073</v>
      </c>
      <c r="Q1029">
        <v>0.31356590000000001</v>
      </c>
      <c r="R1029">
        <v>3.2581289999999999E-2</v>
      </c>
      <c r="S1029">
        <v>3.2182309999999998</v>
      </c>
      <c r="T1029">
        <v>-0.19732730000000001</v>
      </c>
      <c r="U1029">
        <v>0.27197270000000001</v>
      </c>
      <c r="V1029">
        <v>-3.5792200000000003E-2</v>
      </c>
      <c r="W1029">
        <v>0.32316709999999998</v>
      </c>
      <c r="X1029">
        <v>0.94566479999999997</v>
      </c>
      <c r="Y1029">
        <v>-8.7398959999999998E-2</v>
      </c>
      <c r="Z1029">
        <v>3.2896560000000002E-3</v>
      </c>
      <c r="AA1029">
        <v>0.99616800000000005</v>
      </c>
      <c r="AB1029">
        <v>31</v>
      </c>
      <c r="AC1029">
        <v>17.8157999999999</v>
      </c>
      <c r="AD1029">
        <v>-1.102754537487</v>
      </c>
      <c r="AE1029">
        <v>1.5194000000000101</v>
      </c>
      <c r="AF1029">
        <v>-1.57391120195131</v>
      </c>
      <c r="AG1029">
        <v>-1.102754537487</v>
      </c>
      <c r="AH1029">
        <v>17.743048802455199</v>
      </c>
      <c r="AI1029">
        <v>93.542561061793094</v>
      </c>
      <c r="AJ1029">
        <v>95.069199270013598</v>
      </c>
      <c r="AK1029">
        <v>17.846821701577099</v>
      </c>
      <c r="AL1029">
        <v>71.145433488721594</v>
      </c>
      <c r="AM1029">
        <v>92.167537158641196</v>
      </c>
      <c r="AN1029">
        <v>0.99999998503114396</v>
      </c>
    </row>
    <row r="1030" spans="1:40" x14ac:dyDescent="0.25">
      <c r="A1030" t="str">
        <f>"20190304164839243"</f>
        <v>20190304164839243</v>
      </c>
      <c r="B1030" t="str">
        <f>"1551689319237423"</f>
        <v>1551689319237423</v>
      </c>
      <c r="C1030" t="s">
        <v>40</v>
      </c>
      <c r="D1030">
        <v>4.3812499999999996</v>
      </c>
      <c r="E1030">
        <v>0.49676049999999999</v>
      </c>
      <c r="F1030" t="s">
        <v>42</v>
      </c>
      <c r="G1030">
        <v>-256.72829999999999</v>
      </c>
      <c r="H1030" s="1">
        <v>-1.477006E-6</v>
      </c>
      <c r="I1030">
        <v>369.10270000000003</v>
      </c>
      <c r="J1030">
        <v>-274.23110000000003</v>
      </c>
      <c r="K1030">
        <v>1.1034250000000001</v>
      </c>
      <c r="L1030">
        <v>367.60829999999999</v>
      </c>
      <c r="M1030">
        <v>0.99994050000000001</v>
      </c>
      <c r="N1030">
        <v>-1.037254E-2</v>
      </c>
      <c r="O1030">
        <v>-3.3960879999999998E-3</v>
      </c>
      <c r="P1030">
        <v>0.94919439999999999</v>
      </c>
      <c r="Q1030">
        <v>0.31299909999999997</v>
      </c>
      <c r="R1030">
        <v>3.2583139999999997E-2</v>
      </c>
      <c r="S1030">
        <v>3.2182309999999998</v>
      </c>
      <c r="T1030">
        <v>-0.20090939999999999</v>
      </c>
      <c r="U1030">
        <v>0.2721558</v>
      </c>
      <c r="V1030">
        <v>-3.5795229999999997E-2</v>
      </c>
      <c r="W1030">
        <v>0.3228278</v>
      </c>
      <c r="X1030">
        <v>0.94578059999999997</v>
      </c>
      <c r="Y1030">
        <v>-8.7447910000000004E-2</v>
      </c>
      <c r="Z1030">
        <v>3.353286E-3</v>
      </c>
      <c r="AA1030">
        <v>0.99616340000000003</v>
      </c>
      <c r="AB1030">
        <v>31</v>
      </c>
      <c r="AC1030">
        <v>17.502800000000001</v>
      </c>
      <c r="AD1030">
        <v>-1.1034264770060001</v>
      </c>
      <c r="AE1030">
        <v>1.4944000000000399</v>
      </c>
      <c r="AF1030">
        <v>-1.5477288460601</v>
      </c>
      <c r="AG1030">
        <v>-1.1034264770060001</v>
      </c>
      <c r="AH1030">
        <v>17.428855706195598</v>
      </c>
      <c r="AI1030">
        <v>93.608417287561707</v>
      </c>
      <c r="AJ1030">
        <v>95.074706323363202</v>
      </c>
      <c r="AK1030">
        <v>17.532199685107202</v>
      </c>
      <c r="AL1030">
        <v>71.165975562609006</v>
      </c>
      <c r="AM1030">
        <v>92.167455317755497</v>
      </c>
      <c r="AN1030">
        <v>1.0000000151399699</v>
      </c>
    </row>
    <row r="1031" spans="1:40" x14ac:dyDescent="0.25">
      <c r="A1031" t="str">
        <f>"20190304164839255"</f>
        <v>20190304164839255</v>
      </c>
      <c r="B1031" t="str">
        <f>"1551689319247184"</f>
        <v>1551689319247184</v>
      </c>
      <c r="C1031" t="s">
        <v>40</v>
      </c>
      <c r="D1031">
        <v>4.3981009999999996</v>
      </c>
      <c r="E1031">
        <v>0.49677369999999998</v>
      </c>
      <c r="F1031" t="s">
        <v>42</v>
      </c>
      <c r="G1031">
        <v>-256.7595</v>
      </c>
      <c r="H1031" s="1">
        <v>-1.46688799999999E-6</v>
      </c>
      <c r="I1031">
        <v>369.08409999999998</v>
      </c>
      <c r="J1031">
        <v>-274.0489</v>
      </c>
      <c r="K1031">
        <v>1.104142</v>
      </c>
      <c r="L1031">
        <v>367.60770000000002</v>
      </c>
      <c r="M1031">
        <v>0.99993770000000004</v>
      </c>
      <c r="N1031">
        <v>-1.0632839999999999E-2</v>
      </c>
      <c r="O1031">
        <v>-3.3961439999999998E-3</v>
      </c>
      <c r="P1031">
        <v>0.94930369999999997</v>
      </c>
      <c r="Q1031">
        <v>0.31266680000000002</v>
      </c>
      <c r="R1031">
        <v>3.2586990000000003E-2</v>
      </c>
      <c r="S1031">
        <v>3.2182620000000002</v>
      </c>
      <c r="T1031">
        <v>-0.20325009999999999</v>
      </c>
      <c r="U1031">
        <v>0.2718506</v>
      </c>
      <c r="V1031">
        <v>-3.579947E-2</v>
      </c>
      <c r="W1031">
        <v>0.3227428</v>
      </c>
      <c r="X1031">
        <v>0.94580940000000002</v>
      </c>
      <c r="Y1031">
        <v>-8.7348510000000004E-2</v>
      </c>
      <c r="Z1031">
        <v>3.3942680000000002E-3</v>
      </c>
      <c r="AA1031">
        <v>0.99617199999999995</v>
      </c>
      <c r="AB1031">
        <v>31</v>
      </c>
      <c r="AC1031">
        <v>17.289400000000001</v>
      </c>
      <c r="AD1031">
        <v>-1.1041434668879999</v>
      </c>
      <c r="AE1031">
        <v>1.47639999999995</v>
      </c>
      <c r="AF1031">
        <v>-1.52892166375123</v>
      </c>
      <c r="AG1031">
        <v>-1.1041434668879999</v>
      </c>
      <c r="AH1031">
        <v>17.214585999413998</v>
      </c>
      <c r="AI1031">
        <v>93.655573571544906</v>
      </c>
      <c r="AJ1031">
        <v>95.075434604793202</v>
      </c>
      <c r="AK1031">
        <v>17.3175837050259</v>
      </c>
      <c r="AL1031">
        <v>71.171120234727198</v>
      </c>
      <c r="AM1031">
        <v>92.167645867162605</v>
      </c>
      <c r="AN1031">
        <v>0.99999996906624</v>
      </c>
    </row>
    <row r="1032" spans="1:40" x14ac:dyDescent="0.25">
      <c r="A1032" t="str">
        <f>"20190304164839268"</f>
        <v>20190304164839268</v>
      </c>
      <c r="B1032" t="str">
        <f>"1551689319256944"</f>
        <v>1551689319256944</v>
      </c>
      <c r="C1032" t="s">
        <v>40</v>
      </c>
      <c r="D1032">
        <v>4.3870760000000004</v>
      </c>
      <c r="E1032">
        <v>0.49677569999999999</v>
      </c>
      <c r="F1032" t="s">
        <v>42</v>
      </c>
      <c r="G1032">
        <v>-256.71530000000001</v>
      </c>
      <c r="H1032" s="1">
        <v>-1.4884429999999999E-6</v>
      </c>
      <c r="I1032">
        <v>369.06950000000001</v>
      </c>
      <c r="J1032">
        <v>-273.87130000000002</v>
      </c>
      <c r="K1032">
        <v>1.104752</v>
      </c>
      <c r="L1032">
        <v>367.6071</v>
      </c>
      <c r="M1032">
        <v>0.99993520000000002</v>
      </c>
      <c r="N1032">
        <v>-1.0866249999999999E-2</v>
      </c>
      <c r="O1032">
        <v>-3.3960879999999998E-3</v>
      </c>
      <c r="P1032">
        <v>0.94930740000000002</v>
      </c>
      <c r="Q1032">
        <v>0.31263930000000001</v>
      </c>
      <c r="R1032">
        <v>3.2745139999999999E-2</v>
      </c>
      <c r="S1032">
        <v>3.218445</v>
      </c>
      <c r="T1032">
        <v>-0.20501349999999999</v>
      </c>
      <c r="U1032">
        <v>0.27142329999999998</v>
      </c>
      <c r="V1032">
        <v>-3.595752E-2</v>
      </c>
      <c r="W1032">
        <v>0.32293650000000002</v>
      </c>
      <c r="X1032">
        <v>0.9457373</v>
      </c>
      <c r="Y1032">
        <v>-8.7208789999999994E-2</v>
      </c>
      <c r="Z1032">
        <v>3.4240249999999998E-3</v>
      </c>
      <c r="AA1032">
        <v>0.99618419999999996</v>
      </c>
      <c r="AB1032">
        <v>31</v>
      </c>
      <c r="AC1032">
        <v>17.155999999999999</v>
      </c>
      <c r="AD1032">
        <v>-1.1047534884429999</v>
      </c>
      <c r="AE1032">
        <v>1.4623999999999999</v>
      </c>
      <c r="AF1032">
        <v>-1.5144237872364601</v>
      </c>
      <c r="AG1032">
        <v>-1.1047534884429999</v>
      </c>
      <c r="AH1032">
        <v>17.080617691839301</v>
      </c>
      <c r="AI1032">
        <v>93.6862457397132</v>
      </c>
      <c r="AJ1032">
        <v>95.066783161872706</v>
      </c>
      <c r="AK1032">
        <v>17.183173758428602</v>
      </c>
      <c r="AL1032">
        <v>71.159394434358106</v>
      </c>
      <c r="AM1032">
        <v>92.177372375592199</v>
      </c>
      <c r="AN1032">
        <v>0.99999998344404495</v>
      </c>
    </row>
    <row r="1033" spans="1:40" x14ac:dyDescent="0.25">
      <c r="A1033" t="str">
        <f>"20190304164839280"</f>
        <v>20190304164839280</v>
      </c>
      <c r="B1033" t="str">
        <f>"1551689319277440"</f>
        <v>1551689319277440</v>
      </c>
      <c r="C1033" t="s">
        <v>40</v>
      </c>
      <c r="D1033">
        <v>4.6179769999999998</v>
      </c>
      <c r="E1033">
        <v>0.4774178</v>
      </c>
      <c r="F1033" t="s">
        <v>42</v>
      </c>
      <c r="G1033">
        <v>-256.52690000000001</v>
      </c>
      <c r="H1033" s="1">
        <v>-1.5692909999999999E-6</v>
      </c>
      <c r="I1033">
        <v>369.06950000000001</v>
      </c>
      <c r="J1033">
        <v>-273.71719999999999</v>
      </c>
      <c r="K1033">
        <v>1.1052550000000001</v>
      </c>
      <c r="L1033">
        <v>367.60660000000001</v>
      </c>
      <c r="M1033">
        <v>0.99993319999999997</v>
      </c>
      <c r="N1033">
        <v>-1.106156E-2</v>
      </c>
      <c r="O1033">
        <v>-3.3960850000000001E-3</v>
      </c>
      <c r="P1033">
        <v>0.94928429999999997</v>
      </c>
      <c r="Q1033">
        <v>0.31267919999999999</v>
      </c>
      <c r="R1033">
        <v>3.303561E-2</v>
      </c>
      <c r="S1033">
        <v>3.2183229999999998</v>
      </c>
      <c r="T1033">
        <v>-0.2049897</v>
      </c>
      <c r="U1033">
        <v>0.2713623</v>
      </c>
      <c r="V1033">
        <v>-3.6247710000000002E-2</v>
      </c>
      <c r="W1033">
        <v>0.32316080000000003</v>
      </c>
      <c r="X1033">
        <v>0.94564959999999998</v>
      </c>
      <c r="Y1033">
        <v>-8.7192770000000003E-2</v>
      </c>
      <c r="Z1033">
        <v>3.4310780000000002E-3</v>
      </c>
      <c r="AA1033">
        <v>0.99618549999999995</v>
      </c>
      <c r="AB1033">
        <v>31</v>
      </c>
      <c r="AC1033">
        <v>17.190299999999901</v>
      </c>
      <c r="AD1033">
        <v>-1.1052565692909999</v>
      </c>
      <c r="AE1033">
        <v>1.4628999999999901</v>
      </c>
      <c r="AF1033">
        <v>-1.51505679402046</v>
      </c>
      <c r="AG1033">
        <v>-1.1052565692909999</v>
      </c>
      <c r="AH1033">
        <v>17.114989577103898</v>
      </c>
      <c r="AI1033">
        <v>93.680579222998901</v>
      </c>
      <c r="AJ1033">
        <v>95.058763038354002</v>
      </c>
      <c r="AK1033">
        <v>17.217428884634401</v>
      </c>
      <c r="AL1033">
        <v>71.145814870141507</v>
      </c>
      <c r="AM1033">
        <v>92.195130787705693</v>
      </c>
      <c r="AN1033">
        <v>0.99999998255852196</v>
      </c>
    </row>
    <row r="1034" spans="1:40" x14ac:dyDescent="0.25">
      <c r="A1034" t="str">
        <f>"20190304164839290"</f>
        <v>20190304164839290</v>
      </c>
      <c r="B1034" t="str">
        <f>"1551689319287200"</f>
        <v>1551689319287200</v>
      </c>
      <c r="C1034" t="s">
        <v>40</v>
      </c>
      <c r="D1034">
        <v>4.6622779999999997</v>
      </c>
      <c r="E1034">
        <v>0.4774178</v>
      </c>
      <c r="F1034" t="s">
        <v>42</v>
      </c>
      <c r="G1034">
        <v>-251.40029999999999</v>
      </c>
      <c r="H1034" s="1">
        <v>-3.9191159999999999E-6</v>
      </c>
      <c r="I1034">
        <v>370.54669999999999</v>
      </c>
      <c r="J1034">
        <v>-273.57409999999999</v>
      </c>
      <c r="K1034">
        <v>1.105685</v>
      </c>
      <c r="L1034">
        <v>367.60610000000003</v>
      </c>
      <c r="M1034">
        <v>0.99993120000000002</v>
      </c>
      <c r="N1034">
        <v>-1.123363E-2</v>
      </c>
      <c r="O1034">
        <v>-3.396091E-3</v>
      </c>
      <c r="P1034">
        <v>0.94932079999999996</v>
      </c>
      <c r="Q1034">
        <v>0.31256200000000001</v>
      </c>
      <c r="R1034">
        <v>3.3093079999999997E-2</v>
      </c>
      <c r="S1034">
        <v>3.1978149999999999</v>
      </c>
      <c r="T1034">
        <v>-0.15837300000000001</v>
      </c>
      <c r="U1034">
        <v>0.42129519999999998</v>
      </c>
      <c r="V1034">
        <v>-3.6305270000000001E-2</v>
      </c>
      <c r="W1034">
        <v>0.32320680000000002</v>
      </c>
      <c r="X1034">
        <v>0.94563169999999996</v>
      </c>
      <c r="Y1034">
        <v>-0.1337817</v>
      </c>
      <c r="Z1034">
        <v>4.1812000000000004E-3</v>
      </c>
      <c r="AA1034">
        <v>0.99100200000000005</v>
      </c>
      <c r="AB1034">
        <v>31</v>
      </c>
      <c r="AC1034">
        <v>22.1738</v>
      </c>
      <c r="AD1034">
        <v>-1.105688919116</v>
      </c>
      <c r="AE1034">
        <v>2.9405999999999599</v>
      </c>
      <c r="AF1034">
        <v>-3.0085406307575799</v>
      </c>
      <c r="AG1034">
        <v>-1.105688919116</v>
      </c>
      <c r="AH1034">
        <v>22.1096597648352</v>
      </c>
      <c r="AI1034">
        <v>92.836837835351403</v>
      </c>
      <c r="AJ1034">
        <v>97.748849957598694</v>
      </c>
      <c r="AK1034">
        <v>22.340790488018701</v>
      </c>
      <c r="AL1034">
        <v>71.143030346563705</v>
      </c>
      <c r="AM1034">
        <v>92.198654731708999</v>
      </c>
      <c r="AN1034">
        <v>1.00000001012045</v>
      </c>
    </row>
    <row r="1035" spans="1:40" x14ac:dyDescent="0.25">
      <c r="A1035" t="str">
        <f>"20190304164839301"</f>
        <v>20190304164839301</v>
      </c>
      <c r="B1035" t="str">
        <f>"1551689319296959"</f>
        <v>1551689319296959</v>
      </c>
      <c r="C1035" t="s">
        <v>40</v>
      </c>
      <c r="D1035">
        <v>4.6026939999999996</v>
      </c>
      <c r="E1035">
        <v>0.40581590000000001</v>
      </c>
      <c r="F1035" t="s">
        <v>42</v>
      </c>
      <c r="G1035">
        <v>-251.30289999999999</v>
      </c>
      <c r="H1035" s="1">
        <v>-3.959518E-6</v>
      </c>
      <c r="I1035">
        <v>370.54160000000002</v>
      </c>
      <c r="J1035">
        <v>-273.43110000000001</v>
      </c>
      <c r="K1035">
        <v>1.1060840000000001</v>
      </c>
      <c r="L1035">
        <v>367.60559999999998</v>
      </c>
      <c r="M1035">
        <v>0.99992939999999997</v>
      </c>
      <c r="N1035">
        <v>-1.139719E-2</v>
      </c>
      <c r="O1035">
        <v>-3.395824E-3</v>
      </c>
      <c r="P1035">
        <v>0.94933149999999999</v>
      </c>
      <c r="Q1035">
        <v>0.31247530000000001</v>
      </c>
      <c r="R1035">
        <v>3.3602229999999997E-2</v>
      </c>
      <c r="S1035">
        <v>3.1977229999999999</v>
      </c>
      <c r="T1035">
        <v>-0.15875549999999999</v>
      </c>
      <c r="U1035">
        <v>0.42147829999999997</v>
      </c>
      <c r="V1035">
        <v>-3.6814350000000003E-2</v>
      </c>
      <c r="W1035">
        <v>0.32327489999999998</v>
      </c>
      <c r="X1035">
        <v>0.94558869999999895</v>
      </c>
      <c r="Y1035">
        <v>-0.1338394</v>
      </c>
      <c r="Z1035">
        <v>4.2018389999999997E-3</v>
      </c>
      <c r="AA1035">
        <v>0.99099409999999999</v>
      </c>
      <c r="AB1035">
        <v>31</v>
      </c>
      <c r="AC1035">
        <v>22.1282</v>
      </c>
      <c r="AD1035">
        <v>-1.106087959518</v>
      </c>
      <c r="AE1035">
        <v>2.9360000000000301</v>
      </c>
      <c r="AF1035">
        <v>-3.0037562297090599</v>
      </c>
      <c r="AG1035">
        <v>-1.106087959518</v>
      </c>
      <c r="AH1035">
        <v>22.0639275953944</v>
      </c>
      <c r="AI1035">
        <v>92.843707655978207</v>
      </c>
      <c r="AJ1035">
        <v>97.752517624094807</v>
      </c>
      <c r="AK1035">
        <v>22.294907108945601</v>
      </c>
      <c r="AL1035">
        <v>71.138906440037601</v>
      </c>
      <c r="AM1035">
        <v>92.229555107974704</v>
      </c>
      <c r="AN1035">
        <v>0.99999997345181002</v>
      </c>
    </row>
    <row r="1036" spans="1:40" x14ac:dyDescent="0.25">
      <c r="A1036" t="str">
        <f>"20190304164839313"</f>
        <v>20190304164839313</v>
      </c>
      <c r="B1036" t="str">
        <f>"1551689319307696"</f>
        <v>1551689319307696</v>
      </c>
      <c r="C1036" t="s">
        <v>40</v>
      </c>
      <c r="D1036">
        <v>4.3822190000000001</v>
      </c>
      <c r="E1036">
        <v>0.40581590000000001</v>
      </c>
      <c r="F1036" t="s">
        <v>42</v>
      </c>
      <c r="G1036">
        <v>-241.42359999999999</v>
      </c>
      <c r="H1036" s="1">
        <v>-5.5871810000000002E-6</v>
      </c>
      <c r="I1036">
        <v>377.63589999999999</v>
      </c>
      <c r="J1036">
        <v>-273.25880000000001</v>
      </c>
      <c r="K1036">
        <v>1.1065259999999999</v>
      </c>
      <c r="L1036">
        <v>367.60500000000002</v>
      </c>
      <c r="M1036">
        <v>0.99992709999999996</v>
      </c>
      <c r="N1036">
        <v>-1.158611E-2</v>
      </c>
      <c r="O1036">
        <v>-3.3957179999999998E-3</v>
      </c>
      <c r="P1036">
        <v>0.94943949999999999</v>
      </c>
      <c r="Q1036">
        <v>0.31214180000000002</v>
      </c>
      <c r="R1036">
        <v>3.364905E-2</v>
      </c>
      <c r="S1036">
        <v>3.1610719999999999</v>
      </c>
      <c r="T1036">
        <v>-0.1092376</v>
      </c>
      <c r="U1036">
        <v>0.99060060000000005</v>
      </c>
      <c r="V1036">
        <v>-3.6861030000000003E-2</v>
      </c>
      <c r="W1036">
        <v>0.32312109999999999</v>
      </c>
      <c r="X1036">
        <v>0.94563949999999997</v>
      </c>
      <c r="Y1036">
        <v>-0.30204979999999998</v>
      </c>
      <c r="Z1036">
        <v>6.9630119999999898E-3</v>
      </c>
      <c r="AA1036">
        <v>0.95326670000000002</v>
      </c>
      <c r="AB1036">
        <v>30</v>
      </c>
      <c r="AC1036">
        <v>31.8352</v>
      </c>
      <c r="AD1036">
        <v>-1.106531587181</v>
      </c>
      <c r="AE1036">
        <v>10.0308999999999</v>
      </c>
      <c r="AF1036">
        <v>-10.1278221438582</v>
      </c>
      <c r="AG1036">
        <v>-1.106531587181</v>
      </c>
      <c r="AH1036">
        <v>31.766040659837799</v>
      </c>
      <c r="AI1036">
        <v>91.900825434571402</v>
      </c>
      <c r="AJ1036">
        <v>107.683605042617</v>
      </c>
      <c r="AK1036">
        <v>33.359834123291499</v>
      </c>
      <c r="AL1036">
        <v>71.148219242376797</v>
      </c>
      <c r="AM1036">
        <v>92.232259486681897</v>
      </c>
      <c r="AN1036">
        <v>1.0000000223790599</v>
      </c>
    </row>
    <row r="1037" spans="1:40" x14ac:dyDescent="0.25">
      <c r="A1037" t="str">
        <f>"20190304164839324"</f>
        <v>20190304164839324</v>
      </c>
      <c r="B1037" t="str">
        <f>"1551689319317455"</f>
        <v>1551689319317455</v>
      </c>
      <c r="C1037" t="s">
        <v>40</v>
      </c>
      <c r="D1037">
        <v>4.4298209999999996</v>
      </c>
      <c r="E1037">
        <v>0.30455959999999899</v>
      </c>
      <c r="F1037" t="s">
        <v>42</v>
      </c>
      <c r="G1037">
        <v>-241.46780000000001</v>
      </c>
      <c r="H1037" s="1">
        <v>-5.5596930000000003E-6</v>
      </c>
      <c r="I1037">
        <v>377.57670000000002</v>
      </c>
      <c r="J1037">
        <v>-273.11989999999997</v>
      </c>
      <c r="K1037">
        <v>1.1068450000000001</v>
      </c>
      <c r="L1037">
        <v>367.6046</v>
      </c>
      <c r="M1037">
        <v>0.99992550000000002</v>
      </c>
      <c r="N1037">
        <v>-1.1726540000000001E-2</v>
      </c>
      <c r="O1037">
        <v>-3.395702E-3</v>
      </c>
      <c r="P1037">
        <v>0.94949090000000003</v>
      </c>
      <c r="Q1037">
        <v>0.31192170000000002</v>
      </c>
      <c r="R1037">
        <v>3.4235620000000001E-2</v>
      </c>
      <c r="S1037">
        <v>3.1607970000000001</v>
      </c>
      <c r="T1037">
        <v>-0.11001610000000001</v>
      </c>
      <c r="U1037">
        <v>0.99142459999999999</v>
      </c>
      <c r="V1037">
        <v>-3.74484E-2</v>
      </c>
      <c r="W1037">
        <v>0.3230344</v>
      </c>
      <c r="X1037">
        <v>0.94564599999999999</v>
      </c>
      <c r="Y1037">
        <v>-0.30229590000000001</v>
      </c>
      <c r="Z1037">
        <v>7.0273519999999997E-3</v>
      </c>
      <c r="AA1037">
        <v>0.95318820000000004</v>
      </c>
      <c r="AB1037">
        <v>30</v>
      </c>
      <c r="AC1037">
        <v>31.652099999999901</v>
      </c>
      <c r="AD1037">
        <v>-1.1068505596930001</v>
      </c>
      <c r="AE1037">
        <v>9.97210000000001</v>
      </c>
      <c r="AF1037">
        <v>-10.0683306640955</v>
      </c>
      <c r="AG1037">
        <v>-1.1068505596930001</v>
      </c>
      <c r="AH1037">
        <v>31.5829190648587</v>
      </c>
      <c r="AI1037">
        <v>91.912408594738494</v>
      </c>
      <c r="AJ1037">
        <v>107.68178099630801</v>
      </c>
      <c r="AK1037">
        <v>33.167411372919503</v>
      </c>
      <c r="AL1037">
        <v>71.153467485489699</v>
      </c>
      <c r="AM1037">
        <v>92.267777485671502</v>
      </c>
      <c r="AN1037">
        <v>0.99999998178095895</v>
      </c>
    </row>
    <row r="1038" spans="1:40" x14ac:dyDescent="0.25">
      <c r="A1038" t="str">
        <f>"20190304164839334"</f>
        <v>20190304164839334</v>
      </c>
      <c r="B1038" t="str">
        <f>"1551689319327216"</f>
        <v>1551689319327216</v>
      </c>
      <c r="C1038" t="s">
        <v>40</v>
      </c>
      <c r="D1038">
        <v>4.4951210000000001</v>
      </c>
      <c r="E1038">
        <v>0.30455959999999899</v>
      </c>
      <c r="F1038" t="s">
        <v>41</v>
      </c>
      <c r="G1038">
        <v>-272.24810000000002</v>
      </c>
      <c r="H1038">
        <v>1.0500670000000001</v>
      </c>
      <c r="I1038">
        <v>368.10570000000001</v>
      </c>
      <c r="J1038">
        <v>-272.97230000000002</v>
      </c>
      <c r="K1038">
        <v>1.107175</v>
      </c>
      <c r="L1038">
        <v>367.60410000000002</v>
      </c>
      <c r="M1038">
        <v>0.99992380000000003</v>
      </c>
      <c r="N1038">
        <v>-1.187349E-2</v>
      </c>
      <c r="O1038">
        <v>-3.3954969999999999E-3</v>
      </c>
      <c r="P1038">
        <v>0.94957550000000002</v>
      </c>
      <c r="Q1038">
        <v>0.311612</v>
      </c>
      <c r="R1038">
        <v>3.4708059999999999E-2</v>
      </c>
      <c r="S1038">
        <v>3.1617130000000002</v>
      </c>
      <c r="T1038">
        <v>-0.2059153</v>
      </c>
      <c r="U1038">
        <v>1.8176270000000001</v>
      </c>
      <c r="V1038">
        <v>-3.7921000000000003E-2</v>
      </c>
      <c r="W1038">
        <v>0.32286520000000002</v>
      </c>
      <c r="X1038">
        <v>0.945685</v>
      </c>
      <c r="Y1038">
        <v>-0.50035509999999905</v>
      </c>
      <c r="Z1038">
        <v>1.8472490000000001E-2</v>
      </c>
      <c r="AA1038">
        <v>0.86562320000000004</v>
      </c>
      <c r="AB1038">
        <v>30</v>
      </c>
      <c r="AC1038">
        <v>0.72419999999999596</v>
      </c>
      <c r="AD1038">
        <v>-5.7107999999999902E-2</v>
      </c>
      <c r="AE1038">
        <v>0.50159999999999605</v>
      </c>
      <c r="AF1038">
        <v>-0.50194693474177798</v>
      </c>
      <c r="AG1038">
        <v>-5.7107999999999902E-2</v>
      </c>
      <c r="AH1038">
        <v>0.71946905009261497</v>
      </c>
      <c r="AI1038">
        <v>93.724590445501207</v>
      </c>
      <c r="AJ1038">
        <v>124.902055506048</v>
      </c>
      <c r="AK1038">
        <v>0.87911760476163603</v>
      </c>
      <c r="AL1038">
        <v>71.163711739957805</v>
      </c>
      <c r="AM1038">
        <v>92.296271861185005</v>
      </c>
      <c r="AN1038">
        <v>1.0000000294185101</v>
      </c>
    </row>
    <row r="1039" spans="1:40" x14ac:dyDescent="0.25">
      <c r="A1039" t="str">
        <f>"20190304164839344"</f>
        <v>20190304164839344</v>
      </c>
      <c r="B1039" t="str">
        <f>"1551689319336975"</f>
        <v>1551689319336975</v>
      </c>
      <c r="C1039" t="s">
        <v>40</v>
      </c>
      <c r="D1039">
        <v>4.4640659999999999</v>
      </c>
      <c r="E1039">
        <v>0.21632029999999999</v>
      </c>
      <c r="F1039" t="s">
        <v>41</v>
      </c>
      <c r="G1039">
        <v>-272.23180000000002</v>
      </c>
      <c r="H1039">
        <v>1.058767</v>
      </c>
      <c r="I1039">
        <v>368.03019999999998</v>
      </c>
      <c r="J1039">
        <v>-272.82960000000003</v>
      </c>
      <c r="K1039">
        <v>1.1074550000000001</v>
      </c>
      <c r="L1039">
        <v>367.60359999999997</v>
      </c>
      <c r="M1039">
        <v>0.99992230000000004</v>
      </c>
      <c r="N1039">
        <v>-1.200299E-2</v>
      </c>
      <c r="O1039">
        <v>-3.395674E-3</v>
      </c>
      <c r="P1039">
        <v>0.94961600000000002</v>
      </c>
      <c r="Q1039">
        <v>0.31146760000000001</v>
      </c>
      <c r="R1039">
        <v>3.4893559999999997E-2</v>
      </c>
      <c r="S1039">
        <v>3.1605829999999999</v>
      </c>
      <c r="T1039">
        <v>-0.20660970000000001</v>
      </c>
      <c r="U1039">
        <v>1.819366</v>
      </c>
      <c r="V1039">
        <v>-3.8106639999999997E-2</v>
      </c>
      <c r="W1039">
        <v>0.32284350000000001</v>
      </c>
      <c r="X1039">
        <v>0.94568490000000005</v>
      </c>
      <c r="Y1039">
        <v>-0.50083759999999999</v>
      </c>
      <c r="Z1039">
        <v>1.8579479999999999E-2</v>
      </c>
      <c r="AA1039">
        <v>0.8653419</v>
      </c>
      <c r="AB1039">
        <v>30</v>
      </c>
      <c r="AC1039">
        <v>0.59780000000000599</v>
      </c>
      <c r="AD1039">
        <v>-4.8687999999999801E-2</v>
      </c>
      <c r="AE1039">
        <v>0.42660000000000697</v>
      </c>
      <c r="AF1039">
        <v>-0.42675199166335598</v>
      </c>
      <c r="AG1039">
        <v>-4.8687999999999801E-2</v>
      </c>
      <c r="AH1039">
        <v>0.59373830007192296</v>
      </c>
      <c r="AI1039">
        <v>93.809537219585494</v>
      </c>
      <c r="AJ1039">
        <v>125.706856103448</v>
      </c>
      <c r="AK1039">
        <v>0.73281167615215903</v>
      </c>
      <c r="AL1039">
        <v>71.165024554398897</v>
      </c>
      <c r="AM1039">
        <v>92.307501245523696</v>
      </c>
      <c r="AN1039">
        <v>0.999999985796174</v>
      </c>
    </row>
    <row r="1040" spans="1:40" x14ac:dyDescent="0.25">
      <c r="A1040" t="str">
        <f>"20190304164839355"</f>
        <v>20190304164839355</v>
      </c>
      <c r="B1040" t="str">
        <f>"1551689319347712"</f>
        <v>1551689319347712</v>
      </c>
      <c r="C1040" t="s">
        <v>40</v>
      </c>
      <c r="D1040">
        <v>4.4812099999999999</v>
      </c>
      <c r="E1040">
        <v>0.2026925</v>
      </c>
      <c r="F1040" t="s">
        <v>42</v>
      </c>
      <c r="G1040">
        <v>-260.50810000000001</v>
      </c>
      <c r="H1040" s="1">
        <v>-5.5020970000000004E-6</v>
      </c>
      <c r="I1040">
        <v>377.50310000000002</v>
      </c>
      <c r="J1040">
        <v>-272.6857</v>
      </c>
      <c r="K1040">
        <v>1.107731</v>
      </c>
      <c r="L1040">
        <v>367.60309999999998</v>
      </c>
      <c r="M1040">
        <v>0.9999207</v>
      </c>
      <c r="N1040">
        <v>-1.213235E-2</v>
      </c>
      <c r="O1040">
        <v>-3.3956199999999998E-3</v>
      </c>
      <c r="P1040">
        <v>0.94970690000000002</v>
      </c>
      <c r="Q1040">
        <v>0.31115039999999999</v>
      </c>
      <c r="R1040">
        <v>3.5245869999999999E-2</v>
      </c>
      <c r="S1040">
        <v>3.159027</v>
      </c>
      <c r="T1040">
        <v>-0.28393469999999998</v>
      </c>
      <c r="U1040">
        <v>2.5380859999999998</v>
      </c>
      <c r="V1040">
        <v>-3.845879E-2</v>
      </c>
      <c r="W1040">
        <v>0.32264989999999999</v>
      </c>
      <c r="X1040">
        <v>0.94573680000000004</v>
      </c>
      <c r="Y1040">
        <v>-0.62712159999999995</v>
      </c>
      <c r="Z1040">
        <v>2.91702E-2</v>
      </c>
      <c r="AA1040">
        <v>0.77837500000000004</v>
      </c>
      <c r="AB1040">
        <v>30</v>
      </c>
      <c r="AC1040">
        <v>12.177599999999901</v>
      </c>
      <c r="AD1040">
        <v>-1.107736502097</v>
      </c>
      <c r="AE1040">
        <v>9.9000000000000306</v>
      </c>
      <c r="AF1040">
        <v>-9.8920146868031509</v>
      </c>
      <c r="AG1040">
        <v>-1.107736502097</v>
      </c>
      <c r="AH1040">
        <v>12.083709929418999</v>
      </c>
      <c r="AI1040">
        <v>94.057465682078799</v>
      </c>
      <c r="AJ1040">
        <v>129.304578813055</v>
      </c>
      <c r="AK1040">
        <v>15.6555127792208</v>
      </c>
      <c r="AL1040">
        <v>71.176745749704693</v>
      </c>
      <c r="AM1040">
        <v>92.328674231281099</v>
      </c>
      <c r="AN1040">
        <v>1.00000006568625</v>
      </c>
    </row>
    <row r="1041" spans="1:40" x14ac:dyDescent="0.25">
      <c r="A1041" t="str">
        <f>"20190304164839366"</f>
        <v>20190304164839366</v>
      </c>
      <c r="B1041" t="str">
        <f>"1551689319357472"</f>
        <v>1551689319357472</v>
      </c>
      <c r="C1041" t="s">
        <v>40</v>
      </c>
      <c r="D1041">
        <v>4.4682250000000003</v>
      </c>
      <c r="E1041">
        <v>0.1972787</v>
      </c>
      <c r="F1041" t="s">
        <v>42</v>
      </c>
      <c r="G1041">
        <v>-260.18619999999999</v>
      </c>
      <c r="H1041" s="1">
        <v>-5.7178369999999899E-6</v>
      </c>
      <c r="I1041">
        <v>378.10160000000002</v>
      </c>
      <c r="J1041">
        <v>-272.53629999999998</v>
      </c>
      <c r="K1041">
        <v>1.107979</v>
      </c>
      <c r="L1041">
        <v>367.6026</v>
      </c>
      <c r="M1041">
        <v>0.99991909999999895</v>
      </c>
      <c r="N1041">
        <v>-1.225452E-2</v>
      </c>
      <c r="O1041">
        <v>-3.3955309999999998E-3</v>
      </c>
      <c r="P1041">
        <v>0.94968300000000005</v>
      </c>
      <c r="Q1041">
        <v>0.31118410000000002</v>
      </c>
      <c r="R1041">
        <v>3.5590190000000001E-2</v>
      </c>
      <c r="S1041">
        <v>3.152161</v>
      </c>
      <c r="T1041">
        <v>-0.2793505</v>
      </c>
      <c r="U1041">
        <v>2.6475520000000001</v>
      </c>
      <c r="V1041">
        <v>-3.8802610000000001E-2</v>
      </c>
      <c r="W1041">
        <v>0.32279829999999998</v>
      </c>
      <c r="X1041">
        <v>0.94567199999999996</v>
      </c>
      <c r="Y1041">
        <v>-0.64395340000000001</v>
      </c>
      <c r="Z1041">
        <v>2.9415859999999999E-2</v>
      </c>
      <c r="AA1041">
        <v>0.76449909999999999</v>
      </c>
      <c r="AB1041">
        <v>30</v>
      </c>
      <c r="AC1041">
        <v>12.3500999999999</v>
      </c>
      <c r="AD1041">
        <v>-1.1079847178369999</v>
      </c>
      <c r="AE1041">
        <v>10.499000000000001</v>
      </c>
      <c r="AF1041">
        <v>-10.4918580632268</v>
      </c>
      <c r="AG1041">
        <v>-1.1079847178369999</v>
      </c>
      <c r="AH1041">
        <v>12.2571091871677</v>
      </c>
      <c r="AI1041">
        <v>93.928482473449193</v>
      </c>
      <c r="AJ1041">
        <v>130.56291203702699</v>
      </c>
      <c r="AK1041">
        <v>16.172304764009599</v>
      </c>
      <c r="AL1041">
        <v>71.167760286107494</v>
      </c>
      <c r="AM1041">
        <v>92.349630068534196</v>
      </c>
      <c r="AN1041">
        <v>0.99999995830485</v>
      </c>
    </row>
    <row r="1042" spans="1:40" x14ac:dyDescent="0.25">
      <c r="A1042" t="str">
        <f>"20190304164839376"</f>
        <v>20190304164839376</v>
      </c>
      <c r="B1042" t="str">
        <f>"1551689319367232"</f>
        <v>1551689319367232</v>
      </c>
      <c r="C1042" t="s">
        <v>40</v>
      </c>
      <c r="D1042">
        <v>4.4070159999999996</v>
      </c>
      <c r="E1042">
        <v>0.1937962</v>
      </c>
      <c r="F1042" t="s">
        <v>42</v>
      </c>
      <c r="G1042">
        <v>-259.8836</v>
      </c>
      <c r="H1042" s="1">
        <v>-2.375012E-6</v>
      </c>
      <c r="I1042">
        <v>378.42110000000002</v>
      </c>
      <c r="J1042">
        <v>-272.40410000000003</v>
      </c>
      <c r="K1042">
        <v>1.108196</v>
      </c>
      <c r="L1042">
        <v>367.60210000000001</v>
      </c>
      <c r="M1042">
        <v>0.99991779999999997</v>
      </c>
      <c r="N1042">
        <v>-1.236131E-2</v>
      </c>
      <c r="O1042">
        <v>-3.395473E-3</v>
      </c>
      <c r="P1042">
        <v>0.94976269999999996</v>
      </c>
      <c r="Q1042">
        <v>0.31094110000000003</v>
      </c>
      <c r="R1042">
        <v>3.5584770000000002E-2</v>
      </c>
      <c r="S1042">
        <v>3.1484070000000002</v>
      </c>
      <c r="T1042">
        <v>-0.27569959999999999</v>
      </c>
      <c r="U1042">
        <v>2.691986</v>
      </c>
      <c r="V1042">
        <v>-3.87978E-2</v>
      </c>
      <c r="W1042">
        <v>0.322658</v>
      </c>
      <c r="X1042">
        <v>0.94572009999999995</v>
      </c>
      <c r="Y1042">
        <v>-0.65068530000000002</v>
      </c>
      <c r="Z1042">
        <v>2.9370589999999999E-2</v>
      </c>
      <c r="AA1042">
        <v>0.75877930000000005</v>
      </c>
      <c r="AB1042">
        <v>30</v>
      </c>
      <c r="AC1042">
        <v>12.5205</v>
      </c>
      <c r="AD1042">
        <v>-1.1081983750119999</v>
      </c>
      <c r="AE1042">
        <v>10.819000000000001</v>
      </c>
      <c r="AF1042">
        <v>-10.812955839365999</v>
      </c>
      <c r="AG1042">
        <v>-1.1081983750119999</v>
      </c>
      <c r="AH1042">
        <v>12.427947799838099</v>
      </c>
      <c r="AI1042">
        <v>93.848595346403897</v>
      </c>
      <c r="AJ1042">
        <v>131.02495167893599</v>
      </c>
      <c r="AK1042">
        <v>16.5106633463941</v>
      </c>
      <c r="AL1042">
        <v>71.176253774084998</v>
      </c>
      <c r="AM1042">
        <v>92.349219777853605</v>
      </c>
      <c r="AN1042">
        <v>0.99999998089642395</v>
      </c>
    </row>
    <row r="1043" spans="1:40" x14ac:dyDescent="0.25">
      <c r="A1043" t="str">
        <f>"20190304164839387"</f>
        <v>20190304164839387</v>
      </c>
      <c r="B1043" t="str">
        <f>"1551689319376992"</f>
        <v>1551689319376992</v>
      </c>
      <c r="C1043" t="s">
        <v>40</v>
      </c>
      <c r="D1043">
        <v>4.4277699999999998</v>
      </c>
      <c r="E1043">
        <v>0.19236490000000001</v>
      </c>
      <c r="F1043" t="s">
        <v>42</v>
      </c>
      <c r="G1043">
        <v>-259.74900000000002</v>
      </c>
      <c r="H1043" s="1">
        <v>-2.4636430000000001E-6</v>
      </c>
      <c r="I1043">
        <v>378.53710000000001</v>
      </c>
      <c r="J1043">
        <v>-272.25360000000001</v>
      </c>
      <c r="K1043">
        <v>1.1084099999999999</v>
      </c>
      <c r="L1043">
        <v>367.60169999999999</v>
      </c>
      <c r="M1043">
        <v>0.99991649999999999</v>
      </c>
      <c r="N1043">
        <v>-1.2472509999999999E-2</v>
      </c>
      <c r="O1043">
        <v>-3.3956860000000002E-3</v>
      </c>
      <c r="P1043">
        <v>0.94985459999999999</v>
      </c>
      <c r="Q1043">
        <v>0.31063079999999998</v>
      </c>
      <c r="R1043">
        <v>3.5849140000000002E-2</v>
      </c>
      <c r="S1043">
        <v>3.1470340000000001</v>
      </c>
      <c r="T1043">
        <v>-0.27558110000000002</v>
      </c>
      <c r="U1043">
        <v>2.7192690000000002</v>
      </c>
      <c r="V1043">
        <v>-3.9062680000000002E-2</v>
      </c>
      <c r="W1043">
        <v>0.32245359999999901</v>
      </c>
      <c r="X1043">
        <v>0.94577900000000004</v>
      </c>
      <c r="Y1043">
        <v>-0.65461780000000003</v>
      </c>
      <c r="Z1043">
        <v>2.9533839999999999E-2</v>
      </c>
      <c r="AA1043">
        <v>0.75538280000000002</v>
      </c>
      <c r="AB1043">
        <v>30</v>
      </c>
      <c r="AC1043">
        <v>12.5045999999999</v>
      </c>
      <c r="AD1043">
        <v>-1.1084124636429999</v>
      </c>
      <c r="AE1043">
        <v>10.9354</v>
      </c>
      <c r="AF1043">
        <v>-10.9291431087139</v>
      </c>
      <c r="AG1043">
        <v>-1.1084124636429999</v>
      </c>
      <c r="AH1043">
        <v>12.412130423028801</v>
      </c>
      <c r="AI1043">
        <v>93.834340506154106</v>
      </c>
      <c r="AJ1043">
        <v>131.36460028508799</v>
      </c>
      <c r="AK1043">
        <v>16.5751539636465</v>
      </c>
      <c r="AL1043">
        <v>71.188628019941405</v>
      </c>
      <c r="AM1043">
        <v>92.365093064972001</v>
      </c>
      <c r="AN1043">
        <v>1.00000006698136</v>
      </c>
    </row>
    <row r="1044" spans="1:40" x14ac:dyDescent="0.25">
      <c r="A1044" t="str">
        <f>"20190304164839398"</f>
        <v>20190304164839398</v>
      </c>
      <c r="B1044" t="str">
        <f>"1551689319387727"</f>
        <v>1551689319387727</v>
      </c>
      <c r="C1044" t="s">
        <v>40</v>
      </c>
      <c r="D1044">
        <v>4.3998710000000001</v>
      </c>
      <c r="E1044">
        <v>0.1918397</v>
      </c>
      <c r="F1044" t="s">
        <v>42</v>
      </c>
      <c r="G1044">
        <v>-259.69080000000002</v>
      </c>
      <c r="H1044" s="1">
        <v>-2.4819879999999998E-6</v>
      </c>
      <c r="I1044">
        <v>378.51229999999998</v>
      </c>
      <c r="J1044">
        <v>-272.11369999999999</v>
      </c>
      <c r="K1044">
        <v>1.1086</v>
      </c>
      <c r="L1044">
        <v>367.60120000000001</v>
      </c>
      <c r="M1044">
        <v>0.9999152</v>
      </c>
      <c r="N1044">
        <v>-1.257316E-2</v>
      </c>
      <c r="O1044">
        <v>-3.3956009999999998E-3</v>
      </c>
      <c r="P1044">
        <v>0.94990010000000002</v>
      </c>
      <c r="Q1044">
        <v>0.31047219999999998</v>
      </c>
      <c r="R1044">
        <v>3.6012660000000002E-2</v>
      </c>
      <c r="S1044">
        <v>3.1460270000000001</v>
      </c>
      <c r="T1044">
        <v>-0.27757100000000001</v>
      </c>
      <c r="U1044">
        <v>2.7322690000000001</v>
      </c>
      <c r="V1044">
        <v>-3.9225919999999997E-2</v>
      </c>
      <c r="W1044">
        <v>0.32239079999999998</v>
      </c>
      <c r="X1044">
        <v>0.94579360000000001</v>
      </c>
      <c r="Y1044">
        <v>-0.65649080000000004</v>
      </c>
      <c r="Z1044">
        <v>2.981644E-2</v>
      </c>
      <c r="AA1044">
        <v>0.75374449999999904</v>
      </c>
      <c r="AB1044">
        <v>30</v>
      </c>
      <c r="AC1044">
        <v>12.422899999999901</v>
      </c>
      <c r="AD1044">
        <v>-1.108602481988</v>
      </c>
      <c r="AE1044">
        <v>10.9110999999999</v>
      </c>
      <c r="AF1044">
        <v>-10.9042031011201</v>
      </c>
      <c r="AG1044">
        <v>-1.108602481988</v>
      </c>
      <c r="AH1044">
        <v>12.3303438621691</v>
      </c>
      <c r="AI1044">
        <v>93.853073737860797</v>
      </c>
      <c r="AJ1044">
        <v>131.48758114891399</v>
      </c>
      <c r="AK1044">
        <v>16.497515706702</v>
      </c>
      <c r="AL1044">
        <v>71.192428222389097</v>
      </c>
      <c r="AM1044">
        <v>92.374928697321806</v>
      </c>
      <c r="AN1044">
        <v>1.0000000172627199</v>
      </c>
    </row>
    <row r="1045" spans="1:40" x14ac:dyDescent="0.25">
      <c r="A1045" t="str">
        <f>"20190304164839409"</f>
        <v>20190304164839409</v>
      </c>
      <c r="B1045" t="str">
        <f>"1551689319397489"</f>
        <v>1551689319397489</v>
      </c>
      <c r="C1045" t="s">
        <v>40</v>
      </c>
      <c r="D1045">
        <v>4.4258280000000001</v>
      </c>
      <c r="E1045">
        <v>0.19220470000000001</v>
      </c>
      <c r="F1045" t="s">
        <v>42</v>
      </c>
      <c r="G1045">
        <v>-259.59660000000002</v>
      </c>
      <c r="H1045" s="1">
        <v>-2.51759E-6</v>
      </c>
      <c r="I1045">
        <v>378.49419999999998</v>
      </c>
      <c r="J1045">
        <v>-271.96449999999999</v>
      </c>
      <c r="K1045">
        <v>1.1087819999999999</v>
      </c>
      <c r="L1045">
        <v>367.60070000000002</v>
      </c>
      <c r="M1045">
        <v>0.99991399999999997</v>
      </c>
      <c r="N1045">
        <v>-1.2672660000000001E-2</v>
      </c>
      <c r="O1045">
        <v>-3.395515E-3</v>
      </c>
      <c r="P1045">
        <v>0.94999460000000002</v>
      </c>
      <c r="Q1045">
        <v>0.31016769999999999</v>
      </c>
      <c r="R1045">
        <v>3.614796E-2</v>
      </c>
      <c r="S1045">
        <v>3.1455380000000002</v>
      </c>
      <c r="T1045">
        <v>-0.27858769999999999</v>
      </c>
      <c r="U1045">
        <v>2.7373959999999999</v>
      </c>
      <c r="V1045">
        <v>-3.9361930000000003E-2</v>
      </c>
      <c r="W1045">
        <v>0.32218140000000001</v>
      </c>
      <c r="X1045">
        <v>0.94585929999999996</v>
      </c>
      <c r="Y1045">
        <v>-0.65723279999999995</v>
      </c>
      <c r="Z1045">
        <v>2.9972100000000002E-2</v>
      </c>
      <c r="AA1045">
        <v>0.75309150000000002</v>
      </c>
      <c r="AB1045">
        <v>30</v>
      </c>
      <c r="AC1045">
        <v>12.367899999999899</v>
      </c>
      <c r="AD1045">
        <v>-1.10878451759</v>
      </c>
      <c r="AE1045">
        <v>10.8934999999999</v>
      </c>
      <c r="AF1045">
        <v>-10.8861655335888</v>
      </c>
      <c r="AG1045">
        <v>-1.10878451759</v>
      </c>
      <c r="AH1045">
        <v>12.2752791807689</v>
      </c>
      <c r="AI1045">
        <v>93.866158134586101</v>
      </c>
      <c r="AJ1045">
        <v>131.567782105628</v>
      </c>
      <c r="AK1045">
        <v>16.444466610290601</v>
      </c>
      <c r="AL1045">
        <v>71.205102183128602</v>
      </c>
      <c r="AM1045">
        <v>92.382988584155697</v>
      </c>
      <c r="AN1045">
        <v>1.0000000157178801</v>
      </c>
    </row>
    <row r="1046" spans="1:40" x14ac:dyDescent="0.25">
      <c r="A1046" t="str">
        <f>"20190304164839420"</f>
        <v>20190304164839420</v>
      </c>
      <c r="B1046" t="str">
        <f>"1551689319417007"</f>
        <v>1551689319417007</v>
      </c>
      <c r="C1046" t="s">
        <v>40</v>
      </c>
      <c r="D1046">
        <v>4.411359</v>
      </c>
      <c r="E1046">
        <v>0.19324949999999999</v>
      </c>
      <c r="F1046" t="s">
        <v>42</v>
      </c>
      <c r="G1046">
        <v>-259.55919999999998</v>
      </c>
      <c r="H1046" s="1">
        <v>-2.5052519999999999E-6</v>
      </c>
      <c r="I1046">
        <v>378.38760000000002</v>
      </c>
      <c r="J1046">
        <v>-271.81599999999997</v>
      </c>
      <c r="K1046">
        <v>1.108951</v>
      </c>
      <c r="L1046">
        <v>367.6001</v>
      </c>
      <c r="M1046">
        <v>0.99991269999999999</v>
      </c>
      <c r="N1046">
        <v>-1.27674E-2</v>
      </c>
      <c r="O1046">
        <v>-3.3955209999999999E-3</v>
      </c>
      <c r="P1046">
        <v>0.95014140000000002</v>
      </c>
      <c r="Q1046">
        <v>0.30971739999999998</v>
      </c>
      <c r="R1046">
        <v>3.6144570000000001E-2</v>
      </c>
      <c r="S1046">
        <v>3.1456300000000001</v>
      </c>
      <c r="T1046">
        <v>-0.281153599999999</v>
      </c>
      <c r="U1046">
        <v>2.7352289999999999</v>
      </c>
      <c r="V1046">
        <v>-3.935843E-2</v>
      </c>
      <c r="W1046">
        <v>0.32182290000000002</v>
      </c>
      <c r="X1046">
        <v>0.94598150000000003</v>
      </c>
      <c r="Y1046">
        <v>-0.65689409999999904</v>
      </c>
      <c r="Z1046">
        <v>3.022766E-2</v>
      </c>
      <c r="AA1046">
        <v>0.75337670000000001</v>
      </c>
      <c r="AB1046">
        <v>30</v>
      </c>
      <c r="AC1046">
        <v>12.256799999999901</v>
      </c>
      <c r="AD1046">
        <v>-1.1089535052519901</v>
      </c>
      <c r="AE1046">
        <v>10.7875</v>
      </c>
      <c r="AF1046">
        <v>-10.7793361474191</v>
      </c>
      <c r="AG1046">
        <v>-1.1089535052519901</v>
      </c>
      <c r="AH1046">
        <v>12.163986729890899</v>
      </c>
      <c r="AI1046">
        <v>93.903305937895794</v>
      </c>
      <c r="AJ1046">
        <v>131.54633609838001</v>
      </c>
      <c r="AK1046">
        <v>16.290685646124</v>
      </c>
      <c r="AL1046">
        <v>71.226798587362893</v>
      </c>
      <c r="AM1046">
        <v>92.382469489193298</v>
      </c>
      <c r="AN1046">
        <v>1.00000003165936</v>
      </c>
    </row>
    <row r="1047" spans="1:40" x14ac:dyDescent="0.25">
      <c r="A1047" t="str">
        <f>"20190304164839432"</f>
        <v>20190304164839432</v>
      </c>
      <c r="B1047" t="str">
        <f>"1551689319427743"</f>
        <v>1551689319427743</v>
      </c>
      <c r="C1047" t="s">
        <v>40</v>
      </c>
      <c r="D1047">
        <v>4.4089989999999997</v>
      </c>
      <c r="E1047">
        <v>0.19377510000000001</v>
      </c>
      <c r="F1047" t="s">
        <v>42</v>
      </c>
      <c r="G1047">
        <v>-259.49439999999998</v>
      </c>
      <c r="H1047" s="1">
        <v>-2.5048539999999999E-6</v>
      </c>
      <c r="I1047">
        <v>378.28160000000003</v>
      </c>
      <c r="J1047">
        <v>-271.6465</v>
      </c>
      <c r="K1047">
        <v>1.1091230000000001</v>
      </c>
      <c r="L1047">
        <v>367.59960000000001</v>
      </c>
      <c r="M1047">
        <v>0.99991149999999995</v>
      </c>
      <c r="N1047">
        <v>-1.286906E-2</v>
      </c>
      <c r="O1047">
        <v>-3.3955769999999999E-3</v>
      </c>
      <c r="P1047">
        <v>0.95016409999999996</v>
      </c>
      <c r="Q1047">
        <v>0.309662099999999</v>
      </c>
      <c r="R1047">
        <v>3.6025139999999997E-2</v>
      </c>
      <c r="S1047">
        <v>3.1459959999999998</v>
      </c>
      <c r="T1047">
        <v>-0.28314080000000003</v>
      </c>
      <c r="U1047">
        <v>2.7272340000000002</v>
      </c>
      <c r="V1047">
        <v>-3.9239660000000003E-2</v>
      </c>
      <c r="W1047">
        <v>0.32186399999999998</v>
      </c>
      <c r="X1047">
        <v>0.94597240000000005</v>
      </c>
      <c r="Y1047">
        <v>-0.65573300000000001</v>
      </c>
      <c r="Z1047">
        <v>3.0405089999999999E-2</v>
      </c>
      <c r="AA1047">
        <v>0.75438050000000001</v>
      </c>
      <c r="AB1047">
        <v>30</v>
      </c>
      <c r="AC1047">
        <v>12.152100000000001</v>
      </c>
      <c r="AD1047">
        <v>-1.1091255048540001</v>
      </c>
      <c r="AE1047">
        <v>10.682</v>
      </c>
      <c r="AF1047">
        <v>-10.6730500452976</v>
      </c>
      <c r="AG1047">
        <v>-1.1091255048540001</v>
      </c>
      <c r="AH1047">
        <v>12.059086896037501</v>
      </c>
      <c r="AI1047">
        <v>93.9399162674747</v>
      </c>
      <c r="AJ1047">
        <v>131.51084851424801</v>
      </c>
      <c r="AK1047">
        <v>16.142048612897</v>
      </c>
      <c r="AL1047">
        <v>71.224310456298596</v>
      </c>
      <c r="AM1047">
        <v>92.375311098613196</v>
      </c>
      <c r="AN1047">
        <v>0.99999998348733699</v>
      </c>
    </row>
    <row r="1048" spans="1:40" x14ac:dyDescent="0.25">
      <c r="A1048" t="str">
        <f>"20190304164839444"</f>
        <v>20190304164839444</v>
      </c>
      <c r="B1048" t="str">
        <f>"1551689319437503"</f>
        <v>1551689319437503</v>
      </c>
      <c r="C1048" t="s">
        <v>40</v>
      </c>
      <c r="D1048">
        <v>4.4121600000000001</v>
      </c>
      <c r="E1048">
        <v>0.19408549999999999</v>
      </c>
      <c r="F1048" t="s">
        <v>42</v>
      </c>
      <c r="G1048">
        <v>-259.36540000000002</v>
      </c>
      <c r="H1048" s="1">
        <v>-2.5450600000000002E-6</v>
      </c>
      <c r="I1048">
        <v>378.22480000000002</v>
      </c>
      <c r="J1048">
        <v>-271.49</v>
      </c>
      <c r="K1048">
        <v>1.1092649999999999</v>
      </c>
      <c r="L1048">
        <v>367.59910000000002</v>
      </c>
      <c r="M1048">
        <v>0.99991039999999998</v>
      </c>
      <c r="N1048">
        <v>-1.295581E-2</v>
      </c>
      <c r="O1048">
        <v>-3.3955420000000001E-3</v>
      </c>
      <c r="P1048">
        <v>0.95011449999999997</v>
      </c>
      <c r="Q1048">
        <v>0.30977890000000002</v>
      </c>
      <c r="R1048">
        <v>3.6330399999999999E-2</v>
      </c>
      <c r="S1048">
        <v>3.1467290000000001</v>
      </c>
      <c r="T1048">
        <v>-0.28418459999999901</v>
      </c>
      <c r="U1048">
        <v>2.7224430000000002</v>
      </c>
      <c r="V1048">
        <v>-3.9544490000000002E-2</v>
      </c>
      <c r="W1048">
        <v>0.32206220000000002</v>
      </c>
      <c r="X1048">
        <v>0.94589230000000002</v>
      </c>
      <c r="Y1048">
        <v>-0.6549758</v>
      </c>
      <c r="Z1048">
        <v>3.0501259999999999E-2</v>
      </c>
      <c r="AA1048">
        <v>0.75503409999999904</v>
      </c>
      <c r="AB1048">
        <v>30</v>
      </c>
      <c r="AC1048">
        <v>12.1245999999999</v>
      </c>
      <c r="AD1048">
        <v>-1.10926754506</v>
      </c>
      <c r="AE1048">
        <v>10.625699999999901</v>
      </c>
      <c r="AF1048">
        <v>-10.6165508251541</v>
      </c>
      <c r="AG1048">
        <v>-1.10926754506</v>
      </c>
      <c r="AH1048">
        <v>12.031487503738299</v>
      </c>
      <c r="AI1048">
        <v>93.954640586014904</v>
      </c>
      <c r="AJ1048">
        <v>131.42509122854599</v>
      </c>
      <c r="AK1048">
        <v>16.0841013880856</v>
      </c>
      <c r="AL1048">
        <v>71.212316750035995</v>
      </c>
      <c r="AM1048">
        <v>92.393944592251998</v>
      </c>
      <c r="AN1048">
        <v>1.0000000352787399</v>
      </c>
    </row>
    <row r="1049" spans="1:40" x14ac:dyDescent="0.25">
      <c r="A1049" t="str">
        <f>"20190304164839457"</f>
        <v>20190304164839457</v>
      </c>
      <c r="B1049" t="str">
        <f>"1551689319447263"</f>
        <v>1551689319447263</v>
      </c>
      <c r="C1049" t="s">
        <v>40</v>
      </c>
      <c r="D1049">
        <v>4.4098750000000004</v>
      </c>
      <c r="E1049">
        <v>0.1941457</v>
      </c>
      <c r="F1049" t="s">
        <v>42</v>
      </c>
      <c r="G1049">
        <v>-259.20580000000001</v>
      </c>
      <c r="H1049" s="1">
        <v>-2.6132260000000001E-6</v>
      </c>
      <c r="I1049">
        <v>378.22359999999998</v>
      </c>
      <c r="J1049">
        <v>-271.31779999999998</v>
      </c>
      <c r="K1049">
        <v>1.109416</v>
      </c>
      <c r="L1049">
        <v>367.5985</v>
      </c>
      <c r="M1049">
        <v>0.9999091</v>
      </c>
      <c r="N1049">
        <v>-1.3047649999999999E-2</v>
      </c>
      <c r="O1049">
        <v>-3.3954240000000002E-3</v>
      </c>
      <c r="P1049">
        <v>0.94986619999999999</v>
      </c>
      <c r="Q1049">
        <v>0.31052180000000001</v>
      </c>
      <c r="R1049">
        <v>3.6474279999999998E-2</v>
      </c>
      <c r="S1049">
        <v>3.1460880000000002</v>
      </c>
      <c r="T1049">
        <v>-0.28408990000000001</v>
      </c>
      <c r="U1049">
        <v>2.7210079999999999</v>
      </c>
      <c r="V1049">
        <v>-3.9687390000000003E-2</v>
      </c>
      <c r="W1049">
        <v>0.32288860000000003</v>
      </c>
      <c r="X1049">
        <v>0.94560449999999996</v>
      </c>
      <c r="Y1049">
        <v>-0.65485280000000001</v>
      </c>
      <c r="Z1049">
        <v>3.0528010000000001E-2</v>
      </c>
      <c r="AA1049">
        <v>0.75513960000000002</v>
      </c>
      <c r="AB1049">
        <v>30</v>
      </c>
      <c r="AC1049">
        <v>12.111999999999901</v>
      </c>
      <c r="AD1049">
        <v>-1.109418613226</v>
      </c>
      <c r="AE1049">
        <v>10.6250999999999</v>
      </c>
      <c r="AF1049">
        <v>-10.615834762195799</v>
      </c>
      <c r="AG1049">
        <v>-1.109418613226</v>
      </c>
      <c r="AH1049">
        <v>12.018865332648399</v>
      </c>
      <c r="AI1049">
        <v>93.957620395340399</v>
      </c>
      <c r="AJ1049">
        <v>131.45301195983399</v>
      </c>
      <c r="AK1049">
        <v>16.0741992410805</v>
      </c>
      <c r="AL1049">
        <v>71.162294644276599</v>
      </c>
      <c r="AM1049">
        <v>92.403315737101906</v>
      </c>
      <c r="AN1049">
        <v>1.00000000367761</v>
      </c>
    </row>
    <row r="1050" spans="1:40" x14ac:dyDescent="0.25">
      <c r="A1050" t="str">
        <f>"20190304164839469"</f>
        <v>20190304164839469</v>
      </c>
      <c r="B1050" t="str">
        <f>"1551689319457025"</f>
        <v>1551689319457025</v>
      </c>
      <c r="C1050" t="s">
        <v>40</v>
      </c>
      <c r="D1050">
        <v>4.4117579999999998</v>
      </c>
      <c r="E1050">
        <v>0.19413169999999999</v>
      </c>
      <c r="F1050" t="s">
        <v>42</v>
      </c>
      <c r="G1050">
        <v>-258.92959999999999</v>
      </c>
      <c r="H1050" s="1">
        <v>-2.7552579999999998E-6</v>
      </c>
      <c r="I1050">
        <v>378.31209999999999</v>
      </c>
      <c r="J1050">
        <v>-271.14679999999998</v>
      </c>
      <c r="K1050">
        <v>1.1095489999999999</v>
      </c>
      <c r="L1050">
        <v>367.59789999999998</v>
      </c>
      <c r="M1050">
        <v>0.99990809999999997</v>
      </c>
      <c r="N1050">
        <v>-1.313082E-2</v>
      </c>
      <c r="O1050">
        <v>-3.395492E-3</v>
      </c>
      <c r="P1050">
        <v>0.94961479999999998</v>
      </c>
      <c r="Q1050">
        <v>0.31126300000000001</v>
      </c>
      <c r="R1050">
        <v>3.670822E-2</v>
      </c>
      <c r="S1050">
        <v>3.1459959999999998</v>
      </c>
      <c r="T1050">
        <v>-0.2817347</v>
      </c>
      <c r="U1050">
        <v>2.7207029999999999</v>
      </c>
      <c r="V1050">
        <v>-3.992043E-2</v>
      </c>
      <c r="W1050">
        <v>0.32370529999999997</v>
      </c>
      <c r="X1050">
        <v>0.94531540000000003</v>
      </c>
      <c r="Y1050">
        <v>-0.65484770000000003</v>
      </c>
      <c r="Z1050">
        <v>3.0347220000000001E-2</v>
      </c>
      <c r="AA1050">
        <v>0.75515140000000003</v>
      </c>
      <c r="AB1050">
        <v>30</v>
      </c>
      <c r="AC1050">
        <v>12.217199999999901</v>
      </c>
      <c r="AD1050">
        <v>-1.1095517552580001</v>
      </c>
      <c r="AE1050">
        <v>10.7142</v>
      </c>
      <c r="AF1050">
        <v>-10.7057117259645</v>
      </c>
      <c r="AG1050">
        <v>-1.1095517552580001</v>
      </c>
      <c r="AH1050">
        <v>12.1242194275878</v>
      </c>
      <c r="AI1050">
        <v>93.924316500983394</v>
      </c>
      <c r="AJ1050">
        <v>131.444572860905</v>
      </c>
      <c r="AK1050">
        <v>16.2123429949329</v>
      </c>
      <c r="AL1050">
        <v>71.112845256826802</v>
      </c>
      <c r="AM1050">
        <v>92.418149475053596</v>
      </c>
      <c r="AN1050">
        <v>0.999999983728317</v>
      </c>
    </row>
    <row r="1051" spans="1:40" x14ac:dyDescent="0.25">
      <c r="A1051" t="str">
        <f>"20190304164839481"</f>
        <v>20190304164839481</v>
      </c>
      <c r="B1051" t="str">
        <f>"1551689319477520"</f>
        <v>1551689319477520</v>
      </c>
      <c r="C1051" t="s">
        <v>40</v>
      </c>
      <c r="D1051">
        <v>4.4109939999999996</v>
      </c>
      <c r="E1051">
        <v>0.19422970000000001</v>
      </c>
      <c r="F1051" t="s">
        <v>42</v>
      </c>
      <c r="G1051">
        <v>-258.67439999999999</v>
      </c>
      <c r="H1051" s="1">
        <v>-2.879986E-6</v>
      </c>
      <c r="I1051">
        <v>378.3877</v>
      </c>
      <c r="J1051">
        <v>-270.9932</v>
      </c>
      <c r="K1051">
        <v>1.109664</v>
      </c>
      <c r="L1051">
        <v>367.59739999999999</v>
      </c>
      <c r="M1051">
        <v>0.99990730000000005</v>
      </c>
      <c r="N1051">
        <v>-1.3201579999999999E-2</v>
      </c>
      <c r="O1051">
        <v>-3.3952420000000001E-3</v>
      </c>
      <c r="P1051">
        <v>0.94934830000000003</v>
      </c>
      <c r="Q1051">
        <v>0.31210359999999998</v>
      </c>
      <c r="R1051">
        <v>3.6461519999999997E-2</v>
      </c>
      <c r="S1051">
        <v>3.145721</v>
      </c>
      <c r="T1051">
        <v>-0.2798446</v>
      </c>
      <c r="U1051">
        <v>2.7213440000000002</v>
      </c>
      <c r="V1051">
        <v>-3.9673060000000003E-2</v>
      </c>
      <c r="W1051">
        <v>0.32460929999999999</v>
      </c>
      <c r="X1051">
        <v>0.94501579999999996</v>
      </c>
      <c r="Y1051">
        <v>-0.65498819999999902</v>
      </c>
      <c r="Z1051">
        <v>3.020977E-2</v>
      </c>
      <c r="AA1051">
        <v>0.75503500000000001</v>
      </c>
      <c r="AB1051">
        <v>30</v>
      </c>
      <c r="AC1051">
        <v>12.3188</v>
      </c>
      <c r="AD1051">
        <v>-1.1096668799860001</v>
      </c>
      <c r="AE1051">
        <v>10.7903</v>
      </c>
      <c r="AF1051">
        <v>-10.7825587624968</v>
      </c>
      <c r="AG1051">
        <v>-1.1096668799860001</v>
      </c>
      <c r="AH1051">
        <v>12.225954808427</v>
      </c>
      <c r="AI1051">
        <v>93.894209725632194</v>
      </c>
      <c r="AJ1051">
        <v>131.41036049448201</v>
      </c>
      <c r="AK1051">
        <v>16.339183120001199</v>
      </c>
      <c r="AL1051">
        <v>71.058093879536202</v>
      </c>
      <c r="AM1051">
        <v>92.403943840844704</v>
      </c>
      <c r="AN1051">
        <v>1.0000000057929399</v>
      </c>
    </row>
    <row r="1052" spans="1:40" x14ac:dyDescent="0.25">
      <c r="A1052" t="str">
        <f>"20190304164839491"</f>
        <v>20190304164839491</v>
      </c>
      <c r="B1052" t="str">
        <f>"1551689319487279"</f>
        <v>1551689319487279</v>
      </c>
      <c r="C1052" t="s">
        <v>40</v>
      </c>
      <c r="D1052">
        <v>4.4102860000000002</v>
      </c>
      <c r="E1052">
        <v>0.194296</v>
      </c>
      <c r="F1052" t="s">
        <v>42</v>
      </c>
      <c r="G1052">
        <v>-258.25880000000001</v>
      </c>
      <c r="H1052" s="1">
        <v>-3.0609260000000001E-6</v>
      </c>
      <c r="I1052">
        <v>378.61040000000003</v>
      </c>
      <c r="J1052">
        <v>-270.85599999999999</v>
      </c>
      <c r="K1052">
        <v>1.109753</v>
      </c>
      <c r="L1052">
        <v>367.59690000000001</v>
      </c>
      <c r="M1052">
        <v>0.99990630000000003</v>
      </c>
      <c r="N1052">
        <v>-1.326137E-2</v>
      </c>
      <c r="O1052">
        <v>-3.3951609999999998E-3</v>
      </c>
      <c r="P1052">
        <v>0.94911089999999998</v>
      </c>
      <c r="Q1052">
        <v>0.3128302</v>
      </c>
      <c r="R1052">
        <v>3.6410039999999998E-2</v>
      </c>
      <c r="S1052">
        <v>3.1456909999999998</v>
      </c>
      <c r="T1052">
        <v>-0.2741112</v>
      </c>
      <c r="U1052">
        <v>2.720459</v>
      </c>
      <c r="V1052">
        <v>-3.9620370000000002E-2</v>
      </c>
      <c r="W1052">
        <v>0.32538909999999999</v>
      </c>
      <c r="X1052">
        <v>0.94474979999999997</v>
      </c>
      <c r="Y1052">
        <v>-0.65493570000000001</v>
      </c>
      <c r="Z1052">
        <v>2.9713759999999999E-2</v>
      </c>
      <c r="AA1052">
        <v>0.7551002</v>
      </c>
      <c r="AB1052">
        <v>30</v>
      </c>
      <c r="AC1052">
        <v>12.5971999999999</v>
      </c>
      <c r="AD1052">
        <v>-1.109756060926</v>
      </c>
      <c r="AE1052">
        <v>11.013500000000001</v>
      </c>
      <c r="AF1052">
        <v>-11.0077905610258</v>
      </c>
      <c r="AG1052">
        <v>-1.109756060926</v>
      </c>
      <c r="AH1052">
        <v>12.5047277761893</v>
      </c>
      <c r="AI1052">
        <v>93.811066042065605</v>
      </c>
      <c r="AJ1052">
        <v>131.357149711646</v>
      </c>
      <c r="AK1052">
        <v>16.696443582594799</v>
      </c>
      <c r="AL1052">
        <v>71.010850089006397</v>
      </c>
      <c r="AM1052">
        <v>92.401430044248798</v>
      </c>
      <c r="AN1052">
        <v>1.0000000123588899</v>
      </c>
    </row>
    <row r="1053" spans="1:40" x14ac:dyDescent="0.25">
      <c r="A1053" t="str">
        <f>"20190304164839501"</f>
        <v>20190304164839501</v>
      </c>
      <c r="B1053" t="str">
        <f>"1551689319497040"</f>
        <v>1551689319497040</v>
      </c>
      <c r="C1053" t="s">
        <v>40</v>
      </c>
      <c r="D1053">
        <v>4.4224199999999998</v>
      </c>
      <c r="E1053">
        <v>0.19423009999999999</v>
      </c>
      <c r="F1053" t="s">
        <v>42</v>
      </c>
      <c r="G1053">
        <v>-257.89999999999998</v>
      </c>
      <c r="H1053" s="1">
        <v>-3.2170720000000002E-6</v>
      </c>
      <c r="I1053">
        <v>378.80220000000003</v>
      </c>
      <c r="J1053">
        <v>-270.72219999999999</v>
      </c>
      <c r="K1053">
        <v>1.1098300000000001</v>
      </c>
      <c r="L1053">
        <v>367.59640000000002</v>
      </c>
      <c r="M1053">
        <v>0.9999055</v>
      </c>
      <c r="N1053">
        <v>-1.331599E-2</v>
      </c>
      <c r="O1053">
        <v>-3.3938470000000002E-3</v>
      </c>
      <c r="P1053">
        <v>0.94894520000000004</v>
      </c>
      <c r="Q1053">
        <v>0.3133475</v>
      </c>
      <c r="R1053">
        <v>3.6282000000000002E-2</v>
      </c>
      <c r="S1053">
        <v>3.1452939999999998</v>
      </c>
      <c r="T1053">
        <v>-0.26941079999999901</v>
      </c>
      <c r="U1053">
        <v>2.7202760000000001</v>
      </c>
      <c r="V1053">
        <v>-3.9491030000000003E-2</v>
      </c>
      <c r="W1053">
        <v>0.32595619999999997</v>
      </c>
      <c r="X1053">
        <v>0.9445597</v>
      </c>
      <c r="Y1053">
        <v>-0.65500890000000001</v>
      </c>
      <c r="Z1053">
        <v>2.9315509999999999E-2</v>
      </c>
      <c r="AA1053">
        <v>0.75505230000000001</v>
      </c>
      <c r="AB1053">
        <v>30</v>
      </c>
      <c r="AC1053">
        <v>12.8222</v>
      </c>
      <c r="AD1053">
        <v>-1.10983321707199</v>
      </c>
      <c r="AE1053">
        <v>11.2058</v>
      </c>
      <c r="AF1053">
        <v>-11.2016750485675</v>
      </c>
      <c r="AG1053">
        <v>-1.10983321707199</v>
      </c>
      <c r="AH1053">
        <v>12.7300192659581</v>
      </c>
      <c r="AI1053">
        <v>93.744717677472494</v>
      </c>
      <c r="AJ1053">
        <v>131.34589529096601</v>
      </c>
      <c r="AK1053">
        <v>16.9930175123514</v>
      </c>
      <c r="AL1053">
        <v>70.976483988531001</v>
      </c>
      <c r="AM1053">
        <v>92.394080921198196</v>
      </c>
      <c r="AN1053">
        <v>1.00000000631649</v>
      </c>
    </row>
    <row r="1054" spans="1:40" x14ac:dyDescent="0.25">
      <c r="A1054" t="str">
        <f>"20190304164839511"</f>
        <v>20190304164839511</v>
      </c>
      <c r="B1054" t="str">
        <f>"1551689319507776"</f>
        <v>1551689319507776</v>
      </c>
      <c r="C1054" t="s">
        <v>40</v>
      </c>
      <c r="D1054">
        <v>4.4337739999999997</v>
      </c>
      <c r="E1054">
        <v>0.19415389999999999</v>
      </c>
      <c r="F1054" t="s">
        <v>42</v>
      </c>
      <c r="G1054">
        <v>-257.5872</v>
      </c>
      <c r="H1054" s="1">
        <v>-3.3520100000000001E-6</v>
      </c>
      <c r="I1054">
        <v>378.96300000000002</v>
      </c>
      <c r="J1054">
        <v>-270.58499999999998</v>
      </c>
      <c r="K1054">
        <v>1.1099079999999999</v>
      </c>
      <c r="L1054">
        <v>367.596</v>
      </c>
      <c r="M1054">
        <v>0.99990489999999999</v>
      </c>
      <c r="N1054">
        <v>-1.336947E-2</v>
      </c>
      <c r="O1054">
        <v>-3.3919250000000001E-3</v>
      </c>
      <c r="P1054">
        <v>0.94900879999999999</v>
      </c>
      <c r="Q1054">
        <v>0.31315419999999999</v>
      </c>
      <c r="R1054">
        <v>3.6288010000000002E-2</v>
      </c>
      <c r="S1054">
        <v>3.1450809999999998</v>
      </c>
      <c r="T1054">
        <v>-0.26573970000000002</v>
      </c>
      <c r="U1054">
        <v>2.721619</v>
      </c>
      <c r="V1054">
        <v>-3.9496240000000002E-2</v>
      </c>
      <c r="W1054">
        <v>0.32581329999999997</v>
      </c>
      <c r="X1054">
        <v>0.94460869999999997</v>
      </c>
      <c r="Y1054">
        <v>-0.65525719999999898</v>
      </c>
      <c r="Z1054">
        <v>2.901337E-2</v>
      </c>
      <c r="AA1054">
        <v>0.75484849999999903</v>
      </c>
      <c r="AB1054">
        <v>30</v>
      </c>
      <c r="AC1054">
        <v>12.9977999999999</v>
      </c>
      <c r="AD1054">
        <v>-1.1099113520099999</v>
      </c>
      <c r="AE1054">
        <v>11.367000000000001</v>
      </c>
      <c r="AF1054">
        <v>-11.3640719950619</v>
      </c>
      <c r="AG1054">
        <v>-1.1099113520099999</v>
      </c>
      <c r="AH1054">
        <v>12.9058413660377</v>
      </c>
      <c r="AI1054">
        <v>93.693015636001306</v>
      </c>
      <c r="AJ1054">
        <v>131.365115345638</v>
      </c>
      <c r="AK1054">
        <v>17.2317955211754</v>
      </c>
      <c r="AL1054">
        <v>70.985142776737703</v>
      </c>
      <c r="AM1054">
        <v>92.394272340815107</v>
      </c>
      <c r="AN1054">
        <v>0.999999927773356</v>
      </c>
    </row>
    <row r="1055" spans="1:40" x14ac:dyDescent="0.25">
      <c r="A1055" t="str">
        <f>"20190304164839521"</f>
        <v>20190304164839521</v>
      </c>
      <c r="B1055" t="str">
        <f>"1551689319517536"</f>
        <v>1551689319517536</v>
      </c>
      <c r="C1055" t="s">
        <v>40</v>
      </c>
      <c r="D1055">
        <v>4.4500510000000002</v>
      </c>
      <c r="E1055">
        <v>0.19424279999999999</v>
      </c>
      <c r="F1055" t="s">
        <v>42</v>
      </c>
      <c r="G1055">
        <v>-257.40859999999998</v>
      </c>
      <c r="H1055" s="1">
        <v>-3.4205609999999999E-6</v>
      </c>
      <c r="I1055">
        <v>379.00670000000002</v>
      </c>
      <c r="J1055">
        <v>-270.45549999999997</v>
      </c>
      <c r="K1055">
        <v>1.109972</v>
      </c>
      <c r="L1055">
        <v>367.59559999999999</v>
      </c>
      <c r="M1055">
        <v>0.99990429999999997</v>
      </c>
      <c r="N1055">
        <v>-1.341672E-2</v>
      </c>
      <c r="O1055">
        <v>-3.3881620000000001E-3</v>
      </c>
      <c r="P1055">
        <v>0.94920329999999997</v>
      </c>
      <c r="Q1055">
        <v>0.31254579999999998</v>
      </c>
      <c r="R1055">
        <v>3.6446770000000003E-2</v>
      </c>
      <c r="S1055">
        <v>3.1444700000000001</v>
      </c>
      <c r="T1055">
        <v>-0.26487300000000003</v>
      </c>
      <c r="U1055">
        <v>2.7231139999999998</v>
      </c>
      <c r="V1055">
        <v>-3.9652970000000003E-2</v>
      </c>
      <c r="W1055">
        <v>0.3252524</v>
      </c>
      <c r="X1055">
        <v>0.94479550000000001</v>
      </c>
      <c r="Y1055">
        <v>-0.65553989999999995</v>
      </c>
      <c r="Z1055">
        <v>2.896576E-2</v>
      </c>
      <c r="AA1055">
        <v>0.75460490000000002</v>
      </c>
      <c r="AB1055">
        <v>30</v>
      </c>
      <c r="AC1055">
        <v>13.0468999999999</v>
      </c>
      <c r="AD1055">
        <v>-1.109975420561</v>
      </c>
      <c r="AE1055">
        <v>11.411099999999999</v>
      </c>
      <c r="AF1055">
        <v>-11.4084588198474</v>
      </c>
      <c r="AG1055">
        <v>-1.109975420561</v>
      </c>
      <c r="AH1055">
        <v>12.9550320047189</v>
      </c>
      <c r="AI1055">
        <v>93.679092842803499</v>
      </c>
      <c r="AJ1055">
        <v>131.36778735882399</v>
      </c>
      <c r="AK1055">
        <v>17.297914103200299</v>
      </c>
      <c r="AL1055">
        <v>71.019132919665296</v>
      </c>
      <c r="AM1055">
        <v>92.403287529659806</v>
      </c>
      <c r="AN1055">
        <v>1.00000000927791</v>
      </c>
    </row>
    <row r="1056" spans="1:40" x14ac:dyDescent="0.25">
      <c r="A1056" t="str">
        <f>"20190304164839532"</f>
        <v>20190304164839532</v>
      </c>
      <c r="B1056" t="str">
        <f>"1551689319527296"</f>
        <v>1551689319527296</v>
      </c>
      <c r="C1056" t="s">
        <v>40</v>
      </c>
      <c r="D1056">
        <v>4.454224</v>
      </c>
      <c r="E1056">
        <v>0.19445390000000001</v>
      </c>
      <c r="F1056" t="s">
        <v>42</v>
      </c>
      <c r="G1056">
        <v>-257.40379999999999</v>
      </c>
      <c r="H1056" s="1">
        <v>-3.4034739999999998E-6</v>
      </c>
      <c r="I1056">
        <v>378.90129999999999</v>
      </c>
      <c r="J1056">
        <v>-270.29820000000001</v>
      </c>
      <c r="K1056">
        <v>1.1100460000000001</v>
      </c>
      <c r="L1056">
        <v>367.59500000000003</v>
      </c>
      <c r="M1056">
        <v>0.9999036</v>
      </c>
      <c r="N1056">
        <v>-1.3471530000000001E-2</v>
      </c>
      <c r="O1056">
        <v>-3.3821709999999998E-3</v>
      </c>
      <c r="P1056">
        <v>0.94930919999999996</v>
      </c>
      <c r="Q1056">
        <v>0.31217399999999901</v>
      </c>
      <c r="R1056">
        <v>3.6873250000000003E-2</v>
      </c>
      <c r="S1056">
        <v>3.1439819999999998</v>
      </c>
      <c r="T1056">
        <v>-0.26737680000000003</v>
      </c>
      <c r="U1056">
        <v>2.7233890000000001</v>
      </c>
      <c r="V1056">
        <v>-4.0076580000000001E-2</v>
      </c>
      <c r="W1056">
        <v>0.32493359999999999</v>
      </c>
      <c r="X1056">
        <v>0.94488729999999999</v>
      </c>
      <c r="Y1056">
        <v>-0.65560079999999998</v>
      </c>
      <c r="Z1056">
        <v>2.9217239999999998E-2</v>
      </c>
      <c r="AA1056">
        <v>0.75454219999999905</v>
      </c>
      <c r="AB1056">
        <v>30</v>
      </c>
      <c r="AC1056">
        <v>12.894399999999999</v>
      </c>
      <c r="AD1056">
        <v>-1.1100494034739901</v>
      </c>
      <c r="AE1056">
        <v>11.306299999999901</v>
      </c>
      <c r="AF1056">
        <v>-11.302495224403099</v>
      </c>
      <c r="AG1056">
        <v>-1.1100494034739901</v>
      </c>
      <c r="AH1056">
        <v>12.8024433384976</v>
      </c>
      <c r="AI1056">
        <v>93.718983211537406</v>
      </c>
      <c r="AJ1056">
        <v>131.439317565453</v>
      </c>
      <c r="AK1056">
        <v>17.113771162758098</v>
      </c>
      <c r="AL1056">
        <v>71.038447651158805</v>
      </c>
      <c r="AM1056">
        <v>92.428695402127502</v>
      </c>
      <c r="AN1056">
        <v>0.99999999318737298</v>
      </c>
    </row>
    <row r="1057" spans="1:40" x14ac:dyDescent="0.25">
      <c r="A1057" t="str">
        <f>"20190304164839544"</f>
        <v>20190304164839544</v>
      </c>
      <c r="B1057" t="str">
        <f>"1551689319537670"</f>
        <v>1551689319537670</v>
      </c>
      <c r="C1057" t="s">
        <v>40</v>
      </c>
      <c r="D1057">
        <v>4.4574769999999999</v>
      </c>
      <c r="E1057">
        <v>0.19459679999999999</v>
      </c>
      <c r="F1057" t="s">
        <v>42</v>
      </c>
      <c r="G1057">
        <v>-257.44709999999998</v>
      </c>
      <c r="H1057" s="1">
        <v>-3.3575419999999999E-6</v>
      </c>
      <c r="I1057">
        <v>378.7253</v>
      </c>
      <c r="J1057">
        <v>-270.14980000000003</v>
      </c>
      <c r="K1057">
        <v>1.110104</v>
      </c>
      <c r="L1057">
        <v>367.59449999999998</v>
      </c>
      <c r="M1057">
        <v>0.99990299999999999</v>
      </c>
      <c r="N1057">
        <v>-1.3519E-2</v>
      </c>
      <c r="O1057">
        <v>-3.3739730000000002E-3</v>
      </c>
      <c r="P1057">
        <v>0.94935210000000003</v>
      </c>
      <c r="Q1057">
        <v>0.31202619999999998</v>
      </c>
      <c r="R1057">
        <v>3.7021060000000001E-2</v>
      </c>
      <c r="S1057">
        <v>3.143707</v>
      </c>
      <c r="T1057">
        <v>-0.27154409999999901</v>
      </c>
      <c r="U1057">
        <v>2.7227169999999998</v>
      </c>
      <c r="V1057">
        <v>-4.0219119999999997E-2</v>
      </c>
      <c r="W1057">
        <v>0.32483079999999998</v>
      </c>
      <c r="X1057">
        <v>0.9449166</v>
      </c>
      <c r="Y1057">
        <v>-0.65548619999999902</v>
      </c>
      <c r="Z1057">
        <v>2.96089E-2</v>
      </c>
      <c r="AA1057">
        <v>0.75462649999999998</v>
      </c>
      <c r="AB1057">
        <v>30</v>
      </c>
      <c r="AC1057">
        <v>12.7027</v>
      </c>
      <c r="AD1057">
        <v>-1.110107357542</v>
      </c>
      <c r="AE1057">
        <v>11.130800000000001</v>
      </c>
      <c r="AF1057">
        <v>-11.125535082113601</v>
      </c>
      <c r="AG1057">
        <v>-1.110107357542</v>
      </c>
      <c r="AH1057">
        <v>12.6105895400186</v>
      </c>
      <c r="AI1057">
        <v>93.776720296904003</v>
      </c>
      <c r="AJ1057">
        <v>131.41994671827899</v>
      </c>
      <c r="AK1057">
        <v>16.853392470225</v>
      </c>
      <c r="AL1057">
        <v>71.044675694495695</v>
      </c>
      <c r="AM1057">
        <v>92.437247636279196</v>
      </c>
      <c r="AN1057">
        <v>1.0000000035988801</v>
      </c>
    </row>
    <row r="1058" spans="1:40" x14ac:dyDescent="0.25">
      <c r="A1058" t="str">
        <f>"20190304164839554"</f>
        <v>20190304164839554</v>
      </c>
      <c r="B1058" t="str">
        <f>"1551689319547430"</f>
        <v>1551689319547430</v>
      </c>
      <c r="C1058" t="s">
        <v>40</v>
      </c>
      <c r="D1058">
        <v>4.4650829999999999</v>
      </c>
      <c r="E1058">
        <v>0.19473599999999999</v>
      </c>
      <c r="F1058" t="s">
        <v>42</v>
      </c>
      <c r="G1058">
        <v>-257.40210000000002</v>
      </c>
      <c r="H1058" s="1">
        <v>-3.3562090000000002E-6</v>
      </c>
      <c r="I1058">
        <v>378.63139999999999</v>
      </c>
      <c r="J1058">
        <v>-270.00650000000002</v>
      </c>
      <c r="K1058">
        <v>1.1101620000000001</v>
      </c>
      <c r="L1058">
        <v>367.59410000000003</v>
      </c>
      <c r="M1058">
        <v>0.99990239999999997</v>
      </c>
      <c r="N1058">
        <v>-1.35636E-2</v>
      </c>
      <c r="O1058">
        <v>-3.3652780000000002E-3</v>
      </c>
      <c r="P1058">
        <v>0.9493241</v>
      </c>
      <c r="Q1058">
        <v>0.31207990000000002</v>
      </c>
      <c r="R1058">
        <v>3.7281880000000003E-2</v>
      </c>
      <c r="S1058">
        <v>3.1438600000000001</v>
      </c>
      <c r="T1058">
        <v>-0.27377360000000001</v>
      </c>
      <c r="U1058">
        <v>2.721924</v>
      </c>
      <c r="V1058">
        <v>-4.0474089999999997E-2</v>
      </c>
      <c r="W1058">
        <v>0.32492589999999999</v>
      </c>
      <c r="X1058">
        <v>0.94487299999999996</v>
      </c>
      <c r="Y1058">
        <v>-0.65532590000000002</v>
      </c>
      <c r="Z1058">
        <v>2.9819709999999999E-2</v>
      </c>
      <c r="AA1058">
        <v>0.75475740000000002</v>
      </c>
      <c r="AB1058">
        <v>30</v>
      </c>
      <c r="AC1058">
        <v>12.604399999999901</v>
      </c>
      <c r="AD1058">
        <v>-1.1101653562089999</v>
      </c>
      <c r="AE1058">
        <v>11.037299999999901</v>
      </c>
      <c r="AF1058">
        <v>-11.0312227758099</v>
      </c>
      <c r="AG1058">
        <v>-1.1101653562089999</v>
      </c>
      <c r="AH1058">
        <v>12.512242825309199</v>
      </c>
      <c r="AI1058">
        <v>93.807652649006201</v>
      </c>
      <c r="AJ1058">
        <v>131.40050723853699</v>
      </c>
      <c r="AK1058">
        <v>16.7175525591271</v>
      </c>
      <c r="AL1058">
        <v>71.038914064570506</v>
      </c>
      <c r="AM1058">
        <v>92.452792849802407</v>
      </c>
      <c r="AN1058">
        <v>0.99999998929056799</v>
      </c>
    </row>
    <row r="1059" spans="1:40" x14ac:dyDescent="0.25">
      <c r="A1059" t="str">
        <f>"20190304164839565"</f>
        <v>20190304164839565</v>
      </c>
      <c r="B1059" t="str">
        <f>"1551689319557190"</f>
        <v>1551689319557190</v>
      </c>
      <c r="C1059" t="s">
        <v>40</v>
      </c>
      <c r="D1059">
        <v>4.5115339999999904</v>
      </c>
      <c r="E1059">
        <v>0.19473599999999999</v>
      </c>
      <c r="F1059" t="s">
        <v>42</v>
      </c>
      <c r="G1059">
        <v>-257.36290000000002</v>
      </c>
      <c r="H1059" s="1">
        <v>-3.3524120000000002E-6</v>
      </c>
      <c r="I1059">
        <v>378.53489999999999</v>
      </c>
      <c r="J1059">
        <v>-269.86</v>
      </c>
      <c r="K1059">
        <v>1.1102099999999999</v>
      </c>
      <c r="L1059">
        <v>367.59359999999998</v>
      </c>
      <c r="M1059">
        <v>0.99990199999999996</v>
      </c>
      <c r="N1059">
        <v>-1.3604689999999999E-2</v>
      </c>
      <c r="O1059">
        <v>-3.352739E-3</v>
      </c>
      <c r="P1059">
        <v>0.94939980000000002</v>
      </c>
      <c r="Q1059">
        <v>0.3118322</v>
      </c>
      <c r="R1059">
        <v>3.7431730000000003E-2</v>
      </c>
      <c r="S1059">
        <v>3.1440730000000001</v>
      </c>
      <c r="T1059">
        <v>-0.27606190000000003</v>
      </c>
      <c r="U1059">
        <v>2.7206419999999998</v>
      </c>
      <c r="V1059">
        <v>-4.0615480000000002E-2</v>
      </c>
      <c r="W1059">
        <v>0.32471809999999901</v>
      </c>
      <c r="X1059">
        <v>0.94493839999999996</v>
      </c>
      <c r="Y1059">
        <v>-0.655088</v>
      </c>
      <c r="Z1059">
        <v>3.0031169999999999E-2</v>
      </c>
      <c r="AA1059">
        <v>0.75495559999999995</v>
      </c>
      <c r="AB1059">
        <v>30</v>
      </c>
      <c r="AC1059">
        <v>12.4970999999999</v>
      </c>
      <c r="AD1059">
        <v>-1.1102133524119999</v>
      </c>
      <c r="AE1059">
        <v>10.9413</v>
      </c>
      <c r="AF1059">
        <v>-10.934291461532</v>
      </c>
      <c r="AG1059">
        <v>-1.1102133524119999</v>
      </c>
      <c r="AH1059">
        <v>12.404922376372401</v>
      </c>
      <c r="AI1059">
        <v>93.841016038595995</v>
      </c>
      <c r="AJ1059">
        <v>131.394493258832</v>
      </c>
      <c r="AK1059">
        <v>16.573273744720101</v>
      </c>
      <c r="AL1059">
        <v>71.0515033655319</v>
      </c>
      <c r="AM1059">
        <v>92.461180641587205</v>
      </c>
      <c r="AN1059">
        <v>1.0000000207388999</v>
      </c>
    </row>
    <row r="1060" spans="1:40" x14ac:dyDescent="0.25">
      <c r="A1060" t="str">
        <f>"20190304164839576"</f>
        <v>20190304164839576</v>
      </c>
      <c r="B1060" t="str">
        <f>"1551689319566950"</f>
        <v>1551689319566950</v>
      </c>
      <c r="C1060" t="s">
        <v>40</v>
      </c>
      <c r="D1060">
        <v>4.8114699999999999</v>
      </c>
      <c r="E1060">
        <v>0.19473599999999999</v>
      </c>
      <c r="F1060" t="s">
        <v>42</v>
      </c>
      <c r="G1060">
        <v>-257.31720000000001</v>
      </c>
      <c r="H1060" s="1">
        <v>-3.3523200000000002E-6</v>
      </c>
      <c r="I1060">
        <v>378.44659999999999</v>
      </c>
      <c r="J1060">
        <v>-269.71210000000002</v>
      </c>
      <c r="K1060">
        <v>1.1102559999999999</v>
      </c>
      <c r="L1060">
        <v>367.59309999999999</v>
      </c>
      <c r="M1060">
        <v>0.99990140000000005</v>
      </c>
      <c r="N1060">
        <v>-1.3645350000000001E-2</v>
      </c>
      <c r="O1060">
        <v>-3.339482E-3</v>
      </c>
      <c r="P1060">
        <v>0.94956450000000003</v>
      </c>
      <c r="Q1060">
        <v>0.31132840000000001</v>
      </c>
      <c r="R1060">
        <v>3.7447639999999997E-2</v>
      </c>
      <c r="S1060">
        <v>3.1440429999999999</v>
      </c>
      <c r="T1060">
        <v>-0.27828900000000001</v>
      </c>
      <c r="U1060">
        <v>2.720459</v>
      </c>
      <c r="V1060">
        <v>-4.0622310000000002E-2</v>
      </c>
      <c r="W1060">
        <v>0.3242544</v>
      </c>
      <c r="X1060">
        <v>0.94509730000000003</v>
      </c>
      <c r="Y1060">
        <v>-0.65502910000000003</v>
      </c>
      <c r="Z1060">
        <v>3.0244420000000001E-2</v>
      </c>
      <c r="AA1060">
        <v>0.75499810000000001</v>
      </c>
      <c r="AB1060">
        <v>30</v>
      </c>
      <c r="AC1060">
        <v>12.3949</v>
      </c>
      <c r="AD1060">
        <v>-1.1102593523199999</v>
      </c>
      <c r="AE1060">
        <v>10.853499999999899</v>
      </c>
      <c r="AF1060">
        <v>-10.845581958542001</v>
      </c>
      <c r="AG1060">
        <v>-1.1102593523199999</v>
      </c>
      <c r="AH1060">
        <v>12.302711148832</v>
      </c>
      <c r="AI1060">
        <v>93.872775040288701</v>
      </c>
      <c r="AJ1060">
        <v>131.39812128765701</v>
      </c>
      <c r="AK1060">
        <v>16.4382488562639</v>
      </c>
      <c r="AL1060">
        <v>71.079590779868795</v>
      </c>
      <c r="AM1060">
        <v>92.461180649880106</v>
      </c>
      <c r="AN1060">
        <v>0.99999999722819299</v>
      </c>
    </row>
    <row r="1061" spans="1:40" x14ac:dyDescent="0.25">
      <c r="A1061" t="str">
        <f>"20190304164839587"</f>
        <v>20190304164839587</v>
      </c>
      <c r="B1061" t="str">
        <f>"1551689319577686"</f>
        <v>1551689319577686</v>
      </c>
      <c r="C1061" t="s">
        <v>40</v>
      </c>
      <c r="D1061">
        <v>4.457179</v>
      </c>
      <c r="E1061">
        <v>0.34078740000000002</v>
      </c>
      <c r="F1061" t="s">
        <v>42</v>
      </c>
      <c r="G1061">
        <v>-257.28719999999998</v>
      </c>
      <c r="H1061" s="1">
        <v>-3.3439470000000001E-6</v>
      </c>
      <c r="I1061">
        <v>378.34190000000001</v>
      </c>
      <c r="J1061">
        <v>-269.55810000000002</v>
      </c>
      <c r="K1061">
        <v>1.110298</v>
      </c>
      <c r="L1061">
        <v>367.5926</v>
      </c>
      <c r="M1061">
        <v>0.99990089999999998</v>
      </c>
      <c r="N1061">
        <v>-1.3683509999999999E-2</v>
      </c>
      <c r="O1061">
        <v>-3.3222809999999998E-3</v>
      </c>
      <c r="P1061">
        <v>0.94982449999999996</v>
      </c>
      <c r="Q1061">
        <v>0.3105232</v>
      </c>
      <c r="R1061">
        <v>3.7531040000000002E-2</v>
      </c>
      <c r="S1061">
        <v>3.144196</v>
      </c>
      <c r="T1061">
        <v>-0.28095690000000001</v>
      </c>
      <c r="U1061">
        <v>2.720062</v>
      </c>
      <c r="V1061">
        <v>-4.0692619999999999E-2</v>
      </c>
      <c r="W1061">
        <v>0.32348840000000001</v>
      </c>
      <c r="X1061">
        <v>0.94535670000000005</v>
      </c>
      <c r="Y1061">
        <v>-0.65491140000000003</v>
      </c>
      <c r="Z1061">
        <v>3.0492740000000001E-2</v>
      </c>
      <c r="AA1061">
        <v>0.75509029999999999</v>
      </c>
      <c r="AB1061">
        <v>30</v>
      </c>
      <c r="AC1061">
        <v>12.270899999999999</v>
      </c>
      <c r="AD1061">
        <v>-1.110301343947</v>
      </c>
      <c r="AE1061">
        <v>10.7493</v>
      </c>
      <c r="AF1061">
        <v>-10.740259347756</v>
      </c>
      <c r="AG1061">
        <v>-1.110301343947</v>
      </c>
      <c r="AH1061">
        <v>12.178700870731801</v>
      </c>
      <c r="AI1061">
        <v>93.911600074191995</v>
      </c>
      <c r="AJ1061">
        <v>131.408708448342</v>
      </c>
      <c r="AK1061">
        <v>16.2759544982836</v>
      </c>
      <c r="AL1061">
        <v>71.125978972383194</v>
      </c>
      <c r="AM1061">
        <v>92.464759598698706</v>
      </c>
      <c r="AN1061">
        <v>0.999999962245956</v>
      </c>
    </row>
    <row r="1062" spans="1:40" x14ac:dyDescent="0.25">
      <c r="A1062" t="str">
        <f>"20190304164839599"</f>
        <v>20190304164839599</v>
      </c>
      <c r="B1062" t="str">
        <f>"1551689319587446"</f>
        <v>1551689319587446</v>
      </c>
      <c r="C1062" t="s">
        <v>40</v>
      </c>
      <c r="D1062">
        <v>4.9043979999999996</v>
      </c>
      <c r="E1062">
        <v>0.34078740000000002</v>
      </c>
      <c r="F1062" t="s">
        <v>41</v>
      </c>
      <c r="G1062">
        <v>-268.67399999999998</v>
      </c>
      <c r="H1062">
        <v>1.034616</v>
      </c>
      <c r="I1062">
        <v>368.02190000000002</v>
      </c>
      <c r="J1062">
        <v>-269.41230000000002</v>
      </c>
      <c r="K1062">
        <v>1.1103350000000001</v>
      </c>
      <c r="L1062">
        <v>367.59210000000002</v>
      </c>
      <c r="M1062">
        <v>0.99990049999999997</v>
      </c>
      <c r="N1062">
        <v>-1.3718299999999999E-2</v>
      </c>
      <c r="O1062">
        <v>-3.3050649999999998E-3</v>
      </c>
      <c r="P1062">
        <v>0.94993320000000003</v>
      </c>
      <c r="Q1062">
        <v>0.31016860000000002</v>
      </c>
      <c r="R1062">
        <v>3.77177E-2</v>
      </c>
      <c r="S1062">
        <v>3.186493</v>
      </c>
      <c r="T1062">
        <v>-0.2727482</v>
      </c>
      <c r="U1062">
        <v>1.5473939999999999</v>
      </c>
      <c r="V1062">
        <v>-4.0865940000000003E-2</v>
      </c>
      <c r="W1062">
        <v>0.32316790000000001</v>
      </c>
      <c r="X1062">
        <v>0.94545889999999999</v>
      </c>
      <c r="Y1062">
        <v>-0.43824839999999998</v>
      </c>
      <c r="Z1062">
        <v>2.1131580000000001E-2</v>
      </c>
      <c r="AA1062">
        <v>0.89860549999999995</v>
      </c>
      <c r="AB1062">
        <v>30</v>
      </c>
      <c r="AC1062">
        <v>0.73829999999998097</v>
      </c>
      <c r="AD1062">
        <v>-7.5718999999999995E-2</v>
      </c>
      <c r="AE1062">
        <v>0.42980000000000002</v>
      </c>
      <c r="AF1062">
        <v>-0.42886885212135401</v>
      </c>
      <c r="AG1062">
        <v>-7.5718999999999995E-2</v>
      </c>
      <c r="AH1062">
        <v>0.73113160564719804</v>
      </c>
      <c r="AI1062">
        <v>95.1046780534937</v>
      </c>
      <c r="AJ1062">
        <v>120.395131048005</v>
      </c>
      <c r="AK1062">
        <v>0.85100839247162396</v>
      </c>
      <c r="AL1062">
        <v>71.145385817862504</v>
      </c>
      <c r="AM1062">
        <v>92.474977363614499</v>
      </c>
      <c r="AN1062">
        <v>1.00000002411585</v>
      </c>
    </row>
    <row r="1063" spans="1:40" x14ac:dyDescent="0.25">
      <c r="A1063" t="str">
        <f>"20190304164839609"</f>
        <v>20190304164839609</v>
      </c>
      <c r="B1063" t="str">
        <f>"1551689319597205"</f>
        <v>1551689319597205</v>
      </c>
      <c r="C1063" t="s">
        <v>40</v>
      </c>
      <c r="D1063">
        <v>4.6141480000000001</v>
      </c>
      <c r="E1063">
        <v>0.45124819999999999</v>
      </c>
      <c r="F1063" t="s">
        <v>41</v>
      </c>
      <c r="G1063">
        <v>-268.46699999999998</v>
      </c>
      <c r="H1063">
        <v>1.028985</v>
      </c>
      <c r="I1063">
        <v>368.05130000000003</v>
      </c>
      <c r="J1063">
        <v>-269.26420000000002</v>
      </c>
      <c r="K1063">
        <v>1.1103719999999999</v>
      </c>
      <c r="L1063">
        <v>367.5917</v>
      </c>
      <c r="M1063">
        <v>0.99990009999999996</v>
      </c>
      <c r="N1063">
        <v>-1.3750760000000001E-2</v>
      </c>
      <c r="O1063">
        <v>-3.2860509999999999E-3</v>
      </c>
      <c r="P1063">
        <v>0.95000720000000005</v>
      </c>
      <c r="Q1063">
        <v>0.30993969999999998</v>
      </c>
      <c r="R1063">
        <v>3.7736449999999998E-2</v>
      </c>
      <c r="S1063">
        <v>3.186188</v>
      </c>
      <c r="T1063">
        <v>-0.27421610000000002</v>
      </c>
      <c r="U1063">
        <v>1.547668</v>
      </c>
      <c r="V1063">
        <v>-4.0868839999999997E-2</v>
      </c>
      <c r="W1063">
        <v>0.3229708</v>
      </c>
      <c r="X1063">
        <v>0.94552610000000004</v>
      </c>
      <c r="Y1063">
        <v>-0.43831140000000002</v>
      </c>
      <c r="Z1063">
        <v>2.1238650000000001E-2</v>
      </c>
      <c r="AA1063">
        <v>0.89857219999999904</v>
      </c>
      <c r="AB1063">
        <v>30</v>
      </c>
      <c r="AC1063">
        <v>0.79720000000003199</v>
      </c>
      <c r="AD1063">
        <v>-8.1386999999999807E-2</v>
      </c>
      <c r="AE1063">
        <v>0.45960000000002299</v>
      </c>
      <c r="AF1063">
        <v>-0.45862973992581502</v>
      </c>
      <c r="AG1063">
        <v>-8.1386999999999807E-2</v>
      </c>
      <c r="AH1063">
        <v>0.78950928749987903</v>
      </c>
      <c r="AI1063">
        <v>95.093722821064901</v>
      </c>
      <c r="AJ1063">
        <v>120.152509893878</v>
      </c>
      <c r="AK1063">
        <v>0.916673331761096</v>
      </c>
      <c r="AL1063">
        <v>71.157318296179497</v>
      </c>
      <c r="AM1063">
        <v>92.474977084669902</v>
      </c>
      <c r="AN1063">
        <v>1.00000000275839</v>
      </c>
    </row>
    <row r="1064" spans="1:40" x14ac:dyDescent="0.25">
      <c r="A1064" t="str">
        <f>"20190304164839621"</f>
        <v>20190304164839621</v>
      </c>
      <c r="B1064" t="str">
        <f>"1551689319617702"</f>
        <v>1551689319617702</v>
      </c>
      <c r="C1064" t="s">
        <v>40</v>
      </c>
      <c r="D1064">
        <v>4.4483259999999998</v>
      </c>
      <c r="E1064">
        <v>0.46888259999999998</v>
      </c>
      <c r="F1064" t="s">
        <v>42</v>
      </c>
      <c r="G1064">
        <v>-253.65610000000001</v>
      </c>
      <c r="H1064" s="1">
        <v>-3.0146829999999999E-6</v>
      </c>
      <c r="I1064">
        <v>370.78449999999998</v>
      </c>
      <c r="J1064">
        <v>-269.11070000000001</v>
      </c>
      <c r="K1064">
        <v>1.110403</v>
      </c>
      <c r="L1064">
        <v>367.59120000000001</v>
      </c>
      <c r="M1064">
        <v>0.9998996</v>
      </c>
      <c r="N1064">
        <v>-1.378244E-2</v>
      </c>
      <c r="O1064">
        <v>-3.2647750000000001E-3</v>
      </c>
      <c r="P1064">
        <v>0.95021469999999997</v>
      </c>
      <c r="Q1064">
        <v>0.30926599999999999</v>
      </c>
      <c r="R1064">
        <v>3.8036059999999997E-2</v>
      </c>
      <c r="S1064">
        <v>3.2062379999999999</v>
      </c>
      <c r="T1064">
        <v>-0.22809260000000001</v>
      </c>
      <c r="U1064">
        <v>0.65588380000000002</v>
      </c>
      <c r="V1064">
        <v>-4.115067E-2</v>
      </c>
      <c r="W1064">
        <v>0.32232949999999999</v>
      </c>
      <c r="X1064">
        <v>0.94573269999999998</v>
      </c>
      <c r="Y1064">
        <v>-0.2030158</v>
      </c>
      <c r="Z1064">
        <v>8.7391340000000008E-3</v>
      </c>
      <c r="AA1064">
        <v>0.97913649999999997</v>
      </c>
      <c r="AB1064">
        <v>30</v>
      </c>
      <c r="AC1064">
        <v>15.454599999999999</v>
      </c>
      <c r="AD1064">
        <v>-1.1104060146829999</v>
      </c>
      <c r="AE1064">
        <v>3.1932999999999598</v>
      </c>
      <c r="AF1064">
        <v>-3.2277629720933501</v>
      </c>
      <c r="AG1064">
        <v>-1.1104060146829999</v>
      </c>
      <c r="AH1064">
        <v>15.3680045147117</v>
      </c>
      <c r="AI1064">
        <v>94.044742623683007</v>
      </c>
      <c r="AJ1064">
        <v>101.86150031161699</v>
      </c>
      <c r="AK1064">
        <v>15.742522608707301</v>
      </c>
      <c r="AL1064">
        <v>71.196138417978901</v>
      </c>
      <c r="AM1064">
        <v>92.491479282998299</v>
      </c>
      <c r="AN1064">
        <v>1.0000000120304899</v>
      </c>
    </row>
    <row r="1065" spans="1:40" x14ac:dyDescent="0.25">
      <c r="A1065" t="str">
        <f>"20190304164839632"</f>
        <v>20190304164839632</v>
      </c>
      <c r="B1065" t="str">
        <f>"1551689319627462"</f>
        <v>1551689319627462</v>
      </c>
      <c r="C1065" t="s">
        <v>40</v>
      </c>
      <c r="D1065">
        <v>4.3979119999999998</v>
      </c>
      <c r="E1065">
        <v>0.53838280000000005</v>
      </c>
      <c r="F1065" t="s">
        <v>42</v>
      </c>
      <c r="G1065">
        <v>-252.2868</v>
      </c>
      <c r="H1065" s="1">
        <v>-3.4690729999999998E-6</v>
      </c>
      <c r="I1065">
        <v>370.28460000000001</v>
      </c>
      <c r="J1065">
        <v>-268.95679999999999</v>
      </c>
      <c r="K1065">
        <v>1.1104369999999999</v>
      </c>
      <c r="L1065">
        <v>367.59070000000003</v>
      </c>
      <c r="M1065">
        <v>0.99989950000000005</v>
      </c>
      <c r="N1065">
        <v>-1.381244E-2</v>
      </c>
      <c r="O1065">
        <v>-3.242661E-3</v>
      </c>
      <c r="P1065">
        <v>0.95034030000000003</v>
      </c>
      <c r="Q1065">
        <v>0.30881120000000001</v>
      </c>
      <c r="R1065">
        <v>3.8590979999999997E-2</v>
      </c>
      <c r="S1065">
        <v>3.205505</v>
      </c>
      <c r="T1065">
        <v>-0.21156720000000001</v>
      </c>
      <c r="U1065">
        <v>0.51318359999999996</v>
      </c>
      <c r="V1065">
        <v>-4.1685989999999999E-2</v>
      </c>
      <c r="W1065">
        <v>0.3219051</v>
      </c>
      <c r="X1065">
        <v>0.94585379999999997</v>
      </c>
      <c r="Y1065">
        <v>-0.16086410000000001</v>
      </c>
      <c r="Z1065">
        <v>6.5568629999999996E-3</v>
      </c>
      <c r="AA1065">
        <v>0.98695469999999996</v>
      </c>
      <c r="AB1065">
        <v>30</v>
      </c>
      <c r="AC1065">
        <v>16.669999999999899</v>
      </c>
      <c r="AD1065">
        <v>-1.1104404690729901</v>
      </c>
      <c r="AE1065">
        <v>2.6938999999999802</v>
      </c>
      <c r="AF1065">
        <v>-2.7361141600888099</v>
      </c>
      <c r="AG1065">
        <v>-1.1104404690729901</v>
      </c>
      <c r="AH1065">
        <v>16.5894371687538</v>
      </c>
      <c r="AI1065">
        <v>93.778574796994207</v>
      </c>
      <c r="AJ1065">
        <v>99.365542134540206</v>
      </c>
      <c r="AK1065">
        <v>16.850187663893301</v>
      </c>
      <c r="AL1065">
        <v>71.221823803006501</v>
      </c>
      <c r="AM1065">
        <v>92.523526030010203</v>
      </c>
      <c r="AN1065">
        <v>1.00000001307136</v>
      </c>
    </row>
    <row r="1066" spans="1:40" x14ac:dyDescent="0.25">
      <c r="A1066" t="str">
        <f>"20190304164839645"</f>
        <v>20190304164839645</v>
      </c>
      <c r="B1066" t="str">
        <f>"1551689319637745"</f>
        <v>1551689319637745</v>
      </c>
      <c r="C1066" t="s">
        <v>40</v>
      </c>
      <c r="D1066">
        <v>4.4756289999999996</v>
      </c>
      <c r="E1066">
        <v>0.5444215</v>
      </c>
      <c r="F1066" t="s">
        <v>42</v>
      </c>
      <c r="G1066">
        <v>-250.9101</v>
      </c>
      <c r="H1066" s="1">
        <v>-4.2844739999999999E-6</v>
      </c>
      <c r="I1066">
        <v>367.34649999999999</v>
      </c>
      <c r="J1066">
        <v>-268.7987</v>
      </c>
      <c r="K1066">
        <v>1.110463</v>
      </c>
      <c r="L1066">
        <v>367.59019999999998</v>
      </c>
      <c r="M1066">
        <v>0.99989910000000004</v>
      </c>
      <c r="N1066">
        <v>-1.384053E-2</v>
      </c>
      <c r="O1066">
        <v>-3.2186329999999998E-3</v>
      </c>
      <c r="P1066">
        <v>0.95044059999999997</v>
      </c>
      <c r="Q1066">
        <v>0.30845009999999901</v>
      </c>
      <c r="R1066">
        <v>3.9003969999999999E-2</v>
      </c>
      <c r="S1066">
        <v>3.2229920000000001</v>
      </c>
      <c r="T1066">
        <v>-0.19831470000000001</v>
      </c>
      <c r="U1066">
        <v>-4.3609620000000002E-2</v>
      </c>
      <c r="V1066">
        <v>-4.2077549999999998E-2</v>
      </c>
      <c r="W1066">
        <v>0.32157190000000002</v>
      </c>
      <c r="X1066">
        <v>0.94594979999999995</v>
      </c>
      <c r="Y1066">
        <v>1.029064E-2</v>
      </c>
      <c r="Z1066">
        <v>-2.342539E-4</v>
      </c>
      <c r="AA1066">
        <v>0.99994700000000003</v>
      </c>
      <c r="AB1066">
        <v>30</v>
      </c>
      <c r="AC1066">
        <v>17.888599999999901</v>
      </c>
      <c r="AD1066">
        <v>-1.110467284474</v>
      </c>
      <c r="AE1066">
        <v>-0.24369999999998901</v>
      </c>
      <c r="AF1066">
        <v>0.185402067390803</v>
      </c>
      <c r="AG1066">
        <v>-1.110467284474</v>
      </c>
      <c r="AH1066">
        <v>17.820632166973699</v>
      </c>
      <c r="AI1066">
        <v>93.565501941100294</v>
      </c>
      <c r="AJ1066">
        <v>89.403928399671798</v>
      </c>
      <c r="AK1066">
        <v>17.8561597872291</v>
      </c>
      <c r="AL1066">
        <v>71.241986904172606</v>
      </c>
      <c r="AM1066">
        <v>92.546940483763393</v>
      </c>
      <c r="AN1066">
        <v>1.0000000156018201</v>
      </c>
    </row>
    <row r="1067" spans="1:40" x14ac:dyDescent="0.25">
      <c r="A1067" t="str">
        <f>"20190304164839658"</f>
        <v>20190304164839658</v>
      </c>
      <c r="B1067" t="str">
        <f>"1551689319647504"</f>
        <v>1551689319647504</v>
      </c>
      <c r="C1067" t="s">
        <v>40</v>
      </c>
      <c r="D1067">
        <v>4.4591089999999998</v>
      </c>
      <c r="E1067">
        <v>0.54705109999999901</v>
      </c>
      <c r="F1067" t="s">
        <v>42</v>
      </c>
      <c r="G1067">
        <v>-251.9776</v>
      </c>
      <c r="H1067" s="1">
        <v>-3.8651499999999997E-6</v>
      </c>
      <c r="I1067">
        <v>367.12869999999998</v>
      </c>
      <c r="J1067">
        <v>-268.62459999999999</v>
      </c>
      <c r="K1067">
        <v>1.110492</v>
      </c>
      <c r="L1067">
        <v>367.58969999999999</v>
      </c>
      <c r="M1067">
        <v>0.99989870000000003</v>
      </c>
      <c r="N1067">
        <v>-1.387003E-2</v>
      </c>
      <c r="O1067">
        <v>-3.192233E-3</v>
      </c>
      <c r="P1067">
        <v>0.95049300000000003</v>
      </c>
      <c r="Q1067">
        <v>0.30824259999999998</v>
      </c>
      <c r="R1067">
        <v>3.9366369999999998E-2</v>
      </c>
      <c r="S1067">
        <v>3.2292480000000001</v>
      </c>
      <c r="T1067">
        <v>-0.21318229999999999</v>
      </c>
      <c r="U1067">
        <v>-8.8592530000000003E-2</v>
      </c>
      <c r="V1067">
        <v>-4.2416309999999999E-2</v>
      </c>
      <c r="W1067">
        <v>0.32139259999999997</v>
      </c>
      <c r="X1067">
        <v>0.94599560000000005</v>
      </c>
      <c r="Y1067">
        <v>2.417329E-2</v>
      </c>
      <c r="Z1067">
        <v>-7.9856359999999995E-4</v>
      </c>
      <c r="AA1067">
        <v>0.99970749999999997</v>
      </c>
      <c r="AB1067">
        <v>30</v>
      </c>
      <c r="AC1067">
        <v>16.646999999999899</v>
      </c>
      <c r="AD1067">
        <v>-1.1104958651500001</v>
      </c>
      <c r="AE1067">
        <v>-0.46100000000001201</v>
      </c>
      <c r="AF1067">
        <v>0.40604590736763702</v>
      </c>
      <c r="AG1067">
        <v>-1.1104958651500001</v>
      </c>
      <c r="AH1067">
        <v>16.5746857673245</v>
      </c>
      <c r="AI1067">
        <v>93.831914426268895</v>
      </c>
      <c r="AJ1067">
        <v>88.596651262210102</v>
      </c>
      <c r="AK1067">
        <v>16.6168072333693</v>
      </c>
      <c r="AL1067">
        <v>71.252835862064501</v>
      </c>
      <c r="AM1067">
        <v>92.567294054656699</v>
      </c>
      <c r="AN1067">
        <v>1.0000000109540601</v>
      </c>
    </row>
    <row r="1068" spans="1:40" x14ac:dyDescent="0.25">
      <c r="A1068" t="str">
        <f>"20190304164839671"</f>
        <v>20190304164839671</v>
      </c>
      <c r="B1068" t="str">
        <f>"1551689319667025"</f>
        <v>1551689319667025</v>
      </c>
      <c r="C1068" t="s">
        <v>40</v>
      </c>
      <c r="D1068">
        <v>4.444229</v>
      </c>
      <c r="E1068">
        <v>0.54833900000000002</v>
      </c>
      <c r="F1068" t="s">
        <v>41</v>
      </c>
      <c r="G1068">
        <v>-267.6583</v>
      </c>
      <c r="H1068">
        <v>1.044564</v>
      </c>
      <c r="I1068">
        <v>367.5573</v>
      </c>
      <c r="J1068">
        <v>-268.43950000000001</v>
      </c>
      <c r="K1068">
        <v>1.110517</v>
      </c>
      <c r="L1068">
        <v>367.58909999999997</v>
      </c>
      <c r="M1068">
        <v>0.99989839999999997</v>
      </c>
      <c r="N1068">
        <v>-1.3898529999999999E-2</v>
      </c>
      <c r="O1068">
        <v>-3.1628590000000001E-3</v>
      </c>
      <c r="P1068">
        <v>0.95045190000000002</v>
      </c>
      <c r="Q1068">
        <v>0.308320599999999</v>
      </c>
      <c r="R1068">
        <v>3.9748329999999998E-2</v>
      </c>
      <c r="S1068">
        <v>3.2322690000000001</v>
      </c>
      <c r="T1068">
        <v>-0.22066810000000001</v>
      </c>
      <c r="U1068">
        <v>-0.1078491</v>
      </c>
      <c r="V1068">
        <v>-4.2770610000000001E-2</v>
      </c>
      <c r="W1068">
        <v>0.32149689999999997</v>
      </c>
      <c r="X1068">
        <v>0.94594420000000001</v>
      </c>
      <c r="Y1068">
        <v>3.0106609999999999E-2</v>
      </c>
      <c r="Z1068">
        <v>-1.0640879999999999E-3</v>
      </c>
      <c r="AA1068">
        <v>0.99954609999999999</v>
      </c>
      <c r="AB1068">
        <v>30</v>
      </c>
      <c r="AC1068">
        <v>0.781200000000012</v>
      </c>
      <c r="AD1068">
        <v>-6.5952999999999901E-2</v>
      </c>
      <c r="AE1068">
        <v>-3.1799999999975598E-2</v>
      </c>
      <c r="AF1068">
        <v>2.9121552725605699E-2</v>
      </c>
      <c r="AG1068">
        <v>-6.5952999999999901E-2</v>
      </c>
      <c r="AH1068">
        <v>0.77577638710591701</v>
      </c>
      <c r="AI1068">
        <v>94.855939565859998</v>
      </c>
      <c r="AJ1068">
        <v>87.8502065620455</v>
      </c>
      <c r="AK1068">
        <v>0.77911928857733903</v>
      </c>
      <c r="AL1068">
        <v>71.246524880349298</v>
      </c>
      <c r="AM1068">
        <v>92.588849874341307</v>
      </c>
      <c r="AN1068">
        <v>1.0000000056515099</v>
      </c>
    </row>
    <row r="1069" spans="1:40" x14ac:dyDescent="0.25">
      <c r="A1069" t="str">
        <f>"20190304164839683"</f>
        <v>20190304164839683</v>
      </c>
      <c r="B1069" t="str">
        <f>"1551689319677761"</f>
        <v>1551689319677761</v>
      </c>
      <c r="C1069" t="s">
        <v>40</v>
      </c>
      <c r="D1069">
        <v>4.3758419999999996</v>
      </c>
      <c r="E1069">
        <v>0.54841359999999995</v>
      </c>
      <c r="F1069" t="s">
        <v>42</v>
      </c>
      <c r="G1069">
        <v>-251.6353</v>
      </c>
      <c r="H1069" s="1">
        <v>-4.0386629999999996E-6</v>
      </c>
      <c r="I1069">
        <v>366.97859999999997</v>
      </c>
      <c r="J1069">
        <v>-268.28230000000002</v>
      </c>
      <c r="K1069">
        <v>1.1105400000000001</v>
      </c>
      <c r="L1069">
        <v>367.58870000000002</v>
      </c>
      <c r="M1069">
        <v>0.99989819999999996</v>
      </c>
      <c r="N1069">
        <v>-1.3920729999999999E-2</v>
      </c>
      <c r="O1069">
        <v>-3.1383299999999999E-3</v>
      </c>
      <c r="P1069">
        <v>0.95044450000000003</v>
      </c>
      <c r="Q1069">
        <v>0.3083013</v>
      </c>
      <c r="R1069">
        <v>4.0071519999999999E-2</v>
      </c>
      <c r="S1069">
        <v>3.2305600000000001</v>
      </c>
      <c r="T1069">
        <v>-0.2134933</v>
      </c>
      <c r="U1069">
        <v>-0.11737060000000001</v>
      </c>
      <c r="V1069">
        <v>-4.3070539999999997E-2</v>
      </c>
      <c r="W1069">
        <v>0.32149879999999997</v>
      </c>
      <c r="X1069">
        <v>0.94592989999999999</v>
      </c>
      <c r="Y1069">
        <v>3.3087599999999898E-2</v>
      </c>
      <c r="Z1069">
        <v>-1.1589860000000001E-3</v>
      </c>
      <c r="AA1069">
        <v>0.9994518</v>
      </c>
      <c r="AB1069">
        <v>30</v>
      </c>
      <c r="AC1069">
        <v>16.646999999999998</v>
      </c>
      <c r="AD1069">
        <v>-1.1105440386630001</v>
      </c>
      <c r="AE1069">
        <v>-0.61010000000004505</v>
      </c>
      <c r="AF1069">
        <v>0.55537980374022899</v>
      </c>
      <c r="AG1069">
        <v>-1.1105440386630001</v>
      </c>
      <c r="AH1069">
        <v>16.575165619960501</v>
      </c>
      <c r="AI1069">
        <v>93.830972320997503</v>
      </c>
      <c r="AJ1069">
        <v>88.080923047262402</v>
      </c>
      <c r="AK1069">
        <v>16.6216085297823</v>
      </c>
      <c r="AL1069">
        <v>71.2464090806169</v>
      </c>
      <c r="AM1069">
        <v>92.6070186477954</v>
      </c>
      <c r="AN1069">
        <v>0.99999996276567005</v>
      </c>
    </row>
    <row r="1070" spans="1:40" x14ac:dyDescent="0.25">
      <c r="A1070" t="str">
        <f>"20190304164839695"</f>
        <v>20190304164839695</v>
      </c>
      <c r="B1070" t="str">
        <f>"1551689319687521"</f>
        <v>1551689319687521</v>
      </c>
      <c r="C1070" t="s">
        <v>40</v>
      </c>
      <c r="D1070">
        <v>4.3988350000000001</v>
      </c>
      <c r="E1070">
        <v>0.54845109999999997</v>
      </c>
      <c r="F1070" t="s">
        <v>42</v>
      </c>
      <c r="G1070">
        <v>-251.60560000000001</v>
      </c>
      <c r="H1070" s="1">
        <v>-4.0494660000000003E-6</v>
      </c>
      <c r="I1070">
        <v>366.98939999999999</v>
      </c>
      <c r="J1070">
        <v>-268.12470000000002</v>
      </c>
      <c r="K1070">
        <v>1.110563</v>
      </c>
      <c r="L1070">
        <v>367.58819999999997</v>
      </c>
      <c r="M1070">
        <v>0.99989810000000001</v>
      </c>
      <c r="N1070">
        <v>-1.3942110000000001E-2</v>
      </c>
      <c r="O1070">
        <v>-3.1137970000000002E-3</v>
      </c>
      <c r="P1070">
        <v>0.95040950000000002</v>
      </c>
      <c r="Q1070">
        <v>0.30839080000000002</v>
      </c>
      <c r="R1070">
        <v>4.0211999999999998E-2</v>
      </c>
      <c r="S1070">
        <v>3.2311100000000001</v>
      </c>
      <c r="T1070">
        <v>-0.21516589999999999</v>
      </c>
      <c r="U1070">
        <v>-0.11608889999999999</v>
      </c>
      <c r="V1070">
        <v>-4.3187929999999999E-2</v>
      </c>
      <c r="W1070">
        <v>0.32160749999999999</v>
      </c>
      <c r="X1070">
        <v>0.94588760000000005</v>
      </c>
      <c r="Y1070">
        <v>3.2709809999999999E-2</v>
      </c>
      <c r="Z1070">
        <v>-1.1522699999999999E-3</v>
      </c>
      <c r="AA1070">
        <v>0.99946420000000002</v>
      </c>
      <c r="AB1070">
        <v>30</v>
      </c>
      <c r="AC1070">
        <v>16.519100000000002</v>
      </c>
      <c r="AD1070">
        <v>-1.110567049466</v>
      </c>
      <c r="AE1070">
        <v>-0.59879999999998201</v>
      </c>
      <c r="AF1070">
        <v>0.54489540723845098</v>
      </c>
      <c r="AG1070">
        <v>-1.110567049466</v>
      </c>
      <c r="AH1070">
        <v>16.4466470297311</v>
      </c>
      <c r="AI1070">
        <v>93.8609462769695</v>
      </c>
      <c r="AJ1070">
        <v>88.102422249552902</v>
      </c>
      <c r="AK1070">
        <v>16.493103670830202</v>
      </c>
      <c r="AL1070">
        <v>71.239831789819206</v>
      </c>
      <c r="AM1070">
        <v>92.614231049904106</v>
      </c>
      <c r="AN1070">
        <v>0.99999996659384605</v>
      </c>
    </row>
    <row r="1071" spans="1:40" x14ac:dyDescent="0.25">
      <c r="A1071" t="str">
        <f>"20190304164839705"</f>
        <v>20190304164839705</v>
      </c>
      <c r="B1071" t="str">
        <f>"1551689319697281"</f>
        <v>1551689319697281</v>
      </c>
      <c r="C1071" t="s">
        <v>40</v>
      </c>
      <c r="D1071">
        <v>4.3553069999999998</v>
      </c>
      <c r="E1071">
        <v>0.548315</v>
      </c>
      <c r="F1071" t="s">
        <v>41</v>
      </c>
      <c r="G1071">
        <v>-267.12779999999998</v>
      </c>
      <c r="H1071">
        <v>1.0435589999999999</v>
      </c>
      <c r="I1071">
        <v>367.55250000000001</v>
      </c>
      <c r="J1071">
        <v>-267.98480000000001</v>
      </c>
      <c r="K1071">
        <v>1.110582</v>
      </c>
      <c r="L1071">
        <v>367.58780000000002</v>
      </c>
      <c r="M1071">
        <v>0.99989779999999995</v>
      </c>
      <c r="N1071">
        <v>-1.395879E-2</v>
      </c>
      <c r="O1071">
        <v>-3.0924500000000001E-3</v>
      </c>
      <c r="P1071">
        <v>0.95017030000000002</v>
      </c>
      <c r="Q1071">
        <v>0.30910470000000001</v>
      </c>
      <c r="R1071">
        <v>4.038485E-2</v>
      </c>
      <c r="S1071">
        <v>3.2319640000000001</v>
      </c>
      <c r="T1071">
        <v>-0.21740770000000001</v>
      </c>
      <c r="U1071">
        <v>-0.1152344</v>
      </c>
      <c r="V1071">
        <v>-4.3340360000000001E-2</v>
      </c>
      <c r="W1071">
        <v>0.3223335</v>
      </c>
      <c r="X1071">
        <v>0.94563350000000002</v>
      </c>
      <c r="Y1071">
        <v>3.2456869999999999E-2</v>
      </c>
      <c r="Z1071">
        <v>-1.152396E-3</v>
      </c>
      <c r="AA1071">
        <v>0.99947249999999999</v>
      </c>
      <c r="AB1071">
        <v>30</v>
      </c>
      <c r="AC1071">
        <v>0.85700000000002696</v>
      </c>
      <c r="AD1071">
        <v>-6.7022999999999805E-2</v>
      </c>
      <c r="AE1071">
        <v>-3.53000000000065E-2</v>
      </c>
      <c r="AF1071">
        <v>3.2451199458787099E-2</v>
      </c>
      <c r="AG1071">
        <v>-6.7022999999999805E-2</v>
      </c>
      <c r="AH1071">
        <v>0.85190343609465902</v>
      </c>
      <c r="AI1071">
        <v>94.495198808959003</v>
      </c>
      <c r="AJ1071">
        <v>87.818510695760096</v>
      </c>
      <c r="AK1071">
        <v>0.85515181535514495</v>
      </c>
      <c r="AL1071">
        <v>71.195895964597597</v>
      </c>
      <c r="AM1071">
        <v>92.624148958768103</v>
      </c>
      <c r="AN1071">
        <v>0.99999999417471397</v>
      </c>
    </row>
    <row r="1072" spans="1:40" x14ac:dyDescent="0.25">
      <c r="A1072" t="str">
        <f>"20190304164839715"</f>
        <v>20190304164839715</v>
      </c>
      <c r="B1072" t="str">
        <f>"1551689319707041"</f>
        <v>1551689319707041</v>
      </c>
      <c r="C1072" t="s">
        <v>40</v>
      </c>
      <c r="D1072">
        <v>4.3942310000000004</v>
      </c>
      <c r="E1072">
        <v>0.54820530000000001</v>
      </c>
      <c r="F1072" t="s">
        <v>42</v>
      </c>
      <c r="G1072">
        <v>-251.37209999999999</v>
      </c>
      <c r="H1072" s="1">
        <v>-4.1470180000000003E-6</v>
      </c>
      <c r="I1072">
        <v>367.00420000000003</v>
      </c>
      <c r="J1072">
        <v>-267.8449</v>
      </c>
      <c r="K1072">
        <v>1.1105989999999999</v>
      </c>
      <c r="L1072">
        <v>367.5874</v>
      </c>
      <c r="M1072">
        <v>0.99989760000000005</v>
      </c>
      <c r="N1072">
        <v>-1.397526E-2</v>
      </c>
      <c r="O1072">
        <v>-3.0711029999999999E-3</v>
      </c>
      <c r="P1072">
        <v>0.95002549999999997</v>
      </c>
      <c r="Q1072">
        <v>0.30955339999999998</v>
      </c>
      <c r="R1072">
        <v>4.0350150000000001E-2</v>
      </c>
      <c r="S1072">
        <v>3.2324519999999999</v>
      </c>
      <c r="T1072">
        <v>-0.21609349999999999</v>
      </c>
      <c r="U1072">
        <v>-0.1135559</v>
      </c>
      <c r="V1072">
        <v>-4.3284900000000001E-2</v>
      </c>
      <c r="W1072">
        <v>0.32279609999999997</v>
      </c>
      <c r="X1072">
        <v>0.94547829999999999</v>
      </c>
      <c r="Y1072">
        <v>3.1956720000000001E-2</v>
      </c>
      <c r="Z1072">
        <v>-1.1281959999999999E-3</v>
      </c>
      <c r="AA1072">
        <v>0.99948859999999995</v>
      </c>
      <c r="AB1072">
        <v>30</v>
      </c>
      <c r="AC1072">
        <v>16.472799999999999</v>
      </c>
      <c r="AD1072">
        <v>-1.11060314701799</v>
      </c>
      <c r="AE1072">
        <v>-0.58319999999997596</v>
      </c>
      <c r="AF1072">
        <v>0.53019564696243104</v>
      </c>
      <c r="AG1072">
        <v>-1.11060314701799</v>
      </c>
      <c r="AH1072">
        <v>16.4000601716644</v>
      </c>
      <c r="AI1072">
        <v>93.872107283567203</v>
      </c>
      <c r="AJ1072">
        <v>88.148336289430702</v>
      </c>
      <c r="AK1072">
        <v>16.446170387310101</v>
      </c>
      <c r="AL1072">
        <v>71.167895458443297</v>
      </c>
      <c r="AM1072">
        <v>92.621225284148593</v>
      </c>
      <c r="AN1072">
        <v>1.00000006025705</v>
      </c>
    </row>
    <row r="1073" spans="1:40" x14ac:dyDescent="0.25">
      <c r="A1073" t="str">
        <f>"20190304164839726"</f>
        <v>20190304164839726</v>
      </c>
      <c r="B1073" t="str">
        <f>"1551689319717776"</f>
        <v>1551689319717776</v>
      </c>
      <c r="C1073" t="s">
        <v>40</v>
      </c>
      <c r="D1073">
        <v>4.3881560000000004</v>
      </c>
      <c r="E1073">
        <v>0.54809359999999996</v>
      </c>
      <c r="F1073" t="s">
        <v>41</v>
      </c>
      <c r="G1073">
        <v>-266.86090000000002</v>
      </c>
      <c r="H1073">
        <v>1.0450489999999999</v>
      </c>
      <c r="I1073">
        <v>367.55290000000002</v>
      </c>
      <c r="J1073">
        <v>-267.70609999999999</v>
      </c>
      <c r="K1073">
        <v>1.110614</v>
      </c>
      <c r="L1073">
        <v>367.58690000000001</v>
      </c>
      <c r="M1073">
        <v>0.99989749999999999</v>
      </c>
      <c r="N1073">
        <v>-1.398982E-2</v>
      </c>
      <c r="O1073">
        <v>-3.0499860000000002E-3</v>
      </c>
      <c r="P1073">
        <v>0.94980719999999996</v>
      </c>
      <c r="Q1073">
        <v>0.31021989999999999</v>
      </c>
      <c r="R1073">
        <v>4.0367109999999998E-2</v>
      </c>
      <c r="S1073">
        <v>3.2328489999999999</v>
      </c>
      <c r="T1073">
        <v>-0.21565119999999999</v>
      </c>
      <c r="U1073">
        <v>-0.112335199999999</v>
      </c>
      <c r="V1073">
        <v>-4.3280640000000002E-2</v>
      </c>
      <c r="W1073">
        <v>0.32347350000000002</v>
      </c>
      <c r="X1073">
        <v>0.9452469</v>
      </c>
      <c r="Y1073">
        <v>3.1597819999999999E-2</v>
      </c>
      <c r="Z1073">
        <v>-1.1132550000000001E-3</v>
      </c>
      <c r="AA1073">
        <v>0.99950000000000006</v>
      </c>
      <c r="AB1073">
        <v>30</v>
      </c>
      <c r="AC1073">
        <v>0.84519999999997697</v>
      </c>
      <c r="AD1073">
        <v>-6.5565000000000095E-2</v>
      </c>
      <c r="AE1073">
        <v>-3.3999999999991801E-2</v>
      </c>
      <c r="AF1073">
        <v>3.1234090004181501E-2</v>
      </c>
      <c r="AG1073">
        <v>-6.5565000000000095E-2</v>
      </c>
      <c r="AH1073">
        <v>0.840251627141821</v>
      </c>
      <c r="AI1073">
        <v>94.458693188323295</v>
      </c>
      <c r="AJ1073">
        <v>87.871163958984098</v>
      </c>
      <c r="AK1073">
        <v>0.84338433381102595</v>
      </c>
      <c r="AL1073">
        <v>71.126882132163502</v>
      </c>
      <c r="AM1073">
        <v>92.621608396666105</v>
      </c>
      <c r="AN1073">
        <v>1.0000000104803299</v>
      </c>
    </row>
    <row r="1074" spans="1:40" x14ac:dyDescent="0.25">
      <c r="A1074" t="str">
        <f>"20190304164839737"</f>
        <v>20190304164839737</v>
      </c>
      <c r="B1074" t="str">
        <f>"1551689319727537"</f>
        <v>1551689319727537</v>
      </c>
      <c r="C1074" t="s">
        <v>40</v>
      </c>
      <c r="D1074">
        <v>4.4053399999999998</v>
      </c>
      <c r="E1074">
        <v>0.54800740000000003</v>
      </c>
      <c r="F1074" t="s">
        <v>42</v>
      </c>
      <c r="G1074">
        <v>-250.9375</v>
      </c>
      <c r="H1074" s="1">
        <v>-4.332491E-6</v>
      </c>
      <c r="I1074">
        <v>367.00959999999998</v>
      </c>
      <c r="J1074">
        <v>-267.56959999999998</v>
      </c>
      <c r="K1074">
        <v>1.1106259999999999</v>
      </c>
      <c r="L1074">
        <v>367.58659999999998</v>
      </c>
      <c r="M1074">
        <v>0.99989740000000005</v>
      </c>
      <c r="N1074">
        <v>-1.400382E-2</v>
      </c>
      <c r="O1074">
        <v>-3.0294620000000001E-3</v>
      </c>
      <c r="P1074">
        <v>0.94960250000000002</v>
      </c>
      <c r="Q1074">
        <v>0.31089109999999998</v>
      </c>
      <c r="R1074">
        <v>4.0020319999999998E-2</v>
      </c>
      <c r="S1074">
        <v>3.2332459999999998</v>
      </c>
      <c r="T1074">
        <v>-0.214144</v>
      </c>
      <c r="U1074">
        <v>-0.1113281</v>
      </c>
      <c r="V1074">
        <v>-4.2914430000000003E-2</v>
      </c>
      <c r="W1074">
        <v>0.32415470000000002</v>
      </c>
      <c r="X1074">
        <v>0.94503020000000004</v>
      </c>
      <c r="Y1074">
        <v>3.130488E-2</v>
      </c>
      <c r="Z1074">
        <v>-1.096823E-3</v>
      </c>
      <c r="AA1074">
        <v>0.99950930000000004</v>
      </c>
      <c r="AB1074">
        <v>30</v>
      </c>
      <c r="AC1074">
        <v>16.632099999999902</v>
      </c>
      <c r="AD1074">
        <v>-1.1106303324910001</v>
      </c>
      <c r="AE1074">
        <v>-0.57699999999999796</v>
      </c>
      <c r="AF1074">
        <v>0.52427114317178902</v>
      </c>
      <c r="AG1074">
        <v>-1.1106303324910001</v>
      </c>
      <c r="AH1074">
        <v>16.5600182171695</v>
      </c>
      <c r="AI1074">
        <v>93.834993079309896</v>
      </c>
      <c r="AJ1074">
        <v>88.186687130263195</v>
      </c>
      <c r="AK1074">
        <v>16.6054979847037</v>
      </c>
      <c r="AL1074">
        <v>71.085629351736998</v>
      </c>
      <c r="AM1074">
        <v>92.600052016890999</v>
      </c>
      <c r="AN1074">
        <v>0.99999999837317699</v>
      </c>
    </row>
    <row r="1075" spans="1:40" x14ac:dyDescent="0.25">
      <c r="A1075" t="str">
        <f>"20190304164839748"</f>
        <v>20190304164839748</v>
      </c>
      <c r="B1075" t="str">
        <f>"1551689319737102"</f>
        <v>1551689319737102</v>
      </c>
      <c r="C1075" t="s">
        <v>40</v>
      </c>
      <c r="D1075">
        <v>4.3988230000000001</v>
      </c>
      <c r="E1075">
        <v>0.54786069999999998</v>
      </c>
      <c r="F1075" t="s">
        <v>41</v>
      </c>
      <c r="G1075">
        <v>-266.59460000000001</v>
      </c>
      <c r="H1075">
        <v>1.046349</v>
      </c>
      <c r="I1075">
        <v>367.55290000000002</v>
      </c>
      <c r="J1075">
        <v>-267.41399999999999</v>
      </c>
      <c r="K1075">
        <v>1.1106419999999999</v>
      </c>
      <c r="L1075">
        <v>367.58609999999999</v>
      </c>
      <c r="M1075">
        <v>0.99989720000000004</v>
      </c>
      <c r="N1075">
        <v>-1.401814E-2</v>
      </c>
      <c r="O1075">
        <v>-3.0060780000000001E-3</v>
      </c>
      <c r="P1075">
        <v>0.94944439999999997</v>
      </c>
      <c r="Q1075">
        <v>0.31140469999999998</v>
      </c>
      <c r="R1075">
        <v>3.9779340000000003E-2</v>
      </c>
      <c r="S1075">
        <v>3.2337340000000001</v>
      </c>
      <c r="T1075">
        <v>-0.2133005</v>
      </c>
      <c r="U1075">
        <v>-0.11138919999999999</v>
      </c>
      <c r="V1075">
        <v>-4.2650349999999997E-2</v>
      </c>
      <c r="W1075">
        <v>0.32467970000000002</v>
      </c>
      <c r="X1075">
        <v>0.94486190000000003</v>
      </c>
      <c r="Y1075">
        <v>3.1342330000000002E-2</v>
      </c>
      <c r="Z1075">
        <v>-1.0963909999999999E-3</v>
      </c>
      <c r="AA1075">
        <v>0.99950810000000001</v>
      </c>
      <c r="AB1075">
        <v>30</v>
      </c>
      <c r="AC1075">
        <v>0.81939999999997304</v>
      </c>
      <c r="AD1075">
        <v>-6.4292999999999906E-2</v>
      </c>
      <c r="AE1075">
        <v>-3.3199999999965202E-2</v>
      </c>
      <c r="AF1075">
        <v>3.0548662267053901E-2</v>
      </c>
      <c r="AG1075">
        <v>-6.4292999999999906E-2</v>
      </c>
      <c r="AH1075">
        <v>0.81448990180428704</v>
      </c>
      <c r="AI1075">
        <v>94.510212719681405</v>
      </c>
      <c r="AJ1075">
        <v>87.852042899455</v>
      </c>
      <c r="AK1075">
        <v>0.81759440479767498</v>
      </c>
      <c r="AL1075">
        <v>71.053828860001701</v>
      </c>
      <c r="AM1075">
        <v>92.584533638982293</v>
      </c>
      <c r="AN1075">
        <v>0.99999998500941101</v>
      </c>
    </row>
    <row r="1076" spans="1:40" x14ac:dyDescent="0.25">
      <c r="A1076" t="str">
        <f>"20190304164839761"</f>
        <v>20190304164839761</v>
      </c>
      <c r="B1076" t="str">
        <f>"1551689319746862"</f>
        <v>1551689319746862</v>
      </c>
      <c r="C1076" t="s">
        <v>40</v>
      </c>
      <c r="D1076">
        <v>4.3959699999999904</v>
      </c>
      <c r="E1076">
        <v>0.5477976</v>
      </c>
      <c r="F1076" t="s">
        <v>42</v>
      </c>
      <c r="G1076">
        <v>-250.47980000000001</v>
      </c>
      <c r="H1076" s="1">
        <v>-4.5296760000000002E-6</v>
      </c>
      <c r="I1076">
        <v>367.00510000000003</v>
      </c>
      <c r="J1076">
        <v>-267.26209999999998</v>
      </c>
      <c r="K1076">
        <v>1.1106560000000001</v>
      </c>
      <c r="L1076">
        <v>367.58569999999997</v>
      </c>
      <c r="M1076">
        <v>0.99989720000000004</v>
      </c>
      <c r="N1076">
        <v>-1.403137E-2</v>
      </c>
      <c r="O1076">
        <v>-2.9835220000000002E-3</v>
      </c>
      <c r="P1076">
        <v>0.94928869999999999</v>
      </c>
      <c r="Q1076">
        <v>0.3119247</v>
      </c>
      <c r="R1076">
        <v>3.9425179999999997E-2</v>
      </c>
      <c r="S1076">
        <v>3.2339479999999998</v>
      </c>
      <c r="T1076">
        <v>-0.2120997</v>
      </c>
      <c r="U1076">
        <v>-0.1109619</v>
      </c>
      <c r="V1076">
        <v>-4.2275020000000003E-2</v>
      </c>
      <c r="W1076">
        <v>0.32521</v>
      </c>
      <c r="X1076">
        <v>0.94469639999999999</v>
      </c>
      <c r="Y1076">
        <v>3.1231760000000001E-2</v>
      </c>
      <c r="Z1076">
        <v>-1.0886590000000001E-3</v>
      </c>
      <c r="AA1076">
        <v>0.99951159999999994</v>
      </c>
      <c r="AB1076">
        <v>30</v>
      </c>
      <c r="AC1076">
        <v>16.7822999999999</v>
      </c>
      <c r="AD1076">
        <v>-1.1106605296759999</v>
      </c>
      <c r="AE1076">
        <v>-0.58059999999994705</v>
      </c>
      <c r="AF1076">
        <v>0.52821140568640901</v>
      </c>
      <c r="AG1076">
        <v>-1.1106605296759999</v>
      </c>
      <c r="AH1076">
        <v>16.7108540767934</v>
      </c>
      <c r="AI1076">
        <v>93.800588502468599</v>
      </c>
      <c r="AJ1076">
        <v>88.189547290391602</v>
      </c>
      <c r="AK1076">
        <v>16.756050193203599</v>
      </c>
      <c r="AL1076">
        <v>71.021701837578505</v>
      </c>
      <c r="AM1076">
        <v>92.562267962477705</v>
      </c>
      <c r="AN1076">
        <v>1.0000000047944799</v>
      </c>
    </row>
    <row r="1077" spans="1:40" x14ac:dyDescent="0.25">
      <c r="A1077" t="str">
        <f>"20190304164839772"</f>
        <v>20190304164839772</v>
      </c>
      <c r="B1077" t="str">
        <f>"1551689319767358"</f>
        <v>1551689319767358</v>
      </c>
      <c r="C1077" t="s">
        <v>40</v>
      </c>
      <c r="D1077">
        <v>4.3877879999999996</v>
      </c>
      <c r="E1077">
        <v>0.54764969999999902</v>
      </c>
      <c r="F1077" t="s">
        <v>41</v>
      </c>
      <c r="G1077">
        <v>-266.32690000000002</v>
      </c>
      <c r="H1077">
        <v>1.049509</v>
      </c>
      <c r="I1077">
        <v>367.5532</v>
      </c>
      <c r="J1077">
        <v>-267.1062</v>
      </c>
      <c r="K1077">
        <v>1.110671</v>
      </c>
      <c r="L1077">
        <v>367.58530000000002</v>
      </c>
      <c r="M1077">
        <v>0.99989709999999998</v>
      </c>
      <c r="N1077">
        <v>-1.4043969999999999E-2</v>
      </c>
      <c r="O1077">
        <v>-2.960486E-3</v>
      </c>
      <c r="P1077">
        <v>0.9491579</v>
      </c>
      <c r="Q1077">
        <v>0.31236340000000001</v>
      </c>
      <c r="R1077">
        <v>3.9098309999999997E-2</v>
      </c>
      <c r="S1077">
        <v>3.234467</v>
      </c>
      <c r="T1077">
        <v>-0.2116952</v>
      </c>
      <c r="U1077">
        <v>-0.1118469</v>
      </c>
      <c r="V1077">
        <v>-4.1925360000000002E-2</v>
      </c>
      <c r="W1077">
        <v>0.32565860000000002</v>
      </c>
      <c r="X1077">
        <v>0.94455739999999999</v>
      </c>
      <c r="Y1077">
        <v>3.152195E-2</v>
      </c>
      <c r="Z1077">
        <v>-1.099891E-3</v>
      </c>
      <c r="AA1077">
        <v>0.99950249999999996</v>
      </c>
      <c r="AB1077">
        <v>30</v>
      </c>
      <c r="AC1077">
        <v>0.77929999999997701</v>
      </c>
      <c r="AD1077">
        <v>-6.1161999999999897E-2</v>
      </c>
      <c r="AE1077">
        <v>-3.2100000000013999E-2</v>
      </c>
      <c r="AF1077">
        <v>2.96104450574983E-2</v>
      </c>
      <c r="AG1077">
        <v>-6.1161999999999897E-2</v>
      </c>
      <c r="AH1077">
        <v>0.77462829024308799</v>
      </c>
      <c r="AI1077">
        <v>94.511231892054099</v>
      </c>
      <c r="AJ1077">
        <v>87.810914016385894</v>
      </c>
      <c r="AK1077">
        <v>0.77760308432093606</v>
      </c>
      <c r="AL1077">
        <v>70.9945185853216</v>
      </c>
      <c r="AM1077">
        <v>92.541476594220299</v>
      </c>
      <c r="AN1077">
        <v>0.99999997072992397</v>
      </c>
    </row>
    <row r="1078" spans="1:40" x14ac:dyDescent="0.25">
      <c r="A1078" t="str">
        <f>"20190304164839784"</f>
        <v>20190304164839784</v>
      </c>
      <c r="B1078" t="str">
        <f>"1551689319777118"</f>
        <v>1551689319777118</v>
      </c>
      <c r="C1078" t="s">
        <v>40</v>
      </c>
      <c r="D1078">
        <v>4.3225069999999999</v>
      </c>
      <c r="E1078">
        <v>0.54750369999999904</v>
      </c>
      <c r="F1078" t="s">
        <v>42</v>
      </c>
      <c r="G1078">
        <v>-250.1499</v>
      </c>
      <c r="H1078" s="1">
        <v>-4.6727430000000003E-6</v>
      </c>
      <c r="I1078">
        <v>366.99630000000002</v>
      </c>
      <c r="J1078">
        <v>-266.9443</v>
      </c>
      <c r="K1078">
        <v>1.110676</v>
      </c>
      <c r="L1078">
        <v>367.58479999999997</v>
      </c>
      <c r="M1078">
        <v>0.99989700000000004</v>
      </c>
      <c r="N1078">
        <v>-1.405581E-2</v>
      </c>
      <c r="O1078">
        <v>-2.9366100000000001E-3</v>
      </c>
      <c r="P1078">
        <v>0.94895560000000001</v>
      </c>
      <c r="Q1078">
        <v>0.31301519999999999</v>
      </c>
      <c r="R1078">
        <v>3.8791659999999999E-2</v>
      </c>
      <c r="S1078">
        <v>3.235077</v>
      </c>
      <c r="T1078">
        <v>-0.21190349999999999</v>
      </c>
      <c r="U1078">
        <v>-0.1123657</v>
      </c>
      <c r="V1078">
        <v>-4.159554E-2</v>
      </c>
      <c r="W1078">
        <v>0.32631909999999997</v>
      </c>
      <c r="X1078">
        <v>0.94434399999999996</v>
      </c>
      <c r="Y1078">
        <v>3.1698770000000001E-2</v>
      </c>
      <c r="Z1078">
        <v>-1.10903E-3</v>
      </c>
      <c r="AA1078">
        <v>0.99949690000000002</v>
      </c>
      <c r="AB1078">
        <v>30</v>
      </c>
      <c r="AC1078">
        <v>16.7943999999999</v>
      </c>
      <c r="AD1078">
        <v>-1.1106806727429901</v>
      </c>
      <c r="AE1078">
        <v>-0.58849999999995295</v>
      </c>
      <c r="AF1078">
        <v>0.53682893968322598</v>
      </c>
      <c r="AG1078">
        <v>-1.1106806727429901</v>
      </c>
      <c r="AH1078">
        <v>16.7230041572349</v>
      </c>
      <c r="AI1078">
        <v>93.797844619370593</v>
      </c>
      <c r="AJ1078">
        <v>88.1613666100735</v>
      </c>
      <c r="AK1078">
        <v>16.768442530842901</v>
      </c>
      <c r="AL1078">
        <v>70.954487923412898</v>
      </c>
      <c r="AM1078">
        <v>92.522078184838605</v>
      </c>
      <c r="AN1078">
        <v>0.99999996715435002</v>
      </c>
    </row>
    <row r="1079" spans="1:40" x14ac:dyDescent="0.25">
      <c r="A1079" t="str">
        <f>"20190304164839797"</f>
        <v>20190304164839797</v>
      </c>
      <c r="B1079" t="str">
        <f>"1551689319786878"</f>
        <v>1551689319786878</v>
      </c>
      <c r="C1079" t="s">
        <v>40</v>
      </c>
      <c r="D1079">
        <v>4.3083039999999997</v>
      </c>
      <c r="E1079">
        <v>0.54737799999999903</v>
      </c>
      <c r="F1079" t="s">
        <v>42</v>
      </c>
      <c r="G1079">
        <v>-249.74549999999999</v>
      </c>
      <c r="H1079" s="1">
        <v>-7.817395E-7</v>
      </c>
      <c r="I1079">
        <v>366.9864</v>
      </c>
      <c r="J1079">
        <v>-266.77390000000003</v>
      </c>
      <c r="K1079">
        <v>1.1106860000000001</v>
      </c>
      <c r="L1079">
        <v>367.58429999999998</v>
      </c>
      <c r="M1079">
        <v>0.99989689999999998</v>
      </c>
      <c r="N1079">
        <v>-1.40676E-2</v>
      </c>
      <c r="O1079">
        <v>-2.911542E-3</v>
      </c>
      <c r="P1079">
        <v>0.94886579999999998</v>
      </c>
      <c r="Q1079">
        <v>0.31333050000000001</v>
      </c>
      <c r="R1079">
        <v>3.8443270000000002E-2</v>
      </c>
      <c r="S1079">
        <v>3.2348629999999998</v>
      </c>
      <c r="T1079">
        <v>-0.20890310000000001</v>
      </c>
      <c r="U1079">
        <v>-0.1125488</v>
      </c>
      <c r="V1079">
        <v>-4.1223200000000002E-2</v>
      </c>
      <c r="W1079">
        <v>0.32664399999999999</v>
      </c>
      <c r="X1079">
        <v>0.94424799999999998</v>
      </c>
      <c r="Y1079">
        <v>3.178433E-2</v>
      </c>
      <c r="Z1079">
        <v>-1.1019910000000001E-3</v>
      </c>
      <c r="AA1079">
        <v>0.99949410000000005</v>
      </c>
      <c r="AB1079">
        <v>30</v>
      </c>
      <c r="AC1079">
        <v>17.028400000000001</v>
      </c>
      <c r="AD1079">
        <v>-1.1106867817395001</v>
      </c>
      <c r="AE1079">
        <v>-0.597899999999981</v>
      </c>
      <c r="AF1079">
        <v>0.54599366132167704</v>
      </c>
      <c r="AG1079">
        <v>-1.1106867817395001</v>
      </c>
      <c r="AH1079">
        <v>16.958011927428299</v>
      </c>
      <c r="AI1079">
        <v>93.745373204151406</v>
      </c>
      <c r="AJ1079">
        <v>88.155896483011503</v>
      </c>
      <c r="AK1079">
        <v>17.003114501059301</v>
      </c>
      <c r="AL1079">
        <v>70.934793391437594</v>
      </c>
      <c r="AM1079">
        <v>92.499784514598502</v>
      </c>
      <c r="AN1079">
        <v>0.99999997022911902</v>
      </c>
    </row>
    <row r="1080" spans="1:40" x14ac:dyDescent="0.25">
      <c r="A1080" t="str">
        <f>"20190304164839811"</f>
        <v>20190304164839811</v>
      </c>
      <c r="B1080" t="str">
        <f>"1551689319797615"</f>
        <v>1551689319797615</v>
      </c>
      <c r="C1080" t="s">
        <v>40</v>
      </c>
      <c r="D1080">
        <v>4.3246859999999998</v>
      </c>
      <c r="E1080">
        <v>0.54731300000000005</v>
      </c>
      <c r="F1080" t="s">
        <v>41</v>
      </c>
      <c r="G1080">
        <v>-265.79950000000002</v>
      </c>
      <c r="H1080">
        <v>1.0483830000000001</v>
      </c>
      <c r="I1080">
        <v>367.54989999999998</v>
      </c>
      <c r="J1080">
        <v>-266.58330000000001</v>
      </c>
      <c r="K1080">
        <v>1.110692</v>
      </c>
      <c r="L1080">
        <v>367.5838</v>
      </c>
      <c r="M1080">
        <v>0.99989669999999997</v>
      </c>
      <c r="N1080">
        <v>-1.4079319999999999E-2</v>
      </c>
      <c r="O1080">
        <v>-2.8838480000000001E-3</v>
      </c>
      <c r="P1080">
        <v>0.94878969999999896</v>
      </c>
      <c r="Q1080">
        <v>0.31364959999999997</v>
      </c>
      <c r="R1080">
        <v>3.7706440000000001E-2</v>
      </c>
      <c r="S1080">
        <v>3.23468</v>
      </c>
      <c r="T1080">
        <v>-0.20722579999999999</v>
      </c>
      <c r="U1080">
        <v>-0.11322019999999999</v>
      </c>
      <c r="V1080">
        <v>-4.045965E-2</v>
      </c>
      <c r="W1080">
        <v>0.32697340000000003</v>
      </c>
      <c r="X1080">
        <v>0.94416699999999998</v>
      </c>
      <c r="Y1080">
        <v>3.2021630000000002E-2</v>
      </c>
      <c r="Z1080">
        <v>-1.1061910000000001E-3</v>
      </c>
      <c r="AA1080">
        <v>0.9994866</v>
      </c>
      <c r="AB1080">
        <v>30</v>
      </c>
      <c r="AC1080">
        <v>0.78379999999998495</v>
      </c>
      <c r="AD1080">
        <v>-6.2308999999999899E-2</v>
      </c>
      <c r="AE1080">
        <v>-3.3900000000016903E-2</v>
      </c>
      <c r="AF1080">
        <v>3.1440950919009197E-2</v>
      </c>
      <c r="AG1080">
        <v>-6.2308999999999899E-2</v>
      </c>
      <c r="AH1080">
        <v>0.77898084010572399</v>
      </c>
      <c r="AI1080">
        <v>94.569524622212398</v>
      </c>
      <c r="AJ1080">
        <v>87.688702420276996</v>
      </c>
      <c r="AK1080">
        <v>0.78210107666944895</v>
      </c>
      <c r="AL1080">
        <v>70.914823344311898</v>
      </c>
      <c r="AM1080">
        <v>92.4537500114577</v>
      </c>
      <c r="AN1080">
        <v>0.99999995573734002</v>
      </c>
    </row>
    <row r="1081" spans="1:40" x14ac:dyDescent="0.25">
      <c r="A1081" t="str">
        <f>"20190304164839823"</f>
        <v>20190304164839823</v>
      </c>
      <c r="B1081" t="str">
        <f>"1551689319817134"</f>
        <v>1551689319817134</v>
      </c>
      <c r="C1081" t="s">
        <v>40</v>
      </c>
      <c r="D1081">
        <v>4.3160379999999998</v>
      </c>
      <c r="E1081">
        <v>0.5472051</v>
      </c>
      <c r="F1081" t="s">
        <v>42</v>
      </c>
      <c r="G1081">
        <v>-249.16480000000001</v>
      </c>
      <c r="H1081" s="1">
        <v>-1.0101789999999999E-6</v>
      </c>
      <c r="I1081">
        <v>366.96589999999998</v>
      </c>
      <c r="J1081">
        <v>-266.42079999999999</v>
      </c>
      <c r="K1081">
        <v>1.1106959999999999</v>
      </c>
      <c r="L1081">
        <v>367.58330000000001</v>
      </c>
      <c r="M1081">
        <v>0.99989680000000003</v>
      </c>
      <c r="N1081">
        <v>-1.4088299999999899E-2</v>
      </c>
      <c r="O1081">
        <v>-2.8600729999999999E-3</v>
      </c>
      <c r="P1081">
        <v>0.94888779999999995</v>
      </c>
      <c r="Q1081">
        <v>0.3133667</v>
      </c>
      <c r="R1081">
        <v>3.7598239999999998E-2</v>
      </c>
      <c r="S1081">
        <v>3.2347109999999999</v>
      </c>
      <c r="T1081">
        <v>-0.206262</v>
      </c>
      <c r="U1081">
        <v>-0.1147461</v>
      </c>
      <c r="V1081">
        <v>-4.0329070000000002E-2</v>
      </c>
      <c r="W1081">
        <v>0.32669989999999999</v>
      </c>
      <c r="X1081">
        <v>0.94426730000000003</v>
      </c>
      <c r="Y1081">
        <v>3.2515309999999999E-2</v>
      </c>
      <c r="Z1081">
        <v>-1.1228290000000001E-3</v>
      </c>
      <c r="AA1081">
        <v>0.99947059999999999</v>
      </c>
      <c r="AB1081">
        <v>30</v>
      </c>
      <c r="AC1081">
        <v>17.255999999999901</v>
      </c>
      <c r="AD1081">
        <v>-1.1106970101789999</v>
      </c>
      <c r="AE1081">
        <v>-0.61740000000003104</v>
      </c>
      <c r="AF1081">
        <v>0.56569849179960396</v>
      </c>
      <c r="AG1081">
        <v>-1.1106970101789999</v>
      </c>
      <c r="AH1081">
        <v>17.186583066392799</v>
      </c>
      <c r="AI1081">
        <v>93.695648826077303</v>
      </c>
      <c r="AJ1081">
        <v>88.114783003999904</v>
      </c>
      <c r="AK1081">
        <v>17.2317236552257</v>
      </c>
      <c r="AL1081">
        <v>70.931405157343605</v>
      </c>
      <c r="AM1081">
        <v>92.445580897951899</v>
      </c>
      <c r="AN1081">
        <v>0.99999999619818203</v>
      </c>
    </row>
    <row r="1082" spans="1:40" x14ac:dyDescent="0.25">
      <c r="A1082" t="str">
        <f>"20190304164839835"</f>
        <v>20190304164839835</v>
      </c>
      <c r="B1082" t="str">
        <f>"1551689319826894"</f>
        <v>1551689319826894</v>
      </c>
      <c r="C1082" t="s">
        <v>40</v>
      </c>
      <c r="D1082">
        <v>4.3525609999999997</v>
      </c>
      <c r="E1082">
        <v>0.5472011</v>
      </c>
      <c r="F1082" t="s">
        <v>42</v>
      </c>
      <c r="G1082">
        <v>-249.0685</v>
      </c>
      <c r="H1082" s="1">
        <v>-1.0458359999999999E-6</v>
      </c>
      <c r="I1082">
        <v>366.97089999999997</v>
      </c>
      <c r="J1082">
        <v>-266.26670000000001</v>
      </c>
      <c r="K1082">
        <v>1.110698</v>
      </c>
      <c r="L1082">
        <v>367.5829</v>
      </c>
      <c r="M1082">
        <v>0.99989669999999997</v>
      </c>
      <c r="N1082">
        <v>-1.40964E-2</v>
      </c>
      <c r="O1082">
        <v>-2.837128E-3</v>
      </c>
      <c r="P1082">
        <v>0.94894469999999997</v>
      </c>
      <c r="Q1082">
        <v>0.31323230000000002</v>
      </c>
      <c r="R1082">
        <v>3.7278400000000003E-2</v>
      </c>
      <c r="S1082">
        <v>3.2344970000000002</v>
      </c>
      <c r="T1082">
        <v>-0.20703579999999999</v>
      </c>
      <c r="U1082">
        <v>-0.1141663</v>
      </c>
      <c r="V1082">
        <v>-3.9987340000000003E-2</v>
      </c>
      <c r="W1082">
        <v>0.32657409999999998</v>
      </c>
      <c r="X1082">
        <v>0.94432530000000003</v>
      </c>
      <c r="Y1082">
        <v>3.2361470000000003E-2</v>
      </c>
      <c r="Z1082">
        <v>-1.121379E-3</v>
      </c>
      <c r="AA1082">
        <v>0.99947560000000002</v>
      </c>
      <c r="AB1082">
        <v>30</v>
      </c>
      <c r="AC1082">
        <v>17.1982</v>
      </c>
      <c r="AD1082">
        <v>-1.110699045836</v>
      </c>
      <c r="AE1082">
        <v>-0.61200000000002297</v>
      </c>
      <c r="AF1082">
        <v>0.56086286875308899</v>
      </c>
      <c r="AG1082">
        <v>-1.110699045836</v>
      </c>
      <c r="AH1082">
        <v>17.128516773299999</v>
      </c>
      <c r="AI1082">
        <v>93.708169794900499</v>
      </c>
      <c r="AJ1082">
        <v>88.124554621479206</v>
      </c>
      <c r="AK1082">
        <v>17.173651515655799</v>
      </c>
      <c r="AL1082">
        <v>70.939030368043106</v>
      </c>
      <c r="AM1082">
        <v>92.424734254171895</v>
      </c>
      <c r="AN1082">
        <v>0.99999995118558604</v>
      </c>
    </row>
    <row r="1083" spans="1:40" x14ac:dyDescent="0.25">
      <c r="A1083" t="str">
        <f>"20190304164839848"</f>
        <v>20190304164839848</v>
      </c>
      <c r="B1083" t="str">
        <f>"1551689319837607"</f>
        <v>1551689319837607</v>
      </c>
      <c r="C1083" t="s">
        <v>40</v>
      </c>
      <c r="D1083">
        <v>4.3046379999999997</v>
      </c>
      <c r="E1083">
        <v>0.54712269999999996</v>
      </c>
      <c r="F1083" t="s">
        <v>41</v>
      </c>
      <c r="G1083">
        <v>-265.27370000000002</v>
      </c>
      <c r="H1083">
        <v>1.0467280000000001</v>
      </c>
      <c r="I1083">
        <v>367.54730000000001</v>
      </c>
      <c r="J1083">
        <v>-266.101</v>
      </c>
      <c r="K1083">
        <v>1.110706</v>
      </c>
      <c r="L1083">
        <v>367.58249999999998</v>
      </c>
      <c r="M1083">
        <v>0.99989669999999997</v>
      </c>
      <c r="N1083">
        <v>-1.410404E-2</v>
      </c>
      <c r="O1083">
        <v>-2.8128649999999999E-3</v>
      </c>
      <c r="P1083">
        <v>0.94905910000000004</v>
      </c>
      <c r="Q1083">
        <v>0.3129074</v>
      </c>
      <c r="R1083">
        <v>3.7094139999999998E-2</v>
      </c>
      <c r="S1083">
        <v>3.2348330000000001</v>
      </c>
      <c r="T1083">
        <v>-0.20879919999999999</v>
      </c>
      <c r="U1083">
        <v>-0.1146851</v>
      </c>
      <c r="V1083">
        <v>-3.9780299999999998E-2</v>
      </c>
      <c r="W1083">
        <v>0.3262582</v>
      </c>
      <c r="X1083">
        <v>0.94444329999999999</v>
      </c>
      <c r="Y1083">
        <v>3.25405E-2</v>
      </c>
      <c r="Z1083">
        <v>-1.1369450000000001E-3</v>
      </c>
      <c r="AA1083">
        <v>0.99946979999999996</v>
      </c>
      <c r="AB1083">
        <v>30</v>
      </c>
      <c r="AC1083">
        <v>0.82729999999997905</v>
      </c>
      <c r="AD1083">
        <v>-6.3977999999999799E-2</v>
      </c>
      <c r="AE1083">
        <v>-3.51999999999748E-2</v>
      </c>
      <c r="AF1083">
        <v>3.2677472822348397E-2</v>
      </c>
      <c r="AG1083">
        <v>-6.3977999999999799E-2</v>
      </c>
      <c r="AH1083">
        <v>0.82248578677005402</v>
      </c>
      <c r="AI1083">
        <v>94.44436923088</v>
      </c>
      <c r="AJ1083">
        <v>87.7248274461965</v>
      </c>
      <c r="AK1083">
        <v>0.825617266748226</v>
      </c>
      <c r="AL1083">
        <v>70.958180231262006</v>
      </c>
      <c r="AM1083">
        <v>92.411893697470603</v>
      </c>
      <c r="AN1083">
        <v>1.0000000161251099</v>
      </c>
    </row>
    <row r="1084" spans="1:40" x14ac:dyDescent="0.25">
      <c r="A1084" t="str">
        <f>"20190304164839861"</f>
        <v>20190304164839861</v>
      </c>
      <c r="B1084" t="str">
        <f>"1551689319847368"</f>
        <v>1551689319847368</v>
      </c>
      <c r="C1084" t="s">
        <v>40</v>
      </c>
      <c r="D1084">
        <v>4.2791370000000004</v>
      </c>
      <c r="E1084">
        <v>0.54704059999999999</v>
      </c>
      <c r="F1084" t="s">
        <v>42</v>
      </c>
      <c r="G1084">
        <v>-248.958</v>
      </c>
      <c r="H1084" s="1">
        <v>-1.0869440000000001E-6</v>
      </c>
      <c r="I1084">
        <v>366.97579999999999</v>
      </c>
      <c r="J1084">
        <v>-265.94619999999998</v>
      </c>
      <c r="K1084">
        <v>1.110708</v>
      </c>
      <c r="L1084">
        <v>367.58210000000003</v>
      </c>
      <c r="M1084">
        <v>0.99989660000000002</v>
      </c>
      <c r="N1084">
        <v>-1.411078E-2</v>
      </c>
      <c r="O1084">
        <v>-2.790145E-3</v>
      </c>
      <c r="P1084">
        <v>0.94904960000000005</v>
      </c>
      <c r="Q1084">
        <v>0.3129188</v>
      </c>
      <c r="R1084">
        <v>3.7238170000000001E-2</v>
      </c>
      <c r="S1084">
        <v>3.2345890000000002</v>
      </c>
      <c r="T1084">
        <v>-0.2095709</v>
      </c>
      <c r="U1084">
        <v>-0.1144714</v>
      </c>
      <c r="V1084">
        <v>-3.9902979999999998E-2</v>
      </c>
      <c r="W1084">
        <v>0.32627620000000002</v>
      </c>
      <c r="X1084">
        <v>0.94443189999999999</v>
      </c>
      <c r="Y1084">
        <v>3.2499489999999999E-2</v>
      </c>
      <c r="Z1084">
        <v>-1.1398739999999999E-3</v>
      </c>
      <c r="AA1084">
        <v>0.99947109999999995</v>
      </c>
      <c r="AB1084">
        <v>30</v>
      </c>
      <c r="AC1084">
        <v>16.9881999999999</v>
      </c>
      <c r="AD1084">
        <v>-1.1107090869439999</v>
      </c>
      <c r="AE1084">
        <v>-0.60630000000003204</v>
      </c>
      <c r="AF1084">
        <v>0.55651746076761399</v>
      </c>
      <c r="AG1084">
        <v>-1.1107090869439999</v>
      </c>
      <c r="AH1084">
        <v>16.9175999799177</v>
      </c>
      <c r="AI1084">
        <v>93.754284521679196</v>
      </c>
      <c r="AJ1084">
        <v>88.115890695238704</v>
      </c>
      <c r="AK1084">
        <v>16.963153463919099</v>
      </c>
      <c r="AL1084">
        <v>70.957089084790098</v>
      </c>
      <c r="AM1084">
        <v>92.419352173154095</v>
      </c>
      <c r="AN1084">
        <v>1.0000000101184601</v>
      </c>
    </row>
    <row r="1085" spans="1:40" x14ac:dyDescent="0.25">
      <c r="A1085" t="str">
        <f>"20190304164839873"</f>
        <v>20190304164839873</v>
      </c>
      <c r="B1085" t="str">
        <f>"1551689319866888"</f>
        <v>1551689319866888</v>
      </c>
      <c r="C1085" t="s">
        <v>40</v>
      </c>
      <c r="D1085">
        <v>4.2917180000000004</v>
      </c>
      <c r="E1085">
        <v>0.54696149999999999</v>
      </c>
      <c r="F1085" t="s">
        <v>41</v>
      </c>
      <c r="G1085">
        <v>-265.00439999999998</v>
      </c>
      <c r="H1085">
        <v>1.049971</v>
      </c>
      <c r="I1085">
        <v>367.54880000000003</v>
      </c>
      <c r="J1085">
        <v>-265.76209999999998</v>
      </c>
      <c r="K1085">
        <v>1.1107100000000001</v>
      </c>
      <c r="L1085">
        <v>367.58159999999998</v>
      </c>
      <c r="M1085">
        <v>0.99989660000000002</v>
      </c>
      <c r="N1085">
        <v>-1.41181E-2</v>
      </c>
      <c r="O1085">
        <v>-2.7634930000000001E-3</v>
      </c>
      <c r="P1085">
        <v>0.94919969999999998</v>
      </c>
      <c r="Q1085">
        <v>0.31248300000000001</v>
      </c>
      <c r="R1085">
        <v>3.7074950000000002E-2</v>
      </c>
      <c r="S1085">
        <v>3.2343440000000001</v>
      </c>
      <c r="T1085">
        <v>-0.20875099999999999</v>
      </c>
      <c r="U1085">
        <v>-0.113678</v>
      </c>
      <c r="V1085">
        <v>-3.9715069999999998E-2</v>
      </c>
      <c r="W1085">
        <v>0.32584930000000001</v>
      </c>
      <c r="X1085">
        <v>0.94458719999999996</v>
      </c>
      <c r="Y1085">
        <v>3.2284960000000001E-2</v>
      </c>
      <c r="Z1085">
        <v>-1.1295910000000001E-3</v>
      </c>
      <c r="AA1085">
        <v>0.99947799999999998</v>
      </c>
      <c r="AB1085">
        <v>29</v>
      </c>
      <c r="AC1085">
        <v>0.75769999999999904</v>
      </c>
      <c r="AD1085">
        <v>-6.0739000000000098E-2</v>
      </c>
      <c r="AE1085">
        <v>-3.2799999999951902E-2</v>
      </c>
      <c r="AF1085">
        <v>3.0510076518731302E-2</v>
      </c>
      <c r="AG1085">
        <v>-6.0739000000000098E-2</v>
      </c>
      <c r="AH1085">
        <v>0.75295829805112602</v>
      </c>
      <c r="AI1085">
        <v>94.608135863451196</v>
      </c>
      <c r="AJ1085">
        <v>87.679628695228899</v>
      </c>
      <c r="AK1085">
        <v>0.75602003246886695</v>
      </c>
      <c r="AL1085">
        <v>70.982962805466698</v>
      </c>
      <c r="AM1085">
        <v>92.407577040011205</v>
      </c>
      <c r="AN1085">
        <v>1.00000001574971</v>
      </c>
    </row>
    <row r="1086" spans="1:40" x14ac:dyDescent="0.25">
      <c r="A1086" t="str">
        <f>"20190304164839886"</f>
        <v>20190304164839886</v>
      </c>
      <c r="B1086" t="str">
        <f>"1551689319877624"</f>
        <v>1551689319877624</v>
      </c>
      <c r="C1086" t="s">
        <v>40</v>
      </c>
      <c r="D1086">
        <v>4.3028040000000001</v>
      </c>
      <c r="E1086">
        <v>0.54695609999999995</v>
      </c>
      <c r="F1086" t="s">
        <v>42</v>
      </c>
      <c r="G1086">
        <v>-248.66650000000001</v>
      </c>
      <c r="H1086" s="1">
        <v>-1.196865E-6</v>
      </c>
      <c r="I1086">
        <v>366.98349999999999</v>
      </c>
      <c r="J1086">
        <v>-265.60419999999999</v>
      </c>
      <c r="K1086">
        <v>1.1107119999999999</v>
      </c>
      <c r="L1086">
        <v>367.58120000000002</v>
      </c>
      <c r="M1086">
        <v>0.99989649999999997</v>
      </c>
      <c r="N1086">
        <v>-1.412355E-2</v>
      </c>
      <c r="O1086">
        <v>-2.7401719999999999E-3</v>
      </c>
      <c r="P1086">
        <v>0.94936529999999997</v>
      </c>
      <c r="Q1086">
        <v>0.31197150000000001</v>
      </c>
      <c r="R1086">
        <v>3.7138400000000002E-2</v>
      </c>
      <c r="S1086">
        <v>3.2341920000000002</v>
      </c>
      <c r="T1086">
        <v>-0.21012649999999999</v>
      </c>
      <c r="U1086">
        <v>-0.1131592</v>
      </c>
      <c r="V1086">
        <v>-3.9756590000000001E-2</v>
      </c>
      <c r="W1086">
        <v>0.32534580000000002</v>
      </c>
      <c r="X1086">
        <v>0.94475900000000002</v>
      </c>
      <c r="Y1086">
        <v>3.2149169999999998E-2</v>
      </c>
      <c r="Z1086">
        <v>-1.1312290000000001E-3</v>
      </c>
      <c r="AA1086">
        <v>0.99948250000000005</v>
      </c>
      <c r="AB1086">
        <v>29</v>
      </c>
      <c r="AC1086">
        <v>16.9376999999999</v>
      </c>
      <c r="AD1086">
        <v>-1.1107131968649999</v>
      </c>
      <c r="AE1086">
        <v>-0.59770000000003098</v>
      </c>
      <c r="AF1086">
        <v>0.54892333568697405</v>
      </c>
      <c r="AG1086">
        <v>-1.1107131968649999</v>
      </c>
      <c r="AH1086">
        <v>16.866832758349201</v>
      </c>
      <c r="AI1086">
        <v>93.765609021068599</v>
      </c>
      <c r="AJ1086">
        <v>88.135993036154701</v>
      </c>
      <c r="AK1086">
        <v>16.912275066716301</v>
      </c>
      <c r="AL1086">
        <v>71.013473947205895</v>
      </c>
      <c r="AM1086">
        <v>92.409653320610701</v>
      </c>
      <c r="AN1086">
        <v>1.0000000220535299</v>
      </c>
    </row>
    <row r="1087" spans="1:40" x14ac:dyDescent="0.25">
      <c r="A1087" t="str">
        <f>"20190304164839898"</f>
        <v>20190304164839898</v>
      </c>
      <c r="B1087" t="str">
        <f>"1551689319887384"</f>
        <v>1551689319887384</v>
      </c>
      <c r="C1087" t="s">
        <v>40</v>
      </c>
      <c r="D1087">
        <v>4.3002469999999997</v>
      </c>
      <c r="E1087">
        <v>0.54693939999999996</v>
      </c>
      <c r="F1087" t="s">
        <v>42</v>
      </c>
      <c r="G1087">
        <v>-248.6823</v>
      </c>
      <c r="H1087" s="1">
        <v>-1.1886520000000001E-6</v>
      </c>
      <c r="I1087">
        <v>366.99149999999997</v>
      </c>
      <c r="J1087">
        <v>-265.45</v>
      </c>
      <c r="K1087">
        <v>1.1107129999999901</v>
      </c>
      <c r="L1087">
        <v>367.58080000000001</v>
      </c>
      <c r="M1087">
        <v>0.99989660000000002</v>
      </c>
      <c r="N1087">
        <v>-1.412863E-2</v>
      </c>
      <c r="O1087">
        <v>-2.7173240000000001E-3</v>
      </c>
      <c r="P1087">
        <v>0.9495827</v>
      </c>
      <c r="Q1087">
        <v>0.31131219999999998</v>
      </c>
      <c r="R1087">
        <v>3.7119399999999997E-2</v>
      </c>
      <c r="S1087">
        <v>3.2341609999999998</v>
      </c>
      <c r="T1087">
        <v>-0.21228179999999999</v>
      </c>
      <c r="U1087">
        <v>-0.11270139999999999</v>
      </c>
      <c r="V1087">
        <v>-3.971645E-2</v>
      </c>
      <c r="W1087">
        <v>0.32469369999999997</v>
      </c>
      <c r="X1087">
        <v>0.94498499999999996</v>
      </c>
      <c r="Y1087">
        <v>3.2029870000000002E-2</v>
      </c>
      <c r="Z1087">
        <v>-1.1366150000000001E-3</v>
      </c>
      <c r="AA1087">
        <v>0.99948630000000005</v>
      </c>
      <c r="AB1087">
        <v>29</v>
      </c>
      <c r="AC1087">
        <v>16.767699999999898</v>
      </c>
      <c r="AD1087">
        <v>-1.11071418865199</v>
      </c>
      <c r="AE1087">
        <v>-0.58930000000003602</v>
      </c>
      <c r="AF1087">
        <v>0.54135750955542805</v>
      </c>
      <c r="AG1087">
        <v>-1.11071418865199</v>
      </c>
      <c r="AH1087">
        <v>16.696069100853901</v>
      </c>
      <c r="AI1087">
        <v>93.804028510490497</v>
      </c>
      <c r="AJ1087">
        <v>88.142877986844894</v>
      </c>
      <c r="AK1087">
        <v>16.741728625877101</v>
      </c>
      <c r="AL1087">
        <v>71.052981512782793</v>
      </c>
      <c r="AM1087">
        <v>92.406648264296393</v>
      </c>
      <c r="AN1087">
        <v>1.00000002272264</v>
      </c>
    </row>
    <row r="1088" spans="1:40" x14ac:dyDescent="0.25">
      <c r="A1088" t="str">
        <f>"20190304164839912"</f>
        <v>20190304164839912</v>
      </c>
      <c r="B1088" t="str">
        <f>"1551689319907880"</f>
        <v>1551689319907880</v>
      </c>
      <c r="C1088" t="s">
        <v>40</v>
      </c>
      <c r="D1088">
        <v>4.2887190000000004</v>
      </c>
      <c r="E1088">
        <v>0.54692259999999904</v>
      </c>
      <c r="F1088" t="s">
        <v>41</v>
      </c>
      <c r="G1088">
        <v>-264.48500000000001</v>
      </c>
      <c r="H1088">
        <v>1.0465949999999999</v>
      </c>
      <c r="I1088">
        <v>367.5471</v>
      </c>
      <c r="J1088">
        <v>-265.25229999999999</v>
      </c>
      <c r="K1088">
        <v>1.110711</v>
      </c>
      <c r="L1088">
        <v>367.58030000000002</v>
      </c>
      <c r="M1088">
        <v>0.99989649999999997</v>
      </c>
      <c r="N1088">
        <v>-1.413436E-2</v>
      </c>
      <c r="O1088">
        <v>-2.688041E-3</v>
      </c>
      <c r="P1088">
        <v>0.94967860000000004</v>
      </c>
      <c r="Q1088">
        <v>0.31102649999999998</v>
      </c>
      <c r="R1088">
        <v>3.7055270000000001E-2</v>
      </c>
      <c r="S1088">
        <v>3.2342219999999999</v>
      </c>
      <c r="T1088">
        <v>-0.2151566</v>
      </c>
      <c r="U1088">
        <v>-0.11230469999999999</v>
      </c>
      <c r="V1088">
        <v>-3.9624470000000002E-2</v>
      </c>
      <c r="W1088">
        <v>0.32441540000000002</v>
      </c>
      <c r="X1088">
        <v>0.94508440000000005</v>
      </c>
      <c r="Y1088">
        <v>3.1934280000000002E-2</v>
      </c>
      <c r="Z1088">
        <v>-1.146172E-3</v>
      </c>
      <c r="AA1088">
        <v>0.99948930000000002</v>
      </c>
      <c r="AB1088">
        <v>29</v>
      </c>
      <c r="AC1088">
        <v>0.767299999999977</v>
      </c>
      <c r="AD1088">
        <v>-6.4115999999999798E-2</v>
      </c>
      <c r="AE1088">
        <v>-3.3200000000022101E-2</v>
      </c>
      <c r="AF1088">
        <v>3.0921637481818299E-2</v>
      </c>
      <c r="AG1088">
        <v>-6.4115999999999798E-2</v>
      </c>
      <c r="AH1088">
        <v>0.76207533572168995</v>
      </c>
      <c r="AI1088">
        <v>94.805228343497902</v>
      </c>
      <c r="AJ1088">
        <v>87.676465939874703</v>
      </c>
      <c r="AK1088">
        <v>0.76539259627715495</v>
      </c>
      <c r="AL1088">
        <v>71.069838794900306</v>
      </c>
      <c r="AM1088">
        <v>92.400828957421894</v>
      </c>
      <c r="AN1088">
        <v>0.99999998675165003</v>
      </c>
    </row>
    <row r="1089" spans="1:40" x14ac:dyDescent="0.25">
      <c r="A1089" t="str">
        <f>"20190304164839924"</f>
        <v>20190304164839924</v>
      </c>
      <c r="B1089" t="str">
        <f>"1551689319917640"</f>
        <v>1551689319917640</v>
      </c>
      <c r="C1089" t="s">
        <v>40</v>
      </c>
      <c r="D1089">
        <v>4.2870860000000004</v>
      </c>
      <c r="E1089">
        <v>0.54690760000000005</v>
      </c>
      <c r="F1089" t="s">
        <v>42</v>
      </c>
      <c r="G1089">
        <v>-248.67500000000001</v>
      </c>
      <c r="H1089" s="1">
        <v>-1.1885619999999999E-6</v>
      </c>
      <c r="I1089">
        <v>367.00229999999999</v>
      </c>
      <c r="J1089">
        <v>-265.10379999999998</v>
      </c>
      <c r="K1089">
        <v>1.1107149999999999</v>
      </c>
      <c r="L1089">
        <v>367.57990000000001</v>
      </c>
      <c r="M1089">
        <v>0.99989660000000002</v>
      </c>
      <c r="N1089">
        <v>-1.413813E-2</v>
      </c>
      <c r="O1089">
        <v>-2.666491E-3</v>
      </c>
      <c r="P1089">
        <v>0.94958719999999996</v>
      </c>
      <c r="Q1089">
        <v>0.31130669999999999</v>
      </c>
      <c r="R1089">
        <v>3.7046049999999997E-2</v>
      </c>
      <c r="S1089">
        <v>3.234375</v>
      </c>
      <c r="T1089">
        <v>-0.21671009999999999</v>
      </c>
      <c r="U1089">
        <v>-0.1127625</v>
      </c>
      <c r="V1089">
        <v>-3.959472E-2</v>
      </c>
      <c r="W1089">
        <v>0.32469769999999998</v>
      </c>
      <c r="X1089">
        <v>0.94498870000000001</v>
      </c>
      <c r="Y1089">
        <v>3.2093940000000001E-2</v>
      </c>
      <c r="Z1089">
        <v>-1.1601669999999999E-3</v>
      </c>
      <c r="AA1089">
        <v>0.99948419999999905</v>
      </c>
      <c r="AB1089">
        <v>29</v>
      </c>
      <c r="AC1089">
        <v>16.428799999999899</v>
      </c>
      <c r="AD1089">
        <v>-1.1107161885619901</v>
      </c>
      <c r="AE1089">
        <v>-0.57760000000001799</v>
      </c>
      <c r="AF1089">
        <v>0.53136056713923396</v>
      </c>
      <c r="AG1089">
        <v>-1.1107161885619901</v>
      </c>
      <c r="AH1089">
        <v>16.355615550793001</v>
      </c>
      <c r="AI1089">
        <v>93.882971220207693</v>
      </c>
      <c r="AJ1089">
        <v>88.139231541378606</v>
      </c>
      <c r="AK1089">
        <v>16.4018960656744</v>
      </c>
      <c r="AL1089">
        <v>71.052738570638994</v>
      </c>
      <c r="AM1089">
        <v>92.399271193267197</v>
      </c>
      <c r="AN1089">
        <v>0.99999999068242895</v>
      </c>
    </row>
    <row r="1090" spans="1:40" x14ac:dyDescent="0.25">
      <c r="A1090" t="str">
        <f>"20190304164839934"</f>
        <v>20190304164839934</v>
      </c>
      <c r="B1090" t="str">
        <f>"1551689319927400"</f>
        <v>1551689319927400</v>
      </c>
      <c r="C1090" t="s">
        <v>40</v>
      </c>
      <c r="D1090">
        <v>4.2104119999999998</v>
      </c>
      <c r="E1090">
        <v>0.54680960000000001</v>
      </c>
      <c r="F1090" t="s">
        <v>42</v>
      </c>
      <c r="G1090">
        <v>-248.47499999999999</v>
      </c>
      <c r="H1090" s="1">
        <v>-1.2652719999999901E-6</v>
      </c>
      <c r="I1090">
        <v>367.0027</v>
      </c>
      <c r="J1090">
        <v>-264.96089999999998</v>
      </c>
      <c r="K1090">
        <v>1.1107209999999901</v>
      </c>
      <c r="L1090">
        <v>367.5795</v>
      </c>
      <c r="M1090">
        <v>0.99989649999999997</v>
      </c>
      <c r="N1090">
        <v>-1.4141630000000001E-2</v>
      </c>
      <c r="O1090">
        <v>-2.6457719999999998E-3</v>
      </c>
      <c r="P1090">
        <v>0.94952130000000001</v>
      </c>
      <c r="Q1090">
        <v>0.31152609999999997</v>
      </c>
      <c r="R1090">
        <v>3.688777E-2</v>
      </c>
      <c r="S1090">
        <v>3.234467</v>
      </c>
      <c r="T1090">
        <v>-0.2160455</v>
      </c>
      <c r="U1090">
        <v>-0.1122742</v>
      </c>
      <c r="V1090">
        <v>-3.9416270000000003E-2</v>
      </c>
      <c r="W1090">
        <v>0.32491959999999998</v>
      </c>
      <c r="X1090">
        <v>0.94491990000000003</v>
      </c>
      <c r="Y1090">
        <v>3.1963760000000001E-2</v>
      </c>
      <c r="Z1090">
        <v>-1.153294E-3</v>
      </c>
      <c r="AA1090">
        <v>0.99948840000000005</v>
      </c>
      <c r="AB1090">
        <v>29</v>
      </c>
      <c r="AC1090">
        <v>16.485899999999901</v>
      </c>
      <c r="AD1090">
        <v>-1.1107222652719999</v>
      </c>
      <c r="AE1090">
        <v>-0.57679999999999099</v>
      </c>
      <c r="AF1090">
        <v>0.53076932844644897</v>
      </c>
      <c r="AG1090">
        <v>-1.1107222652719999</v>
      </c>
      <c r="AH1090">
        <v>16.412956832884898</v>
      </c>
      <c r="AI1090">
        <v>93.869486506057896</v>
      </c>
      <c r="AJ1090">
        <v>88.147789675455797</v>
      </c>
      <c r="AK1090">
        <v>16.459057446547</v>
      </c>
      <c r="AL1090">
        <v>71.039296009374596</v>
      </c>
      <c r="AM1090">
        <v>92.388644139649799</v>
      </c>
      <c r="AN1090">
        <v>1.0000000031104399</v>
      </c>
    </row>
    <row r="1091" spans="1:40" x14ac:dyDescent="0.25">
      <c r="A1091" t="str">
        <f>"20190304164839945"</f>
        <v>20190304164839945</v>
      </c>
      <c r="B1091" t="str">
        <f>"1551689319937161"</f>
        <v>1551689319937161</v>
      </c>
      <c r="C1091" t="s">
        <v>40</v>
      </c>
      <c r="D1091">
        <v>4.2791300000000003</v>
      </c>
      <c r="E1091">
        <v>0.54679919999999904</v>
      </c>
      <c r="F1091" t="s">
        <v>42</v>
      </c>
      <c r="G1091">
        <v>-248.2269</v>
      </c>
      <c r="H1091" s="1">
        <v>-1.3617809999999999E-6</v>
      </c>
      <c r="I1091">
        <v>366.99799999999999</v>
      </c>
      <c r="J1091">
        <v>-264.82209999999998</v>
      </c>
      <c r="K1091">
        <v>1.110725</v>
      </c>
      <c r="L1091">
        <v>367.57920000000001</v>
      </c>
      <c r="M1091">
        <v>0.99989660000000002</v>
      </c>
      <c r="N1091">
        <v>-1.414457E-2</v>
      </c>
      <c r="O1091">
        <v>-2.6251730000000002E-3</v>
      </c>
      <c r="P1091">
        <v>0.94940219999999997</v>
      </c>
      <c r="Q1091">
        <v>0.31188100000000002</v>
      </c>
      <c r="R1091">
        <v>3.6956919999999997E-2</v>
      </c>
      <c r="S1091">
        <v>3.234283</v>
      </c>
      <c r="T1091">
        <v>-0.21467629999999999</v>
      </c>
      <c r="U1091">
        <v>-0.1123962</v>
      </c>
      <c r="V1091">
        <v>-3.9465680000000003E-2</v>
      </c>
      <c r="W1091">
        <v>0.32527489999999998</v>
      </c>
      <c r="X1091">
        <v>0.94479559999999996</v>
      </c>
      <c r="Y1091">
        <v>3.2024709999999998E-2</v>
      </c>
      <c r="Z1091">
        <v>-1.151296E-3</v>
      </c>
      <c r="AA1091">
        <v>0.9994864</v>
      </c>
      <c r="AB1091">
        <v>29</v>
      </c>
      <c r="AC1091">
        <v>16.595199999999899</v>
      </c>
      <c r="AD1091">
        <v>-1.1107263617809999</v>
      </c>
      <c r="AE1091">
        <v>-0.58119999999996697</v>
      </c>
      <c r="AF1091">
        <v>0.53523362086811499</v>
      </c>
      <c r="AG1091">
        <v>-1.1107263617809999</v>
      </c>
      <c r="AH1091">
        <v>16.522742411641399</v>
      </c>
      <c r="AI1091">
        <v>93.8438602652394</v>
      </c>
      <c r="AJ1091">
        <v>88.144623526406093</v>
      </c>
      <c r="AK1091">
        <v>16.568681446666702</v>
      </c>
      <c r="AL1091">
        <v>71.017769709539095</v>
      </c>
      <c r="AM1091">
        <v>92.391949218568598</v>
      </c>
      <c r="AN1091">
        <v>1.00000001312361</v>
      </c>
    </row>
    <row r="1092" spans="1:40" x14ac:dyDescent="0.25">
      <c r="A1092" t="str">
        <f>"20190304164839956"</f>
        <v>20190304164839956</v>
      </c>
      <c r="B1092" t="str">
        <f>"1551689319947897"</f>
        <v>1551689319947897</v>
      </c>
      <c r="C1092" t="s">
        <v>40</v>
      </c>
      <c r="D1092">
        <v>4.2645439999999999</v>
      </c>
      <c r="E1092">
        <v>0.54679449999999996</v>
      </c>
      <c r="F1092" t="s">
        <v>42</v>
      </c>
      <c r="G1092">
        <v>-248.00149999999999</v>
      </c>
      <c r="H1092" s="1">
        <v>-1.4486979999999999E-6</v>
      </c>
      <c r="I1092">
        <v>366.99669999999998</v>
      </c>
      <c r="J1092">
        <v>-264.67489999999998</v>
      </c>
      <c r="K1092">
        <v>1.1107290000000001</v>
      </c>
      <c r="L1092">
        <v>367.57889999999998</v>
      </c>
      <c r="M1092">
        <v>0.99989649999999997</v>
      </c>
      <c r="N1092">
        <v>-1.414758E-2</v>
      </c>
      <c r="O1092">
        <v>-2.6032630000000002E-3</v>
      </c>
      <c r="P1092">
        <v>0.94930460000000005</v>
      </c>
      <c r="Q1092">
        <v>0.31216729999999998</v>
      </c>
      <c r="R1092">
        <v>3.7047919999999998E-2</v>
      </c>
      <c r="S1092">
        <v>3.234375</v>
      </c>
      <c r="T1092">
        <v>-0.21357770000000001</v>
      </c>
      <c r="U1092">
        <v>-0.1119995</v>
      </c>
      <c r="V1092">
        <v>-3.9535870000000001E-2</v>
      </c>
      <c r="W1092">
        <v>0.32556299999999999</v>
      </c>
      <c r="X1092">
        <v>0.94469340000000002</v>
      </c>
      <c r="Y1092">
        <v>3.1924170000000002E-2</v>
      </c>
      <c r="Z1092">
        <v>-1.1439029999999999E-3</v>
      </c>
      <c r="AA1092">
        <v>0.99948970000000004</v>
      </c>
      <c r="AB1092">
        <v>29</v>
      </c>
      <c r="AC1092">
        <v>16.673399999999901</v>
      </c>
      <c r="AD1092">
        <v>-1.1107304486980001</v>
      </c>
      <c r="AE1092">
        <v>-0.58220000000000005</v>
      </c>
      <c r="AF1092">
        <v>0.53641084351927903</v>
      </c>
      <c r="AG1092">
        <v>-1.1107304486980001</v>
      </c>
      <c r="AH1092">
        <v>16.601275620049901</v>
      </c>
      <c r="AI1092">
        <v>93.825754992592493</v>
      </c>
      <c r="AJ1092">
        <v>88.149335685382397</v>
      </c>
      <c r="AK1092">
        <v>16.647036100626899</v>
      </c>
      <c r="AL1092">
        <v>71.000312069084302</v>
      </c>
      <c r="AM1092">
        <v>92.396457289755503</v>
      </c>
      <c r="AN1092">
        <v>0.99999998599460804</v>
      </c>
    </row>
    <row r="1093" spans="1:40" x14ac:dyDescent="0.25">
      <c r="A1093" t="str">
        <f>"20190304164839968"</f>
        <v>20190304164839968</v>
      </c>
      <c r="B1093" t="str">
        <f>"1551689319957657"</f>
        <v>1551689319957657</v>
      </c>
      <c r="C1093" t="s">
        <v>40</v>
      </c>
      <c r="D1093">
        <v>4.2683960000000001</v>
      </c>
      <c r="E1093">
        <v>0.54679089999999997</v>
      </c>
      <c r="F1093" t="s">
        <v>41</v>
      </c>
      <c r="G1093">
        <v>-263.69909999999999</v>
      </c>
      <c r="H1093">
        <v>1.046586</v>
      </c>
      <c r="I1093">
        <v>367.54509999999999</v>
      </c>
      <c r="J1093">
        <v>-264.5258</v>
      </c>
      <c r="K1093">
        <v>1.1107309999999999</v>
      </c>
      <c r="L1093">
        <v>367.57839999999999</v>
      </c>
      <c r="M1093">
        <v>0.99989660000000002</v>
      </c>
      <c r="N1093">
        <v>-1.4150080000000001E-2</v>
      </c>
      <c r="O1093">
        <v>-2.5813469999999999E-3</v>
      </c>
      <c r="P1093">
        <v>0.94918130000000001</v>
      </c>
      <c r="Q1093">
        <v>0.31255860000000002</v>
      </c>
      <c r="R1093">
        <v>3.6910169999999999E-2</v>
      </c>
      <c r="S1093">
        <v>3.2345280000000001</v>
      </c>
      <c r="T1093">
        <v>-0.21285370000000001</v>
      </c>
      <c r="U1093">
        <v>-0.1111755</v>
      </c>
      <c r="V1093">
        <v>-3.9376649999999999E-2</v>
      </c>
      <c r="W1093">
        <v>0.32595479999999999</v>
      </c>
      <c r="X1093">
        <v>0.94456490000000004</v>
      </c>
      <c r="Y1093">
        <v>3.1691209999999997E-2</v>
      </c>
      <c r="Z1093">
        <v>-1.132755E-3</v>
      </c>
      <c r="AA1093">
        <v>0.99949710000000003</v>
      </c>
      <c r="AB1093">
        <v>29</v>
      </c>
      <c r="AC1093">
        <v>0.82670000000001598</v>
      </c>
      <c r="AD1093">
        <v>-6.4144999999999897E-2</v>
      </c>
      <c r="AE1093">
        <v>-3.3299999999996999E-2</v>
      </c>
      <c r="AF1093">
        <v>3.0979467356910699E-2</v>
      </c>
      <c r="AG1093">
        <v>-6.4144999999999897E-2</v>
      </c>
      <c r="AH1093">
        <v>0.821843351869186</v>
      </c>
      <c r="AI1093">
        <v>94.459742126029695</v>
      </c>
      <c r="AJ1093">
        <v>87.841251942711594</v>
      </c>
      <c r="AK1093">
        <v>0.82492472592006605</v>
      </c>
      <c r="AL1093">
        <v>70.976567748965095</v>
      </c>
      <c r="AM1093">
        <v>92.387141722285307</v>
      </c>
      <c r="AN1093">
        <v>0.99999995126013497</v>
      </c>
    </row>
    <row r="1094" spans="1:40" x14ac:dyDescent="0.25">
      <c r="A1094" t="str">
        <f>"20190304164839979"</f>
        <v>20190304164839979</v>
      </c>
      <c r="B1094" t="str">
        <f>"1551689319967416"</f>
        <v>1551689319967416</v>
      </c>
      <c r="C1094" t="s">
        <v>40</v>
      </c>
      <c r="D1094">
        <v>4.2280419999999896</v>
      </c>
      <c r="E1094">
        <v>0.54677569999999998</v>
      </c>
      <c r="F1094" t="s">
        <v>42</v>
      </c>
      <c r="G1094">
        <v>-247.50739999999999</v>
      </c>
      <c r="H1094" s="1">
        <v>-1.6402110000000001E-6</v>
      </c>
      <c r="I1094">
        <v>366.99009999999998</v>
      </c>
      <c r="J1094">
        <v>-264.38279999999997</v>
      </c>
      <c r="K1094">
        <v>1.110733</v>
      </c>
      <c r="L1094">
        <v>367.57810000000001</v>
      </c>
      <c r="M1094">
        <v>0.99989660000000002</v>
      </c>
      <c r="N1094">
        <v>-1.4152319999999999E-2</v>
      </c>
      <c r="O1094">
        <v>-2.5605020000000001E-3</v>
      </c>
      <c r="P1094">
        <v>0.94919149999999997</v>
      </c>
      <c r="Q1094">
        <v>0.31252999999999997</v>
      </c>
      <c r="R1094">
        <v>3.6888919999999999E-2</v>
      </c>
      <c r="S1094">
        <v>3.2344970000000002</v>
      </c>
      <c r="T1094">
        <v>-0.21110380000000001</v>
      </c>
      <c r="U1094">
        <v>-0.1118164</v>
      </c>
      <c r="V1094">
        <v>-3.9336030000000001E-2</v>
      </c>
      <c r="W1094">
        <v>0.32592870000000002</v>
      </c>
      <c r="X1094">
        <v>0.94457570000000002</v>
      </c>
      <c r="Y1094">
        <v>3.191074E-2</v>
      </c>
      <c r="Z1094">
        <v>-1.1354220000000001E-3</v>
      </c>
      <c r="AA1094">
        <v>0.99949010000000005</v>
      </c>
      <c r="AB1094">
        <v>29</v>
      </c>
      <c r="AC1094">
        <v>16.8753999999999</v>
      </c>
      <c r="AD1094">
        <v>-1.1107346402110001</v>
      </c>
      <c r="AE1094">
        <v>-0.58800000000002195</v>
      </c>
      <c r="AF1094">
        <v>0.54243713189847498</v>
      </c>
      <c r="AG1094">
        <v>-1.1107346402110001</v>
      </c>
      <c r="AH1094">
        <v>16.8041391137752</v>
      </c>
      <c r="AI1094">
        <v>93.779722321647199</v>
      </c>
      <c r="AJ1094">
        <v>88.151135861169394</v>
      </c>
      <c r="AK1094">
        <v>16.849541858404798</v>
      </c>
      <c r="AL1094">
        <v>70.978151440229297</v>
      </c>
      <c r="AM1094">
        <v>92.384654814642602</v>
      </c>
      <c r="AN1094">
        <v>1.00000004688516</v>
      </c>
    </row>
    <row r="1095" spans="1:40" x14ac:dyDescent="0.25">
      <c r="A1095" t="str">
        <f>"20190304164839988"</f>
        <v>20190304164839988</v>
      </c>
      <c r="B1095" t="str">
        <f>"1551689319977176"</f>
        <v>1551689319977176</v>
      </c>
      <c r="C1095" t="s">
        <v>40</v>
      </c>
      <c r="D1095">
        <v>4.2237039999999997</v>
      </c>
      <c r="E1095">
        <v>0.54676969999999903</v>
      </c>
      <c r="F1095" t="s">
        <v>41</v>
      </c>
      <c r="G1095">
        <v>-263.43560000000002</v>
      </c>
      <c r="H1095">
        <v>1.048918</v>
      </c>
      <c r="I1095">
        <v>367.54520000000002</v>
      </c>
      <c r="J1095">
        <v>-264.2473</v>
      </c>
      <c r="K1095">
        <v>1.1107359999999999</v>
      </c>
      <c r="L1095">
        <v>367.57780000000002</v>
      </c>
      <c r="M1095">
        <v>0.99989669999999997</v>
      </c>
      <c r="N1095">
        <v>-1.4154160000000001E-2</v>
      </c>
      <c r="O1095">
        <v>-2.5406069999999998E-3</v>
      </c>
      <c r="P1095">
        <v>0.94919730000000002</v>
      </c>
      <c r="Q1095">
        <v>0.31252150000000001</v>
      </c>
      <c r="R1095">
        <v>3.6816300000000003E-2</v>
      </c>
      <c r="S1095">
        <v>3.2344970000000002</v>
      </c>
      <c r="T1095">
        <v>-0.2113236</v>
      </c>
      <c r="U1095">
        <v>-0.1117249</v>
      </c>
      <c r="V1095">
        <v>-3.924424E-2</v>
      </c>
      <c r="W1095">
        <v>0.32592199999999999</v>
      </c>
      <c r="X1095">
        <v>0.94458180000000003</v>
      </c>
      <c r="Y1095">
        <v>3.1902220000000002E-2</v>
      </c>
      <c r="Z1095">
        <v>-1.137042E-3</v>
      </c>
      <c r="AA1095">
        <v>0.99949030000000005</v>
      </c>
      <c r="AB1095">
        <v>29</v>
      </c>
      <c r="AC1095">
        <v>0.811699999999973</v>
      </c>
      <c r="AD1095">
        <v>-6.1818000000000102E-2</v>
      </c>
      <c r="AE1095">
        <v>-3.26000000000021E-2</v>
      </c>
      <c r="AF1095">
        <v>3.0361659267057001E-2</v>
      </c>
      <c r="AG1095">
        <v>-6.1818000000000102E-2</v>
      </c>
      <c r="AH1095">
        <v>0.80710641712165199</v>
      </c>
      <c r="AI1095">
        <v>94.376770919451999</v>
      </c>
      <c r="AJ1095">
        <v>87.845668151162599</v>
      </c>
      <c r="AK1095">
        <v>0.81003954473618001</v>
      </c>
      <c r="AL1095">
        <v>70.978556937071502</v>
      </c>
      <c r="AM1095">
        <v>92.379081315704695</v>
      </c>
      <c r="AN1095">
        <v>1.0000000186742</v>
      </c>
    </row>
    <row r="1096" spans="1:40" x14ac:dyDescent="0.25">
      <c r="A1096" t="str">
        <f>"20190304164840001"</f>
        <v>20190304164840001</v>
      </c>
      <c r="B1096" t="str">
        <f>"1551689319997672"</f>
        <v>1551689319997672</v>
      </c>
      <c r="C1096" t="s">
        <v>40</v>
      </c>
      <c r="D1096">
        <v>4.2379369999999996</v>
      </c>
      <c r="E1096">
        <v>0.54676990000000003</v>
      </c>
      <c r="F1096" t="s">
        <v>42</v>
      </c>
      <c r="G1096">
        <v>-247.2705</v>
      </c>
      <c r="H1096" s="1">
        <v>-1.736575E-6</v>
      </c>
      <c r="I1096">
        <v>366.99009999999998</v>
      </c>
      <c r="J1096">
        <v>-264.0917</v>
      </c>
      <c r="K1096">
        <v>1.1107359999999999</v>
      </c>
      <c r="L1096">
        <v>367.57740000000001</v>
      </c>
      <c r="M1096">
        <v>0.99989660000000002</v>
      </c>
      <c r="N1096">
        <v>-1.415602E-2</v>
      </c>
      <c r="O1096">
        <v>-2.5177350000000001E-3</v>
      </c>
      <c r="P1096">
        <v>0.94914290000000001</v>
      </c>
      <c r="Q1096">
        <v>0.31268210000000002</v>
      </c>
      <c r="R1096">
        <v>3.684776E-2</v>
      </c>
      <c r="S1096">
        <v>3.2346189999999999</v>
      </c>
      <c r="T1096">
        <v>-0.21163029999999999</v>
      </c>
      <c r="U1096">
        <v>-0.111969</v>
      </c>
      <c r="V1096">
        <v>-3.9253639999999999E-2</v>
      </c>
      <c r="W1096">
        <v>0.32608379999999998</v>
      </c>
      <c r="X1096">
        <v>0.94452550000000002</v>
      </c>
      <c r="Y1096">
        <v>3.1998649999999997E-2</v>
      </c>
      <c r="Z1096">
        <v>-1.1433159999999999E-3</v>
      </c>
      <c r="AA1096">
        <v>0.99948729999999997</v>
      </c>
      <c r="AB1096">
        <v>29</v>
      </c>
      <c r="AC1096">
        <v>16.821200000000001</v>
      </c>
      <c r="AD1096">
        <v>-1.110737736575</v>
      </c>
      <c r="AE1096">
        <v>-0.58730000000002702</v>
      </c>
      <c r="AF1096">
        <v>0.54257967867763301</v>
      </c>
      <c r="AG1096">
        <v>-1.110737736575</v>
      </c>
      <c r="AH1096">
        <v>16.749681990602699</v>
      </c>
      <c r="AI1096">
        <v>93.791971968212096</v>
      </c>
      <c r="AJ1096">
        <v>88.144641864879404</v>
      </c>
      <c r="AK1096">
        <v>16.795236759673401</v>
      </c>
      <c r="AL1096">
        <v>70.968749527879794</v>
      </c>
      <c r="AM1096">
        <v>92.379792191482395</v>
      </c>
      <c r="AN1096">
        <v>0.99999995651296802</v>
      </c>
    </row>
    <row r="1097" spans="1:40" x14ac:dyDescent="0.25">
      <c r="A1097" t="str">
        <f>"20190304164840013"</f>
        <v>20190304164840013</v>
      </c>
      <c r="B1097" t="str">
        <f>"1551689320007432"</f>
        <v>1551689320007432</v>
      </c>
      <c r="C1097" t="s">
        <v>40</v>
      </c>
      <c r="D1097">
        <v>4.2089299999999996</v>
      </c>
      <c r="E1097">
        <v>0.54673959999999999</v>
      </c>
      <c r="F1097" t="s">
        <v>41</v>
      </c>
      <c r="G1097">
        <v>-263.16320000000002</v>
      </c>
      <c r="H1097">
        <v>1.050128</v>
      </c>
      <c r="I1097">
        <v>367.5453</v>
      </c>
      <c r="J1097">
        <v>-263.93549999999999</v>
      </c>
      <c r="K1097">
        <v>1.1107389999999999</v>
      </c>
      <c r="L1097">
        <v>367.577</v>
      </c>
      <c r="M1097">
        <v>0.99989669999999997</v>
      </c>
      <c r="N1097">
        <v>-1.4157690000000001E-2</v>
      </c>
      <c r="O1097">
        <v>-2.4943859999999999E-3</v>
      </c>
      <c r="P1097">
        <v>0.94920179999999998</v>
      </c>
      <c r="Q1097">
        <v>0.31248510000000002</v>
      </c>
      <c r="R1097">
        <v>3.7002529999999999E-2</v>
      </c>
      <c r="S1097">
        <v>3.2347109999999999</v>
      </c>
      <c r="T1097">
        <v>-0.21130479999999999</v>
      </c>
      <c r="U1097">
        <v>-0.1112976</v>
      </c>
      <c r="V1097">
        <v>-3.938614E-2</v>
      </c>
      <c r="W1097">
        <v>0.32588899999999998</v>
      </c>
      <c r="X1097">
        <v>0.94458719999999996</v>
      </c>
      <c r="Y1097">
        <v>3.1814479999999999E-2</v>
      </c>
      <c r="Z1097">
        <v>-1.135851E-3</v>
      </c>
      <c r="AA1097">
        <v>0.99949310000000002</v>
      </c>
      <c r="AB1097">
        <v>29</v>
      </c>
      <c r="AC1097">
        <v>0.77229999999997201</v>
      </c>
      <c r="AD1097">
        <v>-6.06109999999997E-2</v>
      </c>
      <c r="AE1097">
        <v>-3.17000000000007E-2</v>
      </c>
      <c r="AF1097">
        <v>2.9591338874958802E-2</v>
      </c>
      <c r="AG1097">
        <v>-6.06109999999997E-2</v>
      </c>
      <c r="AH1097">
        <v>0.76765640917070099</v>
      </c>
      <c r="AI1097">
        <v>94.511137548050201</v>
      </c>
      <c r="AJ1097">
        <v>87.792476187006798</v>
      </c>
      <c r="AK1097">
        <v>0.77061384830423796</v>
      </c>
      <c r="AL1097">
        <v>70.980555403322001</v>
      </c>
      <c r="AM1097">
        <v>92.387660067004404</v>
      </c>
      <c r="AN1097">
        <v>0.99999994337446796</v>
      </c>
    </row>
    <row r="1098" spans="1:40" x14ac:dyDescent="0.25">
      <c r="A1098" t="str">
        <f>"20190304164840024"</f>
        <v>20190304164840024</v>
      </c>
      <c r="B1098" t="str">
        <f>"1551689320017193"</f>
        <v>1551689320017193</v>
      </c>
      <c r="C1098" t="s">
        <v>40</v>
      </c>
      <c r="D1098">
        <v>4.2505850000000001</v>
      </c>
      <c r="E1098">
        <v>0.54674630000000002</v>
      </c>
      <c r="F1098" t="s">
        <v>42</v>
      </c>
      <c r="G1098">
        <v>-246.95099999999999</v>
      </c>
      <c r="H1098" s="1">
        <v>-1.8866409999999999E-6</v>
      </c>
      <c r="I1098">
        <v>366.99560000000002</v>
      </c>
      <c r="J1098">
        <v>-263.80040000000002</v>
      </c>
      <c r="K1098">
        <v>1.1107389999999999</v>
      </c>
      <c r="L1098">
        <v>367.57670000000002</v>
      </c>
      <c r="M1098">
        <v>0.99989669999999997</v>
      </c>
      <c r="N1098">
        <v>-1.4158840000000001E-2</v>
      </c>
      <c r="O1098">
        <v>-2.4747279999999998E-3</v>
      </c>
      <c r="P1098">
        <v>0.94922470000000003</v>
      </c>
      <c r="Q1098">
        <v>0.31239830000000002</v>
      </c>
      <c r="R1098">
        <v>3.7145200000000003E-2</v>
      </c>
      <c r="S1098">
        <v>3.2344970000000002</v>
      </c>
      <c r="T1098">
        <v>-0.21152660000000001</v>
      </c>
      <c r="U1098">
        <v>-0.11071780000000001</v>
      </c>
      <c r="V1098">
        <v>-3.9510330000000003E-2</v>
      </c>
      <c r="W1098">
        <v>0.32580379999999998</v>
      </c>
      <c r="X1098">
        <v>0.94461139999999999</v>
      </c>
      <c r="Y1098">
        <v>3.1657650000000002E-2</v>
      </c>
      <c r="Z1098">
        <v>-1.1316220000000001E-3</v>
      </c>
      <c r="AA1098">
        <v>0.99949809999999994</v>
      </c>
      <c r="AB1098">
        <v>29</v>
      </c>
      <c r="AC1098">
        <v>16.849399999999999</v>
      </c>
      <c r="AD1098">
        <v>-1.110740886641</v>
      </c>
      <c r="AE1098">
        <v>-0.58109999999999196</v>
      </c>
      <c r="AF1098">
        <v>0.53706522320837902</v>
      </c>
      <c r="AG1098">
        <v>-1.110740886641</v>
      </c>
      <c r="AH1098">
        <v>16.7779617548189</v>
      </c>
      <c r="AI1098">
        <v>93.785656327779506</v>
      </c>
      <c r="AJ1098">
        <v>88.166579022734993</v>
      </c>
      <c r="AK1098">
        <v>16.823263209538201</v>
      </c>
      <c r="AL1098">
        <v>70.985718734931197</v>
      </c>
      <c r="AM1098">
        <v>92.395118647687198</v>
      </c>
      <c r="AN1098">
        <v>0.999999939640552</v>
      </c>
    </row>
    <row r="1099" spans="1:40" x14ac:dyDescent="0.25">
      <c r="A1099" t="str">
        <f>"20190304164840034"</f>
        <v>20190304164840034</v>
      </c>
      <c r="B1099" t="str">
        <f>"1551689320026953"</f>
        <v>1551689320026953</v>
      </c>
      <c r="C1099" t="s">
        <v>40</v>
      </c>
      <c r="D1099">
        <v>4.2109030000000001</v>
      </c>
      <c r="E1099">
        <v>0.54671999999999998</v>
      </c>
      <c r="F1099" t="s">
        <v>42</v>
      </c>
      <c r="G1099">
        <v>-246.8595</v>
      </c>
      <c r="H1099" s="1">
        <v>-1.9290800000000002E-6</v>
      </c>
      <c r="I1099">
        <v>367.00020000000001</v>
      </c>
      <c r="J1099">
        <v>-263.65800000000002</v>
      </c>
      <c r="K1099">
        <v>1.1107389999999999</v>
      </c>
      <c r="L1099">
        <v>367.57639999999998</v>
      </c>
      <c r="M1099">
        <v>0.99989680000000003</v>
      </c>
      <c r="N1099">
        <v>-1.4159980000000001E-2</v>
      </c>
      <c r="O1099">
        <v>-2.4536380000000002E-3</v>
      </c>
      <c r="P1099">
        <v>0.94928360000000001</v>
      </c>
      <c r="Q1099">
        <v>0.31223770000000001</v>
      </c>
      <c r="R1099">
        <v>3.6991059999999999E-2</v>
      </c>
      <c r="S1099">
        <v>3.2345579999999998</v>
      </c>
      <c r="T1099">
        <v>-0.2120756</v>
      </c>
      <c r="U1099">
        <v>-0.11007690000000001</v>
      </c>
      <c r="V1099">
        <v>-3.9336040000000003E-2</v>
      </c>
      <c r="W1099">
        <v>0.32564510000000002</v>
      </c>
      <c r="X1099">
        <v>0.94467350000000005</v>
      </c>
      <c r="Y1099">
        <v>3.1480349999999997E-2</v>
      </c>
      <c r="Z1099">
        <v>-1.1279090000000001E-3</v>
      </c>
      <c r="AA1099">
        <v>0.99950369999999999</v>
      </c>
      <c r="AB1099">
        <v>29</v>
      </c>
      <c r="AC1099">
        <v>16.798500000000001</v>
      </c>
      <c r="AD1099">
        <v>-1.1107409290800001</v>
      </c>
      <c r="AE1099">
        <v>-0.57619999999997096</v>
      </c>
      <c r="AF1099">
        <v>0.532650661712185</v>
      </c>
      <c r="AG1099">
        <v>-1.1107409290800001</v>
      </c>
      <c r="AH1099">
        <v>16.7268188993948</v>
      </c>
      <c r="AI1099">
        <v>93.797217494099897</v>
      </c>
      <c r="AJ1099">
        <v>88.176083238175195</v>
      </c>
      <c r="AK1099">
        <v>16.7721177145913</v>
      </c>
      <c r="AL1099">
        <v>70.995338007879795</v>
      </c>
      <c r="AM1099">
        <v>92.384408826919397</v>
      </c>
      <c r="AN1099">
        <v>1.00000003839957</v>
      </c>
    </row>
    <row r="1100" spans="1:40" x14ac:dyDescent="0.25">
      <c r="A1100" t="str">
        <f>"20190304164840046"</f>
        <v>20190304164840046</v>
      </c>
      <c r="B1100" t="str">
        <f>"1551689320037220"</f>
        <v>1551689320037220</v>
      </c>
      <c r="C1100" t="s">
        <v>40</v>
      </c>
      <c r="D1100">
        <v>4.209511</v>
      </c>
      <c r="E1100">
        <v>0.54669709999999905</v>
      </c>
      <c r="F1100" t="s">
        <v>42</v>
      </c>
      <c r="G1100">
        <v>-246.7576</v>
      </c>
      <c r="H1100" s="1">
        <v>-1.9772540000000001E-6</v>
      </c>
      <c r="I1100">
        <v>367.00020000000001</v>
      </c>
      <c r="J1100">
        <v>-263.51560000000001</v>
      </c>
      <c r="K1100">
        <v>1.1107389999999999</v>
      </c>
      <c r="L1100">
        <v>367.5761</v>
      </c>
      <c r="M1100">
        <v>0.99989689999999998</v>
      </c>
      <c r="N1100">
        <v>-1.4160839999999999E-2</v>
      </c>
      <c r="O1100">
        <v>-2.432544E-3</v>
      </c>
      <c r="P1100">
        <v>0.94933219999999996</v>
      </c>
      <c r="Q1100">
        <v>0.31206339999999999</v>
      </c>
      <c r="R1100">
        <v>3.7216939999999997E-2</v>
      </c>
      <c r="S1100">
        <v>3.234467</v>
      </c>
      <c r="T1100">
        <v>-0.2125775</v>
      </c>
      <c r="U1100">
        <v>-0.11026</v>
      </c>
      <c r="V1100">
        <v>-3.9542140000000003E-2</v>
      </c>
      <c r="W1100">
        <v>0.3254724</v>
      </c>
      <c r="X1100">
        <v>0.94472440000000002</v>
      </c>
      <c r="Y1100">
        <v>3.1558339999999997E-2</v>
      </c>
      <c r="Z1100">
        <v>-1.134202E-3</v>
      </c>
      <c r="AA1100">
        <v>0.99950130000000004</v>
      </c>
      <c r="AB1100">
        <v>29</v>
      </c>
      <c r="AC1100">
        <v>16.757999999999999</v>
      </c>
      <c r="AD1100">
        <v>-1.110740977254</v>
      </c>
      <c r="AE1100">
        <v>-0.57589999999998998</v>
      </c>
      <c r="AF1100">
        <v>0.53279173989903905</v>
      </c>
      <c r="AG1100">
        <v>-1.110740977254</v>
      </c>
      <c r="AH1100">
        <v>16.686132365898299</v>
      </c>
      <c r="AI1100">
        <v>93.806438985807404</v>
      </c>
      <c r="AJ1100">
        <v>88.171154984223904</v>
      </c>
      <c r="AK1100">
        <v>16.731545830823201</v>
      </c>
      <c r="AL1100">
        <v>71.005802902719196</v>
      </c>
      <c r="AM1100">
        <v>92.396758343489907</v>
      </c>
      <c r="AN1100">
        <v>1.0000000279764401</v>
      </c>
    </row>
    <row r="1101" spans="1:40" x14ac:dyDescent="0.25">
      <c r="A1101" t="str">
        <f>"20190304164840057"</f>
        <v>20190304164840057</v>
      </c>
      <c r="B1101" t="str">
        <f>"1551689320047955"</f>
        <v>1551689320047955</v>
      </c>
      <c r="C1101" t="s">
        <v>40</v>
      </c>
      <c r="D1101">
        <v>4.1914680000000004</v>
      </c>
      <c r="E1101">
        <v>0.54666130000000002</v>
      </c>
      <c r="F1101" t="s">
        <v>42</v>
      </c>
      <c r="G1101">
        <v>-246.64320000000001</v>
      </c>
      <c r="H1101" s="1">
        <v>-2.030497E-6</v>
      </c>
      <c r="I1101">
        <v>367.00490000000002</v>
      </c>
      <c r="J1101">
        <v>-263.3587</v>
      </c>
      <c r="K1101">
        <v>1.1107370000000001</v>
      </c>
      <c r="L1101">
        <v>367.57569999999998</v>
      </c>
      <c r="M1101">
        <v>0.99989689999999998</v>
      </c>
      <c r="N1101">
        <v>-1.4161709999999999E-2</v>
      </c>
      <c r="O1101">
        <v>-2.408706E-3</v>
      </c>
      <c r="P1101">
        <v>0.94942029999999999</v>
      </c>
      <c r="Q1101">
        <v>0.31178070000000002</v>
      </c>
      <c r="R1101">
        <v>3.7338219999999998E-2</v>
      </c>
      <c r="S1101">
        <v>3.2344059999999999</v>
      </c>
      <c r="T1101">
        <v>-0.2129269</v>
      </c>
      <c r="U1101">
        <v>-0.1094971</v>
      </c>
      <c r="V1101">
        <v>-3.9641240000000001E-2</v>
      </c>
      <c r="W1101">
        <v>0.32519160000000003</v>
      </c>
      <c r="X1101">
        <v>0.94481689999999996</v>
      </c>
      <c r="Y1101">
        <v>3.1347609999999998E-2</v>
      </c>
      <c r="Z1101">
        <v>-1.128483E-3</v>
      </c>
      <c r="AA1101">
        <v>0.9995079</v>
      </c>
      <c r="AB1101">
        <v>29</v>
      </c>
      <c r="AC1101">
        <v>16.715499999999899</v>
      </c>
      <c r="AD1101">
        <v>-1.110739030497</v>
      </c>
      <c r="AE1101">
        <v>-0.570799999999962</v>
      </c>
      <c r="AF1101">
        <v>0.52820199539548396</v>
      </c>
      <c r="AG1101">
        <v>-1.110739030497</v>
      </c>
      <c r="AH1101">
        <v>16.643422172415299</v>
      </c>
      <c r="AI1101">
        <v>93.8161949921559</v>
      </c>
      <c r="AJ1101">
        <v>88.182249397870393</v>
      </c>
      <c r="AK1101">
        <v>16.688805833583601</v>
      </c>
      <c r="AL1101">
        <v>71.022816377110203</v>
      </c>
      <c r="AM1101">
        <v>92.402523076589404</v>
      </c>
      <c r="AN1101">
        <v>0.99999998957245295</v>
      </c>
    </row>
    <row r="1102" spans="1:40" x14ac:dyDescent="0.25">
      <c r="A1102" t="str">
        <f>"20190304164840071"</f>
        <v>20190304164840071</v>
      </c>
      <c r="B1102" t="str">
        <f>"1551689320067474"</f>
        <v>1551689320067474</v>
      </c>
      <c r="C1102" t="s">
        <v>40</v>
      </c>
      <c r="D1102">
        <v>4.2433610000000002</v>
      </c>
      <c r="E1102">
        <v>0.54664309999999905</v>
      </c>
      <c r="F1102" t="s">
        <v>41</v>
      </c>
      <c r="G1102">
        <v>-262.39499999999998</v>
      </c>
      <c r="H1102">
        <v>1.047175</v>
      </c>
      <c r="I1102">
        <v>367.54309999999998</v>
      </c>
      <c r="J1102">
        <v>-263.17680000000001</v>
      </c>
      <c r="K1102">
        <v>1.1107340000000001</v>
      </c>
      <c r="L1102">
        <v>367.57530000000003</v>
      </c>
      <c r="M1102">
        <v>0.99989700000000004</v>
      </c>
      <c r="N1102">
        <v>-1.416242E-2</v>
      </c>
      <c r="O1102">
        <v>-2.3802089999999999E-3</v>
      </c>
      <c r="P1102">
        <v>0.94946969999999997</v>
      </c>
      <c r="Q1102">
        <v>0.31160670000000001</v>
      </c>
      <c r="R1102">
        <v>3.7534669999999999E-2</v>
      </c>
      <c r="S1102">
        <v>3.2341920000000002</v>
      </c>
      <c r="T1102">
        <v>-0.2134461</v>
      </c>
      <c r="U1102">
        <v>-0.1088867</v>
      </c>
      <c r="V1102">
        <v>-3.9811329999999999E-2</v>
      </c>
      <c r="W1102">
        <v>0.32501920000000001</v>
      </c>
      <c r="X1102">
        <v>0.94486899999999996</v>
      </c>
      <c r="Y1102">
        <v>3.1189930000000001E-2</v>
      </c>
      <c r="Z1102">
        <v>-1.1258399999999999E-3</v>
      </c>
      <c r="AA1102">
        <v>0.99951290000000004</v>
      </c>
      <c r="AB1102">
        <v>29</v>
      </c>
      <c r="AC1102">
        <v>0.78180000000003202</v>
      </c>
      <c r="AD1102">
        <v>-6.3559000000000102E-2</v>
      </c>
      <c r="AE1102">
        <v>-3.2200000000045699E-2</v>
      </c>
      <c r="AF1102">
        <v>3.01400046285062E-2</v>
      </c>
      <c r="AG1102">
        <v>-6.3559000000000102E-2</v>
      </c>
      <c r="AH1102">
        <v>0.77674927408897498</v>
      </c>
      <c r="AI1102">
        <v>94.674413045322297</v>
      </c>
      <c r="AJ1102">
        <v>87.777881231688099</v>
      </c>
      <c r="AK1102">
        <v>0.77992794613204897</v>
      </c>
      <c r="AL1102">
        <v>71.0332602997522</v>
      </c>
      <c r="AM1102">
        <v>92.412686620469202</v>
      </c>
      <c r="AN1102">
        <v>0.99999992476300104</v>
      </c>
    </row>
    <row r="1103" spans="1:40" x14ac:dyDescent="0.25">
      <c r="A1103" t="str">
        <f>"20190304164840085"</f>
        <v>20190304164840085</v>
      </c>
      <c r="B1103" t="str">
        <f>"1551689320077236"</f>
        <v>1551689320077236</v>
      </c>
      <c r="C1103" t="s">
        <v>40</v>
      </c>
      <c r="D1103">
        <v>4.2650759999999996</v>
      </c>
      <c r="E1103">
        <v>0.54665240000000004</v>
      </c>
      <c r="F1103" t="s">
        <v>42</v>
      </c>
      <c r="G1103">
        <v>-246.30709999999999</v>
      </c>
      <c r="H1103" s="1">
        <v>-2.1884699999999999E-6</v>
      </c>
      <c r="I1103">
        <v>367.00990000000002</v>
      </c>
      <c r="J1103">
        <v>-263.00259999999997</v>
      </c>
      <c r="K1103">
        <v>1.1107359999999999</v>
      </c>
      <c r="L1103">
        <v>367.57490000000001</v>
      </c>
      <c r="M1103">
        <v>0.99989709999999998</v>
      </c>
      <c r="N1103">
        <v>-1.4162889999999999E-2</v>
      </c>
      <c r="O1103">
        <v>-2.3519389999999999E-3</v>
      </c>
      <c r="P1103">
        <v>0.94946529999999996</v>
      </c>
      <c r="Q1103">
        <v>0.31161739999999999</v>
      </c>
      <c r="R1103">
        <v>3.7561900000000002E-2</v>
      </c>
      <c r="S1103">
        <v>3.2338260000000001</v>
      </c>
      <c r="T1103">
        <v>-0.21292159999999999</v>
      </c>
      <c r="U1103">
        <v>-0.1083679</v>
      </c>
      <c r="V1103">
        <v>-3.9812970000000003E-2</v>
      </c>
      <c r="W1103">
        <v>0.32502969999999998</v>
      </c>
      <c r="X1103">
        <v>0.94486539999999997</v>
      </c>
      <c r="Y1103">
        <v>3.106246E-2</v>
      </c>
      <c r="Z1103">
        <v>-1.1201749999999999E-3</v>
      </c>
      <c r="AA1103">
        <v>0.99951679999999998</v>
      </c>
      <c r="AB1103">
        <v>29</v>
      </c>
      <c r="AC1103">
        <v>16.6954999999999</v>
      </c>
      <c r="AD1103">
        <v>-1.1107381884700001</v>
      </c>
      <c r="AE1103">
        <v>-0.56499999999999695</v>
      </c>
      <c r="AF1103">
        <v>0.52341365831380204</v>
      </c>
      <c r="AG1103">
        <v>-1.1107381884700001</v>
      </c>
      <c r="AH1103">
        <v>16.623290052337701</v>
      </c>
      <c r="AI1103">
        <v>93.820830166792305</v>
      </c>
      <c r="AJ1103">
        <v>88.196536985281597</v>
      </c>
      <c r="AK1103">
        <v>16.668577424159</v>
      </c>
      <c r="AL1103">
        <v>71.032625661890293</v>
      </c>
      <c r="AM1103">
        <v>92.412795073967601</v>
      </c>
      <c r="AN1103">
        <v>1.0000000012897301</v>
      </c>
    </row>
    <row r="1104" spans="1:40" x14ac:dyDescent="0.25">
      <c r="A1104" t="str">
        <f>"20190304164840098"</f>
        <v>20190304164840098</v>
      </c>
      <c r="B1104" t="str">
        <f>"1551689320087971"</f>
        <v>1551689320087971</v>
      </c>
      <c r="C1104" t="s">
        <v>40</v>
      </c>
      <c r="D1104">
        <v>4.249301</v>
      </c>
      <c r="E1104">
        <v>0.54665509999999995</v>
      </c>
      <c r="F1104" t="s">
        <v>42</v>
      </c>
      <c r="G1104">
        <v>-246.1242</v>
      </c>
      <c r="H1104" s="1">
        <v>-2.2746990000000002E-6</v>
      </c>
      <c r="I1104">
        <v>367.01139999999998</v>
      </c>
      <c r="J1104">
        <v>-262.82330000000002</v>
      </c>
      <c r="K1104">
        <v>1.110738</v>
      </c>
      <c r="L1104">
        <v>367.5745</v>
      </c>
      <c r="M1104">
        <v>0.99989720000000004</v>
      </c>
      <c r="N1104">
        <v>-1.4163210000000001E-2</v>
      </c>
      <c r="O1104">
        <v>-2.321755E-3</v>
      </c>
      <c r="P1104">
        <v>0.94954039999999995</v>
      </c>
      <c r="Q1104">
        <v>0.31138490000000002</v>
      </c>
      <c r="R1104">
        <v>3.7586509999999997E-2</v>
      </c>
      <c r="S1104">
        <v>3.2337950000000002</v>
      </c>
      <c r="T1104">
        <v>-0.21280969999999999</v>
      </c>
      <c r="U1104">
        <v>-0.1079712</v>
      </c>
      <c r="V1104">
        <v>-3.981001E-2</v>
      </c>
      <c r="W1104">
        <v>0.3247988</v>
      </c>
      <c r="X1104">
        <v>0.94494489999999998</v>
      </c>
      <c r="Y1104">
        <v>3.0970729999999998E-2</v>
      </c>
      <c r="Z1104">
        <v>-1.1176280000000001E-3</v>
      </c>
      <c r="AA1104">
        <v>0.99951959999999995</v>
      </c>
      <c r="AB1104">
        <v>29</v>
      </c>
      <c r="AC1104">
        <v>16.699100000000001</v>
      </c>
      <c r="AD1104">
        <v>-1.1107402746990001</v>
      </c>
      <c r="AE1104">
        <v>-0.56310000000001903</v>
      </c>
      <c r="AF1104">
        <v>0.52201647720088196</v>
      </c>
      <c r="AG1104">
        <v>-1.1107402746990001</v>
      </c>
      <c r="AH1104">
        <v>16.626884675195299</v>
      </c>
      <c r="AI1104">
        <v>93.820024595382094</v>
      </c>
      <c r="AJ1104">
        <v>88.201736517901494</v>
      </c>
      <c r="AK1104">
        <v>16.672118616497201</v>
      </c>
      <c r="AL1104">
        <v>71.046613823341801</v>
      </c>
      <c r="AM1104">
        <v>92.412413162229697</v>
      </c>
      <c r="AN1104">
        <v>0.99999998070682405</v>
      </c>
    </row>
    <row r="1105" spans="1:40" x14ac:dyDescent="0.25">
      <c r="A1105" t="str">
        <f>"20190304164840113"</f>
        <v>20190304164840113</v>
      </c>
      <c r="B1105" t="str">
        <f>"1551689320107491"</f>
        <v>1551689320107491</v>
      </c>
      <c r="C1105" t="s">
        <v>40</v>
      </c>
      <c r="D1105">
        <v>4.2906620000000002</v>
      </c>
      <c r="E1105">
        <v>0.54669840000000003</v>
      </c>
      <c r="F1105" t="s">
        <v>41</v>
      </c>
      <c r="G1105">
        <v>-261.87479999999999</v>
      </c>
      <c r="H1105">
        <v>1.0480969999999901</v>
      </c>
      <c r="I1105">
        <v>367.54259999999999</v>
      </c>
      <c r="J1105">
        <v>-262.62869999999998</v>
      </c>
      <c r="K1105">
        <v>1.110741</v>
      </c>
      <c r="L1105">
        <v>367.57409999999999</v>
      </c>
      <c r="M1105">
        <v>0.99989729999999999</v>
      </c>
      <c r="N1105">
        <v>-1.416334E-2</v>
      </c>
      <c r="O1105">
        <v>-2.2860770000000001E-3</v>
      </c>
      <c r="P1105">
        <v>0.94958109999999996</v>
      </c>
      <c r="Q1105">
        <v>0.3113223</v>
      </c>
      <c r="R1105">
        <v>3.7071319999999998E-2</v>
      </c>
      <c r="S1105">
        <v>3.2338260000000001</v>
      </c>
      <c r="T1105">
        <v>-0.2138256</v>
      </c>
      <c r="U1105">
        <v>-0.1082153</v>
      </c>
      <c r="V1105">
        <v>-3.9262980000000003E-2</v>
      </c>
      <c r="W1105">
        <v>0.32473649999999998</v>
      </c>
      <c r="X1105">
        <v>0.94498919999999997</v>
      </c>
      <c r="Y1105">
        <v>3.1080449999999999E-2</v>
      </c>
      <c r="Z1105">
        <v>-1.1279949999999999E-3</v>
      </c>
      <c r="AA1105">
        <v>0.99951619999999997</v>
      </c>
      <c r="AB1105">
        <v>29</v>
      </c>
      <c r="AC1105">
        <v>0.75389999999998702</v>
      </c>
      <c r="AD1105">
        <v>-6.2644000000000102E-2</v>
      </c>
      <c r="AE1105">
        <v>-3.1499999999993998E-2</v>
      </c>
      <c r="AF1105">
        <v>2.9572444957868201E-2</v>
      </c>
      <c r="AG1105">
        <v>-6.2644000000000102E-2</v>
      </c>
      <c r="AH1105">
        <v>0.74880891639603198</v>
      </c>
      <c r="AI1105">
        <v>94.778418195122896</v>
      </c>
      <c r="AJ1105">
        <v>87.738413387494603</v>
      </c>
      <c r="AK1105">
        <v>0.75200637863716702</v>
      </c>
      <c r="AL1105">
        <v>71.050387957249797</v>
      </c>
      <c r="AM1105">
        <v>92.379191103910898</v>
      </c>
      <c r="AN1105">
        <v>0.99999998207368501</v>
      </c>
    </row>
    <row r="1106" spans="1:40" x14ac:dyDescent="0.25">
      <c r="A1106" t="str">
        <f>"20190304164840124"</f>
        <v>20190304164840124</v>
      </c>
      <c r="B1106" t="str">
        <f>"1551689320117251"</f>
        <v>1551689320117251</v>
      </c>
      <c r="C1106" t="s">
        <v>40</v>
      </c>
      <c r="D1106">
        <v>4.2594729999999998</v>
      </c>
      <c r="E1106">
        <v>0.54668399999999995</v>
      </c>
      <c r="F1106" t="s">
        <v>42</v>
      </c>
      <c r="G1106">
        <v>-245.8689</v>
      </c>
      <c r="H1106" s="1">
        <v>-2.3959819999999999E-6</v>
      </c>
      <c r="I1106">
        <v>367.00779999999997</v>
      </c>
      <c r="J1106">
        <v>-262.49110000000002</v>
      </c>
      <c r="K1106">
        <v>1.110744</v>
      </c>
      <c r="L1106">
        <v>367.57380000000001</v>
      </c>
      <c r="M1106">
        <v>0.99989709999999998</v>
      </c>
      <c r="N1106">
        <v>-1.416328E-2</v>
      </c>
      <c r="O1106">
        <v>-2.2583820000000002E-3</v>
      </c>
      <c r="P1106">
        <v>0.94970540000000003</v>
      </c>
      <c r="Q1106">
        <v>0.31096430000000003</v>
      </c>
      <c r="R1106">
        <v>3.6888980000000002E-2</v>
      </c>
      <c r="S1106">
        <v>3.2338260000000001</v>
      </c>
      <c r="T1106">
        <v>-0.2143197</v>
      </c>
      <c r="U1106">
        <v>-0.1092529</v>
      </c>
      <c r="V1106">
        <v>-3.9055779999999998E-2</v>
      </c>
      <c r="W1106">
        <v>0.32438020000000001</v>
      </c>
      <c r="X1106">
        <v>0.94512019999999997</v>
      </c>
      <c r="Y1106">
        <v>3.1427179999999999E-2</v>
      </c>
      <c r="Z1106">
        <v>-1.1453850000000001E-3</v>
      </c>
      <c r="AA1106">
        <v>0.99950539999999999</v>
      </c>
      <c r="AB1106">
        <v>29</v>
      </c>
      <c r="AC1106">
        <v>16.622199999999999</v>
      </c>
      <c r="AD1106">
        <v>-1.1107463959820001</v>
      </c>
      <c r="AE1106">
        <v>-0.56600000000003003</v>
      </c>
      <c r="AF1106">
        <v>0.52610898609134105</v>
      </c>
      <c r="AG1106">
        <v>-1.1107463959820001</v>
      </c>
      <c r="AH1106">
        <v>16.549622160929498</v>
      </c>
      <c r="AI1106">
        <v>93.8377788703406</v>
      </c>
      <c r="AJ1106">
        <v>88.179192493281704</v>
      </c>
      <c r="AK1106">
        <v>16.595196349876701</v>
      </c>
      <c r="AL1106">
        <v>71.071971764690304</v>
      </c>
      <c r="AM1106">
        <v>92.3663222052473</v>
      </c>
      <c r="AN1106">
        <v>1.0000000302757399</v>
      </c>
    </row>
    <row r="1107" spans="1:40" x14ac:dyDescent="0.25">
      <c r="A1107" t="str">
        <f>"20190304164840134"</f>
        <v>20190304164840134</v>
      </c>
      <c r="B1107" t="str">
        <f>"1551689320127012"</f>
        <v>1551689320127012</v>
      </c>
      <c r="C1107" t="s">
        <v>40</v>
      </c>
      <c r="D1107">
        <v>4.3009009999999996</v>
      </c>
      <c r="E1107">
        <v>0.546691699999999</v>
      </c>
      <c r="F1107" t="s">
        <v>42</v>
      </c>
      <c r="G1107">
        <v>-245.8075</v>
      </c>
      <c r="H1107" s="1">
        <v>-2.4255610000000001E-6</v>
      </c>
      <c r="I1107">
        <v>367.00479999999999</v>
      </c>
      <c r="J1107">
        <v>-262.35489999999999</v>
      </c>
      <c r="K1107">
        <v>1.110746</v>
      </c>
      <c r="L1107">
        <v>367.57350000000002</v>
      </c>
      <c r="M1107">
        <v>0.99989740000000005</v>
      </c>
      <c r="N1107">
        <v>-1.4163210000000001E-2</v>
      </c>
      <c r="O1107">
        <v>-2.2308039999999999E-3</v>
      </c>
      <c r="P1107">
        <v>0.94971700000000003</v>
      </c>
      <c r="Q1107">
        <v>0.31092029999999998</v>
      </c>
      <c r="R1107">
        <v>3.6963059999999999E-2</v>
      </c>
      <c r="S1107">
        <v>3.2336429999999998</v>
      </c>
      <c r="T1107">
        <v>-0.2152867</v>
      </c>
      <c r="U1107">
        <v>-0.1102905</v>
      </c>
      <c r="V1107">
        <v>-3.910599E-2</v>
      </c>
      <c r="W1107">
        <v>0.32433600000000001</v>
      </c>
      <c r="X1107">
        <v>0.94513329999999995</v>
      </c>
      <c r="Y1107">
        <v>3.1775379999999999E-2</v>
      </c>
      <c r="Z1107">
        <v>-1.1649290000000001E-3</v>
      </c>
      <c r="AA1107">
        <v>0.99949440000000001</v>
      </c>
      <c r="AB1107">
        <v>29</v>
      </c>
      <c r="AC1107">
        <v>16.5473999999999</v>
      </c>
      <c r="AD1107">
        <v>-1.1107484255610001</v>
      </c>
      <c r="AE1107">
        <v>-0.56870000000003496</v>
      </c>
      <c r="AF1107">
        <v>0.52939833395751701</v>
      </c>
      <c r="AG1107">
        <v>-1.1107484255610001</v>
      </c>
      <c r="AH1107">
        <v>16.474484450396499</v>
      </c>
      <c r="AI1107">
        <v>93.855194479666906</v>
      </c>
      <c r="AJ1107">
        <v>88.159465555775</v>
      </c>
      <c r="AK1107">
        <v>16.520371138907301</v>
      </c>
      <c r="AL1107">
        <v>71.074649116864606</v>
      </c>
      <c r="AM1107">
        <v>92.369328074516702</v>
      </c>
      <c r="AN1107">
        <v>1.00000003705938</v>
      </c>
    </row>
    <row r="1108" spans="1:40" x14ac:dyDescent="0.25">
      <c r="A1108" t="str">
        <f>"20190304164840146"</f>
        <v>20190304164840146</v>
      </c>
      <c r="B1108" t="str">
        <f>"1551689320136771"</f>
        <v>1551689320136771</v>
      </c>
      <c r="C1108" t="s">
        <v>40</v>
      </c>
      <c r="D1108">
        <v>4.2741369999999996</v>
      </c>
      <c r="E1108">
        <v>0.54670920000000001</v>
      </c>
      <c r="F1108" t="s">
        <v>42</v>
      </c>
      <c r="G1108">
        <v>-245.67490000000001</v>
      </c>
      <c r="H1108" s="1">
        <v>-2.488332E-6</v>
      </c>
      <c r="I1108">
        <v>367.00409999999999</v>
      </c>
      <c r="J1108">
        <v>-262.2097</v>
      </c>
      <c r="K1108">
        <v>1.110749</v>
      </c>
      <c r="L1108">
        <v>367.57319999999999</v>
      </c>
      <c r="M1108">
        <v>0.99989740000000005</v>
      </c>
      <c r="N1108">
        <v>-1.416296E-2</v>
      </c>
      <c r="O1108">
        <v>-2.1966540000000001E-3</v>
      </c>
      <c r="P1108">
        <v>0.94976050000000001</v>
      </c>
      <c r="Q1108">
        <v>0.31077660000000001</v>
      </c>
      <c r="R1108">
        <v>3.7056499999999999E-2</v>
      </c>
      <c r="S1108">
        <v>3.2336119999999999</v>
      </c>
      <c r="T1108">
        <v>-0.21533179999999999</v>
      </c>
      <c r="U1108">
        <v>-0.1103821</v>
      </c>
      <c r="V1108">
        <v>-3.9169759999999998E-2</v>
      </c>
      <c r="W1108">
        <v>0.3241926</v>
      </c>
      <c r="X1108">
        <v>0.94517980000000001</v>
      </c>
      <c r="Y1108">
        <v>3.1837850000000001E-2</v>
      </c>
      <c r="Z1108">
        <v>-1.1694299999999999E-3</v>
      </c>
      <c r="AA1108">
        <v>0.9994923</v>
      </c>
      <c r="AB1108">
        <v>29</v>
      </c>
      <c r="AC1108">
        <v>16.534799999999901</v>
      </c>
      <c r="AD1108">
        <v>-1.110751488332</v>
      </c>
      <c r="AE1108">
        <v>-0.56909999999999095</v>
      </c>
      <c r="AF1108">
        <v>0.53038312790451703</v>
      </c>
      <c r="AG1108">
        <v>-1.110751488332</v>
      </c>
      <c r="AH1108">
        <v>16.461811116998199</v>
      </c>
      <c r="AI1108">
        <v>93.858153640659197</v>
      </c>
      <c r="AJ1108">
        <v>88.1546255185566</v>
      </c>
      <c r="AK1108">
        <v>16.5077648512124</v>
      </c>
      <c r="AL1108">
        <v>71.083333582024295</v>
      </c>
      <c r="AM1108">
        <v>92.373070695350407</v>
      </c>
      <c r="AN1108">
        <v>0.99999998316062799</v>
      </c>
    </row>
    <row r="1109" spans="1:40" x14ac:dyDescent="0.25">
      <c r="A1109" t="str">
        <f>"20190304164840157"</f>
        <v>20190304164840157</v>
      </c>
      <c r="B1109" t="str">
        <f>"1551689320147508"</f>
        <v>1551689320147508</v>
      </c>
      <c r="C1109" t="s">
        <v>40</v>
      </c>
      <c r="D1109">
        <v>4.30464</v>
      </c>
      <c r="E1109">
        <v>0.54671139999999996</v>
      </c>
      <c r="F1109" t="s">
        <v>42</v>
      </c>
      <c r="G1109">
        <v>-245.57830000000001</v>
      </c>
      <c r="H1109" s="1">
        <v>-2.5342830000000002E-6</v>
      </c>
      <c r="I1109">
        <v>367.0025</v>
      </c>
      <c r="J1109">
        <v>-262.06709999999998</v>
      </c>
      <c r="K1109">
        <v>1.110752</v>
      </c>
      <c r="L1109">
        <v>367.57299999999998</v>
      </c>
      <c r="M1109">
        <v>0.99989740000000005</v>
      </c>
      <c r="N1109">
        <v>-1.416268E-2</v>
      </c>
      <c r="O1109">
        <v>-2.1619059999999999E-3</v>
      </c>
      <c r="P1109">
        <v>0.94982509999999998</v>
      </c>
      <c r="Q1109">
        <v>0.3105965</v>
      </c>
      <c r="R1109">
        <v>3.6907780000000001E-2</v>
      </c>
      <c r="S1109">
        <v>3.2337039999999999</v>
      </c>
      <c r="T1109">
        <v>-0.21596770000000001</v>
      </c>
      <c r="U1109">
        <v>-0.1109619</v>
      </c>
      <c r="V1109">
        <v>-3.8990669999999998E-2</v>
      </c>
      <c r="W1109">
        <v>0.32401259999999998</v>
      </c>
      <c r="X1109">
        <v>0.94524900000000001</v>
      </c>
      <c r="Y1109">
        <v>3.2049569999999999E-2</v>
      </c>
      <c r="Z1109">
        <v>-1.1824750000000001E-3</v>
      </c>
      <c r="AA1109">
        <v>0.99948559999999997</v>
      </c>
      <c r="AB1109">
        <v>29</v>
      </c>
      <c r="AC1109">
        <v>16.488799999999902</v>
      </c>
      <c r="AD1109">
        <v>-1.1107545342830001</v>
      </c>
      <c r="AE1109">
        <v>-0.57050000000003798</v>
      </c>
      <c r="AF1109">
        <v>0.53243459278900995</v>
      </c>
      <c r="AG1109">
        <v>-1.1107545342830001</v>
      </c>
      <c r="AH1109">
        <v>16.415591165133701</v>
      </c>
      <c r="AI1109">
        <v>93.868967473024796</v>
      </c>
      <c r="AJ1109">
        <v>88.142280478638298</v>
      </c>
      <c r="AK1109">
        <v>16.461740355498399</v>
      </c>
      <c r="AL1109">
        <v>71.094236677730393</v>
      </c>
      <c r="AM1109">
        <v>92.362060241597803</v>
      </c>
      <c r="AN1109">
        <v>1.0000000546534</v>
      </c>
    </row>
    <row r="1110" spans="1:40" x14ac:dyDescent="0.25">
      <c r="A1110" t="str">
        <f>"20190304164840168"</f>
        <v>20190304164840168</v>
      </c>
      <c r="B1110" t="str">
        <f>"1551689320157267"</f>
        <v>1551689320157267</v>
      </c>
      <c r="C1110" t="s">
        <v>40</v>
      </c>
      <c r="D1110">
        <v>4.2977850000000002</v>
      </c>
      <c r="E1110">
        <v>0.54672299999999996</v>
      </c>
      <c r="F1110" t="s">
        <v>41</v>
      </c>
      <c r="G1110">
        <v>-261.10039999999998</v>
      </c>
      <c r="H1110">
        <v>1.046022</v>
      </c>
      <c r="I1110">
        <v>367.53949999999998</v>
      </c>
      <c r="J1110">
        <v>-261.91219999999998</v>
      </c>
      <c r="K1110">
        <v>1.110757</v>
      </c>
      <c r="L1110">
        <v>367.57260000000002</v>
      </c>
      <c r="M1110">
        <v>0.99989749999999999</v>
      </c>
      <c r="N1110">
        <v>-1.4162249999999999E-2</v>
      </c>
      <c r="O1110">
        <v>-2.119391E-3</v>
      </c>
      <c r="P1110">
        <v>0.94992149999999997</v>
      </c>
      <c r="Q1110">
        <v>0.31029269999999998</v>
      </c>
      <c r="R1110">
        <v>3.6980850000000003E-2</v>
      </c>
      <c r="S1110">
        <v>3.2336119999999999</v>
      </c>
      <c r="T1110">
        <v>-0.2166265</v>
      </c>
      <c r="U1110">
        <v>-0.1115112</v>
      </c>
      <c r="V1110">
        <v>-3.9027399999999997E-2</v>
      </c>
      <c r="W1110">
        <v>0.32370989999999999</v>
      </c>
      <c r="X1110">
        <v>0.9453511</v>
      </c>
      <c r="Y1110">
        <v>3.2261529999999997E-2</v>
      </c>
      <c r="Z1110">
        <v>-1.196143E-3</v>
      </c>
      <c r="AA1110">
        <v>0.9994788</v>
      </c>
      <c r="AB1110">
        <v>29</v>
      </c>
      <c r="AC1110">
        <v>0.81180000000000496</v>
      </c>
      <c r="AD1110">
        <v>-6.4734999999999904E-2</v>
      </c>
      <c r="AE1110">
        <v>-3.3100000000047203E-2</v>
      </c>
      <c r="AF1110">
        <v>3.11812827681664E-2</v>
      </c>
      <c r="AG1110">
        <v>-6.4734999999999904E-2</v>
      </c>
      <c r="AH1110">
        <v>0.80674684822481701</v>
      </c>
      <c r="AI1110">
        <v>94.584291478537693</v>
      </c>
      <c r="AJ1110">
        <v>87.786583146554804</v>
      </c>
      <c r="AK1110">
        <v>0.80994034949540805</v>
      </c>
      <c r="AL1110">
        <v>71.112566424602804</v>
      </c>
      <c r="AM1110">
        <v>92.364027768264293</v>
      </c>
      <c r="AN1110">
        <v>0.99999996978998895</v>
      </c>
    </row>
    <row r="1111" spans="1:40" x14ac:dyDescent="0.25">
      <c r="A1111" t="str">
        <f>"20190304164840181"</f>
        <v>20190304164840181</v>
      </c>
      <c r="B1111" t="str">
        <f>"1551689320176788"</f>
        <v>1551689320176788</v>
      </c>
      <c r="C1111" t="s">
        <v>40</v>
      </c>
      <c r="D1111">
        <v>4.2703230000000003</v>
      </c>
      <c r="E1111">
        <v>0.54672779999999999</v>
      </c>
      <c r="F1111" t="s">
        <v>42</v>
      </c>
      <c r="G1111">
        <v>-245.42400000000001</v>
      </c>
      <c r="H1111" s="1">
        <v>-2.6065529999999999E-6</v>
      </c>
      <c r="I1111">
        <v>367.00639999999999</v>
      </c>
      <c r="J1111">
        <v>-261.76139999999998</v>
      </c>
      <c r="K1111">
        <v>1.1107640000000001</v>
      </c>
      <c r="L1111">
        <v>367.57240000000002</v>
      </c>
      <c r="M1111">
        <v>0.9998977</v>
      </c>
      <c r="N1111">
        <v>-1.4161770000000001E-2</v>
      </c>
      <c r="O1111">
        <v>-2.0754440000000001E-3</v>
      </c>
      <c r="P1111">
        <v>0.95003709999999997</v>
      </c>
      <c r="Q1111">
        <v>0.30996760000000001</v>
      </c>
      <c r="R1111">
        <v>3.6739670000000002E-2</v>
      </c>
      <c r="S1111">
        <v>3.233673</v>
      </c>
      <c r="T1111">
        <v>-0.21784310000000001</v>
      </c>
      <c r="U1111">
        <v>-0.1110535</v>
      </c>
      <c r="V1111">
        <v>-3.8747959999999998E-2</v>
      </c>
      <c r="W1111">
        <v>0.32338499999999998</v>
      </c>
      <c r="X1111">
        <v>0.94547380000000003</v>
      </c>
      <c r="Y1111">
        <v>3.2162839999999998E-2</v>
      </c>
      <c r="Z1111">
        <v>-1.199688E-3</v>
      </c>
      <c r="AA1111">
        <v>0.99948190000000003</v>
      </c>
      <c r="AB1111">
        <v>29</v>
      </c>
      <c r="AC1111">
        <v>16.337399999999899</v>
      </c>
      <c r="AD1111">
        <v>-1.110766606553</v>
      </c>
      <c r="AE1111">
        <v>-0.56600000000003003</v>
      </c>
      <c r="AF1111">
        <v>0.52964267173422297</v>
      </c>
      <c r="AG1111">
        <v>-1.110766606553</v>
      </c>
      <c r="AH1111">
        <v>16.263451455621698</v>
      </c>
      <c r="AI1111">
        <v>93.905074699109306</v>
      </c>
      <c r="AJ1111">
        <v>88.1347398186292</v>
      </c>
      <c r="AK1111">
        <v>16.3099410502711</v>
      </c>
      <c r="AL1111">
        <v>71.132240318169806</v>
      </c>
      <c r="AM1111">
        <v>92.346815837092905</v>
      </c>
      <c r="AN1111">
        <v>0.99999998455780004</v>
      </c>
    </row>
    <row r="1112" spans="1:40" x14ac:dyDescent="0.25">
      <c r="A1112" t="str">
        <f>"20190304164840191"</f>
        <v>20190304164840191</v>
      </c>
      <c r="B1112" t="str">
        <f>"1551689320187523"</f>
        <v>1551689320187523</v>
      </c>
      <c r="C1112" t="s">
        <v>40</v>
      </c>
      <c r="D1112">
        <v>4.3273549999999998</v>
      </c>
      <c r="E1112">
        <v>0.54674350000000005</v>
      </c>
      <c r="F1112" t="s">
        <v>41</v>
      </c>
      <c r="G1112">
        <v>-260.83980000000003</v>
      </c>
      <c r="H1112">
        <v>1.048459</v>
      </c>
      <c r="I1112">
        <v>367.54070000000002</v>
      </c>
      <c r="J1112">
        <v>-261.62389999999999</v>
      </c>
      <c r="K1112">
        <v>1.1107689999999999</v>
      </c>
      <c r="L1112">
        <v>367.57209999999998</v>
      </c>
      <c r="M1112">
        <v>0.9998977</v>
      </c>
      <c r="N1112">
        <v>-1.416126E-2</v>
      </c>
      <c r="O1112">
        <v>-2.0325730000000002E-3</v>
      </c>
      <c r="P1112">
        <v>0.95013040000000004</v>
      </c>
      <c r="Q1112">
        <v>0.30969210000000003</v>
      </c>
      <c r="R1112">
        <v>3.6650879999999997E-2</v>
      </c>
      <c r="S1112">
        <v>3.2334290000000001</v>
      </c>
      <c r="T1112">
        <v>-0.21868360000000001</v>
      </c>
      <c r="U1112">
        <v>-0.1112976</v>
      </c>
      <c r="V1112">
        <v>-3.8622400000000001E-2</v>
      </c>
      <c r="W1112">
        <v>0.32311069999999997</v>
      </c>
      <c r="X1112">
        <v>0.94557270000000004</v>
      </c>
      <c r="Y1112">
        <v>3.2282669999999999E-2</v>
      </c>
      <c r="Z1112">
        <v>-1.2105639999999999E-3</v>
      </c>
      <c r="AA1112">
        <v>0.99947799999999998</v>
      </c>
      <c r="AB1112">
        <v>29</v>
      </c>
      <c r="AC1112">
        <v>0.78409999999996605</v>
      </c>
      <c r="AD1112">
        <v>-6.2309999999999997E-2</v>
      </c>
      <c r="AE1112">
        <v>-3.1399999999962298E-2</v>
      </c>
      <c r="AF1112">
        <v>2.96192888702317E-2</v>
      </c>
      <c r="AG1112">
        <v>-6.2309999999999997E-2</v>
      </c>
      <c r="AH1112">
        <v>0.77924913843921795</v>
      </c>
      <c r="AI1112">
        <v>94.568449516459793</v>
      </c>
      <c r="AJ1112">
        <v>87.823233180175393</v>
      </c>
      <c r="AK1112">
        <v>0.78229729523464597</v>
      </c>
      <c r="AL1112">
        <v>71.148847919747197</v>
      </c>
      <c r="AM1112">
        <v>92.338975215736099</v>
      </c>
      <c r="AN1112">
        <v>0.99999997261076901</v>
      </c>
    </row>
    <row r="1113" spans="1:40" x14ac:dyDescent="0.25">
      <c r="A1113" t="str">
        <f>"20190304164840203"</f>
        <v>20190304164840203</v>
      </c>
      <c r="B1113" t="str">
        <f>"1551689320197283"</f>
        <v>1551689320197283</v>
      </c>
      <c r="C1113" t="s">
        <v>40</v>
      </c>
      <c r="D1113">
        <v>4.3751790000000002</v>
      </c>
      <c r="E1113">
        <v>0.54672180000000004</v>
      </c>
      <c r="F1113" t="s">
        <v>42</v>
      </c>
      <c r="G1113">
        <v>-245.28739999999999</v>
      </c>
      <c r="H1113" s="1">
        <v>-2.6706400000000001E-6</v>
      </c>
      <c r="I1113">
        <v>367.00920000000002</v>
      </c>
      <c r="J1113">
        <v>-261.47469999999998</v>
      </c>
      <c r="K1113">
        <v>1.110773</v>
      </c>
      <c r="L1113">
        <v>367.57190000000003</v>
      </c>
      <c r="M1113">
        <v>0.99989799999999995</v>
      </c>
      <c r="N1113">
        <v>-1.416063E-2</v>
      </c>
      <c r="O1113">
        <v>-1.9826639999999999E-3</v>
      </c>
      <c r="P1113">
        <v>0.95025219999999999</v>
      </c>
      <c r="Q1113">
        <v>0.30929450000000003</v>
      </c>
      <c r="R1113">
        <v>3.6848699999999998E-2</v>
      </c>
      <c r="S1113">
        <v>3.2334290000000001</v>
      </c>
      <c r="T1113">
        <v>-0.21985099999999999</v>
      </c>
      <c r="U1113">
        <v>-0.111419699999999</v>
      </c>
      <c r="V1113">
        <v>-3.8775839999999999E-2</v>
      </c>
      <c r="W1113">
        <v>0.32271309999999997</v>
      </c>
      <c r="X1113">
        <v>0.9457023</v>
      </c>
      <c r="Y1113">
        <v>3.2369099999999998E-2</v>
      </c>
      <c r="Z1113">
        <v>-1.2218589999999901E-3</v>
      </c>
      <c r="AA1113">
        <v>0.99947520000000001</v>
      </c>
      <c r="AB1113">
        <v>29</v>
      </c>
      <c r="AC1113">
        <v>16.187299999999901</v>
      </c>
      <c r="AD1113">
        <v>-1.11077567064</v>
      </c>
      <c r="AE1113">
        <v>-0.56270000000000597</v>
      </c>
      <c r="AF1113">
        <v>0.52811794199885498</v>
      </c>
      <c r="AG1113">
        <v>-1.11077567064</v>
      </c>
      <c r="AH1113">
        <v>16.112605577466201</v>
      </c>
      <c r="AI1113">
        <v>93.941524326260406</v>
      </c>
      <c r="AJ1113">
        <v>88.122705843240794</v>
      </c>
      <c r="AK1113">
        <v>16.159479869294699</v>
      </c>
      <c r="AL1113">
        <v>71.172920199442004</v>
      </c>
      <c r="AM1113">
        <v>92.347935723526902</v>
      </c>
      <c r="AN1113">
        <v>1.0000000754523</v>
      </c>
    </row>
    <row r="1114" spans="1:40" x14ac:dyDescent="0.25">
      <c r="A1114" t="str">
        <f>"20190304164840214"</f>
        <v>20190304164840214</v>
      </c>
      <c r="B1114" t="str">
        <f>"1551689320207043"</f>
        <v>1551689320207043</v>
      </c>
      <c r="C1114" t="s">
        <v>40</v>
      </c>
      <c r="D1114">
        <v>4.4530940000000001</v>
      </c>
      <c r="E1114">
        <v>0.54672180000000004</v>
      </c>
      <c r="F1114" t="s">
        <v>41</v>
      </c>
      <c r="G1114">
        <v>-260.57960000000003</v>
      </c>
      <c r="H1114">
        <v>1.0495110000000001</v>
      </c>
      <c r="I1114">
        <v>367.5412</v>
      </c>
      <c r="J1114">
        <v>-261.32380000000001</v>
      </c>
      <c r="K1114">
        <v>1.110778</v>
      </c>
      <c r="L1114">
        <v>367.57159999999999</v>
      </c>
      <c r="M1114">
        <v>0.99989790000000001</v>
      </c>
      <c r="N1114">
        <v>-1.4159949999999999E-2</v>
      </c>
      <c r="O1114">
        <v>-1.9302519999999999E-3</v>
      </c>
      <c r="P1114">
        <v>0.95029090000000005</v>
      </c>
      <c r="Q1114">
        <v>0.30913359999999901</v>
      </c>
      <c r="R1114">
        <v>3.7197830000000001E-2</v>
      </c>
      <c r="S1114">
        <v>3.2334290000000001</v>
      </c>
      <c r="T1114">
        <v>-0.22145219999999999</v>
      </c>
      <c r="U1114">
        <v>-0.1104431</v>
      </c>
      <c r="V1114">
        <v>-3.9079330000000002E-2</v>
      </c>
      <c r="W1114">
        <v>0.3225519</v>
      </c>
      <c r="X1114">
        <v>0.94574469999999999</v>
      </c>
      <c r="Y1114">
        <v>3.2119460000000002E-2</v>
      </c>
      <c r="Z1114">
        <v>-1.2213969999999999E-3</v>
      </c>
      <c r="AA1114">
        <v>0.99948329999999996</v>
      </c>
      <c r="AB1114">
        <v>29</v>
      </c>
      <c r="AC1114">
        <v>0.74419999999997799</v>
      </c>
      <c r="AD1114">
        <v>-6.1266999999999898E-2</v>
      </c>
      <c r="AE1114">
        <v>-3.03999999999859E-2</v>
      </c>
      <c r="AF1114">
        <v>2.87686491458592E-2</v>
      </c>
      <c r="AG1114">
        <v>-6.1266999999999898E-2</v>
      </c>
      <c r="AH1114">
        <v>0.73925529232366605</v>
      </c>
      <c r="AI1114">
        <v>94.734087906720703</v>
      </c>
      <c r="AJ1114">
        <v>87.7714182643264</v>
      </c>
      <c r="AK1114">
        <v>0.74234740364011997</v>
      </c>
      <c r="AL1114">
        <v>71.182676222612898</v>
      </c>
      <c r="AM1114">
        <v>92.366185727617406</v>
      </c>
      <c r="AN1114">
        <v>0.99999997990247402</v>
      </c>
    </row>
    <row r="1115" spans="1:40" x14ac:dyDescent="0.25">
      <c r="A1115" t="str">
        <f>"20190304164840227"</f>
        <v>20190304164840227</v>
      </c>
      <c r="B1115" t="str">
        <f>"1551689320216803"</f>
        <v>1551689320216803</v>
      </c>
      <c r="C1115" t="s">
        <v>40</v>
      </c>
      <c r="D1115">
        <v>4.4361680000000003</v>
      </c>
      <c r="E1115">
        <v>0.52315459999999903</v>
      </c>
      <c r="F1115" t="s">
        <v>42</v>
      </c>
      <c r="G1115">
        <v>-245.13939999999999</v>
      </c>
      <c r="H1115" s="1">
        <v>-2.7384369999999999E-6</v>
      </c>
      <c r="I1115">
        <v>367.02140000000003</v>
      </c>
      <c r="J1115">
        <v>-261.17</v>
      </c>
      <c r="K1115">
        <v>1.110781</v>
      </c>
      <c r="L1115">
        <v>367.57139999999998</v>
      </c>
      <c r="M1115">
        <v>0.99989810000000001</v>
      </c>
      <c r="N1115">
        <v>-1.415926E-2</v>
      </c>
      <c r="O1115">
        <v>-1.8735589999999999E-3</v>
      </c>
      <c r="P1115">
        <v>0.9503296</v>
      </c>
      <c r="Q1115">
        <v>0.30898510000000001</v>
      </c>
      <c r="R1115">
        <v>3.744517E-2</v>
      </c>
      <c r="S1115">
        <v>3.2334290000000001</v>
      </c>
      <c r="T1115">
        <v>-0.22191920000000001</v>
      </c>
      <c r="U1115">
        <v>-0.1099243</v>
      </c>
      <c r="V1115">
        <v>-3.92758E-2</v>
      </c>
      <c r="W1115">
        <v>0.322403</v>
      </c>
      <c r="X1115">
        <v>0.94578739999999994</v>
      </c>
      <c r="Y1115">
        <v>3.2015830000000002E-2</v>
      </c>
      <c r="Z1115">
        <v>-1.222218E-3</v>
      </c>
      <c r="AA1115">
        <v>0.9994866</v>
      </c>
      <c r="AB1115">
        <v>29</v>
      </c>
      <c r="AC1115">
        <v>16.0306</v>
      </c>
      <c r="AD1115">
        <v>-1.1107837384370001</v>
      </c>
      <c r="AE1115">
        <v>-0.54999999999995397</v>
      </c>
      <c r="AF1115">
        <v>0.51748009199924505</v>
      </c>
      <c r="AG1115">
        <v>-1.1107837384370001</v>
      </c>
      <c r="AH1115">
        <v>15.9550872170588</v>
      </c>
      <c r="AI1115">
        <v>93.980386152576202</v>
      </c>
      <c r="AJ1115">
        <v>88.142345761950395</v>
      </c>
      <c r="AK1115">
        <v>16.002075936051</v>
      </c>
      <c r="AL1115">
        <v>71.191690314987795</v>
      </c>
      <c r="AM1115">
        <v>92.377960781941994</v>
      </c>
      <c r="AN1115">
        <v>1.0000000444366901</v>
      </c>
    </row>
    <row r="1116" spans="1:40" x14ac:dyDescent="0.25">
      <c r="A1116" t="str">
        <f>"20190304164840238"</f>
        <v>20190304164840238</v>
      </c>
      <c r="B1116" t="str">
        <f>"1551689320227540"</f>
        <v>1551689320227540</v>
      </c>
      <c r="C1116" t="s">
        <v>40</v>
      </c>
      <c r="D1116">
        <v>4.3863200000000004</v>
      </c>
      <c r="E1116">
        <v>0.51709830000000001</v>
      </c>
      <c r="F1116" t="s">
        <v>42</v>
      </c>
      <c r="G1116">
        <v>-243.40940000000001</v>
      </c>
      <c r="H1116" s="1">
        <v>-3.3839290000000001E-6</v>
      </c>
      <c r="I1116">
        <v>367.99259999999998</v>
      </c>
      <c r="J1116">
        <v>-261.02460000000002</v>
      </c>
      <c r="K1116">
        <v>1.1107849999999999</v>
      </c>
      <c r="L1116">
        <v>367.5711</v>
      </c>
      <c r="M1116">
        <v>0.99989819999999996</v>
      </c>
      <c r="N1116">
        <v>-1.4158570000000001E-2</v>
      </c>
      <c r="O1116">
        <v>-1.818662E-3</v>
      </c>
      <c r="P1116">
        <v>0.95038750000000005</v>
      </c>
      <c r="Q1116">
        <v>0.30873729999999999</v>
      </c>
      <c r="R1116">
        <v>3.801479E-2</v>
      </c>
      <c r="S1116">
        <v>3.2192379999999998</v>
      </c>
      <c r="T1116">
        <v>-0.20133719999999999</v>
      </c>
      <c r="U1116">
        <v>7.6354980000000003E-2</v>
      </c>
      <c r="V1116">
        <v>-3.9795730000000001E-2</v>
      </c>
      <c r="W1116">
        <v>0.32215510000000003</v>
      </c>
      <c r="X1116">
        <v>0.94585010000000003</v>
      </c>
      <c r="Y1116">
        <v>-2.5466820000000001E-2</v>
      </c>
      <c r="Z1116">
        <v>1.0639079999999999E-3</v>
      </c>
      <c r="AA1116">
        <v>0.99967510000000004</v>
      </c>
      <c r="AB1116">
        <v>29</v>
      </c>
      <c r="AC1116">
        <v>17.615200000000002</v>
      </c>
      <c r="AD1116">
        <v>-1.110788383929</v>
      </c>
      <c r="AE1116">
        <v>0.42149999999998</v>
      </c>
      <c r="AF1116">
        <v>-0.45174333258333399</v>
      </c>
      <c r="AG1116">
        <v>-1.110788383929</v>
      </c>
      <c r="AH1116">
        <v>17.544679887814102</v>
      </c>
      <c r="AI1116">
        <v>93.621476834561804</v>
      </c>
      <c r="AJ1116">
        <v>91.474935362481602</v>
      </c>
      <c r="AK1116">
        <v>17.585611028288898</v>
      </c>
      <c r="AL1116">
        <v>71.206693821166795</v>
      </c>
      <c r="AM1116">
        <v>92.409243656238601</v>
      </c>
      <c r="AN1116">
        <v>1.0000000101261199</v>
      </c>
    </row>
    <row r="1117" spans="1:40" x14ac:dyDescent="0.25">
      <c r="A1117" t="str">
        <f>"20190304164840249"</f>
        <v>20190304164840249</v>
      </c>
      <c r="B1117" t="str">
        <f>"1551689320237299"</f>
        <v>1551689320237299</v>
      </c>
      <c r="C1117" t="s">
        <v>40</v>
      </c>
      <c r="D1117">
        <v>4.4145770000000004</v>
      </c>
      <c r="E1117">
        <v>0.51319609999999904</v>
      </c>
      <c r="F1117" t="s">
        <v>42</v>
      </c>
      <c r="G1117">
        <v>-243.00309999999999</v>
      </c>
      <c r="H1117" s="1">
        <v>-3.5260030000000001E-6</v>
      </c>
      <c r="I1117">
        <v>368.27440000000001</v>
      </c>
      <c r="J1117">
        <v>-260.8802</v>
      </c>
      <c r="K1117">
        <v>1.110787</v>
      </c>
      <c r="L1117">
        <v>367.57100000000003</v>
      </c>
      <c r="M1117">
        <v>0.99989830000000002</v>
      </c>
      <c r="N1117">
        <v>-1.415775E-2</v>
      </c>
      <c r="O1117">
        <v>-1.761515E-3</v>
      </c>
      <c r="P1117">
        <v>0.9504049</v>
      </c>
      <c r="Q1117">
        <v>0.30862020000000001</v>
      </c>
      <c r="R1117">
        <v>3.8526610000000003E-2</v>
      </c>
      <c r="S1117">
        <v>3.215973</v>
      </c>
      <c r="T1117">
        <v>-0.19822239999999999</v>
      </c>
      <c r="U1117">
        <v>0.1254883</v>
      </c>
      <c r="V1117">
        <v>-4.025521E-2</v>
      </c>
      <c r="W1117">
        <v>0.32203739999999997</v>
      </c>
      <c r="X1117">
        <v>0.94587080000000001</v>
      </c>
      <c r="Y1117">
        <v>-4.0654160000000002E-2</v>
      </c>
      <c r="Z1117">
        <v>1.6229979999999901E-3</v>
      </c>
      <c r="AA1117">
        <v>0.99917199999999995</v>
      </c>
      <c r="AB1117">
        <v>29</v>
      </c>
      <c r="AC1117">
        <v>17.877099999999999</v>
      </c>
      <c r="AD1117">
        <v>-1.110790526003</v>
      </c>
      <c r="AE1117">
        <v>0.70340000000004399</v>
      </c>
      <c r="AF1117">
        <v>-0.73207087817260297</v>
      </c>
      <c r="AG1117">
        <v>-1.110790526003</v>
      </c>
      <c r="AH1117">
        <v>17.8071904778445</v>
      </c>
      <c r="AI1117">
        <v>93.566410261285498</v>
      </c>
      <c r="AJ1117">
        <v>92.354159420611595</v>
      </c>
      <c r="AK1117">
        <v>17.856814275720101</v>
      </c>
      <c r="AL1117">
        <v>71.213818318257495</v>
      </c>
      <c r="AM1117">
        <v>92.436974076686099</v>
      </c>
      <c r="AN1117">
        <v>1.0000000696117599</v>
      </c>
    </row>
    <row r="1118" spans="1:40" x14ac:dyDescent="0.25">
      <c r="A1118" t="str">
        <f>"20190304164840263"</f>
        <v>20190304164840263</v>
      </c>
      <c r="B1118" t="str">
        <f>"1551689320256821"</f>
        <v>1551689320256821</v>
      </c>
      <c r="C1118" t="s">
        <v>40</v>
      </c>
      <c r="D1118">
        <v>4.3983489999999996</v>
      </c>
      <c r="E1118">
        <v>0.50879359999999996</v>
      </c>
      <c r="F1118" t="s">
        <v>42</v>
      </c>
      <c r="G1118">
        <v>-243.22200000000001</v>
      </c>
      <c r="H1118" s="1">
        <v>-3.39291E-6</v>
      </c>
      <c r="I1118">
        <v>368.44150000000002</v>
      </c>
      <c r="J1118">
        <v>-260.71080000000001</v>
      </c>
      <c r="K1118">
        <v>1.1107880000000001</v>
      </c>
      <c r="L1118">
        <v>367.57069999999999</v>
      </c>
      <c r="M1118">
        <v>0.99989839999999997</v>
      </c>
      <c r="N1118">
        <v>-1.415666E-2</v>
      </c>
      <c r="O1118">
        <v>-1.69352E-3</v>
      </c>
      <c r="P1118">
        <v>0.95042859999999996</v>
      </c>
      <c r="Q1118">
        <v>0.30848059999999899</v>
      </c>
      <c r="R1118">
        <v>3.906039E-2</v>
      </c>
      <c r="S1118">
        <v>3.2158509999999998</v>
      </c>
      <c r="T1118">
        <v>-0.2022929</v>
      </c>
      <c r="U1118">
        <v>0.15853879999999901</v>
      </c>
      <c r="V1118">
        <v>-4.072634E-2</v>
      </c>
      <c r="W1118">
        <v>0.32189649999999997</v>
      </c>
      <c r="X1118">
        <v>0.94589849999999998</v>
      </c>
      <c r="Y1118">
        <v>-5.0806129999999998E-2</v>
      </c>
      <c r="Z1118">
        <v>2.0381470000000001E-3</v>
      </c>
      <c r="AA1118">
        <v>0.99870650000000005</v>
      </c>
      <c r="AB1118">
        <v>29</v>
      </c>
      <c r="AC1118">
        <v>17.488799999999902</v>
      </c>
      <c r="AD1118">
        <v>-1.11079139291</v>
      </c>
      <c r="AE1118">
        <v>0.87080000000003099</v>
      </c>
      <c r="AF1118">
        <v>-0.89681048848712897</v>
      </c>
      <c r="AG1118">
        <v>-1.11079139291</v>
      </c>
      <c r="AH1118">
        <v>17.417211315135098</v>
      </c>
      <c r="AI1118">
        <v>93.644310386307396</v>
      </c>
      <c r="AJ1118">
        <v>92.947551002237802</v>
      </c>
      <c r="AK1118">
        <v>17.4756223513468</v>
      </c>
      <c r="AL1118">
        <v>71.222343640856195</v>
      </c>
      <c r="AM1118">
        <v>92.465388292410395</v>
      </c>
      <c r="AN1118">
        <v>0.99999998189214701</v>
      </c>
    </row>
    <row r="1119" spans="1:40" x14ac:dyDescent="0.25">
      <c r="A1119" t="str">
        <f>"20190304164840275"</f>
        <v>20190304164840275</v>
      </c>
      <c r="B1119" t="str">
        <f>"1551689320267555"</f>
        <v>1551689320267555</v>
      </c>
      <c r="C1119" t="s">
        <v>40</v>
      </c>
      <c r="D1119">
        <v>4.4063629999999998</v>
      </c>
      <c r="E1119">
        <v>0.50733409999999901</v>
      </c>
      <c r="F1119" t="s">
        <v>42</v>
      </c>
      <c r="G1119">
        <v>-243.3794</v>
      </c>
      <c r="H1119" s="1">
        <v>-3.2860730000000001E-6</v>
      </c>
      <c r="I1119">
        <v>368.62430000000001</v>
      </c>
      <c r="J1119">
        <v>-260.54809999999998</v>
      </c>
      <c r="K1119">
        <v>1.110789</v>
      </c>
      <c r="L1119">
        <v>367.57049999999998</v>
      </c>
      <c r="M1119">
        <v>0.99989859999999997</v>
      </c>
      <c r="N1119">
        <v>-1.415551E-2</v>
      </c>
      <c r="O1119">
        <v>-1.6272019999999999E-3</v>
      </c>
      <c r="P1119">
        <v>0.95037419999999995</v>
      </c>
      <c r="Q1119">
        <v>0.3086063</v>
      </c>
      <c r="R1119">
        <v>3.9383899999999999E-2</v>
      </c>
      <c r="S1119">
        <v>3.2153320000000001</v>
      </c>
      <c r="T1119">
        <v>-0.20607420000000001</v>
      </c>
      <c r="U1119">
        <v>0.1954651</v>
      </c>
      <c r="V1119">
        <v>-4.0987929999999999E-2</v>
      </c>
      <c r="W1119">
        <v>0.32202019999999998</v>
      </c>
      <c r="X1119">
        <v>0.94584509999999999</v>
      </c>
      <c r="Y1119">
        <v>-6.214658E-2</v>
      </c>
      <c r="Z1119">
        <v>2.50958E-3</v>
      </c>
      <c r="AA1119">
        <v>0.9980639</v>
      </c>
      <c r="AB1119">
        <v>29</v>
      </c>
      <c r="AC1119">
        <v>17.168699999999902</v>
      </c>
      <c r="AD1119">
        <v>-1.110792286073</v>
      </c>
      <c r="AE1119">
        <v>1.0538000000000201</v>
      </c>
      <c r="AF1119">
        <v>-1.0772460029161299</v>
      </c>
      <c r="AG1119">
        <v>-1.110792286073</v>
      </c>
      <c r="AH1119">
        <v>17.095669836061301</v>
      </c>
      <c r="AI1119">
        <v>93.710233364754799</v>
      </c>
      <c r="AJ1119">
        <v>93.605600318627097</v>
      </c>
      <c r="AK1119">
        <v>17.165554042827001</v>
      </c>
      <c r="AL1119">
        <v>71.214857634904504</v>
      </c>
      <c r="AM1119">
        <v>92.481343946926103</v>
      </c>
      <c r="AN1119">
        <v>0.999999986403867</v>
      </c>
    </row>
    <row r="1120" spans="1:40" x14ac:dyDescent="0.25">
      <c r="A1120" t="str">
        <f>"20190304164840289"</f>
        <v>20190304164840289</v>
      </c>
      <c r="B1120" t="str">
        <f>"1551689320277316"</f>
        <v>1551689320277316</v>
      </c>
      <c r="C1120" t="s">
        <v>40</v>
      </c>
      <c r="D1120">
        <v>4.3839059999999996</v>
      </c>
      <c r="E1120">
        <v>0.50644489999999998</v>
      </c>
      <c r="F1120" t="s">
        <v>42</v>
      </c>
      <c r="G1120">
        <v>-243.29329999999999</v>
      </c>
      <c r="H1120" s="1">
        <v>-3.3148800000000001E-6</v>
      </c>
      <c r="I1120">
        <v>368.69139999999999</v>
      </c>
      <c r="J1120">
        <v>-260.38049999999998</v>
      </c>
      <c r="K1120">
        <v>1.110795</v>
      </c>
      <c r="L1120">
        <v>367.57029999999997</v>
      </c>
      <c r="M1120">
        <v>0.99989859999999997</v>
      </c>
      <c r="N1120">
        <v>-1.41542E-2</v>
      </c>
      <c r="O1120">
        <v>-1.55732299999999E-3</v>
      </c>
      <c r="P1120">
        <v>0.95037729999999998</v>
      </c>
      <c r="Q1120">
        <v>0.308525299999999</v>
      </c>
      <c r="R1120">
        <v>3.9939200000000001E-2</v>
      </c>
      <c r="S1120">
        <v>3.2152400000000001</v>
      </c>
      <c r="T1120">
        <v>-0.20698340000000001</v>
      </c>
      <c r="U1120">
        <v>0.2088623</v>
      </c>
      <c r="V1120">
        <v>-4.1478050000000002E-2</v>
      </c>
      <c r="W1120">
        <v>0.32193759999999999</v>
      </c>
      <c r="X1120">
        <v>0.94585189999999997</v>
      </c>
      <c r="Y1120">
        <v>-6.6208980000000001E-2</v>
      </c>
      <c r="Z1120">
        <v>2.6744059999999998E-3</v>
      </c>
      <c r="AA1120">
        <v>0.99780219999999997</v>
      </c>
      <c r="AB1120">
        <v>29</v>
      </c>
      <c r="AC1120">
        <v>17.0871999999999</v>
      </c>
      <c r="AD1120">
        <v>-1.11079831487999</v>
      </c>
      <c r="AE1120">
        <v>1.12110000000001</v>
      </c>
      <c r="AF1120">
        <v>-1.1429024025843699</v>
      </c>
      <c r="AG1120">
        <v>-1.11079831487999</v>
      </c>
      <c r="AH1120">
        <v>17.013841023781701</v>
      </c>
      <c r="AI1120">
        <v>93.727045085452502</v>
      </c>
      <c r="AJ1120">
        <v>93.843062395592696</v>
      </c>
      <c r="AK1120">
        <v>17.088325991175701</v>
      </c>
      <c r="AL1120">
        <v>71.219857355139297</v>
      </c>
      <c r="AM1120">
        <v>92.510959248797903</v>
      </c>
      <c r="AN1120">
        <v>1.0000000318295801</v>
      </c>
    </row>
    <row r="1121" spans="1:40" x14ac:dyDescent="0.25">
      <c r="A1121" t="str">
        <f>"20190304164840303"</f>
        <v>20190304164840303</v>
      </c>
      <c r="B1121" t="str">
        <f>"1551689320296835"</f>
        <v>1551689320296835</v>
      </c>
      <c r="C1121" t="s">
        <v>40</v>
      </c>
      <c r="D1121">
        <v>4.3879289999999997</v>
      </c>
      <c r="E1121">
        <v>0.50578670000000003</v>
      </c>
      <c r="F1121" t="s">
        <v>42</v>
      </c>
      <c r="G1121">
        <v>-243.30459999999999</v>
      </c>
      <c r="H1121" s="1">
        <v>-3.3030259999999998E-6</v>
      </c>
      <c r="I1121">
        <v>368.72809999999998</v>
      </c>
      <c r="J1121">
        <v>-260.18400000000003</v>
      </c>
      <c r="K1121">
        <v>1.110795</v>
      </c>
      <c r="L1121">
        <v>367.57010000000002</v>
      </c>
      <c r="M1121">
        <v>0.99989879999999998</v>
      </c>
      <c r="N1121">
        <v>-1.4152649999999999E-2</v>
      </c>
      <c r="O1121">
        <v>-1.475407E-3</v>
      </c>
      <c r="P1121">
        <v>0.9503952</v>
      </c>
      <c r="Q1121">
        <v>0.30833949999999999</v>
      </c>
      <c r="R1121">
        <v>4.0934959999999999E-2</v>
      </c>
      <c r="S1121">
        <v>3.2153930000000002</v>
      </c>
      <c r="T1121">
        <v>-0.20916280000000001</v>
      </c>
      <c r="U1121">
        <v>0.21801760000000001</v>
      </c>
      <c r="V1121">
        <v>-4.2396429999999999E-2</v>
      </c>
      <c r="W1121">
        <v>0.3217507</v>
      </c>
      <c r="X1121">
        <v>0.94587480000000002</v>
      </c>
      <c r="Y1121">
        <v>-6.8942409999999996E-2</v>
      </c>
      <c r="Z1121">
        <v>2.8014340000000002E-3</v>
      </c>
      <c r="AA1121">
        <v>0.99761670000000002</v>
      </c>
      <c r="AB1121">
        <v>29</v>
      </c>
      <c r="AC1121">
        <v>16.8794</v>
      </c>
      <c r="AD1121">
        <v>-1.110798303026</v>
      </c>
      <c r="AE1121">
        <v>1.15799999999995</v>
      </c>
      <c r="AF1121">
        <v>-1.1778283112799</v>
      </c>
      <c r="AG1121">
        <v>-1.110798303026</v>
      </c>
      <c r="AH1121">
        <v>16.8052357116356</v>
      </c>
      <c r="AI1121">
        <v>93.772428119605394</v>
      </c>
      <c r="AJ1121">
        <v>94.009132509393993</v>
      </c>
      <c r="AK1121">
        <v>16.883041779386001</v>
      </c>
      <c r="AL1121">
        <v>71.231168157792794</v>
      </c>
      <c r="AM1121">
        <v>92.566419688281698</v>
      </c>
      <c r="AN1121">
        <v>1.00000005375113</v>
      </c>
    </row>
    <row r="1122" spans="1:40" x14ac:dyDescent="0.25">
      <c r="A1122" t="str">
        <f>"20190304164840314"</f>
        <v>20190304164840314</v>
      </c>
      <c r="B1122" t="str">
        <f>"1551689320307571"</f>
        <v>1551689320307571</v>
      </c>
      <c r="C1122" t="s">
        <v>40</v>
      </c>
      <c r="D1122">
        <v>4.3891609999999996</v>
      </c>
      <c r="E1122">
        <v>0.50538300000000003</v>
      </c>
      <c r="F1122" t="s">
        <v>42</v>
      </c>
      <c r="G1122">
        <v>-243.35640000000001</v>
      </c>
      <c r="H1122" s="1">
        <v>-3.2734810000000002E-6</v>
      </c>
      <c r="I1122">
        <v>368.75650000000002</v>
      </c>
      <c r="J1122">
        <v>-260.03960000000001</v>
      </c>
      <c r="K1122">
        <v>1.1107959999999999</v>
      </c>
      <c r="L1122">
        <v>367.56990000000002</v>
      </c>
      <c r="M1122">
        <v>0.99989899999999998</v>
      </c>
      <c r="N1122">
        <v>-1.4151489999999999E-2</v>
      </c>
      <c r="O1122">
        <v>-1.4151960000000001E-3</v>
      </c>
      <c r="P1122">
        <v>0.95037570000000005</v>
      </c>
      <c r="Q1122">
        <v>0.30831530000000001</v>
      </c>
      <c r="R1122">
        <v>4.1568140000000003E-2</v>
      </c>
      <c r="S1122">
        <v>3.215668</v>
      </c>
      <c r="T1122">
        <v>-0.2122686</v>
      </c>
      <c r="U1122">
        <v>0.2267151</v>
      </c>
      <c r="V1122">
        <v>-4.2972780000000002E-2</v>
      </c>
      <c r="W1122">
        <v>0.32172499999999998</v>
      </c>
      <c r="X1122">
        <v>0.94585750000000002</v>
      </c>
      <c r="Y1122">
        <v>-7.1550180000000005E-2</v>
      </c>
      <c r="Z1122">
        <v>2.936864E-3</v>
      </c>
      <c r="AA1122">
        <v>0.9974326</v>
      </c>
      <c r="AB1122">
        <v>29</v>
      </c>
      <c r="AC1122">
        <v>16.683199999999999</v>
      </c>
      <c r="AD1122">
        <v>-1.1107992734809999</v>
      </c>
      <c r="AE1122">
        <v>1.1865999999999901</v>
      </c>
      <c r="AF1122">
        <v>-1.2048965686238999</v>
      </c>
      <c r="AG1122">
        <v>-1.1107992734809999</v>
      </c>
      <c r="AH1122">
        <v>16.608247582897299</v>
      </c>
      <c r="AI1122">
        <v>93.816379645604698</v>
      </c>
      <c r="AJ1122">
        <v>94.149429517119401</v>
      </c>
      <c r="AK1122">
        <v>16.688904653747102</v>
      </c>
      <c r="AL1122">
        <v>71.232722749636807</v>
      </c>
      <c r="AM1122">
        <v>92.601308291151796</v>
      </c>
      <c r="AN1122">
        <v>1.0000000228760799</v>
      </c>
    </row>
    <row r="1123" spans="1:40" x14ac:dyDescent="0.25">
      <c r="A1123" t="str">
        <f>"20190304164840325"</f>
        <v>20190304164840325</v>
      </c>
      <c r="B1123" t="str">
        <f>"1551689320317331"</f>
        <v>1551689320317331</v>
      </c>
      <c r="C1123" t="s">
        <v>40</v>
      </c>
      <c r="D1123">
        <v>4.3937999999999997</v>
      </c>
      <c r="E1123">
        <v>0.50506189999999995</v>
      </c>
      <c r="F1123" t="s">
        <v>42</v>
      </c>
      <c r="G1123">
        <v>-243.28389999999999</v>
      </c>
      <c r="H1123" s="1">
        <v>-3.3039229999999998E-6</v>
      </c>
      <c r="I1123">
        <v>368.77809999999999</v>
      </c>
      <c r="J1123">
        <v>-259.90530000000001</v>
      </c>
      <c r="K1123">
        <v>1.1107959999999999</v>
      </c>
      <c r="L1123">
        <v>367.56979999999999</v>
      </c>
      <c r="M1123">
        <v>0.99989899999999998</v>
      </c>
      <c r="N1123">
        <v>-1.4150370000000001E-2</v>
      </c>
      <c r="O1123">
        <v>-1.359159E-3</v>
      </c>
      <c r="P1123">
        <v>0.95039130000000005</v>
      </c>
      <c r="Q1123">
        <v>0.30822490000000002</v>
      </c>
      <c r="R1123">
        <v>4.1878970000000001E-2</v>
      </c>
      <c r="S1123">
        <v>3.215668</v>
      </c>
      <c r="T1123">
        <v>-0.21317929999999999</v>
      </c>
      <c r="U1123">
        <v>0.23187260000000001</v>
      </c>
      <c r="V1123">
        <v>-4.3230379999999999E-2</v>
      </c>
      <c r="W1123">
        <v>0.32163380000000003</v>
      </c>
      <c r="X1123">
        <v>0.94587679999999996</v>
      </c>
      <c r="Y1123">
        <v>-7.3080400000000004E-2</v>
      </c>
      <c r="Z1123">
        <v>3.0057489999999998E-3</v>
      </c>
      <c r="AA1123">
        <v>0.99732149999999997</v>
      </c>
      <c r="AB1123">
        <v>29</v>
      </c>
      <c r="AC1123">
        <v>16.621400000000001</v>
      </c>
      <c r="AD1123">
        <v>-1.110799303923</v>
      </c>
      <c r="AE1123">
        <v>1.2082999999999999</v>
      </c>
      <c r="AF1123">
        <v>-1.2254479728963401</v>
      </c>
      <c r="AG1123">
        <v>-1.110799303923</v>
      </c>
      <c r="AH1123">
        <v>16.546232267836</v>
      </c>
      <c r="AI1123">
        <v>93.830219466103898</v>
      </c>
      <c r="AJ1123">
        <v>94.235709943904098</v>
      </c>
      <c r="AK1123">
        <v>16.6286920739139</v>
      </c>
      <c r="AL1123">
        <v>71.238241860556897</v>
      </c>
      <c r="AM1123">
        <v>92.616826879921405</v>
      </c>
      <c r="AN1123">
        <v>1.0000000439178101</v>
      </c>
    </row>
    <row r="1124" spans="1:40" x14ac:dyDescent="0.25">
      <c r="A1124" t="str">
        <f>"20190304164840335"</f>
        <v>20190304164840335</v>
      </c>
      <c r="B1124" t="str">
        <f>"1551689320327092"</f>
        <v>1551689320327092</v>
      </c>
      <c r="C1124" t="s">
        <v>40</v>
      </c>
      <c r="D1124">
        <v>4.3771149999999999</v>
      </c>
      <c r="E1124">
        <v>0.5048125</v>
      </c>
      <c r="F1124" t="s">
        <v>42</v>
      </c>
      <c r="G1124">
        <v>-243.17519999999999</v>
      </c>
      <c r="H1124" s="1">
        <v>-3.352158E-6</v>
      </c>
      <c r="I1124">
        <v>368.79579999999999</v>
      </c>
      <c r="J1124">
        <v>-259.76609999999999</v>
      </c>
      <c r="K1124">
        <v>1.1107959999999999</v>
      </c>
      <c r="L1124">
        <v>367.56970000000001</v>
      </c>
      <c r="M1124">
        <v>0.99989910000000004</v>
      </c>
      <c r="N1124">
        <v>-1.4149200000000001E-2</v>
      </c>
      <c r="O1124">
        <v>-1.3014529999999999E-3</v>
      </c>
      <c r="P1124">
        <v>0.95040460000000004</v>
      </c>
      <c r="Q1124">
        <v>0.3081354</v>
      </c>
      <c r="R1124">
        <v>4.2239069999999997E-2</v>
      </c>
      <c r="S1124">
        <v>3.2154539999999998</v>
      </c>
      <c r="T1124">
        <v>-0.21349070000000001</v>
      </c>
      <c r="U1124">
        <v>0.23562620000000001</v>
      </c>
      <c r="V1124">
        <v>-4.3536239999999997E-2</v>
      </c>
      <c r="W1124">
        <v>0.32154300000000002</v>
      </c>
      <c r="X1124">
        <v>0.9458936</v>
      </c>
      <c r="Y1124">
        <v>-7.4182289999999998E-2</v>
      </c>
      <c r="Z1124">
        <v>3.050746E-3</v>
      </c>
      <c r="AA1124">
        <v>0.99724000000000002</v>
      </c>
      <c r="AB1124">
        <v>29</v>
      </c>
      <c r="AC1124">
        <v>16.590900000000001</v>
      </c>
      <c r="AD1124">
        <v>-1.110799352158</v>
      </c>
      <c r="AE1124">
        <v>1.22609999999997</v>
      </c>
      <c r="AF1124">
        <v>-1.24215553977268</v>
      </c>
      <c r="AG1124">
        <v>-1.110799352158</v>
      </c>
      <c r="AH1124">
        <v>16.515658888074402</v>
      </c>
      <c r="AI1124">
        <v>93.836962694372502</v>
      </c>
      <c r="AJ1124">
        <v>94.3011622286609</v>
      </c>
      <c r="AK1124">
        <v>16.599512465520601</v>
      </c>
      <c r="AL1124">
        <v>71.243735396724702</v>
      </c>
      <c r="AM1124">
        <v>92.635268487373807</v>
      </c>
      <c r="AN1124">
        <v>1.0000000037816399</v>
      </c>
    </row>
    <row r="1125" spans="1:40" x14ac:dyDescent="0.25">
      <c r="A1125" t="str">
        <f>"20190304164840347"</f>
        <v>20190304164840347</v>
      </c>
      <c r="B1125" t="str">
        <f>"1551689320336852"</f>
        <v>1551689320336852</v>
      </c>
      <c r="C1125" t="s">
        <v>40</v>
      </c>
      <c r="D1125">
        <v>4.3854989999999896</v>
      </c>
      <c r="E1125">
        <v>0.50469419999999998</v>
      </c>
      <c r="F1125" t="s">
        <v>42</v>
      </c>
      <c r="G1125">
        <v>-243.1129</v>
      </c>
      <c r="H1125" s="1">
        <v>-3.3798339999999999E-6</v>
      </c>
      <c r="I1125">
        <v>368.80579999999998</v>
      </c>
      <c r="J1125">
        <v>-259.613</v>
      </c>
      <c r="K1125">
        <v>1.1107940000000001</v>
      </c>
      <c r="L1125">
        <v>367.56950000000001</v>
      </c>
      <c r="M1125">
        <v>0.99989930000000005</v>
      </c>
      <c r="N1125">
        <v>-1.414787E-2</v>
      </c>
      <c r="O1125">
        <v>-1.238264E-3</v>
      </c>
      <c r="P1125">
        <v>0.950376</v>
      </c>
      <c r="Q1125">
        <v>0.30817420000000001</v>
      </c>
      <c r="R1125">
        <v>4.2593470000000001E-2</v>
      </c>
      <c r="S1125">
        <v>3.2154850000000001</v>
      </c>
      <c r="T1125">
        <v>-0.21447859999999999</v>
      </c>
      <c r="U1125">
        <v>0.238678</v>
      </c>
      <c r="V1125">
        <v>-4.3830189999999998E-2</v>
      </c>
      <c r="W1125">
        <v>0.32157999999999998</v>
      </c>
      <c r="X1125">
        <v>0.94586740000000002</v>
      </c>
      <c r="Y1125">
        <v>-7.5055990000000003E-2</v>
      </c>
      <c r="Z1125">
        <v>3.0943020000000002E-3</v>
      </c>
      <c r="AA1125">
        <v>0.99717449999999996</v>
      </c>
      <c r="AB1125">
        <v>29</v>
      </c>
      <c r="AC1125">
        <v>16.5001</v>
      </c>
      <c r="AD1125">
        <v>-1.1107973798340001</v>
      </c>
      <c r="AE1125">
        <v>1.23629999999997</v>
      </c>
      <c r="AF1125">
        <v>-1.2510941823873301</v>
      </c>
      <c r="AG1125">
        <v>-1.1107973798340001</v>
      </c>
      <c r="AH1125">
        <v>16.424534758560501</v>
      </c>
      <c r="AI1125">
        <v>93.857901071450897</v>
      </c>
      <c r="AJ1125">
        <v>94.355938185734004</v>
      </c>
      <c r="AK1125">
        <v>16.509526023099799</v>
      </c>
      <c r="AL1125">
        <v>71.241495695883799</v>
      </c>
      <c r="AM1125">
        <v>92.653109460701799</v>
      </c>
      <c r="AN1125">
        <v>0.99999996016909698</v>
      </c>
    </row>
    <row r="1126" spans="1:40" x14ac:dyDescent="0.25">
      <c r="A1126" t="str">
        <f>"20190304164840360"</f>
        <v>20190304164840360</v>
      </c>
      <c r="B1126" t="str">
        <f>"1551689320347588"</f>
        <v>1551689320347588</v>
      </c>
      <c r="C1126" t="s">
        <v>40</v>
      </c>
      <c r="D1126">
        <v>4.3823800000000004</v>
      </c>
      <c r="E1126">
        <v>0.50451520000000005</v>
      </c>
      <c r="F1126" t="s">
        <v>42</v>
      </c>
      <c r="G1126">
        <v>-242.9659</v>
      </c>
      <c r="H1126" s="1">
        <v>-3.448045E-6</v>
      </c>
      <c r="I1126">
        <v>368.81299999999999</v>
      </c>
      <c r="J1126">
        <v>-259.46749999999997</v>
      </c>
      <c r="K1126">
        <v>1.110795</v>
      </c>
      <c r="L1126">
        <v>367.56950000000001</v>
      </c>
      <c r="M1126">
        <v>0.99989930000000005</v>
      </c>
      <c r="N1126">
        <v>-1.4146580000000001E-2</v>
      </c>
      <c r="O1126">
        <v>-1.178534E-3</v>
      </c>
      <c r="P1126">
        <v>0.95035829999999999</v>
      </c>
      <c r="Q1126">
        <v>0.30822050000000001</v>
      </c>
      <c r="R1126">
        <v>4.2650760000000003E-2</v>
      </c>
      <c r="S1126">
        <v>3.2154539999999998</v>
      </c>
      <c r="T1126">
        <v>-0.2145553</v>
      </c>
      <c r="U1126">
        <v>0.24017330000000001</v>
      </c>
      <c r="V1126">
        <v>-4.383037E-2</v>
      </c>
      <c r="W1126">
        <v>0.3216252</v>
      </c>
      <c r="X1126">
        <v>0.94585209999999997</v>
      </c>
      <c r="Y1126">
        <v>-7.5457170000000004E-2</v>
      </c>
      <c r="Z1126">
        <v>3.1082290000000001E-3</v>
      </c>
      <c r="AA1126">
        <v>0.99714420000000004</v>
      </c>
      <c r="AB1126">
        <v>29</v>
      </c>
      <c r="AC1126">
        <v>16.5015999999999</v>
      </c>
      <c r="AD1126">
        <v>-1.1107984480449999</v>
      </c>
      <c r="AE1126">
        <v>1.24350000000004</v>
      </c>
      <c r="AF1126">
        <v>-1.25728387385148</v>
      </c>
      <c r="AG1126">
        <v>-1.1107984480449999</v>
      </c>
      <c r="AH1126">
        <v>16.426112270463499</v>
      </c>
      <c r="AI1126">
        <v>93.857427509371902</v>
      </c>
      <c r="AJ1126">
        <v>94.376986535946301</v>
      </c>
      <c r="AK1126">
        <v>16.511565651188199</v>
      </c>
      <c r="AL1126">
        <v>71.238762039530002</v>
      </c>
      <c r="AM1126">
        <v>92.653163196073606</v>
      </c>
      <c r="AN1126">
        <v>1.0000000328418901</v>
      </c>
    </row>
    <row r="1127" spans="1:40" x14ac:dyDescent="0.25">
      <c r="A1127" t="str">
        <f>"20190304164840370"</f>
        <v>20190304164840370</v>
      </c>
      <c r="B1127" t="str">
        <f>"1551689320357347"</f>
        <v>1551689320357347</v>
      </c>
      <c r="C1127" t="s">
        <v>40</v>
      </c>
      <c r="D1127">
        <v>4.3920719999999998</v>
      </c>
      <c r="E1127">
        <v>0.50432429999999995</v>
      </c>
      <c r="F1127" t="s">
        <v>42</v>
      </c>
      <c r="G1127">
        <v>-242.74010000000001</v>
      </c>
      <c r="H1127" s="1">
        <v>-3.5526379999999999E-6</v>
      </c>
      <c r="I1127">
        <v>368.8252</v>
      </c>
      <c r="J1127">
        <v>-259.33069999999998</v>
      </c>
      <c r="K1127">
        <v>1.110795</v>
      </c>
      <c r="L1127">
        <v>367.5693</v>
      </c>
      <c r="M1127">
        <v>0.99989939999999999</v>
      </c>
      <c r="N1127">
        <v>-1.4145339999999999E-2</v>
      </c>
      <c r="O1127">
        <v>-1.1222630000000001E-3</v>
      </c>
      <c r="P1127">
        <v>0.95026080000000002</v>
      </c>
      <c r="Q1127">
        <v>0.30851859999999998</v>
      </c>
      <c r="R1127">
        <v>4.267286E-2</v>
      </c>
      <c r="S1127">
        <v>3.2151179999999999</v>
      </c>
      <c r="T1127">
        <v>-0.213503</v>
      </c>
      <c r="U1127">
        <v>0.24136350000000001</v>
      </c>
      <c r="V1127">
        <v>-4.3799119999999997E-2</v>
      </c>
      <c r="W1127">
        <v>0.3219204</v>
      </c>
      <c r="X1127">
        <v>0.94575310000000001</v>
      </c>
      <c r="Y1127">
        <v>-7.5776880000000005E-2</v>
      </c>
      <c r="Z1127">
        <v>3.1056669999999999E-3</v>
      </c>
      <c r="AA1127">
        <v>0.99712000000000001</v>
      </c>
      <c r="AB1127">
        <v>29</v>
      </c>
      <c r="AC1127">
        <v>16.590599999999899</v>
      </c>
      <c r="AD1127">
        <v>-1.110798552638</v>
      </c>
      <c r="AE1127">
        <v>1.25589999999999</v>
      </c>
      <c r="AF1127">
        <v>-1.26886446888325</v>
      </c>
      <c r="AG1127">
        <v>-1.110798552638</v>
      </c>
      <c r="AH1127">
        <v>16.515566315941701</v>
      </c>
      <c r="AI1127">
        <v>93.836513688049195</v>
      </c>
      <c r="AJ1127">
        <v>94.393312408664798</v>
      </c>
      <c r="AK1127">
        <v>16.601440335139799</v>
      </c>
      <c r="AL1127">
        <v>71.220897957545901</v>
      </c>
      <c r="AM1127">
        <v>92.651551389908803</v>
      </c>
      <c r="AN1127">
        <v>1.00000001650427</v>
      </c>
    </row>
    <row r="1128" spans="1:40" x14ac:dyDescent="0.25">
      <c r="A1128" t="str">
        <f>"20190304164840382"</f>
        <v>20190304164840382</v>
      </c>
      <c r="B1128" t="str">
        <f>"1551689320376868"</f>
        <v>1551689320376868</v>
      </c>
      <c r="C1128" t="s">
        <v>40</v>
      </c>
      <c r="D1128">
        <v>4.3983670000000004</v>
      </c>
      <c r="E1128">
        <v>0.50425829999999905</v>
      </c>
      <c r="F1128" t="s">
        <v>42</v>
      </c>
      <c r="G1128">
        <v>-242.51769999999999</v>
      </c>
      <c r="H1128" s="1">
        <v>-3.6553290000000001E-6</v>
      </c>
      <c r="I1128">
        <v>368.83890000000002</v>
      </c>
      <c r="J1128">
        <v>-259.18180000000001</v>
      </c>
      <c r="K1128">
        <v>1.1108</v>
      </c>
      <c r="L1128">
        <v>367.56920000000002</v>
      </c>
      <c r="M1128">
        <v>0.99989950000000005</v>
      </c>
      <c r="N1128">
        <v>-1.4143960000000001E-2</v>
      </c>
      <c r="O1128">
        <v>-1.0616989999999999E-3</v>
      </c>
      <c r="P1128">
        <v>0.95024299999999995</v>
      </c>
      <c r="Q1128">
        <v>0.30855260000000001</v>
      </c>
      <c r="R1128">
        <v>4.2823979999999998E-2</v>
      </c>
      <c r="S1128">
        <v>3.2150880000000002</v>
      </c>
      <c r="T1128">
        <v>-0.21241470000000001</v>
      </c>
      <c r="U1128">
        <v>0.24276729999999999</v>
      </c>
      <c r="V1128">
        <v>-4.3892859999999999E-2</v>
      </c>
      <c r="W1128">
        <v>0.32195289999999999</v>
      </c>
      <c r="X1128">
        <v>0.94573770000000001</v>
      </c>
      <c r="Y1128">
        <v>-7.6151099999999999E-2</v>
      </c>
      <c r="Z1128">
        <v>3.1043059999999998E-3</v>
      </c>
      <c r="AA1128">
        <v>0.99709150000000002</v>
      </c>
      <c r="AB1128">
        <v>29</v>
      </c>
      <c r="AC1128">
        <v>16.664100000000001</v>
      </c>
      <c r="AD1128">
        <v>-1.1108036553289999</v>
      </c>
      <c r="AE1128">
        <v>1.2697000000000001</v>
      </c>
      <c r="AF1128">
        <v>-1.2817309992663699</v>
      </c>
      <c r="AG1128">
        <v>-1.1108036553289999</v>
      </c>
      <c r="AH1128">
        <v>16.589455086089</v>
      </c>
      <c r="AI1128">
        <v>93.819367787979999</v>
      </c>
      <c r="AJ1128">
        <v>94.417997540906995</v>
      </c>
      <c r="AK1128">
        <v>16.675932932478901</v>
      </c>
      <c r="AL1128">
        <v>71.218931300684801</v>
      </c>
      <c r="AM1128">
        <v>92.6572613901387</v>
      </c>
      <c r="AN1128">
        <v>1.0000000250893299</v>
      </c>
    </row>
    <row r="1129" spans="1:40" x14ac:dyDescent="0.25">
      <c r="A1129" t="str">
        <f>"20190304164840392"</f>
        <v>20190304164840392</v>
      </c>
      <c r="B1129" t="str">
        <f>"1551689320387603"</f>
        <v>1551689320387603</v>
      </c>
      <c r="C1129" t="s">
        <v>40</v>
      </c>
      <c r="D1129">
        <v>4.3999329999999999</v>
      </c>
      <c r="E1129">
        <v>0.50430459999999999</v>
      </c>
      <c r="F1129" t="s">
        <v>42</v>
      </c>
      <c r="G1129">
        <v>-242.3417</v>
      </c>
      <c r="H1129" s="1">
        <v>-3.7378250000000001E-6</v>
      </c>
      <c r="I1129">
        <v>368.84300000000002</v>
      </c>
      <c r="J1129">
        <v>-259.0428</v>
      </c>
      <c r="K1129">
        <v>1.1108039999999999</v>
      </c>
      <c r="L1129">
        <v>367.56920000000002</v>
      </c>
      <c r="M1129">
        <v>0.9998996</v>
      </c>
      <c r="N1129">
        <v>-1.414265E-2</v>
      </c>
      <c r="O1129">
        <v>-1.005188E-3</v>
      </c>
      <c r="P1129">
        <v>0.95021829999999996</v>
      </c>
      <c r="Q1129">
        <v>0.30863499999999999</v>
      </c>
      <c r="R1129">
        <v>4.2775819999999999E-2</v>
      </c>
      <c r="S1129">
        <v>3.2149510000000001</v>
      </c>
      <c r="T1129">
        <v>-0.21206359999999999</v>
      </c>
      <c r="U1129">
        <v>0.24316409999999999</v>
      </c>
      <c r="V1129">
        <v>-4.3791009999999998E-2</v>
      </c>
      <c r="W1129">
        <v>0.32203419999999999</v>
      </c>
      <c r="X1129">
        <v>0.94571470000000002</v>
      </c>
      <c r="Y1129">
        <v>-7.6220780000000002E-2</v>
      </c>
      <c r="Z1129">
        <v>3.099966E-3</v>
      </c>
      <c r="AA1129">
        <v>0.99708620000000003</v>
      </c>
      <c r="AB1129">
        <v>29</v>
      </c>
      <c r="AC1129">
        <v>16.701099999999901</v>
      </c>
      <c r="AD1129">
        <v>-1.1108077378250001</v>
      </c>
      <c r="AE1129">
        <v>1.2737999999999901</v>
      </c>
      <c r="AF1129">
        <v>-1.28493744999237</v>
      </c>
      <c r="AG1129">
        <v>-1.1108077378250001</v>
      </c>
      <c r="AH1129">
        <v>16.626684614961299</v>
      </c>
      <c r="AI1129">
        <v>93.810849075394998</v>
      </c>
      <c r="AJ1129">
        <v>94.419128080705704</v>
      </c>
      <c r="AK1129">
        <v>16.7132163082453</v>
      </c>
      <c r="AL1129">
        <v>71.214010355270204</v>
      </c>
      <c r="AM1129">
        <v>92.651168610448195</v>
      </c>
      <c r="AN1129">
        <v>0.99999998616127495</v>
      </c>
    </row>
    <row r="1130" spans="1:40" x14ac:dyDescent="0.25">
      <c r="A1130" t="str">
        <f>"20190304164840403"</f>
        <v>20190304164840403</v>
      </c>
      <c r="B1130" t="str">
        <f>"1551689320397364"</f>
        <v>1551689320397364</v>
      </c>
      <c r="C1130" t="s">
        <v>40</v>
      </c>
      <c r="D1130">
        <v>4.4130560000000001</v>
      </c>
      <c r="E1130">
        <v>0.50432849999999996</v>
      </c>
      <c r="F1130" t="s">
        <v>42</v>
      </c>
      <c r="G1130">
        <v>-242.15700000000001</v>
      </c>
      <c r="H1130" s="1">
        <v>-3.8256689999999998E-6</v>
      </c>
      <c r="I1130">
        <v>368.8399</v>
      </c>
      <c r="J1130">
        <v>-258.90660000000003</v>
      </c>
      <c r="K1130">
        <v>1.1108049999999901</v>
      </c>
      <c r="L1130">
        <v>367.56909999999999</v>
      </c>
      <c r="M1130">
        <v>0.9998996</v>
      </c>
      <c r="N1130">
        <v>-1.414135E-2</v>
      </c>
      <c r="O1130">
        <v>-9.501078E-4</v>
      </c>
      <c r="P1130">
        <v>0.95016940000000005</v>
      </c>
      <c r="Q1130">
        <v>0.30879010000000001</v>
      </c>
      <c r="R1130">
        <v>4.2741729999999999E-2</v>
      </c>
      <c r="S1130">
        <v>3.214966</v>
      </c>
      <c r="T1130">
        <v>-0.21149119999999999</v>
      </c>
      <c r="U1130">
        <v>0.2419434</v>
      </c>
      <c r="V1130">
        <v>-4.370429E-2</v>
      </c>
      <c r="W1130">
        <v>0.32218720000000001</v>
      </c>
      <c r="X1130">
        <v>0.94566660000000002</v>
      </c>
      <c r="Y1130">
        <v>-7.5791220000000006E-2</v>
      </c>
      <c r="Z1130">
        <v>3.0730240000000002E-3</v>
      </c>
      <c r="AA1130">
        <v>0.99711890000000003</v>
      </c>
      <c r="AB1130">
        <v>29</v>
      </c>
      <c r="AC1130">
        <v>16.749600000000001</v>
      </c>
      <c r="AD1130">
        <v>-1.1108088256690001</v>
      </c>
      <c r="AE1130">
        <v>1.2707999999999999</v>
      </c>
      <c r="AF1130">
        <v>-1.2811126690374</v>
      </c>
      <c r="AG1130">
        <v>-1.1108088256690001</v>
      </c>
      <c r="AH1130">
        <v>16.675463536510101</v>
      </c>
      <c r="AI1130">
        <v>93.799870196411504</v>
      </c>
      <c r="AJ1130">
        <v>94.393187914625003</v>
      </c>
      <c r="AK1130">
        <v>16.761450715121001</v>
      </c>
      <c r="AL1130">
        <v>71.2047506007859</v>
      </c>
      <c r="AM1130">
        <v>92.646060319667598</v>
      </c>
      <c r="AN1130">
        <v>0.99999998758190101</v>
      </c>
    </row>
    <row r="1131" spans="1:40" x14ac:dyDescent="0.25">
      <c r="A1131" t="str">
        <f>"20190304164840413"</f>
        <v>20190304164840413</v>
      </c>
      <c r="B1131" t="str">
        <f>"1551689320407123"</f>
        <v>1551689320407123</v>
      </c>
      <c r="C1131" t="s">
        <v>40</v>
      </c>
      <c r="D1131">
        <v>4.4121160000000001</v>
      </c>
      <c r="E1131">
        <v>0.50433819999999996</v>
      </c>
      <c r="F1131" t="s">
        <v>42</v>
      </c>
      <c r="G1131">
        <v>-241.9391</v>
      </c>
      <c r="H1131" s="1">
        <v>-3.9276910000000001E-6</v>
      </c>
      <c r="I1131">
        <v>368.84539999999998</v>
      </c>
      <c r="J1131">
        <v>-258.76350000000002</v>
      </c>
      <c r="K1131">
        <v>1.110808</v>
      </c>
      <c r="L1131">
        <v>367.56900000000002</v>
      </c>
      <c r="M1131">
        <v>0.99989969999999995</v>
      </c>
      <c r="N1131">
        <v>-1.413998E-2</v>
      </c>
      <c r="O1131">
        <v>-8.9228589999999905E-4</v>
      </c>
      <c r="P1131">
        <v>0.9502138</v>
      </c>
      <c r="Q1131">
        <v>0.30866379999999999</v>
      </c>
      <c r="R1131">
        <v>4.266938E-2</v>
      </c>
      <c r="S1131">
        <v>3.2148590000000001</v>
      </c>
      <c r="T1131">
        <v>-0.21046609999999999</v>
      </c>
      <c r="U1131">
        <v>0.24182129999999999</v>
      </c>
      <c r="V1131">
        <v>-4.3576860000000002E-2</v>
      </c>
      <c r="W1131">
        <v>0.32206040000000002</v>
      </c>
      <c r="X1131">
        <v>0.94571570000000005</v>
      </c>
      <c r="Y1131">
        <v>-7.5700470000000006E-2</v>
      </c>
      <c r="Z1131">
        <v>3.0541570000000001E-3</v>
      </c>
      <c r="AA1131">
        <v>0.99712590000000001</v>
      </c>
      <c r="AB1131">
        <v>29</v>
      </c>
      <c r="AC1131">
        <v>16.824400000000001</v>
      </c>
      <c r="AD1131">
        <v>-1.110811927691</v>
      </c>
      <c r="AE1131">
        <v>1.27639999999996</v>
      </c>
      <c r="AF1131">
        <v>-1.2858400725014001</v>
      </c>
      <c r="AG1131">
        <v>-1.110811927691</v>
      </c>
      <c r="AH1131">
        <v>16.750653512608299</v>
      </c>
      <c r="AI1131">
        <v>93.782891625693907</v>
      </c>
      <c r="AJ1131">
        <v>94.389620300801198</v>
      </c>
      <c r="AK1131">
        <v>16.836617265062699</v>
      </c>
      <c r="AL1131">
        <v>71.212425283676694</v>
      </c>
      <c r="AM1131">
        <v>92.638219248758006</v>
      </c>
      <c r="AN1131">
        <v>1.0000000146010499</v>
      </c>
    </row>
    <row r="1132" spans="1:40" x14ac:dyDescent="0.25">
      <c r="A1132" t="str">
        <f>"20190304164840425"</f>
        <v>20190304164840425</v>
      </c>
      <c r="B1132" t="str">
        <f>"1551689320416883"</f>
        <v>1551689320416883</v>
      </c>
      <c r="C1132" t="s">
        <v>40</v>
      </c>
      <c r="D1132">
        <v>4.4224240000000004</v>
      </c>
      <c r="E1132">
        <v>0.50431019999999904</v>
      </c>
      <c r="F1132" t="s">
        <v>42</v>
      </c>
      <c r="G1132">
        <v>-241.85579999999999</v>
      </c>
      <c r="H1132" s="1">
        <v>-3.9681859999999996E-6</v>
      </c>
      <c r="I1132">
        <v>368.839</v>
      </c>
      <c r="J1132">
        <v>-258.62709999999998</v>
      </c>
      <c r="K1132">
        <v>1.1108119999999999</v>
      </c>
      <c r="L1132">
        <v>367.56900000000002</v>
      </c>
      <c r="M1132">
        <v>0.99989969999999995</v>
      </c>
      <c r="N1132">
        <v>-1.413874E-2</v>
      </c>
      <c r="O1132">
        <v>-8.3720649999999904E-4</v>
      </c>
      <c r="P1132">
        <v>0.95017490000000004</v>
      </c>
      <c r="Q1132">
        <v>0.30877139999999997</v>
      </c>
      <c r="R1132">
        <v>4.2753640000000002E-2</v>
      </c>
      <c r="S1132">
        <v>3.2149510000000001</v>
      </c>
      <c r="T1132">
        <v>-0.21121809999999999</v>
      </c>
      <c r="U1132">
        <v>0.24148559999999999</v>
      </c>
      <c r="V1132">
        <v>-4.3609019999999998E-2</v>
      </c>
      <c r="W1132">
        <v>0.32216600000000001</v>
      </c>
      <c r="X1132">
        <v>0.94567820000000002</v>
      </c>
      <c r="Y1132">
        <v>-7.5539110000000007E-2</v>
      </c>
      <c r="Z1132">
        <v>3.0538090000000002E-3</v>
      </c>
      <c r="AA1132">
        <v>0.99713810000000003</v>
      </c>
      <c r="AB1132">
        <v>29</v>
      </c>
      <c r="AC1132">
        <v>16.771299999999901</v>
      </c>
      <c r="AD1132">
        <v>-1.1108159681859999</v>
      </c>
      <c r="AE1132">
        <v>1.26999999999998</v>
      </c>
      <c r="AF1132">
        <v>-1.2784655655227799</v>
      </c>
      <c r="AG1132">
        <v>-1.1108159681859999</v>
      </c>
      <c r="AH1132">
        <v>16.6973997426031</v>
      </c>
      <c r="AI1132">
        <v>93.794991902506197</v>
      </c>
      <c r="AJ1132">
        <v>94.378408642361606</v>
      </c>
      <c r="AK1132">
        <v>16.7830731536773</v>
      </c>
      <c r="AL1132">
        <v>71.2060333054784</v>
      </c>
      <c r="AM1132">
        <v>92.6402680625432</v>
      </c>
      <c r="AN1132">
        <v>0.99999996806829905</v>
      </c>
    </row>
    <row r="1133" spans="1:40" x14ac:dyDescent="0.25">
      <c r="A1133" t="str">
        <f>"20190304164840437"</f>
        <v>20190304164840437</v>
      </c>
      <c r="B1133" t="str">
        <f>"1551689320427620"</f>
        <v>1551689320427620</v>
      </c>
      <c r="C1133" t="s">
        <v>40</v>
      </c>
      <c r="D1133">
        <v>4.4005900000000002</v>
      </c>
      <c r="E1133">
        <v>0.50433679999999903</v>
      </c>
      <c r="F1133" t="s">
        <v>42</v>
      </c>
      <c r="G1133">
        <v>-241.69739999999999</v>
      </c>
      <c r="H1133" s="1">
        <v>-4.0424599999999996E-6</v>
      </c>
      <c r="I1133">
        <v>368.84249999999997</v>
      </c>
      <c r="J1133">
        <v>-258.48329999999999</v>
      </c>
      <c r="K1133">
        <v>1.110816</v>
      </c>
      <c r="L1133">
        <v>367.56889999999999</v>
      </c>
      <c r="M1133">
        <v>0.99989969999999995</v>
      </c>
      <c r="N1133">
        <v>-1.413742E-2</v>
      </c>
      <c r="O1133">
        <v>-7.7938490000000003E-4</v>
      </c>
      <c r="P1133">
        <v>0.95015780000000005</v>
      </c>
      <c r="Q1133">
        <v>0.308809</v>
      </c>
      <c r="R1133">
        <v>4.2859609999999999E-2</v>
      </c>
      <c r="S1133">
        <v>3.2149809999999999</v>
      </c>
      <c r="T1133">
        <v>-0.21094579999999999</v>
      </c>
      <c r="U1133">
        <v>0.24185180000000001</v>
      </c>
      <c r="V1133">
        <v>-4.3659860000000002E-2</v>
      </c>
      <c r="W1133">
        <v>0.3222025</v>
      </c>
      <c r="X1133">
        <v>0.94566349999999999</v>
      </c>
      <c r="Y1133">
        <v>-7.5594060000000005E-2</v>
      </c>
      <c r="Z1133">
        <v>3.0496899999999999E-3</v>
      </c>
      <c r="AA1133">
        <v>0.99713399999999996</v>
      </c>
      <c r="AB1133">
        <v>29</v>
      </c>
      <c r="AC1133">
        <v>16.785899999999899</v>
      </c>
      <c r="AD1133">
        <v>-1.1108200424600001</v>
      </c>
      <c r="AE1133">
        <v>1.2735999999999801</v>
      </c>
      <c r="AF1133">
        <v>-1.2811054498801799</v>
      </c>
      <c r="AG1133">
        <v>-1.1108200424600001</v>
      </c>
      <c r="AH1133">
        <v>16.712134731855802</v>
      </c>
      <c r="AI1133">
        <v>93.791643466083599</v>
      </c>
      <c r="AJ1133">
        <v>94.383561015463499</v>
      </c>
      <c r="AK1133">
        <v>16.797934385993599</v>
      </c>
      <c r="AL1133">
        <v>71.203825710493106</v>
      </c>
      <c r="AM1133">
        <v>92.643382791916807</v>
      </c>
      <c r="AN1133">
        <v>1.00000004480685</v>
      </c>
    </row>
    <row r="1134" spans="1:40" x14ac:dyDescent="0.25">
      <c r="A1134" t="str">
        <f>"20190304164840449"</f>
        <v>20190304164840449</v>
      </c>
      <c r="B1134" t="str">
        <f>"1551689320437380"</f>
        <v>1551689320437380</v>
      </c>
      <c r="C1134" t="s">
        <v>40</v>
      </c>
      <c r="D1134">
        <v>4.4338550000000003</v>
      </c>
      <c r="E1134">
        <v>0.50430489999999994</v>
      </c>
      <c r="F1134" t="s">
        <v>42</v>
      </c>
      <c r="G1134">
        <v>-241.53960000000001</v>
      </c>
      <c r="H1134" s="1">
        <v>-4.1172119999999996E-6</v>
      </c>
      <c r="I1134">
        <v>368.84140000000002</v>
      </c>
      <c r="J1134">
        <v>-258.32479999999998</v>
      </c>
      <c r="K1134">
        <v>1.1108119999999999</v>
      </c>
      <c r="L1134">
        <v>367.56880000000001</v>
      </c>
      <c r="M1134">
        <v>0.99989980000000001</v>
      </c>
      <c r="N1134">
        <v>-1.413595E-2</v>
      </c>
      <c r="O1134">
        <v>-7.1595779999999998E-4</v>
      </c>
      <c r="P1134">
        <v>0.95008890000000001</v>
      </c>
      <c r="Q1134">
        <v>0.30899939999999998</v>
      </c>
      <c r="R1134">
        <v>4.3015579999999998E-2</v>
      </c>
      <c r="S1134">
        <v>3.2149809999999999</v>
      </c>
      <c r="T1134">
        <v>-0.21077319999999999</v>
      </c>
      <c r="U1134">
        <v>0.24145510000000001</v>
      </c>
      <c r="V1134">
        <v>-4.375565E-2</v>
      </c>
      <c r="W1134">
        <v>0.32239079999999998</v>
      </c>
      <c r="X1134">
        <v>0.94559479999999996</v>
      </c>
      <c r="Y1134">
        <v>-7.5409320000000002E-2</v>
      </c>
      <c r="Z1134">
        <v>3.0369780000000001E-3</v>
      </c>
      <c r="AA1134">
        <v>0.99714800000000003</v>
      </c>
      <c r="AB1134">
        <v>28</v>
      </c>
      <c r="AC1134">
        <v>16.7851999999999</v>
      </c>
      <c r="AD1134">
        <v>-1.1108161172119999</v>
      </c>
      <c r="AE1134">
        <v>1.2726000000000099</v>
      </c>
      <c r="AF1134">
        <v>-1.2790487041342</v>
      </c>
      <c r="AG1134">
        <v>-1.1108161172119999</v>
      </c>
      <c r="AH1134">
        <v>16.711513563750401</v>
      </c>
      <c r="AI1134">
        <v>93.791805243822495</v>
      </c>
      <c r="AJ1134">
        <v>94.376712853824699</v>
      </c>
      <c r="AK1134">
        <v>16.797159391552398</v>
      </c>
      <c r="AL1134">
        <v>71.192427013459493</v>
      </c>
      <c r="AM1134">
        <v>92.649366332127101</v>
      </c>
      <c r="AN1134">
        <v>0.99999995530929997</v>
      </c>
    </row>
    <row r="1135" spans="1:40" x14ac:dyDescent="0.25">
      <c r="A1135" t="str">
        <f>"20190304164840460"</f>
        <v>20190304164840460</v>
      </c>
      <c r="B1135" t="str">
        <f>"1551689320447140"</f>
        <v>1551689320447140</v>
      </c>
      <c r="C1135" t="s">
        <v>40</v>
      </c>
      <c r="D1135">
        <v>4.4320680000000001</v>
      </c>
      <c r="E1135">
        <v>0.50431309999999996</v>
      </c>
      <c r="F1135" t="s">
        <v>42</v>
      </c>
      <c r="G1135">
        <v>-241.3681</v>
      </c>
      <c r="H1135" s="1">
        <v>-4.19760999999999E-6</v>
      </c>
      <c r="I1135">
        <v>368.84519999999998</v>
      </c>
      <c r="J1135">
        <v>-258.18650000000002</v>
      </c>
      <c r="K1135">
        <v>1.110811</v>
      </c>
      <c r="L1135">
        <v>367.56880000000001</v>
      </c>
      <c r="M1135">
        <v>0.99990000000000001</v>
      </c>
      <c r="N1135">
        <v>-1.413463E-2</v>
      </c>
      <c r="O1135">
        <v>-6.6063769999999996E-4</v>
      </c>
      <c r="P1135">
        <v>0.94997750000000003</v>
      </c>
      <c r="Q1135">
        <v>0.30933470000000002</v>
      </c>
      <c r="R1135">
        <v>4.3071650000000003E-2</v>
      </c>
      <c r="S1135">
        <v>3.2151179999999999</v>
      </c>
      <c r="T1135">
        <v>-0.2106199</v>
      </c>
      <c r="U1135">
        <v>0.24200440000000001</v>
      </c>
      <c r="V1135">
        <v>-4.3758980000000003E-2</v>
      </c>
      <c r="W1135">
        <v>0.32272299999999998</v>
      </c>
      <c r="X1135">
        <v>0.94548140000000003</v>
      </c>
      <c r="Y1135">
        <v>-7.5520439999999994E-2</v>
      </c>
      <c r="Z1135">
        <v>3.0365689999999998E-3</v>
      </c>
      <c r="AA1135">
        <v>0.99713960000000001</v>
      </c>
      <c r="AB1135">
        <v>28</v>
      </c>
      <c r="AC1135">
        <v>16.8184</v>
      </c>
      <c r="AD1135">
        <v>-1.11081519761</v>
      </c>
      <c r="AE1135">
        <v>1.27639999999996</v>
      </c>
      <c r="AF1135">
        <v>-1.28195148400684</v>
      </c>
      <c r="AG1135">
        <v>-1.11081519761</v>
      </c>
      <c r="AH1135">
        <v>16.744925150500201</v>
      </c>
      <c r="AI1135">
        <v>93.784252312060204</v>
      </c>
      <c r="AJ1135">
        <v>94.377888355229601</v>
      </c>
      <c r="AK1135">
        <v>16.830621744500199</v>
      </c>
      <c r="AL1135">
        <v>71.172320026087903</v>
      </c>
      <c r="AM1135">
        <v>92.649885006690397</v>
      </c>
      <c r="AN1135">
        <v>1.0000000304027901</v>
      </c>
    </row>
    <row r="1136" spans="1:40" x14ac:dyDescent="0.25">
      <c r="A1136" t="str">
        <f>"20190304164840473"</f>
        <v>20190304164840473</v>
      </c>
      <c r="B1136" t="str">
        <f>"1551689320467636"</f>
        <v>1551689320467636</v>
      </c>
      <c r="C1136" t="s">
        <v>40</v>
      </c>
      <c r="D1136">
        <v>4.414002</v>
      </c>
      <c r="E1136">
        <v>0.50428779999999995</v>
      </c>
      <c r="F1136" t="s">
        <v>42</v>
      </c>
      <c r="G1136">
        <v>-241.14940000000001</v>
      </c>
      <c r="H1136" s="1">
        <v>-4.300232E-6</v>
      </c>
      <c r="I1136">
        <v>368.84969999999998</v>
      </c>
      <c r="J1136">
        <v>-258.01490000000001</v>
      </c>
      <c r="K1136">
        <v>1.1108100000000001</v>
      </c>
      <c r="L1136">
        <v>367.56880000000001</v>
      </c>
      <c r="M1136">
        <v>0.99990000000000001</v>
      </c>
      <c r="N1136">
        <v>-1.413294E-2</v>
      </c>
      <c r="O1136">
        <v>-5.9196430000000005E-4</v>
      </c>
      <c r="P1136">
        <v>0.94984599999999997</v>
      </c>
      <c r="Q1136">
        <v>0.3097183</v>
      </c>
      <c r="R1136">
        <v>4.3212069999999998E-2</v>
      </c>
      <c r="S1136">
        <v>3.215271</v>
      </c>
      <c r="T1136">
        <v>-0.20963509999999999</v>
      </c>
      <c r="U1136">
        <v>0.24172969999999999</v>
      </c>
      <c r="V1136">
        <v>-4.3834570000000003E-2</v>
      </c>
      <c r="W1136">
        <v>0.32310299999999997</v>
      </c>
      <c r="X1136">
        <v>0.94534810000000002</v>
      </c>
      <c r="Y1136">
        <v>-7.5365909999999994E-2</v>
      </c>
      <c r="Z1136">
        <v>3.015055E-3</v>
      </c>
      <c r="AA1136">
        <v>0.99715140000000002</v>
      </c>
      <c r="AB1136">
        <v>28</v>
      </c>
      <c r="AC1136">
        <v>16.865499999999901</v>
      </c>
      <c r="AD1136">
        <v>-1.1108143002319999</v>
      </c>
      <c r="AE1136">
        <v>1.28089999999997</v>
      </c>
      <c r="AF1136">
        <v>-1.2853407798291201</v>
      </c>
      <c r="AG1136">
        <v>-1.1108143002319999</v>
      </c>
      <c r="AH1136">
        <v>16.792312282767501</v>
      </c>
      <c r="AI1136">
        <v>93.773605253227402</v>
      </c>
      <c r="AJ1136">
        <v>94.377079159130503</v>
      </c>
      <c r="AK1136">
        <v>16.878025984453199</v>
      </c>
      <c r="AL1136">
        <v>71.149315110411905</v>
      </c>
      <c r="AM1136">
        <v>92.6548296806547</v>
      </c>
      <c r="AN1136">
        <v>1.0000000241548399</v>
      </c>
    </row>
    <row r="1137" spans="1:40" x14ac:dyDescent="0.25">
      <c r="A1137" t="str">
        <f>"20190304164840486"</f>
        <v>20190304164840486</v>
      </c>
      <c r="B1137" t="str">
        <f>"1551689320477396"</f>
        <v>1551689320477396</v>
      </c>
      <c r="C1137" t="s">
        <v>40</v>
      </c>
      <c r="D1137">
        <v>4.4293879999999897</v>
      </c>
      <c r="E1137">
        <v>0.50427029999999995</v>
      </c>
      <c r="F1137" t="s">
        <v>42</v>
      </c>
      <c r="G1137">
        <v>-240.9297</v>
      </c>
      <c r="H1137" s="1">
        <v>-4.4031799999999999E-6</v>
      </c>
      <c r="I1137">
        <v>368.85480000000001</v>
      </c>
      <c r="J1137">
        <v>-257.85410000000002</v>
      </c>
      <c r="K1137">
        <v>1.1108100000000001</v>
      </c>
      <c r="L1137">
        <v>367.56869999999998</v>
      </c>
      <c r="M1137">
        <v>0.99990009999999996</v>
      </c>
      <c r="N1137">
        <v>-1.4131350000000001E-2</v>
      </c>
      <c r="O1137">
        <v>-5.2723069999999997E-4</v>
      </c>
      <c r="P1137">
        <v>0.94980560000000003</v>
      </c>
      <c r="Q1137">
        <v>0.30983329999999998</v>
      </c>
      <c r="R1137">
        <v>4.3275620000000001E-2</v>
      </c>
      <c r="S1137">
        <v>3.2155610000000001</v>
      </c>
      <c r="T1137">
        <v>-0.20906340000000001</v>
      </c>
      <c r="U1137">
        <v>0.2420349</v>
      </c>
      <c r="V1137">
        <v>-4.3835930000000002E-2</v>
      </c>
      <c r="W1137">
        <v>0.32321620000000001</v>
      </c>
      <c r="X1137">
        <v>0.94530930000000002</v>
      </c>
      <c r="Y1137">
        <v>-7.538976E-2</v>
      </c>
      <c r="Z1137">
        <v>3.0056449999999999E-3</v>
      </c>
      <c r="AA1137">
        <v>0.99714959999999997</v>
      </c>
      <c r="AB1137">
        <v>28</v>
      </c>
      <c r="AC1137">
        <v>16.924399999999999</v>
      </c>
      <c r="AD1137">
        <v>-1.11081440317999</v>
      </c>
      <c r="AE1137">
        <v>1.28610000000003</v>
      </c>
      <c r="AF1137">
        <v>-1.28950074514119</v>
      </c>
      <c r="AG1137">
        <v>-1.11081440317999</v>
      </c>
      <c r="AH1137">
        <v>16.851543069824199</v>
      </c>
      <c r="AI1137">
        <v>93.760386362742395</v>
      </c>
      <c r="AJ1137">
        <v>94.375815760288404</v>
      </c>
      <c r="AK1137">
        <v>16.937273235210299</v>
      </c>
      <c r="AL1137">
        <v>71.142460760700899</v>
      </c>
      <c r="AM1137">
        <v>92.655020745179996</v>
      </c>
      <c r="AN1137">
        <v>0.99999998668394696</v>
      </c>
    </row>
    <row r="1138" spans="1:40" x14ac:dyDescent="0.25">
      <c r="A1138" t="str">
        <f>"20190304164840498"</f>
        <v>20190304164840498</v>
      </c>
      <c r="B1138" t="str">
        <f>"1551689320487156"</f>
        <v>1551689320487156</v>
      </c>
      <c r="C1138" t="s">
        <v>40</v>
      </c>
      <c r="D1138">
        <v>4.4202320000000004</v>
      </c>
      <c r="E1138">
        <v>0.50435129999999995</v>
      </c>
      <c r="F1138" t="s">
        <v>42</v>
      </c>
      <c r="G1138">
        <v>-240.77289999999999</v>
      </c>
      <c r="H1138" s="1">
        <v>-4.4771419999999998E-6</v>
      </c>
      <c r="I1138">
        <v>368.85550000000001</v>
      </c>
      <c r="J1138">
        <v>-257.69880000000001</v>
      </c>
      <c r="K1138">
        <v>1.1108100000000001</v>
      </c>
      <c r="L1138">
        <v>367.56869999999998</v>
      </c>
      <c r="M1138">
        <v>0.99990020000000002</v>
      </c>
      <c r="N1138">
        <v>-1.412982E-2</v>
      </c>
      <c r="O1138">
        <v>-4.6464329999999998E-4</v>
      </c>
      <c r="P1138">
        <v>0.94982080000000002</v>
      </c>
      <c r="Q1138">
        <v>0.30974839999999998</v>
      </c>
      <c r="R1138">
        <v>4.3549600000000001E-2</v>
      </c>
      <c r="S1138">
        <v>3.2157290000000001</v>
      </c>
      <c r="T1138">
        <v>-0.2091237</v>
      </c>
      <c r="U1138">
        <v>0.24224850000000001</v>
      </c>
      <c r="V1138">
        <v>-4.4050529999999997E-2</v>
      </c>
      <c r="W1138">
        <v>0.32313009999999998</v>
      </c>
      <c r="X1138">
        <v>0.94532879999999997</v>
      </c>
      <c r="Y1138">
        <v>-7.5389330000000004E-2</v>
      </c>
      <c r="Z1138">
        <v>3.0029729999999999E-3</v>
      </c>
      <c r="AA1138">
        <v>0.99714959999999997</v>
      </c>
      <c r="AB1138">
        <v>28</v>
      </c>
      <c r="AC1138">
        <v>16.925899999999999</v>
      </c>
      <c r="AD1138">
        <v>-1.1108144771420001</v>
      </c>
      <c r="AE1138">
        <v>1.2868000000000199</v>
      </c>
      <c r="AF1138">
        <v>-1.2891446535362701</v>
      </c>
      <c r="AG1138">
        <v>-1.1108144771420001</v>
      </c>
      <c r="AH1138">
        <v>16.8531301354814</v>
      </c>
      <c r="AI1138">
        <v>93.760041591717894</v>
      </c>
      <c r="AJ1138">
        <v>94.374201723796006</v>
      </c>
      <c r="AK1138">
        <v>16.9388251689378</v>
      </c>
      <c r="AL1138">
        <v>71.147674409609095</v>
      </c>
      <c r="AM1138">
        <v>92.667944781748005</v>
      </c>
      <c r="AN1138">
        <v>1.0000000254143599</v>
      </c>
    </row>
    <row r="1139" spans="1:40" x14ac:dyDescent="0.25">
      <c r="A1139" t="str">
        <f>"20190304164840511"</f>
        <v>20190304164840511</v>
      </c>
      <c r="B1139" t="str">
        <f>"1551689320507651"</f>
        <v>1551689320507651</v>
      </c>
      <c r="C1139" t="s">
        <v>40</v>
      </c>
      <c r="D1139">
        <v>4.410882</v>
      </c>
      <c r="E1139">
        <v>0.50451080000000004</v>
      </c>
      <c r="F1139" t="s">
        <v>42</v>
      </c>
      <c r="G1139">
        <v>-240.6994</v>
      </c>
      <c r="H1139" s="1">
        <v>-4.5125280000000003E-6</v>
      </c>
      <c r="I1139">
        <v>368.85199999999998</v>
      </c>
      <c r="J1139">
        <v>-257.53910000000002</v>
      </c>
      <c r="K1139">
        <v>1.1108089999999999</v>
      </c>
      <c r="L1139">
        <v>367.56869999999998</v>
      </c>
      <c r="M1139">
        <v>0.99990000000000001</v>
      </c>
      <c r="N1139">
        <v>-1.412824E-2</v>
      </c>
      <c r="O1139">
        <v>-4.0014659999999997E-4</v>
      </c>
      <c r="P1139">
        <v>0.94986369999999998</v>
      </c>
      <c r="Q1139">
        <v>0.30962289999999998</v>
      </c>
      <c r="R1139">
        <v>4.3502659999999999E-2</v>
      </c>
      <c r="S1139">
        <v>3.2159270000000002</v>
      </c>
      <c r="T1139">
        <v>-0.21014240000000001</v>
      </c>
      <c r="U1139">
        <v>0.24276729999999999</v>
      </c>
      <c r="V1139">
        <v>-4.3941630000000002E-2</v>
      </c>
      <c r="W1139">
        <v>0.3230037</v>
      </c>
      <c r="X1139">
        <v>0.94537709999999997</v>
      </c>
      <c r="Y1139">
        <v>-7.5478519999999993E-2</v>
      </c>
      <c r="Z1139">
        <v>3.015032E-3</v>
      </c>
      <c r="AA1139">
        <v>0.99714290000000005</v>
      </c>
      <c r="AB1139">
        <v>28</v>
      </c>
      <c r="AC1139">
        <v>16.839700000000001</v>
      </c>
      <c r="AD1139">
        <v>-1.1108135125280001</v>
      </c>
      <c r="AE1139">
        <v>1.2832999999999899</v>
      </c>
      <c r="AF1139">
        <v>-1.28448209326392</v>
      </c>
      <c r="AG1139">
        <v>-1.1108135125280001</v>
      </c>
      <c r="AH1139">
        <v>16.766650519097698</v>
      </c>
      <c r="AI1139">
        <v>93.779342532373093</v>
      </c>
      <c r="AJ1139">
        <v>94.380835079252094</v>
      </c>
      <c r="AK1139">
        <v>16.852429217685199</v>
      </c>
      <c r="AL1139">
        <v>71.155327614405905</v>
      </c>
      <c r="AM1139">
        <v>92.661222912104293</v>
      </c>
      <c r="AN1139">
        <v>1.00000005913257</v>
      </c>
    </row>
    <row r="1140" spans="1:40" x14ac:dyDescent="0.25">
      <c r="A1140" t="str">
        <f>"20190304164840522"</f>
        <v>20190304164840522</v>
      </c>
      <c r="B1140" t="str">
        <f>"1551689320517411"</f>
        <v>1551689320517411</v>
      </c>
      <c r="C1140" t="s">
        <v>40</v>
      </c>
      <c r="D1140">
        <v>4.4050580000000004</v>
      </c>
      <c r="E1140">
        <v>0.50457019999999997</v>
      </c>
      <c r="F1140" t="s">
        <v>42</v>
      </c>
      <c r="G1140">
        <v>-240.74</v>
      </c>
      <c r="H1140" s="1">
        <v>-4.497087E-6</v>
      </c>
      <c r="I1140">
        <v>368.83089999999999</v>
      </c>
      <c r="J1140">
        <v>-257.40300000000002</v>
      </c>
      <c r="K1140">
        <v>1.1108</v>
      </c>
      <c r="L1140">
        <v>367.56869999999998</v>
      </c>
      <c r="M1140">
        <v>0.99990020000000002</v>
      </c>
      <c r="N1140">
        <v>-1.4126909999999999E-2</v>
      </c>
      <c r="O1140">
        <v>-3.453067E-4</v>
      </c>
      <c r="P1140">
        <v>0.94983980000000001</v>
      </c>
      <c r="Q1140">
        <v>0.30967929999999999</v>
      </c>
      <c r="R1140">
        <v>4.3624070000000001E-2</v>
      </c>
      <c r="S1140">
        <v>3.216583</v>
      </c>
      <c r="T1140">
        <v>-0.2126914</v>
      </c>
      <c r="U1140">
        <v>0.24166869999999999</v>
      </c>
      <c r="V1140">
        <v>-4.4011540000000002E-2</v>
      </c>
      <c r="W1140">
        <v>0.32305879999999998</v>
      </c>
      <c r="X1140">
        <v>0.94535499999999995</v>
      </c>
      <c r="Y1140">
        <v>-7.5066789999999994E-2</v>
      </c>
      <c r="Z1140">
        <v>3.0252629999999998E-3</v>
      </c>
      <c r="AA1140">
        <v>0.99717389999999995</v>
      </c>
      <c r="AB1140">
        <v>28</v>
      </c>
      <c r="AC1140">
        <v>16.663</v>
      </c>
      <c r="AD1140">
        <v>-1.1108044970869999</v>
      </c>
      <c r="AE1140">
        <v>1.2622</v>
      </c>
      <c r="AF1140">
        <v>-1.26237641572295</v>
      </c>
      <c r="AG1140">
        <v>-1.1108044970869999</v>
      </c>
      <c r="AH1140">
        <v>16.589261908313901</v>
      </c>
      <c r="AI1140">
        <v>93.819753456369995</v>
      </c>
      <c r="AJ1140">
        <v>94.351592921199995</v>
      </c>
      <c r="AK1140">
        <v>16.674264346841699</v>
      </c>
      <c r="AL1140">
        <v>71.151991402419796</v>
      </c>
      <c r="AM1140">
        <v>92.665512969501293</v>
      </c>
      <c r="AN1140">
        <v>1.0000000399678</v>
      </c>
    </row>
    <row r="1141" spans="1:40" x14ac:dyDescent="0.25">
      <c r="A1141" t="str">
        <f>"20190304164840533"</f>
        <v>20190304164840533</v>
      </c>
      <c r="B1141" t="str">
        <f>"1551689320527172"</f>
        <v>1551689320527172</v>
      </c>
      <c r="C1141" t="s">
        <v>40</v>
      </c>
      <c r="D1141">
        <v>4.4215530000000003</v>
      </c>
      <c r="E1141">
        <v>0.50462419999999997</v>
      </c>
      <c r="F1141" t="s">
        <v>42</v>
      </c>
      <c r="G1141">
        <v>-240.6799</v>
      </c>
      <c r="H1141" s="1">
        <v>-4.5267000000000002E-6</v>
      </c>
      <c r="I1141">
        <v>368.82400000000001</v>
      </c>
      <c r="J1141">
        <v>-257.25240000000002</v>
      </c>
      <c r="K1141">
        <v>1.110798</v>
      </c>
      <c r="L1141">
        <v>367.56880000000001</v>
      </c>
      <c r="M1141">
        <v>0.99990029999999996</v>
      </c>
      <c r="N1141">
        <v>-1.412544E-2</v>
      </c>
      <c r="O1141">
        <v>-2.8462520000000001E-4</v>
      </c>
      <c r="P1141">
        <v>0.94986300000000001</v>
      </c>
      <c r="Q1141">
        <v>0.30961050000000001</v>
      </c>
      <c r="R1141">
        <v>4.3611089999999998E-2</v>
      </c>
      <c r="S1141">
        <v>3.2170100000000001</v>
      </c>
      <c r="T1141">
        <v>-0.21368490000000001</v>
      </c>
      <c r="U1141">
        <v>0.24148559999999999</v>
      </c>
      <c r="V1141">
        <v>-4.3940510000000002E-2</v>
      </c>
      <c r="W1141">
        <v>0.32298840000000001</v>
      </c>
      <c r="X1141">
        <v>0.94538239999999996</v>
      </c>
      <c r="Y1141">
        <v>-7.4938710000000006E-2</v>
      </c>
      <c r="Z1141">
        <v>3.0282159999999998E-3</v>
      </c>
      <c r="AA1141">
        <v>0.99718359999999995</v>
      </c>
      <c r="AB1141">
        <v>28</v>
      </c>
      <c r="AC1141">
        <v>16.572500000000002</v>
      </c>
      <c r="AD1141">
        <v>-1.1108025266999999</v>
      </c>
      <c r="AE1141">
        <v>1.2552000000000001</v>
      </c>
      <c r="AF1141">
        <v>-1.2543143805538799</v>
      </c>
      <c r="AG1141">
        <v>-1.1108025266999999</v>
      </c>
      <c r="AH1141">
        <v>16.498443909727701</v>
      </c>
      <c r="AI1141">
        <v>93.840730478329206</v>
      </c>
      <c r="AJ1141">
        <v>94.347618206752401</v>
      </c>
      <c r="AK1141">
        <v>16.583299981035701</v>
      </c>
      <c r="AL1141">
        <v>71.156254268237106</v>
      </c>
      <c r="AM1141">
        <v>92.661140281896905</v>
      </c>
      <c r="AN1141">
        <v>1.0000000785916801</v>
      </c>
    </row>
    <row r="1142" spans="1:40" x14ac:dyDescent="0.25">
      <c r="A1142" t="str">
        <f>"20190304164840544"</f>
        <v>20190304164840544</v>
      </c>
      <c r="B1142" t="str">
        <f>"1551689320536931"</f>
        <v>1551689320536931</v>
      </c>
      <c r="C1142" t="s">
        <v>40</v>
      </c>
      <c r="D1142">
        <v>4.3888819999999997</v>
      </c>
      <c r="E1142">
        <v>0.50468359999999901</v>
      </c>
      <c r="F1142" t="s">
        <v>42</v>
      </c>
      <c r="G1142">
        <v>-240.63929999999999</v>
      </c>
      <c r="H1142" s="1">
        <v>-4.5476679999999996E-6</v>
      </c>
      <c r="I1142">
        <v>368.8141</v>
      </c>
      <c r="J1142">
        <v>-257.12180000000001</v>
      </c>
      <c r="K1142">
        <v>1.1107929999999999</v>
      </c>
      <c r="L1142">
        <v>367.56880000000001</v>
      </c>
      <c r="M1142">
        <v>0.99990029999999996</v>
      </c>
      <c r="N1142">
        <v>-1.412416E-2</v>
      </c>
      <c r="O1142">
        <v>-2.3169219999999999E-4</v>
      </c>
      <c r="P1142">
        <v>0.94982100000000003</v>
      </c>
      <c r="Q1142">
        <v>0.30970039999999999</v>
      </c>
      <c r="R1142">
        <v>4.3886479999999999E-2</v>
      </c>
      <c r="S1142">
        <v>3.2173609999999999</v>
      </c>
      <c r="T1142">
        <v>-0.2151219</v>
      </c>
      <c r="U1142">
        <v>0.24118039999999999</v>
      </c>
      <c r="V1142">
        <v>-4.4164960000000003E-2</v>
      </c>
      <c r="W1142">
        <v>0.3230768</v>
      </c>
      <c r="X1142">
        <v>0.9453416</v>
      </c>
      <c r="Y1142">
        <v>-7.4781819999999999E-2</v>
      </c>
      <c r="Z1142">
        <v>3.0355669999999999E-3</v>
      </c>
      <c r="AA1142">
        <v>0.99719530000000001</v>
      </c>
      <c r="AB1142">
        <v>28</v>
      </c>
      <c r="AC1142">
        <v>16.482500000000002</v>
      </c>
      <c r="AD1142">
        <v>-1.1107975476680001</v>
      </c>
      <c r="AE1142">
        <v>1.2452999999999801</v>
      </c>
      <c r="AF1142">
        <v>-1.24350358128635</v>
      </c>
      <c r="AG1142">
        <v>-1.1107975476680001</v>
      </c>
      <c r="AH1142">
        <v>16.408112356672099</v>
      </c>
      <c r="AI1142">
        <v>93.861863613304294</v>
      </c>
      <c r="AJ1142">
        <v>94.333927644600095</v>
      </c>
      <c r="AK1142">
        <v>16.4926142093287</v>
      </c>
      <c r="AL1142">
        <v>71.150899911235797</v>
      </c>
      <c r="AM1142">
        <v>92.674829080198805</v>
      </c>
      <c r="AN1142">
        <v>0.99999995154029897</v>
      </c>
    </row>
    <row r="1143" spans="1:40" x14ac:dyDescent="0.25">
      <c r="A1143" t="str">
        <f>"20190304164840554"</f>
        <v>20190304164840554</v>
      </c>
      <c r="B1143" t="str">
        <f>"1551689320547668"</f>
        <v>1551689320547668</v>
      </c>
      <c r="C1143" t="s">
        <v>40</v>
      </c>
      <c r="D1143">
        <v>4.4086089999999896</v>
      </c>
      <c r="E1143">
        <v>0.50473279999999998</v>
      </c>
      <c r="F1143" t="s">
        <v>42</v>
      </c>
      <c r="G1143">
        <v>-240.57919999999999</v>
      </c>
      <c r="H1143" s="1">
        <v>-4.577041E-6</v>
      </c>
      <c r="I1143">
        <v>368.80860000000001</v>
      </c>
      <c r="J1143">
        <v>-256.98880000000003</v>
      </c>
      <c r="K1143">
        <v>1.1107929999999999</v>
      </c>
      <c r="L1143">
        <v>367.56880000000001</v>
      </c>
      <c r="M1143">
        <v>0.99990029999999996</v>
      </c>
      <c r="N1143">
        <v>-1.4122859999999999E-2</v>
      </c>
      <c r="O1143">
        <v>-1.7768619999999999E-4</v>
      </c>
      <c r="P1143">
        <v>0.9499436</v>
      </c>
      <c r="Q1143">
        <v>0.3093185</v>
      </c>
      <c r="R1143">
        <v>4.3925100000000002E-2</v>
      </c>
      <c r="S1143">
        <v>3.2178040000000001</v>
      </c>
      <c r="T1143">
        <v>-0.2160686</v>
      </c>
      <c r="U1143">
        <v>0.2411499</v>
      </c>
      <c r="V1143">
        <v>-4.4152549999999999E-2</v>
      </c>
      <c r="W1143">
        <v>0.32269550000000002</v>
      </c>
      <c r="X1143">
        <v>0.94547250000000005</v>
      </c>
      <c r="Y1143">
        <v>-7.4707049999999997E-2</v>
      </c>
      <c r="Z1143">
        <v>3.0403079999999998E-3</v>
      </c>
      <c r="AA1143">
        <v>0.99720089999999995</v>
      </c>
      <c r="AB1143">
        <v>28</v>
      </c>
      <c r="AC1143">
        <v>16.409600000000001</v>
      </c>
      <c r="AD1143">
        <v>-1.1107975770409999</v>
      </c>
      <c r="AE1143">
        <v>1.2398</v>
      </c>
      <c r="AF1143">
        <v>-1.2370796606713701</v>
      </c>
      <c r="AG1143">
        <v>-1.1107975770409999</v>
      </c>
      <c r="AH1143">
        <v>16.3349542692814</v>
      </c>
      <c r="AI1143">
        <v>93.879122541832899</v>
      </c>
      <c r="AJ1143">
        <v>94.330860112139106</v>
      </c>
      <c r="AK1143">
        <v>16.419347378124499</v>
      </c>
      <c r="AL1143">
        <v>71.173984927987405</v>
      </c>
      <c r="AM1143">
        <v>92.673708878761801</v>
      </c>
      <c r="AN1143">
        <v>1.000000040824</v>
      </c>
    </row>
    <row r="1144" spans="1:40" x14ac:dyDescent="0.25">
      <c r="A1144" t="str">
        <f>"20190304164840565"</f>
        <v>20190304164840565</v>
      </c>
      <c r="B1144" t="str">
        <f>"1551689320557428"</f>
        <v>1551689320557428</v>
      </c>
      <c r="C1144" t="s">
        <v>40</v>
      </c>
      <c r="D1144">
        <v>4.4150960000000001</v>
      </c>
      <c r="E1144">
        <v>0.50476369999999904</v>
      </c>
      <c r="F1144" t="s">
        <v>42</v>
      </c>
      <c r="G1144">
        <v>-240.6232</v>
      </c>
      <c r="H1144" s="1">
        <v>-4.5591960000000002E-6</v>
      </c>
      <c r="I1144">
        <v>368.7919</v>
      </c>
      <c r="J1144">
        <v>-256.84930000000003</v>
      </c>
      <c r="K1144">
        <v>1.110792</v>
      </c>
      <c r="L1144">
        <v>367.56880000000001</v>
      </c>
      <c r="M1144">
        <v>0.99990029999999996</v>
      </c>
      <c r="N1144">
        <v>-1.412149E-2</v>
      </c>
      <c r="O1144">
        <v>-1.211753E-4</v>
      </c>
      <c r="P1144">
        <v>0.95008800000000004</v>
      </c>
      <c r="Q1144">
        <v>0.30896509999999999</v>
      </c>
      <c r="R1144">
        <v>4.32851E-2</v>
      </c>
      <c r="S1144">
        <v>3.2181090000000001</v>
      </c>
      <c r="T1144">
        <v>-0.21842619999999999</v>
      </c>
      <c r="U1144">
        <v>0.240509</v>
      </c>
      <c r="V1144">
        <v>-4.3459240000000003E-2</v>
      </c>
      <c r="W1144">
        <v>0.3223434</v>
      </c>
      <c r="X1144">
        <v>0.94562460000000004</v>
      </c>
      <c r="Y1144">
        <v>-7.4442949999999994E-2</v>
      </c>
      <c r="Z1144">
        <v>3.053573E-3</v>
      </c>
      <c r="AA1144">
        <v>0.99722060000000001</v>
      </c>
      <c r="AB1144">
        <v>28</v>
      </c>
      <c r="AC1144">
        <v>16.226099999999999</v>
      </c>
      <c r="AD1144">
        <v>-1.1107965591959901</v>
      </c>
      <c r="AE1144">
        <v>1.2230999999999801</v>
      </c>
      <c r="AF1144">
        <v>-1.2193841354948001</v>
      </c>
      <c r="AG1144">
        <v>-1.1107965591959901</v>
      </c>
      <c r="AH1144">
        <v>16.150690445396901</v>
      </c>
      <c r="AI1144">
        <v>93.923306689039904</v>
      </c>
      <c r="AJ1144">
        <v>94.317664627437395</v>
      </c>
      <c r="AK1144">
        <v>16.234702600566902</v>
      </c>
      <c r="AL1144">
        <v>71.195295473679593</v>
      </c>
      <c r="AM1144">
        <v>92.631361469338202</v>
      </c>
      <c r="AN1144">
        <v>0.99999992859504605</v>
      </c>
    </row>
    <row r="1145" spans="1:40" x14ac:dyDescent="0.25">
      <c r="A1145" t="str">
        <f>"20190304164840575"</f>
        <v>20190304164840575</v>
      </c>
      <c r="B1145" t="str">
        <f>"1551689320567188"</f>
        <v>1551689320567188</v>
      </c>
      <c r="C1145" t="s">
        <v>40</v>
      </c>
      <c r="D1145">
        <v>4.385904</v>
      </c>
      <c r="E1145">
        <v>0.50475930000000002</v>
      </c>
      <c r="F1145" t="s">
        <v>42</v>
      </c>
      <c r="G1145">
        <v>-240.63929999999999</v>
      </c>
      <c r="H1145" s="1">
        <v>-4.5557369999999998E-6</v>
      </c>
      <c r="I1145">
        <v>368.76859999999999</v>
      </c>
      <c r="J1145">
        <v>-256.72050000000002</v>
      </c>
      <c r="K1145">
        <v>1.110792</v>
      </c>
      <c r="L1145">
        <v>367.56880000000001</v>
      </c>
      <c r="M1145">
        <v>0.99990029999999996</v>
      </c>
      <c r="N1145">
        <v>-1.4120229999999999E-2</v>
      </c>
      <c r="O1145" s="1">
        <v>-6.9313710000000001E-5</v>
      </c>
      <c r="P1145">
        <v>0.95009489999999996</v>
      </c>
      <c r="Q1145">
        <v>0.30904350000000003</v>
      </c>
      <c r="R1145">
        <v>4.2565619999999998E-2</v>
      </c>
      <c r="S1145">
        <v>3.2184750000000002</v>
      </c>
      <c r="T1145">
        <v>-0.2205472</v>
      </c>
      <c r="U1145">
        <v>0.23822019999999999</v>
      </c>
      <c r="V1145">
        <v>-4.2689699999999997E-2</v>
      </c>
      <c r="W1145">
        <v>0.32242009999999899</v>
      </c>
      <c r="X1145">
        <v>0.94563359999999996</v>
      </c>
      <c r="Y1145">
        <v>-7.367609E-2</v>
      </c>
      <c r="Z1145">
        <v>3.0433439999999999E-3</v>
      </c>
      <c r="AA1145">
        <v>0.99727759999999999</v>
      </c>
      <c r="AB1145">
        <v>28</v>
      </c>
      <c r="AC1145">
        <v>16.081199999999999</v>
      </c>
      <c r="AD1145">
        <v>-1.1107965557369901</v>
      </c>
      <c r="AE1145">
        <v>1.19979999999998</v>
      </c>
      <c r="AF1145">
        <v>-1.1952435194830699</v>
      </c>
      <c r="AG1145">
        <v>-1.1107965557369901</v>
      </c>
      <c r="AH1145">
        <v>16.005174834944601</v>
      </c>
      <c r="AI1145">
        <v>93.959105806712003</v>
      </c>
      <c r="AJ1145">
        <v>94.270839144573102</v>
      </c>
      <c r="AK1145">
        <v>16.088135303889299</v>
      </c>
      <c r="AL1145">
        <v>71.190654778319299</v>
      </c>
      <c r="AM1145">
        <v>92.584806709046305</v>
      </c>
      <c r="AN1145">
        <v>1.0000000184095199</v>
      </c>
    </row>
    <row r="1146" spans="1:40" x14ac:dyDescent="0.25">
      <c r="A1146" t="str">
        <f>"20190304164840586"</f>
        <v>20190304164840586</v>
      </c>
      <c r="B1146" t="str">
        <f>"1551689320577924"</f>
        <v>1551689320577924</v>
      </c>
      <c r="C1146" t="s">
        <v>40</v>
      </c>
      <c r="D1146">
        <v>4.3928250000000002</v>
      </c>
      <c r="E1146">
        <v>0.50478400000000001</v>
      </c>
      <c r="F1146" t="s">
        <v>42</v>
      </c>
      <c r="G1146">
        <v>-240.51589999999999</v>
      </c>
      <c r="H1146" s="1">
        <v>-4.6161599999999997E-6</v>
      </c>
      <c r="I1146">
        <v>368.75689999999997</v>
      </c>
      <c r="J1146">
        <v>-256.58350000000002</v>
      </c>
      <c r="K1146">
        <v>1.1108</v>
      </c>
      <c r="L1146">
        <v>367.56889999999999</v>
      </c>
      <c r="M1146">
        <v>0.99990040000000002</v>
      </c>
      <c r="N1146">
        <v>-1.411887E-2</v>
      </c>
      <c r="O1146" s="1">
        <v>-1.42898499999999E-5</v>
      </c>
      <c r="P1146">
        <v>0.95002229999999999</v>
      </c>
      <c r="Q1146">
        <v>0.30943159999999997</v>
      </c>
      <c r="R1146">
        <v>4.135051E-2</v>
      </c>
      <c r="S1146">
        <v>3.2188110000000001</v>
      </c>
      <c r="T1146">
        <v>-0.2206436</v>
      </c>
      <c r="U1146">
        <v>0.23599239999999999</v>
      </c>
      <c r="V1146">
        <v>-4.1422689999999998E-2</v>
      </c>
      <c r="W1146">
        <v>0.3228065</v>
      </c>
      <c r="X1146">
        <v>0.94555809999999996</v>
      </c>
      <c r="Y1146">
        <v>-7.2929090000000002E-2</v>
      </c>
      <c r="Z1146">
        <v>3.0103690000000002E-3</v>
      </c>
      <c r="AA1146">
        <v>0.99733260000000001</v>
      </c>
      <c r="AB1146">
        <v>28</v>
      </c>
      <c r="AC1146">
        <v>16.067599999999999</v>
      </c>
      <c r="AD1146">
        <v>-1.11080461616</v>
      </c>
      <c r="AE1146">
        <v>1.18799999999998</v>
      </c>
      <c r="AF1146">
        <v>-1.18260820041419</v>
      </c>
      <c r="AG1146">
        <v>-1.11080461616</v>
      </c>
      <c r="AH1146">
        <v>15.991568480875401</v>
      </c>
      <c r="AI1146">
        <v>93.962704442181007</v>
      </c>
      <c r="AJ1146">
        <v>94.229437606711898</v>
      </c>
      <c r="AK1146">
        <v>16.073665155449</v>
      </c>
      <c r="AL1146">
        <v>71.167264663949794</v>
      </c>
      <c r="AM1146">
        <v>92.5083903579946</v>
      </c>
      <c r="AN1146">
        <v>0.99999999808234796</v>
      </c>
    </row>
    <row r="1147" spans="1:40" x14ac:dyDescent="0.25">
      <c r="A1147" t="str">
        <f>"20190304164840597"</f>
        <v>20190304164840597</v>
      </c>
      <c r="B1147" t="str">
        <f>"1551689320587683"</f>
        <v>1551689320587683</v>
      </c>
      <c r="C1147" t="s">
        <v>40</v>
      </c>
      <c r="D1147">
        <v>4.4342949999999997</v>
      </c>
      <c r="E1147">
        <v>0.50485869999999999</v>
      </c>
      <c r="F1147" t="s">
        <v>42</v>
      </c>
      <c r="G1147">
        <v>-240.31110000000001</v>
      </c>
      <c r="H1147" s="1">
        <v>-4.7152549999999998E-6</v>
      </c>
      <c r="I1147">
        <v>368.74400000000003</v>
      </c>
      <c r="J1147">
        <v>-256.44650000000001</v>
      </c>
      <c r="K1147">
        <v>1.110803</v>
      </c>
      <c r="L1147">
        <v>367.56889999999999</v>
      </c>
      <c r="M1147">
        <v>0.99990029999999996</v>
      </c>
      <c r="N1147">
        <v>-1.41175E-2</v>
      </c>
      <c r="O1147" s="1">
        <v>4.0852510000000003E-5</v>
      </c>
      <c r="P1147">
        <v>0.94986389999999998</v>
      </c>
      <c r="Q1147">
        <v>0.31008709999999901</v>
      </c>
      <c r="R1147">
        <v>4.0059780000000003E-2</v>
      </c>
      <c r="S1147">
        <v>3.2192539999999998</v>
      </c>
      <c r="T1147">
        <v>-0.21975549999999999</v>
      </c>
      <c r="U1147">
        <v>0.23248289999999999</v>
      </c>
      <c r="V1147">
        <v>-4.0079980000000001E-2</v>
      </c>
      <c r="W1147">
        <v>0.32345859999999999</v>
      </c>
      <c r="X1147">
        <v>0.94539309999999999</v>
      </c>
      <c r="Y1147">
        <v>-7.1787329999999996E-2</v>
      </c>
      <c r="Z1147">
        <v>2.9501000000000002E-3</v>
      </c>
      <c r="AA1147">
        <v>0.99741559999999996</v>
      </c>
      <c r="AB1147">
        <v>28</v>
      </c>
      <c r="AC1147">
        <v>16.135400000000001</v>
      </c>
      <c r="AD1147">
        <v>-1.110807715255</v>
      </c>
      <c r="AE1147">
        <v>1.17510000000004</v>
      </c>
      <c r="AF1147">
        <v>-1.1689300273347301</v>
      </c>
      <c r="AG1147">
        <v>-1.110807715255</v>
      </c>
      <c r="AH1147">
        <v>16.059736926149501</v>
      </c>
      <c r="AI1147">
        <v>93.946282855736698</v>
      </c>
      <c r="AJ1147">
        <v>94.163010748517905</v>
      </c>
      <c r="AK1147">
        <v>16.140490739943601</v>
      </c>
      <c r="AL1147">
        <v>71.127783982670294</v>
      </c>
      <c r="AM1147">
        <v>92.427603255208496</v>
      </c>
      <c r="AN1147">
        <v>0.999999992119185</v>
      </c>
    </row>
    <row r="1148" spans="1:40" x14ac:dyDescent="0.25">
      <c r="A1148" t="str">
        <f>"20190304164840607"</f>
        <v>20190304164840607</v>
      </c>
      <c r="B1148" t="str">
        <f>"1551689320597444"</f>
        <v>1551689320597444</v>
      </c>
      <c r="C1148" t="s">
        <v>40</v>
      </c>
      <c r="D1148">
        <v>4.4646919999999897</v>
      </c>
      <c r="E1148">
        <v>0.50472950000000005</v>
      </c>
      <c r="F1148" t="s">
        <v>42</v>
      </c>
      <c r="G1148">
        <v>-240.06909999999999</v>
      </c>
      <c r="H1148" s="1">
        <v>-4.8324779999999997E-6</v>
      </c>
      <c r="I1148">
        <v>368.72789999999998</v>
      </c>
      <c r="J1148">
        <v>-256.31509999999997</v>
      </c>
      <c r="K1148">
        <v>1.1108070000000001</v>
      </c>
      <c r="L1148">
        <v>367.56900000000002</v>
      </c>
      <c r="M1148">
        <v>0.99990040000000002</v>
      </c>
      <c r="N1148">
        <v>-1.4116190000000001E-2</v>
      </c>
      <c r="O1148" s="1">
        <v>9.3786790000000001E-5</v>
      </c>
      <c r="P1148">
        <v>0.94985149999999996</v>
      </c>
      <c r="Q1148">
        <v>0.31036900000000001</v>
      </c>
      <c r="R1148">
        <v>3.8123780000000003E-2</v>
      </c>
      <c r="S1148">
        <v>3.2200009999999999</v>
      </c>
      <c r="T1148">
        <v>-0.21839919999999999</v>
      </c>
      <c r="U1148">
        <v>0.22787479999999999</v>
      </c>
      <c r="V1148">
        <v>-3.8093849999999999E-2</v>
      </c>
      <c r="W1148">
        <v>0.32373960000000002</v>
      </c>
      <c r="X1148">
        <v>0.94537899999999997</v>
      </c>
      <c r="Y1148">
        <v>-7.0304160000000004E-2</v>
      </c>
      <c r="Z1148">
        <v>2.8710369999999999E-3</v>
      </c>
      <c r="AA1148">
        <v>0.99752149999999995</v>
      </c>
      <c r="AB1148">
        <v>28</v>
      </c>
      <c r="AC1148">
        <v>16.245999999999899</v>
      </c>
      <c r="AD1148">
        <v>-1.1108118324780001</v>
      </c>
      <c r="AE1148">
        <v>1.1588999999999501</v>
      </c>
      <c r="AF1148">
        <v>-1.15201768716818</v>
      </c>
      <c r="AG1148">
        <v>-1.1108118324780001</v>
      </c>
      <c r="AH1148">
        <v>16.170891334971898</v>
      </c>
      <c r="AI1148">
        <v>93.919689271439495</v>
      </c>
      <c r="AJ1148">
        <v>94.074879078643306</v>
      </c>
      <c r="AK1148">
        <v>16.249885361016801</v>
      </c>
      <c r="AL1148">
        <v>71.1107677351295</v>
      </c>
      <c r="AM1148">
        <v>92.307473189634294</v>
      </c>
      <c r="AN1148">
        <v>0.99999996182849005</v>
      </c>
    </row>
    <row r="1149" spans="1:40" x14ac:dyDescent="0.25">
      <c r="A1149" t="str">
        <f>"20190304164840618"</f>
        <v>20190304164840618</v>
      </c>
      <c r="B1149" t="str">
        <f>"1551689320607204"</f>
        <v>1551689320607204</v>
      </c>
      <c r="C1149" t="s">
        <v>40</v>
      </c>
      <c r="D1149">
        <v>4.4446729999999999</v>
      </c>
      <c r="E1149">
        <v>0.50472950000000005</v>
      </c>
      <c r="F1149" t="s">
        <v>42</v>
      </c>
      <c r="G1149">
        <v>-239.86840000000001</v>
      </c>
      <c r="H1149" s="1">
        <v>-2.7373489999999999E-7</v>
      </c>
      <c r="I1149">
        <v>368.70350000000002</v>
      </c>
      <c r="J1149">
        <v>-256.18700000000001</v>
      </c>
      <c r="K1149">
        <v>1.110811</v>
      </c>
      <c r="L1149">
        <v>367.56909999999999</v>
      </c>
      <c r="M1149">
        <v>0.99990049999999997</v>
      </c>
      <c r="N1149">
        <v>-1.411491E-2</v>
      </c>
      <c r="O1149">
        <v>1.453491E-4</v>
      </c>
      <c r="P1149">
        <v>0.94991550000000002</v>
      </c>
      <c r="Q1149">
        <v>0.31035049999999997</v>
      </c>
      <c r="R1149">
        <v>3.6651639999999999E-2</v>
      </c>
      <c r="S1149">
        <v>3.2205509999999999</v>
      </c>
      <c r="T1149">
        <v>-0.21751519999999999</v>
      </c>
      <c r="U1149">
        <v>0.222168</v>
      </c>
      <c r="V1149">
        <v>-3.6572189999999997E-2</v>
      </c>
      <c r="W1149">
        <v>0.32372069999999997</v>
      </c>
      <c r="X1149">
        <v>0.9454456</v>
      </c>
      <c r="Y1149">
        <v>-6.8488140000000003E-2</v>
      </c>
      <c r="Z1149">
        <v>2.7843379999999999E-3</v>
      </c>
      <c r="AA1149">
        <v>0.99764810000000004</v>
      </c>
      <c r="AB1149">
        <v>28</v>
      </c>
      <c r="AC1149">
        <v>16.3186</v>
      </c>
      <c r="AD1149">
        <v>-1.1108112737348901</v>
      </c>
      <c r="AE1149">
        <v>1.1344000000000201</v>
      </c>
      <c r="AF1149">
        <v>-1.1268317261174601</v>
      </c>
      <c r="AG1149">
        <v>-1.1108112737348901</v>
      </c>
      <c r="AH1149">
        <v>16.243859807461099</v>
      </c>
      <c r="AI1149">
        <v>93.902643418552501</v>
      </c>
      <c r="AJ1149">
        <v>93.968234087071195</v>
      </c>
      <c r="AK1149">
        <v>16.320742411706998</v>
      </c>
      <c r="AL1149">
        <v>71.111912999556694</v>
      </c>
      <c r="AM1149">
        <v>92.215238947347899</v>
      </c>
      <c r="AN1149">
        <v>0.99999999962462305</v>
      </c>
    </row>
    <row r="1150" spans="1:40" x14ac:dyDescent="0.25">
      <c r="A1150" t="str">
        <f>"20190304164840628"</f>
        <v>20190304164840628</v>
      </c>
      <c r="B1150" t="str">
        <f>"1551689320617940"</f>
        <v>1551689320617940</v>
      </c>
      <c r="C1150" t="s">
        <v>40</v>
      </c>
      <c r="D1150">
        <v>4.4062169999999998</v>
      </c>
      <c r="E1150">
        <v>0.46930810000000001</v>
      </c>
      <c r="F1150" t="s">
        <v>42</v>
      </c>
      <c r="G1150">
        <v>-239.74379999999999</v>
      </c>
      <c r="H1150" s="1">
        <v>-3.2267249999999998E-7</v>
      </c>
      <c r="I1150">
        <v>368.67899999999997</v>
      </c>
      <c r="J1150">
        <v>-256.0539</v>
      </c>
      <c r="K1150">
        <v>1.110811</v>
      </c>
      <c r="L1150">
        <v>367.56920000000002</v>
      </c>
      <c r="M1150">
        <v>0.99990049999999997</v>
      </c>
      <c r="N1150">
        <v>-1.4113560000000001E-2</v>
      </c>
      <c r="O1150">
        <v>1.994725E-4</v>
      </c>
      <c r="P1150">
        <v>0.95007390000000003</v>
      </c>
      <c r="Q1150">
        <v>0.31008760000000002</v>
      </c>
      <c r="R1150">
        <v>3.4713679999999997E-2</v>
      </c>
      <c r="S1150">
        <v>3.2208709999999998</v>
      </c>
      <c r="T1150">
        <v>-0.21758369999999999</v>
      </c>
      <c r="U1150">
        <v>0.21740719999999999</v>
      </c>
      <c r="V1150">
        <v>-3.4582729999999999E-2</v>
      </c>
      <c r="W1150">
        <v>0.32345990000000002</v>
      </c>
      <c r="X1150">
        <v>0.9456097</v>
      </c>
      <c r="Y1150">
        <v>-6.6963659999999994E-2</v>
      </c>
      <c r="Z1150">
        <v>2.7198299999999999E-3</v>
      </c>
      <c r="AA1150">
        <v>0.99775170000000002</v>
      </c>
      <c r="AB1150">
        <v>28</v>
      </c>
      <c r="AC1150">
        <v>16.310099999999998</v>
      </c>
      <c r="AD1150">
        <v>-1.1108113226725</v>
      </c>
      <c r="AE1150">
        <v>1.1097999999999999</v>
      </c>
      <c r="AF1150">
        <v>-1.10146077755807</v>
      </c>
      <c r="AG1150">
        <v>-1.1108113226725</v>
      </c>
      <c r="AH1150">
        <v>16.235362171376</v>
      </c>
      <c r="AI1150">
        <v>93.905085672968099</v>
      </c>
      <c r="AJ1150">
        <v>93.881188197063096</v>
      </c>
      <c r="AK1150">
        <v>16.310551875237799</v>
      </c>
      <c r="AL1150">
        <v>71.127705194251305</v>
      </c>
      <c r="AM1150">
        <v>92.094481248896301</v>
      </c>
      <c r="AN1150">
        <v>0.99999998842817595</v>
      </c>
    </row>
    <row r="1151" spans="1:40" x14ac:dyDescent="0.25">
      <c r="A1151" t="str">
        <f>"20190304164840640"</f>
        <v>20190304164840640</v>
      </c>
      <c r="B1151" t="str">
        <f>"1551689320627699"</f>
        <v>1551689320627699</v>
      </c>
      <c r="C1151" t="s">
        <v>40</v>
      </c>
      <c r="D1151">
        <v>4.4191469999999997</v>
      </c>
      <c r="E1151">
        <v>0.46562480000000001</v>
      </c>
      <c r="F1151" t="s">
        <v>42</v>
      </c>
      <c r="G1151">
        <v>-230.19569999999999</v>
      </c>
      <c r="H1151" s="1">
        <v>-4.5440320000000001E-6</v>
      </c>
      <c r="I1151">
        <v>371.50259999999997</v>
      </c>
      <c r="J1151">
        <v>-255.92089999999999</v>
      </c>
      <c r="K1151">
        <v>1.1108119999999999</v>
      </c>
      <c r="L1151">
        <v>367.56920000000002</v>
      </c>
      <c r="M1151">
        <v>0.99990049999999997</v>
      </c>
      <c r="N1151">
        <v>-1.411218E-2</v>
      </c>
      <c r="O1151">
        <v>2.5323899999999999E-4</v>
      </c>
      <c r="P1151">
        <v>0.95036050000000005</v>
      </c>
      <c r="Q1151">
        <v>0.30940479999999998</v>
      </c>
      <c r="R1151">
        <v>3.2921739999999998E-2</v>
      </c>
      <c r="S1151">
        <v>3.1846009999999998</v>
      </c>
      <c r="T1151">
        <v>-0.13680329999999999</v>
      </c>
      <c r="U1151">
        <v>0.48443599999999998</v>
      </c>
      <c r="V1151">
        <v>-3.2739299999999999E-2</v>
      </c>
      <c r="W1151">
        <v>0.32277990000000001</v>
      </c>
      <c r="X1151">
        <v>0.94590770000000002</v>
      </c>
      <c r="Y1151">
        <v>-0.14995749999999999</v>
      </c>
      <c r="Z1151">
        <v>4.258642E-3</v>
      </c>
      <c r="AA1151">
        <v>0.98868330000000004</v>
      </c>
      <c r="AB1151">
        <v>28</v>
      </c>
      <c r="AC1151">
        <v>25.725200000000001</v>
      </c>
      <c r="AD1151">
        <v>-1.1108165440319999</v>
      </c>
      <c r="AE1151">
        <v>3.9333999999999398</v>
      </c>
      <c r="AF1151">
        <v>-3.9197431184939</v>
      </c>
      <c r="AG1151">
        <v>-1.1108165440319999</v>
      </c>
      <c r="AH1151">
        <v>25.6794093710865</v>
      </c>
      <c r="AI1151">
        <v>92.448578733948395</v>
      </c>
      <c r="AJ1151">
        <v>98.6787234031803</v>
      </c>
      <c r="AK1151">
        <v>26.000583938775701</v>
      </c>
      <c r="AL1151">
        <v>71.168875969162301</v>
      </c>
      <c r="AM1151">
        <v>91.982302501664705</v>
      </c>
      <c r="AN1151">
        <v>1.00000005126389</v>
      </c>
    </row>
    <row r="1152" spans="1:40" x14ac:dyDescent="0.25">
      <c r="A1152" t="str">
        <f>"20190304164840649"</f>
        <v>20190304164840649</v>
      </c>
      <c r="B1152" t="str">
        <f>"1551689320637460"</f>
        <v>1551689320637460</v>
      </c>
      <c r="C1152" t="s">
        <v>40</v>
      </c>
      <c r="D1152">
        <v>4.4266430000000003</v>
      </c>
      <c r="E1152">
        <v>0.46311910000000001</v>
      </c>
      <c r="F1152" t="s">
        <v>42</v>
      </c>
      <c r="G1152">
        <v>-230.0342</v>
      </c>
      <c r="H1152" s="1">
        <v>-4.6329969999999996E-6</v>
      </c>
      <c r="I1152">
        <v>371.69439999999997</v>
      </c>
      <c r="J1152">
        <v>-255.79060000000001</v>
      </c>
      <c r="K1152">
        <v>1.110814</v>
      </c>
      <c r="L1152">
        <v>367.5693</v>
      </c>
      <c r="M1152">
        <v>0.99990049999999997</v>
      </c>
      <c r="N1152">
        <v>-1.411079E-2</v>
      </c>
      <c r="O1152">
        <v>3.0599350000000002E-4</v>
      </c>
      <c r="P1152">
        <v>0.95056220000000002</v>
      </c>
      <c r="Q1152">
        <v>0.30897150000000001</v>
      </c>
      <c r="R1152">
        <v>3.1118440000000001E-2</v>
      </c>
      <c r="S1152">
        <v>3.1836090000000001</v>
      </c>
      <c r="T1152">
        <v>-0.13661039999999999</v>
      </c>
      <c r="U1152">
        <v>0.5073242</v>
      </c>
      <c r="V1152">
        <v>-3.0885269999999999E-2</v>
      </c>
      <c r="W1152">
        <v>0.32234879999999999</v>
      </c>
      <c r="X1152">
        <v>0.94611699999999999</v>
      </c>
      <c r="Y1152">
        <v>-0.1568793</v>
      </c>
      <c r="Z1152">
        <v>4.4490290000000002E-3</v>
      </c>
      <c r="AA1152">
        <v>0.98760780000000004</v>
      </c>
      <c r="AB1152">
        <v>28</v>
      </c>
      <c r="AC1152">
        <v>25.756399999999999</v>
      </c>
      <c r="AD1152">
        <v>-1.110818632997</v>
      </c>
      <c r="AE1152">
        <v>4.1250999999999696</v>
      </c>
      <c r="AF1152">
        <v>-4.1097646914760801</v>
      </c>
      <c r="AG1152">
        <v>-1.110818632997</v>
      </c>
      <c r="AH1152">
        <v>25.711034323795001</v>
      </c>
      <c r="AI1152">
        <v>92.442893287831296</v>
      </c>
      <c r="AJ1152">
        <v>99.081583664418901</v>
      </c>
      <c r="AK1152">
        <v>26.061108377313499</v>
      </c>
      <c r="AL1152">
        <v>71.194970281376001</v>
      </c>
      <c r="AM1152">
        <v>91.869713189814306</v>
      </c>
      <c r="AN1152">
        <v>1.0000000132267</v>
      </c>
    </row>
    <row r="1153" spans="1:40" x14ac:dyDescent="0.25">
      <c r="A1153" t="str">
        <f>"20190304164840659"</f>
        <v>20190304164840659</v>
      </c>
      <c r="B1153" t="str">
        <f>"1551689320656979"</f>
        <v>1551689320656979</v>
      </c>
      <c r="C1153" t="s">
        <v>40</v>
      </c>
      <c r="D1153">
        <v>4.3860239999999999</v>
      </c>
      <c r="E1153">
        <v>0.46113979999999999</v>
      </c>
      <c r="F1153" t="s">
        <v>42</v>
      </c>
      <c r="G1153">
        <v>-230.0548</v>
      </c>
      <c r="H1153" s="1">
        <v>-4.6412310000000004E-6</v>
      </c>
      <c r="I1153">
        <v>371.78039999999999</v>
      </c>
      <c r="J1153">
        <v>-255.66499999999999</v>
      </c>
      <c r="K1153">
        <v>1.1108169999999999</v>
      </c>
      <c r="L1153">
        <v>367.56939999999997</v>
      </c>
      <c r="M1153">
        <v>0.99990049999999997</v>
      </c>
      <c r="N1153">
        <v>-1.4109500000000001E-2</v>
      </c>
      <c r="O1153">
        <v>3.5672109999999998E-4</v>
      </c>
      <c r="P1153">
        <v>0.95073739999999995</v>
      </c>
      <c r="Q1153">
        <v>0.30861509999999998</v>
      </c>
      <c r="R1153">
        <v>2.9245150000000001E-2</v>
      </c>
      <c r="S1153">
        <v>3.1836549999999999</v>
      </c>
      <c r="T1153">
        <v>-0.1374137</v>
      </c>
      <c r="U1153">
        <v>0.52093509999999998</v>
      </c>
      <c r="V1153">
        <v>-2.8963880000000001E-2</v>
      </c>
      <c r="W1153">
        <v>0.32199359999999999</v>
      </c>
      <c r="X1153">
        <v>0.94629870000000005</v>
      </c>
      <c r="Y1153">
        <v>-0.16093379999999999</v>
      </c>
      <c r="Z1153">
        <v>4.5819210000000001E-3</v>
      </c>
      <c r="AA1153">
        <v>0.98695460000000002</v>
      </c>
      <c r="AB1153">
        <v>28</v>
      </c>
      <c r="AC1153">
        <v>25.610199999999899</v>
      </c>
      <c r="AD1153">
        <v>-1.1108216412309999</v>
      </c>
      <c r="AE1153">
        <v>4.2110000000000101</v>
      </c>
      <c r="AF1153">
        <v>-4.1941802440486899</v>
      </c>
      <c r="AG1153">
        <v>-1.1108216412309999</v>
      </c>
      <c r="AH1153">
        <v>25.5648710548843</v>
      </c>
      <c r="AI1153">
        <v>92.455217687766805</v>
      </c>
      <c r="AJ1153">
        <v>99.316962949789001</v>
      </c>
      <c r="AK1153">
        <v>25.930439731926199</v>
      </c>
      <c r="AL1153">
        <v>71.216467850804904</v>
      </c>
      <c r="AM1153">
        <v>91.753135825185396</v>
      </c>
      <c r="AN1153">
        <v>1.0000000072036499</v>
      </c>
    </row>
    <row r="1154" spans="1:40" x14ac:dyDescent="0.25">
      <c r="A1154" t="str">
        <f>"20190304164840671"</f>
        <v>20190304164840671</v>
      </c>
      <c r="B1154" t="str">
        <f>"1551689320667717"</f>
        <v>1551689320667717</v>
      </c>
      <c r="C1154" t="s">
        <v>40</v>
      </c>
      <c r="D1154">
        <v>4.3852840000000004</v>
      </c>
      <c r="E1154">
        <v>0.46046510000000002</v>
      </c>
      <c r="F1154" t="s">
        <v>42</v>
      </c>
      <c r="G1154">
        <v>-229.48050000000001</v>
      </c>
      <c r="H1154" s="1">
        <v>-8.2115910000000005E-7</v>
      </c>
      <c r="I1154">
        <v>371.9314</v>
      </c>
      <c r="J1154">
        <v>-255.512</v>
      </c>
      <c r="K1154">
        <v>1.1108209999999901</v>
      </c>
      <c r="L1154">
        <v>367.56950000000001</v>
      </c>
      <c r="M1154">
        <v>0.99990049999999997</v>
      </c>
      <c r="N1154">
        <v>-1.4107979999999999E-2</v>
      </c>
      <c r="O1154">
        <v>4.1877409999999999E-4</v>
      </c>
      <c r="P1154">
        <v>0.95075449999999995</v>
      </c>
      <c r="Q1154">
        <v>0.30870239999999999</v>
      </c>
      <c r="R1154">
        <v>2.773486E-2</v>
      </c>
      <c r="S1154">
        <v>3.1829529999999999</v>
      </c>
      <c r="T1154">
        <v>-0.13502929999999999</v>
      </c>
      <c r="U1154">
        <v>0.53024289999999996</v>
      </c>
      <c r="V1154">
        <v>-2.739451E-2</v>
      </c>
      <c r="W1154">
        <v>0.32207970000000002</v>
      </c>
      <c r="X1154">
        <v>0.94631609999999999</v>
      </c>
      <c r="Y1154">
        <v>-0.1637188</v>
      </c>
      <c r="Z1154">
        <v>4.5991490000000003E-3</v>
      </c>
      <c r="AA1154">
        <v>0.98649629999999999</v>
      </c>
      <c r="AB1154">
        <v>28</v>
      </c>
      <c r="AC1154">
        <v>26.031499999999902</v>
      </c>
      <c r="AD1154">
        <v>-1.1108218211591001</v>
      </c>
      <c r="AE1154">
        <v>4.3618999999999897</v>
      </c>
      <c r="AF1154">
        <v>-4.3433044061118604</v>
      </c>
      <c r="AG1154">
        <v>-1.1108218211591001</v>
      </c>
      <c r="AH1154">
        <v>25.987296156975201</v>
      </c>
      <c r="AI1154">
        <v>92.414161988756703</v>
      </c>
      <c r="AJ1154">
        <v>99.488251916077999</v>
      </c>
      <c r="AK1154">
        <v>26.371154313621702</v>
      </c>
      <c r="AL1154">
        <v>71.211256498446602</v>
      </c>
      <c r="AM1154">
        <v>91.658168529209803</v>
      </c>
      <c r="AN1154">
        <v>0.99999997672471896</v>
      </c>
    </row>
    <row r="1155" spans="1:40" x14ac:dyDescent="0.25">
      <c r="A1155" t="str">
        <f>"20190304164840696"</f>
        <v>20190304164840696</v>
      </c>
      <c r="B1155" t="str">
        <f>"1551689320687235"</f>
        <v>1551689320687235</v>
      </c>
      <c r="C1155" t="s">
        <v>40</v>
      </c>
      <c r="D1155">
        <v>4.3900050000000004</v>
      </c>
      <c r="E1155">
        <v>0.4590921</v>
      </c>
      <c r="F1155" t="s">
        <v>42</v>
      </c>
      <c r="G1155">
        <v>-229.49709999999999</v>
      </c>
      <c r="H1155" s="1">
        <v>-8.0694489999999999E-7</v>
      </c>
      <c r="I1155">
        <v>371.90480000000002</v>
      </c>
      <c r="J1155">
        <v>-255.2201</v>
      </c>
      <c r="K1155">
        <v>1.1108199999999999</v>
      </c>
      <c r="L1155">
        <v>367.56979999999999</v>
      </c>
      <c r="M1155">
        <v>0.99990049999999997</v>
      </c>
      <c r="N1155">
        <v>-1.4105029999999999E-2</v>
      </c>
      <c r="O1155">
        <v>5.3710040000000002E-4</v>
      </c>
      <c r="P1155">
        <v>0.95039799999999997</v>
      </c>
      <c r="Q1155">
        <v>0.30997380000000002</v>
      </c>
      <c r="R1155">
        <v>2.5694359999999999E-2</v>
      </c>
      <c r="S1155">
        <v>3.1840519999999999</v>
      </c>
      <c r="T1155">
        <v>-0.13595689999999999</v>
      </c>
      <c r="U1155">
        <v>0.53060909999999994</v>
      </c>
      <c r="V1155">
        <v>-2.5241369999999999E-2</v>
      </c>
      <c r="W1155">
        <v>0.32334400000000002</v>
      </c>
      <c r="X1155">
        <v>0.94594480000000003</v>
      </c>
      <c r="Y1155">
        <v>-0.163655299999999</v>
      </c>
      <c r="Z1155">
        <v>4.6160940000000003E-3</v>
      </c>
      <c r="AA1155">
        <v>0.98650680000000002</v>
      </c>
      <c r="AB1155">
        <v>28</v>
      </c>
      <c r="AC1155">
        <v>25.722999999999999</v>
      </c>
      <c r="AD1155">
        <v>-1.1108208069448999</v>
      </c>
      <c r="AE1155">
        <v>4.3350000000000302</v>
      </c>
      <c r="AF1155">
        <v>-4.31336052485167</v>
      </c>
      <c r="AG1155">
        <v>-1.1108208069448999</v>
      </c>
      <c r="AH1155">
        <v>25.678760205096602</v>
      </c>
      <c r="AI1155">
        <v>92.442796662038106</v>
      </c>
      <c r="AJ1155">
        <v>99.535179267074398</v>
      </c>
      <c r="AK1155">
        <v>26.062189615482101</v>
      </c>
      <c r="AL1155">
        <v>71.134723451427405</v>
      </c>
      <c r="AM1155">
        <v>91.528504483839896</v>
      </c>
      <c r="AN1155">
        <v>1.00000001687125</v>
      </c>
    </row>
    <row r="1156" spans="1:40" x14ac:dyDescent="0.25">
      <c r="A1156" t="str">
        <f>"20190304164840707"</f>
        <v>20190304164840707</v>
      </c>
      <c r="B1156" t="str">
        <f>"1551689320696996"</f>
        <v>1551689320696996</v>
      </c>
      <c r="C1156" t="s">
        <v>40</v>
      </c>
      <c r="D1156">
        <v>4.3669840000000004</v>
      </c>
      <c r="E1156">
        <v>0.45854919999999999</v>
      </c>
      <c r="F1156" t="s">
        <v>42</v>
      </c>
      <c r="G1156">
        <v>-228.77500000000001</v>
      </c>
      <c r="H1156" s="1">
        <v>-1.1459859999999999E-6</v>
      </c>
      <c r="I1156">
        <v>372.01459999999997</v>
      </c>
      <c r="J1156">
        <v>-255.0609</v>
      </c>
      <c r="K1156">
        <v>1.1108209999999901</v>
      </c>
      <c r="L1156">
        <v>367.56990000000002</v>
      </c>
      <c r="M1156">
        <v>0.99990049999999997</v>
      </c>
      <c r="N1156">
        <v>-1.410339E-2</v>
      </c>
      <c r="O1156">
        <v>6.0118550000000002E-4</v>
      </c>
      <c r="P1156">
        <v>0.95008130000000002</v>
      </c>
      <c r="Q1156">
        <v>0.31097029999999998</v>
      </c>
      <c r="R1156">
        <v>2.5359090000000001E-2</v>
      </c>
      <c r="S1156">
        <v>3.1857449999999998</v>
      </c>
      <c r="T1156">
        <v>-0.13381609999999999</v>
      </c>
      <c r="U1156">
        <v>0.53546139999999998</v>
      </c>
      <c r="V1156">
        <v>-2.4845900000000001E-2</v>
      </c>
      <c r="W1156">
        <v>0.32433459999999997</v>
      </c>
      <c r="X1156">
        <v>0.94561609999999996</v>
      </c>
      <c r="Y1156">
        <v>-0.16497249999999999</v>
      </c>
      <c r="Z1156">
        <v>4.5947100000000001E-3</v>
      </c>
      <c r="AA1156">
        <v>0.98628749999999998</v>
      </c>
      <c r="AB1156">
        <v>28</v>
      </c>
      <c r="AC1156">
        <v>26.285900000000002</v>
      </c>
      <c r="AD1156">
        <v>-1.1108221459859999</v>
      </c>
      <c r="AE1156">
        <v>4.4446999999999504</v>
      </c>
      <c r="AF1156">
        <v>-4.4212187941676797</v>
      </c>
      <c r="AG1156">
        <v>-1.1108221459859999</v>
      </c>
      <c r="AH1156">
        <v>26.243004435149501</v>
      </c>
      <c r="AI1156">
        <v>92.390144504454</v>
      </c>
      <c r="AJ1156">
        <v>99.5629506152776</v>
      </c>
      <c r="AK1156">
        <v>26.635997883488301</v>
      </c>
      <c r="AL1156">
        <v>71.0747337770878</v>
      </c>
      <c r="AM1156">
        <v>91.505090437749601</v>
      </c>
      <c r="AN1156">
        <v>1.0000000300415799</v>
      </c>
    </row>
    <row r="1157" spans="1:40" x14ac:dyDescent="0.25">
      <c r="A1157" t="str">
        <f>"20190304164840719"</f>
        <v>20190304164840719</v>
      </c>
      <c r="B1157" t="str">
        <f>"1551689320707732"</f>
        <v>1551689320707732</v>
      </c>
      <c r="C1157" t="s">
        <v>40</v>
      </c>
      <c r="D1157">
        <v>4.3839969999999999</v>
      </c>
      <c r="E1157">
        <v>0.45799840000000003</v>
      </c>
      <c r="F1157" t="s">
        <v>42</v>
      </c>
      <c r="G1157">
        <v>-227.86789999999999</v>
      </c>
      <c r="H1157" s="1">
        <v>-1.575548E-6</v>
      </c>
      <c r="I1157">
        <v>372.16669999999999</v>
      </c>
      <c r="J1157">
        <v>-254.92699999999999</v>
      </c>
      <c r="K1157">
        <v>1.1108199999999999</v>
      </c>
      <c r="L1157">
        <v>367.57010000000002</v>
      </c>
      <c r="M1157">
        <v>0.99990040000000002</v>
      </c>
      <c r="N1157">
        <v>-1.410202E-2</v>
      </c>
      <c r="O1157">
        <v>6.5507559999999996E-4</v>
      </c>
      <c r="P1157">
        <v>0.94993470000000002</v>
      </c>
      <c r="Q1157">
        <v>0.31140269999999998</v>
      </c>
      <c r="R1157">
        <v>2.5549539999999999E-2</v>
      </c>
      <c r="S1157">
        <v>3.1858369999999998</v>
      </c>
      <c r="T1157">
        <v>-0.1301397</v>
      </c>
      <c r="U1157">
        <v>0.53854369999999996</v>
      </c>
      <c r="V1157">
        <v>-2.4985859999999999E-2</v>
      </c>
      <c r="W1157">
        <v>0.32476310000000003</v>
      </c>
      <c r="X1157">
        <v>0.94546529999999995</v>
      </c>
      <c r="Y1157">
        <v>-0.16585059999999999</v>
      </c>
      <c r="Z1157">
        <v>4.5231830000000001E-3</v>
      </c>
      <c r="AA1157">
        <v>0.98614049999999998</v>
      </c>
      <c r="AB1157">
        <v>28</v>
      </c>
      <c r="AC1157">
        <v>27.059100000000001</v>
      </c>
      <c r="AD1157">
        <v>-1.110821575548</v>
      </c>
      <c r="AE1157">
        <v>4.5965999999999596</v>
      </c>
      <c r="AF1157">
        <v>-4.5713836875204397</v>
      </c>
      <c r="AG1157">
        <v>-1.110821575548</v>
      </c>
      <c r="AH1157">
        <v>27.017851072952801</v>
      </c>
      <c r="AI1157">
        <v>92.321395815260701</v>
      </c>
      <c r="AJ1157">
        <v>99.603414591524697</v>
      </c>
      <c r="AK1157">
        <v>27.424364167496901</v>
      </c>
      <c r="AL1157">
        <v>71.048776882507994</v>
      </c>
      <c r="AM1157">
        <v>91.513806162408997</v>
      </c>
      <c r="AN1157">
        <v>0.99999999891281899</v>
      </c>
    </row>
    <row r="1158" spans="1:40" x14ac:dyDescent="0.25">
      <c r="A1158" t="str">
        <f>"20190304164840730"</f>
        <v>20190304164840730</v>
      </c>
      <c r="B1158" t="str">
        <f>"1551689320717492"</f>
        <v>1551689320717492</v>
      </c>
      <c r="C1158" t="s">
        <v>40</v>
      </c>
      <c r="D1158">
        <v>4.4139900000000001</v>
      </c>
      <c r="E1158">
        <v>0.45753539999999998</v>
      </c>
      <c r="F1158" t="s">
        <v>42</v>
      </c>
      <c r="G1158">
        <v>-227.3587</v>
      </c>
      <c r="H1158" s="1">
        <v>-1.824619E-6</v>
      </c>
      <c r="I1158">
        <v>372.2817</v>
      </c>
      <c r="J1158">
        <v>-254.7895</v>
      </c>
      <c r="K1158">
        <v>1.1108209999999901</v>
      </c>
      <c r="L1158">
        <v>367.5702</v>
      </c>
      <c r="M1158">
        <v>0.99990029999999996</v>
      </c>
      <c r="N1158">
        <v>-1.410061E-2</v>
      </c>
      <c r="O1158">
        <v>7.106921E-4</v>
      </c>
      <c r="P1158">
        <v>0.94986300000000001</v>
      </c>
      <c r="Q1158">
        <v>0.31162420000000002</v>
      </c>
      <c r="R1158">
        <v>2.5508030000000001E-2</v>
      </c>
      <c r="S1158">
        <v>3.1855470000000001</v>
      </c>
      <c r="T1158">
        <v>-0.128356</v>
      </c>
      <c r="U1158">
        <v>0.54443359999999996</v>
      </c>
      <c r="V1158">
        <v>-2.4891E-2</v>
      </c>
      <c r="W1158">
        <v>0.32498280000000002</v>
      </c>
      <c r="X1158">
        <v>0.94539229999999996</v>
      </c>
      <c r="Y1158">
        <v>-0.16758480000000001</v>
      </c>
      <c r="Z1158">
        <v>4.5228849999999999E-3</v>
      </c>
      <c r="AA1158">
        <v>0.98584729999999998</v>
      </c>
      <c r="AB1158">
        <v>28</v>
      </c>
      <c r="AC1158">
        <v>27.430800000000001</v>
      </c>
      <c r="AD1158">
        <v>-1.11082282461899</v>
      </c>
      <c r="AE1158">
        <v>4.7115</v>
      </c>
      <c r="AF1158">
        <v>-4.6845400620106599</v>
      </c>
      <c r="AG1158">
        <v>-1.11082282461899</v>
      </c>
      <c r="AH1158">
        <v>27.390511762916201</v>
      </c>
      <c r="AI1158">
        <v>92.289156913387004</v>
      </c>
      <c r="AJ1158">
        <v>99.705272327747494</v>
      </c>
      <c r="AK1158">
        <v>27.810411316173099</v>
      </c>
      <c r="AL1158">
        <v>71.035466897757502</v>
      </c>
      <c r="AM1158">
        <v>91.5081779783618</v>
      </c>
      <c r="AN1158">
        <v>0.99999999153806496</v>
      </c>
    </row>
    <row r="1159" spans="1:40" x14ac:dyDescent="0.25">
      <c r="A1159" t="str">
        <f>"20190304164840740"</f>
        <v>20190304164840740</v>
      </c>
      <c r="B1159" t="str">
        <f>"1551689320737012"</f>
        <v>1551689320737012</v>
      </c>
      <c r="C1159" t="s">
        <v>40</v>
      </c>
      <c r="D1159">
        <v>4.3645680000000002</v>
      </c>
      <c r="E1159">
        <v>0.45650420000000003</v>
      </c>
      <c r="F1159" t="s">
        <v>42</v>
      </c>
      <c r="G1159">
        <v>-226.40020000000001</v>
      </c>
      <c r="H1159" s="1">
        <v>-2.281673E-6</v>
      </c>
      <c r="I1159">
        <v>372.45420000000001</v>
      </c>
      <c r="J1159">
        <v>-254.66460000000001</v>
      </c>
      <c r="K1159">
        <v>1.110819</v>
      </c>
      <c r="L1159">
        <v>367.57040000000001</v>
      </c>
      <c r="M1159">
        <v>0.99990040000000002</v>
      </c>
      <c r="N1159">
        <v>-1.409934E-2</v>
      </c>
      <c r="O1159">
        <v>7.6112110000000005E-4</v>
      </c>
      <c r="P1159">
        <v>0.94980160000000002</v>
      </c>
      <c r="Q1159">
        <v>0.31178939999999999</v>
      </c>
      <c r="R1159">
        <v>2.5785579999999999E-2</v>
      </c>
      <c r="S1159">
        <v>3.1844939999999999</v>
      </c>
      <c r="T1159">
        <v>-0.12460359999999999</v>
      </c>
      <c r="U1159">
        <v>0.54785159999999999</v>
      </c>
      <c r="V1159">
        <v>-2.5120770000000001E-2</v>
      </c>
      <c r="W1159">
        <v>0.32514549999999998</v>
      </c>
      <c r="X1159">
        <v>0.94533029999999996</v>
      </c>
      <c r="Y1159">
        <v>-0.16862489999999999</v>
      </c>
      <c r="Z1159">
        <v>4.4528989999999997E-3</v>
      </c>
      <c r="AA1159">
        <v>0.98567020000000005</v>
      </c>
      <c r="AB1159">
        <v>28</v>
      </c>
      <c r="AC1159">
        <v>28.264399999999899</v>
      </c>
      <c r="AD1159">
        <v>-1.1108212816730001</v>
      </c>
      <c r="AE1159">
        <v>4.8837999999999999</v>
      </c>
      <c r="AF1159">
        <v>-4.8550023039748904</v>
      </c>
      <c r="AG1159">
        <v>-1.1108212816730001</v>
      </c>
      <c r="AH1159">
        <v>28.225776435908799</v>
      </c>
      <c r="AI1159">
        <v>92.221119744512905</v>
      </c>
      <c r="AJ1159">
        <v>99.759713985679198</v>
      </c>
      <c r="AK1159">
        <v>28.6618112948454</v>
      </c>
      <c r="AL1159">
        <v>71.025609957094503</v>
      </c>
      <c r="AM1159">
        <v>91.522193301806894</v>
      </c>
      <c r="AN1159">
        <v>1.00000001267686</v>
      </c>
    </row>
    <row r="1160" spans="1:40" x14ac:dyDescent="0.25">
      <c r="A1160" t="str">
        <f>"20190304164840751"</f>
        <v>20190304164840751</v>
      </c>
      <c r="B1160" t="str">
        <f>"1551689320747748"</f>
        <v>1551689320747748</v>
      </c>
      <c r="C1160" t="s">
        <v>40</v>
      </c>
      <c r="D1160">
        <v>4.4048439999999998</v>
      </c>
      <c r="E1160">
        <v>0.4559975</v>
      </c>
      <c r="F1160" t="s">
        <v>42</v>
      </c>
      <c r="G1160">
        <v>-225.8458</v>
      </c>
      <c r="H1160" s="1">
        <v>-2.561194E-6</v>
      </c>
      <c r="I1160">
        <v>372.61070000000001</v>
      </c>
      <c r="J1160">
        <v>-254.51920000000001</v>
      </c>
      <c r="K1160">
        <v>1.1108229999999999</v>
      </c>
      <c r="L1160">
        <v>367.57049999999998</v>
      </c>
      <c r="M1160">
        <v>0.99990029999999996</v>
      </c>
      <c r="N1160">
        <v>-1.409786E-2</v>
      </c>
      <c r="O1160">
        <v>8.2007219999999999E-4</v>
      </c>
      <c r="P1160">
        <v>0.94986630000000005</v>
      </c>
      <c r="Q1160">
        <v>0.3115424</v>
      </c>
      <c r="R1160">
        <v>2.6373029999999999E-2</v>
      </c>
      <c r="S1160">
        <v>3.1837010000000001</v>
      </c>
      <c r="T1160">
        <v>-0.12271509999999999</v>
      </c>
      <c r="U1160">
        <v>0.55682369999999903</v>
      </c>
      <c r="V1160">
        <v>-2.5651819999999999E-2</v>
      </c>
      <c r="W1160">
        <v>0.32489839999999998</v>
      </c>
      <c r="X1160">
        <v>0.94540100000000005</v>
      </c>
      <c r="Y1160">
        <v>-0.1713056</v>
      </c>
      <c r="Z1160">
        <v>4.472803E-3</v>
      </c>
      <c r="AA1160">
        <v>0.98520779999999997</v>
      </c>
      <c r="AB1160">
        <v>28</v>
      </c>
      <c r="AC1160">
        <v>28.673400000000001</v>
      </c>
      <c r="AD1160">
        <v>-1.1108255611940001</v>
      </c>
      <c r="AE1160">
        <v>5.04020000000002</v>
      </c>
      <c r="AF1160">
        <v>-5.00938877765019</v>
      </c>
      <c r="AG1160">
        <v>-1.1108255611940001</v>
      </c>
      <c r="AH1160">
        <v>28.6358345373981</v>
      </c>
      <c r="AI1160">
        <v>92.188275136839394</v>
      </c>
      <c r="AJ1160">
        <v>99.922591258379597</v>
      </c>
      <c r="AK1160">
        <v>29.091904870707499</v>
      </c>
      <c r="AL1160">
        <v>71.040580664932804</v>
      </c>
      <c r="AM1160">
        <v>91.554240476382603</v>
      </c>
      <c r="AN1160">
        <v>1.0000000184964299</v>
      </c>
    </row>
    <row r="1161" spans="1:40" x14ac:dyDescent="0.25">
      <c r="A1161" t="str">
        <f>"20190304164840764"</f>
        <v>20190304164840764</v>
      </c>
      <c r="B1161" t="str">
        <f>"1551689320757508"</f>
        <v>1551689320757508</v>
      </c>
      <c r="C1161" t="s">
        <v>40</v>
      </c>
      <c r="D1161">
        <v>4.3788099999999996</v>
      </c>
      <c r="E1161">
        <v>0.45552969999999998</v>
      </c>
      <c r="F1161" t="s">
        <v>42</v>
      </c>
      <c r="G1161">
        <v>-225.8365</v>
      </c>
      <c r="H1161" s="1">
        <v>-2.5750579999999998E-6</v>
      </c>
      <c r="I1161">
        <v>372.64789999999999</v>
      </c>
      <c r="J1161">
        <v>-254.36009999999999</v>
      </c>
      <c r="K1161">
        <v>1.1108209999999901</v>
      </c>
      <c r="L1161">
        <v>367.57069999999999</v>
      </c>
      <c r="M1161">
        <v>0.99990029999999996</v>
      </c>
      <c r="N1161">
        <v>-1.409623E-2</v>
      </c>
      <c r="O1161">
        <v>8.8462839999999996E-4</v>
      </c>
      <c r="P1161">
        <v>0.94994769999999995</v>
      </c>
      <c r="Q1161">
        <v>0.31126169999999997</v>
      </c>
      <c r="R1161">
        <v>2.6750800000000002E-2</v>
      </c>
      <c r="S1161">
        <v>3.1831049999999999</v>
      </c>
      <c r="T1161">
        <v>-0.1232752</v>
      </c>
      <c r="U1161">
        <v>0.56347659999999999</v>
      </c>
      <c r="V1161">
        <v>-2.5968229999999998E-2</v>
      </c>
      <c r="W1161">
        <v>0.32461699999999999</v>
      </c>
      <c r="X1161">
        <v>0.94548900000000002</v>
      </c>
      <c r="Y1161">
        <v>-0.173266899999999</v>
      </c>
      <c r="Z1161">
        <v>4.5377229999999996E-3</v>
      </c>
      <c r="AA1161">
        <v>0.98486450000000003</v>
      </c>
      <c r="AB1161">
        <v>28</v>
      </c>
      <c r="AC1161">
        <v>28.523599999999899</v>
      </c>
      <c r="AD1161">
        <v>-1.11082357505799</v>
      </c>
      <c r="AE1161">
        <v>5.0772000000000004</v>
      </c>
      <c r="AF1161">
        <v>-5.0445469378684198</v>
      </c>
      <c r="AG1161">
        <v>-1.11082357505799</v>
      </c>
      <c r="AH1161">
        <v>28.4862043129806</v>
      </c>
      <c r="AI1161">
        <v>92.198946709685302</v>
      </c>
      <c r="AJ1161">
        <v>100.04224775998399</v>
      </c>
      <c r="AK1161">
        <v>28.950737796887601</v>
      </c>
      <c r="AL1161">
        <v>71.057627277798204</v>
      </c>
      <c r="AM1161">
        <v>91.573255771094395</v>
      </c>
      <c r="AN1161">
        <v>0.99999999738966605</v>
      </c>
    </row>
    <row r="1162" spans="1:40" x14ac:dyDescent="0.25">
      <c r="A1162" t="str">
        <f>"20190304164840776"</f>
        <v>20190304164840776</v>
      </c>
      <c r="B1162" t="str">
        <f>"1551689320767268"</f>
        <v>1551689320767268</v>
      </c>
      <c r="C1162" t="s">
        <v>40</v>
      </c>
      <c r="D1162">
        <v>4.4030189999999996</v>
      </c>
      <c r="E1162">
        <v>0.45512130000000001</v>
      </c>
      <c r="F1162" t="s">
        <v>42</v>
      </c>
      <c r="G1162">
        <v>-225.78800000000001</v>
      </c>
      <c r="H1162" s="1">
        <v>-2.6045810000000001E-6</v>
      </c>
      <c r="I1162">
        <v>372.68060000000003</v>
      </c>
      <c r="J1162">
        <v>-254.21180000000001</v>
      </c>
      <c r="K1162">
        <v>1.110819</v>
      </c>
      <c r="L1162">
        <v>367.57089999999999</v>
      </c>
      <c r="M1162">
        <v>0.99990029999999996</v>
      </c>
      <c r="N1162">
        <v>-1.40947E-2</v>
      </c>
      <c r="O1162">
        <v>9.446554E-4</v>
      </c>
      <c r="P1162">
        <v>0.95010419999999995</v>
      </c>
      <c r="Q1162">
        <v>0.31073640000000002</v>
      </c>
      <c r="R1162">
        <v>2.7298860000000001E-2</v>
      </c>
      <c r="S1162">
        <v>3.1825869999999998</v>
      </c>
      <c r="T1162">
        <v>-0.12373190000000001</v>
      </c>
      <c r="U1162">
        <v>0.56918329999999995</v>
      </c>
      <c r="V1162">
        <v>-2.645836E-2</v>
      </c>
      <c r="W1162">
        <v>0.32409290000000002</v>
      </c>
      <c r="X1162">
        <v>0.94565520000000003</v>
      </c>
      <c r="Y1162">
        <v>-0.17494409999999999</v>
      </c>
      <c r="Z1162">
        <v>4.5927720000000002E-3</v>
      </c>
      <c r="AA1162">
        <v>0.98456759999999999</v>
      </c>
      <c r="AB1162">
        <v>28</v>
      </c>
      <c r="AC1162">
        <v>28.4238</v>
      </c>
      <c r="AD1162">
        <v>-1.110821604581</v>
      </c>
      <c r="AE1162">
        <v>5.1097000000000303</v>
      </c>
      <c r="AF1162">
        <v>-5.07533546076088</v>
      </c>
      <c r="AG1162">
        <v>-1.110821604581</v>
      </c>
      <c r="AH1162">
        <v>28.3866170432891</v>
      </c>
      <c r="AI1162">
        <v>92.206001112535006</v>
      </c>
      <c r="AJ1162">
        <v>100.136987751484</v>
      </c>
      <c r="AK1162">
        <v>28.8581527793934</v>
      </c>
      <c r="AL1162">
        <v>71.089372424330406</v>
      </c>
      <c r="AM1162">
        <v>91.602652822582002</v>
      </c>
      <c r="AN1162">
        <v>1.0000000049656601</v>
      </c>
    </row>
    <row r="1163" spans="1:40" x14ac:dyDescent="0.25">
      <c r="A1163" t="str">
        <f>"20190304164840787"</f>
        <v>20190304164840787</v>
      </c>
      <c r="B1163" t="str">
        <f>"1551689320777028"</f>
        <v>1551689320777028</v>
      </c>
      <c r="C1163" t="s">
        <v>40</v>
      </c>
      <c r="D1163">
        <v>4.3956</v>
      </c>
      <c r="E1163">
        <v>0.45471200000000001</v>
      </c>
      <c r="F1163" t="s">
        <v>42</v>
      </c>
      <c r="G1163">
        <v>-226.1199</v>
      </c>
      <c r="H1163" s="1">
        <v>-2.4509519999999999E-6</v>
      </c>
      <c r="I1163">
        <v>372.63839999999999</v>
      </c>
      <c r="J1163">
        <v>-254.0615</v>
      </c>
      <c r="K1163">
        <v>1.110819</v>
      </c>
      <c r="L1163">
        <v>367.57119999999998</v>
      </c>
      <c r="M1163">
        <v>0.99990029999999996</v>
      </c>
      <c r="N1163">
        <v>-1.4093140000000001E-2</v>
      </c>
      <c r="O1163">
        <v>1.0054580000000001E-3</v>
      </c>
      <c r="P1163">
        <v>0.95026480000000002</v>
      </c>
      <c r="Q1163">
        <v>0.31019340000000001</v>
      </c>
      <c r="R1163">
        <v>2.7879419999999999E-2</v>
      </c>
      <c r="S1163">
        <v>3.18222</v>
      </c>
      <c r="T1163">
        <v>-0.12583219999999901</v>
      </c>
      <c r="U1163">
        <v>0.57403559999999998</v>
      </c>
      <c r="V1163">
        <v>-2.698132E-2</v>
      </c>
      <c r="W1163">
        <v>0.32355060000000002</v>
      </c>
      <c r="X1163">
        <v>0.9458261</v>
      </c>
      <c r="Y1163">
        <v>-0.17635149999999999</v>
      </c>
      <c r="Z1163">
        <v>4.6853950000000002E-3</v>
      </c>
      <c r="AA1163">
        <v>0.98431610000000003</v>
      </c>
      <c r="AB1163">
        <v>28</v>
      </c>
      <c r="AC1163">
        <v>27.941599999999902</v>
      </c>
      <c r="AD1163">
        <v>-1.110821450952</v>
      </c>
      <c r="AE1163">
        <v>5.0672000000000104</v>
      </c>
      <c r="AF1163">
        <v>-5.0314017666573001</v>
      </c>
      <c r="AG1163">
        <v>-1.110821450952</v>
      </c>
      <c r="AH1163">
        <v>27.9039840666073</v>
      </c>
      <c r="AI1163">
        <v>92.243525702721598</v>
      </c>
      <c r="AJ1163">
        <v>100.22124547384099</v>
      </c>
      <c r="AK1163">
        <v>28.375715934983798</v>
      </c>
      <c r="AL1163">
        <v>71.122213305554496</v>
      </c>
      <c r="AM1163">
        <v>91.634017737845795</v>
      </c>
      <c r="AN1163">
        <v>0.99999999691525598</v>
      </c>
    </row>
    <row r="1164" spans="1:40" x14ac:dyDescent="0.25">
      <c r="A1164" t="str">
        <f>"20190304164840800"</f>
        <v>20190304164840800</v>
      </c>
      <c r="B1164" t="str">
        <f>"1551689320797524"</f>
        <v>1551689320797524</v>
      </c>
      <c r="C1164" t="s">
        <v>40</v>
      </c>
      <c r="D1164">
        <v>4.4319290000000002</v>
      </c>
      <c r="E1164">
        <v>0.454428</v>
      </c>
      <c r="F1164" t="s">
        <v>42</v>
      </c>
      <c r="G1164">
        <v>-226.411</v>
      </c>
      <c r="H1164" s="1">
        <v>-2.3150240000000001E-6</v>
      </c>
      <c r="I1164">
        <v>372.59679999999997</v>
      </c>
      <c r="J1164">
        <v>-253.90870000000001</v>
      </c>
      <c r="K1164">
        <v>1.1108169999999999</v>
      </c>
      <c r="L1164">
        <v>367.57139999999998</v>
      </c>
      <c r="M1164">
        <v>0.99990009999999996</v>
      </c>
      <c r="N1164">
        <v>-1.409155E-2</v>
      </c>
      <c r="O1164">
        <v>1.067452E-3</v>
      </c>
      <c r="P1164">
        <v>0.95056479999999999</v>
      </c>
      <c r="Q1164">
        <v>0.30923630000000002</v>
      </c>
      <c r="R1164">
        <v>2.8276349999999999E-2</v>
      </c>
      <c r="S1164">
        <v>3.181778</v>
      </c>
      <c r="T1164">
        <v>-0.1278231</v>
      </c>
      <c r="U1164">
        <v>0.57830809999999999</v>
      </c>
      <c r="V1164">
        <v>-2.731859E-2</v>
      </c>
      <c r="W1164">
        <v>0.3225962</v>
      </c>
      <c r="X1164">
        <v>0.94614240000000005</v>
      </c>
      <c r="Y1164">
        <v>-0.17758769999999999</v>
      </c>
      <c r="Z1164">
        <v>4.7713209999999898E-3</v>
      </c>
      <c r="AA1164">
        <v>0.98409340000000001</v>
      </c>
      <c r="AB1164">
        <v>28</v>
      </c>
      <c r="AC1164">
        <v>27.497699999999998</v>
      </c>
      <c r="AD1164">
        <v>-1.110819315024</v>
      </c>
      <c r="AE1164">
        <v>5.0253999999999897</v>
      </c>
      <c r="AF1164">
        <v>-4.9881646455244297</v>
      </c>
      <c r="AG1164">
        <v>-1.110819315024</v>
      </c>
      <c r="AH1164">
        <v>27.4596860542066</v>
      </c>
      <c r="AI1164">
        <v>92.279247727419502</v>
      </c>
      <c r="AJ1164">
        <v>100.295746028517</v>
      </c>
      <c r="AK1164">
        <v>27.931166539854299</v>
      </c>
      <c r="AL1164">
        <v>71.179995601800499</v>
      </c>
      <c r="AM1164">
        <v>91.653879112476801</v>
      </c>
      <c r="AN1164">
        <v>1.00000002734589</v>
      </c>
    </row>
    <row r="1165" spans="1:40" x14ac:dyDescent="0.25">
      <c r="A1165" t="str">
        <f>"20190304164840814"</f>
        <v>20190304164840814</v>
      </c>
      <c r="B1165" t="str">
        <f>"1551689320807284"</f>
        <v>1551689320807284</v>
      </c>
      <c r="C1165" t="s">
        <v>40</v>
      </c>
      <c r="D1165">
        <v>4.7867379999999997</v>
      </c>
      <c r="E1165">
        <v>0.454428</v>
      </c>
      <c r="F1165" t="s">
        <v>42</v>
      </c>
      <c r="G1165">
        <v>-227.21190000000001</v>
      </c>
      <c r="H1165" s="1">
        <v>-1.9313909999999998E-6</v>
      </c>
      <c r="I1165">
        <v>372.44639999999998</v>
      </c>
      <c r="J1165">
        <v>-253.73750000000001</v>
      </c>
      <c r="K1165">
        <v>1.110811</v>
      </c>
      <c r="L1165">
        <v>367.57159999999999</v>
      </c>
      <c r="M1165">
        <v>0.99990009999999996</v>
      </c>
      <c r="N1165">
        <v>-1.408978E-2</v>
      </c>
      <c r="O1165">
        <v>1.136899E-3</v>
      </c>
      <c r="P1165">
        <v>0.95071729999999999</v>
      </c>
      <c r="Q1165">
        <v>0.30874119999999999</v>
      </c>
      <c r="R1165">
        <v>2.8559000000000001E-2</v>
      </c>
      <c r="S1165">
        <v>3.1818080000000002</v>
      </c>
      <c r="T1165">
        <v>-0.1323906</v>
      </c>
      <c r="U1165">
        <v>0.58102419999999899</v>
      </c>
      <c r="V1165">
        <v>-2.7534630000000001E-2</v>
      </c>
      <c r="W1165">
        <v>0.32210149999999999</v>
      </c>
      <c r="X1165">
        <v>0.94630460000000005</v>
      </c>
      <c r="Y1165">
        <v>-0.17831810000000001</v>
      </c>
      <c r="Z1165">
        <v>4.9141039999999999E-3</v>
      </c>
      <c r="AA1165">
        <v>0.98396059999999996</v>
      </c>
      <c r="AB1165">
        <v>28</v>
      </c>
      <c r="AC1165">
        <v>26.525600000000001</v>
      </c>
      <c r="AD1165">
        <v>-1.110812931391</v>
      </c>
      <c r="AE1165">
        <v>4.8747999999999898</v>
      </c>
      <c r="AF1165">
        <v>-4.8364324499905997</v>
      </c>
      <c r="AG1165">
        <v>-1.110812931391</v>
      </c>
      <c r="AH1165">
        <v>26.4861946342183</v>
      </c>
      <c r="AI1165">
        <v>92.362519534755407</v>
      </c>
      <c r="AJ1165">
        <v>100.348313541027</v>
      </c>
      <c r="AK1165">
        <v>26.947049753424999</v>
      </c>
      <c r="AL1165">
        <v>71.209936893544693</v>
      </c>
      <c r="AM1165">
        <v>91.666665355820399</v>
      </c>
      <c r="AN1165">
        <v>0.99999996406632197</v>
      </c>
    </row>
    <row r="1166" spans="1:40" x14ac:dyDescent="0.25">
      <c r="A1166" t="str">
        <f>"20190304164840827"</f>
        <v>20190304164840827</v>
      </c>
      <c r="B1166" t="str">
        <f>"1551689320817044"</f>
        <v>1551689320817044</v>
      </c>
      <c r="C1166" t="s">
        <v>40</v>
      </c>
      <c r="D1166">
        <v>4.709155</v>
      </c>
      <c r="E1166">
        <v>0.50105200000000005</v>
      </c>
      <c r="F1166" t="s">
        <v>42</v>
      </c>
      <c r="G1166">
        <v>-227.4453</v>
      </c>
      <c r="H1166" s="1">
        <v>-1.8124110000000001E-6</v>
      </c>
      <c r="I1166">
        <v>372.37540000000001</v>
      </c>
      <c r="J1166">
        <v>-253.5668</v>
      </c>
      <c r="K1166">
        <v>1.1107929999999999</v>
      </c>
      <c r="L1166">
        <v>367.57190000000003</v>
      </c>
      <c r="M1166">
        <v>0.99990020000000002</v>
      </c>
      <c r="N1166">
        <v>-1.408802E-2</v>
      </c>
      <c r="O1166">
        <v>1.2058080000000001E-3</v>
      </c>
      <c r="P1166">
        <v>0.95159859999999996</v>
      </c>
      <c r="Q1166">
        <v>0.30612479999999997</v>
      </c>
      <c r="R1166">
        <v>2.7352169999999999E-2</v>
      </c>
      <c r="S1166">
        <v>3.1817169999999999</v>
      </c>
      <c r="T1166">
        <v>-0.13442299999999999</v>
      </c>
      <c r="U1166">
        <v>0.58132930000000005</v>
      </c>
      <c r="V1166">
        <v>-2.626042E-2</v>
      </c>
      <c r="W1166">
        <v>0.31949640000000001</v>
      </c>
      <c r="X1166">
        <v>0.9472235</v>
      </c>
      <c r="Y1166">
        <v>-0.17834120000000001</v>
      </c>
      <c r="Z1166">
        <v>4.968465E-3</v>
      </c>
      <c r="AA1166">
        <v>0.98395619999999995</v>
      </c>
      <c r="AB1166">
        <v>28</v>
      </c>
      <c r="AC1166">
        <v>26.121500000000001</v>
      </c>
      <c r="AD1166">
        <v>-1.1107948124110001</v>
      </c>
      <c r="AE1166">
        <v>4.8034999999999801</v>
      </c>
      <c r="AF1166">
        <v>-4.7636634866975403</v>
      </c>
      <c r="AG1166">
        <v>-1.1107948124110001</v>
      </c>
      <c r="AH1166">
        <v>26.081652824385799</v>
      </c>
      <c r="AI1166">
        <v>92.399064146981303</v>
      </c>
      <c r="AJ1166">
        <v>100.35065453353999</v>
      </c>
      <c r="AK1166">
        <v>26.536370682170599</v>
      </c>
      <c r="AL1166">
        <v>71.367527177159403</v>
      </c>
      <c r="AM1166">
        <v>91.5880369651546</v>
      </c>
      <c r="AN1166">
        <v>0.99999995911189199</v>
      </c>
    </row>
    <row r="1167" spans="1:40" x14ac:dyDescent="0.25">
      <c r="A1167" t="str">
        <f>"20190304164840839"</f>
        <v>20190304164840839</v>
      </c>
      <c r="B1167" t="str">
        <f>"1551689320827782"</f>
        <v>1551689320827782</v>
      </c>
      <c r="C1167" t="s">
        <v>40</v>
      </c>
      <c r="D1167">
        <v>4.6673660000000003</v>
      </c>
      <c r="E1167">
        <v>0.51661970000000002</v>
      </c>
      <c r="F1167" t="s">
        <v>42</v>
      </c>
      <c r="G1167">
        <v>-231.8707</v>
      </c>
      <c r="H1167" s="1">
        <v>-3.5849370000000001E-6</v>
      </c>
      <c r="I1167">
        <v>368.96710000000002</v>
      </c>
      <c r="J1167">
        <v>-253.42490000000001</v>
      </c>
      <c r="K1167">
        <v>1.1107880000000001</v>
      </c>
      <c r="L1167">
        <v>367.57209999999998</v>
      </c>
      <c r="M1167">
        <v>0.99990009999999996</v>
      </c>
      <c r="N1167">
        <v>-1.408655E-2</v>
      </c>
      <c r="O1167">
        <v>1.263452E-3</v>
      </c>
      <c r="P1167">
        <v>0.95205010000000001</v>
      </c>
      <c r="Q1167">
        <v>0.30486639999999998</v>
      </c>
      <c r="R1167">
        <v>2.5635160000000001E-2</v>
      </c>
      <c r="S1167">
        <v>3.1993870000000002</v>
      </c>
      <c r="T1167">
        <v>-0.1638019</v>
      </c>
      <c r="U1167">
        <v>0.2057495</v>
      </c>
      <c r="V1167">
        <v>-2.4488050000000001E-2</v>
      </c>
      <c r="W1167">
        <v>0.31824360000000002</v>
      </c>
      <c r="X1167">
        <v>0.9476926</v>
      </c>
      <c r="Y1167">
        <v>-6.281175E-2</v>
      </c>
      <c r="Z1167">
        <v>2.0016510000000001E-3</v>
      </c>
      <c r="AA1167">
        <v>0.9980234</v>
      </c>
      <c r="AB1167">
        <v>28</v>
      </c>
      <c r="AC1167">
        <v>21.554200000000002</v>
      </c>
      <c r="AD1167">
        <v>-1.11079158493699</v>
      </c>
      <c r="AE1167">
        <v>1.39500000000003</v>
      </c>
      <c r="AF1167">
        <v>-1.3641556282219001</v>
      </c>
      <c r="AG1167">
        <v>-1.11079158493699</v>
      </c>
      <c r="AH1167">
        <v>21.499085597567799</v>
      </c>
      <c r="AI1167">
        <v>92.951741107442501</v>
      </c>
      <c r="AJ1167">
        <v>93.630652931759997</v>
      </c>
      <c r="AK1167">
        <v>21.5709401754936</v>
      </c>
      <c r="AL1167">
        <v>71.443260743262002</v>
      </c>
      <c r="AM1167">
        <v>91.480173813161201</v>
      </c>
      <c r="AN1167">
        <v>0.99999995881425996</v>
      </c>
    </row>
    <row r="1168" spans="1:40" x14ac:dyDescent="0.25">
      <c r="A1168" t="str">
        <f>"20190304164840852"</f>
        <v>20190304164840852</v>
      </c>
      <c r="B1168" t="str">
        <f>"1551689320847300"</f>
        <v>1551689320847300</v>
      </c>
      <c r="C1168" t="s">
        <v>40</v>
      </c>
      <c r="D1168">
        <v>4.7345439999999996</v>
      </c>
      <c r="E1168">
        <v>0.53552010000000005</v>
      </c>
      <c r="F1168" t="s">
        <v>42</v>
      </c>
      <c r="G1168">
        <v>-236.9803</v>
      </c>
      <c r="H1168" s="1">
        <v>-1.566134E-6</v>
      </c>
      <c r="I1168">
        <v>367.9907</v>
      </c>
      <c r="J1168">
        <v>-253.26689999999999</v>
      </c>
      <c r="K1168">
        <v>1.1107819999999999</v>
      </c>
      <c r="L1168">
        <v>367.57240000000002</v>
      </c>
      <c r="M1168">
        <v>0.99989989999999995</v>
      </c>
      <c r="N1168">
        <v>-1.4084899999999999E-2</v>
      </c>
      <c r="O1168">
        <v>1.3274739999999999E-3</v>
      </c>
      <c r="P1168">
        <v>0.95254530000000004</v>
      </c>
      <c r="Q1168">
        <v>0.30344009999999999</v>
      </c>
      <c r="R1168">
        <v>2.411874E-2</v>
      </c>
      <c r="S1168">
        <v>3.2185060000000001</v>
      </c>
      <c r="T1168">
        <v>-0.21740100000000001</v>
      </c>
      <c r="U1168">
        <v>8.1939699999999893E-2</v>
      </c>
      <c r="V1168">
        <v>-2.2909740000000001E-2</v>
      </c>
      <c r="W1168">
        <v>0.31682290000000002</v>
      </c>
      <c r="X1168">
        <v>0.94820800000000005</v>
      </c>
      <c r="Y1168">
        <v>-2.4059130000000001E-2</v>
      </c>
      <c r="Z1168">
        <v>9.1033990000000001E-4</v>
      </c>
      <c r="AA1168">
        <v>0.99971010000000005</v>
      </c>
      <c r="AB1168">
        <v>28</v>
      </c>
      <c r="AC1168">
        <v>16.2865999999999</v>
      </c>
      <c r="AD1168">
        <v>-1.110783566134</v>
      </c>
      <c r="AE1168">
        <v>0.41829999999998702</v>
      </c>
      <c r="AF1168">
        <v>-0.39484202985480299</v>
      </c>
      <c r="AG1168">
        <v>-1.110783566134</v>
      </c>
      <c r="AH1168">
        <v>16.2117807288707</v>
      </c>
      <c r="AI1168">
        <v>93.918454037249205</v>
      </c>
      <c r="AJ1168">
        <v>91.395177416945998</v>
      </c>
      <c r="AK1168">
        <v>16.254586268506401</v>
      </c>
      <c r="AL1168">
        <v>71.529104433208005</v>
      </c>
      <c r="AM1168">
        <v>91.384059279532195</v>
      </c>
      <c r="AN1168">
        <v>1.00000000870763</v>
      </c>
    </row>
    <row r="1169" spans="1:40" x14ac:dyDescent="0.25">
      <c r="A1169" t="str">
        <f>"20190304164840862"</f>
        <v>20190304164840862</v>
      </c>
      <c r="B1169" t="str">
        <f>"1551689320857060"</f>
        <v>1551689320857060</v>
      </c>
      <c r="C1169" t="s">
        <v>40</v>
      </c>
      <c r="D1169">
        <v>4.5758400000000004</v>
      </c>
      <c r="E1169">
        <v>0.54148130000000005</v>
      </c>
      <c r="F1169" t="s">
        <v>42</v>
      </c>
      <c r="G1169">
        <v>-239.01169999999999</v>
      </c>
      <c r="H1169" s="1">
        <v>-9.4884980000000005E-7</v>
      </c>
      <c r="I1169">
        <v>367.262</v>
      </c>
      <c r="J1169">
        <v>-253.13390000000001</v>
      </c>
      <c r="K1169">
        <v>1.110778</v>
      </c>
      <c r="L1169">
        <v>367.57260000000002</v>
      </c>
      <c r="M1169">
        <v>0.99990000000000001</v>
      </c>
      <c r="N1169">
        <v>-1.408352E-2</v>
      </c>
      <c r="O1169">
        <v>1.3813600000000001E-3</v>
      </c>
      <c r="P1169">
        <v>0.9528875</v>
      </c>
      <c r="Q1169">
        <v>0.30252839999999998</v>
      </c>
      <c r="R1169">
        <v>2.1960170000000001E-2</v>
      </c>
      <c r="S1169">
        <v>3.2314759999999998</v>
      </c>
      <c r="T1169">
        <v>-0.25179869999999999</v>
      </c>
      <c r="U1169">
        <v>-7.0343020000000006E-2</v>
      </c>
      <c r="V1169">
        <v>-2.069853E-2</v>
      </c>
      <c r="W1169">
        <v>0.31591550000000002</v>
      </c>
      <c r="X1169">
        <v>0.94856149999999995</v>
      </c>
      <c r="Y1169">
        <v>2.305873E-2</v>
      </c>
      <c r="Z1169">
        <v>-1.147634E-3</v>
      </c>
      <c r="AA1169">
        <v>0.99973339999999999</v>
      </c>
      <c r="AB1169">
        <v>28</v>
      </c>
      <c r="AC1169">
        <v>14.122199999999999</v>
      </c>
      <c r="AD1169">
        <v>-1.1107789488498001</v>
      </c>
      <c r="AE1169">
        <v>-0.31060000000007898</v>
      </c>
      <c r="AF1169">
        <v>0.32808076193431301</v>
      </c>
      <c r="AG1169">
        <v>-1.1107789488498001</v>
      </c>
      <c r="AH1169">
        <v>14.034970954400301</v>
      </c>
      <c r="AI1169">
        <v>94.523934501743497</v>
      </c>
      <c r="AJ1169">
        <v>88.660900668416204</v>
      </c>
      <c r="AK1169">
        <v>14.082680020167301</v>
      </c>
      <c r="AL1169">
        <v>71.583909004034396</v>
      </c>
      <c r="AM1169">
        <v>91.250050982311194</v>
      </c>
      <c r="AN1169">
        <v>0.99999997578333</v>
      </c>
    </row>
    <row r="1170" spans="1:40" x14ac:dyDescent="0.25">
      <c r="A1170" t="str">
        <f>"20190304164840873"</f>
        <v>20190304164840873</v>
      </c>
      <c r="B1170" t="str">
        <f>"1551689320867796"</f>
        <v>1551689320867796</v>
      </c>
      <c r="C1170" t="s">
        <v>40</v>
      </c>
      <c r="D1170">
        <v>4.7098890000000004</v>
      </c>
      <c r="E1170">
        <v>0.54515230000000003</v>
      </c>
      <c r="F1170" t="s">
        <v>41</v>
      </c>
      <c r="G1170">
        <v>-252.25040000000001</v>
      </c>
      <c r="H1170">
        <v>1.0397259999999999</v>
      </c>
      <c r="I1170">
        <v>367.53879999999998</v>
      </c>
      <c r="J1170">
        <v>-252.99359999999999</v>
      </c>
      <c r="K1170">
        <v>1.1107750000000001</v>
      </c>
      <c r="L1170">
        <v>367.57279999999997</v>
      </c>
      <c r="M1170">
        <v>0.99989980000000001</v>
      </c>
      <c r="N1170">
        <v>-1.4082040000000001E-2</v>
      </c>
      <c r="O1170">
        <v>1.4386430000000001E-3</v>
      </c>
      <c r="P1170">
        <v>0.95313979999999998</v>
      </c>
      <c r="Q1170">
        <v>0.30188730000000003</v>
      </c>
      <c r="R1170">
        <v>1.9710979999999999E-2</v>
      </c>
      <c r="S1170">
        <v>3.233765</v>
      </c>
      <c r="T1170">
        <v>-0.26013540000000002</v>
      </c>
      <c r="U1170">
        <v>-0.1234436</v>
      </c>
      <c r="V1170">
        <v>-1.839445E-2</v>
      </c>
      <c r="W1170">
        <v>0.31527709999999998</v>
      </c>
      <c r="X1170">
        <v>0.94882140000000004</v>
      </c>
      <c r="Y1170">
        <v>3.943054E-2</v>
      </c>
      <c r="Z1170">
        <v>-1.9563829999999999E-3</v>
      </c>
      <c r="AA1170">
        <v>0.99922040000000001</v>
      </c>
      <c r="AB1170">
        <v>28</v>
      </c>
      <c r="AC1170">
        <v>0.74319999999997299</v>
      </c>
      <c r="AD1170">
        <v>-7.1049000000000098E-2</v>
      </c>
      <c r="AE1170">
        <v>-3.3999999999991801E-2</v>
      </c>
      <c r="AF1170">
        <v>3.4752327839659397E-2</v>
      </c>
      <c r="AG1170">
        <v>-7.1049000000000098E-2</v>
      </c>
      <c r="AH1170">
        <v>0.73643400731610897</v>
      </c>
      <c r="AI1170">
        <v>95.504586086168899</v>
      </c>
      <c r="AJ1170">
        <v>87.298215959505498</v>
      </c>
      <c r="AK1170">
        <v>0.74066911088753895</v>
      </c>
      <c r="AL1170">
        <v>71.622457646897601</v>
      </c>
      <c r="AM1170">
        <v>91.110632986440095</v>
      </c>
      <c r="AN1170">
        <v>1.0000000273365801</v>
      </c>
    </row>
    <row r="1171" spans="1:40" x14ac:dyDescent="0.25">
      <c r="A1171" t="str">
        <f>"20190304164840886"</f>
        <v>20190304164840886</v>
      </c>
      <c r="B1171" t="str">
        <f>"1551689320877556"</f>
        <v>1551689320877556</v>
      </c>
      <c r="C1171" t="s">
        <v>40</v>
      </c>
      <c r="D1171">
        <v>4.6236069999999998</v>
      </c>
      <c r="E1171">
        <v>0.54779669999999903</v>
      </c>
      <c r="F1171" t="s">
        <v>41</v>
      </c>
      <c r="G1171">
        <v>-252.24340000000001</v>
      </c>
      <c r="H1171">
        <v>1.048354</v>
      </c>
      <c r="I1171">
        <v>367.53579999999999</v>
      </c>
      <c r="J1171">
        <v>-252.8425</v>
      </c>
      <c r="K1171">
        <v>1.110776</v>
      </c>
      <c r="L1171">
        <v>367.57319999999999</v>
      </c>
      <c r="M1171">
        <v>0.99989980000000001</v>
      </c>
      <c r="N1171">
        <v>-1.408045E-2</v>
      </c>
      <c r="O1171">
        <v>1.4998030000000001E-3</v>
      </c>
      <c r="P1171">
        <v>0.95333420000000002</v>
      </c>
      <c r="Q1171">
        <v>0.3014174</v>
      </c>
      <c r="R1171">
        <v>1.736629E-2</v>
      </c>
      <c r="S1171">
        <v>3.236084</v>
      </c>
      <c r="T1171">
        <v>-0.2692947</v>
      </c>
      <c r="U1171">
        <v>-0.15930179999999999</v>
      </c>
      <c r="V1171">
        <v>-1.5990979999999998E-2</v>
      </c>
      <c r="W1171">
        <v>0.31480829999999999</v>
      </c>
      <c r="X1171">
        <v>0.94902059999999999</v>
      </c>
      <c r="Y1171">
        <v>5.0458089999999997E-2</v>
      </c>
      <c r="Z1171">
        <v>-2.5542099999999999E-3</v>
      </c>
      <c r="AA1171">
        <v>0.99872289999999997</v>
      </c>
      <c r="AB1171">
        <v>28</v>
      </c>
      <c r="AC1171">
        <v>0.59909999999999197</v>
      </c>
      <c r="AD1171">
        <v>-6.2421999999999901E-2</v>
      </c>
      <c r="AE1171">
        <v>-3.7399999999991003E-2</v>
      </c>
      <c r="AF1171">
        <v>3.7888847857051502E-2</v>
      </c>
      <c r="AG1171">
        <v>-6.2421999999999901E-2</v>
      </c>
      <c r="AH1171">
        <v>0.59263446192889602</v>
      </c>
      <c r="AI1171">
        <v>96.000614423502597</v>
      </c>
      <c r="AJ1171">
        <v>86.341892527984896</v>
      </c>
      <c r="AK1171">
        <v>0.59711613304422295</v>
      </c>
      <c r="AL1171">
        <v>71.650759294657803</v>
      </c>
      <c r="AM1171">
        <v>90.965341498191094</v>
      </c>
      <c r="AN1171">
        <v>1.0000000382073</v>
      </c>
    </row>
    <row r="1172" spans="1:40" x14ac:dyDescent="0.25">
      <c r="A1172" t="str">
        <f>"20190304164840900"</f>
        <v>20190304164840900</v>
      </c>
      <c r="B1172" t="str">
        <f>"1551689320897077"</f>
        <v>1551689320897077</v>
      </c>
      <c r="C1172" t="s">
        <v>40</v>
      </c>
      <c r="D1172">
        <v>4.6510429999999996</v>
      </c>
      <c r="E1172">
        <v>0.5509368</v>
      </c>
      <c r="F1172" t="s">
        <v>41</v>
      </c>
      <c r="G1172">
        <v>-252.00319999999999</v>
      </c>
      <c r="H1172">
        <v>1.03918</v>
      </c>
      <c r="I1172">
        <v>367.52429999999998</v>
      </c>
      <c r="J1172">
        <v>-252.6651</v>
      </c>
      <c r="K1172">
        <v>1.110773</v>
      </c>
      <c r="L1172">
        <v>367.57350000000002</v>
      </c>
      <c r="M1172">
        <v>0.99989969999999995</v>
      </c>
      <c r="N1172">
        <v>-1.407858E-2</v>
      </c>
      <c r="O1172">
        <v>1.571577E-3</v>
      </c>
      <c r="P1172">
        <v>0.9535266</v>
      </c>
      <c r="Q1172">
        <v>0.3009329</v>
      </c>
      <c r="R1172">
        <v>1.505215E-2</v>
      </c>
      <c r="S1172">
        <v>3.2377009999999999</v>
      </c>
      <c r="T1172">
        <v>-0.27654000000000001</v>
      </c>
      <c r="U1172">
        <v>-0.18746950000000001</v>
      </c>
      <c r="V1172">
        <v>-1.36084E-2</v>
      </c>
      <c r="W1172">
        <v>0.31432579999999999</v>
      </c>
      <c r="X1172">
        <v>0.94921759999999999</v>
      </c>
      <c r="Y1172">
        <v>5.9120140000000002E-2</v>
      </c>
      <c r="Z1172">
        <v>-3.0473280000000002E-3</v>
      </c>
      <c r="AA1172">
        <v>0.99824630000000003</v>
      </c>
      <c r="AB1172">
        <v>28</v>
      </c>
      <c r="AC1172">
        <v>0.66190000000000204</v>
      </c>
      <c r="AD1172">
        <v>-7.1593000000000004E-2</v>
      </c>
      <c r="AE1172">
        <v>-4.9200000000041599E-2</v>
      </c>
      <c r="AF1172">
        <v>4.9662450449733303E-2</v>
      </c>
      <c r="AG1172">
        <v>-7.1593000000000004E-2</v>
      </c>
      <c r="AH1172">
        <v>0.65421016995777903</v>
      </c>
      <c r="AI1172">
        <v>96.227492782092199</v>
      </c>
      <c r="AJ1172">
        <v>85.658884569620099</v>
      </c>
      <c r="AK1172">
        <v>0.65998701737978105</v>
      </c>
      <c r="AL1172">
        <v>71.679881756806495</v>
      </c>
      <c r="AM1172">
        <v>90.821361165338303</v>
      </c>
      <c r="AN1172">
        <v>0.99999997462297896</v>
      </c>
    </row>
    <row r="1173" spans="1:40" x14ac:dyDescent="0.25">
      <c r="A1173" t="str">
        <f>"20190304164840915"</f>
        <v>20190304164840915</v>
      </c>
      <c r="B1173" t="str">
        <f>"1551689320907812"</f>
        <v>1551689320907812</v>
      </c>
      <c r="C1173" t="s">
        <v>40</v>
      </c>
      <c r="D1173">
        <v>4.6340810000000001</v>
      </c>
      <c r="E1173">
        <v>0.55199390000000004</v>
      </c>
      <c r="F1173" t="s">
        <v>41</v>
      </c>
      <c r="G1173">
        <v>-251.75980000000001</v>
      </c>
      <c r="H1173">
        <v>1.0315289999999999</v>
      </c>
      <c r="I1173">
        <v>367.51170000000002</v>
      </c>
      <c r="J1173">
        <v>-252.482</v>
      </c>
      <c r="K1173">
        <v>1.110771</v>
      </c>
      <c r="L1173">
        <v>367.57380000000001</v>
      </c>
      <c r="M1173">
        <v>0.9998996</v>
      </c>
      <c r="N1173">
        <v>-1.407665E-2</v>
      </c>
      <c r="O1173">
        <v>1.645559E-3</v>
      </c>
      <c r="P1173">
        <v>0.95358370000000003</v>
      </c>
      <c r="Q1173">
        <v>0.30084709999999998</v>
      </c>
      <c r="R1173">
        <v>1.3018740000000001E-2</v>
      </c>
      <c r="S1173">
        <v>3.2392270000000001</v>
      </c>
      <c r="T1173">
        <v>-0.28364060000000002</v>
      </c>
      <c r="U1173">
        <v>-0.2208252</v>
      </c>
      <c r="V1173">
        <v>-1.1504479999999999E-2</v>
      </c>
      <c r="W1173">
        <v>0.3142393</v>
      </c>
      <c r="X1173">
        <v>0.94927410000000001</v>
      </c>
      <c r="Y1173">
        <v>6.9344829999999996E-2</v>
      </c>
      <c r="Z1173">
        <v>-3.6370669999999999E-3</v>
      </c>
      <c r="AA1173">
        <v>0.99758610000000003</v>
      </c>
      <c r="AB1173">
        <v>28</v>
      </c>
      <c r="AC1173">
        <v>0.72219999999998596</v>
      </c>
      <c r="AD1173">
        <v>-7.9241999999999799E-2</v>
      </c>
      <c r="AE1173">
        <v>-6.2099999999986701E-2</v>
      </c>
      <c r="AF1173">
        <v>6.2541041488221996E-2</v>
      </c>
      <c r="AG1173">
        <v>-7.9241999999999799E-2</v>
      </c>
      <c r="AH1173">
        <v>0.71356910818208097</v>
      </c>
      <c r="AI1173">
        <v>96.312741486567603</v>
      </c>
      <c r="AJ1173">
        <v>84.991088670058801</v>
      </c>
      <c r="AK1173">
        <v>0.72067437070163798</v>
      </c>
      <c r="AL1173">
        <v>71.685102927051005</v>
      </c>
      <c r="AM1173">
        <v>90.694347271078598</v>
      </c>
      <c r="AN1173">
        <v>1.00000000382768</v>
      </c>
    </row>
    <row r="1174" spans="1:40" x14ac:dyDescent="0.25">
      <c r="A1174" t="str">
        <f>"20190304164840928"</f>
        <v>20190304164840928</v>
      </c>
      <c r="B1174" t="str">
        <f>"1551689320917573"</f>
        <v>1551689320917573</v>
      </c>
      <c r="C1174" t="s">
        <v>40</v>
      </c>
      <c r="D1174">
        <v>4.6289020000000001</v>
      </c>
      <c r="E1174">
        <v>0.55284040000000001</v>
      </c>
      <c r="F1174" t="s">
        <v>41</v>
      </c>
      <c r="G1174">
        <v>-251.51570000000001</v>
      </c>
      <c r="H1174">
        <v>1.0256799999999999</v>
      </c>
      <c r="I1174">
        <v>367.50319999999999</v>
      </c>
      <c r="J1174">
        <v>-252.32480000000001</v>
      </c>
      <c r="K1174">
        <v>1.110771</v>
      </c>
      <c r="L1174">
        <v>367.57409999999999</v>
      </c>
      <c r="M1174">
        <v>0.9998996</v>
      </c>
      <c r="N1174">
        <v>-1.4075000000000001E-2</v>
      </c>
      <c r="O1174">
        <v>1.709047E-3</v>
      </c>
      <c r="P1174">
        <v>0.95379559999999997</v>
      </c>
      <c r="Q1174">
        <v>0.30034880000000003</v>
      </c>
      <c r="R1174">
        <v>8.0720630000000008E-3</v>
      </c>
      <c r="S1174">
        <v>3.2393649999999998</v>
      </c>
      <c r="T1174">
        <v>-0.28554459999999998</v>
      </c>
      <c r="U1174">
        <v>-0.2360535</v>
      </c>
      <c r="V1174">
        <v>-6.4969009999999898E-3</v>
      </c>
      <c r="W1174">
        <v>0.313743099999999</v>
      </c>
      <c r="X1174">
        <v>0.94948569999999999</v>
      </c>
      <c r="Y1174">
        <v>7.4045940000000005E-2</v>
      </c>
      <c r="Z1174">
        <v>-3.9020679999999999E-3</v>
      </c>
      <c r="AA1174">
        <v>0.9972472</v>
      </c>
      <c r="AB1174">
        <v>28</v>
      </c>
      <c r="AC1174">
        <v>0.80910000000000004</v>
      </c>
      <c r="AD1174">
        <v>-8.5091E-2</v>
      </c>
      <c r="AE1174">
        <v>-7.0899999999994606E-2</v>
      </c>
      <c r="AF1174">
        <v>7.1498066424102294E-2</v>
      </c>
      <c r="AG1174">
        <v>-8.5091E-2</v>
      </c>
      <c r="AH1174">
        <v>0.80019476426820202</v>
      </c>
      <c r="AI1174">
        <v>96.045993426463198</v>
      </c>
      <c r="AJ1174">
        <v>84.894133414978796</v>
      </c>
      <c r="AK1174">
        <v>0.80787629779912995</v>
      </c>
      <c r="AL1174">
        <v>71.715047791904297</v>
      </c>
      <c r="AM1174">
        <v>90.392042974230307</v>
      </c>
      <c r="AN1174">
        <v>1.0000000185123501</v>
      </c>
    </row>
    <row r="1175" spans="1:40" x14ac:dyDescent="0.25">
      <c r="A1175" t="str">
        <f>"20190304164840940"</f>
        <v>20190304164840940</v>
      </c>
      <c r="B1175" t="str">
        <f>"1551689320927332"</f>
        <v>1551689320927332</v>
      </c>
      <c r="C1175" t="s">
        <v>40</v>
      </c>
      <c r="D1175">
        <v>4.5359040000000004</v>
      </c>
      <c r="E1175">
        <v>0.55373669999999997</v>
      </c>
      <c r="F1175" t="s">
        <v>41</v>
      </c>
      <c r="G1175">
        <v>-251.5095</v>
      </c>
      <c r="H1175">
        <v>1.038232</v>
      </c>
      <c r="I1175">
        <v>367.50839999999999</v>
      </c>
      <c r="J1175">
        <v>-252.17779999999999</v>
      </c>
      <c r="K1175">
        <v>1.1107670000000001</v>
      </c>
      <c r="L1175">
        <v>367.57440000000003</v>
      </c>
      <c r="M1175">
        <v>0.99989939999999999</v>
      </c>
      <c r="N1175">
        <v>-1.4073459999999999E-2</v>
      </c>
      <c r="O1175">
        <v>1.7685400000000001E-3</v>
      </c>
      <c r="P1175">
        <v>0.95393289999999997</v>
      </c>
      <c r="Q1175">
        <v>0.29996780000000001</v>
      </c>
      <c r="R1175">
        <v>5.6406410000000001E-3</v>
      </c>
      <c r="S1175">
        <v>3.238388</v>
      </c>
      <c r="T1175">
        <v>-0.28849979999999997</v>
      </c>
      <c r="U1175">
        <v>-0.26007079999999999</v>
      </c>
      <c r="V1175">
        <v>-4.0081910000000004E-3</v>
      </c>
      <c r="W1175">
        <v>0.3133628</v>
      </c>
      <c r="X1175">
        <v>0.94962500000000005</v>
      </c>
      <c r="Y1175">
        <v>8.1437389999999998E-2</v>
      </c>
      <c r="Z1175">
        <v>-4.3220659999999899E-3</v>
      </c>
      <c r="AA1175">
        <v>0.99666909999999997</v>
      </c>
      <c r="AB1175">
        <v>28</v>
      </c>
      <c r="AC1175">
        <v>0.66829999999998702</v>
      </c>
      <c r="AD1175">
        <v>-7.2535000000000002E-2</v>
      </c>
      <c r="AE1175">
        <v>-6.6000000000030895E-2</v>
      </c>
      <c r="AF1175">
        <v>6.6407195793146995E-2</v>
      </c>
      <c r="AG1175">
        <v>-7.2535000000000002E-2</v>
      </c>
      <c r="AH1175">
        <v>0.66047682852993606</v>
      </c>
      <c r="AI1175">
        <v>96.236039594783904</v>
      </c>
      <c r="AJ1175">
        <v>84.258529887047601</v>
      </c>
      <c r="AK1175">
        <v>0.66775810208718001</v>
      </c>
      <c r="AL1175">
        <v>71.737993749365103</v>
      </c>
      <c r="AM1175">
        <v>90.241833422691201</v>
      </c>
      <c r="AN1175">
        <v>0.99999997532196505</v>
      </c>
    </row>
    <row r="1176" spans="1:40" x14ac:dyDescent="0.25">
      <c r="A1176" t="str">
        <f>"20190304164840951"</f>
        <v>20190304164840951</v>
      </c>
      <c r="B1176" t="str">
        <f>"1551689320946952"</f>
        <v>1551689320946952</v>
      </c>
      <c r="C1176" t="s">
        <v>40</v>
      </c>
      <c r="D1176">
        <v>4.5185329999999997</v>
      </c>
      <c r="E1176">
        <v>0.55506840000000002</v>
      </c>
      <c r="F1176" t="s">
        <v>41</v>
      </c>
      <c r="G1176">
        <v>-251.2672</v>
      </c>
      <c r="H1176">
        <v>1.029188</v>
      </c>
      <c r="I1176">
        <v>367.49689999999998</v>
      </c>
      <c r="J1176">
        <v>-252.04060000000001</v>
      </c>
      <c r="K1176">
        <v>1.1107610000000001</v>
      </c>
      <c r="L1176">
        <v>367.57470000000001</v>
      </c>
      <c r="M1176">
        <v>0.99989939999999999</v>
      </c>
      <c r="N1176">
        <v>-1.4072019999999999E-2</v>
      </c>
      <c r="O1176">
        <v>1.8240999999999999E-3</v>
      </c>
      <c r="P1176">
        <v>0.95405110000000004</v>
      </c>
      <c r="Q1176">
        <v>0.29962830000000001</v>
      </c>
      <c r="R1176">
        <v>3.110509E-3</v>
      </c>
      <c r="S1176">
        <v>3.237778</v>
      </c>
      <c r="T1176">
        <v>-0.29030080000000003</v>
      </c>
      <c r="U1176">
        <v>-0.27481080000000002</v>
      </c>
      <c r="V1176">
        <v>-1.4245729999999999E-3</v>
      </c>
      <c r="W1176">
        <v>0.31302360000000001</v>
      </c>
      <c r="X1176">
        <v>0.94974429999999999</v>
      </c>
      <c r="Y1176">
        <v>8.5987949999999994E-2</v>
      </c>
      <c r="Z1176">
        <v>-4.5851579999999998E-3</v>
      </c>
      <c r="AA1176">
        <v>0.99628559999999999</v>
      </c>
      <c r="AB1176">
        <v>28</v>
      </c>
      <c r="AC1176">
        <v>0.77340000000000897</v>
      </c>
      <c r="AD1176">
        <v>-8.1573000000000104E-2</v>
      </c>
      <c r="AE1176">
        <v>-7.7800000000024697E-2</v>
      </c>
      <c r="AF1176">
        <v>7.8347911163158604E-2</v>
      </c>
      <c r="AG1176">
        <v>-8.1573000000000104E-2</v>
      </c>
      <c r="AH1176">
        <v>0.76483355147069698</v>
      </c>
      <c r="AI1176">
        <v>96.056387261346401</v>
      </c>
      <c r="AJ1176">
        <v>84.151144457879496</v>
      </c>
      <c r="AK1176">
        <v>0.77315128595114502</v>
      </c>
      <c r="AL1176">
        <v>71.758458882718202</v>
      </c>
      <c r="AM1176">
        <v>90.085940983584294</v>
      </c>
      <c r="AN1176">
        <v>1.0000000194738401</v>
      </c>
    </row>
    <row r="1177" spans="1:40" x14ac:dyDescent="0.25">
      <c r="A1177" t="str">
        <f>"20190304164840962"</f>
        <v>20190304164840962</v>
      </c>
      <c r="B1177" t="str">
        <f>"1551689320957688"</f>
        <v>1551689320957688</v>
      </c>
      <c r="C1177" t="s">
        <v>40</v>
      </c>
      <c r="D1177">
        <v>4.6034350000000002</v>
      </c>
      <c r="E1177">
        <v>0.55532579999999998</v>
      </c>
      <c r="F1177" t="s">
        <v>41</v>
      </c>
      <c r="G1177">
        <v>-251.26140000000001</v>
      </c>
      <c r="H1177">
        <v>1.0410790000000001</v>
      </c>
      <c r="I1177">
        <v>367.50369999999998</v>
      </c>
      <c r="J1177">
        <v>-251.9014</v>
      </c>
      <c r="K1177">
        <v>1.1107560000000001</v>
      </c>
      <c r="L1177">
        <v>367.57499999999999</v>
      </c>
      <c r="M1177">
        <v>0.99989919999999999</v>
      </c>
      <c r="N1177">
        <v>-1.4070549999999999E-2</v>
      </c>
      <c r="O1177">
        <v>1.880729E-3</v>
      </c>
      <c r="P1177">
        <v>0.95423880000000005</v>
      </c>
      <c r="Q1177">
        <v>0.29904429999999999</v>
      </c>
      <c r="R1177">
        <v>8.7550279999999996E-4</v>
      </c>
      <c r="S1177">
        <v>3.23645</v>
      </c>
      <c r="T1177">
        <v>-0.28969660000000003</v>
      </c>
      <c r="U1177">
        <v>-0.29406739999999998</v>
      </c>
      <c r="V1177">
        <v>8.6504409999999996E-4</v>
      </c>
      <c r="W1177">
        <v>0.31244159999999999</v>
      </c>
      <c r="X1177">
        <v>0.94993660000000002</v>
      </c>
      <c r="Y1177">
        <v>9.1933589999999996E-2</v>
      </c>
      <c r="Z1177">
        <v>-4.8888439999999998E-3</v>
      </c>
      <c r="AA1177">
        <v>0.9957532</v>
      </c>
      <c r="AB1177">
        <v>28</v>
      </c>
      <c r="AC1177">
        <v>0.63999999999998602</v>
      </c>
      <c r="AD1177">
        <v>-6.9676999999999698E-2</v>
      </c>
      <c r="AE1177">
        <v>-7.1300000000007899E-2</v>
      </c>
      <c r="AF1177">
        <v>7.1664650073048106E-2</v>
      </c>
      <c r="AG1177">
        <v>-6.9676999999999698E-2</v>
      </c>
      <c r="AH1177">
        <v>0.63246026812753098</v>
      </c>
      <c r="AI1177">
        <v>96.247161636607402</v>
      </c>
      <c r="AJ1177">
        <v>83.535336234941994</v>
      </c>
      <c r="AK1177">
        <v>0.64030984465260299</v>
      </c>
      <c r="AL1177">
        <v>71.793566018597403</v>
      </c>
      <c r="AM1177">
        <v>89.947824557636196</v>
      </c>
      <c r="AN1177">
        <v>1.0000000228657</v>
      </c>
    </row>
    <row r="1178" spans="1:40" x14ac:dyDescent="0.25">
      <c r="A1178" t="str">
        <f>"20190304164840973"</f>
        <v>20190304164840973</v>
      </c>
      <c r="B1178" t="str">
        <f>"1551689320967448"</f>
        <v>1551689320967448</v>
      </c>
      <c r="C1178" t="s">
        <v>40</v>
      </c>
      <c r="D1178">
        <v>4.628476</v>
      </c>
      <c r="E1178">
        <v>0.55592019999999998</v>
      </c>
      <c r="F1178" t="s">
        <v>41</v>
      </c>
      <c r="G1178">
        <v>-251.0198</v>
      </c>
      <c r="H1178">
        <v>1.0313159999999999</v>
      </c>
      <c r="I1178">
        <v>367.49200000000002</v>
      </c>
      <c r="J1178">
        <v>-251.76669999999999</v>
      </c>
      <c r="K1178">
        <v>1.110752</v>
      </c>
      <c r="L1178">
        <v>367.57530000000003</v>
      </c>
      <c r="M1178">
        <v>0.99989930000000005</v>
      </c>
      <c r="N1178">
        <v>-1.4069129999999999E-2</v>
      </c>
      <c r="O1178">
        <v>1.9352709999999999E-3</v>
      </c>
      <c r="P1178">
        <v>0.95439260000000004</v>
      </c>
      <c r="Q1178">
        <v>0.2985525</v>
      </c>
      <c r="R1178">
        <v>-1.320601E-3</v>
      </c>
      <c r="S1178">
        <v>3.2355800000000001</v>
      </c>
      <c r="T1178">
        <v>-0.29188819999999999</v>
      </c>
      <c r="U1178">
        <v>-0.30371090000000001</v>
      </c>
      <c r="V1178">
        <v>3.1136919999999999E-3</v>
      </c>
      <c r="W1178">
        <v>0.31195099999999998</v>
      </c>
      <c r="X1178">
        <v>0.95009310000000002</v>
      </c>
      <c r="Y1178">
        <v>9.4934019999999994E-2</v>
      </c>
      <c r="Z1178">
        <v>-5.0817070000000004E-3</v>
      </c>
      <c r="AA1178">
        <v>0.99547059999999998</v>
      </c>
      <c r="AB1178">
        <v>28</v>
      </c>
      <c r="AC1178">
        <v>0.74689999999998202</v>
      </c>
      <c r="AD1178">
        <v>-7.9436000000000007E-2</v>
      </c>
      <c r="AE1178">
        <v>-8.3300000000065197E-2</v>
      </c>
      <c r="AF1178">
        <v>8.3809103303027002E-2</v>
      </c>
      <c r="AG1178">
        <v>-7.9436000000000007E-2</v>
      </c>
      <c r="AH1178">
        <v>0.73848680727815597</v>
      </c>
      <c r="AI1178">
        <v>96.100603763052106</v>
      </c>
      <c r="AJ1178">
        <v>83.525340706802496</v>
      </c>
      <c r="AK1178">
        <v>0.74746023868587197</v>
      </c>
      <c r="AL1178">
        <v>71.823153975744205</v>
      </c>
      <c r="AM1178">
        <v>89.812228115740297</v>
      </c>
      <c r="AN1178">
        <v>1.00000001007324</v>
      </c>
    </row>
    <row r="1179" spans="1:40" x14ac:dyDescent="0.25">
      <c r="A1179" t="str">
        <f>"20190304164840985"</f>
        <v>20190304164840985</v>
      </c>
      <c r="B1179" t="str">
        <f>"1551689320977208"</f>
        <v>1551689320977208</v>
      </c>
      <c r="C1179" t="s">
        <v>40</v>
      </c>
      <c r="D1179">
        <v>4.474526</v>
      </c>
      <c r="E1179">
        <v>0.55625570000000002</v>
      </c>
      <c r="F1179" t="s">
        <v>41</v>
      </c>
      <c r="G1179">
        <v>-251.01480000000001</v>
      </c>
      <c r="H1179">
        <v>1.0415410000000001</v>
      </c>
      <c r="I1179">
        <v>367.50189999999998</v>
      </c>
      <c r="J1179">
        <v>-251.62899999999999</v>
      </c>
      <c r="K1179">
        <v>1.1107499999999999</v>
      </c>
      <c r="L1179">
        <v>367.57560000000001</v>
      </c>
      <c r="M1179">
        <v>0.99989919999999999</v>
      </c>
      <c r="N1179">
        <v>-1.4067669999999999E-2</v>
      </c>
      <c r="O1179">
        <v>1.9910689999999998E-3</v>
      </c>
      <c r="P1179">
        <v>0.95455290000000004</v>
      </c>
      <c r="Q1179">
        <v>0.29802410000000001</v>
      </c>
      <c r="R1179">
        <v>-3.2898559999999999E-3</v>
      </c>
      <c r="S1179">
        <v>3.236237</v>
      </c>
      <c r="T1179">
        <v>-0.29830469999999998</v>
      </c>
      <c r="U1179">
        <v>-0.31475829999999999</v>
      </c>
      <c r="V1179">
        <v>5.1364710000000001E-3</v>
      </c>
      <c r="W1179">
        <v>0.31142360000000002</v>
      </c>
      <c r="X1179">
        <v>0.95025729999999997</v>
      </c>
      <c r="Y1179">
        <v>9.8302929999999997E-2</v>
      </c>
      <c r="Z1179">
        <v>-5.3600519999999997E-3</v>
      </c>
      <c r="AA1179">
        <v>0.99514210000000003</v>
      </c>
      <c r="AB1179">
        <v>28</v>
      </c>
      <c r="AC1179">
        <v>0.61420000000001096</v>
      </c>
      <c r="AD1179">
        <v>-6.9208999999999798E-2</v>
      </c>
      <c r="AE1179">
        <v>-7.3700000000030699E-2</v>
      </c>
      <c r="AF1179">
        <v>7.3996679916017702E-2</v>
      </c>
      <c r="AG1179">
        <v>-6.9208999999999798E-2</v>
      </c>
      <c r="AH1179">
        <v>0.60646101121162699</v>
      </c>
      <c r="AI1179">
        <v>96.462878448525998</v>
      </c>
      <c r="AJ1179">
        <v>83.043503231529201</v>
      </c>
      <c r="AK1179">
        <v>0.61486612562363696</v>
      </c>
      <c r="AL1179">
        <v>71.8549556021174</v>
      </c>
      <c r="AM1179">
        <v>89.690299412911003</v>
      </c>
      <c r="AN1179">
        <v>0.99999998908729104</v>
      </c>
    </row>
    <row r="1180" spans="1:40" x14ac:dyDescent="0.25">
      <c r="A1180" t="str">
        <f>"20190304164840996"</f>
        <v>20190304164840996</v>
      </c>
      <c r="B1180" t="str">
        <f>"1551689320986968"</f>
        <v>1551689320986968</v>
      </c>
      <c r="C1180" t="s">
        <v>40</v>
      </c>
      <c r="D1180">
        <v>4.7042159999999997</v>
      </c>
      <c r="E1180">
        <v>0.5564268</v>
      </c>
      <c r="F1180" t="s">
        <v>41</v>
      </c>
      <c r="G1180">
        <v>-250.77330000000001</v>
      </c>
      <c r="H1180">
        <v>1.0320339999999999</v>
      </c>
      <c r="I1180">
        <v>367.48970000000003</v>
      </c>
      <c r="J1180">
        <v>-251.48670000000001</v>
      </c>
      <c r="K1180">
        <v>1.110744</v>
      </c>
      <c r="L1180">
        <v>367.57600000000002</v>
      </c>
      <c r="M1180">
        <v>0.99989899999999998</v>
      </c>
      <c r="N1180">
        <v>-1.4066159999999999E-2</v>
      </c>
      <c r="O1180">
        <v>2.0484779999999998E-3</v>
      </c>
      <c r="P1180">
        <v>0.95469110000000001</v>
      </c>
      <c r="Q1180">
        <v>0.29755310000000001</v>
      </c>
      <c r="R1180">
        <v>-5.2475040000000001E-3</v>
      </c>
      <c r="S1180">
        <v>3.2346650000000001</v>
      </c>
      <c r="T1180">
        <v>-0.29763269999999997</v>
      </c>
      <c r="U1180">
        <v>-0.32418819999999998</v>
      </c>
      <c r="V1180">
        <v>7.1491719999999996E-3</v>
      </c>
      <c r="W1180">
        <v>0.3109537</v>
      </c>
      <c r="X1180">
        <v>0.95039819999999997</v>
      </c>
      <c r="Y1180">
        <v>0.1012665</v>
      </c>
      <c r="Z1180">
        <v>-5.5122610000000001E-3</v>
      </c>
      <c r="AA1180">
        <v>0.99484410000000001</v>
      </c>
      <c r="AB1180">
        <v>28</v>
      </c>
      <c r="AC1180">
        <v>0.71340000000000703</v>
      </c>
      <c r="AD1180">
        <v>-7.8709999999999794E-2</v>
      </c>
      <c r="AE1180">
        <v>-8.6299999999937399E-2</v>
      </c>
      <c r="AF1180">
        <v>8.6720928744260198E-2</v>
      </c>
      <c r="AG1180">
        <v>-7.8709999999999794E-2</v>
      </c>
      <c r="AH1180">
        <v>0.70476639243388495</v>
      </c>
      <c r="AI1180">
        <v>96.325208393618396</v>
      </c>
      <c r="AJ1180">
        <v>82.985063937226798</v>
      </c>
      <c r="AK1180">
        <v>0.71443085843665699</v>
      </c>
      <c r="AL1180">
        <v>71.8832862214215</v>
      </c>
      <c r="AM1180">
        <v>89.569012591956295</v>
      </c>
      <c r="AN1180">
        <v>1.0000000263836</v>
      </c>
    </row>
    <row r="1181" spans="1:40" x14ac:dyDescent="0.25">
      <c r="A1181" t="str">
        <f>"20190304164841009"</f>
        <v>20190304164841009</v>
      </c>
      <c r="B1181" t="str">
        <f>"1551689320997704"</f>
        <v>1551689320997704</v>
      </c>
      <c r="C1181" t="s">
        <v>40</v>
      </c>
      <c r="D1181">
        <v>4.4532400000000001</v>
      </c>
      <c r="E1181">
        <v>0.55661289999999997</v>
      </c>
      <c r="F1181" t="s">
        <v>41</v>
      </c>
      <c r="G1181">
        <v>-250.53219999999999</v>
      </c>
      <c r="H1181">
        <v>1.022424</v>
      </c>
      <c r="I1181">
        <v>367.4778</v>
      </c>
      <c r="J1181">
        <v>-251.33090000000001</v>
      </c>
      <c r="K1181">
        <v>1.1107419999999999</v>
      </c>
      <c r="L1181">
        <v>367.5763</v>
      </c>
      <c r="M1181">
        <v>0.99989899999999998</v>
      </c>
      <c r="N1181">
        <v>-1.406452E-2</v>
      </c>
      <c r="O1181">
        <v>2.1114889999999998E-3</v>
      </c>
      <c r="P1181">
        <v>0.95487489999999997</v>
      </c>
      <c r="Q1181">
        <v>0.2969272</v>
      </c>
      <c r="R1181">
        <v>-6.9700409999999997E-3</v>
      </c>
      <c r="S1181">
        <v>3.2339169999999999</v>
      </c>
      <c r="T1181">
        <v>-0.299562099999999</v>
      </c>
      <c r="U1181">
        <v>-0.33145140000000001</v>
      </c>
      <c r="V1181">
        <v>8.9324590000000002E-3</v>
      </c>
      <c r="W1181">
        <v>0.31032870000000001</v>
      </c>
      <c r="X1181">
        <v>0.95058730000000002</v>
      </c>
      <c r="Y1181">
        <v>0.103546</v>
      </c>
      <c r="Z1181">
        <v>-5.6701159999999898E-3</v>
      </c>
      <c r="AA1181">
        <v>0.99460850000000001</v>
      </c>
      <c r="AB1181">
        <v>28</v>
      </c>
      <c r="AC1181">
        <v>0.79870000000002495</v>
      </c>
      <c r="AD1181">
        <v>-8.8318000000000105E-2</v>
      </c>
      <c r="AE1181">
        <v>-9.8500000000001295E-2</v>
      </c>
      <c r="AF1181">
        <v>9.8994095145532396E-2</v>
      </c>
      <c r="AG1181">
        <v>-8.8318000000000105E-2</v>
      </c>
      <c r="AH1181">
        <v>0.78898754573010998</v>
      </c>
      <c r="AI1181">
        <v>96.337726856017099</v>
      </c>
      <c r="AJ1181">
        <v>82.848482775340102</v>
      </c>
      <c r="AK1181">
        <v>0.80006327706932401</v>
      </c>
      <c r="AL1181">
        <v>71.920958529738996</v>
      </c>
      <c r="AM1181">
        <v>89.461620054766797</v>
      </c>
      <c r="AN1181">
        <v>0.99999995289438204</v>
      </c>
    </row>
    <row r="1182" spans="1:40" x14ac:dyDescent="0.25">
      <c r="A1182" t="str">
        <f>"20190304164841024"</f>
        <v>20190304164841024</v>
      </c>
      <c r="B1182" t="str">
        <f>"1551689321017225"</f>
        <v>1551689321017225</v>
      </c>
      <c r="C1182" t="s">
        <v>40</v>
      </c>
      <c r="D1182">
        <v>4.426647</v>
      </c>
      <c r="E1182">
        <v>0.55694529999999998</v>
      </c>
      <c r="F1182" t="s">
        <v>41</v>
      </c>
      <c r="G1182">
        <v>-250.52539999999999</v>
      </c>
      <c r="H1182">
        <v>1.036365</v>
      </c>
      <c r="I1182">
        <v>367.49160000000001</v>
      </c>
      <c r="J1182">
        <v>-251.154</v>
      </c>
      <c r="K1182">
        <v>1.1107389999999999</v>
      </c>
      <c r="L1182">
        <v>367.57679999999999</v>
      </c>
      <c r="M1182">
        <v>0.99989890000000003</v>
      </c>
      <c r="N1182">
        <v>-1.4062720000000001E-2</v>
      </c>
      <c r="O1182">
        <v>2.1830819999999998E-3</v>
      </c>
      <c r="P1182">
        <v>0.95497019999999999</v>
      </c>
      <c r="Q1182">
        <v>0.29657869999999997</v>
      </c>
      <c r="R1182">
        <v>-8.576162E-3</v>
      </c>
      <c r="S1182">
        <v>3.2322540000000002</v>
      </c>
      <c r="T1182">
        <v>-0.29884739999999999</v>
      </c>
      <c r="U1182">
        <v>-0.338501</v>
      </c>
      <c r="V1182">
        <v>1.060724E-2</v>
      </c>
      <c r="W1182">
        <v>0.30998049999999999</v>
      </c>
      <c r="X1182">
        <v>0.95068379999999997</v>
      </c>
      <c r="Y1182">
        <v>0.1058057</v>
      </c>
      <c r="Z1182">
        <v>-5.7857960000000002E-3</v>
      </c>
      <c r="AA1182">
        <v>0.99436999999999998</v>
      </c>
      <c r="AB1182">
        <v>28</v>
      </c>
      <c r="AC1182">
        <v>0.62860000000003402</v>
      </c>
      <c r="AD1182">
        <v>-7.4373999999999899E-2</v>
      </c>
      <c r="AE1182">
        <v>-8.5199999999986106E-2</v>
      </c>
      <c r="AF1182">
        <v>8.53983024085717E-2</v>
      </c>
      <c r="AG1182">
        <v>-7.4373999999999899E-2</v>
      </c>
      <c r="AH1182">
        <v>0.61989124001170204</v>
      </c>
      <c r="AI1182">
        <v>96.778179213310196</v>
      </c>
      <c r="AJ1182">
        <v>82.156114377631695</v>
      </c>
      <c r="AK1182">
        <v>0.63015038790237299</v>
      </c>
      <c r="AL1182">
        <v>71.941945706902104</v>
      </c>
      <c r="AM1182">
        <v>89.360749739638507</v>
      </c>
      <c r="AN1182">
        <v>1.00000005575155</v>
      </c>
    </row>
    <row r="1183" spans="1:40" x14ac:dyDescent="0.25">
      <c r="A1183" t="str">
        <f>"20190304164841035"</f>
        <v>20190304164841035</v>
      </c>
      <c r="B1183" t="str">
        <f>"1551689321026984"</f>
        <v>1551689321026984</v>
      </c>
      <c r="C1183" t="s">
        <v>40</v>
      </c>
      <c r="D1183">
        <v>4.5767749999999996</v>
      </c>
      <c r="E1183">
        <v>0.55687350000000002</v>
      </c>
      <c r="F1183" t="s">
        <v>41</v>
      </c>
      <c r="G1183">
        <v>-250.2826</v>
      </c>
      <c r="H1183">
        <v>1.030891</v>
      </c>
      <c r="I1183">
        <v>367.48309999999998</v>
      </c>
      <c r="J1183">
        <v>-250.99789999999999</v>
      </c>
      <c r="K1183">
        <v>1.110738</v>
      </c>
      <c r="L1183">
        <v>367.5772</v>
      </c>
      <c r="M1183">
        <v>0.99989859999999997</v>
      </c>
      <c r="N1183">
        <v>-1.406118E-2</v>
      </c>
      <c r="O1183">
        <v>2.2466830000000002E-3</v>
      </c>
      <c r="P1183">
        <v>0.95511650000000003</v>
      </c>
      <c r="Q1183">
        <v>0.29605989999999999</v>
      </c>
      <c r="R1183">
        <v>-1.0058360000000001E-2</v>
      </c>
      <c r="S1183">
        <v>3.2303470000000001</v>
      </c>
      <c r="T1183">
        <v>-0.29620639999999998</v>
      </c>
      <c r="U1183">
        <v>-0.34640500000000002</v>
      </c>
      <c r="V1183">
        <v>1.215083E-2</v>
      </c>
      <c r="W1183">
        <v>0.30946230000000002</v>
      </c>
      <c r="X1183">
        <v>0.95083410000000002</v>
      </c>
      <c r="Y1183">
        <v>0.10833130000000001</v>
      </c>
      <c r="Z1183">
        <v>-5.8814640000000003E-3</v>
      </c>
      <c r="AA1183">
        <v>0.99409749999999997</v>
      </c>
      <c r="AB1183">
        <v>27</v>
      </c>
      <c r="AC1183">
        <v>0.71529999999998495</v>
      </c>
      <c r="AD1183">
        <v>-7.9847000000000001E-2</v>
      </c>
      <c r="AE1183">
        <v>-9.4100000000025802E-2</v>
      </c>
      <c r="AF1183">
        <v>9.4548875452379499E-2</v>
      </c>
      <c r="AG1183">
        <v>-7.9847000000000001E-2</v>
      </c>
      <c r="AH1183">
        <v>0.70643388283430197</v>
      </c>
      <c r="AI1183">
        <v>96.392154992993895</v>
      </c>
      <c r="AJ1183">
        <v>82.376854495424595</v>
      </c>
      <c r="AK1183">
        <v>0.71719165086792402</v>
      </c>
      <c r="AL1183">
        <v>71.973171216786</v>
      </c>
      <c r="AM1183">
        <v>89.267849793283901</v>
      </c>
      <c r="AN1183">
        <v>1.0000000217568901</v>
      </c>
    </row>
    <row r="1184" spans="1:40" x14ac:dyDescent="0.25">
      <c r="A1184" t="str">
        <f>"20190304164841047"</f>
        <v>20190304164841047</v>
      </c>
      <c r="B1184" t="str">
        <f>"1551689321037722"</f>
        <v>1551689321037722</v>
      </c>
      <c r="C1184" t="s">
        <v>40</v>
      </c>
      <c r="D1184">
        <v>4.3995170000000003</v>
      </c>
      <c r="E1184">
        <v>0.55698939999999997</v>
      </c>
      <c r="F1184" t="s">
        <v>41</v>
      </c>
      <c r="G1184">
        <v>-250.0412</v>
      </c>
      <c r="H1184">
        <v>1.0227850000000001</v>
      </c>
      <c r="I1184">
        <v>367.47320000000002</v>
      </c>
      <c r="J1184">
        <v>-250.84710000000001</v>
      </c>
      <c r="K1184">
        <v>1.1107359999999999</v>
      </c>
      <c r="L1184">
        <v>367.57760000000002</v>
      </c>
      <c r="M1184">
        <v>0.99989870000000003</v>
      </c>
      <c r="N1184">
        <v>-1.405962E-2</v>
      </c>
      <c r="O1184">
        <v>2.3076659999999999E-3</v>
      </c>
      <c r="P1184">
        <v>0.95524759999999997</v>
      </c>
      <c r="Q1184">
        <v>0.29558079999999998</v>
      </c>
      <c r="R1184">
        <v>-1.15747E-2</v>
      </c>
      <c r="S1184">
        <v>3.2293699999999999</v>
      </c>
      <c r="T1184">
        <v>-0.29710979999999998</v>
      </c>
      <c r="U1184">
        <v>-0.35037230000000003</v>
      </c>
      <c r="V1184">
        <v>1.372598E-2</v>
      </c>
      <c r="W1184">
        <v>0.30898429999999999</v>
      </c>
      <c r="X1184">
        <v>0.95096809999999998</v>
      </c>
      <c r="Y1184">
        <v>0.1096213</v>
      </c>
      <c r="Z1184">
        <v>-5.9711800000000004E-3</v>
      </c>
      <c r="AA1184">
        <v>0.99395549999999999</v>
      </c>
      <c r="AB1184">
        <v>27</v>
      </c>
      <c r="AC1184">
        <v>0.80590000000000805</v>
      </c>
      <c r="AD1184">
        <v>-8.7951000000000099E-2</v>
      </c>
      <c r="AE1184">
        <v>-0.10439999999999799</v>
      </c>
      <c r="AF1184">
        <v>0.105029378220738</v>
      </c>
      <c r="AG1184">
        <v>-8.7951000000000099E-2</v>
      </c>
      <c r="AH1184">
        <v>0.796329006643823</v>
      </c>
      <c r="AI1184">
        <v>96.248837739052306</v>
      </c>
      <c r="AJ1184">
        <v>82.486515064478297</v>
      </c>
      <c r="AK1184">
        <v>0.80802625917279003</v>
      </c>
      <c r="AL1184">
        <v>72.001969895227901</v>
      </c>
      <c r="AM1184">
        <v>89.173067827340802</v>
      </c>
      <c r="AN1184">
        <v>1.00000001369553</v>
      </c>
    </row>
    <row r="1185" spans="1:40" x14ac:dyDescent="0.25">
      <c r="A1185" t="str">
        <f>"20190304164841065"</f>
        <v>20190304164841065</v>
      </c>
      <c r="B1185" t="str">
        <f>"1551689321057240"</f>
        <v>1551689321057240</v>
      </c>
      <c r="C1185" t="s">
        <v>40</v>
      </c>
      <c r="D1185">
        <v>4.3775199999999996</v>
      </c>
      <c r="E1185">
        <v>0.55716160000000003</v>
      </c>
      <c r="F1185" t="s">
        <v>41</v>
      </c>
      <c r="G1185">
        <v>-250.03479999999999</v>
      </c>
      <c r="H1185">
        <v>1.0360860000000001</v>
      </c>
      <c r="I1185">
        <v>367.48779999999999</v>
      </c>
      <c r="J1185">
        <v>-250.65950000000001</v>
      </c>
      <c r="K1185">
        <v>1.110733</v>
      </c>
      <c r="L1185">
        <v>367.57799999999997</v>
      </c>
      <c r="M1185">
        <v>0.99989850000000002</v>
      </c>
      <c r="N1185">
        <v>-1.405759E-2</v>
      </c>
      <c r="O1185">
        <v>2.3837889999999999E-3</v>
      </c>
      <c r="P1185">
        <v>0.95547179999999998</v>
      </c>
      <c r="Q1185">
        <v>0.29471419999999998</v>
      </c>
      <c r="R1185">
        <v>-1.475363E-2</v>
      </c>
      <c r="S1185">
        <v>3.2281040000000001</v>
      </c>
      <c r="T1185">
        <v>-0.29690250000000001</v>
      </c>
      <c r="U1185">
        <v>-0.35583500000000001</v>
      </c>
      <c r="V1185">
        <v>1.6978210000000001E-2</v>
      </c>
      <c r="W1185">
        <v>0.30811939999999999</v>
      </c>
      <c r="X1185">
        <v>0.95119620000000005</v>
      </c>
      <c r="Y1185">
        <v>0.1113924</v>
      </c>
      <c r="Z1185">
        <v>-6.0685160000000004E-3</v>
      </c>
      <c r="AA1185">
        <v>0.99375800000000003</v>
      </c>
      <c r="AB1185">
        <v>27</v>
      </c>
      <c r="AC1185">
        <v>0.62470000000001802</v>
      </c>
      <c r="AD1185">
        <v>-7.4646999999999894E-2</v>
      </c>
      <c r="AE1185">
        <v>-9.0200000000038402E-2</v>
      </c>
      <c r="AF1185">
        <v>9.0424290880639704E-2</v>
      </c>
      <c r="AG1185">
        <v>-7.4646999999999894E-2</v>
      </c>
      <c r="AH1185">
        <v>0.61586910525856298</v>
      </c>
      <c r="AI1185">
        <v>96.838269821158505</v>
      </c>
      <c r="AJ1185">
        <v>81.647290705128995</v>
      </c>
      <c r="AK1185">
        <v>0.62693179996092796</v>
      </c>
      <c r="AL1185">
        <v>72.054067033342605</v>
      </c>
      <c r="AM1185">
        <v>88.977417605602596</v>
      </c>
      <c r="AN1185">
        <v>1.0000000175828001</v>
      </c>
    </row>
    <row r="1186" spans="1:40" x14ac:dyDescent="0.25">
      <c r="A1186" t="str">
        <f>"20190304164841075"</f>
        <v>20190304164841075</v>
      </c>
      <c r="B1186" t="str">
        <f>"1551689321067000"</f>
        <v>1551689321067000</v>
      </c>
      <c r="C1186" t="s">
        <v>40</v>
      </c>
      <c r="D1186">
        <v>4.3461249999999998</v>
      </c>
      <c r="E1186">
        <v>0.55716189999999999</v>
      </c>
      <c r="F1186" t="s">
        <v>41</v>
      </c>
      <c r="G1186">
        <v>-249.79230000000001</v>
      </c>
      <c r="H1186">
        <v>1.0310900000000001</v>
      </c>
      <c r="I1186">
        <v>367.47980000000001</v>
      </c>
      <c r="J1186">
        <v>-250.51679999999999</v>
      </c>
      <c r="K1186">
        <v>1.110733</v>
      </c>
      <c r="L1186">
        <v>367.57850000000002</v>
      </c>
      <c r="M1186">
        <v>0.99989830000000002</v>
      </c>
      <c r="N1186">
        <v>-1.4056000000000001E-2</v>
      </c>
      <c r="O1186">
        <v>2.4417319999999998E-3</v>
      </c>
      <c r="P1186">
        <v>0.95556790000000003</v>
      </c>
      <c r="Q1186">
        <v>0.29432029999999998</v>
      </c>
      <c r="R1186">
        <v>-1.631204E-2</v>
      </c>
      <c r="S1186">
        <v>3.2255400000000001</v>
      </c>
      <c r="T1186">
        <v>-0.296236</v>
      </c>
      <c r="U1186">
        <v>-0.36532589999999998</v>
      </c>
      <c r="V1186">
        <v>1.8592259999999999E-2</v>
      </c>
      <c r="W1186">
        <v>0.30772509999999997</v>
      </c>
      <c r="X1186">
        <v>0.95129359999999996</v>
      </c>
      <c r="Y1186">
        <v>0.1144105</v>
      </c>
      <c r="Z1186">
        <v>-6.2236699999999997E-3</v>
      </c>
      <c r="AA1186">
        <v>0.99341400000000002</v>
      </c>
      <c r="AB1186">
        <v>27</v>
      </c>
      <c r="AC1186">
        <v>0.72449999999997705</v>
      </c>
      <c r="AD1186">
        <v>-7.9642999999999894E-2</v>
      </c>
      <c r="AE1186">
        <v>-9.8700000000008004E-2</v>
      </c>
      <c r="AF1186">
        <v>9.9290924796736998E-2</v>
      </c>
      <c r="AG1186">
        <v>-7.9642999999999894E-2</v>
      </c>
      <c r="AH1186">
        <v>0.71576496086362096</v>
      </c>
      <c r="AI1186">
        <v>96.289434343033903</v>
      </c>
      <c r="AJ1186">
        <v>82.102330265109899</v>
      </c>
      <c r="AK1186">
        <v>0.72699461785909603</v>
      </c>
      <c r="AL1186">
        <v>72.077811473785005</v>
      </c>
      <c r="AM1186">
        <v>88.880343117391803</v>
      </c>
      <c r="AN1186">
        <v>0.99999996135143798</v>
      </c>
    </row>
    <row r="1187" spans="1:40" x14ac:dyDescent="0.25">
      <c r="A1187" t="str">
        <f>"20190304164841087"</f>
        <v>20190304164841087</v>
      </c>
      <c r="B1187" t="str">
        <f>"1551689321077736"</f>
        <v>1551689321077736</v>
      </c>
      <c r="C1187" t="s">
        <v>40</v>
      </c>
      <c r="D1187">
        <v>4.4305430000000001</v>
      </c>
      <c r="E1187">
        <v>0.55716940000000004</v>
      </c>
      <c r="F1187" t="s">
        <v>41</v>
      </c>
      <c r="G1187">
        <v>-249.55170000000001</v>
      </c>
      <c r="H1187">
        <v>1.0224899999999999</v>
      </c>
      <c r="I1187">
        <v>367.4676</v>
      </c>
      <c r="J1187">
        <v>-250.3689</v>
      </c>
      <c r="K1187">
        <v>1.110738</v>
      </c>
      <c r="L1187">
        <v>367.57889999999998</v>
      </c>
      <c r="M1187">
        <v>0.99989819999999996</v>
      </c>
      <c r="N1187">
        <v>-1.405432E-2</v>
      </c>
      <c r="O1187">
        <v>2.5018200000000001E-3</v>
      </c>
      <c r="P1187">
        <v>0.95560630000000002</v>
      </c>
      <c r="Q1187">
        <v>0.29411140000000002</v>
      </c>
      <c r="R1187">
        <v>-1.7759759999999999E-2</v>
      </c>
      <c r="S1187">
        <v>3.2240600000000001</v>
      </c>
      <c r="T1187">
        <v>-0.29498829999999998</v>
      </c>
      <c r="U1187">
        <v>-0.369751</v>
      </c>
      <c r="V1187">
        <v>2.0097690000000001E-2</v>
      </c>
      <c r="W1187">
        <v>0.3075155</v>
      </c>
      <c r="X1187">
        <v>0.95133080000000003</v>
      </c>
      <c r="Y1187">
        <v>0.11586390000000001</v>
      </c>
      <c r="Z1187">
        <v>-6.283856E-3</v>
      </c>
      <c r="AA1187">
        <v>0.99324520000000005</v>
      </c>
      <c r="AB1187">
        <v>27</v>
      </c>
      <c r="AC1187">
        <v>0.81719999999998505</v>
      </c>
      <c r="AD1187">
        <v>-8.8248000000000104E-2</v>
      </c>
      <c r="AE1187">
        <v>-0.11129999999997101</v>
      </c>
      <c r="AF1187">
        <v>0.112061340609014</v>
      </c>
      <c r="AG1187">
        <v>-8.8248000000000104E-2</v>
      </c>
      <c r="AH1187">
        <v>0.80767185649330997</v>
      </c>
      <c r="AI1187">
        <v>96.176821347766094</v>
      </c>
      <c r="AJ1187">
        <v>82.100862401491895</v>
      </c>
      <c r="AK1187">
        <v>0.82017027581742996</v>
      </c>
      <c r="AL1187">
        <v>72.090433313757899</v>
      </c>
      <c r="AM1187">
        <v>88.7897568824676</v>
      </c>
      <c r="AN1187">
        <v>0.99999999545611296</v>
      </c>
    </row>
    <row r="1188" spans="1:40" x14ac:dyDescent="0.25">
      <c r="A1188" t="str">
        <f>"20190304164841101"</f>
        <v>20190304164841101</v>
      </c>
      <c r="B1188" t="str">
        <f>"1551689321097256"</f>
        <v>1551689321097256</v>
      </c>
      <c r="C1188" t="s">
        <v>40</v>
      </c>
      <c r="D1188">
        <v>4.383623</v>
      </c>
      <c r="E1188">
        <v>0.55714390000000003</v>
      </c>
      <c r="F1188" t="s">
        <v>41</v>
      </c>
      <c r="G1188">
        <v>-249.5455</v>
      </c>
      <c r="H1188">
        <v>1.0356909999999999</v>
      </c>
      <c r="I1188">
        <v>367.48340000000002</v>
      </c>
      <c r="J1188">
        <v>-250.2047</v>
      </c>
      <c r="K1188">
        <v>1.110741</v>
      </c>
      <c r="L1188">
        <v>367.57929999999999</v>
      </c>
      <c r="M1188">
        <v>0.99989810000000001</v>
      </c>
      <c r="N1188">
        <v>-1.4052469999999999E-2</v>
      </c>
      <c r="O1188">
        <v>2.5685270000000001E-3</v>
      </c>
      <c r="P1188">
        <v>0.95566030000000002</v>
      </c>
      <c r="Q1188">
        <v>0.29384060000000001</v>
      </c>
      <c r="R1188">
        <v>-1.9271900000000002E-2</v>
      </c>
      <c r="S1188">
        <v>3.222931</v>
      </c>
      <c r="T1188">
        <v>-0.29396860000000002</v>
      </c>
      <c r="U1188">
        <v>-0.37304690000000001</v>
      </c>
      <c r="V1188">
        <v>2.167376E-2</v>
      </c>
      <c r="W1188">
        <v>0.30724420000000002</v>
      </c>
      <c r="X1188">
        <v>0.95138389999999995</v>
      </c>
      <c r="Y1188">
        <v>0.1169698</v>
      </c>
      <c r="Z1188">
        <v>-6.3295399999999998E-3</v>
      </c>
      <c r="AA1188">
        <v>0.99311530000000003</v>
      </c>
      <c r="AB1188">
        <v>27</v>
      </c>
      <c r="AC1188">
        <v>0.65919999999999801</v>
      </c>
      <c r="AD1188">
        <v>-7.5050000000000006E-2</v>
      </c>
      <c r="AE1188">
        <v>-9.5899999999971897E-2</v>
      </c>
      <c r="AF1188">
        <v>9.6369781877187297E-2</v>
      </c>
      <c r="AG1188">
        <v>-7.5050000000000006E-2</v>
      </c>
      <c r="AH1188">
        <v>0.65069210881072603</v>
      </c>
      <c r="AI1188">
        <v>96.508970433659798</v>
      </c>
      <c r="AJ1188">
        <v>81.575533934479395</v>
      </c>
      <c r="AK1188">
        <v>0.66205729195259699</v>
      </c>
      <c r="AL1188">
        <v>72.106769277927597</v>
      </c>
      <c r="AM1188">
        <v>88.694953517479902</v>
      </c>
      <c r="AN1188">
        <v>1.0000000377426901</v>
      </c>
    </row>
    <row r="1189" spans="1:40" x14ac:dyDescent="0.25">
      <c r="A1189" t="str">
        <f>"20190304164841113"</f>
        <v>20190304164841113</v>
      </c>
      <c r="B1189" t="str">
        <f>"1551689321107016"</f>
        <v>1551689321107016</v>
      </c>
      <c r="C1189" t="s">
        <v>40</v>
      </c>
      <c r="D1189">
        <v>4.367432</v>
      </c>
      <c r="E1189">
        <v>0.55708800000000003</v>
      </c>
      <c r="F1189" t="s">
        <v>41</v>
      </c>
      <c r="G1189">
        <v>-249.30420000000001</v>
      </c>
      <c r="H1189">
        <v>1.0293509999999999</v>
      </c>
      <c r="I1189">
        <v>367.47379999999998</v>
      </c>
      <c r="J1189">
        <v>-250.03870000000001</v>
      </c>
      <c r="K1189">
        <v>1.110741</v>
      </c>
      <c r="L1189">
        <v>367.57979999999998</v>
      </c>
      <c r="M1189">
        <v>0.99989790000000001</v>
      </c>
      <c r="N1189">
        <v>-1.405061E-2</v>
      </c>
      <c r="O1189">
        <v>2.6355340000000001E-3</v>
      </c>
      <c r="P1189">
        <v>0.95560869999999998</v>
      </c>
      <c r="Q1189">
        <v>0.29392239999999997</v>
      </c>
      <c r="R1189">
        <v>-2.0539620000000001E-2</v>
      </c>
      <c r="S1189">
        <v>3.2211460000000001</v>
      </c>
      <c r="T1189">
        <v>-0.29126819999999998</v>
      </c>
      <c r="U1189">
        <v>-0.37689210000000001</v>
      </c>
      <c r="V1189">
        <v>2.3005390000000001E-2</v>
      </c>
      <c r="W1189">
        <v>0.30732350000000003</v>
      </c>
      <c r="X1189">
        <v>0.95132700000000003</v>
      </c>
      <c r="Y1189">
        <v>0.1182716</v>
      </c>
      <c r="Z1189">
        <v>-6.3542540000000002E-3</v>
      </c>
      <c r="AA1189">
        <v>0.99296090000000004</v>
      </c>
      <c r="AB1189">
        <v>27</v>
      </c>
      <c r="AC1189">
        <v>0.73449999999999704</v>
      </c>
      <c r="AD1189">
        <v>-8.1389999999999796E-2</v>
      </c>
      <c r="AE1189">
        <v>-0.105999999999994</v>
      </c>
      <c r="AF1189">
        <v>0.106652764888598</v>
      </c>
      <c r="AG1189">
        <v>-8.1389999999999796E-2</v>
      </c>
      <c r="AH1189">
        <v>0.72549158244037704</v>
      </c>
      <c r="AI1189">
        <v>96.333510557340304</v>
      </c>
      <c r="AJ1189">
        <v>81.636987548313897</v>
      </c>
      <c r="AK1189">
        <v>0.73779209846014604</v>
      </c>
      <c r="AL1189">
        <v>72.101994414951804</v>
      </c>
      <c r="AM1189">
        <v>88.614719330082394</v>
      </c>
      <c r="AN1189">
        <v>1.0000000212751501</v>
      </c>
    </row>
    <row r="1190" spans="1:40" x14ac:dyDescent="0.25">
      <c r="A1190" t="str">
        <f>"20190304164841127"</f>
        <v>20190304164841127</v>
      </c>
      <c r="B1190" t="str">
        <f>"1551689321117753"</f>
        <v>1551689321117753</v>
      </c>
      <c r="C1190" t="s">
        <v>40</v>
      </c>
      <c r="D1190">
        <v>4.3737240000000002</v>
      </c>
      <c r="E1190">
        <v>0.55708400000000002</v>
      </c>
      <c r="F1190" t="s">
        <v>41</v>
      </c>
      <c r="G1190">
        <v>-249.29669999999999</v>
      </c>
      <c r="H1190">
        <v>1.0439369999999999</v>
      </c>
      <c r="I1190">
        <v>367.4923</v>
      </c>
      <c r="J1190">
        <v>-249.88380000000001</v>
      </c>
      <c r="K1190">
        <v>1.1107400000000001</v>
      </c>
      <c r="L1190">
        <v>367.58030000000002</v>
      </c>
      <c r="M1190">
        <v>0.9998977</v>
      </c>
      <c r="N1190">
        <v>-1.404889E-2</v>
      </c>
      <c r="O1190">
        <v>2.6983649999999999E-3</v>
      </c>
      <c r="P1190">
        <v>0.95563189999999998</v>
      </c>
      <c r="Q1190">
        <v>0.29375820000000002</v>
      </c>
      <c r="R1190">
        <v>-2.177045E-2</v>
      </c>
      <c r="S1190">
        <v>3.2204280000000001</v>
      </c>
      <c r="T1190">
        <v>-0.29009469999999998</v>
      </c>
      <c r="U1190">
        <v>-0.379303</v>
      </c>
      <c r="V1190">
        <v>2.4296399999999999E-2</v>
      </c>
      <c r="W1190">
        <v>0.3071584</v>
      </c>
      <c r="X1190">
        <v>0.95134819999999998</v>
      </c>
      <c r="Y1190">
        <v>0.1190928</v>
      </c>
      <c r="Z1190">
        <v>-6.3802049999999999E-3</v>
      </c>
      <c r="AA1190">
        <v>0.99286260000000004</v>
      </c>
      <c r="AB1190">
        <v>27</v>
      </c>
      <c r="AC1190">
        <v>0.58710000000002005</v>
      </c>
      <c r="AD1190">
        <v>-6.6802999999999904E-2</v>
      </c>
      <c r="AE1190">
        <v>-8.8000000000022199E-2</v>
      </c>
      <c r="AF1190">
        <v>8.8463874481298194E-2</v>
      </c>
      <c r="AG1190">
        <v>-6.6802999999999904E-2</v>
      </c>
      <c r="AH1190">
        <v>0.57952219802663196</v>
      </c>
      <c r="AI1190">
        <v>96.500957462740402</v>
      </c>
      <c r="AJ1190">
        <v>81.320817962396703</v>
      </c>
      <c r="AK1190">
        <v>0.59002921614345605</v>
      </c>
      <c r="AL1190">
        <v>72.111934308121903</v>
      </c>
      <c r="AM1190">
        <v>88.537046014769004</v>
      </c>
      <c r="AN1190">
        <v>0.99999999769337899</v>
      </c>
    </row>
    <row r="1191" spans="1:40" x14ac:dyDescent="0.25">
      <c r="A1191" t="str">
        <f>"20190304164841141"</f>
        <v>20190304164841141</v>
      </c>
      <c r="B1191" t="str">
        <f>"1551689321127514"</f>
        <v>1551689321127514</v>
      </c>
      <c r="C1191" t="s">
        <v>40</v>
      </c>
      <c r="D1191">
        <v>4.3687420000000001</v>
      </c>
      <c r="E1191">
        <v>0.55706069999999996</v>
      </c>
      <c r="F1191" t="s">
        <v>41</v>
      </c>
      <c r="G1191">
        <v>-249.05670000000001</v>
      </c>
      <c r="H1191">
        <v>1.0365549999999999</v>
      </c>
      <c r="I1191">
        <v>367.48180000000002</v>
      </c>
      <c r="J1191">
        <v>-249.72139999999999</v>
      </c>
      <c r="K1191">
        <v>1.1107400000000001</v>
      </c>
      <c r="L1191">
        <v>367.58080000000001</v>
      </c>
      <c r="M1191">
        <v>0.99989760000000005</v>
      </c>
      <c r="N1191">
        <v>-1.404709E-2</v>
      </c>
      <c r="O1191">
        <v>2.7641749999999998E-3</v>
      </c>
      <c r="P1191">
        <v>0.95540829999999999</v>
      </c>
      <c r="Q1191">
        <v>0.29427750000000003</v>
      </c>
      <c r="R1191">
        <v>-2.4412079999999999E-2</v>
      </c>
      <c r="S1191">
        <v>3.219452</v>
      </c>
      <c r="T1191">
        <v>-0.28915849999999998</v>
      </c>
      <c r="U1191">
        <v>-0.38253779999999998</v>
      </c>
      <c r="V1191">
        <v>2.700031E-2</v>
      </c>
      <c r="W1191">
        <v>0.30767290000000003</v>
      </c>
      <c r="X1191">
        <v>0.95110899999999998</v>
      </c>
      <c r="Y1191">
        <v>0.1201748</v>
      </c>
      <c r="Z1191">
        <v>-6.4244899999999997E-3</v>
      </c>
      <c r="AA1191">
        <v>0.9927319</v>
      </c>
      <c r="AB1191">
        <v>27</v>
      </c>
      <c r="AC1191">
        <v>0.66469999999998197</v>
      </c>
      <c r="AD1191">
        <v>-7.4185000000000098E-2</v>
      </c>
      <c r="AE1191">
        <v>-9.8999999999989499E-2</v>
      </c>
      <c r="AF1191">
        <v>9.9623167097587298E-2</v>
      </c>
      <c r="AG1191">
        <v>-7.4185000000000098E-2</v>
      </c>
      <c r="AH1191">
        <v>0.65642475273815404</v>
      </c>
      <c r="AI1191">
        <v>96.375457282348293</v>
      </c>
      <c r="AJ1191">
        <v>81.370284569893499</v>
      </c>
      <c r="AK1191">
        <v>0.66807308406708099</v>
      </c>
      <c r="AL1191">
        <v>72.080955162468996</v>
      </c>
      <c r="AM1191">
        <v>88.373910417587993</v>
      </c>
      <c r="AN1191">
        <v>0.99999998000775203</v>
      </c>
    </row>
    <row r="1192" spans="1:40" x14ac:dyDescent="0.25">
      <c r="A1192" t="str">
        <f>"20190304164841151"</f>
        <v>20190304164841151</v>
      </c>
      <c r="B1192" t="str">
        <f>"1551689321147032"</f>
        <v>1551689321147032</v>
      </c>
      <c r="C1192" t="s">
        <v>40</v>
      </c>
      <c r="D1192">
        <v>4.4765600000000001</v>
      </c>
      <c r="E1192">
        <v>0.55698400000000003</v>
      </c>
      <c r="F1192" t="s">
        <v>41</v>
      </c>
      <c r="G1192">
        <v>-248.8159</v>
      </c>
      <c r="H1192">
        <v>1.0302659999999999</v>
      </c>
      <c r="I1192">
        <v>367.47109999999998</v>
      </c>
      <c r="J1192">
        <v>-249.58070000000001</v>
      </c>
      <c r="K1192">
        <v>1.1107450000000001</v>
      </c>
      <c r="L1192">
        <v>367.58120000000002</v>
      </c>
      <c r="M1192">
        <v>0.99989749999999999</v>
      </c>
      <c r="N1192">
        <v>-1.404554E-2</v>
      </c>
      <c r="O1192">
        <v>2.821577E-3</v>
      </c>
      <c r="P1192">
        <v>0.95533190000000001</v>
      </c>
      <c r="Q1192">
        <v>0.29442220000000002</v>
      </c>
      <c r="R1192">
        <v>-2.5632769999999999E-2</v>
      </c>
      <c r="S1192">
        <v>3.218124</v>
      </c>
      <c r="T1192">
        <v>-0.285991</v>
      </c>
      <c r="U1192">
        <v>-0.3899841</v>
      </c>
      <c r="V1192">
        <v>2.8275749999999999E-2</v>
      </c>
      <c r="W1192">
        <v>0.30781530000000001</v>
      </c>
      <c r="X1192">
        <v>0.95102580000000003</v>
      </c>
      <c r="Y1192">
        <v>0.12254420000000001</v>
      </c>
      <c r="Z1192">
        <v>-6.4904359999999996E-3</v>
      </c>
      <c r="AA1192">
        <v>0.99244180000000004</v>
      </c>
      <c r="AB1192">
        <v>27</v>
      </c>
      <c r="AC1192">
        <v>0.76480000000000803</v>
      </c>
      <c r="AD1192">
        <v>-8.0479000000000106E-2</v>
      </c>
      <c r="AE1192">
        <v>-0.110100000000045</v>
      </c>
      <c r="AF1192">
        <v>0.111052982326642</v>
      </c>
      <c r="AG1192">
        <v>-8.0479000000000106E-2</v>
      </c>
      <c r="AH1192">
        <v>0.75628190962843</v>
      </c>
      <c r="AI1192">
        <v>96.010243025388306</v>
      </c>
      <c r="AJ1192">
        <v>81.646345978543096</v>
      </c>
      <c r="AK1192">
        <v>0.76861691443518598</v>
      </c>
      <c r="AL1192">
        <v>72.072379060821802</v>
      </c>
      <c r="AM1192">
        <v>88.296992556729407</v>
      </c>
      <c r="AN1192">
        <v>0.99999992460889298</v>
      </c>
    </row>
    <row r="1193" spans="1:40" x14ac:dyDescent="0.25">
      <c r="A1193" t="str">
        <f>"20190304164841164"</f>
        <v>20190304164841164</v>
      </c>
      <c r="B1193" t="str">
        <f>"1551689321157768"</f>
        <v>1551689321157768</v>
      </c>
      <c r="C1193" t="s">
        <v>40</v>
      </c>
      <c r="D1193">
        <v>4.4187960000000004</v>
      </c>
      <c r="E1193">
        <v>0.53853260000000003</v>
      </c>
      <c r="F1193" t="s">
        <v>41</v>
      </c>
      <c r="G1193">
        <v>-248.8098</v>
      </c>
      <c r="H1193">
        <v>1.0427150000000001</v>
      </c>
      <c r="I1193">
        <v>367.48719999999997</v>
      </c>
      <c r="J1193">
        <v>-249.43109999999999</v>
      </c>
      <c r="K1193">
        <v>1.110746</v>
      </c>
      <c r="L1193">
        <v>367.58170000000001</v>
      </c>
      <c r="M1193">
        <v>0.99989740000000005</v>
      </c>
      <c r="N1193">
        <v>-1.404388E-2</v>
      </c>
      <c r="O1193">
        <v>2.8822029999999998E-3</v>
      </c>
      <c r="P1193">
        <v>0.95533970000000001</v>
      </c>
      <c r="Q1193">
        <v>0.29426809999999998</v>
      </c>
      <c r="R1193">
        <v>-2.706855E-2</v>
      </c>
      <c r="S1193">
        <v>3.2172239999999999</v>
      </c>
      <c r="T1193">
        <v>-0.28385719999999998</v>
      </c>
      <c r="U1193">
        <v>-0.39248660000000002</v>
      </c>
      <c r="V1193">
        <v>2.9769520000000001E-2</v>
      </c>
      <c r="W1193">
        <v>0.30765979999999998</v>
      </c>
      <c r="X1193">
        <v>0.95103059999999995</v>
      </c>
      <c r="Y1193">
        <v>0.12340180000000001</v>
      </c>
      <c r="Z1193">
        <v>-6.4977029999999996E-3</v>
      </c>
      <c r="AA1193">
        <v>0.99233550000000004</v>
      </c>
      <c r="AB1193">
        <v>27</v>
      </c>
      <c r="AC1193">
        <v>0.62129999999998997</v>
      </c>
      <c r="AD1193">
        <v>-6.8030999999999897E-2</v>
      </c>
      <c r="AE1193">
        <v>-9.4500000000039094E-2</v>
      </c>
      <c r="AF1193">
        <v>9.51751702081092E-2</v>
      </c>
      <c r="AG1193">
        <v>-6.8030999999999897E-2</v>
      </c>
      <c r="AH1193">
        <v>0.61383173351801401</v>
      </c>
      <c r="AI1193">
        <v>96.250201795007598</v>
      </c>
      <c r="AJ1193">
        <v>81.186418420805197</v>
      </c>
      <c r="AK1193">
        <v>0.62488073026688296</v>
      </c>
      <c r="AL1193">
        <v>72.081744176117994</v>
      </c>
      <c r="AM1193">
        <v>88.207091245883007</v>
      </c>
      <c r="AN1193">
        <v>0.99999998949671498</v>
      </c>
    </row>
    <row r="1194" spans="1:40" x14ac:dyDescent="0.25">
      <c r="A1194" t="str">
        <f>"20190304164841176"</f>
        <v>20190304164841176</v>
      </c>
      <c r="B1194" t="str">
        <f>"1551689321167528"</f>
        <v>1551689321167528</v>
      </c>
      <c r="C1194" t="s">
        <v>40</v>
      </c>
      <c r="D1194">
        <v>4.431845</v>
      </c>
      <c r="E1194">
        <v>0.53662659999999995</v>
      </c>
      <c r="F1194" t="s">
        <v>42</v>
      </c>
      <c r="G1194">
        <v>-230.3526</v>
      </c>
      <c r="H1194" s="1">
        <v>-4.758729E-6</v>
      </c>
      <c r="I1194">
        <v>366.0213</v>
      </c>
      <c r="J1194">
        <v>-249.29150000000001</v>
      </c>
      <c r="K1194">
        <v>1.1107450000000001</v>
      </c>
      <c r="L1194">
        <v>367.5822</v>
      </c>
      <c r="M1194">
        <v>0.99989709999999998</v>
      </c>
      <c r="N1194">
        <v>-1.404232E-2</v>
      </c>
      <c r="O1194">
        <v>2.9387770000000001E-3</v>
      </c>
      <c r="P1194">
        <v>0.95535559999999997</v>
      </c>
      <c r="Q1194">
        <v>0.29411019999999999</v>
      </c>
      <c r="R1194">
        <v>-2.8193800000000001E-2</v>
      </c>
      <c r="S1194">
        <v>3.1900330000000001</v>
      </c>
      <c r="T1194">
        <v>-0.18572279999999999</v>
      </c>
      <c r="U1194">
        <v>-0.26089479999999998</v>
      </c>
      <c r="V1194">
        <v>3.094885E-2</v>
      </c>
      <c r="W1194">
        <v>0.30750100000000002</v>
      </c>
      <c r="X1194">
        <v>0.95104429999999995</v>
      </c>
      <c r="Y1194">
        <v>8.4262119999999996E-2</v>
      </c>
      <c r="Z1194">
        <v>-3.169458E-3</v>
      </c>
      <c r="AA1194">
        <v>0.99643859999999995</v>
      </c>
      <c r="AB1194">
        <v>27</v>
      </c>
      <c r="AC1194">
        <v>18.9389</v>
      </c>
      <c r="AD1194">
        <v>-1.1107497587289901</v>
      </c>
      <c r="AE1194">
        <v>-1.5609</v>
      </c>
      <c r="AF1194">
        <v>1.61105177223267</v>
      </c>
      <c r="AG1194">
        <v>-1.1107497587289901</v>
      </c>
      <c r="AH1194">
        <v>18.869761850966999</v>
      </c>
      <c r="AI1194">
        <v>93.356588436118301</v>
      </c>
      <c r="AJ1194">
        <v>85.120067738604405</v>
      </c>
      <c r="AK1194">
        <v>18.970955831257999</v>
      </c>
      <c r="AL1194">
        <v>72.091306092917804</v>
      </c>
      <c r="AM1194">
        <v>88.136140511907698</v>
      </c>
      <c r="AN1194">
        <v>0.99999997843990596</v>
      </c>
    </row>
    <row r="1195" spans="1:40" x14ac:dyDescent="0.25">
      <c r="A1195" t="str">
        <f>"20190304164841187"</f>
        <v>20190304164841187</v>
      </c>
      <c r="B1195" t="str">
        <f>"1551689321177288"</f>
        <v>1551689321177288</v>
      </c>
      <c r="C1195" t="s">
        <v>40</v>
      </c>
      <c r="D1195">
        <v>4.4239810000000004</v>
      </c>
      <c r="E1195">
        <v>0.53529939999999998</v>
      </c>
      <c r="F1195" t="s">
        <v>41</v>
      </c>
      <c r="G1195">
        <v>-248.31979999999999</v>
      </c>
      <c r="H1195">
        <v>1.047493</v>
      </c>
      <c r="I1195">
        <v>367.50729999999999</v>
      </c>
      <c r="J1195">
        <v>-249.14940000000001</v>
      </c>
      <c r="K1195">
        <v>1.1107400000000001</v>
      </c>
      <c r="L1195">
        <v>367.58260000000001</v>
      </c>
      <c r="M1195">
        <v>0.99989700000000004</v>
      </c>
      <c r="N1195">
        <v>-1.404072E-2</v>
      </c>
      <c r="O1195">
        <v>2.9963609999999999E-3</v>
      </c>
      <c r="P1195">
        <v>0.95543800000000001</v>
      </c>
      <c r="Q1195">
        <v>0.29372859999999901</v>
      </c>
      <c r="R1195">
        <v>-2.935956E-2</v>
      </c>
      <c r="S1195">
        <v>3.1970670000000001</v>
      </c>
      <c r="T1195">
        <v>-0.2082849</v>
      </c>
      <c r="U1195">
        <v>-0.24588009999999999</v>
      </c>
      <c r="V1195">
        <v>3.217006E-2</v>
      </c>
      <c r="W1195">
        <v>0.30711899999999998</v>
      </c>
      <c r="X1195">
        <v>0.95112719999999995</v>
      </c>
      <c r="Y1195">
        <v>7.9461359999999995E-2</v>
      </c>
      <c r="Z1195">
        <v>-3.2940209999999998E-3</v>
      </c>
      <c r="AA1195">
        <v>0.99683250000000001</v>
      </c>
      <c r="AB1195">
        <v>27</v>
      </c>
      <c r="AC1195">
        <v>0.82960000000002698</v>
      </c>
      <c r="AD1195">
        <v>-6.3246999999999998E-2</v>
      </c>
      <c r="AE1195">
        <v>-7.5300000000026998E-2</v>
      </c>
      <c r="AF1195">
        <v>7.7339844474949598E-2</v>
      </c>
      <c r="AG1195">
        <v>-6.3246999999999998E-2</v>
      </c>
      <c r="AH1195">
        <v>0.82461693194174701</v>
      </c>
      <c r="AI1195">
        <v>94.366832273914497</v>
      </c>
      <c r="AJ1195">
        <v>84.6419704330347</v>
      </c>
      <c r="AK1195">
        <v>0.83064716877711098</v>
      </c>
      <c r="AL1195">
        <v>72.114305938665893</v>
      </c>
      <c r="AM1195">
        <v>88.062818233976898</v>
      </c>
      <c r="AN1195">
        <v>0.99999997175062105</v>
      </c>
    </row>
    <row r="1196" spans="1:40" x14ac:dyDescent="0.25">
      <c r="A1196" t="str">
        <f>"20190304164841199"</f>
        <v>20190304164841199</v>
      </c>
      <c r="B1196" t="str">
        <f>"1551689321187048"</f>
        <v>1551689321187048</v>
      </c>
      <c r="C1196" t="s">
        <v>40</v>
      </c>
      <c r="D1196">
        <v>4.4425439999999998</v>
      </c>
      <c r="E1196">
        <v>0.53433409999999903</v>
      </c>
      <c r="F1196" t="s">
        <v>41</v>
      </c>
      <c r="G1196">
        <v>-248.31540000000001</v>
      </c>
      <c r="H1196">
        <v>1.052665</v>
      </c>
      <c r="I1196">
        <v>367.5206</v>
      </c>
      <c r="J1196">
        <v>-249.012</v>
      </c>
      <c r="K1196">
        <v>1.1107359999999999</v>
      </c>
      <c r="L1196">
        <v>367.5831</v>
      </c>
      <c r="M1196">
        <v>0.99989680000000003</v>
      </c>
      <c r="N1196">
        <v>-1.403917E-2</v>
      </c>
      <c r="O1196">
        <v>3.052216E-3</v>
      </c>
      <c r="P1196">
        <v>0.95548520000000003</v>
      </c>
      <c r="Q1196">
        <v>0.29345779999999999</v>
      </c>
      <c r="R1196">
        <v>-3.0509129999999999E-2</v>
      </c>
      <c r="S1196">
        <v>3.2012019999999999</v>
      </c>
      <c r="T1196">
        <v>-0.22310360000000001</v>
      </c>
      <c r="U1196">
        <v>-0.23730470000000001</v>
      </c>
      <c r="V1196">
        <v>3.3373319999999998E-2</v>
      </c>
      <c r="W1196">
        <v>0.3068475</v>
      </c>
      <c r="X1196">
        <v>0.95117339999999995</v>
      </c>
      <c r="Y1196">
        <v>7.6743439999999996E-2</v>
      </c>
      <c r="Z1196">
        <v>-3.3770610000000002E-3</v>
      </c>
      <c r="AA1196">
        <v>0.99704519999999996</v>
      </c>
      <c r="AB1196">
        <v>27</v>
      </c>
      <c r="AC1196">
        <v>0.69659999999998901</v>
      </c>
      <c r="AD1196">
        <v>-5.8071000000000199E-2</v>
      </c>
      <c r="AE1196">
        <v>-6.25E-2</v>
      </c>
      <c r="AF1196">
        <v>6.4183611891276304E-2</v>
      </c>
      <c r="AG1196">
        <v>-5.8071000000000199E-2</v>
      </c>
      <c r="AH1196">
        <v>0.69163783925975597</v>
      </c>
      <c r="AI1196">
        <v>94.778949281629195</v>
      </c>
      <c r="AJ1196">
        <v>84.698167643644993</v>
      </c>
      <c r="AK1196">
        <v>0.69703276664179503</v>
      </c>
      <c r="AL1196">
        <v>72.130651519452698</v>
      </c>
      <c r="AM1196">
        <v>87.990517495821507</v>
      </c>
      <c r="AN1196">
        <v>1.0000000018058099</v>
      </c>
    </row>
    <row r="1197" spans="1:40" x14ac:dyDescent="0.25">
      <c r="A1197" t="str">
        <f>"20190304164841209"</f>
        <v>20190304164841209</v>
      </c>
      <c r="B1197" t="str">
        <f>"1551689321197784"</f>
        <v>1551689321197784</v>
      </c>
      <c r="C1197" t="s">
        <v>40</v>
      </c>
      <c r="D1197">
        <v>4.4200049999999997</v>
      </c>
      <c r="E1197">
        <v>0.53365620000000002</v>
      </c>
      <c r="F1197" t="s">
        <v>41</v>
      </c>
      <c r="G1197">
        <v>-248.08029999999999</v>
      </c>
      <c r="H1197">
        <v>1.0439590000000001</v>
      </c>
      <c r="I1197">
        <v>367.51519999999999</v>
      </c>
      <c r="J1197">
        <v>-248.87899999999999</v>
      </c>
      <c r="K1197">
        <v>1.110735</v>
      </c>
      <c r="L1197">
        <v>367.58359999999999</v>
      </c>
      <c r="M1197">
        <v>0.99989660000000002</v>
      </c>
      <c r="N1197">
        <v>-1.403767E-2</v>
      </c>
      <c r="O1197">
        <v>3.106461E-3</v>
      </c>
      <c r="P1197">
        <v>0.95564660000000001</v>
      </c>
      <c r="Q1197">
        <v>0.29283700000000001</v>
      </c>
      <c r="R1197">
        <v>-3.14066E-2</v>
      </c>
      <c r="S1197">
        <v>3.2028810000000001</v>
      </c>
      <c r="T1197">
        <v>-0.2297353</v>
      </c>
      <c r="U1197">
        <v>-0.23272709999999999</v>
      </c>
      <c r="V1197">
        <v>3.4323220000000002E-2</v>
      </c>
      <c r="W1197">
        <v>0.30622749999999999</v>
      </c>
      <c r="X1197">
        <v>0.95133939999999995</v>
      </c>
      <c r="Y1197">
        <v>7.5333360000000002E-2</v>
      </c>
      <c r="Z1197">
        <v>-3.4037630000000002E-3</v>
      </c>
      <c r="AA1197">
        <v>0.99715259999999994</v>
      </c>
      <c r="AB1197">
        <v>27</v>
      </c>
      <c r="AC1197">
        <v>0.79870000000002495</v>
      </c>
      <c r="AD1197">
        <v>-6.6775999999999905E-2</v>
      </c>
      <c r="AE1197">
        <v>-6.8399999999996894E-2</v>
      </c>
      <c r="AF1197">
        <v>7.0392587337715404E-2</v>
      </c>
      <c r="AG1197">
        <v>-6.6775999999999905E-2</v>
      </c>
      <c r="AH1197">
        <v>0.79298110836721403</v>
      </c>
      <c r="AI1197">
        <v>94.794687901255102</v>
      </c>
      <c r="AJ1197">
        <v>84.9271754217867</v>
      </c>
      <c r="AK1197">
        <v>0.79889497980359903</v>
      </c>
      <c r="AL1197">
        <v>72.1679716857725</v>
      </c>
      <c r="AM1197">
        <v>87.933731089688294</v>
      </c>
      <c r="AN1197">
        <v>1.00000000958988</v>
      </c>
    </row>
    <row r="1198" spans="1:40" x14ac:dyDescent="0.25">
      <c r="A1198" t="str">
        <f>"20190304164841220"</f>
        <v>20190304164841220</v>
      </c>
      <c r="B1198" t="str">
        <f>"1551689321207544"</f>
        <v>1551689321207544</v>
      </c>
      <c r="C1198" t="s">
        <v>40</v>
      </c>
      <c r="D1198">
        <v>4.43466</v>
      </c>
      <c r="E1198">
        <v>0.53315679999999999</v>
      </c>
      <c r="F1198" t="s">
        <v>41</v>
      </c>
      <c r="G1198">
        <v>-248.0736</v>
      </c>
      <c r="H1198">
        <v>1.0514319999999999</v>
      </c>
      <c r="I1198">
        <v>367.52539999999999</v>
      </c>
      <c r="J1198">
        <v>-248.7527</v>
      </c>
      <c r="K1198">
        <v>1.1107309999999999</v>
      </c>
      <c r="L1198">
        <v>367.584</v>
      </c>
      <c r="M1198">
        <v>0.99989660000000002</v>
      </c>
      <c r="N1198">
        <v>-1.403625E-2</v>
      </c>
      <c r="O1198">
        <v>3.1579669999999998E-3</v>
      </c>
      <c r="P1198">
        <v>0.9558432</v>
      </c>
      <c r="Q1198">
        <v>0.29211479999999901</v>
      </c>
      <c r="R1198">
        <v>-3.2140509999999997E-2</v>
      </c>
      <c r="S1198">
        <v>3.2040099999999998</v>
      </c>
      <c r="T1198">
        <v>-0.23612169999999999</v>
      </c>
      <c r="U1198">
        <v>-0.23065189999999999</v>
      </c>
      <c r="V1198">
        <v>3.5107159999999998E-2</v>
      </c>
      <c r="W1198">
        <v>0.30550709999999998</v>
      </c>
      <c r="X1198">
        <v>0.95154240000000001</v>
      </c>
      <c r="Y1198">
        <v>7.4706649999999999E-2</v>
      </c>
      <c r="Z1198">
        <v>-3.4592580000000002E-3</v>
      </c>
      <c r="AA1198">
        <v>0.99719950000000002</v>
      </c>
      <c r="AB1198">
        <v>27</v>
      </c>
      <c r="AC1198">
        <v>0.67910000000000503</v>
      </c>
      <c r="AD1198">
        <v>-5.92989999999999E-2</v>
      </c>
      <c r="AE1198">
        <v>-5.86000000000126E-2</v>
      </c>
      <c r="AF1198">
        <v>6.0288207475669903E-2</v>
      </c>
      <c r="AG1198">
        <v>-5.92989999999999E-2</v>
      </c>
      <c r="AH1198">
        <v>0.67381184412016104</v>
      </c>
      <c r="AI1198">
        <v>95.009464595010797</v>
      </c>
      <c r="AJ1198">
        <v>84.887168836225101</v>
      </c>
      <c r="AK1198">
        <v>0.67909751924023498</v>
      </c>
      <c r="AL1198">
        <v>72.211325515894998</v>
      </c>
      <c r="AM1198">
        <v>87.887030431086899</v>
      </c>
      <c r="AN1198">
        <v>1.00000001991571</v>
      </c>
    </row>
    <row r="1199" spans="1:40" x14ac:dyDescent="0.25">
      <c r="A1199" t="str">
        <f>"20190304164841231"</f>
        <v>20190304164841231</v>
      </c>
      <c r="B1199" t="str">
        <f>"1551689321217304"</f>
        <v>1551689321217304</v>
      </c>
      <c r="C1199" t="s">
        <v>40</v>
      </c>
      <c r="D1199">
        <v>4.437881</v>
      </c>
      <c r="E1199">
        <v>0.53285360000000004</v>
      </c>
      <c r="F1199" t="s">
        <v>41</v>
      </c>
      <c r="G1199">
        <v>-247.83879999999999</v>
      </c>
      <c r="H1199">
        <v>1.042038</v>
      </c>
      <c r="I1199">
        <v>367.51839999999999</v>
      </c>
      <c r="J1199">
        <v>-248.6086</v>
      </c>
      <c r="K1199">
        <v>1.110727</v>
      </c>
      <c r="L1199">
        <v>367.58449999999999</v>
      </c>
      <c r="M1199">
        <v>0.99989649999999997</v>
      </c>
      <c r="N1199">
        <v>-1.4034639999999999E-2</v>
      </c>
      <c r="O1199">
        <v>3.2177040000000001E-3</v>
      </c>
      <c r="P1199">
        <v>0.9560862</v>
      </c>
      <c r="Q1199">
        <v>0.29124729999999999</v>
      </c>
      <c r="R1199">
        <v>-3.278126E-2</v>
      </c>
      <c r="S1199">
        <v>3.2044679999999999</v>
      </c>
      <c r="T1199">
        <v>-0.2409326</v>
      </c>
      <c r="U1199">
        <v>-0.23001099999999999</v>
      </c>
      <c r="V1199">
        <v>3.5805620000000003E-2</v>
      </c>
      <c r="W1199">
        <v>0.30464150000000001</v>
      </c>
      <c r="X1199">
        <v>0.95179380000000002</v>
      </c>
      <c r="Y1199">
        <v>7.4548740000000002E-2</v>
      </c>
      <c r="Z1199">
        <v>-3.5159330000000002E-3</v>
      </c>
      <c r="AA1199">
        <v>0.99721119999999996</v>
      </c>
      <c r="AB1199">
        <v>27</v>
      </c>
      <c r="AC1199">
        <v>0.76980000000000304</v>
      </c>
      <c r="AD1199">
        <v>-6.8689E-2</v>
      </c>
      <c r="AE1199">
        <v>-6.6100000000005807E-2</v>
      </c>
      <c r="AF1199">
        <v>6.8039131692059301E-2</v>
      </c>
      <c r="AG1199">
        <v>-6.8689E-2</v>
      </c>
      <c r="AH1199">
        <v>0.76354847544692594</v>
      </c>
      <c r="AI1199">
        <v>95.120324349436999</v>
      </c>
      <c r="AJ1199">
        <v>84.907873065684697</v>
      </c>
      <c r="AK1199">
        <v>0.76964522769892696</v>
      </c>
      <c r="AL1199">
        <v>72.263402306083904</v>
      </c>
      <c r="AM1199">
        <v>87.8456006266439</v>
      </c>
      <c r="AN1199">
        <v>0.99999996183213602</v>
      </c>
    </row>
    <row r="1200" spans="1:40" x14ac:dyDescent="0.25">
      <c r="A1200" t="str">
        <f>"20190304164841242"</f>
        <v>20190304164841242</v>
      </c>
      <c r="B1200" t="str">
        <f>"1551689321236824"</f>
        <v>1551689321236824</v>
      </c>
      <c r="C1200" t="s">
        <v>40</v>
      </c>
      <c r="D1200">
        <v>4.4211450000000001</v>
      </c>
      <c r="E1200">
        <v>0.53221750000000001</v>
      </c>
      <c r="F1200" t="s">
        <v>41</v>
      </c>
      <c r="G1200">
        <v>-247.83099999999999</v>
      </c>
      <c r="H1200">
        <v>1.051393</v>
      </c>
      <c r="I1200">
        <v>367.52850000000001</v>
      </c>
      <c r="J1200">
        <v>-248.48060000000001</v>
      </c>
      <c r="K1200">
        <v>1.1107199999999999</v>
      </c>
      <c r="L1200">
        <v>367.58510000000001</v>
      </c>
      <c r="M1200">
        <v>0.99989620000000001</v>
      </c>
      <c r="N1200">
        <v>-1.403327E-2</v>
      </c>
      <c r="O1200">
        <v>3.2746590000000001E-3</v>
      </c>
      <c r="P1200">
        <v>0.95634079999999999</v>
      </c>
      <c r="Q1200">
        <v>0.29038740000000002</v>
      </c>
      <c r="R1200">
        <v>-3.297837E-2</v>
      </c>
      <c r="S1200">
        <v>3.2044069999999998</v>
      </c>
      <c r="T1200">
        <v>-0.24464050000000001</v>
      </c>
      <c r="U1200">
        <v>-0.2308655</v>
      </c>
      <c r="V1200">
        <v>3.6057230000000003E-2</v>
      </c>
      <c r="W1200">
        <v>0.30378440000000001</v>
      </c>
      <c r="X1200">
        <v>0.95205830000000002</v>
      </c>
      <c r="Y1200">
        <v>7.4862929999999994E-2</v>
      </c>
      <c r="Z1200">
        <v>-3.5802529999999998E-3</v>
      </c>
      <c r="AA1200">
        <v>0.99718739999999995</v>
      </c>
      <c r="AB1200">
        <v>27</v>
      </c>
      <c r="AC1200">
        <v>0.64960000000002005</v>
      </c>
      <c r="AD1200">
        <v>-5.9327000000000102E-2</v>
      </c>
      <c r="AE1200">
        <v>-5.6600000000003002E-2</v>
      </c>
      <c r="AF1200">
        <v>5.8244969488942401E-2</v>
      </c>
      <c r="AG1200">
        <v>-5.9327000000000102E-2</v>
      </c>
      <c r="AH1200">
        <v>0.64407942941454099</v>
      </c>
      <c r="AI1200">
        <v>95.241470514761303</v>
      </c>
      <c r="AJ1200">
        <v>84.832720681266096</v>
      </c>
      <c r="AK1200">
        <v>0.64942319083531996</v>
      </c>
      <c r="AL1200">
        <v>72.314955396285697</v>
      </c>
      <c r="AM1200">
        <v>87.831078003007605</v>
      </c>
      <c r="AN1200">
        <v>1.0000000460587599</v>
      </c>
    </row>
    <row r="1201" spans="1:40" x14ac:dyDescent="0.25">
      <c r="A1201" t="str">
        <f>"20190304164841253"</f>
        <v>20190304164841253</v>
      </c>
      <c r="B1201" t="str">
        <f>"1551689321247560"</f>
        <v>1551689321247560</v>
      </c>
      <c r="C1201" t="s">
        <v>40</v>
      </c>
      <c r="D1201">
        <v>4.454364</v>
      </c>
      <c r="E1201">
        <v>0.53195740000000002</v>
      </c>
      <c r="F1201" t="s">
        <v>41</v>
      </c>
      <c r="G1201">
        <v>-247.59620000000001</v>
      </c>
      <c r="H1201">
        <v>1.0427930000000001</v>
      </c>
      <c r="I1201">
        <v>367.52179999999998</v>
      </c>
      <c r="J1201">
        <v>-248.34129999999999</v>
      </c>
      <c r="K1201">
        <v>1.110714</v>
      </c>
      <c r="L1201">
        <v>367.58550000000002</v>
      </c>
      <c r="M1201">
        <v>0.99989600000000001</v>
      </c>
      <c r="N1201">
        <v>-1.403182E-2</v>
      </c>
      <c r="O1201">
        <v>3.3384830000000002E-3</v>
      </c>
      <c r="P1201">
        <v>0.95667250000000004</v>
      </c>
      <c r="Q1201">
        <v>0.28929729999999998</v>
      </c>
      <c r="R1201">
        <v>-3.2936930000000003E-2</v>
      </c>
      <c r="S1201">
        <v>3.2038120000000001</v>
      </c>
      <c r="T1201">
        <v>-0.24619360000000001</v>
      </c>
      <c r="U1201">
        <v>-0.2287903</v>
      </c>
      <c r="V1201">
        <v>3.607643E-2</v>
      </c>
      <c r="W1201">
        <v>0.30269740000000001</v>
      </c>
      <c r="X1201">
        <v>0.95240369999999996</v>
      </c>
      <c r="Y1201">
        <v>7.4295890000000003E-2</v>
      </c>
      <c r="Z1201">
        <v>-3.578749E-3</v>
      </c>
      <c r="AA1201">
        <v>0.99722980000000006</v>
      </c>
      <c r="AB1201">
        <v>27</v>
      </c>
      <c r="AC1201">
        <v>0.745099999999979</v>
      </c>
      <c r="AD1201">
        <v>-6.7920999999999898E-2</v>
      </c>
      <c r="AE1201">
        <v>-6.3700000000039794E-2</v>
      </c>
      <c r="AF1201">
        <v>6.5645861998945801E-2</v>
      </c>
      <c r="AG1201">
        <v>-6.7920999999999898E-2</v>
      </c>
      <c r="AH1201">
        <v>0.738788685456091</v>
      </c>
      <c r="AI1201">
        <v>95.232257808716</v>
      </c>
      <c r="AJ1201">
        <v>84.922257569115601</v>
      </c>
      <c r="AK1201">
        <v>0.744802902247651</v>
      </c>
      <c r="AL1201">
        <v>72.380312817494797</v>
      </c>
      <c r="AM1201">
        <v>87.830710435085194</v>
      </c>
      <c r="AN1201">
        <v>1.0000000162709901</v>
      </c>
    </row>
    <row r="1202" spans="1:40" x14ac:dyDescent="0.25">
      <c r="A1202" t="str">
        <f>"20190304164841265"</f>
        <v>20190304164841265</v>
      </c>
      <c r="B1202" t="str">
        <f>"1551689321257320"</f>
        <v>1551689321257320</v>
      </c>
      <c r="C1202" t="s">
        <v>40</v>
      </c>
      <c r="D1202">
        <v>4.436528</v>
      </c>
      <c r="E1202">
        <v>0.53170200000000001</v>
      </c>
      <c r="F1202" t="s">
        <v>41</v>
      </c>
      <c r="G1202">
        <v>-247.58840000000001</v>
      </c>
      <c r="H1202">
        <v>1.0517970000000001</v>
      </c>
      <c r="I1202">
        <v>367.5317</v>
      </c>
      <c r="J1202">
        <v>-248.20869999999999</v>
      </c>
      <c r="K1202">
        <v>1.1107100000000001</v>
      </c>
      <c r="L1202">
        <v>367.58600000000001</v>
      </c>
      <c r="M1202">
        <v>0.9998958</v>
      </c>
      <c r="N1202">
        <v>-1.403042E-2</v>
      </c>
      <c r="O1202">
        <v>3.4082650000000002E-3</v>
      </c>
      <c r="P1202">
        <v>0.95699350000000005</v>
      </c>
      <c r="Q1202">
        <v>0.28826790000000002</v>
      </c>
      <c r="R1202">
        <v>-3.2636909999999998E-2</v>
      </c>
      <c r="S1202">
        <v>3.2039029999999999</v>
      </c>
      <c r="T1202">
        <v>-0.25093939999999998</v>
      </c>
      <c r="U1202">
        <v>-0.22845460000000001</v>
      </c>
      <c r="V1202">
        <v>3.5840089999999998E-2</v>
      </c>
      <c r="W1202">
        <v>0.301672099999999</v>
      </c>
      <c r="X1202">
        <v>0.95273790000000003</v>
      </c>
      <c r="Y1202">
        <v>7.4249990000000002E-2</v>
      </c>
      <c r="Z1202">
        <v>-3.6406419999999999E-3</v>
      </c>
      <c r="AA1202">
        <v>0.99723300000000004</v>
      </c>
      <c r="AB1202">
        <v>27</v>
      </c>
      <c r="AC1202">
        <v>0.62029999999998597</v>
      </c>
      <c r="AD1202">
        <v>-5.8913000000000201E-2</v>
      </c>
      <c r="AE1202">
        <v>-5.4300000000011998E-2</v>
      </c>
      <c r="AF1202">
        <v>5.5913520720518403E-2</v>
      </c>
      <c r="AG1202">
        <v>-5.8913000000000201E-2</v>
      </c>
      <c r="AH1202">
        <v>0.61460953585871902</v>
      </c>
      <c r="AI1202">
        <v>95.452939670656605</v>
      </c>
      <c r="AJ1202">
        <v>84.801879547533403</v>
      </c>
      <c r="AK1202">
        <v>0.61995317963281205</v>
      </c>
      <c r="AL1202">
        <v>72.441939633643898</v>
      </c>
      <c r="AM1202">
        <v>87.845663453311602</v>
      </c>
      <c r="AN1202">
        <v>1.00000003703301</v>
      </c>
    </row>
    <row r="1203" spans="1:40" x14ac:dyDescent="0.25">
      <c r="A1203" t="str">
        <f>"20190304164841276"</f>
        <v>20190304164841276</v>
      </c>
      <c r="B1203" t="str">
        <f>"1551689321267080"</f>
        <v>1551689321267080</v>
      </c>
      <c r="C1203" t="s">
        <v>40</v>
      </c>
      <c r="D1203">
        <v>4.4692769999999999</v>
      </c>
      <c r="E1203">
        <v>0.53151759999999904</v>
      </c>
      <c r="F1203" t="s">
        <v>41</v>
      </c>
      <c r="G1203">
        <v>-247.3544</v>
      </c>
      <c r="H1203">
        <v>1.042646</v>
      </c>
      <c r="I1203">
        <v>367.52550000000002</v>
      </c>
      <c r="J1203">
        <v>-248.0712</v>
      </c>
      <c r="K1203">
        <v>1.1107119999999999</v>
      </c>
      <c r="L1203">
        <v>367.58659999999998</v>
      </c>
      <c r="M1203">
        <v>0.99989570000000005</v>
      </c>
      <c r="N1203">
        <v>-1.402897E-2</v>
      </c>
      <c r="O1203">
        <v>3.4829520000000001E-3</v>
      </c>
      <c r="P1203">
        <v>0.95727589999999996</v>
      </c>
      <c r="Q1203">
        <v>0.28733379999999997</v>
      </c>
      <c r="R1203">
        <v>-3.2595529999999998E-2</v>
      </c>
      <c r="S1203">
        <v>3.203964</v>
      </c>
      <c r="T1203">
        <v>-0.25520399999999999</v>
      </c>
      <c r="U1203">
        <v>-0.22723389999999999</v>
      </c>
      <c r="V1203">
        <v>3.5866299999999997E-2</v>
      </c>
      <c r="W1203">
        <v>0.30074079999999997</v>
      </c>
      <c r="X1203">
        <v>0.95303119999999997</v>
      </c>
      <c r="Y1203">
        <v>7.3937359999999994E-2</v>
      </c>
      <c r="Z1203">
        <v>-3.6845039999999999E-3</v>
      </c>
      <c r="AA1203">
        <v>0.99725609999999998</v>
      </c>
      <c r="AB1203">
        <v>27</v>
      </c>
      <c r="AC1203">
        <v>0.71680000000000599</v>
      </c>
      <c r="AD1203">
        <v>-6.8066000000000099E-2</v>
      </c>
      <c r="AE1203">
        <v>-6.1099999999953497E-2</v>
      </c>
      <c r="AF1203">
        <v>6.3032190060124907E-2</v>
      </c>
      <c r="AG1203">
        <v>-6.8066000000000099E-2</v>
      </c>
      <c r="AH1203">
        <v>0.71022488482773605</v>
      </c>
      <c r="AI1203">
        <v>95.453047202660002</v>
      </c>
      <c r="AJ1203">
        <v>84.928309089493496</v>
      </c>
      <c r="AK1203">
        <v>0.71625793145231298</v>
      </c>
      <c r="AL1203">
        <v>72.497896279910506</v>
      </c>
      <c r="AM1203">
        <v>87.844752330751803</v>
      </c>
      <c r="AN1203">
        <v>0.99999994421688299</v>
      </c>
    </row>
    <row r="1204" spans="1:40" x14ac:dyDescent="0.25">
      <c r="A1204" t="str">
        <f>"20190304164841289"</f>
        <v>20190304164841289</v>
      </c>
      <c r="B1204" t="str">
        <f>"1551689321276841"</f>
        <v>1551689321276841</v>
      </c>
      <c r="C1204" t="s">
        <v>40</v>
      </c>
      <c r="D1204">
        <v>4.4530779999999996</v>
      </c>
      <c r="E1204">
        <v>0.53135089999999996</v>
      </c>
      <c r="F1204" t="s">
        <v>41</v>
      </c>
      <c r="G1204">
        <v>-247.11709999999999</v>
      </c>
      <c r="H1204">
        <v>1.033698</v>
      </c>
      <c r="I1204">
        <v>367.51900000000001</v>
      </c>
      <c r="J1204">
        <v>-247.91810000000001</v>
      </c>
      <c r="K1204">
        <v>1.110717</v>
      </c>
      <c r="L1204">
        <v>367.5872</v>
      </c>
      <c r="M1204">
        <v>0.99989519999999998</v>
      </c>
      <c r="N1204">
        <v>-1.4027349999999999E-2</v>
      </c>
      <c r="O1204">
        <v>3.5800710000000002E-3</v>
      </c>
      <c r="P1204">
        <v>0.95761569999999996</v>
      </c>
      <c r="Q1204">
        <v>0.2862517</v>
      </c>
      <c r="R1204">
        <v>-3.2129480000000002E-2</v>
      </c>
      <c r="S1204">
        <v>3.2039029999999999</v>
      </c>
      <c r="T1204">
        <v>-0.25889440000000002</v>
      </c>
      <c r="U1204">
        <v>-0.22622680000000001</v>
      </c>
      <c r="V1204">
        <v>3.5486190000000001E-2</v>
      </c>
      <c r="W1204">
        <v>0.29966330000000002</v>
      </c>
      <c r="X1204">
        <v>0.95338480000000003</v>
      </c>
      <c r="Y1204">
        <v>7.3716630000000005E-2</v>
      </c>
      <c r="Z1204">
        <v>-3.7269040000000001E-3</v>
      </c>
      <c r="AA1204">
        <v>0.9972723</v>
      </c>
      <c r="AB1204">
        <v>27</v>
      </c>
      <c r="AC1204">
        <v>0.80100000000001603</v>
      </c>
      <c r="AD1204">
        <v>-7.7018999999999893E-2</v>
      </c>
      <c r="AE1204">
        <v>-6.8199999999990199E-2</v>
      </c>
      <c r="AF1204">
        <v>7.0421089226924694E-2</v>
      </c>
      <c r="AG1204">
        <v>-7.7018999999999893E-2</v>
      </c>
      <c r="AH1204">
        <v>0.79346747119356897</v>
      </c>
      <c r="AI1204">
        <v>95.522552084552203</v>
      </c>
      <c r="AJ1204">
        <v>84.928226619394593</v>
      </c>
      <c r="AK1204">
        <v>0.80030099588293901</v>
      </c>
      <c r="AL1204">
        <v>72.562618189177599</v>
      </c>
      <c r="AM1204">
        <v>87.868362547346806</v>
      </c>
      <c r="AN1204">
        <v>0.99999996995932205</v>
      </c>
    </row>
    <row r="1205" spans="1:40" x14ac:dyDescent="0.25">
      <c r="A1205" t="str">
        <f>"20190304164841304"</f>
        <v>20190304164841304</v>
      </c>
      <c r="B1205" t="str">
        <f>"1551689321297336"</f>
        <v>1551689321297336</v>
      </c>
      <c r="C1205" t="s">
        <v>40</v>
      </c>
      <c r="D1205">
        <v>4.4519320000000002</v>
      </c>
      <c r="E1205">
        <v>0.53099259999999904</v>
      </c>
      <c r="F1205" t="s">
        <v>41</v>
      </c>
      <c r="G1205">
        <v>-247.11160000000001</v>
      </c>
      <c r="H1205">
        <v>1.044578</v>
      </c>
      <c r="I1205">
        <v>367.53059999999999</v>
      </c>
      <c r="J1205">
        <v>-247.74080000000001</v>
      </c>
      <c r="K1205">
        <v>1.1107260000000001</v>
      </c>
      <c r="L1205">
        <v>367.58800000000002</v>
      </c>
      <c r="M1205">
        <v>0.99989490000000003</v>
      </c>
      <c r="N1205">
        <v>-1.402552E-2</v>
      </c>
      <c r="O1205">
        <v>3.7021580000000001E-3</v>
      </c>
      <c r="P1205">
        <v>0.95781059999999996</v>
      </c>
      <c r="Q1205">
        <v>0.28564450000000002</v>
      </c>
      <c r="R1205">
        <v>-3.1725410000000002E-2</v>
      </c>
      <c r="S1205">
        <v>3.2039029999999999</v>
      </c>
      <c r="T1205">
        <v>-0.26308930000000003</v>
      </c>
      <c r="U1205">
        <v>-0.223999</v>
      </c>
      <c r="V1205">
        <v>3.5189049999999999E-2</v>
      </c>
      <c r="W1205">
        <v>0.2990582</v>
      </c>
      <c r="X1205">
        <v>0.95358580000000004</v>
      </c>
      <c r="Y1205">
        <v>7.3141520000000002E-2</v>
      </c>
      <c r="Z1205">
        <v>-3.7602590000000002E-3</v>
      </c>
      <c r="AA1205">
        <v>0.99731449999999999</v>
      </c>
      <c r="AB1205">
        <v>27</v>
      </c>
      <c r="AC1205">
        <v>0.62919999999999698</v>
      </c>
      <c r="AD1205">
        <v>-6.6148000000000096E-2</v>
      </c>
      <c r="AE1205">
        <v>-5.7400000000029601E-2</v>
      </c>
      <c r="AF1205">
        <v>5.9081629912722297E-2</v>
      </c>
      <c r="AG1205">
        <v>-6.6148000000000096E-2</v>
      </c>
      <c r="AH1205">
        <v>0.62216352705414302</v>
      </c>
      <c r="AI1205">
        <v>96.041871179616095</v>
      </c>
      <c r="AJ1205">
        <v>84.575369273290306</v>
      </c>
      <c r="AK1205">
        <v>0.62845338036611398</v>
      </c>
      <c r="AL1205">
        <v>72.598954366564698</v>
      </c>
      <c r="AM1205">
        <v>87.886640487469293</v>
      </c>
      <c r="AN1205">
        <v>0.99999997709439103</v>
      </c>
    </row>
    <row r="1206" spans="1:40" x14ac:dyDescent="0.25">
      <c r="A1206" t="str">
        <f>"20190304164841320"</f>
        <v>20190304164841320</v>
      </c>
      <c r="B1206" t="str">
        <f>"1551689321307097"</f>
        <v>1551689321307097</v>
      </c>
      <c r="C1206" t="s">
        <v>40</v>
      </c>
      <c r="D1206">
        <v>4.4923729999999997</v>
      </c>
      <c r="E1206">
        <v>0.53089430000000004</v>
      </c>
      <c r="F1206" t="s">
        <v>41</v>
      </c>
      <c r="G1206">
        <v>-246.8733</v>
      </c>
      <c r="H1206">
        <v>1.03888</v>
      </c>
      <c r="I1206">
        <v>367.52820000000003</v>
      </c>
      <c r="J1206">
        <v>-247.53980000000001</v>
      </c>
      <c r="K1206">
        <v>1.110741</v>
      </c>
      <c r="L1206">
        <v>367.58890000000002</v>
      </c>
      <c r="M1206">
        <v>0.99989419999999996</v>
      </c>
      <c r="N1206">
        <v>-1.402347E-2</v>
      </c>
      <c r="O1206">
        <v>3.853914E-3</v>
      </c>
      <c r="P1206">
        <v>0.95796950000000003</v>
      </c>
      <c r="Q1206">
        <v>0.28522730000000002</v>
      </c>
      <c r="R1206">
        <v>-3.0660360000000001E-2</v>
      </c>
      <c r="S1206">
        <v>3.2040410000000001</v>
      </c>
      <c r="T1206">
        <v>-0.2654995</v>
      </c>
      <c r="U1206">
        <v>-0.22024540000000001</v>
      </c>
      <c r="V1206">
        <v>3.4257259999999998E-2</v>
      </c>
      <c r="W1206">
        <v>0.29864279999999999</v>
      </c>
      <c r="X1206">
        <v>0.95374999999999999</v>
      </c>
      <c r="Y1206">
        <v>7.2125670000000003E-2</v>
      </c>
      <c r="Z1206">
        <v>-3.7515890000000001E-3</v>
      </c>
      <c r="AA1206">
        <v>0.99738850000000001</v>
      </c>
      <c r="AB1206">
        <v>27</v>
      </c>
      <c r="AC1206">
        <v>0.66650000000001297</v>
      </c>
      <c r="AD1206">
        <v>-7.1860999999999897E-2</v>
      </c>
      <c r="AE1206">
        <v>-6.0699999999996999E-2</v>
      </c>
      <c r="AF1206">
        <v>6.2547315440386997E-2</v>
      </c>
      <c r="AG1206">
        <v>-7.1860999999999897E-2</v>
      </c>
      <c r="AH1206">
        <v>0.65866719247919403</v>
      </c>
      <c r="AI1206">
        <v>96.198711869821494</v>
      </c>
      <c r="AJ1206">
        <v>84.575434803352493</v>
      </c>
      <c r="AK1206">
        <v>0.66552132981462198</v>
      </c>
      <c r="AL1206">
        <v>72.623896518881907</v>
      </c>
      <c r="AM1206">
        <v>87.942906447420299</v>
      </c>
      <c r="AN1206">
        <v>1.0000000721772699</v>
      </c>
    </row>
    <row r="1207" spans="1:40" x14ac:dyDescent="0.25">
      <c r="A1207" t="str">
        <f>"20190304164841334"</f>
        <v>20190304164841334</v>
      </c>
      <c r="B1207" t="str">
        <f>"1551689321327592"</f>
        <v>1551689321327592</v>
      </c>
      <c r="C1207" t="s">
        <v>40</v>
      </c>
      <c r="D1207">
        <v>4.5038660000000004</v>
      </c>
      <c r="E1207">
        <v>0.53062259999999895</v>
      </c>
      <c r="F1207" t="s">
        <v>41</v>
      </c>
      <c r="G1207">
        <v>-246.63399999999999</v>
      </c>
      <c r="H1207">
        <v>1.0354209999999999</v>
      </c>
      <c r="I1207">
        <v>367.5274</v>
      </c>
      <c r="J1207">
        <v>-247.37180000000001</v>
      </c>
      <c r="K1207">
        <v>1.1107610000000001</v>
      </c>
      <c r="L1207">
        <v>367.58969999999999</v>
      </c>
      <c r="M1207">
        <v>0.99989380000000005</v>
      </c>
      <c r="N1207">
        <v>-1.4021749999999999E-2</v>
      </c>
      <c r="O1207">
        <v>3.9897520000000001E-3</v>
      </c>
      <c r="P1207">
        <v>0.95795529999999995</v>
      </c>
      <c r="Q1207">
        <v>0.2853791</v>
      </c>
      <c r="R1207">
        <v>-2.9671039999999999E-2</v>
      </c>
      <c r="S1207">
        <v>3.2041469999999999</v>
      </c>
      <c r="T1207">
        <v>-0.26684740000000001</v>
      </c>
      <c r="U1207">
        <v>-0.21621699999999999</v>
      </c>
      <c r="V1207">
        <v>3.3388029999999999E-2</v>
      </c>
      <c r="W1207">
        <v>0.29879339999999999</v>
      </c>
      <c r="X1207">
        <v>0.95373359999999996</v>
      </c>
      <c r="Y1207">
        <v>7.1012049999999993E-2</v>
      </c>
      <c r="Z1207">
        <v>-3.7235459999999999E-3</v>
      </c>
      <c r="AA1207">
        <v>0.99746849999999998</v>
      </c>
      <c r="AB1207">
        <v>27</v>
      </c>
      <c r="AC1207">
        <v>0.73779999999999202</v>
      </c>
      <c r="AD1207">
        <v>-7.5340000000000101E-2</v>
      </c>
      <c r="AE1207">
        <v>-6.2299999999993298E-2</v>
      </c>
      <c r="AF1207">
        <v>6.45748547689248E-2</v>
      </c>
      <c r="AG1207">
        <v>-7.5340000000000101E-2</v>
      </c>
      <c r="AH1207">
        <v>0.72998759419543402</v>
      </c>
      <c r="AI1207">
        <v>95.869716136512693</v>
      </c>
      <c r="AJ1207">
        <v>84.944762092707094</v>
      </c>
      <c r="AK1207">
        <v>0.73670069576977104</v>
      </c>
      <c r="AL1207">
        <v>72.614853979618204</v>
      </c>
      <c r="AM1207">
        <v>87.995024715197303</v>
      </c>
      <c r="AN1207">
        <v>1.0000000180999</v>
      </c>
    </row>
    <row r="1208" spans="1:40" x14ac:dyDescent="0.25">
      <c r="A1208" t="str">
        <f>"20190304164841345"</f>
        <v>20190304164841345</v>
      </c>
      <c r="B1208" t="str">
        <f>"1551689321337352"</f>
        <v>1551689321337352</v>
      </c>
      <c r="C1208" t="s">
        <v>40</v>
      </c>
      <c r="D1208">
        <v>4.5353250000000003</v>
      </c>
      <c r="E1208">
        <v>0.53048339999999905</v>
      </c>
      <c r="F1208" t="s">
        <v>41</v>
      </c>
      <c r="G1208">
        <v>-246.6251</v>
      </c>
      <c r="H1208">
        <v>1.0488379999999999</v>
      </c>
      <c r="I1208">
        <v>367.54020000000003</v>
      </c>
      <c r="J1208">
        <v>-247.2407</v>
      </c>
      <c r="K1208">
        <v>1.1107750000000001</v>
      </c>
      <c r="L1208">
        <v>367.59030000000001</v>
      </c>
      <c r="M1208">
        <v>0.99989340000000004</v>
      </c>
      <c r="N1208">
        <v>-1.4020410000000001E-2</v>
      </c>
      <c r="O1208">
        <v>4.1046299999999997E-3</v>
      </c>
      <c r="P1208">
        <v>0.9578295</v>
      </c>
      <c r="Q1208">
        <v>0.28587610000000002</v>
      </c>
      <c r="R1208">
        <v>-2.894714E-2</v>
      </c>
      <c r="S1208">
        <v>3.2044679999999999</v>
      </c>
      <c r="T1208">
        <v>-0.26624720000000002</v>
      </c>
      <c r="U1208">
        <v>-0.2107849</v>
      </c>
      <c r="V1208">
        <v>3.2767440000000002E-2</v>
      </c>
      <c r="W1208">
        <v>0.299288</v>
      </c>
      <c r="X1208">
        <v>0.9536</v>
      </c>
      <c r="Y1208">
        <v>6.9443740000000004E-2</v>
      </c>
      <c r="Z1208">
        <v>-3.6478859999999999E-3</v>
      </c>
      <c r="AA1208">
        <v>0.9975792</v>
      </c>
      <c r="AB1208">
        <v>27</v>
      </c>
      <c r="AC1208">
        <v>0.61560000000000004</v>
      </c>
      <c r="AD1208">
        <v>-6.1937000000000103E-2</v>
      </c>
      <c r="AE1208">
        <v>-5.0099999999986197E-2</v>
      </c>
      <c r="AF1208">
        <v>5.2102678580548602E-2</v>
      </c>
      <c r="AG1208">
        <v>-6.1937000000000103E-2</v>
      </c>
      <c r="AH1208">
        <v>0.60926225679940504</v>
      </c>
      <c r="AI1208">
        <v>95.7837243907464</v>
      </c>
      <c r="AJ1208">
        <v>85.112091759615893</v>
      </c>
      <c r="AK1208">
        <v>0.61461482136747403</v>
      </c>
      <c r="AL1208">
        <v>72.585155966867603</v>
      </c>
      <c r="AM1208">
        <v>88.031986553930594</v>
      </c>
      <c r="AN1208">
        <v>0.99999998603407603</v>
      </c>
    </row>
    <row r="1209" spans="1:40" x14ac:dyDescent="0.25">
      <c r="A1209" t="str">
        <f>"20190304164841364"</f>
        <v>20190304164841364</v>
      </c>
      <c r="B1209" t="str">
        <f>"1551689321357498"</f>
        <v>1551689321357498</v>
      </c>
      <c r="C1209" t="s">
        <v>40</v>
      </c>
      <c r="D1209">
        <v>4.5517519999999996</v>
      </c>
      <c r="E1209">
        <v>0.53021890000000005</v>
      </c>
      <c r="F1209" t="s">
        <v>41</v>
      </c>
      <c r="G1209">
        <v>-246.39080000000001</v>
      </c>
      <c r="H1209">
        <v>1.040462</v>
      </c>
      <c r="I1209">
        <v>367.53519999999997</v>
      </c>
      <c r="J1209">
        <v>-247.0129</v>
      </c>
      <c r="K1209">
        <v>1.1108009999999999</v>
      </c>
      <c r="L1209">
        <v>367.5915</v>
      </c>
      <c r="M1209">
        <v>0.99989249999999996</v>
      </c>
      <c r="N1209">
        <v>-1.4018070000000001E-2</v>
      </c>
      <c r="O1209">
        <v>4.3110409999999998E-3</v>
      </c>
      <c r="P1209">
        <v>0.95738509999999999</v>
      </c>
      <c r="Q1209">
        <v>0.28746939999999999</v>
      </c>
      <c r="R1209">
        <v>-2.7848850000000001E-2</v>
      </c>
      <c r="S1209">
        <v>3.2049259999999999</v>
      </c>
      <c r="T1209">
        <v>-0.2651579</v>
      </c>
      <c r="U1209">
        <v>-0.20785519999999999</v>
      </c>
      <c r="V1209">
        <v>3.1856679999999998E-2</v>
      </c>
      <c r="W1209">
        <v>0.30087229999999998</v>
      </c>
      <c r="X1209">
        <v>0.95313219999999998</v>
      </c>
      <c r="Y1209">
        <v>6.8736899999999906E-2</v>
      </c>
      <c r="Z1209">
        <v>-3.6143289999999999E-3</v>
      </c>
      <c r="AA1209">
        <v>0.99762830000000002</v>
      </c>
      <c r="AB1209">
        <v>27</v>
      </c>
      <c r="AC1209">
        <v>0.622099999999989</v>
      </c>
      <c r="AD1209">
        <v>-7.0338999999999902E-2</v>
      </c>
      <c r="AE1209">
        <v>-5.63000000000215E-2</v>
      </c>
      <c r="AF1209">
        <v>5.8243098836401101E-2</v>
      </c>
      <c r="AG1209">
        <v>-7.0338999999999902E-2</v>
      </c>
      <c r="AH1209">
        <v>0.61406495534349403</v>
      </c>
      <c r="AI1209">
        <v>96.505605929132201</v>
      </c>
      <c r="AJ1209">
        <v>84.581794094427096</v>
      </c>
      <c r="AK1209">
        <v>0.62081849429931901</v>
      </c>
      <c r="AL1209">
        <v>72.489996807999503</v>
      </c>
      <c r="AM1209">
        <v>88.0857072074689</v>
      </c>
      <c r="AN1209">
        <v>0.99999998982237603</v>
      </c>
    </row>
    <row r="1210" spans="1:40" x14ac:dyDescent="0.25">
      <c r="A1210" t="str">
        <f>"20190304164841375"</f>
        <v>20190304164841375</v>
      </c>
      <c r="B1210" t="str">
        <f>"1551689321367257"</f>
        <v>1551689321367257</v>
      </c>
      <c r="C1210" t="s">
        <v>40</v>
      </c>
      <c r="D1210">
        <v>4.5418839999999996</v>
      </c>
      <c r="E1210">
        <v>0.53015509999999999</v>
      </c>
      <c r="F1210" t="s">
        <v>41</v>
      </c>
      <c r="G1210">
        <v>-246.15</v>
      </c>
      <c r="H1210">
        <v>1.0412239999999999</v>
      </c>
      <c r="I1210">
        <v>367.53699999999998</v>
      </c>
      <c r="J1210">
        <v>-246.87970000000001</v>
      </c>
      <c r="K1210">
        <v>1.1108180000000001</v>
      </c>
      <c r="L1210">
        <v>367.59219999999999</v>
      </c>
      <c r="M1210">
        <v>0.99989189999999994</v>
      </c>
      <c r="N1210">
        <v>-1.401669E-2</v>
      </c>
      <c r="O1210">
        <v>4.435268E-3</v>
      </c>
      <c r="P1210">
        <v>0.95708780000000004</v>
      </c>
      <c r="Q1210">
        <v>0.2884468</v>
      </c>
      <c r="R1210">
        <v>-2.7955879999999999E-2</v>
      </c>
      <c r="S1210">
        <v>3.2053530000000001</v>
      </c>
      <c r="T1210">
        <v>-0.25872869999999998</v>
      </c>
      <c r="U1210">
        <v>-0.20166020000000001</v>
      </c>
      <c r="V1210">
        <v>3.2078009999999997E-2</v>
      </c>
      <c r="W1210">
        <v>0.30184529999999998</v>
      </c>
      <c r="X1210">
        <v>0.95281709999999997</v>
      </c>
      <c r="Y1210">
        <v>6.6951120000000003E-2</v>
      </c>
      <c r="Z1210">
        <v>-3.4606860000000001E-3</v>
      </c>
      <c r="AA1210">
        <v>0.99775029999999998</v>
      </c>
      <c r="AB1210">
        <v>27</v>
      </c>
      <c r="AC1210">
        <v>0.72970000000000801</v>
      </c>
      <c r="AD1210">
        <v>-6.95940000000001E-2</v>
      </c>
      <c r="AE1210">
        <v>-5.5200000000013398E-2</v>
      </c>
      <c r="AF1210">
        <v>5.7912410728471198E-2</v>
      </c>
      <c r="AG1210">
        <v>-6.95940000000001E-2</v>
      </c>
      <c r="AH1210">
        <v>0.72290973155679505</v>
      </c>
      <c r="AI1210">
        <v>95.481424517054293</v>
      </c>
      <c r="AJ1210">
        <v>85.419807508146604</v>
      </c>
      <c r="AK1210">
        <v>0.72855724012043199</v>
      </c>
      <c r="AL1210">
        <v>72.431530207910896</v>
      </c>
      <c r="AM1210">
        <v>88.071780336139994</v>
      </c>
      <c r="AN1210">
        <v>1.0000000049550299</v>
      </c>
    </row>
    <row r="1211" spans="1:40" x14ac:dyDescent="0.25">
      <c r="A1211" t="str">
        <f>"20190304164841386"</f>
        <v>20190304164841386</v>
      </c>
      <c r="B1211" t="str">
        <f>"1551689321377018"</f>
        <v>1551689321377018</v>
      </c>
      <c r="C1211" t="s">
        <v>40</v>
      </c>
      <c r="D1211">
        <v>4.5563960000000003</v>
      </c>
      <c r="E1211">
        <v>0.53008459999999902</v>
      </c>
      <c r="F1211" t="s">
        <v>41</v>
      </c>
      <c r="G1211">
        <v>-245.9135</v>
      </c>
      <c r="H1211">
        <v>1.0338020000000001</v>
      </c>
      <c r="I1211">
        <v>367.5317</v>
      </c>
      <c r="J1211">
        <v>-246.7407</v>
      </c>
      <c r="K1211">
        <v>1.110825</v>
      </c>
      <c r="L1211">
        <v>367.59289999999999</v>
      </c>
      <c r="M1211">
        <v>0.99989139999999999</v>
      </c>
      <c r="N1211">
        <v>-1.401525E-2</v>
      </c>
      <c r="O1211">
        <v>4.5664670000000003E-3</v>
      </c>
      <c r="P1211">
        <v>0.95684369999999996</v>
      </c>
      <c r="Q1211">
        <v>0.28922940000000003</v>
      </c>
      <c r="R1211">
        <v>-2.8222239999999999E-2</v>
      </c>
      <c r="S1211">
        <v>3.2057039999999999</v>
      </c>
      <c r="T1211">
        <v>-0.25562410000000002</v>
      </c>
      <c r="U1211">
        <v>-0.20043949999999999</v>
      </c>
      <c r="V1211">
        <v>3.246835E-2</v>
      </c>
      <c r="W1211">
        <v>0.30262289999999997</v>
      </c>
      <c r="X1211">
        <v>0.95255710000000005</v>
      </c>
      <c r="Y1211">
        <v>6.6703360000000003E-2</v>
      </c>
      <c r="Z1211">
        <v>-3.420822E-3</v>
      </c>
      <c r="AA1211">
        <v>0.99776699999999996</v>
      </c>
      <c r="AB1211">
        <v>27</v>
      </c>
      <c r="AC1211">
        <v>0.82720000000000404</v>
      </c>
      <c r="AD1211">
        <v>-7.70229999999998E-2</v>
      </c>
      <c r="AE1211">
        <v>-6.1199999999985197E-2</v>
      </c>
      <c r="AF1211">
        <v>6.4421618431368496E-2</v>
      </c>
      <c r="AG1211">
        <v>-7.70229999999998E-2</v>
      </c>
      <c r="AH1211">
        <v>0.81984252761911702</v>
      </c>
      <c r="AI1211">
        <v>95.350703249599405</v>
      </c>
      <c r="AJ1211">
        <v>85.507042072091195</v>
      </c>
      <c r="AK1211">
        <v>0.82596879937635703</v>
      </c>
      <c r="AL1211">
        <v>72.384789673170701</v>
      </c>
      <c r="AM1211">
        <v>88.047802613684894</v>
      </c>
      <c r="AN1211">
        <v>0.99999992105826796</v>
      </c>
    </row>
    <row r="1212" spans="1:40" x14ac:dyDescent="0.25">
      <c r="A1212" t="str">
        <f>"20190304164841399"</f>
        <v>20190304164841399</v>
      </c>
      <c r="B1212" t="str">
        <f>"1551689321386777"</f>
        <v>1551689321386777</v>
      </c>
      <c r="C1212" t="s">
        <v>40</v>
      </c>
      <c r="D1212">
        <v>4.568511</v>
      </c>
      <c r="E1212">
        <v>0.53003719999999999</v>
      </c>
      <c r="F1212" t="s">
        <v>41</v>
      </c>
      <c r="G1212">
        <v>-245.90729999999999</v>
      </c>
      <c r="H1212">
        <v>1.0452079999999999</v>
      </c>
      <c r="I1212">
        <v>367.541</v>
      </c>
      <c r="J1212">
        <v>-246.5941</v>
      </c>
      <c r="K1212">
        <v>1.110832</v>
      </c>
      <c r="L1212">
        <v>367.59370000000001</v>
      </c>
      <c r="M1212">
        <v>0.99989090000000003</v>
      </c>
      <c r="N1212">
        <v>-1.401373E-2</v>
      </c>
      <c r="O1212">
        <v>4.7038480000000001E-3</v>
      </c>
      <c r="P1212">
        <v>0.9565631</v>
      </c>
      <c r="Q1212">
        <v>0.29012759999999999</v>
      </c>
      <c r="R1212">
        <v>-2.8523659999999999E-2</v>
      </c>
      <c r="S1212">
        <v>3.2057500000000001</v>
      </c>
      <c r="T1212">
        <v>-0.2524979</v>
      </c>
      <c r="U1212">
        <v>-0.1995239</v>
      </c>
      <c r="V1212">
        <v>3.2899879999999999E-2</v>
      </c>
      <c r="W1212">
        <v>0.30351590000000001</v>
      </c>
      <c r="X1212">
        <v>0.95225820000000005</v>
      </c>
      <c r="Y1212">
        <v>6.6561789999999996E-2</v>
      </c>
      <c r="Z1212">
        <v>-3.3862839999999998E-3</v>
      </c>
      <c r="AA1212">
        <v>0.99777660000000001</v>
      </c>
      <c r="AB1212">
        <v>27</v>
      </c>
      <c r="AC1212">
        <v>0.68680000000000496</v>
      </c>
      <c r="AD1212">
        <v>-6.5624000000000099E-2</v>
      </c>
      <c r="AE1212">
        <v>-5.27000000000157E-2</v>
      </c>
      <c r="AF1212">
        <v>5.5427254608885999E-2</v>
      </c>
      <c r="AG1212">
        <v>-6.5624000000000099E-2</v>
      </c>
      <c r="AH1212">
        <v>0.68036915770224404</v>
      </c>
      <c r="AI1212">
        <v>95.491256556961403</v>
      </c>
      <c r="AJ1212">
        <v>85.342601899839494</v>
      </c>
      <c r="AK1212">
        <v>0.68577028273463303</v>
      </c>
      <c r="AL1212">
        <v>72.331100687238404</v>
      </c>
      <c r="AM1212">
        <v>88.021256436877295</v>
      </c>
      <c r="AN1212">
        <v>0.99999999156203201</v>
      </c>
    </row>
    <row r="1213" spans="1:40" x14ac:dyDescent="0.25">
      <c r="A1213" t="str">
        <f>"20190304164841412"</f>
        <v>20190304164841412</v>
      </c>
      <c r="B1213" t="str">
        <f>"1551689321397513"</f>
        <v>1551689321397513</v>
      </c>
      <c r="C1213" t="s">
        <v>40</v>
      </c>
      <c r="D1213">
        <v>4.5634209999999999</v>
      </c>
      <c r="E1213">
        <v>0.5300127</v>
      </c>
      <c r="F1213" t="s">
        <v>41</v>
      </c>
      <c r="G1213">
        <v>-245.6712</v>
      </c>
      <c r="H1213">
        <v>1.038913</v>
      </c>
      <c r="I1213">
        <v>367.53609999999998</v>
      </c>
      <c r="J1213">
        <v>-246.44380000000001</v>
      </c>
      <c r="K1213">
        <v>1.110832</v>
      </c>
      <c r="L1213">
        <v>367.59460000000001</v>
      </c>
      <c r="M1213">
        <v>0.9998901</v>
      </c>
      <c r="N1213">
        <v>-1.4012169999999999E-2</v>
      </c>
      <c r="O1213">
        <v>4.8425630000000002E-3</v>
      </c>
      <c r="P1213">
        <v>0.95632430000000002</v>
      </c>
      <c r="Q1213">
        <v>0.29082089999999999</v>
      </c>
      <c r="R1213">
        <v>-2.9448140000000001E-2</v>
      </c>
      <c r="S1213">
        <v>3.2061310000000001</v>
      </c>
      <c r="T1213">
        <v>-0.25009320000000002</v>
      </c>
      <c r="U1213">
        <v>-0.19927980000000001</v>
      </c>
      <c r="V1213">
        <v>3.3957769999999998E-2</v>
      </c>
      <c r="W1213">
        <v>0.30420370000000002</v>
      </c>
      <c r="X1213">
        <v>0.9520016</v>
      </c>
      <c r="Y1213">
        <v>6.6621200000000005E-2</v>
      </c>
      <c r="Z1213">
        <v>-3.369127E-3</v>
      </c>
      <c r="AA1213">
        <v>0.99777260000000001</v>
      </c>
      <c r="AB1213">
        <v>27</v>
      </c>
      <c r="AC1213">
        <v>0.77260000000001094</v>
      </c>
      <c r="AD1213">
        <v>-7.1918999999999997E-2</v>
      </c>
      <c r="AE1213">
        <v>-5.8500000000037702E-2</v>
      </c>
      <c r="AF1213">
        <v>6.1709370531998299E-2</v>
      </c>
      <c r="AG1213">
        <v>-7.1918999999999997E-2</v>
      </c>
      <c r="AH1213">
        <v>0.76571042206879303</v>
      </c>
      <c r="AI1213">
        <v>95.348498375148694</v>
      </c>
      <c r="AJ1213">
        <v>85.392433714507405</v>
      </c>
      <c r="AK1213">
        <v>0.77155222729069095</v>
      </c>
      <c r="AL1213">
        <v>72.289737604601399</v>
      </c>
      <c r="AM1213">
        <v>87.957133305350197</v>
      </c>
      <c r="AN1213">
        <v>1.0000000338198101</v>
      </c>
    </row>
    <row r="1214" spans="1:40" x14ac:dyDescent="0.25">
      <c r="A1214" t="str">
        <f>"20190304164841423"</f>
        <v>20190304164841423</v>
      </c>
      <c r="B1214" t="str">
        <f>"1551689321417034"</f>
        <v>1551689321417034</v>
      </c>
      <c r="C1214" t="s">
        <v>40</v>
      </c>
      <c r="D1214">
        <v>4.5896309999999998</v>
      </c>
      <c r="E1214">
        <v>0.52996719999999997</v>
      </c>
      <c r="F1214" t="s">
        <v>41</v>
      </c>
      <c r="G1214">
        <v>-245.66249999999999</v>
      </c>
      <c r="H1214">
        <v>1.0505409999999999</v>
      </c>
      <c r="I1214">
        <v>367.5453</v>
      </c>
      <c r="J1214">
        <v>-246.2945</v>
      </c>
      <c r="K1214">
        <v>1.1108290000000001</v>
      </c>
      <c r="L1214">
        <v>367.59550000000002</v>
      </c>
      <c r="M1214">
        <v>0.99988960000000005</v>
      </c>
      <c r="N1214">
        <v>-1.401062E-2</v>
      </c>
      <c r="O1214">
        <v>4.975887E-3</v>
      </c>
      <c r="P1214">
        <v>0.95606139999999995</v>
      </c>
      <c r="Q1214">
        <v>0.2915876</v>
      </c>
      <c r="R1214">
        <v>-3.0395720000000001E-2</v>
      </c>
      <c r="S1214">
        <v>3.2061310000000001</v>
      </c>
      <c r="T1214">
        <v>-0.2477018</v>
      </c>
      <c r="U1214">
        <v>-0.2011414</v>
      </c>
      <c r="V1214">
        <v>3.5034530000000001E-2</v>
      </c>
      <c r="W1214">
        <v>0.3049654</v>
      </c>
      <c r="X1214">
        <v>0.95171879999999998</v>
      </c>
      <c r="Y1214">
        <v>6.7332950000000003E-2</v>
      </c>
      <c r="Z1214">
        <v>-3.3815579999999998E-3</v>
      </c>
      <c r="AA1214">
        <v>0.99772479999999997</v>
      </c>
      <c r="AB1214">
        <v>27</v>
      </c>
      <c r="AC1214">
        <v>0.632000000000005</v>
      </c>
      <c r="AD1214">
        <v>-6.0288000000000098E-2</v>
      </c>
      <c r="AE1214">
        <v>-5.0200000000018001E-2</v>
      </c>
      <c r="AF1214">
        <v>5.28663944876369E-2</v>
      </c>
      <c r="AG1214">
        <v>-6.0288000000000098E-2</v>
      </c>
      <c r="AH1214">
        <v>0.62608092403167603</v>
      </c>
      <c r="AI1214">
        <v>95.480910201868298</v>
      </c>
      <c r="AJ1214">
        <v>85.173383045117106</v>
      </c>
      <c r="AK1214">
        <v>0.63119475761961097</v>
      </c>
      <c r="AL1214">
        <v>72.243917587258906</v>
      </c>
      <c r="AM1214">
        <v>87.891788285352504</v>
      </c>
      <c r="AN1214">
        <v>0.99999999388145999</v>
      </c>
    </row>
    <row r="1215" spans="1:40" x14ac:dyDescent="0.25">
      <c r="A1215" t="str">
        <f>"20190304164841434"</f>
        <v>20190304164841434</v>
      </c>
      <c r="B1215" t="str">
        <f>"1551689321426794"</f>
        <v>1551689321426794</v>
      </c>
      <c r="C1215" t="s">
        <v>40</v>
      </c>
      <c r="D1215">
        <v>4.5962569999999996</v>
      </c>
      <c r="E1215">
        <v>0.52995800000000004</v>
      </c>
      <c r="F1215" t="s">
        <v>41</v>
      </c>
      <c r="G1215">
        <v>-245.4289</v>
      </c>
      <c r="H1215">
        <v>1.044327</v>
      </c>
      <c r="I1215">
        <v>367.54059999999998</v>
      </c>
      <c r="J1215">
        <v>-246.16249999999999</v>
      </c>
      <c r="K1215">
        <v>1.110824</v>
      </c>
      <c r="L1215">
        <v>367.59620000000001</v>
      </c>
      <c r="M1215">
        <v>0.99988900000000003</v>
      </c>
      <c r="N1215">
        <v>-1.4009239999999999E-2</v>
      </c>
      <c r="O1215">
        <v>5.0921639999999997E-3</v>
      </c>
      <c r="P1215">
        <v>0.95586389999999999</v>
      </c>
      <c r="Q1215">
        <v>0.29210989999999998</v>
      </c>
      <c r="R1215">
        <v>-3.1564380000000003E-2</v>
      </c>
      <c r="S1215">
        <v>3.2066349999999999</v>
      </c>
      <c r="T1215">
        <v>-0.24650749999999999</v>
      </c>
      <c r="U1215">
        <v>-0.20269780000000001</v>
      </c>
      <c r="V1215">
        <v>3.6316540000000001E-2</v>
      </c>
      <c r="W1215">
        <v>0.30548389999999997</v>
      </c>
      <c r="X1215">
        <v>0.95150449999999998</v>
      </c>
      <c r="Y1215">
        <v>6.7921560000000006E-2</v>
      </c>
      <c r="Z1215">
        <v>-3.4006879999999998E-3</v>
      </c>
      <c r="AA1215">
        <v>0.99768489999999999</v>
      </c>
      <c r="AB1215">
        <v>27</v>
      </c>
      <c r="AC1215">
        <v>0.73359999999999503</v>
      </c>
      <c r="AD1215">
        <v>-6.6497000000000001E-2</v>
      </c>
      <c r="AE1215">
        <v>-5.5600000000026698E-2</v>
      </c>
      <c r="AF1215">
        <v>5.8854442689038403E-2</v>
      </c>
      <c r="AG1215">
        <v>-6.6497000000000001E-2</v>
      </c>
      <c r="AH1215">
        <v>0.72736509234088897</v>
      </c>
      <c r="AI1215">
        <v>95.206638224357704</v>
      </c>
      <c r="AJ1215">
        <v>85.374014067079997</v>
      </c>
      <c r="AK1215">
        <v>0.73276577020853495</v>
      </c>
      <c r="AL1215">
        <v>72.212722231991407</v>
      </c>
      <c r="AM1215">
        <v>87.8142247868048</v>
      </c>
      <c r="AN1215">
        <v>1.0000000588785101</v>
      </c>
    </row>
    <row r="1216" spans="1:40" x14ac:dyDescent="0.25">
      <c r="A1216" t="str">
        <f>"20190304164841445"</f>
        <v>20190304164841445</v>
      </c>
      <c r="B1216" t="str">
        <f>"1551689321437530"</f>
        <v>1551689321437530</v>
      </c>
      <c r="C1216" t="s">
        <v>40</v>
      </c>
      <c r="D1216">
        <v>4.5706100000000003</v>
      </c>
      <c r="E1216">
        <v>0.52990599999999999</v>
      </c>
      <c r="F1216" t="s">
        <v>42</v>
      </c>
      <c r="G1216">
        <v>-231.6523</v>
      </c>
      <c r="H1216" s="1">
        <v>-4.0868840000000002E-6</v>
      </c>
      <c r="I1216">
        <v>366.66550000000001</v>
      </c>
      <c r="J1216">
        <v>-246.0384</v>
      </c>
      <c r="K1216">
        <v>1.1108129999999901</v>
      </c>
      <c r="L1216">
        <v>367.59699999999998</v>
      </c>
      <c r="M1216">
        <v>0.99988840000000001</v>
      </c>
      <c r="N1216">
        <v>-1.400795E-2</v>
      </c>
      <c r="O1216">
        <v>5.1932879999999999E-3</v>
      </c>
      <c r="P1216">
        <v>0.95572599999999996</v>
      </c>
      <c r="Q1216">
        <v>0.29241139999999999</v>
      </c>
      <c r="R1216">
        <v>-3.2916510000000003E-2</v>
      </c>
      <c r="S1216">
        <v>3.2067570000000001</v>
      </c>
      <c r="T1216">
        <v>-0.2454925</v>
      </c>
      <c r="U1216">
        <v>-0.2056885</v>
      </c>
      <c r="V1216">
        <v>3.7768469999999998E-2</v>
      </c>
      <c r="W1216">
        <v>0.30578169999999999</v>
      </c>
      <c r="X1216">
        <v>0.95135219999999998</v>
      </c>
      <c r="Y1216">
        <v>6.8944930000000001E-2</v>
      </c>
      <c r="Z1216">
        <v>-3.4407349999999999E-3</v>
      </c>
      <c r="AA1216">
        <v>0.99761460000000002</v>
      </c>
      <c r="AB1216">
        <v>27</v>
      </c>
      <c r="AC1216">
        <v>14.386100000000001</v>
      </c>
      <c r="AD1216">
        <v>-1.1108170868839999</v>
      </c>
      <c r="AE1216">
        <v>-0.93149999999997102</v>
      </c>
      <c r="AF1216">
        <v>1.00026713764924</v>
      </c>
      <c r="AG1216">
        <v>-1.1108170868839999</v>
      </c>
      <c r="AH1216">
        <v>14.296188555614799</v>
      </c>
      <c r="AI1216">
        <v>94.432176030452496</v>
      </c>
      <c r="AJ1216">
        <v>85.9976858200463</v>
      </c>
      <c r="AK1216">
        <v>14.374124535597501</v>
      </c>
      <c r="AL1216">
        <v>72.194800183626</v>
      </c>
      <c r="AM1216">
        <v>87.726564206454896</v>
      </c>
      <c r="AN1216">
        <v>0.99999995691293397</v>
      </c>
    </row>
    <row r="1217" spans="1:40" x14ac:dyDescent="0.25">
      <c r="A1217" t="str">
        <f>"20190304164841457"</f>
        <v>20190304164841457</v>
      </c>
      <c r="B1217" t="str">
        <f>"1551689321447559"</f>
        <v>1551689321447559</v>
      </c>
      <c r="C1217" t="s">
        <v>40</v>
      </c>
      <c r="D1217">
        <v>4.5837240000000001</v>
      </c>
      <c r="E1217">
        <v>0.52983340000000001</v>
      </c>
      <c r="F1217" t="s">
        <v>41</v>
      </c>
      <c r="G1217">
        <v>-245.1883</v>
      </c>
      <c r="H1217">
        <v>1.0457890000000001</v>
      </c>
      <c r="I1217">
        <v>367.5412</v>
      </c>
      <c r="J1217">
        <v>-245.89670000000001</v>
      </c>
      <c r="K1217">
        <v>1.1108039999999999</v>
      </c>
      <c r="L1217">
        <v>367.59780000000001</v>
      </c>
      <c r="M1217">
        <v>0.99988779999999999</v>
      </c>
      <c r="N1217">
        <v>-1.400647E-2</v>
      </c>
      <c r="O1217">
        <v>5.3070349999999999E-3</v>
      </c>
      <c r="P1217">
        <v>0.95572509999999999</v>
      </c>
      <c r="Q1217">
        <v>0.29227320000000001</v>
      </c>
      <c r="R1217">
        <v>-3.4143640000000003E-2</v>
      </c>
      <c r="S1217">
        <v>3.2068629999999998</v>
      </c>
      <c r="T1217">
        <v>-0.24544260000000001</v>
      </c>
      <c r="U1217">
        <v>-0.2096558</v>
      </c>
      <c r="V1217">
        <v>3.9109039999999998E-2</v>
      </c>
      <c r="W1217">
        <v>0.30564190000000002</v>
      </c>
      <c r="X1217">
        <v>0.95134300000000005</v>
      </c>
      <c r="Y1217">
        <v>7.0280570000000001E-2</v>
      </c>
      <c r="Z1217">
        <v>-3.5073389999999999E-3</v>
      </c>
      <c r="AA1217">
        <v>0.99752110000000005</v>
      </c>
      <c r="AB1217">
        <v>27</v>
      </c>
      <c r="AC1217">
        <v>0.70840000000001102</v>
      </c>
      <c r="AD1217">
        <v>-6.5015000000000198E-2</v>
      </c>
      <c r="AE1217">
        <v>-5.6600000000003002E-2</v>
      </c>
      <c r="AF1217">
        <v>5.98580850748801E-2</v>
      </c>
      <c r="AG1217">
        <v>-6.5015000000000198E-2</v>
      </c>
      <c r="AH1217">
        <v>0.70221235472680399</v>
      </c>
      <c r="AI1217">
        <v>95.270697874663099</v>
      </c>
      <c r="AJ1217">
        <v>85.127763181270396</v>
      </c>
      <c r="AK1217">
        <v>0.70775146181749005</v>
      </c>
      <c r="AL1217">
        <v>72.203213616490899</v>
      </c>
      <c r="AM1217">
        <v>87.645936404841905</v>
      </c>
      <c r="AN1217">
        <v>0.99999999584716504</v>
      </c>
    </row>
    <row r="1218" spans="1:40" x14ac:dyDescent="0.25">
      <c r="A1218" t="str">
        <f>"20190304164841469"</f>
        <v>20190304164841469</v>
      </c>
      <c r="B1218" t="str">
        <f>"1551689321457320"</f>
        <v>1551689321457320</v>
      </c>
      <c r="C1218" t="s">
        <v>40</v>
      </c>
      <c r="D1218">
        <v>4.581118</v>
      </c>
      <c r="E1218">
        <v>0.52977779999999997</v>
      </c>
      <c r="F1218" t="s">
        <v>41</v>
      </c>
      <c r="G1218">
        <v>-244.9538</v>
      </c>
      <c r="H1218">
        <v>1.0381689999999999</v>
      </c>
      <c r="I1218">
        <v>367.53500000000003</v>
      </c>
      <c r="J1218">
        <v>-245.75810000000001</v>
      </c>
      <c r="K1218">
        <v>1.110792</v>
      </c>
      <c r="L1218">
        <v>367.59859999999998</v>
      </c>
      <c r="M1218">
        <v>0.99988730000000003</v>
      </c>
      <c r="N1218">
        <v>-1.400498E-2</v>
      </c>
      <c r="O1218">
        <v>5.4096229999999997E-3</v>
      </c>
      <c r="P1218">
        <v>0.95579119999999995</v>
      </c>
      <c r="Q1218">
        <v>0.29190159999999998</v>
      </c>
      <c r="R1218">
        <v>-3.5449460000000002E-2</v>
      </c>
      <c r="S1218">
        <v>3.206985</v>
      </c>
      <c r="T1218">
        <v>-0.2472376</v>
      </c>
      <c r="U1218">
        <v>-0.21282960000000001</v>
      </c>
      <c r="V1218">
        <v>4.0518529999999997E-2</v>
      </c>
      <c r="W1218">
        <v>0.30526910000000002</v>
      </c>
      <c r="X1218">
        <v>0.95140369999999996</v>
      </c>
      <c r="Y1218">
        <v>7.1355950000000001E-2</v>
      </c>
      <c r="Z1218">
        <v>-3.5849760000000001E-3</v>
      </c>
      <c r="AA1218">
        <v>0.99744449999999996</v>
      </c>
      <c r="AB1218">
        <v>27</v>
      </c>
      <c r="AC1218">
        <v>0.80430000000001201</v>
      </c>
      <c r="AD1218">
        <v>-7.2622999999999799E-2</v>
      </c>
      <c r="AE1218">
        <v>-6.3599999999951196E-2</v>
      </c>
      <c r="AF1218">
        <v>6.7404329655415401E-2</v>
      </c>
      <c r="AG1218">
        <v>-7.2622999999999799E-2</v>
      </c>
      <c r="AH1218">
        <v>0.79748274661769203</v>
      </c>
      <c r="AI1218">
        <v>95.184919234167097</v>
      </c>
      <c r="AJ1218">
        <v>85.168765275268697</v>
      </c>
      <c r="AK1218">
        <v>0.80361444420704198</v>
      </c>
      <c r="AL1218">
        <v>72.225645436419796</v>
      </c>
      <c r="AM1218">
        <v>87.561352009852698</v>
      </c>
      <c r="AN1218">
        <v>0.99999998753093</v>
      </c>
    </row>
    <row r="1219" spans="1:40" x14ac:dyDescent="0.25">
      <c r="A1219" t="str">
        <f>"20190304164841480"</f>
        <v>20190304164841480</v>
      </c>
      <c r="B1219" t="str">
        <f>"1551689321467079"</f>
        <v>1551689321467079</v>
      </c>
      <c r="C1219" t="s">
        <v>40</v>
      </c>
      <c r="D1219">
        <v>4.5735099999999997</v>
      </c>
      <c r="E1219">
        <v>0.52969929999999998</v>
      </c>
      <c r="F1219" t="s">
        <v>41</v>
      </c>
      <c r="G1219">
        <v>-244.94759999999999</v>
      </c>
      <c r="H1219">
        <v>1.047752</v>
      </c>
      <c r="I1219">
        <v>367.5437</v>
      </c>
      <c r="J1219">
        <v>-245.62520000000001</v>
      </c>
      <c r="K1219">
        <v>1.1107800000000001</v>
      </c>
      <c r="L1219">
        <v>367.59949999999998</v>
      </c>
      <c r="M1219">
        <v>0.99988690000000002</v>
      </c>
      <c r="N1219">
        <v>-1.400357E-2</v>
      </c>
      <c r="O1219">
        <v>5.5040489999999996E-3</v>
      </c>
      <c r="P1219">
        <v>0.95604940000000005</v>
      </c>
      <c r="Q1219">
        <v>0.29086679999999998</v>
      </c>
      <c r="R1219">
        <v>-3.6964289999999997E-2</v>
      </c>
      <c r="S1219">
        <v>3.2069399999999999</v>
      </c>
      <c r="T1219">
        <v>-0.24961729999999999</v>
      </c>
      <c r="U1219">
        <v>-0.21658330000000001</v>
      </c>
      <c r="V1219">
        <v>4.2130149999999998E-2</v>
      </c>
      <c r="W1219">
        <v>0.30423679999999997</v>
      </c>
      <c r="X1219">
        <v>0.95166430000000002</v>
      </c>
      <c r="Y1219">
        <v>7.2603979999999999E-2</v>
      </c>
      <c r="Z1219">
        <v>-3.6784349999999999E-3</v>
      </c>
      <c r="AA1219">
        <v>0.99735410000000002</v>
      </c>
      <c r="AB1219">
        <v>27</v>
      </c>
      <c r="AC1219">
        <v>0.67760000000001197</v>
      </c>
      <c r="AD1219">
        <v>-6.3027999999999806E-2</v>
      </c>
      <c r="AE1219">
        <v>-5.57999999999765E-2</v>
      </c>
      <c r="AF1219">
        <v>5.9021841869935102E-2</v>
      </c>
      <c r="AG1219">
        <v>-6.3027999999999806E-2</v>
      </c>
      <c r="AH1219">
        <v>0.67151174290884097</v>
      </c>
      <c r="AI1219">
        <v>95.341591466132002</v>
      </c>
      <c r="AJ1219">
        <v>84.976954109468494</v>
      </c>
      <c r="AK1219">
        <v>0.67704071330030702</v>
      </c>
      <c r="AL1219">
        <v>72.287745399686301</v>
      </c>
      <c r="AM1219">
        <v>87.465172639724997</v>
      </c>
      <c r="AN1219">
        <v>0.99999995995387503</v>
      </c>
    </row>
    <row r="1220" spans="1:40" x14ac:dyDescent="0.25">
      <c r="A1220" t="str">
        <f>"20190304164841492"</f>
        <v>20190304164841492</v>
      </c>
      <c r="B1220" t="str">
        <f>"1551689321487576"</f>
        <v>1551689321487576</v>
      </c>
      <c r="C1220" t="s">
        <v>40</v>
      </c>
      <c r="D1220">
        <v>4.5979640000000002</v>
      </c>
      <c r="E1220">
        <v>0.52960620000000003</v>
      </c>
      <c r="F1220" t="s">
        <v>41</v>
      </c>
      <c r="G1220">
        <v>-244.7148</v>
      </c>
      <c r="H1220">
        <v>1.038754</v>
      </c>
      <c r="I1220">
        <v>367.53660000000002</v>
      </c>
      <c r="J1220">
        <v>-245.4768</v>
      </c>
      <c r="K1220">
        <v>1.11077</v>
      </c>
      <c r="L1220">
        <v>367.60039999999998</v>
      </c>
      <c r="M1220">
        <v>0.99988630000000001</v>
      </c>
      <c r="N1220">
        <v>-1.400203E-2</v>
      </c>
      <c r="O1220">
        <v>5.603289E-3</v>
      </c>
      <c r="P1220">
        <v>0.95639339999999995</v>
      </c>
      <c r="Q1220">
        <v>0.28954940000000001</v>
      </c>
      <c r="R1220">
        <v>-3.8379959999999998E-2</v>
      </c>
      <c r="S1220">
        <v>3.206604</v>
      </c>
      <c r="T1220">
        <v>-0.25383990000000001</v>
      </c>
      <c r="U1220">
        <v>-0.22094730000000001</v>
      </c>
      <c r="V1220">
        <v>4.3648699999999999E-2</v>
      </c>
      <c r="W1220">
        <v>0.30292239999999998</v>
      </c>
      <c r="X1220">
        <v>0.9520151</v>
      </c>
      <c r="Y1220">
        <v>7.4046879999999995E-2</v>
      </c>
      <c r="Z1220">
        <v>-3.8069050000000002E-3</v>
      </c>
      <c r="AA1220">
        <v>0.99724749999999995</v>
      </c>
      <c r="AB1220">
        <v>27</v>
      </c>
      <c r="AC1220">
        <v>0.76200000000000001</v>
      </c>
      <c r="AD1220">
        <v>-7.2015999999999802E-2</v>
      </c>
      <c r="AE1220">
        <v>-6.3799999999957793E-2</v>
      </c>
      <c r="AF1220">
        <v>6.7470671092756396E-2</v>
      </c>
      <c r="AG1220">
        <v>-7.2015999999999802E-2</v>
      </c>
      <c r="AH1220">
        <v>0.75493438813634495</v>
      </c>
      <c r="AI1220">
        <v>95.427664721199605</v>
      </c>
      <c r="AJ1220">
        <v>84.892879257992604</v>
      </c>
      <c r="AK1220">
        <v>0.76135702932625804</v>
      </c>
      <c r="AL1220">
        <v>72.366785363983894</v>
      </c>
      <c r="AM1220">
        <v>87.374898653680305</v>
      </c>
      <c r="AN1220">
        <v>0.99999997003072905</v>
      </c>
    </row>
    <row r="1221" spans="1:40" x14ac:dyDescent="0.25">
      <c r="A1221" t="str">
        <f>"20190304164841521"</f>
        <v>20190304164841521</v>
      </c>
      <c r="B1221" t="str">
        <f>"1551689321516855"</f>
        <v>1551689321516855</v>
      </c>
      <c r="C1221" t="s">
        <v>40</v>
      </c>
      <c r="D1221">
        <v>4.6752770000000003</v>
      </c>
      <c r="E1221">
        <v>0.53001450000000006</v>
      </c>
      <c r="F1221" t="s">
        <v>41</v>
      </c>
      <c r="G1221">
        <v>-244.7079</v>
      </c>
      <c r="H1221">
        <v>1.048727</v>
      </c>
      <c r="I1221">
        <v>367.54629999999997</v>
      </c>
      <c r="J1221">
        <v>-245.13730000000001</v>
      </c>
      <c r="K1221">
        <v>1.110741</v>
      </c>
      <c r="L1221">
        <v>367.60250000000002</v>
      </c>
      <c r="M1221">
        <v>0.99988509999999997</v>
      </c>
      <c r="N1221">
        <v>-1.3998480000000001E-2</v>
      </c>
      <c r="O1221">
        <v>5.8036839999999999E-3</v>
      </c>
      <c r="P1221">
        <v>0.95697810000000005</v>
      </c>
      <c r="Q1221">
        <v>0.28710419999999998</v>
      </c>
      <c r="R1221">
        <v>-4.2003180000000001E-2</v>
      </c>
      <c r="S1221">
        <v>3.2061160000000002</v>
      </c>
      <c r="T1221">
        <v>-0.25889430000000002</v>
      </c>
      <c r="U1221">
        <v>-0.224884</v>
      </c>
      <c r="V1221">
        <v>4.7481099999999998E-2</v>
      </c>
      <c r="W1221">
        <v>0.30048069999999999</v>
      </c>
      <c r="X1221">
        <v>0.95260529999999999</v>
      </c>
      <c r="Y1221">
        <v>7.5459159999999997E-2</v>
      </c>
      <c r="Z1221">
        <v>-3.9541419999999999E-3</v>
      </c>
      <c r="AA1221">
        <v>0.9971411</v>
      </c>
      <c r="AB1221">
        <v>27</v>
      </c>
      <c r="AC1221">
        <v>0.42940000000001499</v>
      </c>
      <c r="AD1221">
        <v>-6.2014E-2</v>
      </c>
      <c r="AE1221">
        <v>-5.6200000000046602E-2</v>
      </c>
      <c r="AF1221">
        <v>5.7512062320338002E-2</v>
      </c>
      <c r="AG1221">
        <v>-6.2014E-2</v>
      </c>
      <c r="AH1221">
        <v>0.42044496035364098</v>
      </c>
      <c r="AI1221">
        <v>98.314084166972407</v>
      </c>
      <c r="AJ1221">
        <v>82.210933249317904</v>
      </c>
      <c r="AK1221">
        <v>0.42886750657413197</v>
      </c>
      <c r="AL1221">
        <v>72.513522311621898</v>
      </c>
      <c r="AM1221">
        <v>87.146544208069002</v>
      </c>
      <c r="AN1221">
        <v>0.99999998175889404</v>
      </c>
    </row>
    <row r="1222" spans="1:40" x14ac:dyDescent="0.25">
      <c r="A1222" t="str">
        <f>"20190304164841534"</f>
        <v>20190304164841534</v>
      </c>
      <c r="B1222" t="str">
        <f>"1551689321527591"</f>
        <v>1551689321527591</v>
      </c>
      <c r="C1222" t="s">
        <v>40</v>
      </c>
      <c r="D1222">
        <v>4.6108799999999999</v>
      </c>
      <c r="E1222">
        <v>0.54105000000000003</v>
      </c>
      <c r="F1222" t="s">
        <v>41</v>
      </c>
      <c r="G1222">
        <v>-244.24520000000001</v>
      </c>
      <c r="H1222">
        <v>1.0246390000000001</v>
      </c>
      <c r="I1222">
        <v>367.53750000000002</v>
      </c>
      <c r="J1222">
        <v>-244.97210000000001</v>
      </c>
      <c r="K1222">
        <v>1.1107320000000001</v>
      </c>
      <c r="L1222">
        <v>367.60359999999997</v>
      </c>
      <c r="M1222">
        <v>0.99988480000000002</v>
      </c>
      <c r="N1222">
        <v>-1.3996750000000001E-2</v>
      </c>
      <c r="O1222">
        <v>5.8904359999999998E-3</v>
      </c>
      <c r="P1222">
        <v>0.95707220000000004</v>
      </c>
      <c r="Q1222">
        <v>0.28670780000000001</v>
      </c>
      <c r="R1222">
        <v>-4.2567630000000002E-2</v>
      </c>
      <c r="S1222">
        <v>3.2178650000000002</v>
      </c>
      <c r="T1222">
        <v>-0.31083129999999998</v>
      </c>
      <c r="U1222">
        <v>-0.2341309</v>
      </c>
      <c r="V1222">
        <v>4.8136079999999998E-2</v>
      </c>
      <c r="W1222">
        <v>0.30008319999999999</v>
      </c>
      <c r="X1222">
        <v>0.95269780000000004</v>
      </c>
      <c r="Y1222">
        <v>7.8008110000000006E-2</v>
      </c>
      <c r="Z1222">
        <v>-4.786841E-3</v>
      </c>
      <c r="AA1222">
        <v>0.99694119999999997</v>
      </c>
      <c r="AB1222">
        <v>27</v>
      </c>
      <c r="AC1222">
        <v>0.72689999999999999</v>
      </c>
      <c r="AD1222">
        <v>-8.6093000000000197E-2</v>
      </c>
      <c r="AE1222">
        <v>-6.6099999999948894E-2</v>
      </c>
      <c r="AF1222">
        <v>6.9415279326433793E-2</v>
      </c>
      <c r="AG1222">
        <v>-8.6093000000000197E-2</v>
      </c>
      <c r="AH1222">
        <v>0.71652916971998504</v>
      </c>
      <c r="AI1222">
        <v>96.819779990563603</v>
      </c>
      <c r="AJ1222">
        <v>84.466617611701295</v>
      </c>
      <c r="AK1222">
        <v>0.72501347346968503</v>
      </c>
      <c r="AL1222">
        <v>72.537400591137299</v>
      </c>
      <c r="AM1222">
        <v>87.107528884792799</v>
      </c>
      <c r="AN1222">
        <v>1.0000000536224201</v>
      </c>
    </row>
    <row r="1223" spans="1:40" x14ac:dyDescent="0.25">
      <c r="A1223" t="str">
        <f>"20190304164841546"</f>
        <v>20190304164841546</v>
      </c>
      <c r="B1223" t="str">
        <f>"1551689321537352"</f>
        <v>1551689321537352</v>
      </c>
      <c r="C1223" t="s">
        <v>40</v>
      </c>
      <c r="D1223">
        <v>4.6094900000000001</v>
      </c>
      <c r="E1223">
        <v>0.54069669999999903</v>
      </c>
      <c r="F1223" t="s">
        <v>41</v>
      </c>
      <c r="G1223">
        <v>-244.31020000000001</v>
      </c>
      <c r="H1223">
        <v>0.8891886</v>
      </c>
      <c r="I1223">
        <v>367.55990000000003</v>
      </c>
      <c r="J1223">
        <v>-244.83359999999999</v>
      </c>
      <c r="K1223">
        <v>1.110727</v>
      </c>
      <c r="L1223">
        <v>367.60449999999997</v>
      </c>
      <c r="M1223">
        <v>0.99988440000000001</v>
      </c>
      <c r="N1223">
        <v>-1.3995280000000001E-2</v>
      </c>
      <c r="O1223">
        <v>5.955045E-3</v>
      </c>
      <c r="P1223">
        <v>0.95725400000000005</v>
      </c>
      <c r="Q1223">
        <v>0.28605170000000002</v>
      </c>
      <c r="R1223">
        <v>-4.2888679999999998E-2</v>
      </c>
      <c r="S1223">
        <v>3.4726409999999999</v>
      </c>
      <c r="T1223">
        <v>-1.16245</v>
      </c>
      <c r="U1223">
        <v>-0.22851560000000001</v>
      </c>
      <c r="V1223">
        <v>4.8525949999999998E-2</v>
      </c>
      <c r="W1223">
        <v>0.2994272</v>
      </c>
      <c r="X1223">
        <v>0.95288430000000002</v>
      </c>
      <c r="Y1223">
        <v>6.747968E-2</v>
      </c>
      <c r="Z1223">
        <v>-1.332675E-2</v>
      </c>
      <c r="AA1223">
        <v>0.99763170000000001</v>
      </c>
      <c r="AB1223">
        <v>27</v>
      </c>
      <c r="AC1223">
        <v>0.52339999999998099</v>
      </c>
      <c r="AD1223">
        <v>-0.2215384</v>
      </c>
      <c r="AE1223">
        <v>-4.4599999999945697E-2</v>
      </c>
      <c r="AF1223">
        <v>4.0510939063985202E-2</v>
      </c>
      <c r="AG1223">
        <v>-0.2215384</v>
      </c>
      <c r="AH1223">
        <v>0.44413023046678202</v>
      </c>
      <c r="AI1223">
        <v>116.41597323351</v>
      </c>
      <c r="AJ1223">
        <v>84.788239103950204</v>
      </c>
      <c r="AK1223">
        <v>0.497967931169149</v>
      </c>
      <c r="AL1223">
        <v>72.576796461187101</v>
      </c>
      <c r="AM1223">
        <v>87.084711784904997</v>
      </c>
      <c r="AN1223">
        <v>0.99999995255486496</v>
      </c>
    </row>
    <row r="1224" spans="1:40" x14ac:dyDescent="0.25">
      <c r="A1224" t="str">
        <f>"20190304164841558"</f>
        <v>20190304164841558</v>
      </c>
      <c r="B1224" t="str">
        <f>"1551689321547112"</f>
        <v>1551689321547112</v>
      </c>
      <c r="C1224" t="s">
        <v>40</v>
      </c>
      <c r="D1224">
        <v>4.6286880000000004</v>
      </c>
      <c r="E1224">
        <v>0.54042389999999996</v>
      </c>
      <c r="F1224" t="s">
        <v>41</v>
      </c>
      <c r="G1224">
        <v>-244.08500000000001</v>
      </c>
      <c r="H1224">
        <v>0.85866309999999901</v>
      </c>
      <c r="I1224">
        <v>367.55549999999999</v>
      </c>
      <c r="J1224">
        <v>-244.6936</v>
      </c>
      <c r="K1224">
        <v>1.1107199999999999</v>
      </c>
      <c r="L1224">
        <v>367.60539999999997</v>
      </c>
      <c r="M1224">
        <v>0.99988410000000005</v>
      </c>
      <c r="N1224">
        <v>-1.3993800000000001E-2</v>
      </c>
      <c r="O1224">
        <v>6.017924E-3</v>
      </c>
      <c r="P1224">
        <v>0.95737110000000003</v>
      </c>
      <c r="Q1224">
        <v>0.28560960000000002</v>
      </c>
      <c r="R1224">
        <v>-4.321999E-2</v>
      </c>
      <c r="S1224">
        <v>3.4732669999999999</v>
      </c>
      <c r="T1224">
        <v>-1.169475</v>
      </c>
      <c r="U1224">
        <v>-0.2265625</v>
      </c>
      <c r="V1224">
        <v>4.8923759999999997E-2</v>
      </c>
      <c r="W1224">
        <v>0.29898449999999999</v>
      </c>
      <c r="X1224">
        <v>0.95300300000000004</v>
      </c>
      <c r="Y1224">
        <v>6.6952410000000004E-2</v>
      </c>
      <c r="Z1224">
        <v>-1.332854E-2</v>
      </c>
      <c r="AA1224">
        <v>0.99766710000000003</v>
      </c>
      <c r="AB1224">
        <v>27</v>
      </c>
      <c r="AC1224">
        <v>0.60859999999999503</v>
      </c>
      <c r="AD1224">
        <v>-0.25205689999999997</v>
      </c>
      <c r="AE1224">
        <v>-4.98999999999796E-2</v>
      </c>
      <c r="AF1224">
        <v>4.5764517368114599E-2</v>
      </c>
      <c r="AG1224">
        <v>-0.25205689999999997</v>
      </c>
      <c r="AH1224">
        <v>0.51973518341269098</v>
      </c>
      <c r="AI1224">
        <v>115.78530677549701</v>
      </c>
      <c r="AJ1224">
        <v>84.967882979535602</v>
      </c>
      <c r="AK1224">
        <v>0.57944087943859302</v>
      </c>
      <c r="AL1224">
        <v>72.603379796283605</v>
      </c>
      <c r="AM1224">
        <v>87.0612197709669</v>
      </c>
      <c r="AN1224">
        <v>0.99999999177089305</v>
      </c>
    </row>
    <row r="1225" spans="1:40" x14ac:dyDescent="0.25">
      <c r="A1225" t="str">
        <f>"20190304164841569"</f>
        <v>20190304164841569</v>
      </c>
      <c r="B1225" t="str">
        <f>"1551689321557847"</f>
        <v>1551689321557847</v>
      </c>
      <c r="C1225" t="s">
        <v>40</v>
      </c>
      <c r="D1225">
        <v>4.638414</v>
      </c>
      <c r="E1225">
        <v>0.53993190000000002</v>
      </c>
      <c r="F1225" t="s">
        <v>41</v>
      </c>
      <c r="G1225">
        <v>-243.86019999999999</v>
      </c>
      <c r="H1225">
        <v>0.82664799999999905</v>
      </c>
      <c r="I1225">
        <v>367.55110000000002</v>
      </c>
      <c r="J1225">
        <v>-244.5523</v>
      </c>
      <c r="K1225">
        <v>1.110711</v>
      </c>
      <c r="L1225">
        <v>367.60640000000001</v>
      </c>
      <c r="M1225">
        <v>0.99988370000000004</v>
      </c>
      <c r="N1225">
        <v>-1.3992279999999999E-2</v>
      </c>
      <c r="O1225">
        <v>6.0749630000000001E-3</v>
      </c>
      <c r="P1225">
        <v>0.95749320000000004</v>
      </c>
      <c r="Q1225">
        <v>0.28518130000000003</v>
      </c>
      <c r="R1225">
        <v>-4.3344010000000002E-2</v>
      </c>
      <c r="S1225">
        <v>3.4769290000000002</v>
      </c>
      <c r="T1225">
        <v>-1.1850210000000001</v>
      </c>
      <c r="U1225">
        <v>-0.22500609999999999</v>
      </c>
      <c r="V1225">
        <v>4.9108880000000001E-2</v>
      </c>
      <c r="W1225">
        <v>0.29855530000000002</v>
      </c>
      <c r="X1225">
        <v>0.95312799999999998</v>
      </c>
      <c r="Y1225">
        <v>6.6426360000000004E-2</v>
      </c>
      <c r="Z1225">
        <v>-1.340593E-2</v>
      </c>
      <c r="AA1225">
        <v>0.99770130000000001</v>
      </c>
      <c r="AB1225">
        <v>27</v>
      </c>
      <c r="AC1225">
        <v>0.69210000000001004</v>
      </c>
      <c r="AD1225">
        <v>-0.28406300000000001</v>
      </c>
      <c r="AE1225">
        <v>-5.5299999999988303E-2</v>
      </c>
      <c r="AF1225">
        <v>5.09717458845583E-2</v>
      </c>
      <c r="AG1225">
        <v>-0.28406300000000001</v>
      </c>
      <c r="AH1225">
        <v>0.59256258859302502</v>
      </c>
      <c r="AI1225">
        <v>115.529925935528</v>
      </c>
      <c r="AJ1225">
        <v>85.083566449725396</v>
      </c>
      <c r="AK1225">
        <v>0.65910570339482499</v>
      </c>
      <c r="AL1225">
        <v>72.629147661157205</v>
      </c>
      <c r="AM1225">
        <v>87.050505665910094</v>
      </c>
      <c r="AN1225">
        <v>0.99999996681847103</v>
      </c>
    </row>
    <row r="1226" spans="1:40" x14ac:dyDescent="0.25">
      <c r="A1226" t="str">
        <f>"20190304164841581"</f>
        <v>20190304164841581</v>
      </c>
      <c r="B1226" t="str">
        <f>"1551689321567608"</f>
        <v>1551689321567608</v>
      </c>
      <c r="C1226" t="s">
        <v>40</v>
      </c>
      <c r="D1226">
        <v>4.5518029999999996</v>
      </c>
      <c r="E1226">
        <v>0.5395877</v>
      </c>
      <c r="F1226" t="s">
        <v>41</v>
      </c>
      <c r="G1226">
        <v>-243.84440000000001</v>
      </c>
      <c r="H1226">
        <v>0.86652739999999995</v>
      </c>
      <c r="I1226">
        <v>367.5609</v>
      </c>
      <c r="J1226">
        <v>-244.42080000000001</v>
      </c>
      <c r="K1226">
        <v>1.1107039999999999</v>
      </c>
      <c r="L1226">
        <v>367.60719999999998</v>
      </c>
      <c r="M1226">
        <v>0.99988339999999998</v>
      </c>
      <c r="N1226">
        <v>-1.3990880000000001E-2</v>
      </c>
      <c r="O1226">
        <v>6.1239099999999998E-3</v>
      </c>
      <c r="P1226">
        <v>0.95750210000000002</v>
      </c>
      <c r="Q1226">
        <v>0.28520699999999999</v>
      </c>
      <c r="R1226">
        <v>-4.2972759999999999E-2</v>
      </c>
      <c r="S1226">
        <v>3.4806819999999998</v>
      </c>
      <c r="T1226">
        <v>-1.2004269999999999</v>
      </c>
      <c r="U1226">
        <v>-0.22140499999999999</v>
      </c>
      <c r="V1226">
        <v>4.8789659999999999E-2</v>
      </c>
      <c r="W1226">
        <v>0.29857899999999998</v>
      </c>
      <c r="X1226">
        <v>0.95313700000000001</v>
      </c>
      <c r="Y1226">
        <v>6.5343170000000006E-2</v>
      </c>
      <c r="Z1226">
        <v>-1.3379719999999999E-2</v>
      </c>
      <c r="AA1226">
        <v>0.99777320000000003</v>
      </c>
      <c r="AB1226">
        <v>27</v>
      </c>
      <c r="AC1226">
        <v>0.57640000000000602</v>
      </c>
      <c r="AD1226">
        <v>-0.24417659999999999</v>
      </c>
      <c r="AE1226">
        <v>-4.62999999999738E-2</v>
      </c>
      <c r="AF1226">
        <v>4.2288914431716999E-2</v>
      </c>
      <c r="AG1226">
        <v>-0.24417659999999999</v>
      </c>
      <c r="AH1226">
        <v>0.488926837571447</v>
      </c>
      <c r="AI1226">
        <v>116.45290354295</v>
      </c>
      <c r="AJ1226">
        <v>85.0565996086398</v>
      </c>
      <c r="AK1226">
        <v>0.548142332582505</v>
      </c>
      <c r="AL1226">
        <v>72.627725368509005</v>
      </c>
      <c r="AM1226">
        <v>87.069672213276704</v>
      </c>
      <c r="AN1226">
        <v>0.99999999546645701</v>
      </c>
    </row>
    <row r="1227" spans="1:40" x14ac:dyDescent="0.25">
      <c r="A1227" t="str">
        <f>"20190304164841592"</f>
        <v>20190304164841592</v>
      </c>
      <c r="B1227" t="str">
        <f>"1551689321587127"</f>
        <v>1551689321587127</v>
      </c>
      <c r="C1227" t="s">
        <v>40</v>
      </c>
      <c r="D1227">
        <v>4.5674320000000002</v>
      </c>
      <c r="E1227">
        <v>0.53929890000000003</v>
      </c>
      <c r="F1227" t="s">
        <v>41</v>
      </c>
      <c r="G1227">
        <v>-243.62010000000001</v>
      </c>
      <c r="H1227">
        <v>0.83364649999999996</v>
      </c>
      <c r="I1227">
        <v>367.5573</v>
      </c>
      <c r="J1227">
        <v>-244.28790000000001</v>
      </c>
      <c r="K1227">
        <v>1.1106990000000001</v>
      </c>
      <c r="L1227">
        <v>367.60809999999998</v>
      </c>
      <c r="M1227">
        <v>0.99988310000000002</v>
      </c>
      <c r="N1227">
        <v>-1.398946E-2</v>
      </c>
      <c r="O1227">
        <v>6.16988E-3</v>
      </c>
      <c r="P1227">
        <v>0.95750820000000003</v>
      </c>
      <c r="Q1227">
        <v>0.2852537</v>
      </c>
      <c r="R1227">
        <v>-4.252649E-2</v>
      </c>
      <c r="S1227">
        <v>3.4822850000000001</v>
      </c>
      <c r="T1227">
        <v>-1.2048650000000001</v>
      </c>
      <c r="U1227">
        <v>-0.21752929999999901</v>
      </c>
      <c r="V1227">
        <v>4.8392110000000002E-2</v>
      </c>
      <c r="W1227">
        <v>0.2986241</v>
      </c>
      <c r="X1227">
        <v>0.95314310000000002</v>
      </c>
      <c r="Y1227">
        <v>6.4288349999999994E-2</v>
      </c>
      <c r="Z1227">
        <v>-1.324997E-2</v>
      </c>
      <c r="AA1227">
        <v>0.99784340000000005</v>
      </c>
      <c r="AB1227">
        <v>27</v>
      </c>
      <c r="AC1227">
        <v>0.66779999999999895</v>
      </c>
      <c r="AD1227">
        <v>-0.27705249999999898</v>
      </c>
      <c r="AE1227">
        <v>-5.0799999999980999E-2</v>
      </c>
      <c r="AF1227">
        <v>4.6894619498974E-2</v>
      </c>
      <c r="AG1227">
        <v>-0.27705249999999898</v>
      </c>
      <c r="AH1227">
        <v>0.56994013713682501</v>
      </c>
      <c r="AI1227">
        <v>115.848838173365</v>
      </c>
      <c r="AJ1227">
        <v>85.296304339780804</v>
      </c>
      <c r="AK1227">
        <v>0.63544390233422399</v>
      </c>
      <c r="AL1227">
        <v>72.625017154584299</v>
      </c>
      <c r="AM1227">
        <v>87.093526696423396</v>
      </c>
      <c r="AN1227">
        <v>0.99999995924433505</v>
      </c>
    </row>
    <row r="1228" spans="1:40" x14ac:dyDescent="0.25">
      <c r="A1228" t="str">
        <f>"20190304164841603"</f>
        <v>20190304164841603</v>
      </c>
      <c r="B1228" t="str">
        <f>"1551689321596888"</f>
        <v>1551689321596888</v>
      </c>
      <c r="C1228" t="s">
        <v>40</v>
      </c>
      <c r="D1228">
        <v>4.6350170000000004</v>
      </c>
      <c r="E1228">
        <v>0.53928980000000004</v>
      </c>
      <c r="F1228" t="s">
        <v>41</v>
      </c>
      <c r="G1228">
        <v>-243.60390000000001</v>
      </c>
      <c r="H1228">
        <v>0.87408399999999997</v>
      </c>
      <c r="I1228">
        <v>367.56599999999997</v>
      </c>
      <c r="J1228">
        <v>-244.15280000000001</v>
      </c>
      <c r="K1228">
        <v>1.1106940000000001</v>
      </c>
      <c r="L1228">
        <v>367.60890000000001</v>
      </c>
      <c r="M1228">
        <v>0.99988299999999997</v>
      </c>
      <c r="N1228">
        <v>-1.398802E-2</v>
      </c>
      <c r="O1228">
        <v>6.2114429999999997E-3</v>
      </c>
      <c r="P1228">
        <v>0.95755029999999997</v>
      </c>
      <c r="Q1228">
        <v>0.2851301</v>
      </c>
      <c r="R1228">
        <v>-4.2408800000000003E-2</v>
      </c>
      <c r="S1228">
        <v>3.482529</v>
      </c>
      <c r="T1228">
        <v>-1.2047369999999999</v>
      </c>
      <c r="U1228">
        <v>-0.21423339999999999</v>
      </c>
      <c r="V1228">
        <v>4.831916E-2</v>
      </c>
      <c r="W1228">
        <v>0.2984985</v>
      </c>
      <c r="X1228">
        <v>0.95318619999999998</v>
      </c>
      <c r="Y1228">
        <v>6.3435169999999999E-2</v>
      </c>
      <c r="Z1228">
        <v>-1.311208E-2</v>
      </c>
      <c r="AA1228">
        <v>0.9978998</v>
      </c>
      <c r="AB1228">
        <v>27</v>
      </c>
      <c r="AC1228">
        <v>0.54890000000000305</v>
      </c>
      <c r="AD1228">
        <v>-0.23660999999999999</v>
      </c>
      <c r="AE1228">
        <v>-4.2900000000031399E-2</v>
      </c>
      <c r="AF1228">
        <v>3.90896408466129E-2</v>
      </c>
      <c r="AG1228">
        <v>-0.23660999999999999</v>
      </c>
      <c r="AH1228">
        <v>0.46309546999986301</v>
      </c>
      <c r="AI1228">
        <v>116.98159312217599</v>
      </c>
      <c r="AJ1228">
        <v>85.175131211398593</v>
      </c>
      <c r="AK1228">
        <v>0.52150714899789297</v>
      </c>
      <c r="AL1228">
        <v>72.632558390096804</v>
      </c>
      <c r="AM1228">
        <v>87.098031642111593</v>
      </c>
      <c r="AN1228">
        <v>1.0000000137978899</v>
      </c>
    </row>
    <row r="1229" spans="1:40" x14ac:dyDescent="0.25">
      <c r="A1229" t="str">
        <f>"20190304164841614"</f>
        <v>20190304164841614</v>
      </c>
      <c r="B1229" t="str">
        <f>"1551689321607623"</f>
        <v>1551689321607623</v>
      </c>
      <c r="C1229" t="s">
        <v>40</v>
      </c>
      <c r="D1229">
        <v>4.570875</v>
      </c>
      <c r="E1229">
        <v>0.53911119999999901</v>
      </c>
      <c r="F1229" t="s">
        <v>41</v>
      </c>
      <c r="G1229">
        <v>-243.37950000000001</v>
      </c>
      <c r="H1229">
        <v>0.84297730000000004</v>
      </c>
      <c r="I1229">
        <v>367.56110000000001</v>
      </c>
      <c r="J1229">
        <v>-244.01759999999999</v>
      </c>
      <c r="K1229">
        <v>1.1106879999999999</v>
      </c>
      <c r="L1229">
        <v>367.60980000000001</v>
      </c>
      <c r="M1229">
        <v>0.99988270000000001</v>
      </c>
      <c r="N1229">
        <v>-1.398659E-2</v>
      </c>
      <c r="O1229">
        <v>6.2515169999999998E-3</v>
      </c>
      <c r="P1229">
        <v>0.95751269999999999</v>
      </c>
      <c r="Q1229">
        <v>0.28531250000000002</v>
      </c>
      <c r="R1229">
        <v>-4.2027509999999997E-2</v>
      </c>
      <c r="S1229">
        <v>3.4824519999999999</v>
      </c>
      <c r="T1229">
        <v>-1.2054240000000001</v>
      </c>
      <c r="U1229">
        <v>-0.2139587</v>
      </c>
      <c r="V1229">
        <v>4.798053E-2</v>
      </c>
      <c r="W1229">
        <v>0.2986782</v>
      </c>
      <c r="X1229">
        <v>0.95314699999999997</v>
      </c>
      <c r="Y1229">
        <v>6.3393729999999995E-2</v>
      </c>
      <c r="Z1229">
        <v>-1.312489E-2</v>
      </c>
      <c r="AA1229">
        <v>0.99790230000000002</v>
      </c>
      <c r="AB1229">
        <v>27</v>
      </c>
      <c r="AC1229">
        <v>0.63809999999998002</v>
      </c>
      <c r="AD1229">
        <v>-0.26771069999999902</v>
      </c>
      <c r="AE1229">
        <v>-4.86999999999966E-2</v>
      </c>
      <c r="AF1229">
        <v>4.4841401767845498E-2</v>
      </c>
      <c r="AG1229">
        <v>-0.26771069999999902</v>
      </c>
      <c r="AH1229">
        <v>0.54279527906106195</v>
      </c>
      <c r="AI1229">
        <v>116.175642099413</v>
      </c>
      <c r="AJ1229">
        <v>85.277405269620701</v>
      </c>
      <c r="AK1229">
        <v>0.60688259587664095</v>
      </c>
      <c r="AL1229">
        <v>72.621769973837999</v>
      </c>
      <c r="AM1229">
        <v>87.118216482520296</v>
      </c>
      <c r="AN1229">
        <v>1.0000000010116601</v>
      </c>
    </row>
    <row r="1230" spans="1:40" x14ac:dyDescent="0.25">
      <c r="A1230" t="str">
        <f>"20190304164841626"</f>
        <v>20190304164841626</v>
      </c>
      <c r="B1230" t="str">
        <f>"1551689321617384"</f>
        <v>1551689321617384</v>
      </c>
      <c r="C1230" t="s">
        <v>40</v>
      </c>
      <c r="D1230">
        <v>4.5646399999999998</v>
      </c>
      <c r="E1230">
        <v>0.53899929999999996</v>
      </c>
      <c r="F1230" t="s">
        <v>41</v>
      </c>
      <c r="G1230">
        <v>-243.36279999999999</v>
      </c>
      <c r="H1230">
        <v>0.8838511</v>
      </c>
      <c r="I1230">
        <v>367.57</v>
      </c>
      <c r="J1230">
        <v>-243.8939</v>
      </c>
      <c r="K1230">
        <v>1.1106830000000001</v>
      </c>
      <c r="L1230">
        <v>367.61059999999998</v>
      </c>
      <c r="M1230">
        <v>0.99988259999999995</v>
      </c>
      <c r="N1230">
        <v>-1.3985269999999999E-2</v>
      </c>
      <c r="O1230">
        <v>6.2833910000000001E-3</v>
      </c>
      <c r="P1230">
        <v>0.95754430000000001</v>
      </c>
      <c r="Q1230">
        <v>0.28527789999999997</v>
      </c>
      <c r="R1230">
        <v>-4.1538369999999998E-2</v>
      </c>
      <c r="S1230">
        <v>3.4833980000000002</v>
      </c>
      <c r="T1230">
        <v>-1.206539</v>
      </c>
      <c r="U1230">
        <v>-0.21060180000000001</v>
      </c>
      <c r="V1230">
        <v>4.752588E-2</v>
      </c>
      <c r="W1230">
        <v>0.29864220000000002</v>
      </c>
      <c r="X1230">
        <v>0.95318099999999994</v>
      </c>
      <c r="Y1230">
        <v>6.2497850000000001E-2</v>
      </c>
      <c r="Z1230">
        <v>-1.2986269999999999E-2</v>
      </c>
      <c r="AA1230">
        <v>0.99796059999999998</v>
      </c>
      <c r="AB1230">
        <v>27</v>
      </c>
      <c r="AC1230">
        <v>0.53110000000000901</v>
      </c>
      <c r="AD1230">
        <v>-0.2268319</v>
      </c>
      <c r="AE1230">
        <v>-4.0599999999983503E-2</v>
      </c>
      <c r="AF1230">
        <v>3.7191785918172897E-2</v>
      </c>
      <c r="AG1230">
        <v>-0.2268319</v>
      </c>
      <c r="AH1230">
        <v>0.44934436870127398</v>
      </c>
      <c r="AI1230">
        <v>116.706331254642</v>
      </c>
      <c r="AJ1230">
        <v>85.268470495166397</v>
      </c>
      <c r="AK1230">
        <v>0.50472398544247898</v>
      </c>
      <c r="AL1230">
        <v>72.623930274804806</v>
      </c>
      <c r="AM1230">
        <v>87.145579725660596</v>
      </c>
      <c r="AN1230">
        <v>0.99999994582580498</v>
      </c>
    </row>
    <row r="1231" spans="1:40" x14ac:dyDescent="0.25">
      <c r="A1231" t="str">
        <f>"20190304164841637"</f>
        <v>20190304164841637</v>
      </c>
      <c r="B1231" t="str">
        <f>"1551689321627144"</f>
        <v>1551689321627144</v>
      </c>
      <c r="C1231" t="s">
        <v>40</v>
      </c>
      <c r="D1231">
        <v>4.6124640000000001</v>
      </c>
      <c r="E1231">
        <v>0.5390355</v>
      </c>
      <c r="F1231" t="s">
        <v>41</v>
      </c>
      <c r="G1231">
        <v>-243.14</v>
      </c>
      <c r="H1231">
        <v>0.84992849999999998</v>
      </c>
      <c r="I1231">
        <v>367.56549999999999</v>
      </c>
      <c r="J1231">
        <v>-243.75319999999999</v>
      </c>
      <c r="K1231">
        <v>1.1106780000000001</v>
      </c>
      <c r="L1231">
        <v>367.61160000000001</v>
      </c>
      <c r="M1231">
        <v>0.9998823</v>
      </c>
      <c r="N1231">
        <v>-1.398376E-2</v>
      </c>
      <c r="O1231">
        <v>6.3185949999999998E-3</v>
      </c>
      <c r="P1231">
        <v>0.95755650000000003</v>
      </c>
      <c r="Q1231">
        <v>0.28528740000000002</v>
      </c>
      <c r="R1231">
        <v>-4.1190980000000002E-2</v>
      </c>
      <c r="S1231">
        <v>3.4828950000000001</v>
      </c>
      <c r="T1231">
        <v>-1.204685</v>
      </c>
      <c r="U1231">
        <v>-0.2081604</v>
      </c>
      <c r="V1231">
        <v>4.7215979999999998E-2</v>
      </c>
      <c r="W1231">
        <v>0.29865000000000003</v>
      </c>
      <c r="X1231">
        <v>0.95319399999999999</v>
      </c>
      <c r="Y1231">
        <v>6.1890300000000002E-2</v>
      </c>
      <c r="Z1231">
        <v>-1.2874770000000001E-2</v>
      </c>
      <c r="AA1231">
        <v>0.99799990000000005</v>
      </c>
      <c r="AB1231">
        <v>27</v>
      </c>
      <c r="AC1231">
        <v>0.61320000000000596</v>
      </c>
      <c r="AD1231">
        <v>-0.26074950000000002</v>
      </c>
      <c r="AE1231">
        <v>-4.6100000000023997E-2</v>
      </c>
      <c r="AF1231">
        <v>4.23579656719043E-2</v>
      </c>
      <c r="AG1231">
        <v>-0.26074950000000002</v>
      </c>
      <c r="AH1231">
        <v>0.51949084802131795</v>
      </c>
      <c r="AI1231">
        <v>116.577543376302</v>
      </c>
      <c r="AJ1231">
        <v>85.338559568905794</v>
      </c>
      <c r="AK1231">
        <v>0.5827994854013</v>
      </c>
      <c r="AL1231">
        <v>72.623462725762096</v>
      </c>
      <c r="AM1231">
        <v>87.164200554618802</v>
      </c>
      <c r="AN1231">
        <v>0.99999998645167998</v>
      </c>
    </row>
    <row r="1232" spans="1:40" x14ac:dyDescent="0.25">
      <c r="A1232" t="str">
        <f>"20190304164841648"</f>
        <v>20190304164841648</v>
      </c>
      <c r="B1232" t="str">
        <f>"1551689321637880"</f>
        <v>1551689321637880</v>
      </c>
      <c r="C1232" t="s">
        <v>40</v>
      </c>
      <c r="D1232">
        <v>4.592206</v>
      </c>
      <c r="E1232">
        <v>0.53903190000000001</v>
      </c>
      <c r="F1232" t="s">
        <v>41</v>
      </c>
      <c r="G1232">
        <v>-242.91499999999999</v>
      </c>
      <c r="H1232">
        <v>0.82114909999999997</v>
      </c>
      <c r="I1232">
        <v>367.56139999999999</v>
      </c>
      <c r="J1232">
        <v>-243.6215</v>
      </c>
      <c r="K1232">
        <v>1.1106739999999999</v>
      </c>
      <c r="L1232">
        <v>367.61239999999998</v>
      </c>
      <c r="M1232">
        <v>0.99988220000000005</v>
      </c>
      <c r="N1232">
        <v>-1.3982339999999999E-2</v>
      </c>
      <c r="O1232">
        <v>6.3479180000000001E-3</v>
      </c>
      <c r="P1232">
        <v>0.95759229999999995</v>
      </c>
      <c r="Q1232">
        <v>0.2852131</v>
      </c>
      <c r="R1232">
        <v>-4.0874130000000002E-2</v>
      </c>
      <c r="S1232">
        <v>3.482437</v>
      </c>
      <c r="T1232">
        <v>-1.2028460000000001</v>
      </c>
      <c r="U1232">
        <v>-0.20745849999999999</v>
      </c>
      <c r="V1232">
        <v>4.6930569999999998E-2</v>
      </c>
      <c r="W1232">
        <v>0.29857410000000001</v>
      </c>
      <c r="X1232">
        <v>0.95323190000000002</v>
      </c>
      <c r="Y1232">
        <v>6.1745000000000001E-2</v>
      </c>
      <c r="Z1232">
        <v>-1.2842259999999999E-2</v>
      </c>
      <c r="AA1232">
        <v>0.99800929999999999</v>
      </c>
      <c r="AB1232">
        <v>26</v>
      </c>
      <c r="AC1232">
        <v>0.70650000000000501</v>
      </c>
      <c r="AD1232">
        <v>-0.28952489999999997</v>
      </c>
      <c r="AE1232">
        <v>-5.0999999999987701E-2</v>
      </c>
      <c r="AF1232">
        <v>4.7541590238759701E-2</v>
      </c>
      <c r="AG1232">
        <v>-0.28952489999999997</v>
      </c>
      <c r="AH1232">
        <v>0.60507415056505798</v>
      </c>
      <c r="AI1232">
        <v>115.50229593069599</v>
      </c>
      <c r="AJ1232">
        <v>85.507413829845703</v>
      </c>
      <c r="AK1232">
        <v>0.67245787838679305</v>
      </c>
      <c r="AL1232">
        <v>72.628019857255097</v>
      </c>
      <c r="AM1232">
        <v>87.181426486491304</v>
      </c>
      <c r="AN1232">
        <v>1.00000001338447</v>
      </c>
    </row>
    <row r="1233" spans="1:40" x14ac:dyDescent="0.25">
      <c r="A1233" t="str">
        <f>"20190304164841661"</f>
        <v>20190304164841661</v>
      </c>
      <c r="B1233" t="str">
        <f>"1551689321657400"</f>
        <v>1551689321657400</v>
      </c>
      <c r="C1233" t="s">
        <v>40</v>
      </c>
      <c r="D1233">
        <v>4.6059449999999904</v>
      </c>
      <c r="E1233">
        <v>0.53912139999999997</v>
      </c>
      <c r="F1233" t="s">
        <v>41</v>
      </c>
      <c r="G1233">
        <v>-242.8991</v>
      </c>
      <c r="H1233">
        <v>0.86136809999999997</v>
      </c>
      <c r="I1233">
        <v>367.56959999999998</v>
      </c>
      <c r="J1233">
        <v>-243.48320000000001</v>
      </c>
      <c r="K1233">
        <v>1.110671</v>
      </c>
      <c r="L1233">
        <v>367.61329999999998</v>
      </c>
      <c r="M1233">
        <v>0.9998821</v>
      </c>
      <c r="N1233">
        <v>-1.3980859999999999E-2</v>
      </c>
      <c r="O1233">
        <v>6.3773060000000001E-3</v>
      </c>
      <c r="P1233">
        <v>0.95761499999999999</v>
      </c>
      <c r="Q1233">
        <v>0.28519129999999998</v>
      </c>
      <c r="R1233">
        <v>-4.049527E-2</v>
      </c>
      <c r="S1233">
        <v>3.4819490000000002</v>
      </c>
      <c r="T1233">
        <v>-1.2015389999999999</v>
      </c>
      <c r="U1233">
        <v>-0.2053528</v>
      </c>
      <c r="V1233">
        <v>4.6582709999999999E-2</v>
      </c>
      <c r="W1233">
        <v>0.29855080000000001</v>
      </c>
      <c r="X1233">
        <v>0.9532562</v>
      </c>
      <c r="Y1233">
        <v>6.1218519999999998E-2</v>
      </c>
      <c r="Z1233">
        <v>-1.274866E-2</v>
      </c>
      <c r="AA1233">
        <v>0.99804289999999996</v>
      </c>
      <c r="AB1233">
        <v>26</v>
      </c>
      <c r="AC1233">
        <v>0.58410000000000595</v>
      </c>
      <c r="AD1233">
        <v>-0.24930289999999899</v>
      </c>
      <c r="AE1233">
        <v>-4.3700000000001099E-2</v>
      </c>
      <c r="AF1233">
        <v>4.0150837477260198E-2</v>
      </c>
      <c r="AG1233">
        <v>-0.24930289999999899</v>
      </c>
      <c r="AH1233">
        <v>0.49426892737060502</v>
      </c>
      <c r="AI1233">
        <v>116.690102616329</v>
      </c>
      <c r="AJ1233">
        <v>85.355901917915901</v>
      </c>
      <c r="AK1233">
        <v>0.55503675397456698</v>
      </c>
      <c r="AL1233">
        <v>72.629417618091296</v>
      </c>
      <c r="AM1233">
        <v>87.2023562795315</v>
      </c>
      <c r="AN1233">
        <v>0.99999995594501101</v>
      </c>
    </row>
    <row r="1234" spans="1:40" x14ac:dyDescent="0.25">
      <c r="A1234" t="str">
        <f>"20190304164841671"</f>
        <v>20190304164841671</v>
      </c>
      <c r="B1234" t="str">
        <f>"1551689321667159"</f>
        <v>1551689321667159</v>
      </c>
      <c r="C1234" t="s">
        <v>40</v>
      </c>
      <c r="D1234">
        <v>4.6287010000000004</v>
      </c>
      <c r="E1234">
        <v>0.53920109999999999</v>
      </c>
      <c r="F1234" t="s">
        <v>41</v>
      </c>
      <c r="G1234">
        <v>-242.6747</v>
      </c>
      <c r="H1234">
        <v>0.83180929999999997</v>
      </c>
      <c r="I1234">
        <v>367.56569999999999</v>
      </c>
      <c r="J1234">
        <v>-243.3545</v>
      </c>
      <c r="K1234">
        <v>1.11067</v>
      </c>
      <c r="L1234">
        <v>367.61419999999998</v>
      </c>
      <c r="M1234">
        <v>0.99988189999999999</v>
      </c>
      <c r="N1234">
        <v>-1.3979490000000001E-2</v>
      </c>
      <c r="O1234">
        <v>6.4031330000000001E-3</v>
      </c>
      <c r="P1234">
        <v>0.95757369999999997</v>
      </c>
      <c r="Q1234">
        <v>0.28535820000000001</v>
      </c>
      <c r="R1234">
        <v>-4.0294980000000001E-2</v>
      </c>
      <c r="S1234">
        <v>3.4817499999999999</v>
      </c>
      <c r="T1234">
        <v>-1.2009529999999999</v>
      </c>
      <c r="U1234">
        <v>-0.20477290000000001</v>
      </c>
      <c r="V1234">
        <v>4.6408999999999999E-2</v>
      </c>
      <c r="W1234">
        <v>0.29871560000000003</v>
      </c>
      <c r="X1234">
        <v>0.95321310000000004</v>
      </c>
      <c r="Y1234">
        <v>6.1091560000000003E-2</v>
      </c>
      <c r="Z1234">
        <v>-1.272975E-2</v>
      </c>
      <c r="AA1234">
        <v>0.99805100000000002</v>
      </c>
      <c r="AB1234">
        <v>26</v>
      </c>
      <c r="AC1234">
        <v>0.67979999999999996</v>
      </c>
      <c r="AD1234">
        <v>-0.27886070000000002</v>
      </c>
      <c r="AE1234">
        <v>-4.8499999999990002E-2</v>
      </c>
      <c r="AF1234">
        <v>4.5272721248966703E-2</v>
      </c>
      <c r="AG1234">
        <v>-0.27886070000000002</v>
      </c>
      <c r="AH1234">
        <v>0.58203172733060204</v>
      </c>
      <c r="AI1234">
        <v>115.53255188980999</v>
      </c>
      <c r="AJ1234">
        <v>85.552264175169299</v>
      </c>
      <c r="AK1234">
        <v>0.64697282857413796</v>
      </c>
      <c r="AL1234">
        <v>72.619524758245404</v>
      </c>
      <c r="AM1234">
        <v>87.212646568657306</v>
      </c>
      <c r="AN1234">
        <v>1.00000000948798</v>
      </c>
    </row>
    <row r="1235" spans="1:40" x14ac:dyDescent="0.25">
      <c r="A1235" t="str">
        <f>"20190304164841682"</f>
        <v>20190304164841682</v>
      </c>
      <c r="B1235" t="str">
        <f>"1551689321677896"</f>
        <v>1551689321677896</v>
      </c>
      <c r="C1235" t="s">
        <v>40</v>
      </c>
      <c r="D1235">
        <v>4.633464</v>
      </c>
      <c r="E1235">
        <v>0.53927510000000001</v>
      </c>
      <c r="F1235" t="s">
        <v>41</v>
      </c>
      <c r="G1235">
        <v>-242.6591</v>
      </c>
      <c r="H1235">
        <v>0.87082019999999905</v>
      </c>
      <c r="I1235">
        <v>367.57330000000002</v>
      </c>
      <c r="J1235">
        <v>-243.2253</v>
      </c>
      <c r="K1235">
        <v>1.11067</v>
      </c>
      <c r="L1235">
        <v>367.61509999999998</v>
      </c>
      <c r="M1235">
        <v>0.99988169999999998</v>
      </c>
      <c r="N1235">
        <v>-1.397812E-2</v>
      </c>
      <c r="O1235">
        <v>6.4277800000000001E-3</v>
      </c>
      <c r="P1235">
        <v>0.95752170000000003</v>
      </c>
      <c r="Q1235">
        <v>0.28556890000000001</v>
      </c>
      <c r="R1235">
        <v>-4.0037049999999998E-2</v>
      </c>
      <c r="S1235">
        <v>3.482224</v>
      </c>
      <c r="T1235">
        <v>-1.2009970000000001</v>
      </c>
      <c r="U1235">
        <v>-0.2046509</v>
      </c>
      <c r="V1235">
        <v>4.6176050000000003E-2</v>
      </c>
      <c r="W1235">
        <v>0.29892400000000002</v>
      </c>
      <c r="X1235">
        <v>0.95315910000000004</v>
      </c>
      <c r="Y1235">
        <v>6.1073849999999999E-2</v>
      </c>
      <c r="Z1235">
        <v>-1.2733390000000001E-2</v>
      </c>
      <c r="AA1235">
        <v>0.99805200000000005</v>
      </c>
      <c r="AB1235">
        <v>26</v>
      </c>
      <c r="AC1235">
        <v>0.56620000000000903</v>
      </c>
      <c r="AD1235">
        <v>-0.2398498</v>
      </c>
      <c r="AE1235">
        <v>-4.1799999999966503E-2</v>
      </c>
      <c r="AF1235">
        <v>3.8557359598578402E-2</v>
      </c>
      <c r="AG1235">
        <v>-0.2398498</v>
      </c>
      <c r="AH1235">
        <v>0.48021331763903602</v>
      </c>
      <c r="AI1235">
        <v>116.46700886128799</v>
      </c>
      <c r="AJ1235">
        <v>85.409446628726201</v>
      </c>
      <c r="AK1235">
        <v>0.53816301152823898</v>
      </c>
      <c r="AL1235">
        <v>72.607012959144598</v>
      </c>
      <c r="AM1235">
        <v>87.226458914520904</v>
      </c>
      <c r="AN1235">
        <v>1.0000000276412</v>
      </c>
    </row>
    <row r="1236" spans="1:40" x14ac:dyDescent="0.25">
      <c r="A1236" t="str">
        <f>"20190304164841694"</f>
        <v>20190304164841694</v>
      </c>
      <c r="B1236" t="str">
        <f>"1551689321687655"</f>
        <v>1551689321687655</v>
      </c>
      <c r="C1236" t="s">
        <v>40</v>
      </c>
      <c r="D1236">
        <v>4.6617800000000003</v>
      </c>
      <c r="E1236">
        <v>0.53939530000000002</v>
      </c>
      <c r="F1236" t="s">
        <v>41</v>
      </c>
      <c r="G1236">
        <v>-242.43620000000001</v>
      </c>
      <c r="H1236">
        <v>0.83857039999999905</v>
      </c>
      <c r="I1236">
        <v>367.56830000000002</v>
      </c>
      <c r="J1236">
        <v>-243.0823</v>
      </c>
      <c r="K1236">
        <v>1.110671</v>
      </c>
      <c r="L1236">
        <v>367.61599999999999</v>
      </c>
      <c r="M1236">
        <v>0.99988160000000004</v>
      </c>
      <c r="N1236">
        <v>-1.397661E-2</v>
      </c>
      <c r="O1236">
        <v>6.4543379999999996E-3</v>
      </c>
      <c r="P1236">
        <v>0.9574916</v>
      </c>
      <c r="Q1236">
        <v>0.28567340000000002</v>
      </c>
      <c r="R1236">
        <v>-4.0010690000000002E-2</v>
      </c>
      <c r="S1236">
        <v>3.4826199999999998</v>
      </c>
      <c r="T1236">
        <v>-1.200779</v>
      </c>
      <c r="U1236">
        <v>-0.2053528</v>
      </c>
      <c r="V1236">
        <v>4.617624E-2</v>
      </c>
      <c r="W1236">
        <v>0.29902630000000002</v>
      </c>
      <c r="X1236">
        <v>0.95312699999999995</v>
      </c>
      <c r="Y1236">
        <v>6.128256E-2</v>
      </c>
      <c r="Z1236">
        <v>-1.2774799999999999E-2</v>
      </c>
      <c r="AA1236">
        <v>0.99803869999999895</v>
      </c>
      <c r="AB1236">
        <v>26</v>
      </c>
      <c r="AC1236">
        <v>0.64609999999998902</v>
      </c>
      <c r="AD1236">
        <v>-0.27210059999999903</v>
      </c>
      <c r="AE1236">
        <v>-4.7699999999963397E-2</v>
      </c>
      <c r="AF1236">
        <v>4.4091768702758001E-2</v>
      </c>
      <c r="AG1236">
        <v>-0.27210059999999903</v>
      </c>
      <c r="AH1236">
        <v>0.54894473373277397</v>
      </c>
      <c r="AI1236">
        <v>116.293432800188</v>
      </c>
      <c r="AJ1236">
        <v>85.407806426004399</v>
      </c>
      <c r="AK1236">
        <v>0.61426634392634905</v>
      </c>
      <c r="AL1236">
        <v>72.600870622516197</v>
      </c>
      <c r="AM1236">
        <v>87.226354256535799</v>
      </c>
      <c r="AN1236">
        <v>1.0000000256806101</v>
      </c>
    </row>
    <row r="1237" spans="1:40" x14ac:dyDescent="0.25">
      <c r="A1237" t="str">
        <f>"20190304164841708"</f>
        <v>20190304164841708</v>
      </c>
      <c r="B1237" t="str">
        <f>"1551689321697416"</f>
        <v>1551689321697416</v>
      </c>
      <c r="C1237" t="s">
        <v>40</v>
      </c>
      <c r="D1237">
        <v>4.6861030000000001</v>
      </c>
      <c r="E1237">
        <v>0.53954449999999998</v>
      </c>
      <c r="F1237" t="s">
        <v>41</v>
      </c>
      <c r="G1237">
        <v>-242.4186</v>
      </c>
      <c r="H1237">
        <v>0.88182579999999999</v>
      </c>
      <c r="I1237">
        <v>367.5763</v>
      </c>
      <c r="J1237">
        <v>-242.93119999999999</v>
      </c>
      <c r="K1237">
        <v>1.110673</v>
      </c>
      <c r="L1237">
        <v>367.61700000000002</v>
      </c>
      <c r="M1237">
        <v>0.99988140000000003</v>
      </c>
      <c r="N1237">
        <v>-1.3975019999999999E-2</v>
      </c>
      <c r="O1237">
        <v>6.4815089999999999E-3</v>
      </c>
      <c r="P1237">
        <v>0.95735499999999996</v>
      </c>
      <c r="Q1237">
        <v>0.28611710000000001</v>
      </c>
      <c r="R1237">
        <v>-4.0106790000000003E-2</v>
      </c>
      <c r="S1237">
        <v>3.4828030000000001</v>
      </c>
      <c r="T1237">
        <v>-1.2008299999999901</v>
      </c>
      <c r="U1237">
        <v>-0.2073364</v>
      </c>
      <c r="V1237">
        <v>4.6298359999999997E-2</v>
      </c>
      <c r="W1237">
        <v>0.29946679999999998</v>
      </c>
      <c r="X1237">
        <v>0.95298269999999996</v>
      </c>
      <c r="Y1237">
        <v>6.1838440000000001E-2</v>
      </c>
      <c r="Z1237">
        <v>-1.2880249999999999E-2</v>
      </c>
      <c r="AA1237">
        <v>0.99800310000000003</v>
      </c>
      <c r="AB1237">
        <v>26</v>
      </c>
      <c r="AC1237">
        <v>0.51259999999999195</v>
      </c>
      <c r="AD1237">
        <v>-0.2288472</v>
      </c>
      <c r="AE1237">
        <v>-4.0699999999958401E-2</v>
      </c>
      <c r="AF1237">
        <v>3.6744201281312797E-2</v>
      </c>
      <c r="AG1237">
        <v>-0.2288472</v>
      </c>
      <c r="AH1237">
        <v>0.42762788216603198</v>
      </c>
      <c r="AI1237">
        <v>118.06610584213099</v>
      </c>
      <c r="AJ1237">
        <v>85.088886131781507</v>
      </c>
      <c r="AK1237">
        <v>0.48640187384656303</v>
      </c>
      <c r="AL1237">
        <v>72.574418641479596</v>
      </c>
      <c r="AM1237">
        <v>87.218610002581897</v>
      </c>
      <c r="AN1237">
        <v>0.99999996447010897</v>
      </c>
    </row>
    <row r="1238" spans="1:40" x14ac:dyDescent="0.25">
      <c r="A1238" t="str">
        <f>"20190304164841722"</f>
        <v>20190304164841722</v>
      </c>
      <c r="B1238" t="str">
        <f>"1551689321717911"</f>
        <v>1551689321717911</v>
      </c>
      <c r="C1238" t="s">
        <v>40</v>
      </c>
      <c r="D1238">
        <v>4.6624030000000003</v>
      </c>
      <c r="E1238">
        <v>0.53997899999999999</v>
      </c>
      <c r="F1238" t="s">
        <v>41</v>
      </c>
      <c r="G1238">
        <v>-242.19329999999999</v>
      </c>
      <c r="H1238">
        <v>0.85706329999999997</v>
      </c>
      <c r="I1238">
        <v>367.57260000000002</v>
      </c>
      <c r="J1238">
        <v>-242.7594</v>
      </c>
      <c r="K1238">
        <v>1.1106780000000001</v>
      </c>
      <c r="L1238">
        <v>367.6182</v>
      </c>
      <c r="M1238">
        <v>0.99988120000000003</v>
      </c>
      <c r="N1238">
        <v>-1.39732E-2</v>
      </c>
      <c r="O1238">
        <v>6.5122620000000004E-3</v>
      </c>
      <c r="P1238">
        <v>0.95709789999999995</v>
      </c>
      <c r="Q1238">
        <v>0.28685470000000002</v>
      </c>
      <c r="R1238">
        <v>-4.096499E-2</v>
      </c>
      <c r="S1238">
        <v>3.4825590000000002</v>
      </c>
      <c r="T1238">
        <v>-1.196785</v>
      </c>
      <c r="U1238">
        <v>-0.20904539999999999</v>
      </c>
      <c r="V1238">
        <v>4.718485E-2</v>
      </c>
      <c r="W1238">
        <v>0.30019820000000003</v>
      </c>
      <c r="X1238">
        <v>0.95270909999999998</v>
      </c>
      <c r="Y1238">
        <v>6.2354649999999998E-2</v>
      </c>
      <c r="Z1238">
        <v>-1.29406E-2</v>
      </c>
      <c r="AA1238">
        <v>0.99797020000000003</v>
      </c>
      <c r="AB1238">
        <v>26</v>
      </c>
      <c r="AC1238">
        <v>0.56610000000000504</v>
      </c>
      <c r="AD1238">
        <v>-0.25361470000000003</v>
      </c>
      <c r="AE1238">
        <v>-4.55999999999789E-2</v>
      </c>
      <c r="AF1238">
        <v>4.1091750174516502E-2</v>
      </c>
      <c r="AG1238">
        <v>-0.25361470000000003</v>
      </c>
      <c r="AH1238">
        <v>0.47172320935425699</v>
      </c>
      <c r="AI1238">
        <v>118.173781345083</v>
      </c>
      <c r="AJ1238">
        <v>85.021538787699797</v>
      </c>
      <c r="AK1238">
        <v>0.53715150026037795</v>
      </c>
      <c r="AL1238">
        <v>72.530492127165402</v>
      </c>
      <c r="AM1238">
        <v>87.164627145984497</v>
      </c>
      <c r="AN1238">
        <v>0.99999999928778605</v>
      </c>
    </row>
    <row r="1239" spans="1:40" x14ac:dyDescent="0.25">
      <c r="A1239" t="str">
        <f>"20190304164841736"</f>
        <v>20190304164841736</v>
      </c>
      <c r="B1239" t="str">
        <f>"1551689321727672"</f>
        <v>1551689321727672</v>
      </c>
      <c r="C1239" t="s">
        <v>40</v>
      </c>
      <c r="D1239">
        <v>4.6399839999999903</v>
      </c>
      <c r="E1239">
        <v>0.54016629999999999</v>
      </c>
      <c r="F1239" t="s">
        <v>41</v>
      </c>
      <c r="G1239">
        <v>-241.96530000000001</v>
      </c>
      <c r="H1239">
        <v>0.83885779999999999</v>
      </c>
      <c r="I1239">
        <v>367.5686</v>
      </c>
      <c r="J1239">
        <v>-242.59119999999999</v>
      </c>
      <c r="K1239">
        <v>1.110679</v>
      </c>
      <c r="L1239">
        <v>367.61930000000001</v>
      </c>
      <c r="M1239">
        <v>0.99988109999999997</v>
      </c>
      <c r="N1239">
        <v>-1.397141E-2</v>
      </c>
      <c r="O1239">
        <v>6.5420119999999998E-3</v>
      </c>
      <c r="P1239">
        <v>0.9570379</v>
      </c>
      <c r="Q1239">
        <v>0.28696929999999998</v>
      </c>
      <c r="R1239">
        <v>-4.1562910000000002E-2</v>
      </c>
      <c r="S1239">
        <v>3.482437</v>
      </c>
      <c r="T1239">
        <v>-1.191932</v>
      </c>
      <c r="U1239">
        <v>-0.21633910000000001</v>
      </c>
      <c r="V1239">
        <v>4.7810930000000001E-2</v>
      </c>
      <c r="W1239">
        <v>0.30031059999999998</v>
      </c>
      <c r="X1239">
        <v>0.9526424</v>
      </c>
      <c r="Y1239">
        <v>6.4379160000000005E-2</v>
      </c>
      <c r="Z1239">
        <v>-1.325251E-2</v>
      </c>
      <c r="AA1239">
        <v>0.99783750000000004</v>
      </c>
      <c r="AB1239">
        <v>26</v>
      </c>
      <c r="AC1239">
        <v>0.62589999999997303</v>
      </c>
      <c r="AD1239">
        <v>-0.27182119999999999</v>
      </c>
      <c r="AE1239">
        <v>-5.0700000000006101E-2</v>
      </c>
      <c r="AF1239">
        <v>4.6147059261016199E-2</v>
      </c>
      <c r="AG1239">
        <v>-0.27182119999999999</v>
      </c>
      <c r="AH1239">
        <v>0.52683761027141196</v>
      </c>
      <c r="AI1239">
        <v>117.20229182704099</v>
      </c>
      <c r="AJ1239">
        <v>84.994091981093504</v>
      </c>
      <c r="AK1239">
        <v>0.59462104187824705</v>
      </c>
      <c r="AL1239">
        <v>72.523739523049798</v>
      </c>
      <c r="AM1239">
        <v>87.126867334324402</v>
      </c>
      <c r="AN1239">
        <v>0.99999994188879004</v>
      </c>
    </row>
    <row r="1240" spans="1:40" x14ac:dyDescent="0.25">
      <c r="A1240" t="str">
        <f>"20190304164841755"</f>
        <v>20190304164841755</v>
      </c>
      <c r="B1240" t="str">
        <f>"1551689321747192"</f>
        <v>1551689321747192</v>
      </c>
      <c r="C1240" t="s">
        <v>40</v>
      </c>
      <c r="D1240">
        <v>4.637022</v>
      </c>
      <c r="E1240">
        <v>0.54044999999999999</v>
      </c>
      <c r="F1240" t="s">
        <v>41</v>
      </c>
      <c r="G1240">
        <v>-241.73830000000001</v>
      </c>
      <c r="H1240">
        <v>0.81884029999999997</v>
      </c>
      <c r="I1240">
        <v>367.56509999999997</v>
      </c>
      <c r="J1240">
        <v>-242.36660000000001</v>
      </c>
      <c r="K1240">
        <v>1.110679</v>
      </c>
      <c r="L1240">
        <v>367.62079999999997</v>
      </c>
      <c r="M1240">
        <v>0.99988089999999996</v>
      </c>
      <c r="N1240">
        <v>-1.39691E-2</v>
      </c>
      <c r="O1240">
        <v>6.5832140000000004E-3</v>
      </c>
      <c r="P1240">
        <v>0.95693950000000005</v>
      </c>
      <c r="Q1240">
        <v>0.28710930000000001</v>
      </c>
      <c r="R1240">
        <v>-4.2844399999999998E-2</v>
      </c>
      <c r="S1240">
        <v>3.4824069999999998</v>
      </c>
      <c r="T1240">
        <v>-1.1915420000000001</v>
      </c>
      <c r="U1240">
        <v>-0.22045899999999999</v>
      </c>
      <c r="V1240">
        <v>4.913112E-2</v>
      </c>
      <c r="W1240">
        <v>0.30044660000000001</v>
      </c>
      <c r="X1240">
        <v>0.95253239999999995</v>
      </c>
      <c r="Y1240">
        <v>6.552935E-2</v>
      </c>
      <c r="Z1240">
        <v>-1.3460700000000001E-2</v>
      </c>
      <c r="AA1240">
        <v>0.99775979999999997</v>
      </c>
      <c r="AB1240">
        <v>26</v>
      </c>
      <c r="AC1240">
        <v>0.62829999999999497</v>
      </c>
      <c r="AD1240">
        <v>-0.29183870000000001</v>
      </c>
      <c r="AE1240">
        <v>-5.5700000000001602E-2</v>
      </c>
      <c r="AF1240">
        <v>4.9285071397797101E-2</v>
      </c>
      <c r="AG1240">
        <v>-0.29183870000000001</v>
      </c>
      <c r="AH1240">
        <v>0.51720303160272996</v>
      </c>
      <c r="AI1240">
        <v>119.32373862745099</v>
      </c>
      <c r="AJ1240">
        <v>84.556633567001697</v>
      </c>
      <c r="AK1240">
        <v>0.59590084827883105</v>
      </c>
      <c r="AL1240">
        <v>72.5155710736488</v>
      </c>
      <c r="AM1240">
        <v>87.047330453635198</v>
      </c>
      <c r="AN1240">
        <v>0.99999999972688702</v>
      </c>
    </row>
    <row r="1241" spans="1:40" x14ac:dyDescent="0.25">
      <c r="A1241" t="str">
        <f>"20190304164841767"</f>
        <v>20190304164841767</v>
      </c>
      <c r="B1241" t="str">
        <f>"1551689321757929"</f>
        <v>1551689321757929</v>
      </c>
      <c r="C1241" t="s">
        <v>40</v>
      </c>
      <c r="D1241">
        <v>4.6200999999999999</v>
      </c>
      <c r="E1241">
        <v>0.54066169999999902</v>
      </c>
      <c r="F1241" t="s">
        <v>41</v>
      </c>
      <c r="G1241">
        <v>-241.71100000000001</v>
      </c>
      <c r="H1241">
        <v>0.88647229999999999</v>
      </c>
      <c r="I1241">
        <v>367.57780000000002</v>
      </c>
      <c r="J1241">
        <v>-242.21809999999999</v>
      </c>
      <c r="K1241">
        <v>1.110679</v>
      </c>
      <c r="L1241">
        <v>367.62180000000001</v>
      </c>
      <c r="M1241">
        <v>0.99988069999999896</v>
      </c>
      <c r="N1241">
        <v>-1.3967480000000001E-2</v>
      </c>
      <c r="O1241">
        <v>6.6105929999999997E-3</v>
      </c>
      <c r="P1241">
        <v>0.95684979999999997</v>
      </c>
      <c r="Q1241">
        <v>0.28730620000000001</v>
      </c>
      <c r="R1241">
        <v>-4.3518830000000001E-2</v>
      </c>
      <c r="S1241">
        <v>3.4821010000000001</v>
      </c>
      <c r="T1241">
        <v>-1.1908080000000001</v>
      </c>
      <c r="U1241">
        <v>-0.22723389999999999</v>
      </c>
      <c r="V1241">
        <v>4.9830680000000002E-2</v>
      </c>
      <c r="W1241">
        <v>0.30064079999999999</v>
      </c>
      <c r="X1241">
        <v>0.95243480000000003</v>
      </c>
      <c r="Y1241">
        <v>6.7388909999999996E-2</v>
      </c>
      <c r="Z1241">
        <v>-1.3784360000000001E-2</v>
      </c>
      <c r="AA1241">
        <v>0.9976315</v>
      </c>
      <c r="AB1241">
        <v>26</v>
      </c>
      <c r="AC1241">
        <v>0.50710000000000799</v>
      </c>
      <c r="AD1241">
        <v>-0.22420670000000001</v>
      </c>
      <c r="AE1241">
        <v>-4.3999999999982699E-2</v>
      </c>
      <c r="AF1241">
        <v>3.9657199888772497E-2</v>
      </c>
      <c r="AG1241">
        <v>-0.22420670000000001</v>
      </c>
      <c r="AH1241">
        <v>0.42444588695107899</v>
      </c>
      <c r="AI1241">
        <v>117.74182143534399</v>
      </c>
      <c r="AJ1241">
        <v>84.662187054172193</v>
      </c>
      <c r="AK1241">
        <v>0.481659266263607</v>
      </c>
      <c r="AL1241">
        <v>72.503905208336704</v>
      </c>
      <c r="AM1241">
        <v>87.005058148863299</v>
      </c>
      <c r="AN1241">
        <v>1.0000000177724699</v>
      </c>
    </row>
    <row r="1242" spans="1:40" x14ac:dyDescent="0.25">
      <c r="A1242" t="str">
        <f>"20190304164841782"</f>
        <v>20190304164841782</v>
      </c>
      <c r="B1242" t="str">
        <f>"1551689321777448"</f>
        <v>1551689321777448</v>
      </c>
      <c r="C1242" t="s">
        <v>40</v>
      </c>
      <c r="D1242">
        <v>4.6006169999999997</v>
      </c>
      <c r="E1242">
        <v>0.5409313</v>
      </c>
      <c r="F1242" t="s">
        <v>41</v>
      </c>
      <c r="G1242">
        <v>-241.48689999999999</v>
      </c>
      <c r="H1242">
        <v>0.86087619999999898</v>
      </c>
      <c r="I1242">
        <v>367.57279999999997</v>
      </c>
      <c r="J1242">
        <v>-242.05289999999999</v>
      </c>
      <c r="K1242">
        <v>1.1106750000000001</v>
      </c>
      <c r="L1242">
        <v>367.62299999999999</v>
      </c>
      <c r="M1242">
        <v>0.99988060000000001</v>
      </c>
      <c r="N1242">
        <v>-1.3965709999999999E-2</v>
      </c>
      <c r="O1242">
        <v>6.6415500000000004E-3</v>
      </c>
      <c r="P1242">
        <v>0.95685319999999996</v>
      </c>
      <c r="Q1242">
        <v>0.28719099999999997</v>
      </c>
      <c r="R1242">
        <v>-4.4201499999999998E-2</v>
      </c>
      <c r="S1242">
        <v>3.4818880000000001</v>
      </c>
      <c r="T1242">
        <v>-1.1894610000000001</v>
      </c>
      <c r="U1242">
        <v>-0.23187260000000001</v>
      </c>
      <c r="V1242">
        <v>5.0542669999999998E-2</v>
      </c>
      <c r="W1242">
        <v>0.30052400000000001</v>
      </c>
      <c r="X1242">
        <v>0.95243420000000001</v>
      </c>
      <c r="Y1242">
        <v>6.8678710000000004E-2</v>
      </c>
      <c r="Z1242">
        <v>-1.4003349999999999E-2</v>
      </c>
      <c r="AA1242">
        <v>0.99754050000000005</v>
      </c>
      <c r="AB1242">
        <v>26</v>
      </c>
      <c r="AC1242">
        <v>0.56600000000000195</v>
      </c>
      <c r="AD1242">
        <v>-0.24979879999999999</v>
      </c>
      <c r="AE1242">
        <v>-5.0200000000074803E-2</v>
      </c>
      <c r="AF1242">
        <v>4.5219245984930198E-2</v>
      </c>
      <c r="AG1242">
        <v>-0.24979879999999999</v>
      </c>
      <c r="AH1242">
        <v>0.474040413458023</v>
      </c>
      <c r="AI1242">
        <v>117.680402054897</v>
      </c>
      <c r="AJ1242">
        <v>84.550979229692203</v>
      </c>
      <c r="AK1242">
        <v>0.53773463184022197</v>
      </c>
      <c r="AL1242">
        <v>72.510922788591898</v>
      </c>
      <c r="AM1242">
        <v>86.962343533513007</v>
      </c>
      <c r="AN1242">
        <v>1.00000007069818</v>
      </c>
    </row>
    <row r="1243" spans="1:40" x14ac:dyDescent="0.25">
      <c r="A1243" t="str">
        <f>"20190304164841795"</f>
        <v>20190304164841795</v>
      </c>
      <c r="B1243" t="str">
        <f>"1551689321787208"</f>
        <v>1551689321787208</v>
      </c>
      <c r="C1243" t="s">
        <v>40</v>
      </c>
      <c r="D1243">
        <v>4.5762700000000001</v>
      </c>
      <c r="E1243">
        <v>0.54105099999999995</v>
      </c>
      <c r="F1243" t="s">
        <v>41</v>
      </c>
      <c r="G1243">
        <v>-241.26070000000001</v>
      </c>
      <c r="H1243">
        <v>0.84005949999999996</v>
      </c>
      <c r="I1243">
        <v>367.56880000000001</v>
      </c>
      <c r="J1243">
        <v>-241.89850000000001</v>
      </c>
      <c r="K1243">
        <v>1.110676</v>
      </c>
      <c r="L1243">
        <v>367.62400000000002</v>
      </c>
      <c r="M1243">
        <v>0.9998804</v>
      </c>
      <c r="N1243">
        <v>-1.396409E-2</v>
      </c>
      <c r="O1243">
        <v>6.6711330000000001E-3</v>
      </c>
      <c r="P1243">
        <v>0.95688629999999997</v>
      </c>
      <c r="Q1243">
        <v>0.287022099999999</v>
      </c>
      <c r="R1243">
        <v>-4.457771E-2</v>
      </c>
      <c r="S1243">
        <v>3.4812470000000002</v>
      </c>
      <c r="T1243">
        <v>-1.1892450000000001</v>
      </c>
      <c r="U1243">
        <v>-0.2370911</v>
      </c>
      <c r="V1243">
        <v>5.0946999999999999E-2</v>
      </c>
      <c r="W1243">
        <v>0.30035420000000002</v>
      </c>
      <c r="X1243">
        <v>0.95246609999999998</v>
      </c>
      <c r="Y1243">
        <v>7.0122749999999998E-2</v>
      </c>
      <c r="Z1243">
        <v>-1.426211E-2</v>
      </c>
      <c r="AA1243">
        <v>0.9974364</v>
      </c>
      <c r="AB1243">
        <v>26</v>
      </c>
      <c r="AC1243">
        <v>0.63779999999999804</v>
      </c>
      <c r="AD1243">
        <v>-0.27061649999999998</v>
      </c>
      <c r="AE1243">
        <v>-5.5200000000013398E-2</v>
      </c>
      <c r="AF1243">
        <v>5.0440802216997697E-2</v>
      </c>
      <c r="AG1243">
        <v>-0.27061649999999998</v>
      </c>
      <c r="AH1243">
        <v>0.54078502083458402</v>
      </c>
      <c r="AI1243">
        <v>116.48485052509599</v>
      </c>
      <c r="AJ1243">
        <v>84.671251222496096</v>
      </c>
      <c r="AK1243">
        <v>0.60681628468557602</v>
      </c>
      <c r="AL1243">
        <v>72.521120791445497</v>
      </c>
      <c r="AM1243">
        <v>86.938191375918507</v>
      </c>
      <c r="AN1243">
        <v>0.99999995695792399</v>
      </c>
    </row>
    <row r="1244" spans="1:40" x14ac:dyDescent="0.25">
      <c r="A1244" t="str">
        <f>"20190304164841806"</f>
        <v>20190304164841806</v>
      </c>
      <c r="B1244" t="str">
        <f>"1551689321796968"</f>
        <v>1551689321796968</v>
      </c>
      <c r="C1244" t="s">
        <v>40</v>
      </c>
      <c r="D1244">
        <v>4.5392809999999999</v>
      </c>
      <c r="E1244">
        <v>0.54116109999999995</v>
      </c>
      <c r="F1244" t="s">
        <v>41</v>
      </c>
      <c r="G1244">
        <v>-241.24209999999999</v>
      </c>
      <c r="H1244">
        <v>0.88635059999999999</v>
      </c>
      <c r="I1244">
        <v>367.57859999999999</v>
      </c>
      <c r="J1244">
        <v>-241.76490000000001</v>
      </c>
      <c r="K1244">
        <v>1.1106769999999999</v>
      </c>
      <c r="L1244">
        <v>367.62490000000003</v>
      </c>
      <c r="M1244">
        <v>0.99988010000000005</v>
      </c>
      <c r="N1244">
        <v>-1.396267E-2</v>
      </c>
      <c r="O1244">
        <v>6.6973759999999997E-3</v>
      </c>
      <c r="P1244">
        <v>0.95686680000000002</v>
      </c>
      <c r="Q1244">
        <v>0.28701100000000002</v>
      </c>
      <c r="R1244">
        <v>-4.5059929999999998E-2</v>
      </c>
      <c r="S1244">
        <v>3.480804</v>
      </c>
      <c r="T1244">
        <v>-1.1895290000000001</v>
      </c>
      <c r="U1244">
        <v>-0.2399597</v>
      </c>
      <c r="V1244">
        <v>5.1453989999999998E-2</v>
      </c>
      <c r="W1244">
        <v>0.30034149999999998</v>
      </c>
      <c r="X1244">
        <v>0.95244289999999998</v>
      </c>
      <c r="Y1244">
        <v>7.0924189999999998E-2</v>
      </c>
      <c r="Z1244">
        <v>-1.441367E-2</v>
      </c>
      <c r="AA1244">
        <v>0.99737759999999998</v>
      </c>
      <c r="AB1244">
        <v>26</v>
      </c>
      <c r="AC1244">
        <v>0.52280000000001703</v>
      </c>
      <c r="AD1244">
        <v>-0.22432640000000001</v>
      </c>
      <c r="AE1244">
        <v>-4.6300000000030601E-2</v>
      </c>
      <c r="AF1244">
        <v>4.2108254636179697E-2</v>
      </c>
      <c r="AG1244">
        <v>-0.22432640000000001</v>
      </c>
      <c r="AH1244">
        <v>0.44177385396630803</v>
      </c>
      <c r="AI1244">
        <v>116.816347928062</v>
      </c>
      <c r="AJ1244">
        <v>84.555226776756598</v>
      </c>
      <c r="AK1244">
        <v>0.49725202553002301</v>
      </c>
      <c r="AL1244">
        <v>72.521884514103704</v>
      </c>
      <c r="AM1244">
        <v>86.907705996977398</v>
      </c>
      <c r="AN1244">
        <v>1.00000000373479</v>
      </c>
    </row>
    <row r="1245" spans="1:40" x14ac:dyDescent="0.25">
      <c r="A1245" t="str">
        <f>"20190304164841823"</f>
        <v>20190304164841823</v>
      </c>
      <c r="B1245" t="str">
        <f>"1551689321817464"</f>
        <v>1551689321817464</v>
      </c>
      <c r="C1245" t="s">
        <v>40</v>
      </c>
      <c r="D1245">
        <v>4.4787290000000004</v>
      </c>
      <c r="E1245">
        <v>0.54126819999999998</v>
      </c>
      <c r="F1245" t="s">
        <v>41</v>
      </c>
      <c r="G1245">
        <v>-241.02019999999999</v>
      </c>
      <c r="H1245">
        <v>0.85626290000000005</v>
      </c>
      <c r="I1245">
        <v>367.5727</v>
      </c>
      <c r="J1245">
        <v>-241.57490000000001</v>
      </c>
      <c r="K1245">
        <v>1.1106860000000001</v>
      </c>
      <c r="L1245">
        <v>367.62630000000001</v>
      </c>
      <c r="M1245">
        <v>0.99987979999999999</v>
      </c>
      <c r="N1245">
        <v>-1.396066E-2</v>
      </c>
      <c r="O1245">
        <v>6.7348310000000002E-3</v>
      </c>
      <c r="P1245">
        <v>0.9566962</v>
      </c>
      <c r="Q1245">
        <v>0.28744019999999998</v>
      </c>
      <c r="R1245">
        <v>-4.5943709999999999E-2</v>
      </c>
      <c r="S1245">
        <v>3.4804840000000001</v>
      </c>
      <c r="T1245">
        <v>-1.189076</v>
      </c>
      <c r="U1245">
        <v>-0.24264530000000001</v>
      </c>
      <c r="V1245">
        <v>5.237166E-2</v>
      </c>
      <c r="W1245">
        <v>0.30076629999999999</v>
      </c>
      <c r="X1245">
        <v>0.95225879999999996</v>
      </c>
      <c r="Y1245">
        <v>7.1689489999999995E-2</v>
      </c>
      <c r="Z1245">
        <v>-1.455384E-2</v>
      </c>
      <c r="AA1245">
        <v>0.99732080000000001</v>
      </c>
      <c r="AB1245">
        <v>26</v>
      </c>
      <c r="AC1245">
        <v>0.55470000000002495</v>
      </c>
      <c r="AD1245">
        <v>-0.25442310000000001</v>
      </c>
      <c r="AE1245">
        <v>-5.3600000000017099E-2</v>
      </c>
      <c r="AF1245">
        <v>4.7445820676202698E-2</v>
      </c>
      <c r="AG1245">
        <v>-0.25442310000000001</v>
      </c>
      <c r="AH1245">
        <v>0.458716132083686</v>
      </c>
      <c r="AI1245">
        <v>118.885455157151</v>
      </c>
      <c r="AJ1245">
        <v>84.094794688550095</v>
      </c>
      <c r="AK1245">
        <v>0.52669033553604006</v>
      </c>
      <c r="AL1245">
        <v>72.496365138896806</v>
      </c>
      <c r="AM1245">
        <v>86.852058306548997</v>
      </c>
      <c r="AN1245">
        <v>0.99999999008214202</v>
      </c>
    </row>
    <row r="1246" spans="1:40" x14ac:dyDescent="0.25">
      <c r="A1246" t="str">
        <f>"20190304164841836"</f>
        <v>20190304164841836</v>
      </c>
      <c r="B1246" t="str">
        <f>"1551689321827226"</f>
        <v>1551689321827226</v>
      </c>
      <c r="C1246" t="s">
        <v>40</v>
      </c>
      <c r="D1246">
        <v>4.4373469999999999</v>
      </c>
      <c r="E1246">
        <v>0.54131289999999999</v>
      </c>
      <c r="F1246" t="s">
        <v>41</v>
      </c>
      <c r="G1246">
        <v>-240.79150000000001</v>
      </c>
      <c r="H1246">
        <v>0.84346779999999999</v>
      </c>
      <c r="I1246">
        <v>367.57080000000002</v>
      </c>
      <c r="J1246">
        <v>-241.41390000000001</v>
      </c>
      <c r="K1246">
        <v>1.1106879999999999</v>
      </c>
      <c r="L1246">
        <v>367.62729999999999</v>
      </c>
      <c r="M1246">
        <v>0.99987979999999999</v>
      </c>
      <c r="N1246">
        <v>-1.3958979999999999E-2</v>
      </c>
      <c r="O1246">
        <v>6.7669770000000004E-3</v>
      </c>
      <c r="P1246">
        <v>0.95654879999999998</v>
      </c>
      <c r="Q1246">
        <v>0.28791090000000003</v>
      </c>
      <c r="R1246">
        <v>-4.6064649999999999E-2</v>
      </c>
      <c r="S1246">
        <v>3.4806979999999998</v>
      </c>
      <c r="T1246">
        <v>-1.1872199999999999</v>
      </c>
      <c r="U1246">
        <v>-0.2454529</v>
      </c>
      <c r="V1246">
        <v>5.2521970000000001E-2</v>
      </c>
      <c r="W1246">
        <v>0.30123329999999998</v>
      </c>
      <c r="X1246">
        <v>0.95210289999999997</v>
      </c>
      <c r="Y1246">
        <v>7.2483989999999998E-2</v>
      </c>
      <c r="Z1246">
        <v>-1.467924E-2</v>
      </c>
      <c r="AA1246">
        <v>0.99726150000000002</v>
      </c>
      <c r="AB1246">
        <v>26</v>
      </c>
      <c r="AC1246">
        <v>0.62239999999999895</v>
      </c>
      <c r="AD1246">
        <v>-0.26722019999999902</v>
      </c>
      <c r="AE1246">
        <v>-5.6499999999971302E-2</v>
      </c>
      <c r="AF1246">
        <v>5.1327026466177102E-2</v>
      </c>
      <c r="AG1246">
        <v>-0.26722019999999902</v>
      </c>
      <c r="AH1246">
        <v>0.52586261991896499</v>
      </c>
      <c r="AI1246">
        <v>116.828120069126</v>
      </c>
      <c r="AJ1246">
        <v>84.425281403611905</v>
      </c>
      <c r="AK1246">
        <v>0.59209171076948697</v>
      </c>
      <c r="AL1246">
        <v>72.468306874480604</v>
      </c>
      <c r="AM1246">
        <v>86.842525878907693</v>
      </c>
      <c r="AN1246">
        <v>0.99999999527498995</v>
      </c>
    </row>
    <row r="1247" spans="1:40" x14ac:dyDescent="0.25">
      <c r="A1247" t="str">
        <f>"20190304164841848"</f>
        <v>20190304164841848</v>
      </c>
      <c r="B1247" t="str">
        <f>"1551689321836984"</f>
        <v>1551689321836984</v>
      </c>
      <c r="C1247" t="s">
        <v>40</v>
      </c>
      <c r="D1247">
        <v>4.4529399999999999</v>
      </c>
      <c r="E1247">
        <v>0.54135559999999905</v>
      </c>
      <c r="F1247" t="s">
        <v>41</v>
      </c>
      <c r="G1247">
        <v>-240.56639999999999</v>
      </c>
      <c r="H1247">
        <v>0.82220269999999995</v>
      </c>
      <c r="I1247">
        <v>367.56720000000001</v>
      </c>
      <c r="J1247">
        <v>-241.2741</v>
      </c>
      <c r="K1247">
        <v>1.11069</v>
      </c>
      <c r="L1247">
        <v>367.62830000000002</v>
      </c>
      <c r="M1247">
        <v>0.99987959999999998</v>
      </c>
      <c r="N1247">
        <v>-1.3957539999999999E-2</v>
      </c>
      <c r="O1247">
        <v>6.7950650000000003E-3</v>
      </c>
      <c r="P1247">
        <v>0.95651969999999997</v>
      </c>
      <c r="Q1247">
        <v>0.2879854</v>
      </c>
      <c r="R1247">
        <v>-4.6204090000000003E-2</v>
      </c>
      <c r="S1247">
        <v>3.4810490000000001</v>
      </c>
      <c r="T1247">
        <v>-1.1848939999999999</v>
      </c>
      <c r="U1247">
        <v>-0.2460938</v>
      </c>
      <c r="V1247">
        <v>5.2687690000000002E-2</v>
      </c>
      <c r="W1247">
        <v>0.30130600000000002</v>
      </c>
      <c r="X1247">
        <v>0.95207070000000005</v>
      </c>
      <c r="Y1247">
        <v>7.2692279999999998E-2</v>
      </c>
      <c r="Z1247">
        <v>-1.46961E-2</v>
      </c>
      <c r="AA1247">
        <v>0.99724610000000002</v>
      </c>
      <c r="AB1247">
        <v>26</v>
      </c>
      <c r="AC1247">
        <v>0.70770000000001598</v>
      </c>
      <c r="AD1247">
        <v>-0.2884873</v>
      </c>
      <c r="AE1247">
        <v>-6.1100000000010299E-2</v>
      </c>
      <c r="AF1247">
        <v>5.6576169000166002E-2</v>
      </c>
      <c r="AG1247">
        <v>-0.2884873</v>
      </c>
      <c r="AH1247">
        <v>0.60712788310959898</v>
      </c>
      <c r="AI1247">
        <v>115.31965032651399</v>
      </c>
      <c r="AJ1247">
        <v>84.676177156349397</v>
      </c>
      <c r="AK1247">
        <v>0.674559153528561</v>
      </c>
      <c r="AL1247">
        <v>72.463937838925403</v>
      </c>
      <c r="AM1247">
        <v>86.832476601847603</v>
      </c>
      <c r="AN1247">
        <v>0.99999995805601205</v>
      </c>
    </row>
    <row r="1248" spans="1:40" x14ac:dyDescent="0.25">
      <c r="A1248" t="str">
        <f>"20190304164841860"</f>
        <v>20190304164841860</v>
      </c>
      <c r="B1248" t="str">
        <f>"1551689321857480"</f>
        <v>1551689321857480</v>
      </c>
      <c r="C1248" t="s">
        <v>40</v>
      </c>
      <c r="D1248">
        <v>4.7389250000000001</v>
      </c>
      <c r="E1248">
        <v>0.54140100000000002</v>
      </c>
      <c r="F1248" t="s">
        <v>41</v>
      </c>
      <c r="G1248">
        <v>-240.5497</v>
      </c>
      <c r="H1248">
        <v>0.86428430000000001</v>
      </c>
      <c r="I1248">
        <v>367.57690000000002</v>
      </c>
      <c r="J1248">
        <v>-241.14400000000001</v>
      </c>
      <c r="K1248">
        <v>1.1106910000000001</v>
      </c>
      <c r="L1248">
        <v>367.62920000000003</v>
      </c>
      <c r="M1248">
        <v>0.99987939999999997</v>
      </c>
      <c r="N1248">
        <v>-1.395626E-2</v>
      </c>
      <c r="O1248">
        <v>6.8214230000000001E-3</v>
      </c>
      <c r="P1248">
        <v>0.95641310000000002</v>
      </c>
      <c r="Q1248">
        <v>0.2883579</v>
      </c>
      <c r="R1248">
        <v>-4.6086679999999998E-2</v>
      </c>
      <c r="S1248">
        <v>3.4810029999999998</v>
      </c>
      <c r="T1248">
        <v>-1.1841390000000001</v>
      </c>
      <c r="U1248">
        <v>-0.24630740000000001</v>
      </c>
      <c r="V1248">
        <v>5.2594639999999998E-2</v>
      </c>
      <c r="W1248">
        <v>0.30167620000000001</v>
      </c>
      <c r="X1248">
        <v>0.95195870000000005</v>
      </c>
      <c r="Y1248">
        <v>7.2779469999999999E-2</v>
      </c>
      <c r="Z1248">
        <v>-1.471098E-2</v>
      </c>
      <c r="AA1248">
        <v>0.99723949999999995</v>
      </c>
      <c r="AB1248">
        <v>26</v>
      </c>
      <c r="AC1248">
        <v>0.59430000000000405</v>
      </c>
      <c r="AD1248">
        <v>-0.24640670000000001</v>
      </c>
      <c r="AE1248">
        <v>-5.23000000000024E-2</v>
      </c>
      <c r="AF1248">
        <v>4.8140977178573602E-2</v>
      </c>
      <c r="AG1248">
        <v>-0.24640670000000001</v>
      </c>
      <c r="AH1248">
        <v>0.507377863917855</v>
      </c>
      <c r="AI1248">
        <v>115.802649206533</v>
      </c>
      <c r="AJ1248">
        <v>84.579893524612999</v>
      </c>
      <c r="AK1248">
        <v>0.56609726397717497</v>
      </c>
      <c r="AL1248">
        <v>72.441693407197505</v>
      </c>
      <c r="AM1248">
        <v>86.837688045786294</v>
      </c>
      <c r="AN1248">
        <v>1.0000000461544201</v>
      </c>
    </row>
    <row r="1249" spans="1:40" x14ac:dyDescent="0.25">
      <c r="A1249" t="str">
        <f>"20190304164841870"</f>
        <v>20190304164841870</v>
      </c>
      <c r="B1249" t="str">
        <f>"1551689321857480"</f>
        <v>1551689321857480</v>
      </c>
      <c r="C1249" t="s">
        <v>40</v>
      </c>
      <c r="D1249">
        <v>4.7389250000000001</v>
      </c>
      <c r="E1249">
        <v>0.54140100000000002</v>
      </c>
      <c r="F1249" t="s">
        <v>41</v>
      </c>
      <c r="G1249">
        <v>-240.32839999999999</v>
      </c>
      <c r="H1249">
        <v>0.83410019999999996</v>
      </c>
      <c r="I1249">
        <v>367.57139999999998</v>
      </c>
      <c r="J1249">
        <v>-241.02070000000001</v>
      </c>
      <c r="K1249">
        <v>1.11069</v>
      </c>
      <c r="L1249">
        <v>367.63010000000003</v>
      </c>
      <c r="M1249">
        <v>0.99987930000000003</v>
      </c>
      <c r="N1249">
        <v>-1.395509E-2</v>
      </c>
      <c r="O1249">
        <v>6.8462890000000002E-3</v>
      </c>
      <c r="P1249">
        <v>0.95634370000000002</v>
      </c>
      <c r="Q1249">
        <v>0.28859940000000001</v>
      </c>
      <c r="R1249">
        <v>-4.6016370000000001E-2</v>
      </c>
      <c r="S1249">
        <v>3.4807890000000001</v>
      </c>
      <c r="T1249">
        <v>-1.1804790000000001</v>
      </c>
      <c r="U1249">
        <v>-0.24588009999999999</v>
      </c>
      <c r="V1249">
        <v>5.2547320000000002E-2</v>
      </c>
      <c r="W1249">
        <v>0.3019153</v>
      </c>
      <c r="X1249">
        <v>0.95188550000000005</v>
      </c>
      <c r="Y1249">
        <v>7.2715890000000005E-2</v>
      </c>
      <c r="Z1249">
        <v>-1.466685E-2</v>
      </c>
      <c r="AA1249">
        <v>0.99724480000000004</v>
      </c>
      <c r="AB1249">
        <v>26</v>
      </c>
      <c r="AC1249">
        <v>0.69230000000001701</v>
      </c>
      <c r="AD1249">
        <v>-0.276589799999999</v>
      </c>
      <c r="AE1249">
        <v>-5.87000000000443E-2</v>
      </c>
      <c r="AF1249">
        <v>5.4760383616955899E-2</v>
      </c>
      <c r="AG1249">
        <v>-0.276589799999999</v>
      </c>
      <c r="AH1249">
        <v>0.59723281641618897</v>
      </c>
      <c r="AI1249">
        <v>114.758411722362</v>
      </c>
      <c r="AJ1249">
        <v>84.761188025513405</v>
      </c>
      <c r="AK1249">
        <v>0.66044504243905799</v>
      </c>
      <c r="AL1249">
        <v>72.427323814746003</v>
      </c>
      <c r="AM1249">
        <v>86.840284976150102</v>
      </c>
      <c r="AN1249">
        <v>1.0000000371617599</v>
      </c>
    </row>
    <row r="1250" spans="1:40" x14ac:dyDescent="0.25">
      <c r="A1250" t="str">
        <f>"20190304164841881"</f>
        <v>20190304164841881</v>
      </c>
      <c r="B1250" t="str">
        <f>"1551689321877001"</f>
        <v>1551689321877001</v>
      </c>
      <c r="C1250" t="s">
        <v>40</v>
      </c>
      <c r="D1250">
        <v>4.3874849999999999</v>
      </c>
      <c r="E1250">
        <v>0.54145810000000005</v>
      </c>
      <c r="F1250" t="s">
        <v>41</v>
      </c>
      <c r="G1250">
        <v>-240.31379999999999</v>
      </c>
      <c r="H1250">
        <v>0.87112099999999903</v>
      </c>
      <c r="I1250">
        <v>367.58030000000002</v>
      </c>
      <c r="J1250">
        <v>-240.8947</v>
      </c>
      <c r="K1250">
        <v>1.110695</v>
      </c>
      <c r="L1250">
        <v>367.63099999999997</v>
      </c>
      <c r="M1250">
        <v>0.99987899999999996</v>
      </c>
      <c r="N1250">
        <v>-1.395387E-2</v>
      </c>
      <c r="O1250">
        <v>6.8718700000000004E-3</v>
      </c>
      <c r="P1250">
        <v>0.95626800000000001</v>
      </c>
      <c r="Q1250">
        <v>0.28886060000000002</v>
      </c>
      <c r="R1250">
        <v>-4.594703E-2</v>
      </c>
      <c r="S1250">
        <v>3.4812159999999999</v>
      </c>
      <c r="T1250">
        <v>-1.1797150000000001</v>
      </c>
      <c r="U1250">
        <v>-0.24435419999999999</v>
      </c>
      <c r="V1250">
        <v>5.2501899999999997E-2</v>
      </c>
      <c r="W1250">
        <v>0.3021739</v>
      </c>
      <c r="X1250">
        <v>0.95180589999999998</v>
      </c>
      <c r="Y1250">
        <v>7.2325769999999998E-2</v>
      </c>
      <c r="Z1250">
        <v>-1.459765E-2</v>
      </c>
      <c r="AA1250">
        <v>0.9972742</v>
      </c>
      <c r="AB1250">
        <v>26</v>
      </c>
      <c r="AC1250">
        <v>0.58090000000001396</v>
      </c>
      <c r="AD1250">
        <v>-0.23957400000000001</v>
      </c>
      <c r="AE1250">
        <v>-5.06999999999493E-2</v>
      </c>
      <c r="AF1250">
        <v>4.6792356913848199E-2</v>
      </c>
      <c r="AG1250">
        <v>-0.23957400000000001</v>
      </c>
      <c r="AH1250">
        <v>0.49669422418341702</v>
      </c>
      <c r="AI1250">
        <v>115.650819059875</v>
      </c>
      <c r="AJ1250">
        <v>84.618187531295007</v>
      </c>
      <c r="AK1250">
        <v>0.55343507160164596</v>
      </c>
      <c r="AL1250">
        <v>72.411780393224902</v>
      </c>
      <c r="AM1250">
        <v>86.842747106040406</v>
      </c>
      <c r="AN1250">
        <v>0.99999999330981404</v>
      </c>
    </row>
    <row r="1251" spans="1:40" x14ac:dyDescent="0.25">
      <c r="A1251" t="str">
        <f>"20190304164841891"</f>
        <v>20190304164841891</v>
      </c>
      <c r="B1251" t="str">
        <f>"1551689321887735"</f>
        <v>1551689321887735</v>
      </c>
      <c r="C1251" t="s">
        <v>40</v>
      </c>
      <c r="D1251">
        <v>4.3644749999999997</v>
      </c>
      <c r="E1251">
        <v>0.54148960000000002</v>
      </c>
      <c r="F1251" t="s">
        <v>41</v>
      </c>
      <c r="G1251">
        <v>-240.0932</v>
      </c>
      <c r="H1251">
        <v>0.83981380000000005</v>
      </c>
      <c r="I1251">
        <v>367.57459999999998</v>
      </c>
      <c r="J1251">
        <v>-240.7698</v>
      </c>
      <c r="K1251">
        <v>1.110695</v>
      </c>
      <c r="L1251">
        <v>367.63189999999997</v>
      </c>
      <c r="M1251">
        <v>0.99987890000000001</v>
      </c>
      <c r="N1251">
        <v>-1.3952630000000001E-2</v>
      </c>
      <c r="O1251">
        <v>6.8972119999999998E-3</v>
      </c>
      <c r="P1251">
        <v>0.9563062</v>
      </c>
      <c r="Q1251">
        <v>0.28878429999999999</v>
      </c>
      <c r="R1251">
        <v>-4.563329E-2</v>
      </c>
      <c r="S1251">
        <v>3.4808500000000002</v>
      </c>
      <c r="T1251">
        <v>-1.176407</v>
      </c>
      <c r="U1251">
        <v>-0.24395749999999999</v>
      </c>
      <c r="V1251">
        <v>5.2212580000000001E-2</v>
      </c>
      <c r="W1251">
        <v>0.30209750000000002</v>
      </c>
      <c r="X1251">
        <v>0.95184610000000003</v>
      </c>
      <c r="Y1251">
        <v>7.227066E-2</v>
      </c>
      <c r="Z1251">
        <v>-1.4559860000000001E-2</v>
      </c>
      <c r="AA1251">
        <v>0.99727869999999996</v>
      </c>
      <c r="AB1251">
        <v>26</v>
      </c>
      <c r="AC1251">
        <v>0.67660000000000697</v>
      </c>
      <c r="AD1251">
        <v>-0.27088119999999899</v>
      </c>
      <c r="AE1251">
        <v>-5.7299999999997901E-2</v>
      </c>
      <c r="AF1251">
        <v>5.3458197287396703E-2</v>
      </c>
      <c r="AG1251">
        <v>-0.27088119999999899</v>
      </c>
      <c r="AH1251">
        <v>0.58335176526376498</v>
      </c>
      <c r="AI1251">
        <v>114.816553446482</v>
      </c>
      <c r="AJ1251">
        <v>84.764054528925101</v>
      </c>
      <c r="AK1251">
        <v>0.64539420930700098</v>
      </c>
      <c r="AL1251">
        <v>72.416372983931097</v>
      </c>
      <c r="AM1251">
        <v>86.860243080560906</v>
      </c>
      <c r="AN1251">
        <v>1.0000000255508501</v>
      </c>
    </row>
    <row r="1252" spans="1:40" x14ac:dyDescent="0.25">
      <c r="A1252" t="str">
        <f>"20190304164841902"</f>
        <v>20190304164841902</v>
      </c>
      <c r="B1252" t="str">
        <f>"1551689321897496"</f>
        <v>1551689321897496</v>
      </c>
      <c r="C1252" t="s">
        <v>40</v>
      </c>
      <c r="D1252">
        <v>4.4245729999999996</v>
      </c>
      <c r="E1252">
        <v>0.54154539999999995</v>
      </c>
      <c r="F1252" t="s">
        <v>41</v>
      </c>
      <c r="G1252">
        <v>-240.07839999999999</v>
      </c>
      <c r="H1252">
        <v>0.87715779999999999</v>
      </c>
      <c r="I1252">
        <v>367.58339999999998</v>
      </c>
      <c r="J1252">
        <v>-240.6542</v>
      </c>
      <c r="K1252">
        <v>1.110698</v>
      </c>
      <c r="L1252">
        <v>367.6327</v>
      </c>
      <c r="M1252">
        <v>0.99987879999999996</v>
      </c>
      <c r="N1252">
        <v>-1.3951399999999999E-2</v>
      </c>
      <c r="O1252">
        <v>6.9209440000000001E-3</v>
      </c>
      <c r="P1252">
        <v>0.95636960000000004</v>
      </c>
      <c r="Q1252">
        <v>0.2886126</v>
      </c>
      <c r="R1252">
        <v>-4.5385979999999999E-2</v>
      </c>
      <c r="S1252">
        <v>3.4805299999999999</v>
      </c>
      <c r="T1252">
        <v>-1.1756930000000001</v>
      </c>
      <c r="U1252">
        <v>-0.2427368</v>
      </c>
      <c r="V1252">
        <v>5.198854E-2</v>
      </c>
      <c r="W1252">
        <v>0.30192529999999901</v>
      </c>
      <c r="X1252">
        <v>0.95191300000000001</v>
      </c>
      <c r="Y1252">
        <v>7.1972990000000001E-2</v>
      </c>
      <c r="Z1252">
        <v>-1.450952E-2</v>
      </c>
      <c r="AA1252">
        <v>0.99730099999999999</v>
      </c>
      <c r="AB1252">
        <v>26</v>
      </c>
      <c r="AC1252">
        <v>0.57580000000001497</v>
      </c>
      <c r="AD1252">
        <v>-0.233540199999999</v>
      </c>
      <c r="AE1252">
        <v>-4.9300000000016497E-2</v>
      </c>
      <c r="AF1252">
        <v>4.5804102737989599E-2</v>
      </c>
      <c r="AG1252">
        <v>-0.233540199999999</v>
      </c>
      <c r="AH1252">
        <v>0.49466254454636899</v>
      </c>
      <c r="AI1252">
        <v>115.178646703467</v>
      </c>
      <c r="AJ1252">
        <v>84.709687353077598</v>
      </c>
      <c r="AK1252">
        <v>0.54893540040769895</v>
      </c>
      <c r="AL1252">
        <v>72.426722631403507</v>
      </c>
      <c r="AM1252">
        <v>86.873908023709703</v>
      </c>
      <c r="AN1252">
        <v>1.0000000273202101</v>
      </c>
    </row>
    <row r="1253" spans="1:40" x14ac:dyDescent="0.25">
      <c r="A1253" t="str">
        <f>"20190304164841916"</f>
        <v>20190304164841916</v>
      </c>
      <c r="B1253" t="str">
        <f>"1551689321907256"</f>
        <v>1551689321907256</v>
      </c>
      <c r="C1253" t="s">
        <v>40</v>
      </c>
      <c r="D1253">
        <v>4.370012</v>
      </c>
      <c r="E1253">
        <v>0.54158850000000003</v>
      </c>
      <c r="F1253" t="s">
        <v>41</v>
      </c>
      <c r="G1253">
        <v>-239.8596</v>
      </c>
      <c r="H1253">
        <v>0.84222019999999997</v>
      </c>
      <c r="I1253">
        <v>367.57729999999998</v>
      </c>
      <c r="J1253">
        <v>-240.49709999999999</v>
      </c>
      <c r="K1253">
        <v>1.1106940000000001</v>
      </c>
      <c r="L1253">
        <v>367.63380000000001</v>
      </c>
      <c r="M1253">
        <v>0.9998785</v>
      </c>
      <c r="N1253">
        <v>-1.3949690000000001E-2</v>
      </c>
      <c r="O1253">
        <v>6.9531990000000002E-3</v>
      </c>
      <c r="P1253">
        <v>0.95639879999999999</v>
      </c>
      <c r="Q1253">
        <v>0.28858349999999999</v>
      </c>
      <c r="R1253">
        <v>-4.495383E-2</v>
      </c>
      <c r="S1253">
        <v>3.480286</v>
      </c>
      <c r="T1253">
        <v>-1.1759219999999999</v>
      </c>
      <c r="U1253">
        <v>-0.2416382</v>
      </c>
      <c r="V1253">
        <v>5.1587399999999999E-2</v>
      </c>
      <c r="W1253">
        <v>0.30189529999999998</v>
      </c>
      <c r="X1253">
        <v>0.95194429999999997</v>
      </c>
      <c r="Y1253">
        <v>7.1707969999999996E-2</v>
      </c>
      <c r="Z1253">
        <v>-1.447789E-2</v>
      </c>
      <c r="AA1253">
        <v>0.9973206</v>
      </c>
      <c r="AB1253">
        <v>26</v>
      </c>
      <c r="AC1253">
        <v>0.63749999999998797</v>
      </c>
      <c r="AD1253">
        <v>-0.26847379999999998</v>
      </c>
      <c r="AE1253">
        <v>-5.6500000000028097E-2</v>
      </c>
      <c r="AF1253">
        <v>5.1813895226831601E-2</v>
      </c>
      <c r="AG1253">
        <v>-0.26847379999999998</v>
      </c>
      <c r="AH1253">
        <v>0.54175718202576095</v>
      </c>
      <c r="AI1253">
        <v>116.257588321654</v>
      </c>
      <c r="AJ1253">
        <v>84.536823399529894</v>
      </c>
      <c r="AK1253">
        <v>0.60684734925804096</v>
      </c>
      <c r="AL1253">
        <v>72.428524983471604</v>
      </c>
      <c r="AM1253">
        <v>86.898083240048194</v>
      </c>
      <c r="AN1253">
        <v>0.99999999115166904</v>
      </c>
    </row>
    <row r="1254" spans="1:40" x14ac:dyDescent="0.25">
      <c r="A1254" t="str">
        <f>"20190304164841928"</f>
        <v>20190304164841928</v>
      </c>
      <c r="B1254" t="str">
        <f>"1551689321917015"</f>
        <v>1551689321917015</v>
      </c>
      <c r="C1254" t="s">
        <v>40</v>
      </c>
      <c r="D1254">
        <v>4.3462480000000001</v>
      </c>
      <c r="E1254">
        <v>0.54162239999999995</v>
      </c>
      <c r="F1254" t="s">
        <v>41</v>
      </c>
      <c r="G1254">
        <v>-239.6361</v>
      </c>
      <c r="H1254">
        <v>0.81983200000000001</v>
      </c>
      <c r="I1254">
        <v>367.57420000000002</v>
      </c>
      <c r="J1254">
        <v>-240.3347</v>
      </c>
      <c r="K1254">
        <v>1.1106959999999999</v>
      </c>
      <c r="L1254">
        <v>367.63499999999999</v>
      </c>
      <c r="M1254">
        <v>0.9998783</v>
      </c>
      <c r="N1254">
        <v>-1.3947889999999999E-2</v>
      </c>
      <c r="O1254">
        <v>6.9861139999999999E-3</v>
      </c>
      <c r="P1254">
        <v>0.95637680000000003</v>
      </c>
      <c r="Q1254">
        <v>0.28867870000000001</v>
      </c>
      <c r="R1254">
        <v>-4.4811900000000002E-2</v>
      </c>
      <c r="S1254">
        <v>3.4802249999999999</v>
      </c>
      <c r="T1254">
        <v>-1.175624</v>
      </c>
      <c r="U1254">
        <v>-0.2397156</v>
      </c>
      <c r="V1254">
        <v>5.1476519999999998E-2</v>
      </c>
      <c r="W1254">
        <v>0.30198849999999999</v>
      </c>
      <c r="X1254">
        <v>0.95192069999999995</v>
      </c>
      <c r="Y1254">
        <v>7.1221880000000001E-2</v>
      </c>
      <c r="Z1254">
        <v>-1.4402E-2</v>
      </c>
      <c r="AA1254">
        <v>0.99735649999999998</v>
      </c>
      <c r="AB1254">
        <v>26</v>
      </c>
      <c r="AC1254">
        <v>0.698599999999999</v>
      </c>
      <c r="AD1254">
        <v>-0.29086399999999901</v>
      </c>
      <c r="AE1254">
        <v>-6.0799999999971897E-2</v>
      </c>
      <c r="AF1254">
        <v>5.6038300973685402E-2</v>
      </c>
      <c r="AG1254">
        <v>-0.29086399999999901</v>
      </c>
      <c r="AH1254">
        <v>0.59567448752862995</v>
      </c>
      <c r="AI1254">
        <v>115.926566044007</v>
      </c>
      <c r="AJ1254">
        <v>84.625695308562996</v>
      </c>
      <c r="AK1254">
        <v>0.66525953789818904</v>
      </c>
      <c r="AL1254">
        <v>72.422922880121305</v>
      </c>
      <c r="AM1254">
        <v>86.904660815666205</v>
      </c>
      <c r="AN1254">
        <v>0.99999995266602404</v>
      </c>
    </row>
    <row r="1255" spans="1:40" x14ac:dyDescent="0.25">
      <c r="A1255" t="str">
        <f>"20190304164841944"</f>
        <v>20190304164841944</v>
      </c>
      <c r="B1255" t="str">
        <f>"1551689321937512"</f>
        <v>1551689321937512</v>
      </c>
      <c r="C1255" t="s">
        <v>40</v>
      </c>
      <c r="D1255">
        <v>4.3494449999999896</v>
      </c>
      <c r="E1255">
        <v>0.54169119999999904</v>
      </c>
      <c r="F1255" t="s">
        <v>41</v>
      </c>
      <c r="G1255">
        <v>-239.61689999999999</v>
      </c>
      <c r="H1255">
        <v>0.86829290000000003</v>
      </c>
      <c r="I1255">
        <v>367.58539999999999</v>
      </c>
      <c r="J1255">
        <v>-240.17089999999999</v>
      </c>
      <c r="K1255">
        <v>1.1106959999999999</v>
      </c>
      <c r="L1255">
        <v>367.63619999999997</v>
      </c>
      <c r="M1255">
        <v>0.99987820000000005</v>
      </c>
      <c r="N1255">
        <v>-1.394608E-2</v>
      </c>
      <c r="O1255">
        <v>7.0192659999999997E-3</v>
      </c>
      <c r="P1255">
        <v>0.95625320000000003</v>
      </c>
      <c r="Q1255">
        <v>0.28910010000000003</v>
      </c>
      <c r="R1255">
        <v>-4.4734379999999997E-2</v>
      </c>
      <c r="S1255">
        <v>3.480362</v>
      </c>
      <c r="T1255">
        <v>-1.175222</v>
      </c>
      <c r="U1255">
        <v>-0.2390137</v>
      </c>
      <c r="V1255">
        <v>5.1429759999999998E-2</v>
      </c>
      <c r="W1255">
        <v>0.30240620000000001</v>
      </c>
      <c r="X1255">
        <v>0.95179069999999999</v>
      </c>
      <c r="Y1255">
        <v>7.1062739999999999E-2</v>
      </c>
      <c r="Z1255">
        <v>-1.438014E-2</v>
      </c>
      <c r="AA1255">
        <v>0.99736820000000004</v>
      </c>
      <c r="AB1255">
        <v>26</v>
      </c>
      <c r="AC1255">
        <v>0.55400000000000205</v>
      </c>
      <c r="AD1255">
        <v>-0.24240309999999901</v>
      </c>
      <c r="AE1255">
        <v>-5.0799999999980999E-2</v>
      </c>
      <c r="AF1255">
        <v>4.5961762094607901E-2</v>
      </c>
      <c r="AG1255">
        <v>-0.24240309999999901</v>
      </c>
      <c r="AH1255">
        <v>0.46529204760012099</v>
      </c>
      <c r="AI1255">
        <v>117.404325042919</v>
      </c>
      <c r="AJ1255">
        <v>84.358597900690896</v>
      </c>
      <c r="AK1255">
        <v>0.526657797838752</v>
      </c>
      <c r="AL1255">
        <v>72.397818062793505</v>
      </c>
      <c r="AM1255">
        <v>86.907045512687603</v>
      </c>
      <c r="AN1255">
        <v>1.00000003330929</v>
      </c>
    </row>
    <row r="1256" spans="1:40" x14ac:dyDescent="0.25">
      <c r="A1256" t="str">
        <f>"20190304164841956"</f>
        <v>20190304164841956</v>
      </c>
      <c r="B1256" t="str">
        <f>"1551689321947272"</f>
        <v>1551689321947272</v>
      </c>
      <c r="C1256" t="s">
        <v>40</v>
      </c>
      <c r="D1256">
        <v>4.3452099999999998</v>
      </c>
      <c r="E1256">
        <v>0.54173800000000005</v>
      </c>
      <c r="F1256" t="s">
        <v>41</v>
      </c>
      <c r="G1256">
        <v>-239.39269999999999</v>
      </c>
      <c r="H1256">
        <v>0.84831659999999998</v>
      </c>
      <c r="I1256">
        <v>367.58269999999999</v>
      </c>
      <c r="J1256">
        <v>-240.02199999999999</v>
      </c>
      <c r="K1256">
        <v>1.1106959999999999</v>
      </c>
      <c r="L1256">
        <v>367.63720000000001</v>
      </c>
      <c r="M1256">
        <v>0.99987789999999999</v>
      </c>
      <c r="N1256">
        <v>-1.3944430000000001E-2</v>
      </c>
      <c r="O1256">
        <v>7.0493169999999898E-3</v>
      </c>
      <c r="P1256">
        <v>0.95598070000000002</v>
      </c>
      <c r="Q1256">
        <v>0.2899755</v>
      </c>
      <c r="R1256">
        <v>-4.4889869999999998E-2</v>
      </c>
      <c r="S1256">
        <v>3.480896</v>
      </c>
      <c r="T1256">
        <v>-1.173565</v>
      </c>
      <c r="U1256">
        <v>-0.23864750000000001</v>
      </c>
      <c r="V1256">
        <v>5.1612270000000002E-2</v>
      </c>
      <c r="W1256">
        <v>0.30327599999999999</v>
      </c>
      <c r="X1256">
        <v>0.95150400000000002</v>
      </c>
      <c r="Y1256">
        <v>7.0993600000000004E-2</v>
      </c>
      <c r="Z1256">
        <v>-1.435702E-2</v>
      </c>
      <c r="AA1256">
        <v>0.99737350000000002</v>
      </c>
      <c r="AB1256">
        <v>26</v>
      </c>
      <c r="AC1256">
        <v>0.62930000000002895</v>
      </c>
      <c r="AD1256">
        <v>-0.26237939999999899</v>
      </c>
      <c r="AE1256">
        <v>-5.4500000000018603E-2</v>
      </c>
      <c r="AF1256">
        <v>5.0262704723938199E-2</v>
      </c>
      <c r="AG1256">
        <v>-0.26237939999999899</v>
      </c>
      <c r="AH1256">
        <v>0.53635544226812903</v>
      </c>
      <c r="AI1256">
        <v>115.968650308679</v>
      </c>
      <c r="AJ1256">
        <v>84.646358277302198</v>
      </c>
      <c r="AK1256">
        <v>0.59920484767829196</v>
      </c>
      <c r="AL1256">
        <v>72.345526224392003</v>
      </c>
      <c r="AM1256">
        <v>86.895157479677096</v>
      </c>
      <c r="AN1256">
        <v>1.00000001030327</v>
      </c>
    </row>
    <row r="1257" spans="1:40" x14ac:dyDescent="0.25">
      <c r="A1257" t="str">
        <f>"20190304164841967"</f>
        <v>20190304164841967</v>
      </c>
      <c r="B1257" t="str">
        <f>"1551689321957032"</f>
        <v>1551689321957032</v>
      </c>
      <c r="C1257" t="s">
        <v>40</v>
      </c>
      <c r="D1257">
        <v>4.3501629999999896</v>
      </c>
      <c r="E1257">
        <v>0.54178959999999998</v>
      </c>
      <c r="F1257" t="s">
        <v>41</v>
      </c>
      <c r="G1257">
        <v>-239.1703</v>
      </c>
      <c r="H1257">
        <v>0.82445609999999903</v>
      </c>
      <c r="I1257">
        <v>367.57819999999998</v>
      </c>
      <c r="J1257">
        <v>-239.87899999999999</v>
      </c>
      <c r="K1257">
        <v>1.1107009999999999</v>
      </c>
      <c r="L1257">
        <v>367.63830000000002</v>
      </c>
      <c r="M1257">
        <v>0.99987780000000004</v>
      </c>
      <c r="N1257">
        <v>-1.394288E-2</v>
      </c>
      <c r="O1257">
        <v>7.0777009999999996E-3</v>
      </c>
      <c r="P1257">
        <v>0.95583300000000004</v>
      </c>
      <c r="Q1257">
        <v>0.29041349999999999</v>
      </c>
      <c r="R1257">
        <v>-4.5205660000000002E-2</v>
      </c>
      <c r="S1257">
        <v>3.4817659999999999</v>
      </c>
      <c r="T1257">
        <v>-1.17014</v>
      </c>
      <c r="U1257">
        <v>-0.24057010000000001</v>
      </c>
      <c r="V1257">
        <v>5.1953949999999999E-2</v>
      </c>
      <c r="W1257">
        <v>0.303710799999999</v>
      </c>
      <c r="X1257">
        <v>0.95134669999999999</v>
      </c>
      <c r="Y1257">
        <v>7.1547139999999995E-2</v>
      </c>
      <c r="Z1257">
        <v>-1.441807E-2</v>
      </c>
      <c r="AA1257">
        <v>0.99733300000000003</v>
      </c>
      <c r="AB1257">
        <v>26</v>
      </c>
      <c r="AC1257">
        <v>0.70870000000002098</v>
      </c>
      <c r="AD1257">
        <v>-0.28624490000000002</v>
      </c>
      <c r="AE1257">
        <v>-6.0100000000034001E-2</v>
      </c>
      <c r="AF1257">
        <v>5.6038335911341497E-2</v>
      </c>
      <c r="AG1257">
        <v>-0.28624490000000002</v>
      </c>
      <c r="AH1257">
        <v>0.60953030545309195</v>
      </c>
      <c r="AI1257">
        <v>115.062828196664</v>
      </c>
      <c r="AJ1257">
        <v>84.747169244330394</v>
      </c>
      <c r="AK1257">
        <v>0.67572452311090603</v>
      </c>
      <c r="AL1257">
        <v>72.319380705674703</v>
      </c>
      <c r="AM1257">
        <v>86.874127893618194</v>
      </c>
      <c r="AN1257">
        <v>1.0000000032790599</v>
      </c>
    </row>
    <row r="1258" spans="1:40" x14ac:dyDescent="0.25">
      <c r="A1258" t="str">
        <f>"20190304164841979"</f>
        <v>20190304164841979</v>
      </c>
      <c r="B1258" t="str">
        <f>"1551689321967767"</f>
        <v>1551689321967767</v>
      </c>
      <c r="C1258" t="s">
        <v>40</v>
      </c>
      <c r="D1258">
        <v>4.3313680000000003</v>
      </c>
      <c r="E1258">
        <v>0.54183230000000004</v>
      </c>
      <c r="F1258" t="s">
        <v>41</v>
      </c>
      <c r="G1258">
        <v>-239.1534</v>
      </c>
      <c r="H1258">
        <v>0.86726559999999897</v>
      </c>
      <c r="I1258">
        <v>367.58760000000001</v>
      </c>
      <c r="J1258">
        <v>-239.7525</v>
      </c>
      <c r="K1258">
        <v>1.110698</v>
      </c>
      <c r="L1258">
        <v>367.63920000000002</v>
      </c>
      <c r="M1258">
        <v>0.99987780000000004</v>
      </c>
      <c r="N1258">
        <v>-1.3941500000000001E-2</v>
      </c>
      <c r="O1258">
        <v>7.1031019999999896E-3</v>
      </c>
      <c r="P1258">
        <v>0.95576170000000005</v>
      </c>
      <c r="Q1258">
        <v>0.29062640000000001</v>
      </c>
      <c r="R1258">
        <v>-4.5344759999999998E-2</v>
      </c>
      <c r="S1258">
        <v>3.4821170000000001</v>
      </c>
      <c r="T1258">
        <v>-1.1681629999999901</v>
      </c>
      <c r="U1258">
        <v>-0.2420959</v>
      </c>
      <c r="V1258">
        <v>5.211652E-2</v>
      </c>
      <c r="W1258">
        <v>0.30392069999999999</v>
      </c>
      <c r="X1258">
        <v>0.95127079999999997</v>
      </c>
      <c r="Y1258">
        <v>7.198947E-2</v>
      </c>
      <c r="Z1258">
        <v>-1.447728E-2</v>
      </c>
      <c r="AA1258">
        <v>0.99730030000000003</v>
      </c>
      <c r="AB1258">
        <v>26</v>
      </c>
      <c r="AC1258">
        <v>0.59909999999999197</v>
      </c>
      <c r="AD1258">
        <v>-0.24343239999999999</v>
      </c>
      <c r="AE1258">
        <v>-5.1600000000007598E-2</v>
      </c>
      <c r="AF1258">
        <v>4.79896331474889E-2</v>
      </c>
      <c r="AG1258">
        <v>-0.24343239999999999</v>
      </c>
      <c r="AH1258">
        <v>0.51441212808849002</v>
      </c>
      <c r="AI1258">
        <v>115.228807705714</v>
      </c>
      <c r="AJ1258">
        <v>84.670288622196495</v>
      </c>
      <c r="AK1258">
        <v>0.57112360814793806</v>
      </c>
      <c r="AL1258">
        <v>72.306758113902603</v>
      </c>
      <c r="AM1258">
        <v>86.864116474877406</v>
      </c>
      <c r="AN1258">
        <v>1.0000000292390101</v>
      </c>
    </row>
    <row r="1259" spans="1:40" x14ac:dyDescent="0.25">
      <c r="A1259" t="str">
        <f>"20190304164841990"</f>
        <v>20190304164841990</v>
      </c>
      <c r="B1259" t="str">
        <f>"1551689321987288"</f>
        <v>1551689321987288</v>
      </c>
      <c r="C1259" t="s">
        <v>40</v>
      </c>
      <c r="D1259">
        <v>4.3161430000000003</v>
      </c>
      <c r="E1259">
        <v>0.54191489999999998</v>
      </c>
      <c r="F1259" t="s">
        <v>41</v>
      </c>
      <c r="G1259">
        <v>-238.9341</v>
      </c>
      <c r="H1259">
        <v>0.83633429999999997</v>
      </c>
      <c r="I1259">
        <v>367.58190000000002</v>
      </c>
      <c r="J1259">
        <v>-239.62379999999999</v>
      </c>
      <c r="K1259">
        <v>1.110698</v>
      </c>
      <c r="L1259">
        <v>367.64010000000002</v>
      </c>
      <c r="M1259">
        <v>0.99987740000000003</v>
      </c>
      <c r="N1259">
        <v>-1.394009E-2</v>
      </c>
      <c r="O1259">
        <v>7.1293340000000002E-3</v>
      </c>
      <c r="P1259">
        <v>0.95575460000000001</v>
      </c>
      <c r="Q1259">
        <v>0.29064849999999998</v>
      </c>
      <c r="R1259">
        <v>-4.5351919999999997E-2</v>
      </c>
      <c r="S1259">
        <v>3.4822850000000001</v>
      </c>
      <c r="T1259">
        <v>-1.167489</v>
      </c>
      <c r="U1259">
        <v>-0.2437134</v>
      </c>
      <c r="V1259">
        <v>5.2148630000000001E-2</v>
      </c>
      <c r="W1259">
        <v>0.30394149999999998</v>
      </c>
      <c r="X1259">
        <v>0.95126239999999995</v>
      </c>
      <c r="Y1259">
        <v>7.2451230000000005E-2</v>
      </c>
      <c r="Z1259">
        <v>-1.4555439999999999E-2</v>
      </c>
      <c r="AA1259">
        <v>0.99726579999999998</v>
      </c>
      <c r="AB1259">
        <v>26</v>
      </c>
      <c r="AC1259">
        <v>0.68969999999998699</v>
      </c>
      <c r="AD1259">
        <v>-0.27436369999999899</v>
      </c>
      <c r="AE1259">
        <v>-5.8199999999999301E-2</v>
      </c>
      <c r="AF1259">
        <v>5.4545517072706502E-2</v>
      </c>
      <c r="AG1259">
        <v>-0.27436369999999899</v>
      </c>
      <c r="AH1259">
        <v>0.59567134427803803</v>
      </c>
      <c r="AI1259">
        <v>114.639824213643</v>
      </c>
      <c r="AJ1259">
        <v>84.768026716142501</v>
      </c>
      <c r="AK1259">
        <v>0.65808434391377502</v>
      </c>
      <c r="AL1259">
        <v>72.305507278623907</v>
      </c>
      <c r="AM1259">
        <v>86.8621606031233</v>
      </c>
      <c r="AN1259">
        <v>1.0000000343434401</v>
      </c>
    </row>
    <row r="1260" spans="1:40" x14ac:dyDescent="0.25">
      <c r="A1260" t="str">
        <f>"20190304164842001"</f>
        <v>20190304164842001</v>
      </c>
      <c r="B1260" t="str">
        <f>"1551689321997047"</f>
        <v>1551689321997047</v>
      </c>
      <c r="C1260" t="s">
        <v>40</v>
      </c>
      <c r="D1260">
        <v>4.3447449999999996</v>
      </c>
      <c r="E1260">
        <v>0.54191489999999998</v>
      </c>
      <c r="F1260" t="s">
        <v>41</v>
      </c>
      <c r="G1260">
        <v>-238.91900000000001</v>
      </c>
      <c r="H1260">
        <v>0.87448840000000005</v>
      </c>
      <c r="I1260">
        <v>367.59050000000002</v>
      </c>
      <c r="J1260">
        <v>-239.4922</v>
      </c>
      <c r="K1260">
        <v>1.110697</v>
      </c>
      <c r="L1260">
        <v>367.64109999999999</v>
      </c>
      <c r="M1260">
        <v>0.99987729999999997</v>
      </c>
      <c r="N1260">
        <v>-1.393865E-2</v>
      </c>
      <c r="O1260">
        <v>7.155865E-3</v>
      </c>
      <c r="P1260">
        <v>0.95585770000000003</v>
      </c>
      <c r="Q1260">
        <v>0.29026360000000001</v>
      </c>
      <c r="R1260">
        <v>-4.5644509999999999E-2</v>
      </c>
      <c r="S1260">
        <v>3.4821620000000002</v>
      </c>
      <c r="T1260">
        <v>-1.1670560000000001</v>
      </c>
      <c r="U1260">
        <v>-0.24487300000000001</v>
      </c>
      <c r="V1260">
        <v>5.2467640000000003E-2</v>
      </c>
      <c r="W1260">
        <v>0.30355680000000002</v>
      </c>
      <c r="X1260">
        <v>0.95136770000000004</v>
      </c>
      <c r="Y1260">
        <v>7.2792899999999994E-2</v>
      </c>
      <c r="Z1260">
        <v>-1.4617160000000001E-2</v>
      </c>
      <c r="AA1260">
        <v>0.99723989999999996</v>
      </c>
      <c r="AB1260">
        <v>26</v>
      </c>
      <c r="AC1260">
        <v>0.57319999999998505</v>
      </c>
      <c r="AD1260">
        <v>-0.23620859999999999</v>
      </c>
      <c r="AE1260">
        <v>-5.0599999999974402E-2</v>
      </c>
      <c r="AF1260">
        <v>4.6812751657411798E-2</v>
      </c>
      <c r="AG1260">
        <v>-0.23620859999999999</v>
      </c>
      <c r="AH1260">
        <v>0.49021967584417198</v>
      </c>
      <c r="AI1260">
        <v>115.625185109401</v>
      </c>
      <c r="AJ1260">
        <v>84.545170985863194</v>
      </c>
      <c r="AK1260">
        <v>0.54616963208921099</v>
      </c>
      <c r="AL1260">
        <v>72.3286421802636</v>
      </c>
      <c r="AM1260">
        <v>86.8433528550338</v>
      </c>
      <c r="AN1260">
        <v>1.0000000423383399</v>
      </c>
    </row>
    <row r="1261" spans="1:40" x14ac:dyDescent="0.25">
      <c r="A1261" t="str">
        <f>"20190304164842013"</f>
        <v>20190304164842013</v>
      </c>
      <c r="B1261" t="str">
        <f>"1551689322007784"</f>
        <v>1551689322007784</v>
      </c>
      <c r="C1261" t="s">
        <v>40</v>
      </c>
      <c r="D1261">
        <v>4.2749750000000004</v>
      </c>
      <c r="E1261">
        <v>0.54284399999999999</v>
      </c>
      <c r="F1261" t="s">
        <v>41</v>
      </c>
      <c r="G1261">
        <v>-238.6996</v>
      </c>
      <c r="H1261">
        <v>0.84470679999999998</v>
      </c>
      <c r="I1261">
        <v>367.5847</v>
      </c>
      <c r="J1261">
        <v>-239.35579999999999</v>
      </c>
      <c r="K1261">
        <v>1.1107039999999999</v>
      </c>
      <c r="L1261">
        <v>367.64210000000003</v>
      </c>
      <c r="M1261">
        <v>0.99987709999999996</v>
      </c>
      <c r="N1261">
        <v>-1.3937160000000001E-2</v>
      </c>
      <c r="O1261">
        <v>7.1830540000000003E-3</v>
      </c>
      <c r="P1261">
        <v>0.95592960000000005</v>
      </c>
      <c r="Q1261">
        <v>0.2900124</v>
      </c>
      <c r="R1261">
        <v>-4.57358E-2</v>
      </c>
      <c r="S1261">
        <v>3.4815830000000001</v>
      </c>
      <c r="T1261">
        <v>-1.168385</v>
      </c>
      <c r="U1261">
        <v>-0.24667359999999999</v>
      </c>
      <c r="V1261">
        <v>5.2585449999999999E-2</v>
      </c>
      <c r="W1261">
        <v>0.30330509999999999</v>
      </c>
      <c r="X1261">
        <v>0.95144150000000005</v>
      </c>
      <c r="Y1261">
        <v>7.3303270000000004E-2</v>
      </c>
      <c r="Z1261">
        <v>-1.4729910000000001E-2</v>
      </c>
      <c r="AA1261">
        <v>0.99720089999999995</v>
      </c>
      <c r="AB1261">
        <v>26</v>
      </c>
      <c r="AC1261">
        <v>0.65619999999998402</v>
      </c>
      <c r="AD1261">
        <v>-0.26599719999999999</v>
      </c>
      <c r="AE1261">
        <v>-5.7400000000029601E-2</v>
      </c>
      <c r="AF1261">
        <v>5.3403967501327698E-2</v>
      </c>
      <c r="AG1261">
        <v>-0.26599719999999999</v>
      </c>
      <c r="AH1261">
        <v>0.56382789514647302</v>
      </c>
      <c r="AI1261">
        <v>115.157948921098</v>
      </c>
      <c r="AJ1261">
        <v>84.589269615626506</v>
      </c>
      <c r="AK1261">
        <v>0.62570631249654596</v>
      </c>
      <c r="AL1261">
        <v>72.343777601305902</v>
      </c>
      <c r="AM1261">
        <v>86.836524252574193</v>
      </c>
      <c r="AN1261">
        <v>1.0000000705799701</v>
      </c>
    </row>
    <row r="1262" spans="1:40" x14ac:dyDescent="0.25">
      <c r="A1262" t="str">
        <f>"20190304164842025"</f>
        <v>20190304164842025</v>
      </c>
      <c r="B1262" t="str">
        <f>"1551689322017544"</f>
        <v>1551689322017544</v>
      </c>
      <c r="C1262" t="s">
        <v>40</v>
      </c>
      <c r="D1262">
        <v>4.3385850000000001</v>
      </c>
      <c r="E1262">
        <v>0.54252029999999996</v>
      </c>
      <c r="F1262" t="s">
        <v>41</v>
      </c>
      <c r="G1262">
        <v>-238.65880000000001</v>
      </c>
      <c r="H1262">
        <v>0.93911739999999999</v>
      </c>
      <c r="I1262">
        <v>367.58139999999997</v>
      </c>
      <c r="J1262">
        <v>-239.22819999999999</v>
      </c>
      <c r="K1262">
        <v>1.1107020000000001</v>
      </c>
      <c r="L1262">
        <v>367.6431</v>
      </c>
      <c r="M1262">
        <v>0.99987700000000002</v>
      </c>
      <c r="N1262">
        <v>-1.393576E-2</v>
      </c>
      <c r="O1262">
        <v>7.2082759999999996E-3</v>
      </c>
      <c r="P1262">
        <v>0.95594400000000002</v>
      </c>
      <c r="Q1262">
        <v>0.28992489999999999</v>
      </c>
      <c r="R1262">
        <v>-4.5986810000000003E-2</v>
      </c>
      <c r="S1262">
        <v>3.3765559999999999</v>
      </c>
      <c r="T1262">
        <v>-0.83144470000000004</v>
      </c>
      <c r="U1262">
        <v>-0.29290769999999999</v>
      </c>
      <c r="V1262">
        <v>5.2860770000000001E-2</v>
      </c>
      <c r="W1262">
        <v>0.3032165</v>
      </c>
      <c r="X1262">
        <v>0.95145440000000003</v>
      </c>
      <c r="Y1262">
        <v>9.0568999999999997E-2</v>
      </c>
      <c r="Z1262">
        <v>-1.325608E-2</v>
      </c>
      <c r="AA1262">
        <v>0.99580190000000002</v>
      </c>
      <c r="AB1262">
        <v>26</v>
      </c>
      <c r="AC1262">
        <v>0.56939999999997304</v>
      </c>
      <c r="AD1262">
        <v>-0.171584599999999</v>
      </c>
      <c r="AE1262">
        <v>-6.1700000000030203E-2</v>
      </c>
      <c r="AF1262">
        <v>6.0383545378383897E-2</v>
      </c>
      <c r="AG1262">
        <v>-0.171584599999999</v>
      </c>
      <c r="AH1262">
        <v>0.52208168764302598</v>
      </c>
      <c r="AI1262">
        <v>108.080736621878</v>
      </c>
      <c r="AJ1262">
        <v>83.402530531909207</v>
      </c>
      <c r="AK1262">
        <v>0.55286231204687197</v>
      </c>
      <c r="AL1262">
        <v>72.3491034319824</v>
      </c>
      <c r="AM1262">
        <v>86.820038272580007</v>
      </c>
      <c r="AN1262">
        <v>0.99999999107830095</v>
      </c>
    </row>
    <row r="1263" spans="1:40" x14ac:dyDescent="0.25">
      <c r="A1263" t="str">
        <f>"20190304164842036"</f>
        <v>20190304164842036</v>
      </c>
      <c r="B1263" t="str">
        <f>"1551689322027304"</f>
        <v>1551689322027304</v>
      </c>
      <c r="C1263" t="s">
        <v>40</v>
      </c>
      <c r="D1263">
        <v>4.3381959999999999</v>
      </c>
      <c r="E1263">
        <v>0.54167349999999903</v>
      </c>
      <c r="F1263" t="s">
        <v>41</v>
      </c>
      <c r="G1263">
        <v>-238.42580000000001</v>
      </c>
      <c r="H1263">
        <v>0.94299829999999996</v>
      </c>
      <c r="I1263">
        <v>367.5693</v>
      </c>
      <c r="J1263">
        <v>-239.10220000000001</v>
      </c>
      <c r="K1263">
        <v>1.1107</v>
      </c>
      <c r="L1263">
        <v>367.64400000000001</v>
      </c>
      <c r="M1263">
        <v>0.99987689999999996</v>
      </c>
      <c r="N1263">
        <v>-1.393437E-2</v>
      </c>
      <c r="O1263">
        <v>7.233499E-3</v>
      </c>
      <c r="P1263">
        <v>0.95607050000000005</v>
      </c>
      <c r="Q1263">
        <v>0.28941549999999999</v>
      </c>
      <c r="R1263">
        <v>-4.6559530000000002E-2</v>
      </c>
      <c r="S1263">
        <v>3.3349760000000002</v>
      </c>
      <c r="T1263">
        <v>-0.69711800000000002</v>
      </c>
      <c r="U1263">
        <v>-0.30587769999999997</v>
      </c>
      <c r="V1263">
        <v>5.3458499999999999E-2</v>
      </c>
      <c r="W1263">
        <v>0.30270750000000002</v>
      </c>
      <c r="X1263">
        <v>0.95158310000000002</v>
      </c>
      <c r="Y1263">
        <v>9.6197459999999999E-2</v>
      </c>
      <c r="Z1263">
        <v>-1.199915E-2</v>
      </c>
      <c r="AA1263">
        <v>0.99528989999999995</v>
      </c>
      <c r="AB1263">
        <v>26</v>
      </c>
      <c r="AC1263">
        <v>0.676400000000001</v>
      </c>
      <c r="AD1263">
        <v>-0.16770169999999901</v>
      </c>
      <c r="AE1263">
        <v>-7.4700000000007094E-2</v>
      </c>
      <c r="AF1263">
        <v>7.5034421762034398E-2</v>
      </c>
      <c r="AG1263">
        <v>-0.16770169999999901</v>
      </c>
      <c r="AH1263">
        <v>0.63714794370442895</v>
      </c>
      <c r="AI1263">
        <v>104.64934829110599</v>
      </c>
      <c r="AJ1263">
        <v>83.283436435074506</v>
      </c>
      <c r="AK1263">
        <v>0.66310747756214805</v>
      </c>
      <c r="AL1263">
        <v>72.379705694203295</v>
      </c>
      <c r="AM1263">
        <v>86.784589517822596</v>
      </c>
      <c r="AN1263">
        <v>1.0000000189920499</v>
      </c>
    </row>
    <row r="1264" spans="1:40" x14ac:dyDescent="0.25">
      <c r="A1264" t="str">
        <f>"20190304164842046"</f>
        <v>20190304164842046</v>
      </c>
      <c r="B1264" t="str">
        <f>"1551689322038040"</f>
        <v>1551689322038040</v>
      </c>
      <c r="C1264" t="s">
        <v>40</v>
      </c>
      <c r="D1264">
        <v>4.2988650000000002</v>
      </c>
      <c r="E1264">
        <v>0.54071800000000003</v>
      </c>
      <c r="F1264" t="s">
        <v>41</v>
      </c>
      <c r="G1264">
        <v>-238.19159999999999</v>
      </c>
      <c r="H1264">
        <v>0.94943370000000005</v>
      </c>
      <c r="I1264">
        <v>367.55720000000002</v>
      </c>
      <c r="J1264">
        <v>-238.97450000000001</v>
      </c>
      <c r="K1264">
        <v>1.1106990000000001</v>
      </c>
      <c r="L1264">
        <v>367.64499999999998</v>
      </c>
      <c r="M1264">
        <v>0.9998766</v>
      </c>
      <c r="N1264">
        <v>-1.3932979999999999E-2</v>
      </c>
      <c r="O1264">
        <v>7.2591959999999999E-3</v>
      </c>
      <c r="P1264">
        <v>0.95621789999999995</v>
      </c>
      <c r="Q1264">
        <v>0.28887610000000002</v>
      </c>
      <c r="R1264">
        <v>-4.6881010000000001E-2</v>
      </c>
      <c r="S1264">
        <v>3.2995610000000002</v>
      </c>
      <c r="T1264">
        <v>-0.58467389999999997</v>
      </c>
      <c r="U1264">
        <v>-0.31323240000000002</v>
      </c>
      <c r="V1264">
        <v>5.3805539999999999E-2</v>
      </c>
      <c r="W1264">
        <v>0.30216890000000002</v>
      </c>
      <c r="X1264">
        <v>0.95173470000000004</v>
      </c>
      <c r="Y1264">
        <v>9.9968459999999995E-2</v>
      </c>
      <c r="Z1264">
        <v>-1.0646630000000001E-2</v>
      </c>
      <c r="AA1264">
        <v>0.99493370000000003</v>
      </c>
      <c r="AB1264">
        <v>26</v>
      </c>
      <c r="AC1264">
        <v>0.78290000000001203</v>
      </c>
      <c r="AD1264">
        <v>-0.161265299999999</v>
      </c>
      <c r="AE1264">
        <v>-8.77999999999588E-2</v>
      </c>
      <c r="AF1264">
        <v>8.9721880109632599E-2</v>
      </c>
      <c r="AG1264">
        <v>-0.161265299999999</v>
      </c>
      <c r="AH1264">
        <v>0.75078220417008101</v>
      </c>
      <c r="AI1264">
        <v>102.039588033992</v>
      </c>
      <c r="AJ1264">
        <v>83.185213149894906</v>
      </c>
      <c r="AK1264">
        <v>0.77313028064678901</v>
      </c>
      <c r="AL1264">
        <v>72.412081218795194</v>
      </c>
      <c r="AM1264">
        <v>86.764274453889797</v>
      </c>
      <c r="AN1264">
        <v>1.00000000972299</v>
      </c>
    </row>
    <row r="1265" spans="1:40" x14ac:dyDescent="0.25">
      <c r="A1265" t="str">
        <f>"20190304164842058"</f>
        <v>20190304164842058</v>
      </c>
      <c r="B1265" t="str">
        <f>"1551689322047800"</f>
        <v>1551689322047800</v>
      </c>
      <c r="C1265" t="s">
        <v>40</v>
      </c>
      <c r="D1265">
        <v>4.3359699999999997</v>
      </c>
      <c r="E1265">
        <v>0.54050919999999902</v>
      </c>
      <c r="F1265" t="s">
        <v>41</v>
      </c>
      <c r="G1265">
        <v>-238.17259999999999</v>
      </c>
      <c r="H1265">
        <v>0.98839549999999998</v>
      </c>
      <c r="I1265">
        <v>367.56729999999999</v>
      </c>
      <c r="J1265">
        <v>-238.84350000000001</v>
      </c>
      <c r="K1265">
        <v>1.110698</v>
      </c>
      <c r="L1265">
        <v>367.64589999999998</v>
      </c>
      <c r="M1265">
        <v>0.99987649999999995</v>
      </c>
      <c r="N1265">
        <v>-1.3931560000000001E-2</v>
      </c>
      <c r="O1265">
        <v>7.2854290000000004E-3</v>
      </c>
      <c r="P1265">
        <v>0.95627390000000001</v>
      </c>
      <c r="Q1265">
        <v>0.2886649</v>
      </c>
      <c r="R1265">
        <v>-4.7042E-2</v>
      </c>
      <c r="S1265">
        <v>3.2728419999999998</v>
      </c>
      <c r="T1265">
        <v>-0.49960080000000001</v>
      </c>
      <c r="U1265">
        <v>-0.31558229999999998</v>
      </c>
      <c r="V1265">
        <v>5.3992140000000001E-2</v>
      </c>
      <c r="W1265">
        <v>0.30195709999999998</v>
      </c>
      <c r="X1265">
        <v>0.95179130000000001</v>
      </c>
      <c r="Y1265">
        <v>0.1018819</v>
      </c>
      <c r="Z1265">
        <v>-9.4321449999999994E-3</v>
      </c>
      <c r="AA1265">
        <v>0.99475179999999996</v>
      </c>
      <c r="AB1265">
        <v>26</v>
      </c>
      <c r="AC1265">
        <v>0.67090000000001704</v>
      </c>
      <c r="AD1265">
        <v>-0.122302499999999</v>
      </c>
      <c r="AE1265">
        <v>-7.8599999999994397E-2</v>
      </c>
      <c r="AF1265">
        <v>8.08362137144297E-2</v>
      </c>
      <c r="AG1265">
        <v>-0.122302499999999</v>
      </c>
      <c r="AH1265">
        <v>0.64903294011460899</v>
      </c>
      <c r="AI1265">
        <v>100.591605450668</v>
      </c>
      <c r="AJ1265">
        <v>82.900444425636607</v>
      </c>
      <c r="AK1265">
        <v>0.66538421405060999</v>
      </c>
      <c r="AL1265">
        <v>72.424810202867405</v>
      </c>
      <c r="AM1265">
        <v>86.753269453491001</v>
      </c>
      <c r="AN1265">
        <v>0.99999996008893899</v>
      </c>
    </row>
    <row r="1266" spans="1:40" x14ac:dyDescent="0.25">
      <c r="A1266" t="str">
        <f>"20190304164842070"</f>
        <v>20190304164842070</v>
      </c>
      <c r="B1266" t="str">
        <f>"1551689322057560"</f>
        <v>1551689322057560</v>
      </c>
      <c r="C1266" t="s">
        <v>40</v>
      </c>
      <c r="D1266">
        <v>4.3030650000000001</v>
      </c>
      <c r="E1266">
        <v>0.54019759999999895</v>
      </c>
      <c r="F1266" t="s">
        <v>41</v>
      </c>
      <c r="G1266">
        <v>-237.94290000000001</v>
      </c>
      <c r="H1266">
        <v>0.98659189999999997</v>
      </c>
      <c r="I1266">
        <v>367.55739999999997</v>
      </c>
      <c r="J1266">
        <v>-238.7062</v>
      </c>
      <c r="K1266">
        <v>1.110695</v>
      </c>
      <c r="L1266">
        <v>367.64690000000002</v>
      </c>
      <c r="M1266">
        <v>0.9998764</v>
      </c>
      <c r="N1266">
        <v>-1.3930079999999999E-2</v>
      </c>
      <c r="O1266">
        <v>7.31315E-3</v>
      </c>
      <c r="P1266">
        <v>0.95627110000000004</v>
      </c>
      <c r="Q1266">
        <v>0.28864119999999999</v>
      </c>
      <c r="R1266">
        <v>-4.7246219999999998E-2</v>
      </c>
      <c r="S1266">
        <v>3.256958</v>
      </c>
      <c r="T1266">
        <v>-0.44890390000000002</v>
      </c>
      <c r="U1266">
        <v>-0.3198242</v>
      </c>
      <c r="V1266">
        <v>5.4222970000000002E-2</v>
      </c>
      <c r="W1266">
        <v>0.30193199999999998</v>
      </c>
      <c r="X1266">
        <v>0.95178620000000003</v>
      </c>
      <c r="Y1266">
        <v>0.1038752</v>
      </c>
      <c r="Z1266">
        <v>-8.7367039999999997E-3</v>
      </c>
      <c r="AA1266">
        <v>0.99455199999999999</v>
      </c>
      <c r="AB1266">
        <v>26</v>
      </c>
      <c r="AC1266">
        <v>0.76329999999998599</v>
      </c>
      <c r="AD1266">
        <v>-0.12410309999999999</v>
      </c>
      <c r="AE1266">
        <v>-8.95000000000436E-2</v>
      </c>
      <c r="AF1266">
        <v>9.2663949472267401E-2</v>
      </c>
      <c r="AG1266">
        <v>-0.12410309999999999</v>
      </c>
      <c r="AH1266">
        <v>0.74324400553185899</v>
      </c>
      <c r="AI1266">
        <v>99.407985737639294</v>
      </c>
      <c r="AJ1266">
        <v>82.893318799336399</v>
      </c>
      <c r="AK1266">
        <v>0.75921000962872698</v>
      </c>
      <c r="AL1266">
        <v>72.426319766281907</v>
      </c>
      <c r="AM1266">
        <v>86.739401314198403</v>
      </c>
      <c r="AN1266">
        <v>1.00000001680503</v>
      </c>
    </row>
    <row r="1267" spans="1:40" x14ac:dyDescent="0.25">
      <c r="A1267" t="str">
        <f>"20190304164842081"</f>
        <v>20190304164842081</v>
      </c>
      <c r="B1267" t="str">
        <f>"1551689322077079"</f>
        <v>1551689322077079</v>
      </c>
      <c r="C1267" t="s">
        <v>40</v>
      </c>
      <c r="D1267">
        <v>4.2636139999999996</v>
      </c>
      <c r="E1267">
        <v>0.53995179999999998</v>
      </c>
      <c r="F1267" t="s">
        <v>41</v>
      </c>
      <c r="G1267">
        <v>-237.9297</v>
      </c>
      <c r="H1267">
        <v>1.0137229999999999</v>
      </c>
      <c r="I1267">
        <v>367.56970000000001</v>
      </c>
      <c r="J1267">
        <v>-238.57470000000001</v>
      </c>
      <c r="K1267">
        <v>1.110689</v>
      </c>
      <c r="L1267">
        <v>367.64789999999999</v>
      </c>
      <c r="M1267">
        <v>0.99987610000000005</v>
      </c>
      <c r="N1267">
        <v>-1.3928690000000001E-2</v>
      </c>
      <c r="O1267">
        <v>7.339679E-3</v>
      </c>
      <c r="P1267">
        <v>0.95640709999999995</v>
      </c>
      <c r="Q1267">
        <v>0.28820580000000001</v>
      </c>
      <c r="R1267">
        <v>-4.7150619999999997E-2</v>
      </c>
      <c r="S1267">
        <v>3.2435459999999998</v>
      </c>
      <c r="T1267">
        <v>-0.40510620000000003</v>
      </c>
      <c r="U1267">
        <v>-0.32241819999999999</v>
      </c>
      <c r="V1267">
        <v>5.4153850000000003E-2</v>
      </c>
      <c r="W1267">
        <v>0.30149700000000001</v>
      </c>
      <c r="X1267">
        <v>0.951928</v>
      </c>
      <c r="Y1267">
        <v>0.1052709</v>
      </c>
      <c r="Z1267">
        <v>-8.0800950000000007E-3</v>
      </c>
      <c r="AA1267">
        <v>0.99441080000000004</v>
      </c>
      <c r="AB1267">
        <v>26</v>
      </c>
      <c r="AC1267">
        <v>0.64500000000001001</v>
      </c>
      <c r="AD1267">
        <v>-9.6966000000000094E-2</v>
      </c>
      <c r="AE1267">
        <v>-7.8199999999981104E-2</v>
      </c>
      <c r="AF1267">
        <v>8.1125521958693297E-2</v>
      </c>
      <c r="AG1267">
        <v>-9.6966000000000094E-2</v>
      </c>
      <c r="AH1267">
        <v>0.630368298490393</v>
      </c>
      <c r="AI1267">
        <v>98.674503108091798</v>
      </c>
      <c r="AJ1267">
        <v>82.666603983349702</v>
      </c>
      <c r="AK1267">
        <v>0.64292141604611697</v>
      </c>
      <c r="AL1267">
        <v>72.452461361949801</v>
      </c>
      <c r="AM1267">
        <v>86.744032807521805</v>
      </c>
      <c r="AN1267">
        <v>0.999999998831411</v>
      </c>
    </row>
    <row r="1268" spans="1:40" x14ac:dyDescent="0.25">
      <c r="A1268" t="str">
        <f>"20190304164842092"</f>
        <v>20190304164842092</v>
      </c>
      <c r="B1268" t="str">
        <f>"1551689322087815"</f>
        <v>1551689322087815</v>
      </c>
      <c r="C1268" t="s">
        <v>40</v>
      </c>
      <c r="D1268">
        <v>4.3142370000000003</v>
      </c>
      <c r="E1268">
        <v>0.53998659999999998</v>
      </c>
      <c r="F1268" t="s">
        <v>41</v>
      </c>
      <c r="G1268">
        <v>-237.6987</v>
      </c>
      <c r="H1268">
        <v>1.015269</v>
      </c>
      <c r="I1268">
        <v>367.55889999999999</v>
      </c>
      <c r="J1268">
        <v>-238.44479999999999</v>
      </c>
      <c r="K1268">
        <v>1.110687</v>
      </c>
      <c r="L1268">
        <v>367.64890000000003</v>
      </c>
      <c r="M1268">
        <v>0.99987579999999998</v>
      </c>
      <c r="N1268">
        <v>-1.392736E-2</v>
      </c>
      <c r="O1268">
        <v>7.3658530000000003E-3</v>
      </c>
      <c r="P1268">
        <v>0.95640709999999995</v>
      </c>
      <c r="Q1268">
        <v>0.28818949999999999</v>
      </c>
      <c r="R1268">
        <v>-4.7250029999999998E-2</v>
      </c>
      <c r="S1268">
        <v>3.2266689999999998</v>
      </c>
      <c r="T1268">
        <v>-0.35181780000000001</v>
      </c>
      <c r="U1268">
        <v>-0.32675169999999998</v>
      </c>
      <c r="V1268">
        <v>5.4278260000000002E-2</v>
      </c>
      <c r="W1268">
        <v>0.30147929999999901</v>
      </c>
      <c r="X1268">
        <v>0.95192650000000001</v>
      </c>
      <c r="Y1268">
        <v>0.10733280000000001</v>
      </c>
      <c r="Z1268">
        <v>-7.2680269999999998E-3</v>
      </c>
      <c r="AA1268">
        <v>0.99419659999999999</v>
      </c>
      <c r="AB1268">
        <v>26</v>
      </c>
      <c r="AC1268">
        <v>0.746099999999984</v>
      </c>
      <c r="AD1268">
        <v>-9.5417999999999906E-2</v>
      </c>
      <c r="AE1268">
        <v>-9.0000000000031805E-2</v>
      </c>
      <c r="AF1268">
        <v>9.3978720996869006E-2</v>
      </c>
      <c r="AG1268">
        <v>-9.5417999999999906E-2</v>
      </c>
      <c r="AH1268">
        <v>0.73359053238438099</v>
      </c>
      <c r="AI1268">
        <v>97.3514330681205</v>
      </c>
      <c r="AJ1268">
        <v>82.699722873391195</v>
      </c>
      <c r="AK1268">
        <v>0.74571553821025305</v>
      </c>
      <c r="AL1268">
        <v>72.453524639795205</v>
      </c>
      <c r="AM1268">
        <v>86.736563749730706</v>
      </c>
      <c r="AN1268">
        <v>0.99999997961968301</v>
      </c>
    </row>
    <row r="1269" spans="1:40" x14ac:dyDescent="0.25">
      <c r="A1269" t="str">
        <f>"20190304164842103"</f>
        <v>20190304164842103</v>
      </c>
      <c r="B1269" t="str">
        <f>"1551689322097575"</f>
        <v>1551689322097575</v>
      </c>
      <c r="C1269" t="s">
        <v>40</v>
      </c>
      <c r="D1269">
        <v>4.3478879999999904</v>
      </c>
      <c r="E1269">
        <v>0.54011160000000003</v>
      </c>
      <c r="F1269" t="s">
        <v>41</v>
      </c>
      <c r="G1269">
        <v>-237.69040000000001</v>
      </c>
      <c r="H1269">
        <v>1.0323209999999901</v>
      </c>
      <c r="I1269">
        <v>367.57139999999998</v>
      </c>
      <c r="J1269">
        <v>-238.32130000000001</v>
      </c>
      <c r="K1269">
        <v>1.110687</v>
      </c>
      <c r="L1269">
        <v>367.6499</v>
      </c>
      <c r="M1269">
        <v>0.99987570000000003</v>
      </c>
      <c r="N1269">
        <v>-1.392608E-2</v>
      </c>
      <c r="O1269">
        <v>7.3905969999999996E-3</v>
      </c>
      <c r="P1269">
        <v>0.95644660000000004</v>
      </c>
      <c r="Q1269">
        <v>0.28807470000000002</v>
      </c>
      <c r="R1269">
        <v>-4.7148019999999999E-2</v>
      </c>
      <c r="S1269">
        <v>3.2214360000000002</v>
      </c>
      <c r="T1269">
        <v>-0.3351132</v>
      </c>
      <c r="U1269">
        <v>-0.3294067</v>
      </c>
      <c r="V1269">
        <v>5.420034E-2</v>
      </c>
      <c r="W1269">
        <v>0.30136420000000003</v>
      </c>
      <c r="X1269">
        <v>0.95196740000000002</v>
      </c>
      <c r="Y1269">
        <v>0.10838730000000001</v>
      </c>
      <c r="Z1269">
        <v>-7.029286E-3</v>
      </c>
      <c r="AA1269">
        <v>0.99408390000000002</v>
      </c>
      <c r="AB1269">
        <v>26</v>
      </c>
      <c r="AC1269">
        <v>0.63089999999999602</v>
      </c>
      <c r="AD1269">
        <v>-7.8366000000000102E-2</v>
      </c>
      <c r="AE1269">
        <v>-7.8500000000019499E-2</v>
      </c>
      <c r="AF1269">
        <v>8.1916425830585296E-2</v>
      </c>
      <c r="AG1269">
        <v>-7.8366000000000102E-2</v>
      </c>
      <c r="AH1269">
        <v>0.62086927565388605</v>
      </c>
      <c r="AI1269">
        <v>97.132651670593305</v>
      </c>
      <c r="AJ1269">
        <v>82.483905301264898</v>
      </c>
      <c r="AK1269">
        <v>0.63113404933329198</v>
      </c>
      <c r="AL1269">
        <v>72.460441326043394</v>
      </c>
      <c r="AM1269">
        <v>86.741378228876599</v>
      </c>
      <c r="AN1269">
        <v>0.99999999428025699</v>
      </c>
    </row>
    <row r="1270" spans="1:40" x14ac:dyDescent="0.25">
      <c r="A1270" t="str">
        <f>"20190304164842116"</f>
        <v>20190304164842116</v>
      </c>
      <c r="B1270" t="str">
        <f>"1551689322107336"</f>
        <v>1551689322107336</v>
      </c>
      <c r="C1270" t="s">
        <v>40</v>
      </c>
      <c r="D1270">
        <v>4.3544879999999999</v>
      </c>
      <c r="E1270">
        <v>0.54017539999999997</v>
      </c>
      <c r="F1270" t="s">
        <v>41</v>
      </c>
      <c r="G1270">
        <v>-237.46430000000001</v>
      </c>
      <c r="H1270">
        <v>1.024467</v>
      </c>
      <c r="I1270">
        <v>367.56139999999999</v>
      </c>
      <c r="J1270">
        <v>-238.18049999999999</v>
      </c>
      <c r="K1270">
        <v>1.1106879999999999</v>
      </c>
      <c r="L1270">
        <v>367.65089999999998</v>
      </c>
      <c r="M1270">
        <v>0.99987559999999998</v>
      </c>
      <c r="N1270">
        <v>-1.392461E-2</v>
      </c>
      <c r="O1270">
        <v>7.4184430000000003E-3</v>
      </c>
      <c r="P1270">
        <v>0.95651169999999996</v>
      </c>
      <c r="Q1270">
        <v>0.2878771</v>
      </c>
      <c r="R1270">
        <v>-4.7037879999999997E-2</v>
      </c>
      <c r="S1270">
        <v>3.2178499999999999</v>
      </c>
      <c r="T1270">
        <v>-0.32397150000000002</v>
      </c>
      <c r="U1270">
        <v>-0.33145140000000001</v>
      </c>
      <c r="V1270">
        <v>5.4117180000000001E-2</v>
      </c>
      <c r="W1270">
        <v>0.30116599999999999</v>
      </c>
      <c r="X1270">
        <v>0.95203479999999996</v>
      </c>
      <c r="Y1270">
        <v>0.1091887</v>
      </c>
      <c r="Z1270">
        <v>-6.8730450000000004E-3</v>
      </c>
      <c r="AA1270">
        <v>0.99399729999999997</v>
      </c>
      <c r="AB1270">
        <v>26</v>
      </c>
      <c r="AC1270">
        <v>0.71619999999998596</v>
      </c>
      <c r="AD1270">
        <v>-8.6220999999999798E-2</v>
      </c>
      <c r="AE1270">
        <v>-8.9499999999986798E-2</v>
      </c>
      <c r="AF1270">
        <v>9.3477208804738005E-2</v>
      </c>
      <c r="AG1270">
        <v>-8.6220999999999798E-2</v>
      </c>
      <c r="AH1270">
        <v>0.70544942095789198</v>
      </c>
      <c r="AI1270">
        <v>96.908414497631895</v>
      </c>
      <c r="AJ1270">
        <v>82.451862325926697</v>
      </c>
      <c r="AK1270">
        <v>0.71682001571995002</v>
      </c>
      <c r="AL1270">
        <v>72.472349752315694</v>
      </c>
      <c r="AM1270">
        <v>86.746597056128707</v>
      </c>
      <c r="AN1270">
        <v>0.99999994456909402</v>
      </c>
    </row>
    <row r="1271" spans="1:40" x14ac:dyDescent="0.25">
      <c r="A1271" t="str">
        <f>"20190304164842129"</f>
        <v>20190304164842129</v>
      </c>
      <c r="B1271" t="str">
        <f>"1551689322117096"</f>
        <v>1551689322117096</v>
      </c>
      <c r="C1271" t="s">
        <v>40</v>
      </c>
      <c r="D1271">
        <v>4.4068529999999999</v>
      </c>
      <c r="E1271">
        <v>0.54037049999999998</v>
      </c>
      <c r="F1271" t="s">
        <v>41</v>
      </c>
      <c r="G1271">
        <v>-237.23769999999999</v>
      </c>
      <c r="H1271">
        <v>1.0181979999999999</v>
      </c>
      <c r="I1271">
        <v>367.553</v>
      </c>
      <c r="J1271">
        <v>-238.02289999999999</v>
      </c>
      <c r="K1271">
        <v>1.1106910000000001</v>
      </c>
      <c r="L1271">
        <v>367.65210000000002</v>
      </c>
      <c r="M1271">
        <v>0.99987539999999997</v>
      </c>
      <c r="N1271">
        <v>-1.392292E-2</v>
      </c>
      <c r="O1271">
        <v>7.4502219999999899E-3</v>
      </c>
      <c r="P1271">
        <v>0.95648569999999999</v>
      </c>
      <c r="Q1271">
        <v>0.28791</v>
      </c>
      <c r="R1271">
        <v>-4.7359110000000003E-2</v>
      </c>
      <c r="S1271">
        <v>3.2150880000000002</v>
      </c>
      <c r="T1271">
        <v>-0.31579819999999997</v>
      </c>
      <c r="U1271">
        <v>-0.3322754</v>
      </c>
      <c r="V1271">
        <v>5.4468620000000002E-2</v>
      </c>
      <c r="W1271">
        <v>0.30119689999999999</v>
      </c>
      <c r="X1271">
        <v>0.95200499999999999</v>
      </c>
      <c r="Y1271">
        <v>0.1095868</v>
      </c>
      <c r="Z1271">
        <v>-6.7468939999999998E-3</v>
      </c>
      <c r="AA1271">
        <v>0.99395429999999996</v>
      </c>
      <c r="AB1271">
        <v>26</v>
      </c>
      <c r="AC1271">
        <v>0.78520000000000301</v>
      </c>
      <c r="AD1271">
        <v>-9.2493000000000103E-2</v>
      </c>
      <c r="AE1271">
        <v>-9.9099999999964397E-2</v>
      </c>
      <c r="AF1271">
        <v>0.103533645627926</v>
      </c>
      <c r="AG1271">
        <v>-9.2493000000000103E-2</v>
      </c>
      <c r="AH1271">
        <v>0.77387013374503599</v>
      </c>
      <c r="AI1271">
        <v>96.756032448946002</v>
      </c>
      <c r="AJ1271">
        <v>82.379827574607205</v>
      </c>
      <c r="AK1271">
        <v>0.78622462103941404</v>
      </c>
      <c r="AL1271">
        <v>72.470493410371702</v>
      </c>
      <c r="AM1271">
        <v>86.725412826000394</v>
      </c>
      <c r="AN1271">
        <v>0.99999996157965598</v>
      </c>
    </row>
    <row r="1272" spans="1:40" x14ac:dyDescent="0.25">
      <c r="A1272" t="str">
        <f>"20190304164842143"</f>
        <v>20190304164842143</v>
      </c>
      <c r="B1272" t="str">
        <f>"1551689322137592"</f>
        <v>1551689322137592</v>
      </c>
      <c r="C1272" t="s">
        <v>40</v>
      </c>
      <c r="D1272">
        <v>4.3701189999999999</v>
      </c>
      <c r="E1272">
        <v>0.54057959999999905</v>
      </c>
      <c r="F1272" t="s">
        <v>41</v>
      </c>
      <c r="G1272">
        <v>-237.22989999999999</v>
      </c>
      <c r="H1272">
        <v>1.034373</v>
      </c>
      <c r="I1272">
        <v>367.56909999999999</v>
      </c>
      <c r="J1272">
        <v>-237.875</v>
      </c>
      <c r="K1272">
        <v>1.110695</v>
      </c>
      <c r="L1272">
        <v>367.6533</v>
      </c>
      <c r="M1272">
        <v>0.99987510000000002</v>
      </c>
      <c r="N1272">
        <v>-1.3921340000000001E-2</v>
      </c>
      <c r="O1272">
        <v>7.4797939999999997E-3</v>
      </c>
      <c r="P1272">
        <v>0.95628480000000005</v>
      </c>
      <c r="Q1272">
        <v>0.28849459999999999</v>
      </c>
      <c r="R1272">
        <v>-4.7855920000000003E-2</v>
      </c>
      <c r="S1272">
        <v>3.2131500000000002</v>
      </c>
      <c r="T1272">
        <v>-0.3097606</v>
      </c>
      <c r="U1272">
        <v>-0.33489989999999997</v>
      </c>
      <c r="V1272">
        <v>5.4992340000000001E-2</v>
      </c>
      <c r="W1272">
        <v>0.30177700000000002</v>
      </c>
      <c r="X1272">
        <v>0.95179119999999995</v>
      </c>
      <c r="Y1272">
        <v>0.110497499999999</v>
      </c>
      <c r="Z1272">
        <v>-6.6868049999999997E-3</v>
      </c>
      <c r="AA1272">
        <v>0.99385389999999996</v>
      </c>
      <c r="AB1272">
        <v>26</v>
      </c>
      <c r="AC1272">
        <v>0.645100000000013</v>
      </c>
      <c r="AD1272">
        <v>-7.6322000000000001E-2</v>
      </c>
      <c r="AE1272">
        <v>-8.4200000000009795E-2</v>
      </c>
      <c r="AF1272">
        <v>8.7814743980256293E-2</v>
      </c>
      <c r="AG1272">
        <v>-7.6322000000000001E-2</v>
      </c>
      <c r="AH1272">
        <v>0.63570299256644303</v>
      </c>
      <c r="AI1272">
        <v>96.782321522852897</v>
      </c>
      <c r="AJ1272">
        <v>82.135049811276005</v>
      </c>
      <c r="AK1272">
        <v>0.64626215400737197</v>
      </c>
      <c r="AL1272">
        <v>72.435634864398196</v>
      </c>
      <c r="AM1272">
        <v>86.693255946325294</v>
      </c>
      <c r="AN1272">
        <v>1.0000000017925501</v>
      </c>
    </row>
    <row r="1273" spans="1:40" x14ac:dyDescent="0.25">
      <c r="A1273" t="str">
        <f>"20190304164842157"</f>
        <v>20190304164842157</v>
      </c>
      <c r="B1273" t="str">
        <f>"1551689322147352"</f>
        <v>1551689322147352</v>
      </c>
      <c r="C1273" t="s">
        <v>40</v>
      </c>
      <c r="D1273">
        <v>4.3611909999999998</v>
      </c>
      <c r="E1273">
        <v>0.54075119999999999</v>
      </c>
      <c r="F1273" t="s">
        <v>41</v>
      </c>
      <c r="G1273">
        <v>-237.0027</v>
      </c>
      <c r="H1273">
        <v>1.0300879999999999</v>
      </c>
      <c r="I1273">
        <v>367.56099999999998</v>
      </c>
      <c r="J1273">
        <v>-237.70920000000001</v>
      </c>
      <c r="K1273">
        <v>1.1107009999999999</v>
      </c>
      <c r="L1273">
        <v>367.65449999999998</v>
      </c>
      <c r="M1273">
        <v>0.99987499999999996</v>
      </c>
      <c r="N1273">
        <v>-1.3919569999999999E-2</v>
      </c>
      <c r="O1273">
        <v>7.5128850000000004E-3</v>
      </c>
      <c r="P1273">
        <v>0.95593939999999999</v>
      </c>
      <c r="Q1273">
        <v>0.2895529</v>
      </c>
      <c r="R1273">
        <v>-4.8368710000000002E-2</v>
      </c>
      <c r="S1273">
        <v>3.209625</v>
      </c>
      <c r="T1273">
        <v>-0.2966144</v>
      </c>
      <c r="U1273">
        <v>-0.33923340000000002</v>
      </c>
      <c r="V1273">
        <v>5.5533859999999997E-2</v>
      </c>
      <c r="W1273">
        <v>0.3028284</v>
      </c>
      <c r="X1273">
        <v>0.95142570000000004</v>
      </c>
      <c r="Y1273">
        <v>0.1120091</v>
      </c>
      <c r="Z1273">
        <v>-6.5208790000000003E-3</v>
      </c>
      <c r="AA1273">
        <v>0.99368579999999995</v>
      </c>
      <c r="AB1273">
        <v>26</v>
      </c>
      <c r="AC1273">
        <v>0.70650000000000501</v>
      </c>
      <c r="AD1273">
        <v>-8.0613000000000004E-2</v>
      </c>
      <c r="AE1273">
        <v>-9.3500000000005898E-2</v>
      </c>
      <c r="AF1273">
        <v>9.7557465781034899E-2</v>
      </c>
      <c r="AG1273">
        <v>-8.0613000000000004E-2</v>
      </c>
      <c r="AH1273">
        <v>0.69686109578464706</v>
      </c>
      <c r="AI1273">
        <v>96.535481301261001</v>
      </c>
      <c r="AJ1273">
        <v>82.030638589963004</v>
      </c>
      <c r="AK1273">
        <v>0.70825934636741406</v>
      </c>
      <c r="AL1273">
        <v>72.372436350552803</v>
      </c>
      <c r="AM1273">
        <v>86.659487240611497</v>
      </c>
      <c r="AN1273">
        <v>0.99999995603677305</v>
      </c>
    </row>
    <row r="1274" spans="1:40" x14ac:dyDescent="0.25">
      <c r="A1274" t="str">
        <f>"20190304164842169"</f>
        <v>20190304164842169</v>
      </c>
      <c r="B1274" t="str">
        <f>"1551689322157112"</f>
        <v>1551689322157112</v>
      </c>
      <c r="C1274" t="s">
        <v>40</v>
      </c>
      <c r="D1274">
        <v>4.3657329999999996</v>
      </c>
      <c r="E1274">
        <v>0.54089589999999999</v>
      </c>
      <c r="F1274" t="s">
        <v>41</v>
      </c>
      <c r="G1274">
        <v>-236.77529999999999</v>
      </c>
      <c r="H1274">
        <v>1.026589</v>
      </c>
      <c r="I1274">
        <v>367.55470000000003</v>
      </c>
      <c r="J1274">
        <v>-237.56139999999999</v>
      </c>
      <c r="K1274">
        <v>1.1106990000000001</v>
      </c>
      <c r="L1274">
        <v>367.65570000000002</v>
      </c>
      <c r="M1274">
        <v>0.99987479999999995</v>
      </c>
      <c r="N1274">
        <v>-1.391801E-2</v>
      </c>
      <c r="O1274">
        <v>7.542811E-3</v>
      </c>
      <c r="P1274">
        <v>0.95587469999999997</v>
      </c>
      <c r="Q1274">
        <v>0.28971360000000002</v>
      </c>
      <c r="R1274">
        <v>-4.8683879999999999E-2</v>
      </c>
      <c r="S1274">
        <v>3.2085569999999999</v>
      </c>
      <c r="T1274">
        <v>-0.28924729999999998</v>
      </c>
      <c r="U1274">
        <v>-0.3421631</v>
      </c>
      <c r="V1274">
        <v>5.5877419999999997E-2</v>
      </c>
      <c r="W1274">
        <v>0.30298700000000001</v>
      </c>
      <c r="X1274">
        <v>0.95135519999999996</v>
      </c>
      <c r="Y1274">
        <v>0.11299190000000001</v>
      </c>
      <c r="Z1274">
        <v>-6.4310929999999997E-3</v>
      </c>
      <c r="AA1274">
        <v>0.99357510000000004</v>
      </c>
      <c r="AB1274">
        <v>26</v>
      </c>
      <c r="AC1274">
        <v>0.78610000000000402</v>
      </c>
      <c r="AD1274">
        <v>-8.4109999999999893E-2</v>
      </c>
      <c r="AE1274">
        <v>-0.10099999999999899</v>
      </c>
      <c r="AF1274">
        <v>0.105736264962593</v>
      </c>
      <c r="AG1274">
        <v>-8.4109999999999893E-2</v>
      </c>
      <c r="AH1274">
        <v>0.77656973595538903</v>
      </c>
      <c r="AI1274">
        <v>96.125505107767296</v>
      </c>
      <c r="AJ1274">
        <v>82.246395304862205</v>
      </c>
      <c r="AK1274">
        <v>0.78823550074204496</v>
      </c>
      <c r="AL1274">
        <v>72.362903218464794</v>
      </c>
      <c r="AM1274">
        <v>86.638619901727097</v>
      </c>
      <c r="AN1274">
        <v>1.00000006240094</v>
      </c>
    </row>
    <row r="1275" spans="1:40" x14ac:dyDescent="0.25">
      <c r="A1275" t="str">
        <f>"20190304164842181"</f>
        <v>20190304164842181</v>
      </c>
      <c r="B1275" t="str">
        <f>"1551689322177608"</f>
        <v>1551689322177608</v>
      </c>
      <c r="C1275" t="s">
        <v>40</v>
      </c>
      <c r="D1275">
        <v>4.3863000000000003</v>
      </c>
      <c r="E1275">
        <v>0.54099600000000003</v>
      </c>
      <c r="F1275" t="s">
        <v>41</v>
      </c>
      <c r="G1275">
        <v>-236.7688</v>
      </c>
      <c r="H1275">
        <v>1.0402659999999999</v>
      </c>
      <c r="I1275">
        <v>367.5702</v>
      </c>
      <c r="J1275">
        <v>-237.42910000000001</v>
      </c>
      <c r="K1275">
        <v>1.110703</v>
      </c>
      <c r="L1275">
        <v>367.6567</v>
      </c>
      <c r="M1275">
        <v>0.99987459999999995</v>
      </c>
      <c r="N1275">
        <v>-1.3916629999999999E-2</v>
      </c>
      <c r="O1275">
        <v>7.56952199999999E-3</v>
      </c>
      <c r="P1275">
        <v>0.95586499999999996</v>
      </c>
      <c r="Q1275">
        <v>0.2897015</v>
      </c>
      <c r="R1275">
        <v>-4.8944670000000003E-2</v>
      </c>
      <c r="S1275">
        <v>3.2074129999999998</v>
      </c>
      <c r="T1275">
        <v>-0.2853214</v>
      </c>
      <c r="U1275">
        <v>-0.3451843</v>
      </c>
      <c r="V1275">
        <v>5.6163730000000002E-2</v>
      </c>
      <c r="W1275">
        <v>0.3029734</v>
      </c>
      <c r="X1275">
        <v>0.95134260000000004</v>
      </c>
      <c r="Y1275">
        <v>0.11398999999999999</v>
      </c>
      <c r="Z1275">
        <v>-6.4082269999999998E-3</v>
      </c>
      <c r="AA1275">
        <v>0.99346129999999999</v>
      </c>
      <c r="AB1275">
        <v>26</v>
      </c>
      <c r="AC1275">
        <v>0.66030000000000599</v>
      </c>
      <c r="AD1275">
        <v>-7.0437E-2</v>
      </c>
      <c r="AE1275">
        <v>-8.6500000000000896E-2</v>
      </c>
      <c r="AF1275">
        <v>9.0483880695718402E-2</v>
      </c>
      <c r="AG1275">
        <v>-7.0437E-2</v>
      </c>
      <c r="AH1275">
        <v>0.65232839154892797</v>
      </c>
      <c r="AI1275">
        <v>96.104795163550605</v>
      </c>
      <c r="AJ1275">
        <v>82.102944032352298</v>
      </c>
      <c r="AK1275">
        <v>0.66233000389199403</v>
      </c>
      <c r="AL1275">
        <v>72.363719629704207</v>
      </c>
      <c r="AM1275">
        <v>86.621391697481201</v>
      </c>
      <c r="AN1275">
        <v>0.99999999412491603</v>
      </c>
    </row>
    <row r="1276" spans="1:40" x14ac:dyDescent="0.25">
      <c r="A1276" t="str">
        <f>"20190304164842193"</f>
        <v>20190304164842193</v>
      </c>
      <c r="B1276" t="str">
        <f>"1551689322187368"</f>
        <v>1551689322187368</v>
      </c>
      <c r="C1276" t="s">
        <v>40</v>
      </c>
      <c r="D1276">
        <v>4.3783519999999996</v>
      </c>
      <c r="E1276">
        <v>0.54105009999999998</v>
      </c>
      <c r="F1276" t="s">
        <v>41</v>
      </c>
      <c r="G1276">
        <v>-236.54339999999999</v>
      </c>
      <c r="H1276">
        <v>1.033207</v>
      </c>
      <c r="I1276">
        <v>367.5607</v>
      </c>
      <c r="J1276">
        <v>-237.29320000000001</v>
      </c>
      <c r="K1276">
        <v>1.110703</v>
      </c>
      <c r="L1276">
        <v>367.65780000000001</v>
      </c>
      <c r="M1276">
        <v>0.99987440000000005</v>
      </c>
      <c r="N1276">
        <v>-1.3915210000000001E-2</v>
      </c>
      <c r="O1276">
        <v>7.5967119999999898E-3</v>
      </c>
      <c r="P1276">
        <v>0.95583890000000005</v>
      </c>
      <c r="Q1276">
        <v>0.28972310000000001</v>
      </c>
      <c r="R1276">
        <v>-4.9320040000000002E-2</v>
      </c>
      <c r="S1276">
        <v>3.2057799999999999</v>
      </c>
      <c r="T1276">
        <v>-0.280589799999999</v>
      </c>
      <c r="U1276">
        <v>-0.34722900000000001</v>
      </c>
      <c r="V1276">
        <v>5.6564900000000001E-2</v>
      </c>
      <c r="W1276">
        <v>0.30299290000000001</v>
      </c>
      <c r="X1276">
        <v>0.95131259999999995</v>
      </c>
      <c r="Y1276">
        <v>0.1147101</v>
      </c>
      <c r="Z1276">
        <v>-6.3547380000000004E-3</v>
      </c>
      <c r="AA1276">
        <v>0.99337869999999995</v>
      </c>
      <c r="AB1276">
        <v>26</v>
      </c>
      <c r="AC1276">
        <v>0.74980000000002101</v>
      </c>
      <c r="AD1276">
        <v>-7.7495999999999995E-2</v>
      </c>
      <c r="AE1276">
        <v>-9.7100000000011705E-2</v>
      </c>
      <c r="AF1276">
        <v>0.10172502219933</v>
      </c>
      <c r="AG1276">
        <v>-7.7495999999999995E-2</v>
      </c>
      <c r="AH1276">
        <v>0.74125291315584796</v>
      </c>
      <c r="AI1276">
        <v>95.913411423347398</v>
      </c>
      <c r="AJ1276">
        <v>82.185887982275105</v>
      </c>
      <c r="AK1276">
        <v>0.75220309187046397</v>
      </c>
      <c r="AL1276">
        <v>72.362546891578603</v>
      </c>
      <c r="AM1276">
        <v>86.597208201463502</v>
      </c>
      <c r="AN1276">
        <v>0.99999997414058905</v>
      </c>
    </row>
    <row r="1277" spans="1:40" x14ac:dyDescent="0.25">
      <c r="A1277" t="str">
        <f>"20190304164842203"</f>
        <v>20190304164842203</v>
      </c>
      <c r="B1277" t="str">
        <f>"1551689322197128"</f>
        <v>1551689322197128</v>
      </c>
      <c r="C1277" t="s">
        <v>40</v>
      </c>
      <c r="D1277">
        <v>4.3724930000000004</v>
      </c>
      <c r="E1277">
        <v>0.54110340000000001</v>
      </c>
      <c r="F1277" t="s">
        <v>41</v>
      </c>
      <c r="G1277">
        <v>-236.5369</v>
      </c>
      <c r="H1277">
        <v>1.0450459999999999</v>
      </c>
      <c r="I1277">
        <v>367.57530000000003</v>
      </c>
      <c r="J1277">
        <v>-237.173</v>
      </c>
      <c r="K1277">
        <v>1.1107009999999999</v>
      </c>
      <c r="L1277">
        <v>367.65870000000001</v>
      </c>
      <c r="M1277">
        <v>0.99987420000000005</v>
      </c>
      <c r="N1277">
        <v>-1.3913979999999999E-2</v>
      </c>
      <c r="O1277">
        <v>7.6207389999999996E-3</v>
      </c>
      <c r="P1277">
        <v>0.95582820000000002</v>
      </c>
      <c r="Q1277">
        <v>0.28977419999999998</v>
      </c>
      <c r="R1277">
        <v>-4.9229580000000002E-2</v>
      </c>
      <c r="S1277">
        <v>3.204971</v>
      </c>
      <c r="T1277">
        <v>-0.2783564</v>
      </c>
      <c r="U1277">
        <v>-0.34912110000000002</v>
      </c>
      <c r="V1277">
        <v>5.649738E-2</v>
      </c>
      <c r="W1277">
        <v>0.3030429</v>
      </c>
      <c r="X1277">
        <v>0.9513007</v>
      </c>
      <c r="Y1277">
        <v>0.11534519999999999</v>
      </c>
      <c r="Z1277">
        <v>-6.3446739999999998E-3</v>
      </c>
      <c r="AA1277">
        <v>0.9933052</v>
      </c>
      <c r="AB1277">
        <v>26</v>
      </c>
      <c r="AC1277">
        <v>0.636099999999999</v>
      </c>
      <c r="AD1277">
        <v>-6.5655000000000005E-2</v>
      </c>
      <c r="AE1277">
        <v>-8.3399999999983196E-2</v>
      </c>
      <c r="AF1277">
        <v>8.7330957481130705E-2</v>
      </c>
      <c r="AG1277">
        <v>-6.5655000000000005E-2</v>
      </c>
      <c r="AH1277">
        <v>0.62885967166623102</v>
      </c>
      <c r="AI1277">
        <v>95.904020121638993</v>
      </c>
      <c r="AJ1277">
        <v>82.093790477772203</v>
      </c>
      <c r="AK1277">
        <v>0.63828031601149304</v>
      </c>
      <c r="AL1277">
        <v>72.359541012750896</v>
      </c>
      <c r="AM1277">
        <v>86.601218079353004</v>
      </c>
      <c r="AN1277">
        <v>0.99999998750388197</v>
      </c>
    </row>
    <row r="1278" spans="1:40" x14ac:dyDescent="0.25">
      <c r="A1278" t="str">
        <f>"20190304164842214"</f>
        <v>20190304164842214</v>
      </c>
      <c r="B1278" t="str">
        <f>"1551689322207864"</f>
        <v>1551689322207864</v>
      </c>
      <c r="C1278" t="s">
        <v>40</v>
      </c>
      <c r="D1278">
        <v>4.4092289999999998</v>
      </c>
      <c r="E1278">
        <v>0.54119549999999905</v>
      </c>
      <c r="F1278" t="s">
        <v>41</v>
      </c>
      <c r="G1278">
        <v>-236.3134</v>
      </c>
      <c r="H1278">
        <v>1.036538</v>
      </c>
      <c r="I1278">
        <v>367.56470000000002</v>
      </c>
      <c r="J1278">
        <v>-237.04519999999999</v>
      </c>
      <c r="K1278">
        <v>1.1107</v>
      </c>
      <c r="L1278">
        <v>367.65969999999999</v>
      </c>
      <c r="M1278">
        <v>0.99987409999999999</v>
      </c>
      <c r="N1278">
        <v>-1.391265E-2</v>
      </c>
      <c r="O1278">
        <v>7.64643599999999E-3</v>
      </c>
      <c r="P1278">
        <v>0.9557909</v>
      </c>
      <c r="Q1278">
        <v>0.28986250000000002</v>
      </c>
      <c r="R1278">
        <v>-4.9437660000000001E-2</v>
      </c>
      <c r="S1278">
        <v>3.2044980000000001</v>
      </c>
      <c r="T1278">
        <v>-0.27669749999999999</v>
      </c>
      <c r="U1278">
        <v>-0.34991460000000002</v>
      </c>
      <c r="V1278">
        <v>5.6729590000000003E-2</v>
      </c>
      <c r="W1278">
        <v>0.3031296</v>
      </c>
      <c r="X1278">
        <v>0.95125930000000003</v>
      </c>
      <c r="Y1278">
        <v>0.1156339</v>
      </c>
      <c r="Z1278">
        <v>-6.3281090000000002E-3</v>
      </c>
      <c r="AA1278">
        <v>0.99327180000000004</v>
      </c>
      <c r="AB1278">
        <v>26</v>
      </c>
      <c r="AC1278">
        <v>0.73179999999999201</v>
      </c>
      <c r="AD1278">
        <v>-7.4162000000000006E-2</v>
      </c>
      <c r="AE1278">
        <v>-9.49999999999704E-2</v>
      </c>
      <c r="AF1278">
        <v>9.9587593196867899E-2</v>
      </c>
      <c r="AG1278">
        <v>-7.4162000000000006E-2</v>
      </c>
      <c r="AH1278">
        <v>0.72374234377208502</v>
      </c>
      <c r="AI1278">
        <v>95.796447015122595</v>
      </c>
      <c r="AJ1278">
        <v>82.165250057882005</v>
      </c>
      <c r="AK1278">
        <v>0.73431646524605099</v>
      </c>
      <c r="AL1278">
        <v>72.354329021519405</v>
      </c>
      <c r="AM1278">
        <v>86.587133513192697</v>
      </c>
      <c r="AN1278">
        <v>1.0000000283071</v>
      </c>
    </row>
    <row r="1279" spans="1:40" x14ac:dyDescent="0.25">
      <c r="A1279" t="str">
        <f>"20190304164842226"</f>
        <v>20190304164842226</v>
      </c>
      <c r="B1279" t="str">
        <f>"1551689322217624"</f>
        <v>1551689322217624</v>
      </c>
      <c r="C1279" t="s">
        <v>40</v>
      </c>
      <c r="D1279">
        <v>4.4113850000000001</v>
      </c>
      <c r="E1279">
        <v>0.54120469999999998</v>
      </c>
      <c r="F1279" t="s">
        <v>41</v>
      </c>
      <c r="G1279">
        <v>-236.3065</v>
      </c>
      <c r="H1279">
        <v>1.0473269999999999</v>
      </c>
      <c r="I1279">
        <v>367.57830000000001</v>
      </c>
      <c r="J1279">
        <v>-236.92160000000001</v>
      </c>
      <c r="K1279">
        <v>1.1106990000000001</v>
      </c>
      <c r="L1279">
        <v>367.66070000000002</v>
      </c>
      <c r="M1279">
        <v>0.99987380000000003</v>
      </c>
      <c r="N1279">
        <v>-1.3911369999999999E-2</v>
      </c>
      <c r="O1279">
        <v>7.671298E-3</v>
      </c>
      <c r="P1279">
        <v>0.95607050000000005</v>
      </c>
      <c r="Q1279">
        <v>0.2889545</v>
      </c>
      <c r="R1279">
        <v>-4.9343020000000001E-2</v>
      </c>
      <c r="S1279">
        <v>3.2039949999999999</v>
      </c>
      <c r="T1279">
        <v>-0.2751247</v>
      </c>
      <c r="U1279">
        <v>-0.35202030000000001</v>
      </c>
      <c r="V1279">
        <v>5.6660879999999997E-2</v>
      </c>
      <c r="W1279">
        <v>0.3022244</v>
      </c>
      <c r="X1279">
        <v>0.95155129999999999</v>
      </c>
      <c r="Y1279">
        <v>0.1163228</v>
      </c>
      <c r="Z1279">
        <v>-6.3329069999999996E-3</v>
      </c>
      <c r="AA1279">
        <v>0.99319120000000005</v>
      </c>
      <c r="AB1279">
        <v>26</v>
      </c>
      <c r="AC1279">
        <v>0.61510000000001197</v>
      </c>
      <c r="AD1279">
        <v>-6.3371999999999706E-2</v>
      </c>
      <c r="AE1279">
        <v>-8.2400000000006898E-2</v>
      </c>
      <c r="AF1279">
        <v>8.6217615879374598E-2</v>
      </c>
      <c r="AG1279">
        <v>-6.3371999999999706E-2</v>
      </c>
      <c r="AH1279">
        <v>0.608108689437729</v>
      </c>
      <c r="AI1279">
        <v>95.8909185892756</v>
      </c>
      <c r="AJ1279">
        <v>81.930391320616906</v>
      </c>
      <c r="AK1279">
        <v>0.61745094205256201</v>
      </c>
      <c r="AL1279">
        <v>72.408744430897997</v>
      </c>
      <c r="AM1279">
        <v>86.592300937529401</v>
      </c>
      <c r="AN1279">
        <v>0.99999995990471102</v>
      </c>
    </row>
    <row r="1280" spans="1:40" x14ac:dyDescent="0.25">
      <c r="A1280" t="str">
        <f>"20190304164842238"</f>
        <v>20190304164842238</v>
      </c>
      <c r="B1280" t="str">
        <f>"1551689322227384"</f>
        <v>1551689322227384</v>
      </c>
      <c r="C1280" t="s">
        <v>40</v>
      </c>
      <c r="D1280">
        <v>4.404426</v>
      </c>
      <c r="E1280">
        <v>0.54125869999999998</v>
      </c>
      <c r="F1280" t="s">
        <v>41</v>
      </c>
      <c r="G1280">
        <v>-236.08430000000001</v>
      </c>
      <c r="H1280">
        <v>1.0385390000000001</v>
      </c>
      <c r="I1280">
        <v>367.56819999999999</v>
      </c>
      <c r="J1280">
        <v>-236.78479999999999</v>
      </c>
      <c r="K1280">
        <v>1.1106940000000001</v>
      </c>
      <c r="L1280">
        <v>367.66180000000003</v>
      </c>
      <c r="M1280">
        <v>0.99987369999999998</v>
      </c>
      <c r="N1280">
        <v>-1.3909950000000001E-2</v>
      </c>
      <c r="O1280">
        <v>7.698664E-3</v>
      </c>
      <c r="P1280">
        <v>0.95618999999999998</v>
      </c>
      <c r="Q1280">
        <v>0.28847810000000002</v>
      </c>
      <c r="R1280">
        <v>-4.9811309999999998E-2</v>
      </c>
      <c r="S1280">
        <v>3.203125</v>
      </c>
      <c r="T1280">
        <v>-0.27629920000000002</v>
      </c>
      <c r="U1280">
        <v>-0.35272219999999999</v>
      </c>
      <c r="V1280">
        <v>5.7156560000000002E-2</v>
      </c>
      <c r="W1280">
        <v>0.30174800000000002</v>
      </c>
      <c r="X1280">
        <v>0.95167290000000004</v>
      </c>
      <c r="Y1280">
        <v>0.11658880000000001</v>
      </c>
      <c r="Z1280">
        <v>-6.3734890000000004E-3</v>
      </c>
      <c r="AA1280">
        <v>0.99315980000000004</v>
      </c>
      <c r="AB1280">
        <v>26</v>
      </c>
      <c r="AC1280">
        <v>0.70049999999997603</v>
      </c>
      <c r="AD1280">
        <v>-7.2155000000000094E-2</v>
      </c>
      <c r="AE1280">
        <v>-9.3600000000037598E-2</v>
      </c>
      <c r="AF1280">
        <v>9.7969435463339999E-2</v>
      </c>
      <c r="AG1280">
        <v>-7.2155000000000094E-2</v>
      </c>
      <c r="AH1280">
        <v>0.69253959416780198</v>
      </c>
      <c r="AI1280">
        <v>95.889904026947605</v>
      </c>
      <c r="AJ1280">
        <v>81.948136478000706</v>
      </c>
      <c r="AK1280">
        <v>0.70314681525276801</v>
      </c>
      <c r="AL1280">
        <v>72.437377984914903</v>
      </c>
      <c r="AM1280">
        <v>86.562999086891594</v>
      </c>
      <c r="AN1280">
        <v>1.00000001822472</v>
      </c>
    </row>
    <row r="1281" spans="1:40" x14ac:dyDescent="0.25">
      <c r="A1281" t="str">
        <f>"20190304164842248"</f>
        <v>20190304164842248</v>
      </c>
      <c r="B1281" t="str">
        <f>"1551689322237144"</f>
        <v>1551689322237144</v>
      </c>
      <c r="C1281" t="s">
        <v>40</v>
      </c>
      <c r="D1281">
        <v>4.4301779999999997</v>
      </c>
      <c r="E1281">
        <v>0.54129469999999902</v>
      </c>
      <c r="F1281" t="s">
        <v>41</v>
      </c>
      <c r="G1281">
        <v>-235.85990000000001</v>
      </c>
      <c r="H1281">
        <v>1.0309969999999999</v>
      </c>
      <c r="I1281">
        <v>367.55869999999999</v>
      </c>
      <c r="J1281">
        <v>-236.6583</v>
      </c>
      <c r="K1281">
        <v>1.110684</v>
      </c>
      <c r="L1281">
        <v>367.66269999999997</v>
      </c>
      <c r="M1281">
        <v>0.99987349999999997</v>
      </c>
      <c r="N1281">
        <v>-1.390866E-2</v>
      </c>
      <c r="O1281">
        <v>7.7242409999999997E-3</v>
      </c>
      <c r="P1281">
        <v>0.95636589999999999</v>
      </c>
      <c r="Q1281">
        <v>0.28781639999999997</v>
      </c>
      <c r="R1281">
        <v>-5.0260619999999999E-2</v>
      </c>
      <c r="S1281">
        <v>3.2023160000000002</v>
      </c>
      <c r="T1281">
        <v>-0.27633790000000003</v>
      </c>
      <c r="U1281">
        <v>-0.35543819999999998</v>
      </c>
      <c r="V1281">
        <v>5.7631599999999998E-2</v>
      </c>
      <c r="W1281">
        <v>0.3010873</v>
      </c>
      <c r="X1281">
        <v>0.95185350000000002</v>
      </c>
      <c r="Y1281">
        <v>0.1174694</v>
      </c>
      <c r="Z1281">
        <v>-6.4212230000000002E-3</v>
      </c>
      <c r="AA1281">
        <v>0.99305580000000004</v>
      </c>
      <c r="AB1281">
        <v>26</v>
      </c>
      <c r="AC1281">
        <v>0.79839999999998601</v>
      </c>
      <c r="AD1281">
        <v>-7.9686999999999994E-2</v>
      </c>
      <c r="AE1281">
        <v>-0.10399999999998499</v>
      </c>
      <c r="AF1281">
        <v>0.10909587815380201</v>
      </c>
      <c r="AG1281">
        <v>-7.9686999999999994E-2</v>
      </c>
      <c r="AH1281">
        <v>0.78983593902933102</v>
      </c>
      <c r="AI1281">
        <v>95.707286452613701</v>
      </c>
      <c r="AJ1281">
        <v>82.135796078092596</v>
      </c>
      <c r="AK1281">
        <v>0.80130689450515402</v>
      </c>
      <c r="AL1281">
        <v>72.477079861337899</v>
      </c>
      <c r="AM1281">
        <v>86.535158717344302</v>
      </c>
      <c r="AN1281">
        <v>1.0000000245010401</v>
      </c>
    </row>
    <row r="1282" spans="1:40" x14ac:dyDescent="0.25">
      <c r="A1282" t="str">
        <f>"20190304164842259"</f>
        <v>20190304164842259</v>
      </c>
      <c r="B1282" t="str">
        <f>"1551689322246904"</f>
        <v>1551689322246904</v>
      </c>
      <c r="C1282" t="s">
        <v>40</v>
      </c>
      <c r="D1282">
        <v>4.4448629999999998</v>
      </c>
      <c r="E1282">
        <v>0.54133500000000001</v>
      </c>
      <c r="F1282" t="s">
        <v>41</v>
      </c>
      <c r="G1282">
        <v>-235.85509999999999</v>
      </c>
      <c r="H1282">
        <v>1.041258</v>
      </c>
      <c r="I1282">
        <v>367.57249999999999</v>
      </c>
      <c r="J1282">
        <v>-236.5421</v>
      </c>
      <c r="K1282">
        <v>1.110681</v>
      </c>
      <c r="L1282">
        <v>367.66370000000001</v>
      </c>
      <c r="M1282">
        <v>0.99987329999999996</v>
      </c>
      <c r="N1282">
        <v>-1.390747E-2</v>
      </c>
      <c r="O1282">
        <v>7.7475529999999999E-3</v>
      </c>
      <c r="P1282">
        <v>0.95640650000000005</v>
      </c>
      <c r="Q1282">
        <v>0.28761779999999998</v>
      </c>
      <c r="R1282">
        <v>-5.0622109999999998E-2</v>
      </c>
      <c r="S1282">
        <v>3.201492</v>
      </c>
      <c r="T1282">
        <v>-0.27720499999999998</v>
      </c>
      <c r="U1282">
        <v>-0.3577881</v>
      </c>
      <c r="V1282">
        <v>5.801572E-2</v>
      </c>
      <c r="W1282">
        <v>0.30088819999999999</v>
      </c>
      <c r="X1282">
        <v>0.95189310000000005</v>
      </c>
      <c r="Y1282">
        <v>0.1182339</v>
      </c>
      <c r="Z1282">
        <v>-6.4802459999999899E-3</v>
      </c>
      <c r="AA1282">
        <v>0.99296459999999998</v>
      </c>
      <c r="AB1282">
        <v>26</v>
      </c>
      <c r="AC1282">
        <v>0.68700000000001105</v>
      </c>
      <c r="AD1282">
        <v>-6.9422999999999999E-2</v>
      </c>
      <c r="AE1282">
        <v>-9.1200000000014797E-2</v>
      </c>
      <c r="AF1282">
        <v>9.5561411290303502E-2</v>
      </c>
      <c r="AG1282">
        <v>-6.9422999999999999E-2</v>
      </c>
      <c r="AH1282">
        <v>0.67945457730149295</v>
      </c>
      <c r="AI1282">
        <v>95.7774569144662</v>
      </c>
      <c r="AJ1282">
        <v>81.994186955764206</v>
      </c>
      <c r="AK1282">
        <v>0.689644878812817</v>
      </c>
      <c r="AL1282">
        <v>72.489041782491199</v>
      </c>
      <c r="AM1282">
        <v>86.512266790857694</v>
      </c>
      <c r="AN1282">
        <v>1.00000000324698</v>
      </c>
    </row>
    <row r="1283" spans="1:40" x14ac:dyDescent="0.25">
      <c r="A1283" t="str">
        <f>"20190304164842272"</f>
        <v>20190304164842272</v>
      </c>
      <c r="B1283" t="str">
        <f>"1551689322267400"</f>
        <v>1551689322267400</v>
      </c>
      <c r="C1283" t="s">
        <v>40</v>
      </c>
      <c r="D1283">
        <v>4.4229729999999998</v>
      </c>
      <c r="E1283">
        <v>0.54142669999999904</v>
      </c>
      <c r="F1283" t="s">
        <v>41</v>
      </c>
      <c r="G1283">
        <v>-235.6318</v>
      </c>
      <c r="H1283">
        <v>1.0321</v>
      </c>
      <c r="I1283">
        <v>367.56119999999999</v>
      </c>
      <c r="J1283">
        <v>-236.39279999999999</v>
      </c>
      <c r="K1283">
        <v>1.1106830000000001</v>
      </c>
      <c r="L1283">
        <v>367.66489999999999</v>
      </c>
      <c r="M1283">
        <v>0.99987309999999996</v>
      </c>
      <c r="N1283">
        <v>-1.390593E-2</v>
      </c>
      <c r="O1283">
        <v>7.7776019999999998E-3</v>
      </c>
      <c r="P1283">
        <v>0.95654570000000005</v>
      </c>
      <c r="Q1283">
        <v>0.28705720000000001</v>
      </c>
      <c r="R1283">
        <v>-5.117203E-2</v>
      </c>
      <c r="S1283">
        <v>3.200806</v>
      </c>
      <c r="T1283">
        <v>-0.2764548</v>
      </c>
      <c r="U1283">
        <v>-0.35998540000000001</v>
      </c>
      <c r="V1283">
        <v>5.8595580000000001E-2</v>
      </c>
      <c r="W1283">
        <v>0.30032829999999999</v>
      </c>
      <c r="X1283">
        <v>0.95203439999999995</v>
      </c>
      <c r="Y1283">
        <v>0.1189597</v>
      </c>
      <c r="Z1283">
        <v>-6.5040940000000002E-3</v>
      </c>
      <c r="AA1283">
        <v>0.99287780000000003</v>
      </c>
      <c r="AB1283">
        <v>25</v>
      </c>
      <c r="AC1283">
        <v>0.76099999999999501</v>
      </c>
      <c r="AD1283">
        <v>-7.8583E-2</v>
      </c>
      <c r="AE1283">
        <v>-0.103700000000003</v>
      </c>
      <c r="AF1283">
        <v>0.108480527743124</v>
      </c>
      <c r="AG1283">
        <v>-7.8583E-2</v>
      </c>
      <c r="AH1283">
        <v>0.75229473011882997</v>
      </c>
      <c r="AI1283">
        <v>95.9027443962392</v>
      </c>
      <c r="AJ1283">
        <v>81.794538396543601</v>
      </c>
      <c r="AK1283">
        <v>0.76412739366743698</v>
      </c>
      <c r="AL1283">
        <v>72.5226776142528</v>
      </c>
      <c r="AM1283">
        <v>86.478016156292995</v>
      </c>
      <c r="AN1283">
        <v>1.0000000142798899</v>
      </c>
    </row>
    <row r="1284" spans="1:40" x14ac:dyDescent="0.25">
      <c r="A1284" t="str">
        <f>"20190304164842284"</f>
        <v>20190304164842284</v>
      </c>
      <c r="B1284" t="str">
        <f>"1551689322277160"</f>
        <v>1551689322277160</v>
      </c>
      <c r="C1284" t="s">
        <v>40</v>
      </c>
      <c r="D1284">
        <v>4.4626979999999996</v>
      </c>
      <c r="E1284">
        <v>0.5414504</v>
      </c>
      <c r="F1284" t="s">
        <v>41</v>
      </c>
      <c r="G1284">
        <v>-235.62530000000001</v>
      </c>
      <c r="H1284">
        <v>1.0444</v>
      </c>
      <c r="I1284">
        <v>367.57769999999999</v>
      </c>
      <c r="J1284">
        <v>-236.25069999999999</v>
      </c>
      <c r="K1284">
        <v>1.110689</v>
      </c>
      <c r="L1284">
        <v>367.666</v>
      </c>
      <c r="M1284">
        <v>0.99987289999999995</v>
      </c>
      <c r="N1284">
        <v>-1.390448E-2</v>
      </c>
      <c r="O1284">
        <v>7.8061600000000004E-3</v>
      </c>
      <c r="P1284">
        <v>0.95656819999999998</v>
      </c>
      <c r="Q1284">
        <v>0.28690789999999999</v>
      </c>
      <c r="R1284">
        <v>-5.1587729999999998E-2</v>
      </c>
      <c r="S1284">
        <v>3.1998440000000001</v>
      </c>
      <c r="T1284">
        <v>-0.27649940000000001</v>
      </c>
      <c r="U1284">
        <v>-0.3627319</v>
      </c>
      <c r="V1284">
        <v>5.903866E-2</v>
      </c>
      <c r="W1284">
        <v>0.30017729999999998</v>
      </c>
      <c r="X1284">
        <v>0.95205459999999997</v>
      </c>
      <c r="Y1284">
        <v>0.1198584</v>
      </c>
      <c r="Z1284">
        <v>-6.5534110000000003E-3</v>
      </c>
      <c r="AA1284">
        <v>0.99276940000000002</v>
      </c>
      <c r="AB1284">
        <v>25</v>
      </c>
      <c r="AC1284">
        <v>0.62539999999998397</v>
      </c>
      <c r="AD1284">
        <v>-6.6289000000000001E-2</v>
      </c>
      <c r="AE1284">
        <v>-8.8300000000003806E-2</v>
      </c>
      <c r="AF1284">
        <v>9.2164536693425197E-2</v>
      </c>
      <c r="AG1284">
        <v>-6.6289000000000001E-2</v>
      </c>
      <c r="AH1284">
        <v>0.61788542000677305</v>
      </c>
      <c r="AI1284">
        <v>96.056974463576907</v>
      </c>
      <c r="AJ1284">
        <v>81.516241772646893</v>
      </c>
      <c r="AK1284">
        <v>0.62822840241576094</v>
      </c>
      <c r="AL1284">
        <v>72.531746944491502</v>
      </c>
      <c r="AM1284">
        <v>86.451526998221695</v>
      </c>
      <c r="AN1284">
        <v>0.99999996809552205</v>
      </c>
    </row>
    <row r="1285" spans="1:40" x14ac:dyDescent="0.25">
      <c r="A1285" t="str">
        <f>"20190304164842295"</f>
        <v>20190304164842295</v>
      </c>
      <c r="B1285" t="str">
        <f>"1551689322286920"</f>
        <v>1551689322286920</v>
      </c>
      <c r="C1285" t="s">
        <v>40</v>
      </c>
      <c r="D1285">
        <v>4.4712440000000004</v>
      </c>
      <c r="E1285">
        <v>0.54147889999999999</v>
      </c>
      <c r="F1285" t="s">
        <v>41</v>
      </c>
      <c r="G1285">
        <v>-235.40199999999999</v>
      </c>
      <c r="H1285">
        <v>1.037582</v>
      </c>
      <c r="I1285">
        <v>367.56889999999999</v>
      </c>
      <c r="J1285">
        <v>-236.124</v>
      </c>
      <c r="K1285">
        <v>1.110689</v>
      </c>
      <c r="L1285">
        <v>367.66699999999997</v>
      </c>
      <c r="M1285">
        <v>0.9998726</v>
      </c>
      <c r="N1285">
        <v>-1.3903179999999999E-2</v>
      </c>
      <c r="O1285">
        <v>7.8315590000000001E-3</v>
      </c>
      <c r="P1285">
        <v>0.95663710000000002</v>
      </c>
      <c r="Q1285">
        <v>0.286643599999999</v>
      </c>
      <c r="R1285">
        <v>-5.1779449999999998E-2</v>
      </c>
      <c r="S1285">
        <v>3.1993100000000001</v>
      </c>
      <c r="T1285">
        <v>-0.27595930000000002</v>
      </c>
      <c r="U1285">
        <v>-0.364624</v>
      </c>
      <c r="V1285">
        <v>5.9255269999999999E-2</v>
      </c>
      <c r="W1285">
        <v>0.2999135</v>
      </c>
      <c r="X1285">
        <v>0.95212430000000003</v>
      </c>
      <c r="Y1285">
        <v>0.1204808</v>
      </c>
      <c r="Z1285">
        <v>-6.5756919999999898E-3</v>
      </c>
      <c r="AA1285">
        <v>0.99269390000000002</v>
      </c>
      <c r="AB1285">
        <v>25</v>
      </c>
      <c r="AC1285">
        <v>0.72200000000000797</v>
      </c>
      <c r="AD1285">
        <v>-7.3107000000000005E-2</v>
      </c>
      <c r="AE1285">
        <v>-9.8099999999988002E-2</v>
      </c>
      <c r="AF1285">
        <v>0.10271786542479799</v>
      </c>
      <c r="AG1285">
        <v>-7.3107000000000005E-2</v>
      </c>
      <c r="AH1285">
        <v>0.71402146777624798</v>
      </c>
      <c r="AI1285">
        <v>95.786847448335607</v>
      </c>
      <c r="AJ1285">
        <v>81.813694564151007</v>
      </c>
      <c r="AK1285">
        <v>0.72506706570618296</v>
      </c>
      <c r="AL1285">
        <v>72.547591985140699</v>
      </c>
      <c r="AM1285">
        <v>86.438801314779994</v>
      </c>
      <c r="AN1285">
        <v>0.99999998857775596</v>
      </c>
    </row>
    <row r="1286" spans="1:40" x14ac:dyDescent="0.25">
      <c r="A1286" t="str">
        <f>"20190304164842307"</f>
        <v>20190304164842307</v>
      </c>
      <c r="B1286" t="str">
        <f>"1551689322297656"</f>
        <v>1551689322297656</v>
      </c>
      <c r="C1286" t="s">
        <v>40</v>
      </c>
      <c r="D1286">
        <v>4.4529579999999997</v>
      </c>
      <c r="E1286">
        <v>0.54152049999999996</v>
      </c>
      <c r="F1286" t="s">
        <v>41</v>
      </c>
      <c r="G1286">
        <v>-235.1788</v>
      </c>
      <c r="H1286">
        <v>1.0291969999999999</v>
      </c>
      <c r="I1286">
        <v>367.55889999999999</v>
      </c>
      <c r="J1286">
        <v>-235.99100000000001</v>
      </c>
      <c r="K1286">
        <v>1.110689</v>
      </c>
      <c r="L1286">
        <v>367.66809999999998</v>
      </c>
      <c r="M1286">
        <v>0.9998726</v>
      </c>
      <c r="N1286">
        <v>-1.390182E-2</v>
      </c>
      <c r="O1286">
        <v>7.8582689999999993E-3</v>
      </c>
      <c r="P1286">
        <v>0.9565787</v>
      </c>
      <c r="Q1286">
        <v>0.28675460000000003</v>
      </c>
      <c r="R1286">
        <v>-5.2241179999999998E-2</v>
      </c>
      <c r="S1286">
        <v>3.1988829999999999</v>
      </c>
      <c r="T1286">
        <v>-0.27593030000000002</v>
      </c>
      <c r="U1286">
        <v>-0.36538700000000002</v>
      </c>
      <c r="V1286">
        <v>5.9742120000000003E-2</v>
      </c>
      <c r="W1286">
        <v>0.30002220000000002</v>
      </c>
      <c r="X1286">
        <v>0.95205960000000001</v>
      </c>
      <c r="Y1286">
        <v>0.1207548</v>
      </c>
      <c r="Z1286">
        <v>-6.5913069999999898E-3</v>
      </c>
      <c r="AA1286">
        <v>0.99266049999999995</v>
      </c>
      <c r="AB1286">
        <v>25</v>
      </c>
      <c r="AC1286">
        <v>0.81219999999999004</v>
      </c>
      <c r="AD1286">
        <v>-8.1492000000000106E-2</v>
      </c>
      <c r="AE1286">
        <v>-0.109199999999987</v>
      </c>
      <c r="AF1286">
        <v>0.11444802854163801</v>
      </c>
      <c r="AG1286">
        <v>-8.1492000000000106E-2</v>
      </c>
      <c r="AH1286">
        <v>0.80337268737103995</v>
      </c>
      <c r="AI1286">
        <v>95.734613317456393</v>
      </c>
      <c r="AJ1286">
        <v>81.892229472858602</v>
      </c>
      <c r="AK1286">
        <v>0.81556543092190603</v>
      </c>
      <c r="AL1286">
        <v>72.541062797759196</v>
      </c>
      <c r="AM1286">
        <v>86.409374852650799</v>
      </c>
      <c r="AN1286">
        <v>0.99999996167354599</v>
      </c>
    </row>
    <row r="1287" spans="1:40" x14ac:dyDescent="0.25">
      <c r="A1287" t="str">
        <f>"20190304164842319"</f>
        <v>20190304164842319</v>
      </c>
      <c r="B1287" t="str">
        <f>"1551689322307417"</f>
        <v>1551689322307417</v>
      </c>
      <c r="C1287" t="s">
        <v>40</v>
      </c>
      <c r="D1287">
        <v>4.5047470000000001</v>
      </c>
      <c r="E1287">
        <v>0.54157189999999999</v>
      </c>
      <c r="F1287" t="s">
        <v>41</v>
      </c>
      <c r="G1287">
        <v>-235.17359999999999</v>
      </c>
      <c r="H1287">
        <v>1.040524</v>
      </c>
      <c r="I1287">
        <v>367.57400000000001</v>
      </c>
      <c r="J1287">
        <v>-235.86600000000001</v>
      </c>
      <c r="K1287">
        <v>1.1106940000000001</v>
      </c>
      <c r="L1287">
        <v>367.66910000000001</v>
      </c>
      <c r="M1287">
        <v>0.99987239999999999</v>
      </c>
      <c r="N1287">
        <v>-1.3900549999999999E-2</v>
      </c>
      <c r="O1287">
        <v>7.8834290000000008E-3</v>
      </c>
      <c r="P1287">
        <v>0.95649039999999996</v>
      </c>
      <c r="Q1287">
        <v>0.28699960000000002</v>
      </c>
      <c r="R1287">
        <v>-5.2515239999999998E-2</v>
      </c>
      <c r="S1287">
        <v>3.1984249999999999</v>
      </c>
      <c r="T1287">
        <v>-0.2746789</v>
      </c>
      <c r="U1287">
        <v>-0.36752319999999999</v>
      </c>
      <c r="V1287">
        <v>6.0039599999999999E-2</v>
      </c>
      <c r="W1287">
        <v>0.30026419999999998</v>
      </c>
      <c r="X1287">
        <v>0.95196460000000005</v>
      </c>
      <c r="Y1287">
        <v>0.12145160000000001</v>
      </c>
      <c r="Z1287">
        <v>-6.6018459999999998E-3</v>
      </c>
      <c r="AA1287">
        <v>0.9925754</v>
      </c>
      <c r="AB1287">
        <v>25</v>
      </c>
      <c r="AC1287">
        <v>0.69239999999999202</v>
      </c>
      <c r="AD1287">
        <v>-7.0169999999999996E-2</v>
      </c>
      <c r="AE1287">
        <v>-9.51000000000021E-2</v>
      </c>
      <c r="AF1287">
        <v>9.9552540410327905E-2</v>
      </c>
      <c r="AG1287">
        <v>-7.0169999999999996E-2</v>
      </c>
      <c r="AH1287">
        <v>0.68472646230442202</v>
      </c>
      <c r="AI1287">
        <v>95.790718669873797</v>
      </c>
      <c r="AJ1287">
        <v>81.727715651165099</v>
      </c>
      <c r="AK1287">
        <v>0.69547456127602503</v>
      </c>
      <c r="AL1287">
        <v>72.526527212295903</v>
      </c>
      <c r="AM1287">
        <v>86.391183662480699</v>
      </c>
      <c r="AN1287">
        <v>0.99999997151147901</v>
      </c>
    </row>
    <row r="1288" spans="1:40" x14ac:dyDescent="0.25">
      <c r="A1288" t="str">
        <f>"20190304164842332"</f>
        <v>20190304164842332</v>
      </c>
      <c r="B1288" t="str">
        <f>"1551689322326936"</f>
        <v>1551689322326936</v>
      </c>
      <c r="C1288" t="s">
        <v>40</v>
      </c>
      <c r="D1288">
        <v>4.5951089999999999</v>
      </c>
      <c r="E1288">
        <v>0.54162109999999997</v>
      </c>
      <c r="F1288" t="s">
        <v>41</v>
      </c>
      <c r="G1288">
        <v>-234.95050000000001</v>
      </c>
      <c r="H1288">
        <v>1.0325530000000001</v>
      </c>
      <c r="I1288">
        <v>367.56319999999999</v>
      </c>
      <c r="J1288">
        <v>-235.70310000000001</v>
      </c>
      <c r="K1288">
        <v>1.1107020000000001</v>
      </c>
      <c r="L1288">
        <v>367.67039999999997</v>
      </c>
      <c r="M1288">
        <v>0.99987219999999999</v>
      </c>
      <c r="N1288">
        <v>-1.389893E-2</v>
      </c>
      <c r="O1288">
        <v>7.9162199999999999E-3</v>
      </c>
      <c r="P1288">
        <v>0.95633369999999995</v>
      </c>
      <c r="Q1288">
        <v>0.28746119999999997</v>
      </c>
      <c r="R1288">
        <v>-5.2844559999999999E-2</v>
      </c>
      <c r="S1288">
        <v>3.1982119999999998</v>
      </c>
      <c r="T1288">
        <v>-0.27326209999999901</v>
      </c>
      <c r="U1288">
        <v>-0.36874390000000001</v>
      </c>
      <c r="V1288">
        <v>6.039895E-2</v>
      </c>
      <c r="W1288">
        <v>0.3007222</v>
      </c>
      <c r="X1288">
        <v>0.95179729999999996</v>
      </c>
      <c r="Y1288">
        <v>0.1218688</v>
      </c>
      <c r="Z1288">
        <v>-6.5948789999999997E-3</v>
      </c>
      <c r="AA1288">
        <v>0.99252430000000003</v>
      </c>
      <c r="AB1288">
        <v>25</v>
      </c>
      <c r="AC1288">
        <v>0.75260000000000105</v>
      </c>
      <c r="AD1288">
        <v>-7.8148999999999996E-2</v>
      </c>
      <c r="AE1288">
        <v>-0.10719999999997699</v>
      </c>
      <c r="AF1288">
        <v>0.111971639469468</v>
      </c>
      <c r="AG1288">
        <v>-7.8148999999999996E-2</v>
      </c>
      <c r="AH1288">
        <v>0.74386648845699999</v>
      </c>
      <c r="AI1288">
        <v>95.931037537826299</v>
      </c>
      <c r="AJ1288">
        <v>81.439732704161401</v>
      </c>
      <c r="AK1288">
        <v>0.75629509247107296</v>
      </c>
      <c r="AL1288">
        <v>72.499014490695004</v>
      </c>
      <c r="AM1288">
        <v>86.369005297739804</v>
      </c>
      <c r="AN1288">
        <v>0.99999998751061603</v>
      </c>
    </row>
    <row r="1289" spans="1:40" x14ac:dyDescent="0.25">
      <c r="A1289" t="str">
        <f>"20190304164842347"</f>
        <v>20190304164842347</v>
      </c>
      <c r="B1289" t="str">
        <f>"1551689322337672"</f>
        <v>1551689322337672</v>
      </c>
      <c r="C1289" t="s">
        <v>40</v>
      </c>
      <c r="D1289">
        <v>4.6587550000000002</v>
      </c>
      <c r="E1289">
        <v>0.55932660000000001</v>
      </c>
      <c r="F1289" t="s">
        <v>41</v>
      </c>
      <c r="G1289">
        <v>-234.9425</v>
      </c>
      <c r="H1289">
        <v>1.0463469999999999</v>
      </c>
      <c r="I1289">
        <v>367.58210000000003</v>
      </c>
      <c r="J1289">
        <v>-235.54509999999999</v>
      </c>
      <c r="K1289">
        <v>1.110703</v>
      </c>
      <c r="L1289">
        <v>367.67169999999999</v>
      </c>
      <c r="M1289">
        <v>0.99987199999999998</v>
      </c>
      <c r="N1289">
        <v>-1.389731E-2</v>
      </c>
      <c r="O1289">
        <v>7.9479379999999999E-3</v>
      </c>
      <c r="P1289">
        <v>0.95594900000000005</v>
      </c>
      <c r="Q1289">
        <v>0.28854390000000002</v>
      </c>
      <c r="R1289">
        <v>-5.3889810000000003E-2</v>
      </c>
      <c r="S1289">
        <v>3.1979679999999999</v>
      </c>
      <c r="T1289">
        <v>-0.2709049</v>
      </c>
      <c r="U1289">
        <v>-0.36993409999999999</v>
      </c>
      <c r="V1289">
        <v>6.1471619999999998E-2</v>
      </c>
      <c r="W1289">
        <v>0.30179800000000001</v>
      </c>
      <c r="X1289">
        <v>0.95138809999999996</v>
      </c>
      <c r="Y1289">
        <v>0.12228020000000001</v>
      </c>
      <c r="Z1289">
        <v>-6.5672329999999996E-3</v>
      </c>
      <c r="AA1289">
        <v>0.99247390000000002</v>
      </c>
      <c r="AB1289">
        <v>25</v>
      </c>
      <c r="AC1289">
        <v>0.60259999999999503</v>
      </c>
      <c r="AD1289">
        <v>-6.4355999999999997E-2</v>
      </c>
      <c r="AE1289">
        <v>-8.9599999999961696E-2</v>
      </c>
      <c r="AF1289">
        <v>9.3345422860652394E-2</v>
      </c>
      <c r="AG1289">
        <v>-6.4355999999999997E-2</v>
      </c>
      <c r="AH1289">
        <v>0.59522666167696203</v>
      </c>
      <c r="AI1289">
        <v>96.096911951808096</v>
      </c>
      <c r="AJ1289">
        <v>81.087277548008799</v>
      </c>
      <c r="AK1289">
        <v>0.60592890793898802</v>
      </c>
      <c r="AL1289">
        <v>72.434373772265801</v>
      </c>
      <c r="AM1289">
        <v>86.303111903758904</v>
      </c>
      <c r="AN1289">
        <v>1.0000000548455099</v>
      </c>
    </row>
    <row r="1290" spans="1:40" x14ac:dyDescent="0.25">
      <c r="A1290" t="str">
        <f>"20190304164842369"</f>
        <v>20190304164842369</v>
      </c>
      <c r="B1290" t="str">
        <f>"1551689322357192"</f>
        <v>1551689322357192</v>
      </c>
      <c r="C1290" t="s">
        <v>40</v>
      </c>
      <c r="D1290">
        <v>4.5915369999999998</v>
      </c>
      <c r="E1290">
        <v>0.56881979999999999</v>
      </c>
      <c r="F1290" t="s">
        <v>42</v>
      </c>
      <c r="G1290">
        <v>-216.42429999999999</v>
      </c>
      <c r="H1290" s="1">
        <v>-2.5623579999999999E-6</v>
      </c>
      <c r="I1290">
        <v>364.50709999999998</v>
      </c>
      <c r="J1290">
        <v>-235.2946</v>
      </c>
      <c r="K1290">
        <v>1.110706</v>
      </c>
      <c r="L1290">
        <v>367.6737</v>
      </c>
      <c r="M1290">
        <v>0.99987159999999997</v>
      </c>
      <c r="N1290">
        <v>-1.3894709999999999E-2</v>
      </c>
      <c r="O1290">
        <v>7.9983169999999996E-3</v>
      </c>
      <c r="P1290">
        <v>0.95591349999999997</v>
      </c>
      <c r="Q1290">
        <v>0.2885065</v>
      </c>
      <c r="R1290">
        <v>-5.4714119999999998E-2</v>
      </c>
      <c r="S1290">
        <v>3.1641849999999998</v>
      </c>
      <c r="T1290">
        <v>-0.18380360000000001</v>
      </c>
      <c r="U1290">
        <v>-0.52368159999999997</v>
      </c>
      <c r="V1290">
        <v>6.2343780000000001E-2</v>
      </c>
      <c r="W1290">
        <v>0.30175750000000001</v>
      </c>
      <c r="X1290">
        <v>0.95134410000000003</v>
      </c>
      <c r="Y1290">
        <v>0.17081170000000001</v>
      </c>
      <c r="Z1290">
        <v>-6.4703750000000004E-3</v>
      </c>
      <c r="AA1290">
        <v>0.98528249999999995</v>
      </c>
      <c r="AB1290">
        <v>25</v>
      </c>
      <c r="AC1290">
        <v>18.8703</v>
      </c>
      <c r="AD1290">
        <v>-1.110708562358</v>
      </c>
      <c r="AE1290">
        <v>-3.1666000000000101</v>
      </c>
      <c r="AF1290">
        <v>3.30630287154972</v>
      </c>
      <c r="AG1290">
        <v>-1.110708562358</v>
      </c>
      <c r="AH1290">
        <v>18.781081098267201</v>
      </c>
      <c r="AI1290">
        <v>93.333375377525599</v>
      </c>
      <c r="AJ1290">
        <v>80.015707024324001</v>
      </c>
      <c r="AK1290">
        <v>19.102207186830601</v>
      </c>
      <c r="AL1290">
        <v>72.436806117928995</v>
      </c>
      <c r="AM1290">
        <v>86.250636065082404</v>
      </c>
      <c r="AN1290">
        <v>0.99999996615787301</v>
      </c>
    </row>
    <row r="1291" spans="1:40" x14ac:dyDescent="0.25">
      <c r="A1291" t="str">
        <f>"20190304164842380"</f>
        <v>20190304164842380</v>
      </c>
      <c r="B1291" t="str">
        <f>"1551689322377688"</f>
        <v>1551689322377688</v>
      </c>
      <c r="C1291" t="s">
        <v>40</v>
      </c>
      <c r="D1291">
        <v>4.5790709999999999</v>
      </c>
      <c r="E1291">
        <v>0.57298380000000004</v>
      </c>
      <c r="F1291" t="s">
        <v>42</v>
      </c>
      <c r="G1291">
        <v>-218.26249999999999</v>
      </c>
      <c r="H1291" s="1">
        <v>-1.9523170000000002E-6</v>
      </c>
      <c r="I1291">
        <v>364.44889999999998</v>
      </c>
      <c r="J1291">
        <v>-235.16800000000001</v>
      </c>
      <c r="K1291">
        <v>1.1107070000000001</v>
      </c>
      <c r="L1291">
        <v>367.6748</v>
      </c>
      <c r="M1291">
        <v>0.99987139999999997</v>
      </c>
      <c r="N1291">
        <v>-1.389339E-2</v>
      </c>
      <c r="O1291">
        <v>8.023835E-3</v>
      </c>
      <c r="P1291">
        <v>0.9558856</v>
      </c>
      <c r="Q1291">
        <v>0.28852899999999998</v>
      </c>
      <c r="R1291">
        <v>-5.50818E-2</v>
      </c>
      <c r="S1291">
        <v>3.1663510000000001</v>
      </c>
      <c r="T1291">
        <v>-0.2064849</v>
      </c>
      <c r="U1291">
        <v>-0.59951779999999999</v>
      </c>
      <c r="V1291">
        <v>6.2735719999999995E-2</v>
      </c>
      <c r="W1291">
        <v>0.30177799999999999</v>
      </c>
      <c r="X1291">
        <v>0.95131189999999999</v>
      </c>
      <c r="Y1291">
        <v>0.19341939999999999</v>
      </c>
      <c r="Z1291">
        <v>-8.0096799999999999E-3</v>
      </c>
      <c r="AA1291">
        <v>0.9810835</v>
      </c>
      <c r="AB1291">
        <v>25</v>
      </c>
      <c r="AC1291">
        <v>16.9055</v>
      </c>
      <c r="AD1291">
        <v>-1.110708952317</v>
      </c>
      <c r="AE1291">
        <v>-3.2259000000000202</v>
      </c>
      <c r="AF1291">
        <v>3.3475138547963499</v>
      </c>
      <c r="AG1291">
        <v>-1.110708952317</v>
      </c>
      <c r="AH1291">
        <v>16.809059842698201</v>
      </c>
      <c r="AI1291">
        <v>93.707890017258606</v>
      </c>
      <c r="AJ1291">
        <v>78.736937592349705</v>
      </c>
      <c r="AK1291">
        <v>17.175098724031301</v>
      </c>
      <c r="AL1291">
        <v>72.435575304909605</v>
      </c>
      <c r="AM1291">
        <v>86.227005269167904</v>
      </c>
      <c r="AN1291">
        <v>1.0000000314647599</v>
      </c>
    </row>
    <row r="1292" spans="1:40" x14ac:dyDescent="0.25">
      <c r="A1292" t="str">
        <f>"20190304164842391"</f>
        <v>20190304164842391</v>
      </c>
      <c r="B1292" t="str">
        <f>"1551689322387448"</f>
        <v>1551689322387448</v>
      </c>
      <c r="C1292" t="s">
        <v>40</v>
      </c>
      <c r="D1292">
        <v>4.6166999999999998</v>
      </c>
      <c r="E1292">
        <v>0.57361430000000002</v>
      </c>
      <c r="F1292" t="s">
        <v>42</v>
      </c>
      <c r="G1292">
        <v>-218.38820000000001</v>
      </c>
      <c r="H1292" s="1">
        <v>-1.9452719999999999E-6</v>
      </c>
      <c r="I1292">
        <v>364.31459999999998</v>
      </c>
      <c r="J1292">
        <v>-235.0377</v>
      </c>
      <c r="K1292">
        <v>1.1107119999999999</v>
      </c>
      <c r="L1292">
        <v>367.67579999999998</v>
      </c>
      <c r="M1292">
        <v>0.99987110000000001</v>
      </c>
      <c r="N1292">
        <v>-1.389202E-2</v>
      </c>
      <c r="O1292">
        <v>8.050247E-3</v>
      </c>
      <c r="P1292">
        <v>0.95565409999999995</v>
      </c>
      <c r="Q1292">
        <v>0.2892497</v>
      </c>
      <c r="R1292">
        <v>-5.5317480000000002E-2</v>
      </c>
      <c r="S1292">
        <v>3.1651760000000002</v>
      </c>
      <c r="T1292">
        <v>-0.20951130000000001</v>
      </c>
      <c r="U1292">
        <v>-0.63381960000000004</v>
      </c>
      <c r="V1292">
        <v>6.2994519999999998E-2</v>
      </c>
      <c r="W1292">
        <v>0.30249429999999999</v>
      </c>
      <c r="X1292">
        <v>0.9510672</v>
      </c>
      <c r="Y1292">
        <v>0.20370530000000001</v>
      </c>
      <c r="Z1292">
        <v>-8.5158149999999995E-3</v>
      </c>
      <c r="AA1292">
        <v>0.97899519999999995</v>
      </c>
      <c r="AB1292">
        <v>25</v>
      </c>
      <c r="AC1292">
        <v>16.6494999999999</v>
      </c>
      <c r="AD1292">
        <v>-1.1107139452720001</v>
      </c>
      <c r="AE1292">
        <v>-3.36119999999999</v>
      </c>
      <c r="AF1292">
        <v>3.48025448115561</v>
      </c>
      <c r="AG1292">
        <v>-1.1107139452720001</v>
      </c>
      <c r="AH1292">
        <v>16.551124131999</v>
      </c>
      <c r="AI1292">
        <v>93.757329431120894</v>
      </c>
      <c r="AJ1292">
        <v>78.125240763901701</v>
      </c>
      <c r="AK1292">
        <v>16.9495004868776</v>
      </c>
      <c r="AL1292">
        <v>72.392521035497893</v>
      </c>
      <c r="AM1292">
        <v>86.210514082098996</v>
      </c>
      <c r="AN1292">
        <v>0.99999996499917898</v>
      </c>
    </row>
    <row r="1293" spans="1:40" x14ac:dyDescent="0.25">
      <c r="A1293" t="str">
        <f>"20190304164842403"</f>
        <v>20190304164842403</v>
      </c>
      <c r="B1293" t="str">
        <f>"1551689322397208"</f>
        <v>1551689322397208</v>
      </c>
      <c r="C1293" t="s">
        <v>40</v>
      </c>
      <c r="D1293">
        <v>4.6413609999999998</v>
      </c>
      <c r="E1293">
        <v>0.57406800000000002</v>
      </c>
      <c r="F1293" t="s">
        <v>42</v>
      </c>
      <c r="G1293">
        <v>-219.0471</v>
      </c>
      <c r="H1293" s="1">
        <v>-1.683415E-6</v>
      </c>
      <c r="I1293">
        <v>364.45589999999999</v>
      </c>
      <c r="J1293">
        <v>-234.91050000000001</v>
      </c>
      <c r="K1293">
        <v>1.110717</v>
      </c>
      <c r="L1293">
        <v>367.67689999999999</v>
      </c>
      <c r="M1293">
        <v>0.99987099999999995</v>
      </c>
      <c r="N1293">
        <v>-1.3890690000000001E-2</v>
      </c>
      <c r="O1293">
        <v>8.0759439999999998E-3</v>
      </c>
      <c r="P1293">
        <v>0.95529710000000001</v>
      </c>
      <c r="Q1293">
        <v>0.29032639999999998</v>
      </c>
      <c r="R1293">
        <v>-5.584008E-2</v>
      </c>
      <c r="S1293">
        <v>3.1688999999999998</v>
      </c>
      <c r="T1293">
        <v>-0.22011230000000001</v>
      </c>
      <c r="U1293">
        <v>-0.63809199999999999</v>
      </c>
      <c r="V1293">
        <v>6.3538999999999998E-2</v>
      </c>
      <c r="W1293">
        <v>0.30356450000000001</v>
      </c>
      <c r="X1293">
        <v>0.95069000000000004</v>
      </c>
      <c r="Y1293">
        <v>0.20472570000000001</v>
      </c>
      <c r="Z1293">
        <v>-8.913242E-3</v>
      </c>
      <c r="AA1293">
        <v>0.97877879999999995</v>
      </c>
      <c r="AB1293">
        <v>25</v>
      </c>
      <c r="AC1293">
        <v>15.8634</v>
      </c>
      <c r="AD1293">
        <v>-1.110718683415</v>
      </c>
      <c r="AE1293">
        <v>-3.2210000000000001</v>
      </c>
      <c r="AF1293">
        <v>3.3333247178929302</v>
      </c>
      <c r="AG1293">
        <v>-1.110718683415</v>
      </c>
      <c r="AH1293">
        <v>15.762651179431799</v>
      </c>
      <c r="AI1293">
        <v>93.943764496843798</v>
      </c>
      <c r="AJ1293">
        <v>78.059588290282605</v>
      </c>
      <c r="AK1293">
        <v>16.1494867371396</v>
      </c>
      <c r="AL1293">
        <v>72.328179168176007</v>
      </c>
      <c r="AM1293">
        <v>86.176345128426803</v>
      </c>
      <c r="AN1293">
        <v>1.00000004314062</v>
      </c>
    </row>
    <row r="1294" spans="1:40" x14ac:dyDescent="0.25">
      <c r="A1294" t="str">
        <f>"20190304164842413"</f>
        <v>20190304164842413</v>
      </c>
      <c r="B1294" t="str">
        <f>"1551689322406968"</f>
        <v>1551689322406968</v>
      </c>
      <c r="C1294" t="s">
        <v>40</v>
      </c>
      <c r="D1294">
        <v>4.8182390000000002</v>
      </c>
      <c r="E1294">
        <v>0.5734669</v>
      </c>
      <c r="F1294" t="s">
        <v>42</v>
      </c>
      <c r="G1294">
        <v>-219.3972</v>
      </c>
      <c r="H1294" s="1">
        <v>-1.54312E-6</v>
      </c>
      <c r="I1294">
        <v>364.53550000000001</v>
      </c>
      <c r="J1294">
        <v>-234.78059999999999</v>
      </c>
      <c r="K1294">
        <v>1.1107229999999999</v>
      </c>
      <c r="L1294">
        <v>367.67790000000002</v>
      </c>
      <c r="M1294">
        <v>0.99987079999999995</v>
      </c>
      <c r="N1294">
        <v>-1.388933E-2</v>
      </c>
      <c r="O1294">
        <v>8.1021189999999996E-3</v>
      </c>
      <c r="P1294">
        <v>0.95497920000000003</v>
      </c>
      <c r="Q1294">
        <v>0.29126639999999998</v>
      </c>
      <c r="R1294">
        <v>-5.6380130000000001E-2</v>
      </c>
      <c r="S1294">
        <v>3.171875</v>
      </c>
      <c r="T1294">
        <v>-0.22709889999999999</v>
      </c>
      <c r="U1294">
        <v>-0.64230350000000003</v>
      </c>
      <c r="V1294">
        <v>6.4101309999999995E-2</v>
      </c>
      <c r="W1294">
        <v>0.3044984</v>
      </c>
      <c r="X1294">
        <v>0.95035349999999996</v>
      </c>
      <c r="Y1294">
        <v>0.20578560000000001</v>
      </c>
      <c r="Z1294">
        <v>-9.1918680000000006E-3</v>
      </c>
      <c r="AA1294">
        <v>0.97855400000000003</v>
      </c>
      <c r="AB1294">
        <v>25</v>
      </c>
      <c r="AC1294">
        <v>15.3833999999999</v>
      </c>
      <c r="AD1294">
        <v>-1.1107245431199999</v>
      </c>
      <c r="AE1294">
        <v>-3.1423999999999999</v>
      </c>
      <c r="AF1294">
        <v>3.2506792111547398</v>
      </c>
      <c r="AG1294">
        <v>-1.1107245431199999</v>
      </c>
      <c r="AH1294">
        <v>15.280960020668401</v>
      </c>
      <c r="AI1294">
        <v>94.066656808673798</v>
      </c>
      <c r="AJ1294">
        <v>77.9906339971497</v>
      </c>
      <c r="AK1294">
        <v>15.6623230555939</v>
      </c>
      <c r="AL1294">
        <v>72.272011258628396</v>
      </c>
      <c r="AM1294">
        <v>86.1412464104191</v>
      </c>
      <c r="AN1294">
        <v>1.00000001425426</v>
      </c>
    </row>
    <row r="1295" spans="1:40" x14ac:dyDescent="0.25">
      <c r="A1295" t="str">
        <f>"20190304164842425"</f>
        <v>20190304164842425</v>
      </c>
      <c r="B1295" t="str">
        <f>"1551689322417704"</f>
        <v>1551689322417704</v>
      </c>
      <c r="C1295" t="s">
        <v>40</v>
      </c>
      <c r="D1295">
        <v>4.6926880000000004</v>
      </c>
      <c r="E1295">
        <v>0.57332179999999999</v>
      </c>
      <c r="F1295" t="s">
        <v>42</v>
      </c>
      <c r="G1295">
        <v>-219.60249999999999</v>
      </c>
      <c r="H1295" s="1">
        <v>-1.450318E-6</v>
      </c>
      <c r="I1295">
        <v>364.62169999999998</v>
      </c>
      <c r="J1295">
        <v>-234.6584</v>
      </c>
      <c r="K1295">
        <v>1.110727</v>
      </c>
      <c r="L1295">
        <v>367.67899999999997</v>
      </c>
      <c r="M1295">
        <v>0.99987060000000005</v>
      </c>
      <c r="N1295">
        <v>-1.3888040000000001E-2</v>
      </c>
      <c r="O1295">
        <v>8.1266229999999995E-3</v>
      </c>
      <c r="P1295">
        <v>0.95469789999999999</v>
      </c>
      <c r="Q1295">
        <v>0.29212700000000003</v>
      </c>
      <c r="R1295">
        <v>-5.669072E-2</v>
      </c>
      <c r="S1295">
        <v>3.1745610000000002</v>
      </c>
      <c r="T1295">
        <v>-0.23231080000000001</v>
      </c>
      <c r="U1295">
        <v>-0.63922119999999905</v>
      </c>
      <c r="V1295">
        <v>6.443314E-2</v>
      </c>
      <c r="W1295">
        <v>0.30535449999999997</v>
      </c>
      <c r="X1295">
        <v>0.95005629999999996</v>
      </c>
      <c r="Y1295">
        <v>0.20471310000000001</v>
      </c>
      <c r="Z1295">
        <v>-9.3207450000000001E-3</v>
      </c>
      <c r="AA1295">
        <v>0.97877760000000003</v>
      </c>
      <c r="AB1295">
        <v>25</v>
      </c>
      <c r="AC1295">
        <v>15.055899999999999</v>
      </c>
      <c r="AD1295">
        <v>-1.1107284503179999</v>
      </c>
      <c r="AE1295">
        <v>-3.0573000000000499</v>
      </c>
      <c r="AF1295">
        <v>3.1630312292057101</v>
      </c>
      <c r="AG1295">
        <v>-1.1107284503179999</v>
      </c>
      <c r="AH1295">
        <v>14.952398409299599</v>
      </c>
      <c r="AI1295">
        <v>94.156719996208395</v>
      </c>
      <c r="AJ1295">
        <v>78.055735249890503</v>
      </c>
      <c r="AK1295">
        <v>15.323599526145999</v>
      </c>
      <c r="AL1295">
        <v>72.220507014877896</v>
      </c>
      <c r="AM1295">
        <v>86.120122178066197</v>
      </c>
      <c r="AN1295">
        <v>0.99999998668509904</v>
      </c>
    </row>
    <row r="1296" spans="1:40" x14ac:dyDescent="0.25">
      <c r="A1296" t="str">
        <f>"20190304164842437"</f>
        <v>20190304164842437</v>
      </c>
      <c r="B1296" t="str">
        <f>"1551689322427464"</f>
        <v>1551689322427464</v>
      </c>
      <c r="C1296" t="s">
        <v>40</v>
      </c>
      <c r="D1296">
        <v>4.6891350000000003</v>
      </c>
      <c r="E1296">
        <v>0.57318849999999999</v>
      </c>
      <c r="F1296" t="s">
        <v>42</v>
      </c>
      <c r="G1296">
        <v>-219.68799999999999</v>
      </c>
      <c r="H1296" s="1">
        <v>-1.408647E-6</v>
      </c>
      <c r="I1296">
        <v>364.66890000000001</v>
      </c>
      <c r="J1296">
        <v>-234.5283</v>
      </c>
      <c r="K1296">
        <v>1.1107290000000001</v>
      </c>
      <c r="L1296">
        <v>367.68009999999998</v>
      </c>
      <c r="M1296">
        <v>0.99987040000000005</v>
      </c>
      <c r="N1296">
        <v>-1.388668E-2</v>
      </c>
      <c r="O1296">
        <v>8.152678E-3</v>
      </c>
      <c r="P1296">
        <v>0.95446180000000003</v>
      </c>
      <c r="Q1296">
        <v>0.29279119999999997</v>
      </c>
      <c r="R1296">
        <v>-5.7239070000000003E-2</v>
      </c>
      <c r="S1296">
        <v>3.1765439999999998</v>
      </c>
      <c r="T1296">
        <v>-0.23568330000000001</v>
      </c>
      <c r="U1296">
        <v>-0.6387024</v>
      </c>
      <c r="V1296">
        <v>6.5004240000000005E-2</v>
      </c>
      <c r="W1296">
        <v>0.3060137</v>
      </c>
      <c r="X1296">
        <v>0.94980529999999996</v>
      </c>
      <c r="Y1296">
        <v>0.20445079999999999</v>
      </c>
      <c r="Z1296">
        <v>-9.4216500000000002E-3</v>
      </c>
      <c r="AA1296">
        <v>0.97883149999999997</v>
      </c>
      <c r="AB1296">
        <v>25</v>
      </c>
      <c r="AC1296">
        <v>14.840299999999999</v>
      </c>
      <c r="AD1296">
        <v>-1.110730408647</v>
      </c>
      <c r="AE1296">
        <v>-3.0111999999999699</v>
      </c>
      <c r="AF1296">
        <v>3.1153381730690501</v>
      </c>
      <c r="AG1296">
        <v>-1.110730408647</v>
      </c>
      <c r="AH1296">
        <v>14.735970451621901</v>
      </c>
      <c r="AI1296">
        <v>94.217668910102205</v>
      </c>
      <c r="AJ1296">
        <v>78.062843256376098</v>
      </c>
      <c r="AK1296">
        <v>15.102578558787499</v>
      </c>
      <c r="AL1296">
        <v>72.180839486243997</v>
      </c>
      <c r="AM1296">
        <v>86.084808339432499</v>
      </c>
      <c r="AN1296">
        <v>1.0000000218568701</v>
      </c>
    </row>
    <row r="1297" spans="1:40" x14ac:dyDescent="0.25">
      <c r="A1297" t="str">
        <f>"20190304164842448"</f>
        <v>20190304164842448</v>
      </c>
      <c r="B1297" t="str">
        <f>"1551689322437225"</f>
        <v>1551689322437225</v>
      </c>
      <c r="C1297" t="s">
        <v>40</v>
      </c>
      <c r="D1297">
        <v>4.6868840000000001</v>
      </c>
      <c r="E1297">
        <v>0.57307169999999996</v>
      </c>
      <c r="F1297" t="s">
        <v>42</v>
      </c>
      <c r="G1297">
        <v>-219.81890000000001</v>
      </c>
      <c r="H1297" s="1">
        <v>-1.349419E-6</v>
      </c>
      <c r="I1297">
        <v>364.72410000000002</v>
      </c>
      <c r="J1297">
        <v>-234.39709999999999</v>
      </c>
      <c r="K1297">
        <v>1.110735</v>
      </c>
      <c r="L1297">
        <v>367.68119999999999</v>
      </c>
      <c r="M1297">
        <v>0.99987020000000004</v>
      </c>
      <c r="N1297">
        <v>-1.3885299999999901E-2</v>
      </c>
      <c r="O1297">
        <v>8.1790300000000003E-3</v>
      </c>
      <c r="P1297">
        <v>0.95427189999999995</v>
      </c>
      <c r="Q1297">
        <v>0.293323</v>
      </c>
      <c r="R1297">
        <v>-5.7681830000000003E-2</v>
      </c>
      <c r="S1297">
        <v>3.1784520000000001</v>
      </c>
      <c r="T1297">
        <v>-0.24000930000000001</v>
      </c>
      <c r="U1297">
        <v>-0.63873290000000005</v>
      </c>
      <c r="V1297">
        <v>6.5470529999999999E-2</v>
      </c>
      <c r="W1297">
        <v>0.30654169999999997</v>
      </c>
      <c r="X1297">
        <v>0.94960299999999997</v>
      </c>
      <c r="Y1297">
        <v>0.20435059999999999</v>
      </c>
      <c r="Z1297">
        <v>-9.562124E-3</v>
      </c>
      <c r="AA1297">
        <v>0.97885109999999997</v>
      </c>
      <c r="AB1297">
        <v>25</v>
      </c>
      <c r="AC1297">
        <v>14.578199999999899</v>
      </c>
      <c r="AD1297">
        <v>-1.1107363494189999</v>
      </c>
      <c r="AE1297">
        <v>-2.9570999999999601</v>
      </c>
      <c r="AF1297">
        <v>3.0591908353006798</v>
      </c>
      <c r="AG1297">
        <v>-1.1107363494189999</v>
      </c>
      <c r="AH1297">
        <v>14.472826994592401</v>
      </c>
      <c r="AI1297">
        <v>94.294123597483804</v>
      </c>
      <c r="AJ1297">
        <v>78.0647988735045</v>
      </c>
      <c r="AK1297">
        <v>14.8342544477338</v>
      </c>
      <c r="AL1297">
        <v>72.149060232542595</v>
      </c>
      <c r="AM1297">
        <v>86.055974681581702</v>
      </c>
      <c r="AN1297">
        <v>1.00000003087318</v>
      </c>
    </row>
    <row r="1298" spans="1:40" x14ac:dyDescent="0.25">
      <c r="A1298" t="str">
        <f>"20190304164842459"</f>
        <v>20190304164842459</v>
      </c>
      <c r="B1298" t="str">
        <f>"1551689322446984"</f>
        <v>1551689322446984</v>
      </c>
      <c r="C1298" t="s">
        <v>40</v>
      </c>
      <c r="D1298">
        <v>4.679576</v>
      </c>
      <c r="E1298">
        <v>0.57297330000000002</v>
      </c>
      <c r="F1298" t="s">
        <v>42</v>
      </c>
      <c r="G1298">
        <v>-219.93100000000001</v>
      </c>
      <c r="H1298" s="1">
        <v>-1.297989E-6</v>
      </c>
      <c r="I1298">
        <v>364.774</v>
      </c>
      <c r="J1298">
        <v>-234.27359999999999</v>
      </c>
      <c r="K1298">
        <v>1.110735</v>
      </c>
      <c r="L1298">
        <v>367.68220000000002</v>
      </c>
      <c r="M1298">
        <v>0.99987000000000004</v>
      </c>
      <c r="N1298">
        <v>-1.3884000000000001E-2</v>
      </c>
      <c r="O1298">
        <v>8.2038930000000003E-3</v>
      </c>
      <c r="P1298">
        <v>0.9542117</v>
      </c>
      <c r="Q1298">
        <v>0.29343950000000002</v>
      </c>
      <c r="R1298">
        <v>-5.8083780000000002E-2</v>
      </c>
      <c r="S1298">
        <v>3.1802060000000001</v>
      </c>
      <c r="T1298">
        <v>-0.24418129999999999</v>
      </c>
      <c r="U1298">
        <v>-0.63909910000000003</v>
      </c>
      <c r="V1298">
        <v>6.5895889999999999E-2</v>
      </c>
      <c r="W1298">
        <v>0.30665559999999997</v>
      </c>
      <c r="X1298">
        <v>0.94953679999999996</v>
      </c>
      <c r="Y1298">
        <v>0.2043575</v>
      </c>
      <c r="Z1298">
        <v>-9.7021369999999996E-3</v>
      </c>
      <c r="AA1298">
        <v>0.97884819999999995</v>
      </c>
      <c r="AB1298">
        <v>25</v>
      </c>
      <c r="AC1298">
        <v>14.342599999999999</v>
      </c>
      <c r="AD1298">
        <v>-1.1107362979889901</v>
      </c>
      <c r="AE1298">
        <v>-2.9082000000000199</v>
      </c>
      <c r="AF1298">
        <v>3.0084481386255</v>
      </c>
      <c r="AG1298">
        <v>-1.1107362979889901</v>
      </c>
      <c r="AH1298">
        <v>14.2362470518908</v>
      </c>
      <c r="AI1298">
        <v>94.3652556221342</v>
      </c>
      <c r="AJ1298">
        <v>78.067633042340503</v>
      </c>
      <c r="AK1298">
        <v>14.592985487861601</v>
      </c>
      <c r="AL1298">
        <v>72.142204024510207</v>
      </c>
      <c r="AM1298">
        <v>86.0301562610193</v>
      </c>
      <c r="AN1298">
        <v>1.00000002994224</v>
      </c>
    </row>
    <row r="1299" spans="1:40" x14ac:dyDescent="0.25">
      <c r="A1299" t="str">
        <f>"20190304164842470"</f>
        <v>20190304164842470</v>
      </c>
      <c r="B1299" t="str">
        <f>"1551689322467480"</f>
        <v>1551689322467480</v>
      </c>
      <c r="C1299" t="s">
        <v>40</v>
      </c>
      <c r="D1299">
        <v>4.7895099999999999</v>
      </c>
      <c r="E1299">
        <v>0.57256479999999998</v>
      </c>
      <c r="F1299" t="s">
        <v>42</v>
      </c>
      <c r="G1299">
        <v>-220.03579999999999</v>
      </c>
      <c r="H1299" s="1">
        <v>-5.1070999999999998E-6</v>
      </c>
      <c r="I1299">
        <v>364.82350000000002</v>
      </c>
      <c r="J1299">
        <v>-234.1489</v>
      </c>
      <c r="K1299">
        <v>1.1107340000000001</v>
      </c>
      <c r="L1299">
        <v>367.68329999999997</v>
      </c>
      <c r="M1299">
        <v>0.99986980000000003</v>
      </c>
      <c r="N1299">
        <v>-1.38827E-2</v>
      </c>
      <c r="O1299">
        <v>8.2291120000000002E-3</v>
      </c>
      <c r="P1299">
        <v>0.95416559999999995</v>
      </c>
      <c r="Q1299">
        <v>0.29350599999999999</v>
      </c>
      <c r="R1299">
        <v>-5.8499570000000001E-2</v>
      </c>
      <c r="S1299">
        <v>3.1813959999999999</v>
      </c>
      <c r="T1299">
        <v>-0.24818999999999999</v>
      </c>
      <c r="U1299">
        <v>-0.63876339999999998</v>
      </c>
      <c r="V1299">
        <v>6.6335430000000001E-2</v>
      </c>
      <c r="W1299">
        <v>0.3067204</v>
      </c>
      <c r="X1299">
        <v>0.94948520000000003</v>
      </c>
      <c r="Y1299">
        <v>0.2041916</v>
      </c>
      <c r="Z1299">
        <v>-9.830241E-3</v>
      </c>
      <c r="AA1299">
        <v>0.97888160000000002</v>
      </c>
      <c r="AB1299">
        <v>25</v>
      </c>
      <c r="AC1299">
        <v>14.113099999999999</v>
      </c>
      <c r="AD1299">
        <v>-1.1107391070999999</v>
      </c>
      <c r="AE1299">
        <v>-2.8597999999999399</v>
      </c>
      <c r="AF1299">
        <v>2.9582515791583401</v>
      </c>
      <c r="AG1299">
        <v>-1.1107391070999999</v>
      </c>
      <c r="AH1299">
        <v>14.005754556403</v>
      </c>
      <c r="AI1299">
        <v>94.436916173535906</v>
      </c>
      <c r="AJ1299">
        <v>78.073460820368595</v>
      </c>
      <c r="AK1299">
        <v>14.3577907236398</v>
      </c>
      <c r="AL1299">
        <v>72.138302157133495</v>
      </c>
      <c r="AM1299">
        <v>86.003545573399805</v>
      </c>
      <c r="AN1299">
        <v>0.99999996903424204</v>
      </c>
    </row>
    <row r="1300" spans="1:40" x14ac:dyDescent="0.25">
      <c r="A1300" t="str">
        <f>"20190304164842481"</f>
        <v>20190304164842481</v>
      </c>
      <c r="B1300" t="str">
        <f>"1551689322477241"</f>
        <v>1551689322477241</v>
      </c>
      <c r="C1300" t="s">
        <v>40</v>
      </c>
      <c r="D1300">
        <v>4.8031449999999998</v>
      </c>
      <c r="E1300">
        <v>0.57234259999999904</v>
      </c>
      <c r="F1300" t="s">
        <v>42</v>
      </c>
      <c r="G1300">
        <v>-220.3194</v>
      </c>
      <c r="H1300" s="1">
        <v>-4.9682670000000001E-6</v>
      </c>
      <c r="I1300">
        <v>364.9203</v>
      </c>
      <c r="J1300">
        <v>-234.03020000000001</v>
      </c>
      <c r="K1300">
        <v>1.1107309999999999</v>
      </c>
      <c r="L1300">
        <v>367.68430000000001</v>
      </c>
      <c r="M1300">
        <v>0.99986969999999997</v>
      </c>
      <c r="N1300">
        <v>-1.388145E-2</v>
      </c>
      <c r="O1300">
        <v>8.2530780000000005E-3</v>
      </c>
      <c r="P1300">
        <v>0.9542311</v>
      </c>
      <c r="Q1300">
        <v>0.29323379999999999</v>
      </c>
      <c r="R1300">
        <v>-5.8797149999999999E-2</v>
      </c>
      <c r="S1300">
        <v>3.1837770000000001</v>
      </c>
      <c r="T1300">
        <v>-0.25570890000000002</v>
      </c>
      <c r="U1300">
        <v>-0.63607789999999997</v>
      </c>
      <c r="V1300">
        <v>6.6656530000000005E-2</v>
      </c>
      <c r="W1300">
        <v>0.30644769999999999</v>
      </c>
      <c r="X1300">
        <v>0.94955080000000003</v>
      </c>
      <c r="Y1300">
        <v>0.20324300000000001</v>
      </c>
      <c r="Z1300">
        <v>-1.003867E-2</v>
      </c>
      <c r="AA1300">
        <v>0.97907690000000003</v>
      </c>
      <c r="AB1300">
        <v>25</v>
      </c>
      <c r="AC1300">
        <v>13.710800000000001</v>
      </c>
      <c r="AD1300">
        <v>-1.1107359682669999</v>
      </c>
      <c r="AE1300">
        <v>-2.7639999999999998</v>
      </c>
      <c r="AF1300">
        <v>2.85904218848464</v>
      </c>
      <c r="AG1300">
        <v>-1.1107359682669999</v>
      </c>
      <c r="AH1300">
        <v>13.601738451709799</v>
      </c>
      <c r="AI1300">
        <v>94.569080639315999</v>
      </c>
      <c r="AJ1300">
        <v>78.129420581403494</v>
      </c>
      <c r="AK1300">
        <v>13.9432831691628</v>
      </c>
      <c r="AL1300">
        <v>72.154717848008104</v>
      </c>
      <c r="AM1300">
        <v>85.984540193241799</v>
      </c>
      <c r="AN1300">
        <v>1.00000000380378</v>
      </c>
    </row>
    <row r="1301" spans="1:40" x14ac:dyDescent="0.25">
      <c r="A1301" t="str">
        <f>"20190304164842492"</f>
        <v>20190304164842492</v>
      </c>
      <c r="B1301" t="str">
        <f>"1551689322487000"</f>
        <v>1551689322487000</v>
      </c>
      <c r="C1301" t="s">
        <v>40</v>
      </c>
      <c r="D1301">
        <v>4.8108969999999998</v>
      </c>
      <c r="E1301">
        <v>0.57217510000000005</v>
      </c>
      <c r="F1301" t="s">
        <v>42</v>
      </c>
      <c r="G1301">
        <v>-220.5213</v>
      </c>
      <c r="H1301" s="1">
        <v>-4.8687810000000004E-6</v>
      </c>
      <c r="I1301">
        <v>364.99279999999999</v>
      </c>
      <c r="J1301">
        <v>-233.90440000000001</v>
      </c>
      <c r="K1301">
        <v>1.11073</v>
      </c>
      <c r="L1301">
        <v>367.68529999999998</v>
      </c>
      <c r="M1301">
        <v>0.99986940000000002</v>
      </c>
      <c r="N1301">
        <v>-1.3880129999999999E-2</v>
      </c>
      <c r="O1301">
        <v>8.2787720000000002E-3</v>
      </c>
      <c r="P1301">
        <v>0.95429569999999997</v>
      </c>
      <c r="Q1301">
        <v>0.29294100000000001</v>
      </c>
      <c r="R1301">
        <v>-5.920603E-2</v>
      </c>
      <c r="S1301">
        <v>3.185257</v>
      </c>
      <c r="T1301">
        <v>-0.26189960000000001</v>
      </c>
      <c r="U1301">
        <v>-0.63461299999999998</v>
      </c>
      <c r="V1301">
        <v>6.7090579999999997E-2</v>
      </c>
      <c r="W1301">
        <v>0.3061545</v>
      </c>
      <c r="X1301">
        <v>0.94961479999999998</v>
      </c>
      <c r="Y1301">
        <v>0.2027157</v>
      </c>
      <c r="Z1301">
        <v>-1.022207E-2</v>
      </c>
      <c r="AA1301">
        <v>0.97918430000000001</v>
      </c>
      <c r="AB1301">
        <v>25</v>
      </c>
      <c r="AC1301">
        <v>13.383100000000001</v>
      </c>
      <c r="AD1301">
        <v>-1.1107348687809999</v>
      </c>
      <c r="AE1301">
        <v>-2.6924999999999901</v>
      </c>
      <c r="AF1301">
        <v>2.7847780536521398</v>
      </c>
      <c r="AG1301">
        <v>-1.1107348687809999</v>
      </c>
      <c r="AH1301">
        <v>13.272481212452099</v>
      </c>
      <c r="AI1301">
        <v>94.682282805261806</v>
      </c>
      <c r="AJ1301">
        <v>78.150321966463196</v>
      </c>
      <c r="AK1301">
        <v>13.6068908385319</v>
      </c>
      <c r="AL1301">
        <v>72.172365053804896</v>
      </c>
      <c r="AM1301">
        <v>85.958750409527795</v>
      </c>
      <c r="AN1301">
        <v>0.99999999608701295</v>
      </c>
    </row>
    <row r="1302" spans="1:40" x14ac:dyDescent="0.25">
      <c r="A1302" t="str">
        <f>"20190304164842504"</f>
        <v>20190304164842504</v>
      </c>
      <c r="B1302" t="str">
        <f>"1551689322497737"</f>
        <v>1551689322497737</v>
      </c>
      <c r="C1302" t="s">
        <v>40</v>
      </c>
      <c r="D1302">
        <v>4.8036300000000001</v>
      </c>
      <c r="E1302">
        <v>0.57199929999999999</v>
      </c>
      <c r="F1302" t="s">
        <v>42</v>
      </c>
      <c r="G1302">
        <v>-220.6712</v>
      </c>
      <c r="H1302" s="1">
        <v>-4.7942310000000004E-6</v>
      </c>
      <c r="I1302">
        <v>365.05070000000001</v>
      </c>
      <c r="J1302">
        <v>-233.77699999999999</v>
      </c>
      <c r="K1302">
        <v>1.110733</v>
      </c>
      <c r="L1302">
        <v>367.68639999999999</v>
      </c>
      <c r="M1302">
        <v>0.99986920000000001</v>
      </c>
      <c r="N1302">
        <v>-1.38787999999999E-2</v>
      </c>
      <c r="O1302">
        <v>8.3046479999999995E-3</v>
      </c>
      <c r="P1302">
        <v>0.95432360000000005</v>
      </c>
      <c r="Q1302">
        <v>0.29271750000000002</v>
      </c>
      <c r="R1302">
        <v>-5.9859889999999999E-2</v>
      </c>
      <c r="S1302">
        <v>3.1864170000000001</v>
      </c>
      <c r="T1302">
        <v>-0.26745000000000002</v>
      </c>
      <c r="U1302">
        <v>-0.63436890000000001</v>
      </c>
      <c r="V1302">
        <v>6.7769179999999998E-2</v>
      </c>
      <c r="W1302">
        <v>0.30592979999999997</v>
      </c>
      <c r="X1302">
        <v>0.94963909999999996</v>
      </c>
      <c r="Y1302">
        <v>0.2025701</v>
      </c>
      <c r="Z1302">
        <v>-1.0401840000000001E-2</v>
      </c>
      <c r="AA1302">
        <v>0.97921250000000004</v>
      </c>
      <c r="AB1302">
        <v>25</v>
      </c>
      <c r="AC1302">
        <v>13.1058</v>
      </c>
      <c r="AD1302">
        <v>-1.1107377942309999</v>
      </c>
      <c r="AE1302">
        <v>-2.6356999999999799</v>
      </c>
      <c r="AF1302">
        <v>2.7256418355250398</v>
      </c>
      <c r="AG1302">
        <v>-1.1107377942309999</v>
      </c>
      <c r="AH1302">
        <v>12.993753361442201</v>
      </c>
      <c r="AI1302">
        <v>94.782321793991102</v>
      </c>
      <c r="AJ1302">
        <v>78.153087043369297</v>
      </c>
      <c r="AK1302">
        <v>13.3229309193243</v>
      </c>
      <c r="AL1302">
        <v>72.185889506331094</v>
      </c>
      <c r="AM1302">
        <v>85.918116035830806</v>
      </c>
      <c r="AN1302">
        <v>1.0000000622673499</v>
      </c>
    </row>
    <row r="1303" spans="1:40" x14ac:dyDescent="0.25">
      <c r="A1303" t="str">
        <f>"20190304164842515"</f>
        <v>20190304164842515</v>
      </c>
      <c r="B1303" t="str">
        <f>"1551689322507495"</f>
        <v>1551689322507495</v>
      </c>
      <c r="C1303" t="s">
        <v>40</v>
      </c>
      <c r="D1303">
        <v>4.6811669999999896</v>
      </c>
      <c r="E1303">
        <v>0.57204869999999997</v>
      </c>
      <c r="F1303" t="s">
        <v>42</v>
      </c>
      <c r="G1303">
        <v>-220.7612</v>
      </c>
      <c r="H1303" s="1">
        <v>-4.7481289999999996E-6</v>
      </c>
      <c r="I1303">
        <v>365.09280000000001</v>
      </c>
      <c r="J1303">
        <v>-233.64879999999999</v>
      </c>
      <c r="K1303">
        <v>1.110735</v>
      </c>
      <c r="L1303">
        <v>367.6875</v>
      </c>
      <c r="M1303">
        <v>0.99986900000000001</v>
      </c>
      <c r="N1303">
        <v>-1.3877459999999999E-2</v>
      </c>
      <c r="O1303">
        <v>8.3303449999999994E-3</v>
      </c>
      <c r="P1303">
        <v>0.95416619999999996</v>
      </c>
      <c r="Q1303">
        <v>0.29307250000000001</v>
      </c>
      <c r="R1303">
        <v>-6.0626510000000002E-2</v>
      </c>
      <c r="S1303">
        <v>3.1871800000000001</v>
      </c>
      <c r="T1303">
        <v>-0.27198539999999999</v>
      </c>
      <c r="U1303">
        <v>-0.63507080000000005</v>
      </c>
      <c r="V1303">
        <v>6.8559079999999994E-2</v>
      </c>
      <c r="W1303">
        <v>0.30628159999999999</v>
      </c>
      <c r="X1303">
        <v>0.94946900000000001</v>
      </c>
      <c r="Y1303">
        <v>0.2027313</v>
      </c>
      <c r="Z1303">
        <v>-1.056289E-2</v>
      </c>
      <c r="AA1303">
        <v>0.97917739999999998</v>
      </c>
      <c r="AB1303">
        <v>25</v>
      </c>
      <c r="AC1303">
        <v>12.8875999999999</v>
      </c>
      <c r="AD1303">
        <v>-1.110739748129</v>
      </c>
      <c r="AE1303">
        <v>-2.59469999999998</v>
      </c>
      <c r="AF1303">
        <v>2.6828263456930701</v>
      </c>
      <c r="AG1303">
        <v>-1.110739748129</v>
      </c>
      <c r="AH1303">
        <v>12.7743427246315</v>
      </c>
      <c r="AI1303">
        <v>94.863835648332099</v>
      </c>
      <c r="AJ1303">
        <v>78.139299980803401</v>
      </c>
      <c r="AK1303">
        <v>13.100195877755599</v>
      </c>
      <c r="AL1303">
        <v>72.164716711012005</v>
      </c>
      <c r="AM1303">
        <v>85.869965071310602</v>
      </c>
      <c r="AN1303">
        <v>1.0000000739549999</v>
      </c>
    </row>
    <row r="1304" spans="1:40" x14ac:dyDescent="0.25">
      <c r="A1304" t="str">
        <f>"20190304164842529"</f>
        <v>20190304164842529</v>
      </c>
      <c r="B1304" t="str">
        <f>"1551689322517256"</f>
        <v>1551689322517256</v>
      </c>
      <c r="C1304" t="s">
        <v>40</v>
      </c>
      <c r="D1304">
        <v>4.6975179999999996</v>
      </c>
      <c r="E1304">
        <v>0.57210539999999999</v>
      </c>
      <c r="F1304" t="s">
        <v>42</v>
      </c>
      <c r="G1304">
        <v>-220.72739999999999</v>
      </c>
      <c r="H1304" s="1">
        <v>-4.7608269999999999E-6</v>
      </c>
      <c r="I1304">
        <v>365.10309999999998</v>
      </c>
      <c r="J1304">
        <v>-233.4864</v>
      </c>
      <c r="K1304">
        <v>1.1107370000000001</v>
      </c>
      <c r="L1304">
        <v>367.68889999999999</v>
      </c>
      <c r="M1304">
        <v>0.9998688</v>
      </c>
      <c r="N1304">
        <v>-1.3875739999999999E-2</v>
      </c>
      <c r="O1304">
        <v>8.3632559999999995E-3</v>
      </c>
      <c r="P1304">
        <v>0.95402160000000003</v>
      </c>
      <c r="Q1304">
        <v>0.29338999999999998</v>
      </c>
      <c r="R1304">
        <v>-6.1361770000000003E-2</v>
      </c>
      <c r="S1304">
        <v>3.1877439999999999</v>
      </c>
      <c r="T1304">
        <v>-0.27402070000000001</v>
      </c>
      <c r="U1304">
        <v>-0.63757319999999995</v>
      </c>
      <c r="V1304">
        <v>6.9324520000000001E-2</v>
      </c>
      <c r="W1304">
        <v>0.30659520000000001</v>
      </c>
      <c r="X1304">
        <v>0.94931220000000005</v>
      </c>
      <c r="Y1304">
        <v>0.20345489999999999</v>
      </c>
      <c r="Z1304">
        <v>-1.066773E-2</v>
      </c>
      <c r="AA1304">
        <v>0.97902619999999896</v>
      </c>
      <c r="AB1304">
        <v>25</v>
      </c>
      <c r="AC1304">
        <v>12.759</v>
      </c>
      <c r="AD1304">
        <v>-1.110741760827</v>
      </c>
      <c r="AE1304">
        <v>-2.5857999999999999</v>
      </c>
      <c r="AF1304">
        <v>2.6729682734759499</v>
      </c>
      <c r="AG1304">
        <v>-1.110741760827</v>
      </c>
      <c r="AH1304">
        <v>12.6448753804942</v>
      </c>
      <c r="AI1304">
        <v>94.912049526648502</v>
      </c>
      <c r="AJ1304">
        <v>78.064103443544198</v>
      </c>
      <c r="AK1304">
        <v>12.971945884811699</v>
      </c>
      <c r="AL1304">
        <v>72.145840737815902</v>
      </c>
      <c r="AM1304">
        <v>85.8233294777569</v>
      </c>
      <c r="AN1304">
        <v>1.0000000794025501</v>
      </c>
    </row>
    <row r="1305" spans="1:40" x14ac:dyDescent="0.25">
      <c r="A1305" t="str">
        <f>"20190304164842548"</f>
        <v>20190304164842548</v>
      </c>
      <c r="B1305" t="str">
        <f>"1551689322537754"</f>
        <v>1551689322537754</v>
      </c>
      <c r="C1305" t="s">
        <v>40</v>
      </c>
      <c r="D1305">
        <v>4.6442990000000002</v>
      </c>
      <c r="E1305">
        <v>0.57170359999999998</v>
      </c>
      <c r="F1305" t="s">
        <v>42</v>
      </c>
      <c r="G1305">
        <v>-220.64169999999999</v>
      </c>
      <c r="H1305" s="1">
        <v>-4.7966529999999999E-6</v>
      </c>
      <c r="I1305">
        <v>365.10829999999999</v>
      </c>
      <c r="J1305">
        <v>-233.28100000000001</v>
      </c>
      <c r="K1305">
        <v>1.110738</v>
      </c>
      <c r="L1305">
        <v>367.69069999999999</v>
      </c>
      <c r="M1305">
        <v>0.99986850000000005</v>
      </c>
      <c r="N1305">
        <v>-1.387358E-2</v>
      </c>
      <c r="O1305">
        <v>8.4042209999999999E-3</v>
      </c>
      <c r="P1305">
        <v>0.95387540000000004</v>
      </c>
      <c r="Q1305">
        <v>0.29359099999999999</v>
      </c>
      <c r="R1305">
        <v>-6.2659010000000001E-2</v>
      </c>
      <c r="S1305">
        <v>3.1881560000000002</v>
      </c>
      <c r="T1305">
        <v>-0.27569290000000002</v>
      </c>
      <c r="U1305">
        <v>-0.64050289999999999</v>
      </c>
      <c r="V1305">
        <v>7.0659570000000005E-2</v>
      </c>
      <c r="W1305">
        <v>0.30679269999999997</v>
      </c>
      <c r="X1305">
        <v>0.94914989999999999</v>
      </c>
      <c r="Y1305">
        <v>0.20432230000000001</v>
      </c>
      <c r="Z1305">
        <v>-1.0768639999999999E-2</v>
      </c>
      <c r="AA1305">
        <v>0.97884450000000001</v>
      </c>
      <c r="AB1305">
        <v>25</v>
      </c>
      <c r="AC1305">
        <v>12.639299999999899</v>
      </c>
      <c r="AD1305">
        <v>-1.1107427966529999</v>
      </c>
      <c r="AE1305">
        <v>-2.5823999999999998</v>
      </c>
      <c r="AF1305">
        <v>2.6687577988157698</v>
      </c>
      <c r="AG1305">
        <v>-1.1107427966529999</v>
      </c>
      <c r="AH1305">
        <v>12.5243002673965</v>
      </c>
      <c r="AI1305">
        <v>94.957406950571894</v>
      </c>
      <c r="AJ1305">
        <v>77.970959031237498</v>
      </c>
      <c r="AK1305">
        <v>12.853564289214299</v>
      </c>
      <c r="AL1305">
        <v>72.133951040551693</v>
      </c>
      <c r="AM1305">
        <v>85.742462919661406</v>
      </c>
      <c r="AN1305">
        <v>1.00000003413794</v>
      </c>
    </row>
    <row r="1306" spans="1:40" x14ac:dyDescent="0.25">
      <c r="A1306" t="str">
        <f>"20190304164842562"</f>
        <v>20190304164842562</v>
      </c>
      <c r="B1306" t="str">
        <f>"1551689322557272"</f>
        <v>1551689322557272</v>
      </c>
      <c r="C1306" t="s">
        <v>40</v>
      </c>
      <c r="D1306">
        <v>4.603275</v>
      </c>
      <c r="E1306">
        <v>0.5709746</v>
      </c>
      <c r="F1306" t="s">
        <v>42</v>
      </c>
      <c r="G1306">
        <v>-220.57419999999999</v>
      </c>
      <c r="H1306" s="1">
        <v>-4.8206390000000001E-6</v>
      </c>
      <c r="I1306">
        <v>365.13639999999998</v>
      </c>
      <c r="J1306">
        <v>-233.13030000000001</v>
      </c>
      <c r="K1306">
        <v>1.1107400000000001</v>
      </c>
      <c r="L1306">
        <v>367.69200000000001</v>
      </c>
      <c r="M1306">
        <v>0.99986830000000004</v>
      </c>
      <c r="N1306">
        <v>-1.3872000000000001E-2</v>
      </c>
      <c r="O1306">
        <v>8.4344499999999996E-3</v>
      </c>
      <c r="P1306">
        <v>0.95393689999999998</v>
      </c>
      <c r="Q1306">
        <v>0.29327999999999999</v>
      </c>
      <c r="R1306">
        <v>-6.3177269999999994E-2</v>
      </c>
      <c r="S1306">
        <v>3.188736</v>
      </c>
      <c r="T1306">
        <v>-0.27873579999999998</v>
      </c>
      <c r="U1306">
        <v>-0.64096070000000005</v>
      </c>
      <c r="V1306">
        <v>7.1207010000000001E-2</v>
      </c>
      <c r="W1306">
        <v>0.3064808</v>
      </c>
      <c r="X1306">
        <v>0.94920970000000005</v>
      </c>
      <c r="Y1306">
        <v>0.20443420000000001</v>
      </c>
      <c r="Z1306">
        <v>-1.087846E-2</v>
      </c>
      <c r="AA1306">
        <v>0.97881980000000002</v>
      </c>
      <c r="AB1306">
        <v>25</v>
      </c>
      <c r="AC1306">
        <v>12.556100000000001</v>
      </c>
      <c r="AD1306">
        <v>-1.110744820639</v>
      </c>
      <c r="AE1306">
        <v>-2.5555999999999699</v>
      </c>
      <c r="AF1306">
        <v>2.64157339122288</v>
      </c>
      <c r="AG1306">
        <v>-1.110744820639</v>
      </c>
      <c r="AH1306">
        <v>12.4406132057255</v>
      </c>
      <c r="AI1306">
        <v>94.991355890017502</v>
      </c>
      <c r="AJ1306">
        <v>78.012164914687105</v>
      </c>
      <c r="AK1306">
        <v>12.7663824544099</v>
      </c>
      <c r="AL1306">
        <v>72.152725176219704</v>
      </c>
      <c r="AM1306">
        <v>85.709869332844306</v>
      </c>
      <c r="AN1306">
        <v>0.999999986807935</v>
      </c>
    </row>
    <row r="1307" spans="1:40" x14ac:dyDescent="0.25">
      <c r="A1307" t="str">
        <f>"20190304164842573"</f>
        <v>20190304164842573</v>
      </c>
      <c r="B1307" t="str">
        <f>"1551689322567033"</f>
        <v>1551689322567033</v>
      </c>
      <c r="C1307" t="s">
        <v>40</v>
      </c>
      <c r="D1307">
        <v>4.5536070000000004</v>
      </c>
      <c r="E1307">
        <v>0.5706772</v>
      </c>
      <c r="F1307" t="s">
        <v>42</v>
      </c>
      <c r="G1307">
        <v>-220.50739999999999</v>
      </c>
      <c r="H1307" s="1">
        <v>-4.8426610000000002E-6</v>
      </c>
      <c r="I1307">
        <v>365.17380000000003</v>
      </c>
      <c r="J1307">
        <v>-232.99299999999999</v>
      </c>
      <c r="K1307">
        <v>1.1107389999999999</v>
      </c>
      <c r="L1307">
        <v>367.69310000000002</v>
      </c>
      <c r="M1307">
        <v>0.99986799999999998</v>
      </c>
      <c r="N1307">
        <v>-1.387057E-2</v>
      </c>
      <c r="O1307">
        <v>8.4623500000000004E-3</v>
      </c>
      <c r="P1307">
        <v>0.95394310000000004</v>
      </c>
      <c r="Q1307">
        <v>0.29314200000000001</v>
      </c>
      <c r="R1307">
        <v>-6.3722260000000003E-2</v>
      </c>
      <c r="S1307">
        <v>3.1890109999999998</v>
      </c>
      <c r="T1307">
        <v>-0.28061340000000001</v>
      </c>
      <c r="U1307">
        <v>-0.6361694</v>
      </c>
      <c r="V1307">
        <v>7.1778720000000004E-2</v>
      </c>
      <c r="W1307">
        <v>0.30634099999999997</v>
      </c>
      <c r="X1307">
        <v>0.94921180000000005</v>
      </c>
      <c r="Y1307">
        <v>0.2030256</v>
      </c>
      <c r="Z1307">
        <v>-1.0873789999999999E-2</v>
      </c>
      <c r="AA1307">
        <v>0.97911300000000001</v>
      </c>
      <c r="AB1307">
        <v>25</v>
      </c>
      <c r="AC1307">
        <v>12.4856</v>
      </c>
      <c r="AD1307">
        <v>-1.1107438426609999</v>
      </c>
      <c r="AE1307">
        <v>-2.5192999999999799</v>
      </c>
      <c r="AF1307">
        <v>2.6050669045436199</v>
      </c>
      <c r="AG1307">
        <v>-1.1107438426609999</v>
      </c>
      <c r="AH1307">
        <v>12.369764203708399</v>
      </c>
      <c r="AI1307">
        <v>95.021548603768395</v>
      </c>
      <c r="AJ1307">
        <v>78.107323513601699</v>
      </c>
      <c r="AK1307">
        <v>12.689806614622</v>
      </c>
      <c r="AL1307">
        <v>72.161140437455103</v>
      </c>
      <c r="AM1307">
        <v>85.675564218313298</v>
      </c>
      <c r="AN1307">
        <v>1.0000000170925301</v>
      </c>
    </row>
    <row r="1308" spans="1:40" x14ac:dyDescent="0.25">
      <c r="A1308" t="str">
        <f>"20190304164842584"</f>
        <v>20190304164842584</v>
      </c>
      <c r="B1308" t="str">
        <f>"1551689322577769"</f>
        <v>1551689322577769</v>
      </c>
      <c r="C1308" t="s">
        <v>40</v>
      </c>
      <c r="D1308">
        <v>4.5766809999999998</v>
      </c>
      <c r="E1308">
        <v>0.57039019999999996</v>
      </c>
      <c r="F1308" t="s">
        <v>42</v>
      </c>
      <c r="G1308">
        <v>-220.3785</v>
      </c>
      <c r="H1308" s="1">
        <v>-4.8968950000000001E-6</v>
      </c>
      <c r="I1308">
        <v>365.1798</v>
      </c>
      <c r="J1308">
        <v>-232.8707</v>
      </c>
      <c r="K1308">
        <v>1.110733</v>
      </c>
      <c r="L1308">
        <v>367.69420000000002</v>
      </c>
      <c r="M1308">
        <v>0.99986790000000003</v>
      </c>
      <c r="N1308">
        <v>-1.3869289999999999E-2</v>
      </c>
      <c r="O1308">
        <v>8.4870329999999997E-3</v>
      </c>
      <c r="P1308">
        <v>0.95398419999999895</v>
      </c>
      <c r="Q1308">
        <v>0.29284919999999998</v>
      </c>
      <c r="R1308">
        <v>-6.4447420000000005E-2</v>
      </c>
      <c r="S1308">
        <v>3.1886899999999998</v>
      </c>
      <c r="T1308">
        <v>-0.28077170000000001</v>
      </c>
      <c r="U1308">
        <v>-0.63531490000000002</v>
      </c>
      <c r="V1308">
        <v>7.2527949999999994E-2</v>
      </c>
      <c r="W1308">
        <v>0.30604779999999998</v>
      </c>
      <c r="X1308">
        <v>0.94924940000000002</v>
      </c>
      <c r="Y1308">
        <v>0.202816</v>
      </c>
      <c r="Z1308">
        <v>-1.087142E-2</v>
      </c>
      <c r="AA1308">
        <v>0.97915649999999999</v>
      </c>
      <c r="AB1308">
        <v>25</v>
      </c>
      <c r="AC1308">
        <v>12.492199999999899</v>
      </c>
      <c r="AD1308">
        <v>-1.1107378968949999</v>
      </c>
      <c r="AE1308">
        <v>-2.5144000000000202</v>
      </c>
      <c r="AF1308">
        <v>2.6005821641928799</v>
      </c>
      <c r="AG1308">
        <v>-1.1107378968949999</v>
      </c>
      <c r="AH1308">
        <v>12.3763727642117</v>
      </c>
      <c r="AI1308">
        <v>95.019331865111795</v>
      </c>
      <c r="AJ1308">
        <v>78.133375604977402</v>
      </c>
      <c r="AK1308">
        <v>12.695328631707</v>
      </c>
      <c r="AL1308">
        <v>72.178786675777005</v>
      </c>
      <c r="AM1308">
        <v>85.630771842765796</v>
      </c>
      <c r="AN1308">
        <v>0.99999999140820095</v>
      </c>
    </row>
    <row r="1309" spans="1:40" x14ac:dyDescent="0.25">
      <c r="A1309" t="str">
        <f>"20190304164842596"</f>
        <v>20190304164842596</v>
      </c>
      <c r="B1309" t="str">
        <f>"1551689322587528"</f>
        <v>1551689322587528</v>
      </c>
      <c r="C1309" t="s">
        <v>40</v>
      </c>
      <c r="D1309">
        <v>4.5227969999999997</v>
      </c>
      <c r="E1309">
        <v>0.57007059999999998</v>
      </c>
      <c r="F1309" t="s">
        <v>42</v>
      </c>
      <c r="G1309">
        <v>-220.3152</v>
      </c>
      <c r="H1309" s="1">
        <v>-4.9217739999999997E-6</v>
      </c>
      <c r="I1309">
        <v>365.1925</v>
      </c>
      <c r="J1309">
        <v>-232.7423</v>
      </c>
      <c r="K1309">
        <v>1.11073</v>
      </c>
      <c r="L1309">
        <v>367.69529999999997</v>
      </c>
      <c r="M1309">
        <v>0.99986759999999997</v>
      </c>
      <c r="N1309">
        <v>-1.386794E-2</v>
      </c>
      <c r="O1309">
        <v>8.5129090000000008E-3</v>
      </c>
      <c r="P1309">
        <v>0.95403579999999999</v>
      </c>
      <c r="Q1309">
        <v>0.29265219999999997</v>
      </c>
      <c r="R1309">
        <v>-6.4577699999999905E-2</v>
      </c>
      <c r="S1309">
        <v>3.1883699999999999</v>
      </c>
      <c r="T1309">
        <v>-0.28206170000000003</v>
      </c>
      <c r="U1309">
        <v>-0.63528439999999997</v>
      </c>
      <c r="V1309">
        <v>7.2683440000000002E-2</v>
      </c>
      <c r="W1309">
        <v>0.3058498</v>
      </c>
      <c r="X1309">
        <v>0.94930130000000001</v>
      </c>
      <c r="Y1309">
        <v>0.2028431</v>
      </c>
      <c r="Z1309">
        <v>-1.091933E-2</v>
      </c>
      <c r="AA1309">
        <v>0.97915039999999998</v>
      </c>
      <c r="AB1309">
        <v>25</v>
      </c>
      <c r="AC1309">
        <v>12.4270999999999</v>
      </c>
      <c r="AD1309">
        <v>-1.1107349217739999</v>
      </c>
      <c r="AE1309">
        <v>-2.5027999999999802</v>
      </c>
      <c r="AF1309">
        <v>2.5886362693536502</v>
      </c>
      <c r="AG1309">
        <v>-1.1107349217739999</v>
      </c>
      <c r="AH1309">
        <v>12.310826446513101</v>
      </c>
      <c r="AI1309">
        <v>95.045755189159706</v>
      </c>
      <c r="AJ1309">
        <v>78.125232329925396</v>
      </c>
      <c r="AK1309">
        <v>12.6289832368892</v>
      </c>
      <c r="AL1309">
        <v>72.190702247959706</v>
      </c>
      <c r="AM1309">
        <v>85.621679656304394</v>
      </c>
      <c r="AN1309">
        <v>0.99999997039598099</v>
      </c>
    </row>
    <row r="1310" spans="1:40" x14ac:dyDescent="0.25">
      <c r="A1310" t="str">
        <f>"20190304164842607"</f>
        <v>20190304164842607</v>
      </c>
      <c r="B1310" t="str">
        <f>"1551689322597288"</f>
        <v>1551689322597288</v>
      </c>
      <c r="C1310" t="s">
        <v>40</v>
      </c>
      <c r="D1310">
        <v>4.6361990000000004</v>
      </c>
      <c r="E1310">
        <v>0.56976059999999995</v>
      </c>
      <c r="F1310" t="s">
        <v>42</v>
      </c>
      <c r="G1310">
        <v>-220.19290000000001</v>
      </c>
      <c r="H1310" s="1">
        <v>-4.9721960000000003E-6</v>
      </c>
      <c r="I1310">
        <v>365.20400000000001</v>
      </c>
      <c r="J1310">
        <v>-232.62360000000001</v>
      </c>
      <c r="K1310">
        <v>1.110727</v>
      </c>
      <c r="L1310">
        <v>367.69639999999998</v>
      </c>
      <c r="M1310">
        <v>0.99986739999999996</v>
      </c>
      <c r="N1310">
        <v>-1.3866689999999999E-2</v>
      </c>
      <c r="O1310">
        <v>8.5370559999999995E-3</v>
      </c>
      <c r="P1310">
        <v>0.95408000000000004</v>
      </c>
      <c r="Q1310">
        <v>0.29249320000000001</v>
      </c>
      <c r="R1310">
        <v>-6.4646049999999997E-2</v>
      </c>
      <c r="S1310">
        <v>3.1882630000000001</v>
      </c>
      <c r="T1310">
        <v>-0.28218840000000001</v>
      </c>
      <c r="U1310">
        <v>-0.63293459999999901</v>
      </c>
      <c r="V1310">
        <v>7.2775069999999997E-2</v>
      </c>
      <c r="W1310">
        <v>0.30569049999999998</v>
      </c>
      <c r="X1310">
        <v>0.94934560000000001</v>
      </c>
      <c r="Y1310">
        <v>0.20218069999999999</v>
      </c>
      <c r="Z1310">
        <v>-1.0892570000000001E-2</v>
      </c>
      <c r="AA1310">
        <v>0.97928769999999998</v>
      </c>
      <c r="AB1310">
        <v>25</v>
      </c>
      <c r="AC1310">
        <v>12.4307</v>
      </c>
      <c r="AD1310">
        <v>-1.1107319721960001</v>
      </c>
      <c r="AE1310">
        <v>-2.4923999999999702</v>
      </c>
      <c r="AF1310">
        <v>2.5786483843384</v>
      </c>
      <c r="AG1310">
        <v>-1.1107319721960001</v>
      </c>
      <c r="AH1310">
        <v>12.314446895677399</v>
      </c>
      <c r="AI1310">
        <v>95.045146539561202</v>
      </c>
      <c r="AJ1310">
        <v>78.173136021576695</v>
      </c>
      <c r="AK1310">
        <v>12.63046932424</v>
      </c>
      <c r="AL1310">
        <v>72.200288785299804</v>
      </c>
      <c r="AM1310">
        <v>85.616385299962602</v>
      </c>
      <c r="AN1310">
        <v>0.99999998042155702</v>
      </c>
    </row>
    <row r="1311" spans="1:40" x14ac:dyDescent="0.25">
      <c r="A1311" t="str">
        <f>"20190304164842618"</f>
        <v>20190304164842618</v>
      </c>
      <c r="B1311" t="str">
        <f>"1551689322607048"</f>
        <v>1551689322607048</v>
      </c>
      <c r="C1311" t="s">
        <v>40</v>
      </c>
      <c r="D1311">
        <v>4.5341420000000001</v>
      </c>
      <c r="E1311">
        <v>0.56950269999999903</v>
      </c>
      <c r="F1311" t="s">
        <v>42</v>
      </c>
      <c r="G1311">
        <v>-220.11600000000001</v>
      </c>
      <c r="H1311" s="1">
        <v>-5.0021930000000002E-6</v>
      </c>
      <c r="I1311">
        <v>365.221</v>
      </c>
      <c r="J1311">
        <v>-232.4957</v>
      </c>
      <c r="K1311">
        <v>1.110722</v>
      </c>
      <c r="L1311">
        <v>367.69740000000002</v>
      </c>
      <c r="M1311">
        <v>0.99986730000000001</v>
      </c>
      <c r="N1311">
        <v>-1.386535E-2</v>
      </c>
      <c r="O1311">
        <v>8.5629339999999995E-3</v>
      </c>
      <c r="P1311">
        <v>0.95402799999999999</v>
      </c>
      <c r="Q1311">
        <v>0.29249439999999999</v>
      </c>
      <c r="R1311">
        <v>-6.540427E-2</v>
      </c>
      <c r="S1311">
        <v>3.1884610000000002</v>
      </c>
      <c r="T1311">
        <v>-0.28314719999999999</v>
      </c>
      <c r="U1311">
        <v>-0.63101200000000002</v>
      </c>
      <c r="V1311">
        <v>7.3557540000000005E-2</v>
      </c>
      <c r="W1311">
        <v>0.3056895</v>
      </c>
      <c r="X1311">
        <v>0.94928559999999995</v>
      </c>
      <c r="Y1311">
        <v>0.20162279999999999</v>
      </c>
      <c r="Z1311">
        <v>-1.089832E-2</v>
      </c>
      <c r="AA1311">
        <v>0.97940260000000001</v>
      </c>
      <c r="AB1311">
        <v>25</v>
      </c>
      <c r="AC1311">
        <v>12.3797</v>
      </c>
      <c r="AD1311">
        <v>-1.110727002193</v>
      </c>
      <c r="AE1311">
        <v>-2.4764000000000101</v>
      </c>
      <c r="AF1311">
        <v>2.5624916061884702</v>
      </c>
      <c r="AG1311">
        <v>-1.110727002193</v>
      </c>
      <c r="AH1311">
        <v>12.2631191716837</v>
      </c>
      <c r="AI1311">
        <v>95.066576462568193</v>
      </c>
      <c r="AJ1311">
        <v>78.197347353556296</v>
      </c>
      <c r="AK1311">
        <v>12.5771288267277</v>
      </c>
      <c r="AL1311">
        <v>72.200348700676997</v>
      </c>
      <c r="AM1311">
        <v>85.569160880518396</v>
      </c>
      <c r="AN1311">
        <v>0.99999996623423004</v>
      </c>
    </row>
    <row r="1312" spans="1:40" x14ac:dyDescent="0.25">
      <c r="A1312" t="str">
        <f>"20190304164842631"</f>
        <v>20190304164842631</v>
      </c>
      <c r="B1312" t="str">
        <f>"1551689322627545"</f>
        <v>1551689322627545</v>
      </c>
      <c r="C1312" t="s">
        <v>40</v>
      </c>
      <c r="D1312">
        <v>4.6566890000000001</v>
      </c>
      <c r="E1312">
        <v>0.56885580000000002</v>
      </c>
      <c r="F1312" t="s">
        <v>42</v>
      </c>
      <c r="G1312">
        <v>-219.97909999999999</v>
      </c>
      <c r="H1312" s="1">
        <v>-5.061087E-6</v>
      </c>
      <c r="I1312">
        <v>365.2201</v>
      </c>
      <c r="J1312">
        <v>-232.3537</v>
      </c>
      <c r="K1312">
        <v>1.110722</v>
      </c>
      <c r="L1312">
        <v>367.69869999999997</v>
      </c>
      <c r="M1312">
        <v>0.99986710000000001</v>
      </c>
      <c r="N1312">
        <v>-1.386387E-2</v>
      </c>
      <c r="O1312">
        <v>8.5917960000000005E-3</v>
      </c>
      <c r="P1312">
        <v>0.95418040000000004</v>
      </c>
      <c r="Q1312">
        <v>0.29194599999999998</v>
      </c>
      <c r="R1312">
        <v>-6.5629800000000002E-2</v>
      </c>
      <c r="S1312">
        <v>3.1880489999999999</v>
      </c>
      <c r="T1312">
        <v>-0.2829063</v>
      </c>
      <c r="U1312">
        <v>-0.63098140000000003</v>
      </c>
      <c r="V1312">
        <v>7.3811890000000005E-2</v>
      </c>
      <c r="W1312">
        <v>0.30514200000000002</v>
      </c>
      <c r="X1312">
        <v>0.94944200000000001</v>
      </c>
      <c r="Y1312">
        <v>0.20166709999999999</v>
      </c>
      <c r="Z1312">
        <v>-1.089566E-2</v>
      </c>
      <c r="AA1312">
        <v>0.97939350000000003</v>
      </c>
      <c r="AB1312">
        <v>25</v>
      </c>
      <c r="AC1312">
        <v>12.374599999999999</v>
      </c>
      <c r="AD1312">
        <v>-1.1107270610869999</v>
      </c>
      <c r="AE1312">
        <v>-2.4785999999999699</v>
      </c>
      <c r="AF1312">
        <v>2.5649708516310001</v>
      </c>
      <c r="AG1312">
        <v>-1.1107270610869999</v>
      </c>
      <c r="AH1312">
        <v>12.2578976060217</v>
      </c>
      <c r="AI1312">
        <v>95.068429495761194</v>
      </c>
      <c r="AJ1312">
        <v>78.181358027603693</v>
      </c>
      <c r="AK1312">
        <v>12.572543250816899</v>
      </c>
      <c r="AL1312">
        <v>72.233292342261095</v>
      </c>
      <c r="AM1312">
        <v>85.554630548718393</v>
      </c>
      <c r="AN1312">
        <v>0.999999973316685</v>
      </c>
    </row>
    <row r="1313" spans="1:40" x14ac:dyDescent="0.25">
      <c r="A1313" t="str">
        <f>"20190304164842644"</f>
        <v>20190304164842644</v>
      </c>
      <c r="B1313" t="str">
        <f>"1551689322637305"</f>
        <v>1551689322637305</v>
      </c>
      <c r="C1313" t="s">
        <v>40</v>
      </c>
      <c r="D1313">
        <v>4.6393599999999999</v>
      </c>
      <c r="E1313">
        <v>0.56858819999999999</v>
      </c>
      <c r="F1313" t="s">
        <v>42</v>
      </c>
      <c r="G1313">
        <v>-219.87</v>
      </c>
      <c r="H1313" s="1">
        <v>-1.1933840000000001E-6</v>
      </c>
      <c r="I1313">
        <v>365.24520000000001</v>
      </c>
      <c r="J1313">
        <v>-232.21850000000001</v>
      </c>
      <c r="K1313">
        <v>1.1107180000000001</v>
      </c>
      <c r="L1313">
        <v>367.69990000000001</v>
      </c>
      <c r="M1313">
        <v>0.99986679999999994</v>
      </c>
      <c r="N1313">
        <v>-1.386245E-2</v>
      </c>
      <c r="O1313">
        <v>8.6197010000000004E-3</v>
      </c>
      <c r="P1313">
        <v>0.95426719999999998</v>
      </c>
      <c r="Q1313">
        <v>0.2915336</v>
      </c>
      <c r="R1313">
        <v>-6.6199649999999999E-2</v>
      </c>
      <c r="S1313">
        <v>3.187729</v>
      </c>
      <c r="T1313">
        <v>-0.28362270000000001</v>
      </c>
      <c r="U1313">
        <v>-0.62649540000000004</v>
      </c>
      <c r="V1313">
        <v>7.4408699999999994E-2</v>
      </c>
      <c r="W1313">
        <v>0.30472969999999999</v>
      </c>
      <c r="X1313">
        <v>0.94952789999999998</v>
      </c>
      <c r="Y1313">
        <v>0.20038719999999999</v>
      </c>
      <c r="Z1313">
        <v>-1.08586E-2</v>
      </c>
      <c r="AA1313">
        <v>0.97965659999999999</v>
      </c>
      <c r="AB1313">
        <v>25</v>
      </c>
      <c r="AC1313">
        <v>12.3485</v>
      </c>
      <c r="AD1313">
        <v>-1.1107191933839999</v>
      </c>
      <c r="AE1313">
        <v>-2.4546999999999999</v>
      </c>
      <c r="AF1313">
        <v>2.5412805094983102</v>
      </c>
      <c r="AG1313">
        <v>-1.1107191933839999</v>
      </c>
      <c r="AH1313">
        <v>12.231680716316699</v>
      </c>
      <c r="AI1313">
        <v>95.080703235911599</v>
      </c>
      <c r="AJ1313">
        <v>78.263078692019405</v>
      </c>
      <c r="AK1313">
        <v>12.5421615720904</v>
      </c>
      <c r="AL1313">
        <v>72.258097955730193</v>
      </c>
      <c r="AM1313">
        <v>85.519236831299196</v>
      </c>
      <c r="AN1313">
        <v>1.0000000387880901</v>
      </c>
    </row>
    <row r="1314" spans="1:40" x14ac:dyDescent="0.25">
      <c r="A1314" t="str">
        <f>"20190304164842654"</f>
        <v>20190304164842654</v>
      </c>
      <c r="B1314" t="str">
        <f>"1551689322647064"</f>
        <v>1551689322647064</v>
      </c>
      <c r="C1314" t="s">
        <v>40</v>
      </c>
      <c r="D1314">
        <v>4.6494669999999996</v>
      </c>
      <c r="E1314">
        <v>0.56835930000000001</v>
      </c>
      <c r="F1314" t="s">
        <v>42</v>
      </c>
      <c r="G1314">
        <v>-219.77969999999999</v>
      </c>
      <c r="H1314" s="1">
        <v>-1.2205330000000001E-6</v>
      </c>
      <c r="I1314">
        <v>365.25869999999998</v>
      </c>
      <c r="J1314">
        <v>-232.0959</v>
      </c>
      <c r="K1314">
        <v>1.1107209999999901</v>
      </c>
      <c r="L1314">
        <v>367.70100000000002</v>
      </c>
      <c r="M1314">
        <v>0.9998667</v>
      </c>
      <c r="N1314">
        <v>-1.3861170000000001E-2</v>
      </c>
      <c r="O1314">
        <v>8.6450399999999997E-3</v>
      </c>
      <c r="P1314">
        <v>0.95440849999999999</v>
      </c>
      <c r="Q1314">
        <v>0.29096820000000001</v>
      </c>
      <c r="R1314">
        <v>-6.6649040000000007E-2</v>
      </c>
      <c r="S1314">
        <v>3.1873469999999999</v>
      </c>
      <c r="T1314">
        <v>-0.2846127</v>
      </c>
      <c r="U1314">
        <v>-0.62554929999999997</v>
      </c>
      <c r="V1314">
        <v>7.4883649999999996E-2</v>
      </c>
      <c r="W1314">
        <v>0.30416459999999901</v>
      </c>
      <c r="X1314">
        <v>0.94967170000000001</v>
      </c>
      <c r="Y1314">
        <v>0.20014899999999999</v>
      </c>
      <c r="Z1314">
        <v>-1.0882849999999999E-2</v>
      </c>
      <c r="AA1314">
        <v>0.97970500000000005</v>
      </c>
      <c r="AB1314">
        <v>25</v>
      </c>
      <c r="AC1314">
        <v>12.3162</v>
      </c>
      <c r="AD1314">
        <v>-1.1107222205329901</v>
      </c>
      <c r="AE1314">
        <v>-2.4422999999999799</v>
      </c>
      <c r="AF1314">
        <v>2.5289032722755298</v>
      </c>
      <c r="AG1314">
        <v>-1.1107222205329901</v>
      </c>
      <c r="AH1314">
        <v>12.1991604510548</v>
      </c>
      <c r="AI1314">
        <v>95.094654465640303</v>
      </c>
      <c r="AJ1314">
        <v>78.288387647513701</v>
      </c>
      <c r="AK1314">
        <v>12.5079403309374</v>
      </c>
      <c r="AL1314">
        <v>72.292088715230307</v>
      </c>
      <c r="AM1314">
        <v>85.491433723764104</v>
      </c>
      <c r="AN1314">
        <v>1.00000000135568</v>
      </c>
    </row>
    <row r="1315" spans="1:40" x14ac:dyDescent="0.25">
      <c r="A1315" t="str">
        <f>"20190304164842665"</f>
        <v>20190304164842665</v>
      </c>
      <c r="B1315" t="str">
        <f>"1551689322657242"</f>
        <v>1551689322657242</v>
      </c>
      <c r="C1315" t="s">
        <v>40</v>
      </c>
      <c r="D1315">
        <v>5.2289510000000003</v>
      </c>
      <c r="E1315">
        <v>0.56835930000000001</v>
      </c>
      <c r="F1315" t="s">
        <v>42</v>
      </c>
      <c r="G1315">
        <v>-219.7611</v>
      </c>
      <c r="H1315" s="1">
        <v>-1.220049E-6</v>
      </c>
      <c r="I1315">
        <v>365.28429999999997</v>
      </c>
      <c r="J1315">
        <v>-231.9785</v>
      </c>
      <c r="K1315">
        <v>1.110719</v>
      </c>
      <c r="L1315">
        <v>367.70209999999997</v>
      </c>
      <c r="M1315">
        <v>0.99986649999999999</v>
      </c>
      <c r="N1315">
        <v>-1.3859939999999999E-2</v>
      </c>
      <c r="O1315">
        <v>8.6691890000000008E-3</v>
      </c>
      <c r="P1315">
        <v>0.95443639999999996</v>
      </c>
      <c r="Q1315">
        <v>0.29074559999999999</v>
      </c>
      <c r="R1315">
        <v>-6.7222180000000006E-2</v>
      </c>
      <c r="S1315">
        <v>3.1872099999999999</v>
      </c>
      <c r="T1315">
        <v>-0.286999</v>
      </c>
      <c r="U1315">
        <v>-0.62445069999999903</v>
      </c>
      <c r="V1315">
        <v>7.5479770000000002E-2</v>
      </c>
      <c r="W1315">
        <v>0.30394110000000002</v>
      </c>
      <c r="X1315">
        <v>0.94969610000000004</v>
      </c>
      <c r="Y1315">
        <v>0.1998422</v>
      </c>
      <c r="Z1315">
        <v>-1.094963E-2</v>
      </c>
      <c r="AA1315">
        <v>0.9797669</v>
      </c>
      <c r="AB1315">
        <v>25</v>
      </c>
      <c r="AC1315">
        <v>12.2173999999999</v>
      </c>
      <c r="AD1315">
        <v>-1.1107202200489901</v>
      </c>
      <c r="AE1315">
        <v>-2.4178000000000002</v>
      </c>
      <c r="AF1315">
        <v>2.5037204580139498</v>
      </c>
      <c r="AG1315">
        <v>-1.1107202200489901</v>
      </c>
      <c r="AH1315">
        <v>12.099741025299</v>
      </c>
      <c r="AI1315">
        <v>95.136666755916906</v>
      </c>
      <c r="AJ1315">
        <v>78.309151571210194</v>
      </c>
      <c r="AK1315">
        <v>12.4058876513696</v>
      </c>
      <c r="AL1315">
        <v>72.305531349801697</v>
      </c>
      <c r="AM1315">
        <v>85.455808760707896</v>
      </c>
      <c r="AN1315">
        <v>1.0000000351518299</v>
      </c>
    </row>
    <row r="1316" spans="1:40" x14ac:dyDescent="0.25">
      <c r="A1316" t="str">
        <f>"20190304164842675"</f>
        <v>20190304164842675</v>
      </c>
      <c r="B1316" t="str">
        <f>"1551689322667002"</f>
        <v>1551689322667002</v>
      </c>
      <c r="C1316" t="s">
        <v>40</v>
      </c>
      <c r="D1316">
        <v>4.6471070000000001</v>
      </c>
      <c r="E1316">
        <v>0.55591579999999996</v>
      </c>
      <c r="F1316" t="s">
        <v>42</v>
      </c>
      <c r="G1316">
        <v>-219.68700000000001</v>
      </c>
      <c r="H1316" s="1">
        <v>-1.244628E-6</v>
      </c>
      <c r="I1316">
        <v>365.2867</v>
      </c>
      <c r="J1316">
        <v>-231.8578</v>
      </c>
      <c r="K1316">
        <v>1.110719</v>
      </c>
      <c r="L1316">
        <v>367.70319999999998</v>
      </c>
      <c r="M1316">
        <v>0.99986620000000004</v>
      </c>
      <c r="N1316">
        <v>-1.385867E-2</v>
      </c>
      <c r="O1316">
        <v>8.6940539999999997E-3</v>
      </c>
      <c r="P1316">
        <v>0.95457619999999999</v>
      </c>
      <c r="Q1316">
        <v>0.29025230000000002</v>
      </c>
      <c r="R1316">
        <v>-6.7367010000000005E-2</v>
      </c>
      <c r="S1316">
        <v>3.1868590000000001</v>
      </c>
      <c r="T1316">
        <v>-0.28797669999999997</v>
      </c>
      <c r="U1316">
        <v>-0.62622069999999996</v>
      </c>
      <c r="V1316">
        <v>7.5649579999999994E-2</v>
      </c>
      <c r="W1316">
        <v>0.30344860000000001</v>
      </c>
      <c r="X1316">
        <v>0.94984000000000002</v>
      </c>
      <c r="Y1316">
        <v>0.20040230000000001</v>
      </c>
      <c r="Z1316">
        <v>-1.1013780000000001E-2</v>
      </c>
      <c r="AA1316">
        <v>0.97965179999999996</v>
      </c>
      <c r="AB1316">
        <v>25</v>
      </c>
      <c r="AC1316">
        <v>12.1707999999999</v>
      </c>
      <c r="AD1316">
        <v>-1.110720244628</v>
      </c>
      <c r="AE1316">
        <v>-2.4164999999999801</v>
      </c>
      <c r="AF1316">
        <v>2.5021831408511299</v>
      </c>
      <c r="AG1316">
        <v>-1.110720244628</v>
      </c>
      <c r="AH1316">
        <v>12.052753528981199</v>
      </c>
      <c r="AI1316">
        <v>95.155892194471406</v>
      </c>
      <c r="AJ1316">
        <v>78.271842478471996</v>
      </c>
      <c r="AK1316">
        <v>12.3597527306397</v>
      </c>
      <c r="AL1316">
        <v>72.335147138110798</v>
      </c>
      <c r="AM1316">
        <v>85.446315546092606</v>
      </c>
      <c r="AN1316">
        <v>0.99999996869806695</v>
      </c>
    </row>
    <row r="1317" spans="1:40" x14ac:dyDescent="0.25">
      <c r="A1317" t="str">
        <f>"20190304164842686"</f>
        <v>20190304164842686</v>
      </c>
      <c r="B1317" t="str">
        <f>"1551689322677739"</f>
        <v>1551689322677739</v>
      </c>
      <c r="C1317" t="s">
        <v>40</v>
      </c>
      <c r="D1317">
        <v>4.6257510000000002</v>
      </c>
      <c r="E1317">
        <v>0.55795150000000004</v>
      </c>
      <c r="F1317" t="s">
        <v>42</v>
      </c>
      <c r="G1317">
        <v>-217.03129999999999</v>
      </c>
      <c r="H1317" s="1">
        <v>-2.1663349999999998E-6</v>
      </c>
      <c r="I1317">
        <v>365.2192</v>
      </c>
      <c r="J1317">
        <v>-231.73150000000001</v>
      </c>
      <c r="K1317">
        <v>1.110722</v>
      </c>
      <c r="L1317">
        <v>367.70420000000001</v>
      </c>
      <c r="M1317">
        <v>0.99986609999999998</v>
      </c>
      <c r="N1317">
        <v>-1.3857339999999999E-2</v>
      </c>
      <c r="O1317">
        <v>8.7204080000000007E-3</v>
      </c>
      <c r="P1317">
        <v>0.95452139999999996</v>
      </c>
      <c r="Q1317">
        <v>0.290298</v>
      </c>
      <c r="R1317">
        <v>-6.7942310000000006E-2</v>
      </c>
      <c r="S1317">
        <v>3.1775509999999998</v>
      </c>
      <c r="T1317">
        <v>-0.2380437</v>
      </c>
      <c r="U1317">
        <v>-0.53234859999999995</v>
      </c>
      <c r="V1317">
        <v>7.6249540000000005E-2</v>
      </c>
      <c r="W1317">
        <v>0.30349219999999999</v>
      </c>
      <c r="X1317">
        <v>0.94977809999999996</v>
      </c>
      <c r="Y1317">
        <v>0.17324879999999901</v>
      </c>
      <c r="Z1317">
        <v>-8.1744769999999994E-3</v>
      </c>
      <c r="AA1317">
        <v>0.9848441</v>
      </c>
      <c r="AB1317">
        <v>25</v>
      </c>
      <c r="AC1317">
        <v>14.700200000000001</v>
      </c>
      <c r="AD1317">
        <v>-1.110724166335</v>
      </c>
      <c r="AE1317">
        <v>-2.4850000000000101</v>
      </c>
      <c r="AF1317">
        <v>2.5986856108127099</v>
      </c>
      <c r="AG1317">
        <v>-1.110724166335</v>
      </c>
      <c r="AH1317">
        <v>14.596948782917</v>
      </c>
      <c r="AI1317">
        <v>94.284308475729603</v>
      </c>
      <c r="AJ1317">
        <v>79.905429021601194</v>
      </c>
      <c r="AK1317">
        <v>14.8680122695883</v>
      </c>
      <c r="AL1317">
        <v>72.3325254913902</v>
      </c>
      <c r="AM1317">
        <v>85.4100571326493</v>
      </c>
      <c r="AN1317">
        <v>0.99999997352532999</v>
      </c>
    </row>
    <row r="1318" spans="1:40" x14ac:dyDescent="0.25">
      <c r="A1318" t="str">
        <f>"20190304164842698"</f>
        <v>20190304164842698</v>
      </c>
      <c r="B1318" t="str">
        <f>"1551689322687499"</f>
        <v>1551689322687499</v>
      </c>
      <c r="C1318" t="s">
        <v>40</v>
      </c>
      <c r="D1318">
        <v>4.5885860000000003</v>
      </c>
      <c r="E1318">
        <v>0.55862290000000003</v>
      </c>
      <c r="F1318" t="s">
        <v>42</v>
      </c>
      <c r="G1318">
        <v>-217.75880000000001</v>
      </c>
      <c r="H1318" s="1">
        <v>-1.899178E-6</v>
      </c>
      <c r="I1318">
        <v>365.2928</v>
      </c>
      <c r="J1318">
        <v>-231.60599999999999</v>
      </c>
      <c r="K1318">
        <v>1.1107279999999999</v>
      </c>
      <c r="L1318">
        <v>367.7054</v>
      </c>
      <c r="M1318">
        <v>0.99986580000000003</v>
      </c>
      <c r="N1318">
        <v>-1.385601E-2</v>
      </c>
      <c r="O1318">
        <v>8.7466439999999996E-3</v>
      </c>
      <c r="P1318">
        <v>0.95443769999999994</v>
      </c>
      <c r="Q1318">
        <v>0.29057840000000001</v>
      </c>
      <c r="R1318">
        <v>-6.7919660000000007E-2</v>
      </c>
      <c r="S1318">
        <v>3.180771</v>
      </c>
      <c r="T1318">
        <v>-0.25284590000000001</v>
      </c>
      <c r="U1318">
        <v>-0.54895019999999894</v>
      </c>
      <c r="V1318">
        <v>7.6251070000000004E-2</v>
      </c>
      <c r="W1318">
        <v>0.30377029999999999</v>
      </c>
      <c r="X1318">
        <v>0.94968909999999995</v>
      </c>
      <c r="Y1318">
        <v>0.17802190000000001</v>
      </c>
      <c r="Z1318">
        <v>-8.8267069999999996E-3</v>
      </c>
      <c r="AA1318">
        <v>0.9839869</v>
      </c>
      <c r="AB1318">
        <v>25</v>
      </c>
      <c r="AC1318">
        <v>13.8471999999999</v>
      </c>
      <c r="AD1318">
        <v>-1.1107298991779999</v>
      </c>
      <c r="AE1318">
        <v>-2.4125999999999901</v>
      </c>
      <c r="AF1318">
        <v>2.5179124519128702</v>
      </c>
      <c r="AG1318">
        <v>-1.1107298991779999</v>
      </c>
      <c r="AH1318">
        <v>13.7397664847283</v>
      </c>
      <c r="AI1318">
        <v>94.546384757401796</v>
      </c>
      <c r="AJ1318">
        <v>79.615357197590797</v>
      </c>
      <c r="AK1318">
        <v>14.012665238251</v>
      </c>
      <c r="AL1318">
        <v>72.315802564944207</v>
      </c>
      <c r="AM1318">
        <v>85.409537109591696</v>
      </c>
      <c r="AN1318">
        <v>1.0000000037485199</v>
      </c>
    </row>
    <row r="1319" spans="1:40" x14ac:dyDescent="0.25">
      <c r="A1319" t="str">
        <f>"20190304164842709"</f>
        <v>20190304164842709</v>
      </c>
      <c r="B1319" t="str">
        <f>"1551689322697259"</f>
        <v>1551689322697259</v>
      </c>
      <c r="C1319" t="s">
        <v>40</v>
      </c>
      <c r="D1319">
        <v>4.6485629999999896</v>
      </c>
      <c r="E1319">
        <v>0.55857089999999998</v>
      </c>
      <c r="F1319" t="s">
        <v>42</v>
      </c>
      <c r="G1319">
        <v>-217.9718</v>
      </c>
      <c r="H1319" s="1">
        <v>-1.815838E-6</v>
      </c>
      <c r="I1319">
        <v>365.33359999999999</v>
      </c>
      <c r="J1319">
        <v>-231.47620000000001</v>
      </c>
      <c r="K1319">
        <v>1.1107340000000001</v>
      </c>
      <c r="L1319">
        <v>367.70650000000001</v>
      </c>
      <c r="M1319">
        <v>0.99986549999999996</v>
      </c>
      <c r="N1319">
        <v>-1.385464E-2</v>
      </c>
      <c r="O1319">
        <v>8.773477E-3</v>
      </c>
      <c r="P1319">
        <v>0.95398550000000004</v>
      </c>
      <c r="Q1319">
        <v>0.2919696</v>
      </c>
      <c r="R1319">
        <v>-6.8303349999999999E-2</v>
      </c>
      <c r="S1319">
        <v>3.1827549999999998</v>
      </c>
      <c r="T1319">
        <v>-0.25928620000000002</v>
      </c>
      <c r="U1319">
        <v>-0.55364990000000003</v>
      </c>
      <c r="V1319">
        <v>7.6656279999999993E-2</v>
      </c>
      <c r="W1319">
        <v>0.30515330000000002</v>
      </c>
      <c r="X1319">
        <v>0.94921299999999997</v>
      </c>
      <c r="Y1319">
        <v>0.17932029999999999</v>
      </c>
      <c r="Z1319">
        <v>-9.079887E-3</v>
      </c>
      <c r="AA1319">
        <v>0.98374890000000004</v>
      </c>
      <c r="AB1319">
        <v>25</v>
      </c>
      <c r="AC1319">
        <v>13.5044</v>
      </c>
      <c r="AD1319">
        <v>-1.1107358158380001</v>
      </c>
      <c r="AE1319">
        <v>-2.3729000000000098</v>
      </c>
      <c r="AF1319">
        <v>2.4750581693156701</v>
      </c>
      <c r="AG1319">
        <v>-1.1107358158380001</v>
      </c>
      <c r="AH1319">
        <v>13.395154751647601</v>
      </c>
      <c r="AI1319">
        <v>94.661611238546001</v>
      </c>
      <c r="AJ1319">
        <v>79.531377790079702</v>
      </c>
      <c r="AK1319">
        <v>13.667107148722801</v>
      </c>
      <c r="AL1319">
        <v>72.232613341129706</v>
      </c>
      <c r="AM1319">
        <v>85.382943132543801</v>
      </c>
      <c r="AN1319">
        <v>1.0000000205666599</v>
      </c>
    </row>
    <row r="1320" spans="1:40" x14ac:dyDescent="0.25">
      <c r="A1320" t="str">
        <f>"20190304164842722"</f>
        <v>20190304164842722</v>
      </c>
      <c r="B1320" t="str">
        <f>"1551689322717754"</f>
        <v>1551689322717754</v>
      </c>
      <c r="C1320" t="s">
        <v>40</v>
      </c>
      <c r="D1320">
        <v>4.6522610000000002</v>
      </c>
      <c r="E1320">
        <v>0.5582085</v>
      </c>
      <c r="F1320" t="s">
        <v>42</v>
      </c>
      <c r="G1320">
        <v>-217.98140000000001</v>
      </c>
      <c r="H1320" s="1">
        <v>-1.806823E-6</v>
      </c>
      <c r="I1320">
        <v>365.35520000000002</v>
      </c>
      <c r="J1320">
        <v>-231.34620000000001</v>
      </c>
      <c r="K1320">
        <v>1.1107400000000001</v>
      </c>
      <c r="L1320">
        <v>367.70769999999999</v>
      </c>
      <c r="M1320">
        <v>0.99986529999999996</v>
      </c>
      <c r="N1320">
        <v>-1.3853270000000001E-2</v>
      </c>
      <c r="O1320">
        <v>8.8006639999999997E-3</v>
      </c>
      <c r="P1320">
        <v>0.95339689999999999</v>
      </c>
      <c r="Q1320">
        <v>0.29375959999999901</v>
      </c>
      <c r="R1320">
        <v>-6.8845539999999997E-2</v>
      </c>
      <c r="S1320">
        <v>3.1852109999999998</v>
      </c>
      <c r="T1320">
        <v>-0.26216790000000001</v>
      </c>
      <c r="U1320">
        <v>-0.55499270000000001</v>
      </c>
      <c r="V1320">
        <v>7.721915E-2</v>
      </c>
      <c r="W1320">
        <v>0.30693369999999998</v>
      </c>
      <c r="X1320">
        <v>0.94859309999999997</v>
      </c>
      <c r="Y1320">
        <v>0.17960680000000001</v>
      </c>
      <c r="Z1320">
        <v>-9.1770459999999995E-3</v>
      </c>
      <c r="AA1320">
        <v>0.98369569999999995</v>
      </c>
      <c r="AB1320">
        <v>25</v>
      </c>
      <c r="AC1320">
        <v>13.364800000000001</v>
      </c>
      <c r="AD1320">
        <v>-1.1107418068229999</v>
      </c>
      <c r="AE1320">
        <v>-2.3524999999999601</v>
      </c>
      <c r="AF1320">
        <v>2.4536011125056101</v>
      </c>
      <c r="AG1320">
        <v>-1.1107418068229999</v>
      </c>
      <c r="AH1320">
        <v>13.254774964448799</v>
      </c>
      <c r="AI1320">
        <v>94.710502564419201</v>
      </c>
      <c r="AJ1320">
        <v>79.512647386869006</v>
      </c>
      <c r="AK1320">
        <v>13.5256410250639</v>
      </c>
      <c r="AL1320">
        <v>72.125461834120799</v>
      </c>
      <c r="AM1320">
        <v>85.346163363429</v>
      </c>
      <c r="AN1320">
        <v>0.999999981345011</v>
      </c>
    </row>
    <row r="1321" spans="1:40" x14ac:dyDescent="0.25">
      <c r="A1321" t="str">
        <f>"20190304164842737"</f>
        <v>20190304164842737</v>
      </c>
      <c r="B1321" t="str">
        <f>"1551689322727514"</f>
        <v>1551689322727514</v>
      </c>
      <c r="C1321" t="s">
        <v>40</v>
      </c>
      <c r="D1321">
        <v>4.6761330000000001</v>
      </c>
      <c r="E1321">
        <v>0.55842060000000004</v>
      </c>
      <c r="F1321" t="s">
        <v>42</v>
      </c>
      <c r="G1321">
        <v>-217.92339999999999</v>
      </c>
      <c r="H1321" s="1">
        <v>-1.8215620000000001E-6</v>
      </c>
      <c r="I1321">
        <v>365.37400000000002</v>
      </c>
      <c r="J1321">
        <v>-231.18860000000001</v>
      </c>
      <c r="K1321">
        <v>1.110744</v>
      </c>
      <c r="L1321">
        <v>367.70920000000001</v>
      </c>
      <c r="M1321">
        <v>0.99986509999999995</v>
      </c>
      <c r="N1321">
        <v>-1.385162E-2</v>
      </c>
      <c r="O1321">
        <v>8.8335710000000001E-3</v>
      </c>
      <c r="P1321">
        <v>0.95292880000000002</v>
      </c>
      <c r="Q1321">
        <v>0.29521609999999998</v>
      </c>
      <c r="R1321">
        <v>-6.9094559999999999E-2</v>
      </c>
      <c r="S1321">
        <v>3.1879119999999999</v>
      </c>
      <c r="T1321">
        <v>-0.26379989999999998</v>
      </c>
      <c r="U1321">
        <v>-0.55426030000000004</v>
      </c>
      <c r="V1321">
        <v>7.749549E-2</v>
      </c>
      <c r="W1321">
        <v>0.3083825</v>
      </c>
      <c r="X1321">
        <v>0.94810059999999996</v>
      </c>
      <c r="Y1321">
        <v>0.17927290000000001</v>
      </c>
      <c r="Z1321">
        <v>-9.2064369999999996E-3</v>
      </c>
      <c r="AA1321">
        <v>0.98375630000000003</v>
      </c>
      <c r="AB1321">
        <v>25</v>
      </c>
      <c r="AC1321">
        <v>13.2652</v>
      </c>
      <c r="AD1321">
        <v>-1.1107458215620001</v>
      </c>
      <c r="AE1321">
        <v>-2.33519999999998</v>
      </c>
      <c r="AF1321">
        <v>2.4357347306666801</v>
      </c>
      <c r="AG1321">
        <v>-1.1107458215620001</v>
      </c>
      <c r="AH1321">
        <v>13.154593052840401</v>
      </c>
      <c r="AI1321">
        <v>94.746186704092906</v>
      </c>
      <c r="AJ1321">
        <v>79.509790634645697</v>
      </c>
      <c r="AK1321">
        <v>13.424227290393</v>
      </c>
      <c r="AL1321">
        <v>72.038221164179802</v>
      </c>
      <c r="AM1321">
        <v>85.327167123035693</v>
      </c>
      <c r="AN1321">
        <v>1.0000000324984699</v>
      </c>
    </row>
    <row r="1322" spans="1:40" x14ac:dyDescent="0.25">
      <c r="A1322" t="str">
        <f>"20190304164842748"</f>
        <v>20190304164842748</v>
      </c>
      <c r="B1322" t="str">
        <f>"1551689322737274"</f>
        <v>1551689322737274</v>
      </c>
      <c r="C1322" t="s">
        <v>40</v>
      </c>
      <c r="D1322">
        <v>4.7866589999999896</v>
      </c>
      <c r="E1322">
        <v>0.55805190000000005</v>
      </c>
      <c r="F1322" t="s">
        <v>42</v>
      </c>
      <c r="G1322">
        <v>-217.5291</v>
      </c>
      <c r="H1322" s="1">
        <v>-1.9704269999999999E-6</v>
      </c>
      <c r="I1322">
        <v>365.31880000000001</v>
      </c>
      <c r="J1322">
        <v>-231.0472</v>
      </c>
      <c r="K1322">
        <v>1.110752</v>
      </c>
      <c r="L1322">
        <v>367.71039999999999</v>
      </c>
      <c r="M1322">
        <v>0.9998648</v>
      </c>
      <c r="N1322">
        <v>-1.385023E-2</v>
      </c>
      <c r="O1322">
        <v>8.8633219999999999E-3</v>
      </c>
      <c r="P1322">
        <v>0.95284899999999995</v>
      </c>
      <c r="Q1322">
        <v>0.29538300000000001</v>
      </c>
      <c r="R1322">
        <v>-6.9483249999999996E-2</v>
      </c>
      <c r="S1322">
        <v>3.1880489999999999</v>
      </c>
      <c r="T1322">
        <v>-0.25924029999999998</v>
      </c>
      <c r="U1322">
        <v>-0.55789180000000005</v>
      </c>
      <c r="V1322">
        <v>7.7911670000000002E-2</v>
      </c>
      <c r="W1322">
        <v>0.30854710000000002</v>
      </c>
      <c r="X1322">
        <v>0.94801290000000005</v>
      </c>
      <c r="Y1322">
        <v>0.18040129999999999</v>
      </c>
      <c r="Z1322">
        <v>-9.1214980000000005E-3</v>
      </c>
      <c r="AA1322">
        <v>0.98355079999999995</v>
      </c>
      <c r="AB1322">
        <v>25</v>
      </c>
      <c r="AC1322">
        <v>13.5181</v>
      </c>
      <c r="AD1322">
        <v>-1.110753970427</v>
      </c>
      <c r="AE1322">
        <v>-2.39159999999998</v>
      </c>
      <c r="AF1322">
        <v>2.4949989121668499</v>
      </c>
      <c r="AG1322">
        <v>-1.110753970427</v>
      </c>
      <c r="AH1322">
        <v>13.4085879688972</v>
      </c>
      <c r="AI1322">
        <v>94.655955323863097</v>
      </c>
      <c r="AJ1322">
        <v>79.4592555329384</v>
      </c>
      <c r="AK1322">
        <v>13.683896567651599</v>
      </c>
      <c r="AL1322">
        <v>72.028306207608196</v>
      </c>
      <c r="AM1322">
        <v>85.301751624468395</v>
      </c>
      <c r="AN1322">
        <v>0.99999999990350397</v>
      </c>
    </row>
    <row r="1323" spans="1:40" x14ac:dyDescent="0.25">
      <c r="A1323" t="str">
        <f>"20190304164842765"</f>
        <v>20190304164842765</v>
      </c>
      <c r="B1323" t="str">
        <f>"1551689322757770"</f>
        <v>1551689322757770</v>
      </c>
      <c r="C1323" t="s">
        <v>40</v>
      </c>
      <c r="D1323">
        <v>4.6720670000000002</v>
      </c>
      <c r="E1323">
        <v>0.55817989999999995</v>
      </c>
      <c r="F1323" t="s">
        <v>42</v>
      </c>
      <c r="G1323">
        <v>-217.56819999999999</v>
      </c>
      <c r="H1323" s="1">
        <v>-1.9469329999999998E-6</v>
      </c>
      <c r="I1323">
        <v>365.3571</v>
      </c>
      <c r="J1323">
        <v>-230.8698</v>
      </c>
      <c r="K1323">
        <v>1.110752</v>
      </c>
      <c r="L1323">
        <v>367.71199999999999</v>
      </c>
      <c r="M1323">
        <v>0.99986459999999999</v>
      </c>
      <c r="N1323">
        <v>-1.384845E-2</v>
      </c>
      <c r="O1323">
        <v>8.9005830000000001E-3</v>
      </c>
      <c r="P1323">
        <v>0.95301570000000002</v>
      </c>
      <c r="Q1323">
        <v>0.29478359999999998</v>
      </c>
      <c r="R1323">
        <v>-6.9741780000000003E-2</v>
      </c>
      <c r="S1323">
        <v>3.1893159999999998</v>
      </c>
      <c r="T1323">
        <v>-0.262818099999999</v>
      </c>
      <c r="U1323">
        <v>-0.55682369999999903</v>
      </c>
      <c r="V1323">
        <v>7.8207460000000006E-2</v>
      </c>
      <c r="W1323">
        <v>0.3079479</v>
      </c>
      <c r="X1323">
        <v>0.94818340000000001</v>
      </c>
      <c r="Y1323">
        <v>0.1800358</v>
      </c>
      <c r="Z1323">
        <v>-9.2132929999999991E-3</v>
      </c>
      <c r="AA1323">
        <v>0.98361690000000002</v>
      </c>
      <c r="AB1323">
        <v>25</v>
      </c>
      <c r="AC1323">
        <v>13.301600000000001</v>
      </c>
      <c r="AD1323">
        <v>-1.1107539469329999</v>
      </c>
      <c r="AE1323">
        <v>-2.3548999999999798</v>
      </c>
      <c r="AF1323">
        <v>2.4566004272847599</v>
      </c>
      <c r="AG1323">
        <v>-1.1107539469329999</v>
      </c>
      <c r="AH1323">
        <v>13.1909243038195</v>
      </c>
      <c r="AI1323">
        <v>94.732301944840501</v>
      </c>
      <c r="AJ1323">
        <v>79.450426031435398</v>
      </c>
      <c r="AK1323">
        <v>13.463622988596301</v>
      </c>
      <c r="AL1323">
        <v>72.064395853235297</v>
      </c>
      <c r="AM1323">
        <v>85.284839322340503</v>
      </c>
      <c r="AN1323">
        <v>1.00000003797481</v>
      </c>
    </row>
    <row r="1324" spans="1:40" x14ac:dyDescent="0.25">
      <c r="A1324" t="str">
        <f>"20190304164842779"</f>
        <v>20190304164842779</v>
      </c>
      <c r="B1324" t="str">
        <f>"1551689322767530"</f>
        <v>1551689322767530</v>
      </c>
      <c r="C1324" t="s">
        <v>40</v>
      </c>
      <c r="D1324">
        <v>4.6310609999999999</v>
      </c>
      <c r="E1324">
        <v>0.55827079999999996</v>
      </c>
      <c r="F1324" t="s">
        <v>42</v>
      </c>
      <c r="G1324">
        <v>-217.76060000000001</v>
      </c>
      <c r="H1324" s="1">
        <v>-1.8661340000000001E-6</v>
      </c>
      <c r="I1324">
        <v>365.41469999999998</v>
      </c>
      <c r="J1324">
        <v>-230.7184</v>
      </c>
      <c r="K1324">
        <v>1.1107530000000001</v>
      </c>
      <c r="L1324">
        <v>367.71339999999998</v>
      </c>
      <c r="M1324">
        <v>0.99986430000000004</v>
      </c>
      <c r="N1324">
        <v>-1.3846860000000001E-2</v>
      </c>
      <c r="O1324">
        <v>8.9321230000000001E-3</v>
      </c>
      <c r="P1324">
        <v>0.95306570000000002</v>
      </c>
      <c r="Q1324">
        <v>0.29455799999999999</v>
      </c>
      <c r="R1324">
        <v>-7.0011519999999994E-2</v>
      </c>
      <c r="S1324">
        <v>3.190598</v>
      </c>
      <c r="T1324">
        <v>-0.27034069999999999</v>
      </c>
      <c r="U1324">
        <v>-0.5591431</v>
      </c>
      <c r="V1324">
        <v>7.8507599999999997E-2</v>
      </c>
      <c r="W1324">
        <v>0.30772149999999998</v>
      </c>
      <c r="X1324">
        <v>0.94823210000000002</v>
      </c>
      <c r="Y1324">
        <v>0.18065300000000001</v>
      </c>
      <c r="Z1324">
        <v>-9.4724140000000002E-3</v>
      </c>
      <c r="AA1324">
        <v>0.98350130000000002</v>
      </c>
      <c r="AB1324">
        <v>25</v>
      </c>
      <c r="AC1324">
        <v>12.957799999999899</v>
      </c>
      <c r="AD1324">
        <v>-1.1107548661339901</v>
      </c>
      <c r="AE1324">
        <v>-2.29869999999999</v>
      </c>
      <c r="AF1324">
        <v>2.3972820638827801</v>
      </c>
      <c r="AG1324">
        <v>-1.1107548661339901</v>
      </c>
      <c r="AH1324">
        <v>12.8452406791115</v>
      </c>
      <c r="AI1324">
        <v>94.858713900907802</v>
      </c>
      <c r="AJ1324">
        <v>79.428615340141505</v>
      </c>
      <c r="AK1324">
        <v>13.1141505928046</v>
      </c>
      <c r="AL1324">
        <v>72.078029717926</v>
      </c>
      <c r="AM1324">
        <v>85.267067799278195</v>
      </c>
      <c r="AN1324">
        <v>1.0000000401452001</v>
      </c>
    </row>
    <row r="1325" spans="1:40" x14ac:dyDescent="0.25">
      <c r="A1325" t="str">
        <f>"20190304164842793"</f>
        <v>20190304164842793</v>
      </c>
      <c r="B1325" t="str">
        <f>"1551689322787051"</f>
        <v>1551689322787051</v>
      </c>
      <c r="C1325" t="s">
        <v>40</v>
      </c>
      <c r="D1325">
        <v>4.8238529999999997</v>
      </c>
      <c r="E1325">
        <v>0.55818650000000003</v>
      </c>
      <c r="F1325" t="s">
        <v>42</v>
      </c>
      <c r="G1325">
        <v>-217.69820000000001</v>
      </c>
      <c r="H1325" s="1">
        <v>-1.8851050000000001E-6</v>
      </c>
      <c r="I1325">
        <v>365.42309999999998</v>
      </c>
      <c r="J1325">
        <v>-230.5488</v>
      </c>
      <c r="K1325">
        <v>1.1107499999999999</v>
      </c>
      <c r="L1325">
        <v>367.71499999999997</v>
      </c>
      <c r="M1325">
        <v>0.99986399999999998</v>
      </c>
      <c r="N1325">
        <v>-1.384497E-2</v>
      </c>
      <c r="O1325">
        <v>8.9672450000000004E-3</v>
      </c>
      <c r="P1325">
        <v>0.95296449999999999</v>
      </c>
      <c r="Q1325">
        <v>0.29456779999999999</v>
      </c>
      <c r="R1325">
        <v>-7.1335060000000006E-2</v>
      </c>
      <c r="S1325">
        <v>3.1906430000000001</v>
      </c>
      <c r="T1325">
        <v>-0.27219389999999999</v>
      </c>
      <c r="U1325">
        <v>-0.56124879999999999</v>
      </c>
      <c r="V1325">
        <v>7.9863379999999998E-2</v>
      </c>
      <c r="W1325">
        <v>0.30772830000000001</v>
      </c>
      <c r="X1325">
        <v>0.94811659999999998</v>
      </c>
      <c r="Y1325">
        <v>0.1813024</v>
      </c>
      <c r="Z1325">
        <v>-9.5631629999999995E-3</v>
      </c>
      <c r="AA1325">
        <v>0.9833809</v>
      </c>
      <c r="AB1325">
        <v>25</v>
      </c>
      <c r="AC1325">
        <v>12.850599999999901</v>
      </c>
      <c r="AD1325">
        <v>-1.110751885105</v>
      </c>
      <c r="AE1325">
        <v>-2.2918999999999898</v>
      </c>
      <c r="AF1325">
        <v>2.3897495877971102</v>
      </c>
      <c r="AG1325">
        <v>-1.110751885105</v>
      </c>
      <c r="AH1325">
        <v>12.7373006360953</v>
      </c>
      <c r="AI1325">
        <v>94.898802759566095</v>
      </c>
      <c r="AJ1325">
        <v>79.373801770581693</v>
      </c>
      <c r="AK1325">
        <v>13.0070557904899</v>
      </c>
      <c r="AL1325">
        <v>72.077619059934307</v>
      </c>
      <c r="AM1325">
        <v>85.185130058808198</v>
      </c>
      <c r="AN1325">
        <v>0.99999997664073603</v>
      </c>
    </row>
    <row r="1326" spans="1:40" x14ac:dyDescent="0.25">
      <c r="A1326" t="str">
        <f>"20190304164842807"</f>
        <v>20190304164842807</v>
      </c>
      <c r="B1326" t="str">
        <f>"1551689322797786"</f>
        <v>1551689322797786</v>
      </c>
      <c r="C1326" t="s">
        <v>40</v>
      </c>
      <c r="D1326">
        <v>4.7766520000000003</v>
      </c>
      <c r="E1326">
        <v>0.55798389999999998</v>
      </c>
      <c r="F1326" t="s">
        <v>42</v>
      </c>
      <c r="G1326">
        <v>-217.7354</v>
      </c>
      <c r="H1326" s="1">
        <v>-1.865363E-6</v>
      </c>
      <c r="I1326">
        <v>365.44979999999998</v>
      </c>
      <c r="J1326">
        <v>-230.41120000000001</v>
      </c>
      <c r="K1326">
        <v>1.110746</v>
      </c>
      <c r="L1326">
        <v>367.71629999999999</v>
      </c>
      <c r="M1326">
        <v>0.99986379999999997</v>
      </c>
      <c r="N1326">
        <v>-1.3843390000000001E-2</v>
      </c>
      <c r="O1326">
        <v>8.9960999999999999E-3</v>
      </c>
      <c r="P1326">
        <v>0.95311820000000003</v>
      </c>
      <c r="Q1326">
        <v>0.29395690000000002</v>
      </c>
      <c r="R1326">
        <v>-7.1800489999999995E-2</v>
      </c>
      <c r="S1326">
        <v>3.1913450000000001</v>
      </c>
      <c r="T1326">
        <v>-0.2766459</v>
      </c>
      <c r="U1326">
        <v>-0.56417850000000003</v>
      </c>
      <c r="V1326">
        <v>8.0357949999999997E-2</v>
      </c>
      <c r="W1326">
        <v>0.30711749999999999</v>
      </c>
      <c r="X1326">
        <v>0.94827289999999997</v>
      </c>
      <c r="Y1326">
        <v>0.18214250000000001</v>
      </c>
      <c r="Z1326">
        <v>-9.7419229999999996E-3</v>
      </c>
      <c r="AA1326">
        <v>0.98322390000000004</v>
      </c>
      <c r="AB1326">
        <v>25</v>
      </c>
      <c r="AC1326">
        <v>12.675800000000001</v>
      </c>
      <c r="AD1326">
        <v>-1.1107478653630001</v>
      </c>
      <c r="AE1326">
        <v>-2.2665000000000002</v>
      </c>
      <c r="AF1326">
        <v>2.3628705864319599</v>
      </c>
      <c r="AG1326">
        <v>-1.1107478653630001</v>
      </c>
      <c r="AH1326">
        <v>12.5614297829969</v>
      </c>
      <c r="AI1326">
        <v>94.9665948313434</v>
      </c>
      <c r="AJ1326">
        <v>79.346849217916201</v>
      </c>
      <c r="AK1326">
        <v>12.829903991137099</v>
      </c>
      <c r="AL1326">
        <v>72.114397248118607</v>
      </c>
      <c r="AM1326">
        <v>85.156249195040303</v>
      </c>
      <c r="AN1326">
        <v>1.0000000259044299</v>
      </c>
    </row>
    <row r="1327" spans="1:40" x14ac:dyDescent="0.25">
      <c r="A1327" t="str">
        <f>"20190304164842823"</f>
        <v>20190304164842823</v>
      </c>
      <c r="B1327" t="str">
        <f>"1551689322817307"</f>
        <v>1551689322817307</v>
      </c>
      <c r="C1327" t="s">
        <v>40</v>
      </c>
      <c r="D1327">
        <v>4.8851110000000002</v>
      </c>
      <c r="E1327">
        <v>0.55804500000000001</v>
      </c>
      <c r="F1327" t="s">
        <v>42</v>
      </c>
      <c r="G1327">
        <v>-217.83869999999999</v>
      </c>
      <c r="H1327" s="1">
        <v>-1.8185850000000001E-6</v>
      </c>
      <c r="I1327">
        <v>365.49340000000001</v>
      </c>
      <c r="J1327">
        <v>-230.2396</v>
      </c>
      <c r="K1327">
        <v>1.1107359999999999</v>
      </c>
      <c r="L1327">
        <v>367.71780000000001</v>
      </c>
      <c r="M1327">
        <v>0.99986339999999996</v>
      </c>
      <c r="N1327">
        <v>-1.384144E-2</v>
      </c>
      <c r="O1327">
        <v>9.0319909999999996E-3</v>
      </c>
      <c r="P1327">
        <v>0.95330870000000001</v>
      </c>
      <c r="Q1327">
        <v>0.29324519999999998</v>
      </c>
      <c r="R1327">
        <v>-7.2180320000000006E-2</v>
      </c>
      <c r="S1327">
        <v>3.192062</v>
      </c>
      <c r="T1327">
        <v>-0.2820106</v>
      </c>
      <c r="U1327">
        <v>-0.56436160000000002</v>
      </c>
      <c r="V1327">
        <v>8.0773960000000006E-2</v>
      </c>
      <c r="W1327">
        <v>0.30640630000000002</v>
      </c>
      <c r="X1327">
        <v>0.94846759999999997</v>
      </c>
      <c r="Y1327">
        <v>0.18216570000000001</v>
      </c>
      <c r="Z1327">
        <v>-9.9097089999999992E-3</v>
      </c>
      <c r="AA1327">
        <v>0.98321789999999998</v>
      </c>
      <c r="AB1327">
        <v>25</v>
      </c>
      <c r="AC1327">
        <v>12.4009</v>
      </c>
      <c r="AD1327">
        <v>-1.1107378185850001</v>
      </c>
      <c r="AE1327">
        <v>-2.2244000000000002</v>
      </c>
      <c r="AF1327">
        <v>2.3183056607552399</v>
      </c>
      <c r="AG1327">
        <v>-1.1107378185850001</v>
      </c>
      <c r="AH1327">
        <v>12.284817077912299</v>
      </c>
      <c r="AI1327">
        <v>95.0772432217382</v>
      </c>
      <c r="AJ1327">
        <v>79.313215698715993</v>
      </c>
      <c r="AK1327">
        <v>12.5508967917073</v>
      </c>
      <c r="AL1327">
        <v>72.157210082169797</v>
      </c>
      <c r="AM1327">
        <v>85.132288151336496</v>
      </c>
      <c r="AN1327">
        <v>1.0000000207717601</v>
      </c>
    </row>
    <row r="1328" spans="1:40" x14ac:dyDescent="0.25">
      <c r="A1328" t="str">
        <f>"20190304164842836"</f>
        <v>20190304164842836</v>
      </c>
      <c r="B1328" t="str">
        <f>"1551689322827066"</f>
        <v>1551689322827066</v>
      </c>
      <c r="C1328" t="s">
        <v>40</v>
      </c>
      <c r="D1328">
        <v>4.8423080000000001</v>
      </c>
      <c r="E1328">
        <v>0.52650839999999999</v>
      </c>
      <c r="F1328" t="s">
        <v>42</v>
      </c>
      <c r="G1328">
        <v>-217.78880000000001</v>
      </c>
      <c r="H1328" s="1">
        <v>-1.831792E-6</v>
      </c>
      <c r="I1328">
        <v>365.50779999999997</v>
      </c>
      <c r="J1328">
        <v>-230.078</v>
      </c>
      <c r="K1328">
        <v>1.1107340000000001</v>
      </c>
      <c r="L1328">
        <v>367.71940000000001</v>
      </c>
      <c r="M1328">
        <v>0.99986319999999995</v>
      </c>
      <c r="N1328">
        <v>-1.383961E-2</v>
      </c>
      <c r="O1328">
        <v>9.0655579999999996E-3</v>
      </c>
      <c r="P1328">
        <v>0.95355080000000003</v>
      </c>
      <c r="Q1328">
        <v>0.29248580000000002</v>
      </c>
      <c r="R1328">
        <v>-7.2064139999999999E-2</v>
      </c>
      <c r="S1328">
        <v>3.1916199999999999</v>
      </c>
      <c r="T1328">
        <v>-0.28472239999999999</v>
      </c>
      <c r="U1328">
        <v>-0.56652829999999998</v>
      </c>
      <c r="V1328">
        <v>8.0692020000000003E-2</v>
      </c>
      <c r="W1328">
        <v>0.30564910000000001</v>
      </c>
      <c r="X1328">
        <v>0.94871879999999997</v>
      </c>
      <c r="Y1328">
        <v>0.18285100000000001</v>
      </c>
      <c r="Z1328">
        <v>-1.003187E-2</v>
      </c>
      <c r="AA1328">
        <v>0.9830894</v>
      </c>
      <c r="AB1328">
        <v>25</v>
      </c>
      <c r="AC1328">
        <v>12.2891999999999</v>
      </c>
      <c r="AD1328">
        <v>-1.110735831792</v>
      </c>
      <c r="AE1328">
        <v>-2.21160000000003</v>
      </c>
      <c r="AF1328">
        <v>2.3046915817689602</v>
      </c>
      <c r="AG1328">
        <v>-1.110735831792</v>
      </c>
      <c r="AH1328">
        <v>12.172326021205301</v>
      </c>
      <c r="AI1328">
        <v>95.123325187578203</v>
      </c>
      <c r="AJ1328">
        <v>79.278610529819403</v>
      </c>
      <c r="AK1328">
        <v>12.438281961011199</v>
      </c>
      <c r="AL1328">
        <v>72.202779840089903</v>
      </c>
      <c r="AM1328">
        <v>85.138483832736199</v>
      </c>
      <c r="AN1328">
        <v>0.99999996794796397</v>
      </c>
    </row>
    <row r="1329" spans="1:40" x14ac:dyDescent="0.25">
      <c r="A1329" t="str">
        <f>"20190304164842848"</f>
        <v>20190304164842848</v>
      </c>
      <c r="B1329" t="str">
        <f>"1551689322837803"</f>
        <v>1551689322837803</v>
      </c>
      <c r="C1329" t="s">
        <v>40</v>
      </c>
      <c r="D1329">
        <v>4.666175</v>
      </c>
      <c r="E1329">
        <v>0.52650839999999999</v>
      </c>
      <c r="F1329" t="s">
        <v>41</v>
      </c>
      <c r="G1329">
        <v>-229.1525</v>
      </c>
      <c r="H1329">
        <v>1.0350980000000001</v>
      </c>
      <c r="I1329">
        <v>367.6275</v>
      </c>
      <c r="J1329">
        <v>-229.94669999999999</v>
      </c>
      <c r="K1329">
        <v>1.1107260000000001</v>
      </c>
      <c r="L1329">
        <v>367.72059999999999</v>
      </c>
      <c r="M1329">
        <v>0.9998629</v>
      </c>
      <c r="N1329">
        <v>-1.383815E-2</v>
      </c>
      <c r="O1329">
        <v>9.0931029999999999E-3</v>
      </c>
      <c r="P1329">
        <v>0.95382900000000004</v>
      </c>
      <c r="Q1329">
        <v>0.29149989999999998</v>
      </c>
      <c r="R1329">
        <v>-7.2375789999999995E-2</v>
      </c>
      <c r="S1329">
        <v>3.2024539999999999</v>
      </c>
      <c r="T1329">
        <v>-0.26181290000000002</v>
      </c>
      <c r="U1329">
        <v>-0.31750489999999998</v>
      </c>
      <c r="V1329">
        <v>8.1032419999999994E-2</v>
      </c>
      <c r="W1329">
        <v>0.30466559999999998</v>
      </c>
      <c r="X1329">
        <v>0.94900609999999996</v>
      </c>
      <c r="Y1329">
        <v>0.1072702</v>
      </c>
      <c r="Z1329">
        <v>-5.7274989999999996E-3</v>
      </c>
      <c r="AA1329">
        <v>0.99421340000000002</v>
      </c>
      <c r="AB1329">
        <v>25</v>
      </c>
      <c r="AC1329">
        <v>0.79419999999998903</v>
      </c>
      <c r="AD1329">
        <v>-7.5628000000000195E-2</v>
      </c>
      <c r="AE1329">
        <v>-9.3099999999992605E-2</v>
      </c>
      <c r="AF1329">
        <v>9.9429194507974994E-2</v>
      </c>
      <c r="AG1329">
        <v>-7.5628000000000195E-2</v>
      </c>
      <c r="AH1329">
        <v>0.78628720627844495</v>
      </c>
      <c r="AI1329">
        <v>95.450874418651395</v>
      </c>
      <c r="AJ1329">
        <v>82.792969678440102</v>
      </c>
      <c r="AK1329">
        <v>0.79614906258920304</v>
      </c>
      <c r="AL1329">
        <v>72.261952883104897</v>
      </c>
      <c r="AM1329">
        <v>85.119545197359201</v>
      </c>
      <c r="AN1329">
        <v>0.99999997937581298</v>
      </c>
    </row>
    <row r="1330" spans="1:40" x14ac:dyDescent="0.25">
      <c r="A1330" t="str">
        <f>"20190304164842862"</f>
        <v>20190304164842862</v>
      </c>
      <c r="B1330" t="str">
        <f>"1551689322857323"</f>
        <v>1551689322857323</v>
      </c>
      <c r="C1330" t="s">
        <v>40</v>
      </c>
      <c r="D1330">
        <v>4.6565589999999997</v>
      </c>
      <c r="E1330">
        <v>0.47995700000000002</v>
      </c>
      <c r="F1330" t="s">
        <v>41</v>
      </c>
      <c r="G1330">
        <v>-229.1474</v>
      </c>
      <c r="H1330">
        <v>1.0446009999999999</v>
      </c>
      <c r="I1330">
        <v>367.64060000000001</v>
      </c>
      <c r="J1330">
        <v>-229.81209999999999</v>
      </c>
      <c r="K1330">
        <v>1.1107209999999901</v>
      </c>
      <c r="L1330">
        <v>367.72179999999997</v>
      </c>
      <c r="M1330">
        <v>0.99986280000000005</v>
      </c>
      <c r="N1330">
        <v>-1.3836660000000001E-2</v>
      </c>
      <c r="O1330">
        <v>9.1210070000000004E-3</v>
      </c>
      <c r="P1330">
        <v>0.95389610000000002</v>
      </c>
      <c r="Q1330">
        <v>0.29120699999999999</v>
      </c>
      <c r="R1330">
        <v>-7.2670789999999999E-2</v>
      </c>
      <c r="S1330">
        <v>3.2019039999999999</v>
      </c>
      <c r="T1330">
        <v>-0.2649939</v>
      </c>
      <c r="U1330">
        <v>-0.32003779999999998</v>
      </c>
      <c r="V1330">
        <v>8.1354549999999998E-2</v>
      </c>
      <c r="W1330">
        <v>0.30437170000000002</v>
      </c>
      <c r="X1330">
        <v>0.94907280000000005</v>
      </c>
      <c r="Y1330">
        <v>0.10808</v>
      </c>
      <c r="Z1330">
        <v>-5.8309440000000002E-3</v>
      </c>
      <c r="AA1330">
        <v>0.99412509999999998</v>
      </c>
      <c r="AB1330">
        <v>25</v>
      </c>
      <c r="AC1330">
        <v>0.66469999999998197</v>
      </c>
      <c r="AD1330">
        <v>-6.6119999999999707E-2</v>
      </c>
      <c r="AE1330">
        <v>-8.1199999999967007E-2</v>
      </c>
      <c r="AF1330">
        <v>8.6417410388528806E-2</v>
      </c>
      <c r="AG1330">
        <v>-6.6119999999999707E-2</v>
      </c>
      <c r="AH1330">
        <v>0.65752116317611597</v>
      </c>
      <c r="AI1330">
        <v>95.693692113292101</v>
      </c>
      <c r="AJ1330">
        <v>82.512582402123101</v>
      </c>
      <c r="AK1330">
        <v>0.66646372987787705</v>
      </c>
      <c r="AL1330">
        <v>72.279630973135298</v>
      </c>
      <c r="AM1330">
        <v>85.100580756826403</v>
      </c>
      <c r="AN1330">
        <v>0.999999937133214</v>
      </c>
    </row>
    <row r="1331" spans="1:40" x14ac:dyDescent="0.25">
      <c r="A1331" t="str">
        <f>"20190304164842872"</f>
        <v>20190304164842872</v>
      </c>
      <c r="B1331" t="str">
        <f>"1551689322867082"</f>
        <v>1551689322867082</v>
      </c>
      <c r="C1331" t="s">
        <v>40</v>
      </c>
      <c r="D1331">
        <v>4.6364669999999997</v>
      </c>
      <c r="E1331">
        <v>0.4775065</v>
      </c>
      <c r="F1331" t="s">
        <v>41</v>
      </c>
      <c r="G1331">
        <v>-228.93790000000001</v>
      </c>
      <c r="H1331">
        <v>1.0261690000000001</v>
      </c>
      <c r="I1331">
        <v>367.73649999999998</v>
      </c>
      <c r="J1331">
        <v>-229.68029999999999</v>
      </c>
      <c r="K1331">
        <v>1.1107199999999999</v>
      </c>
      <c r="L1331">
        <v>367.72309999999999</v>
      </c>
      <c r="M1331">
        <v>0.99986240000000004</v>
      </c>
      <c r="N1331">
        <v>-1.3835190000000001E-2</v>
      </c>
      <c r="O1331">
        <v>9.1483160000000001E-3</v>
      </c>
      <c r="P1331">
        <v>0.95399009999999995</v>
      </c>
      <c r="Q1331">
        <v>0.2908464</v>
      </c>
      <c r="R1331">
        <v>-7.2879029999999997E-2</v>
      </c>
      <c r="S1331">
        <v>3.2450709999999998</v>
      </c>
      <c r="T1331">
        <v>-0.31405290000000002</v>
      </c>
      <c r="U1331">
        <v>5.5236819999999999E-2</v>
      </c>
      <c r="V1331">
        <v>8.1589620000000002E-2</v>
      </c>
      <c r="W1331">
        <v>0.30401149999999999</v>
      </c>
      <c r="X1331">
        <v>0.94916809999999996</v>
      </c>
      <c r="Y1331">
        <v>-7.8601049999999992E-3</v>
      </c>
      <c r="Z1331">
        <v>-3.2293479999999998E-4</v>
      </c>
      <c r="AA1331">
        <v>0.99996910000000006</v>
      </c>
      <c r="AB1331">
        <v>25</v>
      </c>
      <c r="AC1331">
        <v>0.74239999999997497</v>
      </c>
      <c r="AD1331">
        <v>-8.4551000000000001E-2</v>
      </c>
      <c r="AE1331">
        <v>1.339999999999E-2</v>
      </c>
      <c r="AF1331">
        <v>-6.52250543555896E-3</v>
      </c>
      <c r="AG1331">
        <v>-8.4551000000000001E-2</v>
      </c>
      <c r="AH1331">
        <v>0.73298730451126604</v>
      </c>
      <c r="AI1331">
        <v>96.579799712900595</v>
      </c>
      <c r="AJ1331">
        <v>90.509834437111607</v>
      </c>
      <c r="AK1331">
        <v>0.73787655014429598</v>
      </c>
      <c r="AL1331">
        <v>72.301296184946096</v>
      </c>
      <c r="AM1331">
        <v>85.086984250077705</v>
      </c>
      <c r="AN1331">
        <v>0.999999970140801</v>
      </c>
    </row>
    <row r="1332" spans="1:40" x14ac:dyDescent="0.25">
      <c r="A1332" t="str">
        <f>"20190304164842884"</f>
        <v>20190304164842884</v>
      </c>
      <c r="B1332" t="str">
        <f>"1551689322877819"</f>
        <v>1551689322877819</v>
      </c>
      <c r="C1332" t="s">
        <v>40</v>
      </c>
      <c r="D1332">
        <v>4.6343759999999996</v>
      </c>
      <c r="E1332">
        <v>0.47636099999999998</v>
      </c>
      <c r="F1332" t="s">
        <v>41</v>
      </c>
      <c r="G1332">
        <v>-228.92750000000001</v>
      </c>
      <c r="H1332">
        <v>1.0367630000000001</v>
      </c>
      <c r="I1332">
        <v>367.74029999999999</v>
      </c>
      <c r="J1332">
        <v>-229.554</v>
      </c>
      <c r="K1332">
        <v>1.1107260000000001</v>
      </c>
      <c r="L1332">
        <v>367.72430000000003</v>
      </c>
      <c r="M1332">
        <v>0.99986229999999998</v>
      </c>
      <c r="N1332">
        <v>-1.383377E-2</v>
      </c>
      <c r="O1332">
        <v>9.1746669999999992E-3</v>
      </c>
      <c r="P1332">
        <v>0.95404979999999995</v>
      </c>
      <c r="Q1332">
        <v>0.29063220000000001</v>
      </c>
      <c r="R1332">
        <v>-7.2952610000000001E-2</v>
      </c>
      <c r="S1332">
        <v>3.2477719999999999</v>
      </c>
      <c r="T1332">
        <v>-0.31932369999999999</v>
      </c>
      <c r="U1332">
        <v>7.4829099999999996E-2</v>
      </c>
      <c r="V1332">
        <v>8.1689129999999999E-2</v>
      </c>
      <c r="W1332">
        <v>0.30379620000000002</v>
      </c>
      <c r="X1332">
        <v>0.94922850000000003</v>
      </c>
      <c r="Y1332">
        <v>-1.381658E-2</v>
      </c>
      <c r="Z1332" s="1">
        <v>2.653687E-7</v>
      </c>
      <c r="AA1332">
        <v>0.99990460000000003</v>
      </c>
      <c r="AB1332">
        <v>25</v>
      </c>
      <c r="AC1332">
        <v>0.62649999999999295</v>
      </c>
      <c r="AD1332">
        <v>-7.3963000000000195E-2</v>
      </c>
      <c r="AE1332">
        <v>1.59999999999627E-2</v>
      </c>
      <c r="AF1332">
        <v>-1.01100306279878E-2</v>
      </c>
      <c r="AG1332">
        <v>-7.3963000000000195E-2</v>
      </c>
      <c r="AH1332">
        <v>0.61801246133213295</v>
      </c>
      <c r="AI1332">
        <v>96.823727108513296</v>
      </c>
      <c r="AJ1332">
        <v>90.937214792888199</v>
      </c>
      <c r="AK1332">
        <v>0.62250473126724104</v>
      </c>
      <c r="AL1332">
        <v>72.314244838313897</v>
      </c>
      <c r="AM1332">
        <v>85.081332982089506</v>
      </c>
      <c r="AN1332">
        <v>0.99999999515342297</v>
      </c>
    </row>
    <row r="1333" spans="1:40" x14ac:dyDescent="0.25">
      <c r="A1333" t="str">
        <f>"20190304164842896"</f>
        <v>20190304164842896</v>
      </c>
      <c r="B1333" t="str">
        <f>"1551689322887578"</f>
        <v>1551689322887578</v>
      </c>
      <c r="C1333" t="s">
        <v>40</v>
      </c>
      <c r="D1333">
        <v>4.6617739999999896</v>
      </c>
      <c r="E1333">
        <v>0.4757168</v>
      </c>
      <c r="F1333" t="s">
        <v>41</v>
      </c>
      <c r="G1333">
        <v>-228.71629999999999</v>
      </c>
      <c r="H1333">
        <v>1.0284340000000001</v>
      </c>
      <c r="I1333">
        <v>367.74549999999999</v>
      </c>
      <c r="J1333">
        <v>-229.42859999999999</v>
      </c>
      <c r="K1333">
        <v>1.11073</v>
      </c>
      <c r="L1333">
        <v>367.72539999999998</v>
      </c>
      <c r="M1333">
        <v>0.99986209999999998</v>
      </c>
      <c r="N1333">
        <v>-1.383237E-2</v>
      </c>
      <c r="O1333">
        <v>9.2008990000000002E-3</v>
      </c>
      <c r="P1333">
        <v>0.95410839999999997</v>
      </c>
      <c r="Q1333">
        <v>0.29039720000000002</v>
      </c>
      <c r="R1333">
        <v>-7.3121409999999998E-2</v>
      </c>
      <c r="S1333">
        <v>3.248154</v>
      </c>
      <c r="T1333">
        <v>-0.31932319999999997</v>
      </c>
      <c r="U1333">
        <v>8.3312990000000003E-2</v>
      </c>
      <c r="V1333">
        <v>8.1883639999999994E-2</v>
      </c>
      <c r="W1333">
        <v>0.30356090000000002</v>
      </c>
      <c r="X1333">
        <v>0.94928710000000005</v>
      </c>
      <c r="Y1333">
        <v>-1.6383700000000001E-2</v>
      </c>
      <c r="Z1333">
        <v>1.4173729999999901E-4</v>
      </c>
      <c r="AA1333">
        <v>0.99986580000000003</v>
      </c>
      <c r="AB1333">
        <v>25</v>
      </c>
      <c r="AC1333">
        <v>0.71229999999999805</v>
      </c>
      <c r="AD1333">
        <v>-8.2295999999999897E-2</v>
      </c>
      <c r="AE1333">
        <v>2.0100000000013499E-2</v>
      </c>
      <c r="AF1333">
        <v>-1.3366442648946399E-2</v>
      </c>
      <c r="AG1333">
        <v>-8.2295999999999897E-2</v>
      </c>
      <c r="AH1333">
        <v>0.70307725874988902</v>
      </c>
      <c r="AI1333">
        <v>96.674962130577995</v>
      </c>
      <c r="AJ1333">
        <v>91.089138491009507</v>
      </c>
      <c r="AK1333">
        <v>0.70800347822333898</v>
      </c>
      <c r="AL1333">
        <v>72.3283962183733</v>
      </c>
      <c r="AM1333">
        <v>85.069981655816306</v>
      </c>
      <c r="AN1333">
        <v>1.00000007436743</v>
      </c>
    </row>
    <row r="1334" spans="1:40" x14ac:dyDescent="0.25">
      <c r="A1334" t="str">
        <f>"20190304164842909"</f>
        <v>20190304164842909</v>
      </c>
      <c r="B1334" t="str">
        <f>"1551689322897339"</f>
        <v>1551689322897339</v>
      </c>
      <c r="C1334" t="s">
        <v>40</v>
      </c>
      <c r="D1334">
        <v>4.6576890000000004</v>
      </c>
      <c r="E1334">
        <v>0.47514499999999998</v>
      </c>
      <c r="F1334" t="s">
        <v>41</v>
      </c>
      <c r="G1334">
        <v>-228.50290000000001</v>
      </c>
      <c r="H1334">
        <v>1.020356</v>
      </c>
      <c r="I1334">
        <v>367.75029999999998</v>
      </c>
      <c r="J1334">
        <v>-229.29480000000001</v>
      </c>
      <c r="K1334">
        <v>1.1107309999999999</v>
      </c>
      <c r="L1334">
        <v>367.72669999999999</v>
      </c>
      <c r="M1334">
        <v>0.99986180000000002</v>
      </c>
      <c r="N1334">
        <v>-1.383091E-2</v>
      </c>
      <c r="O1334">
        <v>9.2290989999999993E-3</v>
      </c>
      <c r="P1334">
        <v>0.95400510000000005</v>
      </c>
      <c r="Q1334">
        <v>0.29067500000000002</v>
      </c>
      <c r="R1334">
        <v>-7.3364390000000002E-2</v>
      </c>
      <c r="S1334">
        <v>3.247528</v>
      </c>
      <c r="T1334">
        <v>-0.317127299999999</v>
      </c>
      <c r="U1334">
        <v>8.7463379999999993E-2</v>
      </c>
      <c r="V1334">
        <v>8.2152610000000001E-2</v>
      </c>
      <c r="W1334">
        <v>0.30383569999999999</v>
      </c>
      <c r="X1334">
        <v>0.94917580000000001</v>
      </c>
      <c r="Y1334">
        <v>-1.7631330000000001E-2</v>
      </c>
      <c r="Z1334">
        <v>2.0942979999999999E-4</v>
      </c>
      <c r="AA1334">
        <v>0.99984459999999997</v>
      </c>
      <c r="AB1334">
        <v>24</v>
      </c>
      <c r="AC1334">
        <v>0.79189999999999805</v>
      </c>
      <c r="AD1334">
        <v>-9.0374999999999803E-2</v>
      </c>
      <c r="AE1334">
        <v>2.35999999999876E-2</v>
      </c>
      <c r="AF1334">
        <v>-1.6080519981792E-2</v>
      </c>
      <c r="AG1334">
        <v>-9.0374999999999803E-2</v>
      </c>
      <c r="AH1334">
        <v>0.78190927439787605</v>
      </c>
      <c r="AI1334">
        <v>96.591749747206293</v>
      </c>
      <c r="AJ1334">
        <v>91.178162347604996</v>
      </c>
      <c r="AK1334">
        <v>0.78727907195434699</v>
      </c>
      <c r="AL1334">
        <v>72.311868390035599</v>
      </c>
      <c r="AM1334">
        <v>85.053290714888604</v>
      </c>
      <c r="AN1334">
        <v>0.99999994161496897</v>
      </c>
    </row>
    <row r="1335" spans="1:40" x14ac:dyDescent="0.25">
      <c r="A1335" t="str">
        <f>"20190304164842920"</f>
        <v>20190304164842920</v>
      </c>
      <c r="B1335" t="str">
        <f>"1551689322907098"</f>
        <v>1551689322907098</v>
      </c>
      <c r="C1335" t="s">
        <v>40</v>
      </c>
      <c r="D1335">
        <v>4.6543289999999997</v>
      </c>
      <c r="E1335">
        <v>0.47473080000000001</v>
      </c>
      <c r="F1335" t="s">
        <v>41</v>
      </c>
      <c r="G1335">
        <v>-228.4931</v>
      </c>
      <c r="H1335">
        <v>1.0335000000000001</v>
      </c>
      <c r="I1335">
        <v>367.7491</v>
      </c>
      <c r="J1335">
        <v>-229.16540000000001</v>
      </c>
      <c r="K1335">
        <v>1.1107359999999999</v>
      </c>
      <c r="L1335">
        <v>367.72789999999998</v>
      </c>
      <c r="M1335">
        <v>0.99986160000000002</v>
      </c>
      <c r="N1335">
        <v>-1.382949E-2</v>
      </c>
      <c r="O1335">
        <v>9.2561080000000007E-3</v>
      </c>
      <c r="P1335">
        <v>0.95390370000000002</v>
      </c>
      <c r="Q1335">
        <v>0.29105569999999997</v>
      </c>
      <c r="R1335">
        <v>-7.3175599999999993E-2</v>
      </c>
      <c r="S1335">
        <v>3.2469329999999998</v>
      </c>
      <c r="T1335">
        <v>-0.31283040000000001</v>
      </c>
      <c r="U1335">
        <v>9.0728760000000006E-2</v>
      </c>
      <c r="V1335">
        <v>8.1988450000000004E-2</v>
      </c>
      <c r="W1335">
        <v>0.30421409999999999</v>
      </c>
      <c r="X1335">
        <v>0.94906880000000005</v>
      </c>
      <c r="Y1335">
        <v>-1.8610310000000001E-2</v>
      </c>
      <c r="Z1335">
        <v>2.6154930000000002E-4</v>
      </c>
      <c r="AA1335">
        <v>0.99982680000000002</v>
      </c>
      <c r="AB1335">
        <v>24</v>
      </c>
      <c r="AC1335">
        <v>0.672300000000007</v>
      </c>
      <c r="AD1335">
        <v>-7.7235999999999999E-2</v>
      </c>
      <c r="AE1335">
        <v>2.1200000000021601E-2</v>
      </c>
      <c r="AF1335">
        <v>-1.47807309033812E-2</v>
      </c>
      <c r="AG1335">
        <v>-7.7235999999999999E-2</v>
      </c>
      <c r="AH1335">
        <v>0.66371631131521602</v>
      </c>
      <c r="AI1335">
        <v>96.635967526282997</v>
      </c>
      <c r="AJ1335">
        <v>91.275746169486297</v>
      </c>
      <c r="AK1335">
        <v>0.66835859507297102</v>
      </c>
      <c r="AL1335">
        <v>72.289110655499599</v>
      </c>
      <c r="AM1335">
        <v>85.062572646254395</v>
      </c>
      <c r="AN1335">
        <v>0.99999995585282497</v>
      </c>
    </row>
    <row r="1336" spans="1:40" x14ac:dyDescent="0.25">
      <c r="A1336" t="str">
        <f>"20190304164842934"</f>
        <v>20190304164842934</v>
      </c>
      <c r="B1336" t="str">
        <f>"1551689322927594"</f>
        <v>1551689322927594</v>
      </c>
      <c r="C1336" t="s">
        <v>40</v>
      </c>
      <c r="D1336">
        <v>4.6368460000000002</v>
      </c>
      <c r="E1336">
        <v>0.474277</v>
      </c>
      <c r="F1336" t="s">
        <v>41</v>
      </c>
      <c r="G1336">
        <v>-228.2799</v>
      </c>
      <c r="H1336">
        <v>1.0266249999999999</v>
      </c>
      <c r="I1336">
        <v>367.75349999999997</v>
      </c>
      <c r="J1336">
        <v>-229.0164</v>
      </c>
      <c r="K1336">
        <v>1.110738</v>
      </c>
      <c r="L1336">
        <v>367.72930000000002</v>
      </c>
      <c r="M1336">
        <v>0.99986140000000001</v>
      </c>
      <c r="N1336">
        <v>-1.3827839999999999E-2</v>
      </c>
      <c r="O1336">
        <v>9.2871710000000003E-3</v>
      </c>
      <c r="P1336">
        <v>0.95378660000000004</v>
      </c>
      <c r="Q1336">
        <v>0.29144239999999999</v>
      </c>
      <c r="R1336">
        <v>-7.3164740000000006E-2</v>
      </c>
      <c r="S1336">
        <v>3.2463839999999999</v>
      </c>
      <c r="T1336">
        <v>-0.30861100000000002</v>
      </c>
      <c r="U1336">
        <v>9.4512940000000004E-2</v>
      </c>
      <c r="V1336">
        <v>8.2006109999999993E-2</v>
      </c>
      <c r="W1336">
        <v>0.30459700000000001</v>
      </c>
      <c r="X1336">
        <v>0.94894449999999997</v>
      </c>
      <c r="Y1336">
        <v>-1.9744189999999998E-2</v>
      </c>
      <c r="Z1336">
        <v>3.205638E-4</v>
      </c>
      <c r="AA1336">
        <v>0.99980500000000005</v>
      </c>
      <c r="AB1336">
        <v>24</v>
      </c>
      <c r="AC1336">
        <v>0.73650000000000604</v>
      </c>
      <c r="AD1336">
        <v>-8.4113000000000104E-2</v>
      </c>
      <c r="AE1336">
        <v>2.4199999999950698E-2</v>
      </c>
      <c r="AF1336">
        <v>-1.71350485473948E-2</v>
      </c>
      <c r="AG1336">
        <v>-8.4113000000000104E-2</v>
      </c>
      <c r="AH1336">
        <v>0.72721805572828702</v>
      </c>
      <c r="AI1336">
        <v>96.595930739562306</v>
      </c>
      <c r="AJ1336">
        <v>91.349779928472501</v>
      </c>
      <c r="AK1336">
        <v>0.73226682789469</v>
      </c>
      <c r="AL1336">
        <v>72.266079875594897</v>
      </c>
      <c r="AM1336">
        <v>85.060870721306799</v>
      </c>
      <c r="AN1336">
        <v>0.99999999928329097</v>
      </c>
    </row>
    <row r="1337" spans="1:40" x14ac:dyDescent="0.25">
      <c r="A1337" t="str">
        <f>"20190304164842949"</f>
        <v>20190304164842949</v>
      </c>
      <c r="B1337" t="str">
        <f>"1551689322937354"</f>
        <v>1551689322937354</v>
      </c>
      <c r="C1337" t="s">
        <v>40</v>
      </c>
      <c r="D1337">
        <v>4.6535260000000003</v>
      </c>
      <c r="E1337">
        <v>0.47411530000000002</v>
      </c>
      <c r="F1337" t="s">
        <v>42</v>
      </c>
      <c r="G1337">
        <v>-217.18790000000001</v>
      </c>
      <c r="H1337" s="1">
        <v>-1.459917E-6</v>
      </c>
      <c r="I1337">
        <v>368.08760000000001</v>
      </c>
      <c r="J1337">
        <v>-228.86250000000001</v>
      </c>
      <c r="K1337">
        <v>1.1107400000000001</v>
      </c>
      <c r="L1337">
        <v>367.73079999999999</v>
      </c>
      <c r="M1337">
        <v>0.99986109999999995</v>
      </c>
      <c r="N1337">
        <v>-1.3826140000000001E-2</v>
      </c>
      <c r="O1337">
        <v>9.318893E-3</v>
      </c>
      <c r="P1337">
        <v>0.95370909999999998</v>
      </c>
      <c r="Q1337">
        <v>0.29167359999999998</v>
      </c>
      <c r="R1337">
        <v>-7.3250899999999994E-2</v>
      </c>
      <c r="S1337">
        <v>3.246048</v>
      </c>
      <c r="T1337">
        <v>-0.30481170000000002</v>
      </c>
      <c r="U1337">
        <v>9.8327639999999994E-2</v>
      </c>
      <c r="V1337">
        <v>8.2121879999999994E-2</v>
      </c>
      <c r="W1337">
        <v>0.30482599999999999</v>
      </c>
      <c r="X1337">
        <v>0.94886090000000001</v>
      </c>
      <c r="Y1337">
        <v>-2.0885190000000001E-2</v>
      </c>
      <c r="Z1337">
        <v>3.7867290000000002E-4</v>
      </c>
      <c r="AA1337">
        <v>0.99978180000000005</v>
      </c>
      <c r="AB1337">
        <v>24</v>
      </c>
      <c r="AC1337">
        <v>11.6745999999999</v>
      </c>
      <c r="AD1337">
        <v>-1.110741459917</v>
      </c>
      <c r="AE1337">
        <v>0.35680000000002099</v>
      </c>
      <c r="AF1337">
        <v>-0.24575726237189199</v>
      </c>
      <c r="AG1337">
        <v>-1.110741459917</v>
      </c>
      <c r="AH1337">
        <v>11.5727600273371</v>
      </c>
      <c r="AI1337">
        <v>95.481167660842402</v>
      </c>
      <c r="AJ1337">
        <v>91.216541068853999</v>
      </c>
      <c r="AK1337">
        <v>11.628538939743001</v>
      </c>
      <c r="AL1337">
        <v>72.2523031328153</v>
      </c>
      <c r="AM1337">
        <v>85.053498983826799</v>
      </c>
      <c r="AN1337">
        <v>0.99999995049977097</v>
      </c>
    </row>
    <row r="1338" spans="1:40" x14ac:dyDescent="0.25">
      <c r="A1338" t="str">
        <f>"20190304164842961"</f>
        <v>20190304164842961</v>
      </c>
      <c r="B1338" t="str">
        <f>"1551689322947114"</f>
        <v>1551689322947114</v>
      </c>
      <c r="C1338" t="s">
        <v>40</v>
      </c>
      <c r="D1338">
        <v>4.6376679999999997</v>
      </c>
      <c r="E1338">
        <v>0.47413230000000001</v>
      </c>
      <c r="F1338" t="s">
        <v>42</v>
      </c>
      <c r="G1338">
        <v>-216.9571</v>
      </c>
      <c r="H1338" s="1">
        <v>-1.5575990000000001E-6</v>
      </c>
      <c r="I1338">
        <v>368.0949</v>
      </c>
      <c r="J1338">
        <v>-228.7209</v>
      </c>
      <c r="K1338">
        <v>1.110741</v>
      </c>
      <c r="L1338">
        <v>367.73219999999998</v>
      </c>
      <c r="M1338">
        <v>0.99986079999999999</v>
      </c>
      <c r="N1338">
        <v>-1.3824609999999999E-2</v>
      </c>
      <c r="O1338">
        <v>9.3484060000000001E-3</v>
      </c>
      <c r="P1338">
        <v>0.95362409999999997</v>
      </c>
      <c r="Q1338">
        <v>0.29203289999999998</v>
      </c>
      <c r="R1338">
        <v>-7.2924279999999994E-2</v>
      </c>
      <c r="S1338">
        <v>3.2458339999999999</v>
      </c>
      <c r="T1338">
        <v>-0.30282740000000002</v>
      </c>
      <c r="U1338">
        <v>9.9273680000000003E-2</v>
      </c>
      <c r="V1338">
        <v>8.1822710000000007E-2</v>
      </c>
      <c r="W1338">
        <v>0.30518240000000002</v>
      </c>
      <c r="X1338">
        <v>0.94877230000000001</v>
      </c>
      <c r="Y1338">
        <v>-2.114839E-2</v>
      </c>
      <c r="Z1338">
        <v>3.8969990000000001E-4</v>
      </c>
      <c r="AA1338">
        <v>0.9997762</v>
      </c>
      <c r="AB1338">
        <v>24</v>
      </c>
      <c r="AC1338">
        <v>11.7638</v>
      </c>
      <c r="AD1338">
        <v>-1.110742557599</v>
      </c>
      <c r="AE1338">
        <v>0.36270000000001701</v>
      </c>
      <c r="AF1338">
        <v>-0.25046999438877499</v>
      </c>
      <c r="AG1338">
        <v>-1.110742557599</v>
      </c>
      <c r="AH1338">
        <v>11.662799292123401</v>
      </c>
      <c r="AI1338">
        <v>95.439084268690607</v>
      </c>
      <c r="AJ1338">
        <v>91.230293648427704</v>
      </c>
      <c r="AK1338">
        <v>11.7182495098758</v>
      </c>
      <c r="AL1338">
        <v>72.230863336631302</v>
      </c>
      <c r="AM1338">
        <v>85.070972183550793</v>
      </c>
      <c r="AN1338">
        <v>1.0000000651943901</v>
      </c>
    </row>
    <row r="1339" spans="1:40" x14ac:dyDescent="0.25">
      <c r="A1339" t="str">
        <f>"20190304164842974"</f>
        <v>20190304164842974</v>
      </c>
      <c r="B1339" t="str">
        <f>"1551689322967610"</f>
        <v>1551689322967610</v>
      </c>
      <c r="C1339" t="s">
        <v>40</v>
      </c>
      <c r="D1339">
        <v>4.684107</v>
      </c>
      <c r="E1339">
        <v>0.47408339999999999</v>
      </c>
      <c r="F1339" t="s">
        <v>41</v>
      </c>
      <c r="G1339">
        <v>-227.8416</v>
      </c>
      <c r="H1339">
        <v>1.029056</v>
      </c>
      <c r="I1339">
        <v>367.7593</v>
      </c>
      <c r="J1339">
        <v>-228.57130000000001</v>
      </c>
      <c r="K1339">
        <v>1.110743</v>
      </c>
      <c r="L1339">
        <v>367.73360000000002</v>
      </c>
      <c r="M1339">
        <v>0.99986039999999998</v>
      </c>
      <c r="N1339">
        <v>-1.382304E-2</v>
      </c>
      <c r="O1339">
        <v>9.3801209999999999E-3</v>
      </c>
      <c r="P1339">
        <v>0.95348049999999995</v>
      </c>
      <c r="Q1339">
        <v>0.292514</v>
      </c>
      <c r="R1339">
        <v>-7.2872969999999995E-2</v>
      </c>
      <c r="S1339">
        <v>3.2460779999999998</v>
      </c>
      <c r="T1339">
        <v>-0.30187129999999901</v>
      </c>
      <c r="U1339">
        <v>0.1011658</v>
      </c>
      <c r="V1339">
        <v>8.1800440000000002E-2</v>
      </c>
      <c r="W1339">
        <v>0.30565959999999998</v>
      </c>
      <c r="X1339">
        <v>0.94862049999999998</v>
      </c>
      <c r="Y1339">
        <v>-2.1694390000000001E-2</v>
      </c>
      <c r="Z1339">
        <v>4.1590689999999999E-4</v>
      </c>
      <c r="AA1339">
        <v>0.9997646</v>
      </c>
      <c r="AB1339">
        <v>24</v>
      </c>
      <c r="AC1339">
        <v>0.72970000000000801</v>
      </c>
      <c r="AD1339">
        <v>-8.1686999999999996E-2</v>
      </c>
      <c r="AE1339">
        <v>2.5699999999971999E-2</v>
      </c>
      <c r="AF1339">
        <v>-1.8620479376281099E-2</v>
      </c>
      <c r="AG1339">
        <v>-8.1686999999999996E-2</v>
      </c>
      <c r="AH1339">
        <v>0.72088609746049104</v>
      </c>
      <c r="AI1339">
        <v>96.4627413353994</v>
      </c>
      <c r="AJ1339">
        <v>91.479620304312206</v>
      </c>
      <c r="AK1339">
        <v>0.72573841963411301</v>
      </c>
      <c r="AL1339">
        <v>72.202148181522105</v>
      </c>
      <c r="AM1339">
        <v>85.071522474472403</v>
      </c>
      <c r="AN1339">
        <v>0.99999997803830099</v>
      </c>
    </row>
    <row r="1340" spans="1:40" x14ac:dyDescent="0.25">
      <c r="A1340" t="str">
        <f>"20190304164842986"</f>
        <v>20190304164842986</v>
      </c>
      <c r="B1340" t="str">
        <f>"1551689322977371"</f>
        <v>1551689322977371</v>
      </c>
      <c r="C1340" t="s">
        <v>40</v>
      </c>
      <c r="D1340">
        <v>4.6747259999999997</v>
      </c>
      <c r="E1340">
        <v>0.47410180000000002</v>
      </c>
      <c r="F1340" t="s">
        <v>42</v>
      </c>
      <c r="G1340">
        <v>-216.5592</v>
      </c>
      <c r="H1340" s="1">
        <v>-1.7253339999999999E-6</v>
      </c>
      <c r="I1340">
        <v>368.11180000000002</v>
      </c>
      <c r="J1340">
        <v>-228.44630000000001</v>
      </c>
      <c r="K1340">
        <v>1.1107479999999901</v>
      </c>
      <c r="L1340">
        <v>367.73480000000001</v>
      </c>
      <c r="M1340">
        <v>0.99986030000000004</v>
      </c>
      <c r="N1340">
        <v>-1.3821719999999999E-2</v>
      </c>
      <c r="O1340">
        <v>9.4058159999999991E-3</v>
      </c>
      <c r="P1340">
        <v>0.95330930000000003</v>
      </c>
      <c r="Q1340">
        <v>0.29310540000000002</v>
      </c>
      <c r="R1340">
        <v>-7.2736670000000003E-2</v>
      </c>
      <c r="S1340">
        <v>3.2462620000000002</v>
      </c>
      <c r="T1340">
        <v>-0.30017539999999998</v>
      </c>
      <c r="U1340">
        <v>0.1022034</v>
      </c>
      <c r="V1340">
        <v>8.168694E-2</v>
      </c>
      <c r="W1340">
        <v>0.30624750000000001</v>
      </c>
      <c r="X1340">
        <v>0.94844070000000003</v>
      </c>
      <c r="Y1340">
        <v>-2.1985580000000001E-2</v>
      </c>
      <c r="Z1340">
        <v>4.2854329999999997E-4</v>
      </c>
      <c r="AA1340">
        <v>0.99975820000000004</v>
      </c>
      <c r="AB1340">
        <v>24</v>
      </c>
      <c r="AC1340">
        <v>11.8871</v>
      </c>
      <c r="AD1340">
        <v>-1.11074972533399</v>
      </c>
      <c r="AE1340">
        <v>0.37700000000000899</v>
      </c>
      <c r="AF1340">
        <v>-0.26287185476481301</v>
      </c>
      <c r="AG1340">
        <v>-1.11074972533399</v>
      </c>
      <c r="AH1340">
        <v>11.787304918348299</v>
      </c>
      <c r="AI1340">
        <v>95.381909971940999</v>
      </c>
      <c r="AJ1340">
        <v>91.2775568087918</v>
      </c>
      <c r="AK1340">
        <v>11.842441631795101</v>
      </c>
      <c r="AL1340">
        <v>72.166768209565802</v>
      </c>
      <c r="AM1340">
        <v>85.0773987998557</v>
      </c>
      <c r="AN1340">
        <v>1.0000000244196501</v>
      </c>
    </row>
    <row r="1341" spans="1:40" x14ac:dyDescent="0.25">
      <c r="A1341" t="str">
        <f>"20190304164842998"</f>
        <v>20190304164842998</v>
      </c>
      <c r="B1341" t="str">
        <f>"1551689322987131"</f>
        <v>1551689322987131</v>
      </c>
      <c r="C1341" t="s">
        <v>40</v>
      </c>
      <c r="D1341">
        <v>4.6965120000000002</v>
      </c>
      <c r="E1341">
        <v>0.47409449999999997</v>
      </c>
      <c r="F1341" t="s">
        <v>42</v>
      </c>
      <c r="G1341">
        <v>-216.35900000000001</v>
      </c>
      <c r="H1341" s="1">
        <v>-1.8100119999999999E-6</v>
      </c>
      <c r="I1341">
        <v>368.11849999999998</v>
      </c>
      <c r="J1341">
        <v>-228.3125</v>
      </c>
      <c r="K1341">
        <v>1.1107479999999901</v>
      </c>
      <c r="L1341">
        <v>367.73610000000002</v>
      </c>
      <c r="M1341">
        <v>0.99986010000000003</v>
      </c>
      <c r="N1341">
        <v>-1.3820310000000001E-2</v>
      </c>
      <c r="O1341">
        <v>9.4333579999999993E-3</v>
      </c>
      <c r="P1341">
        <v>0.95309820000000001</v>
      </c>
      <c r="Q1341">
        <v>0.29372979999999999</v>
      </c>
      <c r="R1341">
        <v>-7.2984309999999997E-2</v>
      </c>
      <c r="S1341">
        <v>3.246521</v>
      </c>
      <c r="T1341">
        <v>-0.2983344</v>
      </c>
      <c r="U1341">
        <v>0.10305789999999999</v>
      </c>
      <c r="V1341">
        <v>8.1958980000000001E-2</v>
      </c>
      <c r="W1341">
        <v>0.30686750000000002</v>
      </c>
      <c r="X1341">
        <v>0.94821679999999997</v>
      </c>
      <c r="Y1341">
        <v>-2.22182E-2</v>
      </c>
      <c r="Z1341">
        <v>4.3773709999999998E-4</v>
      </c>
      <c r="AA1341">
        <v>0.99975309999999995</v>
      </c>
      <c r="AB1341">
        <v>24</v>
      </c>
      <c r="AC1341">
        <v>11.953499999999901</v>
      </c>
      <c r="AD1341">
        <v>-1.1107498100119999</v>
      </c>
      <c r="AE1341">
        <v>0.38239999999996099</v>
      </c>
      <c r="AF1341">
        <v>-0.267304866940477</v>
      </c>
      <c r="AG1341">
        <v>-1.1107498100119999</v>
      </c>
      <c r="AH1341">
        <v>11.854322971252101</v>
      </c>
      <c r="AI1341">
        <v>95.351631509118505</v>
      </c>
      <c r="AJ1341">
        <v>91.291752027026106</v>
      </c>
      <c r="AK1341">
        <v>11.909248092935499</v>
      </c>
      <c r="AL1341">
        <v>72.129447823543003</v>
      </c>
      <c r="AM1341">
        <v>85.059925694331298</v>
      </c>
      <c r="AN1341">
        <v>1.00000001838056</v>
      </c>
    </row>
    <row r="1342" spans="1:40" x14ac:dyDescent="0.25">
      <c r="A1342" t="str">
        <f>"20190304164843010"</f>
        <v>20190304164843010</v>
      </c>
      <c r="B1342" t="str">
        <f>"1551689322997867"</f>
        <v>1551689322997867</v>
      </c>
      <c r="C1342" t="s">
        <v>40</v>
      </c>
      <c r="D1342">
        <v>4.6887800000000004</v>
      </c>
      <c r="E1342">
        <v>0.47413860000000002</v>
      </c>
      <c r="F1342" t="s">
        <v>41</v>
      </c>
      <c r="G1342">
        <v>-227.40700000000001</v>
      </c>
      <c r="H1342">
        <v>1.028303</v>
      </c>
      <c r="I1342">
        <v>367.7647</v>
      </c>
      <c r="J1342">
        <v>-228.18299999999999</v>
      </c>
      <c r="K1342">
        <v>1.110751</v>
      </c>
      <c r="L1342">
        <v>367.7373</v>
      </c>
      <c r="M1342">
        <v>0.99985979999999997</v>
      </c>
      <c r="N1342">
        <v>-1.381892E-2</v>
      </c>
      <c r="O1342">
        <v>9.459706E-3</v>
      </c>
      <c r="P1342">
        <v>0.95296080000000005</v>
      </c>
      <c r="Q1342">
        <v>0.29411359999999998</v>
      </c>
      <c r="R1342">
        <v>-7.3234740000000006E-2</v>
      </c>
      <c r="S1342">
        <v>3.2466740000000001</v>
      </c>
      <c r="T1342">
        <v>-0.29580580000000001</v>
      </c>
      <c r="U1342">
        <v>0.10293579999999999</v>
      </c>
      <c r="V1342">
        <v>8.2233239999999999E-2</v>
      </c>
      <c r="W1342">
        <v>0.30724820000000003</v>
      </c>
      <c r="X1342">
        <v>0.94806979999999996</v>
      </c>
      <c r="Y1342">
        <v>-2.2154320000000002E-2</v>
      </c>
      <c r="Z1342">
        <v>4.3102579999999998E-4</v>
      </c>
      <c r="AA1342">
        <v>0.99975449999999999</v>
      </c>
      <c r="AB1342">
        <v>24</v>
      </c>
      <c r="AC1342">
        <v>0.77599999999998204</v>
      </c>
      <c r="AD1342">
        <v>-8.2447999999999994E-2</v>
      </c>
      <c r="AE1342">
        <v>2.7400000000000001E-2</v>
      </c>
      <c r="AF1342">
        <v>-1.9833726644524902E-2</v>
      </c>
      <c r="AG1342">
        <v>-8.2447999999999994E-2</v>
      </c>
      <c r="AH1342">
        <v>0.76757055042039601</v>
      </c>
      <c r="AI1342">
        <v>96.128845052517804</v>
      </c>
      <c r="AJ1342">
        <v>91.480171448164796</v>
      </c>
      <c r="AK1342">
        <v>0.772240635611258</v>
      </c>
      <c r="AL1342">
        <v>72.106528745008703</v>
      </c>
      <c r="AM1342">
        <v>85.042712209141001</v>
      </c>
      <c r="AN1342">
        <v>1.00000005391808</v>
      </c>
    </row>
    <row r="1343" spans="1:40" x14ac:dyDescent="0.25">
      <c r="A1343" t="str">
        <f>"20190304164843023"</f>
        <v>20190304164843023</v>
      </c>
      <c r="B1343" t="str">
        <f>"1551689323017386"</f>
        <v>1551689323017386</v>
      </c>
      <c r="C1343" t="s">
        <v>40</v>
      </c>
      <c r="D1343">
        <v>4.7168780000000003</v>
      </c>
      <c r="E1343">
        <v>0.47418510000000003</v>
      </c>
      <c r="F1343" t="s">
        <v>42</v>
      </c>
      <c r="G1343">
        <v>-215.91990000000001</v>
      </c>
      <c r="H1343" s="1">
        <v>-1.9974390000000002E-6</v>
      </c>
      <c r="I1343">
        <v>368.12380000000002</v>
      </c>
      <c r="J1343">
        <v>-228.04580000000001</v>
      </c>
      <c r="K1343">
        <v>1.110757</v>
      </c>
      <c r="L1343">
        <v>367.73860000000002</v>
      </c>
      <c r="M1343">
        <v>0.99985970000000002</v>
      </c>
      <c r="N1343">
        <v>-1.381744E-2</v>
      </c>
      <c r="O1343">
        <v>9.4868890000000001E-3</v>
      </c>
      <c r="P1343">
        <v>0.95282509999999998</v>
      </c>
      <c r="Q1343">
        <v>0.2944775</v>
      </c>
      <c r="R1343">
        <v>-7.3538800000000001E-2</v>
      </c>
      <c r="S1343">
        <v>3.2467039999999998</v>
      </c>
      <c r="T1343">
        <v>-0.29407440000000001</v>
      </c>
      <c r="U1343">
        <v>0.1023254</v>
      </c>
      <c r="V1343">
        <v>8.2562170000000004E-2</v>
      </c>
      <c r="W1343">
        <v>0.30760850000000001</v>
      </c>
      <c r="X1343">
        <v>0.94792430000000005</v>
      </c>
      <c r="Y1343">
        <v>-2.1940939999999999E-2</v>
      </c>
      <c r="Z1343">
        <v>4.1693520000000002E-4</v>
      </c>
      <c r="AA1343">
        <v>0.99975919999999896</v>
      </c>
      <c r="AB1343">
        <v>24</v>
      </c>
      <c r="AC1343">
        <v>12.1259</v>
      </c>
      <c r="AD1343">
        <v>-1.110758997439</v>
      </c>
      <c r="AE1343">
        <v>0.38519999999999699</v>
      </c>
      <c r="AF1343">
        <v>-0.26788905079758801</v>
      </c>
      <c r="AG1343">
        <v>-1.110758997439</v>
      </c>
      <c r="AH1343">
        <v>12.0281826415755</v>
      </c>
      <c r="AI1343">
        <v>95.274792570987401</v>
      </c>
      <c r="AJ1343">
        <v>91.275868129801296</v>
      </c>
      <c r="AK1343">
        <v>12.082331221789399</v>
      </c>
      <c r="AL1343">
        <v>72.084833262119901</v>
      </c>
      <c r="AM1343">
        <v>85.022222536003298</v>
      </c>
      <c r="AN1343">
        <v>0.99999998985892402</v>
      </c>
    </row>
    <row r="1344" spans="1:40" x14ac:dyDescent="0.25">
      <c r="A1344" t="str">
        <f>"20190304164843035"</f>
        <v>20190304164843035</v>
      </c>
      <c r="B1344" t="str">
        <f>"1551689323027147"</f>
        <v>1551689323027147</v>
      </c>
      <c r="C1344" t="s">
        <v>40</v>
      </c>
      <c r="D1344">
        <v>4.6853619999999996</v>
      </c>
      <c r="E1344">
        <v>0.4742384</v>
      </c>
      <c r="F1344" t="s">
        <v>41</v>
      </c>
      <c r="G1344">
        <v>-227.18100000000001</v>
      </c>
      <c r="H1344">
        <v>1.032721</v>
      </c>
      <c r="I1344">
        <v>367.76569999999998</v>
      </c>
      <c r="J1344">
        <v>-227.91540000000001</v>
      </c>
      <c r="K1344">
        <v>1.1107579999999999</v>
      </c>
      <c r="L1344">
        <v>367.73989999999998</v>
      </c>
      <c r="M1344">
        <v>0.99985930000000001</v>
      </c>
      <c r="N1344">
        <v>-1.381604E-2</v>
      </c>
      <c r="O1344">
        <v>9.5125209999999995E-3</v>
      </c>
      <c r="P1344">
        <v>0.95272199999999996</v>
      </c>
      <c r="Q1344">
        <v>0.29475780000000001</v>
      </c>
      <c r="R1344">
        <v>-7.3746729999999996E-2</v>
      </c>
      <c r="S1344">
        <v>3.246918</v>
      </c>
      <c r="T1344">
        <v>-0.29298150000000001</v>
      </c>
      <c r="U1344">
        <v>0.1014404</v>
      </c>
      <c r="V1344">
        <v>8.2793989999999998E-2</v>
      </c>
      <c r="W1344">
        <v>0.30788569999999998</v>
      </c>
      <c r="X1344">
        <v>0.94781409999999999</v>
      </c>
      <c r="Y1344">
        <v>-2.1642959999999999E-2</v>
      </c>
      <c r="Z1344">
        <v>3.9896890000000001E-4</v>
      </c>
      <c r="AA1344">
        <v>0.99976569999999998</v>
      </c>
      <c r="AB1344">
        <v>24</v>
      </c>
      <c r="AC1344">
        <v>0.73440000000002204</v>
      </c>
      <c r="AD1344">
        <v>-7.8036999999999898E-2</v>
      </c>
      <c r="AE1344">
        <v>2.5800000000003799E-2</v>
      </c>
      <c r="AF1344">
        <v>-1.8602387858233999E-2</v>
      </c>
      <c r="AG1344">
        <v>-7.8036999999999898E-2</v>
      </c>
      <c r="AH1344">
        <v>0.726420247437774</v>
      </c>
      <c r="AI1344">
        <v>96.129592751891295</v>
      </c>
      <c r="AJ1344">
        <v>91.466926922245406</v>
      </c>
      <c r="AK1344">
        <v>0.73083664254782998</v>
      </c>
      <c r="AL1344">
        <v>72.068141101730703</v>
      </c>
      <c r="AM1344">
        <v>85.007738895609506</v>
      </c>
      <c r="AN1344">
        <v>1.00000000860171</v>
      </c>
    </row>
    <row r="1345" spans="1:40" x14ac:dyDescent="0.25">
      <c r="A1345" t="str">
        <f>"20190304164843047"</f>
        <v>20190304164843047</v>
      </c>
      <c r="B1345" t="str">
        <f>"1551689323037883"</f>
        <v>1551689323037883</v>
      </c>
      <c r="C1345" t="s">
        <v>40</v>
      </c>
      <c r="D1345">
        <v>4.7142609999999996</v>
      </c>
      <c r="E1345">
        <v>0.47428229999999999</v>
      </c>
      <c r="F1345" t="s">
        <v>41</v>
      </c>
      <c r="G1345">
        <v>-226.9752</v>
      </c>
      <c r="H1345">
        <v>1.0260260000000001</v>
      </c>
      <c r="I1345">
        <v>367.7688</v>
      </c>
      <c r="J1345">
        <v>-227.7784</v>
      </c>
      <c r="K1345">
        <v>1.1107579999999999</v>
      </c>
      <c r="L1345">
        <v>367.74119999999999</v>
      </c>
      <c r="M1345">
        <v>0.9998591</v>
      </c>
      <c r="N1345">
        <v>-1.381458E-2</v>
      </c>
      <c r="O1345">
        <v>9.5385609999999992E-3</v>
      </c>
      <c r="P1345">
        <v>0.95258860000000001</v>
      </c>
      <c r="Q1345">
        <v>0.2950913</v>
      </c>
      <c r="R1345">
        <v>-7.4135870000000006E-2</v>
      </c>
      <c r="S1345">
        <v>3.2473139999999998</v>
      </c>
      <c r="T1345">
        <v>-0.292964</v>
      </c>
      <c r="U1345">
        <v>0.100769</v>
      </c>
      <c r="V1345">
        <v>8.3207370000000003E-2</v>
      </c>
      <c r="W1345">
        <v>0.30821559999999998</v>
      </c>
      <c r="X1345">
        <v>0.94767069999999998</v>
      </c>
      <c r="Y1345">
        <v>-2.1407809999999999E-2</v>
      </c>
      <c r="Z1345">
        <v>3.8472179999999998E-4</v>
      </c>
      <c r="AA1345">
        <v>0.99977079999999996</v>
      </c>
      <c r="AB1345">
        <v>24</v>
      </c>
      <c r="AC1345">
        <v>0.80320000000000302</v>
      </c>
      <c r="AD1345">
        <v>-8.4731999999999794E-2</v>
      </c>
      <c r="AE1345">
        <v>2.7600000000006699E-2</v>
      </c>
      <c r="AF1345">
        <v>-1.97174684196838E-2</v>
      </c>
      <c r="AG1345">
        <v>-8.4731999999999794E-2</v>
      </c>
      <c r="AH1345">
        <v>0.79459430718405599</v>
      </c>
      <c r="AI1345">
        <v>96.084906208844899</v>
      </c>
      <c r="AJ1345">
        <v>91.421474981891606</v>
      </c>
      <c r="AK1345">
        <v>0.79934248191509905</v>
      </c>
      <c r="AL1345">
        <v>72.0482736050472</v>
      </c>
      <c r="AM1345">
        <v>84.982184767898403</v>
      </c>
      <c r="AN1345">
        <v>1.00000003907208</v>
      </c>
    </row>
    <row r="1346" spans="1:40" x14ac:dyDescent="0.25">
      <c r="A1346" t="str">
        <f>"20190304164843064"</f>
        <v>20190304164843064</v>
      </c>
      <c r="B1346" t="str">
        <f>"1551689323057402"</f>
        <v>1551689323057402</v>
      </c>
      <c r="C1346" t="s">
        <v>40</v>
      </c>
      <c r="D1346">
        <v>4.6696489999999997</v>
      </c>
      <c r="E1346">
        <v>0.47434900000000002</v>
      </c>
      <c r="F1346" t="s">
        <v>42</v>
      </c>
      <c r="G1346">
        <v>-215.4229</v>
      </c>
      <c r="H1346" s="1">
        <v>-2.2115509999999998E-6</v>
      </c>
      <c r="I1346">
        <v>368.11869999999999</v>
      </c>
      <c r="J1346">
        <v>-227.6078</v>
      </c>
      <c r="K1346">
        <v>1.1107610000000001</v>
      </c>
      <c r="L1346">
        <v>367.74290000000002</v>
      </c>
      <c r="M1346">
        <v>0.99985889999999999</v>
      </c>
      <c r="N1346">
        <v>-1.381278E-2</v>
      </c>
      <c r="O1346">
        <v>9.5698989999999998E-3</v>
      </c>
      <c r="P1346">
        <v>0.95249410000000001</v>
      </c>
      <c r="Q1346">
        <v>0.295222599999999</v>
      </c>
      <c r="R1346">
        <v>-7.4826409999999996E-2</v>
      </c>
      <c r="S1346">
        <v>3.2474669999999999</v>
      </c>
      <c r="T1346">
        <v>-0.29194769999999998</v>
      </c>
      <c r="U1346">
        <v>9.9212649999999999E-2</v>
      </c>
      <c r="V1346">
        <v>8.3927719999999997E-2</v>
      </c>
      <c r="W1346">
        <v>0.3083439</v>
      </c>
      <c r="X1346">
        <v>0.9475654</v>
      </c>
      <c r="Y1346">
        <v>-2.0899190000000002E-2</v>
      </c>
      <c r="Z1346">
        <v>3.5560600000000001E-4</v>
      </c>
      <c r="AA1346">
        <v>0.99978149999999999</v>
      </c>
      <c r="AB1346">
        <v>24</v>
      </c>
      <c r="AC1346">
        <v>12.184900000000001</v>
      </c>
      <c r="AD1346">
        <v>-1.110763211551</v>
      </c>
      <c r="AE1346">
        <v>0.37579999999996899</v>
      </c>
      <c r="AF1346">
        <v>-0.257029535439668</v>
      </c>
      <c r="AG1346">
        <v>-1.110763211551</v>
      </c>
      <c r="AH1346">
        <v>12.087586695534</v>
      </c>
      <c r="AI1346">
        <v>95.249149193538699</v>
      </c>
      <c r="AJ1346">
        <v>91.218149576203501</v>
      </c>
      <c r="AK1346">
        <v>12.141235983880501</v>
      </c>
      <c r="AL1346">
        <v>72.040545567730405</v>
      </c>
      <c r="AM1346">
        <v>84.938409261762601</v>
      </c>
      <c r="AN1346">
        <v>1.00000000506438</v>
      </c>
    </row>
    <row r="1347" spans="1:40" x14ac:dyDescent="0.25">
      <c r="A1347" t="str">
        <f>"20190304164843075"</f>
        <v>20190304164843075</v>
      </c>
      <c r="B1347" t="str">
        <f>"1551689323067163"</f>
        <v>1551689323067163</v>
      </c>
      <c r="C1347" t="s">
        <v>40</v>
      </c>
      <c r="D1347">
        <v>4.6807600000000003</v>
      </c>
      <c r="E1347">
        <v>0.47436230000000001</v>
      </c>
      <c r="F1347" t="s">
        <v>41</v>
      </c>
      <c r="G1347">
        <v>-226.74930000000001</v>
      </c>
      <c r="H1347">
        <v>1.0333810000000001</v>
      </c>
      <c r="I1347">
        <v>367.76830000000001</v>
      </c>
      <c r="J1347">
        <v>-227.4794</v>
      </c>
      <c r="K1347">
        <v>1.1107590000000001</v>
      </c>
      <c r="L1347">
        <v>367.7441</v>
      </c>
      <c r="M1347">
        <v>0.99985860000000004</v>
      </c>
      <c r="N1347">
        <v>-1.381143E-2</v>
      </c>
      <c r="O1347">
        <v>9.5927159999999994E-3</v>
      </c>
      <c r="P1347">
        <v>0.95234019999999997</v>
      </c>
      <c r="Q1347">
        <v>0.29561720000000002</v>
      </c>
      <c r="R1347">
        <v>-7.5226840000000003E-2</v>
      </c>
      <c r="S1347">
        <v>3.2479710000000002</v>
      </c>
      <c r="T1347">
        <v>-0.2928963</v>
      </c>
      <c r="U1347">
        <v>9.6527100000000005E-2</v>
      </c>
      <c r="V1347">
        <v>8.4349190000000004E-2</v>
      </c>
      <c r="W1347">
        <v>0.30873450000000002</v>
      </c>
      <c r="X1347">
        <v>0.94740080000000004</v>
      </c>
      <c r="Y1347">
        <v>-2.0049419999999998E-2</v>
      </c>
      <c r="Z1347">
        <v>3.0997110000000001E-4</v>
      </c>
      <c r="AA1347">
        <v>0.99979899999999999</v>
      </c>
      <c r="AB1347">
        <v>24</v>
      </c>
      <c r="AC1347">
        <v>0.73009999999999298</v>
      </c>
      <c r="AD1347">
        <v>-7.7378000000000099E-2</v>
      </c>
      <c r="AE1347">
        <v>2.42000000000075E-2</v>
      </c>
      <c r="AF1347">
        <v>-1.7003793453476201E-2</v>
      </c>
      <c r="AG1347">
        <v>-7.7378000000000099E-2</v>
      </c>
      <c r="AH1347">
        <v>0.72219552243706497</v>
      </c>
      <c r="AI1347">
        <v>96.113814858064302</v>
      </c>
      <c r="AJ1347">
        <v>91.348756128589102</v>
      </c>
      <c r="AK1347">
        <v>0.72652794612730098</v>
      </c>
      <c r="AL1347">
        <v>72.017018363000801</v>
      </c>
      <c r="AM1347">
        <v>84.912244740913494</v>
      </c>
      <c r="AN1347">
        <v>1.0000000265922699</v>
      </c>
    </row>
    <row r="1348" spans="1:40" x14ac:dyDescent="0.25">
      <c r="A1348" t="str">
        <f>"20190304164843086"</f>
        <v>20190304164843086</v>
      </c>
      <c r="B1348" t="str">
        <f>"1551689323077899"</f>
        <v>1551689323077899</v>
      </c>
      <c r="C1348" t="s">
        <v>40</v>
      </c>
      <c r="D1348">
        <v>4.6933980000000002</v>
      </c>
      <c r="E1348">
        <v>0.47433649999999999</v>
      </c>
      <c r="F1348" t="s">
        <v>41</v>
      </c>
      <c r="G1348">
        <v>-226.54239999999999</v>
      </c>
      <c r="H1348">
        <v>1.026478</v>
      </c>
      <c r="I1348">
        <v>367.77140000000003</v>
      </c>
      <c r="J1348">
        <v>-227.3511</v>
      </c>
      <c r="K1348">
        <v>1.110752</v>
      </c>
      <c r="L1348">
        <v>367.74540000000002</v>
      </c>
      <c r="M1348">
        <v>0.99985840000000004</v>
      </c>
      <c r="N1348">
        <v>-1.3810050000000001E-2</v>
      </c>
      <c r="O1348">
        <v>9.6141590000000006E-3</v>
      </c>
      <c r="P1348">
        <v>0.95238469999999997</v>
      </c>
      <c r="Q1348">
        <v>0.29541620000000002</v>
      </c>
      <c r="R1348">
        <v>-7.5450669999999997E-2</v>
      </c>
      <c r="S1348">
        <v>3.2484280000000001</v>
      </c>
      <c r="T1348">
        <v>-0.29237679999999999</v>
      </c>
      <c r="U1348">
        <v>9.5001219999999997E-2</v>
      </c>
      <c r="V1348">
        <v>8.4595050000000005E-2</v>
      </c>
      <c r="W1348">
        <v>0.30853259999999899</v>
      </c>
      <c r="X1348">
        <v>0.94744459999999997</v>
      </c>
      <c r="Y1348">
        <v>-1.9557129999999999E-2</v>
      </c>
      <c r="Z1348">
        <v>2.8272619999999998E-4</v>
      </c>
      <c r="AA1348">
        <v>0.99980869999999999</v>
      </c>
      <c r="AB1348">
        <v>24</v>
      </c>
      <c r="AC1348">
        <v>0.80870000000001596</v>
      </c>
      <c r="AD1348">
        <v>-8.4273999999999905E-2</v>
      </c>
      <c r="AE1348">
        <v>2.60000000000104E-2</v>
      </c>
      <c r="AF1348">
        <v>-1.8027517305115901E-2</v>
      </c>
      <c r="AG1348">
        <v>-8.4273999999999905E-2</v>
      </c>
      <c r="AH1348">
        <v>0.80023141924063002</v>
      </c>
      <c r="AI1348">
        <v>96.010261999376596</v>
      </c>
      <c r="AJ1348">
        <v>91.290534151532199</v>
      </c>
      <c r="AK1348">
        <v>0.80485863528700496</v>
      </c>
      <c r="AL1348">
        <v>72.029179218215404</v>
      </c>
      <c r="AM1348">
        <v>84.897727826692105</v>
      </c>
      <c r="AN1348">
        <v>0.99999997890821102</v>
      </c>
    </row>
    <row r="1349" spans="1:40" x14ac:dyDescent="0.25">
      <c r="A1349" t="str">
        <f>"20190304164843099"</f>
        <v>20190304164843099</v>
      </c>
      <c r="B1349" t="str">
        <f>"1551689323087659"</f>
        <v>1551689323087659</v>
      </c>
      <c r="C1349" t="s">
        <v>40</v>
      </c>
      <c r="D1349">
        <v>4.6840869999999999</v>
      </c>
      <c r="E1349">
        <v>0.47434189999999998</v>
      </c>
      <c r="F1349" t="s">
        <v>42</v>
      </c>
      <c r="G1349">
        <v>-215.0677</v>
      </c>
      <c r="H1349" s="1">
        <v>-2.3666770000000001E-6</v>
      </c>
      <c r="I1349">
        <v>368.10340000000002</v>
      </c>
      <c r="J1349">
        <v>-227.2277</v>
      </c>
      <c r="K1349">
        <v>1.110749</v>
      </c>
      <c r="L1349">
        <v>367.7466</v>
      </c>
      <c r="M1349">
        <v>0.99985829999999998</v>
      </c>
      <c r="N1349">
        <v>-1.380875E-2</v>
      </c>
      <c r="O1349">
        <v>9.6342900000000002E-3</v>
      </c>
      <c r="P1349">
        <v>0.95238800000000001</v>
      </c>
      <c r="Q1349">
        <v>0.29528520000000003</v>
      </c>
      <c r="R1349">
        <v>-7.5920979999999999E-2</v>
      </c>
      <c r="S1349">
        <v>3.2486109999999999</v>
      </c>
      <c r="T1349">
        <v>-0.29375980000000002</v>
      </c>
      <c r="U1349">
        <v>9.4665529999999998E-2</v>
      </c>
      <c r="V1349">
        <v>8.5085649999999999E-2</v>
      </c>
      <c r="W1349">
        <v>0.30840020000000001</v>
      </c>
      <c r="X1349">
        <v>0.94744379999999995</v>
      </c>
      <c r="Y1349">
        <v>-1.9432290000000001E-2</v>
      </c>
      <c r="Z1349">
        <v>2.7473569999999999E-4</v>
      </c>
      <c r="AA1349">
        <v>0.99981109999999895</v>
      </c>
      <c r="AB1349">
        <v>24</v>
      </c>
      <c r="AC1349">
        <v>12.159999999999901</v>
      </c>
      <c r="AD1349">
        <v>-1.1107513666769999</v>
      </c>
      <c r="AE1349">
        <v>0.35680000000002099</v>
      </c>
      <c r="AF1349">
        <v>-0.23763819496340499</v>
      </c>
      <c r="AG1349">
        <v>-1.1107513666769999</v>
      </c>
      <c r="AH1349">
        <v>12.062313802129999</v>
      </c>
      <c r="AI1349">
        <v>95.260197163374102</v>
      </c>
      <c r="AJ1349">
        <v>91.128631266828606</v>
      </c>
      <c r="AK1349">
        <v>12.1156780566065</v>
      </c>
      <c r="AL1349">
        <v>72.037154512937505</v>
      </c>
      <c r="AM1349">
        <v>84.868290972415906</v>
      </c>
      <c r="AN1349">
        <v>1.0000000026772</v>
      </c>
    </row>
    <row r="1350" spans="1:40" x14ac:dyDescent="0.25">
      <c r="A1350" t="str">
        <f>"20190304164843110"</f>
        <v>20190304164843110</v>
      </c>
      <c r="B1350" t="str">
        <f>"1551689323097419"</f>
        <v>1551689323097419</v>
      </c>
      <c r="C1350" t="s">
        <v>40</v>
      </c>
      <c r="D1350">
        <v>4.691643</v>
      </c>
      <c r="E1350">
        <v>0.47432859999999999</v>
      </c>
      <c r="F1350" t="s">
        <v>41</v>
      </c>
      <c r="G1350">
        <v>-226.32470000000001</v>
      </c>
      <c r="H1350">
        <v>1.0287500000000001</v>
      </c>
      <c r="I1350">
        <v>367.77249999999998</v>
      </c>
      <c r="J1350">
        <v>-227.10210000000001</v>
      </c>
      <c r="K1350">
        <v>1.1107450000000001</v>
      </c>
      <c r="L1350">
        <v>367.74790000000002</v>
      </c>
      <c r="M1350">
        <v>0.99985809999999997</v>
      </c>
      <c r="N1350">
        <v>-1.380748E-2</v>
      </c>
      <c r="O1350">
        <v>9.6535800000000001E-3</v>
      </c>
      <c r="P1350">
        <v>0.95238389999999995</v>
      </c>
      <c r="Q1350">
        <v>0.29520390000000002</v>
      </c>
      <c r="R1350">
        <v>-7.6286899999999894E-2</v>
      </c>
      <c r="S1350">
        <v>3.2489170000000001</v>
      </c>
      <c r="T1350">
        <v>-0.29510690000000001</v>
      </c>
      <c r="U1350">
        <v>9.3200679999999994E-2</v>
      </c>
      <c r="V1350">
        <v>8.5471149999999996E-2</v>
      </c>
      <c r="W1350">
        <v>0.3083166</v>
      </c>
      <c r="X1350">
        <v>0.94743630000000001</v>
      </c>
      <c r="Y1350">
        <v>-1.896167E-2</v>
      </c>
      <c r="Z1350">
        <v>2.4867930000000002E-4</v>
      </c>
      <c r="AA1350">
        <v>0.99982020000000005</v>
      </c>
      <c r="AB1350">
        <v>24</v>
      </c>
      <c r="AC1350">
        <v>0.77739999999999998</v>
      </c>
      <c r="AD1350">
        <v>-8.1994999999999998E-2</v>
      </c>
      <c r="AE1350">
        <v>2.4599999999963901E-2</v>
      </c>
      <c r="AF1350">
        <v>-1.6905565085673702E-2</v>
      </c>
      <c r="AG1350">
        <v>-8.1994999999999998E-2</v>
      </c>
      <c r="AH1350">
        <v>0.76905438045604502</v>
      </c>
      <c r="AI1350">
        <v>96.084309347733694</v>
      </c>
      <c r="AJ1350">
        <v>91.259288784943905</v>
      </c>
      <c r="AK1350">
        <v>0.77359784013044997</v>
      </c>
      <c r="AL1350">
        <v>72.042189627917395</v>
      </c>
      <c r="AM1350">
        <v>84.845124986591998</v>
      </c>
      <c r="AN1350">
        <v>0.99999999293778596</v>
      </c>
    </row>
    <row r="1351" spans="1:40" x14ac:dyDescent="0.25">
      <c r="A1351" t="str">
        <f>"20190304164843121"</f>
        <v>20190304164843121</v>
      </c>
      <c r="B1351" t="str">
        <f>"1551689323117915"</f>
        <v>1551689323117915</v>
      </c>
      <c r="C1351" t="s">
        <v>40</v>
      </c>
      <c r="D1351">
        <v>4.6840590000000004</v>
      </c>
      <c r="E1351">
        <v>0.47432999999999997</v>
      </c>
      <c r="F1351" t="s">
        <v>42</v>
      </c>
      <c r="G1351">
        <v>-214.91300000000001</v>
      </c>
      <c r="H1351" s="1">
        <v>-2.4344669999999999E-6</v>
      </c>
      <c r="I1351">
        <v>368.09519999999998</v>
      </c>
      <c r="J1351">
        <v>-226.9812</v>
      </c>
      <c r="K1351">
        <v>1.110744</v>
      </c>
      <c r="L1351">
        <v>367.7491</v>
      </c>
      <c r="M1351">
        <v>0.99985800000000002</v>
      </c>
      <c r="N1351">
        <v>-1.3806270000000001E-2</v>
      </c>
      <c r="O1351">
        <v>9.6709650000000001E-3</v>
      </c>
      <c r="P1351">
        <v>0.95243639999999996</v>
      </c>
      <c r="Q1351">
        <v>0.29490759999999899</v>
      </c>
      <c r="R1351">
        <v>-7.6778460000000007E-2</v>
      </c>
      <c r="S1351">
        <v>3.2491759999999998</v>
      </c>
      <c r="T1351">
        <v>-0.29608390000000001</v>
      </c>
      <c r="U1351">
        <v>9.2590329999999998E-2</v>
      </c>
      <c r="V1351">
        <v>8.5980799999999996E-2</v>
      </c>
      <c r="W1351">
        <v>0.30802000000000002</v>
      </c>
      <c r="X1351">
        <v>0.94748659999999996</v>
      </c>
      <c r="Y1351">
        <v>-1.875506E-2</v>
      </c>
      <c r="Z1351">
        <v>2.364423E-4</v>
      </c>
      <c r="AA1351">
        <v>0.99982409999999999</v>
      </c>
      <c r="AB1351">
        <v>24</v>
      </c>
      <c r="AC1351">
        <v>12.068199999999999</v>
      </c>
      <c r="AD1351">
        <v>-1.1107464344669999</v>
      </c>
      <c r="AE1351">
        <v>0.34609999999997798</v>
      </c>
      <c r="AF1351">
        <v>-0.22743647998680699</v>
      </c>
      <c r="AG1351">
        <v>-1.1107464344669999</v>
      </c>
      <c r="AH1351">
        <v>11.969668851161799</v>
      </c>
      <c r="AI1351">
        <v>95.300727876930296</v>
      </c>
      <c r="AJ1351">
        <v>91.088549955250599</v>
      </c>
      <c r="AK1351">
        <v>12.023246541620299</v>
      </c>
      <c r="AL1351">
        <v>72.060051906825706</v>
      </c>
      <c r="AM1351">
        <v>84.814828199925103</v>
      </c>
      <c r="AN1351">
        <v>0.99999993777409801</v>
      </c>
    </row>
    <row r="1352" spans="1:40" x14ac:dyDescent="0.25">
      <c r="A1352" t="str">
        <f>"20190304164843134"</f>
        <v>20190304164843134</v>
      </c>
      <c r="B1352" t="str">
        <f>"1551689323127675"</f>
        <v>1551689323127675</v>
      </c>
      <c r="C1352" t="s">
        <v>40</v>
      </c>
      <c r="D1352">
        <v>4.677746</v>
      </c>
      <c r="E1352">
        <v>0.47431459999999998</v>
      </c>
      <c r="F1352" t="s">
        <v>41</v>
      </c>
      <c r="G1352">
        <v>-226.1078</v>
      </c>
      <c r="H1352">
        <v>1.0305629999999999</v>
      </c>
      <c r="I1352">
        <v>367.77339999999998</v>
      </c>
      <c r="J1352">
        <v>-226.8467</v>
      </c>
      <c r="K1352">
        <v>1.110744</v>
      </c>
      <c r="L1352">
        <v>367.75040000000001</v>
      </c>
      <c r="M1352">
        <v>0.99985780000000002</v>
      </c>
      <c r="N1352">
        <v>-1.380494E-2</v>
      </c>
      <c r="O1352">
        <v>9.6892430000000002E-3</v>
      </c>
      <c r="P1352">
        <v>0.95249139999999999</v>
      </c>
      <c r="Q1352">
        <v>0.29461759999999998</v>
      </c>
      <c r="R1352">
        <v>-7.7205579999999996E-2</v>
      </c>
      <c r="S1352">
        <v>3.2496339999999999</v>
      </c>
      <c r="T1352">
        <v>-0.2985198</v>
      </c>
      <c r="U1352">
        <v>9.1339110000000001E-2</v>
      </c>
      <c r="V1352">
        <v>8.642735E-2</v>
      </c>
      <c r="W1352">
        <v>0.30772919999999998</v>
      </c>
      <c r="X1352">
        <v>0.94754050000000001</v>
      </c>
      <c r="Y1352">
        <v>-1.8349330000000001E-2</v>
      </c>
      <c r="Z1352">
        <v>2.133782E-4</v>
      </c>
      <c r="AA1352">
        <v>0.99983160000000004</v>
      </c>
      <c r="AB1352">
        <v>24</v>
      </c>
      <c r="AC1352">
        <v>0.738900000000001</v>
      </c>
      <c r="AD1352">
        <v>-8.0181000000000002E-2</v>
      </c>
      <c r="AE1352">
        <v>2.2999999999967699E-2</v>
      </c>
      <c r="AF1352">
        <v>-1.5654696306647599E-2</v>
      </c>
      <c r="AG1352">
        <v>-8.0181000000000002E-2</v>
      </c>
      <c r="AH1352">
        <v>0.73049472118236802</v>
      </c>
      <c r="AI1352">
        <v>96.262432313331203</v>
      </c>
      <c r="AJ1352">
        <v>91.227675888776105</v>
      </c>
      <c r="AK1352">
        <v>0.73504870583707504</v>
      </c>
      <c r="AL1352">
        <v>72.077564800993002</v>
      </c>
      <c r="AM1352">
        <v>84.788341261911796</v>
      </c>
      <c r="AN1352">
        <v>0.99999997325045598</v>
      </c>
    </row>
    <row r="1353" spans="1:40" x14ac:dyDescent="0.25">
      <c r="A1353" t="str">
        <f>"20190304164843148"</f>
        <v>20190304164843148</v>
      </c>
      <c r="B1353" t="str">
        <f>"1551689323137435"</f>
        <v>1551689323137435</v>
      </c>
      <c r="C1353" t="s">
        <v>40</v>
      </c>
      <c r="D1353">
        <v>4.6735939999999996</v>
      </c>
      <c r="E1353">
        <v>0.4742884</v>
      </c>
      <c r="F1353" t="s">
        <v>42</v>
      </c>
      <c r="G1353">
        <v>-214.81360000000001</v>
      </c>
      <c r="H1353" s="1">
        <v>-2.4788910000000001E-6</v>
      </c>
      <c r="I1353">
        <v>368.08519999999999</v>
      </c>
      <c r="J1353">
        <v>-226.69759999999999</v>
      </c>
      <c r="K1353">
        <v>1.1107419999999999</v>
      </c>
      <c r="L1353">
        <v>367.7518</v>
      </c>
      <c r="M1353">
        <v>0.99985769999999996</v>
      </c>
      <c r="N1353">
        <v>-1.380346E-2</v>
      </c>
      <c r="O1353">
        <v>9.706012E-3</v>
      </c>
      <c r="P1353">
        <v>0.95249899999999998</v>
      </c>
      <c r="Q1353">
        <v>0.29443540000000001</v>
      </c>
      <c r="R1353">
        <v>-7.7805180000000002E-2</v>
      </c>
      <c r="S1353">
        <v>3.2497560000000001</v>
      </c>
      <c r="T1353">
        <v>-0.29997489999999999</v>
      </c>
      <c r="U1353">
        <v>9.0423580000000003E-2</v>
      </c>
      <c r="V1353">
        <v>8.7045059999999994E-2</v>
      </c>
      <c r="W1353">
        <v>0.3075445</v>
      </c>
      <c r="X1353">
        <v>0.94754389999999999</v>
      </c>
      <c r="Y1353">
        <v>-1.8051089999999999E-2</v>
      </c>
      <c r="Z1353">
        <v>1.9601309999999999E-4</v>
      </c>
      <c r="AA1353">
        <v>0.99983699999999998</v>
      </c>
      <c r="AB1353">
        <v>24</v>
      </c>
      <c r="AC1353">
        <v>11.883999999999901</v>
      </c>
      <c r="AD1353">
        <v>-1.1107444788909999</v>
      </c>
      <c r="AE1353">
        <v>0.33339999999998299</v>
      </c>
      <c r="AF1353">
        <v>-0.21614038895812801</v>
      </c>
      <c r="AG1353">
        <v>-1.1107444788909999</v>
      </c>
      <c r="AH1353">
        <v>11.783816207078001</v>
      </c>
      <c r="AI1353">
        <v>95.383899125738594</v>
      </c>
      <c r="AJ1353">
        <v>91.050809291334204</v>
      </c>
      <c r="AK1353">
        <v>11.838023245766999</v>
      </c>
      <c r="AL1353">
        <v>72.088686311162405</v>
      </c>
      <c r="AM1353">
        <v>84.751318745983298</v>
      </c>
      <c r="AN1353">
        <v>0.99999995218893001</v>
      </c>
    </row>
    <row r="1354" spans="1:40" x14ac:dyDescent="0.25">
      <c r="A1354" t="str">
        <f>"20190304164843163"</f>
        <v>20190304164843163</v>
      </c>
      <c r="B1354" t="str">
        <f>"1551689323157707"</f>
        <v>1551689323157707</v>
      </c>
      <c r="C1354" t="s">
        <v>40</v>
      </c>
      <c r="D1354">
        <v>4.677238</v>
      </c>
      <c r="E1354">
        <v>0.4742191</v>
      </c>
      <c r="F1354" t="s">
        <v>41</v>
      </c>
      <c r="G1354">
        <v>-225.88220000000001</v>
      </c>
      <c r="H1354">
        <v>1.0352170000000001</v>
      </c>
      <c r="I1354">
        <v>367.774</v>
      </c>
      <c r="J1354">
        <v>-226.53700000000001</v>
      </c>
      <c r="K1354">
        <v>1.110741</v>
      </c>
      <c r="L1354">
        <v>367.7534</v>
      </c>
      <c r="M1354">
        <v>0.99985749999999995</v>
      </c>
      <c r="N1354">
        <v>-1.3801849999999999E-2</v>
      </c>
      <c r="O1354">
        <v>9.7205069999999998E-3</v>
      </c>
      <c r="P1354">
        <v>0.95241629999999999</v>
      </c>
      <c r="Q1354">
        <v>0.29445900000000003</v>
      </c>
      <c r="R1354">
        <v>-7.8722180000000003E-2</v>
      </c>
      <c r="S1354">
        <v>3.25</v>
      </c>
      <c r="T1354">
        <v>-0.30118020000000001</v>
      </c>
      <c r="U1354">
        <v>8.9019780000000007E-2</v>
      </c>
      <c r="V1354">
        <v>8.7977840000000002E-2</v>
      </c>
      <c r="W1354">
        <v>0.30756499999999998</v>
      </c>
      <c r="X1354">
        <v>0.94745119999999905</v>
      </c>
      <c r="Y1354">
        <v>-1.760484E-2</v>
      </c>
      <c r="Z1354">
        <v>1.7087879999999999E-4</v>
      </c>
      <c r="AA1354">
        <v>0.99984499999999998</v>
      </c>
      <c r="AB1354">
        <v>24</v>
      </c>
      <c r="AC1354">
        <v>0.65479999999999405</v>
      </c>
      <c r="AD1354">
        <v>-7.5523999999999897E-2</v>
      </c>
      <c r="AE1354">
        <v>2.06000000000017E-2</v>
      </c>
      <c r="AF1354">
        <v>-1.40467517733505E-2</v>
      </c>
      <c r="AG1354">
        <v>-7.5523999999999897E-2</v>
      </c>
      <c r="AH1354">
        <v>0.64637898188188203</v>
      </c>
      <c r="AI1354">
        <v>96.662758250844007</v>
      </c>
      <c r="AJ1354">
        <v>91.244924351397003</v>
      </c>
      <c r="AK1354">
        <v>0.65092777942721203</v>
      </c>
      <c r="AL1354">
        <v>72.087453783443706</v>
      </c>
      <c r="AM1354">
        <v>84.694876689419303</v>
      </c>
      <c r="AN1354">
        <v>1.0000000529687501</v>
      </c>
    </row>
    <row r="1355" spans="1:40" x14ac:dyDescent="0.25">
      <c r="A1355" t="str">
        <f>"20190304164843177"</f>
        <v>20190304164843177</v>
      </c>
      <c r="B1355" t="str">
        <f>"1551689323167468"</f>
        <v>1551689323167468</v>
      </c>
      <c r="C1355" t="s">
        <v>40</v>
      </c>
      <c r="D1355">
        <v>4.7710670000000004</v>
      </c>
      <c r="E1355">
        <v>0.4742191</v>
      </c>
      <c r="F1355" t="s">
        <v>41</v>
      </c>
      <c r="G1355">
        <v>-225.6771</v>
      </c>
      <c r="H1355">
        <v>1.0309349999999999</v>
      </c>
      <c r="I1355">
        <v>367.77620000000002</v>
      </c>
      <c r="J1355">
        <v>-226.3853</v>
      </c>
      <c r="K1355">
        <v>1.1107389999999999</v>
      </c>
      <c r="L1355">
        <v>367.75490000000002</v>
      </c>
      <c r="M1355">
        <v>0.99985749999999995</v>
      </c>
      <c r="N1355">
        <v>-1.3800299999999901E-2</v>
      </c>
      <c r="O1355">
        <v>9.7307069999999999E-3</v>
      </c>
      <c r="P1355">
        <v>0.9522796</v>
      </c>
      <c r="Q1355">
        <v>0.29477920000000002</v>
      </c>
      <c r="R1355">
        <v>-7.9177650000000002E-2</v>
      </c>
      <c r="S1355">
        <v>3.2505039999999998</v>
      </c>
      <c r="T1355">
        <v>-0.30209429999999998</v>
      </c>
      <c r="U1355">
        <v>8.7158200000000005E-2</v>
      </c>
      <c r="V1355">
        <v>8.8444460000000003E-2</v>
      </c>
      <c r="W1355">
        <v>0.30788070000000001</v>
      </c>
      <c r="X1355">
        <v>0.94730510000000001</v>
      </c>
      <c r="Y1355">
        <v>-1.7020859999999999E-2</v>
      </c>
      <c r="Z1355">
        <v>1.3868689999999999E-4</v>
      </c>
      <c r="AA1355">
        <v>0.9998551</v>
      </c>
      <c r="AB1355">
        <v>24</v>
      </c>
      <c r="AC1355">
        <v>0.70820000000000505</v>
      </c>
      <c r="AD1355">
        <v>-7.9803999999999903E-2</v>
      </c>
      <c r="AE1355">
        <v>2.1299999999996499E-2</v>
      </c>
      <c r="AF1355">
        <v>-1.42265623786201E-2</v>
      </c>
      <c r="AG1355">
        <v>-7.9803999999999903E-2</v>
      </c>
      <c r="AH1355">
        <v>0.69949948704100395</v>
      </c>
      <c r="AI1355">
        <v>96.507244984335898</v>
      </c>
      <c r="AJ1355">
        <v>91.165132547719196</v>
      </c>
      <c r="AK1355">
        <v>0.70418080481062595</v>
      </c>
      <c r="AL1355">
        <v>72.068441124465195</v>
      </c>
      <c r="AM1355">
        <v>84.666083238549206</v>
      </c>
      <c r="AN1355">
        <v>0.99999995021159405</v>
      </c>
    </row>
    <row r="1356" spans="1:40" x14ac:dyDescent="0.25">
      <c r="A1356" t="str">
        <f>"20190304164843195"</f>
        <v>20190304164843195</v>
      </c>
      <c r="B1356" t="str">
        <f>"1551689323187963"</f>
        <v>1551689323187963</v>
      </c>
      <c r="C1356" t="s">
        <v>40</v>
      </c>
      <c r="D1356">
        <v>4.8085589999999998</v>
      </c>
      <c r="E1356">
        <v>0.50698729999999903</v>
      </c>
      <c r="F1356" t="s">
        <v>41</v>
      </c>
      <c r="G1356">
        <v>-225.4665</v>
      </c>
      <c r="H1356">
        <v>1.025703</v>
      </c>
      <c r="I1356">
        <v>367.779</v>
      </c>
      <c r="J1356">
        <v>-226.1857</v>
      </c>
      <c r="K1356">
        <v>1.1107389999999999</v>
      </c>
      <c r="L1356">
        <v>367.75689999999997</v>
      </c>
      <c r="M1356">
        <v>0.99985749999999995</v>
      </c>
      <c r="N1356">
        <v>-1.3798319999999999E-2</v>
      </c>
      <c r="O1356">
        <v>9.7390310000000004E-3</v>
      </c>
      <c r="P1356">
        <v>0.95201930000000001</v>
      </c>
      <c r="Q1356">
        <v>0.295423299999999</v>
      </c>
      <c r="R1356">
        <v>-7.990535E-2</v>
      </c>
      <c r="S1356">
        <v>3.25061</v>
      </c>
      <c r="T1356">
        <v>-0.30099490000000001</v>
      </c>
      <c r="U1356">
        <v>8.5662840000000004E-2</v>
      </c>
      <c r="V1356">
        <v>8.9181510000000006E-2</v>
      </c>
      <c r="W1356">
        <v>0.30851810000000002</v>
      </c>
      <c r="X1356">
        <v>0.9470286</v>
      </c>
      <c r="Y1356">
        <v>-1.6554659999999999E-2</v>
      </c>
      <c r="Z1356">
        <v>1.136491E-4</v>
      </c>
      <c r="AA1356">
        <v>0.99986299999999995</v>
      </c>
      <c r="AB1356">
        <v>24</v>
      </c>
      <c r="AC1356">
        <v>0.71919999999999995</v>
      </c>
      <c r="AD1356">
        <v>-8.5035999999999806E-2</v>
      </c>
      <c r="AE1356">
        <v>2.2100000000023101E-2</v>
      </c>
      <c r="AF1356">
        <v>-1.4886064202906699E-2</v>
      </c>
      <c r="AG1356">
        <v>-8.5035999999999806E-2</v>
      </c>
      <c r="AH1356">
        <v>0.70947209499053299</v>
      </c>
      <c r="AI1356">
        <v>96.833270480278799</v>
      </c>
      <c r="AJ1356">
        <v>91.201997273833996</v>
      </c>
      <c r="AK1356">
        <v>0.71470509286957495</v>
      </c>
      <c r="AL1356">
        <v>72.030052346689104</v>
      </c>
      <c r="AM1356">
        <v>84.620331711781802</v>
      </c>
      <c r="AN1356">
        <v>0.99999996448572404</v>
      </c>
    </row>
    <row r="1357" spans="1:40" x14ac:dyDescent="0.25">
      <c r="A1357" t="str">
        <f>"20190304164843207"</f>
        <v>20190304164843207</v>
      </c>
      <c r="B1357" t="str">
        <f>"1551689323197724"</f>
        <v>1551689323197724</v>
      </c>
      <c r="C1357" t="s">
        <v>40</v>
      </c>
      <c r="D1357">
        <v>4.700742</v>
      </c>
      <c r="E1357">
        <v>0.51665130000000004</v>
      </c>
      <c r="F1357" t="s">
        <v>41</v>
      </c>
      <c r="G1357">
        <v>-225.25460000000001</v>
      </c>
      <c r="H1357">
        <v>1.022537</v>
      </c>
      <c r="I1357">
        <v>367.70499999999998</v>
      </c>
      <c r="J1357">
        <v>-226.0591</v>
      </c>
      <c r="K1357">
        <v>1.1107389999999999</v>
      </c>
      <c r="L1357">
        <v>367.75810000000001</v>
      </c>
      <c r="M1357">
        <v>0.99985740000000001</v>
      </c>
      <c r="N1357">
        <v>-1.379708E-2</v>
      </c>
      <c r="O1357">
        <v>9.7414919999999992E-3</v>
      </c>
      <c r="P1357">
        <v>0.95189579999999996</v>
      </c>
      <c r="Q1357">
        <v>0.29574440000000002</v>
      </c>
      <c r="R1357">
        <v>-8.0185969999999995E-2</v>
      </c>
      <c r="S1357">
        <v>3.2312620000000001</v>
      </c>
      <c r="T1357">
        <v>-0.30646250000000003</v>
      </c>
      <c r="U1357">
        <v>-0.17892459999999999</v>
      </c>
      <c r="V1357">
        <v>8.9465459999999997E-2</v>
      </c>
      <c r="W1357">
        <v>0.30883549999999999</v>
      </c>
      <c r="X1357">
        <v>0.94689840000000003</v>
      </c>
      <c r="Y1357">
        <v>6.4649689999999996E-2</v>
      </c>
      <c r="Z1357">
        <v>-4.2912369999999998E-3</v>
      </c>
      <c r="AA1357">
        <v>0.99789879999999997</v>
      </c>
      <c r="AB1357">
        <v>24</v>
      </c>
      <c r="AC1357">
        <v>0.80449999999999</v>
      </c>
      <c r="AD1357">
        <v>-8.8201999999999794E-2</v>
      </c>
      <c r="AE1357">
        <v>-5.3100000000028999E-2</v>
      </c>
      <c r="AF1357">
        <v>6.0214615289069601E-2</v>
      </c>
      <c r="AG1357">
        <v>-8.8201999999999794E-2</v>
      </c>
      <c r="AH1357">
        <v>0.79443678075981605</v>
      </c>
      <c r="AI1357">
        <v>96.317320401276007</v>
      </c>
      <c r="AJ1357">
        <v>85.665533965633401</v>
      </c>
      <c r="AK1357">
        <v>0.80158292853729796</v>
      </c>
      <c r="AL1357">
        <v>72.010933806372194</v>
      </c>
      <c r="AM1357">
        <v>84.602566381827103</v>
      </c>
      <c r="AN1357">
        <v>1.0000000072579101</v>
      </c>
    </row>
    <row r="1358" spans="1:40" x14ac:dyDescent="0.25">
      <c r="A1358" t="str">
        <f>"20190304164843219"</f>
        <v>20190304164843219</v>
      </c>
      <c r="B1358" t="str">
        <f>"1551689323207484"</f>
        <v>1551689323207484</v>
      </c>
      <c r="C1358" t="s">
        <v>40</v>
      </c>
      <c r="D1358">
        <v>4.7021249999999997</v>
      </c>
      <c r="E1358">
        <v>0.52299490000000004</v>
      </c>
      <c r="F1358" t="s">
        <v>41</v>
      </c>
      <c r="G1358">
        <v>-225.25020000000001</v>
      </c>
      <c r="H1358">
        <v>1.03128</v>
      </c>
      <c r="I1358">
        <v>367.69369999999998</v>
      </c>
      <c r="J1358">
        <v>-225.93510000000001</v>
      </c>
      <c r="K1358">
        <v>1.110738</v>
      </c>
      <c r="L1358">
        <v>367.7593</v>
      </c>
      <c r="M1358">
        <v>0.99985749999999995</v>
      </c>
      <c r="N1358">
        <v>-1.379586E-2</v>
      </c>
      <c r="O1358">
        <v>9.7431240000000006E-3</v>
      </c>
      <c r="P1358">
        <v>0.95176450000000001</v>
      </c>
      <c r="Q1358">
        <v>0.29609659999999999</v>
      </c>
      <c r="R1358">
        <v>-8.0446329999999996E-2</v>
      </c>
      <c r="S1358">
        <v>3.2287140000000001</v>
      </c>
      <c r="T1358">
        <v>-0.31754460000000001</v>
      </c>
      <c r="U1358">
        <v>-0.25604250000000001</v>
      </c>
      <c r="V1358">
        <v>8.9728269999999999E-2</v>
      </c>
      <c r="W1358">
        <v>0.30918430000000002</v>
      </c>
      <c r="X1358">
        <v>0.94675969999999998</v>
      </c>
      <c r="Y1358">
        <v>8.8245649999999995E-2</v>
      </c>
      <c r="Z1358">
        <v>-5.7542679999999999E-3</v>
      </c>
      <c r="AA1358">
        <v>0.99608209999999997</v>
      </c>
      <c r="AB1358">
        <v>24</v>
      </c>
      <c r="AC1358">
        <v>0.68489999999999895</v>
      </c>
      <c r="AD1358">
        <v>-7.9458000000000001E-2</v>
      </c>
      <c r="AE1358">
        <v>-6.5600000000017603E-2</v>
      </c>
      <c r="AF1358">
        <v>7.1319405668780297E-2</v>
      </c>
      <c r="AG1358">
        <v>-7.9458000000000001E-2</v>
      </c>
      <c r="AH1358">
        <v>0.67522289432532501</v>
      </c>
      <c r="AI1358">
        <v>96.674720154657507</v>
      </c>
      <c r="AJ1358">
        <v>83.970574961673506</v>
      </c>
      <c r="AK1358">
        <v>0.68361245483827804</v>
      </c>
      <c r="AL1358">
        <v>71.989920711073793</v>
      </c>
      <c r="AM1358">
        <v>84.586016832226903</v>
      </c>
      <c r="AN1358">
        <v>1.0000000116738801</v>
      </c>
    </row>
    <row r="1359" spans="1:40" x14ac:dyDescent="0.25">
      <c r="A1359" t="str">
        <f>"20190304164843231"</f>
        <v>20190304164843231</v>
      </c>
      <c r="B1359" t="str">
        <f>"1551689323227004"</f>
        <v>1551689323227004</v>
      </c>
      <c r="C1359" t="s">
        <v>40</v>
      </c>
      <c r="D1359">
        <v>4.6582290000000004</v>
      </c>
      <c r="E1359">
        <v>0.53078440000000005</v>
      </c>
      <c r="F1359" t="s">
        <v>41</v>
      </c>
      <c r="G1359">
        <v>-225.04050000000001</v>
      </c>
      <c r="H1359">
        <v>1.0212380000000001</v>
      </c>
      <c r="I1359">
        <v>367.67399999999998</v>
      </c>
      <c r="J1359">
        <v>-225.8021</v>
      </c>
      <c r="K1359">
        <v>1.110738</v>
      </c>
      <c r="L1359">
        <v>367.76060000000001</v>
      </c>
      <c r="M1359">
        <v>0.99985740000000001</v>
      </c>
      <c r="N1359">
        <v>-1.3794560000000001E-2</v>
      </c>
      <c r="O1359">
        <v>9.7432749999999992E-3</v>
      </c>
      <c r="P1359">
        <v>0.95156399999999997</v>
      </c>
      <c r="Q1359">
        <v>0.29664839999999998</v>
      </c>
      <c r="R1359">
        <v>-8.0783640000000004E-2</v>
      </c>
      <c r="S1359">
        <v>3.2265320000000002</v>
      </c>
      <c r="T1359">
        <v>-0.32293830000000001</v>
      </c>
      <c r="U1359">
        <v>-0.30731199999999997</v>
      </c>
      <c r="V1359">
        <v>9.0065419999999993E-2</v>
      </c>
      <c r="W1359">
        <v>0.30973109999999998</v>
      </c>
      <c r="X1359">
        <v>0.94654890000000003</v>
      </c>
      <c r="Y1359">
        <v>0.1038898</v>
      </c>
      <c r="Z1359">
        <v>-6.7316019999999997E-3</v>
      </c>
      <c r="AA1359">
        <v>0.99456599999999995</v>
      </c>
      <c r="AB1359">
        <v>24</v>
      </c>
      <c r="AC1359">
        <v>0.76159999999998695</v>
      </c>
      <c r="AD1359">
        <v>-8.9500000000000093E-2</v>
      </c>
      <c r="AE1359">
        <v>-8.6599999999975794E-2</v>
      </c>
      <c r="AF1359">
        <v>9.2752515032699101E-2</v>
      </c>
      <c r="AG1359">
        <v>-8.9500000000000093E-2</v>
      </c>
      <c r="AH1359">
        <v>0.75048808291359803</v>
      </c>
      <c r="AI1359">
        <v>96.749855822709193</v>
      </c>
      <c r="AJ1359">
        <v>82.954564673097906</v>
      </c>
      <c r="AK1359">
        <v>0.76147596261485395</v>
      </c>
      <c r="AL1359">
        <v>71.956973492534601</v>
      </c>
      <c r="AM1359">
        <v>84.564592610695001</v>
      </c>
      <c r="AN1359">
        <v>0.99999997713909805</v>
      </c>
    </row>
    <row r="1360" spans="1:40" x14ac:dyDescent="0.25">
      <c r="A1360" t="str">
        <f>"20190304164843243"</f>
        <v>20190304164843243</v>
      </c>
      <c r="B1360" t="str">
        <f>"1551689323237740"</f>
        <v>1551689323237740</v>
      </c>
      <c r="C1360" t="s">
        <v>40</v>
      </c>
      <c r="D1360">
        <v>4.5932769999999996</v>
      </c>
      <c r="E1360">
        <v>0.53272319999999995</v>
      </c>
      <c r="F1360" t="s">
        <v>41</v>
      </c>
      <c r="G1360">
        <v>-225.03489999999999</v>
      </c>
      <c r="H1360">
        <v>1.0325120000000001</v>
      </c>
      <c r="I1360">
        <v>367.67239999999998</v>
      </c>
      <c r="J1360">
        <v>-225.68039999999999</v>
      </c>
      <c r="K1360">
        <v>1.110738</v>
      </c>
      <c r="L1360">
        <v>367.76179999999999</v>
      </c>
      <c r="M1360">
        <v>0.99985740000000001</v>
      </c>
      <c r="N1360">
        <v>-1.3793359999999999E-2</v>
      </c>
      <c r="O1360">
        <v>9.7405670000000003E-3</v>
      </c>
      <c r="P1360">
        <v>0.95150310000000005</v>
      </c>
      <c r="Q1360">
        <v>0.29676619999999998</v>
      </c>
      <c r="R1360">
        <v>-8.1068039999999994E-2</v>
      </c>
      <c r="S1360">
        <v>3.2238310000000001</v>
      </c>
      <c r="T1360">
        <v>-0.32889990000000002</v>
      </c>
      <c r="U1360">
        <v>-0.36999510000000002</v>
      </c>
      <c r="V1360">
        <v>9.0348109999999995E-2</v>
      </c>
      <c r="W1360">
        <v>0.30984679999999998</v>
      </c>
      <c r="X1360">
        <v>0.94648410000000005</v>
      </c>
      <c r="Y1360">
        <v>0.12293900000000001</v>
      </c>
      <c r="Z1360">
        <v>-7.9422869999999993E-3</v>
      </c>
      <c r="AA1360">
        <v>0.99238249999999995</v>
      </c>
      <c r="AB1360">
        <v>24</v>
      </c>
      <c r="AC1360">
        <v>0.64549999999999796</v>
      </c>
      <c r="AD1360">
        <v>-7.8225999999999907E-2</v>
      </c>
      <c r="AE1360">
        <v>-8.9400000000011901E-2</v>
      </c>
      <c r="AF1360">
        <v>9.4324691578441103E-2</v>
      </c>
      <c r="AG1360">
        <v>-7.8225999999999907E-2</v>
      </c>
      <c r="AH1360">
        <v>0.63544188563528303</v>
      </c>
      <c r="AI1360">
        <v>96.942761831914893</v>
      </c>
      <c r="AJ1360">
        <v>81.556695556198093</v>
      </c>
      <c r="AK1360">
        <v>0.64714978524070599</v>
      </c>
      <c r="AL1360">
        <v>71.950001545493294</v>
      </c>
      <c r="AM1360">
        <v>84.547264006234698</v>
      </c>
      <c r="AN1360">
        <v>0.99999998600181095</v>
      </c>
    </row>
    <row r="1361" spans="1:40" x14ac:dyDescent="0.25">
      <c r="A1361" t="str">
        <f>"20190304164843253"</f>
        <v>20190304164843253</v>
      </c>
      <c r="B1361" t="str">
        <f>"1551689323247499"</f>
        <v>1551689323247499</v>
      </c>
      <c r="C1361" t="s">
        <v>40</v>
      </c>
      <c r="D1361">
        <v>4.641864</v>
      </c>
      <c r="E1361">
        <v>0.53430319999999998</v>
      </c>
      <c r="F1361" t="s">
        <v>41</v>
      </c>
      <c r="G1361">
        <v>-224.82490000000001</v>
      </c>
      <c r="H1361">
        <v>1.023342</v>
      </c>
      <c r="I1361">
        <v>367.65899999999999</v>
      </c>
      <c r="J1361">
        <v>-225.56010000000001</v>
      </c>
      <c r="K1361">
        <v>1.1107370000000001</v>
      </c>
      <c r="L1361">
        <v>367.76299999999998</v>
      </c>
      <c r="M1361">
        <v>0.99985749999999995</v>
      </c>
      <c r="N1361">
        <v>-1.3792159999999999E-2</v>
      </c>
      <c r="O1361">
        <v>9.7361909999999999E-3</v>
      </c>
      <c r="P1361">
        <v>0.9514416</v>
      </c>
      <c r="Q1361">
        <v>0.29690420000000001</v>
      </c>
      <c r="R1361">
        <v>-8.1285769999999993E-2</v>
      </c>
      <c r="S1361">
        <v>3.2227169999999998</v>
      </c>
      <c r="T1361">
        <v>-0.32947850000000001</v>
      </c>
      <c r="U1361">
        <v>-0.38644410000000001</v>
      </c>
      <c r="V1361">
        <v>9.0562539999999997E-2</v>
      </c>
      <c r="W1361">
        <v>0.30998189999999998</v>
      </c>
      <c r="X1361">
        <v>0.94641940000000002</v>
      </c>
      <c r="Y1361">
        <v>0.12793650000000001</v>
      </c>
      <c r="Z1361">
        <v>-8.2437229999999997E-3</v>
      </c>
      <c r="AA1361">
        <v>0.99174810000000002</v>
      </c>
      <c r="AB1361">
        <v>24</v>
      </c>
      <c r="AC1361">
        <v>0.73519999999999097</v>
      </c>
      <c r="AD1361">
        <v>-8.7395000000000098E-2</v>
      </c>
      <c r="AE1361">
        <v>-0.104000000000041</v>
      </c>
      <c r="AF1361">
        <v>0.10963497669127199</v>
      </c>
      <c r="AG1361">
        <v>-8.7395000000000098E-2</v>
      </c>
      <c r="AH1361">
        <v>0.72412092172314102</v>
      </c>
      <c r="AI1361">
        <v>96.804994353150605</v>
      </c>
      <c r="AJ1361">
        <v>81.390564155664507</v>
      </c>
      <c r="AK1361">
        <v>0.73756953802083502</v>
      </c>
      <c r="AL1361">
        <v>71.941860600695094</v>
      </c>
      <c r="AM1361">
        <v>84.534029508590606</v>
      </c>
      <c r="AN1361">
        <v>1.0000000163376099</v>
      </c>
    </row>
    <row r="1362" spans="1:40" x14ac:dyDescent="0.25">
      <c r="A1362" t="str">
        <f>"20190304164843265"</f>
        <v>20190304164843265</v>
      </c>
      <c r="B1362" t="str">
        <f>"1551689323257872"</f>
        <v>1551689323257872</v>
      </c>
      <c r="C1362" t="s">
        <v>40</v>
      </c>
      <c r="D1362">
        <v>4.6296419999999996</v>
      </c>
      <c r="E1362">
        <v>0.53549979999999997</v>
      </c>
      <c r="F1362" t="s">
        <v>41</v>
      </c>
      <c r="G1362">
        <v>-224.81979999999999</v>
      </c>
      <c r="H1362">
        <v>1.034359</v>
      </c>
      <c r="I1362">
        <v>367.67099999999999</v>
      </c>
      <c r="J1362">
        <v>-225.4452</v>
      </c>
      <c r="K1362">
        <v>1.1107309999999999</v>
      </c>
      <c r="L1362">
        <v>367.76409999999998</v>
      </c>
      <c r="M1362">
        <v>0.99985769999999996</v>
      </c>
      <c r="N1362">
        <v>-1.3791009999999999E-2</v>
      </c>
      <c r="O1362">
        <v>9.7243840000000008E-3</v>
      </c>
      <c r="P1362">
        <v>0.95141849999999994</v>
      </c>
      <c r="Q1362">
        <v>0.29695709999999997</v>
      </c>
      <c r="R1362">
        <v>-8.1360180000000004E-2</v>
      </c>
      <c r="S1362">
        <v>3.2228089999999998</v>
      </c>
      <c r="T1362">
        <v>-0.33277610000000002</v>
      </c>
      <c r="U1362">
        <v>-0.3995667</v>
      </c>
      <c r="V1362">
        <v>9.0629000000000001E-2</v>
      </c>
      <c r="W1362">
        <v>0.31003259999999899</v>
      </c>
      <c r="X1362">
        <v>0.94639640000000003</v>
      </c>
      <c r="Y1362">
        <v>0.1318616</v>
      </c>
      <c r="Z1362">
        <v>-8.5440199999999994E-3</v>
      </c>
      <c r="AA1362">
        <v>0.99123130000000004</v>
      </c>
      <c r="AB1362">
        <v>24</v>
      </c>
      <c r="AC1362">
        <v>0.62540000000001295</v>
      </c>
      <c r="AD1362">
        <v>-7.6371999999999801E-2</v>
      </c>
      <c r="AE1362">
        <v>-9.3099999999992605E-2</v>
      </c>
      <c r="AF1362">
        <v>9.7751679671585406E-2</v>
      </c>
      <c r="AG1362">
        <v>-7.6371999999999801E-2</v>
      </c>
      <c r="AH1362">
        <v>0.61548551658200801</v>
      </c>
      <c r="AI1362">
        <v>96.986658619381799</v>
      </c>
      <c r="AJ1362">
        <v>80.975632109318695</v>
      </c>
      <c r="AK1362">
        <v>0.6278618433898</v>
      </c>
      <c r="AL1362">
        <v>71.938804634598995</v>
      </c>
      <c r="AM1362">
        <v>84.529910456447595</v>
      </c>
      <c r="AN1362">
        <v>0.99999998731835904</v>
      </c>
    </row>
    <row r="1363" spans="1:40" x14ac:dyDescent="0.25">
      <c r="A1363" t="str">
        <f>"20190304164843278"</f>
        <v>20190304164843278</v>
      </c>
      <c r="B1363" t="str">
        <f>"1551689323267631"</f>
        <v>1551689323267631</v>
      </c>
      <c r="C1363" t="s">
        <v>40</v>
      </c>
      <c r="D1363">
        <v>4.6271009999999997</v>
      </c>
      <c r="E1363">
        <v>0.53650949999999997</v>
      </c>
      <c r="F1363" t="s">
        <v>41</v>
      </c>
      <c r="G1363">
        <v>-224.61070000000001</v>
      </c>
      <c r="H1363">
        <v>1.023849</v>
      </c>
      <c r="I1363">
        <v>367.65780000000001</v>
      </c>
      <c r="J1363">
        <v>-225.30170000000001</v>
      </c>
      <c r="K1363">
        <v>1.110724</v>
      </c>
      <c r="L1363">
        <v>367.76549999999997</v>
      </c>
      <c r="M1363">
        <v>0.99985800000000002</v>
      </c>
      <c r="N1363">
        <v>-1.3789569999999999E-2</v>
      </c>
      <c r="O1363">
        <v>9.7047869999999994E-3</v>
      </c>
      <c r="P1363">
        <v>0.9514319</v>
      </c>
      <c r="Q1363">
        <v>0.29687940000000002</v>
      </c>
      <c r="R1363">
        <v>-8.1488909999999998E-2</v>
      </c>
      <c r="S1363">
        <v>3.2229610000000002</v>
      </c>
      <c r="T1363">
        <v>-0.33576640000000002</v>
      </c>
      <c r="U1363">
        <v>-0.40957640000000001</v>
      </c>
      <c r="V1363">
        <v>9.0744379999999999E-2</v>
      </c>
      <c r="W1363">
        <v>0.3099519</v>
      </c>
      <c r="X1363">
        <v>0.94641180000000003</v>
      </c>
      <c r="Y1363">
        <v>0.13483510000000001</v>
      </c>
      <c r="Z1363">
        <v>-8.7844489999999997E-3</v>
      </c>
      <c r="AA1363">
        <v>0.99082910000000002</v>
      </c>
      <c r="AB1363">
        <v>24</v>
      </c>
      <c r="AC1363">
        <v>0.69100000000000195</v>
      </c>
      <c r="AD1363">
        <v>-8.6874999999999994E-2</v>
      </c>
      <c r="AE1363">
        <v>-0.107699999999965</v>
      </c>
      <c r="AF1363">
        <v>0.112663006946727</v>
      </c>
      <c r="AG1363">
        <v>-8.6874999999999994E-2</v>
      </c>
      <c r="AH1363">
        <v>0.67943737807304205</v>
      </c>
      <c r="AI1363">
        <v>97.189361581109097</v>
      </c>
      <c r="AJ1363">
        <v>80.584990214622096</v>
      </c>
      <c r="AK1363">
        <v>0.69417243497710801</v>
      </c>
      <c r="AL1363">
        <v>71.943668381700206</v>
      </c>
      <c r="AM1363">
        <v>84.523077371675896</v>
      </c>
      <c r="AN1363">
        <v>1.0000000089972101</v>
      </c>
    </row>
    <row r="1364" spans="1:40" x14ac:dyDescent="0.25">
      <c r="A1364" t="str">
        <f>"20190304164843290"</f>
        <v>20190304164843290</v>
      </c>
      <c r="B1364" t="str">
        <f>"1551689323277392"</f>
        <v>1551689323277392</v>
      </c>
      <c r="C1364" t="s">
        <v>40</v>
      </c>
      <c r="D1364">
        <v>4.5966279999999999</v>
      </c>
      <c r="E1364">
        <v>0.53730880000000003</v>
      </c>
      <c r="F1364" t="s">
        <v>41</v>
      </c>
      <c r="G1364">
        <v>-224.4006</v>
      </c>
      <c r="H1364">
        <v>1.0162500000000001</v>
      </c>
      <c r="I1364">
        <v>367.64830000000001</v>
      </c>
      <c r="J1364">
        <v>-225.1728</v>
      </c>
      <c r="K1364">
        <v>1.1107119999999999</v>
      </c>
      <c r="L1364">
        <v>367.76670000000001</v>
      </c>
      <c r="M1364">
        <v>0.99985809999999997</v>
      </c>
      <c r="N1364">
        <v>-1.378828E-2</v>
      </c>
      <c r="O1364">
        <v>9.6751270000000004E-3</v>
      </c>
      <c r="P1364">
        <v>0.95146500000000001</v>
      </c>
      <c r="Q1364">
        <v>0.29673260000000001</v>
      </c>
      <c r="R1364">
        <v>-8.1636150000000005E-2</v>
      </c>
      <c r="S1364">
        <v>3.2228089999999998</v>
      </c>
      <c r="T1364">
        <v>-0.33810269999999998</v>
      </c>
      <c r="U1364">
        <v>-0.41830440000000002</v>
      </c>
      <c r="V1364">
        <v>9.0870870000000006E-2</v>
      </c>
      <c r="W1364">
        <v>0.30980279999999999</v>
      </c>
      <c r="X1364">
        <v>0.94644850000000003</v>
      </c>
      <c r="Y1364">
        <v>0.13742409999999999</v>
      </c>
      <c r="Z1364">
        <v>-8.9890100000000004E-3</v>
      </c>
      <c r="AA1364">
        <v>0.99047149999999995</v>
      </c>
      <c r="AB1364">
        <v>24</v>
      </c>
      <c r="AC1364">
        <v>0.772199999999997</v>
      </c>
      <c r="AD1364">
        <v>-9.4462000000000004E-2</v>
      </c>
      <c r="AE1364">
        <v>-0.118400000000008</v>
      </c>
      <c r="AF1364">
        <v>0.124052587569301</v>
      </c>
      <c r="AG1364">
        <v>-9.4462000000000004E-2</v>
      </c>
      <c r="AH1364">
        <v>0.75990795746145201</v>
      </c>
      <c r="AI1364">
        <v>96.994277691049007</v>
      </c>
      <c r="AJ1364">
        <v>80.728427697925099</v>
      </c>
      <c r="AK1364">
        <v>0.77573978738999605</v>
      </c>
      <c r="AL1364">
        <v>71.952653786215194</v>
      </c>
      <c r="AM1364">
        <v>84.515700895455694</v>
      </c>
      <c r="AN1364">
        <v>1.0000000265273199</v>
      </c>
    </row>
    <row r="1365" spans="1:40" x14ac:dyDescent="0.25">
      <c r="A1365" t="str">
        <f>"20190304164843302"</f>
        <v>20190304164843302</v>
      </c>
      <c r="B1365" t="str">
        <f>"1551689323297888"</f>
        <v>1551689323297888</v>
      </c>
      <c r="C1365" t="s">
        <v>40</v>
      </c>
      <c r="D1365">
        <v>4.6070279999999997</v>
      </c>
      <c r="E1365">
        <v>0.53865269999999899</v>
      </c>
      <c r="F1365" t="s">
        <v>41</v>
      </c>
      <c r="G1365">
        <v>-224.39500000000001</v>
      </c>
      <c r="H1365">
        <v>1.0284930000000001</v>
      </c>
      <c r="I1365">
        <v>367.66379999999998</v>
      </c>
      <c r="J1365">
        <v>-225.0462</v>
      </c>
      <c r="K1365">
        <v>1.110697</v>
      </c>
      <c r="L1365">
        <v>367.7679</v>
      </c>
      <c r="M1365">
        <v>0.99985860000000004</v>
      </c>
      <c r="N1365">
        <v>-1.3787020000000001E-2</v>
      </c>
      <c r="O1365">
        <v>9.6361929999999995E-3</v>
      </c>
      <c r="P1365">
        <v>0.95146609999999998</v>
      </c>
      <c r="Q1365">
        <v>0.29664069999999998</v>
      </c>
      <c r="R1365">
        <v>-8.1956680000000004E-2</v>
      </c>
      <c r="S1365">
        <v>3.222839</v>
      </c>
      <c r="T1365">
        <v>-0.34087319999999999</v>
      </c>
      <c r="U1365">
        <v>-0.4253845</v>
      </c>
      <c r="V1365">
        <v>9.1163549999999996E-2</v>
      </c>
      <c r="W1365">
        <v>0.30970710000000001</v>
      </c>
      <c r="X1365">
        <v>0.94645170000000001</v>
      </c>
      <c r="Y1365">
        <v>0.13949719999999999</v>
      </c>
      <c r="Z1365">
        <v>-9.1741630000000008E-3</v>
      </c>
      <c r="AA1365">
        <v>0.99017999999999995</v>
      </c>
      <c r="AB1365">
        <v>24</v>
      </c>
      <c r="AC1365">
        <v>0.65119999999998801</v>
      </c>
      <c r="AD1365">
        <v>-8.2203999999999902E-2</v>
      </c>
      <c r="AE1365">
        <v>-0.104100000000016</v>
      </c>
      <c r="AF1365">
        <v>0.108682135496002</v>
      </c>
      <c r="AG1365">
        <v>-8.2203999999999902E-2</v>
      </c>
      <c r="AH1365">
        <v>0.64021874617333197</v>
      </c>
      <c r="AI1365">
        <v>97.214630854908407</v>
      </c>
      <c r="AJ1365">
        <v>80.365441642082899</v>
      </c>
      <c r="AK1365">
        <v>0.65456042283636795</v>
      </c>
      <c r="AL1365">
        <v>71.958421074022397</v>
      </c>
      <c r="AM1365">
        <v>84.498163578584595</v>
      </c>
      <c r="AN1365">
        <v>1.0000000505359401</v>
      </c>
    </row>
    <row r="1366" spans="1:40" x14ac:dyDescent="0.25">
      <c r="A1366" t="str">
        <f>"20190304164843314"</f>
        <v>20190304164843314</v>
      </c>
      <c r="B1366" t="str">
        <f>"1551689323307647"</f>
        <v>1551689323307647</v>
      </c>
      <c r="C1366" t="s">
        <v>40</v>
      </c>
      <c r="D1366">
        <v>4.6039519999999996</v>
      </c>
      <c r="E1366">
        <v>0.53920819999999903</v>
      </c>
      <c r="F1366" t="s">
        <v>41</v>
      </c>
      <c r="G1366">
        <v>-224.18610000000001</v>
      </c>
      <c r="H1366">
        <v>1.018599</v>
      </c>
      <c r="I1366">
        <v>367.65120000000002</v>
      </c>
      <c r="J1366">
        <v>-224.9119</v>
      </c>
      <c r="K1366">
        <v>1.110681</v>
      </c>
      <c r="L1366">
        <v>367.76909999999998</v>
      </c>
      <c r="M1366">
        <v>0.9998591</v>
      </c>
      <c r="N1366">
        <v>-1.378569E-2</v>
      </c>
      <c r="O1366">
        <v>9.5872600000000002E-3</v>
      </c>
      <c r="P1366">
        <v>0.95159349999999998</v>
      </c>
      <c r="Q1366">
        <v>0.29608420000000002</v>
      </c>
      <c r="R1366">
        <v>-8.248685E-2</v>
      </c>
      <c r="S1366">
        <v>3.223068</v>
      </c>
      <c r="T1366">
        <v>-0.34528170000000002</v>
      </c>
      <c r="U1366">
        <v>-0.43667600000000001</v>
      </c>
      <c r="V1366">
        <v>9.1659379999999999E-2</v>
      </c>
      <c r="W1366">
        <v>0.30914760000000002</v>
      </c>
      <c r="X1366">
        <v>0.9465867</v>
      </c>
      <c r="Y1366">
        <v>0.14280419999999999</v>
      </c>
      <c r="Z1366">
        <v>-9.4733830000000002E-3</v>
      </c>
      <c r="AA1366">
        <v>0.98970559999999996</v>
      </c>
      <c r="AB1366">
        <v>24</v>
      </c>
      <c r="AC1366">
        <v>0.72579999999999201</v>
      </c>
      <c r="AD1366">
        <v>-9.2081999999999997E-2</v>
      </c>
      <c r="AE1366">
        <v>-0.11789999999996301</v>
      </c>
      <c r="AF1366">
        <v>0.122925937109215</v>
      </c>
      <c r="AG1366">
        <v>-9.2081999999999997E-2</v>
      </c>
      <c r="AH1366">
        <v>0.71344782861172595</v>
      </c>
      <c r="AI1366">
        <v>97.248645689440494</v>
      </c>
      <c r="AJ1366">
        <v>80.224012380941005</v>
      </c>
      <c r="AK1366">
        <v>0.72979290548001696</v>
      </c>
      <c r="AL1366">
        <v>71.992132143146307</v>
      </c>
      <c r="AM1366">
        <v>84.469208714563393</v>
      </c>
      <c r="AN1366">
        <v>1.00000003057231</v>
      </c>
    </row>
    <row r="1367" spans="1:40" x14ac:dyDescent="0.25">
      <c r="A1367" t="str">
        <f>"20190304164843326"</f>
        <v>20190304164843326</v>
      </c>
      <c r="B1367" t="str">
        <f>"1551689323317407"</f>
        <v>1551689323317407</v>
      </c>
      <c r="C1367" t="s">
        <v>40</v>
      </c>
      <c r="D1367">
        <v>4.6140699999999999</v>
      </c>
      <c r="E1367">
        <v>0.53961389999999998</v>
      </c>
      <c r="F1367" t="s">
        <v>41</v>
      </c>
      <c r="G1367">
        <v>-224.18020000000001</v>
      </c>
      <c r="H1367">
        <v>1.0315179999999999</v>
      </c>
      <c r="I1367">
        <v>367.66849999999999</v>
      </c>
      <c r="J1367">
        <v>-224.7921</v>
      </c>
      <c r="K1367">
        <v>1.110665</v>
      </c>
      <c r="L1367">
        <v>367.77019999999999</v>
      </c>
      <c r="M1367">
        <v>0.99985979999999997</v>
      </c>
      <c r="N1367">
        <v>-1.378451E-2</v>
      </c>
      <c r="O1367">
        <v>9.5251239999999994E-3</v>
      </c>
      <c r="P1367">
        <v>0.95172579999999996</v>
      </c>
      <c r="Q1367">
        <v>0.29559990000000003</v>
      </c>
      <c r="R1367">
        <v>-8.2698179999999996E-2</v>
      </c>
      <c r="S1367">
        <v>3.222763</v>
      </c>
      <c r="T1367">
        <v>-0.34883579999999997</v>
      </c>
      <c r="U1367">
        <v>-0.4425964</v>
      </c>
      <c r="V1367">
        <v>9.1824989999999995E-2</v>
      </c>
      <c r="W1367">
        <v>0.3086605</v>
      </c>
      <c r="X1367">
        <v>0.94672959999999995</v>
      </c>
      <c r="Y1367">
        <v>0.14451059999999999</v>
      </c>
      <c r="Z1367">
        <v>-9.6590930000000005E-3</v>
      </c>
      <c r="AA1367">
        <v>0.98945609999999995</v>
      </c>
      <c r="AB1367">
        <v>24</v>
      </c>
      <c r="AC1367">
        <v>0.61189999999999101</v>
      </c>
      <c r="AD1367">
        <v>-7.9146999999999995E-2</v>
      </c>
      <c r="AE1367">
        <v>-0.101699999999993</v>
      </c>
      <c r="AF1367">
        <v>0.10580183042423601</v>
      </c>
      <c r="AG1367">
        <v>-7.9146999999999995E-2</v>
      </c>
      <c r="AH1367">
        <v>0.60111681724632304</v>
      </c>
      <c r="AI1367">
        <v>97.388505407618695</v>
      </c>
      <c r="AJ1367">
        <v>80.017683437760297</v>
      </c>
      <c r="AK1367">
        <v>0.61546706078105295</v>
      </c>
      <c r="AL1367">
        <v>72.021476101309105</v>
      </c>
      <c r="AM1367">
        <v>84.460108937040701</v>
      </c>
      <c r="AN1367">
        <v>1.00000003428245</v>
      </c>
    </row>
    <row r="1368" spans="1:40" x14ac:dyDescent="0.25">
      <c r="A1368" t="str">
        <f>"20190304164843338"</f>
        <v>20190304164843338</v>
      </c>
      <c r="B1368" t="str">
        <f>"1551689323327168"</f>
        <v>1551689323327168</v>
      </c>
      <c r="C1368" t="s">
        <v>40</v>
      </c>
      <c r="D1368">
        <v>4.6275829999999996</v>
      </c>
      <c r="E1368">
        <v>0.540022</v>
      </c>
      <c r="F1368" t="s">
        <v>41</v>
      </c>
      <c r="G1368">
        <v>-223.9718</v>
      </c>
      <c r="H1368">
        <v>1.021307</v>
      </c>
      <c r="I1368">
        <v>367.65640000000002</v>
      </c>
      <c r="J1368">
        <v>-224.65979999999999</v>
      </c>
      <c r="K1368">
        <v>1.110643</v>
      </c>
      <c r="L1368">
        <v>367.77140000000003</v>
      </c>
      <c r="M1368">
        <v>0.99986039999999998</v>
      </c>
      <c r="N1368">
        <v>-1.3783200000000001E-2</v>
      </c>
      <c r="O1368">
        <v>9.4484579999999999E-3</v>
      </c>
      <c r="P1368">
        <v>0.95173430000000003</v>
      </c>
      <c r="Q1368">
        <v>0.29541250000000002</v>
      </c>
      <c r="R1368">
        <v>-8.3267850000000004E-2</v>
      </c>
      <c r="S1368">
        <v>3.2225489999999999</v>
      </c>
      <c r="T1368">
        <v>-0.35137459999999998</v>
      </c>
      <c r="U1368">
        <v>-0.446106</v>
      </c>
      <c r="V1368">
        <v>9.2336009999999996E-2</v>
      </c>
      <c r="W1368">
        <v>0.3084673</v>
      </c>
      <c r="X1368">
        <v>0.9467428</v>
      </c>
      <c r="Y1368">
        <v>0.14548139999999901</v>
      </c>
      <c r="Z1368">
        <v>-9.7746599999999993E-3</v>
      </c>
      <c r="AA1368">
        <v>0.98931270000000004</v>
      </c>
      <c r="AB1368">
        <v>24</v>
      </c>
      <c r="AC1368">
        <v>0.68799999999998795</v>
      </c>
      <c r="AD1368">
        <v>-8.9335999999999999E-2</v>
      </c>
      <c r="AE1368">
        <v>-0.115000000000009</v>
      </c>
      <c r="AF1368">
        <v>0.119535350215872</v>
      </c>
      <c r="AG1368">
        <v>-8.9335999999999999E-2</v>
      </c>
      <c r="AH1368">
        <v>0.675797870689264</v>
      </c>
      <c r="AI1368">
        <v>97.416643681182805</v>
      </c>
      <c r="AJ1368">
        <v>79.9692543569534</v>
      </c>
      <c r="AK1368">
        <v>0.69207830689552297</v>
      </c>
      <c r="AL1368">
        <v>72.033112344881999</v>
      </c>
      <c r="AM1368">
        <v>84.429549166275606</v>
      </c>
      <c r="AN1368">
        <v>0.999999971631924</v>
      </c>
    </row>
    <row r="1369" spans="1:40" x14ac:dyDescent="0.25">
      <c r="A1369" t="str">
        <f>"20190304164843352"</f>
        <v>20190304164843352</v>
      </c>
      <c r="B1369" t="str">
        <f>"1551689323347664"</f>
        <v>1551689323347664</v>
      </c>
      <c r="C1369" t="s">
        <v>40</v>
      </c>
      <c r="D1369">
        <v>4.6020260000000004</v>
      </c>
      <c r="E1369">
        <v>0.54069419999999901</v>
      </c>
      <c r="F1369" t="s">
        <v>41</v>
      </c>
      <c r="G1369">
        <v>-223.76310000000001</v>
      </c>
      <c r="H1369">
        <v>1.0122329999999999</v>
      </c>
      <c r="I1369">
        <v>367.64580000000001</v>
      </c>
      <c r="J1369">
        <v>-224.50659999999999</v>
      </c>
      <c r="K1369">
        <v>1.1106100000000001</v>
      </c>
      <c r="L1369">
        <v>367.77269999999999</v>
      </c>
      <c r="M1369">
        <v>0.99986140000000001</v>
      </c>
      <c r="N1369">
        <v>-1.3781689999999999E-2</v>
      </c>
      <c r="O1369">
        <v>9.3358169999999997E-3</v>
      </c>
      <c r="P1369">
        <v>0.95181879999999996</v>
      </c>
      <c r="Q1369">
        <v>0.29483199999999998</v>
      </c>
      <c r="R1369">
        <v>-8.4350140000000004E-2</v>
      </c>
      <c r="S1369">
        <v>3.2224270000000002</v>
      </c>
      <c r="T1369">
        <v>-0.35364319999999999</v>
      </c>
      <c r="U1369">
        <v>-0.45135500000000001</v>
      </c>
      <c r="V1369">
        <v>9.3330380000000004E-2</v>
      </c>
      <c r="W1369">
        <v>0.30788120000000002</v>
      </c>
      <c r="X1369">
        <v>0.94683609999999896</v>
      </c>
      <c r="Y1369">
        <v>0.1469345</v>
      </c>
      <c r="Z1369">
        <v>-9.9096380000000001E-3</v>
      </c>
      <c r="AA1369">
        <v>0.98909659999999999</v>
      </c>
      <c r="AB1369">
        <v>24</v>
      </c>
      <c r="AC1369">
        <v>0.74349999999998295</v>
      </c>
      <c r="AD1369">
        <v>-9.8377000000000103E-2</v>
      </c>
      <c r="AE1369">
        <v>-0.126899999999977</v>
      </c>
      <c r="AF1369">
        <v>0.13159757540492401</v>
      </c>
      <c r="AG1369">
        <v>-9.8377000000000103E-2</v>
      </c>
      <c r="AH1369">
        <v>0.72986630749906001</v>
      </c>
      <c r="AI1369">
        <v>97.556102805464207</v>
      </c>
      <c r="AJ1369">
        <v>79.779174079840004</v>
      </c>
      <c r="AK1369">
        <v>0.74813152774346303</v>
      </c>
      <c r="AL1369">
        <v>72.068411875960706</v>
      </c>
      <c r="AM1369">
        <v>84.370495357059397</v>
      </c>
      <c r="AN1369">
        <v>0.99999999670379702</v>
      </c>
    </row>
    <row r="1370" spans="1:40" x14ac:dyDescent="0.25">
      <c r="A1370" t="str">
        <f>"20190304164843376"</f>
        <v>20190304164843376</v>
      </c>
      <c r="B1370" t="str">
        <f>"1551689323367488"</f>
        <v>1551689323367488</v>
      </c>
      <c r="C1370" t="s">
        <v>40</v>
      </c>
      <c r="D1370">
        <v>4.6276400000000004</v>
      </c>
      <c r="E1370">
        <v>0.54128299999999996</v>
      </c>
      <c r="F1370" t="s">
        <v>41</v>
      </c>
      <c r="G1370">
        <v>-223.75640000000001</v>
      </c>
      <c r="H1370">
        <v>1.0270549999999901</v>
      </c>
      <c r="I1370">
        <v>367.66570000000002</v>
      </c>
      <c r="J1370">
        <v>-224.26300000000001</v>
      </c>
      <c r="K1370">
        <v>1.1105689999999999</v>
      </c>
      <c r="L1370">
        <v>367.7747</v>
      </c>
      <c r="M1370">
        <v>0.99986359999999996</v>
      </c>
      <c r="N1370">
        <v>-1.3779349999999999E-2</v>
      </c>
      <c r="O1370">
        <v>9.1096149999999997E-3</v>
      </c>
      <c r="P1370">
        <v>0.95183180000000001</v>
      </c>
      <c r="Q1370">
        <v>0.29430450000000002</v>
      </c>
      <c r="R1370">
        <v>-8.6029170000000002E-2</v>
      </c>
      <c r="S1370">
        <v>3.2222749999999998</v>
      </c>
      <c r="T1370">
        <v>-0.35887029999999998</v>
      </c>
      <c r="U1370">
        <v>-0.4598083</v>
      </c>
      <c r="V1370">
        <v>9.4823909999999997E-2</v>
      </c>
      <c r="W1370">
        <v>0.3073417</v>
      </c>
      <c r="X1370">
        <v>0.94686300000000001</v>
      </c>
      <c r="Y1370">
        <v>0.14921779999999901</v>
      </c>
      <c r="Z1370">
        <v>-1.0161119999999999E-2</v>
      </c>
      <c r="AA1370">
        <v>0.98875210000000002</v>
      </c>
      <c r="AB1370">
        <v>24</v>
      </c>
      <c r="AC1370">
        <v>0.50659999999999095</v>
      </c>
      <c r="AD1370">
        <v>-8.3514000000000296E-2</v>
      </c>
      <c r="AE1370">
        <v>-0.10899999999998</v>
      </c>
      <c r="AF1370">
        <v>0.110734651824811</v>
      </c>
      <c r="AG1370">
        <v>-8.3514000000000296E-2</v>
      </c>
      <c r="AH1370">
        <v>0.49278642470114198</v>
      </c>
      <c r="AI1370">
        <v>99.3888917208848</v>
      </c>
      <c r="AJ1370">
        <v>77.3353646307133</v>
      </c>
      <c r="AK1370">
        <v>0.51193281949929403</v>
      </c>
      <c r="AL1370">
        <v>72.100898528866907</v>
      </c>
      <c r="AM1370">
        <v>84.281162485271594</v>
      </c>
      <c r="AN1370">
        <v>1.0000000176177799</v>
      </c>
    </row>
    <row r="1371" spans="1:40" x14ac:dyDescent="0.25">
      <c r="A1371" t="str">
        <f>"20190304164843387"</f>
        <v>20190304164843387</v>
      </c>
      <c r="B1371" t="str">
        <f>"1551689323377249"</f>
        <v>1551689323377249</v>
      </c>
      <c r="C1371" t="s">
        <v>40</v>
      </c>
      <c r="D1371">
        <v>4.5832329999999999</v>
      </c>
      <c r="E1371">
        <v>0.54156359999999903</v>
      </c>
      <c r="F1371" t="s">
        <v>41</v>
      </c>
      <c r="G1371">
        <v>-223.3408</v>
      </c>
      <c r="H1371">
        <v>1.0064649999999999</v>
      </c>
      <c r="I1371">
        <v>367.6404</v>
      </c>
      <c r="J1371">
        <v>-224.12950000000001</v>
      </c>
      <c r="K1371">
        <v>1.1105449999999999</v>
      </c>
      <c r="L1371">
        <v>367.7758</v>
      </c>
      <c r="M1371">
        <v>0.99986520000000001</v>
      </c>
      <c r="N1371">
        <v>-1.377808E-2</v>
      </c>
      <c r="O1371">
        <v>8.9538740000000006E-3</v>
      </c>
      <c r="P1371">
        <v>0.95181629999999995</v>
      </c>
      <c r="Q1371">
        <v>0.29404859999999999</v>
      </c>
      <c r="R1371">
        <v>-8.7073419999999999E-2</v>
      </c>
      <c r="S1371">
        <v>3.2218930000000001</v>
      </c>
      <c r="T1371">
        <v>-0.36376550000000002</v>
      </c>
      <c r="U1371">
        <v>-0.46908569999999999</v>
      </c>
      <c r="V1371">
        <v>9.5735589999999995E-2</v>
      </c>
      <c r="W1371">
        <v>0.3070794</v>
      </c>
      <c r="X1371">
        <v>0.94685629999999998</v>
      </c>
      <c r="Y1371">
        <v>0.15182390000000001</v>
      </c>
      <c r="Z1371">
        <v>-1.043464E-2</v>
      </c>
      <c r="AA1371">
        <v>0.98835249999999997</v>
      </c>
      <c r="AB1371">
        <v>24</v>
      </c>
      <c r="AC1371">
        <v>0.78870000000000495</v>
      </c>
      <c r="AD1371">
        <v>-0.10408000000000001</v>
      </c>
      <c r="AE1371">
        <v>-0.13540000000000399</v>
      </c>
      <c r="AF1371">
        <v>0.14008744914425</v>
      </c>
      <c r="AG1371">
        <v>-0.10408000000000001</v>
      </c>
      <c r="AH1371">
        <v>0.77435693000636596</v>
      </c>
      <c r="AI1371">
        <v>97.534291418177006</v>
      </c>
      <c r="AJ1371">
        <v>79.745636259815896</v>
      </c>
      <c r="AK1371">
        <v>0.79377943715910604</v>
      </c>
      <c r="AL1371">
        <v>72.116689785003601</v>
      </c>
      <c r="AM1371">
        <v>84.226508102152096</v>
      </c>
      <c r="AN1371">
        <v>0.99999995697334798</v>
      </c>
    </row>
    <row r="1372" spans="1:40" x14ac:dyDescent="0.25">
      <c r="A1372" t="str">
        <f>"20190304164843399"</f>
        <v>20190304164843399</v>
      </c>
      <c r="B1372" t="str">
        <f>"1551689323387008"</f>
        <v>1551689323387008</v>
      </c>
      <c r="C1372" t="s">
        <v>40</v>
      </c>
      <c r="D1372">
        <v>4.5856149999999998</v>
      </c>
      <c r="E1372">
        <v>0.54181279999999998</v>
      </c>
      <c r="F1372" t="s">
        <v>41</v>
      </c>
      <c r="G1372">
        <v>-223.33459999999999</v>
      </c>
      <c r="H1372">
        <v>1.0203059999999999</v>
      </c>
      <c r="I1372">
        <v>367.65859999999998</v>
      </c>
      <c r="J1372">
        <v>-224.00710000000001</v>
      </c>
      <c r="K1372">
        <v>1.110525</v>
      </c>
      <c r="L1372">
        <v>367.77670000000001</v>
      </c>
      <c r="M1372">
        <v>0.99986640000000004</v>
      </c>
      <c r="N1372">
        <v>-1.377692E-2</v>
      </c>
      <c r="O1372">
        <v>8.8026519999999994E-3</v>
      </c>
      <c r="P1372">
        <v>0.95168269999999999</v>
      </c>
      <c r="Q1372">
        <v>0.29416059999999999</v>
      </c>
      <c r="R1372">
        <v>-8.8144280000000005E-2</v>
      </c>
      <c r="S1372">
        <v>3.2214360000000002</v>
      </c>
      <c r="T1372">
        <v>-0.3657628</v>
      </c>
      <c r="U1372">
        <v>-0.47479250000000001</v>
      </c>
      <c r="V1372">
        <v>9.667531E-2</v>
      </c>
      <c r="W1372">
        <v>0.30718379999999901</v>
      </c>
      <c r="X1372">
        <v>0.94672699999999999</v>
      </c>
      <c r="Y1372">
        <v>0.15338640000000001</v>
      </c>
      <c r="Z1372">
        <v>-1.057058E-2</v>
      </c>
      <c r="AA1372">
        <v>0.98810980000000004</v>
      </c>
      <c r="AB1372">
        <v>24</v>
      </c>
      <c r="AC1372">
        <v>0.67250000000001298</v>
      </c>
      <c r="AD1372">
        <v>-9.0218999999999994E-2</v>
      </c>
      <c r="AE1372">
        <v>-0.118100000000026</v>
      </c>
      <c r="AF1372">
        <v>0.121887726799012</v>
      </c>
      <c r="AG1372">
        <v>-9.0218999999999994E-2</v>
      </c>
      <c r="AH1372">
        <v>0.659912809194792</v>
      </c>
      <c r="AI1372">
        <v>97.656908027465903</v>
      </c>
      <c r="AJ1372">
        <v>79.535248940514705</v>
      </c>
      <c r="AK1372">
        <v>0.67711225187895696</v>
      </c>
      <c r="AL1372">
        <v>72.110405244957207</v>
      </c>
      <c r="AM1372">
        <v>84.169434477048</v>
      </c>
      <c r="AN1372">
        <v>1.0000000075375099</v>
      </c>
    </row>
    <row r="1373" spans="1:40" x14ac:dyDescent="0.25">
      <c r="A1373" t="str">
        <f>"20190304164843411"</f>
        <v>20190304164843411</v>
      </c>
      <c r="B1373" t="str">
        <f>"1551689323397744"</f>
        <v>1551689323397744</v>
      </c>
      <c r="C1373" t="s">
        <v>40</v>
      </c>
      <c r="D1373">
        <v>4.5917260000000004</v>
      </c>
      <c r="E1373">
        <v>0.54203049999999997</v>
      </c>
      <c r="F1373" t="s">
        <v>41</v>
      </c>
      <c r="G1373">
        <v>-223.12690000000001</v>
      </c>
      <c r="H1373">
        <v>1.0104420000000001</v>
      </c>
      <c r="I1373">
        <v>367.6454</v>
      </c>
      <c r="J1373">
        <v>-223.88489999999999</v>
      </c>
      <c r="K1373">
        <v>1.1105100000000001</v>
      </c>
      <c r="L1373">
        <v>367.77760000000001</v>
      </c>
      <c r="M1373">
        <v>0.99986799999999998</v>
      </c>
      <c r="N1373">
        <v>-1.377575E-2</v>
      </c>
      <c r="O1373">
        <v>8.6379290000000008E-3</v>
      </c>
      <c r="P1373">
        <v>0.95151330000000001</v>
      </c>
      <c r="Q1373">
        <v>0.29428480000000001</v>
      </c>
      <c r="R1373">
        <v>-8.954985E-2</v>
      </c>
      <c r="S1373">
        <v>3.2211910000000001</v>
      </c>
      <c r="T1373">
        <v>-0.3664964</v>
      </c>
      <c r="U1373">
        <v>-0.47961429999999999</v>
      </c>
      <c r="V1373">
        <v>9.7935129999999995E-2</v>
      </c>
      <c r="W1373">
        <v>0.30730000000000002</v>
      </c>
      <c r="X1373">
        <v>0.94655979999999995</v>
      </c>
      <c r="Y1373">
        <v>0.15466920000000001</v>
      </c>
      <c r="Z1373">
        <v>-1.0654429999999999E-2</v>
      </c>
      <c r="AA1373">
        <v>0.98790880000000003</v>
      </c>
      <c r="AB1373">
        <v>24</v>
      </c>
      <c r="AC1373">
        <v>0.75799999999998102</v>
      </c>
      <c r="AD1373">
        <v>-0.100068</v>
      </c>
      <c r="AE1373">
        <v>-0.132200000000011</v>
      </c>
      <c r="AF1373">
        <v>0.13643560552088199</v>
      </c>
      <c r="AG1373">
        <v>-0.100068</v>
      </c>
      <c r="AH1373">
        <v>0.74424178646300698</v>
      </c>
      <c r="AI1373">
        <v>97.533782377136006</v>
      </c>
      <c r="AJ1373">
        <v>79.6117918178102</v>
      </c>
      <c r="AK1373">
        <v>0.76323267474309398</v>
      </c>
      <c r="AL1373">
        <v>72.103409262342595</v>
      </c>
      <c r="AM1373">
        <v>84.092951518484398</v>
      </c>
      <c r="AN1373">
        <v>1.00000001733207</v>
      </c>
    </row>
    <row r="1374" spans="1:40" x14ac:dyDescent="0.25">
      <c r="A1374" t="str">
        <f>"20190304164843423"</f>
        <v>20190304164843423</v>
      </c>
      <c r="B1374" t="str">
        <f>"1551689323417264"</f>
        <v>1551689323417264</v>
      </c>
      <c r="C1374" t="s">
        <v>40</v>
      </c>
      <c r="D1374">
        <v>4.5859459999999999</v>
      </c>
      <c r="E1374">
        <v>0.54245410000000005</v>
      </c>
      <c r="F1374" t="s">
        <v>41</v>
      </c>
      <c r="G1374">
        <v>-223.12100000000001</v>
      </c>
      <c r="H1374">
        <v>1.023512</v>
      </c>
      <c r="I1374">
        <v>367.66219999999998</v>
      </c>
      <c r="J1374">
        <v>-223.7646</v>
      </c>
      <c r="K1374">
        <v>1.1105069999999999</v>
      </c>
      <c r="L1374">
        <v>367.77850000000001</v>
      </c>
      <c r="M1374">
        <v>0.99986929999999996</v>
      </c>
      <c r="N1374">
        <v>-1.377459E-2</v>
      </c>
      <c r="O1374">
        <v>8.4624469999999997E-3</v>
      </c>
      <c r="P1374">
        <v>0.95134260000000004</v>
      </c>
      <c r="Q1374">
        <v>0.29446600000000001</v>
      </c>
      <c r="R1374">
        <v>-9.0759500000000007E-2</v>
      </c>
      <c r="S1374">
        <v>3.2207029999999999</v>
      </c>
      <c r="T1374">
        <v>-0.36700169999999999</v>
      </c>
      <c r="U1374">
        <v>-0.48538209999999998</v>
      </c>
      <c r="V1374">
        <v>9.8987699999999998E-2</v>
      </c>
      <c r="W1374">
        <v>0.30747380000000002</v>
      </c>
      <c r="X1374">
        <v>0.94639379999999995</v>
      </c>
      <c r="Y1374">
        <v>0.1562346</v>
      </c>
      <c r="Z1374">
        <v>-1.074983E-2</v>
      </c>
      <c r="AA1374">
        <v>0.98766149999999997</v>
      </c>
      <c r="AB1374">
        <v>24</v>
      </c>
      <c r="AC1374">
        <v>0.64360000000002004</v>
      </c>
      <c r="AD1374">
        <v>-8.6994999999999906E-2</v>
      </c>
      <c r="AE1374">
        <v>-0.116300000000023</v>
      </c>
      <c r="AF1374">
        <v>0.11962623325056999</v>
      </c>
      <c r="AG1374">
        <v>-8.6994999999999906E-2</v>
      </c>
      <c r="AH1374">
        <v>0.63142093101480601</v>
      </c>
      <c r="AI1374">
        <v>97.709185207443497</v>
      </c>
      <c r="AJ1374">
        <v>79.272140777804694</v>
      </c>
      <c r="AK1374">
        <v>0.64851442376428703</v>
      </c>
      <c r="AL1374">
        <v>72.092943610172895</v>
      </c>
      <c r="AM1374">
        <v>84.028881292445703</v>
      </c>
      <c r="AN1374">
        <v>0.99999996355808396</v>
      </c>
    </row>
    <row r="1375" spans="1:40" x14ac:dyDescent="0.25">
      <c r="A1375" t="str">
        <f>"20190304164843434"</f>
        <v>20190304164843434</v>
      </c>
      <c r="B1375" t="str">
        <f>"1551689323427025"</f>
        <v>1551689323427025</v>
      </c>
      <c r="C1375" t="s">
        <v>40</v>
      </c>
      <c r="D1375">
        <v>4.5801749999999997</v>
      </c>
      <c r="E1375">
        <v>0.54262650000000001</v>
      </c>
      <c r="F1375" t="s">
        <v>41</v>
      </c>
      <c r="G1375">
        <v>-222.91380000000001</v>
      </c>
      <c r="H1375">
        <v>1.0133399999999999</v>
      </c>
      <c r="I1375">
        <v>367.64830000000001</v>
      </c>
      <c r="J1375">
        <v>-223.63589999999999</v>
      </c>
      <c r="K1375">
        <v>1.1104959999999999</v>
      </c>
      <c r="L1375">
        <v>367.77940000000001</v>
      </c>
      <c r="M1375">
        <v>0.99987110000000001</v>
      </c>
      <c r="N1375">
        <v>-1.377336E-2</v>
      </c>
      <c r="O1375">
        <v>8.2667539999999994E-3</v>
      </c>
      <c r="P1375">
        <v>0.95110700000000004</v>
      </c>
      <c r="Q1375">
        <v>0.2947379</v>
      </c>
      <c r="R1375">
        <v>-9.2332549999999999E-2</v>
      </c>
      <c r="S1375">
        <v>3.2203979999999999</v>
      </c>
      <c r="T1375">
        <v>-0.36804120000000001</v>
      </c>
      <c r="U1375">
        <v>-0.49206539999999999</v>
      </c>
      <c r="V1375">
        <v>0.1003846</v>
      </c>
      <c r="W1375">
        <v>0.30773600000000001</v>
      </c>
      <c r="X1375">
        <v>0.94616140000000004</v>
      </c>
      <c r="Y1375">
        <v>0.1580404</v>
      </c>
      <c r="Z1375">
        <v>-1.08722E-2</v>
      </c>
      <c r="AA1375">
        <v>0.98737280000000005</v>
      </c>
      <c r="AB1375">
        <v>24</v>
      </c>
      <c r="AC1375">
        <v>0.72209999999998298</v>
      </c>
      <c r="AD1375">
        <v>-9.7156000000000006E-2</v>
      </c>
      <c r="AE1375">
        <v>-0.13110000000000299</v>
      </c>
      <c r="AF1375">
        <v>0.13470479409844699</v>
      </c>
      <c r="AG1375">
        <v>-9.7156000000000006E-2</v>
      </c>
      <c r="AH1375">
        <v>0.70857362881582397</v>
      </c>
      <c r="AI1375">
        <v>97.671700179600705</v>
      </c>
      <c r="AJ1375">
        <v>79.236116979972493</v>
      </c>
      <c r="AK1375">
        <v>0.72777830232999496</v>
      </c>
      <c r="AL1375">
        <v>72.077154966240698</v>
      </c>
      <c r="AM1375">
        <v>83.943763219613899</v>
      </c>
      <c r="AN1375">
        <v>0.99999995423155896</v>
      </c>
    </row>
    <row r="1376" spans="1:40" x14ac:dyDescent="0.25">
      <c r="A1376" t="str">
        <f>"20190304164843445"</f>
        <v>20190304164843445</v>
      </c>
      <c r="B1376" t="str">
        <f>"1551689323437760"</f>
        <v>1551689323437760</v>
      </c>
      <c r="C1376" t="s">
        <v>40</v>
      </c>
      <c r="D1376">
        <v>4.5581950000000004</v>
      </c>
      <c r="E1376">
        <v>0.54277559999999903</v>
      </c>
      <c r="F1376" t="s">
        <v>41</v>
      </c>
      <c r="G1376">
        <v>-222.9075</v>
      </c>
      <c r="H1376">
        <v>1.0272509999999999</v>
      </c>
      <c r="I1376">
        <v>367.66640000000001</v>
      </c>
      <c r="J1376">
        <v>-223.51830000000001</v>
      </c>
      <c r="K1376">
        <v>1.1104860000000001</v>
      </c>
      <c r="L1376">
        <v>367.78019999999998</v>
      </c>
      <c r="M1376">
        <v>0.99987269999999995</v>
      </c>
      <c r="N1376">
        <v>-1.377222E-2</v>
      </c>
      <c r="O1376">
        <v>8.070153E-3</v>
      </c>
      <c r="P1376">
        <v>0.95083870000000004</v>
      </c>
      <c r="Q1376">
        <v>0.2951414</v>
      </c>
      <c r="R1376">
        <v>-9.3796069999999995E-2</v>
      </c>
      <c r="S1376">
        <v>3.2199710000000001</v>
      </c>
      <c r="T1376">
        <v>-0.36823990000000001</v>
      </c>
      <c r="U1376">
        <v>-0.49835210000000002</v>
      </c>
      <c r="V1376">
        <v>0.1016686</v>
      </c>
      <c r="W1376">
        <v>0.30813160000000001</v>
      </c>
      <c r="X1376">
        <v>0.94589559999999995</v>
      </c>
      <c r="Y1376">
        <v>0.15973660000000001</v>
      </c>
      <c r="Z1376">
        <v>-1.096575E-2</v>
      </c>
      <c r="AA1376">
        <v>0.98709880000000005</v>
      </c>
      <c r="AB1376">
        <v>24</v>
      </c>
      <c r="AC1376">
        <v>0.610800000000011</v>
      </c>
      <c r="AD1376">
        <v>-8.3235000000000101E-2</v>
      </c>
      <c r="AE1376">
        <v>-0.113799999999969</v>
      </c>
      <c r="AF1376">
        <v>0.116632790019755</v>
      </c>
      <c r="AG1376">
        <v>-8.3235000000000101E-2</v>
      </c>
      <c r="AH1376">
        <v>0.59910936210085397</v>
      </c>
      <c r="AI1376">
        <v>97.765585180402198</v>
      </c>
      <c r="AJ1376">
        <v>78.983622825940301</v>
      </c>
      <c r="AK1376">
        <v>0.61600592585598102</v>
      </c>
      <c r="AL1376">
        <v>72.053332629063405</v>
      </c>
      <c r="AM1376">
        <v>83.865175476021705</v>
      </c>
      <c r="AN1376">
        <v>1.0000000366219299</v>
      </c>
    </row>
    <row r="1377" spans="1:40" x14ac:dyDescent="0.25">
      <c r="A1377" t="str">
        <f>"20190304164843457"</f>
        <v>20190304164843457</v>
      </c>
      <c r="B1377" t="str">
        <f>"1551689323447520"</f>
        <v>1551689323447520</v>
      </c>
      <c r="C1377" t="s">
        <v>40</v>
      </c>
      <c r="D1377">
        <v>4.5539230000000002</v>
      </c>
      <c r="E1377">
        <v>0.54294449999999905</v>
      </c>
      <c r="F1377" t="s">
        <v>41</v>
      </c>
      <c r="G1377">
        <v>-222.7004</v>
      </c>
      <c r="H1377">
        <v>1.0173939999999999</v>
      </c>
      <c r="I1377">
        <v>367.65179999999998</v>
      </c>
      <c r="J1377">
        <v>-223.39840000000001</v>
      </c>
      <c r="K1377">
        <v>1.1104799999999999</v>
      </c>
      <c r="L1377">
        <v>367.78089999999997</v>
      </c>
      <c r="M1377">
        <v>0.99987420000000005</v>
      </c>
      <c r="N1377">
        <v>-1.377106E-2</v>
      </c>
      <c r="O1377">
        <v>7.8662219999999904E-3</v>
      </c>
      <c r="P1377">
        <v>0.95056419999999997</v>
      </c>
      <c r="Q1377">
        <v>0.2956414</v>
      </c>
      <c r="R1377">
        <v>-9.4993960000000002E-2</v>
      </c>
      <c r="S1377">
        <v>3.2190699999999999</v>
      </c>
      <c r="T1377">
        <v>-0.36643619999999999</v>
      </c>
      <c r="U1377">
        <v>-0.50466920000000004</v>
      </c>
      <c r="V1377">
        <v>0.1026803</v>
      </c>
      <c r="W1377">
        <v>0.30862289999999998</v>
      </c>
      <c r="X1377">
        <v>0.94562610000000002</v>
      </c>
      <c r="Y1377">
        <v>0.16146740000000001</v>
      </c>
      <c r="Z1377">
        <v>-1.1007970000000001E-2</v>
      </c>
      <c r="AA1377">
        <v>0.98681660000000004</v>
      </c>
      <c r="AB1377">
        <v>24</v>
      </c>
      <c r="AC1377">
        <v>0.69800000000000695</v>
      </c>
      <c r="AD1377">
        <v>-9.3085999999999697E-2</v>
      </c>
      <c r="AE1377">
        <v>-0.129099999999994</v>
      </c>
      <c r="AF1377">
        <v>0.132311799335151</v>
      </c>
      <c r="AG1377">
        <v>-9.3085999999999697E-2</v>
      </c>
      <c r="AH1377">
        <v>0.68517982288972101</v>
      </c>
      <c r="AI1377">
        <v>97.597946015470797</v>
      </c>
      <c r="AJ1377">
        <v>79.070414223709307</v>
      </c>
      <c r="AK1377">
        <v>0.70401903762220497</v>
      </c>
      <c r="AL1377">
        <v>72.023740913436896</v>
      </c>
      <c r="AM1377">
        <v>83.802848590699597</v>
      </c>
      <c r="AN1377">
        <v>1.0000000297068501</v>
      </c>
    </row>
    <row r="1378" spans="1:40" x14ac:dyDescent="0.25">
      <c r="A1378" t="str">
        <f>"20190304164843469"</f>
        <v>20190304164843469</v>
      </c>
      <c r="B1378" t="str">
        <f>"1551689323457281"</f>
        <v>1551689323457281</v>
      </c>
      <c r="C1378" t="s">
        <v>40</v>
      </c>
      <c r="D1378">
        <v>4.5511819999999998</v>
      </c>
      <c r="E1378">
        <v>0.54308959999999995</v>
      </c>
      <c r="F1378" t="s">
        <v>41</v>
      </c>
      <c r="G1378">
        <v>-222.4933</v>
      </c>
      <c r="H1378">
        <v>1.0077609999999999</v>
      </c>
      <c r="I1378">
        <v>367.63740000000001</v>
      </c>
      <c r="J1378">
        <v>-223.26089999999999</v>
      </c>
      <c r="K1378">
        <v>1.1104689999999999</v>
      </c>
      <c r="L1378">
        <v>367.7817</v>
      </c>
      <c r="M1378">
        <v>0.99987630000000005</v>
      </c>
      <c r="N1378">
        <v>-1.3769719999999999E-2</v>
      </c>
      <c r="O1378">
        <v>7.61751599999999E-3</v>
      </c>
      <c r="P1378">
        <v>0.95033849999999997</v>
      </c>
      <c r="Q1378">
        <v>0.2957842</v>
      </c>
      <c r="R1378">
        <v>-9.6790979999999999E-2</v>
      </c>
      <c r="S1378">
        <v>3.218658</v>
      </c>
      <c r="T1378">
        <v>-0.36531249999999998</v>
      </c>
      <c r="U1378">
        <v>-0.51010129999999998</v>
      </c>
      <c r="V1378">
        <v>0.10424940000000001</v>
      </c>
      <c r="W1378">
        <v>0.30875659999999999</v>
      </c>
      <c r="X1378">
        <v>0.94541070000000005</v>
      </c>
      <c r="Y1378">
        <v>0.1628646</v>
      </c>
      <c r="Z1378">
        <v>-1.1041199999999999E-2</v>
      </c>
      <c r="AA1378">
        <v>0.98658659999999998</v>
      </c>
      <c r="AB1378">
        <v>24</v>
      </c>
      <c r="AC1378">
        <v>0.76759999999998696</v>
      </c>
      <c r="AD1378">
        <v>-0.10270799999999999</v>
      </c>
      <c r="AE1378">
        <v>-0.14429999999998699</v>
      </c>
      <c r="AF1378">
        <v>0.147591359864953</v>
      </c>
      <c r="AG1378">
        <v>-0.10270799999999999</v>
      </c>
      <c r="AH1378">
        <v>0.75344944965276495</v>
      </c>
      <c r="AI1378">
        <v>97.619483409263296</v>
      </c>
      <c r="AJ1378">
        <v>78.916809655660998</v>
      </c>
      <c r="AK1378">
        <v>0.77460842749923697</v>
      </c>
      <c r="AL1378">
        <v>72.015686285972194</v>
      </c>
      <c r="AM1378">
        <v>83.707479190971199</v>
      </c>
      <c r="AN1378">
        <v>0.99999998355920405</v>
      </c>
    </row>
    <row r="1379" spans="1:40" x14ac:dyDescent="0.25">
      <c r="A1379" t="str">
        <f>"20190304164843482"</f>
        <v>20190304164843482</v>
      </c>
      <c r="B1379" t="str">
        <f>"1551689323477776"</f>
        <v>1551689323477776</v>
      </c>
      <c r="C1379" t="s">
        <v>40</v>
      </c>
      <c r="D1379">
        <v>4.5174469999999998</v>
      </c>
      <c r="E1379">
        <v>0.54342709999999905</v>
      </c>
      <c r="F1379" t="s">
        <v>41</v>
      </c>
      <c r="G1379">
        <v>-222.48670000000001</v>
      </c>
      <c r="H1379">
        <v>1.022548</v>
      </c>
      <c r="I1379">
        <v>367.65719999999999</v>
      </c>
      <c r="J1379">
        <v>-223.1354</v>
      </c>
      <c r="K1379">
        <v>1.1104579999999999</v>
      </c>
      <c r="L1379">
        <v>367.7824</v>
      </c>
      <c r="M1379">
        <v>0.99987789999999999</v>
      </c>
      <c r="N1379">
        <v>-1.3768499999999999E-2</v>
      </c>
      <c r="O1379">
        <v>7.382853E-3</v>
      </c>
      <c r="P1379">
        <v>0.95004770000000005</v>
      </c>
      <c r="Q1379">
        <v>0.29622219999999999</v>
      </c>
      <c r="R1379">
        <v>-9.8293220000000001E-2</v>
      </c>
      <c r="S1379">
        <v>3.2178339999999999</v>
      </c>
      <c r="T1379">
        <v>-0.36546309999999999</v>
      </c>
      <c r="U1379">
        <v>-0.51718140000000001</v>
      </c>
      <c r="V1379">
        <v>0.1055355</v>
      </c>
      <c r="W1379">
        <v>0.30918610000000002</v>
      </c>
      <c r="X1379">
        <v>0.94512759999999996</v>
      </c>
      <c r="Y1379">
        <v>0.16477520000000001</v>
      </c>
      <c r="Z1379">
        <v>-1.1143790000000001E-2</v>
      </c>
      <c r="AA1379">
        <v>0.98626820000000004</v>
      </c>
      <c r="AB1379">
        <v>24</v>
      </c>
      <c r="AC1379">
        <v>0.64869999999999095</v>
      </c>
      <c r="AD1379">
        <v>-8.7909999999999905E-2</v>
      </c>
      <c r="AE1379">
        <v>-0.125200000000006</v>
      </c>
      <c r="AF1379">
        <v>0.12772487932013499</v>
      </c>
      <c r="AG1379">
        <v>-8.7909999999999905E-2</v>
      </c>
      <c r="AH1379">
        <v>0.63648861669530898</v>
      </c>
      <c r="AI1379">
        <v>97.711940013780804</v>
      </c>
      <c r="AJ1379">
        <v>78.653099263661801</v>
      </c>
      <c r="AK1379">
        <v>0.65510271872436299</v>
      </c>
      <c r="AL1379">
        <v>71.989811735310298</v>
      </c>
      <c r="AM1379">
        <v>83.628591822504802</v>
      </c>
      <c r="AN1379">
        <v>0.99999998323760897</v>
      </c>
    </row>
    <row r="1380" spans="1:40" x14ac:dyDescent="0.25">
      <c r="A1380" t="str">
        <f>"20190304164843494"</f>
        <v>20190304164843494</v>
      </c>
      <c r="B1380" t="str">
        <f>"1551689323487536"</f>
        <v>1551689323487536</v>
      </c>
      <c r="C1380" t="s">
        <v>40</v>
      </c>
      <c r="D1380">
        <v>4.5074209999999999</v>
      </c>
      <c r="E1380">
        <v>0.54356990000000005</v>
      </c>
      <c r="F1380" t="s">
        <v>41</v>
      </c>
      <c r="G1380">
        <v>-222.27959999999999</v>
      </c>
      <c r="H1380">
        <v>1.013571</v>
      </c>
      <c r="I1380">
        <v>367.64249999999998</v>
      </c>
      <c r="J1380">
        <v>-223.00239999999999</v>
      </c>
      <c r="K1380">
        <v>1.1104449999999999</v>
      </c>
      <c r="L1380">
        <v>367.78309999999999</v>
      </c>
      <c r="M1380">
        <v>0.99987999999999999</v>
      </c>
      <c r="N1380">
        <v>-1.376722E-2</v>
      </c>
      <c r="O1380">
        <v>7.1285239999999998E-3</v>
      </c>
      <c r="P1380">
        <v>0.94985719999999996</v>
      </c>
      <c r="Q1380">
        <v>0.2962438</v>
      </c>
      <c r="R1380">
        <v>-0.1000566</v>
      </c>
      <c r="S1380">
        <v>3.2170719999999999</v>
      </c>
      <c r="T1380">
        <v>-0.36447740000000001</v>
      </c>
      <c r="U1380">
        <v>-0.52496339999999997</v>
      </c>
      <c r="V1380">
        <v>0.1070642</v>
      </c>
      <c r="W1380">
        <v>0.30919970000000002</v>
      </c>
      <c r="X1380">
        <v>0.94495119999999999</v>
      </c>
      <c r="Y1380">
        <v>0.166878</v>
      </c>
      <c r="Z1380">
        <v>-1.122478E-2</v>
      </c>
      <c r="AA1380">
        <v>0.98591359999999995</v>
      </c>
      <c r="AB1380">
        <v>24</v>
      </c>
      <c r="AC1380">
        <v>0.72280000000000599</v>
      </c>
      <c r="AD1380">
        <v>-9.6874000000000099E-2</v>
      </c>
      <c r="AE1380">
        <v>-0.140600000000006</v>
      </c>
      <c r="AF1380">
        <v>0.143269691126684</v>
      </c>
      <c r="AG1380">
        <v>-9.6874000000000099E-2</v>
      </c>
      <c r="AH1380">
        <v>0.70949921147079498</v>
      </c>
      <c r="AI1380">
        <v>97.6230037929829</v>
      </c>
      <c r="AJ1380">
        <v>78.583739365479701</v>
      </c>
      <c r="AK1380">
        <v>0.73027385777474996</v>
      </c>
      <c r="AL1380">
        <v>71.9889923750913</v>
      </c>
      <c r="AM1380">
        <v>83.535879970823899</v>
      </c>
      <c r="AN1380">
        <v>0.99999998389158395</v>
      </c>
    </row>
    <row r="1381" spans="1:40" x14ac:dyDescent="0.25">
      <c r="A1381" t="str">
        <f>"20190304164843508"</f>
        <v>20190304164843508</v>
      </c>
      <c r="B1381" t="str">
        <f>"1551689323497296"</f>
        <v>1551689323497296</v>
      </c>
      <c r="C1381" t="s">
        <v>40</v>
      </c>
      <c r="D1381">
        <v>4.5305229999999996</v>
      </c>
      <c r="E1381">
        <v>0.54369509999999999</v>
      </c>
      <c r="F1381" t="s">
        <v>41</v>
      </c>
      <c r="G1381">
        <v>-222.2732</v>
      </c>
      <c r="H1381">
        <v>1.027792</v>
      </c>
      <c r="I1381">
        <v>367.66239999999999</v>
      </c>
      <c r="J1381">
        <v>-222.86250000000001</v>
      </c>
      <c r="K1381">
        <v>1.1104350000000001</v>
      </c>
      <c r="L1381">
        <v>367.78379999999999</v>
      </c>
      <c r="M1381">
        <v>0.99988189999999999</v>
      </c>
      <c r="N1381">
        <v>-1.3765869999999999E-2</v>
      </c>
      <c r="O1381">
        <v>6.8498419999999897E-3</v>
      </c>
      <c r="P1381">
        <v>0.94949349999999999</v>
      </c>
      <c r="Q1381">
        <v>0.29629260000000002</v>
      </c>
      <c r="R1381">
        <v>-0.1033114</v>
      </c>
      <c r="S1381">
        <v>3.2161559999999998</v>
      </c>
      <c r="T1381">
        <v>-0.36480240000000003</v>
      </c>
      <c r="U1381">
        <v>-0.5317383</v>
      </c>
      <c r="V1381">
        <v>0.1100593</v>
      </c>
      <c r="W1381">
        <v>0.30923779999999901</v>
      </c>
      <c r="X1381">
        <v>0.94459459999999995</v>
      </c>
      <c r="Y1381">
        <v>0.16865649999999999</v>
      </c>
      <c r="Z1381">
        <v>-1.131976E-2</v>
      </c>
      <c r="AA1381">
        <v>0.98560990000000004</v>
      </c>
      <c r="AB1381">
        <v>24</v>
      </c>
      <c r="AC1381">
        <v>0.58930000000000804</v>
      </c>
      <c r="AD1381">
        <v>-8.2642999999999994E-2</v>
      </c>
      <c r="AE1381">
        <v>-0.121399999999994</v>
      </c>
      <c r="AF1381">
        <v>0.123111477054601</v>
      </c>
      <c r="AG1381">
        <v>-8.2642999999999994E-2</v>
      </c>
      <c r="AH1381">
        <v>0.57755809061088903</v>
      </c>
      <c r="AI1381">
        <v>97.966595141925197</v>
      </c>
      <c r="AJ1381">
        <v>77.967000592437699</v>
      </c>
      <c r="AK1381">
        <v>0.596288226666988</v>
      </c>
      <c r="AL1381">
        <v>71.986697438403297</v>
      </c>
      <c r="AM1381">
        <v>83.354156640457305</v>
      </c>
      <c r="AN1381">
        <v>1.0000000124072399</v>
      </c>
    </row>
    <row r="1382" spans="1:40" x14ac:dyDescent="0.25">
      <c r="A1382" t="str">
        <f>"20190304164843520"</f>
        <v>20190304164843520</v>
      </c>
      <c r="B1382" t="str">
        <f>"1551689323507056"</f>
        <v>1551689323507056</v>
      </c>
      <c r="C1382" t="s">
        <v>40</v>
      </c>
      <c r="D1382">
        <v>4.484229</v>
      </c>
      <c r="E1382">
        <v>0.54377030000000004</v>
      </c>
      <c r="F1382" t="s">
        <v>41</v>
      </c>
      <c r="G1382">
        <v>-222.0659</v>
      </c>
      <c r="H1382">
        <v>1.0199530000000001</v>
      </c>
      <c r="I1382">
        <v>367.64929999999998</v>
      </c>
      <c r="J1382">
        <v>-222.7337</v>
      </c>
      <c r="K1382">
        <v>1.1104270000000001</v>
      </c>
      <c r="L1382">
        <v>367.78440000000001</v>
      </c>
      <c r="M1382">
        <v>0.99988370000000004</v>
      </c>
      <c r="N1382">
        <v>-1.376463E-2</v>
      </c>
      <c r="O1382">
        <v>6.5888269999999898E-3</v>
      </c>
      <c r="P1382">
        <v>0.94938579999999995</v>
      </c>
      <c r="Q1382">
        <v>0.29615789999999997</v>
      </c>
      <c r="R1382">
        <v>-0.1046786</v>
      </c>
      <c r="S1382">
        <v>3.2145229999999998</v>
      </c>
      <c r="T1382">
        <v>-0.36524180000000001</v>
      </c>
      <c r="U1382">
        <v>-0.54244999999999999</v>
      </c>
      <c r="V1382">
        <v>0.11118409999999999</v>
      </c>
      <c r="W1382">
        <v>0.30909769999999998</v>
      </c>
      <c r="X1382">
        <v>0.94450869999999998</v>
      </c>
      <c r="Y1382">
        <v>0.1716511</v>
      </c>
      <c r="Z1382">
        <v>-1.1498039999999999E-2</v>
      </c>
      <c r="AA1382">
        <v>0.98509069999999999</v>
      </c>
      <c r="AB1382">
        <v>24</v>
      </c>
      <c r="AC1382">
        <v>0.66779999999999895</v>
      </c>
      <c r="AD1382">
        <v>-9.0473999999999902E-2</v>
      </c>
      <c r="AE1382">
        <v>-0.13510000000002201</v>
      </c>
      <c r="AF1382">
        <v>0.13708032021501601</v>
      </c>
      <c r="AG1382">
        <v>-9.0473999999999902E-2</v>
      </c>
      <c r="AH1382">
        <v>0.65533945448787201</v>
      </c>
      <c r="AI1382">
        <v>97.695878797003004</v>
      </c>
      <c r="AJ1382">
        <v>78.185526865608495</v>
      </c>
      <c r="AK1382">
        <v>0.67560814047398299</v>
      </c>
      <c r="AL1382">
        <v>71.995137657472895</v>
      </c>
      <c r="AM1382">
        <v>83.286248330616104</v>
      </c>
      <c r="AN1382">
        <v>0.99999998830689496</v>
      </c>
    </row>
    <row r="1383" spans="1:40" x14ac:dyDescent="0.25">
      <c r="A1383" t="str">
        <f>"20190304164843532"</f>
        <v>20190304164843532</v>
      </c>
      <c r="B1383" t="str">
        <f>"1551689323527553"</f>
        <v>1551689323527553</v>
      </c>
      <c r="C1383" t="s">
        <v>40</v>
      </c>
      <c r="D1383">
        <v>4.5039170000000004</v>
      </c>
      <c r="E1383">
        <v>0.54394960000000003</v>
      </c>
      <c r="F1383" t="s">
        <v>41</v>
      </c>
      <c r="G1383">
        <v>-221.85929999999999</v>
      </c>
      <c r="H1383">
        <v>1.0109889999999999</v>
      </c>
      <c r="I1383">
        <v>367.6352</v>
      </c>
      <c r="J1383">
        <v>-222.60769999999999</v>
      </c>
      <c r="K1383">
        <v>1.1104179999999999</v>
      </c>
      <c r="L1383">
        <v>367.78489999999999</v>
      </c>
      <c r="M1383">
        <v>0.99988540000000004</v>
      </c>
      <c r="N1383">
        <v>-1.376341E-2</v>
      </c>
      <c r="O1383">
        <v>6.3275939999999998E-3</v>
      </c>
      <c r="P1383">
        <v>0.94919140000000002</v>
      </c>
      <c r="Q1383">
        <v>0.29620950000000001</v>
      </c>
      <c r="R1383">
        <v>-0.10628310000000001</v>
      </c>
      <c r="S1383">
        <v>3.2136689999999999</v>
      </c>
      <c r="T1383">
        <v>-0.36570409999999998</v>
      </c>
      <c r="U1383">
        <v>-0.54742429999999997</v>
      </c>
      <c r="V1383">
        <v>0.1125449</v>
      </c>
      <c r="W1383">
        <v>0.30914249999999999</v>
      </c>
      <c r="X1383">
        <v>0.94433279999999997</v>
      </c>
      <c r="Y1383">
        <v>0.17290800000000001</v>
      </c>
      <c r="Z1383">
        <v>-1.156623E-2</v>
      </c>
      <c r="AA1383">
        <v>0.98487009999999997</v>
      </c>
      <c r="AB1383">
        <v>24</v>
      </c>
      <c r="AC1383">
        <v>0.74840000000000295</v>
      </c>
      <c r="AD1383">
        <v>-9.9429000000000198E-2</v>
      </c>
      <c r="AE1383">
        <v>-0.149699999999995</v>
      </c>
      <c r="AF1383">
        <v>0.15185579784321901</v>
      </c>
      <c r="AG1383">
        <v>-9.9429000000000198E-2</v>
      </c>
      <c r="AH1383">
        <v>0.73496422299989195</v>
      </c>
      <c r="AI1383">
        <v>97.546923633029607</v>
      </c>
      <c r="AJ1383">
        <v>78.326014127259896</v>
      </c>
      <c r="AK1383">
        <v>0.75704604778668205</v>
      </c>
      <c r="AL1383">
        <v>71.9924376877144</v>
      </c>
      <c r="AM1383">
        <v>83.203587530830802</v>
      </c>
      <c r="AN1383">
        <v>0.999999938489048</v>
      </c>
    </row>
    <row r="1384" spans="1:40" x14ac:dyDescent="0.25">
      <c r="A1384" t="str">
        <f>"20190304164843544"</f>
        <v>20190304164843544</v>
      </c>
      <c r="B1384" t="str">
        <f>"1551689323537312"</f>
        <v>1551689323537312</v>
      </c>
      <c r="C1384" t="s">
        <v>40</v>
      </c>
      <c r="D1384">
        <v>4.5219969999999998</v>
      </c>
      <c r="E1384">
        <v>0.54402980000000001</v>
      </c>
      <c r="F1384" t="s">
        <v>41</v>
      </c>
      <c r="G1384">
        <v>-221.85339999999999</v>
      </c>
      <c r="H1384">
        <v>1.0244009999999999</v>
      </c>
      <c r="I1384">
        <v>367.65469999999999</v>
      </c>
      <c r="J1384">
        <v>-222.48589999999999</v>
      </c>
      <c r="K1384">
        <v>1.1104130000000001</v>
      </c>
      <c r="L1384">
        <v>367.78539999999998</v>
      </c>
      <c r="M1384">
        <v>0.99988699999999997</v>
      </c>
      <c r="N1384">
        <v>-1.3762180000000001E-2</v>
      </c>
      <c r="O1384">
        <v>6.0691850000000004E-3</v>
      </c>
      <c r="P1384">
        <v>0.94906880000000005</v>
      </c>
      <c r="Q1384">
        <v>0.29605619999999999</v>
      </c>
      <c r="R1384">
        <v>-0.1077935</v>
      </c>
      <c r="S1384">
        <v>3.2130130000000001</v>
      </c>
      <c r="T1384">
        <v>-0.36671160000000003</v>
      </c>
      <c r="U1384">
        <v>-0.55386349999999995</v>
      </c>
      <c r="V1384">
        <v>0.11381380000000001</v>
      </c>
      <c r="W1384">
        <v>0.30898429999999999</v>
      </c>
      <c r="X1384">
        <v>0.94423259999999998</v>
      </c>
      <c r="Y1384">
        <v>0.17458679999999999</v>
      </c>
      <c r="Z1384">
        <v>-1.167614E-2</v>
      </c>
      <c r="AA1384">
        <v>0.98457249999999996</v>
      </c>
      <c r="AB1384">
        <v>24</v>
      </c>
      <c r="AC1384">
        <v>0.63249999999999296</v>
      </c>
      <c r="AD1384">
        <v>-8.60119999999997E-2</v>
      </c>
      <c r="AE1384">
        <v>-0.13069999999998999</v>
      </c>
      <c r="AF1384">
        <v>0.13219225098992499</v>
      </c>
      <c r="AG1384">
        <v>-8.60119999999997E-2</v>
      </c>
      <c r="AH1384">
        <v>0.62068698583423698</v>
      </c>
      <c r="AI1384">
        <v>97.718587879416802</v>
      </c>
      <c r="AJ1384">
        <v>77.976936390731694</v>
      </c>
      <c r="AK1384">
        <v>0.64041017305299996</v>
      </c>
      <c r="AL1384">
        <v>72.001970399943204</v>
      </c>
      <c r="AM1384">
        <v>83.126967124523503</v>
      </c>
      <c r="AN1384">
        <v>1.00000004080984</v>
      </c>
    </row>
    <row r="1385" spans="1:40" x14ac:dyDescent="0.25">
      <c r="A1385" t="str">
        <f>"20190304164843565"</f>
        <v>20190304164843565</v>
      </c>
      <c r="B1385" t="str">
        <f>"1551689323557808"</f>
        <v>1551689323557808</v>
      </c>
      <c r="C1385" t="s">
        <v>40</v>
      </c>
      <c r="D1385">
        <v>4.5237720000000001</v>
      </c>
      <c r="E1385">
        <v>0.54417939999999998</v>
      </c>
      <c r="F1385" t="s">
        <v>41</v>
      </c>
      <c r="G1385">
        <v>-221.64750000000001</v>
      </c>
      <c r="H1385">
        <v>1.014483</v>
      </c>
      <c r="I1385">
        <v>367.63940000000002</v>
      </c>
      <c r="J1385">
        <v>-222.26140000000001</v>
      </c>
      <c r="K1385">
        <v>1.1104039999999999</v>
      </c>
      <c r="L1385">
        <v>367.78620000000001</v>
      </c>
      <c r="M1385">
        <v>0.9998899</v>
      </c>
      <c r="N1385">
        <v>-1.375992E-2</v>
      </c>
      <c r="O1385">
        <v>5.5810729999999998E-3</v>
      </c>
      <c r="P1385">
        <v>0.9487468</v>
      </c>
      <c r="Q1385">
        <v>0.29609350000000001</v>
      </c>
      <c r="R1385">
        <v>-0.1104912</v>
      </c>
      <c r="S1385">
        <v>3.2121430000000002</v>
      </c>
      <c r="T1385">
        <v>-0.36758580000000002</v>
      </c>
      <c r="U1385">
        <v>-0.55908199999999997</v>
      </c>
      <c r="V1385">
        <v>0.1160538</v>
      </c>
      <c r="W1385">
        <v>0.30901099999999998</v>
      </c>
      <c r="X1385">
        <v>0.94395110000000004</v>
      </c>
      <c r="Y1385">
        <v>0.175692299999999</v>
      </c>
      <c r="Z1385">
        <v>-1.1724139999999999E-2</v>
      </c>
      <c r="AA1385">
        <v>0.98437529999999995</v>
      </c>
      <c r="AB1385">
        <v>24</v>
      </c>
      <c r="AC1385">
        <v>0.613900000000001</v>
      </c>
      <c r="AD1385">
        <v>-9.5921000000000103E-2</v>
      </c>
      <c r="AE1385">
        <v>-0.146799999999984</v>
      </c>
      <c r="AF1385">
        <v>0.146833416994472</v>
      </c>
      <c r="AG1385">
        <v>-9.5921000000000103E-2</v>
      </c>
      <c r="AH1385">
        <v>0.599232904250666</v>
      </c>
      <c r="AI1385">
        <v>98.837224904930693</v>
      </c>
      <c r="AJ1385">
        <v>76.231773049311002</v>
      </c>
      <c r="AK1385">
        <v>0.62437245625024196</v>
      </c>
      <c r="AL1385">
        <v>72.000360771333007</v>
      </c>
      <c r="AM1385">
        <v>82.990960244872497</v>
      </c>
      <c r="AN1385">
        <v>0.99999998090332398</v>
      </c>
    </row>
    <row r="1386" spans="1:40" x14ac:dyDescent="0.25">
      <c r="A1386" t="str">
        <f>"20190304164843587"</f>
        <v>20190304164843587</v>
      </c>
      <c r="B1386" t="str">
        <f>"1551689323577328"</f>
        <v>1551689323577328</v>
      </c>
      <c r="C1386" t="s">
        <v>40</v>
      </c>
      <c r="D1386">
        <v>4.6202839999999998</v>
      </c>
      <c r="E1386">
        <v>0.54433869999999995</v>
      </c>
      <c r="F1386" t="s">
        <v>41</v>
      </c>
      <c r="G1386">
        <v>-221.43700000000001</v>
      </c>
      <c r="H1386">
        <v>1.0158339999999999</v>
      </c>
      <c r="I1386">
        <v>367.64</v>
      </c>
      <c r="J1386">
        <v>-222.03700000000001</v>
      </c>
      <c r="K1386">
        <v>1.1103959999999999</v>
      </c>
      <c r="L1386">
        <v>367.7869</v>
      </c>
      <c r="M1386">
        <v>0.99989249999999996</v>
      </c>
      <c r="N1386">
        <v>-1.3757719999999999E-2</v>
      </c>
      <c r="O1386">
        <v>5.0777770000000003E-3</v>
      </c>
      <c r="P1386">
        <v>0.94845829999999998</v>
      </c>
      <c r="Q1386">
        <v>0.29603309999999999</v>
      </c>
      <c r="R1386">
        <v>-0.1130985</v>
      </c>
      <c r="S1386">
        <v>3.2108759999999998</v>
      </c>
      <c r="T1386">
        <v>-0.36844719999999997</v>
      </c>
      <c r="U1386">
        <v>-0.56851200000000002</v>
      </c>
      <c r="V1386">
        <v>0.1181886</v>
      </c>
      <c r="W1386">
        <v>0.30894080000000002</v>
      </c>
      <c r="X1386">
        <v>0.94370920000000003</v>
      </c>
      <c r="Y1386">
        <v>0.17804629999999999</v>
      </c>
      <c r="Z1386">
        <v>-1.1850060000000001E-2</v>
      </c>
      <c r="AA1386">
        <v>0.98395069999999996</v>
      </c>
      <c r="AB1386">
        <v>23</v>
      </c>
      <c r="AC1386">
        <v>0.59999999999999398</v>
      </c>
      <c r="AD1386">
        <v>-9.4561999999999993E-2</v>
      </c>
      <c r="AE1386">
        <v>-0.14690000000001599</v>
      </c>
      <c r="AF1386">
        <v>0.146511691746363</v>
      </c>
      <c r="AG1386">
        <v>-9.4561999999999993E-2</v>
      </c>
      <c r="AH1386">
        <v>0.58552501989605099</v>
      </c>
      <c r="AI1386">
        <v>98.904110152337097</v>
      </c>
      <c r="AJ1386">
        <v>75.951744250325703</v>
      </c>
      <c r="AK1386">
        <v>0.61093960142280301</v>
      </c>
      <c r="AL1386">
        <v>72.004590381107207</v>
      </c>
      <c r="AM1386">
        <v>82.861536685017001</v>
      </c>
      <c r="AN1386">
        <v>1.0000000086196199</v>
      </c>
    </row>
    <row r="1387" spans="1:40" x14ac:dyDescent="0.25">
      <c r="A1387" t="str">
        <f>"20190304164843598"</f>
        <v>20190304164843598</v>
      </c>
      <c r="B1387" t="str">
        <f>"1551689323587088"</f>
        <v>1551689323587088</v>
      </c>
      <c r="C1387" t="s">
        <v>40</v>
      </c>
      <c r="D1387">
        <v>4.7186440000000003</v>
      </c>
      <c r="E1387">
        <v>0.5617858</v>
      </c>
      <c r="F1387" t="s">
        <v>41</v>
      </c>
      <c r="G1387">
        <v>-221.22659999999999</v>
      </c>
      <c r="H1387">
        <v>1.0172639999999999</v>
      </c>
      <c r="I1387">
        <v>367.64120000000003</v>
      </c>
      <c r="J1387">
        <v>-221.9126</v>
      </c>
      <c r="K1387">
        <v>1.1103940000000001</v>
      </c>
      <c r="L1387">
        <v>367.78719999999998</v>
      </c>
      <c r="M1387">
        <v>0.99989399999999995</v>
      </c>
      <c r="N1387">
        <v>-1.375651E-2</v>
      </c>
      <c r="O1387">
        <v>4.7921500000000002E-3</v>
      </c>
      <c r="P1387">
        <v>0.94819160000000002</v>
      </c>
      <c r="Q1387">
        <v>0.29631940000000001</v>
      </c>
      <c r="R1387">
        <v>-0.1145771</v>
      </c>
      <c r="S1387">
        <v>3.2092290000000001</v>
      </c>
      <c r="T1387">
        <v>-0.36864409999999997</v>
      </c>
      <c r="U1387">
        <v>-0.57742309999999997</v>
      </c>
      <c r="V1387">
        <v>0.11939909999999999</v>
      </c>
      <c r="W1387">
        <v>0.30921969999999999</v>
      </c>
      <c r="X1387">
        <v>0.94346549999999996</v>
      </c>
      <c r="Y1387">
        <v>0.18048139999999999</v>
      </c>
      <c r="Z1387">
        <v>-1.198544E-2</v>
      </c>
      <c r="AA1387">
        <v>0.98350539999999997</v>
      </c>
      <c r="AB1387">
        <v>23</v>
      </c>
      <c r="AC1387">
        <v>0.68600000000000705</v>
      </c>
      <c r="AD1387">
        <v>-9.3130000000000102E-2</v>
      </c>
      <c r="AE1387">
        <v>-0.145999999999958</v>
      </c>
      <c r="AF1387">
        <v>0.14669950158045</v>
      </c>
      <c r="AG1387">
        <v>-9.3130000000000102E-2</v>
      </c>
      <c r="AH1387">
        <v>0.67341894629100196</v>
      </c>
      <c r="AI1387">
        <v>97.695494967761704</v>
      </c>
      <c r="AJ1387">
        <v>77.710524497582497</v>
      </c>
      <c r="AK1387">
        <v>0.69547610878277899</v>
      </c>
      <c r="AL1387">
        <v>71.987788804667403</v>
      </c>
      <c r="AM1387">
        <v>82.787346572324097</v>
      </c>
      <c r="AN1387">
        <v>1.0000000588195701</v>
      </c>
    </row>
    <row r="1388" spans="1:40" x14ac:dyDescent="0.25">
      <c r="A1388" t="str">
        <f>"20190304164843610"</f>
        <v>20190304164843610</v>
      </c>
      <c r="B1388" t="str">
        <f>"1551689323607586"</f>
        <v>1551689323607586</v>
      </c>
      <c r="C1388" t="s">
        <v>40</v>
      </c>
      <c r="D1388">
        <v>4.6430540000000002</v>
      </c>
      <c r="E1388">
        <v>0.56211860000000002</v>
      </c>
      <c r="F1388" t="s">
        <v>42</v>
      </c>
      <c r="G1388">
        <v>-212.04990000000001</v>
      </c>
      <c r="H1388" s="1">
        <v>-4.1135289999999998E-6</v>
      </c>
      <c r="I1388">
        <v>365.55380000000002</v>
      </c>
      <c r="J1388">
        <v>-221.78280000000001</v>
      </c>
      <c r="K1388">
        <v>1.11039</v>
      </c>
      <c r="L1388">
        <v>367.78750000000002</v>
      </c>
      <c r="M1388">
        <v>0.99989539999999999</v>
      </c>
      <c r="N1388">
        <v>-1.375524E-2</v>
      </c>
      <c r="O1388">
        <v>4.4878009999999996E-3</v>
      </c>
      <c r="P1388">
        <v>0.94793499999999997</v>
      </c>
      <c r="Q1388">
        <v>0.29668709999999998</v>
      </c>
      <c r="R1388">
        <v>-0.11574139999999999</v>
      </c>
      <c r="S1388">
        <v>3.1888580000000002</v>
      </c>
      <c r="T1388">
        <v>-0.35901830000000001</v>
      </c>
      <c r="U1388">
        <v>-0.7221069</v>
      </c>
      <c r="V1388">
        <v>0.12027789999999999</v>
      </c>
      <c r="W1388">
        <v>0.30958059999999998</v>
      </c>
      <c r="X1388">
        <v>0.9432355</v>
      </c>
      <c r="Y1388">
        <v>0.2236928</v>
      </c>
      <c r="Z1388">
        <v>-1.43968E-2</v>
      </c>
      <c r="AA1388">
        <v>0.97455329999999996</v>
      </c>
      <c r="AB1388">
        <v>23</v>
      </c>
      <c r="AC1388">
        <v>9.7329000000000008</v>
      </c>
      <c r="AD1388">
        <v>-1.1103941135290001</v>
      </c>
      <c r="AE1388">
        <v>-2.23369999999999</v>
      </c>
      <c r="AF1388">
        <v>2.2495463769336701</v>
      </c>
      <c r="AG1388">
        <v>-1.1103941135290001</v>
      </c>
      <c r="AH1388">
        <v>9.6040273825294609</v>
      </c>
      <c r="AI1388">
        <v>96.422790871069395</v>
      </c>
      <c r="AJ1388">
        <v>76.817292860858103</v>
      </c>
      <c r="AK1388">
        <v>9.9262669696976698</v>
      </c>
      <c r="AL1388">
        <v>71.966043883809903</v>
      </c>
      <c r="AM1388">
        <v>82.733072631972107</v>
      </c>
      <c r="AN1388">
        <v>1.0000000647925</v>
      </c>
    </row>
    <row r="1389" spans="1:40" x14ac:dyDescent="0.25">
      <c r="A1389" t="str">
        <f>"20190304164843622"</f>
        <v>20190304164843622</v>
      </c>
      <c r="B1389" t="str">
        <f>"1551689323617345"</f>
        <v>1551689323617345</v>
      </c>
      <c r="C1389" t="s">
        <v>40</v>
      </c>
      <c r="D1389">
        <v>4.7211730000000003</v>
      </c>
      <c r="E1389">
        <v>0.56289769999999995</v>
      </c>
      <c r="F1389" t="s">
        <v>42</v>
      </c>
      <c r="G1389">
        <v>-211.96950000000001</v>
      </c>
      <c r="H1389" s="1">
        <v>-4.1492540000000002E-6</v>
      </c>
      <c r="I1389">
        <v>365.54680000000002</v>
      </c>
      <c r="J1389">
        <v>-221.67179999999999</v>
      </c>
      <c r="K1389">
        <v>1.1103860000000001</v>
      </c>
      <c r="L1389">
        <v>367.78769999999997</v>
      </c>
      <c r="M1389">
        <v>0.99989660000000002</v>
      </c>
      <c r="N1389">
        <v>-1.375416E-2</v>
      </c>
      <c r="O1389">
        <v>4.2217749999999997E-3</v>
      </c>
      <c r="P1389">
        <v>0.94768019999999997</v>
      </c>
      <c r="Q1389">
        <v>0.29703679999999999</v>
      </c>
      <c r="R1389">
        <v>-0.1169258</v>
      </c>
      <c r="S1389">
        <v>3.188812</v>
      </c>
      <c r="T1389">
        <v>-0.3608171</v>
      </c>
      <c r="U1389">
        <v>-0.72808839999999997</v>
      </c>
      <c r="V1389">
        <v>0.1212133</v>
      </c>
      <c r="W1389">
        <v>0.30992419999999998</v>
      </c>
      <c r="X1389">
        <v>0.94300280000000003</v>
      </c>
      <c r="Y1389">
        <v>0.22515189999999999</v>
      </c>
      <c r="Z1389">
        <v>-1.4524219999999999E-2</v>
      </c>
      <c r="AA1389">
        <v>0.97421539999999995</v>
      </c>
      <c r="AB1389">
        <v>23</v>
      </c>
      <c r="AC1389">
        <v>9.7022999999999797</v>
      </c>
      <c r="AD1389">
        <v>-1.110390149254</v>
      </c>
      <c r="AE1389">
        <v>-2.2408999999999502</v>
      </c>
      <c r="AF1389">
        <v>2.25381952812721</v>
      </c>
      <c r="AG1389">
        <v>-1.110390149254</v>
      </c>
      <c r="AH1389">
        <v>9.5737070372685693</v>
      </c>
      <c r="AI1389">
        <v>96.441249400969696</v>
      </c>
      <c r="AJ1389">
        <v>76.752774164286805</v>
      </c>
      <c r="AK1389">
        <v>9.8979055958507498</v>
      </c>
      <c r="AL1389">
        <v>71.945337084721899</v>
      </c>
      <c r="AM1389">
        <v>82.675381519060593</v>
      </c>
      <c r="AN1389">
        <v>0.99999997732518398</v>
      </c>
    </row>
    <row r="1390" spans="1:40" x14ac:dyDescent="0.25">
      <c r="A1390" t="str">
        <f>"20190304164843632"</f>
        <v>20190304164843632</v>
      </c>
      <c r="B1390" t="str">
        <f>"1551689323627105"</f>
        <v>1551689323627105</v>
      </c>
      <c r="C1390" t="s">
        <v>40</v>
      </c>
      <c r="D1390">
        <v>4.5942679999999996</v>
      </c>
      <c r="E1390">
        <v>0.56339629999999996</v>
      </c>
      <c r="F1390" t="s">
        <v>42</v>
      </c>
      <c r="G1390">
        <v>-211.8879</v>
      </c>
      <c r="H1390" s="1">
        <v>-4.188133E-6</v>
      </c>
      <c r="I1390">
        <v>365.52499999999998</v>
      </c>
      <c r="J1390">
        <v>-221.5437</v>
      </c>
      <c r="K1390">
        <v>1.110382</v>
      </c>
      <c r="L1390">
        <v>367.78789999999998</v>
      </c>
      <c r="M1390">
        <v>0.99989779999999995</v>
      </c>
      <c r="N1390">
        <v>-1.37529E-2</v>
      </c>
      <c r="O1390">
        <v>3.9106660000000001E-3</v>
      </c>
      <c r="P1390">
        <v>0.94745230000000003</v>
      </c>
      <c r="Q1390">
        <v>0.29724119999999998</v>
      </c>
      <c r="R1390">
        <v>-0.11824659999999999</v>
      </c>
      <c r="S1390">
        <v>3.1880649999999999</v>
      </c>
      <c r="T1390">
        <v>-0.36181780000000002</v>
      </c>
      <c r="U1390">
        <v>-0.73730469999999904</v>
      </c>
      <c r="V1390">
        <v>0.1222434</v>
      </c>
      <c r="W1390">
        <v>0.31012149999999999</v>
      </c>
      <c r="X1390">
        <v>0.942805</v>
      </c>
      <c r="Y1390">
        <v>0.22755010000000001</v>
      </c>
      <c r="Z1390">
        <v>-1.467944E-2</v>
      </c>
      <c r="AA1390">
        <v>0.97365579999999996</v>
      </c>
      <c r="AB1390">
        <v>23</v>
      </c>
      <c r="AC1390">
        <v>9.6557999999999993</v>
      </c>
      <c r="AD1390">
        <v>-1.1103861881329999</v>
      </c>
      <c r="AE1390">
        <v>-2.2629000000000001</v>
      </c>
      <c r="AF1390">
        <v>2.2721635654499699</v>
      </c>
      <c r="AG1390">
        <v>-1.1103861881329999</v>
      </c>
      <c r="AH1390">
        <v>9.5274420990999005</v>
      </c>
      <c r="AI1390">
        <v>96.467823711767096</v>
      </c>
      <c r="AJ1390">
        <v>76.586304800181395</v>
      </c>
      <c r="AK1390">
        <v>9.85737478777469</v>
      </c>
      <c r="AL1390">
        <v>71.933447780966603</v>
      </c>
      <c r="AM1390">
        <v>82.612287133996404</v>
      </c>
      <c r="AN1390">
        <v>1.0000000308154</v>
      </c>
    </row>
    <row r="1391" spans="1:40" x14ac:dyDescent="0.25">
      <c r="A1391" t="str">
        <f>"20190304164843644"</f>
        <v>20190304164843644</v>
      </c>
      <c r="B1391" t="str">
        <f>"1551689323637841"</f>
        <v>1551689323637841</v>
      </c>
      <c r="C1391" t="s">
        <v>40</v>
      </c>
      <c r="D1391">
        <v>4.6832449999999897</v>
      </c>
      <c r="E1391">
        <v>0.563944</v>
      </c>
      <c r="F1391" t="s">
        <v>42</v>
      </c>
      <c r="G1391">
        <v>-211.60120000000001</v>
      </c>
      <c r="H1391" s="1">
        <v>-4.3226010000000002E-6</v>
      </c>
      <c r="I1391">
        <v>365.46030000000002</v>
      </c>
      <c r="J1391">
        <v>-221.43180000000001</v>
      </c>
      <c r="K1391">
        <v>1.1103769999999999</v>
      </c>
      <c r="L1391">
        <v>367.78800000000001</v>
      </c>
      <c r="M1391">
        <v>0.99989899999999998</v>
      </c>
      <c r="N1391">
        <v>-1.375183E-2</v>
      </c>
      <c r="O1391">
        <v>3.6276659999999999E-3</v>
      </c>
      <c r="P1391">
        <v>0.94726569999999999</v>
      </c>
      <c r="Q1391">
        <v>0.29746020000000001</v>
      </c>
      <c r="R1391">
        <v>-0.1191871</v>
      </c>
      <c r="S1391">
        <v>3.1849370000000001</v>
      </c>
      <c r="T1391">
        <v>-0.35569450000000002</v>
      </c>
      <c r="U1391">
        <v>-0.74560550000000003</v>
      </c>
      <c r="V1391">
        <v>0.1229213</v>
      </c>
      <c r="W1391">
        <v>0.31033500000000003</v>
      </c>
      <c r="X1391">
        <v>0.9426466</v>
      </c>
      <c r="Y1391">
        <v>0.22992480000000001</v>
      </c>
      <c r="Z1391">
        <v>-1.458691E-2</v>
      </c>
      <c r="AA1391">
        <v>0.97309909999999999</v>
      </c>
      <c r="AB1391">
        <v>23</v>
      </c>
      <c r="AC1391">
        <v>9.8306000000000004</v>
      </c>
      <c r="AD1391">
        <v>-1.110381322601</v>
      </c>
      <c r="AE1391">
        <v>-2.3276999999999899</v>
      </c>
      <c r="AF1391">
        <v>2.3351399665120698</v>
      </c>
      <c r="AG1391">
        <v>-1.110381322601</v>
      </c>
      <c r="AH1391">
        <v>9.7048486485221694</v>
      </c>
      <c r="AI1391">
        <v>96.3474997198295</v>
      </c>
      <c r="AJ1391">
        <v>76.470909993388005</v>
      </c>
      <c r="AK1391">
        <v>10.043401447493</v>
      </c>
      <c r="AL1391">
        <v>71.920580361734196</v>
      </c>
      <c r="AM1391">
        <v>82.570540637213796</v>
      </c>
      <c r="AN1391">
        <v>1.0000000353551199</v>
      </c>
    </row>
    <row r="1392" spans="1:40" x14ac:dyDescent="0.25">
      <c r="A1392" t="str">
        <f>"20190304164843656"</f>
        <v>20190304164843656</v>
      </c>
      <c r="B1392" t="str">
        <f>"1551689323647600"</f>
        <v>1551689323647600</v>
      </c>
      <c r="C1392" t="s">
        <v>40</v>
      </c>
      <c r="D1392">
        <v>4.6820449999999996</v>
      </c>
      <c r="E1392">
        <v>0.56437329999999997</v>
      </c>
      <c r="F1392" t="s">
        <v>42</v>
      </c>
      <c r="G1392">
        <v>-211.54900000000001</v>
      </c>
      <c r="H1392" s="1">
        <v>-4.3462540000000002E-6</v>
      </c>
      <c r="I1392">
        <v>365.45319999999998</v>
      </c>
      <c r="J1392">
        <v>-221.3107</v>
      </c>
      <c r="K1392">
        <v>1.1103700000000001</v>
      </c>
      <c r="L1392">
        <v>367.78809999999999</v>
      </c>
      <c r="M1392">
        <v>0.99989989999999995</v>
      </c>
      <c r="N1392">
        <v>-1.375067E-2</v>
      </c>
      <c r="O1392">
        <v>3.318241E-3</v>
      </c>
      <c r="P1392">
        <v>0.94695090000000004</v>
      </c>
      <c r="Q1392">
        <v>0.29805209999999999</v>
      </c>
      <c r="R1392">
        <v>-0.1202042</v>
      </c>
      <c r="S1392">
        <v>3.1846920000000001</v>
      </c>
      <c r="T1392">
        <v>-0.35781429999999997</v>
      </c>
      <c r="U1392">
        <v>-0.75234990000000002</v>
      </c>
      <c r="V1392">
        <v>0.1236516</v>
      </c>
      <c r="W1392">
        <v>0.31091790000000002</v>
      </c>
      <c r="X1392">
        <v>0.94235899999999995</v>
      </c>
      <c r="Y1392">
        <v>0.2315663</v>
      </c>
      <c r="Z1392">
        <v>-1.473443E-2</v>
      </c>
      <c r="AA1392">
        <v>0.97270749999999995</v>
      </c>
      <c r="AB1392">
        <v>23</v>
      </c>
      <c r="AC1392">
        <v>9.7616999999999905</v>
      </c>
      <c r="AD1392">
        <v>-1.1103743462540001</v>
      </c>
      <c r="AE1392">
        <v>-2.3349000000000002</v>
      </c>
      <c r="AF1392">
        <v>2.3386603357261402</v>
      </c>
      <c r="AG1392">
        <v>-1.1103743462540001</v>
      </c>
      <c r="AH1392">
        <v>9.63596856943078</v>
      </c>
      <c r="AI1392">
        <v>96.389441235961698</v>
      </c>
      <c r="AJ1392">
        <v>76.358022897306597</v>
      </c>
      <c r="AK1392">
        <v>9.9776827783697204</v>
      </c>
      <c r="AL1392">
        <v>71.885445239926199</v>
      </c>
      <c r="AM1392">
        <v>82.524643257040395</v>
      </c>
      <c r="AN1392">
        <v>1.0000000718019799</v>
      </c>
    </row>
    <row r="1393" spans="1:40" x14ac:dyDescent="0.25">
      <c r="A1393" t="str">
        <f>"20190304164843667"</f>
        <v>20190304164843667</v>
      </c>
      <c r="B1393" t="str">
        <f>"1551689323657361"</f>
        <v>1551689323657361</v>
      </c>
      <c r="C1393" t="s">
        <v>40</v>
      </c>
      <c r="D1393">
        <v>4.6707109999999998</v>
      </c>
      <c r="E1393">
        <v>0.56457829999999998</v>
      </c>
      <c r="F1393" t="s">
        <v>42</v>
      </c>
      <c r="G1393">
        <v>-211.4427</v>
      </c>
      <c r="H1393" s="1">
        <v>-4.3946420000000001E-6</v>
      </c>
      <c r="I1393">
        <v>365.4375</v>
      </c>
      <c r="J1393">
        <v>-221.19069999999999</v>
      </c>
      <c r="K1393">
        <v>1.110363</v>
      </c>
      <c r="L1393">
        <v>367.78809999999999</v>
      </c>
      <c r="M1393">
        <v>0.99990109999999999</v>
      </c>
      <c r="N1393">
        <v>-1.374966E-2</v>
      </c>
      <c r="O1393">
        <v>2.9945240000000001E-3</v>
      </c>
      <c r="P1393">
        <v>0.94669210000000004</v>
      </c>
      <c r="Q1393">
        <v>0.29858059999999997</v>
      </c>
      <c r="R1393">
        <v>-0.1209281</v>
      </c>
      <c r="S1393">
        <v>3.1845400000000001</v>
      </c>
      <c r="T1393">
        <v>-0.35833100000000001</v>
      </c>
      <c r="U1393">
        <v>-0.75857540000000001</v>
      </c>
      <c r="V1393">
        <v>0.1240777</v>
      </c>
      <c r="W1393">
        <v>0.31143900000000002</v>
      </c>
      <c r="X1393">
        <v>0.94213080000000005</v>
      </c>
      <c r="Y1393">
        <v>0.2330498</v>
      </c>
      <c r="Z1393">
        <v>-1.4812270000000001E-2</v>
      </c>
      <c r="AA1393">
        <v>0.97235199999999999</v>
      </c>
      <c r="AB1393">
        <v>23</v>
      </c>
      <c r="AC1393">
        <v>9.7479999999999905</v>
      </c>
      <c r="AD1393">
        <v>-1.1103673946420001</v>
      </c>
      <c r="AE1393">
        <v>-2.35059999999998</v>
      </c>
      <c r="AF1393">
        <v>2.3509557416117901</v>
      </c>
      <c r="AG1393">
        <v>-1.1103673946420001</v>
      </c>
      <c r="AH1393">
        <v>9.6229217597238303</v>
      </c>
      <c r="AI1393">
        <v>96.395649444282199</v>
      </c>
      <c r="AJ1393">
        <v>76.271114599035002</v>
      </c>
      <c r="AK1393">
        <v>9.9679753131650504</v>
      </c>
      <c r="AL1393">
        <v>71.854026999473803</v>
      </c>
      <c r="AM1393">
        <v>82.497380074509493</v>
      </c>
      <c r="AN1393">
        <v>0.99999998533346501</v>
      </c>
    </row>
    <row r="1394" spans="1:40" x14ac:dyDescent="0.25">
      <c r="A1394" t="str">
        <f>"20190304164843678"</f>
        <v>20190304164843678</v>
      </c>
      <c r="B1394" t="str">
        <f>"1551689323667121"</f>
        <v>1551689323667121</v>
      </c>
      <c r="C1394" t="s">
        <v>40</v>
      </c>
      <c r="D1394">
        <v>4.6782190000000003</v>
      </c>
      <c r="E1394">
        <v>0.56483070000000002</v>
      </c>
      <c r="F1394" t="s">
        <v>42</v>
      </c>
      <c r="G1394">
        <v>-211.3288</v>
      </c>
      <c r="H1394" s="1">
        <v>-4.445528E-6</v>
      </c>
      <c r="I1394">
        <v>365.42619999999999</v>
      </c>
      <c r="J1394">
        <v>-221.07679999999999</v>
      </c>
      <c r="K1394">
        <v>1.110355</v>
      </c>
      <c r="L1394">
        <v>367.78809999999999</v>
      </c>
      <c r="M1394">
        <v>0.99990199999999996</v>
      </c>
      <c r="N1394">
        <v>-1.3748679999999999E-2</v>
      </c>
      <c r="O1394">
        <v>2.681892E-3</v>
      </c>
      <c r="P1394">
        <v>0.94635150000000001</v>
      </c>
      <c r="Q1394">
        <v>0.29923179999999999</v>
      </c>
      <c r="R1394">
        <v>-0.12198100000000001</v>
      </c>
      <c r="S1394">
        <v>3.1846009999999998</v>
      </c>
      <c r="T1394">
        <v>-0.35855569999999998</v>
      </c>
      <c r="U1394">
        <v>-0.76269529999999996</v>
      </c>
      <c r="V1394">
        <v>0.1248431</v>
      </c>
      <c r="W1394">
        <v>0.31208059999999999</v>
      </c>
      <c r="X1394">
        <v>0.94181729999999997</v>
      </c>
      <c r="Y1394">
        <v>0.23392579999999999</v>
      </c>
      <c r="Z1394">
        <v>-1.484268E-2</v>
      </c>
      <c r="AA1394">
        <v>0.97214109999999998</v>
      </c>
      <c r="AB1394">
        <v>23</v>
      </c>
      <c r="AC1394">
        <v>9.7479999999999905</v>
      </c>
      <c r="AD1394">
        <v>-1.1103594455279999</v>
      </c>
      <c r="AE1394">
        <v>-2.3618999999999901</v>
      </c>
      <c r="AF1394">
        <v>2.3591255115776102</v>
      </c>
      <c r="AG1394">
        <v>-1.1103594455279999</v>
      </c>
      <c r="AH1394">
        <v>9.6236897790019995</v>
      </c>
      <c r="AI1394">
        <v>96.393883399869296</v>
      </c>
      <c r="AJ1394">
        <v>76.226277271674505</v>
      </c>
      <c r="AK1394">
        <v>9.9706457283426406</v>
      </c>
      <c r="AL1394">
        <v>71.815337382366707</v>
      </c>
      <c r="AM1394">
        <v>82.449146991713107</v>
      </c>
      <c r="AN1394">
        <v>0.99999996354662901</v>
      </c>
    </row>
    <row r="1395" spans="1:40" x14ac:dyDescent="0.25">
      <c r="A1395" t="str">
        <f>"20190304164843690"</f>
        <v>20190304164843690</v>
      </c>
      <c r="B1395" t="str">
        <f>"1551689323687617"</f>
        <v>1551689323687617</v>
      </c>
      <c r="C1395" t="s">
        <v>40</v>
      </c>
      <c r="D1395">
        <v>4.7465039999999998</v>
      </c>
      <c r="E1395">
        <v>0.56493590000000005</v>
      </c>
      <c r="F1395" t="s">
        <v>42</v>
      </c>
      <c r="G1395">
        <v>-211.2149</v>
      </c>
      <c r="H1395" s="1">
        <v>-4.4973250000000002E-6</v>
      </c>
      <c r="I1395">
        <v>365.40969999999999</v>
      </c>
      <c r="J1395">
        <v>-220.9502</v>
      </c>
      <c r="K1395">
        <v>1.110344</v>
      </c>
      <c r="L1395">
        <v>367.78809999999999</v>
      </c>
      <c r="M1395">
        <v>0.99990290000000004</v>
      </c>
      <c r="N1395">
        <v>-1.3747590000000001E-2</v>
      </c>
      <c r="O1395">
        <v>2.3208690000000001E-3</v>
      </c>
      <c r="P1395">
        <v>0.94598579999999999</v>
      </c>
      <c r="Q1395">
        <v>0.30008990000000002</v>
      </c>
      <c r="R1395">
        <v>-0.122708399999999</v>
      </c>
      <c r="S1395">
        <v>3.1844480000000002</v>
      </c>
      <c r="T1395">
        <v>-0.35853790000000002</v>
      </c>
      <c r="U1395">
        <v>-0.76800539999999995</v>
      </c>
      <c r="V1395">
        <v>0.12523999999999999</v>
      </c>
      <c r="W1395">
        <v>0.31292799999999998</v>
      </c>
      <c r="X1395">
        <v>0.94148339999999997</v>
      </c>
      <c r="Y1395">
        <v>0.23511219999999999</v>
      </c>
      <c r="Z1395">
        <v>-1.4879170000000001E-2</v>
      </c>
      <c r="AA1395">
        <v>0.97185429999999995</v>
      </c>
      <c r="AB1395">
        <v>23</v>
      </c>
      <c r="AC1395">
        <v>9.7352999999999899</v>
      </c>
      <c r="AD1395">
        <v>-1.110348497325</v>
      </c>
      <c r="AE1395">
        <v>-2.3783999999999899</v>
      </c>
      <c r="AF1395">
        <v>2.37187390107839</v>
      </c>
      <c r="AG1395">
        <v>-1.110348497325</v>
      </c>
      <c r="AH1395">
        <v>9.6117631156056795</v>
      </c>
      <c r="AI1395">
        <v>96.399288493301398</v>
      </c>
      <c r="AJ1395">
        <v>76.138184979014497</v>
      </c>
      <c r="AK1395">
        <v>9.9621608990543002</v>
      </c>
      <c r="AL1395">
        <v>71.764225572026803</v>
      </c>
      <c r="AM1395">
        <v>82.422764541031199</v>
      </c>
      <c r="AN1395">
        <v>0.99999999162978004</v>
      </c>
    </row>
    <row r="1396" spans="1:40" x14ac:dyDescent="0.25">
      <c r="A1396" t="str">
        <f>"20190304164843702"</f>
        <v>20190304164843702</v>
      </c>
      <c r="B1396" t="str">
        <f>"1551689323697376"</f>
        <v>1551689323697376</v>
      </c>
      <c r="C1396" t="s">
        <v>40</v>
      </c>
      <c r="D1396">
        <v>4.7288420000000002</v>
      </c>
      <c r="E1396">
        <v>0.56489690000000004</v>
      </c>
      <c r="F1396" t="s">
        <v>42</v>
      </c>
      <c r="G1396">
        <v>-211.07759999999999</v>
      </c>
      <c r="H1396" s="1">
        <v>-4.5583960000000002E-6</v>
      </c>
      <c r="I1396">
        <v>365.3974</v>
      </c>
      <c r="J1396">
        <v>-220.82759999999999</v>
      </c>
      <c r="K1396">
        <v>1.110331</v>
      </c>
      <c r="L1396">
        <v>367.78800000000001</v>
      </c>
      <c r="M1396">
        <v>0.9999036</v>
      </c>
      <c r="N1396">
        <v>-1.374647E-2</v>
      </c>
      <c r="O1396">
        <v>1.9578659999999999E-3</v>
      </c>
      <c r="P1396">
        <v>0.94572179999999995</v>
      </c>
      <c r="Q1396">
        <v>0.30058000000000001</v>
      </c>
      <c r="R1396">
        <v>-0.1235393</v>
      </c>
      <c r="S1396">
        <v>3.1848909999999999</v>
      </c>
      <c r="T1396">
        <v>-0.35819600000000001</v>
      </c>
      <c r="U1396">
        <v>-0.77124019999999904</v>
      </c>
      <c r="V1396">
        <v>0.12573899999999999</v>
      </c>
      <c r="W1396">
        <v>0.31340889999999999</v>
      </c>
      <c r="X1396">
        <v>0.94125689999999995</v>
      </c>
      <c r="Y1396">
        <v>0.23566300000000001</v>
      </c>
      <c r="Z1396">
        <v>-1.486238E-2</v>
      </c>
      <c r="AA1396">
        <v>0.97172119999999995</v>
      </c>
      <c r="AB1396">
        <v>23</v>
      </c>
      <c r="AC1396">
        <v>9.75</v>
      </c>
      <c r="AD1396">
        <v>-1.110335558396</v>
      </c>
      <c r="AE1396">
        <v>-2.3906000000000001</v>
      </c>
      <c r="AF1396">
        <v>2.3805641633232399</v>
      </c>
      <c r="AG1396">
        <v>-1.110335558396</v>
      </c>
      <c r="AH1396">
        <v>9.6275236211979909</v>
      </c>
      <c r="AI1396">
        <v>96.388089986958306</v>
      </c>
      <c r="AJ1396">
        <v>76.111255737483901</v>
      </c>
      <c r="AK1396">
        <v>9.9794359492239195</v>
      </c>
      <c r="AL1396">
        <v>71.735212640012804</v>
      </c>
      <c r="AM1396">
        <v>82.391117942232498</v>
      </c>
      <c r="AN1396">
        <v>0.99999999325890998</v>
      </c>
    </row>
    <row r="1397" spans="1:40" x14ac:dyDescent="0.25">
      <c r="A1397" t="str">
        <f>"20190304164843713"</f>
        <v>20190304164843713</v>
      </c>
      <c r="B1397" t="str">
        <f>"1551689323707136"</f>
        <v>1551689323707136</v>
      </c>
      <c r="C1397" t="s">
        <v>40</v>
      </c>
      <c r="D1397">
        <v>4.7479579999999997</v>
      </c>
      <c r="E1397">
        <v>0.56486400000000003</v>
      </c>
      <c r="F1397" t="s">
        <v>42</v>
      </c>
      <c r="G1397">
        <v>-210.98480000000001</v>
      </c>
      <c r="H1397" s="1">
        <v>-4.5982969999999998E-6</v>
      </c>
      <c r="I1397">
        <v>365.39679999999998</v>
      </c>
      <c r="J1397">
        <v>-220.70609999999999</v>
      </c>
      <c r="K1397">
        <v>1.110314</v>
      </c>
      <c r="L1397">
        <v>367.7878</v>
      </c>
      <c r="M1397">
        <v>0.99990429999999997</v>
      </c>
      <c r="N1397">
        <v>-1.374533E-2</v>
      </c>
      <c r="O1397">
        <v>1.588889E-3</v>
      </c>
      <c r="P1397">
        <v>0.94537629999999995</v>
      </c>
      <c r="Q1397">
        <v>0.30134369999999999</v>
      </c>
      <c r="R1397">
        <v>-0.1243218</v>
      </c>
      <c r="S1397">
        <v>3.1853030000000002</v>
      </c>
      <c r="T1397">
        <v>-0.35932059999999999</v>
      </c>
      <c r="U1397">
        <v>-0.77380369999999998</v>
      </c>
      <c r="V1397">
        <v>0.12618509999999999</v>
      </c>
      <c r="W1397">
        <v>0.31416230000000001</v>
      </c>
      <c r="X1397">
        <v>0.94094599999999995</v>
      </c>
      <c r="Y1397">
        <v>0.23600499999999999</v>
      </c>
      <c r="Z1397">
        <v>-1.488628E-2</v>
      </c>
      <c r="AA1397">
        <v>0.9716378</v>
      </c>
      <c r="AB1397">
        <v>23</v>
      </c>
      <c r="AC1397">
        <v>9.7212999999999798</v>
      </c>
      <c r="AD1397">
        <v>-1.1103185982969901</v>
      </c>
      <c r="AE1397">
        <v>-2.39100000000002</v>
      </c>
      <c r="AF1397">
        <v>2.3772026708156</v>
      </c>
      <c r="AG1397">
        <v>-1.1103185982969901</v>
      </c>
      <c r="AH1397">
        <v>9.5994065754521998</v>
      </c>
      <c r="AI1397">
        <v>96.405994418338906</v>
      </c>
      <c r="AJ1397">
        <v>76.0910594258647</v>
      </c>
      <c r="AK1397">
        <v>9.9515077515264991</v>
      </c>
      <c r="AL1397">
        <v>71.689750024271902</v>
      </c>
      <c r="AM1397">
        <v>82.361947785859797</v>
      </c>
      <c r="AN1397">
        <v>1.0000000025596401</v>
      </c>
    </row>
    <row r="1398" spans="1:40" x14ac:dyDescent="0.25">
      <c r="A1398" t="str">
        <f>"20190304164843724"</f>
        <v>20190304164843724</v>
      </c>
      <c r="B1398" t="str">
        <f>"1551689323717873"</f>
        <v>1551689323717873</v>
      </c>
      <c r="C1398" t="s">
        <v>40</v>
      </c>
      <c r="D1398">
        <v>4.6850480000000001</v>
      </c>
      <c r="E1398">
        <v>0.56474389999999997</v>
      </c>
      <c r="F1398" t="s">
        <v>42</v>
      </c>
      <c r="G1398">
        <v>-210.85560000000001</v>
      </c>
      <c r="H1398" s="1">
        <v>-4.6550950000000002E-6</v>
      </c>
      <c r="I1398">
        <v>365.38909999999998</v>
      </c>
      <c r="J1398">
        <v>-220.59280000000001</v>
      </c>
      <c r="K1398">
        <v>1.1103000000000001</v>
      </c>
      <c r="L1398">
        <v>367.7876</v>
      </c>
      <c r="M1398">
        <v>0.99990489999999999</v>
      </c>
      <c r="N1398">
        <v>-1.3744269999999999E-2</v>
      </c>
      <c r="O1398">
        <v>1.2227E-3</v>
      </c>
      <c r="P1398">
        <v>0.94510879999999997</v>
      </c>
      <c r="Q1398">
        <v>0.3018923</v>
      </c>
      <c r="R1398">
        <v>-0.12502339999999901</v>
      </c>
      <c r="S1398">
        <v>3.1857760000000002</v>
      </c>
      <c r="T1398">
        <v>-0.35908689999999999</v>
      </c>
      <c r="U1398">
        <v>-0.77575680000000002</v>
      </c>
      <c r="V1398">
        <v>0.12655369999999999</v>
      </c>
      <c r="W1398">
        <v>0.31470100000000001</v>
      </c>
      <c r="X1398">
        <v>0.94071640000000001</v>
      </c>
      <c r="Y1398">
        <v>0.2361819</v>
      </c>
      <c r="Z1398">
        <v>-1.4850260000000001E-2</v>
      </c>
      <c r="AA1398">
        <v>0.9715954</v>
      </c>
      <c r="AB1398">
        <v>23</v>
      </c>
      <c r="AC1398">
        <v>9.7371999999999996</v>
      </c>
      <c r="AD1398">
        <v>-1.110304655095</v>
      </c>
      <c r="AE1398">
        <v>-2.3985000000000101</v>
      </c>
      <c r="AF1398">
        <v>2.3812151216146602</v>
      </c>
      <c r="AG1398">
        <v>-1.110304655095</v>
      </c>
      <c r="AH1398">
        <v>9.6163784021681007</v>
      </c>
      <c r="AI1398">
        <v>96.394731963394193</v>
      </c>
      <c r="AJ1398">
        <v>76.092128661466802</v>
      </c>
      <c r="AK1398">
        <v>9.9688362137321302</v>
      </c>
      <c r="AL1398">
        <v>71.657234698607397</v>
      </c>
      <c r="AM1398">
        <v>82.338053378762794</v>
      </c>
      <c r="AN1398">
        <v>0.999999951806823</v>
      </c>
    </row>
    <row r="1399" spans="1:40" x14ac:dyDescent="0.25">
      <c r="A1399" t="str">
        <f>"20190304164843737"</f>
        <v>20190304164843737</v>
      </c>
      <c r="B1399" t="str">
        <f>"1551689323727633"</f>
        <v>1551689323727633</v>
      </c>
      <c r="C1399" t="s">
        <v>40</v>
      </c>
      <c r="D1399">
        <v>4.7822370000000003</v>
      </c>
      <c r="E1399">
        <v>0.56474380000000002</v>
      </c>
      <c r="F1399" t="s">
        <v>42</v>
      </c>
      <c r="G1399">
        <v>-210.67699999999999</v>
      </c>
      <c r="H1399" s="1">
        <v>-4.7354520000000002E-6</v>
      </c>
      <c r="I1399">
        <v>365.3682</v>
      </c>
      <c r="J1399">
        <v>-220.46520000000001</v>
      </c>
      <c r="K1399">
        <v>1.1102810000000001</v>
      </c>
      <c r="L1399">
        <v>367.78730000000002</v>
      </c>
      <c r="M1399">
        <v>0.99990520000000005</v>
      </c>
      <c r="N1399">
        <v>-1.3743089999999999E-2</v>
      </c>
      <c r="O1399">
        <v>8.0246369999999905E-4</v>
      </c>
      <c r="P1399">
        <v>0.94482169999999999</v>
      </c>
      <c r="Q1399">
        <v>0.30245559999999899</v>
      </c>
      <c r="R1399">
        <v>-0.12582850000000001</v>
      </c>
      <c r="S1399">
        <v>3.1853790000000002</v>
      </c>
      <c r="T1399">
        <v>-0.3566743</v>
      </c>
      <c r="U1399">
        <v>-0.77722170000000002</v>
      </c>
      <c r="V1399">
        <v>0.1269767</v>
      </c>
      <c r="W1399">
        <v>0.31525360000000002</v>
      </c>
      <c r="X1399">
        <v>0.94047440000000004</v>
      </c>
      <c r="Y1399">
        <v>0.2362447</v>
      </c>
      <c r="Z1399">
        <v>-1.4726100000000001E-2</v>
      </c>
      <c r="AA1399">
        <v>0.97158199999999995</v>
      </c>
      <c r="AB1399">
        <v>23</v>
      </c>
      <c r="AC1399">
        <v>9.7881999999999891</v>
      </c>
      <c r="AD1399">
        <v>-1.1102857354519999</v>
      </c>
      <c r="AE1399">
        <v>-2.41910000000001</v>
      </c>
      <c r="AF1399">
        <v>2.3978781030784502</v>
      </c>
      <c r="AG1399">
        <v>-1.1102857354519999</v>
      </c>
      <c r="AH1399">
        <v>9.6690095575107993</v>
      </c>
      <c r="AI1399">
        <v>96.359549211526399</v>
      </c>
      <c r="AJ1399">
        <v>76.071860518046506</v>
      </c>
      <c r="AK1399">
        <v>10.023587164024899</v>
      </c>
      <c r="AL1399">
        <v>71.623876042812995</v>
      </c>
      <c r="AM1399">
        <v>82.310795000484404</v>
      </c>
      <c r="AN1399">
        <v>1.0000000058556</v>
      </c>
    </row>
    <row r="1400" spans="1:40" x14ac:dyDescent="0.25">
      <c r="A1400" t="str">
        <f>"20190304164843750"</f>
        <v>20190304164843750</v>
      </c>
      <c r="B1400" t="str">
        <f>"1551689323737393"</f>
        <v>1551689323737393</v>
      </c>
      <c r="C1400" t="s">
        <v>40</v>
      </c>
      <c r="D1400">
        <v>4.764208</v>
      </c>
      <c r="E1400">
        <v>0.56473589999999996</v>
      </c>
      <c r="F1400" t="s">
        <v>42</v>
      </c>
      <c r="G1400">
        <v>-210.54910000000001</v>
      </c>
      <c r="H1400" s="1">
        <v>-4.791607E-6</v>
      </c>
      <c r="I1400">
        <v>365.36070000000001</v>
      </c>
      <c r="J1400">
        <v>-220.32919999999999</v>
      </c>
      <c r="K1400">
        <v>1.1102609999999999</v>
      </c>
      <c r="L1400">
        <v>367.78680000000003</v>
      </c>
      <c r="M1400">
        <v>0.9999055</v>
      </c>
      <c r="N1400">
        <v>-1.374189E-2</v>
      </c>
      <c r="O1400">
        <v>3.2548000000000001E-4</v>
      </c>
      <c r="P1400">
        <v>0.94461729999999999</v>
      </c>
      <c r="Q1400">
        <v>0.30277349999999997</v>
      </c>
      <c r="R1400">
        <v>-0.1265956</v>
      </c>
      <c r="S1400">
        <v>3.185562</v>
      </c>
      <c r="T1400">
        <v>-0.35667779999999999</v>
      </c>
      <c r="U1400">
        <v>-0.7795105</v>
      </c>
      <c r="V1400">
        <v>0.12731110000000001</v>
      </c>
      <c r="W1400">
        <v>0.31556079999999997</v>
      </c>
      <c r="X1400">
        <v>0.94032610000000005</v>
      </c>
      <c r="Y1400">
        <v>0.23642859999999999</v>
      </c>
      <c r="Z1400">
        <v>-1.468977E-2</v>
      </c>
      <c r="AA1400">
        <v>0.97153780000000001</v>
      </c>
      <c r="AB1400">
        <v>23</v>
      </c>
      <c r="AC1400">
        <v>9.7800999999999707</v>
      </c>
      <c r="AD1400">
        <v>-1.110265791607</v>
      </c>
      <c r="AE1400">
        <v>-2.4261000000000101</v>
      </c>
      <c r="AF1400">
        <v>2.4001447147595001</v>
      </c>
      <c r="AG1400">
        <v>-1.110265791607</v>
      </c>
      <c r="AH1400">
        <v>9.6620092344258008</v>
      </c>
      <c r="AI1400">
        <v>96.363394358030902</v>
      </c>
      <c r="AJ1400">
        <v>76.049502074855496</v>
      </c>
      <c r="AK1400">
        <v>10.0173752663025</v>
      </c>
      <c r="AL1400">
        <v>71.605327043766195</v>
      </c>
      <c r="AM1400">
        <v>82.289587065118099</v>
      </c>
      <c r="AN1400">
        <v>0.99999995451052803</v>
      </c>
    </row>
    <row r="1401" spans="1:40" x14ac:dyDescent="0.25">
      <c r="A1401" t="str">
        <f>"20190304164843765"</f>
        <v>20190304164843765</v>
      </c>
      <c r="B1401" t="str">
        <f>"1551689323757889"</f>
        <v>1551689323757889</v>
      </c>
      <c r="C1401" t="s">
        <v>40</v>
      </c>
      <c r="D1401">
        <v>4.7800719999999997</v>
      </c>
      <c r="E1401">
        <v>0.56464360000000002</v>
      </c>
      <c r="F1401" t="s">
        <v>42</v>
      </c>
      <c r="G1401">
        <v>-210.4348</v>
      </c>
      <c r="H1401" s="1">
        <v>-4.841096E-6</v>
      </c>
      <c r="I1401">
        <v>365.35820000000001</v>
      </c>
      <c r="J1401">
        <v>-220.17660000000001</v>
      </c>
      <c r="K1401">
        <v>1.1102369999999999</v>
      </c>
      <c r="L1401">
        <v>367.78629999999998</v>
      </c>
      <c r="M1401">
        <v>0.99990559999999995</v>
      </c>
      <c r="N1401">
        <v>-1.374062E-2</v>
      </c>
      <c r="O1401">
        <v>-2.3375309999999999E-4</v>
      </c>
      <c r="P1401">
        <v>0.94430990000000004</v>
      </c>
      <c r="Q1401">
        <v>0.303299599999999</v>
      </c>
      <c r="R1401">
        <v>-0.1276253</v>
      </c>
      <c r="S1401">
        <v>3.1856840000000002</v>
      </c>
      <c r="T1401">
        <v>-0.3574698</v>
      </c>
      <c r="U1401">
        <v>-0.78195190000000003</v>
      </c>
      <c r="V1401">
        <v>0.127833</v>
      </c>
      <c r="W1401">
        <v>0.31607390000000002</v>
      </c>
      <c r="X1401">
        <v>0.940083</v>
      </c>
      <c r="Y1401">
        <v>0.2365747</v>
      </c>
      <c r="Z1401">
        <v>-1.467189E-2</v>
      </c>
      <c r="AA1401">
        <v>0.97150250000000005</v>
      </c>
      <c r="AB1401">
        <v>23</v>
      </c>
      <c r="AC1401">
        <v>9.7418000000000102</v>
      </c>
      <c r="AD1401">
        <v>-1.110241841096</v>
      </c>
      <c r="AE1401">
        <v>-2.4280999999999699</v>
      </c>
      <c r="AF1401">
        <v>2.3965161627764902</v>
      </c>
      <c r="AG1401">
        <v>-1.110241841096</v>
      </c>
      <c r="AH1401">
        <v>9.6246697514195496</v>
      </c>
      <c r="AI1401">
        <v>96.386870708213905</v>
      </c>
      <c r="AJ1401">
        <v>76.017843782409301</v>
      </c>
      <c r="AK1401">
        <v>9.9804906937514701</v>
      </c>
      <c r="AL1401">
        <v>71.574343987742495</v>
      </c>
      <c r="AM1401">
        <v>82.256383824251003</v>
      </c>
      <c r="AN1401">
        <v>1.0000000165195999</v>
      </c>
    </row>
    <row r="1402" spans="1:40" x14ac:dyDescent="0.25">
      <c r="A1402" t="str">
        <f>"20190304164843781"</f>
        <v>20190304164843781</v>
      </c>
      <c r="B1402" t="str">
        <f>"1551689323777408"</f>
        <v>1551689323777408</v>
      </c>
      <c r="C1402" t="s">
        <v>40</v>
      </c>
      <c r="D1402">
        <v>4.8169680000000001</v>
      </c>
      <c r="E1402">
        <v>0.56457179999999996</v>
      </c>
      <c r="F1402" t="s">
        <v>42</v>
      </c>
      <c r="G1402">
        <v>-210.3408</v>
      </c>
      <c r="H1402" s="1">
        <v>-4.8800769999999997E-6</v>
      </c>
      <c r="I1402">
        <v>365.36590000000001</v>
      </c>
      <c r="J1402">
        <v>-220.02369999999999</v>
      </c>
      <c r="K1402">
        <v>1.1102160000000001</v>
      </c>
      <c r="L1402">
        <v>367.78570000000002</v>
      </c>
      <c r="M1402">
        <v>0.9999053</v>
      </c>
      <c r="N1402">
        <v>-1.3739390000000001E-2</v>
      </c>
      <c r="O1402">
        <v>-8.1773339999999999E-4</v>
      </c>
      <c r="P1402">
        <v>0.94394180000000005</v>
      </c>
      <c r="Q1402">
        <v>0.30394300000000002</v>
      </c>
      <c r="R1402">
        <v>-0.1288125</v>
      </c>
      <c r="S1402">
        <v>3.186493</v>
      </c>
      <c r="T1402">
        <v>-0.35968119999999998</v>
      </c>
      <c r="U1402">
        <v>-0.78411869999999995</v>
      </c>
      <c r="V1402">
        <v>0.1284904</v>
      </c>
      <c r="W1402">
        <v>0.31670310000000002</v>
      </c>
      <c r="X1402">
        <v>0.93978150000000005</v>
      </c>
      <c r="Y1402">
        <v>0.23655880000000001</v>
      </c>
      <c r="Z1402">
        <v>-1.4689839999999999E-2</v>
      </c>
      <c r="AA1402">
        <v>0.97150610000000004</v>
      </c>
      <c r="AB1402">
        <v>23</v>
      </c>
      <c r="AC1402">
        <v>9.6828999999999894</v>
      </c>
      <c r="AD1402">
        <v>-1.1102208800769999</v>
      </c>
      <c r="AE1402">
        <v>-2.4198</v>
      </c>
      <c r="AF1402">
        <v>2.3824013684888898</v>
      </c>
      <c r="AG1402">
        <v>-1.1102208800769999</v>
      </c>
      <c r="AH1402">
        <v>9.5665029654196001</v>
      </c>
      <c r="AI1402">
        <v>96.425202858930902</v>
      </c>
      <c r="AJ1402">
        <v>76.0157652031845</v>
      </c>
      <c r="AK1402">
        <v>9.9210082990852602</v>
      </c>
      <c r="AL1402">
        <v>71.536340039817901</v>
      </c>
      <c r="AM1402">
        <v>82.214581678531601</v>
      </c>
      <c r="AN1402">
        <v>0.99999995209200798</v>
      </c>
    </row>
    <row r="1403" spans="1:40" x14ac:dyDescent="0.25">
      <c r="A1403" t="str">
        <f>"20190304164843796"</f>
        <v>20190304164843796</v>
      </c>
      <c r="B1403" t="str">
        <f>"1551689323787168"</f>
        <v>1551689323787168</v>
      </c>
      <c r="C1403" t="s">
        <v>40</v>
      </c>
      <c r="D1403">
        <v>4.8222870000000002</v>
      </c>
      <c r="E1403">
        <v>0.56451010000000001</v>
      </c>
      <c r="F1403" t="s">
        <v>42</v>
      </c>
      <c r="G1403">
        <v>-210.23050000000001</v>
      </c>
      <c r="H1403" s="1">
        <v>-4.9271839999999996E-6</v>
      </c>
      <c r="I1403">
        <v>365.36709999999999</v>
      </c>
      <c r="J1403">
        <v>-219.85300000000001</v>
      </c>
      <c r="K1403">
        <v>1.1101890000000001</v>
      </c>
      <c r="L1403">
        <v>367.78469999999999</v>
      </c>
      <c r="M1403">
        <v>0.99990449999999997</v>
      </c>
      <c r="N1403">
        <v>-1.373804E-2</v>
      </c>
      <c r="O1403">
        <v>-1.5008440000000001E-3</v>
      </c>
      <c r="P1403">
        <v>0.94374729999999996</v>
      </c>
      <c r="Q1403">
        <v>0.30412230000000001</v>
      </c>
      <c r="R1403">
        <v>-0.1298106</v>
      </c>
      <c r="S1403">
        <v>3.1870880000000001</v>
      </c>
      <c r="T1403">
        <v>-0.36130420000000002</v>
      </c>
      <c r="U1403">
        <v>-0.78707890000000003</v>
      </c>
      <c r="V1403">
        <v>0.1288675</v>
      </c>
      <c r="W1403">
        <v>0.31686910000000001</v>
      </c>
      <c r="X1403">
        <v>0.93967400000000001</v>
      </c>
      <c r="Y1403">
        <v>0.2366936</v>
      </c>
      <c r="Z1403">
        <v>-1.468613E-2</v>
      </c>
      <c r="AA1403">
        <v>0.97147329999999998</v>
      </c>
      <c r="AB1403">
        <v>23</v>
      </c>
      <c r="AC1403">
        <v>9.6224999999999703</v>
      </c>
      <c r="AD1403">
        <v>-1.11019392718399</v>
      </c>
      <c r="AE1403">
        <v>-2.41759999999999</v>
      </c>
      <c r="AF1403">
        <v>2.37343631425323</v>
      </c>
      <c r="AG1403">
        <v>-1.11019392718399</v>
      </c>
      <c r="AH1403">
        <v>9.5070800669169699</v>
      </c>
      <c r="AI1403">
        <v>96.463945019050698</v>
      </c>
      <c r="AJ1403">
        <v>75.982667301431206</v>
      </c>
      <c r="AK1403">
        <v>9.8615567682056202</v>
      </c>
      <c r="AL1403">
        <v>71.526314225166402</v>
      </c>
      <c r="AM1403">
        <v>82.191131853549905</v>
      </c>
      <c r="AN1403">
        <v>1.0000000426835201</v>
      </c>
    </row>
    <row r="1404" spans="1:40" x14ac:dyDescent="0.25">
      <c r="A1404" t="str">
        <f>"20190304164843810"</f>
        <v>20190304164843810</v>
      </c>
      <c r="B1404" t="str">
        <f>"1551689323797905"</f>
        <v>1551689323797905</v>
      </c>
      <c r="C1404" t="s">
        <v>40</v>
      </c>
      <c r="D1404">
        <v>4.8124129999999896</v>
      </c>
      <c r="E1404">
        <v>0.56447609999999904</v>
      </c>
      <c r="F1404" t="s">
        <v>42</v>
      </c>
      <c r="G1404">
        <v>-210.09829999999999</v>
      </c>
      <c r="H1404" s="1">
        <v>-4.9835709999999999E-6</v>
      </c>
      <c r="I1404">
        <v>365.36880000000002</v>
      </c>
      <c r="J1404">
        <v>-219.70699999999999</v>
      </c>
      <c r="K1404">
        <v>1.11016</v>
      </c>
      <c r="L1404">
        <v>367.78379999999999</v>
      </c>
      <c r="M1404">
        <v>0.99990349999999995</v>
      </c>
      <c r="N1404">
        <v>-1.373691E-2</v>
      </c>
      <c r="O1404">
        <v>-2.1198530000000001E-3</v>
      </c>
      <c r="P1404">
        <v>0.94342709999999996</v>
      </c>
      <c r="Q1404">
        <v>0.30445650000000002</v>
      </c>
      <c r="R1404">
        <v>-0.13134749999999901</v>
      </c>
      <c r="S1404">
        <v>3.187119</v>
      </c>
      <c r="T1404">
        <v>-0.3627261</v>
      </c>
      <c r="U1404">
        <v>-0.78933719999999996</v>
      </c>
      <c r="V1404">
        <v>0.12984039999999999</v>
      </c>
      <c r="W1404">
        <v>0.31719019999999998</v>
      </c>
      <c r="X1404">
        <v>0.93943169999999998</v>
      </c>
      <c r="Y1404">
        <v>0.23673</v>
      </c>
      <c r="Z1404">
        <v>-1.4677320000000001E-2</v>
      </c>
      <c r="AA1404">
        <v>0.97146460000000001</v>
      </c>
      <c r="AB1404">
        <v>23</v>
      </c>
      <c r="AC1404">
        <v>9.6087000000000007</v>
      </c>
      <c r="AD1404">
        <v>-1.1101649835709999</v>
      </c>
      <c r="AE1404">
        <v>-2.4149999999999601</v>
      </c>
      <c r="AF1404">
        <v>2.36493009833847</v>
      </c>
      <c r="AG1404">
        <v>-1.1101649835709999</v>
      </c>
      <c r="AH1404">
        <v>9.49458647184521</v>
      </c>
      <c r="AI1404">
        <v>96.473066139603105</v>
      </c>
      <c r="AJ1404">
        <v>76.013273548219502</v>
      </c>
      <c r="AK1404">
        <v>9.8474632739665804</v>
      </c>
      <c r="AL1404">
        <v>71.506915767009403</v>
      </c>
      <c r="AM1404">
        <v>82.130909705506895</v>
      </c>
      <c r="AN1404">
        <v>1.0000000357065399</v>
      </c>
    </row>
    <row r="1405" spans="1:40" x14ac:dyDescent="0.25">
      <c r="A1405" t="str">
        <f>"20190304164843825"</f>
        <v>20190304164843825</v>
      </c>
      <c r="B1405" t="str">
        <f>"1551689323817425"</f>
        <v>1551689323817425</v>
      </c>
      <c r="C1405" t="s">
        <v>40</v>
      </c>
      <c r="D1405">
        <v>4.7571240000000001</v>
      </c>
      <c r="E1405">
        <v>0.56447840000000005</v>
      </c>
      <c r="F1405" t="s">
        <v>42</v>
      </c>
      <c r="G1405">
        <v>-209.971</v>
      </c>
      <c r="H1405" s="1">
        <v>-5.0400229999999996E-6</v>
      </c>
      <c r="I1405">
        <v>365.35849999999999</v>
      </c>
      <c r="J1405">
        <v>-219.55719999999999</v>
      </c>
      <c r="K1405">
        <v>1.110136</v>
      </c>
      <c r="L1405">
        <v>367.78280000000001</v>
      </c>
      <c r="M1405">
        <v>0.99990199999999996</v>
      </c>
      <c r="N1405">
        <v>-1.373575E-2</v>
      </c>
      <c r="O1405">
        <v>-2.776999E-3</v>
      </c>
      <c r="P1405">
        <v>0.94316049999999996</v>
      </c>
      <c r="Q1405">
        <v>0.30477729999999997</v>
      </c>
      <c r="R1405">
        <v>-0.1325112</v>
      </c>
      <c r="S1405">
        <v>3.1866300000000001</v>
      </c>
      <c r="T1405">
        <v>-0.36335889999999998</v>
      </c>
      <c r="U1405">
        <v>-0.79382319999999995</v>
      </c>
      <c r="V1405">
        <v>0.130404399999999</v>
      </c>
      <c r="W1405">
        <v>0.31749860000000002</v>
      </c>
      <c r="X1405">
        <v>0.93924929999999995</v>
      </c>
      <c r="Y1405">
        <v>0.23740790000000001</v>
      </c>
      <c r="Z1405">
        <v>-1.467775E-2</v>
      </c>
      <c r="AA1405">
        <v>0.97129920000000003</v>
      </c>
      <c r="AB1405">
        <v>23</v>
      </c>
      <c r="AC1405">
        <v>9.5862000000000194</v>
      </c>
      <c r="AD1405">
        <v>-1.1101410400229901</v>
      </c>
      <c r="AE1405">
        <v>-2.4243000000000099</v>
      </c>
      <c r="AF1405">
        <v>2.3678211029087701</v>
      </c>
      <c r="AG1405">
        <v>-1.1101410400229901</v>
      </c>
      <c r="AH1405">
        <v>9.4734835295244597</v>
      </c>
      <c r="AI1405">
        <v>96.485924725965504</v>
      </c>
      <c r="AJ1405">
        <v>75.966886057174804</v>
      </c>
      <c r="AK1405">
        <v>9.8278115614970307</v>
      </c>
      <c r="AL1405">
        <v>71.488281118009894</v>
      </c>
      <c r="AM1405">
        <v>82.095643651728807</v>
      </c>
      <c r="AN1405">
        <v>0.99999995804590402</v>
      </c>
    </row>
    <row r="1406" spans="1:40" x14ac:dyDescent="0.25">
      <c r="A1406" t="str">
        <f>"20190304164843839"</f>
        <v>20190304164843839</v>
      </c>
      <c r="B1406" t="str">
        <f>"1551689323827186"</f>
        <v>1551689323827186</v>
      </c>
      <c r="C1406" t="s">
        <v>40</v>
      </c>
      <c r="D1406">
        <v>4.7866790000000004</v>
      </c>
      <c r="E1406">
        <v>0.56451169999999995</v>
      </c>
      <c r="F1406" t="s">
        <v>44</v>
      </c>
      <c r="G1406">
        <v>-209.8691</v>
      </c>
      <c r="H1406" s="1">
        <v>-5.9062649999999998E-6</v>
      </c>
      <c r="I1406">
        <v>365.35860000000002</v>
      </c>
      <c r="J1406">
        <v>-219.4067</v>
      </c>
      <c r="K1406">
        <v>1.110114</v>
      </c>
      <c r="L1406">
        <v>367.78160000000003</v>
      </c>
      <c r="M1406">
        <v>0.99989969999999995</v>
      </c>
      <c r="N1406">
        <v>-1.37346E-2</v>
      </c>
      <c r="O1406">
        <v>-3.4596480000000001E-3</v>
      </c>
      <c r="P1406">
        <v>0.94298729999999997</v>
      </c>
      <c r="Q1406">
        <v>0.30477209999999899</v>
      </c>
      <c r="R1406">
        <v>-0.13374929999999999</v>
      </c>
      <c r="S1406">
        <v>3.1867519999999998</v>
      </c>
      <c r="T1406">
        <v>-0.36516310000000002</v>
      </c>
      <c r="U1406">
        <v>-0.79739380000000004</v>
      </c>
      <c r="V1406">
        <v>0.13101760000000001</v>
      </c>
      <c r="W1406">
        <v>0.3174823</v>
      </c>
      <c r="X1406">
        <v>0.93916949999999999</v>
      </c>
      <c r="Y1406">
        <v>0.23774709999999999</v>
      </c>
      <c r="Z1406">
        <v>-1.4693579999999999E-2</v>
      </c>
      <c r="AA1406">
        <v>0.97121599999999997</v>
      </c>
      <c r="AB1406">
        <v>23</v>
      </c>
      <c r="AC1406">
        <v>9.5375999999999905</v>
      </c>
      <c r="AD1406">
        <v>-1.110119906265</v>
      </c>
      <c r="AE1406">
        <v>-2.423</v>
      </c>
      <c r="AF1406">
        <v>2.3599523599928398</v>
      </c>
      <c r="AG1406">
        <v>-1.110119906265</v>
      </c>
      <c r="AH1406">
        <v>9.4259694177642004</v>
      </c>
      <c r="AI1406">
        <v>96.517568367833206</v>
      </c>
      <c r="AJ1406">
        <v>75.943963745695299</v>
      </c>
      <c r="AK1406">
        <v>9.7801145602874993</v>
      </c>
      <c r="AL1406">
        <v>71.489266532117</v>
      </c>
      <c r="AM1406">
        <v>82.058281977365596</v>
      </c>
      <c r="AN1406">
        <v>0.99999998602664997</v>
      </c>
    </row>
    <row r="1407" spans="1:40" x14ac:dyDescent="0.25">
      <c r="A1407" t="str">
        <f>"20190304164843854"</f>
        <v>20190304164843854</v>
      </c>
      <c r="B1407" t="str">
        <f>"1551689323847681"</f>
        <v>1551689323847681</v>
      </c>
      <c r="C1407" t="s">
        <v>40</v>
      </c>
      <c r="D1407">
        <v>4.7584359999999997</v>
      </c>
      <c r="E1407">
        <v>0.56455529999999998</v>
      </c>
      <c r="F1407" t="s">
        <v>44</v>
      </c>
      <c r="G1407">
        <v>-209.75749999999999</v>
      </c>
      <c r="H1407" s="1">
        <v>-5.8695969999999998E-6</v>
      </c>
      <c r="I1407">
        <v>365.35430000000002</v>
      </c>
      <c r="J1407">
        <v>-219.25530000000001</v>
      </c>
      <c r="K1407">
        <v>1.1100909999999999</v>
      </c>
      <c r="L1407">
        <v>367.78030000000001</v>
      </c>
      <c r="M1407">
        <v>0.99989709999999998</v>
      </c>
      <c r="N1407">
        <v>-1.3733469999999999E-2</v>
      </c>
      <c r="O1407">
        <v>-4.1743689999999998E-3</v>
      </c>
      <c r="P1407">
        <v>0.94264959999999998</v>
      </c>
      <c r="Q1407">
        <v>0.30518810000000002</v>
      </c>
      <c r="R1407">
        <v>-0.13517560000000001</v>
      </c>
      <c r="S1407">
        <v>3.186172</v>
      </c>
      <c r="T1407">
        <v>-0.36656319999999998</v>
      </c>
      <c r="U1407">
        <v>-0.8015137</v>
      </c>
      <c r="V1407">
        <v>0.13179060000000001</v>
      </c>
      <c r="W1407">
        <v>0.31788470000000002</v>
      </c>
      <c r="X1407">
        <v>0.93892520000000002</v>
      </c>
      <c r="Y1407">
        <v>0.23826420000000001</v>
      </c>
      <c r="Z1407">
        <v>-1.470525E-2</v>
      </c>
      <c r="AA1407">
        <v>0.97108899999999998</v>
      </c>
      <c r="AB1407">
        <v>23</v>
      </c>
      <c r="AC1407">
        <v>9.4978000000000105</v>
      </c>
      <c r="AD1407">
        <v>-1.1100968695969999</v>
      </c>
      <c r="AE1407">
        <v>-2.4259999999999802</v>
      </c>
      <c r="AF1407">
        <v>2.3561127745119399</v>
      </c>
      <c r="AG1407">
        <v>-1.1100968695969999</v>
      </c>
      <c r="AH1407">
        <v>9.3874594782493297</v>
      </c>
      <c r="AI1407">
        <v>96.542993561252999</v>
      </c>
      <c r="AJ1407">
        <v>75.910645077560503</v>
      </c>
      <c r="AK1407">
        <v>9.7420725680873694</v>
      </c>
      <c r="AL1407">
        <v>71.464951129866094</v>
      </c>
      <c r="AM1407">
        <v>82.009977575660002</v>
      </c>
      <c r="AN1407">
        <v>0.99999998796874401</v>
      </c>
    </row>
    <row r="1408" spans="1:40" x14ac:dyDescent="0.25">
      <c r="A1408" t="str">
        <f>"20190304164843866"</f>
        <v>20190304164843866</v>
      </c>
      <c r="B1408" t="str">
        <f>"1551689323857441"</f>
        <v>1551689323857441</v>
      </c>
      <c r="C1408" t="s">
        <v>40</v>
      </c>
      <c r="D1408">
        <v>4.763617</v>
      </c>
      <c r="E1408">
        <v>0.56458149999999996</v>
      </c>
      <c r="F1408" t="s">
        <v>44</v>
      </c>
      <c r="G1408">
        <v>-209.63669999999999</v>
      </c>
      <c r="H1408" s="1">
        <v>-5.8305009999999997E-6</v>
      </c>
      <c r="I1408">
        <v>365.34559999999999</v>
      </c>
      <c r="J1408">
        <v>-219.13040000000001</v>
      </c>
      <c r="K1408">
        <v>1.1100730000000001</v>
      </c>
      <c r="L1408">
        <v>367.77910000000003</v>
      </c>
      <c r="M1408">
        <v>0.99989430000000001</v>
      </c>
      <c r="N1408">
        <v>-1.373256E-2</v>
      </c>
      <c r="O1408">
        <v>-4.790557E-3</v>
      </c>
      <c r="P1408">
        <v>0.94212839999999998</v>
      </c>
      <c r="Q1408">
        <v>0.30578709999999998</v>
      </c>
      <c r="R1408">
        <v>-0.13743710000000001</v>
      </c>
      <c r="S1408">
        <v>3.1859280000000001</v>
      </c>
      <c r="T1408">
        <v>-0.36768909999999999</v>
      </c>
      <c r="U1408">
        <v>-0.80645749999999905</v>
      </c>
      <c r="V1408">
        <v>0.1334901</v>
      </c>
      <c r="W1408">
        <v>0.31846740000000001</v>
      </c>
      <c r="X1408">
        <v>0.93848759999999998</v>
      </c>
      <c r="Y1408">
        <v>0.23908840000000001</v>
      </c>
      <c r="Z1408">
        <v>-1.473462E-2</v>
      </c>
      <c r="AA1408">
        <v>0.97088600000000003</v>
      </c>
      <c r="AB1408">
        <v>23</v>
      </c>
      <c r="AC1408">
        <v>9.4937000000000094</v>
      </c>
      <c r="AD1408">
        <v>-1.1100788305010001</v>
      </c>
      <c r="AE1408">
        <v>-2.4335000000000302</v>
      </c>
      <c r="AF1408">
        <v>2.3577397269538598</v>
      </c>
      <c r="AG1408">
        <v>-1.1100788305010001</v>
      </c>
      <c r="AH1408">
        <v>9.3848497162908409</v>
      </c>
      <c r="AI1408">
        <v>96.544319209396605</v>
      </c>
      <c r="AJ1408">
        <v>75.897539730865404</v>
      </c>
      <c r="AK1408">
        <v>9.73994947765887</v>
      </c>
      <c r="AL1408">
        <v>71.429735616750307</v>
      </c>
      <c r="AM1408">
        <v>81.904575636726506</v>
      </c>
      <c r="AN1408">
        <v>1.0000000335072601</v>
      </c>
    </row>
    <row r="1409" spans="1:40" x14ac:dyDescent="0.25">
      <c r="A1409" t="str">
        <f>"20190304164843878"</f>
        <v>20190304164843878</v>
      </c>
      <c r="B1409" t="str">
        <f>"1551689323867201"</f>
        <v>1551689323867201</v>
      </c>
      <c r="C1409" t="s">
        <v>40</v>
      </c>
      <c r="D1409">
        <v>4.7640479999999998</v>
      </c>
      <c r="E1409">
        <v>0.56461260000000002</v>
      </c>
      <c r="F1409" t="s">
        <v>44</v>
      </c>
      <c r="G1409">
        <v>-209.48500000000001</v>
      </c>
      <c r="H1409" s="1">
        <v>-5.784552E-6</v>
      </c>
      <c r="I1409">
        <v>365.31470000000002</v>
      </c>
      <c r="J1409">
        <v>-219.00409999999999</v>
      </c>
      <c r="K1409">
        <v>1.110052</v>
      </c>
      <c r="L1409">
        <v>367.77789999999999</v>
      </c>
      <c r="M1409">
        <v>0.99989119999999998</v>
      </c>
      <c r="N1409">
        <v>-1.373166E-2</v>
      </c>
      <c r="O1409">
        <v>-5.4254719999999998E-3</v>
      </c>
      <c r="P1409">
        <v>0.94184429999999997</v>
      </c>
      <c r="Q1409">
        <v>0.3059752</v>
      </c>
      <c r="R1409">
        <v>-0.13895669999999999</v>
      </c>
      <c r="S1409">
        <v>3.184555</v>
      </c>
      <c r="T1409">
        <v>-0.3665059</v>
      </c>
      <c r="U1409">
        <v>-0.81365969999999999</v>
      </c>
      <c r="V1409">
        <v>0.13442939999999901</v>
      </c>
      <c r="W1409">
        <v>0.31864320000000002</v>
      </c>
      <c r="X1409">
        <v>0.93829379999999996</v>
      </c>
      <c r="Y1409">
        <v>0.24063580000000001</v>
      </c>
      <c r="Z1409">
        <v>-1.47303E-2</v>
      </c>
      <c r="AA1409">
        <v>0.97050369999999997</v>
      </c>
      <c r="AB1409">
        <v>23</v>
      </c>
      <c r="AC1409">
        <v>9.5190999999999804</v>
      </c>
      <c r="AD1409">
        <v>-1.1100577845520001</v>
      </c>
      <c r="AE1409">
        <v>-2.4631999999999699</v>
      </c>
      <c r="AF1409">
        <v>2.3811644961682101</v>
      </c>
      <c r="AG1409">
        <v>-1.1100577845520001</v>
      </c>
      <c r="AH1409">
        <v>9.4123613166168898</v>
      </c>
      <c r="AI1409">
        <v>96.522543586046694</v>
      </c>
      <c r="AJ1409">
        <v>75.803026823149395</v>
      </c>
      <c r="AK1409">
        <v>9.7721398985791499</v>
      </c>
      <c r="AL1409">
        <v>71.419108868660004</v>
      </c>
      <c r="AM1409">
        <v>81.846714285884801</v>
      </c>
      <c r="AN1409">
        <v>1.00000000380451</v>
      </c>
    </row>
    <row r="1410" spans="1:40" x14ac:dyDescent="0.25">
      <c r="A1410" t="str">
        <f>"20190304164843891"</f>
        <v>20190304164843891</v>
      </c>
      <c r="B1410" t="str">
        <f>"1551689323887697"</f>
        <v>1551689323887697</v>
      </c>
      <c r="C1410" t="s">
        <v>40</v>
      </c>
      <c r="D1410">
        <v>4.843019</v>
      </c>
      <c r="E1410">
        <v>0.56464979999999998</v>
      </c>
      <c r="F1410" t="s">
        <v>44</v>
      </c>
      <c r="G1410">
        <v>-209.37049999999999</v>
      </c>
      <c r="H1410" s="1">
        <v>-5.748903E-6</v>
      </c>
      <c r="I1410">
        <v>365.29770000000002</v>
      </c>
      <c r="J1410">
        <v>-218.87090000000001</v>
      </c>
      <c r="K1410">
        <v>1.110028</v>
      </c>
      <c r="L1410">
        <v>367.77629999999999</v>
      </c>
      <c r="M1410">
        <v>0.99988699999999997</v>
      </c>
      <c r="N1410">
        <v>-1.37308E-2</v>
      </c>
      <c r="O1410">
        <v>-6.1199130000000003E-3</v>
      </c>
      <c r="P1410">
        <v>0.94154340000000003</v>
      </c>
      <c r="Q1410">
        <v>0.30622139999999998</v>
      </c>
      <c r="R1410">
        <v>-0.14044419999999999</v>
      </c>
      <c r="S1410">
        <v>3.1835019999999998</v>
      </c>
      <c r="T1410">
        <v>-0.36682959999999998</v>
      </c>
      <c r="U1410">
        <v>-0.81961059999999997</v>
      </c>
      <c r="V1410">
        <v>0.1352826</v>
      </c>
      <c r="W1410">
        <v>0.31887690000000002</v>
      </c>
      <c r="X1410">
        <v>0.93809180000000003</v>
      </c>
      <c r="Y1410">
        <v>0.2417338</v>
      </c>
      <c r="Z1410">
        <v>-1.474379E-2</v>
      </c>
      <c r="AA1410">
        <v>0.97023060000000005</v>
      </c>
      <c r="AB1410">
        <v>23</v>
      </c>
      <c r="AC1410">
        <v>9.5004000000000097</v>
      </c>
      <c r="AD1410">
        <v>-1.1100337489030001</v>
      </c>
      <c r="AE1410">
        <v>-2.4785999999999699</v>
      </c>
      <c r="AF1410">
        <v>2.3898598631838599</v>
      </c>
      <c r="AG1410">
        <v>-1.1100337489030001</v>
      </c>
      <c r="AH1410">
        <v>9.3953038078558393</v>
      </c>
      <c r="AI1410">
        <v>96.532005313617006</v>
      </c>
      <c r="AJ1410">
        <v>75.728480727292194</v>
      </c>
      <c r="AK1410">
        <v>9.7578347358044102</v>
      </c>
      <c r="AL1410">
        <v>71.404982659507098</v>
      </c>
      <c r="AM1410">
        <v>81.793926503002993</v>
      </c>
      <c r="AN1410">
        <v>1.0000000422218001</v>
      </c>
    </row>
    <row r="1411" spans="1:40" x14ac:dyDescent="0.25">
      <c r="A1411" t="str">
        <f>"20190304164843903"</f>
        <v>20190304164843903</v>
      </c>
      <c r="B1411" t="str">
        <f>"1551689323887697"</f>
        <v>1551689323887697</v>
      </c>
      <c r="C1411" t="s">
        <v>40</v>
      </c>
      <c r="D1411">
        <v>4.843019</v>
      </c>
      <c r="E1411">
        <v>0.56464979999999998</v>
      </c>
      <c r="F1411" t="s">
        <v>44</v>
      </c>
      <c r="G1411">
        <v>-209.238</v>
      </c>
      <c r="H1411" s="1">
        <v>-5.7072119999999997E-6</v>
      </c>
      <c r="I1411">
        <v>365.28059999999999</v>
      </c>
      <c r="J1411">
        <v>-218.75049999999999</v>
      </c>
      <c r="K1411">
        <v>1.1100030000000001</v>
      </c>
      <c r="L1411">
        <v>367.7749</v>
      </c>
      <c r="M1411">
        <v>0.99988290000000002</v>
      </c>
      <c r="N1411">
        <v>-1.373008E-2</v>
      </c>
      <c r="O1411">
        <v>-6.7672280000000001E-3</v>
      </c>
      <c r="P1411">
        <v>0.94125840000000005</v>
      </c>
      <c r="Q1411">
        <v>0.30632160000000003</v>
      </c>
      <c r="R1411">
        <v>-0.14212640000000001</v>
      </c>
      <c r="S1411">
        <v>3.1825100000000002</v>
      </c>
      <c r="T1411">
        <v>-0.3667339</v>
      </c>
      <c r="U1411">
        <v>-0.82455440000000002</v>
      </c>
      <c r="V1411">
        <v>0.13637299999999999</v>
      </c>
      <c r="W1411">
        <v>0.31896449999999998</v>
      </c>
      <c r="X1411">
        <v>0.93790410000000002</v>
      </c>
      <c r="Y1411">
        <v>0.24258940000000001</v>
      </c>
      <c r="Z1411">
        <v>-1.473202E-2</v>
      </c>
      <c r="AA1411">
        <v>0.97001720000000002</v>
      </c>
      <c r="AB1411">
        <v>23</v>
      </c>
      <c r="AC1411">
        <v>9.5124999999999797</v>
      </c>
      <c r="AD1411">
        <v>-1.110008707212</v>
      </c>
      <c r="AE1411">
        <v>-2.4943</v>
      </c>
      <c r="AF1411">
        <v>2.3992954320028099</v>
      </c>
      <c r="AG1411">
        <v>-1.110008707212</v>
      </c>
      <c r="AH1411">
        <v>9.4092846361452196</v>
      </c>
      <c r="AI1411">
        <v>96.521271301766703</v>
      </c>
      <c r="AJ1411">
        <v>75.694860673033006</v>
      </c>
      <c r="AK1411">
        <v>9.7736060522263006</v>
      </c>
      <c r="AL1411">
        <v>71.399686668941797</v>
      </c>
      <c r="AM1411">
        <v>81.727063345150995</v>
      </c>
      <c r="AN1411">
        <v>1.00000002409302</v>
      </c>
    </row>
    <row r="1412" spans="1:40" x14ac:dyDescent="0.25">
      <c r="A1412" t="str">
        <f>"20190304164843916"</f>
        <v>20190304164843916</v>
      </c>
      <c r="B1412" t="str">
        <f>"1551689323907216"</f>
        <v>1551689323907216</v>
      </c>
      <c r="C1412" t="s">
        <v>40</v>
      </c>
      <c r="D1412">
        <v>4.8222930000000002</v>
      </c>
      <c r="E1412">
        <v>0.56531739999999997</v>
      </c>
      <c r="F1412" t="s">
        <v>44</v>
      </c>
      <c r="G1412">
        <v>-209.1139</v>
      </c>
      <c r="H1412" s="1">
        <v>-5.6688499999999999E-6</v>
      </c>
      <c r="I1412">
        <v>365.26010000000002</v>
      </c>
      <c r="J1412">
        <v>-218.6215</v>
      </c>
      <c r="K1412">
        <v>1.1099859999999999</v>
      </c>
      <c r="L1412">
        <v>367.77330000000001</v>
      </c>
      <c r="M1412">
        <v>0.99987789999999999</v>
      </c>
      <c r="N1412">
        <v>-1.372933E-2</v>
      </c>
      <c r="O1412">
        <v>-7.4722679999999998E-3</v>
      </c>
      <c r="P1412">
        <v>0.94094239999999996</v>
      </c>
      <c r="Q1412">
        <v>0.3064578</v>
      </c>
      <c r="R1412">
        <v>-0.1439136</v>
      </c>
      <c r="S1412">
        <v>3.1811370000000001</v>
      </c>
      <c r="T1412">
        <v>-0.36642370000000002</v>
      </c>
      <c r="U1412">
        <v>-0.83016970000000001</v>
      </c>
      <c r="V1412">
        <v>0.1375161</v>
      </c>
      <c r="W1412">
        <v>0.31908740000000002</v>
      </c>
      <c r="X1412">
        <v>0.93769530000000001</v>
      </c>
      <c r="Y1412">
        <v>0.24360950000000001</v>
      </c>
      <c r="Z1412">
        <v>-1.471862E-2</v>
      </c>
      <c r="AA1412">
        <v>0.96976169999999995</v>
      </c>
      <c r="AB1412">
        <v>23</v>
      </c>
      <c r="AC1412">
        <v>9.5075999999999894</v>
      </c>
      <c r="AD1412">
        <v>-1.10999166885</v>
      </c>
      <c r="AE1412">
        <v>-2.5131999999999799</v>
      </c>
      <c r="AF1412">
        <v>2.4113593765285599</v>
      </c>
      <c r="AG1412">
        <v>-1.10999166885</v>
      </c>
      <c r="AH1412">
        <v>9.4062807369801096</v>
      </c>
      <c r="AI1412">
        <v>96.521120113243896</v>
      </c>
      <c r="AJ1412">
        <v>75.621505921128403</v>
      </c>
      <c r="AK1412">
        <v>9.7736816425833997</v>
      </c>
      <c r="AL1412">
        <v>71.392255561254402</v>
      </c>
      <c r="AM1412">
        <v>81.656858750056102</v>
      </c>
      <c r="AN1412">
        <v>0.99999996112002898</v>
      </c>
    </row>
    <row r="1413" spans="1:40" x14ac:dyDescent="0.25">
      <c r="A1413" t="str">
        <f>"20190304164843926"</f>
        <v>20190304164843926</v>
      </c>
      <c r="B1413" t="str">
        <f>"1551689323916977"</f>
        <v>1551689323916977</v>
      </c>
      <c r="C1413" t="s">
        <v>40</v>
      </c>
      <c r="D1413">
        <v>4.7955629999999996</v>
      </c>
      <c r="E1413">
        <v>0.56584319999999999</v>
      </c>
      <c r="F1413" t="s">
        <v>44</v>
      </c>
      <c r="G1413">
        <v>-209.0806</v>
      </c>
      <c r="H1413" s="1">
        <v>-5.65943E-6</v>
      </c>
      <c r="I1413">
        <v>365.2491</v>
      </c>
      <c r="J1413">
        <v>-218.49700000000001</v>
      </c>
      <c r="K1413">
        <v>1.109964</v>
      </c>
      <c r="L1413">
        <v>367.77159999999998</v>
      </c>
      <c r="M1413">
        <v>0.99987230000000005</v>
      </c>
      <c r="N1413">
        <v>-1.372869E-2</v>
      </c>
      <c r="O1413">
        <v>-8.1837479999999994E-3</v>
      </c>
      <c r="P1413">
        <v>0.94065279999999996</v>
      </c>
      <c r="Q1413">
        <v>0.3064421</v>
      </c>
      <c r="R1413">
        <v>-0.1458277</v>
      </c>
      <c r="S1413">
        <v>3.1801149999999998</v>
      </c>
      <c r="T1413">
        <v>-0.36997380000000002</v>
      </c>
      <c r="U1413">
        <v>-0.84133910000000001</v>
      </c>
      <c r="V1413">
        <v>0.13877970000000001</v>
      </c>
      <c r="W1413">
        <v>0.31905899999999998</v>
      </c>
      <c r="X1413">
        <v>0.93751879999999999</v>
      </c>
      <c r="Y1413">
        <v>0.24613689999999999</v>
      </c>
      <c r="Z1413">
        <v>-1.4932279999999999E-2</v>
      </c>
      <c r="AA1413">
        <v>0.96911999999999998</v>
      </c>
      <c r="AB1413">
        <v>23</v>
      </c>
      <c r="AC1413">
        <v>9.4164000000000101</v>
      </c>
      <c r="AD1413">
        <v>-1.1099696594299999</v>
      </c>
      <c r="AE1413">
        <v>-2.5224999999999702</v>
      </c>
      <c r="AF1413">
        <v>2.4140499695344602</v>
      </c>
      <c r="AG1413">
        <v>-1.1099696594299999</v>
      </c>
      <c r="AH1413">
        <v>9.3159538139953408</v>
      </c>
      <c r="AI1413">
        <v>96.579292154031805</v>
      </c>
      <c r="AJ1413">
        <v>75.472445179010194</v>
      </c>
      <c r="AK1413">
        <v>9.6874488574009394</v>
      </c>
      <c r="AL1413">
        <v>71.393972783090703</v>
      </c>
      <c r="AM1413">
        <v>81.579727340162805</v>
      </c>
      <c r="AN1413">
        <v>0.99999997548326403</v>
      </c>
    </row>
    <row r="1414" spans="1:40" x14ac:dyDescent="0.25">
      <c r="A1414" t="str">
        <f>"20190304164843938"</f>
        <v>20190304164843938</v>
      </c>
      <c r="B1414" t="str">
        <f>"1551689323927713"</f>
        <v>1551689323927713</v>
      </c>
      <c r="C1414" t="s">
        <v>40</v>
      </c>
      <c r="D1414">
        <v>4.7952979999999998</v>
      </c>
      <c r="E1414">
        <v>0.56629949999999996</v>
      </c>
      <c r="F1414" t="s">
        <v>44</v>
      </c>
      <c r="G1414">
        <v>-209.03039999999999</v>
      </c>
      <c r="H1414" s="1">
        <v>-5.6449080000000002E-6</v>
      </c>
      <c r="I1414">
        <v>365.23439999999999</v>
      </c>
      <c r="J1414">
        <v>-218.38390000000001</v>
      </c>
      <c r="K1414">
        <v>1.1099429999999999</v>
      </c>
      <c r="L1414">
        <v>367.77</v>
      </c>
      <c r="M1414">
        <v>0.99986679999999994</v>
      </c>
      <c r="N1414">
        <v>-1.372812E-2</v>
      </c>
      <c r="O1414">
        <v>-8.8388040000000005E-3</v>
      </c>
      <c r="P1414">
        <v>0.94035690000000005</v>
      </c>
      <c r="Q1414">
        <v>0.306587</v>
      </c>
      <c r="R1414">
        <v>-0.147424</v>
      </c>
      <c r="S1414">
        <v>3.1786349999999999</v>
      </c>
      <c r="T1414">
        <v>-0.37269619999999998</v>
      </c>
      <c r="U1414">
        <v>-0.85189820000000005</v>
      </c>
      <c r="V1414">
        <v>0.1397776</v>
      </c>
      <c r="W1414">
        <v>0.3191909</v>
      </c>
      <c r="X1414">
        <v>0.93732570000000004</v>
      </c>
      <c r="Y1414">
        <v>0.24858140000000001</v>
      </c>
      <c r="Z1414">
        <v>-1.512025E-2</v>
      </c>
      <c r="AA1414">
        <v>0.96849300000000005</v>
      </c>
      <c r="AB1414">
        <v>23</v>
      </c>
      <c r="AC1414">
        <v>9.3535000000000199</v>
      </c>
      <c r="AD1414">
        <v>-1.1099486449079901</v>
      </c>
      <c r="AE1414">
        <v>-2.5355999999999801</v>
      </c>
      <c r="AF1414">
        <v>2.42106044731876</v>
      </c>
      <c r="AG1414">
        <v>-1.1099486449079901</v>
      </c>
      <c r="AH1414">
        <v>9.2541543330256495</v>
      </c>
      <c r="AI1414">
        <v>96.618734460515498</v>
      </c>
      <c r="AJ1414">
        <v>75.338942379106797</v>
      </c>
      <c r="AK1414">
        <v>9.6297919034297799</v>
      </c>
      <c r="AL1414">
        <v>71.385999722563596</v>
      </c>
      <c r="AM1414">
        <v>81.518336769274001</v>
      </c>
      <c r="AN1414">
        <v>1.00000003799252</v>
      </c>
    </row>
    <row r="1415" spans="1:40" x14ac:dyDescent="0.25">
      <c r="A1415" t="str">
        <f>"20190304164843950"</f>
        <v>20190304164843950</v>
      </c>
      <c r="B1415" t="str">
        <f>"1551689323947233"</f>
        <v>1551689323947233</v>
      </c>
      <c r="C1415" t="s">
        <v>40</v>
      </c>
      <c r="D1415">
        <v>4.7828499999999998</v>
      </c>
      <c r="E1415">
        <v>0.56725199999999998</v>
      </c>
      <c r="F1415" t="s">
        <v>44</v>
      </c>
      <c r="G1415">
        <v>-208.98849999999999</v>
      </c>
      <c r="H1415" s="1">
        <v>-5.6322780000000001E-6</v>
      </c>
      <c r="I1415">
        <v>365.22559999999999</v>
      </c>
      <c r="J1415">
        <v>-218.2653</v>
      </c>
      <c r="K1415">
        <v>1.1099220000000001</v>
      </c>
      <c r="L1415">
        <v>367.7681</v>
      </c>
      <c r="M1415">
        <v>0.99986030000000004</v>
      </c>
      <c r="N1415">
        <v>-1.372754E-2</v>
      </c>
      <c r="O1415">
        <v>-9.5473999999999993E-3</v>
      </c>
      <c r="P1415">
        <v>0.93993720000000003</v>
      </c>
      <c r="Q1415">
        <v>0.30708000000000002</v>
      </c>
      <c r="R1415">
        <v>-0.14906420000000001</v>
      </c>
      <c r="S1415">
        <v>3.1777190000000002</v>
      </c>
      <c r="T1415">
        <v>-0.37540610000000002</v>
      </c>
      <c r="U1415">
        <v>-0.86056520000000003</v>
      </c>
      <c r="V1415">
        <v>0.14077200000000001</v>
      </c>
      <c r="W1415">
        <v>0.31966999999999901</v>
      </c>
      <c r="X1415">
        <v>0.9370136</v>
      </c>
      <c r="Y1415">
        <v>0.25039440000000002</v>
      </c>
      <c r="Z1415">
        <v>-1.5260859999999999E-2</v>
      </c>
      <c r="AA1415">
        <v>0.96802370000000004</v>
      </c>
      <c r="AB1415">
        <v>23</v>
      </c>
      <c r="AC1415">
        <v>9.2767999999999997</v>
      </c>
      <c r="AD1415">
        <v>-1.1099276322779901</v>
      </c>
      <c r="AE1415">
        <v>-2.5425000000000102</v>
      </c>
      <c r="AF1415">
        <v>2.4215635498632202</v>
      </c>
      <c r="AG1415">
        <v>-1.1099276322779901</v>
      </c>
      <c r="AH1415">
        <v>9.1784435456620095</v>
      </c>
      <c r="AI1415">
        <v>96.669120114338199</v>
      </c>
      <c r="AJ1415">
        <v>75.220342109951901</v>
      </c>
      <c r="AK1415">
        <v>9.5571823931441795</v>
      </c>
      <c r="AL1415">
        <v>71.357032400689405</v>
      </c>
      <c r="AM1415">
        <v>81.456080864609106</v>
      </c>
      <c r="AN1415">
        <v>1.00000007573447</v>
      </c>
    </row>
    <row r="1416" spans="1:40" x14ac:dyDescent="0.25">
      <c r="A1416" t="str">
        <f>"20190304164843964"</f>
        <v>20190304164843964</v>
      </c>
      <c r="B1416" t="str">
        <f>"1551689323956992"</f>
        <v>1551689323956992</v>
      </c>
      <c r="C1416" t="s">
        <v>40</v>
      </c>
      <c r="D1416">
        <v>4.8420170000000002</v>
      </c>
      <c r="E1416">
        <v>0.56775200000000003</v>
      </c>
      <c r="F1416" t="s">
        <v>44</v>
      </c>
      <c r="G1416">
        <v>-208.9588</v>
      </c>
      <c r="H1416" s="1">
        <v>-5.6252790000000002E-6</v>
      </c>
      <c r="I1416">
        <v>365.20679999999999</v>
      </c>
      <c r="J1416">
        <v>-218.12360000000001</v>
      </c>
      <c r="K1416">
        <v>1.1098969999999999</v>
      </c>
      <c r="L1416">
        <v>367.76580000000001</v>
      </c>
      <c r="M1416">
        <v>0.99985159999999995</v>
      </c>
      <c r="N1416">
        <v>-1.372692E-2</v>
      </c>
      <c r="O1416">
        <v>-1.0419879999999999E-2</v>
      </c>
      <c r="P1416">
        <v>0.93960429999999995</v>
      </c>
      <c r="Q1416">
        <v>0.30718230000000002</v>
      </c>
      <c r="R1416">
        <v>-0.15094050000000001</v>
      </c>
      <c r="S1416">
        <v>3.1768190000000001</v>
      </c>
      <c r="T1416">
        <v>-0.37888060000000001</v>
      </c>
      <c r="U1416">
        <v>-0.87432860000000001</v>
      </c>
      <c r="V1416">
        <v>0.141850799999999</v>
      </c>
      <c r="W1416">
        <v>0.3197585</v>
      </c>
      <c r="X1416">
        <v>0.9368206</v>
      </c>
      <c r="Y1416">
        <v>0.25347310000000001</v>
      </c>
      <c r="Z1416">
        <v>-1.549215E-2</v>
      </c>
      <c r="AA1416">
        <v>0.96721840000000003</v>
      </c>
      <c r="AB1416">
        <v>23</v>
      </c>
      <c r="AC1416">
        <v>9.1648000000000103</v>
      </c>
      <c r="AD1416">
        <v>-1.1099026252790001</v>
      </c>
      <c r="AE1416">
        <v>-2.5590000000000201</v>
      </c>
      <c r="AF1416">
        <v>2.4302902530792698</v>
      </c>
      <c r="AG1416">
        <v>-1.1099026252790001</v>
      </c>
      <c r="AH1416">
        <v>9.0675987186171092</v>
      </c>
      <c r="AI1416">
        <v>96.742795231067007</v>
      </c>
      <c r="AJ1416">
        <v>74.996259399448505</v>
      </c>
      <c r="AK1416">
        <v>9.45301756444365</v>
      </c>
      <c r="AL1416">
        <v>71.351679227275795</v>
      </c>
      <c r="AM1416">
        <v>81.389835295957297</v>
      </c>
      <c r="AN1416">
        <v>0.99999999218362501</v>
      </c>
    </row>
    <row r="1417" spans="1:40" x14ac:dyDescent="0.25">
      <c r="A1417" t="str">
        <f>"20190304164843979"</f>
        <v>20190304164843979</v>
      </c>
      <c r="B1417" t="str">
        <f>"1551689323967729"</f>
        <v>1551689323967729</v>
      </c>
      <c r="C1417" t="s">
        <v>40</v>
      </c>
      <c r="D1417">
        <v>4.8171739999999996</v>
      </c>
      <c r="E1417">
        <v>0.56820569999999904</v>
      </c>
      <c r="F1417" t="s">
        <v>44</v>
      </c>
      <c r="G1417">
        <v>-208.8441</v>
      </c>
      <c r="H1417" s="1">
        <v>-5.5912160000000004E-6</v>
      </c>
      <c r="I1417">
        <v>365.17899999999997</v>
      </c>
      <c r="J1417">
        <v>-217.9725</v>
      </c>
      <c r="K1417">
        <v>1.1098709999999901</v>
      </c>
      <c r="L1417">
        <v>367.76319999999998</v>
      </c>
      <c r="M1417">
        <v>0.99984119999999999</v>
      </c>
      <c r="N1417">
        <v>-1.372627E-2</v>
      </c>
      <c r="O1417">
        <v>-1.137788E-2</v>
      </c>
      <c r="P1417">
        <v>0.93917830000000002</v>
      </c>
      <c r="Q1417">
        <v>0.30712289999999998</v>
      </c>
      <c r="R1417">
        <v>-0.15368699999999999</v>
      </c>
      <c r="S1417">
        <v>3.17482</v>
      </c>
      <c r="T1417">
        <v>-0.37973679999999999</v>
      </c>
      <c r="U1417">
        <v>-0.88500979999999996</v>
      </c>
      <c r="V1417">
        <v>0.1437225</v>
      </c>
      <c r="W1417">
        <v>0.31968039999999998</v>
      </c>
      <c r="X1417">
        <v>0.93656189999999995</v>
      </c>
      <c r="Y1417">
        <v>0.255704299999999</v>
      </c>
      <c r="Z1417">
        <v>-1.5572610000000001E-2</v>
      </c>
      <c r="AA1417">
        <v>0.96662959999999998</v>
      </c>
      <c r="AB1417">
        <v>23</v>
      </c>
      <c r="AC1417">
        <v>9.1283999999999992</v>
      </c>
      <c r="AD1417">
        <v>-1.10987659121599</v>
      </c>
      <c r="AE1417">
        <v>-2.5841999999999499</v>
      </c>
      <c r="AF1417">
        <v>2.44667568885458</v>
      </c>
      <c r="AG1417">
        <v>-1.10987659121599</v>
      </c>
      <c r="AH1417">
        <v>9.0335802086404708</v>
      </c>
      <c r="AI1417">
        <v>96.763041473331995</v>
      </c>
      <c r="AJ1417">
        <v>74.845453024320193</v>
      </c>
      <c r="AK1417">
        <v>9.4246283406881393</v>
      </c>
      <c r="AL1417">
        <v>71.356401169509894</v>
      </c>
      <c r="AM1417">
        <v>81.275589238125804</v>
      </c>
      <c r="AN1417">
        <v>0.99999995384100804</v>
      </c>
    </row>
    <row r="1418" spans="1:40" x14ac:dyDescent="0.25">
      <c r="A1418" t="str">
        <f>"20190304164843994"</f>
        <v>20190304164843994</v>
      </c>
      <c r="B1418" t="str">
        <f>"1551689323987248"</f>
        <v>1551689323987248</v>
      </c>
      <c r="C1418" t="s">
        <v>40</v>
      </c>
      <c r="D1418">
        <v>4.8502609999999997</v>
      </c>
      <c r="E1418">
        <v>0.56909430000000005</v>
      </c>
      <c r="F1418" t="s">
        <v>44</v>
      </c>
      <c r="G1418">
        <v>-208.7397</v>
      </c>
      <c r="H1418" s="1">
        <v>-5.5606550000000002E-6</v>
      </c>
      <c r="I1418">
        <v>365.1508</v>
      </c>
      <c r="J1418">
        <v>-217.81630000000001</v>
      </c>
      <c r="K1418">
        <v>1.109837</v>
      </c>
      <c r="L1418">
        <v>367.76029999999997</v>
      </c>
      <c r="M1418">
        <v>0.99982890000000002</v>
      </c>
      <c r="N1418">
        <v>-1.3725660000000001E-2</v>
      </c>
      <c r="O1418">
        <v>-1.240845E-2</v>
      </c>
      <c r="P1418">
        <v>0.93883930000000004</v>
      </c>
      <c r="Q1418">
        <v>0.3073977</v>
      </c>
      <c r="R1418">
        <v>-0.15520229999999999</v>
      </c>
      <c r="S1418">
        <v>3.1720890000000002</v>
      </c>
      <c r="T1418">
        <v>-0.38131559999999998</v>
      </c>
      <c r="U1418">
        <v>-0.89752199999999904</v>
      </c>
      <c r="V1418">
        <v>0.14429839999999999</v>
      </c>
      <c r="W1418">
        <v>0.31993929999999998</v>
      </c>
      <c r="X1418">
        <v>0.93638500000000002</v>
      </c>
      <c r="Y1418">
        <v>0.2584265</v>
      </c>
      <c r="Z1418">
        <v>-1.5705790000000001E-2</v>
      </c>
      <c r="AA1418">
        <v>0.96590319999999996</v>
      </c>
      <c r="AB1418">
        <v>23</v>
      </c>
      <c r="AC1418">
        <v>9.0766000000000098</v>
      </c>
      <c r="AD1418">
        <v>-1.109842560655</v>
      </c>
      <c r="AE1418">
        <v>-2.6094999999999602</v>
      </c>
      <c r="AF1418">
        <v>2.4626532586473999</v>
      </c>
      <c r="AG1418">
        <v>-1.109842560655</v>
      </c>
      <c r="AH1418">
        <v>8.9842140785322506</v>
      </c>
      <c r="AI1418">
        <v>96.794070315587106</v>
      </c>
      <c r="AJ1418">
        <v>74.671224857487104</v>
      </c>
      <c r="AK1418">
        <v>9.3814985045388699</v>
      </c>
      <c r="AL1418">
        <v>71.340746457445306</v>
      </c>
      <c r="AM1418">
        <v>81.239542301205901</v>
      </c>
      <c r="AN1418">
        <v>1.00000002607602</v>
      </c>
    </row>
    <row r="1419" spans="1:40" x14ac:dyDescent="0.25">
      <c r="A1419" t="str">
        <f>"20190304164844006"</f>
        <v>20190304164844006</v>
      </c>
      <c r="B1419" t="str">
        <f>"1551689323997985"</f>
        <v>1551689323997985</v>
      </c>
      <c r="C1419" t="s">
        <v>40</v>
      </c>
      <c r="D1419">
        <v>4.8300239999999999</v>
      </c>
      <c r="E1419">
        <v>0.56949969999999905</v>
      </c>
      <c r="F1419" t="s">
        <v>44</v>
      </c>
      <c r="G1419">
        <v>-208.61170000000001</v>
      </c>
      <c r="H1419" s="1">
        <v>-5.5230070000000003E-6</v>
      </c>
      <c r="I1419">
        <v>365.11750000000001</v>
      </c>
      <c r="J1419">
        <v>-217.68129999999999</v>
      </c>
      <c r="K1419">
        <v>1.109807</v>
      </c>
      <c r="L1419">
        <v>367.75760000000002</v>
      </c>
      <c r="M1419">
        <v>0.99981679999999995</v>
      </c>
      <c r="N1419">
        <v>-1.3725319999999999E-2</v>
      </c>
      <c r="O1419">
        <v>-1.334076E-2</v>
      </c>
      <c r="P1419">
        <v>0.93857699999999999</v>
      </c>
      <c r="Q1419">
        <v>0.30750739999999999</v>
      </c>
      <c r="R1419">
        <v>-0.15656519999999999</v>
      </c>
      <c r="S1419">
        <v>3.1701350000000001</v>
      </c>
      <c r="T1419">
        <v>-0.382239</v>
      </c>
      <c r="U1419">
        <v>-0.91018679999999996</v>
      </c>
      <c r="V1419">
        <v>0.1448121</v>
      </c>
      <c r="W1419">
        <v>0.32003500000000001</v>
      </c>
      <c r="X1419">
        <v>0.93627300000000002</v>
      </c>
      <c r="Y1419">
        <v>0.2612254</v>
      </c>
      <c r="Z1419">
        <v>-1.582776E-2</v>
      </c>
      <c r="AA1419">
        <v>0.96514800000000001</v>
      </c>
      <c r="AB1419">
        <v>23</v>
      </c>
      <c r="AC1419">
        <v>9.0695999999999799</v>
      </c>
      <c r="AD1419">
        <v>-1.109812523007</v>
      </c>
      <c r="AE1419">
        <v>-2.6401000000000101</v>
      </c>
      <c r="AF1419">
        <v>2.48456181594532</v>
      </c>
      <c r="AG1419">
        <v>-1.109812523007</v>
      </c>
      <c r="AH1419">
        <v>8.9800579097580293</v>
      </c>
      <c r="AI1419">
        <v>96.792580787266004</v>
      </c>
      <c r="AJ1419">
        <v>74.534538622540893</v>
      </c>
      <c r="AK1419">
        <v>9.3832921363498194</v>
      </c>
      <c r="AL1419">
        <v>71.334959186916905</v>
      </c>
      <c r="AM1419">
        <v>81.207806348199</v>
      </c>
      <c r="AN1419">
        <v>1.0000000380302001</v>
      </c>
    </row>
    <row r="1420" spans="1:40" x14ac:dyDescent="0.25">
      <c r="A1420" t="str">
        <f>"20190304164844019"</f>
        <v>20190304164844019</v>
      </c>
      <c r="B1420" t="str">
        <f>"1551689324007745"</f>
        <v>1551689324007745</v>
      </c>
      <c r="C1420" t="s">
        <v>40</v>
      </c>
      <c r="D1420">
        <v>4.8480610000000004</v>
      </c>
      <c r="E1420">
        <v>0.56988669999999997</v>
      </c>
      <c r="F1420" t="s">
        <v>44</v>
      </c>
      <c r="G1420">
        <v>-208.49189999999999</v>
      </c>
      <c r="H1420" s="1">
        <v>-5.4868709999999998E-6</v>
      </c>
      <c r="I1420">
        <v>365.09219999999999</v>
      </c>
      <c r="J1420">
        <v>-217.554</v>
      </c>
      <c r="K1420">
        <v>1.1097760000000001</v>
      </c>
      <c r="L1420">
        <v>367.75490000000002</v>
      </c>
      <c r="M1420">
        <v>0.99980449999999998</v>
      </c>
      <c r="N1420">
        <v>-1.3725070000000001E-2</v>
      </c>
      <c r="O1420">
        <v>-1.424364E-2</v>
      </c>
      <c r="P1420">
        <v>0.93834410000000001</v>
      </c>
      <c r="Q1420">
        <v>0.3077799</v>
      </c>
      <c r="R1420">
        <v>-0.15742429999999999</v>
      </c>
      <c r="S1420">
        <v>3.168396</v>
      </c>
      <c r="T1420">
        <v>-0.38264939999999997</v>
      </c>
      <c r="U1420">
        <v>-0.91900630000000005</v>
      </c>
      <c r="V1420">
        <v>0.1448507</v>
      </c>
      <c r="W1420">
        <v>0.32029429999999998</v>
      </c>
      <c r="X1420">
        <v>0.93617830000000002</v>
      </c>
      <c r="Y1420">
        <v>0.26296199999999997</v>
      </c>
      <c r="Z1420">
        <v>-1.5865529999999999E-2</v>
      </c>
      <c r="AA1420">
        <v>0.96467570000000002</v>
      </c>
      <c r="AB1420">
        <v>23</v>
      </c>
      <c r="AC1420">
        <v>9.0621000000000098</v>
      </c>
      <c r="AD1420">
        <v>-1.1097814868709901</v>
      </c>
      <c r="AE1420">
        <v>-2.6627000000000201</v>
      </c>
      <c r="AF1420">
        <v>2.4988425217720498</v>
      </c>
      <c r="AG1420">
        <v>-1.1097814868709901</v>
      </c>
      <c r="AH1420">
        <v>8.9752030719859892</v>
      </c>
      <c r="AI1420">
        <v>96.793012895317304</v>
      </c>
      <c r="AJ1420">
        <v>74.441932478138199</v>
      </c>
      <c r="AK1420">
        <v>9.3824356688764095</v>
      </c>
      <c r="AL1420">
        <v>71.3192759112451</v>
      </c>
      <c r="AM1420">
        <v>81.204623694137993</v>
      </c>
      <c r="AN1420">
        <v>0.99999998664693401</v>
      </c>
    </row>
    <row r="1421" spans="1:40" x14ac:dyDescent="0.25">
      <c r="A1421" t="str">
        <f>"20190304164844034"</f>
        <v>20190304164844034</v>
      </c>
      <c r="B1421" t="str">
        <f>"1551689324027265"</f>
        <v>1551689324027265</v>
      </c>
      <c r="C1421" t="s">
        <v>40</v>
      </c>
      <c r="D1421">
        <v>4.8498979999999996</v>
      </c>
      <c r="E1421">
        <v>0.57060429999999995</v>
      </c>
      <c r="F1421" t="s">
        <v>44</v>
      </c>
      <c r="G1421">
        <v>-208.35939999999999</v>
      </c>
      <c r="H1421" s="1">
        <v>-5.4465089999999999E-6</v>
      </c>
      <c r="I1421">
        <v>365.06659999999999</v>
      </c>
      <c r="J1421">
        <v>-217.40809999999999</v>
      </c>
      <c r="K1421">
        <v>1.1097360000000001</v>
      </c>
      <c r="L1421">
        <v>367.75170000000003</v>
      </c>
      <c r="M1421">
        <v>0.99978849999999997</v>
      </c>
      <c r="N1421">
        <v>-1.372494E-2</v>
      </c>
      <c r="O1421">
        <v>-1.5318969999999999E-2</v>
      </c>
      <c r="P1421">
        <v>0.93803919999999996</v>
      </c>
      <c r="Q1421">
        <v>0.30803639999999999</v>
      </c>
      <c r="R1421">
        <v>-0.15873280000000001</v>
      </c>
      <c r="S1421">
        <v>3.1671450000000001</v>
      </c>
      <c r="T1421">
        <v>-0.38226969999999999</v>
      </c>
      <c r="U1421">
        <v>-0.9260254</v>
      </c>
      <c r="V1421">
        <v>0.14518529999999999</v>
      </c>
      <c r="W1421">
        <v>0.32053369999999998</v>
      </c>
      <c r="X1421">
        <v>0.93604449999999995</v>
      </c>
      <c r="Y1421">
        <v>0.26399879999999998</v>
      </c>
      <c r="Z1421">
        <v>-1.5809670000000001E-2</v>
      </c>
      <c r="AA1421">
        <v>0.96439339999999996</v>
      </c>
      <c r="AB1421">
        <v>23</v>
      </c>
      <c r="AC1421">
        <v>9.0486999999999895</v>
      </c>
      <c r="AD1421">
        <v>-1.1097414465090001</v>
      </c>
      <c r="AE1421">
        <v>-2.68510000000003</v>
      </c>
      <c r="AF1421">
        <v>2.51143796218112</v>
      </c>
      <c r="AG1421">
        <v>-1.1097414465090001</v>
      </c>
      <c r="AH1421">
        <v>8.9648484594875999</v>
      </c>
      <c r="AI1421">
        <v>96.797529705717295</v>
      </c>
      <c r="AJ1421">
        <v>74.350165545585696</v>
      </c>
      <c r="AK1421">
        <v>9.3758922038151393</v>
      </c>
      <c r="AL1421">
        <v>71.304795461259403</v>
      </c>
      <c r="AM1421">
        <v>81.183385152469398</v>
      </c>
      <c r="AN1421">
        <v>0.99999996507601396</v>
      </c>
    </row>
    <row r="1422" spans="1:40" x14ac:dyDescent="0.25">
      <c r="A1422" t="str">
        <f>"20190304164844045"</f>
        <v>20190304164844045</v>
      </c>
      <c r="B1422" t="str">
        <f>"1551689324038002"</f>
        <v>1551689324038002</v>
      </c>
      <c r="C1422" t="s">
        <v>40</v>
      </c>
      <c r="D1422">
        <v>4.8473269999999999</v>
      </c>
      <c r="E1422">
        <v>0.57092219999999905</v>
      </c>
      <c r="F1422" t="s">
        <v>44</v>
      </c>
      <c r="G1422">
        <v>-208.22890000000001</v>
      </c>
      <c r="H1422" s="1">
        <v>-5.4081150000000001E-6</v>
      </c>
      <c r="I1422">
        <v>365.03269999999998</v>
      </c>
      <c r="J1422">
        <v>-217.29060000000001</v>
      </c>
      <c r="K1422">
        <v>1.1096999999999999</v>
      </c>
      <c r="L1422">
        <v>367.74889999999999</v>
      </c>
      <c r="M1422">
        <v>0.99977419999999995</v>
      </c>
      <c r="N1422">
        <v>-1.3725080000000001E-2</v>
      </c>
      <c r="O1422">
        <v>-1.6232590000000002E-2</v>
      </c>
      <c r="P1422">
        <v>0.93786040000000004</v>
      </c>
      <c r="Q1422">
        <v>0.30817</v>
      </c>
      <c r="R1422">
        <v>-0.1595297</v>
      </c>
      <c r="S1422">
        <v>3.165146</v>
      </c>
      <c r="T1422">
        <v>-0.38265690000000002</v>
      </c>
      <c r="U1422">
        <v>-0.93753050000000004</v>
      </c>
      <c r="V1422">
        <v>0.14515510000000001</v>
      </c>
      <c r="W1422">
        <v>0.32065379999999999</v>
      </c>
      <c r="X1422">
        <v>0.93600810000000001</v>
      </c>
      <c r="Y1422">
        <v>0.26648959999999999</v>
      </c>
      <c r="Z1422">
        <v>-1.5894849999999999E-2</v>
      </c>
      <c r="AA1422">
        <v>0.96370670000000003</v>
      </c>
      <c r="AB1422">
        <v>23</v>
      </c>
      <c r="AC1422">
        <v>9.0617000000000001</v>
      </c>
      <c r="AD1422">
        <v>-1.109705408115</v>
      </c>
      <c r="AE1422">
        <v>-2.7162000000000099</v>
      </c>
      <c r="AF1422">
        <v>2.5338663927856699</v>
      </c>
      <c r="AG1422">
        <v>-1.109705408115</v>
      </c>
      <c r="AH1422">
        <v>8.9810186975164807</v>
      </c>
      <c r="AI1422">
        <v>96.781697277006501</v>
      </c>
      <c r="AJ1422">
        <v>74.244343730236693</v>
      </c>
      <c r="AK1422">
        <v>9.3973731347876708</v>
      </c>
      <c r="AL1422">
        <v>71.297531712306693</v>
      </c>
      <c r="AM1422">
        <v>81.184852880824906</v>
      </c>
      <c r="AN1422">
        <v>1.00000001288803</v>
      </c>
    </row>
    <row r="1423" spans="1:40" x14ac:dyDescent="0.25">
      <c r="A1423" t="str">
        <f>"20190304164844057"</f>
        <v>20190304164844057</v>
      </c>
      <c r="B1423" t="str">
        <f>"1551689324047761"</f>
        <v>1551689324047761</v>
      </c>
      <c r="C1423" t="s">
        <v>40</v>
      </c>
      <c r="D1423">
        <v>4.8538410000000001</v>
      </c>
      <c r="E1423">
        <v>0.57123789999999997</v>
      </c>
      <c r="F1423" t="s">
        <v>44</v>
      </c>
      <c r="G1423">
        <v>-208.1217</v>
      </c>
      <c r="H1423" s="1">
        <v>-5.3747490000000003E-6</v>
      </c>
      <c r="I1423">
        <v>365.01659999999998</v>
      </c>
      <c r="J1423">
        <v>-217.16569999999999</v>
      </c>
      <c r="K1423">
        <v>1.1096600000000001</v>
      </c>
      <c r="L1423">
        <v>367.74579999999997</v>
      </c>
      <c r="M1423">
        <v>0.99975749999999997</v>
      </c>
      <c r="N1423">
        <v>-1.3725269999999999E-2</v>
      </c>
      <c r="O1423">
        <v>-1.722342E-2</v>
      </c>
      <c r="P1423">
        <v>0.93758900000000001</v>
      </c>
      <c r="Q1423">
        <v>0.3083438</v>
      </c>
      <c r="R1423">
        <v>-0.1607827</v>
      </c>
      <c r="S1423">
        <v>3.1642459999999999</v>
      </c>
      <c r="T1423">
        <v>-0.38296370000000002</v>
      </c>
      <c r="U1423">
        <v>-0.94293210000000005</v>
      </c>
      <c r="V1423">
        <v>0.1455137</v>
      </c>
      <c r="W1423">
        <v>0.3208105</v>
      </c>
      <c r="X1423">
        <v>0.93589869999999997</v>
      </c>
      <c r="Y1423">
        <v>0.26711889999999999</v>
      </c>
      <c r="Z1423">
        <v>-1.5844810000000001E-2</v>
      </c>
      <c r="AA1423">
        <v>0.96353330000000004</v>
      </c>
      <c r="AB1423">
        <v>23</v>
      </c>
      <c r="AC1423">
        <v>9.0439999999999792</v>
      </c>
      <c r="AD1423">
        <v>-1.109665374749</v>
      </c>
      <c r="AE1423">
        <v>-2.7291999999999899</v>
      </c>
      <c r="AF1423">
        <v>2.5379928807973502</v>
      </c>
      <c r="AG1423">
        <v>-1.109665374749</v>
      </c>
      <c r="AH1423">
        <v>8.96595755407143</v>
      </c>
      <c r="AI1423">
        <v>96.791095184341302</v>
      </c>
      <c r="AJ1423">
        <v>74.194777975498795</v>
      </c>
      <c r="AK1423">
        <v>9.3840907907109194</v>
      </c>
      <c r="AL1423">
        <v>71.288052343528193</v>
      </c>
      <c r="AM1423">
        <v>81.162402056965405</v>
      </c>
      <c r="AN1423">
        <v>0.99999999522981498</v>
      </c>
    </row>
    <row r="1424" spans="1:40" x14ac:dyDescent="0.25">
      <c r="A1424" t="str">
        <f>"20190304164844070"</f>
        <v>20190304164844070</v>
      </c>
      <c r="B1424" t="str">
        <f>"1551689324057522"</f>
        <v>1551689324057522</v>
      </c>
      <c r="C1424" t="s">
        <v>40</v>
      </c>
      <c r="D1424">
        <v>4.8654419999999998</v>
      </c>
      <c r="E1424">
        <v>0.57152599999999998</v>
      </c>
      <c r="F1424" t="s">
        <v>44</v>
      </c>
      <c r="G1424">
        <v>-208.0214</v>
      </c>
      <c r="H1424" s="1">
        <v>-5.343632E-6</v>
      </c>
      <c r="I1424">
        <v>365.0009</v>
      </c>
      <c r="J1424">
        <v>-217.03399999999999</v>
      </c>
      <c r="K1424">
        <v>1.109613</v>
      </c>
      <c r="L1424">
        <v>367.7423</v>
      </c>
      <c r="M1424">
        <v>0.99973800000000002</v>
      </c>
      <c r="N1424">
        <v>-1.3725680000000001E-2</v>
      </c>
      <c r="O1424">
        <v>-1.8324179999999999E-2</v>
      </c>
      <c r="P1424">
        <v>0.93744609999999995</v>
      </c>
      <c r="Q1424">
        <v>0.30821599999999999</v>
      </c>
      <c r="R1424">
        <v>-0.1618578</v>
      </c>
      <c r="S1424">
        <v>3.1631010000000002</v>
      </c>
      <c r="T1424">
        <v>-0.38384449999999998</v>
      </c>
      <c r="U1424">
        <v>-0.94949340000000004</v>
      </c>
      <c r="V1424">
        <v>0.14559339999999901</v>
      </c>
      <c r="W1424">
        <v>0.32066600000000001</v>
      </c>
      <c r="X1424">
        <v>0.93593590000000004</v>
      </c>
      <c r="Y1424">
        <v>0.26797949999999998</v>
      </c>
      <c r="Z1424">
        <v>-1.5819199999999999E-2</v>
      </c>
      <c r="AA1424">
        <v>0.96329469999999995</v>
      </c>
      <c r="AB1424">
        <v>23</v>
      </c>
      <c r="AC1424">
        <v>9.0126000000000097</v>
      </c>
      <c r="AD1424">
        <v>-1.109618343632</v>
      </c>
      <c r="AE1424">
        <v>-2.7413999999999898</v>
      </c>
      <c r="AF1424">
        <v>2.5405270760318799</v>
      </c>
      <c r="AG1424">
        <v>-1.109618343632</v>
      </c>
      <c r="AH1424">
        <v>8.9373243346527396</v>
      </c>
      <c r="AI1424">
        <v>96.810253363192899</v>
      </c>
      <c r="AJ1424">
        <v>74.131650113693695</v>
      </c>
      <c r="AK1424">
        <v>9.3574193533982299</v>
      </c>
      <c r="AL1424">
        <v>71.296794750970193</v>
      </c>
      <c r="AM1424">
        <v>81.157983944178397</v>
      </c>
      <c r="AN1424">
        <v>1.0000000652941801</v>
      </c>
    </row>
    <row r="1425" spans="1:40" x14ac:dyDescent="0.25">
      <c r="A1425" t="str">
        <f>"20190304164844082"</f>
        <v>20190304164844082</v>
      </c>
      <c r="B1425" t="str">
        <f>"1551689324078017"</f>
        <v>1551689324078017</v>
      </c>
      <c r="C1425" t="s">
        <v>40</v>
      </c>
      <c r="D1425">
        <v>4.8447279999999999</v>
      </c>
      <c r="E1425">
        <v>0.57208369999999997</v>
      </c>
      <c r="F1425" t="s">
        <v>44</v>
      </c>
      <c r="G1425">
        <v>-207.93610000000001</v>
      </c>
      <c r="H1425" s="1">
        <v>-5.31618299999999E-6</v>
      </c>
      <c r="I1425">
        <v>364.99380000000002</v>
      </c>
      <c r="J1425">
        <v>-216.9153</v>
      </c>
      <c r="K1425">
        <v>1.1095680000000001</v>
      </c>
      <c r="L1425">
        <v>367.73899999999998</v>
      </c>
      <c r="M1425">
        <v>0.99971840000000001</v>
      </c>
      <c r="N1425">
        <v>-1.3726220000000001E-2</v>
      </c>
      <c r="O1425">
        <v>-1.935311E-2</v>
      </c>
      <c r="P1425">
        <v>0.93732789999999999</v>
      </c>
      <c r="Q1425">
        <v>0.3081334</v>
      </c>
      <c r="R1425">
        <v>-0.16269690000000001</v>
      </c>
      <c r="S1425">
        <v>3.162064</v>
      </c>
      <c r="T1425">
        <v>-0.38565850000000002</v>
      </c>
      <c r="U1425">
        <v>-0.95529169999999997</v>
      </c>
      <c r="V1425">
        <v>0.14550160000000001</v>
      </c>
      <c r="W1425">
        <v>0.3205694</v>
      </c>
      <c r="X1425">
        <v>0.93598320000000002</v>
      </c>
      <c r="Y1425">
        <v>0.26867819999999998</v>
      </c>
      <c r="Z1425">
        <v>-1.5822889999999999E-2</v>
      </c>
      <c r="AA1425">
        <v>0.96309999999999996</v>
      </c>
      <c r="AB1425">
        <v>23</v>
      </c>
      <c r="AC1425">
        <v>8.9791999999999899</v>
      </c>
      <c r="AD1425">
        <v>-1.1095733161829999</v>
      </c>
      <c r="AE1425">
        <v>-2.7452000000000099</v>
      </c>
      <c r="AF1425">
        <v>2.5354867596512798</v>
      </c>
      <c r="AG1425">
        <v>-1.1095733161829999</v>
      </c>
      <c r="AH1425">
        <v>8.9062781590760807</v>
      </c>
      <c r="AI1425">
        <v>96.832737254151297</v>
      </c>
      <c r="AJ1425">
        <v>74.109124164518803</v>
      </c>
      <c r="AK1425">
        <v>9.3263946248905807</v>
      </c>
      <c r="AL1425">
        <v>71.302636792375296</v>
      </c>
      <c r="AM1425">
        <v>81.163910534358195</v>
      </c>
      <c r="AN1425">
        <v>1.00000000325058</v>
      </c>
    </row>
    <row r="1426" spans="1:40" x14ac:dyDescent="0.25">
      <c r="A1426" t="str">
        <f>"20190304164844094"</f>
        <v>20190304164844094</v>
      </c>
      <c r="B1426" t="str">
        <f>"1551689324087777"</f>
        <v>1551689324087777</v>
      </c>
      <c r="C1426" t="s">
        <v>40</v>
      </c>
      <c r="D1426">
        <v>4.8416709999999998</v>
      </c>
      <c r="E1426">
        <v>0.57234879999999999</v>
      </c>
      <c r="F1426" t="s">
        <v>44</v>
      </c>
      <c r="G1426">
        <v>-207.88030000000001</v>
      </c>
      <c r="H1426" s="1">
        <v>-5.2986730000000001E-6</v>
      </c>
      <c r="I1426">
        <v>364.98630000000003</v>
      </c>
      <c r="J1426">
        <v>-216.7843</v>
      </c>
      <c r="K1426">
        <v>1.1095159999999999</v>
      </c>
      <c r="L1426">
        <v>367.7353</v>
      </c>
      <c r="M1426">
        <v>0.99969540000000001</v>
      </c>
      <c r="N1426">
        <v>-1.372691E-2</v>
      </c>
      <c r="O1426">
        <v>-2.0517710000000002E-2</v>
      </c>
      <c r="P1426">
        <v>0.93721889999999997</v>
      </c>
      <c r="Q1426">
        <v>0.30799880000000002</v>
      </c>
      <c r="R1426">
        <v>-0.16357869999999999</v>
      </c>
      <c r="S1426">
        <v>3.1610260000000001</v>
      </c>
      <c r="T1426">
        <v>-0.38819900000000002</v>
      </c>
      <c r="U1426">
        <v>-0.96307370000000003</v>
      </c>
      <c r="V1426">
        <v>0.14532900000000001</v>
      </c>
      <c r="W1426">
        <v>0.32041940000000002</v>
      </c>
      <c r="X1426">
        <v>0.93606140000000004</v>
      </c>
      <c r="Y1426">
        <v>0.26978960000000002</v>
      </c>
      <c r="Z1426">
        <v>-1.586342E-2</v>
      </c>
      <c r="AA1426">
        <v>0.96278859999999999</v>
      </c>
      <c r="AB1426">
        <v>23</v>
      </c>
      <c r="AC1426">
        <v>8.9039999999999893</v>
      </c>
      <c r="AD1426">
        <v>-1.1095212986730001</v>
      </c>
      <c r="AE1426">
        <v>-2.7489999999999601</v>
      </c>
      <c r="AF1426">
        <v>2.52985060683634</v>
      </c>
      <c r="AG1426">
        <v>-1.1095212986730001</v>
      </c>
      <c r="AH1426">
        <v>8.8333108125680297</v>
      </c>
      <c r="AI1426">
        <v>96.885233179110898</v>
      </c>
      <c r="AJ1426">
        <v>74.018344927607302</v>
      </c>
      <c r="AK1426">
        <v>9.2551910578091601</v>
      </c>
      <c r="AL1426">
        <v>71.311710221433202</v>
      </c>
      <c r="AM1426">
        <v>81.174952862847206</v>
      </c>
      <c r="AN1426">
        <v>1.00000002735365</v>
      </c>
    </row>
    <row r="1427" spans="1:40" x14ac:dyDescent="0.25">
      <c r="A1427" t="str">
        <f>"20190304164844106"</f>
        <v>20190304164844106</v>
      </c>
      <c r="B1427" t="str">
        <f>"1551689324097537"</f>
        <v>1551689324097537</v>
      </c>
      <c r="C1427" t="s">
        <v>40</v>
      </c>
      <c r="D1427">
        <v>4.8437789999999996</v>
      </c>
      <c r="E1427">
        <v>0.57260290000000003</v>
      </c>
      <c r="F1427" t="s">
        <v>44</v>
      </c>
      <c r="G1427">
        <v>-207.78630000000001</v>
      </c>
      <c r="H1427" s="1">
        <v>-5.2685889999999997E-6</v>
      </c>
      <c r="I1427">
        <v>364.97739999999999</v>
      </c>
      <c r="J1427">
        <v>-216.6721</v>
      </c>
      <c r="K1427">
        <v>1.1094729999999999</v>
      </c>
      <c r="L1427">
        <v>367.73180000000002</v>
      </c>
      <c r="M1427">
        <v>0.99967289999999998</v>
      </c>
      <c r="N1427">
        <v>-1.372773E-2</v>
      </c>
      <c r="O1427">
        <v>-2.1577889999999999E-2</v>
      </c>
      <c r="P1427">
        <v>0.93720999999999999</v>
      </c>
      <c r="Q1427">
        <v>0.30765969999999998</v>
      </c>
      <c r="R1427">
        <v>-0.164264299999999</v>
      </c>
      <c r="S1427">
        <v>3.159958</v>
      </c>
      <c r="T1427">
        <v>-0.38964460000000001</v>
      </c>
      <c r="U1427">
        <v>-0.96850590000000003</v>
      </c>
      <c r="V1427">
        <v>0.14505119999999999</v>
      </c>
      <c r="W1427">
        <v>0.32006839999999998</v>
      </c>
      <c r="X1427">
        <v>0.93622450000000002</v>
      </c>
      <c r="Y1427">
        <v>0.27036100000000002</v>
      </c>
      <c r="Z1427">
        <v>-1.584112E-2</v>
      </c>
      <c r="AA1427">
        <v>0.9626287</v>
      </c>
      <c r="AB1427">
        <v>23</v>
      </c>
      <c r="AC1427">
        <v>8.8857999999999802</v>
      </c>
      <c r="AD1427">
        <v>-1.1094782685889999</v>
      </c>
      <c r="AE1427">
        <v>-2.7544000000000302</v>
      </c>
      <c r="AF1427">
        <v>2.52607461303722</v>
      </c>
      <c r="AG1427">
        <v>-1.1094782685889999</v>
      </c>
      <c r="AH1427">
        <v>8.8177530825814703</v>
      </c>
      <c r="AI1427">
        <v>96.896860019527907</v>
      </c>
      <c r="AJ1427">
        <v>74.014263135652101</v>
      </c>
      <c r="AK1427">
        <v>9.2393054070356104</v>
      </c>
      <c r="AL1427">
        <v>71.332937998282702</v>
      </c>
      <c r="AM1427">
        <v>81.193067827689205</v>
      </c>
      <c r="AN1427">
        <v>0.99999997285012399</v>
      </c>
    </row>
    <row r="1428" spans="1:40" x14ac:dyDescent="0.25">
      <c r="A1428" t="str">
        <f>"20190304164844118"</f>
        <v>20190304164844118</v>
      </c>
      <c r="B1428" t="str">
        <f>"1551689324107297"</f>
        <v>1551689324107297</v>
      </c>
      <c r="C1428" t="s">
        <v>40</v>
      </c>
      <c r="D1428">
        <v>4.8572379999999997</v>
      </c>
      <c r="E1428">
        <v>0.57284029999999997</v>
      </c>
      <c r="F1428" t="s">
        <v>44</v>
      </c>
      <c r="G1428">
        <v>-207.7235</v>
      </c>
      <c r="H1428" s="1">
        <v>-5.2478360000000001E-6</v>
      </c>
      <c r="I1428">
        <v>364.97579999999999</v>
      </c>
      <c r="J1428">
        <v>-216.5521</v>
      </c>
      <c r="K1428">
        <v>1.1094299999999999</v>
      </c>
      <c r="L1428">
        <v>367.72800000000001</v>
      </c>
      <c r="M1428">
        <v>0.99964750000000002</v>
      </c>
      <c r="N1428">
        <v>-1.372861E-2</v>
      </c>
      <c r="O1428">
        <v>-2.2729340000000001E-2</v>
      </c>
      <c r="P1428">
        <v>0.93714949999999997</v>
      </c>
      <c r="Q1428">
        <v>0.30736190000000002</v>
      </c>
      <c r="R1428">
        <v>-0.1651648</v>
      </c>
      <c r="S1428">
        <v>3.1590419999999999</v>
      </c>
      <c r="T1428">
        <v>-0.39167109999999999</v>
      </c>
      <c r="U1428">
        <v>-0.97293090000000004</v>
      </c>
      <c r="V1428">
        <v>0.14490600000000001</v>
      </c>
      <c r="W1428">
        <v>0.31975710000000002</v>
      </c>
      <c r="X1428">
        <v>0.9363534</v>
      </c>
      <c r="Y1428">
        <v>0.27054859999999997</v>
      </c>
      <c r="Z1428">
        <v>-1.5802489999999999E-2</v>
      </c>
      <c r="AA1428">
        <v>0.9625766</v>
      </c>
      <c r="AB1428">
        <v>23</v>
      </c>
      <c r="AC1428">
        <v>8.8285999999999891</v>
      </c>
      <c r="AD1428">
        <v>-1.1094352478359999</v>
      </c>
      <c r="AE1428">
        <v>-2.75220000000001</v>
      </c>
      <c r="AF1428">
        <v>2.5146096735802801</v>
      </c>
      <c r="AG1428">
        <v>-1.1094352478359999</v>
      </c>
      <c r="AH1428">
        <v>8.7627605035030403</v>
      </c>
      <c r="AI1428">
        <v>96.938564413681704</v>
      </c>
      <c r="AJ1428">
        <v>73.988348907794204</v>
      </c>
      <c r="AK1428">
        <v>9.1836855358487401</v>
      </c>
      <c r="AL1428">
        <v>71.351764438635698</v>
      </c>
      <c r="AM1428">
        <v>81.202938026979993</v>
      </c>
      <c r="AN1428">
        <v>1.0000000207639801</v>
      </c>
    </row>
    <row r="1429" spans="1:40" x14ac:dyDescent="0.25">
      <c r="A1429" t="str">
        <f>"20190304164844128"</f>
        <v>20190304164844128</v>
      </c>
      <c r="B1429" t="str">
        <f>"1551689324118033"</f>
        <v>1551689324118033</v>
      </c>
      <c r="C1429" t="s">
        <v>40</v>
      </c>
      <c r="D1429">
        <v>4.8623029999999998</v>
      </c>
      <c r="E1429">
        <v>0.57306219999999997</v>
      </c>
      <c r="F1429" t="s">
        <v>44</v>
      </c>
      <c r="G1429">
        <v>-207.65129999999999</v>
      </c>
      <c r="H1429" s="1">
        <v>-5.2203379999999996E-6</v>
      </c>
      <c r="I1429">
        <v>364.96929999999998</v>
      </c>
      <c r="J1429">
        <v>-216.4383</v>
      </c>
      <c r="K1429">
        <v>1.109383</v>
      </c>
      <c r="L1429">
        <v>367.7242</v>
      </c>
      <c r="M1429">
        <v>0.99962070000000003</v>
      </c>
      <c r="N1429">
        <v>-1.3729679999999999E-2</v>
      </c>
      <c r="O1429">
        <v>-2.387744E-2</v>
      </c>
      <c r="P1429">
        <v>0.93689259999999996</v>
      </c>
      <c r="Q1429">
        <v>0.30756460000000002</v>
      </c>
      <c r="R1429">
        <v>-0.1662429</v>
      </c>
      <c r="S1429">
        <v>3.1577760000000001</v>
      </c>
      <c r="T1429">
        <v>-0.39359919999999998</v>
      </c>
      <c r="U1429">
        <v>-0.97872919999999997</v>
      </c>
      <c r="V1429">
        <v>0.14494670000000001</v>
      </c>
      <c r="W1429">
        <v>0.31994280000000003</v>
      </c>
      <c r="X1429">
        <v>0.93628359999999999</v>
      </c>
      <c r="Y1429">
        <v>0.27114870000000002</v>
      </c>
      <c r="Z1429">
        <v>-1.5788179999999999E-2</v>
      </c>
      <c r="AA1429">
        <v>0.96240789999999998</v>
      </c>
      <c r="AB1429">
        <v>23</v>
      </c>
      <c r="AC1429">
        <v>8.7870000000000008</v>
      </c>
      <c r="AD1429">
        <v>-1.1093882203380001</v>
      </c>
      <c r="AE1429">
        <v>-2.7549000000000201</v>
      </c>
      <c r="AF1429">
        <v>2.5078858243733699</v>
      </c>
      <c r="AG1429">
        <v>-1.1093882203380001</v>
      </c>
      <c r="AH1429">
        <v>8.7236709746758301</v>
      </c>
      <c r="AI1429">
        <v>96.9681144782475</v>
      </c>
      <c r="AJ1429">
        <v>73.961085448590296</v>
      </c>
      <c r="AK1429">
        <v>9.1445431163027102</v>
      </c>
      <c r="AL1429">
        <v>71.340533525510907</v>
      </c>
      <c r="AM1429">
        <v>81.199860110842593</v>
      </c>
      <c r="AN1429">
        <v>0.99999996037084404</v>
      </c>
    </row>
    <row r="1430" spans="1:40" x14ac:dyDescent="0.25">
      <c r="A1430" t="str">
        <f>"20190304164844140"</f>
        <v>20190304164844140</v>
      </c>
      <c r="B1430" t="str">
        <f>"1551689324127793"</f>
        <v>1551689324127793</v>
      </c>
      <c r="C1430" t="s">
        <v>40</v>
      </c>
      <c r="D1430">
        <v>4.837421</v>
      </c>
      <c r="E1430">
        <v>0.57328639999999997</v>
      </c>
      <c r="F1430" t="s">
        <v>44</v>
      </c>
      <c r="G1430">
        <v>-207.55340000000001</v>
      </c>
      <c r="H1430" s="1">
        <v>-5.1781849999999996E-6</v>
      </c>
      <c r="I1430">
        <v>364.95370000000003</v>
      </c>
      <c r="J1430">
        <v>-216.32810000000001</v>
      </c>
      <c r="K1430">
        <v>1.1093390000000001</v>
      </c>
      <c r="L1430">
        <v>367.72030000000001</v>
      </c>
      <c r="M1430">
        <v>0.9995927</v>
      </c>
      <c r="N1430">
        <v>-1.373076E-2</v>
      </c>
      <c r="O1430">
        <v>-2.501716E-2</v>
      </c>
      <c r="P1430">
        <v>0.93665989999999999</v>
      </c>
      <c r="Q1430">
        <v>0.30763239999999997</v>
      </c>
      <c r="R1430">
        <v>-0.16742309999999999</v>
      </c>
      <c r="S1430">
        <v>3.1568299999999998</v>
      </c>
      <c r="T1430">
        <v>-0.39417000000000002</v>
      </c>
      <c r="U1430">
        <v>-0.98434449999999996</v>
      </c>
      <c r="V1430">
        <v>0.14509549999999999</v>
      </c>
      <c r="W1430">
        <v>0.31999480000000002</v>
      </c>
      <c r="X1430">
        <v>0.93624280000000004</v>
      </c>
      <c r="Y1430">
        <v>0.27169130000000002</v>
      </c>
      <c r="Z1430">
        <v>-1.572256E-2</v>
      </c>
      <c r="AA1430">
        <v>0.962256</v>
      </c>
      <c r="AB1430">
        <v>23</v>
      </c>
      <c r="AC1430">
        <v>8.7746999999999904</v>
      </c>
      <c r="AD1430">
        <v>-1.10934417818499</v>
      </c>
      <c r="AE1430">
        <v>-2.76659999999998</v>
      </c>
      <c r="AF1430">
        <v>2.5097087051109299</v>
      </c>
      <c r="AG1430">
        <v>-1.10934417818499</v>
      </c>
      <c r="AH1430">
        <v>8.7144799514532298</v>
      </c>
      <c r="AI1430">
        <v>96.974176784143395</v>
      </c>
      <c r="AJ1430">
        <v>73.933972971770302</v>
      </c>
      <c r="AK1430">
        <v>9.1362707443717408</v>
      </c>
      <c r="AL1430">
        <v>71.337389169651104</v>
      </c>
      <c r="AM1430">
        <v>81.190589786162604</v>
      </c>
      <c r="AN1430">
        <v>0.999999978349564</v>
      </c>
    </row>
    <row r="1431" spans="1:40" x14ac:dyDescent="0.25">
      <c r="A1431" t="str">
        <f>"20190304164844153"</f>
        <v>20190304164844153</v>
      </c>
      <c r="B1431" t="str">
        <f>"1551689324147313"</f>
        <v>1551689324147313</v>
      </c>
      <c r="C1431" t="s">
        <v>40</v>
      </c>
      <c r="D1431">
        <v>4.8600339999999997</v>
      </c>
      <c r="E1431">
        <v>0.57374890000000001</v>
      </c>
      <c r="F1431" t="s">
        <v>44</v>
      </c>
      <c r="G1431">
        <v>-207.46180000000001</v>
      </c>
      <c r="H1431" s="1">
        <v>-5.1394560000000001E-6</v>
      </c>
      <c r="I1431">
        <v>364.9359</v>
      </c>
      <c r="J1431">
        <v>-216.1944</v>
      </c>
      <c r="K1431">
        <v>1.1092869999999999</v>
      </c>
      <c r="L1431">
        <v>367.71539999999999</v>
      </c>
      <c r="M1431">
        <v>0.99955590000000005</v>
      </c>
      <c r="N1431">
        <v>-1.373216E-2</v>
      </c>
      <c r="O1431">
        <v>-2.6443640000000001E-2</v>
      </c>
      <c r="P1431">
        <v>0.93642159999999997</v>
      </c>
      <c r="Q1431">
        <v>0.3076526</v>
      </c>
      <c r="R1431">
        <v>-0.16871349999999999</v>
      </c>
      <c r="S1431">
        <v>3.1554259999999998</v>
      </c>
      <c r="T1431">
        <v>-0.39480480000000001</v>
      </c>
      <c r="U1431">
        <v>-0.99093629999999999</v>
      </c>
      <c r="V1431">
        <v>0.1450912</v>
      </c>
      <c r="W1431">
        <v>0.31999749999999999</v>
      </c>
      <c r="X1431">
        <v>0.93624260000000004</v>
      </c>
      <c r="Y1431">
        <v>0.27226850000000002</v>
      </c>
      <c r="Z1431">
        <v>-1.5631519999999999E-2</v>
      </c>
      <c r="AA1431">
        <v>0.96209429999999996</v>
      </c>
      <c r="AB1431">
        <v>23</v>
      </c>
      <c r="AC1431">
        <v>8.7325999999999908</v>
      </c>
      <c r="AD1431">
        <v>-1.109292139456</v>
      </c>
      <c r="AE1431">
        <v>-2.7794999999999801</v>
      </c>
      <c r="AF1431">
        <v>2.5107962309821601</v>
      </c>
      <c r="AG1431">
        <v>-1.109292139456</v>
      </c>
      <c r="AH1431">
        <v>8.6759332938941505</v>
      </c>
      <c r="AI1431">
        <v>97.001934296876101</v>
      </c>
      <c r="AJ1431">
        <v>73.859671629197905</v>
      </c>
      <c r="AK1431">
        <v>9.0998046838530602</v>
      </c>
      <c r="AL1431">
        <v>71.337226907922798</v>
      </c>
      <c r="AM1431">
        <v>81.190844911574203</v>
      </c>
      <c r="AN1431">
        <v>1.0000000311892201</v>
      </c>
    </row>
    <row r="1432" spans="1:40" x14ac:dyDescent="0.25">
      <c r="A1432" t="str">
        <f>"20190304164844165"</f>
        <v>20190304164844165</v>
      </c>
      <c r="B1432" t="str">
        <f>"1551689324158050"</f>
        <v>1551689324158050</v>
      </c>
      <c r="C1432" t="s">
        <v>40</v>
      </c>
      <c r="D1432">
        <v>4.8511110000000004</v>
      </c>
      <c r="E1432">
        <v>0.57396320000000001</v>
      </c>
      <c r="F1432" t="s">
        <v>44</v>
      </c>
      <c r="G1432">
        <v>-207.3631</v>
      </c>
      <c r="H1432" s="1">
        <v>-5.0980409999999998E-6</v>
      </c>
      <c r="I1432">
        <v>364.9153</v>
      </c>
      <c r="J1432">
        <v>-216.06979999999999</v>
      </c>
      <c r="K1432">
        <v>1.1092390000000001</v>
      </c>
      <c r="L1432">
        <v>367.7106</v>
      </c>
      <c r="M1432">
        <v>0.99951840000000003</v>
      </c>
      <c r="N1432">
        <v>-1.373361E-2</v>
      </c>
      <c r="O1432">
        <v>-2.7832699999999998E-2</v>
      </c>
      <c r="P1432">
        <v>0.93618570000000001</v>
      </c>
      <c r="Q1432">
        <v>0.3075368</v>
      </c>
      <c r="R1432">
        <v>-0.1702285</v>
      </c>
      <c r="S1432">
        <v>3.1536559999999998</v>
      </c>
      <c r="T1432">
        <v>-0.39612760000000002</v>
      </c>
      <c r="U1432">
        <v>-0.99990840000000003</v>
      </c>
      <c r="V1432">
        <v>0.1453422</v>
      </c>
      <c r="W1432">
        <v>0.31986560000000003</v>
      </c>
      <c r="X1432">
        <v>0.93624870000000004</v>
      </c>
      <c r="Y1432">
        <v>0.27356039999999998</v>
      </c>
      <c r="Z1432">
        <v>-1.5615840000000001E-2</v>
      </c>
      <c r="AA1432">
        <v>0.96172800000000003</v>
      </c>
      <c r="AB1432">
        <v>23</v>
      </c>
      <c r="AC1432">
        <v>8.7066999999999801</v>
      </c>
      <c r="AD1432">
        <v>-1.1092440980410001</v>
      </c>
      <c r="AE1432">
        <v>-2.7952999999999899</v>
      </c>
      <c r="AF1432">
        <v>2.5148584755635</v>
      </c>
      <c r="AG1432">
        <v>-1.1092440980410001</v>
      </c>
      <c r="AH1432">
        <v>8.6537990097945396</v>
      </c>
      <c r="AI1432">
        <v>97.017115768896403</v>
      </c>
      <c r="AJ1432">
        <v>73.795741781324296</v>
      </c>
      <c r="AK1432">
        <v>9.0798222957871406</v>
      </c>
      <c r="AL1432">
        <v>71.3452027191355</v>
      </c>
      <c r="AM1432">
        <v>81.175901768227007</v>
      </c>
      <c r="AN1432">
        <v>0.99999999270794504</v>
      </c>
    </row>
    <row r="1433" spans="1:40" x14ac:dyDescent="0.25">
      <c r="A1433" t="str">
        <f>"20190304164844181"</f>
        <v>20190304164844181</v>
      </c>
      <c r="B1433" t="str">
        <f>"1551689324167809"</f>
        <v>1551689324167809</v>
      </c>
      <c r="C1433" t="s">
        <v>40</v>
      </c>
      <c r="D1433">
        <v>4.8510749999999998</v>
      </c>
      <c r="E1433">
        <v>0.5741714</v>
      </c>
      <c r="F1433" t="s">
        <v>44</v>
      </c>
      <c r="G1433">
        <v>-207.2689</v>
      </c>
      <c r="H1433" s="1">
        <v>-5.057987E-6</v>
      </c>
      <c r="I1433">
        <v>364.89800000000002</v>
      </c>
      <c r="J1433">
        <v>-215.93379999999999</v>
      </c>
      <c r="K1433">
        <v>1.109181</v>
      </c>
      <c r="L1433">
        <v>367.70510000000002</v>
      </c>
      <c r="M1433">
        <v>0.99947390000000003</v>
      </c>
      <c r="N1433">
        <v>-1.373517E-2</v>
      </c>
      <c r="O1433">
        <v>-2.9383610000000001E-2</v>
      </c>
      <c r="P1433">
        <v>0.93575730000000001</v>
      </c>
      <c r="Q1433">
        <v>0.30741400000000002</v>
      </c>
      <c r="R1433">
        <v>-0.17278679999999999</v>
      </c>
      <c r="S1433">
        <v>3.1518250000000001</v>
      </c>
      <c r="T1433">
        <v>-0.39724520000000002</v>
      </c>
      <c r="U1433">
        <v>-1.007263</v>
      </c>
      <c r="V1433">
        <v>0.14649229999999899</v>
      </c>
      <c r="W1433">
        <v>0.31971919999999998</v>
      </c>
      <c r="X1433">
        <v>0.93611940000000005</v>
      </c>
      <c r="Y1433">
        <v>0.27425949999999999</v>
      </c>
      <c r="Z1433">
        <v>-1.5535770000000001E-2</v>
      </c>
      <c r="AA1433">
        <v>0.9615302</v>
      </c>
      <c r="AB1433">
        <v>23</v>
      </c>
      <c r="AC1433">
        <v>8.6648999999999798</v>
      </c>
      <c r="AD1433">
        <v>-1.1091860579870001</v>
      </c>
      <c r="AE1433">
        <v>-2.8070999999999899</v>
      </c>
      <c r="AF1433">
        <v>2.51397561494379</v>
      </c>
      <c r="AG1433">
        <v>-1.1091860579870001</v>
      </c>
      <c r="AH1433">
        <v>8.6158757217116992</v>
      </c>
      <c r="AI1433">
        <v>97.045123819797993</v>
      </c>
      <c r="AJ1433">
        <v>73.7335941224854</v>
      </c>
      <c r="AK1433">
        <v>9.0434330624904806</v>
      </c>
      <c r="AL1433">
        <v>71.354054808635993</v>
      </c>
      <c r="AM1433">
        <v>81.105979301113393</v>
      </c>
      <c r="AN1433">
        <v>0.99999994593214303</v>
      </c>
    </row>
    <row r="1434" spans="1:40" x14ac:dyDescent="0.25">
      <c r="A1434" t="str">
        <f>"20190304164844196"</f>
        <v>20190304164844196</v>
      </c>
      <c r="B1434" t="str">
        <f>"1551689324187330"</f>
        <v>1551689324187330</v>
      </c>
      <c r="C1434" t="s">
        <v>40</v>
      </c>
      <c r="D1434">
        <v>4.8596899999999996</v>
      </c>
      <c r="E1434">
        <v>0.57456409999999902</v>
      </c>
      <c r="F1434" t="s">
        <v>44</v>
      </c>
      <c r="G1434">
        <v>-207.16839999999999</v>
      </c>
      <c r="H1434" s="1">
        <v>-5.017161E-6</v>
      </c>
      <c r="I1434">
        <v>364.87099999999998</v>
      </c>
      <c r="J1434">
        <v>-215.75800000000001</v>
      </c>
      <c r="K1434">
        <v>1.109118</v>
      </c>
      <c r="L1434">
        <v>367.6977</v>
      </c>
      <c r="M1434">
        <v>0.99941049999999998</v>
      </c>
      <c r="N1434">
        <v>-1.373723E-2</v>
      </c>
      <c r="O1434">
        <v>-3.1465300000000002E-2</v>
      </c>
      <c r="P1434">
        <v>0.93518029999999996</v>
      </c>
      <c r="Q1434">
        <v>0.30753370000000002</v>
      </c>
      <c r="R1434">
        <v>-0.17567189999999999</v>
      </c>
      <c r="S1434">
        <v>3.1488649999999998</v>
      </c>
      <c r="T1434">
        <v>-0.39846320000000002</v>
      </c>
      <c r="U1434">
        <v>-1.018127</v>
      </c>
      <c r="V1434">
        <v>0.14748699999999901</v>
      </c>
      <c r="W1434">
        <v>0.31981090000000001</v>
      </c>
      <c r="X1434">
        <v>0.93593190000000004</v>
      </c>
      <c r="Y1434">
        <v>0.27551550000000002</v>
      </c>
      <c r="Z1434">
        <v>-1.544096E-2</v>
      </c>
      <c r="AA1434">
        <v>0.96117260000000004</v>
      </c>
      <c r="AB1434">
        <v>23</v>
      </c>
      <c r="AC1434">
        <v>8.5895999999999901</v>
      </c>
      <c r="AD1434">
        <v>-1.109123017161</v>
      </c>
      <c r="AE1434">
        <v>-2.82670000000001</v>
      </c>
      <c r="AF1434">
        <v>2.5171329947655199</v>
      </c>
      <c r="AG1434">
        <v>-1.109123017161</v>
      </c>
      <c r="AH1434">
        <v>8.5457369688216502</v>
      </c>
      <c r="AI1434">
        <v>97.096714826016694</v>
      </c>
      <c r="AJ1434">
        <v>73.587747947886896</v>
      </c>
      <c r="AK1434">
        <v>8.9775126132363994</v>
      </c>
      <c r="AL1434">
        <v>71.348510193326504</v>
      </c>
      <c r="AM1434">
        <v>81.044798372516496</v>
      </c>
      <c r="AN1434">
        <v>0.99999997418270903</v>
      </c>
    </row>
    <row r="1435" spans="1:40" x14ac:dyDescent="0.25">
      <c r="A1435" t="str">
        <f>"20190304164844208"</f>
        <v>20190304164844208</v>
      </c>
      <c r="B1435" t="str">
        <f>"1551689324198066"</f>
        <v>1551689324198066</v>
      </c>
      <c r="C1435" t="s">
        <v>40</v>
      </c>
      <c r="D1435">
        <v>4.9211619999999998</v>
      </c>
      <c r="E1435">
        <v>0.57475080000000001</v>
      </c>
      <c r="F1435" t="s">
        <v>44</v>
      </c>
      <c r="G1435">
        <v>-207.0325</v>
      </c>
      <c r="H1435" s="1">
        <v>-4.9611459999999998E-6</v>
      </c>
      <c r="I1435">
        <v>364.8381</v>
      </c>
      <c r="J1435">
        <v>-215.625</v>
      </c>
      <c r="K1435">
        <v>1.1090770000000001</v>
      </c>
      <c r="L1435">
        <v>367.69170000000003</v>
      </c>
      <c r="M1435">
        <v>0.99935759999999996</v>
      </c>
      <c r="N1435">
        <v>-1.3738820000000001E-2</v>
      </c>
      <c r="O1435">
        <v>-3.3104420000000002E-2</v>
      </c>
      <c r="P1435">
        <v>0.93479789999999996</v>
      </c>
      <c r="Q1435">
        <v>0.30739319999999998</v>
      </c>
      <c r="R1435">
        <v>-0.1779414</v>
      </c>
      <c r="S1435">
        <v>3.1457670000000002</v>
      </c>
      <c r="T1435">
        <v>-0.3998679</v>
      </c>
      <c r="U1435">
        <v>-1.030945</v>
      </c>
      <c r="V1435">
        <v>0.14826039999999999</v>
      </c>
      <c r="W1435">
        <v>0.31965139999999997</v>
      </c>
      <c r="X1435">
        <v>0.93586420000000003</v>
      </c>
      <c r="Y1435">
        <v>0.27773439999999999</v>
      </c>
      <c r="Z1435">
        <v>-1.5465110000000001E-2</v>
      </c>
      <c r="AA1435">
        <v>0.96053339999999998</v>
      </c>
      <c r="AB1435">
        <v>23</v>
      </c>
      <c r="AC1435">
        <v>8.5924999999999994</v>
      </c>
      <c r="AD1435">
        <v>-1.1090819611460001</v>
      </c>
      <c r="AE1435">
        <v>-2.8536000000000201</v>
      </c>
      <c r="AF1435">
        <v>2.5296011540550398</v>
      </c>
      <c r="AG1435">
        <v>-1.1090819611460001</v>
      </c>
      <c r="AH1435">
        <v>8.55390947521113</v>
      </c>
      <c r="AI1435">
        <v>97.087503289323095</v>
      </c>
      <c r="AJ1435">
        <v>73.525757368099306</v>
      </c>
      <c r="AK1435">
        <v>8.9887881332937702</v>
      </c>
      <c r="AL1435">
        <v>71.358155307195602</v>
      </c>
      <c r="AM1435">
        <v>80.9979650640675</v>
      </c>
      <c r="AN1435">
        <v>0.99999998228587905</v>
      </c>
    </row>
    <row r="1436" spans="1:40" x14ac:dyDescent="0.25">
      <c r="A1436" t="str">
        <f>"20190304164844223"</f>
        <v>20190304164844223</v>
      </c>
      <c r="B1436" t="str">
        <f>"1551689324217588"</f>
        <v>1551689324217588</v>
      </c>
      <c r="C1436" t="s">
        <v>40</v>
      </c>
      <c r="D1436">
        <v>4.9332399999999996</v>
      </c>
      <c r="E1436">
        <v>0.57508930000000003</v>
      </c>
      <c r="F1436" t="s">
        <v>44</v>
      </c>
      <c r="G1436">
        <v>-206.9324</v>
      </c>
      <c r="H1436" s="1">
        <v>-4.9196310000000001E-6</v>
      </c>
      <c r="I1436">
        <v>364.8152</v>
      </c>
      <c r="J1436">
        <v>-215.4803</v>
      </c>
      <c r="K1436">
        <v>1.109038</v>
      </c>
      <c r="L1436">
        <v>367.6848</v>
      </c>
      <c r="M1436">
        <v>0.99929559999999995</v>
      </c>
      <c r="N1436">
        <v>-1.3740489999999999E-2</v>
      </c>
      <c r="O1436">
        <v>-3.4924150000000001E-2</v>
      </c>
      <c r="P1436">
        <v>0.93404670000000001</v>
      </c>
      <c r="Q1436">
        <v>0.30763479999999999</v>
      </c>
      <c r="R1436">
        <v>-0.18143419999999999</v>
      </c>
      <c r="S1436">
        <v>3.1431119999999999</v>
      </c>
      <c r="T1436">
        <v>-0.40103109999999997</v>
      </c>
      <c r="U1436">
        <v>-1.0401</v>
      </c>
      <c r="V1436">
        <v>0.15010179999999901</v>
      </c>
      <c r="W1436">
        <v>0.31986500000000001</v>
      </c>
      <c r="X1436">
        <v>0.93549760000000004</v>
      </c>
      <c r="Y1436">
        <v>0.2787405</v>
      </c>
      <c r="Z1436">
        <v>-1.5377729999999999E-2</v>
      </c>
      <c r="AA1436">
        <v>0.96024330000000002</v>
      </c>
      <c r="AB1436">
        <v>23</v>
      </c>
      <c r="AC1436">
        <v>8.5478999999999896</v>
      </c>
      <c r="AD1436">
        <v>-1.1090429196310001</v>
      </c>
      <c r="AE1436">
        <v>-2.8695999999999899</v>
      </c>
      <c r="AF1436">
        <v>2.5310022076262699</v>
      </c>
      <c r="AG1436">
        <v>-1.1090429196310001</v>
      </c>
      <c r="AH1436">
        <v>8.5141054992756899</v>
      </c>
      <c r="AI1436">
        <v>97.117079732232696</v>
      </c>
      <c r="AJ1436">
        <v>73.444278673233995</v>
      </c>
      <c r="AK1436">
        <v>8.9513094475271693</v>
      </c>
      <c r="AL1436">
        <v>71.345238449413799</v>
      </c>
      <c r="AM1436">
        <v>80.8845130638569</v>
      </c>
      <c r="AN1436">
        <v>0.99999996409699898</v>
      </c>
    </row>
    <row r="1437" spans="1:40" x14ac:dyDescent="0.25">
      <c r="A1437" t="str">
        <f>"20190304164844235"</f>
        <v>20190304164844235</v>
      </c>
      <c r="B1437" t="str">
        <f>"1551689324227345"</f>
        <v>1551689324227345</v>
      </c>
      <c r="C1437" t="s">
        <v>40</v>
      </c>
      <c r="D1437">
        <v>4.8648449999999999</v>
      </c>
      <c r="E1437">
        <v>0.57526529999999998</v>
      </c>
      <c r="F1437" t="s">
        <v>44</v>
      </c>
      <c r="G1437">
        <v>-206.8115</v>
      </c>
      <c r="H1437" s="1">
        <v>-4.8729929999999998E-6</v>
      </c>
      <c r="I1437">
        <v>364.77140000000003</v>
      </c>
      <c r="J1437">
        <v>-215.36359999999999</v>
      </c>
      <c r="K1437">
        <v>1.1090040000000001</v>
      </c>
      <c r="L1437">
        <v>367.67919999999998</v>
      </c>
      <c r="M1437">
        <v>0.99924230000000003</v>
      </c>
      <c r="N1437">
        <v>-1.374178E-2</v>
      </c>
      <c r="O1437">
        <v>-3.6412840000000002E-2</v>
      </c>
      <c r="P1437">
        <v>0.93366700000000002</v>
      </c>
      <c r="Q1437">
        <v>0.3074268</v>
      </c>
      <c r="R1437">
        <v>-0.18372530000000001</v>
      </c>
      <c r="S1437">
        <v>3.1391749999999998</v>
      </c>
      <c r="T1437">
        <v>-0.40161069999999999</v>
      </c>
      <c r="U1437">
        <v>-1.055023</v>
      </c>
      <c r="V1437">
        <v>0.1510311</v>
      </c>
      <c r="W1437">
        <v>0.31964049999999999</v>
      </c>
      <c r="X1437">
        <v>0.93542479999999995</v>
      </c>
      <c r="Y1437">
        <v>0.28175329999999998</v>
      </c>
      <c r="Z1437">
        <v>-1.544774E-2</v>
      </c>
      <c r="AA1437">
        <v>0.95936250000000001</v>
      </c>
      <c r="AB1437">
        <v>23</v>
      </c>
      <c r="AC1437">
        <v>8.5520999999999905</v>
      </c>
      <c r="AD1437">
        <v>-1.1090088729930001</v>
      </c>
      <c r="AE1437">
        <v>-2.9077999999999502</v>
      </c>
      <c r="AF1437">
        <v>2.5559091786614001</v>
      </c>
      <c r="AG1437">
        <v>-1.1090088729930001</v>
      </c>
      <c r="AH1437">
        <v>8.5238349168826009</v>
      </c>
      <c r="AI1437">
        <v>97.103843395137105</v>
      </c>
      <c r="AJ1437">
        <v>73.308410921313495</v>
      </c>
      <c r="AK1437">
        <v>8.9676270049668005</v>
      </c>
      <c r="AL1437">
        <v>71.358814741048604</v>
      </c>
      <c r="AM1437">
        <v>80.828332405852194</v>
      </c>
      <c r="AN1437">
        <v>0.99999999943124995</v>
      </c>
    </row>
    <row r="1438" spans="1:40" x14ac:dyDescent="0.25">
      <c r="A1438" t="str">
        <f>"20190304164844247"</f>
        <v>20190304164844247</v>
      </c>
      <c r="B1438" t="str">
        <f>"1551689324237105"</f>
        <v>1551689324237105</v>
      </c>
      <c r="C1438" t="s">
        <v>40</v>
      </c>
      <c r="D1438">
        <v>4.8533379999999999</v>
      </c>
      <c r="E1438">
        <v>0.57544150000000005</v>
      </c>
      <c r="F1438" t="s">
        <v>44</v>
      </c>
      <c r="G1438">
        <v>-206.73349999999999</v>
      </c>
      <c r="H1438" s="1">
        <v>-4.841655E-6</v>
      </c>
      <c r="I1438">
        <v>364.74880000000002</v>
      </c>
      <c r="J1438">
        <v>-215.2379</v>
      </c>
      <c r="K1438">
        <v>1.1089739999999999</v>
      </c>
      <c r="L1438">
        <v>367.6728</v>
      </c>
      <c r="M1438">
        <v>0.99918059999999997</v>
      </c>
      <c r="N1438">
        <v>-1.374322E-2</v>
      </c>
      <c r="O1438">
        <v>-3.8072120000000001E-2</v>
      </c>
      <c r="P1438">
        <v>0.93326339999999997</v>
      </c>
      <c r="Q1438">
        <v>0.30727490000000002</v>
      </c>
      <c r="R1438">
        <v>-0.18601599999999999</v>
      </c>
      <c r="S1438">
        <v>3.1362920000000001</v>
      </c>
      <c r="T1438">
        <v>-0.40302769999999999</v>
      </c>
      <c r="U1438">
        <v>-1.0649409999999999</v>
      </c>
      <c r="V1438">
        <v>0.1518012</v>
      </c>
      <c r="W1438">
        <v>0.31947300000000001</v>
      </c>
      <c r="X1438">
        <v>0.93535740000000001</v>
      </c>
      <c r="Y1438">
        <v>0.28313389999999999</v>
      </c>
      <c r="Z1438">
        <v>-1.541123E-2</v>
      </c>
      <c r="AA1438">
        <v>0.95895649999999999</v>
      </c>
      <c r="AB1438">
        <v>22</v>
      </c>
      <c r="AC1438">
        <v>8.5044000000000004</v>
      </c>
      <c r="AD1438">
        <v>-1.1089788416549999</v>
      </c>
      <c r="AE1438">
        <v>-2.9239999999999702</v>
      </c>
      <c r="AF1438">
        <v>2.5591523905742002</v>
      </c>
      <c r="AG1438">
        <v>-1.1089788416549999</v>
      </c>
      <c r="AH1438">
        <v>8.48060463709988</v>
      </c>
      <c r="AI1438">
        <v>97.135767779058199</v>
      </c>
      <c r="AJ1438">
        <v>73.208006864727395</v>
      </c>
      <c r="AK1438">
        <v>8.9274716488051702</v>
      </c>
      <c r="AL1438">
        <v>71.368943494432202</v>
      </c>
      <c r="AM1438">
        <v>80.781714505344397</v>
      </c>
      <c r="AN1438">
        <v>1.0000000338925901</v>
      </c>
    </row>
    <row r="1439" spans="1:40" x14ac:dyDescent="0.25">
      <c r="A1439" t="str">
        <f>"20190304164844260"</f>
        <v>20190304164844260</v>
      </c>
      <c r="B1439" t="str">
        <f>"1551689324247841"</f>
        <v>1551689324247841</v>
      </c>
      <c r="C1439" t="s">
        <v>40</v>
      </c>
      <c r="D1439">
        <v>4.8622319999999997</v>
      </c>
      <c r="E1439">
        <v>0.57561399999999996</v>
      </c>
      <c r="F1439" t="s">
        <v>44</v>
      </c>
      <c r="G1439">
        <v>-206.6439</v>
      </c>
      <c r="H1439" s="1">
        <v>-4.8050060000000003E-6</v>
      </c>
      <c r="I1439">
        <v>364.72590000000002</v>
      </c>
      <c r="J1439">
        <v>-215.1163</v>
      </c>
      <c r="K1439">
        <v>1.1089439999999999</v>
      </c>
      <c r="L1439">
        <v>367.66640000000001</v>
      </c>
      <c r="M1439">
        <v>0.99911740000000004</v>
      </c>
      <c r="N1439">
        <v>-1.3744559999999999E-2</v>
      </c>
      <c r="O1439">
        <v>-3.9697749999999997E-2</v>
      </c>
      <c r="P1439">
        <v>0.93281049999999999</v>
      </c>
      <c r="Q1439">
        <v>0.30720370000000002</v>
      </c>
      <c r="R1439">
        <v>-0.18839</v>
      </c>
      <c r="S1439">
        <v>3.1334689999999998</v>
      </c>
      <c r="T1439">
        <v>-0.40434350000000002</v>
      </c>
      <c r="U1439">
        <v>-1.0744629999999999</v>
      </c>
      <c r="V1439">
        <v>0.15268779999999901</v>
      </c>
      <c r="W1439">
        <v>0.31938480000000002</v>
      </c>
      <c r="X1439">
        <v>0.93524320000000005</v>
      </c>
      <c r="Y1439">
        <v>0.28443220000000002</v>
      </c>
      <c r="Z1439">
        <v>-1.536862E-2</v>
      </c>
      <c r="AA1439">
        <v>0.95857300000000001</v>
      </c>
      <c r="AB1439">
        <v>22</v>
      </c>
      <c r="AC1439">
        <v>8.4723999999999897</v>
      </c>
      <c r="AD1439">
        <v>-1.1089488050059999</v>
      </c>
      <c r="AE1439">
        <v>-2.9404999999999801</v>
      </c>
      <c r="AF1439">
        <v>2.5626314147160101</v>
      </c>
      <c r="AG1439">
        <v>-1.1089488050059999</v>
      </c>
      <c r="AH1439">
        <v>8.4532105920230993</v>
      </c>
      <c r="AI1439">
        <v>97.155733838628194</v>
      </c>
      <c r="AJ1439">
        <v>73.135067935661198</v>
      </c>
      <c r="AK1439">
        <v>8.9024500297898399</v>
      </c>
      <c r="AL1439">
        <v>71.374276274459902</v>
      </c>
      <c r="AM1439">
        <v>80.727694636429902</v>
      </c>
      <c r="AN1439">
        <v>1.00000002894305</v>
      </c>
    </row>
    <row r="1440" spans="1:40" x14ac:dyDescent="0.25">
      <c r="A1440" t="str">
        <f>"20190304164844280"</f>
        <v>20190304164844280</v>
      </c>
      <c r="B1440" t="str">
        <f>"1551689324267361"</f>
        <v>1551689324267361</v>
      </c>
      <c r="C1440" t="s">
        <v>40</v>
      </c>
      <c r="D1440">
        <v>4.7142280000000003</v>
      </c>
      <c r="E1440">
        <v>0.57606829999999998</v>
      </c>
      <c r="F1440" t="s">
        <v>44</v>
      </c>
      <c r="G1440">
        <v>-206.5531</v>
      </c>
      <c r="H1440" s="1">
        <v>-4.7683419999999996E-6</v>
      </c>
      <c r="I1440">
        <v>364.7004</v>
      </c>
      <c r="J1440">
        <v>-214.9204</v>
      </c>
      <c r="K1440">
        <v>1.1089020000000001</v>
      </c>
      <c r="L1440">
        <v>367.65559999999999</v>
      </c>
      <c r="M1440">
        <v>0.99900679999999997</v>
      </c>
      <c r="N1440">
        <v>-1.374682E-2</v>
      </c>
      <c r="O1440">
        <v>-4.238447E-2</v>
      </c>
      <c r="P1440">
        <v>0.93183400000000005</v>
      </c>
      <c r="Q1440">
        <v>0.30777409999999999</v>
      </c>
      <c r="R1440">
        <v>-0.1922517</v>
      </c>
      <c r="S1440">
        <v>3.13063</v>
      </c>
      <c r="T1440">
        <v>-0.40541909999999998</v>
      </c>
      <c r="U1440">
        <v>-1.08432</v>
      </c>
      <c r="V1440">
        <v>0.15410199999999999</v>
      </c>
      <c r="W1440">
        <v>0.3199265</v>
      </c>
      <c r="X1440">
        <v>0.93482600000000005</v>
      </c>
      <c r="Y1440">
        <v>0.28482150000000001</v>
      </c>
      <c r="Z1440">
        <v>-1.513602E-2</v>
      </c>
      <c r="AA1440">
        <v>0.95846100000000001</v>
      </c>
      <c r="AB1440">
        <v>22</v>
      </c>
      <c r="AC1440">
        <v>8.3673000000000002</v>
      </c>
      <c r="AD1440">
        <v>-1.108906768342</v>
      </c>
      <c r="AE1440">
        <v>-2.9551999999999898</v>
      </c>
      <c r="AF1440">
        <v>2.5579224810914001</v>
      </c>
      <c r="AG1440">
        <v>-1.108906768342</v>
      </c>
      <c r="AH1440">
        <v>8.3545814659705506</v>
      </c>
      <c r="AI1440">
        <v>97.233029377563597</v>
      </c>
      <c r="AJ1440">
        <v>72.976981670281504</v>
      </c>
      <c r="AK1440">
        <v>8.8074782492882804</v>
      </c>
      <c r="AL1440">
        <v>71.341520431002706</v>
      </c>
      <c r="AM1440">
        <v>80.639224311061696</v>
      </c>
      <c r="AN1440">
        <v>1.00000002104112</v>
      </c>
    </row>
    <row r="1441" spans="1:40" x14ac:dyDescent="0.25">
      <c r="A1441" t="str">
        <f>"20190304164844291"</f>
        <v>20190304164844291</v>
      </c>
      <c r="B1441" t="str">
        <f>"1551689324287858"</f>
        <v>1551689324287858</v>
      </c>
      <c r="C1441" t="s">
        <v>40</v>
      </c>
      <c r="D1441">
        <v>4.9571589999999999</v>
      </c>
      <c r="E1441">
        <v>0.57635219999999998</v>
      </c>
      <c r="F1441" t="s">
        <v>44</v>
      </c>
      <c r="G1441">
        <v>-206.2706</v>
      </c>
      <c r="H1441" s="1">
        <v>-4.6579949999999998E-6</v>
      </c>
      <c r="I1441">
        <v>364.60480000000001</v>
      </c>
      <c r="J1441">
        <v>-214.79599999999999</v>
      </c>
      <c r="K1441">
        <v>1.1088750000000001</v>
      </c>
      <c r="L1441">
        <v>367.64839999999998</v>
      </c>
      <c r="M1441">
        <v>0.99893120000000002</v>
      </c>
      <c r="N1441">
        <v>-1.3748399999999999E-2</v>
      </c>
      <c r="O1441">
        <v>-4.413131E-2</v>
      </c>
      <c r="P1441">
        <v>0.93124379999999995</v>
      </c>
      <c r="Q1441">
        <v>0.30820209999999998</v>
      </c>
      <c r="R1441">
        <v>-0.19441310000000001</v>
      </c>
      <c r="S1441">
        <v>3.12439</v>
      </c>
      <c r="T1441">
        <v>-0.40054859999999998</v>
      </c>
      <c r="U1441">
        <v>-1.10199</v>
      </c>
      <c r="V1441">
        <v>0.1546719</v>
      </c>
      <c r="W1441">
        <v>0.32033810000000001</v>
      </c>
      <c r="X1441">
        <v>0.9345909</v>
      </c>
      <c r="Y1441">
        <v>0.28858889999999998</v>
      </c>
      <c r="Z1441">
        <v>-1.50682E-2</v>
      </c>
      <c r="AA1441">
        <v>0.95733449999999998</v>
      </c>
      <c r="AB1441">
        <v>22</v>
      </c>
      <c r="AC1441">
        <v>8.5253999999999905</v>
      </c>
      <c r="AD1441">
        <v>-1.108879657995</v>
      </c>
      <c r="AE1441">
        <v>-3.0435999999999601</v>
      </c>
      <c r="AF1441">
        <v>2.6249733597453502</v>
      </c>
      <c r="AG1441">
        <v>-1.108879657995</v>
      </c>
      <c r="AH1441">
        <v>8.5235261210478903</v>
      </c>
      <c r="AI1441">
        <v>97.087425754858003</v>
      </c>
      <c r="AJ1441">
        <v>72.882841871523794</v>
      </c>
      <c r="AK1441">
        <v>8.98724633975689</v>
      </c>
      <c r="AL1441">
        <v>71.316627472674696</v>
      </c>
      <c r="AM1441">
        <v>80.602901209246895</v>
      </c>
      <c r="AN1441">
        <v>1.00000002266201</v>
      </c>
    </row>
    <row r="1442" spans="1:40" x14ac:dyDescent="0.25">
      <c r="A1442" t="str">
        <f>"20190304164844303"</f>
        <v>20190304164844303</v>
      </c>
      <c r="B1442" t="str">
        <f>"1551689324297617"</f>
        <v>1551689324297617</v>
      </c>
      <c r="C1442" t="s">
        <v>40</v>
      </c>
      <c r="D1442">
        <v>4.9406639999999999</v>
      </c>
      <c r="E1442">
        <v>0.57648429999999995</v>
      </c>
      <c r="F1442" t="s">
        <v>44</v>
      </c>
      <c r="G1442">
        <v>-206.15369999999999</v>
      </c>
      <c r="H1442" s="1">
        <v>-4.61135999999999E-6</v>
      </c>
      <c r="I1442">
        <v>364.56939999999997</v>
      </c>
      <c r="J1442">
        <v>-214.6806</v>
      </c>
      <c r="K1442">
        <v>1.1088519999999999</v>
      </c>
      <c r="L1442">
        <v>367.64150000000001</v>
      </c>
      <c r="M1442">
        <v>0.99885699999999999</v>
      </c>
      <c r="N1442">
        <v>-1.3749880000000001E-2</v>
      </c>
      <c r="O1442">
        <v>-4.5780340000000003E-2</v>
      </c>
      <c r="P1442">
        <v>0.93069089999999999</v>
      </c>
      <c r="Q1442">
        <v>0.30838090000000001</v>
      </c>
      <c r="R1442">
        <v>-0.19676360000000001</v>
      </c>
      <c r="S1442">
        <v>3.1218720000000002</v>
      </c>
      <c r="T1442">
        <v>-0.40056170000000002</v>
      </c>
      <c r="U1442">
        <v>-1.112244</v>
      </c>
      <c r="V1442">
        <v>0.15551799999999999</v>
      </c>
      <c r="W1442">
        <v>0.32050070000000003</v>
      </c>
      <c r="X1442">
        <v>0.93439470000000002</v>
      </c>
      <c r="Y1442">
        <v>0.29004170000000001</v>
      </c>
      <c r="Z1442">
        <v>-1.499149E-2</v>
      </c>
      <c r="AA1442">
        <v>0.95689659999999999</v>
      </c>
      <c r="AB1442">
        <v>22</v>
      </c>
      <c r="AC1442">
        <v>8.5269000000000101</v>
      </c>
      <c r="AD1442">
        <v>-1.10885661136</v>
      </c>
      <c r="AE1442">
        <v>-3.07210000000003</v>
      </c>
      <c r="AF1442">
        <v>2.6389767975784499</v>
      </c>
      <c r="AG1442">
        <v>-1.10885661136</v>
      </c>
      <c r="AH1442">
        <v>8.5309218937748703</v>
      </c>
      <c r="AI1442">
        <v>97.078483610186595</v>
      </c>
      <c r="AJ1442">
        <v>72.810938739348202</v>
      </c>
      <c r="AK1442">
        <v>8.9983548429922209</v>
      </c>
      <c r="AL1442">
        <v>71.306792229642895</v>
      </c>
      <c r="AM1442">
        <v>80.550472643471693</v>
      </c>
      <c r="AN1442">
        <v>1.00000000120629</v>
      </c>
    </row>
    <row r="1443" spans="1:40" x14ac:dyDescent="0.25">
      <c r="A1443" t="str">
        <f>"20190304164844314"</f>
        <v>20190304164844314</v>
      </c>
      <c r="B1443" t="str">
        <f>"1551689324307377"</f>
        <v>1551689324307377</v>
      </c>
      <c r="C1443" t="s">
        <v>40</v>
      </c>
      <c r="D1443">
        <v>4.9412459999999996</v>
      </c>
      <c r="E1443">
        <v>0.57661409999999902</v>
      </c>
      <c r="F1443" t="s">
        <v>44</v>
      </c>
      <c r="G1443">
        <v>-206.0488</v>
      </c>
      <c r="H1443" s="1">
        <v>-4.5692339999999999E-6</v>
      </c>
      <c r="I1443">
        <v>364.53910000000002</v>
      </c>
      <c r="J1443">
        <v>-214.5694</v>
      </c>
      <c r="K1443">
        <v>1.108819</v>
      </c>
      <c r="L1443">
        <v>367.63470000000001</v>
      </c>
      <c r="M1443">
        <v>0.99878219999999995</v>
      </c>
      <c r="N1443">
        <v>-1.3751289999999999E-2</v>
      </c>
      <c r="O1443">
        <v>-4.7384509999999998E-2</v>
      </c>
      <c r="P1443">
        <v>0.93015930000000002</v>
      </c>
      <c r="Q1443">
        <v>0.30863740000000001</v>
      </c>
      <c r="R1443">
        <v>-0.19886429999999999</v>
      </c>
      <c r="S1443">
        <v>3.1191559999999998</v>
      </c>
      <c r="T1443">
        <v>-0.40069159999999998</v>
      </c>
      <c r="U1443">
        <v>-1.1210629999999999</v>
      </c>
      <c r="V1443">
        <v>0.1561565</v>
      </c>
      <c r="W1443">
        <v>0.32074279999999999</v>
      </c>
      <c r="X1443">
        <v>0.93420510000000001</v>
      </c>
      <c r="Y1443">
        <v>0.29116530000000002</v>
      </c>
      <c r="Z1443">
        <v>-1.4901950000000001E-2</v>
      </c>
      <c r="AA1443">
        <v>0.95655670000000004</v>
      </c>
      <c r="AB1443">
        <v>22</v>
      </c>
      <c r="AC1443">
        <v>8.5206</v>
      </c>
      <c r="AD1443">
        <v>-1.1088235692340001</v>
      </c>
      <c r="AE1443">
        <v>-3.0955999999999899</v>
      </c>
      <c r="AF1443">
        <v>2.6487139302306901</v>
      </c>
      <c r="AG1443">
        <v>-1.1088235692340001</v>
      </c>
      <c r="AH1443">
        <v>8.5301113144745901</v>
      </c>
      <c r="AI1443">
        <v>97.076620997353004</v>
      </c>
      <c r="AJ1443">
        <v>72.749730666321398</v>
      </c>
      <c r="AK1443">
        <v>9.0004430018313197</v>
      </c>
      <c r="AL1443">
        <v>71.292147440865094</v>
      </c>
      <c r="AM1443">
        <v>80.510489735151396</v>
      </c>
      <c r="AN1443">
        <v>0.99999998255504896</v>
      </c>
    </row>
    <row r="1444" spans="1:40" x14ac:dyDescent="0.25">
      <c r="A1444" t="str">
        <f>"20190304164844324"</f>
        <v>20190304164844324</v>
      </c>
      <c r="B1444" t="str">
        <f>"1551689324317137"</f>
        <v>1551689324317137</v>
      </c>
      <c r="C1444" t="s">
        <v>40</v>
      </c>
      <c r="D1444">
        <v>4.937271</v>
      </c>
      <c r="E1444">
        <v>0.576744699999999</v>
      </c>
      <c r="F1444" t="s">
        <v>44</v>
      </c>
      <c r="G1444">
        <v>-205.93860000000001</v>
      </c>
      <c r="H1444" s="1">
        <v>-4.5253420000000004E-6</v>
      </c>
      <c r="I1444">
        <v>364.50549999999998</v>
      </c>
      <c r="J1444">
        <v>-214.46019999999999</v>
      </c>
      <c r="K1444">
        <v>1.108795</v>
      </c>
      <c r="L1444">
        <v>367.6277</v>
      </c>
      <c r="M1444">
        <v>0.99870409999999998</v>
      </c>
      <c r="N1444">
        <v>-1.3752759999999999E-2</v>
      </c>
      <c r="O1444">
        <v>-4.8999330000000001E-2</v>
      </c>
      <c r="P1444">
        <v>0.92961879999999997</v>
      </c>
      <c r="Q1444">
        <v>0.30889179999999999</v>
      </c>
      <c r="R1444">
        <v>-0.2009843</v>
      </c>
      <c r="S1444">
        <v>3.1165310000000002</v>
      </c>
      <c r="T1444">
        <v>-0.40039229999999998</v>
      </c>
      <c r="U1444">
        <v>-1.1299440000000001</v>
      </c>
      <c r="V1444">
        <v>0.15680620000000001</v>
      </c>
      <c r="W1444">
        <v>0.32098209999999999</v>
      </c>
      <c r="X1444">
        <v>0.93401409999999996</v>
      </c>
      <c r="Y1444">
        <v>0.29228939999999998</v>
      </c>
      <c r="Z1444">
        <v>-1.4797889999999999E-2</v>
      </c>
      <c r="AA1444">
        <v>0.95621540000000005</v>
      </c>
      <c r="AB1444">
        <v>22</v>
      </c>
      <c r="AC1444">
        <v>8.5215999999999692</v>
      </c>
      <c r="AD1444">
        <v>-1.108799525342</v>
      </c>
      <c r="AE1444">
        <v>-3.1222000000000198</v>
      </c>
      <c r="AF1444">
        <v>2.66113520444003</v>
      </c>
      <c r="AG1444">
        <v>-1.108799525342</v>
      </c>
      <c r="AH1444">
        <v>8.5369352899367996</v>
      </c>
      <c r="AI1444">
        <v>97.068474226710606</v>
      </c>
      <c r="AJ1444">
        <v>72.686688448066207</v>
      </c>
      <c r="AK1444">
        <v>9.0105683010716398</v>
      </c>
      <c r="AL1444">
        <v>71.277671785874205</v>
      </c>
      <c r="AM1444">
        <v>80.469817687700299</v>
      </c>
      <c r="AN1444">
        <v>1.00000001593882</v>
      </c>
    </row>
    <row r="1445" spans="1:40" x14ac:dyDescent="0.25">
      <c r="A1445" t="str">
        <f>"20190304164844336"</f>
        <v>20190304164844336</v>
      </c>
      <c r="B1445" t="str">
        <f>"1551689324327873"</f>
        <v>1551689324327873</v>
      </c>
      <c r="C1445" t="s">
        <v>40</v>
      </c>
      <c r="D1445">
        <v>4.9484849999999998</v>
      </c>
      <c r="E1445">
        <v>0.57686440000000005</v>
      </c>
      <c r="F1445" t="s">
        <v>44</v>
      </c>
      <c r="G1445">
        <v>-205.83070000000001</v>
      </c>
      <c r="H1445" s="1">
        <v>-4.4821520000000004E-6</v>
      </c>
      <c r="I1445">
        <v>364.4735</v>
      </c>
      <c r="J1445">
        <v>-214.3425</v>
      </c>
      <c r="K1445">
        <v>1.1087670000000001</v>
      </c>
      <c r="L1445">
        <v>367.62009999999998</v>
      </c>
      <c r="M1445">
        <v>0.99861650000000002</v>
      </c>
      <c r="N1445">
        <v>-1.375431E-2</v>
      </c>
      <c r="O1445">
        <v>-5.075499E-2</v>
      </c>
      <c r="P1445">
        <v>0.92923259999999996</v>
      </c>
      <c r="Q1445">
        <v>0.30874629999999997</v>
      </c>
      <c r="R1445">
        <v>-0.20298430000000001</v>
      </c>
      <c r="S1445">
        <v>3.1139830000000002</v>
      </c>
      <c r="T1445">
        <v>-0.4001111</v>
      </c>
      <c r="U1445">
        <v>-1.1381840000000001</v>
      </c>
      <c r="V1445">
        <v>0.15719710000000001</v>
      </c>
      <c r="W1445">
        <v>0.3208241</v>
      </c>
      <c r="X1445">
        <v>0.93400260000000002</v>
      </c>
      <c r="Y1445">
        <v>0.29309950000000001</v>
      </c>
      <c r="Z1445">
        <v>-1.4657399999999999E-2</v>
      </c>
      <c r="AA1445">
        <v>0.95596959999999997</v>
      </c>
      <c r="AB1445">
        <v>22</v>
      </c>
      <c r="AC1445">
        <v>8.5117999999999903</v>
      </c>
      <c r="AD1445">
        <v>-1.1087714821520001</v>
      </c>
      <c r="AE1445">
        <v>-3.1465999999999701</v>
      </c>
      <c r="AF1445">
        <v>2.67061868981133</v>
      </c>
      <c r="AG1445">
        <v>-1.1087714821520001</v>
      </c>
      <c r="AH1445">
        <v>8.5331623609717298</v>
      </c>
      <c r="AI1445">
        <v>97.068902888487898</v>
      </c>
      <c r="AJ1445">
        <v>72.621476849807394</v>
      </c>
      <c r="AK1445">
        <v>9.0097967937522192</v>
      </c>
      <c r="AL1445">
        <v>71.287228641011495</v>
      </c>
      <c r="AM1445">
        <v>80.446381941920805</v>
      </c>
      <c r="AN1445">
        <v>0.99999994409798798</v>
      </c>
    </row>
    <row r="1446" spans="1:40" x14ac:dyDescent="0.25">
      <c r="A1446" t="str">
        <f>"20190304164844348"</f>
        <v>20190304164844348</v>
      </c>
      <c r="B1446" t="str">
        <f>"1551689324337634"</f>
        <v>1551689324337634</v>
      </c>
      <c r="C1446" t="s">
        <v>40</v>
      </c>
      <c r="D1446">
        <v>4.9561909999999996</v>
      </c>
      <c r="E1446">
        <v>0.57696700000000001</v>
      </c>
      <c r="F1446" t="s">
        <v>44</v>
      </c>
      <c r="G1446">
        <v>-205.74180000000001</v>
      </c>
      <c r="H1446" s="1">
        <v>-4.4458949999999997E-6</v>
      </c>
      <c r="I1446">
        <v>364.4504</v>
      </c>
      <c r="J1446">
        <v>-214.2227</v>
      </c>
      <c r="K1446">
        <v>1.1087389999999999</v>
      </c>
      <c r="L1446">
        <v>367.61189999999999</v>
      </c>
      <c r="M1446">
        <v>0.99852149999999995</v>
      </c>
      <c r="N1446">
        <v>-1.375611E-2</v>
      </c>
      <c r="O1446">
        <v>-5.259084E-2</v>
      </c>
      <c r="P1446">
        <v>0.92873329999999998</v>
      </c>
      <c r="Q1446">
        <v>0.30880580000000002</v>
      </c>
      <c r="R1446">
        <v>-0.2051682</v>
      </c>
      <c r="S1446">
        <v>3.111221</v>
      </c>
      <c r="T1446">
        <v>-0.40108939999999998</v>
      </c>
      <c r="U1446">
        <v>-1.146606</v>
      </c>
      <c r="V1446">
        <v>0.15770609999999999</v>
      </c>
      <c r="W1446">
        <v>0.32086789999999998</v>
      </c>
      <c r="X1446">
        <v>0.9339018</v>
      </c>
      <c r="Y1446">
        <v>0.29389100000000001</v>
      </c>
      <c r="Z1446">
        <v>-1.4544299999999901E-2</v>
      </c>
      <c r="AA1446">
        <v>0.95572829999999998</v>
      </c>
      <c r="AB1446">
        <v>22</v>
      </c>
      <c r="AC1446">
        <v>8.4808999999999894</v>
      </c>
      <c r="AD1446">
        <v>-1.1087434458949901</v>
      </c>
      <c r="AE1446">
        <v>-3.1614999999999802</v>
      </c>
      <c r="AF1446">
        <v>2.6709832214257698</v>
      </c>
      <c r="AG1446">
        <v>-1.1087434458949901</v>
      </c>
      <c r="AH1446">
        <v>8.5077744645898097</v>
      </c>
      <c r="AI1446">
        <v>97.087649178055699</v>
      </c>
      <c r="AJ1446">
        <v>72.570518793052599</v>
      </c>
      <c r="AK1446">
        <v>8.9858605452276805</v>
      </c>
      <c r="AL1446">
        <v>71.284580042198797</v>
      </c>
      <c r="AM1446">
        <v>80.415005241927801</v>
      </c>
      <c r="AN1446">
        <v>0.99999999763543002</v>
      </c>
    </row>
    <row r="1447" spans="1:40" x14ac:dyDescent="0.25">
      <c r="A1447" t="str">
        <f>"20190304164844361"</f>
        <v>20190304164844361</v>
      </c>
      <c r="B1447" t="str">
        <f>"1551689324357153"</f>
        <v>1551689324357153</v>
      </c>
      <c r="C1447" t="s">
        <v>40</v>
      </c>
      <c r="D1447">
        <v>4.9872129999999997</v>
      </c>
      <c r="E1447">
        <v>0.57729730000000001</v>
      </c>
      <c r="F1447" t="s">
        <v>44</v>
      </c>
      <c r="G1447">
        <v>-205.6397</v>
      </c>
      <c r="H1447" s="1">
        <v>-4.404564E-6</v>
      </c>
      <c r="I1447">
        <v>364.42230000000001</v>
      </c>
      <c r="J1447">
        <v>-214.1113</v>
      </c>
      <c r="K1447">
        <v>1.1087089999999999</v>
      </c>
      <c r="L1447">
        <v>367.60419999999999</v>
      </c>
      <c r="M1447">
        <v>0.99842889999999995</v>
      </c>
      <c r="N1447">
        <v>-1.375785E-2</v>
      </c>
      <c r="O1447">
        <v>-5.4317579999999997E-2</v>
      </c>
      <c r="P1447">
        <v>0.92838270000000001</v>
      </c>
      <c r="Q1447">
        <v>0.30867749999999999</v>
      </c>
      <c r="R1447">
        <v>-0.20693900000000001</v>
      </c>
      <c r="S1447">
        <v>3.108536</v>
      </c>
      <c r="T1447">
        <v>-0.40156039999999998</v>
      </c>
      <c r="U1447">
        <v>-1.1552119999999999</v>
      </c>
      <c r="V1447">
        <v>0.15789529999999999</v>
      </c>
      <c r="W1447">
        <v>0.32072840000000002</v>
      </c>
      <c r="X1447">
        <v>0.93391780000000002</v>
      </c>
      <c r="Y1447">
        <v>0.29483100000000001</v>
      </c>
      <c r="Z1447">
        <v>-1.4437709999999999E-2</v>
      </c>
      <c r="AA1447">
        <v>0.95544030000000002</v>
      </c>
      <c r="AB1447">
        <v>22</v>
      </c>
      <c r="AC1447">
        <v>8.4715999999999898</v>
      </c>
      <c r="AD1447">
        <v>-1.1087134045639999</v>
      </c>
      <c r="AE1447">
        <v>-3.1818999999999802</v>
      </c>
      <c r="AF1447">
        <v>2.6768209662261002</v>
      </c>
      <c r="AG1447">
        <v>-1.1087134045639999</v>
      </c>
      <c r="AH1447">
        <v>8.5042871594630007</v>
      </c>
      <c r="AI1447">
        <v>97.088699301606297</v>
      </c>
      <c r="AJ1447">
        <v>72.528012508799407</v>
      </c>
      <c r="AK1447">
        <v>8.9842927372884898</v>
      </c>
      <c r="AL1447">
        <v>71.293019726830394</v>
      </c>
      <c r="AM1447">
        <v>80.403881191251699</v>
      </c>
      <c r="AN1447">
        <v>1.00000004474274</v>
      </c>
    </row>
    <row r="1448" spans="1:40" x14ac:dyDescent="0.25">
      <c r="A1448" t="str">
        <f>"20190304164844374"</f>
        <v>20190304164844374</v>
      </c>
      <c r="B1448" t="str">
        <f>"1551689324367889"</f>
        <v>1551689324367889</v>
      </c>
      <c r="C1448" t="s">
        <v>40</v>
      </c>
      <c r="D1448">
        <v>4.6284539999999996</v>
      </c>
      <c r="E1448">
        <v>0.57759419999999995</v>
      </c>
      <c r="F1448" t="s">
        <v>44</v>
      </c>
      <c r="G1448">
        <v>-205.52850000000001</v>
      </c>
      <c r="H1448" s="1">
        <v>-4.3610770000000001E-6</v>
      </c>
      <c r="I1448">
        <v>364.38470000000001</v>
      </c>
      <c r="J1448">
        <v>-213.96549999999999</v>
      </c>
      <c r="K1448">
        <v>1.1086659999999999</v>
      </c>
      <c r="L1448">
        <v>367.59379999999999</v>
      </c>
      <c r="M1448">
        <v>0.9983012</v>
      </c>
      <c r="N1448">
        <v>-1.3760299999999901E-2</v>
      </c>
      <c r="O1448">
        <v>-5.6615569999999997E-2</v>
      </c>
      <c r="P1448">
        <v>0.92775249999999998</v>
      </c>
      <c r="Q1448">
        <v>0.30896610000000002</v>
      </c>
      <c r="R1448">
        <v>-0.20932110000000001</v>
      </c>
      <c r="S1448">
        <v>3.1051479999999998</v>
      </c>
      <c r="T1448">
        <v>-0.40111799999999997</v>
      </c>
      <c r="U1448">
        <v>-1.1647639999999999</v>
      </c>
      <c r="V1448">
        <v>0.15818460000000001</v>
      </c>
      <c r="W1448">
        <v>0.32099929999999999</v>
      </c>
      <c r="X1448">
        <v>0.93377569999999999</v>
      </c>
      <c r="Y1448">
        <v>0.29556280000000001</v>
      </c>
      <c r="Z1448">
        <v>-1.422938E-2</v>
      </c>
      <c r="AA1448">
        <v>0.95521739999999999</v>
      </c>
      <c r="AB1448">
        <v>22</v>
      </c>
      <c r="AC1448">
        <v>8.4369999999999798</v>
      </c>
      <c r="AD1448">
        <v>-1.1086703610769999</v>
      </c>
      <c r="AE1448">
        <v>-3.2090999999999701</v>
      </c>
      <c r="AF1448">
        <v>2.6857266513546101</v>
      </c>
      <c r="AG1448">
        <v>-1.1086703610769999</v>
      </c>
      <c r="AH1448">
        <v>8.4772868020403696</v>
      </c>
      <c r="AI1448">
        <v>97.106624966376501</v>
      </c>
      <c r="AJ1448">
        <v>72.421047760453405</v>
      </c>
      <c r="AK1448">
        <v>8.9613988383161995</v>
      </c>
      <c r="AL1448">
        <v>71.276630694237497</v>
      </c>
      <c r="AM1448">
        <v>80.3851911284208</v>
      </c>
      <c r="AN1448">
        <v>0.99999998809406898</v>
      </c>
    </row>
    <row r="1449" spans="1:40" x14ac:dyDescent="0.25">
      <c r="A1449" t="str">
        <f>"20190304164844388"</f>
        <v>20190304164844388</v>
      </c>
      <c r="B1449" t="str">
        <f>"1551689324377649"</f>
        <v>1551689324377649</v>
      </c>
      <c r="C1449" t="s">
        <v>40</v>
      </c>
      <c r="D1449">
        <v>4.6259899999999998</v>
      </c>
      <c r="E1449">
        <v>0.57788640000000002</v>
      </c>
      <c r="F1449" t="s">
        <v>44</v>
      </c>
      <c r="G1449">
        <v>-205.32130000000001</v>
      </c>
      <c r="H1449" s="1">
        <v>-4.2790099999999999E-6</v>
      </c>
      <c r="I1449">
        <v>364.31950000000001</v>
      </c>
      <c r="J1449">
        <v>-213.83279999999999</v>
      </c>
      <c r="K1449">
        <v>1.1086290000000001</v>
      </c>
      <c r="L1449">
        <v>367.5838</v>
      </c>
      <c r="M1449">
        <v>0.99817690000000003</v>
      </c>
      <c r="N1449">
        <v>-1.37628E-2</v>
      </c>
      <c r="O1449">
        <v>-5.8766619999999999E-2</v>
      </c>
      <c r="P1449">
        <v>0.92720089999999999</v>
      </c>
      <c r="Q1449">
        <v>0.30897999999999998</v>
      </c>
      <c r="R1449">
        <v>-0.21173069999999999</v>
      </c>
      <c r="S1449">
        <v>3.1010439999999999</v>
      </c>
      <c r="T1449">
        <v>-0.39772420000000003</v>
      </c>
      <c r="U1449">
        <v>-1.1745909999999999</v>
      </c>
      <c r="V1449">
        <v>0.15863169999999999</v>
      </c>
      <c r="W1449">
        <v>0.32099660000000002</v>
      </c>
      <c r="X1449">
        <v>0.9337008</v>
      </c>
      <c r="Y1449">
        <v>0.29660500000000001</v>
      </c>
      <c r="Z1449">
        <v>-1.3979699999999999E-2</v>
      </c>
      <c r="AA1449">
        <v>0.95489789999999997</v>
      </c>
      <c r="AB1449">
        <v>22</v>
      </c>
      <c r="AC1449">
        <v>8.5114999999999803</v>
      </c>
      <c r="AD1449">
        <v>-1.10863327901</v>
      </c>
      <c r="AE1449">
        <v>-3.2642999999999902</v>
      </c>
      <c r="AF1449">
        <v>2.7182155501428</v>
      </c>
      <c r="AG1449">
        <v>-1.10863327901</v>
      </c>
      <c r="AH1449">
        <v>8.5620052161608999</v>
      </c>
      <c r="AI1449">
        <v>97.035458278740407</v>
      </c>
      <c r="AJ1449">
        <v>72.386700826040297</v>
      </c>
      <c r="AK1449">
        <v>9.0512815029659208</v>
      </c>
      <c r="AL1449">
        <v>71.276794436892004</v>
      </c>
      <c r="AM1449">
        <v>80.357765921972799</v>
      </c>
      <c r="AN1449">
        <v>1.0000000086885401</v>
      </c>
    </row>
    <row r="1450" spans="1:40" x14ac:dyDescent="0.25">
      <c r="A1450" t="str">
        <f>"20190304164844403"</f>
        <v>20190304164844403</v>
      </c>
      <c r="B1450" t="str">
        <f>"1551689324397169"</f>
        <v>1551689324397169</v>
      </c>
      <c r="C1450" t="s">
        <v>40</v>
      </c>
      <c r="D1450">
        <v>4.6358860000000002</v>
      </c>
      <c r="E1450">
        <v>0.57845230000000003</v>
      </c>
      <c r="F1450" t="s">
        <v>44</v>
      </c>
      <c r="G1450">
        <v>-205.15020000000001</v>
      </c>
      <c r="H1450" s="1">
        <v>-4.2122860000000003E-6</v>
      </c>
      <c r="I1450">
        <v>364.2611</v>
      </c>
      <c r="J1450">
        <v>-213.68450000000001</v>
      </c>
      <c r="K1450">
        <v>1.1085879999999999</v>
      </c>
      <c r="L1450">
        <v>367.57229999999998</v>
      </c>
      <c r="M1450">
        <v>0.99803010000000003</v>
      </c>
      <c r="N1450">
        <v>-1.376556E-2</v>
      </c>
      <c r="O1450">
        <v>-6.1208890000000002E-2</v>
      </c>
      <c r="P1450">
        <v>0.92646019999999896</v>
      </c>
      <c r="Q1450">
        <v>0.30971870000000001</v>
      </c>
      <c r="R1450">
        <v>-0.21388270000000001</v>
      </c>
      <c r="S1450">
        <v>3.0967099999999999</v>
      </c>
      <c r="T1450">
        <v>-0.3954047</v>
      </c>
      <c r="U1450">
        <v>-1.1850590000000001</v>
      </c>
      <c r="V1450">
        <v>0.15856819999999999</v>
      </c>
      <c r="W1450">
        <v>0.32171860000000002</v>
      </c>
      <c r="X1450">
        <v>0.93346300000000004</v>
      </c>
      <c r="Y1450">
        <v>0.29755679999999901</v>
      </c>
      <c r="Z1450">
        <v>-1.37249E-2</v>
      </c>
      <c r="AA1450">
        <v>0.9546055</v>
      </c>
      <c r="AB1450">
        <v>22</v>
      </c>
      <c r="AC1450">
        <v>8.5343</v>
      </c>
      <c r="AD1450">
        <v>-1.1085922122859999</v>
      </c>
      <c r="AE1450">
        <v>-3.3111999999999799</v>
      </c>
      <c r="AF1450">
        <v>2.7423467991281001</v>
      </c>
      <c r="AG1450">
        <v>-1.1085922122859999</v>
      </c>
      <c r="AH1450">
        <v>8.5949366705319292</v>
      </c>
      <c r="AI1450">
        <v>97.005323407342701</v>
      </c>
      <c r="AJ1450">
        <v>72.303916792768504</v>
      </c>
      <c r="AK1450">
        <v>9.0896853097499299</v>
      </c>
      <c r="AL1450">
        <v>71.233108653054998</v>
      </c>
      <c r="AM1450">
        <v>80.359143952421505</v>
      </c>
      <c r="AN1450">
        <v>0.99999995200309799</v>
      </c>
    </row>
    <row r="1451" spans="1:40" x14ac:dyDescent="0.25">
      <c r="A1451" t="str">
        <f>"20190304164844424"</f>
        <v>20190304164844424</v>
      </c>
      <c r="B1451" t="str">
        <f>"1551689324417665"</f>
        <v>1551689324417665</v>
      </c>
      <c r="C1451" t="s">
        <v>40</v>
      </c>
      <c r="D1451">
        <v>4.969036</v>
      </c>
      <c r="E1451">
        <v>0.57859589999999905</v>
      </c>
      <c r="F1451" t="s">
        <v>44</v>
      </c>
      <c r="G1451">
        <v>-204.85769999999999</v>
      </c>
      <c r="H1451" s="1">
        <v>-4.0947440000000003E-6</v>
      </c>
      <c r="I1451">
        <v>364.15260000000001</v>
      </c>
      <c r="J1451">
        <v>-213.46469999999999</v>
      </c>
      <c r="K1451">
        <v>1.1085240000000001</v>
      </c>
      <c r="L1451">
        <v>367.55459999999999</v>
      </c>
      <c r="M1451">
        <v>0.99779459999999998</v>
      </c>
      <c r="N1451">
        <v>-1.376982E-2</v>
      </c>
      <c r="O1451">
        <v>-6.4933169999999998E-2</v>
      </c>
      <c r="P1451">
        <v>0.92541549999999995</v>
      </c>
      <c r="Q1451">
        <v>0.310977</v>
      </c>
      <c r="R1451">
        <v>-0.21656259999999999</v>
      </c>
      <c r="S1451">
        <v>3.0914000000000001</v>
      </c>
      <c r="T1451">
        <v>-0.38825920000000003</v>
      </c>
      <c r="U1451">
        <v>-1.1976929999999999</v>
      </c>
      <c r="V1451">
        <v>0.15786910000000001</v>
      </c>
      <c r="W1451">
        <v>0.32295449999999998</v>
      </c>
      <c r="X1451">
        <v>0.9331547</v>
      </c>
      <c r="Y1451">
        <v>0.29802030000000002</v>
      </c>
      <c r="Z1451">
        <v>-1.3177299999999999E-2</v>
      </c>
      <c r="AA1451">
        <v>0.9544686</v>
      </c>
      <c r="AB1451">
        <v>22</v>
      </c>
      <c r="AC1451">
        <v>8.6069999999999993</v>
      </c>
      <c r="AD1451">
        <v>-1.1085280947439999</v>
      </c>
      <c r="AE1451">
        <v>-3.4019999999999802</v>
      </c>
      <c r="AF1451">
        <v>2.79577675004961</v>
      </c>
      <c r="AG1451">
        <v>-1.1085280947439999</v>
      </c>
      <c r="AH1451">
        <v>8.6851546220779294</v>
      </c>
      <c r="AI1451">
        <v>96.927210216033998</v>
      </c>
      <c r="AJ1451">
        <v>72.156480630703996</v>
      </c>
      <c r="AK1451">
        <v>9.1911431814740201</v>
      </c>
      <c r="AL1451">
        <v>71.158304613745699</v>
      </c>
      <c r="AM1451">
        <v>80.397743851854003</v>
      </c>
      <c r="AN1451">
        <v>0.99999997796857398</v>
      </c>
    </row>
    <row r="1452" spans="1:40" x14ac:dyDescent="0.25">
      <c r="A1452" t="str">
        <f>"20190304164844436"</f>
        <v>20190304164844436</v>
      </c>
      <c r="B1452" t="str">
        <f>"1551689324427425"</f>
        <v>1551689324427425</v>
      </c>
      <c r="C1452" t="s">
        <v>40</v>
      </c>
      <c r="D1452">
        <v>4.9817339999999897</v>
      </c>
      <c r="E1452">
        <v>0.57867440000000003</v>
      </c>
      <c r="F1452" t="s">
        <v>44</v>
      </c>
      <c r="G1452">
        <v>-204.5856</v>
      </c>
      <c r="H1452" s="1">
        <v>-3.9752179999999997E-6</v>
      </c>
      <c r="I1452">
        <v>364.07420000000002</v>
      </c>
      <c r="J1452">
        <v>-213.3501</v>
      </c>
      <c r="K1452">
        <v>1.1084940000000001</v>
      </c>
      <c r="L1452">
        <v>367.54500000000002</v>
      </c>
      <c r="M1452">
        <v>0.99766390000000005</v>
      </c>
      <c r="N1452">
        <v>-1.3772080000000001E-2</v>
      </c>
      <c r="O1452">
        <v>-6.6911880000000007E-2</v>
      </c>
      <c r="P1452">
        <v>0.92476769999999997</v>
      </c>
      <c r="Q1452">
        <v>0.31165189999999998</v>
      </c>
      <c r="R1452">
        <v>-0.2183523</v>
      </c>
      <c r="S1452">
        <v>3.0880580000000002</v>
      </c>
      <c r="T1452">
        <v>-0.3855363</v>
      </c>
      <c r="U1452">
        <v>-1.2104490000000001</v>
      </c>
      <c r="V1452">
        <v>0.1578696</v>
      </c>
      <c r="W1452">
        <v>0.3236156</v>
      </c>
      <c r="X1452">
        <v>0.93292560000000002</v>
      </c>
      <c r="Y1452">
        <v>0.29991859999999998</v>
      </c>
      <c r="Z1452">
        <v>-1.3029219999999999E-2</v>
      </c>
      <c r="AA1452">
        <v>0.95387580000000005</v>
      </c>
      <c r="AB1452">
        <v>22</v>
      </c>
      <c r="AC1452">
        <v>8.7644999999999893</v>
      </c>
      <c r="AD1452">
        <v>-1.108497975218</v>
      </c>
      <c r="AE1452">
        <v>-3.4707999999999899</v>
      </c>
      <c r="AF1452">
        <v>2.8372822899856902</v>
      </c>
      <c r="AG1452">
        <v>-1.108497975218</v>
      </c>
      <c r="AH1452">
        <v>8.8546742336575601</v>
      </c>
      <c r="AI1452">
        <v>96.798552670902296</v>
      </c>
      <c r="AJ1452">
        <v>72.2331055680623</v>
      </c>
      <c r="AK1452">
        <v>9.3639838924641499</v>
      </c>
      <c r="AL1452">
        <v>71.118277797991297</v>
      </c>
      <c r="AM1452">
        <v>80.395399879614203</v>
      </c>
      <c r="AN1452">
        <v>1.0000000211514299</v>
      </c>
    </row>
    <row r="1453" spans="1:40" x14ac:dyDescent="0.25">
      <c r="A1453" t="str">
        <f>"20190304164844446"</f>
        <v>20190304164844446</v>
      </c>
      <c r="B1453" t="str">
        <f>"1551689324437185"</f>
        <v>1551689324437185</v>
      </c>
      <c r="C1453" t="s">
        <v>40</v>
      </c>
      <c r="D1453">
        <v>4.9857849999999999</v>
      </c>
      <c r="E1453">
        <v>0.57874789999999998</v>
      </c>
      <c r="F1453" t="s">
        <v>44</v>
      </c>
      <c r="G1453">
        <v>-204.43170000000001</v>
      </c>
      <c r="H1453" s="1">
        <v>-3.9096989999999998E-6</v>
      </c>
      <c r="I1453">
        <v>364.0204</v>
      </c>
      <c r="J1453">
        <v>-213.23599999999999</v>
      </c>
      <c r="K1453">
        <v>1.1084689999999999</v>
      </c>
      <c r="L1453">
        <v>367.5351</v>
      </c>
      <c r="M1453">
        <v>0.99752629999999998</v>
      </c>
      <c r="N1453">
        <v>-1.377454E-2</v>
      </c>
      <c r="O1453">
        <v>-6.8931549999999994E-2</v>
      </c>
      <c r="P1453">
        <v>0.92417539999999998</v>
      </c>
      <c r="Q1453">
        <v>0.31206089999999997</v>
      </c>
      <c r="R1453">
        <v>-0.22026860000000001</v>
      </c>
      <c r="S1453">
        <v>3.085388</v>
      </c>
      <c r="T1453">
        <v>-0.3834938</v>
      </c>
      <c r="U1453">
        <v>-1.2193909999999999</v>
      </c>
      <c r="V1453">
        <v>0.15795229999999999</v>
      </c>
      <c r="W1453">
        <v>0.32401219999999997</v>
      </c>
      <c r="X1453">
        <v>0.93277390000000004</v>
      </c>
      <c r="Y1453">
        <v>0.30068489999999998</v>
      </c>
      <c r="Z1453">
        <v>-1.281996E-2</v>
      </c>
      <c r="AA1453">
        <v>0.95363739999999997</v>
      </c>
      <c r="AB1453">
        <v>22</v>
      </c>
      <c r="AC1453">
        <v>8.80429999999998</v>
      </c>
      <c r="AD1453">
        <v>-1.108472909699</v>
      </c>
      <c r="AE1453">
        <v>-3.5146999999999999</v>
      </c>
      <c r="AF1453">
        <v>2.8602801233629198</v>
      </c>
      <c r="AG1453">
        <v>-1.108472909699</v>
      </c>
      <c r="AH1453">
        <v>8.9039138830608593</v>
      </c>
      <c r="AI1453">
        <v>96.759573580997895</v>
      </c>
      <c r="AJ1453">
        <v>72.190981068197203</v>
      </c>
      <c r="AK1453">
        <v>9.4175154373436296</v>
      </c>
      <c r="AL1453">
        <v>71.0942596670413</v>
      </c>
      <c r="AM1453">
        <v>80.388928629075195</v>
      </c>
      <c r="AN1453">
        <v>0.99999999167266995</v>
      </c>
    </row>
    <row r="1454" spans="1:40" x14ac:dyDescent="0.25">
      <c r="A1454" t="str">
        <f>"20190304164844458"</f>
        <v>20190304164844458</v>
      </c>
      <c r="B1454" t="str">
        <f>"1551689324447922"</f>
        <v>1551689324447922</v>
      </c>
      <c r="C1454" t="s">
        <v>40</v>
      </c>
      <c r="D1454">
        <v>4.7107749999999999</v>
      </c>
      <c r="E1454">
        <v>0.57895019999999997</v>
      </c>
      <c r="F1454" t="s">
        <v>44</v>
      </c>
      <c r="G1454">
        <v>-204.30670000000001</v>
      </c>
      <c r="H1454" s="1">
        <v>-3.8561229999999998E-6</v>
      </c>
      <c r="I1454">
        <v>363.97840000000002</v>
      </c>
      <c r="J1454">
        <v>-213.13040000000001</v>
      </c>
      <c r="K1454">
        <v>1.1084430000000001</v>
      </c>
      <c r="L1454">
        <v>367.5258</v>
      </c>
      <c r="M1454">
        <v>0.99739449999999996</v>
      </c>
      <c r="N1454">
        <v>-1.3776750000000001E-2</v>
      </c>
      <c r="O1454">
        <v>-7.0813479999999998E-2</v>
      </c>
      <c r="P1454">
        <v>0.92370090000000005</v>
      </c>
      <c r="Q1454">
        <v>0.31233339999999998</v>
      </c>
      <c r="R1454">
        <v>-0.22186600000000001</v>
      </c>
      <c r="S1454">
        <v>3.082703</v>
      </c>
      <c r="T1454">
        <v>-0.38268659999999999</v>
      </c>
      <c r="U1454">
        <v>-1.227905</v>
      </c>
      <c r="V1454">
        <v>0.1578367</v>
      </c>
      <c r="W1454">
        <v>0.32427470000000003</v>
      </c>
      <c r="X1454">
        <v>0.93270220000000004</v>
      </c>
      <c r="Y1454">
        <v>0.30145660000000002</v>
      </c>
      <c r="Z1454">
        <v>-1.2658249999999999E-2</v>
      </c>
      <c r="AA1454">
        <v>0.95339580000000002</v>
      </c>
      <c r="AB1454">
        <v>22</v>
      </c>
      <c r="AC1454">
        <v>8.8237000000000005</v>
      </c>
      <c r="AD1454">
        <v>-1.1084468561229901</v>
      </c>
      <c r="AE1454">
        <v>-3.5473999999999801</v>
      </c>
      <c r="AF1454">
        <v>2.8745458406870199</v>
      </c>
      <c r="AG1454">
        <v>-1.1084468561229901</v>
      </c>
      <c r="AH1454">
        <v>8.9314381762623807</v>
      </c>
      <c r="AI1454">
        <v>96.737595849416095</v>
      </c>
      <c r="AJ1454">
        <v>72.159446968596399</v>
      </c>
      <c r="AK1454">
        <v>9.4478704542059102</v>
      </c>
      <c r="AL1454">
        <v>71.078360299798902</v>
      </c>
      <c r="AM1454">
        <v>80.395107030135406</v>
      </c>
      <c r="AN1454">
        <v>0.99999994940590797</v>
      </c>
    </row>
    <row r="1455" spans="1:40" x14ac:dyDescent="0.25">
      <c r="A1455" t="str">
        <f>"20190304164844470"</f>
        <v>20190304164844470</v>
      </c>
      <c r="B1455" t="str">
        <f>"1551689324467442"</f>
        <v>1551689324467442</v>
      </c>
      <c r="C1455" t="s">
        <v>40</v>
      </c>
      <c r="D1455">
        <v>4.9721830000000002</v>
      </c>
      <c r="E1455">
        <v>0.57921940000000005</v>
      </c>
      <c r="F1455" t="s">
        <v>44</v>
      </c>
      <c r="G1455">
        <v>-204.14150000000001</v>
      </c>
      <c r="H1455" s="1">
        <v>-3.7873090000000002E-6</v>
      </c>
      <c r="I1455">
        <v>363.91379999999998</v>
      </c>
      <c r="J1455">
        <v>-213.0067</v>
      </c>
      <c r="K1455">
        <v>1.1084099999999999</v>
      </c>
      <c r="L1455">
        <v>367.5145</v>
      </c>
      <c r="M1455">
        <v>0.99723200000000001</v>
      </c>
      <c r="N1455">
        <v>-1.377943E-2</v>
      </c>
      <c r="O1455">
        <v>-7.3064829999999997E-2</v>
      </c>
      <c r="P1455">
        <v>0.92311410000000005</v>
      </c>
      <c r="Q1455">
        <v>0.31254100000000001</v>
      </c>
      <c r="R1455">
        <v>-0.22400600000000001</v>
      </c>
      <c r="S1455">
        <v>3.0790099999999998</v>
      </c>
      <c r="T1455">
        <v>-0.3796812</v>
      </c>
      <c r="U1455">
        <v>-1.2372129999999999</v>
      </c>
      <c r="V1455">
        <v>0.1579274</v>
      </c>
      <c r="W1455">
        <v>0.32446950000000002</v>
      </c>
      <c r="X1455">
        <v>0.93261919999999998</v>
      </c>
      <c r="Y1455">
        <v>0.30221379999999998</v>
      </c>
      <c r="Z1455">
        <v>-1.240686E-2</v>
      </c>
      <c r="AA1455">
        <v>0.95315950000000005</v>
      </c>
      <c r="AB1455">
        <v>22</v>
      </c>
      <c r="AC1455">
        <v>8.8651999999999802</v>
      </c>
      <c r="AD1455">
        <v>-1.1084137873090001</v>
      </c>
      <c r="AE1455">
        <v>-3.60070000000001</v>
      </c>
      <c r="AF1455">
        <v>2.9043061053392698</v>
      </c>
      <c r="AG1455">
        <v>-1.1084137873090001</v>
      </c>
      <c r="AH1455">
        <v>8.9840549441944102</v>
      </c>
      <c r="AI1455">
        <v>96.695529605183495</v>
      </c>
      <c r="AJ1455">
        <v>72.085359068095897</v>
      </c>
      <c r="AK1455">
        <v>9.5066723051608193</v>
      </c>
      <c r="AL1455">
        <v>71.0665629945549</v>
      </c>
      <c r="AM1455">
        <v>80.388851210680599</v>
      </c>
      <c r="AN1455">
        <v>1.00000004615482</v>
      </c>
    </row>
    <row r="1456" spans="1:40" x14ac:dyDescent="0.25">
      <c r="A1456" t="str">
        <f>"20190304164844482"</f>
        <v>20190304164844482</v>
      </c>
      <c r="B1456" t="str">
        <f>"1551689324477202"</f>
        <v>1551689324477202</v>
      </c>
      <c r="C1456" t="s">
        <v>40</v>
      </c>
      <c r="D1456">
        <v>4.8840500000000002</v>
      </c>
      <c r="E1456">
        <v>0.57922759999999995</v>
      </c>
      <c r="F1456" t="s">
        <v>44</v>
      </c>
      <c r="G1456">
        <v>-203.9873</v>
      </c>
      <c r="H1456" s="1">
        <v>-3.7238409999999999E-6</v>
      </c>
      <c r="I1456">
        <v>363.8501</v>
      </c>
      <c r="J1456">
        <v>-212.89769999999999</v>
      </c>
      <c r="K1456">
        <v>1.108379</v>
      </c>
      <c r="L1456">
        <v>367.5043</v>
      </c>
      <c r="M1456">
        <v>0.99708220000000003</v>
      </c>
      <c r="N1456">
        <v>-1.378191E-2</v>
      </c>
      <c r="O1456">
        <v>-7.5082140000000006E-2</v>
      </c>
      <c r="P1456">
        <v>0.9225061</v>
      </c>
      <c r="Q1456">
        <v>0.31290950000000001</v>
      </c>
      <c r="R1456">
        <v>-0.2259882</v>
      </c>
      <c r="S1456">
        <v>3.0746769999999999</v>
      </c>
      <c r="T1456">
        <v>-0.37785469999999999</v>
      </c>
      <c r="U1456">
        <v>-1.249207</v>
      </c>
      <c r="V1456">
        <v>0.158082</v>
      </c>
      <c r="W1456">
        <v>0.32482490000000003</v>
      </c>
      <c r="X1456">
        <v>0.9324692</v>
      </c>
      <c r="Y1456">
        <v>0.30395840000000002</v>
      </c>
      <c r="Z1456">
        <v>-1.227658E-2</v>
      </c>
      <c r="AA1456">
        <v>0.95260619999999996</v>
      </c>
      <c r="AB1456">
        <v>22</v>
      </c>
      <c r="AC1456">
        <v>8.9103999999999797</v>
      </c>
      <c r="AD1456">
        <v>-1.108382723841</v>
      </c>
      <c r="AE1456">
        <v>-3.6541999999999999</v>
      </c>
      <c r="AF1456">
        <v>2.9359199884894598</v>
      </c>
      <c r="AG1456">
        <v>-1.108382723841</v>
      </c>
      <c r="AH1456">
        <v>9.0398962547264503</v>
      </c>
      <c r="AI1456">
        <v>96.651456677577102</v>
      </c>
      <c r="AJ1456">
        <v>72.007569753007999</v>
      </c>
      <c r="AK1456">
        <v>9.5691098194941002</v>
      </c>
      <c r="AL1456">
        <v>71.045032493370002</v>
      </c>
      <c r="AM1456">
        <v>80.378099685451403</v>
      </c>
      <c r="AN1456">
        <v>0.99999997166632404</v>
      </c>
    </row>
    <row r="1457" spans="1:40" x14ac:dyDescent="0.25">
      <c r="A1457" t="str">
        <f>"20190304164844492"</f>
        <v>20190304164844492</v>
      </c>
      <c r="B1457" t="str">
        <f>"1551689324487937"</f>
        <v>1551689324487937</v>
      </c>
      <c r="C1457" t="s">
        <v>40</v>
      </c>
      <c r="D1457">
        <v>4.839264</v>
      </c>
      <c r="E1457">
        <v>0.57919240000000005</v>
      </c>
      <c r="F1457" t="s">
        <v>44</v>
      </c>
      <c r="G1457">
        <v>-203.85079999999999</v>
      </c>
      <c r="H1457" s="1">
        <v>-3.6669960000000001E-6</v>
      </c>
      <c r="I1457">
        <v>363.79649999999998</v>
      </c>
      <c r="J1457">
        <v>-212.7893</v>
      </c>
      <c r="K1457">
        <v>1.108352</v>
      </c>
      <c r="L1457">
        <v>367.49400000000003</v>
      </c>
      <c r="M1457">
        <v>0.99692700000000001</v>
      </c>
      <c r="N1457">
        <v>-1.37844E-2</v>
      </c>
      <c r="O1457">
        <v>-7.7113169999999995E-2</v>
      </c>
      <c r="P1457">
        <v>0.92180890000000004</v>
      </c>
      <c r="Q1457">
        <v>0.31346679999999999</v>
      </c>
      <c r="R1457">
        <v>-0.22805039999999999</v>
      </c>
      <c r="S1457">
        <v>3.071304</v>
      </c>
      <c r="T1457">
        <v>-0.37628030000000001</v>
      </c>
      <c r="U1457">
        <v>-1.2587280000000001</v>
      </c>
      <c r="V1457">
        <v>0.15831329999999999</v>
      </c>
      <c r="W1457">
        <v>0.32536739999999997</v>
      </c>
      <c r="X1457">
        <v>0.93224079999999998</v>
      </c>
      <c r="Y1457">
        <v>0.3049307</v>
      </c>
      <c r="Z1457">
        <v>-1.209957E-2</v>
      </c>
      <c r="AA1457">
        <v>0.95229770000000002</v>
      </c>
      <c r="AB1457">
        <v>22</v>
      </c>
      <c r="AC1457">
        <v>8.9384999999999994</v>
      </c>
      <c r="AD1457">
        <v>-1.108355666996</v>
      </c>
      <c r="AE1457">
        <v>-3.6975000000000402</v>
      </c>
      <c r="AF1457">
        <v>2.9583069982784802</v>
      </c>
      <c r="AG1457">
        <v>-1.108355666996</v>
      </c>
      <c r="AH1457">
        <v>9.0778496987667499</v>
      </c>
      <c r="AI1457">
        <v>96.621594980569299</v>
      </c>
      <c r="AJ1457">
        <v>71.950147845508496</v>
      </c>
      <c r="AK1457">
        <v>9.6118358149744303</v>
      </c>
      <c r="AL1457">
        <v>71.012164271339898</v>
      </c>
      <c r="AM1457">
        <v>80.361968544643503</v>
      </c>
      <c r="AN1457">
        <v>0.99999997756214398</v>
      </c>
    </row>
    <row r="1458" spans="1:40" x14ac:dyDescent="0.25">
      <c r="A1458" t="str">
        <f>"20190304164844504"</f>
        <v>20190304164844504</v>
      </c>
      <c r="B1458" t="str">
        <f>"1551689324497697"</f>
        <v>1551689324497697</v>
      </c>
      <c r="C1458" t="s">
        <v>40</v>
      </c>
      <c r="D1458">
        <v>4.8261120000000002</v>
      </c>
      <c r="E1458">
        <v>0.57913669999999995</v>
      </c>
      <c r="F1458" t="s">
        <v>44</v>
      </c>
      <c r="G1458">
        <v>-203.6909</v>
      </c>
      <c r="H1458" s="1">
        <v>-3.600779E-6</v>
      </c>
      <c r="I1458">
        <v>363.73230000000001</v>
      </c>
      <c r="J1458">
        <v>-212.67699999999999</v>
      </c>
      <c r="K1458">
        <v>1.1083160000000001</v>
      </c>
      <c r="L1458">
        <v>367.4828</v>
      </c>
      <c r="M1458">
        <v>0.99675780000000003</v>
      </c>
      <c r="N1458">
        <v>-1.378744E-2</v>
      </c>
      <c r="O1458">
        <v>-7.9270839999999995E-2</v>
      </c>
      <c r="P1458">
        <v>0.92084840000000001</v>
      </c>
      <c r="Q1458">
        <v>0.3145715</v>
      </c>
      <c r="R1458">
        <v>-0.23039770000000001</v>
      </c>
      <c r="S1458">
        <v>3.0677949999999998</v>
      </c>
      <c r="T1458">
        <v>-0.37371339999999997</v>
      </c>
      <c r="U1458">
        <v>-1.2683409999999999</v>
      </c>
      <c r="V1458">
        <v>0.15873999999999999</v>
      </c>
      <c r="W1458">
        <v>0.32645109999999999</v>
      </c>
      <c r="X1458">
        <v>0.93178930000000004</v>
      </c>
      <c r="Y1458">
        <v>0.30582930000000003</v>
      </c>
      <c r="Z1458">
        <v>-1.188377E-2</v>
      </c>
      <c r="AA1458">
        <v>0.95201219999999998</v>
      </c>
      <c r="AB1458">
        <v>22</v>
      </c>
      <c r="AC1458">
        <v>8.98610000000002</v>
      </c>
      <c r="AD1458">
        <v>-1.1083196007789999</v>
      </c>
      <c r="AE1458">
        <v>-3.7504999999999802</v>
      </c>
      <c r="AF1458">
        <v>2.9875869107174</v>
      </c>
      <c r="AG1458">
        <v>-1.1083196007789999</v>
      </c>
      <c r="AH1458">
        <v>9.13678025802486</v>
      </c>
      <c r="AI1458">
        <v>96.576929216386603</v>
      </c>
      <c r="AJ1458">
        <v>71.893049702864502</v>
      </c>
      <c r="AK1458">
        <v>9.6765077052619404</v>
      </c>
      <c r="AL1458">
        <v>70.9464874367698</v>
      </c>
      <c r="AM1458">
        <v>80.331886358604805</v>
      </c>
      <c r="AN1458">
        <v>1.00000000394285</v>
      </c>
    </row>
    <row r="1459" spans="1:40" x14ac:dyDescent="0.25">
      <c r="A1459" t="str">
        <f>"20190304164844514"</f>
        <v>20190304164844514</v>
      </c>
      <c r="B1459" t="str">
        <f>"1551689324507457"</f>
        <v>1551689324507457</v>
      </c>
      <c r="C1459" t="s">
        <v>40</v>
      </c>
      <c r="D1459">
        <v>4.939508</v>
      </c>
      <c r="E1459">
        <v>0.5790343</v>
      </c>
      <c r="F1459" t="s">
        <v>44</v>
      </c>
      <c r="G1459">
        <v>-203.48249999999999</v>
      </c>
      <c r="H1459" s="1">
        <v>-3.514845E-6</v>
      </c>
      <c r="I1459">
        <v>363.64699999999999</v>
      </c>
      <c r="J1459">
        <v>-212.5686</v>
      </c>
      <c r="K1459">
        <v>1.1082860000000001</v>
      </c>
      <c r="L1459">
        <v>367.47199999999998</v>
      </c>
      <c r="M1459">
        <v>0.9965889</v>
      </c>
      <c r="N1459">
        <v>-1.379035E-2</v>
      </c>
      <c r="O1459">
        <v>-8.1365800000000002E-2</v>
      </c>
      <c r="P1459">
        <v>0.91999940000000002</v>
      </c>
      <c r="Q1459">
        <v>0.31524849999999999</v>
      </c>
      <c r="R1459">
        <v>-0.23285120000000001</v>
      </c>
      <c r="S1459">
        <v>3.0641780000000001</v>
      </c>
      <c r="T1459">
        <v>-0.3693631</v>
      </c>
      <c r="U1459">
        <v>-1.278351</v>
      </c>
      <c r="V1459">
        <v>0.15932160000000001</v>
      </c>
      <c r="W1459">
        <v>0.32710719999999999</v>
      </c>
      <c r="X1459">
        <v>0.93145979999999995</v>
      </c>
      <c r="Y1459">
        <v>0.30691639999999998</v>
      </c>
      <c r="Z1459">
        <v>-1.1649039999999999E-2</v>
      </c>
      <c r="AA1459">
        <v>0.95166519999999999</v>
      </c>
      <c r="AB1459">
        <v>22</v>
      </c>
      <c r="AC1459">
        <v>9.0861000000000107</v>
      </c>
      <c r="AD1459">
        <v>-1.108289514845</v>
      </c>
      <c r="AE1459">
        <v>-3.8249999999999802</v>
      </c>
      <c r="AF1459">
        <v>3.0345943221668201</v>
      </c>
      <c r="AG1459">
        <v>-1.108289514845</v>
      </c>
      <c r="AH1459">
        <v>9.2503115270070406</v>
      </c>
      <c r="AI1459">
        <v>96.494692994884502</v>
      </c>
      <c r="AJ1459">
        <v>71.837757380193693</v>
      </c>
      <c r="AK1459">
        <v>9.7982310493028208</v>
      </c>
      <c r="AL1459">
        <v>70.906710483906295</v>
      </c>
      <c r="AM1459">
        <v>80.293768921748395</v>
      </c>
      <c r="AN1459">
        <v>0.99999992576721697</v>
      </c>
    </row>
    <row r="1460" spans="1:40" x14ac:dyDescent="0.25">
      <c r="A1460" t="str">
        <f>"20190304164844525"</f>
        <v>20190304164844525</v>
      </c>
      <c r="B1460" t="str">
        <f>"1551689324517218"</f>
        <v>1551689324517218</v>
      </c>
      <c r="C1460" t="s">
        <v>40</v>
      </c>
      <c r="D1460">
        <v>4.8112309999999896</v>
      </c>
      <c r="E1460">
        <v>0.57896479999999995</v>
      </c>
      <c r="F1460" t="s">
        <v>44</v>
      </c>
      <c r="G1460">
        <v>-203.3288</v>
      </c>
      <c r="H1460" s="1">
        <v>-3.450798E-6</v>
      </c>
      <c r="I1460">
        <v>363.58690000000001</v>
      </c>
      <c r="J1460">
        <v>-212.46629999999999</v>
      </c>
      <c r="K1460">
        <v>1.1082459999999901</v>
      </c>
      <c r="L1460">
        <v>367.46140000000003</v>
      </c>
      <c r="M1460">
        <v>0.99641979999999997</v>
      </c>
      <c r="N1460">
        <v>-1.379386E-2</v>
      </c>
      <c r="O1460">
        <v>-8.3410319999999996E-2</v>
      </c>
      <c r="P1460">
        <v>0.91912879999999997</v>
      </c>
      <c r="Q1460">
        <v>0.31599500000000003</v>
      </c>
      <c r="R1460">
        <v>-0.2352648</v>
      </c>
      <c r="S1460">
        <v>3.0609280000000001</v>
      </c>
      <c r="T1460">
        <v>-0.367147</v>
      </c>
      <c r="U1460">
        <v>-1.287048</v>
      </c>
      <c r="V1460">
        <v>0.159917899999999</v>
      </c>
      <c r="W1460">
        <v>0.32783220000000002</v>
      </c>
      <c r="X1460">
        <v>0.93110280000000001</v>
      </c>
      <c r="Y1460">
        <v>0.30764629999999998</v>
      </c>
      <c r="Z1460">
        <v>-1.144706E-2</v>
      </c>
      <c r="AA1460">
        <v>0.9514319</v>
      </c>
      <c r="AB1460">
        <v>22</v>
      </c>
      <c r="AC1460">
        <v>9.1374999999999797</v>
      </c>
      <c r="AD1460">
        <v>-1.1082494507980001</v>
      </c>
      <c r="AE1460">
        <v>-3.87450000000001</v>
      </c>
      <c r="AF1460">
        <v>3.0606005098822902</v>
      </c>
      <c r="AG1460">
        <v>-1.1082494507980001</v>
      </c>
      <c r="AH1460">
        <v>9.3127405910797805</v>
      </c>
      <c r="AI1460">
        <v>96.450167107282496</v>
      </c>
      <c r="AJ1460">
        <v>71.807067177124296</v>
      </c>
      <c r="AK1460">
        <v>9.8652232434461702</v>
      </c>
      <c r="AL1460">
        <v>70.862749536401395</v>
      </c>
      <c r="AM1460">
        <v>80.2544722551321</v>
      </c>
      <c r="AN1460">
        <v>1.0000000551325401</v>
      </c>
    </row>
    <row r="1461" spans="1:40" x14ac:dyDescent="0.25">
      <c r="A1461" t="str">
        <f>"20190304164844535"</f>
        <v>20190304164844535</v>
      </c>
      <c r="B1461" t="str">
        <f>"1551689324527953"</f>
        <v>1551689324527953</v>
      </c>
      <c r="C1461" t="s">
        <v>40</v>
      </c>
      <c r="D1461">
        <v>4.8312229999999996</v>
      </c>
      <c r="E1461">
        <v>0.57889049999999997</v>
      </c>
      <c r="F1461" t="s">
        <v>44</v>
      </c>
      <c r="G1461">
        <v>-203.1661</v>
      </c>
      <c r="H1461" s="1">
        <v>-3.3838460000000001E-6</v>
      </c>
      <c r="I1461">
        <v>363.51960000000003</v>
      </c>
      <c r="J1461">
        <v>-212.36070000000001</v>
      </c>
      <c r="K1461">
        <v>1.108203</v>
      </c>
      <c r="L1461">
        <v>367.45030000000003</v>
      </c>
      <c r="M1461">
        <v>0.99624060000000003</v>
      </c>
      <c r="N1461">
        <v>-1.379735E-2</v>
      </c>
      <c r="O1461">
        <v>-8.5524740000000002E-2</v>
      </c>
      <c r="P1461">
        <v>0.91832279999999999</v>
      </c>
      <c r="Q1461">
        <v>0.31646729999999901</v>
      </c>
      <c r="R1461">
        <v>-0.23776449999999999</v>
      </c>
      <c r="S1461">
        <v>3.0575410000000001</v>
      </c>
      <c r="T1461">
        <v>-0.36434909999999998</v>
      </c>
      <c r="U1461">
        <v>-1.295898</v>
      </c>
      <c r="V1461">
        <v>0.16053029999999999</v>
      </c>
      <c r="W1461">
        <v>0.32828269999999998</v>
      </c>
      <c r="X1461">
        <v>0.93083859999999996</v>
      </c>
      <c r="Y1461">
        <v>0.30836910000000001</v>
      </c>
      <c r="Z1461">
        <v>-1.1227569999999999E-2</v>
      </c>
      <c r="AA1461">
        <v>0.9512005</v>
      </c>
      <c r="AB1461">
        <v>22</v>
      </c>
      <c r="AC1461">
        <v>9.1945999999999994</v>
      </c>
      <c r="AD1461">
        <v>-1.1082063838459999</v>
      </c>
      <c r="AE1461">
        <v>-3.9306999999999999</v>
      </c>
      <c r="AF1461">
        <v>3.0918793706166801</v>
      </c>
      <c r="AG1461">
        <v>-1.1082063838459999</v>
      </c>
      <c r="AH1461">
        <v>9.3818779288802006</v>
      </c>
      <c r="AI1461">
        <v>96.401064234118095</v>
      </c>
      <c r="AJ1461">
        <v>71.759915269867093</v>
      </c>
      <c r="AK1461">
        <v>9.9401948121780492</v>
      </c>
      <c r="AL1461">
        <v>70.835424600482597</v>
      </c>
      <c r="AM1461">
        <v>80.215148975069397</v>
      </c>
      <c r="AN1461">
        <v>1.00000000379367</v>
      </c>
    </row>
    <row r="1462" spans="1:40" x14ac:dyDescent="0.25">
      <c r="A1462" t="str">
        <f>"20190304164844546"</f>
        <v>20190304164844546</v>
      </c>
      <c r="B1462" t="str">
        <f>"1551689324537714"</f>
        <v>1551689324537714</v>
      </c>
      <c r="C1462" t="s">
        <v>40</v>
      </c>
      <c r="D1462">
        <v>4.8312099999999996</v>
      </c>
      <c r="E1462">
        <v>0.57881949999999904</v>
      </c>
      <c r="F1462" t="s">
        <v>44</v>
      </c>
      <c r="G1462">
        <v>-203.03290000000001</v>
      </c>
      <c r="H1462" s="1">
        <v>-3.3285809999999999E-6</v>
      </c>
      <c r="I1462">
        <v>363.46660000000003</v>
      </c>
      <c r="J1462">
        <v>-212.24799999999999</v>
      </c>
      <c r="K1462">
        <v>1.10815</v>
      </c>
      <c r="L1462">
        <v>367.43799999999999</v>
      </c>
      <c r="M1462">
        <v>0.99603770000000003</v>
      </c>
      <c r="N1462">
        <v>-1.380177E-2</v>
      </c>
      <c r="O1462">
        <v>-8.7855379999999997E-2</v>
      </c>
      <c r="P1462">
        <v>0.91768939999999999</v>
      </c>
      <c r="Q1462">
        <v>0.31670500000000001</v>
      </c>
      <c r="R1462">
        <v>-0.23988429999999999</v>
      </c>
      <c r="S1462">
        <v>3.0541529999999999</v>
      </c>
      <c r="T1462">
        <v>-0.36285440000000002</v>
      </c>
      <c r="U1462">
        <v>-1.304352</v>
      </c>
      <c r="V1462">
        <v>0.16055249999999999</v>
      </c>
      <c r="W1462">
        <v>0.3285033</v>
      </c>
      <c r="X1462">
        <v>0.9307569</v>
      </c>
      <c r="Y1462">
        <v>0.30877189999999999</v>
      </c>
      <c r="Z1462">
        <v>-1.0996789999999999E-2</v>
      </c>
      <c r="AA1462">
        <v>0.95107249999999999</v>
      </c>
      <c r="AB1462">
        <v>22</v>
      </c>
      <c r="AC1462">
        <v>9.2150999999999694</v>
      </c>
      <c r="AD1462">
        <v>-1.1081533285809999</v>
      </c>
      <c r="AE1462">
        <v>-3.9714000000000098</v>
      </c>
      <c r="AF1462">
        <v>3.1084570944258498</v>
      </c>
      <c r="AG1462">
        <v>-1.1081533285809999</v>
      </c>
      <c r="AH1462">
        <v>9.4135956454523697</v>
      </c>
      <c r="AI1462">
        <v>96.378147438969407</v>
      </c>
      <c r="AJ1462">
        <v>71.726294945926995</v>
      </c>
      <c r="AK1462">
        <v>9.9752840703215799</v>
      </c>
      <c r="AL1462">
        <v>70.8220422547016</v>
      </c>
      <c r="AM1462">
        <v>80.212979574410994</v>
      </c>
      <c r="AN1462">
        <v>0.99999996513237399</v>
      </c>
    </row>
    <row r="1463" spans="1:40" x14ac:dyDescent="0.25">
      <c r="A1463" t="str">
        <f>"20190304164844558"</f>
        <v>20190304164844558</v>
      </c>
      <c r="B1463" t="str">
        <f>"1551689324547473"</f>
        <v>1551689324547473</v>
      </c>
      <c r="C1463" t="s">
        <v>40</v>
      </c>
      <c r="D1463">
        <v>4.984699</v>
      </c>
      <c r="E1463">
        <v>0.57869919999999997</v>
      </c>
      <c r="F1463" t="s">
        <v>44</v>
      </c>
      <c r="G1463">
        <v>-202.90360000000001</v>
      </c>
      <c r="H1463" s="1">
        <v>-3.274271E-6</v>
      </c>
      <c r="I1463">
        <v>363.41809999999998</v>
      </c>
      <c r="J1463">
        <v>-212.14169999999999</v>
      </c>
      <c r="K1463">
        <v>1.108096</v>
      </c>
      <c r="L1463">
        <v>367.42630000000003</v>
      </c>
      <c r="M1463">
        <v>0.99583940000000004</v>
      </c>
      <c r="N1463">
        <v>-1.3805889999999999E-2</v>
      </c>
      <c r="O1463">
        <v>-9.0074399999999999E-2</v>
      </c>
      <c r="P1463">
        <v>0.91718999999999995</v>
      </c>
      <c r="Q1463">
        <v>0.31668580000000002</v>
      </c>
      <c r="R1463">
        <v>-0.24181159999999999</v>
      </c>
      <c r="S1463">
        <v>3.0508730000000002</v>
      </c>
      <c r="T1463">
        <v>-0.36180089999999998</v>
      </c>
      <c r="U1463">
        <v>-1.3124690000000001</v>
      </c>
      <c r="V1463">
        <v>0.1604729</v>
      </c>
      <c r="W1463">
        <v>0.32846959999999997</v>
      </c>
      <c r="X1463">
        <v>0.93078260000000002</v>
      </c>
      <c r="Y1463">
        <v>0.3091759</v>
      </c>
      <c r="Z1463">
        <v>-1.07876E-2</v>
      </c>
      <c r="AA1463">
        <v>0.95094369999999995</v>
      </c>
      <c r="AB1463">
        <v>22</v>
      </c>
      <c r="AC1463">
        <v>9.2380999999999691</v>
      </c>
      <c r="AD1463">
        <v>-1.1080992742710001</v>
      </c>
      <c r="AE1463">
        <v>-4.0082000000000404</v>
      </c>
      <c r="AF1463">
        <v>3.1219070346086299</v>
      </c>
      <c r="AG1463">
        <v>-1.1080992742710001</v>
      </c>
      <c r="AH1463">
        <v>9.4472208009367993</v>
      </c>
      <c r="AI1463">
        <v>96.354858240018899</v>
      </c>
      <c r="AJ1463">
        <v>71.713463398447203</v>
      </c>
      <c r="AK1463">
        <v>10.011202145398499</v>
      </c>
      <c r="AL1463">
        <v>70.824088038014196</v>
      </c>
      <c r="AM1463">
        <v>80.218002973804701</v>
      </c>
      <c r="AN1463">
        <v>1.00000003911066</v>
      </c>
    </row>
    <row r="1464" spans="1:40" x14ac:dyDescent="0.25">
      <c r="A1464" t="str">
        <f>"20190304164844568"</f>
        <v>20190304164844568</v>
      </c>
      <c r="B1464" t="str">
        <f>"1551689324557233"</f>
        <v>1551689324557233</v>
      </c>
      <c r="C1464" t="s">
        <v>40</v>
      </c>
      <c r="D1464">
        <v>4.9817239999999998</v>
      </c>
      <c r="E1464">
        <v>0.57857440000000004</v>
      </c>
      <c r="F1464" t="s">
        <v>44</v>
      </c>
      <c r="G1464">
        <v>-202.82159999999999</v>
      </c>
      <c r="H1464" s="1">
        <v>-3.2385579999999999E-6</v>
      </c>
      <c r="I1464">
        <v>363.39299999999997</v>
      </c>
      <c r="J1464">
        <v>-212.02969999999999</v>
      </c>
      <c r="K1464">
        <v>1.1080380000000001</v>
      </c>
      <c r="L1464">
        <v>367.4135</v>
      </c>
      <c r="M1464">
        <v>0.99562010000000001</v>
      </c>
      <c r="N1464">
        <v>-1.3810599999999999E-2</v>
      </c>
      <c r="O1464">
        <v>-9.2465519999999995E-2</v>
      </c>
      <c r="P1464">
        <v>0.91677710000000001</v>
      </c>
      <c r="Q1464">
        <v>0.31636130000000001</v>
      </c>
      <c r="R1464">
        <v>-0.24379339999999999</v>
      </c>
      <c r="S1464">
        <v>3.0481720000000001</v>
      </c>
      <c r="T1464">
        <v>-0.36240709999999998</v>
      </c>
      <c r="U1464">
        <v>-1.3190919999999999</v>
      </c>
      <c r="V1464">
        <v>0.16027849999999999</v>
      </c>
      <c r="W1464">
        <v>0.32813219999999998</v>
      </c>
      <c r="X1464">
        <v>0.93093499999999996</v>
      </c>
      <c r="Y1464">
        <v>0.30894759999999999</v>
      </c>
      <c r="Z1464">
        <v>-1.055416E-2</v>
      </c>
      <c r="AA1464">
        <v>0.95102050000000005</v>
      </c>
      <c r="AB1464">
        <v>22</v>
      </c>
      <c r="AC1464">
        <v>9.2081</v>
      </c>
      <c r="AD1464">
        <v>-1.1080412385580001</v>
      </c>
      <c r="AE1464">
        <v>-4.02049999999997</v>
      </c>
      <c r="AF1464">
        <v>3.11388961276828</v>
      </c>
      <c r="AG1464">
        <v>-1.1080412385580001</v>
      </c>
      <c r="AH1464">
        <v>9.4258042342134996</v>
      </c>
      <c r="AI1464">
        <v>96.369035561855299</v>
      </c>
      <c r="AJ1464">
        <v>71.718615737790799</v>
      </c>
      <c r="AK1464">
        <v>9.9884858396339808</v>
      </c>
      <c r="AL1464">
        <v>70.844552346497906</v>
      </c>
      <c r="AM1464">
        <v>80.231193201731003</v>
      </c>
      <c r="AN1464">
        <v>0.99999995623204396</v>
      </c>
    </row>
    <row r="1465" spans="1:40" x14ac:dyDescent="0.25">
      <c r="A1465" t="str">
        <f>"20190304164844581"</f>
        <v>20190304164844581</v>
      </c>
      <c r="B1465" t="str">
        <f>"1551689324577729"</f>
        <v>1551689324577729</v>
      </c>
      <c r="C1465" t="s">
        <v>40</v>
      </c>
      <c r="D1465">
        <v>4.9602830000000004</v>
      </c>
      <c r="E1465">
        <v>0.57834479999999999</v>
      </c>
      <c r="F1465" t="s">
        <v>44</v>
      </c>
      <c r="G1465">
        <v>-202.76150000000001</v>
      </c>
      <c r="H1465" s="1">
        <v>-3.2118540000000001E-6</v>
      </c>
      <c r="I1465">
        <v>363.37720000000002</v>
      </c>
      <c r="J1465">
        <v>-211.9144</v>
      </c>
      <c r="K1465">
        <v>1.107977</v>
      </c>
      <c r="L1465">
        <v>367.4</v>
      </c>
      <c r="M1465">
        <v>0.99538439999999995</v>
      </c>
      <c r="N1465">
        <v>-1.381549E-2</v>
      </c>
      <c r="O1465">
        <v>-9.4969449999999997E-2</v>
      </c>
      <c r="P1465">
        <v>0.91637959999999996</v>
      </c>
      <c r="Q1465">
        <v>0.31594990000000001</v>
      </c>
      <c r="R1465">
        <v>-0.2458139</v>
      </c>
      <c r="S1465">
        <v>3.0453030000000001</v>
      </c>
      <c r="T1465">
        <v>-0.36407659999999997</v>
      </c>
      <c r="U1465">
        <v>-1.326233</v>
      </c>
      <c r="V1465">
        <v>0.16001499999999999</v>
      </c>
      <c r="W1465">
        <v>0.32770880000000002</v>
      </c>
      <c r="X1465">
        <v>0.93112950000000005</v>
      </c>
      <c r="Y1465">
        <v>0.30875819999999998</v>
      </c>
      <c r="Z1465">
        <v>-1.0331140000000001E-2</v>
      </c>
      <c r="AA1465">
        <v>0.9510845</v>
      </c>
      <c r="AB1465">
        <v>22</v>
      </c>
      <c r="AC1465">
        <v>9.1528999999999794</v>
      </c>
      <c r="AD1465">
        <v>-1.1079802118539901</v>
      </c>
      <c r="AE1465">
        <v>-4.0227999999999602</v>
      </c>
      <c r="AF1465">
        <v>3.0972472312007699</v>
      </c>
      <c r="AG1465">
        <v>-1.1079802118539901</v>
      </c>
      <c r="AH1465">
        <v>9.3784230232584491</v>
      </c>
      <c r="AI1465">
        <v>96.400796351389204</v>
      </c>
      <c r="AJ1465">
        <v>71.724066914154506</v>
      </c>
      <c r="AK1465">
        <v>9.9385803294145099</v>
      </c>
      <c r="AL1465">
        <v>70.870232195449006</v>
      </c>
      <c r="AM1465">
        <v>80.248942724429199</v>
      </c>
      <c r="AN1465">
        <v>1.00000000179634</v>
      </c>
    </row>
    <row r="1466" spans="1:40" x14ac:dyDescent="0.25">
      <c r="A1466" t="str">
        <f>"20190304164844594"</f>
        <v>20190304164844594</v>
      </c>
      <c r="B1466" t="str">
        <f>"1551689324587489"</f>
        <v>1551689324587489</v>
      </c>
      <c r="C1466" t="s">
        <v>40</v>
      </c>
      <c r="D1466">
        <v>4.9282130000000004</v>
      </c>
      <c r="E1466">
        <v>0.5782368</v>
      </c>
      <c r="F1466" t="s">
        <v>44</v>
      </c>
      <c r="G1466">
        <v>-202.72900000000001</v>
      </c>
      <c r="H1466" s="1">
        <v>-3.1944970000000002E-6</v>
      </c>
      <c r="I1466">
        <v>363.38170000000002</v>
      </c>
      <c r="J1466">
        <v>-211.7834</v>
      </c>
      <c r="K1466">
        <v>1.1079110000000001</v>
      </c>
      <c r="L1466">
        <v>367.38440000000003</v>
      </c>
      <c r="M1466">
        <v>0.9951044</v>
      </c>
      <c r="N1466">
        <v>-1.3821079999999999E-2</v>
      </c>
      <c r="O1466">
        <v>-9.7859100000000004E-2</v>
      </c>
      <c r="P1466">
        <v>0.91586069999999997</v>
      </c>
      <c r="Q1466">
        <v>0.31549199999999999</v>
      </c>
      <c r="R1466">
        <v>-0.2483235</v>
      </c>
      <c r="S1466">
        <v>3.0431819999999998</v>
      </c>
      <c r="T1466">
        <v>-0.36708370000000001</v>
      </c>
      <c r="U1466">
        <v>-1.331299</v>
      </c>
      <c r="V1466">
        <v>0.1598917</v>
      </c>
      <c r="W1466">
        <v>0.32723609999999997</v>
      </c>
      <c r="X1466">
        <v>0.9313169</v>
      </c>
      <c r="Y1466">
        <v>0.30756739999999999</v>
      </c>
      <c r="Z1466">
        <v>-1.0025239999999999E-2</v>
      </c>
      <c r="AA1466">
        <v>0.95147349999999997</v>
      </c>
      <c r="AB1466">
        <v>22</v>
      </c>
      <c r="AC1466">
        <v>9.0543999999999798</v>
      </c>
      <c r="AD1466">
        <v>-1.1079141944969999</v>
      </c>
      <c r="AE1466">
        <v>-4.0026999999999999</v>
      </c>
      <c r="AF1466">
        <v>3.0590308597396998</v>
      </c>
      <c r="AG1466">
        <v>-1.1079141944969999</v>
      </c>
      <c r="AH1466">
        <v>9.2863616257879897</v>
      </c>
      <c r="AI1466">
        <v>96.4649391670971</v>
      </c>
      <c r="AJ1466">
        <v>71.767541820029805</v>
      </c>
      <c r="AK1466">
        <v>9.8397995867860804</v>
      </c>
      <c r="AL1466">
        <v>70.898896292328402</v>
      </c>
      <c r="AM1466">
        <v>80.258235402105498</v>
      </c>
      <c r="AN1466">
        <v>0.99999999454885502</v>
      </c>
    </row>
    <row r="1467" spans="1:40" x14ac:dyDescent="0.25">
      <c r="A1467" t="str">
        <f>"20190304164844607"</f>
        <v>20190304164844607</v>
      </c>
      <c r="B1467" t="str">
        <f>"1551689324597250"</f>
        <v>1551689324597250</v>
      </c>
      <c r="C1467" t="s">
        <v>40</v>
      </c>
      <c r="D1467">
        <v>4.8964489999999996</v>
      </c>
      <c r="E1467">
        <v>0.57813380000000003</v>
      </c>
      <c r="F1467" t="s">
        <v>44</v>
      </c>
      <c r="G1467">
        <v>-202.6696</v>
      </c>
      <c r="H1467" s="1">
        <v>-3.1671600000000001E-6</v>
      </c>
      <c r="I1467">
        <v>363.37009999999998</v>
      </c>
      <c r="J1467">
        <v>-211.65790000000001</v>
      </c>
      <c r="K1467">
        <v>1.10785</v>
      </c>
      <c r="L1467">
        <v>367.36880000000002</v>
      </c>
      <c r="M1467">
        <v>0.99481929999999996</v>
      </c>
      <c r="N1467">
        <v>-1.3826720000000001E-2</v>
      </c>
      <c r="O1467">
        <v>-0.1007147</v>
      </c>
      <c r="P1467">
        <v>0.91535829999999996</v>
      </c>
      <c r="Q1467">
        <v>0.3148107</v>
      </c>
      <c r="R1467">
        <v>-0.25102479999999999</v>
      </c>
      <c r="S1467">
        <v>3.0398710000000002</v>
      </c>
      <c r="T1467">
        <v>-0.36954189999999998</v>
      </c>
      <c r="U1467">
        <v>-1.338959</v>
      </c>
      <c r="V1467">
        <v>0.15998490000000001</v>
      </c>
      <c r="W1467">
        <v>0.32654040000000001</v>
      </c>
      <c r="X1467">
        <v>0.93154510000000001</v>
      </c>
      <c r="Y1467">
        <v>0.30722389999999999</v>
      </c>
      <c r="Z1467">
        <v>-9.7639100000000006E-3</v>
      </c>
      <c r="AA1467">
        <v>0.95158719999999997</v>
      </c>
      <c r="AB1467">
        <v>22</v>
      </c>
      <c r="AC1467">
        <v>8.9883000000000095</v>
      </c>
      <c r="AD1467">
        <v>-1.10785316716</v>
      </c>
      <c r="AE1467">
        <v>-3.9987000000000399</v>
      </c>
      <c r="AF1467">
        <v>3.0345400672587002</v>
      </c>
      <c r="AG1467">
        <v>-1.10785316716</v>
      </c>
      <c r="AH1467">
        <v>9.2283230014405699</v>
      </c>
      <c r="AI1467">
        <v>96.5060106144564</v>
      </c>
      <c r="AJ1467">
        <v>71.797636432637603</v>
      </c>
      <c r="AK1467">
        <v>9.7774085257138594</v>
      </c>
      <c r="AL1467">
        <v>70.941074933475093</v>
      </c>
      <c r="AM1467">
        <v>80.255007889131605</v>
      </c>
      <c r="AN1467">
        <v>1.0000000371970801</v>
      </c>
    </row>
    <row r="1468" spans="1:40" x14ac:dyDescent="0.25">
      <c r="A1468" t="str">
        <f>"20190304164844620"</f>
        <v>20190304164844620</v>
      </c>
      <c r="B1468" t="str">
        <f>"1551689324617746"</f>
        <v>1551689324617746</v>
      </c>
      <c r="C1468" t="s">
        <v>40</v>
      </c>
      <c r="D1468">
        <v>4.9170170000000004</v>
      </c>
      <c r="E1468">
        <v>0.57794380000000001</v>
      </c>
      <c r="F1468" t="s">
        <v>44</v>
      </c>
      <c r="G1468">
        <v>-202.64279999999999</v>
      </c>
      <c r="H1468" s="1">
        <v>-3.1532819999999999E-6</v>
      </c>
      <c r="I1468">
        <v>363.37189999999998</v>
      </c>
      <c r="J1468">
        <v>-211.52850000000001</v>
      </c>
      <c r="K1468">
        <v>1.1077859999999999</v>
      </c>
      <c r="L1468">
        <v>367.35239999999999</v>
      </c>
      <c r="M1468">
        <v>0.99451199999999995</v>
      </c>
      <c r="N1468">
        <v>-1.38326E-2</v>
      </c>
      <c r="O1468">
        <v>-0.10370459999999999</v>
      </c>
      <c r="P1468">
        <v>0.91486000000000001</v>
      </c>
      <c r="Q1468">
        <v>0.31423959999999901</v>
      </c>
      <c r="R1468">
        <v>-0.25354529999999997</v>
      </c>
      <c r="S1468">
        <v>3.0365449999999998</v>
      </c>
      <c r="T1468">
        <v>-0.37315870000000001</v>
      </c>
      <c r="U1468">
        <v>-1.346252</v>
      </c>
      <c r="V1468">
        <v>0.15977179999999999</v>
      </c>
      <c r="W1468">
        <v>0.325957</v>
      </c>
      <c r="X1468">
        <v>0.93178589999999994</v>
      </c>
      <c r="Y1468">
        <v>0.30665039999999999</v>
      </c>
      <c r="Z1468">
        <v>-9.4875600000000008E-3</v>
      </c>
      <c r="AA1468">
        <v>0.95177500000000004</v>
      </c>
      <c r="AB1468">
        <v>22</v>
      </c>
      <c r="AC1468">
        <v>8.8857000000000106</v>
      </c>
      <c r="AD1468">
        <v>-1.1077891532819999</v>
      </c>
      <c r="AE1468">
        <v>-3.9805000000000001</v>
      </c>
      <c r="AF1468">
        <v>2.99863978838916</v>
      </c>
      <c r="AG1468">
        <v>-1.1077891532819999</v>
      </c>
      <c r="AH1468">
        <v>9.1323961610028306</v>
      </c>
      <c r="AI1468">
        <v>96.574300190005303</v>
      </c>
      <c r="AJ1468">
        <v>71.822306606553894</v>
      </c>
      <c r="AK1468">
        <v>9.6757272093697999</v>
      </c>
      <c r="AL1468">
        <v>70.976434957981397</v>
      </c>
      <c r="AM1468">
        <v>80.270206837791605</v>
      </c>
      <c r="AN1468">
        <v>0.99999997868152402</v>
      </c>
    </row>
    <row r="1469" spans="1:40" x14ac:dyDescent="0.25">
      <c r="A1469" t="str">
        <f>"20190304164844632"</f>
        <v>20190304164844632</v>
      </c>
      <c r="B1469" t="str">
        <f>"1551689324627505"</f>
        <v>1551689324627505</v>
      </c>
      <c r="C1469" t="s">
        <v>40</v>
      </c>
      <c r="D1469">
        <v>4.8879349999999997</v>
      </c>
      <c r="E1469">
        <v>0.57786359999999903</v>
      </c>
      <c r="F1469" t="s">
        <v>44</v>
      </c>
      <c r="G1469">
        <v>-202.6208</v>
      </c>
      <c r="H1469" s="1">
        <v>-3.139947E-6</v>
      </c>
      <c r="I1469">
        <v>363.38209999999998</v>
      </c>
      <c r="J1469">
        <v>-211.40729999999999</v>
      </c>
      <c r="K1469">
        <v>1.1077300000000001</v>
      </c>
      <c r="L1469">
        <v>367.33659999999998</v>
      </c>
      <c r="M1469">
        <v>0.99420980000000003</v>
      </c>
      <c r="N1469">
        <v>-1.3838359999999999E-2</v>
      </c>
      <c r="O1469">
        <v>-0.1065619</v>
      </c>
      <c r="P1469">
        <v>0.91457180000000005</v>
      </c>
      <c r="Q1469">
        <v>0.31312790000000001</v>
      </c>
      <c r="R1469">
        <v>-0.25594879999999998</v>
      </c>
      <c r="S1469">
        <v>3.0340419999999999</v>
      </c>
      <c r="T1469">
        <v>-0.3773241</v>
      </c>
      <c r="U1469">
        <v>-1.352295</v>
      </c>
      <c r="V1469">
        <v>0.15953680000000001</v>
      </c>
      <c r="W1469">
        <v>0.32483709999999999</v>
      </c>
      <c r="X1469">
        <v>0.93221719999999997</v>
      </c>
      <c r="Y1469">
        <v>0.30577729999999997</v>
      </c>
      <c r="Z1469">
        <v>-9.2045140000000004E-3</v>
      </c>
      <c r="AA1469">
        <v>0.95205859999999998</v>
      </c>
      <c r="AB1469">
        <v>22</v>
      </c>
      <c r="AC1469">
        <v>8.7864999999999895</v>
      </c>
      <c r="AD1469">
        <v>-1.1077331399469901</v>
      </c>
      <c r="AE1469">
        <v>-3.9544999999999901</v>
      </c>
      <c r="AF1469">
        <v>2.9565071778159702</v>
      </c>
      <c r="AG1469">
        <v>-1.1077331399469901</v>
      </c>
      <c r="AH1469">
        <v>9.0384392172780199</v>
      </c>
      <c r="AI1469">
        <v>96.6441332838927</v>
      </c>
      <c r="AJ1469">
        <v>71.886886271384995</v>
      </c>
      <c r="AK1469">
        <v>9.57399555495215</v>
      </c>
      <c r="AL1469">
        <v>71.044294357457503</v>
      </c>
      <c r="AM1469">
        <v>80.288654399710893</v>
      </c>
      <c r="AN1469">
        <v>1.00000002003324</v>
      </c>
    </row>
    <row r="1470" spans="1:40" x14ac:dyDescent="0.25">
      <c r="A1470" t="str">
        <f>"20190304164844643"</f>
        <v>20190304164844643</v>
      </c>
      <c r="B1470" t="str">
        <f>"1551689324637265"</f>
        <v>1551689324637265</v>
      </c>
      <c r="C1470" t="s">
        <v>40</v>
      </c>
      <c r="D1470">
        <v>4.9271129999999896</v>
      </c>
      <c r="E1470">
        <v>0.57777860000000003</v>
      </c>
      <c r="F1470" t="s">
        <v>44</v>
      </c>
      <c r="G1470">
        <v>-202.61840000000001</v>
      </c>
      <c r="H1470" s="1">
        <v>-3.13615E-6</v>
      </c>
      <c r="I1470">
        <v>363.39389999999997</v>
      </c>
      <c r="J1470">
        <v>-211.30510000000001</v>
      </c>
      <c r="K1470">
        <v>1.1076859999999999</v>
      </c>
      <c r="L1470">
        <v>367.32279999999997</v>
      </c>
      <c r="M1470">
        <v>0.99394289999999996</v>
      </c>
      <c r="N1470">
        <v>-1.384353E-2</v>
      </c>
      <c r="O1470">
        <v>-0.10902340000000001</v>
      </c>
      <c r="P1470">
        <v>0.91420449999999998</v>
      </c>
      <c r="Q1470">
        <v>0.3129014</v>
      </c>
      <c r="R1470">
        <v>-0.25753320000000002</v>
      </c>
      <c r="S1470">
        <v>3.030548</v>
      </c>
      <c r="T1470">
        <v>-0.38196740000000001</v>
      </c>
      <c r="U1470">
        <v>-1.3595280000000001</v>
      </c>
      <c r="V1470">
        <v>0.15886589999999901</v>
      </c>
      <c r="W1470">
        <v>0.32460620000000001</v>
      </c>
      <c r="X1470">
        <v>0.93241209999999997</v>
      </c>
      <c r="Y1470">
        <v>0.30569800000000003</v>
      </c>
      <c r="Z1470">
        <v>-9.0154109999999992E-3</v>
      </c>
      <c r="AA1470">
        <v>0.95208590000000004</v>
      </c>
      <c r="AB1470">
        <v>22</v>
      </c>
      <c r="AC1470">
        <v>8.6867000000000001</v>
      </c>
      <c r="AD1470">
        <v>-1.1076891361500001</v>
      </c>
      <c r="AE1470">
        <v>-3.9288999999999898</v>
      </c>
      <c r="AF1470">
        <v>2.9189297303349102</v>
      </c>
      <c r="AG1470">
        <v>-1.1076891361500001</v>
      </c>
      <c r="AH1470">
        <v>8.9425790223725503</v>
      </c>
      <c r="AI1470">
        <v>96.715810617988296</v>
      </c>
      <c r="AJ1470">
        <v>71.922900843804598</v>
      </c>
      <c r="AK1470">
        <v>9.4718976749305792</v>
      </c>
      <c r="AL1470">
        <v>71.058280405869397</v>
      </c>
      <c r="AM1470">
        <v>80.330704015845996</v>
      </c>
      <c r="AN1470">
        <v>0.999999941743828</v>
      </c>
    </row>
    <row r="1471" spans="1:40" x14ac:dyDescent="0.25">
      <c r="A1471" t="str">
        <f>"20190304164844653"</f>
        <v>20190304164844653</v>
      </c>
      <c r="B1471" t="str">
        <f>"1551689324648001"</f>
        <v>1551689324648001</v>
      </c>
      <c r="C1471" t="s">
        <v>40</v>
      </c>
      <c r="D1471">
        <v>4.9460459999999999</v>
      </c>
      <c r="E1471">
        <v>0.57769530000000002</v>
      </c>
      <c r="F1471" t="s">
        <v>44</v>
      </c>
      <c r="G1471">
        <v>-202.55539999999999</v>
      </c>
      <c r="H1471" s="1">
        <v>-3.1073100000000002E-6</v>
      </c>
      <c r="I1471">
        <v>363.3809</v>
      </c>
      <c r="J1471">
        <v>-211.1994</v>
      </c>
      <c r="K1471">
        <v>1.10764</v>
      </c>
      <c r="L1471">
        <v>367.30849999999998</v>
      </c>
      <c r="M1471">
        <v>0.99365809999999999</v>
      </c>
      <c r="N1471">
        <v>-1.384879E-2</v>
      </c>
      <c r="O1471">
        <v>-0.11158800000000001</v>
      </c>
      <c r="P1471">
        <v>0.9137246</v>
      </c>
      <c r="Q1471">
        <v>0.31292449999999999</v>
      </c>
      <c r="R1471">
        <v>-0.25920260000000001</v>
      </c>
      <c r="S1471">
        <v>3.0284270000000002</v>
      </c>
      <c r="T1471">
        <v>-0.3833917</v>
      </c>
      <c r="U1471">
        <v>-1.3643799999999999</v>
      </c>
      <c r="V1471">
        <v>0.1581967</v>
      </c>
      <c r="W1471">
        <v>0.32462380000000002</v>
      </c>
      <c r="X1471">
        <v>0.93251980000000001</v>
      </c>
      <c r="Y1471">
        <v>0.304768599999999</v>
      </c>
      <c r="Z1471">
        <v>-8.7070089999999999E-3</v>
      </c>
      <c r="AA1471">
        <v>0.95238659999999997</v>
      </c>
      <c r="AB1471">
        <v>22</v>
      </c>
      <c r="AC1471">
        <v>8.6440000000000001</v>
      </c>
      <c r="AD1471">
        <v>-1.1076431073099999</v>
      </c>
      <c r="AE1471">
        <v>-3.92759999999998</v>
      </c>
      <c r="AF1471">
        <v>2.8989517154231299</v>
      </c>
      <c r="AG1471">
        <v>-1.1076431073099999</v>
      </c>
      <c r="AH1471">
        <v>8.9070932263302698</v>
      </c>
      <c r="AI1471">
        <v>96.743898227582505</v>
      </c>
      <c r="AJ1471">
        <v>71.971717561397995</v>
      </c>
      <c r="AK1471">
        <v>9.4322374887438407</v>
      </c>
      <c r="AL1471">
        <v>71.057215260739497</v>
      </c>
      <c r="AM1471">
        <v>80.371761645572207</v>
      </c>
      <c r="AN1471">
        <v>0.99999999240468496</v>
      </c>
    </row>
    <row r="1472" spans="1:40" x14ac:dyDescent="0.25">
      <c r="A1472" t="str">
        <f>"20190304164844664"</f>
        <v>20190304164844664</v>
      </c>
      <c r="B1472" t="str">
        <f>"1551689324657762"</f>
        <v>1551689324657762</v>
      </c>
      <c r="C1472" t="s">
        <v>40</v>
      </c>
      <c r="D1472">
        <v>4.9305190000000003</v>
      </c>
      <c r="E1472">
        <v>0.57761479999999998</v>
      </c>
      <c r="F1472" t="s">
        <v>44</v>
      </c>
      <c r="G1472">
        <v>-202.4674</v>
      </c>
      <c r="H1472" s="1">
        <v>-3.068709E-6</v>
      </c>
      <c r="I1472">
        <v>363.3553</v>
      </c>
      <c r="J1472">
        <v>-211.1003</v>
      </c>
      <c r="K1472">
        <v>1.1075980000000001</v>
      </c>
      <c r="L1472">
        <v>367.2946</v>
      </c>
      <c r="M1472">
        <v>0.9933786</v>
      </c>
      <c r="N1472">
        <v>-1.385397E-2</v>
      </c>
      <c r="O1472">
        <v>-0.114048</v>
      </c>
      <c r="P1472">
        <v>0.91324439999999996</v>
      </c>
      <c r="Q1472">
        <v>0.31328410000000001</v>
      </c>
      <c r="R1472">
        <v>-0.26045760000000001</v>
      </c>
      <c r="S1472">
        <v>3.0260929999999999</v>
      </c>
      <c r="T1472">
        <v>-0.38385780000000003</v>
      </c>
      <c r="U1472">
        <v>-1.3699950000000001</v>
      </c>
      <c r="V1472">
        <v>0.15721270000000001</v>
      </c>
      <c r="W1472">
        <v>0.32498139999999998</v>
      </c>
      <c r="X1472">
        <v>0.93256170000000005</v>
      </c>
      <c r="Y1472">
        <v>0.30416749999999998</v>
      </c>
      <c r="Z1472">
        <v>-8.417651E-3</v>
      </c>
      <c r="AA1472">
        <v>0.95258140000000002</v>
      </c>
      <c r="AB1472">
        <v>22</v>
      </c>
      <c r="AC1472">
        <v>8.6328999999999994</v>
      </c>
      <c r="AD1472">
        <v>-1.1076010687090001</v>
      </c>
      <c r="AE1472">
        <v>-3.9392999999999998</v>
      </c>
      <c r="AF1472">
        <v>2.8895649085956698</v>
      </c>
      <c r="AG1472">
        <v>-1.1076010687090001</v>
      </c>
      <c r="AH1472">
        <v>8.9045576492478098</v>
      </c>
      <c r="AI1472">
        <v>96.7474363005188</v>
      </c>
      <c r="AJ1472">
        <v>72.021543949137893</v>
      </c>
      <c r="AK1472">
        <v>9.4269566890471399</v>
      </c>
      <c r="AL1472">
        <v>71.035552548768294</v>
      </c>
      <c r="AM1472">
        <v>80.430961395118203</v>
      </c>
      <c r="AN1472">
        <v>1.00000003384706</v>
      </c>
    </row>
    <row r="1473" spans="1:40" x14ac:dyDescent="0.25">
      <c r="A1473" t="str">
        <f>"20190304164844674"</f>
        <v>20190304164844674</v>
      </c>
      <c r="B1473" t="str">
        <f>"1551689324667521"</f>
        <v>1551689324667521</v>
      </c>
      <c r="C1473" t="s">
        <v>40</v>
      </c>
      <c r="D1473">
        <v>4.9632829999999997</v>
      </c>
      <c r="E1473">
        <v>0.57752869999999901</v>
      </c>
      <c r="F1473" t="s">
        <v>44</v>
      </c>
      <c r="G1473">
        <v>-202.34909999999999</v>
      </c>
      <c r="H1473" s="1">
        <v>-3.0177139999999999E-6</v>
      </c>
      <c r="I1473">
        <v>363.31670000000003</v>
      </c>
      <c r="J1473">
        <v>-210.9958</v>
      </c>
      <c r="K1473">
        <v>1.1075539999999999</v>
      </c>
      <c r="L1473">
        <v>367.27980000000002</v>
      </c>
      <c r="M1473">
        <v>0.99307630000000002</v>
      </c>
      <c r="N1473">
        <v>-1.385924E-2</v>
      </c>
      <c r="O1473">
        <v>-0.11665059999999999</v>
      </c>
      <c r="P1473">
        <v>0.91279100000000002</v>
      </c>
      <c r="Q1473">
        <v>0.31355680000000002</v>
      </c>
      <c r="R1473">
        <v>-0.26171480000000003</v>
      </c>
      <c r="S1473">
        <v>3.024216</v>
      </c>
      <c r="T1473">
        <v>-0.38275890000000001</v>
      </c>
      <c r="U1473">
        <v>-1.3746640000000001</v>
      </c>
      <c r="V1473">
        <v>0.15609389999999901</v>
      </c>
      <c r="W1473">
        <v>0.32525330000000002</v>
      </c>
      <c r="X1473">
        <v>0.93265480000000001</v>
      </c>
      <c r="Y1473">
        <v>0.303143099999999</v>
      </c>
      <c r="Z1473">
        <v>-8.0659049999999999E-3</v>
      </c>
      <c r="AA1473">
        <v>0.95291090000000001</v>
      </c>
      <c r="AB1473">
        <v>22</v>
      </c>
      <c r="AC1473">
        <v>8.6467000000000098</v>
      </c>
      <c r="AD1473">
        <v>-1.1075570177139999</v>
      </c>
      <c r="AE1473">
        <v>-3.9630999999999901</v>
      </c>
      <c r="AF1473">
        <v>2.8881395288790901</v>
      </c>
      <c r="AG1473">
        <v>-1.1075570177139999</v>
      </c>
      <c r="AH1473">
        <v>8.9289348380864002</v>
      </c>
      <c r="AI1473">
        <v>96.730963140881101</v>
      </c>
      <c r="AJ1473">
        <v>72.0757602593456</v>
      </c>
      <c r="AK1473">
        <v>9.4495454826438294</v>
      </c>
      <c r="AL1473">
        <v>71.019078114368099</v>
      </c>
      <c r="AM1473">
        <v>80.498744313958696</v>
      </c>
      <c r="AN1473">
        <v>0.99999999537056905</v>
      </c>
    </row>
    <row r="1474" spans="1:40" x14ac:dyDescent="0.25">
      <c r="A1474" t="str">
        <f>"20190304164844686"</f>
        <v>20190304164844686</v>
      </c>
      <c r="B1474" t="str">
        <f>"1551689324677281"</f>
        <v>1551689324677281</v>
      </c>
      <c r="C1474" t="s">
        <v>40</v>
      </c>
      <c r="D1474">
        <v>4.8565950000000004</v>
      </c>
      <c r="E1474">
        <v>0.57748459999999902</v>
      </c>
      <c r="F1474" t="s">
        <v>44</v>
      </c>
      <c r="G1474">
        <v>-202.2388</v>
      </c>
      <c r="H1474" s="1">
        <v>-2.9694619999999999E-6</v>
      </c>
      <c r="I1474">
        <v>363.28390000000002</v>
      </c>
      <c r="J1474">
        <v>-210.88669999999999</v>
      </c>
      <c r="K1474">
        <v>1.107513</v>
      </c>
      <c r="L1474">
        <v>367.2638</v>
      </c>
      <c r="M1474">
        <v>0.99274549999999995</v>
      </c>
      <c r="N1474">
        <v>-1.386474E-2</v>
      </c>
      <c r="O1474">
        <v>-0.11943380000000001</v>
      </c>
      <c r="P1474">
        <v>0.91229729999999998</v>
      </c>
      <c r="Q1474">
        <v>0.31344559999999999</v>
      </c>
      <c r="R1474">
        <v>-0.26356439999999998</v>
      </c>
      <c r="S1474">
        <v>3.0225070000000001</v>
      </c>
      <c r="T1474">
        <v>-0.38227369999999999</v>
      </c>
      <c r="U1474">
        <v>-1.379181</v>
      </c>
      <c r="V1474">
        <v>0.155393</v>
      </c>
      <c r="W1474">
        <v>0.32514009999999999</v>
      </c>
      <c r="X1474">
        <v>0.93281130000000001</v>
      </c>
      <c r="Y1474">
        <v>0.30188219999999999</v>
      </c>
      <c r="Z1474">
        <v>-7.6876399999999999E-3</v>
      </c>
      <c r="AA1474">
        <v>0.9533142</v>
      </c>
      <c r="AB1474">
        <v>22</v>
      </c>
      <c r="AC1474">
        <v>8.6478999999999893</v>
      </c>
      <c r="AD1474">
        <v>-1.107515969462</v>
      </c>
      <c r="AE1474">
        <v>-3.9798999999999798</v>
      </c>
      <c r="AF1474">
        <v>2.8794834440117101</v>
      </c>
      <c r="AG1474">
        <v>-1.107515969462</v>
      </c>
      <c r="AH1474">
        <v>8.9403630268099601</v>
      </c>
      <c r="AI1474">
        <v>96.724881742115997</v>
      </c>
      <c r="AJ1474">
        <v>72.147455014365903</v>
      </c>
      <c r="AK1474">
        <v>9.4577009668365797</v>
      </c>
      <c r="AL1474">
        <v>71.025936787883296</v>
      </c>
      <c r="AM1474">
        <v>80.542192917018696</v>
      </c>
      <c r="AN1474">
        <v>0.99999999524234995</v>
      </c>
    </row>
    <row r="1475" spans="1:40" x14ac:dyDescent="0.25">
      <c r="A1475" t="str">
        <f>"20190304164844697"</f>
        <v>20190304164844697</v>
      </c>
      <c r="B1475" t="str">
        <f>"1551689324688017"</f>
        <v>1551689324688017</v>
      </c>
      <c r="C1475" t="s">
        <v>40</v>
      </c>
      <c r="D1475">
        <v>4.9522839999999997</v>
      </c>
      <c r="E1475">
        <v>0.57740459999999905</v>
      </c>
      <c r="F1475" t="s">
        <v>44</v>
      </c>
      <c r="G1475">
        <v>-202.15379999999999</v>
      </c>
      <c r="H1475" s="1">
        <v>-2.9322029999999999E-6</v>
      </c>
      <c r="I1475">
        <v>363.25909999999999</v>
      </c>
      <c r="J1475">
        <v>-210.77500000000001</v>
      </c>
      <c r="K1475">
        <v>1.107467</v>
      </c>
      <c r="L1475">
        <v>367.24720000000002</v>
      </c>
      <c r="M1475">
        <v>0.99239679999999997</v>
      </c>
      <c r="N1475">
        <v>-1.3870149999999999E-2</v>
      </c>
      <c r="O1475">
        <v>-0.1222961</v>
      </c>
      <c r="P1475">
        <v>0.91184200000000004</v>
      </c>
      <c r="Q1475">
        <v>0.31322100000000003</v>
      </c>
      <c r="R1475">
        <v>-0.26540010000000003</v>
      </c>
      <c r="S1475">
        <v>3.0198969999999998</v>
      </c>
      <c r="T1475">
        <v>-0.38298650000000001</v>
      </c>
      <c r="U1475">
        <v>-1.384857</v>
      </c>
      <c r="V1475">
        <v>0.1545974</v>
      </c>
      <c r="W1475">
        <v>0.32491560000000003</v>
      </c>
      <c r="X1475">
        <v>0.93302169999999895</v>
      </c>
      <c r="Y1475">
        <v>0.3009426</v>
      </c>
      <c r="Z1475">
        <v>-7.3355369999999996E-3</v>
      </c>
      <c r="AA1475">
        <v>0.95361410000000002</v>
      </c>
      <c r="AB1475">
        <v>22</v>
      </c>
      <c r="AC1475">
        <v>8.6212000000000106</v>
      </c>
      <c r="AD1475">
        <v>-1.1074699322029999</v>
      </c>
      <c r="AE1475">
        <v>-3.98810000000003</v>
      </c>
      <c r="AF1475">
        <v>2.8647769953693398</v>
      </c>
      <c r="AG1475">
        <v>-1.1074699322029999</v>
      </c>
      <c r="AH1475">
        <v>8.9229607159076991</v>
      </c>
      <c r="AI1475">
        <v>96.739583924161494</v>
      </c>
      <c r="AJ1475">
        <v>72.200420728414102</v>
      </c>
      <c r="AK1475">
        <v>9.43677194921883</v>
      </c>
      <c r="AL1475">
        <v>71.039538239065806</v>
      </c>
      <c r="AM1475">
        <v>80.591831972536895</v>
      </c>
      <c r="AN1475">
        <v>0.99999999794050398</v>
      </c>
    </row>
    <row r="1476" spans="1:40" x14ac:dyDescent="0.25">
      <c r="A1476" t="str">
        <f>"20190304164844707"</f>
        <v>20190304164844707</v>
      </c>
      <c r="B1476" t="str">
        <f>"1551689324697778"</f>
        <v>1551689324697778</v>
      </c>
      <c r="C1476" t="s">
        <v>40</v>
      </c>
      <c r="D1476">
        <v>4.9563139999999999</v>
      </c>
      <c r="E1476">
        <v>0.57732249999999996</v>
      </c>
      <c r="F1476" t="s">
        <v>44</v>
      </c>
      <c r="G1476">
        <v>-202.0848</v>
      </c>
      <c r="H1476" s="1">
        <v>-2.9006330000000001E-6</v>
      </c>
      <c r="I1476">
        <v>363.24489999999997</v>
      </c>
      <c r="J1476">
        <v>-210.6729</v>
      </c>
      <c r="K1476">
        <v>1.107426</v>
      </c>
      <c r="L1476">
        <v>367.23160000000001</v>
      </c>
      <c r="M1476">
        <v>0.99206499999999997</v>
      </c>
      <c r="N1476">
        <v>-1.387503E-2</v>
      </c>
      <c r="O1476">
        <v>-0.124958</v>
      </c>
      <c r="P1476">
        <v>0.91149619999999998</v>
      </c>
      <c r="Q1476">
        <v>0.31265599999999999</v>
      </c>
      <c r="R1476">
        <v>-0.2672466</v>
      </c>
      <c r="S1476">
        <v>3.017639</v>
      </c>
      <c r="T1476">
        <v>-0.3845655</v>
      </c>
      <c r="U1476">
        <v>-1.3898010000000001</v>
      </c>
      <c r="V1476">
        <v>0.15397949999999999</v>
      </c>
      <c r="W1476">
        <v>0.32435180000000002</v>
      </c>
      <c r="X1476">
        <v>0.93332000000000004</v>
      </c>
      <c r="Y1476">
        <v>0.29995470000000002</v>
      </c>
      <c r="Z1476">
        <v>-7.0063019999999998E-3</v>
      </c>
      <c r="AA1476">
        <v>0.95392770000000005</v>
      </c>
      <c r="AB1476">
        <v>22</v>
      </c>
      <c r="AC1476">
        <v>8.5880999999999901</v>
      </c>
      <c r="AD1476">
        <v>-1.107428900633</v>
      </c>
      <c r="AE1476">
        <v>-3.9867000000000399</v>
      </c>
      <c r="AF1476">
        <v>2.84329502227635</v>
      </c>
      <c r="AG1476">
        <v>-1.107428900633</v>
      </c>
      <c r="AH1476">
        <v>8.8972772841272505</v>
      </c>
      <c r="AI1476">
        <v>96.761505493426</v>
      </c>
      <c r="AJ1476">
        <v>72.277725883300405</v>
      </c>
      <c r="AK1476">
        <v>9.4059698290131397</v>
      </c>
      <c r="AL1476">
        <v>71.073691368835199</v>
      </c>
      <c r="AM1476">
        <v>80.631708554972505</v>
      </c>
      <c r="AN1476">
        <v>0.99999999949174501</v>
      </c>
    </row>
    <row r="1477" spans="1:40" x14ac:dyDescent="0.25">
      <c r="A1477" t="str">
        <f>"20190304164844719"</f>
        <v>20190304164844719</v>
      </c>
      <c r="B1477" t="str">
        <f>"1551689324707538"</f>
        <v>1551689324707538</v>
      </c>
      <c r="C1477" t="s">
        <v>40</v>
      </c>
      <c r="D1477">
        <v>4.9634819999999999</v>
      </c>
      <c r="E1477">
        <v>0.57724560000000003</v>
      </c>
      <c r="F1477" t="s">
        <v>44</v>
      </c>
      <c r="G1477">
        <v>-202.0583</v>
      </c>
      <c r="H1477" s="1">
        <v>-2.8863409999999999E-6</v>
      </c>
      <c r="I1477">
        <v>363.2491</v>
      </c>
      <c r="J1477">
        <v>-210.56469999999999</v>
      </c>
      <c r="K1477">
        <v>1.10738799999999</v>
      </c>
      <c r="L1477">
        <v>367.2149</v>
      </c>
      <c r="M1477">
        <v>0.99170329999999995</v>
      </c>
      <c r="N1477">
        <v>-1.387999E-2</v>
      </c>
      <c r="O1477">
        <v>-0.1277961</v>
      </c>
      <c r="P1477">
        <v>0.91104569999999996</v>
      </c>
      <c r="Q1477">
        <v>0.31203730000000002</v>
      </c>
      <c r="R1477">
        <v>-0.26949689999999998</v>
      </c>
      <c r="S1477">
        <v>3.015549</v>
      </c>
      <c r="T1477">
        <v>-0.38765509999999997</v>
      </c>
      <c r="U1477">
        <v>-1.3940729999999999</v>
      </c>
      <c r="V1477">
        <v>0.153606399999999</v>
      </c>
      <c r="W1477">
        <v>0.32373239999999998</v>
      </c>
      <c r="X1477">
        <v>0.93359650000000005</v>
      </c>
      <c r="Y1477">
        <v>0.29859429999999998</v>
      </c>
      <c r="Z1477">
        <v>-6.6406629999999998E-3</v>
      </c>
      <c r="AA1477">
        <v>0.95435700000000001</v>
      </c>
      <c r="AB1477">
        <v>22</v>
      </c>
      <c r="AC1477">
        <v>8.5063999999999798</v>
      </c>
      <c r="AD1477">
        <v>-1.10739088634099</v>
      </c>
      <c r="AE1477">
        <v>-3.9658000000000002</v>
      </c>
      <c r="AF1477">
        <v>2.8070080786065001</v>
      </c>
      <c r="AG1477">
        <v>-1.10739088634099</v>
      </c>
      <c r="AH1477">
        <v>8.8207012132449591</v>
      </c>
      <c r="AI1477">
        <v>96.822042253110098</v>
      </c>
      <c r="AJ1477">
        <v>72.347390628005101</v>
      </c>
      <c r="AK1477">
        <v>9.3225736157916295</v>
      </c>
      <c r="AL1477">
        <v>71.111204667242802</v>
      </c>
      <c r="AM1477">
        <v>80.656726550163</v>
      </c>
      <c r="AN1477">
        <v>1.00000000887148</v>
      </c>
    </row>
    <row r="1478" spans="1:40" x14ac:dyDescent="0.25">
      <c r="A1478" t="str">
        <f>"20190304164844730"</f>
        <v>20190304164844730</v>
      </c>
      <c r="B1478" t="str">
        <f>"1551689324717298"</f>
        <v>1551689324717298</v>
      </c>
      <c r="C1478" t="s">
        <v>40</v>
      </c>
      <c r="D1478">
        <v>4.9545130000000004</v>
      </c>
      <c r="E1478">
        <v>0.57717299999999905</v>
      </c>
      <c r="F1478" t="s">
        <v>44</v>
      </c>
      <c r="G1478">
        <v>-202.02850000000001</v>
      </c>
      <c r="H1478" s="1">
        <v>-2.8714580000000001E-6</v>
      </c>
      <c r="I1478">
        <v>363.24869999999999</v>
      </c>
      <c r="J1478">
        <v>-210.4512</v>
      </c>
      <c r="K1478">
        <v>1.1073519999999999</v>
      </c>
      <c r="L1478">
        <v>367.1968</v>
      </c>
      <c r="M1478">
        <v>0.99131029999999998</v>
      </c>
      <c r="N1478">
        <v>-1.388503E-2</v>
      </c>
      <c r="O1478">
        <v>-0.1308095</v>
      </c>
      <c r="P1478">
        <v>0.9106417</v>
      </c>
      <c r="Q1478">
        <v>0.3109789</v>
      </c>
      <c r="R1478">
        <v>-0.27207369999999997</v>
      </c>
      <c r="S1478">
        <v>3.01268</v>
      </c>
      <c r="T1478">
        <v>-0.39082909999999998</v>
      </c>
      <c r="U1478">
        <v>-1.39978</v>
      </c>
      <c r="V1478">
        <v>0.15337799999999999</v>
      </c>
      <c r="W1478">
        <v>0.32267430000000002</v>
      </c>
      <c r="X1478">
        <v>0.93400030000000001</v>
      </c>
      <c r="Y1478">
        <v>0.29753010000000002</v>
      </c>
      <c r="Z1478">
        <v>-6.270973E-3</v>
      </c>
      <c r="AA1478">
        <v>0.95469179999999998</v>
      </c>
      <c r="AB1478">
        <v>22</v>
      </c>
      <c r="AC1478">
        <v>8.4226999999999901</v>
      </c>
      <c r="AD1478">
        <v>-1.1073548714579999</v>
      </c>
      <c r="AE1478">
        <v>-3.9481000000000099</v>
      </c>
      <c r="AF1478">
        <v>2.7729970762952298</v>
      </c>
      <c r="AG1478">
        <v>-1.1073548714579999</v>
      </c>
      <c r="AH1478">
        <v>8.74291431292637</v>
      </c>
      <c r="AI1478">
        <v>96.884020449311606</v>
      </c>
      <c r="AJ1478">
        <v>72.402493133623594</v>
      </c>
      <c r="AK1478">
        <v>9.2387389983512591</v>
      </c>
      <c r="AL1478">
        <v>71.175268184473694</v>
      </c>
      <c r="AM1478">
        <v>80.674337412895895</v>
      </c>
      <c r="AN1478">
        <v>1.00000003758228</v>
      </c>
    </row>
    <row r="1479" spans="1:40" x14ac:dyDescent="0.25">
      <c r="A1479" t="str">
        <f>"20190304164844741"</f>
        <v>20190304164844741</v>
      </c>
      <c r="B1479" t="str">
        <f>"1551689324737793"</f>
        <v>1551689324737793</v>
      </c>
      <c r="C1479" t="s">
        <v>40</v>
      </c>
      <c r="D1479">
        <v>5.1741260000000002</v>
      </c>
      <c r="E1479">
        <v>0.57713429999999999</v>
      </c>
      <c r="F1479" t="s">
        <v>44</v>
      </c>
      <c r="G1479">
        <v>-202.0326</v>
      </c>
      <c r="H1479" s="1">
        <v>-2.8701770000000001E-6</v>
      </c>
      <c r="I1479">
        <v>363.2638</v>
      </c>
      <c r="J1479">
        <v>-210.35079999999999</v>
      </c>
      <c r="K1479">
        <v>1.1073230000000001</v>
      </c>
      <c r="L1479">
        <v>367.18049999999999</v>
      </c>
      <c r="M1479">
        <v>0.99095169999999999</v>
      </c>
      <c r="N1479">
        <v>-1.388927E-2</v>
      </c>
      <c r="O1479">
        <v>-0.133499799999999</v>
      </c>
      <c r="P1479">
        <v>0.91012969999999904</v>
      </c>
      <c r="Q1479">
        <v>0.31049529999999997</v>
      </c>
      <c r="R1479">
        <v>-0.27432990000000002</v>
      </c>
      <c r="S1479">
        <v>3.0094910000000001</v>
      </c>
      <c r="T1479">
        <v>-0.39585730000000002</v>
      </c>
      <c r="U1479">
        <v>-1.405975</v>
      </c>
      <c r="V1479">
        <v>0.15314949999999999</v>
      </c>
      <c r="W1479">
        <v>0.3221908</v>
      </c>
      <c r="X1479">
        <v>0.93420460000000005</v>
      </c>
      <c r="Y1479">
        <v>0.29692439999999998</v>
      </c>
      <c r="Z1479">
        <v>-5.9702740000000002E-3</v>
      </c>
      <c r="AA1479">
        <v>0.95488229999999996</v>
      </c>
      <c r="AB1479">
        <v>22</v>
      </c>
      <c r="AC1479">
        <v>8.3181999999999903</v>
      </c>
      <c r="AD1479">
        <v>-1.1073258701769999</v>
      </c>
      <c r="AE1479">
        <v>-3.9166999999999899</v>
      </c>
      <c r="AF1479">
        <v>2.7314292440007999</v>
      </c>
      <c r="AG1479">
        <v>-1.1073258701769999</v>
      </c>
      <c r="AH1479">
        <v>8.6413128256395897</v>
      </c>
      <c r="AI1479">
        <v>96.966135249256297</v>
      </c>
      <c r="AJ1479">
        <v>72.458795554875707</v>
      </c>
      <c r="AK1479">
        <v>9.1301239667547307</v>
      </c>
      <c r="AL1479">
        <v>71.204532136835198</v>
      </c>
      <c r="AM1479">
        <v>80.689987860121903</v>
      </c>
      <c r="AN1479">
        <v>0.99999995780802398</v>
      </c>
    </row>
    <row r="1480" spans="1:40" x14ac:dyDescent="0.25">
      <c r="A1480" t="str">
        <f>"20190304164844753"</f>
        <v>20190304164844753</v>
      </c>
      <c r="B1480" t="str">
        <f>"1551689324747554"</f>
        <v>1551689324747554</v>
      </c>
      <c r="C1480" t="s">
        <v>40</v>
      </c>
      <c r="D1480">
        <v>5.3427579999999999</v>
      </c>
      <c r="E1480">
        <v>0.57713429999999999</v>
      </c>
      <c r="F1480" t="s">
        <v>44</v>
      </c>
      <c r="G1480">
        <v>-202.01589999999999</v>
      </c>
      <c r="H1480" s="1">
        <v>-2.8608560000000001E-6</v>
      </c>
      <c r="I1480">
        <v>363.26799999999997</v>
      </c>
      <c r="J1480">
        <v>-210.2294</v>
      </c>
      <c r="K1480">
        <v>1.1073</v>
      </c>
      <c r="L1480">
        <v>367.16050000000001</v>
      </c>
      <c r="M1480">
        <v>0.99050490000000002</v>
      </c>
      <c r="N1480">
        <v>-1.3894149999999999E-2</v>
      </c>
      <c r="O1480">
        <v>-0.13677400000000001</v>
      </c>
      <c r="P1480">
        <v>0.90919300000000003</v>
      </c>
      <c r="Q1480">
        <v>0.3101853</v>
      </c>
      <c r="R1480">
        <v>-0.27776479999999998</v>
      </c>
      <c r="S1480">
        <v>3.00705</v>
      </c>
      <c r="T1480">
        <v>-0.3995013</v>
      </c>
      <c r="U1480">
        <v>-1.4115599999999999</v>
      </c>
      <c r="V1480">
        <v>0.15359510000000001</v>
      </c>
      <c r="W1480">
        <v>0.321872099999999</v>
      </c>
      <c r="X1480">
        <v>0.9342414</v>
      </c>
      <c r="Y1480">
        <v>0.29552519999999999</v>
      </c>
      <c r="Z1480">
        <v>-5.5345940000000003E-3</v>
      </c>
      <c r="AA1480">
        <v>0.95531889999999997</v>
      </c>
      <c r="AB1480">
        <v>22</v>
      </c>
      <c r="AC1480">
        <v>8.2134999999999998</v>
      </c>
      <c r="AD1480">
        <v>-1.107302860856</v>
      </c>
      <c r="AE1480">
        <v>-3.8924999999999801</v>
      </c>
      <c r="AF1480">
        <v>2.6924501063077999</v>
      </c>
      <c r="AG1480">
        <v>-1.107302860856</v>
      </c>
      <c r="AH1480">
        <v>8.5419637165046893</v>
      </c>
      <c r="AI1480">
        <v>97.047977578287302</v>
      </c>
      <c r="AJ1480">
        <v>72.505007311710102</v>
      </c>
      <c r="AK1480">
        <v>9.0244418849422203</v>
      </c>
      <c r="AL1480">
        <v>71.223821541383899</v>
      </c>
      <c r="AM1480">
        <v>80.663737300230807</v>
      </c>
      <c r="AN1480">
        <v>1.0000000484881799</v>
      </c>
    </row>
    <row r="1481" spans="1:40" x14ac:dyDescent="0.25">
      <c r="A1481" t="str">
        <f>"20190304164844765"</f>
        <v>20190304164844765</v>
      </c>
      <c r="B1481" t="str">
        <f>"1551689324757314"</f>
        <v>1551689324757314</v>
      </c>
      <c r="C1481" t="s">
        <v>40</v>
      </c>
      <c r="D1481">
        <v>5.305097</v>
      </c>
      <c r="E1481">
        <v>0.58787939999999905</v>
      </c>
      <c r="F1481" t="s">
        <v>44</v>
      </c>
      <c r="G1481">
        <v>-201.94820000000001</v>
      </c>
      <c r="H1481" s="1">
        <v>-2.8321139999999999E-6</v>
      </c>
      <c r="I1481">
        <v>363.24380000000002</v>
      </c>
      <c r="J1481">
        <v>-210.11699999999999</v>
      </c>
      <c r="K1481">
        <v>1.1072789999999999</v>
      </c>
      <c r="L1481">
        <v>367.14139999999998</v>
      </c>
      <c r="M1481">
        <v>0.99007650000000003</v>
      </c>
      <c r="N1481">
        <v>-1.389837E-2</v>
      </c>
      <c r="O1481">
        <v>-0.139841299999999</v>
      </c>
      <c r="P1481">
        <v>0.90818399999999999</v>
      </c>
      <c r="Q1481">
        <v>0.30996319999999999</v>
      </c>
      <c r="R1481">
        <v>-0.28129179999999998</v>
      </c>
      <c r="S1481">
        <v>3.0027469999999998</v>
      </c>
      <c r="T1481">
        <v>-0.401505</v>
      </c>
      <c r="U1481">
        <v>-1.4201969999999999</v>
      </c>
      <c r="V1481">
        <v>0.15433450000000001</v>
      </c>
      <c r="W1481">
        <v>0.32163960000000003</v>
      </c>
      <c r="X1481">
        <v>0.93419960000000002</v>
      </c>
      <c r="Y1481">
        <v>0.2953461</v>
      </c>
      <c r="Z1481">
        <v>-5.1951699999999998E-3</v>
      </c>
      <c r="AA1481">
        <v>0.95537620000000001</v>
      </c>
      <c r="AB1481">
        <v>22</v>
      </c>
      <c r="AC1481">
        <v>8.1687999999999992</v>
      </c>
      <c r="AD1481">
        <v>-1.1072818321140001</v>
      </c>
      <c r="AE1481">
        <v>-3.89759999999995</v>
      </c>
      <c r="AF1481">
        <v>2.6767862492405801</v>
      </c>
      <c r="AG1481">
        <v>-1.1072818321140001</v>
      </c>
      <c r="AH1481">
        <v>8.5063047531708609</v>
      </c>
      <c r="AI1481">
        <v>97.078135102886904</v>
      </c>
      <c r="AJ1481">
        <v>72.532117335606202</v>
      </c>
      <c r="AK1481">
        <v>8.9860157040631901</v>
      </c>
      <c r="AL1481">
        <v>71.237890652446097</v>
      </c>
      <c r="AM1481">
        <v>80.619177656633994</v>
      </c>
      <c r="AN1481">
        <v>1.0000000314092801</v>
      </c>
    </row>
    <row r="1482" spans="1:40" x14ac:dyDescent="0.25">
      <c r="A1482" t="str">
        <f>"20190304164844777"</f>
        <v>20190304164844777</v>
      </c>
      <c r="B1482" t="str">
        <f>"1551689324767695"</f>
        <v>1551689324767695</v>
      </c>
      <c r="C1482" t="s">
        <v>40</v>
      </c>
      <c r="D1482">
        <v>5.2293909999999997</v>
      </c>
      <c r="E1482">
        <v>0.58895969999999997</v>
      </c>
      <c r="F1482" t="s">
        <v>44</v>
      </c>
      <c r="G1482">
        <v>-204.6551</v>
      </c>
      <c r="H1482" s="1">
        <v>-3.930925E-6</v>
      </c>
      <c r="I1482">
        <v>364.43169999999998</v>
      </c>
      <c r="J1482">
        <v>-210.0042</v>
      </c>
      <c r="K1482">
        <v>1.107262</v>
      </c>
      <c r="L1482">
        <v>367.12209999999999</v>
      </c>
      <c r="M1482">
        <v>0.98963489999999998</v>
      </c>
      <c r="N1482">
        <v>-1.390243E-2</v>
      </c>
      <c r="O1482">
        <v>-0.14293149999999999</v>
      </c>
      <c r="P1482">
        <v>0.90710539999999995</v>
      </c>
      <c r="Q1482">
        <v>0.30987730000000002</v>
      </c>
      <c r="R1482">
        <v>-0.28484369999999998</v>
      </c>
      <c r="S1482">
        <v>3.0460210000000001</v>
      </c>
      <c r="T1482">
        <v>-0.61751599999999995</v>
      </c>
      <c r="U1482">
        <v>-1.5112000000000001</v>
      </c>
      <c r="V1482">
        <v>0.15508810000000001</v>
      </c>
      <c r="W1482">
        <v>0.32154250000000001</v>
      </c>
      <c r="X1482">
        <v>0.93410820000000006</v>
      </c>
      <c r="Y1482">
        <v>0.30842199999999997</v>
      </c>
      <c r="Z1482">
        <v>-6.601198E-3</v>
      </c>
      <c r="AA1482">
        <v>0.95122669999999998</v>
      </c>
      <c r="AB1482">
        <v>22</v>
      </c>
      <c r="AC1482">
        <v>5.3490999999999902</v>
      </c>
      <c r="AD1482">
        <v>-1.1072659309249999</v>
      </c>
      <c r="AE1482">
        <v>-2.6904000000000101</v>
      </c>
      <c r="AF1482">
        <v>1.8353761105410999</v>
      </c>
      <c r="AG1482">
        <v>-1.1072659309249999</v>
      </c>
      <c r="AH1482">
        <v>5.4909676862558596</v>
      </c>
      <c r="AI1482">
        <v>100.82714415959499</v>
      </c>
      <c r="AJ1482">
        <v>71.517605931805505</v>
      </c>
      <c r="AK1482">
        <v>5.8945202892549498</v>
      </c>
      <c r="AL1482">
        <v>71.243765844012302</v>
      </c>
      <c r="AM1482">
        <v>80.573286351055501</v>
      </c>
      <c r="AN1482">
        <v>1.00000001368755</v>
      </c>
    </row>
    <row r="1483" spans="1:40" x14ac:dyDescent="0.25">
      <c r="A1483" t="str">
        <f>"20190304164844791"</f>
        <v>20190304164844791</v>
      </c>
      <c r="B1483" t="str">
        <f>"1551689324787215"</f>
        <v>1551689324787215</v>
      </c>
      <c r="C1483" t="s">
        <v>40</v>
      </c>
      <c r="D1483">
        <v>5.1982939999999997</v>
      </c>
      <c r="E1483">
        <v>0.59009239999999996</v>
      </c>
      <c r="F1483" t="s">
        <v>44</v>
      </c>
      <c r="G1483">
        <v>-204.74619999999999</v>
      </c>
      <c r="H1483" s="1">
        <v>-3.9651070000000004E-6</v>
      </c>
      <c r="I1483">
        <v>364.48430000000002</v>
      </c>
      <c r="J1483">
        <v>-209.8734</v>
      </c>
      <c r="K1483">
        <v>1.107243</v>
      </c>
      <c r="L1483">
        <v>367.09899999999999</v>
      </c>
      <c r="M1483">
        <v>0.9891046</v>
      </c>
      <c r="N1483">
        <v>-1.3906999999999999E-2</v>
      </c>
      <c r="O1483">
        <v>-0.1465563</v>
      </c>
      <c r="P1483">
        <v>0.90564860000000003</v>
      </c>
      <c r="Q1483">
        <v>0.3099769</v>
      </c>
      <c r="R1483">
        <v>-0.28933530000000002</v>
      </c>
      <c r="S1483">
        <v>3.0464630000000001</v>
      </c>
      <c r="T1483">
        <v>-0.64154650000000002</v>
      </c>
      <c r="U1483">
        <v>-1.528351</v>
      </c>
      <c r="V1483">
        <v>0.15632289999999999</v>
      </c>
      <c r="W1483">
        <v>0.32162420000000003</v>
      </c>
      <c r="X1483">
        <v>0.93387419999999999</v>
      </c>
      <c r="Y1483">
        <v>0.30899019999999999</v>
      </c>
      <c r="Z1483">
        <v>-6.1073769999999998E-3</v>
      </c>
      <c r="AA1483">
        <v>0.95104560000000005</v>
      </c>
      <c r="AB1483">
        <v>22</v>
      </c>
      <c r="AC1483">
        <v>5.12720000000001</v>
      </c>
      <c r="AD1483">
        <v>-1.107246965107</v>
      </c>
      <c r="AE1483">
        <v>-2.6146999999999698</v>
      </c>
      <c r="AF1483">
        <v>1.7694750221965101</v>
      </c>
      <c r="AG1483">
        <v>-1.107246965107</v>
      </c>
      <c r="AH1483">
        <v>5.2603716270618301</v>
      </c>
      <c r="AI1483">
        <v>101.282592666247</v>
      </c>
      <c r="AJ1483">
        <v>71.408175971676499</v>
      </c>
      <c r="AK1483">
        <v>5.6593769401510201</v>
      </c>
      <c r="AL1483">
        <v>71.238821877351995</v>
      </c>
      <c r="AM1483">
        <v>80.497257370051301</v>
      </c>
      <c r="AN1483">
        <v>0.99999999825784502</v>
      </c>
    </row>
    <row r="1484" spans="1:40" x14ac:dyDescent="0.25">
      <c r="A1484" t="str">
        <f>"20190304164844805"</f>
        <v>20190304164844805</v>
      </c>
      <c r="B1484" t="str">
        <f>"1551689324797952"</f>
        <v>1551689324797952</v>
      </c>
      <c r="C1484" t="s">
        <v>40</v>
      </c>
      <c r="D1484">
        <v>5.2047470000000002</v>
      </c>
      <c r="E1484">
        <v>0.59080279999999996</v>
      </c>
      <c r="F1484" t="s">
        <v>44</v>
      </c>
      <c r="G1484">
        <v>-204.7886</v>
      </c>
      <c r="H1484" s="1">
        <v>-3.9805159999999999E-6</v>
      </c>
      <c r="I1484">
        <v>364.51100000000002</v>
      </c>
      <c r="J1484">
        <v>-209.73349999999999</v>
      </c>
      <c r="K1484">
        <v>1.107224</v>
      </c>
      <c r="L1484">
        <v>367.07380000000001</v>
      </c>
      <c r="M1484">
        <v>0.98851719999999998</v>
      </c>
      <c r="N1484">
        <v>-1.391186E-2</v>
      </c>
      <c r="O1484">
        <v>-0.1504674</v>
      </c>
      <c r="P1484">
        <v>0.90353410000000001</v>
      </c>
      <c r="Q1484">
        <v>0.31096279999999998</v>
      </c>
      <c r="R1484">
        <v>-0.2948363</v>
      </c>
      <c r="S1484">
        <v>3.0444179999999998</v>
      </c>
      <c r="T1484">
        <v>-0.66293919999999995</v>
      </c>
      <c r="U1484">
        <v>-1.5495000000000001</v>
      </c>
      <c r="V1484">
        <v>0.158392899999999</v>
      </c>
      <c r="W1484">
        <v>0.32257859999999899</v>
      </c>
      <c r="X1484">
        <v>0.93319600000000003</v>
      </c>
      <c r="Y1484">
        <v>0.31057679999999999</v>
      </c>
      <c r="Z1484">
        <v>-5.6234229999999998E-3</v>
      </c>
      <c r="AA1484">
        <v>0.95053169999999998</v>
      </c>
      <c r="AB1484">
        <v>22</v>
      </c>
      <c r="AC1484">
        <v>4.9448999999999899</v>
      </c>
      <c r="AD1484">
        <v>-1.1072279805159999</v>
      </c>
      <c r="AE1484">
        <v>-2.5628000000000299</v>
      </c>
      <c r="AF1484">
        <v>1.7214638974572201</v>
      </c>
      <c r="AG1484">
        <v>-1.1072279805159999</v>
      </c>
      <c r="AH1484">
        <v>5.0737254930759601</v>
      </c>
      <c r="AI1484">
        <v>101.676196739426</v>
      </c>
      <c r="AJ1484">
        <v>71.258443655367799</v>
      </c>
      <c r="AK1484">
        <v>5.4710220370763496</v>
      </c>
      <c r="AL1484">
        <v>71.181060802577207</v>
      </c>
      <c r="AM1484">
        <v>80.366898614912401</v>
      </c>
      <c r="AN1484">
        <v>1.0000000191821801</v>
      </c>
    </row>
    <row r="1485" spans="1:40" x14ac:dyDescent="0.25">
      <c r="A1485" t="str">
        <f>"20190304164844821"</f>
        <v>20190304164844821</v>
      </c>
      <c r="B1485" t="str">
        <f>"1551689324817471"</f>
        <v>1551689324817471</v>
      </c>
      <c r="C1485" t="s">
        <v>40</v>
      </c>
      <c r="D1485">
        <v>5.1341979999999996</v>
      </c>
      <c r="E1485">
        <v>0.59171669999999998</v>
      </c>
      <c r="F1485" t="s">
        <v>44</v>
      </c>
      <c r="G1485">
        <v>-204.6585</v>
      </c>
      <c r="H1485" s="1">
        <v>-3.92837E-6</v>
      </c>
      <c r="I1485">
        <v>364.45100000000002</v>
      </c>
      <c r="J1485">
        <v>-209.5855</v>
      </c>
      <c r="K1485">
        <v>1.107202</v>
      </c>
      <c r="L1485">
        <v>367.04640000000001</v>
      </c>
      <c r="M1485">
        <v>0.98787400000000003</v>
      </c>
      <c r="N1485">
        <v>-1.391688E-2</v>
      </c>
      <c r="O1485">
        <v>-0.1546331</v>
      </c>
      <c r="P1485">
        <v>0.9019431</v>
      </c>
      <c r="Q1485">
        <v>0.31104009999999999</v>
      </c>
      <c r="R1485">
        <v>-0.29958859999999998</v>
      </c>
      <c r="S1485">
        <v>3.0362550000000001</v>
      </c>
      <c r="T1485">
        <v>-0.66243490000000005</v>
      </c>
      <c r="U1485">
        <v>-1.569183</v>
      </c>
      <c r="V1485">
        <v>0.15939829999999999</v>
      </c>
      <c r="W1485">
        <v>0.32263989999999998</v>
      </c>
      <c r="X1485">
        <v>0.93300349999999999</v>
      </c>
      <c r="Y1485">
        <v>0.3125134</v>
      </c>
      <c r="Z1485">
        <v>-5.0722040000000003E-3</v>
      </c>
      <c r="AA1485">
        <v>0.94989979999999996</v>
      </c>
      <c r="AB1485">
        <v>22</v>
      </c>
      <c r="AC1485">
        <v>4.9269999999999898</v>
      </c>
      <c r="AD1485">
        <v>-1.10720592837</v>
      </c>
      <c r="AE1485">
        <v>-2.5954000000000401</v>
      </c>
      <c r="AF1485">
        <v>1.7336912205417401</v>
      </c>
      <c r="AG1485">
        <v>-1.10720592837</v>
      </c>
      <c r="AH1485">
        <v>5.06872927637367</v>
      </c>
      <c r="AI1485">
        <v>101.67763760385699</v>
      </c>
      <c r="AJ1485">
        <v>71.117431661911596</v>
      </c>
      <c r="AK1485">
        <v>5.4702474069431899</v>
      </c>
      <c r="AL1485">
        <v>71.177348373148106</v>
      </c>
      <c r="AM1485">
        <v>80.304946971217106</v>
      </c>
      <c r="AN1485">
        <v>0.99999992706357199</v>
      </c>
    </row>
    <row r="1486" spans="1:40" x14ac:dyDescent="0.25">
      <c r="A1486" t="str">
        <f>"20190304164844836"</f>
        <v>20190304164844836</v>
      </c>
      <c r="B1486" t="str">
        <f>"1551689324827231"</f>
        <v>1551689324827231</v>
      </c>
      <c r="C1486" t="s">
        <v>40</v>
      </c>
      <c r="D1486">
        <v>5.132504</v>
      </c>
      <c r="E1486">
        <v>0.59216349999999995</v>
      </c>
      <c r="F1486" t="s">
        <v>44</v>
      </c>
      <c r="G1486">
        <v>-204.5359</v>
      </c>
      <c r="H1486" s="1">
        <v>-3.8792540000000003E-6</v>
      </c>
      <c r="I1486">
        <v>364.39429999999999</v>
      </c>
      <c r="J1486">
        <v>-209.44149999999999</v>
      </c>
      <c r="K1486">
        <v>1.1071820000000001</v>
      </c>
      <c r="L1486">
        <v>367.01929999999999</v>
      </c>
      <c r="M1486">
        <v>0.98722589999999999</v>
      </c>
      <c r="N1486">
        <v>-1.3921599999999999E-2</v>
      </c>
      <c r="O1486">
        <v>-0.15871689999999999</v>
      </c>
      <c r="P1486">
        <v>0.90005630000000003</v>
      </c>
      <c r="Q1486">
        <v>0.31153779999999998</v>
      </c>
      <c r="R1486">
        <v>-0.30470120000000001</v>
      </c>
      <c r="S1486">
        <v>3.0269469999999998</v>
      </c>
      <c r="T1486">
        <v>-0.66371049999999998</v>
      </c>
      <c r="U1486">
        <v>-1.5898129999999999</v>
      </c>
      <c r="V1486">
        <v>0.160889</v>
      </c>
      <c r="W1486">
        <v>0.3231156</v>
      </c>
      <c r="X1486">
        <v>0.93258300000000005</v>
      </c>
      <c r="Y1486">
        <v>0.31487029999999999</v>
      </c>
      <c r="Z1486">
        <v>-4.5834760000000004E-3</v>
      </c>
      <c r="AA1486">
        <v>0.94912359999999896</v>
      </c>
      <c r="AB1486">
        <v>22</v>
      </c>
      <c r="AC1486">
        <v>4.90559999999999</v>
      </c>
      <c r="AD1486">
        <v>-1.1071858792539999</v>
      </c>
      <c r="AE1486">
        <v>-2.625</v>
      </c>
      <c r="AF1486">
        <v>1.74397942066518</v>
      </c>
      <c r="AG1486">
        <v>-1.1071858792539999</v>
      </c>
      <c r="AH1486">
        <v>5.0597094257978297</v>
      </c>
      <c r="AI1486">
        <v>101.688444649131</v>
      </c>
      <c r="AJ1486">
        <v>70.981964138201107</v>
      </c>
      <c r="AK1486">
        <v>5.4651609550342197</v>
      </c>
      <c r="AL1486">
        <v>71.148551922213898</v>
      </c>
      <c r="AM1486">
        <v>80.211696611842797</v>
      </c>
      <c r="AN1486">
        <v>1.0000000065866801</v>
      </c>
    </row>
    <row r="1487" spans="1:40" x14ac:dyDescent="0.25">
      <c r="A1487" t="str">
        <f>"20190304164844848"</f>
        <v>20190304164844848</v>
      </c>
      <c r="B1487" t="str">
        <f>"1551689324837967"</f>
        <v>1551689324837967</v>
      </c>
      <c r="C1487" t="s">
        <v>40</v>
      </c>
      <c r="D1487">
        <v>5.1424269999999996</v>
      </c>
      <c r="E1487">
        <v>0.59251160000000003</v>
      </c>
      <c r="F1487" t="s">
        <v>44</v>
      </c>
      <c r="G1487">
        <v>-204.38890000000001</v>
      </c>
      <c r="H1487" s="1">
        <v>-3.8202759999999998E-6</v>
      </c>
      <c r="I1487">
        <v>364.32659999999998</v>
      </c>
      <c r="J1487">
        <v>-209.3141</v>
      </c>
      <c r="K1487">
        <v>1.10717</v>
      </c>
      <c r="L1487">
        <v>366.99450000000002</v>
      </c>
      <c r="M1487">
        <v>0.98663290000000003</v>
      </c>
      <c r="N1487">
        <v>-1.3925399999999999E-2</v>
      </c>
      <c r="O1487">
        <v>-0.16236349999999999</v>
      </c>
      <c r="P1487">
        <v>0.89756100000000005</v>
      </c>
      <c r="Q1487">
        <v>0.31276359999999997</v>
      </c>
      <c r="R1487">
        <v>-0.310747</v>
      </c>
      <c r="S1487">
        <v>3.0175779999999999</v>
      </c>
      <c r="T1487">
        <v>-0.66124629999999995</v>
      </c>
      <c r="U1487">
        <v>-1.6081540000000001</v>
      </c>
      <c r="V1487">
        <v>0.16381999999999999</v>
      </c>
      <c r="W1487">
        <v>0.32429950000000002</v>
      </c>
      <c r="X1487">
        <v>0.93166139999999997</v>
      </c>
      <c r="Y1487">
        <v>0.31711600000000001</v>
      </c>
      <c r="Z1487">
        <v>-4.1622909999999898E-3</v>
      </c>
      <c r="AA1487">
        <v>0.94837769999999999</v>
      </c>
      <c r="AB1487">
        <v>22</v>
      </c>
      <c r="AC1487">
        <v>4.9251999999999896</v>
      </c>
      <c r="AD1487">
        <v>-1.107173820276</v>
      </c>
      <c r="AE1487">
        <v>-2.6679000000000301</v>
      </c>
      <c r="AF1487">
        <v>1.7638297253087001</v>
      </c>
      <c r="AG1487">
        <v>-1.107173820276</v>
      </c>
      <c r="AH1487">
        <v>5.0940226672239399</v>
      </c>
      <c r="AI1487">
        <v>101.60624364110799</v>
      </c>
      <c r="AJ1487">
        <v>70.901343600087102</v>
      </c>
      <c r="AK1487">
        <v>5.5032714000291101</v>
      </c>
      <c r="AL1487">
        <v>71.076860383778396</v>
      </c>
      <c r="AM1487">
        <v>80.027262123523002</v>
      </c>
      <c r="AN1487">
        <v>1.0000000611751001</v>
      </c>
    </row>
    <row r="1488" spans="1:40" x14ac:dyDescent="0.25">
      <c r="A1488" t="str">
        <f>"20190304164844859"</f>
        <v>20190304164844859</v>
      </c>
      <c r="B1488" t="str">
        <f>"1551689324857487"</f>
        <v>1551689324857487</v>
      </c>
      <c r="C1488" t="s">
        <v>40</v>
      </c>
      <c r="D1488">
        <v>5.1606870000000002</v>
      </c>
      <c r="E1488">
        <v>0.59293119999999999</v>
      </c>
      <c r="F1488" t="s">
        <v>44</v>
      </c>
      <c r="G1488">
        <v>-204.25110000000001</v>
      </c>
      <c r="H1488" s="1">
        <v>-3.765729E-6</v>
      </c>
      <c r="I1488">
        <v>364.25970000000001</v>
      </c>
      <c r="J1488">
        <v>-209.21180000000001</v>
      </c>
      <c r="K1488">
        <v>1.1071569999999999</v>
      </c>
      <c r="L1488">
        <v>366.97430000000003</v>
      </c>
      <c r="M1488">
        <v>0.98614500000000005</v>
      </c>
      <c r="N1488">
        <v>-1.392819E-2</v>
      </c>
      <c r="O1488">
        <v>-0.165301</v>
      </c>
      <c r="P1488">
        <v>0.89599189999999995</v>
      </c>
      <c r="Q1488">
        <v>0.31300460000000002</v>
      </c>
      <c r="R1488">
        <v>-0.3150038</v>
      </c>
      <c r="S1488">
        <v>3.0089869999999999</v>
      </c>
      <c r="T1488">
        <v>-0.65799449999999904</v>
      </c>
      <c r="U1488">
        <v>-1.625275</v>
      </c>
      <c r="V1488">
        <v>0.16550019999999999</v>
      </c>
      <c r="W1488">
        <v>0.32451780000000002</v>
      </c>
      <c r="X1488">
        <v>0.93128829999999996</v>
      </c>
      <c r="Y1488">
        <v>0.31962879999999999</v>
      </c>
      <c r="Z1488">
        <v>-3.9037479999999999E-3</v>
      </c>
      <c r="AA1488">
        <v>0.94753480000000001</v>
      </c>
      <c r="AB1488">
        <v>22</v>
      </c>
      <c r="AC1488">
        <v>4.9607000000000001</v>
      </c>
      <c r="AD1488">
        <v>-1.1071607657289999</v>
      </c>
      <c r="AE1488">
        <v>-2.7146000000000101</v>
      </c>
      <c r="AF1488">
        <v>1.7885976020402401</v>
      </c>
      <c r="AG1488">
        <v>-1.1071607657289999</v>
      </c>
      <c r="AH1488">
        <v>5.1440255286702596</v>
      </c>
      <c r="AI1488">
        <v>101.491289499579</v>
      </c>
      <c r="AJ1488">
        <v>70.827238792461003</v>
      </c>
      <c r="AK1488">
        <v>5.5575070834687299</v>
      </c>
      <c r="AL1488">
        <v>71.063636546835198</v>
      </c>
      <c r="AM1488">
        <v>79.923109435331895</v>
      </c>
      <c r="AN1488">
        <v>1.0000000082168801</v>
      </c>
    </row>
    <row r="1489" spans="1:40" x14ac:dyDescent="0.25">
      <c r="A1489" t="str">
        <f>"20190304164844870"</f>
        <v>20190304164844870</v>
      </c>
      <c r="B1489" t="str">
        <f>"1551689324867955"</f>
        <v>1551689324867955</v>
      </c>
      <c r="C1489" t="s">
        <v>40</v>
      </c>
      <c r="D1489">
        <v>5.148161</v>
      </c>
      <c r="E1489">
        <v>0.59303980000000001</v>
      </c>
      <c r="F1489" t="s">
        <v>44</v>
      </c>
      <c r="G1489">
        <v>-204.15559999999999</v>
      </c>
      <c r="H1489" s="1">
        <v>-3.7285080000000002E-6</v>
      </c>
      <c r="I1489">
        <v>364.21100000000001</v>
      </c>
      <c r="J1489">
        <v>-209.10310000000001</v>
      </c>
      <c r="K1489">
        <v>1.107145</v>
      </c>
      <c r="L1489">
        <v>366.95249999999999</v>
      </c>
      <c r="M1489">
        <v>0.98561500000000002</v>
      </c>
      <c r="N1489">
        <v>-1.393086E-2</v>
      </c>
      <c r="O1489">
        <v>-0.16843150000000001</v>
      </c>
      <c r="P1489">
        <v>0.89472879999999999</v>
      </c>
      <c r="Q1489">
        <v>0.31228479999999997</v>
      </c>
      <c r="R1489">
        <v>-0.31927870000000003</v>
      </c>
      <c r="S1489">
        <v>3.00116</v>
      </c>
      <c r="T1489">
        <v>-0.65717399999999904</v>
      </c>
      <c r="U1489">
        <v>-1.64022799999999</v>
      </c>
      <c r="V1489">
        <v>0.16695499999999999</v>
      </c>
      <c r="W1489">
        <v>0.32378390000000001</v>
      </c>
      <c r="X1489">
        <v>0.93128409999999995</v>
      </c>
      <c r="Y1489">
        <v>0.32131890000000002</v>
      </c>
      <c r="Z1489">
        <v>-3.5193450000000001E-3</v>
      </c>
      <c r="AA1489">
        <v>0.94696449999999999</v>
      </c>
      <c r="AB1489">
        <v>22</v>
      </c>
      <c r="AC1489">
        <v>4.9475000000000096</v>
      </c>
      <c r="AD1489">
        <v>-1.1071487285079999</v>
      </c>
      <c r="AE1489">
        <v>-2.7414999999999701</v>
      </c>
      <c r="AF1489">
        <v>1.79996726458585</v>
      </c>
      <c r="AG1489">
        <v>-1.1071487285079999</v>
      </c>
      <c r="AH1489">
        <v>5.14161089890505</v>
      </c>
      <c r="AI1489">
        <v>101.488158731751</v>
      </c>
      <c r="AJ1489">
        <v>70.705948655252897</v>
      </c>
      <c r="AK1489">
        <v>5.55894082504543</v>
      </c>
      <c r="AL1489">
        <v>71.108086383185196</v>
      </c>
      <c r="AM1489">
        <v>79.836324204675407</v>
      </c>
      <c r="AN1489">
        <v>1.0000000304184999</v>
      </c>
    </row>
    <row r="1490" spans="1:40" x14ac:dyDescent="0.25">
      <c r="A1490" t="str">
        <f>"20190304164844882"</f>
        <v>20190304164844882</v>
      </c>
      <c r="B1490" t="str">
        <f>"1551689324877718"</f>
        <v>1551689324877718</v>
      </c>
      <c r="C1490" t="s">
        <v>40</v>
      </c>
      <c r="D1490">
        <v>5.1388980000000002</v>
      </c>
      <c r="E1490">
        <v>0.59303980000000001</v>
      </c>
      <c r="F1490" t="s">
        <v>44</v>
      </c>
      <c r="G1490">
        <v>-204.083</v>
      </c>
      <c r="H1490" s="1">
        <v>-3.6985880000000001E-6</v>
      </c>
      <c r="I1490">
        <v>364.18110000000001</v>
      </c>
      <c r="J1490">
        <v>-208.99</v>
      </c>
      <c r="K1490">
        <v>1.1071329999999999</v>
      </c>
      <c r="L1490">
        <v>366.92939999999999</v>
      </c>
      <c r="M1490">
        <v>0.98505030000000005</v>
      </c>
      <c r="N1490">
        <v>-1.39331E-2</v>
      </c>
      <c r="O1490">
        <v>-0.1717023</v>
      </c>
      <c r="P1490">
        <v>0.89363519999999896</v>
      </c>
      <c r="Q1490">
        <v>0.31092350000000002</v>
      </c>
      <c r="R1490">
        <v>-0.32364039999999999</v>
      </c>
      <c r="S1490">
        <v>2.993668</v>
      </c>
      <c r="T1490">
        <v>-0.66022250000000005</v>
      </c>
      <c r="U1490">
        <v>-1.6527099999999999</v>
      </c>
      <c r="V1490">
        <v>0.1683239</v>
      </c>
      <c r="W1490">
        <v>0.32241340000000002</v>
      </c>
      <c r="X1490">
        <v>0.93151309999999998</v>
      </c>
      <c r="Y1490">
        <v>0.32220700000000002</v>
      </c>
      <c r="Z1490">
        <v>-3.012504E-3</v>
      </c>
      <c r="AA1490">
        <v>0.94666450000000002</v>
      </c>
      <c r="AB1490">
        <v>22</v>
      </c>
      <c r="AC1490">
        <v>4.9070000000000098</v>
      </c>
      <c r="AD1490">
        <v>-1.107136698588</v>
      </c>
      <c r="AE1490">
        <v>-2.7482999999999702</v>
      </c>
      <c r="AF1490">
        <v>1.79528333682171</v>
      </c>
      <c r="AG1490">
        <v>-1.107136698588</v>
      </c>
      <c r="AH1490">
        <v>5.1081043965233004</v>
      </c>
      <c r="AI1490">
        <v>101.556524267112</v>
      </c>
      <c r="AJ1490">
        <v>70.635575098228003</v>
      </c>
      <c r="AK1490">
        <v>5.5264386773591099</v>
      </c>
      <c r="AL1490">
        <v>71.191059872339196</v>
      </c>
      <c r="AM1490">
        <v>79.757213470489404</v>
      </c>
      <c r="AN1490">
        <v>0.99999999564118902</v>
      </c>
    </row>
    <row r="1491" spans="1:40" x14ac:dyDescent="0.25">
      <c r="A1491" t="str">
        <f>"20190304164844894"</f>
        <v>20190304164844894</v>
      </c>
      <c r="B1491" t="str">
        <f>"1551689324887474"</f>
        <v>1551689324887474</v>
      </c>
      <c r="C1491" t="s">
        <v>40</v>
      </c>
      <c r="D1491">
        <v>5.1207190000000002</v>
      </c>
      <c r="E1491">
        <v>0.59316289999999905</v>
      </c>
      <c r="F1491" t="s">
        <v>44</v>
      </c>
      <c r="G1491">
        <v>-204.02359999999999</v>
      </c>
      <c r="H1491" s="1">
        <v>-3.6734159999999999E-6</v>
      </c>
      <c r="I1491">
        <v>364.15989999999999</v>
      </c>
      <c r="J1491">
        <v>-208.88130000000001</v>
      </c>
      <c r="K1491">
        <v>1.107129</v>
      </c>
      <c r="L1491">
        <v>366.90690000000001</v>
      </c>
      <c r="M1491">
        <v>0.98449679999999995</v>
      </c>
      <c r="N1491">
        <v>-1.393499E-2</v>
      </c>
      <c r="O1491">
        <v>-0.17484859999999999</v>
      </c>
      <c r="P1491">
        <v>0.89271579999999995</v>
      </c>
      <c r="Q1491">
        <v>0.30923909999999999</v>
      </c>
      <c r="R1491">
        <v>-0.32776519999999998</v>
      </c>
      <c r="S1491">
        <v>2.9856569999999998</v>
      </c>
      <c r="T1491">
        <v>-0.66558039999999996</v>
      </c>
      <c r="U1491">
        <v>-1.6649480000000001</v>
      </c>
      <c r="V1491">
        <v>0.169541</v>
      </c>
      <c r="W1491">
        <v>0.3207238</v>
      </c>
      <c r="X1491">
        <v>0.93187560000000003</v>
      </c>
      <c r="Y1491">
        <v>0.3231984</v>
      </c>
      <c r="Z1491">
        <v>-2.5264879999999999E-3</v>
      </c>
      <c r="AA1491">
        <v>0.9463279</v>
      </c>
      <c r="AB1491">
        <v>22</v>
      </c>
      <c r="AC1491">
        <v>4.8577000000000199</v>
      </c>
      <c r="AD1491">
        <v>-1.1071326734160001</v>
      </c>
      <c r="AE1491">
        <v>-2.7470000000000101</v>
      </c>
      <c r="AF1491">
        <v>1.7849771507283401</v>
      </c>
      <c r="AG1491">
        <v>-1.1071326734160001</v>
      </c>
      <c r="AH1491">
        <v>5.0639036526241901</v>
      </c>
      <c r="AI1491">
        <v>101.650942152206</v>
      </c>
      <c r="AJ1491">
        <v>70.582937858310203</v>
      </c>
      <c r="AK1491">
        <v>5.48224464870259</v>
      </c>
      <c r="AL1491">
        <v>71.293297511615094</v>
      </c>
      <c r="AM1491">
        <v>79.688661998170602</v>
      </c>
      <c r="AN1491">
        <v>1.0000000202213899</v>
      </c>
    </row>
    <row r="1492" spans="1:40" x14ac:dyDescent="0.25">
      <c r="A1492" t="str">
        <f>"20190304164844905"</f>
        <v>20190304164844905</v>
      </c>
      <c r="B1492" t="str">
        <f>"1551689324897235"</f>
        <v>1551689324897235</v>
      </c>
      <c r="C1492" t="s">
        <v>40</v>
      </c>
      <c r="D1492">
        <v>5.130979</v>
      </c>
      <c r="E1492">
        <v>0.59329900000000002</v>
      </c>
      <c r="F1492" t="s">
        <v>44</v>
      </c>
      <c r="G1492">
        <v>-203.97110000000001</v>
      </c>
      <c r="H1492" s="1">
        <v>-3.6515979999999998E-6</v>
      </c>
      <c r="I1492">
        <v>364.13920000000002</v>
      </c>
      <c r="J1492">
        <v>-208.78049999999999</v>
      </c>
      <c r="K1492">
        <v>1.1071299999999999</v>
      </c>
      <c r="L1492">
        <v>366.88560000000001</v>
      </c>
      <c r="M1492">
        <v>0.98397210000000002</v>
      </c>
      <c r="N1492">
        <v>-1.393612E-2</v>
      </c>
      <c r="O1492">
        <v>-0.1777765</v>
      </c>
      <c r="P1492">
        <v>0.89173359999999902</v>
      </c>
      <c r="Q1492">
        <v>0.30805640000000001</v>
      </c>
      <c r="R1492">
        <v>-0.3315303</v>
      </c>
      <c r="S1492">
        <v>2.9769739999999998</v>
      </c>
      <c r="T1492">
        <v>-0.67123449999999996</v>
      </c>
      <c r="U1492">
        <v>-1.67804</v>
      </c>
      <c r="V1492">
        <v>0.1706211</v>
      </c>
      <c r="W1492">
        <v>0.31953619999999999</v>
      </c>
      <c r="X1492">
        <v>0.93208639999999998</v>
      </c>
      <c r="Y1492">
        <v>0.3246812</v>
      </c>
      <c r="Z1492">
        <v>-2.1256249999999999E-3</v>
      </c>
      <c r="AA1492">
        <v>0.94582120000000003</v>
      </c>
      <c r="AB1492">
        <v>22</v>
      </c>
      <c r="AC1492">
        <v>4.8093999999999797</v>
      </c>
      <c r="AD1492">
        <v>-1.1071336515979999</v>
      </c>
      <c r="AE1492">
        <v>-2.7463999999999902</v>
      </c>
      <c r="AF1492">
        <v>1.7765677351272</v>
      </c>
      <c r="AG1492">
        <v>-1.1071336515979999</v>
      </c>
      <c r="AH1492">
        <v>5.0204432414614599</v>
      </c>
      <c r="AI1492">
        <v>101.74408295114701</v>
      </c>
      <c r="AJ1492">
        <v>70.512823685017594</v>
      </c>
      <c r="AK1492">
        <v>5.4393738776380998</v>
      </c>
      <c r="AL1492">
        <v>71.365121446552195</v>
      </c>
      <c r="AM1492">
        <v>79.626689218401694</v>
      </c>
      <c r="AN1492">
        <v>0.99999999997030498</v>
      </c>
    </row>
    <row r="1493" spans="1:40" x14ac:dyDescent="0.25">
      <c r="A1493" t="str">
        <f>"20190304164844916"</f>
        <v>20190304164844916</v>
      </c>
      <c r="B1493" t="str">
        <f>"1551689324907971"</f>
        <v>1551689324907971</v>
      </c>
      <c r="C1493" t="s">
        <v>40</v>
      </c>
      <c r="D1493">
        <v>4.8136130000000001</v>
      </c>
      <c r="E1493">
        <v>0.59329900000000002</v>
      </c>
      <c r="F1493" t="s">
        <v>44</v>
      </c>
      <c r="G1493">
        <v>-203.90809999999999</v>
      </c>
      <c r="H1493" s="1">
        <v>-3.6260059999999998E-6</v>
      </c>
      <c r="I1493">
        <v>364.11160000000001</v>
      </c>
      <c r="J1493">
        <v>-208.67359999999999</v>
      </c>
      <c r="K1493">
        <v>1.107129</v>
      </c>
      <c r="L1493">
        <v>366.86279999999999</v>
      </c>
      <c r="M1493">
        <v>0.9834058</v>
      </c>
      <c r="N1493">
        <v>-1.393724E-2</v>
      </c>
      <c r="O1493">
        <v>-0.18088470000000001</v>
      </c>
      <c r="P1493">
        <v>0.89080040000000005</v>
      </c>
      <c r="Q1493">
        <v>0.30676009999999998</v>
      </c>
      <c r="R1493">
        <v>-0.33522190000000002</v>
      </c>
      <c r="S1493">
        <v>2.9688870000000001</v>
      </c>
      <c r="T1493">
        <v>-0.67460469999999995</v>
      </c>
      <c r="U1493">
        <v>-1.6902470000000001</v>
      </c>
      <c r="V1493">
        <v>0.17144509999999999</v>
      </c>
      <c r="W1493">
        <v>0.31823950000000001</v>
      </c>
      <c r="X1493">
        <v>0.93237879999999995</v>
      </c>
      <c r="Y1493">
        <v>0.32573150000000001</v>
      </c>
      <c r="Z1493">
        <v>-1.6449479999999901E-3</v>
      </c>
      <c r="AA1493">
        <v>0.94546090000000005</v>
      </c>
      <c r="AB1493">
        <v>22</v>
      </c>
      <c r="AC1493">
        <v>4.7655000000000003</v>
      </c>
      <c r="AD1493">
        <v>-1.1071326260059999</v>
      </c>
      <c r="AE1493">
        <v>-2.7511999999999799</v>
      </c>
      <c r="AF1493">
        <v>1.7719859974027199</v>
      </c>
      <c r="AG1493">
        <v>-1.1071326260059999</v>
      </c>
      <c r="AH1493">
        <v>4.9828590823170096</v>
      </c>
      <c r="AI1493">
        <v>101.823830561939</v>
      </c>
      <c r="AJ1493">
        <v>70.423783549634706</v>
      </c>
      <c r="AK1493">
        <v>5.4031992060988596</v>
      </c>
      <c r="AL1493">
        <v>71.443509603876393</v>
      </c>
      <c r="AM1493">
        <v>79.5808843816814</v>
      </c>
      <c r="AN1493">
        <v>1.0000000141818499</v>
      </c>
    </row>
    <row r="1494" spans="1:40" x14ac:dyDescent="0.25">
      <c r="A1494" t="str">
        <f>"20190304164844927"</f>
        <v>20190304164844927</v>
      </c>
      <c r="B1494" t="str">
        <f>"1551689324917731"</f>
        <v>1551689324917731</v>
      </c>
      <c r="C1494" t="s">
        <v>40</v>
      </c>
      <c r="D1494">
        <v>5.1593689999999999</v>
      </c>
      <c r="E1494">
        <v>0.59342169999999905</v>
      </c>
      <c r="F1494" t="s">
        <v>44</v>
      </c>
      <c r="G1494">
        <v>-203.84639999999999</v>
      </c>
      <c r="H1494" s="1">
        <v>-3.6001780000000001E-6</v>
      </c>
      <c r="I1494">
        <v>364.08789999999999</v>
      </c>
      <c r="J1494">
        <v>-208.56010000000001</v>
      </c>
      <c r="K1494">
        <v>1.107137</v>
      </c>
      <c r="L1494">
        <v>366.83800000000002</v>
      </c>
      <c r="M1494">
        <v>0.98279229999999995</v>
      </c>
      <c r="N1494">
        <v>-1.393784E-2</v>
      </c>
      <c r="O1494">
        <v>-0.18418780000000001</v>
      </c>
      <c r="P1494">
        <v>0.88977189999999995</v>
      </c>
      <c r="Q1494">
        <v>0.30526409999999998</v>
      </c>
      <c r="R1494">
        <v>-0.33929300000000001</v>
      </c>
      <c r="S1494">
        <v>2.9611049999999999</v>
      </c>
      <c r="T1494">
        <v>-0.67914160000000001</v>
      </c>
      <c r="U1494">
        <v>-1.702148</v>
      </c>
      <c r="V1494">
        <v>0.17246629999999999</v>
      </c>
      <c r="W1494">
        <v>0.31674340000000001</v>
      </c>
      <c r="X1494">
        <v>0.93269990000000003</v>
      </c>
      <c r="Y1494">
        <v>0.32647900000000002</v>
      </c>
      <c r="Z1494">
        <v>-1.0810329999999999E-3</v>
      </c>
      <c r="AA1494">
        <v>0.94520380000000004</v>
      </c>
      <c r="AB1494">
        <v>21</v>
      </c>
      <c r="AC1494">
        <v>4.71370000000001</v>
      </c>
      <c r="AD1494">
        <v>-1.107140600178</v>
      </c>
      <c r="AE1494">
        <v>-2.75010000000003</v>
      </c>
      <c r="AF1494">
        <v>1.7622202006574901</v>
      </c>
      <c r="AG1494">
        <v>-1.107140600178</v>
      </c>
      <c r="AH1494">
        <v>4.93644884520217</v>
      </c>
      <c r="AI1494">
        <v>101.92690339813301</v>
      </c>
      <c r="AJ1494">
        <v>70.354382958201995</v>
      </c>
      <c r="AK1494">
        <v>5.3572107990507201</v>
      </c>
      <c r="AL1494">
        <v>71.533907659365497</v>
      </c>
      <c r="AM1494">
        <v>79.523722679432296</v>
      </c>
      <c r="AN1494">
        <v>1.00000005476962</v>
      </c>
    </row>
    <row r="1495" spans="1:40" x14ac:dyDescent="0.25">
      <c r="A1495" t="str">
        <f>"20190304164844938"</f>
        <v>20190304164844938</v>
      </c>
      <c r="B1495" t="str">
        <f>"1551689324927492"</f>
        <v>1551689324927492</v>
      </c>
      <c r="C1495" t="s">
        <v>40</v>
      </c>
      <c r="D1495">
        <v>5.1618459999999997</v>
      </c>
      <c r="E1495">
        <v>0.59357150000000003</v>
      </c>
      <c r="F1495" t="s">
        <v>44</v>
      </c>
      <c r="G1495">
        <v>-203.77850000000001</v>
      </c>
      <c r="H1495" s="1">
        <v>-3.5726159999999999E-6</v>
      </c>
      <c r="I1495">
        <v>364.0582</v>
      </c>
      <c r="J1495">
        <v>-208.46100000000001</v>
      </c>
      <c r="K1495">
        <v>1.10714</v>
      </c>
      <c r="L1495">
        <v>366.81610000000001</v>
      </c>
      <c r="M1495">
        <v>0.98224739999999999</v>
      </c>
      <c r="N1495">
        <v>-1.3938249999999999E-2</v>
      </c>
      <c r="O1495">
        <v>-0.18707119999999999</v>
      </c>
      <c r="P1495">
        <v>0.88876880000000003</v>
      </c>
      <c r="Q1495">
        <v>0.30399730000000003</v>
      </c>
      <c r="R1495">
        <v>-0.34303919999999999</v>
      </c>
      <c r="S1495">
        <v>2.9517669999999998</v>
      </c>
      <c r="T1495">
        <v>-0.68346390000000001</v>
      </c>
      <c r="U1495">
        <v>-1.7160340000000001</v>
      </c>
      <c r="V1495">
        <v>0.1735642</v>
      </c>
      <c r="W1495">
        <v>0.31547389999999997</v>
      </c>
      <c r="X1495">
        <v>0.93292640000000004</v>
      </c>
      <c r="Y1495">
        <v>0.32829249999999999</v>
      </c>
      <c r="Z1495">
        <v>-7.1081889999999998E-4</v>
      </c>
      <c r="AA1495">
        <v>0.94457579999999997</v>
      </c>
      <c r="AB1495">
        <v>21</v>
      </c>
      <c r="AC1495">
        <v>4.6824999999999699</v>
      </c>
      <c r="AD1495">
        <v>-1.1071435726159999</v>
      </c>
      <c r="AE1495">
        <v>-2.7578999999999998</v>
      </c>
      <c r="AF1495">
        <v>1.76010149397403</v>
      </c>
      <c r="AG1495">
        <v>-1.1071435726159999</v>
      </c>
      <c r="AH1495">
        <v>4.9119171888575801</v>
      </c>
      <c r="AI1495">
        <v>101.979796298625</v>
      </c>
      <c r="AJ1495">
        <v>70.285727868766202</v>
      </c>
      <c r="AK1495">
        <v>5.3339155064238799</v>
      </c>
      <c r="AL1495">
        <v>71.610574750936806</v>
      </c>
      <c r="AM1495">
        <v>79.461024171137495</v>
      </c>
      <c r="AN1495">
        <v>0.99999999045990495</v>
      </c>
    </row>
    <row r="1496" spans="1:40" x14ac:dyDescent="0.25">
      <c r="A1496" t="str">
        <f>"20190304164844949"</f>
        <v>20190304164844949</v>
      </c>
      <c r="B1496" t="str">
        <f>"1551689324937251"</f>
        <v>1551689324937251</v>
      </c>
      <c r="C1496" t="s">
        <v>40</v>
      </c>
      <c r="D1496">
        <v>5.1489960000000004</v>
      </c>
      <c r="E1496">
        <v>0.59373529999999997</v>
      </c>
      <c r="F1496" t="s">
        <v>44</v>
      </c>
      <c r="G1496">
        <v>-203.71449999999999</v>
      </c>
      <c r="H1496" s="1">
        <v>-3.5470070000000001E-6</v>
      </c>
      <c r="I1496">
        <v>364.02839999999998</v>
      </c>
      <c r="J1496">
        <v>-208.35380000000001</v>
      </c>
      <c r="K1496">
        <v>1.1071500000000001</v>
      </c>
      <c r="L1496">
        <v>366.7921</v>
      </c>
      <c r="M1496">
        <v>0.98164839999999998</v>
      </c>
      <c r="N1496">
        <v>-1.393836E-2</v>
      </c>
      <c r="O1496">
        <v>-0.1901901</v>
      </c>
      <c r="P1496">
        <v>0.88771080000000002</v>
      </c>
      <c r="Q1496">
        <v>0.30255490000000002</v>
      </c>
      <c r="R1496">
        <v>-0.34703089999999998</v>
      </c>
      <c r="S1496">
        <v>2.9431150000000001</v>
      </c>
      <c r="T1496">
        <v>-0.68649879999999996</v>
      </c>
      <c r="U1496">
        <v>-1.7285459999999999</v>
      </c>
      <c r="V1496">
        <v>0.17468399999999901</v>
      </c>
      <c r="W1496">
        <v>0.31403059999999899</v>
      </c>
      <c r="X1496">
        <v>0.93320429999999999</v>
      </c>
      <c r="Y1496">
        <v>0.329486</v>
      </c>
      <c r="Z1496">
        <v>-2.2738049999999999E-4</v>
      </c>
      <c r="AA1496">
        <v>0.94416040000000001</v>
      </c>
      <c r="AB1496">
        <v>21</v>
      </c>
      <c r="AC1496">
        <v>4.63930000000002</v>
      </c>
      <c r="AD1496">
        <v>-1.107153547007</v>
      </c>
      <c r="AE1496">
        <v>-2.76370000000002</v>
      </c>
      <c r="AF1496">
        <v>1.7569567814892</v>
      </c>
      <c r="AG1496">
        <v>-1.107153547007</v>
      </c>
      <c r="AH1496">
        <v>4.87534767953073</v>
      </c>
      <c r="AI1496">
        <v>102.059523690082</v>
      </c>
      <c r="AJ1496">
        <v>70.1820701361424</v>
      </c>
      <c r="AK1496">
        <v>5.2992170275406503</v>
      </c>
      <c r="AL1496">
        <v>71.697697914775802</v>
      </c>
      <c r="AM1496">
        <v>79.397653213282993</v>
      </c>
      <c r="AN1496">
        <v>0.99999999156542396</v>
      </c>
    </row>
    <row r="1497" spans="1:40" x14ac:dyDescent="0.25">
      <c r="A1497" t="str">
        <f>"20190304164844960"</f>
        <v>20190304164844960</v>
      </c>
      <c r="B1497" t="str">
        <f>"1551689324957747"</f>
        <v>1551689324957747</v>
      </c>
      <c r="C1497" t="s">
        <v>40</v>
      </c>
      <c r="D1497">
        <v>5.1523450000000004</v>
      </c>
      <c r="E1497">
        <v>0.59399799999999903</v>
      </c>
      <c r="F1497" t="s">
        <v>44</v>
      </c>
      <c r="G1497">
        <v>-203.6472</v>
      </c>
      <c r="H1497" s="1">
        <v>-3.5200039999999999E-6</v>
      </c>
      <c r="I1497">
        <v>363.9975</v>
      </c>
      <c r="J1497">
        <v>-208.2535</v>
      </c>
      <c r="K1497">
        <v>1.1071519999999999</v>
      </c>
      <c r="L1497">
        <v>366.76929999999999</v>
      </c>
      <c r="M1497">
        <v>0.98107840000000002</v>
      </c>
      <c r="N1497">
        <v>-1.3938330000000001E-2</v>
      </c>
      <c r="O1497">
        <v>-0.193109</v>
      </c>
      <c r="P1497">
        <v>0.88685509999999901</v>
      </c>
      <c r="Q1497">
        <v>0.30079139999999999</v>
      </c>
      <c r="R1497">
        <v>-0.35073209999999999</v>
      </c>
      <c r="S1497">
        <v>2.933716</v>
      </c>
      <c r="T1497">
        <v>-0.69010729999999998</v>
      </c>
      <c r="U1497">
        <v>-1.741913</v>
      </c>
      <c r="V1497">
        <v>0.1756664</v>
      </c>
      <c r="W1497">
        <v>0.31226859999999901</v>
      </c>
      <c r="X1497">
        <v>0.93361110000000003</v>
      </c>
      <c r="Y1497">
        <v>0.33116180000000001</v>
      </c>
      <c r="Z1497">
        <v>1.7183089999999999E-4</v>
      </c>
      <c r="AA1497">
        <v>0.94357400000000002</v>
      </c>
      <c r="AB1497">
        <v>21</v>
      </c>
      <c r="AC1497">
        <v>4.6063000000000001</v>
      </c>
      <c r="AD1497">
        <v>-1.107155520004</v>
      </c>
      <c r="AE1497">
        <v>-2.7717999999999798</v>
      </c>
      <c r="AF1497">
        <v>1.7555531967968501</v>
      </c>
      <c r="AG1497">
        <v>-1.107155520004</v>
      </c>
      <c r="AH1497">
        <v>4.8492181916897001</v>
      </c>
      <c r="AI1497">
        <v>102.116399459378</v>
      </c>
      <c r="AJ1497">
        <v>70.098321079659399</v>
      </c>
      <c r="AK1497">
        <v>5.2747206032995999</v>
      </c>
      <c r="AL1497">
        <v>71.804000288957496</v>
      </c>
      <c r="AM1497">
        <v>79.343928687721998</v>
      </c>
      <c r="AN1497">
        <v>1.0000000243390601</v>
      </c>
    </row>
    <row r="1498" spans="1:40" x14ac:dyDescent="0.25">
      <c r="A1498" t="str">
        <f>"20190304164844972"</f>
        <v>20190304164844972</v>
      </c>
      <c r="B1498" t="str">
        <f>"1551689324967400"</f>
        <v>1551689324967400</v>
      </c>
      <c r="C1498" t="s">
        <v>40</v>
      </c>
      <c r="D1498">
        <v>5.130369</v>
      </c>
      <c r="E1498">
        <v>0.59409609999999902</v>
      </c>
      <c r="F1498" t="s">
        <v>44</v>
      </c>
      <c r="G1498">
        <v>-203.58580000000001</v>
      </c>
      <c r="H1498" s="1">
        <v>-3.4960259999999999E-6</v>
      </c>
      <c r="I1498">
        <v>363.96629999999999</v>
      </c>
      <c r="J1498">
        <v>-208.143</v>
      </c>
      <c r="K1498">
        <v>1.107154</v>
      </c>
      <c r="L1498">
        <v>366.74380000000002</v>
      </c>
      <c r="M1498">
        <v>0.9804406</v>
      </c>
      <c r="N1498">
        <v>-1.393814E-2</v>
      </c>
      <c r="O1498">
        <v>-0.19632150000000001</v>
      </c>
      <c r="P1498">
        <v>0.88579909999999995</v>
      </c>
      <c r="Q1498">
        <v>0.29955910000000002</v>
      </c>
      <c r="R1498">
        <v>-0.35443570000000002</v>
      </c>
      <c r="S1498">
        <v>2.9236149999999999</v>
      </c>
      <c r="T1498">
        <v>-0.69347599999999998</v>
      </c>
      <c r="U1498">
        <v>-1.75564599999999</v>
      </c>
      <c r="V1498">
        <v>0.17641109999999999</v>
      </c>
      <c r="W1498">
        <v>0.31103839999999999</v>
      </c>
      <c r="X1498">
        <v>0.93388130000000003</v>
      </c>
      <c r="Y1498">
        <v>0.33275139999999997</v>
      </c>
      <c r="Z1498">
        <v>6.4196809999999996E-4</v>
      </c>
      <c r="AA1498">
        <v>0.94301440000000003</v>
      </c>
      <c r="AB1498">
        <v>21</v>
      </c>
      <c r="AC1498">
        <v>4.5571999999999901</v>
      </c>
      <c r="AD1498">
        <v>-1.107157496026</v>
      </c>
      <c r="AE1498">
        <v>-2.7775000000000301</v>
      </c>
      <c r="AF1498">
        <v>1.7532219252546399</v>
      </c>
      <c r="AG1498">
        <v>-1.107157496026</v>
      </c>
      <c r="AH1498">
        <v>4.8069576257191899</v>
      </c>
      <c r="AI1498">
        <v>102.20949485477399</v>
      </c>
      <c r="AJ1498">
        <v>69.961777776150996</v>
      </c>
      <c r="AK1498">
        <v>5.2351147509543701</v>
      </c>
      <c r="AL1498">
        <v>71.878179987545394</v>
      </c>
      <c r="AM1498">
        <v>79.302819933811406</v>
      </c>
      <c r="AN1498">
        <v>1.00000002248372</v>
      </c>
    </row>
    <row r="1499" spans="1:40" x14ac:dyDescent="0.25">
      <c r="A1499" t="str">
        <f>"20190304164844983"</f>
        <v>20190304164844983</v>
      </c>
      <c r="B1499" t="str">
        <f>"1551689324977160"</f>
        <v>1551689324977160</v>
      </c>
      <c r="C1499" t="s">
        <v>40</v>
      </c>
      <c r="D1499">
        <v>5.1537639999999998</v>
      </c>
      <c r="E1499">
        <v>0.59414389999999995</v>
      </c>
      <c r="F1499" t="s">
        <v>44</v>
      </c>
      <c r="G1499">
        <v>-203.50919999999999</v>
      </c>
      <c r="H1499" s="1">
        <v>-3.465174E-6</v>
      </c>
      <c r="I1499">
        <v>363.93150000000003</v>
      </c>
      <c r="J1499">
        <v>-208.03399999999999</v>
      </c>
      <c r="K1499">
        <v>1.1071580000000001</v>
      </c>
      <c r="L1499">
        <v>366.7183</v>
      </c>
      <c r="M1499">
        <v>0.9798017</v>
      </c>
      <c r="N1499">
        <v>-1.3937639999999999E-2</v>
      </c>
      <c r="O1499">
        <v>-0.199486</v>
      </c>
      <c r="P1499">
        <v>0.884804699999999</v>
      </c>
      <c r="Q1499">
        <v>0.29810049999999999</v>
      </c>
      <c r="R1499">
        <v>-0.3581299</v>
      </c>
      <c r="S1499">
        <v>2.9144899999999998</v>
      </c>
      <c r="T1499">
        <v>-0.69636109999999996</v>
      </c>
      <c r="U1499">
        <v>-1.7688600000000001</v>
      </c>
      <c r="V1499">
        <v>0.17717669999999999</v>
      </c>
      <c r="W1499">
        <v>0.30958289999999999</v>
      </c>
      <c r="X1499">
        <v>0.93422000000000005</v>
      </c>
      <c r="Y1499">
        <v>0.33413569999999998</v>
      </c>
      <c r="Z1499">
        <v>1.126852E-3</v>
      </c>
      <c r="AA1499">
        <v>0.94252429999999998</v>
      </c>
      <c r="AB1499">
        <v>21</v>
      </c>
      <c r="AC1499">
        <v>4.5248000000000204</v>
      </c>
      <c r="AD1499">
        <v>-1.107161465174</v>
      </c>
      <c r="AE1499">
        <v>-2.7867999999999702</v>
      </c>
      <c r="AF1499">
        <v>1.7520057403931399</v>
      </c>
      <c r="AG1499">
        <v>-1.107161465174</v>
      </c>
      <c r="AH1499">
        <v>4.7822374084375898</v>
      </c>
      <c r="AI1499">
        <v>102.264486466734</v>
      </c>
      <c r="AJ1499">
        <v>69.879342362146403</v>
      </c>
      <c r="AK1499">
        <v>5.2120173882093503</v>
      </c>
      <c r="AL1499">
        <v>71.9659056104055</v>
      </c>
      <c r="AM1499">
        <v>79.261277847404699</v>
      </c>
      <c r="AN1499">
        <v>1.00000008169764</v>
      </c>
    </row>
    <row r="1500" spans="1:40" x14ac:dyDescent="0.25">
      <c r="A1500" t="str">
        <f>"20190304164844996"</f>
        <v>20190304164844996</v>
      </c>
      <c r="B1500" t="str">
        <f>"1551689324987896"</f>
        <v>1551689324987896</v>
      </c>
      <c r="C1500" t="s">
        <v>40</v>
      </c>
      <c r="D1500">
        <v>5.1480790000000001</v>
      </c>
      <c r="E1500">
        <v>0.59428149999999902</v>
      </c>
      <c r="F1500" t="s">
        <v>44</v>
      </c>
      <c r="G1500">
        <v>-203.43989999999999</v>
      </c>
      <c r="H1500" s="1">
        <v>-3.4373889999999998E-6</v>
      </c>
      <c r="I1500">
        <v>363.89960000000002</v>
      </c>
      <c r="J1500">
        <v>-207.9196</v>
      </c>
      <c r="K1500">
        <v>1.107164</v>
      </c>
      <c r="L1500">
        <v>366.69130000000001</v>
      </c>
      <c r="M1500">
        <v>0.9791204</v>
      </c>
      <c r="N1500">
        <v>-1.3937049999999999E-2</v>
      </c>
      <c r="O1500">
        <v>-0.20280329999999999</v>
      </c>
      <c r="P1500">
        <v>0.88382119999999997</v>
      </c>
      <c r="Q1500">
        <v>0.29638130000000001</v>
      </c>
      <c r="R1500">
        <v>-0.36196519999999999</v>
      </c>
      <c r="S1500">
        <v>2.9050289999999999</v>
      </c>
      <c r="T1500">
        <v>-0.70010550000000005</v>
      </c>
      <c r="U1500">
        <v>-1.7823789999999999</v>
      </c>
      <c r="V1500">
        <v>0.177926799999999</v>
      </c>
      <c r="W1500">
        <v>0.30786760000000002</v>
      </c>
      <c r="X1500">
        <v>0.93464409999999998</v>
      </c>
      <c r="Y1500">
        <v>0.33548889999999998</v>
      </c>
      <c r="Z1500">
        <v>1.6587819999999999E-3</v>
      </c>
      <c r="AA1500">
        <v>0.94204270000000001</v>
      </c>
      <c r="AB1500">
        <v>21</v>
      </c>
      <c r="AC1500">
        <v>4.4797000000000002</v>
      </c>
      <c r="AD1500">
        <v>-1.1071674373889999</v>
      </c>
      <c r="AE1500">
        <v>-2.7916999999999899</v>
      </c>
      <c r="AF1500">
        <v>1.74817475241001</v>
      </c>
      <c r="AG1500">
        <v>-1.1071674373889999</v>
      </c>
      <c r="AH1500">
        <v>4.7440856613252897</v>
      </c>
      <c r="AI1500">
        <v>102.351869626697</v>
      </c>
      <c r="AJ1500">
        <v>69.771379236599998</v>
      </c>
      <c r="AK1500">
        <v>5.1757398950653002</v>
      </c>
      <c r="AL1500">
        <v>72.069230931446896</v>
      </c>
      <c r="AM1500">
        <v>79.221656160170696</v>
      </c>
      <c r="AN1500">
        <v>0.99999999947640394</v>
      </c>
    </row>
    <row r="1501" spans="1:40" x14ac:dyDescent="0.25">
      <c r="A1501" t="str">
        <f>"20190304164845009"</f>
        <v>20190304164845009</v>
      </c>
      <c r="B1501" t="str">
        <f>"1551689324997656"</f>
        <v>1551689324997656</v>
      </c>
      <c r="C1501" t="s">
        <v>40</v>
      </c>
      <c r="D1501">
        <v>5.1406369999999999</v>
      </c>
      <c r="E1501">
        <v>0.5943695</v>
      </c>
      <c r="F1501" t="s">
        <v>44</v>
      </c>
      <c r="G1501">
        <v>-203.36539999999999</v>
      </c>
      <c r="H1501" s="1">
        <v>-3.4076190000000001E-6</v>
      </c>
      <c r="I1501">
        <v>363.8648</v>
      </c>
      <c r="J1501">
        <v>-207.79050000000001</v>
      </c>
      <c r="K1501">
        <v>1.107173</v>
      </c>
      <c r="L1501">
        <v>366.66</v>
      </c>
      <c r="M1501">
        <v>0.97833840000000005</v>
      </c>
      <c r="N1501">
        <v>-1.393606E-2</v>
      </c>
      <c r="O1501">
        <v>-0.2065429</v>
      </c>
      <c r="P1501">
        <v>0.88251059999999903</v>
      </c>
      <c r="Q1501">
        <v>0.2948228</v>
      </c>
      <c r="R1501">
        <v>-0.36640840000000002</v>
      </c>
      <c r="S1501">
        <v>2.8946079999999998</v>
      </c>
      <c r="T1501">
        <v>-0.70370819999999901</v>
      </c>
      <c r="U1501">
        <v>-1.796448</v>
      </c>
      <c r="V1501">
        <v>0.1789326</v>
      </c>
      <c r="W1501">
        <v>0.30630930000000001</v>
      </c>
      <c r="X1501">
        <v>0.93496409999999996</v>
      </c>
      <c r="Y1501">
        <v>0.33671620000000002</v>
      </c>
      <c r="Z1501">
        <v>2.2956320000000001E-3</v>
      </c>
      <c r="AA1501">
        <v>0.94160339999999998</v>
      </c>
      <c r="AB1501">
        <v>21</v>
      </c>
      <c r="AC1501">
        <v>4.4251000000000102</v>
      </c>
      <c r="AD1501">
        <v>-1.1071764076189901</v>
      </c>
      <c r="AE1501">
        <v>-2.7952000000000199</v>
      </c>
      <c r="AF1501">
        <v>1.74286639920053</v>
      </c>
      <c r="AG1501">
        <v>-1.1071764076189901</v>
      </c>
      <c r="AH1501">
        <v>4.6968769401761596</v>
      </c>
      <c r="AI1501">
        <v>102.462139670097</v>
      </c>
      <c r="AJ1501">
        <v>69.641660785543095</v>
      </c>
      <c r="AK1501">
        <v>5.1306993552739897</v>
      </c>
      <c r="AL1501">
        <v>72.163049328525901</v>
      </c>
      <c r="AM1501">
        <v>79.165788031484794</v>
      </c>
      <c r="AN1501">
        <v>1.00000006544902</v>
      </c>
    </row>
    <row r="1502" spans="1:40" x14ac:dyDescent="0.25">
      <c r="A1502" t="str">
        <f>"20190304164845022"</f>
        <v>20190304164845022</v>
      </c>
      <c r="B1502" t="str">
        <f>"1551689325017176"</f>
        <v>1551689325017176</v>
      </c>
      <c r="C1502" t="s">
        <v>40</v>
      </c>
      <c r="D1502">
        <v>5.124574</v>
      </c>
      <c r="E1502">
        <v>0.59727209999999997</v>
      </c>
      <c r="F1502" t="s">
        <v>44</v>
      </c>
      <c r="G1502">
        <v>-203.2784</v>
      </c>
      <c r="H1502" s="1">
        <v>-3.3724460000000001E-6</v>
      </c>
      <c r="I1502">
        <v>363.82589999999999</v>
      </c>
      <c r="J1502">
        <v>-207.67609999999999</v>
      </c>
      <c r="K1502">
        <v>1.107183</v>
      </c>
      <c r="L1502">
        <v>366.63200000000001</v>
      </c>
      <c r="M1502">
        <v>0.97763370000000005</v>
      </c>
      <c r="N1502">
        <v>-1.3935110000000001E-2</v>
      </c>
      <c r="O1502">
        <v>-0.20985300000000001</v>
      </c>
      <c r="P1502">
        <v>0.88123449999999903</v>
      </c>
      <c r="Q1502">
        <v>0.29342079999999998</v>
      </c>
      <c r="R1502">
        <v>-0.37058059999999998</v>
      </c>
      <c r="S1502">
        <v>2.883759</v>
      </c>
      <c r="T1502">
        <v>-0.70760819999999902</v>
      </c>
      <c r="U1502">
        <v>-1.8112790000000001</v>
      </c>
      <c r="V1502">
        <v>0.1800794</v>
      </c>
      <c r="W1502">
        <v>0.30490450000000002</v>
      </c>
      <c r="X1502">
        <v>0.93520300000000001</v>
      </c>
      <c r="Y1502">
        <v>0.3385744</v>
      </c>
      <c r="Z1502">
        <v>2.7832870000000002E-3</v>
      </c>
      <c r="AA1502">
        <v>0.94093550000000004</v>
      </c>
      <c r="AB1502">
        <v>21</v>
      </c>
      <c r="AC1502">
        <v>4.39769999999998</v>
      </c>
      <c r="AD1502">
        <v>-1.107186372446</v>
      </c>
      <c r="AE1502">
        <v>-2.8060999999999501</v>
      </c>
      <c r="AF1502">
        <v>1.74216756324194</v>
      </c>
      <c r="AG1502">
        <v>-1.107186372446</v>
      </c>
      <c r="AH1502">
        <v>4.6779623035044597</v>
      </c>
      <c r="AI1502">
        <v>102.50570856484001</v>
      </c>
      <c r="AJ1502">
        <v>69.573653865436697</v>
      </c>
      <c r="AK1502">
        <v>5.1131537034154597</v>
      </c>
      <c r="AL1502">
        <v>72.247581467987899</v>
      </c>
      <c r="AM1502">
        <v>79.100727325525895</v>
      </c>
      <c r="AN1502">
        <v>0.99999999781680404</v>
      </c>
    </row>
    <row r="1503" spans="1:40" x14ac:dyDescent="0.25">
      <c r="A1503" t="str">
        <f>"20190304164845033"</f>
        <v>20190304164845033</v>
      </c>
      <c r="B1503" t="str">
        <f>"1551689325027914"</f>
        <v>1551689325027914</v>
      </c>
      <c r="C1503" t="s">
        <v>40</v>
      </c>
      <c r="D1503">
        <v>5.1384809999999996</v>
      </c>
      <c r="E1503">
        <v>0.59715090000000004</v>
      </c>
      <c r="F1503" t="s">
        <v>44</v>
      </c>
      <c r="G1503">
        <v>-202.97659999999999</v>
      </c>
      <c r="H1503" s="1">
        <v>-3.271964E-6</v>
      </c>
      <c r="I1503">
        <v>363.59410000000003</v>
      </c>
      <c r="J1503">
        <v>-207.5615</v>
      </c>
      <c r="K1503">
        <v>1.107192</v>
      </c>
      <c r="L1503">
        <v>366.6035</v>
      </c>
      <c r="M1503">
        <v>0.97691620000000001</v>
      </c>
      <c r="N1503">
        <v>-1.393411E-2</v>
      </c>
      <c r="O1503">
        <v>-0.21316840000000001</v>
      </c>
      <c r="P1503">
        <v>0.87985159999999996</v>
      </c>
      <c r="Q1503">
        <v>0.29204140000000001</v>
      </c>
      <c r="R1503">
        <v>-0.37493110000000002</v>
      </c>
      <c r="S1503">
        <v>2.8526310000000001</v>
      </c>
      <c r="T1503">
        <v>-0.67206339999999998</v>
      </c>
      <c r="U1503">
        <v>-1.8439639999999999</v>
      </c>
      <c r="V1503">
        <v>0.1814163</v>
      </c>
      <c r="W1503">
        <v>0.30351899999999998</v>
      </c>
      <c r="X1503">
        <v>0.93539530000000004</v>
      </c>
      <c r="Y1503">
        <v>0.34777920000000001</v>
      </c>
      <c r="Z1503">
        <v>1.997605E-3</v>
      </c>
      <c r="AA1503">
        <v>0.93757429999999997</v>
      </c>
      <c r="AB1503">
        <v>21</v>
      </c>
      <c r="AC1503">
        <v>4.5849000000000002</v>
      </c>
      <c r="AD1503">
        <v>-1.1071952719639999</v>
      </c>
      <c r="AE1503">
        <v>-3.0093999999999701</v>
      </c>
      <c r="AF1503">
        <v>1.8859024205672199</v>
      </c>
      <c r="AG1503">
        <v>-1.1071952719639999</v>
      </c>
      <c r="AH1503">
        <v>4.92052290870659</v>
      </c>
      <c r="AI1503">
        <v>101.86591730703201</v>
      </c>
      <c r="AJ1503">
        <v>69.029532338956002</v>
      </c>
      <c r="AK1503">
        <v>5.3846127999390196</v>
      </c>
      <c r="AL1503">
        <v>72.330914654406698</v>
      </c>
      <c r="AM1503">
        <v>79.023972778869094</v>
      </c>
      <c r="AN1503">
        <v>1.0000000122643899</v>
      </c>
    </row>
    <row r="1504" spans="1:40" x14ac:dyDescent="0.25">
      <c r="A1504" t="str">
        <f>"20190304164845044"</f>
        <v>20190304164845044</v>
      </c>
      <c r="B1504" t="str">
        <f>"1551689325037672"</f>
        <v>1551689325037672</v>
      </c>
      <c r="C1504" t="s">
        <v>40</v>
      </c>
      <c r="D1504">
        <v>5.0946860000000003</v>
      </c>
      <c r="E1504">
        <v>0.59721789999999997</v>
      </c>
      <c r="F1504" t="s">
        <v>44</v>
      </c>
      <c r="G1504">
        <v>-202.91919999999999</v>
      </c>
      <c r="H1504" s="1">
        <v>-3.2471420000000001E-6</v>
      </c>
      <c r="I1504">
        <v>363.57569999999998</v>
      </c>
      <c r="J1504">
        <v>-207.46770000000001</v>
      </c>
      <c r="K1504">
        <v>1.1071959999999901</v>
      </c>
      <c r="L1504">
        <v>366.57979999999998</v>
      </c>
      <c r="M1504">
        <v>0.97632110000000005</v>
      </c>
      <c r="N1504">
        <v>-1.3933040000000001E-2</v>
      </c>
      <c r="O1504">
        <v>-0.21587700000000001</v>
      </c>
      <c r="P1504">
        <v>0.87849239999999995</v>
      </c>
      <c r="Q1504">
        <v>0.29099760000000002</v>
      </c>
      <c r="R1504">
        <v>-0.37890859999999998</v>
      </c>
      <c r="S1504">
        <v>2.8443450000000001</v>
      </c>
      <c r="T1504">
        <v>-0.67837860000000005</v>
      </c>
      <c r="U1504">
        <v>-1.8551029999999999</v>
      </c>
      <c r="V1504">
        <v>0.182972</v>
      </c>
      <c r="W1504">
        <v>0.30246479999999998</v>
      </c>
      <c r="X1504">
        <v>0.93543370000000003</v>
      </c>
      <c r="Y1504">
        <v>0.34896430000000001</v>
      </c>
      <c r="Z1504">
        <v>2.4544369999999999E-3</v>
      </c>
      <c r="AA1504">
        <v>0.93713279999999999</v>
      </c>
      <c r="AB1504">
        <v>21</v>
      </c>
      <c r="AC1504">
        <v>4.5485000000000104</v>
      </c>
      <c r="AD1504">
        <v>-1.10719924714199</v>
      </c>
      <c r="AE1504">
        <v>-3.00409999999999</v>
      </c>
      <c r="AF1504">
        <v>1.87392650106682</v>
      </c>
      <c r="AG1504">
        <v>-1.10719924714199</v>
      </c>
      <c r="AH1504">
        <v>4.8881368203943003</v>
      </c>
      <c r="AI1504">
        <v>101.941979389385</v>
      </c>
      <c r="AJ1504">
        <v>69.0250684813345</v>
      </c>
      <c r="AK1504">
        <v>5.3508291207220298</v>
      </c>
      <c r="AL1504">
        <v>72.394294194195595</v>
      </c>
      <c r="AM1504">
        <v>78.932607661997807</v>
      </c>
      <c r="AN1504">
        <v>0.99999995755936399</v>
      </c>
    </row>
    <row r="1505" spans="1:40" x14ac:dyDescent="0.25">
      <c r="A1505" t="str">
        <f>"20190304164845055"</f>
        <v>20190304164845055</v>
      </c>
      <c r="B1505" t="str">
        <f>"1551689325047432"</f>
        <v>1551689325047432</v>
      </c>
      <c r="C1505" t="s">
        <v>40</v>
      </c>
      <c r="D1505">
        <v>5.1225740000000002</v>
      </c>
      <c r="E1505">
        <v>0.59721789999999997</v>
      </c>
      <c r="F1505" t="s">
        <v>44</v>
      </c>
      <c r="G1505">
        <v>-202.8623</v>
      </c>
      <c r="H1505" s="1">
        <v>-3.2242279999999999E-6</v>
      </c>
      <c r="I1505">
        <v>363.55009999999999</v>
      </c>
      <c r="J1505">
        <v>-207.36150000000001</v>
      </c>
      <c r="K1505">
        <v>1.1071949999999999</v>
      </c>
      <c r="L1505">
        <v>366.55279999999999</v>
      </c>
      <c r="M1505">
        <v>0.97563820000000001</v>
      </c>
      <c r="N1505">
        <v>-1.3931839999999999E-2</v>
      </c>
      <c r="O1505">
        <v>-0.2189431</v>
      </c>
      <c r="P1505">
        <v>0.87706790000000001</v>
      </c>
      <c r="Q1505">
        <v>0.28942109999999999</v>
      </c>
      <c r="R1505">
        <v>-0.3833898</v>
      </c>
      <c r="S1505">
        <v>2.83609</v>
      </c>
      <c r="T1505">
        <v>-0.68183280000000002</v>
      </c>
      <c r="U1505">
        <v>-1.865723</v>
      </c>
      <c r="V1505">
        <v>0.1846834</v>
      </c>
      <c r="W1505">
        <v>0.30087819999999998</v>
      </c>
      <c r="X1505">
        <v>0.93560909999999997</v>
      </c>
      <c r="Y1505">
        <v>0.34972320000000001</v>
      </c>
      <c r="Z1505">
        <v>3.0038209999999998E-3</v>
      </c>
      <c r="AA1505">
        <v>0.93684820000000002</v>
      </c>
      <c r="AB1505">
        <v>21</v>
      </c>
      <c r="AC1505">
        <v>4.4992000000000001</v>
      </c>
      <c r="AD1505">
        <v>-1.1071982242280001</v>
      </c>
      <c r="AE1505">
        <v>-3.0026999999999999</v>
      </c>
      <c r="AF1505">
        <v>1.8664678057367701</v>
      </c>
      <c r="AG1505">
        <v>-1.1071982242280001</v>
      </c>
      <c r="AH1505">
        <v>4.8445265432948403</v>
      </c>
      <c r="AI1505">
        <v>102.03886028862399</v>
      </c>
      <c r="AJ1505">
        <v>68.929647047355502</v>
      </c>
      <c r="AK1505">
        <v>5.30839216771649</v>
      </c>
      <c r="AL1505">
        <v>72.489642860676597</v>
      </c>
      <c r="AM1505">
        <v>78.833722338737999</v>
      </c>
      <c r="AN1505">
        <v>1.0000000187367999</v>
      </c>
    </row>
    <row r="1506" spans="1:40" x14ac:dyDescent="0.25">
      <c r="A1506" t="str">
        <f>"20190304164845065"</f>
        <v>20190304164845065</v>
      </c>
      <c r="B1506" t="str">
        <f>"1551689325057192"</f>
        <v>1551689325057192</v>
      </c>
      <c r="C1506" t="s">
        <v>40</v>
      </c>
      <c r="D1506">
        <v>5.1385399999999999</v>
      </c>
      <c r="E1506">
        <v>0.59722209999999998</v>
      </c>
      <c r="F1506" t="s">
        <v>44</v>
      </c>
      <c r="G1506">
        <v>-202.81139999999999</v>
      </c>
      <c r="H1506" s="1">
        <v>-3.2030180000000002E-6</v>
      </c>
      <c r="I1506">
        <v>363.53030000000001</v>
      </c>
      <c r="J1506">
        <v>-207.26060000000001</v>
      </c>
      <c r="K1506">
        <v>1.1071979999999999</v>
      </c>
      <c r="L1506">
        <v>366.52659999999997</v>
      </c>
      <c r="M1506">
        <v>0.9749795</v>
      </c>
      <c r="N1506">
        <v>-1.3930649999999999E-2</v>
      </c>
      <c r="O1506">
        <v>-0.22185859999999999</v>
      </c>
      <c r="P1506">
        <v>0.87570769999999998</v>
      </c>
      <c r="Q1506">
        <v>0.28825000000000001</v>
      </c>
      <c r="R1506">
        <v>-0.3873605</v>
      </c>
      <c r="S1506">
        <v>2.8266909999999998</v>
      </c>
      <c r="T1506">
        <v>-0.68783559999999999</v>
      </c>
      <c r="U1506">
        <v>-1.8777159999999999</v>
      </c>
      <c r="V1506">
        <v>0.1860311</v>
      </c>
      <c r="W1506">
        <v>0.29969879999999999</v>
      </c>
      <c r="X1506">
        <v>0.93572060000000001</v>
      </c>
      <c r="Y1506">
        <v>0.35107890000000003</v>
      </c>
      <c r="Z1506">
        <v>3.4947659999999998E-3</v>
      </c>
      <c r="AA1506">
        <v>0.93633940000000004</v>
      </c>
      <c r="AB1506">
        <v>21</v>
      </c>
      <c r="AC1506">
        <v>4.44920000000001</v>
      </c>
      <c r="AD1506">
        <v>-1.1072012030179901</v>
      </c>
      <c r="AE1506">
        <v>-2.9962999999999602</v>
      </c>
      <c r="AF1506">
        <v>1.8553760781995701</v>
      </c>
      <c r="AG1506">
        <v>-1.1072012030179901</v>
      </c>
      <c r="AH1506">
        <v>4.7986689934985902</v>
      </c>
      <c r="AI1506">
        <v>102.14511010583</v>
      </c>
      <c r="AJ1506">
        <v>68.861310141658606</v>
      </c>
      <c r="AK1506">
        <v>5.2626551287999499</v>
      </c>
      <c r="AL1506">
        <v>72.560486581696395</v>
      </c>
      <c r="AM1506">
        <v>78.755613381416396</v>
      </c>
      <c r="AN1506">
        <v>0.99999999107650495</v>
      </c>
    </row>
    <row r="1507" spans="1:40" x14ac:dyDescent="0.25">
      <c r="A1507" t="str">
        <f>"20190304164845077"</f>
        <v>20190304164845077</v>
      </c>
      <c r="B1507" t="str">
        <f>"1551689325067459"</f>
        <v>1551689325067459</v>
      </c>
      <c r="C1507" t="s">
        <v>40</v>
      </c>
      <c r="D1507">
        <v>4.7878259999999999</v>
      </c>
      <c r="E1507">
        <v>0.59722209999999998</v>
      </c>
      <c r="F1507" t="s">
        <v>44</v>
      </c>
      <c r="G1507">
        <v>-202.69460000000001</v>
      </c>
      <c r="H1507" s="1">
        <v>-3.1587529999999999E-6</v>
      </c>
      <c r="I1507">
        <v>363.46469999999999</v>
      </c>
      <c r="J1507">
        <v>-207.1591</v>
      </c>
      <c r="K1507">
        <v>1.1072040000000001</v>
      </c>
      <c r="L1507">
        <v>366.50020000000001</v>
      </c>
      <c r="M1507">
        <v>0.97430819999999996</v>
      </c>
      <c r="N1507">
        <v>-1.3929479999999999E-2</v>
      </c>
      <c r="O1507">
        <v>-0.22478790000000001</v>
      </c>
      <c r="P1507">
        <v>0.87408019999999997</v>
      </c>
      <c r="Q1507">
        <v>0.28761490000000001</v>
      </c>
      <c r="R1507">
        <v>-0.39148630000000001</v>
      </c>
      <c r="S1507">
        <v>2.8153839999999999</v>
      </c>
      <c r="T1507">
        <v>-0.68268879999999998</v>
      </c>
      <c r="U1507">
        <v>-1.8879699999999999</v>
      </c>
      <c r="V1507">
        <v>0.18758059999999999</v>
      </c>
      <c r="W1507">
        <v>0.29905140000000002</v>
      </c>
      <c r="X1507">
        <v>0.93561839999999996</v>
      </c>
      <c r="Y1507">
        <v>0.35241230000000001</v>
      </c>
      <c r="Z1507">
        <v>3.855139E-3</v>
      </c>
      <c r="AA1507">
        <v>0.93583689999999997</v>
      </c>
      <c r="AB1507">
        <v>21</v>
      </c>
      <c r="AC1507">
        <v>4.4644999999999797</v>
      </c>
      <c r="AD1507">
        <v>-1.1072071587529999</v>
      </c>
      <c r="AE1507">
        <v>-3.0355000000000101</v>
      </c>
      <c r="AF1507">
        <v>1.8752612878458399</v>
      </c>
      <c r="AG1507">
        <v>-1.1072071587529999</v>
      </c>
      <c r="AH1507">
        <v>4.8294976544568096</v>
      </c>
      <c r="AI1507">
        <v>102.063417916609</v>
      </c>
      <c r="AJ1507">
        <v>68.779145339743394</v>
      </c>
      <c r="AK1507">
        <v>5.2977882351497296</v>
      </c>
      <c r="AL1507">
        <v>72.599363180036406</v>
      </c>
      <c r="AM1507">
        <v>78.663165196329302</v>
      </c>
      <c r="AN1507">
        <v>1.00000000587843</v>
      </c>
    </row>
    <row r="1508" spans="1:40" x14ac:dyDescent="0.25">
      <c r="A1508" t="str">
        <f>"20190304164845086"</f>
        <v>20190304164845086</v>
      </c>
      <c r="B1508" t="str">
        <f>"1551689325077221"</f>
        <v>1551689325077221</v>
      </c>
      <c r="C1508" t="s">
        <v>40</v>
      </c>
      <c r="D1508">
        <v>4.7662740000000001</v>
      </c>
      <c r="E1508">
        <v>0.62415359999999998</v>
      </c>
      <c r="F1508" t="s">
        <v>44</v>
      </c>
      <c r="G1508">
        <v>-202.62459999999999</v>
      </c>
      <c r="H1508" s="1">
        <v>-3.1308670000000001E-6</v>
      </c>
      <c r="I1508">
        <v>363.4316</v>
      </c>
      <c r="J1508">
        <v>-207.0582</v>
      </c>
      <c r="K1508">
        <v>1.1072229999999901</v>
      </c>
      <c r="L1508">
        <v>366.47329999999999</v>
      </c>
      <c r="M1508">
        <v>0.97363080000000002</v>
      </c>
      <c r="N1508">
        <v>-1.392825E-2</v>
      </c>
      <c r="O1508">
        <v>-0.22770460000000001</v>
      </c>
      <c r="P1508">
        <v>0.87221309999999996</v>
      </c>
      <c r="Q1508">
        <v>0.28804590000000002</v>
      </c>
      <c r="R1508">
        <v>-0.3953159</v>
      </c>
      <c r="S1508">
        <v>2.8069609999999998</v>
      </c>
      <c r="T1508">
        <v>-0.68537999999999999</v>
      </c>
      <c r="U1508">
        <v>-1.899475</v>
      </c>
      <c r="V1508">
        <v>0.1889178</v>
      </c>
      <c r="W1508">
        <v>0.29946719999999999</v>
      </c>
      <c r="X1508">
        <v>0.93521620000000005</v>
      </c>
      <c r="Y1508">
        <v>0.35354390000000002</v>
      </c>
      <c r="Z1508">
        <v>4.3335450000000003E-3</v>
      </c>
      <c r="AA1508">
        <v>0.93540789999999996</v>
      </c>
      <c r="AB1508">
        <v>21</v>
      </c>
      <c r="AC1508">
        <v>4.43360000000001</v>
      </c>
      <c r="AD1508">
        <v>-1.1072261308669999</v>
      </c>
      <c r="AE1508">
        <v>-3.0416999999999899</v>
      </c>
      <c r="AF1508">
        <v>1.87271351695306</v>
      </c>
      <c r="AG1508">
        <v>-1.1072261308669999</v>
      </c>
      <c r="AH1508">
        <v>4.80597409313767</v>
      </c>
      <c r="AI1508">
        <v>102.115478758503</v>
      </c>
      <c r="AJ1508">
        <v>68.710944372345196</v>
      </c>
      <c r="AK1508">
        <v>5.2754518863661204</v>
      </c>
      <c r="AL1508">
        <v>72.5743941786954</v>
      </c>
      <c r="AM1508">
        <v>78.579682870222001</v>
      </c>
      <c r="AN1508">
        <v>0.99999993988755798</v>
      </c>
    </row>
    <row r="1509" spans="1:40" x14ac:dyDescent="0.25">
      <c r="A1509" t="str">
        <f>"20190304164845097"</f>
        <v>20190304164845097</v>
      </c>
      <c r="B1509" t="str">
        <f>"1551689325087956"</f>
        <v>1551689325087956</v>
      </c>
      <c r="C1509" t="s">
        <v>40</v>
      </c>
      <c r="D1509">
        <v>5.1044140000000002</v>
      </c>
      <c r="E1509">
        <v>0.61866529999999997</v>
      </c>
      <c r="F1509" t="s">
        <v>44</v>
      </c>
      <c r="G1509">
        <v>-195.64359999999999</v>
      </c>
      <c r="H1509" s="1">
        <v>-5.3372299999999999E-6</v>
      </c>
      <c r="I1509">
        <v>357.11649999999997</v>
      </c>
      <c r="J1509">
        <v>-206.9691</v>
      </c>
      <c r="K1509">
        <v>1.1072360000000001</v>
      </c>
      <c r="L1509">
        <v>366.44959999999998</v>
      </c>
      <c r="M1509">
        <v>0.97302500000000003</v>
      </c>
      <c r="N1509">
        <v>-1.3927180000000001E-2</v>
      </c>
      <c r="O1509">
        <v>-0.23027890000000001</v>
      </c>
      <c r="P1509">
        <v>0.86985389999999996</v>
      </c>
      <c r="Q1509">
        <v>0.28994999999999999</v>
      </c>
      <c r="R1509">
        <v>-0.39910319999999999</v>
      </c>
      <c r="S1509">
        <v>2.5677949999999998</v>
      </c>
      <c r="T1509">
        <v>-0.24907779999999999</v>
      </c>
      <c r="U1509">
        <v>-2.104889</v>
      </c>
      <c r="V1509">
        <v>0.1906736</v>
      </c>
      <c r="W1509">
        <v>0.30134470000000002</v>
      </c>
      <c r="X1509">
        <v>0.93425639999999999</v>
      </c>
      <c r="Y1509">
        <v>0.4378071</v>
      </c>
      <c r="Z1509">
        <v>-5.888898E-3</v>
      </c>
      <c r="AA1509">
        <v>0.89904959999999901</v>
      </c>
      <c r="AB1509">
        <v>21</v>
      </c>
      <c r="AC1509">
        <v>11.3255</v>
      </c>
      <c r="AD1509">
        <v>-1.1072413372299901</v>
      </c>
      <c r="AE1509">
        <v>-9.3331</v>
      </c>
      <c r="AF1509">
        <v>6.4373004827805804</v>
      </c>
      <c r="AG1509">
        <v>-1.1072413372299901</v>
      </c>
      <c r="AH1509">
        <v>13.095941356474301</v>
      </c>
      <c r="AI1509">
        <v>94.339126810947405</v>
      </c>
      <c r="AJ1509">
        <v>63.823609355469998</v>
      </c>
      <c r="AK1509">
        <v>14.634496947168801</v>
      </c>
      <c r="AL1509">
        <v>72.461613810790695</v>
      </c>
      <c r="AM1509">
        <v>78.464847785201798</v>
      </c>
      <c r="AN1509">
        <v>1.0000000354480001</v>
      </c>
    </row>
    <row r="1510" spans="1:40" x14ac:dyDescent="0.25">
      <c r="A1510" t="str">
        <f>"20190304164845108"</f>
        <v>20190304164845108</v>
      </c>
      <c r="B1510" t="str">
        <f>"1551689325097717"</f>
        <v>1551689325097717</v>
      </c>
      <c r="C1510" t="s">
        <v>40</v>
      </c>
      <c r="D1510">
        <v>5.1037949999999999</v>
      </c>
      <c r="E1510">
        <v>0.61595359999999999</v>
      </c>
      <c r="F1510" t="s">
        <v>44</v>
      </c>
      <c r="G1510">
        <v>-197.94579999999999</v>
      </c>
      <c r="H1510" s="1">
        <v>-6.409736E-6</v>
      </c>
      <c r="I1510">
        <v>359.24619999999999</v>
      </c>
      <c r="J1510">
        <v>-206.86949999999999</v>
      </c>
      <c r="K1510">
        <v>1.107254</v>
      </c>
      <c r="L1510">
        <v>366.42250000000001</v>
      </c>
      <c r="M1510">
        <v>0.97233939999999996</v>
      </c>
      <c r="N1510">
        <v>-1.3925939999999999E-2</v>
      </c>
      <c r="O1510">
        <v>-0.23315759999999999</v>
      </c>
      <c r="P1510">
        <v>0.86722779999999999</v>
      </c>
      <c r="Q1510">
        <v>0.29224159999999999</v>
      </c>
      <c r="R1510">
        <v>-0.4031265</v>
      </c>
      <c r="S1510">
        <v>2.6022189999999998</v>
      </c>
      <c r="T1510">
        <v>-0.31931589999999999</v>
      </c>
      <c r="U1510">
        <v>-2.0773619999999999</v>
      </c>
      <c r="V1510">
        <v>0.19243550000000001</v>
      </c>
      <c r="W1510">
        <v>0.30360809999999999</v>
      </c>
      <c r="X1510">
        <v>0.93316169999999998</v>
      </c>
      <c r="Y1510">
        <v>0.42306149999999998</v>
      </c>
      <c r="Z1510">
        <v>-4.5967930000000001E-3</v>
      </c>
      <c r="AA1510">
        <v>0.90608929999999999</v>
      </c>
      <c r="AB1510">
        <v>21</v>
      </c>
      <c r="AC1510">
        <v>8.9236999999999895</v>
      </c>
      <c r="AD1510">
        <v>-1.1072604097359999</v>
      </c>
      <c r="AE1510">
        <v>-7.1763000000000199</v>
      </c>
      <c r="AF1510">
        <v>4.8522782007668299</v>
      </c>
      <c r="AG1510">
        <v>-1.1072604097359999</v>
      </c>
      <c r="AH1510">
        <v>10.255194446235199</v>
      </c>
      <c r="AI1510">
        <v>95.574255857685202</v>
      </c>
      <c r="AJ1510">
        <v>64.678677662082507</v>
      </c>
      <c r="AK1510">
        <v>11.399107091465501</v>
      </c>
      <c r="AL1510">
        <v>72.325557077399907</v>
      </c>
      <c r="AM1510">
        <v>78.347873286175599</v>
      </c>
      <c r="AN1510">
        <v>1.00000002919637</v>
      </c>
    </row>
    <row r="1511" spans="1:40" x14ac:dyDescent="0.25">
      <c r="A1511" t="str">
        <f>"20190304164845119"</f>
        <v>20190304164845119</v>
      </c>
      <c r="B1511" t="str">
        <f>"1551689325107476"</f>
        <v>1551689325107476</v>
      </c>
      <c r="C1511" t="s">
        <v>40</v>
      </c>
      <c r="D1511">
        <v>5.0934559999999998</v>
      </c>
      <c r="E1511">
        <v>0.61400650000000001</v>
      </c>
      <c r="F1511" t="s">
        <v>44</v>
      </c>
      <c r="G1511">
        <v>-198.48949999999999</v>
      </c>
      <c r="H1511" s="1">
        <v>-9.8015790000000004E-6</v>
      </c>
      <c r="I1511">
        <v>359.7799</v>
      </c>
      <c r="J1511">
        <v>-206.77340000000001</v>
      </c>
      <c r="K1511">
        <v>1.107275</v>
      </c>
      <c r="L1511">
        <v>366.39620000000002</v>
      </c>
      <c r="M1511">
        <v>0.97166929999999996</v>
      </c>
      <c r="N1511">
        <v>-1.392474E-2</v>
      </c>
      <c r="O1511">
        <v>-0.2359348</v>
      </c>
      <c r="P1511">
        <v>0.86465190000000003</v>
      </c>
      <c r="Q1511">
        <v>0.29407440000000001</v>
      </c>
      <c r="R1511">
        <v>-0.40730559999999899</v>
      </c>
      <c r="S1511">
        <v>2.6128849999999999</v>
      </c>
      <c r="T1511">
        <v>-0.34524490000000002</v>
      </c>
      <c r="U1511">
        <v>-2.071167</v>
      </c>
      <c r="V1511">
        <v>0.19443650000000001</v>
      </c>
      <c r="W1511">
        <v>0.3054113</v>
      </c>
      <c r="X1511">
        <v>0.93215789999999998</v>
      </c>
      <c r="Y1511">
        <v>0.4172052</v>
      </c>
      <c r="Z1511">
        <v>-3.8134380000000002E-3</v>
      </c>
      <c r="AA1511">
        <v>0.90880430000000001</v>
      </c>
      <c r="AB1511">
        <v>21</v>
      </c>
      <c r="AC1511">
        <v>8.2839000000000098</v>
      </c>
      <c r="AD1511">
        <v>-1.107284801579</v>
      </c>
      <c r="AE1511">
        <v>-6.6163000000000203</v>
      </c>
      <c r="AF1511">
        <v>4.42654215043921</v>
      </c>
      <c r="AG1511">
        <v>-1.107284801579</v>
      </c>
      <c r="AH1511">
        <v>9.5074464483597492</v>
      </c>
      <c r="AI1511">
        <v>96.027088878933398</v>
      </c>
      <c r="AJ1511">
        <v>65.033931794805596</v>
      </c>
      <c r="AK1511">
        <v>10.545704955566</v>
      </c>
      <c r="AL1511">
        <v>72.217089276766004</v>
      </c>
      <c r="AM1511">
        <v>78.2177540411991</v>
      </c>
      <c r="AN1511">
        <v>0.99999998261617395</v>
      </c>
    </row>
    <row r="1512" spans="1:40" x14ac:dyDescent="0.25">
      <c r="A1512" t="str">
        <f>"20190304164845128"</f>
        <v>20190304164845128</v>
      </c>
      <c r="B1512" t="str">
        <f>"1551689325117235"</f>
        <v>1551689325117235</v>
      </c>
      <c r="C1512" t="s">
        <v>40</v>
      </c>
      <c r="D1512">
        <v>5.0765589999999996</v>
      </c>
      <c r="E1512">
        <v>0.61296729999999999</v>
      </c>
      <c r="F1512" t="s">
        <v>44</v>
      </c>
      <c r="G1512">
        <v>-198.8107</v>
      </c>
      <c r="H1512" s="1">
        <v>-9.8646840000000002E-6</v>
      </c>
      <c r="I1512">
        <v>360.09780000000001</v>
      </c>
      <c r="J1512">
        <v>-206.6739</v>
      </c>
      <c r="K1512">
        <v>1.1072919999999999</v>
      </c>
      <c r="L1512">
        <v>366.36860000000001</v>
      </c>
      <c r="M1512">
        <v>0.970966</v>
      </c>
      <c r="N1512">
        <v>-1.392345E-2</v>
      </c>
      <c r="O1512">
        <v>-0.23881260000000001</v>
      </c>
      <c r="P1512">
        <v>0.86169200000000001</v>
      </c>
      <c r="Q1512">
        <v>0.29623280000000002</v>
      </c>
      <c r="R1512">
        <v>-0.41198699999999999</v>
      </c>
      <c r="S1512">
        <v>2.61795</v>
      </c>
      <c r="T1512">
        <v>-0.36405090000000001</v>
      </c>
      <c r="U1512">
        <v>-2.07077</v>
      </c>
      <c r="V1512">
        <v>0.1969282</v>
      </c>
      <c r="W1512">
        <v>0.30753269999999999</v>
      </c>
      <c r="X1512">
        <v>0.9309366</v>
      </c>
      <c r="Y1512">
        <v>0.41347299999999998</v>
      </c>
      <c r="Z1512">
        <v>-3.1359980000000001E-3</v>
      </c>
      <c r="AA1512">
        <v>0.91051099999999996</v>
      </c>
      <c r="AB1512">
        <v>21</v>
      </c>
      <c r="AC1512">
        <v>7.8632</v>
      </c>
      <c r="AD1512">
        <v>-1.107301864684</v>
      </c>
      <c r="AE1512">
        <v>-6.2708000000000004</v>
      </c>
      <c r="AF1512">
        <v>4.1608742091394202</v>
      </c>
      <c r="AG1512">
        <v>-1.107301864684</v>
      </c>
      <c r="AH1512">
        <v>9.0239467478611903</v>
      </c>
      <c r="AI1512">
        <v>96.3583477124144</v>
      </c>
      <c r="AJ1512">
        <v>65.245927362115793</v>
      </c>
      <c r="AK1512">
        <v>9.9985302175894297</v>
      </c>
      <c r="AL1512">
        <v>72.089398006588794</v>
      </c>
      <c r="AM1512">
        <v>78.055863822147202</v>
      </c>
      <c r="AN1512">
        <v>1.0000000153720401</v>
      </c>
    </row>
    <row r="1513" spans="1:40" x14ac:dyDescent="0.25">
      <c r="A1513" t="str">
        <f>"20190304164845140"</f>
        <v>20190304164845140</v>
      </c>
      <c r="B1513" t="str">
        <f>"1551689325137731"</f>
        <v>1551689325137731</v>
      </c>
      <c r="C1513" t="s">
        <v>40</v>
      </c>
      <c r="D1513">
        <v>5.1098840000000001</v>
      </c>
      <c r="E1513">
        <v>0.61109939999999996</v>
      </c>
      <c r="F1513" t="s">
        <v>44</v>
      </c>
      <c r="G1513">
        <v>-198.8443</v>
      </c>
      <c r="H1513" s="1">
        <v>-9.8691380000000007E-6</v>
      </c>
      <c r="I1513">
        <v>360.14490000000001</v>
      </c>
      <c r="J1513">
        <v>-206.57429999999999</v>
      </c>
      <c r="K1513">
        <v>1.107308</v>
      </c>
      <c r="L1513">
        <v>366.34070000000003</v>
      </c>
      <c r="M1513">
        <v>0.97025289999999997</v>
      </c>
      <c r="N1513">
        <v>-1.392055E-2</v>
      </c>
      <c r="O1513">
        <v>-0.2416932</v>
      </c>
      <c r="P1513">
        <v>0.85865309999999995</v>
      </c>
      <c r="Q1513">
        <v>0.29824089999999998</v>
      </c>
      <c r="R1513">
        <v>-0.41685430000000001</v>
      </c>
      <c r="S1513">
        <v>2.614868</v>
      </c>
      <c r="T1513">
        <v>-0.36981180000000002</v>
      </c>
      <c r="U1513">
        <v>-2.0785830000000001</v>
      </c>
      <c r="V1513">
        <v>0.1996222</v>
      </c>
      <c r="W1513">
        <v>0.30950129999999998</v>
      </c>
      <c r="X1513">
        <v>0.92970960000000002</v>
      </c>
      <c r="Y1513">
        <v>0.41293990000000003</v>
      </c>
      <c r="Z1513">
        <v>-2.753742E-3</v>
      </c>
      <c r="AA1513">
        <v>0.91075410000000001</v>
      </c>
      <c r="AB1513">
        <v>21</v>
      </c>
      <c r="AC1513">
        <v>7.7299999999999898</v>
      </c>
      <c r="AD1513">
        <v>-1.1073178691379999</v>
      </c>
      <c r="AE1513">
        <v>-6.19580000000001</v>
      </c>
      <c r="AF1513">
        <v>4.0924752211913802</v>
      </c>
      <c r="AG1513">
        <v>-1.1073178691379999</v>
      </c>
      <c r="AH1513">
        <v>8.8873720879003599</v>
      </c>
      <c r="AI1513">
        <v>96.456817432342802</v>
      </c>
      <c r="AJ1513">
        <v>65.274778628022105</v>
      </c>
      <c r="AK1513">
        <v>9.8468212600903904</v>
      </c>
      <c r="AL1513">
        <v>71.970821073736502</v>
      </c>
      <c r="AM1513">
        <v>77.881751942596594</v>
      </c>
      <c r="AN1513">
        <v>1.0000000088833401</v>
      </c>
    </row>
    <row r="1514" spans="1:40" x14ac:dyDescent="0.25">
      <c r="A1514" t="str">
        <f>"20190304164845150"</f>
        <v>20190304164845150</v>
      </c>
      <c r="B1514" t="str">
        <f>"1551689325147492"</f>
        <v>1551689325147492</v>
      </c>
      <c r="C1514" t="s">
        <v>40</v>
      </c>
      <c r="D1514">
        <v>5.0789549999999997</v>
      </c>
      <c r="E1514">
        <v>0.61034840000000001</v>
      </c>
      <c r="F1514" t="s">
        <v>44</v>
      </c>
      <c r="G1514">
        <v>-199.05269999999999</v>
      </c>
      <c r="H1514" s="1">
        <v>-9.9088989999999999E-6</v>
      </c>
      <c r="I1514">
        <v>360.35849999999999</v>
      </c>
      <c r="J1514">
        <v>-206.483</v>
      </c>
      <c r="K1514">
        <v>1.107324</v>
      </c>
      <c r="L1514">
        <v>366.31479999999999</v>
      </c>
      <c r="M1514">
        <v>0.96959079999999997</v>
      </c>
      <c r="N1514">
        <v>-1.391618E-2</v>
      </c>
      <c r="O1514">
        <v>-0.244336</v>
      </c>
      <c r="P1514">
        <v>0.85578650000000001</v>
      </c>
      <c r="Q1514">
        <v>0.29990220000000001</v>
      </c>
      <c r="R1514">
        <v>-0.4215313</v>
      </c>
      <c r="S1514">
        <v>2.6171419999999999</v>
      </c>
      <c r="T1514">
        <v>-0.3852911</v>
      </c>
      <c r="U1514">
        <v>-2.081512</v>
      </c>
      <c r="V1514">
        <v>0.20232259999999999</v>
      </c>
      <c r="W1514">
        <v>0.31112220000000002</v>
      </c>
      <c r="X1514">
        <v>0.92858419999999997</v>
      </c>
      <c r="Y1514">
        <v>0.41061779999999998</v>
      </c>
      <c r="Z1514">
        <v>-2.1568690000000001E-3</v>
      </c>
      <c r="AA1514">
        <v>0.91180499999999998</v>
      </c>
      <c r="AB1514">
        <v>21</v>
      </c>
      <c r="AC1514">
        <v>7.4303000000000097</v>
      </c>
      <c r="AD1514">
        <v>-1.107333908899</v>
      </c>
      <c r="AE1514">
        <v>-5.9562999999999899</v>
      </c>
      <c r="AF1514">
        <v>3.9072370173625002</v>
      </c>
      <c r="AG1514">
        <v>-1.107333908899</v>
      </c>
      <c r="AH1514">
        <v>8.5449895527475004</v>
      </c>
      <c r="AI1514">
        <v>96.721452931528006</v>
      </c>
      <c r="AJ1514">
        <v>65.427526340105899</v>
      </c>
      <c r="AK1514">
        <v>9.4609479415230595</v>
      </c>
      <c r="AL1514">
        <v>71.873128211964996</v>
      </c>
      <c r="AM1514">
        <v>77.708334790505106</v>
      </c>
      <c r="AN1514">
        <v>1.00000003714661</v>
      </c>
    </row>
    <row r="1515" spans="1:40" x14ac:dyDescent="0.25">
      <c r="A1515" t="str">
        <f>"20190304164845162"</f>
        <v>20190304164845162</v>
      </c>
      <c r="B1515" t="str">
        <f>"1551689325157251"</f>
        <v>1551689325157251</v>
      </c>
      <c r="C1515" t="s">
        <v>40</v>
      </c>
      <c r="D1515">
        <v>5.078087</v>
      </c>
      <c r="E1515">
        <v>0.60976850000000005</v>
      </c>
      <c r="F1515" t="s">
        <v>44</v>
      </c>
      <c r="G1515">
        <v>-199.03370000000001</v>
      </c>
      <c r="H1515" s="1">
        <v>-9.9036620000000008E-6</v>
      </c>
      <c r="I1515">
        <v>360.34949999999998</v>
      </c>
      <c r="J1515">
        <v>-206.37610000000001</v>
      </c>
      <c r="K1515">
        <v>1.1073390000000001</v>
      </c>
      <c r="L1515">
        <v>366.2842</v>
      </c>
      <c r="M1515">
        <v>0.96880599999999994</v>
      </c>
      <c r="N1515">
        <v>-1.390895E-2</v>
      </c>
      <c r="O1515">
        <v>-0.24742980000000001</v>
      </c>
      <c r="P1515">
        <v>0.85273889999999997</v>
      </c>
      <c r="Q1515">
        <v>0.30152089999999998</v>
      </c>
      <c r="R1515">
        <v>-0.42652299999999899</v>
      </c>
      <c r="S1515">
        <v>2.6114959999999998</v>
      </c>
      <c r="T1515">
        <v>-0.38820169999999998</v>
      </c>
      <c r="U1515">
        <v>-2.0913089999999999</v>
      </c>
      <c r="V1515">
        <v>0.20494470000000001</v>
      </c>
      <c r="W1515">
        <v>0.31269839999999999</v>
      </c>
      <c r="X1515">
        <v>0.92747900000000005</v>
      </c>
      <c r="Y1515">
        <v>0.41075040000000002</v>
      </c>
      <c r="Z1515">
        <v>-1.7973240000000001E-3</v>
      </c>
      <c r="AA1515">
        <v>0.91174599999999995</v>
      </c>
      <c r="AB1515">
        <v>21</v>
      </c>
      <c r="AC1515">
        <v>7.3423999999999898</v>
      </c>
      <c r="AD1515">
        <v>-1.1073489036619999</v>
      </c>
      <c r="AE1515">
        <v>-5.9347000000000198</v>
      </c>
      <c r="AF1515">
        <v>3.8798480320259201</v>
      </c>
      <c r="AG1515">
        <v>-1.1073489036619999</v>
      </c>
      <c r="AH1515">
        <v>8.4661404608470594</v>
      </c>
      <c r="AI1515">
        <v>96.780960573578994</v>
      </c>
      <c r="AJ1515">
        <v>65.379043432851702</v>
      </c>
      <c r="AK1515">
        <v>9.3784314599430001</v>
      </c>
      <c r="AL1515">
        <v>71.778075114365393</v>
      </c>
      <c r="AM1515">
        <v>77.539600819810801</v>
      </c>
      <c r="AN1515">
        <v>0.99999995743082404</v>
      </c>
    </row>
    <row r="1516" spans="1:40" x14ac:dyDescent="0.25">
      <c r="A1516" t="str">
        <f>"20190304164845172"</f>
        <v>20190304164845172</v>
      </c>
      <c r="B1516" t="str">
        <f>"1551689325167987"</f>
        <v>1551689325167987</v>
      </c>
      <c r="C1516" t="s">
        <v>40</v>
      </c>
      <c r="D1516">
        <v>5.0882420000000002</v>
      </c>
      <c r="E1516">
        <v>0.60925299999999905</v>
      </c>
      <c r="F1516" t="s">
        <v>44</v>
      </c>
      <c r="G1516">
        <v>-198.9699</v>
      </c>
      <c r="H1516" s="1">
        <v>-9.8889340000000008E-6</v>
      </c>
      <c r="I1516">
        <v>360.30020000000002</v>
      </c>
      <c r="J1516">
        <v>-206.27199999999999</v>
      </c>
      <c r="K1516">
        <v>1.1073500000000001</v>
      </c>
      <c r="L1516">
        <v>366.25409999999999</v>
      </c>
      <c r="M1516">
        <v>0.96803079999999997</v>
      </c>
      <c r="N1516">
        <v>-1.3900320000000001E-2</v>
      </c>
      <c r="O1516">
        <v>-0.25044630000000001</v>
      </c>
      <c r="P1516">
        <v>0.84981499999999999</v>
      </c>
      <c r="Q1516">
        <v>0.30321559999999997</v>
      </c>
      <c r="R1516">
        <v>-0.43113249999999997</v>
      </c>
      <c r="S1516">
        <v>2.6035919999999999</v>
      </c>
      <c r="T1516">
        <v>-0.38927699999999998</v>
      </c>
      <c r="U1516">
        <v>-2.1036069999999998</v>
      </c>
      <c r="V1516">
        <v>0.2072473</v>
      </c>
      <c r="W1516">
        <v>0.31435299999999999</v>
      </c>
      <c r="X1516">
        <v>0.92640750000000005</v>
      </c>
      <c r="Y1516">
        <v>0.41187200000000002</v>
      </c>
      <c r="Z1516">
        <v>-1.534367E-3</v>
      </c>
      <c r="AA1516">
        <v>0.91124050000000001</v>
      </c>
      <c r="AB1516">
        <v>21</v>
      </c>
      <c r="AC1516">
        <v>7.3021000000000198</v>
      </c>
      <c r="AD1516">
        <v>-1.1073598889339999</v>
      </c>
      <c r="AE1516">
        <v>-5.9538999999999698</v>
      </c>
      <c r="AF1516">
        <v>3.88153567282626</v>
      </c>
      <c r="AG1516">
        <v>-1.1073598889339999</v>
      </c>
      <c r="AH1516">
        <v>8.44397275502463</v>
      </c>
      <c r="AI1516">
        <v>96.795081490858607</v>
      </c>
      <c r="AJ1516">
        <v>65.312646635602704</v>
      </c>
      <c r="AK1516">
        <v>9.3591260804971004</v>
      </c>
      <c r="AL1516">
        <v>71.678241603140904</v>
      </c>
      <c r="AM1516">
        <v>77.3899460517965</v>
      </c>
      <c r="AN1516">
        <v>1.0000000540112599</v>
      </c>
    </row>
    <row r="1517" spans="1:40" x14ac:dyDescent="0.25">
      <c r="A1517" t="str">
        <f>"20190304164845184"</f>
        <v>20190304164845184</v>
      </c>
      <c r="B1517" t="str">
        <f>"1551689325177748"</f>
        <v>1551689325177748</v>
      </c>
      <c r="C1517" t="s">
        <v>40</v>
      </c>
      <c r="D1517">
        <v>5.0641100000000003</v>
      </c>
      <c r="E1517">
        <v>0.60871390000000003</v>
      </c>
      <c r="F1517" t="s">
        <v>44</v>
      </c>
      <c r="G1517">
        <v>-198.88419999999999</v>
      </c>
      <c r="H1517" s="1">
        <v>-9.8695579999999996E-6</v>
      </c>
      <c r="I1517">
        <v>360.23169999999999</v>
      </c>
      <c r="J1517">
        <v>-206.17019999999999</v>
      </c>
      <c r="K1517">
        <v>1.107361</v>
      </c>
      <c r="L1517">
        <v>366.2242</v>
      </c>
      <c r="M1517">
        <v>0.96726230000000002</v>
      </c>
      <c r="N1517">
        <v>-1.388723E-2</v>
      </c>
      <c r="O1517">
        <v>-0.25339889999999998</v>
      </c>
      <c r="P1517">
        <v>0.84691909999999904</v>
      </c>
      <c r="Q1517">
        <v>0.30475780000000002</v>
      </c>
      <c r="R1517">
        <v>-0.43571880000000002</v>
      </c>
      <c r="S1517">
        <v>2.5955509999999999</v>
      </c>
      <c r="T1517">
        <v>-0.38904830000000001</v>
      </c>
      <c r="U1517">
        <v>-2.1158450000000002</v>
      </c>
      <c r="V1517">
        <v>0.2095882</v>
      </c>
      <c r="W1517">
        <v>0.31584950000000001</v>
      </c>
      <c r="X1517">
        <v>0.92537119999999995</v>
      </c>
      <c r="Y1517">
        <v>0.4130665</v>
      </c>
      <c r="Z1517">
        <v>-1.296841E-3</v>
      </c>
      <c r="AA1517">
        <v>0.91069999999999995</v>
      </c>
      <c r="AB1517">
        <v>21</v>
      </c>
      <c r="AC1517">
        <v>7.2859999999999996</v>
      </c>
      <c r="AD1517">
        <v>-1.107370869558</v>
      </c>
      <c r="AE1517">
        <v>-5.9924999999999997</v>
      </c>
      <c r="AF1517">
        <v>3.8967424166707398</v>
      </c>
      <c r="AG1517">
        <v>-1.107370869558</v>
      </c>
      <c r="AH1517">
        <v>8.4503541338995802</v>
      </c>
      <c r="AI1517">
        <v>96.786354343390002</v>
      </c>
      <c r="AJ1517">
        <v>65.243984557064294</v>
      </c>
      <c r="AK1517">
        <v>9.3711982527817792</v>
      </c>
      <c r="AL1517">
        <v>71.587894846791102</v>
      </c>
      <c r="AM1517">
        <v>77.238333764908603</v>
      </c>
      <c r="AN1517">
        <v>0.99999998900946396</v>
      </c>
    </row>
    <row r="1518" spans="1:40" x14ac:dyDescent="0.25">
      <c r="A1518" t="str">
        <f>"20190304164845195"</f>
        <v>20190304164845195</v>
      </c>
      <c r="B1518" t="str">
        <f>"1551689325187508"</f>
        <v>1551689325187508</v>
      </c>
      <c r="C1518" t="s">
        <v>40</v>
      </c>
      <c r="D1518">
        <v>5.0865669999999996</v>
      </c>
      <c r="E1518">
        <v>0.60825439999999997</v>
      </c>
      <c r="F1518" t="s">
        <v>44</v>
      </c>
      <c r="G1518">
        <v>-198.7989</v>
      </c>
      <c r="H1518" s="1">
        <v>-9.8507369999999999E-6</v>
      </c>
      <c r="I1518">
        <v>360.16059999999999</v>
      </c>
      <c r="J1518">
        <v>-206.07069999999999</v>
      </c>
      <c r="K1518">
        <v>1.1073649999999999</v>
      </c>
      <c r="L1518">
        <v>366.19479999999999</v>
      </c>
      <c r="M1518">
        <v>0.96650139999999995</v>
      </c>
      <c r="N1518">
        <v>-1.3873379999999999E-2</v>
      </c>
      <c r="O1518">
        <v>-0.25628620000000002</v>
      </c>
      <c r="P1518">
        <v>0.84414319999999898</v>
      </c>
      <c r="Q1518">
        <v>0.30589569999999999</v>
      </c>
      <c r="R1518">
        <v>-0.44028420000000001</v>
      </c>
      <c r="S1518">
        <v>2.5872039999999998</v>
      </c>
      <c r="T1518">
        <v>-0.38866810000000002</v>
      </c>
      <c r="U1518">
        <v>-2.1282040000000002</v>
      </c>
      <c r="V1518">
        <v>0.2119433</v>
      </c>
      <c r="W1518">
        <v>0.31694329999999998</v>
      </c>
      <c r="X1518">
        <v>0.92446039999999996</v>
      </c>
      <c r="Y1518">
        <v>0.41439379999999998</v>
      </c>
      <c r="Z1518">
        <v>-1.0777619999999999E-3</v>
      </c>
      <c r="AA1518">
        <v>0.91009700000000004</v>
      </c>
      <c r="AB1518">
        <v>21</v>
      </c>
      <c r="AC1518">
        <v>7.2717999999999803</v>
      </c>
      <c r="AD1518">
        <v>-1.107374850737</v>
      </c>
      <c r="AE1518">
        <v>-6.0341999999999896</v>
      </c>
      <c r="AF1518">
        <v>3.9150155005752798</v>
      </c>
      <c r="AG1518">
        <v>-1.107374850737</v>
      </c>
      <c r="AH1518">
        <v>8.4593353411268701</v>
      </c>
      <c r="AI1518">
        <v>96.774970420350996</v>
      </c>
      <c r="AJ1518">
        <v>65.165104605975202</v>
      </c>
      <c r="AK1518">
        <v>9.3869046998160002</v>
      </c>
      <c r="AL1518">
        <v>71.521831494386205</v>
      </c>
      <c r="AM1518">
        <v>77.087421818914805</v>
      </c>
      <c r="AN1518">
        <v>1.00000002449896</v>
      </c>
    </row>
    <row r="1519" spans="1:40" x14ac:dyDescent="0.25">
      <c r="A1519" t="str">
        <f>"20190304164845208"</f>
        <v>20190304164845208</v>
      </c>
      <c r="B1519" t="str">
        <f>"1551689325197267"</f>
        <v>1551689325197267</v>
      </c>
      <c r="C1519" t="s">
        <v>40</v>
      </c>
      <c r="D1519">
        <v>5.0762119999999999</v>
      </c>
      <c r="E1519">
        <v>0.60772780000000004</v>
      </c>
      <c r="F1519" t="s">
        <v>44</v>
      </c>
      <c r="G1519">
        <v>-198.73269999999999</v>
      </c>
      <c r="H1519" s="1">
        <v>-9.8367030000000001E-6</v>
      </c>
      <c r="I1519">
        <v>360.10169999999999</v>
      </c>
      <c r="J1519">
        <v>-205.959</v>
      </c>
      <c r="K1519">
        <v>1.107362</v>
      </c>
      <c r="L1519">
        <v>366.16109999999998</v>
      </c>
      <c r="M1519">
        <v>0.96563259999999995</v>
      </c>
      <c r="N1519">
        <v>-1.384816E-2</v>
      </c>
      <c r="O1519">
        <v>-0.2595422</v>
      </c>
      <c r="P1519">
        <v>0.8413081</v>
      </c>
      <c r="Q1519">
        <v>0.30711670000000002</v>
      </c>
      <c r="R1519">
        <v>-0.44483810000000001</v>
      </c>
      <c r="S1519">
        <v>2.5782470000000002</v>
      </c>
      <c r="T1519">
        <v>-0.38908169999999997</v>
      </c>
      <c r="U1519">
        <v>-2.1408390000000002</v>
      </c>
      <c r="V1519">
        <v>0.2139567</v>
      </c>
      <c r="W1519">
        <v>0.31811070000000002</v>
      </c>
      <c r="X1519">
        <v>0.92359519999999995</v>
      </c>
      <c r="Y1519">
        <v>0.41552899999999998</v>
      </c>
      <c r="Z1519">
        <v>-7.8757849999999999E-4</v>
      </c>
      <c r="AA1519">
        <v>0.90957960000000004</v>
      </c>
      <c r="AB1519">
        <v>21</v>
      </c>
      <c r="AC1519">
        <v>7.2263000000000002</v>
      </c>
      <c r="AD1519">
        <v>-1.1073718367030001</v>
      </c>
      <c r="AE1519">
        <v>-6.0593999999999797</v>
      </c>
      <c r="AF1519">
        <v>3.9219284398723402</v>
      </c>
      <c r="AG1519">
        <v>-1.1073718367030001</v>
      </c>
      <c r="AH1519">
        <v>8.4351336969542992</v>
      </c>
      <c r="AI1519">
        <v>96.788693844164897</v>
      </c>
      <c r="AJ1519">
        <v>65.063855105618103</v>
      </c>
      <c r="AK1519">
        <v>9.3679920771580694</v>
      </c>
      <c r="AL1519">
        <v>71.451293370043302</v>
      </c>
      <c r="AM1519">
        <v>76.957133956806302</v>
      </c>
      <c r="AN1519">
        <v>0.99999999019621</v>
      </c>
    </row>
    <row r="1520" spans="1:40" x14ac:dyDescent="0.25">
      <c r="A1520" t="str">
        <f>"20190304164845219"</f>
        <v>20190304164845219</v>
      </c>
      <c r="B1520" t="str">
        <f>"1551689325208003"</f>
        <v>1551689325208003</v>
      </c>
      <c r="C1520" t="s">
        <v>40</v>
      </c>
      <c r="D1520">
        <v>5.0950800000000003</v>
      </c>
      <c r="E1520">
        <v>0.60772780000000004</v>
      </c>
      <c r="F1520" t="s">
        <v>44</v>
      </c>
      <c r="G1520">
        <v>-198.6576</v>
      </c>
      <c r="H1520" s="1">
        <v>-9.8197910000000008E-6</v>
      </c>
      <c r="I1520">
        <v>360.0412</v>
      </c>
      <c r="J1520">
        <v>-205.84899999999999</v>
      </c>
      <c r="K1520">
        <v>1.1073569999999999</v>
      </c>
      <c r="L1520">
        <v>366.1277</v>
      </c>
      <c r="M1520">
        <v>0.96476390000000001</v>
      </c>
      <c r="N1520">
        <v>-1.3820560000000001E-2</v>
      </c>
      <c r="O1520">
        <v>-0.26275389999999998</v>
      </c>
      <c r="P1520">
        <v>0.83850539999999996</v>
      </c>
      <c r="Q1520">
        <v>0.30822189999999999</v>
      </c>
      <c r="R1520">
        <v>-0.44934180000000001</v>
      </c>
      <c r="S1520">
        <v>2.5694270000000001</v>
      </c>
      <c r="T1520">
        <v>-0.38969389999999998</v>
      </c>
      <c r="U1520">
        <v>-2.1536559999999998</v>
      </c>
      <c r="V1520">
        <v>0.2159623</v>
      </c>
      <c r="W1520">
        <v>0.31915929999999998</v>
      </c>
      <c r="X1520">
        <v>0.92276630000000004</v>
      </c>
      <c r="Y1520">
        <v>0.41671190000000002</v>
      </c>
      <c r="Z1520">
        <v>-5.0098079999999999E-4</v>
      </c>
      <c r="AA1520">
        <v>0.90903849999999997</v>
      </c>
      <c r="AB1520">
        <v>21</v>
      </c>
      <c r="AC1520">
        <v>7.1914000000000096</v>
      </c>
      <c r="AD1520">
        <v>-1.1073668197909901</v>
      </c>
      <c r="AE1520">
        <v>-6.0865</v>
      </c>
      <c r="AF1520">
        <v>3.92857342570974</v>
      </c>
      <c r="AG1520">
        <v>-1.1073668197909901</v>
      </c>
      <c r="AH1520">
        <v>8.4217223523291906</v>
      </c>
      <c r="AI1520">
        <v>96.795431455905401</v>
      </c>
      <c r="AJ1520">
        <v>64.991842876198305</v>
      </c>
      <c r="AK1520">
        <v>9.3587049218622091</v>
      </c>
      <c r="AL1520">
        <v>71.387909637553193</v>
      </c>
      <c r="AM1520">
        <v>76.827698577094694</v>
      </c>
      <c r="AN1520">
        <v>1.00000000910673</v>
      </c>
    </row>
    <row r="1521" spans="1:40" x14ac:dyDescent="0.25">
      <c r="A1521" t="str">
        <f>"20190304164845232"</f>
        <v>20190304164845232</v>
      </c>
      <c r="B1521" t="str">
        <f>"1551689325227525"</f>
        <v>1551689325227525</v>
      </c>
      <c r="C1521" t="s">
        <v>40</v>
      </c>
      <c r="D1521">
        <v>5.0907140000000002</v>
      </c>
      <c r="E1521">
        <v>0.59961489999999995</v>
      </c>
      <c r="F1521" t="s">
        <v>44</v>
      </c>
      <c r="G1521">
        <v>-198.49619999999999</v>
      </c>
      <c r="H1521" s="1">
        <v>-9.7867159999999994E-6</v>
      </c>
      <c r="I1521">
        <v>359.89030000000002</v>
      </c>
      <c r="J1521">
        <v>-205.7302</v>
      </c>
      <c r="K1521">
        <v>1.1073440000000001</v>
      </c>
      <c r="L1521">
        <v>366.09120000000001</v>
      </c>
      <c r="M1521">
        <v>0.9638099</v>
      </c>
      <c r="N1521">
        <v>-1.37853E-2</v>
      </c>
      <c r="O1521">
        <v>-0.26623439999999998</v>
      </c>
      <c r="P1521">
        <v>0.83548489999999997</v>
      </c>
      <c r="Q1521">
        <v>0.30971009999999999</v>
      </c>
      <c r="R1521">
        <v>-0.45392199999999999</v>
      </c>
      <c r="S1521">
        <v>2.5569459999999999</v>
      </c>
      <c r="T1521">
        <v>-0.3850905</v>
      </c>
      <c r="U1521">
        <v>-2.169098</v>
      </c>
      <c r="V1521">
        <v>0.2178532</v>
      </c>
      <c r="W1521">
        <v>0.32058160000000002</v>
      </c>
      <c r="X1521">
        <v>0.92182830000000004</v>
      </c>
      <c r="Y1521">
        <v>0.41884759999999999</v>
      </c>
      <c r="Z1521">
        <v>-3.3090449999999998E-4</v>
      </c>
      <c r="AA1521">
        <v>0.90805650000000004</v>
      </c>
      <c r="AB1521">
        <v>21</v>
      </c>
      <c r="AC1521">
        <v>7.234</v>
      </c>
      <c r="AD1521">
        <v>-1.1073537867159999</v>
      </c>
      <c r="AE1521">
        <v>-6.2008999999999901</v>
      </c>
      <c r="AF1521">
        <v>3.9969449083412201</v>
      </c>
      <c r="AG1521">
        <v>-1.1073537867159999</v>
      </c>
      <c r="AH1521">
        <v>8.5089772109944004</v>
      </c>
      <c r="AI1521">
        <v>96.717995191522505</v>
      </c>
      <c r="AJ1521">
        <v>64.839020544247205</v>
      </c>
      <c r="AK1521">
        <v>9.4659650425348101</v>
      </c>
      <c r="AL1521">
        <v>71.301898712543306</v>
      </c>
      <c r="AM1521">
        <v>76.703401047720405</v>
      </c>
      <c r="AN1521">
        <v>0.99999999684484497</v>
      </c>
    </row>
    <row r="1522" spans="1:40" x14ac:dyDescent="0.25">
      <c r="A1522" t="str">
        <f>"20190304164845244"</f>
        <v>20190304164845244</v>
      </c>
      <c r="B1522" t="str">
        <f>"1551689325237283"</f>
        <v>1551689325237283</v>
      </c>
      <c r="C1522" t="s">
        <v>40</v>
      </c>
      <c r="D1522">
        <v>5.0954280000000001</v>
      </c>
      <c r="E1522">
        <v>0.59947419999999996</v>
      </c>
      <c r="F1522" t="s">
        <v>44</v>
      </c>
      <c r="G1522">
        <v>-199.4828</v>
      </c>
      <c r="H1522" s="1">
        <v>-9.9746669999999993E-6</v>
      </c>
      <c r="I1522">
        <v>360.97300000000001</v>
      </c>
      <c r="J1522">
        <v>-205.63059999999999</v>
      </c>
      <c r="K1522">
        <v>1.107332</v>
      </c>
      <c r="L1522">
        <v>366.06009999999998</v>
      </c>
      <c r="M1522">
        <v>0.96299429999999997</v>
      </c>
      <c r="N1522">
        <v>-1.375317E-2</v>
      </c>
      <c r="O1522">
        <v>-0.26917079999999999</v>
      </c>
      <c r="P1522">
        <v>0.83251090000000005</v>
      </c>
      <c r="Q1522">
        <v>0.311258799999999</v>
      </c>
      <c r="R1522">
        <v>-0.45830490000000002</v>
      </c>
      <c r="S1522">
        <v>2.6031339999999998</v>
      </c>
      <c r="T1522">
        <v>-0.46140500000000001</v>
      </c>
      <c r="U1522">
        <v>-2.1325989999999999</v>
      </c>
      <c r="V1522">
        <v>0.22007289999999999</v>
      </c>
      <c r="W1522">
        <v>0.32206079999999998</v>
      </c>
      <c r="X1522">
        <v>0.92078490000000002</v>
      </c>
      <c r="Y1522">
        <v>0.40009220000000001</v>
      </c>
      <c r="Z1522">
        <v>2.8316639999999998E-3</v>
      </c>
      <c r="AA1522">
        <v>0.91647049999999997</v>
      </c>
      <c r="AB1522">
        <v>21</v>
      </c>
      <c r="AC1522">
        <v>6.1477999999999797</v>
      </c>
      <c r="AD1522">
        <v>-1.1073419746669999</v>
      </c>
      <c r="AE1522">
        <v>-5.0870999999999604</v>
      </c>
      <c r="AF1522">
        <v>3.1830490136596801</v>
      </c>
      <c r="AG1522">
        <v>-1.1073419746669999</v>
      </c>
      <c r="AH1522">
        <v>7.1525437965879801</v>
      </c>
      <c r="AI1522">
        <v>98.050738917981207</v>
      </c>
      <c r="AJ1522">
        <v>66.009819199713704</v>
      </c>
      <c r="AK1522">
        <v>7.9067622978263703</v>
      </c>
      <c r="AL1522">
        <v>71.212401495343997</v>
      </c>
      <c r="AM1522">
        <v>76.558141787509399</v>
      </c>
      <c r="AN1522">
        <v>1.00000003613952</v>
      </c>
    </row>
    <row r="1523" spans="1:40" x14ac:dyDescent="0.25">
      <c r="A1523" t="str">
        <f>"20190304164845253"</f>
        <v>20190304164845253</v>
      </c>
      <c r="B1523" t="str">
        <f>"1551689325248020"</f>
        <v>1551689325248020</v>
      </c>
      <c r="C1523" t="s">
        <v>40</v>
      </c>
      <c r="D1523">
        <v>5.1615099999999998</v>
      </c>
      <c r="E1523">
        <v>0.5996918</v>
      </c>
      <c r="F1523" t="s">
        <v>44</v>
      </c>
      <c r="G1523">
        <v>-199.32429999999999</v>
      </c>
      <c r="H1523" s="1">
        <v>-9.9373030000000004E-6</v>
      </c>
      <c r="I1523">
        <v>360.83190000000002</v>
      </c>
      <c r="J1523">
        <v>-205.5308</v>
      </c>
      <c r="K1523">
        <v>1.1073189999999999</v>
      </c>
      <c r="L1523">
        <v>366.02879999999999</v>
      </c>
      <c r="M1523">
        <v>0.96216670000000004</v>
      </c>
      <c r="N1523">
        <v>-1.3720059999999999E-2</v>
      </c>
      <c r="O1523">
        <v>-0.27211540000000001</v>
      </c>
      <c r="P1523">
        <v>0.82967739999999901</v>
      </c>
      <c r="Q1523">
        <v>0.31257649999999998</v>
      </c>
      <c r="R1523">
        <v>-0.46252690000000002</v>
      </c>
      <c r="S1523">
        <v>2.59111</v>
      </c>
      <c r="T1523">
        <v>-0.45498110000000003</v>
      </c>
      <c r="U1523">
        <v>-2.1481629999999998</v>
      </c>
      <c r="V1523">
        <v>0.2220965</v>
      </c>
      <c r="W1523">
        <v>0.32331149999999997</v>
      </c>
      <c r="X1523">
        <v>0.91986020000000002</v>
      </c>
      <c r="Y1523">
        <v>0.40268209999999999</v>
      </c>
      <c r="Z1523">
        <v>2.8882030000000002E-3</v>
      </c>
      <c r="AA1523">
        <v>0.91533540000000002</v>
      </c>
      <c r="AB1523">
        <v>21</v>
      </c>
      <c r="AC1523">
        <v>6.2065000000000001</v>
      </c>
      <c r="AD1523">
        <v>-1.107328937303</v>
      </c>
      <c r="AE1523">
        <v>-5.1968999999999701</v>
      </c>
      <c r="AF1523">
        <v>3.2508809868438</v>
      </c>
      <c r="AG1523">
        <v>-1.107328937303</v>
      </c>
      <c r="AH1523">
        <v>7.2508609894017697</v>
      </c>
      <c r="AI1523">
        <v>97.933195139775506</v>
      </c>
      <c r="AJ1523">
        <v>65.851200987629795</v>
      </c>
      <c r="AK1523">
        <v>8.0230536364678304</v>
      </c>
      <c r="AL1523">
        <v>71.136690626322405</v>
      </c>
      <c r="AM1523">
        <v>76.425958881265203</v>
      </c>
      <c r="AN1523">
        <v>0.99999998444426896</v>
      </c>
    </row>
    <row r="1524" spans="1:40" x14ac:dyDescent="0.25">
      <c r="A1524" t="str">
        <f>"20190304164845265"</f>
        <v>20190304164845265</v>
      </c>
      <c r="B1524" t="str">
        <f>"1551689325257779"</f>
        <v>1551689325257779</v>
      </c>
      <c r="C1524" t="s">
        <v>40</v>
      </c>
      <c r="D1524">
        <v>5.20547</v>
      </c>
      <c r="E1524">
        <v>0.5996918</v>
      </c>
      <c r="F1524" t="s">
        <v>44</v>
      </c>
      <c r="G1524">
        <v>-199.24930000000001</v>
      </c>
      <c r="H1524" s="1">
        <v>-9.9212249999999992E-6</v>
      </c>
      <c r="I1524">
        <v>360.75380000000001</v>
      </c>
      <c r="J1524">
        <v>-205.4324</v>
      </c>
      <c r="K1524">
        <v>1.1073029999999999</v>
      </c>
      <c r="L1524">
        <v>365.9973</v>
      </c>
      <c r="M1524">
        <v>0.96133259999999998</v>
      </c>
      <c r="N1524">
        <v>-1.368812E-2</v>
      </c>
      <c r="O1524">
        <v>-0.27505020000000002</v>
      </c>
      <c r="P1524">
        <v>0.82674559999999997</v>
      </c>
      <c r="Q1524">
        <v>0.31426320000000002</v>
      </c>
      <c r="R1524">
        <v>-0.46661649999999999</v>
      </c>
      <c r="S1524">
        <v>2.5795750000000002</v>
      </c>
      <c r="T1524">
        <v>-0.454735</v>
      </c>
      <c r="U1524">
        <v>-2.1661990000000002</v>
      </c>
      <c r="V1524">
        <v>0.22404180000000001</v>
      </c>
      <c r="W1524">
        <v>0.3249282</v>
      </c>
      <c r="X1524">
        <v>0.91881820000000003</v>
      </c>
      <c r="Y1524">
        <v>0.4056573</v>
      </c>
      <c r="Z1524">
        <v>3.029346E-3</v>
      </c>
      <c r="AA1524">
        <v>0.91402019999999995</v>
      </c>
      <c r="AB1524">
        <v>21</v>
      </c>
      <c r="AC1524">
        <v>6.1830999999999898</v>
      </c>
      <c r="AD1524">
        <v>-1.1073129212249999</v>
      </c>
      <c r="AE1524">
        <v>-5.2434999999999796</v>
      </c>
      <c r="AF1524">
        <v>3.2792210224532798</v>
      </c>
      <c r="AG1524">
        <v>-1.1073129212249999</v>
      </c>
      <c r="AH1524">
        <v>7.2516480115604303</v>
      </c>
      <c r="AI1524">
        <v>97.920924665723305</v>
      </c>
      <c r="AJ1524">
        <v>65.667347962935395</v>
      </c>
      <c r="AK1524">
        <v>8.0352866347865692</v>
      </c>
      <c r="AL1524">
        <v>71.038774422049002</v>
      </c>
      <c r="AM1524">
        <v>76.296582230277295</v>
      </c>
      <c r="AN1524">
        <v>0.99999997397685902</v>
      </c>
    </row>
    <row r="1525" spans="1:40" x14ac:dyDescent="0.25">
      <c r="A1525" t="str">
        <f>"20190304164845287"</f>
        <v>20190304164845287</v>
      </c>
      <c r="B1525" t="str">
        <f>"1551689325267540"</f>
        <v>1551689325267540</v>
      </c>
      <c r="C1525" t="s">
        <v>40</v>
      </c>
      <c r="D1525">
        <v>5.4834110000000003</v>
      </c>
      <c r="E1525">
        <v>0.60863009999999995</v>
      </c>
      <c r="F1525" t="s">
        <v>44</v>
      </c>
      <c r="G1525">
        <v>-199.08369999999999</v>
      </c>
      <c r="H1525" s="1">
        <v>-9.8833920000000007E-6</v>
      </c>
      <c r="I1525">
        <v>360.59800000000001</v>
      </c>
      <c r="J1525">
        <v>-205.3408</v>
      </c>
      <c r="K1525">
        <v>1.1072900000000001</v>
      </c>
      <c r="L1525">
        <v>365.96800000000002</v>
      </c>
      <c r="M1525">
        <v>0.9605477</v>
      </c>
      <c r="N1525">
        <v>-1.365837E-2</v>
      </c>
      <c r="O1525">
        <v>-0.27777980000000002</v>
      </c>
      <c r="P1525">
        <v>0.82380989999999998</v>
      </c>
      <c r="Q1525">
        <v>0.31594519999999998</v>
      </c>
      <c r="R1525">
        <v>-0.47065489999999999</v>
      </c>
      <c r="S1525">
        <v>2.566818</v>
      </c>
      <c r="T1525">
        <v>-0.44769369999999997</v>
      </c>
      <c r="U1525">
        <v>-2.1829830000000001</v>
      </c>
      <c r="V1525">
        <v>0.2261418</v>
      </c>
      <c r="W1525">
        <v>0.32653989999999999</v>
      </c>
      <c r="X1525">
        <v>0.91773179999999999</v>
      </c>
      <c r="Y1525">
        <v>0.40880919999999998</v>
      </c>
      <c r="Z1525">
        <v>2.988685E-3</v>
      </c>
      <c r="AA1525">
        <v>0.91261499999999995</v>
      </c>
      <c r="AB1525">
        <v>21</v>
      </c>
      <c r="AC1525">
        <v>6.2571000000000003</v>
      </c>
      <c r="AD1525">
        <v>-1.10729988339199</v>
      </c>
      <c r="AE1525">
        <v>-5.37</v>
      </c>
      <c r="AF1525">
        <v>3.3597732893676899</v>
      </c>
      <c r="AG1525">
        <v>-1.10729988339199</v>
      </c>
      <c r="AH1525">
        <v>7.3697132789636797</v>
      </c>
      <c r="AI1525">
        <v>97.784835101203598</v>
      </c>
      <c r="AJ1525">
        <v>65.492266115054605</v>
      </c>
      <c r="AK1525">
        <v>8.1747699295969305</v>
      </c>
      <c r="AL1525">
        <v>70.941105265944003</v>
      </c>
      <c r="AM1525">
        <v>76.157305363228602</v>
      </c>
      <c r="AN1525">
        <v>1.0000000383652401</v>
      </c>
    </row>
    <row r="1526" spans="1:40" x14ac:dyDescent="0.25">
      <c r="A1526" t="str">
        <f>"20190304164845297"</f>
        <v>20190304164845297</v>
      </c>
      <c r="B1526" t="str">
        <f>"1551689325288036"</f>
        <v>1551689325288036</v>
      </c>
      <c r="C1526" t="s">
        <v>40</v>
      </c>
      <c r="D1526">
        <v>5.192469</v>
      </c>
      <c r="E1526">
        <v>0.6103788</v>
      </c>
      <c r="F1526" t="s">
        <v>44</v>
      </c>
      <c r="G1526">
        <v>-199.92359999999999</v>
      </c>
      <c r="H1526" s="1">
        <v>-1.011008E-5</v>
      </c>
      <c r="I1526">
        <v>361.14600000000002</v>
      </c>
      <c r="J1526">
        <v>-205.13509999999999</v>
      </c>
      <c r="K1526">
        <v>1.1072249999999999</v>
      </c>
      <c r="L1526">
        <v>365.9006</v>
      </c>
      <c r="M1526">
        <v>0.95872299999999999</v>
      </c>
      <c r="N1526">
        <v>-1.359258E-2</v>
      </c>
      <c r="O1526">
        <v>-0.28401670000000001</v>
      </c>
      <c r="P1526">
        <v>0.81921980000000005</v>
      </c>
      <c r="Q1526">
        <v>0.31778260000000003</v>
      </c>
      <c r="R1526">
        <v>-0.47738190000000003</v>
      </c>
      <c r="S1526">
        <v>2.5463260000000001</v>
      </c>
      <c r="T1526">
        <v>-0.52047540000000003</v>
      </c>
      <c r="U1526">
        <v>-2.2665410000000001</v>
      </c>
      <c r="V1526">
        <v>0.22795860000000001</v>
      </c>
      <c r="W1526">
        <v>0.32825569999999998</v>
      </c>
      <c r="X1526">
        <v>0.91666950000000003</v>
      </c>
      <c r="Y1526">
        <v>0.42282459999999999</v>
      </c>
      <c r="Z1526">
        <v>4.0828469999999997E-3</v>
      </c>
      <c r="AA1526">
        <v>0.90620230000000002</v>
      </c>
      <c r="AB1526">
        <v>21</v>
      </c>
      <c r="AC1526">
        <v>5.2115</v>
      </c>
      <c r="AD1526">
        <v>-1.10723511008</v>
      </c>
      <c r="AE1526">
        <v>-4.7546000000000301</v>
      </c>
      <c r="AF1526">
        <v>3.0044616629040002</v>
      </c>
      <c r="AG1526">
        <v>-1.10723511008</v>
      </c>
      <c r="AH1526">
        <v>6.1947511284970096</v>
      </c>
      <c r="AI1526">
        <v>99.136136457670105</v>
      </c>
      <c r="AJ1526">
        <v>64.126559621923093</v>
      </c>
      <c r="AK1526">
        <v>6.9733565100938799</v>
      </c>
      <c r="AL1526">
        <v>70.837061273512703</v>
      </c>
      <c r="AM1526">
        <v>76.034887862066597</v>
      </c>
      <c r="AN1526">
        <v>0.99999995006334796</v>
      </c>
    </row>
    <row r="1527" spans="1:40" x14ac:dyDescent="0.25">
      <c r="A1527" t="str">
        <f>"20190304164845308"</f>
        <v>20190304164845308</v>
      </c>
      <c r="B1527" t="str">
        <f>"1551689325297796"</f>
        <v>1551689325297796</v>
      </c>
      <c r="C1527" t="s">
        <v>40</v>
      </c>
      <c r="D1527">
        <v>5.1989400000000003</v>
      </c>
      <c r="E1527">
        <v>0.61095549999999998</v>
      </c>
      <c r="F1527" t="s">
        <v>44</v>
      </c>
      <c r="G1527">
        <v>-199.75409999999999</v>
      </c>
      <c r="H1527" s="1">
        <v>-1.0072090000000001E-5</v>
      </c>
      <c r="I1527">
        <v>360.98140000000001</v>
      </c>
      <c r="J1527">
        <v>-205.03559999999999</v>
      </c>
      <c r="K1527">
        <v>1.1072029999999999</v>
      </c>
      <c r="L1527">
        <v>365.86739999999998</v>
      </c>
      <c r="M1527">
        <v>0.95781210000000006</v>
      </c>
      <c r="N1527">
        <v>-1.3561220000000001E-2</v>
      </c>
      <c r="O1527">
        <v>-0.28707510000000003</v>
      </c>
      <c r="P1527">
        <v>0.81490249999999997</v>
      </c>
      <c r="Q1527">
        <v>0.32163419999999998</v>
      </c>
      <c r="R1527">
        <v>-0.48216769999999998</v>
      </c>
      <c r="S1527">
        <v>2.5204770000000001</v>
      </c>
      <c r="T1527">
        <v>-0.51862929999999996</v>
      </c>
      <c r="U1527">
        <v>-2.3041689999999999</v>
      </c>
      <c r="V1527">
        <v>0.2309022</v>
      </c>
      <c r="W1527">
        <v>0.33200590000000002</v>
      </c>
      <c r="X1527">
        <v>0.9145799</v>
      </c>
      <c r="Y1527">
        <v>0.43186600000000003</v>
      </c>
      <c r="Z1527">
        <v>3.6672689999999999E-3</v>
      </c>
      <c r="AA1527">
        <v>0.90193029999999996</v>
      </c>
      <c r="AB1527">
        <v>21</v>
      </c>
      <c r="AC1527">
        <v>5.2814999999999896</v>
      </c>
      <c r="AD1527">
        <v>-1.10721307209</v>
      </c>
      <c r="AE1527">
        <v>-4.8859999999999602</v>
      </c>
      <c r="AF1527">
        <v>3.0907796737618001</v>
      </c>
      <c r="AG1527">
        <v>-1.10721307209</v>
      </c>
      <c r="AH1527">
        <v>6.3124402079984696</v>
      </c>
      <c r="AI1527">
        <v>98.952342315488707</v>
      </c>
      <c r="AJ1527">
        <v>63.912100118024298</v>
      </c>
      <c r="AK1527">
        <v>7.1151768184846897</v>
      </c>
      <c r="AL1527">
        <v>70.609430623607395</v>
      </c>
      <c r="AM1527">
        <v>75.830743564210294</v>
      </c>
      <c r="AN1527">
        <v>1.00000006854182</v>
      </c>
    </row>
    <row r="1528" spans="1:40" x14ac:dyDescent="0.25">
      <c r="A1528" t="str">
        <f>"20190304164845319"</f>
        <v>20190304164845319</v>
      </c>
      <c r="B1528" t="str">
        <f>"1551689325307556"</f>
        <v>1551689325307556</v>
      </c>
      <c r="C1528" t="s">
        <v>40</v>
      </c>
      <c r="D1528">
        <v>5.19353</v>
      </c>
      <c r="E1528">
        <v>0.61049330000000002</v>
      </c>
      <c r="F1528" t="s">
        <v>44</v>
      </c>
      <c r="G1528">
        <v>-199.52170000000001</v>
      </c>
      <c r="H1528" s="1">
        <v>-1.002426E-5</v>
      </c>
      <c r="I1528">
        <v>360.726</v>
      </c>
      <c r="J1528">
        <v>-204.94829999999999</v>
      </c>
      <c r="K1528">
        <v>1.1071759999999999</v>
      </c>
      <c r="L1528">
        <v>365.83800000000002</v>
      </c>
      <c r="M1528">
        <v>0.95699909999999999</v>
      </c>
      <c r="N1528">
        <v>-1.3533409999999999E-2</v>
      </c>
      <c r="O1528">
        <v>-0.28977530000000001</v>
      </c>
      <c r="P1528">
        <v>0.81215109999999902</v>
      </c>
      <c r="Q1528">
        <v>0.32383260000000003</v>
      </c>
      <c r="R1528">
        <v>-0.48532829999999899</v>
      </c>
      <c r="S1528">
        <v>2.5001980000000001</v>
      </c>
      <c r="T1528">
        <v>-0.50204129999999902</v>
      </c>
      <c r="U1528">
        <v>-2.3312379999999999</v>
      </c>
      <c r="V1528">
        <v>0.23217550000000001</v>
      </c>
      <c r="W1528">
        <v>0.33413569999999998</v>
      </c>
      <c r="X1528">
        <v>0.91348119999999999</v>
      </c>
      <c r="Y1528">
        <v>0.43827650000000001</v>
      </c>
      <c r="Z1528">
        <v>3.1533479999999998E-3</v>
      </c>
      <c r="AA1528">
        <v>0.89883459999999904</v>
      </c>
      <c r="AB1528">
        <v>21</v>
      </c>
      <c r="AC1528">
        <v>5.4265999999999703</v>
      </c>
      <c r="AD1528">
        <v>-1.10718602426</v>
      </c>
      <c r="AE1528">
        <v>-5.1120000000000196</v>
      </c>
      <c r="AF1528">
        <v>3.2483444237530499</v>
      </c>
      <c r="AG1528">
        <v>-1.10718602426</v>
      </c>
      <c r="AH1528">
        <v>6.5311452511501198</v>
      </c>
      <c r="AI1528">
        <v>98.630857816013105</v>
      </c>
      <c r="AJ1528">
        <v>63.555986635256801</v>
      </c>
      <c r="AK1528">
        <v>7.3779035422852299</v>
      </c>
      <c r="AL1528">
        <v>70.480011435639994</v>
      </c>
      <c r="AM1528">
        <v>75.739345664099403</v>
      </c>
      <c r="AN1528">
        <v>1.00000001578408</v>
      </c>
    </row>
    <row r="1529" spans="1:40" x14ac:dyDescent="0.25">
      <c r="A1529" t="str">
        <f>"20190304164845329"</f>
        <v>20190304164845329</v>
      </c>
      <c r="B1529" t="str">
        <f>"1551689325317315"</f>
        <v>1551689325317315</v>
      </c>
      <c r="C1529" t="s">
        <v>40</v>
      </c>
      <c r="D1529">
        <v>5.1868230000000004</v>
      </c>
      <c r="E1529">
        <v>0.61056269999999901</v>
      </c>
      <c r="F1529" t="s">
        <v>44</v>
      </c>
      <c r="G1529">
        <v>-199.42750000000001</v>
      </c>
      <c r="H1529" s="1">
        <v>-1.000077E-5</v>
      </c>
      <c r="I1529">
        <v>360.65109999999999</v>
      </c>
      <c r="J1529">
        <v>-204.85339999999999</v>
      </c>
      <c r="K1529">
        <v>1.107146</v>
      </c>
      <c r="L1529">
        <v>365.8057</v>
      </c>
      <c r="M1529">
        <v>0.95609630000000001</v>
      </c>
      <c r="N1529">
        <v>-1.3502810000000001E-2</v>
      </c>
      <c r="O1529">
        <v>-0.29274149999999999</v>
      </c>
      <c r="P1529">
        <v>0.80976400000000004</v>
      </c>
      <c r="Q1529">
        <v>0.32498939999999998</v>
      </c>
      <c r="R1529">
        <v>-0.48853279999999899</v>
      </c>
      <c r="S1529">
        <v>2.4933930000000002</v>
      </c>
      <c r="T1529">
        <v>-0.50003699999999995</v>
      </c>
      <c r="U1529">
        <v>-2.34259</v>
      </c>
      <c r="V1529">
        <v>0.2331297</v>
      </c>
      <c r="W1529">
        <v>0.33522800000000003</v>
      </c>
      <c r="X1529">
        <v>0.91283769999999997</v>
      </c>
      <c r="Y1529">
        <v>0.43892920000000002</v>
      </c>
      <c r="Z1529">
        <v>3.4875349999999999E-3</v>
      </c>
      <c r="AA1529">
        <v>0.89851489999999901</v>
      </c>
      <c r="AB1529">
        <v>21</v>
      </c>
      <c r="AC1529">
        <v>5.42589999999998</v>
      </c>
      <c r="AD1529">
        <v>-1.1071560007700001</v>
      </c>
      <c r="AE1529">
        <v>-5.1546000000000101</v>
      </c>
      <c r="AF1529">
        <v>3.2686767959496801</v>
      </c>
      <c r="AG1529">
        <v>-1.1071560007700001</v>
      </c>
      <c r="AH1529">
        <v>6.5538270849336202</v>
      </c>
      <c r="AI1529">
        <v>98.596537177101197</v>
      </c>
      <c r="AJ1529">
        <v>63.4925845233915</v>
      </c>
      <c r="AK1529">
        <v>7.4069353895947101</v>
      </c>
      <c r="AL1529">
        <v>70.413596244131696</v>
      </c>
      <c r="AM1529">
        <v>75.673464350842295</v>
      </c>
      <c r="AN1529">
        <v>0.99999996777368905</v>
      </c>
    </row>
    <row r="1530" spans="1:40" x14ac:dyDescent="0.25">
      <c r="A1530" t="str">
        <f>"20190304164845340"</f>
        <v>20190304164845340</v>
      </c>
      <c r="B1530" t="str">
        <f>"1551689325337811"</f>
        <v>1551689325337811</v>
      </c>
      <c r="C1530" t="s">
        <v>40</v>
      </c>
      <c r="D1530">
        <v>5.2051049999999996</v>
      </c>
      <c r="E1530">
        <v>0.60986359999999995</v>
      </c>
      <c r="F1530" t="s">
        <v>44</v>
      </c>
      <c r="G1530">
        <v>-199.3134</v>
      </c>
      <c r="H1530" s="1">
        <v>-9.9742099999999992E-6</v>
      </c>
      <c r="I1530">
        <v>360.54730000000001</v>
      </c>
      <c r="J1530">
        <v>-204.75389999999999</v>
      </c>
      <c r="K1530">
        <v>1.1071070000000001</v>
      </c>
      <c r="L1530">
        <v>365.77140000000003</v>
      </c>
      <c r="M1530">
        <v>0.95512969999999997</v>
      </c>
      <c r="N1530">
        <v>-1.3471159999999999E-2</v>
      </c>
      <c r="O1530">
        <v>-0.29588140000000002</v>
      </c>
      <c r="P1530">
        <v>0.80718480000000004</v>
      </c>
      <c r="Q1530">
        <v>0.32654260000000002</v>
      </c>
      <c r="R1530">
        <v>-0.49175530000000001</v>
      </c>
      <c r="S1530">
        <v>2.4824069999999998</v>
      </c>
      <c r="T1530">
        <v>-0.49610280000000001</v>
      </c>
      <c r="U1530">
        <v>-2.356201</v>
      </c>
      <c r="V1530">
        <v>0.2340024</v>
      </c>
      <c r="W1530">
        <v>0.3367115</v>
      </c>
      <c r="X1530">
        <v>0.91206810000000005</v>
      </c>
      <c r="Y1530">
        <v>0.44059670000000001</v>
      </c>
      <c r="Z1530">
        <v>3.7171079999999998E-3</v>
      </c>
      <c r="AA1530">
        <v>0.89769739999999998</v>
      </c>
      <c r="AB1530">
        <v>21</v>
      </c>
      <c r="AC1530">
        <v>5.4404999999999797</v>
      </c>
      <c r="AD1530">
        <v>-1.10711697421</v>
      </c>
      <c r="AE1530">
        <v>-5.2241000000000204</v>
      </c>
      <c r="AF1530">
        <v>3.3089649272761399</v>
      </c>
      <c r="AG1530">
        <v>-1.10711697421</v>
      </c>
      <c r="AH1530">
        <v>6.6005002975812603</v>
      </c>
      <c r="AI1530">
        <v>98.527685878853703</v>
      </c>
      <c r="AJ1530">
        <v>63.374461738265701</v>
      </c>
      <c r="AK1530">
        <v>7.4660271271204097</v>
      </c>
      <c r="AL1530">
        <v>70.323352729987207</v>
      </c>
      <c r="AM1530">
        <v>75.610425151132304</v>
      </c>
      <c r="AN1530">
        <v>0.99999998823781</v>
      </c>
    </row>
    <row r="1531" spans="1:40" x14ac:dyDescent="0.25">
      <c r="A1531" t="str">
        <f>"20190304164845351"</f>
        <v>20190304164845351</v>
      </c>
      <c r="B1531" t="str">
        <f>"1551689325347571"</f>
        <v>1551689325347571</v>
      </c>
      <c r="C1531" t="s">
        <v>40</v>
      </c>
      <c r="D1531">
        <v>5.1956749999999996</v>
      </c>
      <c r="E1531">
        <v>0.60939690000000002</v>
      </c>
      <c r="F1531" t="s">
        <v>44</v>
      </c>
      <c r="G1531">
        <v>-199.24549999999999</v>
      </c>
      <c r="H1531" s="1">
        <v>-9.9543450000000003E-6</v>
      </c>
      <c r="I1531">
        <v>360.5136</v>
      </c>
      <c r="J1531">
        <v>-204.6514</v>
      </c>
      <c r="K1531">
        <v>1.107057</v>
      </c>
      <c r="L1531">
        <v>365.73570000000001</v>
      </c>
      <c r="M1531">
        <v>0.95410980000000001</v>
      </c>
      <c r="N1531">
        <v>-1.3439019999999999E-2</v>
      </c>
      <c r="O1531">
        <v>-0.29915530000000001</v>
      </c>
      <c r="P1531">
        <v>0.80455730000000003</v>
      </c>
      <c r="Q1531">
        <v>0.32828210000000002</v>
      </c>
      <c r="R1531">
        <v>-0.49489280000000002</v>
      </c>
      <c r="S1531">
        <v>2.477417</v>
      </c>
      <c r="T1531">
        <v>-0.49792310000000001</v>
      </c>
      <c r="U1531">
        <v>-2.3646850000000001</v>
      </c>
      <c r="V1531">
        <v>0.2346915</v>
      </c>
      <c r="W1531">
        <v>0.33837850000000003</v>
      </c>
      <c r="X1531">
        <v>0.91127380000000002</v>
      </c>
      <c r="Y1531">
        <v>0.44005610000000001</v>
      </c>
      <c r="Z1531">
        <v>4.2807139999999997E-3</v>
      </c>
      <c r="AA1531">
        <v>0.89796010000000004</v>
      </c>
      <c r="AB1531">
        <v>21</v>
      </c>
      <c r="AC1531">
        <v>5.4058999999999999</v>
      </c>
      <c r="AD1531">
        <v>-1.107066954345</v>
      </c>
      <c r="AE1531">
        <v>-5.22210000000001</v>
      </c>
      <c r="AF1531">
        <v>3.29409413761823</v>
      </c>
      <c r="AG1531">
        <v>-1.107066954345</v>
      </c>
      <c r="AH1531">
        <v>6.5779443243655802</v>
      </c>
      <c r="AI1531">
        <v>98.557943458794497</v>
      </c>
      <c r="AJ1531">
        <v>63.399268841842698</v>
      </c>
      <c r="AK1531">
        <v>7.4394895633603104</v>
      </c>
      <c r="AL1531">
        <v>70.221886208811696</v>
      </c>
      <c r="AM1531">
        <v>75.557764969148096</v>
      </c>
      <c r="AN1531">
        <v>1.0000000240004601</v>
      </c>
    </row>
    <row r="1532" spans="1:40" x14ac:dyDescent="0.25">
      <c r="A1532" t="str">
        <f>"20190304164845364"</f>
        <v>20190304164845364</v>
      </c>
      <c r="B1532" t="str">
        <f>"1551689325357331"</f>
        <v>1551689325357331</v>
      </c>
      <c r="C1532" t="s">
        <v>40</v>
      </c>
      <c r="D1532">
        <v>5.2083750000000002</v>
      </c>
      <c r="E1532">
        <v>0.60892089999999999</v>
      </c>
      <c r="F1532" t="s">
        <v>44</v>
      </c>
      <c r="G1532">
        <v>-199.13640000000001</v>
      </c>
      <c r="H1532" s="1">
        <v>-9.9263849999999993E-6</v>
      </c>
      <c r="I1532">
        <v>360.43470000000002</v>
      </c>
      <c r="J1532">
        <v>-204.54480000000001</v>
      </c>
      <c r="K1532">
        <v>1.107008</v>
      </c>
      <c r="L1532">
        <v>365.69799999999998</v>
      </c>
      <c r="M1532">
        <v>0.95301800000000003</v>
      </c>
      <c r="N1532">
        <v>-1.3406599999999999E-2</v>
      </c>
      <c r="O1532">
        <v>-0.30261749999999998</v>
      </c>
      <c r="P1532">
        <v>0.80210239999999999</v>
      </c>
      <c r="Q1532">
        <v>0.32922010000000002</v>
      </c>
      <c r="R1532">
        <v>-0.4982433</v>
      </c>
      <c r="S1532">
        <v>2.4704440000000001</v>
      </c>
      <c r="T1532">
        <v>-0.49591489999999999</v>
      </c>
      <c r="U1532">
        <v>-2.374603</v>
      </c>
      <c r="V1532">
        <v>0.2353548</v>
      </c>
      <c r="W1532">
        <v>0.33924349999999998</v>
      </c>
      <c r="X1532">
        <v>0.91078099999999995</v>
      </c>
      <c r="Y1532">
        <v>0.43998730000000003</v>
      </c>
      <c r="Z1532">
        <v>4.7448580000000002E-3</v>
      </c>
      <c r="AA1532">
        <v>0.89799150000000005</v>
      </c>
      <c r="AB1532">
        <v>21</v>
      </c>
      <c r="AC1532">
        <v>5.4084000000000003</v>
      </c>
      <c r="AD1532">
        <v>-1.107017926385</v>
      </c>
      <c r="AE1532">
        <v>-5.2633000000000099</v>
      </c>
      <c r="AF1532">
        <v>3.3084565074843502</v>
      </c>
      <c r="AG1532">
        <v>-1.107017926385</v>
      </c>
      <c r="AH1532">
        <v>6.6055396339961101</v>
      </c>
      <c r="AI1532">
        <v>98.522069509422593</v>
      </c>
      <c r="AJ1532">
        <v>63.395501792786298</v>
      </c>
      <c r="AK1532">
        <v>7.4702427676446197</v>
      </c>
      <c r="AL1532">
        <v>70.169209949231799</v>
      </c>
      <c r="AM1532">
        <v>75.511155620989598</v>
      </c>
      <c r="AN1532">
        <v>1.0000000320681399</v>
      </c>
    </row>
    <row r="1533" spans="1:40" x14ac:dyDescent="0.25">
      <c r="A1533" t="str">
        <f>"20190304164845373"</f>
        <v>20190304164845373</v>
      </c>
      <c r="B1533" t="str">
        <f>"1551689325367092"</f>
        <v>1551689325367092</v>
      </c>
      <c r="C1533" t="s">
        <v>40</v>
      </c>
      <c r="D1533">
        <v>5.201657</v>
      </c>
      <c r="E1533">
        <v>0.60820640000000004</v>
      </c>
      <c r="F1533" t="s">
        <v>44</v>
      </c>
      <c r="G1533">
        <v>-199.0521</v>
      </c>
      <c r="H1533" s="1">
        <v>-9.9050379999999998E-6</v>
      </c>
      <c r="I1533">
        <v>360.38200000000001</v>
      </c>
      <c r="J1533">
        <v>-204.446</v>
      </c>
      <c r="K1533">
        <v>1.1069549999999999</v>
      </c>
      <c r="L1533">
        <v>365.66289999999998</v>
      </c>
      <c r="M1533">
        <v>0.951986</v>
      </c>
      <c r="N1533">
        <v>-1.3376590000000001E-2</v>
      </c>
      <c r="O1533">
        <v>-0.30584990000000001</v>
      </c>
      <c r="P1533">
        <v>0.79950669999999902</v>
      </c>
      <c r="Q1533">
        <v>0.33051960000000002</v>
      </c>
      <c r="R1533">
        <v>-0.50154379999999998</v>
      </c>
      <c r="S1533">
        <v>2.46312</v>
      </c>
      <c r="T1533">
        <v>-0.49643110000000001</v>
      </c>
      <c r="U1533">
        <v>-2.3839109999999999</v>
      </c>
      <c r="V1533">
        <v>0.23623959999999999</v>
      </c>
      <c r="W1533">
        <v>0.3404682</v>
      </c>
      <c r="X1533">
        <v>0.91009459999999998</v>
      </c>
      <c r="Y1533">
        <v>0.44005329999999898</v>
      </c>
      <c r="Z1533">
        <v>5.2232049999999999E-3</v>
      </c>
      <c r="AA1533">
        <v>0.89795639999999999</v>
      </c>
      <c r="AB1533">
        <v>21</v>
      </c>
      <c r="AC1533">
        <v>5.3939000000000004</v>
      </c>
      <c r="AD1533">
        <v>-1.1069649050379999</v>
      </c>
      <c r="AE1533">
        <v>-5.2809000000000301</v>
      </c>
      <c r="AF1533">
        <v>3.3068092636931099</v>
      </c>
      <c r="AG1533">
        <v>-1.1069649050379999</v>
      </c>
      <c r="AH1533">
        <v>6.6085685039798401</v>
      </c>
      <c r="AI1533">
        <v>98.519427747768006</v>
      </c>
      <c r="AJ1533">
        <v>63.417438174202601</v>
      </c>
      <c r="AK1533">
        <v>7.4721841839736998</v>
      </c>
      <c r="AL1533">
        <v>70.094597316508299</v>
      </c>
      <c r="AM1533">
        <v>75.448489165980703</v>
      </c>
      <c r="AN1533">
        <v>0.99999996238427902</v>
      </c>
    </row>
    <row r="1534" spans="1:40" x14ac:dyDescent="0.25">
      <c r="A1534" t="str">
        <f>"20190304164845384"</f>
        <v>20190304164845384</v>
      </c>
      <c r="B1534" t="str">
        <f>"1551689325377828"</f>
        <v>1551689325377828</v>
      </c>
      <c r="C1534" t="s">
        <v>40</v>
      </c>
      <c r="D1534">
        <v>5.203576</v>
      </c>
      <c r="E1534">
        <v>0.60768820000000001</v>
      </c>
      <c r="F1534" t="s">
        <v>44</v>
      </c>
      <c r="G1534">
        <v>-198.9845</v>
      </c>
      <c r="H1534" s="1">
        <v>-9.8867800000000002E-6</v>
      </c>
      <c r="I1534">
        <v>360.34699999999998</v>
      </c>
      <c r="J1534">
        <v>-204.3553</v>
      </c>
      <c r="K1534">
        <v>1.106903</v>
      </c>
      <c r="L1534">
        <v>365.62990000000002</v>
      </c>
      <c r="M1534">
        <v>0.95100309999999999</v>
      </c>
      <c r="N1534">
        <v>-1.335153E-2</v>
      </c>
      <c r="O1534">
        <v>-0.30889309999999998</v>
      </c>
      <c r="P1534">
        <v>0.79713080000000003</v>
      </c>
      <c r="Q1534">
        <v>0.33133360000000001</v>
      </c>
      <c r="R1534">
        <v>-0.50477740000000004</v>
      </c>
      <c r="S1534">
        <v>2.457611</v>
      </c>
      <c r="T1534">
        <v>-0.49812780000000001</v>
      </c>
      <c r="U1534">
        <v>-2.3921510000000001</v>
      </c>
      <c r="V1534">
        <v>0.23717650000000001</v>
      </c>
      <c r="W1534">
        <v>0.34121190000000001</v>
      </c>
      <c r="X1534">
        <v>0.9095723</v>
      </c>
      <c r="Y1534">
        <v>0.4397549</v>
      </c>
      <c r="Z1534">
        <v>5.7331209999999999E-3</v>
      </c>
      <c r="AA1534">
        <v>0.89809950000000005</v>
      </c>
      <c r="AB1534">
        <v>21</v>
      </c>
      <c r="AC1534">
        <v>5.3708</v>
      </c>
      <c r="AD1534">
        <v>-1.10691288677999</v>
      </c>
      <c r="AE1534">
        <v>-5.2829000000000397</v>
      </c>
      <c r="AF1534">
        <v>3.29423282047743</v>
      </c>
      <c r="AG1534">
        <v>-1.10691288677999</v>
      </c>
      <c r="AH1534">
        <v>6.5976642681710702</v>
      </c>
      <c r="AI1534">
        <v>98.536535246226407</v>
      </c>
      <c r="AJ1534">
        <v>63.466911011043798</v>
      </c>
      <c r="AK1534">
        <v>7.4569698812541603</v>
      </c>
      <c r="AL1534">
        <v>70.049273456583293</v>
      </c>
      <c r="AM1534">
        <v>75.385214541008096</v>
      </c>
      <c r="AN1534">
        <v>1.00000001089057</v>
      </c>
    </row>
    <row r="1535" spans="1:40" x14ac:dyDescent="0.25">
      <c r="A1535" t="str">
        <f>"20190304164845396"</f>
        <v>20190304164845396</v>
      </c>
      <c r="B1535" t="str">
        <f>"1551689325387588"</f>
        <v>1551689325387588</v>
      </c>
      <c r="C1535" t="s">
        <v>40</v>
      </c>
      <c r="D1535">
        <v>5.2388199999999996</v>
      </c>
      <c r="E1535">
        <v>0.60768820000000001</v>
      </c>
      <c r="F1535" t="s">
        <v>44</v>
      </c>
      <c r="G1535">
        <v>-198.9272</v>
      </c>
      <c r="H1535" s="1">
        <v>-9.8711169999999992E-6</v>
      </c>
      <c r="I1535">
        <v>360.3184</v>
      </c>
      <c r="J1535">
        <v>-204.2543</v>
      </c>
      <c r="K1535">
        <v>1.10684</v>
      </c>
      <c r="L1535">
        <v>365.59309999999999</v>
      </c>
      <c r="M1535">
        <v>0.94989409999999996</v>
      </c>
      <c r="N1535">
        <v>-1.3323689999999999E-2</v>
      </c>
      <c r="O1535">
        <v>-0.31228850000000002</v>
      </c>
      <c r="P1535">
        <v>0.79456870000000002</v>
      </c>
      <c r="Q1535">
        <v>0.33198559999999999</v>
      </c>
      <c r="R1535">
        <v>-0.50837670000000001</v>
      </c>
      <c r="S1535">
        <v>2.451981</v>
      </c>
      <c r="T1535">
        <v>-0.50001799999999996</v>
      </c>
      <c r="U1535">
        <v>-2.3993530000000001</v>
      </c>
      <c r="V1535">
        <v>0.2381866</v>
      </c>
      <c r="W1535">
        <v>0.34178649999999999</v>
      </c>
      <c r="X1535">
        <v>0.90909249999999997</v>
      </c>
      <c r="Y1535">
        <v>0.43895299999999998</v>
      </c>
      <c r="Z1535">
        <v>6.3509119999999898E-3</v>
      </c>
      <c r="AA1535">
        <v>0.89848760000000005</v>
      </c>
      <c r="AB1535">
        <v>21</v>
      </c>
      <c r="AC1535">
        <v>5.3270999999999997</v>
      </c>
      <c r="AD1535">
        <v>-1.1068498711170001</v>
      </c>
      <c r="AE1535">
        <v>-5.2746999999999904</v>
      </c>
      <c r="AF1535">
        <v>3.2757034953145401</v>
      </c>
      <c r="AG1535">
        <v>-1.1068498711170001</v>
      </c>
      <c r="AH1535">
        <v>6.5648945247419501</v>
      </c>
      <c r="AI1535">
        <v>98.579148047794405</v>
      </c>
      <c r="AJ1535">
        <v>63.482053693713702</v>
      </c>
      <c r="AK1535">
        <v>7.41978369950193</v>
      </c>
      <c r="AL1535">
        <v>70.014245698556806</v>
      </c>
      <c r="AM1535">
        <v>75.318243080797401</v>
      </c>
      <c r="AN1535">
        <v>1.0000000207790201</v>
      </c>
    </row>
    <row r="1536" spans="1:40" x14ac:dyDescent="0.25">
      <c r="A1536" t="str">
        <f>"20190304164845409"</f>
        <v>20190304164845409</v>
      </c>
      <c r="B1536" t="str">
        <f>"1551689325397348"</f>
        <v>1551689325397348</v>
      </c>
      <c r="C1536" t="s">
        <v>40</v>
      </c>
      <c r="D1536">
        <v>5.2274260000000004</v>
      </c>
      <c r="E1536">
        <v>0.59749140000000001</v>
      </c>
      <c r="F1536" t="s">
        <v>44</v>
      </c>
      <c r="G1536">
        <v>-198.82900000000001</v>
      </c>
      <c r="H1536" s="1">
        <v>-9.8492780000000005E-6</v>
      </c>
      <c r="I1536">
        <v>360.23750000000001</v>
      </c>
      <c r="J1536">
        <v>-204.14089999999999</v>
      </c>
      <c r="K1536">
        <v>1.106762</v>
      </c>
      <c r="L1536">
        <v>365.55090000000001</v>
      </c>
      <c r="M1536">
        <v>0.94859979999999999</v>
      </c>
      <c r="N1536">
        <v>-1.329669E-2</v>
      </c>
      <c r="O1536">
        <v>-0.3161986</v>
      </c>
      <c r="P1536">
        <v>0.79177549999999997</v>
      </c>
      <c r="Q1536">
        <v>0.3322098</v>
      </c>
      <c r="R1536">
        <v>-0.51257050000000004</v>
      </c>
      <c r="S1536">
        <v>2.4416350000000002</v>
      </c>
      <c r="T1536">
        <v>-0.4981312</v>
      </c>
      <c r="U1536">
        <v>-2.4102480000000002</v>
      </c>
      <c r="V1536">
        <v>0.2393477</v>
      </c>
      <c r="W1536">
        <v>0.34192669999999997</v>
      </c>
      <c r="X1536">
        <v>0.90873470000000001</v>
      </c>
      <c r="Y1536">
        <v>0.43923109999999999</v>
      </c>
      <c r="Z1536">
        <v>6.8498400000000003E-3</v>
      </c>
      <c r="AA1536">
        <v>0.89834799999999904</v>
      </c>
      <c r="AB1536">
        <v>21</v>
      </c>
      <c r="AC1536">
        <v>5.3118999999999801</v>
      </c>
      <c r="AD1536">
        <v>-1.1067718492780001</v>
      </c>
      <c r="AE1536">
        <v>-5.3133999999999997</v>
      </c>
      <c r="AF1536">
        <v>3.2895873530688799</v>
      </c>
      <c r="AG1536">
        <v>-1.1067718492780001</v>
      </c>
      <c r="AH1536">
        <v>6.5768325702372898</v>
      </c>
      <c r="AI1536">
        <v>98.559147553200503</v>
      </c>
      <c r="AJ1536">
        <v>63.426787754952699</v>
      </c>
      <c r="AK1536">
        <v>7.4364679476723996</v>
      </c>
      <c r="AL1536">
        <v>70.005696830061893</v>
      </c>
      <c r="AM1536">
        <v>75.244232401218696</v>
      </c>
      <c r="AN1536">
        <v>0.99999997232613402</v>
      </c>
    </row>
    <row r="1537" spans="1:40" x14ac:dyDescent="0.25">
      <c r="A1537" t="str">
        <f>"20190304164845421"</f>
        <v>20190304164845421</v>
      </c>
      <c r="B1537" t="str">
        <f>"1551689325417844"</f>
        <v>1551689325417844</v>
      </c>
      <c r="C1537" t="s">
        <v>40</v>
      </c>
      <c r="D1537">
        <v>5.2205899999999996</v>
      </c>
      <c r="E1537">
        <v>0.59249790000000002</v>
      </c>
      <c r="F1537" t="s">
        <v>44</v>
      </c>
      <c r="G1537">
        <v>-199.4384</v>
      </c>
      <c r="H1537" s="1">
        <v>-9.9379289999999995E-6</v>
      </c>
      <c r="I1537">
        <v>361.1164</v>
      </c>
      <c r="J1537">
        <v>-204.02809999999999</v>
      </c>
      <c r="K1537">
        <v>1.106689</v>
      </c>
      <c r="L1537">
        <v>365.50850000000003</v>
      </c>
      <c r="M1537">
        <v>0.94727950000000005</v>
      </c>
      <c r="N1537">
        <v>-1.3271760000000001E-2</v>
      </c>
      <c r="O1537">
        <v>-0.32013360000000002</v>
      </c>
      <c r="P1537">
        <v>0.78930599999999995</v>
      </c>
      <c r="Q1537">
        <v>0.3318392</v>
      </c>
      <c r="R1537">
        <v>-0.51660289999999998</v>
      </c>
      <c r="S1537">
        <v>2.5063780000000002</v>
      </c>
      <c r="T1537">
        <v>-0.58989499999999995</v>
      </c>
      <c r="U1537">
        <v>-2.363556</v>
      </c>
      <c r="V1537">
        <v>0.24022270000000001</v>
      </c>
      <c r="W1537">
        <v>0.3414817</v>
      </c>
      <c r="X1537">
        <v>0.90867109999999995</v>
      </c>
      <c r="Y1537">
        <v>0.41458420000000001</v>
      </c>
      <c r="Z1537">
        <v>1.249515E-2</v>
      </c>
      <c r="AA1537">
        <v>0.90992519999999999</v>
      </c>
      <c r="AB1537">
        <v>21</v>
      </c>
      <c r="AC1537">
        <v>4.5896999999999899</v>
      </c>
      <c r="AD1537">
        <v>-1.106698937929</v>
      </c>
      <c r="AE1537">
        <v>-4.3921000000000197</v>
      </c>
      <c r="AF1537">
        <v>2.6121873273781002</v>
      </c>
      <c r="AG1537">
        <v>-1.106698937929</v>
      </c>
      <c r="AH1537">
        <v>5.5847979504963101</v>
      </c>
      <c r="AI1537">
        <v>100.176134469424</v>
      </c>
      <c r="AJ1537">
        <v>64.933015317846298</v>
      </c>
      <c r="AK1537">
        <v>6.2640460822375603</v>
      </c>
      <c r="AL1537">
        <v>70.032825622326598</v>
      </c>
      <c r="AM1537">
        <v>75.191663877075101</v>
      </c>
      <c r="AN1537">
        <v>0.99999993250269203</v>
      </c>
    </row>
    <row r="1538" spans="1:40" x14ac:dyDescent="0.25">
      <c r="A1538" t="str">
        <f>"20190304164845433"</f>
        <v>20190304164845433</v>
      </c>
      <c r="B1538" t="str">
        <f>"1551689325427606"</f>
        <v>1551689325427606</v>
      </c>
      <c r="C1538" t="s">
        <v>40</v>
      </c>
      <c r="D1538">
        <v>3.9037130000000002</v>
      </c>
      <c r="E1538">
        <v>0.59209630000000002</v>
      </c>
      <c r="F1538" t="s">
        <v>44</v>
      </c>
      <c r="G1538">
        <v>-199.6395</v>
      </c>
      <c r="H1538" s="1">
        <v>-9.9644510000000002E-6</v>
      </c>
      <c r="I1538">
        <v>361.4409</v>
      </c>
      <c r="J1538">
        <v>-203.9221</v>
      </c>
      <c r="K1538">
        <v>1.1066149999999999</v>
      </c>
      <c r="L1538">
        <v>365.46820000000002</v>
      </c>
      <c r="M1538">
        <v>0.94600740000000005</v>
      </c>
      <c r="N1538">
        <v>-1.325016E-2</v>
      </c>
      <c r="O1538">
        <v>-0.32387470000000002</v>
      </c>
      <c r="P1538">
        <v>0.78716580000000003</v>
      </c>
      <c r="Q1538">
        <v>0.33100970000000002</v>
      </c>
      <c r="R1538">
        <v>-0.52038779999999996</v>
      </c>
      <c r="S1538">
        <v>2.5328369999999998</v>
      </c>
      <c r="T1538">
        <v>-0.63872519999999999</v>
      </c>
      <c r="U1538">
        <v>-2.3475950000000001</v>
      </c>
      <c r="V1538">
        <v>0.24093329999999999</v>
      </c>
      <c r="W1538">
        <v>0.3405879</v>
      </c>
      <c r="X1538">
        <v>0.90881849999999997</v>
      </c>
      <c r="Y1538">
        <v>0.40305410000000003</v>
      </c>
      <c r="Z1538">
        <v>1.5961630000000001E-2</v>
      </c>
      <c r="AA1538">
        <v>0.91503690000000004</v>
      </c>
      <c r="AB1538">
        <v>21</v>
      </c>
      <c r="AC1538">
        <v>4.2826000000000004</v>
      </c>
      <c r="AD1538">
        <v>-1.106624964451</v>
      </c>
      <c r="AE1538">
        <v>-4.0273000000000199</v>
      </c>
      <c r="AF1538">
        <v>2.3401204262058299</v>
      </c>
      <c r="AG1538">
        <v>-1.106624964451</v>
      </c>
      <c r="AH1538">
        <v>5.1728811838565703</v>
      </c>
      <c r="AI1538">
        <v>101.029326045643</v>
      </c>
      <c r="AJ1538">
        <v>65.658841015151395</v>
      </c>
      <c r="AK1538">
        <v>5.7844171844179204</v>
      </c>
      <c r="AL1538">
        <v>70.087304247300196</v>
      </c>
      <c r="AM1538">
        <v>75.152094558261197</v>
      </c>
      <c r="AN1538">
        <v>1.0000000193087699</v>
      </c>
    </row>
    <row r="1539" spans="1:40" x14ac:dyDescent="0.25">
      <c r="A1539" t="str">
        <f>"20190304164845445"</f>
        <v>20190304164845445</v>
      </c>
      <c r="B1539" t="str">
        <f>"1551689325437364"</f>
        <v>1551689325437364</v>
      </c>
      <c r="C1539" t="s">
        <v>40</v>
      </c>
      <c r="D1539">
        <v>5.215948</v>
      </c>
      <c r="E1539">
        <v>0.59351399999999999</v>
      </c>
      <c r="F1539" t="s">
        <v>44</v>
      </c>
      <c r="G1539">
        <v>-199.59739999999999</v>
      </c>
      <c r="H1539" s="1">
        <v>-9.9506139999999992E-6</v>
      </c>
      <c r="I1539">
        <v>361.4307</v>
      </c>
      <c r="J1539">
        <v>-203.8211</v>
      </c>
      <c r="K1539">
        <v>1.1065510000000001</v>
      </c>
      <c r="L1539">
        <v>365.42899999999997</v>
      </c>
      <c r="M1539">
        <v>0.94475339999999997</v>
      </c>
      <c r="N1539">
        <v>-1.323005E-2</v>
      </c>
      <c r="O1539">
        <v>-0.327515</v>
      </c>
      <c r="P1539">
        <v>0.7851378</v>
      </c>
      <c r="Q1539">
        <v>0.33000649999999998</v>
      </c>
      <c r="R1539">
        <v>-0.52407539999999997</v>
      </c>
      <c r="S1539">
        <v>2.524597</v>
      </c>
      <c r="T1539">
        <v>-0.64600970000000002</v>
      </c>
      <c r="U1539">
        <v>-2.3569640000000001</v>
      </c>
      <c r="V1539">
        <v>0.2416035</v>
      </c>
      <c r="W1539">
        <v>0.3395261</v>
      </c>
      <c r="X1539">
        <v>0.90903789999999995</v>
      </c>
      <c r="Y1539">
        <v>0.4028465</v>
      </c>
      <c r="Z1539">
        <v>1.6927879999999999E-2</v>
      </c>
      <c r="AA1539">
        <v>0.91511100000000001</v>
      </c>
      <c r="AB1539">
        <v>21</v>
      </c>
      <c r="AC1539">
        <v>4.2237</v>
      </c>
      <c r="AD1539">
        <v>-1.1065609506139999</v>
      </c>
      <c r="AE1539">
        <v>-3.9983000000000199</v>
      </c>
      <c r="AF1539">
        <v>2.3106481404131798</v>
      </c>
      <c r="AG1539">
        <v>-1.1065609506139999</v>
      </c>
      <c r="AH1539">
        <v>5.1151569937034997</v>
      </c>
      <c r="AI1539">
        <v>101.15273966250599</v>
      </c>
      <c r="AJ1539">
        <v>65.690080518114002</v>
      </c>
      <c r="AK1539">
        <v>5.7208743244763296</v>
      </c>
      <c r="AL1539">
        <v>70.151997158109907</v>
      </c>
      <c r="AM1539">
        <v>75.116057690926098</v>
      </c>
      <c r="AN1539">
        <v>1.00000006371493</v>
      </c>
    </row>
    <row r="1540" spans="1:40" x14ac:dyDescent="0.25">
      <c r="A1540" t="str">
        <f>"20190304164845454"</f>
        <v>20190304164845454</v>
      </c>
      <c r="B1540" t="str">
        <f>"1551689325447124"</f>
        <v>1551689325447124</v>
      </c>
      <c r="C1540" t="s">
        <v>40</v>
      </c>
      <c r="D1540">
        <v>5.2513839999999998</v>
      </c>
      <c r="E1540">
        <v>0.59453929999999999</v>
      </c>
      <c r="F1540" t="s">
        <v>44</v>
      </c>
      <c r="G1540">
        <v>-199.47110000000001</v>
      </c>
      <c r="H1540" s="1">
        <v>-9.9237400000000006E-6</v>
      </c>
      <c r="I1540">
        <v>361.298</v>
      </c>
      <c r="J1540">
        <v>-203.7337</v>
      </c>
      <c r="K1540">
        <v>1.106495</v>
      </c>
      <c r="L1540">
        <v>365.39499999999998</v>
      </c>
      <c r="M1540">
        <v>0.94365259999999995</v>
      </c>
      <c r="N1540">
        <v>-1.321234E-2</v>
      </c>
      <c r="O1540">
        <v>-0.33067419999999997</v>
      </c>
      <c r="P1540">
        <v>0.78351990000000005</v>
      </c>
      <c r="Q1540">
        <v>0.32911829999999997</v>
      </c>
      <c r="R1540">
        <v>-0.52704640000000003</v>
      </c>
      <c r="S1540">
        <v>2.502319</v>
      </c>
      <c r="T1540">
        <v>-0.63654330000000003</v>
      </c>
      <c r="U1540">
        <v>-2.3763429999999999</v>
      </c>
      <c r="V1540">
        <v>0.2419191</v>
      </c>
      <c r="W1540">
        <v>0.33859080000000003</v>
      </c>
      <c r="X1540">
        <v>0.90930270000000002</v>
      </c>
      <c r="Y1540">
        <v>0.40758080000000002</v>
      </c>
      <c r="Z1540">
        <v>1.669352E-2</v>
      </c>
      <c r="AA1540">
        <v>0.91301659999999996</v>
      </c>
      <c r="AB1540">
        <v>21</v>
      </c>
      <c r="AC1540">
        <v>4.2625999999999902</v>
      </c>
      <c r="AD1540">
        <v>-1.10650492374</v>
      </c>
      <c r="AE1540">
        <v>-4.09699999999998</v>
      </c>
      <c r="AF1540">
        <v>2.3736854150690099</v>
      </c>
      <c r="AG1540">
        <v>-1.10650492374</v>
      </c>
      <c r="AH1540">
        <v>5.1956690688648903</v>
      </c>
      <c r="AI1540">
        <v>100.962914727648</v>
      </c>
      <c r="AJ1540">
        <v>65.446307819441401</v>
      </c>
      <c r="AK1540">
        <v>5.8183943377130696</v>
      </c>
      <c r="AL1540">
        <v>70.208958571661995</v>
      </c>
      <c r="AM1540">
        <v>75.101626541630694</v>
      </c>
      <c r="AN1540">
        <v>0.99999999050836996</v>
      </c>
    </row>
    <row r="1541" spans="1:40" x14ac:dyDescent="0.25">
      <c r="A1541" t="str">
        <f>"20190304164845464"</f>
        <v>20190304164845464</v>
      </c>
      <c r="B1541" t="str">
        <f>"1551689325457860"</f>
        <v>1551689325457860</v>
      </c>
      <c r="C1541" t="s">
        <v>40</v>
      </c>
      <c r="D1541">
        <v>5.2237369999999999</v>
      </c>
      <c r="E1541">
        <v>0.5952307</v>
      </c>
      <c r="F1541" t="s">
        <v>44</v>
      </c>
      <c r="G1541">
        <v>-199.3689</v>
      </c>
      <c r="H1541" s="1">
        <v>-9.9013400000000006E-6</v>
      </c>
      <c r="I1541">
        <v>361.1952</v>
      </c>
      <c r="J1541">
        <v>-203.64599999999999</v>
      </c>
      <c r="K1541">
        <v>1.106441</v>
      </c>
      <c r="L1541">
        <v>365.36009999999999</v>
      </c>
      <c r="M1541">
        <v>0.94250800000000001</v>
      </c>
      <c r="N1541">
        <v>-1.319495E-2</v>
      </c>
      <c r="O1541">
        <v>-0.33392329999999998</v>
      </c>
      <c r="P1541">
        <v>0.78144690000000006</v>
      </c>
      <c r="Q1541">
        <v>0.32827319999999999</v>
      </c>
      <c r="R1541">
        <v>-0.53063950000000004</v>
      </c>
      <c r="S1541">
        <v>2.4850620000000001</v>
      </c>
      <c r="T1541">
        <v>-0.6299804</v>
      </c>
      <c r="U1541">
        <v>-2.3911129999999998</v>
      </c>
      <c r="V1541">
        <v>0.2428814</v>
      </c>
      <c r="W1541">
        <v>0.33769100000000002</v>
      </c>
      <c r="X1541">
        <v>0.90938079999999999</v>
      </c>
      <c r="Y1541">
        <v>0.4104468</v>
      </c>
      <c r="Z1541">
        <v>1.676971E-2</v>
      </c>
      <c r="AA1541">
        <v>0.91173029999999999</v>
      </c>
      <c r="AB1541">
        <v>21</v>
      </c>
      <c r="AC1541">
        <v>4.2770999999999901</v>
      </c>
      <c r="AD1541">
        <v>-1.1064509013399999</v>
      </c>
      <c r="AE1541">
        <v>-4.1648999999999798</v>
      </c>
      <c r="AF1541">
        <v>2.4145070402456601</v>
      </c>
      <c r="AG1541">
        <v>-1.1064509013399999</v>
      </c>
      <c r="AH1541">
        <v>5.2423546757968698</v>
      </c>
      <c r="AI1541">
        <v>100.85216278175</v>
      </c>
      <c r="AJ1541">
        <v>65.270298353247</v>
      </c>
      <c r="AK1541">
        <v>5.87676444919492</v>
      </c>
      <c r="AL1541">
        <v>70.263740657850704</v>
      </c>
      <c r="AM1541">
        <v>75.046241282879805</v>
      </c>
      <c r="AN1541">
        <v>1.0000000126777999</v>
      </c>
    </row>
    <row r="1542" spans="1:40" x14ac:dyDescent="0.25">
      <c r="A1542" t="str">
        <f>"20190304164845474"</f>
        <v>20190304164845474</v>
      </c>
      <c r="B1542" t="str">
        <f>"1551689325467620"</f>
        <v>1551689325467620</v>
      </c>
      <c r="C1542" t="s">
        <v>40</v>
      </c>
      <c r="D1542">
        <v>5.2241249999999999</v>
      </c>
      <c r="E1542">
        <v>0.59572860000000005</v>
      </c>
      <c r="F1542" t="s">
        <v>44</v>
      </c>
      <c r="G1542">
        <v>-199.28579999999999</v>
      </c>
      <c r="H1542" s="1">
        <v>-9.8832750000000007E-6</v>
      </c>
      <c r="I1542">
        <v>361.11070000000001</v>
      </c>
      <c r="J1542">
        <v>-203.5547</v>
      </c>
      <c r="K1542">
        <v>1.106385</v>
      </c>
      <c r="L1542">
        <v>365.32380000000001</v>
      </c>
      <c r="M1542">
        <v>0.94130460000000005</v>
      </c>
      <c r="N1542">
        <v>-1.3176449999999999E-2</v>
      </c>
      <c r="O1542">
        <v>-0.33730110000000002</v>
      </c>
      <c r="P1542">
        <v>0.77917400000000003</v>
      </c>
      <c r="Q1542">
        <v>0.32767210000000002</v>
      </c>
      <c r="R1542">
        <v>-0.53433960000000003</v>
      </c>
      <c r="S1542">
        <v>2.468521</v>
      </c>
      <c r="T1542">
        <v>-0.62642819999999899</v>
      </c>
      <c r="U1542">
        <v>-2.4058229999999998</v>
      </c>
      <c r="V1542">
        <v>0.24388979999999999</v>
      </c>
      <c r="W1542">
        <v>0.33703070000000002</v>
      </c>
      <c r="X1542">
        <v>0.90935589999999999</v>
      </c>
      <c r="Y1542">
        <v>0.41303319999999999</v>
      </c>
      <c r="Z1542">
        <v>1.7002389999999999E-2</v>
      </c>
      <c r="AA1542">
        <v>0.91055730000000001</v>
      </c>
      <c r="AB1542">
        <v>21</v>
      </c>
      <c r="AC1542">
        <v>4.2689000000000004</v>
      </c>
      <c r="AD1542">
        <v>-1.1063948832749999</v>
      </c>
      <c r="AE1542">
        <v>-4.2130999999999901</v>
      </c>
      <c r="AF1542">
        <v>2.44299508375701</v>
      </c>
      <c r="AG1542">
        <v>-1.1063948832749999</v>
      </c>
      <c r="AH1542">
        <v>5.2608742876086199</v>
      </c>
      <c r="AI1542">
        <v>100.79907650773799</v>
      </c>
      <c r="AJ1542">
        <v>65.091232592902301</v>
      </c>
      <c r="AK1542">
        <v>5.90500913521897</v>
      </c>
      <c r="AL1542">
        <v>70.303929654145904</v>
      </c>
      <c r="AM1542">
        <v>74.986561059070894</v>
      </c>
      <c r="AN1542">
        <v>1.0000000400756599</v>
      </c>
    </row>
    <row r="1543" spans="1:40" x14ac:dyDescent="0.25">
      <c r="A1543" t="str">
        <f>"20190304164845486"</f>
        <v>20190304164845486</v>
      </c>
      <c r="B1543" t="str">
        <f>"1551689325477380"</f>
        <v>1551689325477380</v>
      </c>
      <c r="C1543" t="s">
        <v>40</v>
      </c>
      <c r="D1543">
        <v>5.2314780000000001</v>
      </c>
      <c r="E1543">
        <v>0.59603319999999904</v>
      </c>
      <c r="F1543" t="s">
        <v>44</v>
      </c>
      <c r="G1543">
        <v>-199.20429999999999</v>
      </c>
      <c r="H1543" s="1">
        <v>-9.8648650000000003E-6</v>
      </c>
      <c r="I1543">
        <v>361.0324</v>
      </c>
      <c r="J1543">
        <v>-203.45750000000001</v>
      </c>
      <c r="K1543">
        <v>1.1063320000000001</v>
      </c>
      <c r="L1543">
        <v>365.2842</v>
      </c>
      <c r="M1543">
        <v>0.93997520000000001</v>
      </c>
      <c r="N1543">
        <v>-1.315444E-2</v>
      </c>
      <c r="O1543">
        <v>-0.3409893</v>
      </c>
      <c r="P1543">
        <v>0.77662129999999996</v>
      </c>
      <c r="Q1543">
        <v>0.32695109999999999</v>
      </c>
      <c r="R1543">
        <v>-0.53848200000000002</v>
      </c>
      <c r="S1543">
        <v>2.4531559999999999</v>
      </c>
      <c r="T1543">
        <v>-0.62388299999999997</v>
      </c>
      <c r="U1543">
        <v>-2.4198300000000001</v>
      </c>
      <c r="V1543">
        <v>0.24510580000000001</v>
      </c>
      <c r="W1543">
        <v>0.33624399999999999</v>
      </c>
      <c r="X1543">
        <v>0.90932009999999996</v>
      </c>
      <c r="Y1543">
        <v>0.41497679999999998</v>
      </c>
      <c r="Z1543">
        <v>1.7392419999999999E-2</v>
      </c>
      <c r="AA1543">
        <v>0.90966579999999997</v>
      </c>
      <c r="AB1543">
        <v>21</v>
      </c>
      <c r="AC1543">
        <v>4.2532000000000201</v>
      </c>
      <c r="AD1543">
        <v>-1.1063418648650001</v>
      </c>
      <c r="AE1543">
        <v>-4.2518000000000002</v>
      </c>
      <c r="AF1543">
        <v>2.46315227534516</v>
      </c>
      <c r="AG1543">
        <v>-1.1063418648650001</v>
      </c>
      <c r="AH1543">
        <v>5.2698480505490597</v>
      </c>
      <c r="AI1543">
        <v>100.768392388129</v>
      </c>
      <c r="AJ1543">
        <v>64.948387565364698</v>
      </c>
      <c r="AK1543">
        <v>5.9213520355883897</v>
      </c>
      <c r="AL1543">
        <v>70.351796529437394</v>
      </c>
      <c r="AM1543">
        <v>74.914542996406894</v>
      </c>
      <c r="AN1543">
        <v>0.99999996249682399</v>
      </c>
    </row>
    <row r="1544" spans="1:40" x14ac:dyDescent="0.25">
      <c r="A1544" t="str">
        <f>"20190304164845496"</f>
        <v>20190304164845496</v>
      </c>
      <c r="B1544" t="str">
        <f>"1551689325488115"</f>
        <v>1551689325488115</v>
      </c>
      <c r="C1544" t="s">
        <v>40</v>
      </c>
      <c r="D1544">
        <v>4.9052419999999897</v>
      </c>
      <c r="E1544">
        <v>0.59909159999999995</v>
      </c>
      <c r="F1544" t="s">
        <v>44</v>
      </c>
      <c r="G1544">
        <v>-199.13149999999999</v>
      </c>
      <c r="H1544" s="1">
        <v>-9.8480059999999993E-6</v>
      </c>
      <c r="I1544">
        <v>360.96550000000002</v>
      </c>
      <c r="J1544">
        <v>-203.36179999999999</v>
      </c>
      <c r="K1544">
        <v>1.1062719999999999</v>
      </c>
      <c r="L1544">
        <v>365.24509999999998</v>
      </c>
      <c r="M1544">
        <v>0.93864639999999999</v>
      </c>
      <c r="N1544">
        <v>-1.313139E-2</v>
      </c>
      <c r="O1544">
        <v>-0.34463149999999998</v>
      </c>
      <c r="P1544">
        <v>0.77404069999999903</v>
      </c>
      <c r="Q1544">
        <v>0.32588030000000001</v>
      </c>
      <c r="R1544">
        <v>-0.54282949999999996</v>
      </c>
      <c r="S1544">
        <v>2.437881</v>
      </c>
      <c r="T1544">
        <v>-0.62345930000000005</v>
      </c>
      <c r="U1544">
        <v>-2.4337460000000002</v>
      </c>
      <c r="V1544">
        <v>0.24656320000000001</v>
      </c>
      <c r="W1544">
        <v>0.33510450000000003</v>
      </c>
      <c r="X1544">
        <v>0.90934680000000001</v>
      </c>
      <c r="Y1544">
        <v>0.41691450000000002</v>
      </c>
      <c r="Z1544">
        <v>1.7855590000000001E-2</v>
      </c>
      <c r="AA1544">
        <v>0.90877030000000003</v>
      </c>
      <c r="AB1544">
        <v>21</v>
      </c>
      <c r="AC1544">
        <v>4.2302999999999997</v>
      </c>
      <c r="AD1544">
        <v>-1.1062818480059999</v>
      </c>
      <c r="AE1544">
        <v>-4.2795999999999497</v>
      </c>
      <c r="AF1544">
        <v>2.475682224731</v>
      </c>
      <c r="AG1544">
        <v>-1.1062818480059999</v>
      </c>
      <c r="AH1544">
        <v>5.2680567131298304</v>
      </c>
      <c r="AI1544">
        <v>100.761145483224</v>
      </c>
      <c r="AJ1544">
        <v>64.8291874763962</v>
      </c>
      <c r="AK1544">
        <v>5.9249711845568402</v>
      </c>
      <c r="AL1544">
        <v>70.421107750701694</v>
      </c>
      <c r="AM1544">
        <v>74.829392542490396</v>
      </c>
      <c r="AN1544">
        <v>1.00000002009236</v>
      </c>
    </row>
    <row r="1545" spans="1:40" x14ac:dyDescent="0.25">
      <c r="A1545" t="str">
        <f>"20190304164845507"</f>
        <v>20190304164845507</v>
      </c>
      <c r="B1545" t="str">
        <f>"1551689325497876"</f>
        <v>1551689325497876</v>
      </c>
      <c r="C1545" t="s">
        <v>40</v>
      </c>
      <c r="D1545">
        <v>5.2157159999999996</v>
      </c>
      <c r="E1545">
        <v>0.59932859999999999</v>
      </c>
      <c r="F1545" t="s">
        <v>44</v>
      </c>
      <c r="G1545">
        <v>-198.90809999999999</v>
      </c>
      <c r="H1545" s="1">
        <v>-9.8088039999999993E-6</v>
      </c>
      <c r="I1545">
        <v>360.67430000000002</v>
      </c>
      <c r="J1545">
        <v>-203.26419999999999</v>
      </c>
      <c r="K1545">
        <v>1.1062080000000001</v>
      </c>
      <c r="L1545">
        <v>365.20440000000002</v>
      </c>
      <c r="M1545">
        <v>0.93724759999999996</v>
      </c>
      <c r="N1545">
        <v>-1.3102859999999999E-2</v>
      </c>
      <c r="O1545">
        <v>-0.34841860000000002</v>
      </c>
      <c r="P1545">
        <v>0.77113989999999999</v>
      </c>
      <c r="Q1545">
        <v>0.32494970000000001</v>
      </c>
      <c r="R1545">
        <v>-0.54749579999999998</v>
      </c>
      <c r="S1545">
        <v>2.3996580000000001</v>
      </c>
      <c r="T1545">
        <v>-0.59606119999999996</v>
      </c>
      <c r="U1545">
        <v>-2.4626769999999998</v>
      </c>
      <c r="V1545">
        <v>0.24829039999999999</v>
      </c>
      <c r="W1545">
        <v>0.33409480000000003</v>
      </c>
      <c r="X1545">
        <v>0.90924839999999996</v>
      </c>
      <c r="Y1545">
        <v>0.42583290000000001</v>
      </c>
      <c r="Z1545">
        <v>1.6592869999999999E-2</v>
      </c>
      <c r="AA1545">
        <v>0.9046497</v>
      </c>
      <c r="AB1545">
        <v>21</v>
      </c>
      <c r="AC1545">
        <v>4.3560999999999899</v>
      </c>
      <c r="AD1545">
        <v>-1.106217808804</v>
      </c>
      <c r="AE1545">
        <v>-4.5301</v>
      </c>
      <c r="AF1545">
        <v>2.6463239269989698</v>
      </c>
      <c r="AG1545">
        <v>-1.106217808804</v>
      </c>
      <c r="AH1545">
        <v>5.4914628818766502</v>
      </c>
      <c r="AI1545">
        <v>100.285595936848</v>
      </c>
      <c r="AJ1545">
        <v>64.270684785976002</v>
      </c>
      <c r="AK1545">
        <v>6.19539447897803</v>
      </c>
      <c r="AL1545">
        <v>70.482498520670703</v>
      </c>
      <c r="AM1545">
        <v>74.7264918035481</v>
      </c>
      <c r="AN1545">
        <v>1.0000000555108699</v>
      </c>
    </row>
    <row r="1546" spans="1:40" x14ac:dyDescent="0.25">
      <c r="A1546" t="str">
        <f>"20190304164845519"</f>
        <v>20190304164845519</v>
      </c>
      <c r="B1546" t="str">
        <f>"1551689325507637"</f>
        <v>1551689325507637</v>
      </c>
      <c r="C1546" t="s">
        <v>40</v>
      </c>
      <c r="D1546">
        <v>5.2173769999999999</v>
      </c>
      <c r="E1546">
        <v>0.59944259999999905</v>
      </c>
      <c r="F1546" t="s">
        <v>44</v>
      </c>
      <c r="G1546">
        <v>-198.851</v>
      </c>
      <c r="H1546" s="1">
        <v>-9.7980220000000002E-6</v>
      </c>
      <c r="I1546">
        <v>360.61509999999998</v>
      </c>
      <c r="J1546">
        <v>-203.16720000000001</v>
      </c>
      <c r="K1546">
        <v>1.106147</v>
      </c>
      <c r="L1546">
        <v>365.16359999999997</v>
      </c>
      <c r="M1546">
        <v>0.93583119999999997</v>
      </c>
      <c r="N1546">
        <v>-1.307323E-2</v>
      </c>
      <c r="O1546">
        <v>-0.35220639999999998</v>
      </c>
      <c r="P1546">
        <v>0.76838580000000001</v>
      </c>
      <c r="Q1546">
        <v>0.32374259999999999</v>
      </c>
      <c r="R1546">
        <v>-0.55206369999999905</v>
      </c>
      <c r="S1546">
        <v>2.3827820000000002</v>
      </c>
      <c r="T1546">
        <v>-0.59726610000000002</v>
      </c>
      <c r="U1546">
        <v>-2.4778440000000002</v>
      </c>
      <c r="V1546">
        <v>0.2498676</v>
      </c>
      <c r="W1546">
        <v>0.33281090000000002</v>
      </c>
      <c r="X1546">
        <v>0.90928719999999996</v>
      </c>
      <c r="Y1546">
        <v>0.42814160000000001</v>
      </c>
      <c r="Z1546">
        <v>1.7092309999999999E-2</v>
      </c>
      <c r="AA1546">
        <v>0.90354999999999996</v>
      </c>
      <c r="AB1546">
        <v>21</v>
      </c>
      <c r="AC1546">
        <v>4.3162000000000003</v>
      </c>
      <c r="AD1546">
        <v>-1.106156798022</v>
      </c>
      <c r="AE1546">
        <v>-4.54849999999999</v>
      </c>
      <c r="AF1546">
        <v>2.6540740953324198</v>
      </c>
      <c r="AG1546">
        <v>-1.106156798022</v>
      </c>
      <c r="AH1546">
        <v>5.4714559830123504</v>
      </c>
      <c r="AI1546">
        <v>100.309268578841</v>
      </c>
      <c r="AJ1546">
        <v>64.123071715618593</v>
      </c>
      <c r="AK1546">
        <v>6.1809807263383796</v>
      </c>
      <c r="AL1546">
        <v>70.560526498920396</v>
      </c>
      <c r="AM1546">
        <v>74.634667747728301</v>
      </c>
      <c r="AN1546">
        <v>1.0000000623862</v>
      </c>
    </row>
    <row r="1547" spans="1:40" x14ac:dyDescent="0.25">
      <c r="A1547" t="str">
        <f>"20190304164845531"</f>
        <v>20190304164845531</v>
      </c>
      <c r="B1547" t="str">
        <f>"1551689325527156"</f>
        <v>1551689325527156</v>
      </c>
      <c r="C1547" t="s">
        <v>40</v>
      </c>
      <c r="D1547">
        <v>5.2011649999999996</v>
      </c>
      <c r="E1547">
        <v>0.59995459999999901</v>
      </c>
      <c r="F1547" t="s">
        <v>44</v>
      </c>
      <c r="G1547">
        <v>-198.80350000000001</v>
      </c>
      <c r="H1547" s="1">
        <v>-9.7882860000000008E-6</v>
      </c>
      <c r="I1547">
        <v>360.57080000000002</v>
      </c>
      <c r="J1547">
        <v>-203.06720000000001</v>
      </c>
      <c r="K1547">
        <v>1.106082</v>
      </c>
      <c r="L1547">
        <v>365.12099999999998</v>
      </c>
      <c r="M1547">
        <v>0.93433619999999995</v>
      </c>
      <c r="N1547">
        <v>-1.304084E-2</v>
      </c>
      <c r="O1547">
        <v>-0.35615449999999998</v>
      </c>
      <c r="P1547">
        <v>0.76555240000000002</v>
      </c>
      <c r="Q1547">
        <v>0.32246089999999999</v>
      </c>
      <c r="R1547">
        <v>-0.55673070000000002</v>
      </c>
      <c r="S1547">
        <v>2.3670960000000001</v>
      </c>
      <c r="T1547">
        <v>-0.60004389999999996</v>
      </c>
      <c r="U1547">
        <v>-2.491425</v>
      </c>
      <c r="V1547">
        <v>0.25140509999999999</v>
      </c>
      <c r="W1547">
        <v>0.3314512</v>
      </c>
      <c r="X1547">
        <v>0.9093599</v>
      </c>
      <c r="Y1547">
        <v>0.42977939999999998</v>
      </c>
      <c r="Z1547">
        <v>1.775904E-2</v>
      </c>
      <c r="AA1547">
        <v>0.90275930000000004</v>
      </c>
      <c r="AB1547">
        <v>21</v>
      </c>
      <c r="AC1547">
        <v>4.2637</v>
      </c>
      <c r="AD1547">
        <v>-1.106091788286</v>
      </c>
      <c r="AE1547">
        <v>-4.5501999999999603</v>
      </c>
      <c r="AF1547">
        <v>2.6497406223273101</v>
      </c>
      <c r="AG1547">
        <v>-1.106091788286</v>
      </c>
      <c r="AH1547">
        <v>5.4338086886408199</v>
      </c>
      <c r="AI1547">
        <v>100.368319485082</v>
      </c>
      <c r="AJ1547">
        <v>64.004301375663402</v>
      </c>
      <c r="AK1547">
        <v>6.1457986685599897</v>
      </c>
      <c r="AL1547">
        <v>70.643117381780399</v>
      </c>
      <c r="AM1547">
        <v>74.545804725733007</v>
      </c>
      <c r="AN1547">
        <v>0.99999992500772705</v>
      </c>
    </row>
    <row r="1548" spans="1:40" x14ac:dyDescent="0.25">
      <c r="A1548" t="str">
        <f>"20190304164845542"</f>
        <v>20190304164845542</v>
      </c>
      <c r="B1548" t="str">
        <f>"1551689325537891"</f>
        <v>1551689325537891</v>
      </c>
      <c r="C1548" t="s">
        <v>40</v>
      </c>
      <c r="D1548">
        <v>5.2407320000000004</v>
      </c>
      <c r="E1548">
        <v>0.59999599999999997</v>
      </c>
      <c r="F1548" t="s">
        <v>44</v>
      </c>
      <c r="G1548">
        <v>-198.732</v>
      </c>
      <c r="H1548" s="1">
        <v>-9.7759609999999992E-6</v>
      </c>
      <c r="I1548">
        <v>360.48910000000001</v>
      </c>
      <c r="J1548">
        <v>-202.96559999999999</v>
      </c>
      <c r="K1548">
        <v>1.1060129999999999</v>
      </c>
      <c r="L1548">
        <v>365.07709999999997</v>
      </c>
      <c r="M1548">
        <v>0.93277980000000005</v>
      </c>
      <c r="N1548">
        <v>-1.3006200000000001E-2</v>
      </c>
      <c r="O1548">
        <v>-0.36021239999999999</v>
      </c>
      <c r="P1548">
        <v>0.76259790000000005</v>
      </c>
      <c r="Q1548">
        <v>0.32136189999999998</v>
      </c>
      <c r="R1548">
        <v>-0.56140119999999905</v>
      </c>
      <c r="S1548">
        <v>2.3472140000000001</v>
      </c>
      <c r="T1548">
        <v>-0.59887489999999999</v>
      </c>
      <c r="U1548">
        <v>-2.5079039999999999</v>
      </c>
      <c r="V1548">
        <v>0.25288129999999998</v>
      </c>
      <c r="W1548">
        <v>0.33027230000000002</v>
      </c>
      <c r="X1548">
        <v>0.90937959999999995</v>
      </c>
      <c r="Y1548">
        <v>0.43263560000000001</v>
      </c>
      <c r="Z1548">
        <v>1.8168139999999999E-2</v>
      </c>
      <c r="AA1548">
        <v>0.90138580000000001</v>
      </c>
      <c r="AB1548">
        <v>21</v>
      </c>
      <c r="AC1548">
        <v>4.2335999999999903</v>
      </c>
      <c r="AD1548">
        <v>-1.106022775961</v>
      </c>
      <c r="AE1548">
        <v>-4.5879999999999601</v>
      </c>
      <c r="AF1548">
        <v>2.67099407563216</v>
      </c>
      <c r="AG1548">
        <v>-1.106022775961</v>
      </c>
      <c r="AH1548">
        <v>5.4316555256702799</v>
      </c>
      <c r="AI1548">
        <v>100.355263478455</v>
      </c>
      <c r="AJ1548">
        <v>63.814538827676103</v>
      </c>
      <c r="AK1548">
        <v>6.1530786995252296</v>
      </c>
      <c r="AL1548">
        <v>70.714696188571295</v>
      </c>
      <c r="AM1548">
        <v>74.459754902685106</v>
      </c>
      <c r="AN1548">
        <v>1.0000000004665699</v>
      </c>
    </row>
    <row r="1549" spans="1:40" x14ac:dyDescent="0.25">
      <c r="A1549" t="str">
        <f>"20190304164845553"</f>
        <v>20190304164845553</v>
      </c>
      <c r="B1549" t="str">
        <f>"1551689325547652"</f>
        <v>1551689325547652</v>
      </c>
      <c r="C1549" t="s">
        <v>40</v>
      </c>
      <c r="D1549">
        <v>5.2090420000000002</v>
      </c>
      <c r="E1549">
        <v>0.60021539999999995</v>
      </c>
      <c r="F1549" t="s">
        <v>44</v>
      </c>
      <c r="G1549">
        <v>-198.6816</v>
      </c>
      <c r="H1549" s="1">
        <v>-9.76567E-6</v>
      </c>
      <c r="I1549">
        <v>360.44150000000002</v>
      </c>
      <c r="J1549">
        <v>-202.86709999999999</v>
      </c>
      <c r="K1549">
        <v>1.105952</v>
      </c>
      <c r="L1549">
        <v>365.03410000000002</v>
      </c>
      <c r="M1549">
        <v>0.93124090000000004</v>
      </c>
      <c r="N1549">
        <v>-1.297135E-2</v>
      </c>
      <c r="O1549">
        <v>-0.36417319999999997</v>
      </c>
      <c r="P1549">
        <v>0.75988009999999995</v>
      </c>
      <c r="Q1549">
        <v>0.31991459999999999</v>
      </c>
      <c r="R1549">
        <v>-0.56589500000000004</v>
      </c>
      <c r="S1549">
        <v>2.3308110000000002</v>
      </c>
      <c r="T1549">
        <v>-0.60175009999999995</v>
      </c>
      <c r="U1549">
        <v>-2.5220950000000002</v>
      </c>
      <c r="V1549">
        <v>0.254193</v>
      </c>
      <c r="W1549">
        <v>0.32875009999999999</v>
      </c>
      <c r="X1549">
        <v>0.90956539999999997</v>
      </c>
      <c r="Y1549">
        <v>0.43449529999999997</v>
      </c>
      <c r="Z1549">
        <v>1.8828649999999999E-2</v>
      </c>
      <c r="AA1549">
        <v>0.90047730000000004</v>
      </c>
      <c r="AB1549">
        <v>21</v>
      </c>
      <c r="AC1549">
        <v>4.1854999999999896</v>
      </c>
      <c r="AD1549">
        <v>-1.10596176567</v>
      </c>
      <c r="AE1549">
        <v>-4.5926</v>
      </c>
      <c r="AF1549">
        <v>2.6682725339339002</v>
      </c>
      <c r="AG1549">
        <v>-1.10596176567</v>
      </c>
      <c r="AH1549">
        <v>5.3996228486285496</v>
      </c>
      <c r="AI1549">
        <v>100.40504758182399</v>
      </c>
      <c r="AJ1549">
        <v>63.703302956882503</v>
      </c>
      <c r="AK1549">
        <v>6.1236228370059997</v>
      </c>
      <c r="AL1549">
        <v>70.807070061916903</v>
      </c>
      <c r="AM1549">
        <v>74.386105953169903</v>
      </c>
      <c r="AN1549">
        <v>0.99999996318808404</v>
      </c>
    </row>
    <row r="1550" spans="1:40" x14ac:dyDescent="0.25">
      <c r="A1550" t="str">
        <f>"20190304164845565"</f>
        <v>20190304164845565</v>
      </c>
      <c r="B1550" t="str">
        <f>"1551689325557412"</f>
        <v>1551689325557412</v>
      </c>
      <c r="C1550" t="s">
        <v>40</v>
      </c>
      <c r="D1550">
        <v>5.1931989999999999</v>
      </c>
      <c r="E1550">
        <v>0.60042229999999996</v>
      </c>
      <c r="F1550" t="s">
        <v>44</v>
      </c>
      <c r="G1550">
        <v>-198.6311</v>
      </c>
      <c r="H1550" s="1">
        <v>-9.7559499999999993E-6</v>
      </c>
      <c r="I1550">
        <v>360.39030000000002</v>
      </c>
      <c r="J1550">
        <v>-202.7681</v>
      </c>
      <c r="K1550">
        <v>1.105891</v>
      </c>
      <c r="L1550">
        <v>364.99020000000002</v>
      </c>
      <c r="M1550">
        <v>0.92964990000000003</v>
      </c>
      <c r="N1550">
        <v>-1.2934019999999999E-2</v>
      </c>
      <c r="O1550">
        <v>-0.36821730000000003</v>
      </c>
      <c r="P1550">
        <v>0.75690579999999996</v>
      </c>
      <c r="Q1550">
        <v>0.31847599999999998</v>
      </c>
      <c r="R1550">
        <v>-0.57067279999999998</v>
      </c>
      <c r="S1550">
        <v>2.3135219999999999</v>
      </c>
      <c r="T1550">
        <v>-0.60402819999999902</v>
      </c>
      <c r="U1550">
        <v>-2.5362849999999999</v>
      </c>
      <c r="V1550">
        <v>0.25577749999999999</v>
      </c>
      <c r="W1550">
        <v>0.32723029999999997</v>
      </c>
      <c r="X1550">
        <v>0.90966930000000001</v>
      </c>
      <c r="Y1550">
        <v>0.43644300000000003</v>
      </c>
      <c r="Z1550">
        <v>1.9480919999999999E-2</v>
      </c>
      <c r="AA1550">
        <v>0.89952099999999902</v>
      </c>
      <c r="AB1550">
        <v>21</v>
      </c>
      <c r="AC1550">
        <v>4.1369999999999996</v>
      </c>
      <c r="AD1550">
        <v>-1.10590075595</v>
      </c>
      <c r="AE1550">
        <v>-4.5998999999999901</v>
      </c>
      <c r="AF1550">
        <v>2.6679587005185899</v>
      </c>
      <c r="AG1550">
        <v>-1.10590075595</v>
      </c>
      <c r="AH1550">
        <v>5.3686359075586099</v>
      </c>
      <c r="AI1550">
        <v>100.451849490771</v>
      </c>
      <c r="AJ1550">
        <v>63.574791894698201</v>
      </c>
      <c r="AK1550">
        <v>6.0961686014751297</v>
      </c>
      <c r="AL1550">
        <v>70.899248416470002</v>
      </c>
      <c r="AM1550">
        <v>74.295272372481406</v>
      </c>
      <c r="AN1550">
        <v>1.00000001705341</v>
      </c>
    </row>
    <row r="1551" spans="1:40" x14ac:dyDescent="0.25">
      <c r="A1551" t="str">
        <f>"20190304164845575"</f>
        <v>20190304164845575</v>
      </c>
      <c r="B1551" t="str">
        <f>"1551689325567171"</f>
        <v>1551689325567171</v>
      </c>
      <c r="C1551" t="s">
        <v>40</v>
      </c>
      <c r="D1551">
        <v>5.1777569999999997</v>
      </c>
      <c r="E1551">
        <v>0.60067250000000005</v>
      </c>
      <c r="F1551" t="s">
        <v>44</v>
      </c>
      <c r="G1551">
        <v>-198.58099999999999</v>
      </c>
      <c r="H1551" s="1">
        <v>-9.7468430000000006E-6</v>
      </c>
      <c r="I1551">
        <v>360.33600000000001</v>
      </c>
      <c r="J1551">
        <v>-202.6746</v>
      </c>
      <c r="K1551">
        <v>1.1058300000000001</v>
      </c>
      <c r="L1551">
        <v>364.94850000000002</v>
      </c>
      <c r="M1551">
        <v>0.92812340000000004</v>
      </c>
      <c r="N1551">
        <v>-1.2897809999999999E-2</v>
      </c>
      <c r="O1551">
        <v>-0.37204910000000002</v>
      </c>
      <c r="P1551">
        <v>0.75394490000000003</v>
      </c>
      <c r="Q1551">
        <v>0.3177796</v>
      </c>
      <c r="R1551">
        <v>-0.57496359999999902</v>
      </c>
      <c r="S1551">
        <v>2.2951350000000001</v>
      </c>
      <c r="T1551">
        <v>-0.60618190000000005</v>
      </c>
      <c r="U1551">
        <v>-2.5511469999999998</v>
      </c>
      <c r="V1551">
        <v>0.25711790000000001</v>
      </c>
      <c r="W1551">
        <v>0.32645479999999999</v>
      </c>
      <c r="X1551">
        <v>0.90956999999999999</v>
      </c>
      <c r="Y1551">
        <v>0.43891269999999999</v>
      </c>
      <c r="Z1551">
        <v>2.0042509999999999E-2</v>
      </c>
      <c r="AA1551">
        <v>0.89830619999999906</v>
      </c>
      <c r="AB1551">
        <v>21</v>
      </c>
      <c r="AC1551">
        <v>4.0936000000000003</v>
      </c>
      <c r="AD1551">
        <v>-1.1058397468429999</v>
      </c>
      <c r="AE1551">
        <v>-4.6125000000000096</v>
      </c>
      <c r="AF1551">
        <v>2.6722563526382799</v>
      </c>
      <c r="AG1551">
        <v>-1.1058397468429999</v>
      </c>
      <c r="AH1551">
        <v>5.34407131023102</v>
      </c>
      <c r="AI1551">
        <v>100.485609435371</v>
      </c>
      <c r="AJ1551">
        <v>63.4330559098997</v>
      </c>
      <c r="AK1551">
        <v>6.0764244197346597</v>
      </c>
      <c r="AL1551">
        <v>70.946262441939695</v>
      </c>
      <c r="AM1551">
        <v>74.215425429241904</v>
      </c>
      <c r="AN1551">
        <v>0.99999996792172396</v>
      </c>
    </row>
    <row r="1552" spans="1:40" x14ac:dyDescent="0.25">
      <c r="A1552" t="str">
        <f>"20190304164845585"</f>
        <v>20190304164845585</v>
      </c>
      <c r="B1552" t="str">
        <f>"1551689325577908"</f>
        <v>1551689325577908</v>
      </c>
      <c r="C1552" t="s">
        <v>40</v>
      </c>
      <c r="D1552">
        <v>5.1760099999999998</v>
      </c>
      <c r="E1552">
        <v>0.60083619999999904</v>
      </c>
      <c r="F1552" t="s">
        <v>44</v>
      </c>
      <c r="G1552">
        <v>-198.51390000000001</v>
      </c>
      <c r="H1552" s="1">
        <v>-9.7348369999999999E-6</v>
      </c>
      <c r="I1552">
        <v>360.26209999999998</v>
      </c>
      <c r="J1552">
        <v>-202.58260000000001</v>
      </c>
      <c r="K1552">
        <v>1.1057699999999999</v>
      </c>
      <c r="L1552">
        <v>364.90640000000002</v>
      </c>
      <c r="M1552">
        <v>0.92657120000000004</v>
      </c>
      <c r="N1552">
        <v>-1.28583E-2</v>
      </c>
      <c r="O1552">
        <v>-0.37589929999999999</v>
      </c>
      <c r="P1552">
        <v>0.75059589999999998</v>
      </c>
      <c r="Q1552">
        <v>0.31711080000000003</v>
      </c>
      <c r="R1552">
        <v>-0.57969499999999996</v>
      </c>
      <c r="S1552">
        <v>2.2777560000000001</v>
      </c>
      <c r="T1552">
        <v>-0.60538289999999995</v>
      </c>
      <c r="U1552">
        <v>-2.5655209999999999</v>
      </c>
      <c r="V1552">
        <v>0.25899499999999998</v>
      </c>
      <c r="W1552">
        <v>0.32569429999999999</v>
      </c>
      <c r="X1552">
        <v>0.90931010000000001</v>
      </c>
      <c r="Y1552">
        <v>0.44109999999999999</v>
      </c>
      <c r="Z1552">
        <v>2.0504999999999999E-2</v>
      </c>
      <c r="AA1552">
        <v>0.89722369999999996</v>
      </c>
      <c r="AB1552">
        <v>21</v>
      </c>
      <c r="AC1552">
        <v>4.0686999999999998</v>
      </c>
      <c r="AD1552">
        <v>-1.105779734837</v>
      </c>
      <c r="AE1552">
        <v>-4.6443000000000403</v>
      </c>
      <c r="AF1552">
        <v>2.6878743516393402</v>
      </c>
      <c r="AG1552">
        <v>-1.105779734837</v>
      </c>
      <c r="AH1552">
        <v>5.3447629410034398</v>
      </c>
      <c r="AI1552">
        <v>100.47199512524899</v>
      </c>
      <c r="AJ1552">
        <v>63.302236173426202</v>
      </c>
      <c r="AK1552">
        <v>6.0839056738003796</v>
      </c>
      <c r="AL1552">
        <v>70.992356202005794</v>
      </c>
      <c r="AM1552">
        <v>74.101678260718501</v>
      </c>
      <c r="AN1552">
        <v>1.0000000225197401</v>
      </c>
    </row>
    <row r="1553" spans="1:40" x14ac:dyDescent="0.25">
      <c r="A1553" t="str">
        <f>"20190304164845597"</f>
        <v>20190304164845597</v>
      </c>
      <c r="B1553" t="str">
        <f>"1551689325587668"</f>
        <v>1551689325587668</v>
      </c>
      <c r="C1553" t="s">
        <v>40</v>
      </c>
      <c r="D1553">
        <v>5.1499329999999999</v>
      </c>
      <c r="E1553">
        <v>0.60115109999999905</v>
      </c>
      <c r="F1553" t="s">
        <v>44</v>
      </c>
      <c r="G1553">
        <v>-198.4563</v>
      </c>
      <c r="H1553" s="1">
        <v>-9.7248409999999993E-6</v>
      </c>
      <c r="I1553">
        <v>360.19659999999999</v>
      </c>
      <c r="J1553">
        <v>-202.4845</v>
      </c>
      <c r="K1553">
        <v>1.1057060000000001</v>
      </c>
      <c r="L1553">
        <v>364.86149999999998</v>
      </c>
      <c r="M1553">
        <v>0.92489330000000003</v>
      </c>
      <c r="N1553">
        <v>-1.2815669999999999E-2</v>
      </c>
      <c r="O1553">
        <v>-0.38001109999999999</v>
      </c>
      <c r="P1553">
        <v>0.74700119999999903</v>
      </c>
      <c r="Q1553">
        <v>0.31616109999999997</v>
      </c>
      <c r="R1553">
        <v>-0.58483490000000005</v>
      </c>
      <c r="S1553">
        <v>2.2602389999999999</v>
      </c>
      <c r="T1553">
        <v>-0.60570659999999998</v>
      </c>
      <c r="U1553">
        <v>-2.579895</v>
      </c>
      <c r="V1553">
        <v>0.26108419999999999</v>
      </c>
      <c r="W1553">
        <v>0.3246445</v>
      </c>
      <c r="X1553">
        <v>0.90908800000000001</v>
      </c>
      <c r="Y1553">
        <v>0.44305549999999999</v>
      </c>
      <c r="Z1553">
        <v>2.1092429999999999E-2</v>
      </c>
      <c r="AA1553">
        <v>0.89624609999999905</v>
      </c>
      <c r="AB1553">
        <v>21</v>
      </c>
      <c r="AC1553">
        <v>4.0281999999999902</v>
      </c>
      <c r="AD1553">
        <v>-1.1057157248409999</v>
      </c>
      <c r="AE1553">
        <v>-4.6648999999999798</v>
      </c>
      <c r="AF1553">
        <v>2.6971949259055901</v>
      </c>
      <c r="AG1553">
        <v>-1.1057157248409999</v>
      </c>
      <c r="AH1553">
        <v>5.3273623024007604</v>
      </c>
      <c r="AI1553">
        <v>100.49084089841</v>
      </c>
      <c r="AJ1553">
        <v>63.147322506476499</v>
      </c>
      <c r="AK1553">
        <v>6.0727470582539702</v>
      </c>
      <c r="AL1553">
        <v>71.055961499554996</v>
      </c>
      <c r="AM1553">
        <v>73.976276384536305</v>
      </c>
      <c r="AN1553">
        <v>1.0000000013069399</v>
      </c>
    </row>
    <row r="1554" spans="1:40" x14ac:dyDescent="0.25">
      <c r="A1554" t="str">
        <f>"20190304164845609"</f>
        <v>20190304164845609</v>
      </c>
      <c r="B1554" t="str">
        <f>"1551689325597428"</f>
        <v>1551689325597428</v>
      </c>
      <c r="C1554" t="s">
        <v>40</v>
      </c>
      <c r="D1554">
        <v>5.136584</v>
      </c>
      <c r="E1554">
        <v>0.60135479999999997</v>
      </c>
      <c r="F1554" t="s">
        <v>44</v>
      </c>
      <c r="G1554">
        <v>-198.39109999999999</v>
      </c>
      <c r="H1554" s="1">
        <v>-9.7139769999999992E-6</v>
      </c>
      <c r="I1554">
        <v>360.1198</v>
      </c>
      <c r="J1554">
        <v>-202.3844</v>
      </c>
      <c r="K1554">
        <v>1.1056379999999999</v>
      </c>
      <c r="L1554">
        <v>364.81479999999999</v>
      </c>
      <c r="M1554">
        <v>0.92313219999999996</v>
      </c>
      <c r="N1554">
        <v>-1.277152E-2</v>
      </c>
      <c r="O1554">
        <v>-0.38427070000000002</v>
      </c>
      <c r="P1554">
        <v>0.74272380000000005</v>
      </c>
      <c r="Q1554">
        <v>0.31568740000000001</v>
      </c>
      <c r="R1554">
        <v>-0.5905108</v>
      </c>
      <c r="S1554">
        <v>2.2403870000000001</v>
      </c>
      <c r="T1554">
        <v>-0.60518439999999996</v>
      </c>
      <c r="U1554">
        <v>-2.5952449999999998</v>
      </c>
      <c r="V1554">
        <v>0.26379180000000002</v>
      </c>
      <c r="W1554">
        <v>0.32405539999999999</v>
      </c>
      <c r="X1554">
        <v>0.90851630000000005</v>
      </c>
      <c r="Y1554">
        <v>0.44548680000000002</v>
      </c>
      <c r="Z1554">
        <v>2.162654E-2</v>
      </c>
      <c r="AA1554">
        <v>0.89502729999999997</v>
      </c>
      <c r="AB1554">
        <v>21</v>
      </c>
      <c r="AC1554">
        <v>3.9933000000000001</v>
      </c>
      <c r="AD1554">
        <v>-1.10564771397699</v>
      </c>
      <c r="AE1554">
        <v>-4.6949999999999896</v>
      </c>
      <c r="AF1554">
        <v>2.7125392931903201</v>
      </c>
      <c r="AG1554">
        <v>-1.10564771397699</v>
      </c>
      <c r="AH1554">
        <v>5.3197585686439597</v>
      </c>
      <c r="AI1554">
        <v>100.489914935149</v>
      </c>
      <c r="AJ1554">
        <v>62.983013392702901</v>
      </c>
      <c r="AK1554">
        <v>6.0729035488129401</v>
      </c>
      <c r="AL1554">
        <v>71.091642345038096</v>
      </c>
      <c r="AM1554">
        <v>73.8091068475143</v>
      </c>
      <c r="AN1554">
        <v>0.999999941691043</v>
      </c>
    </row>
    <row r="1555" spans="1:40" x14ac:dyDescent="0.25">
      <c r="A1555" t="str">
        <f>"20190304164845621"</f>
        <v>20190304164845621</v>
      </c>
      <c r="B1555" t="str">
        <f>"1551689325617923"</f>
        <v>1551689325617923</v>
      </c>
      <c r="C1555" t="s">
        <v>40</v>
      </c>
      <c r="D1555">
        <v>5.1359949999999897</v>
      </c>
      <c r="E1555">
        <v>0.60171070000000004</v>
      </c>
      <c r="F1555" t="s">
        <v>44</v>
      </c>
      <c r="G1555">
        <v>-198.3075</v>
      </c>
      <c r="H1555" s="1">
        <v>-9.7003579999999996E-6</v>
      </c>
      <c r="I1555">
        <v>360.01900000000001</v>
      </c>
      <c r="J1555">
        <v>-202.28309999999999</v>
      </c>
      <c r="K1555">
        <v>1.1055740000000001</v>
      </c>
      <c r="L1555">
        <v>364.76710000000003</v>
      </c>
      <c r="M1555">
        <v>0.92131099999999999</v>
      </c>
      <c r="N1555">
        <v>-1.272861E-2</v>
      </c>
      <c r="O1555">
        <v>-0.38861790000000002</v>
      </c>
      <c r="P1555">
        <v>0.73831000000000002</v>
      </c>
      <c r="Q1555">
        <v>0.31549559999999999</v>
      </c>
      <c r="R1555">
        <v>-0.59612169999999998</v>
      </c>
      <c r="S1555">
        <v>2.2193299999999998</v>
      </c>
      <c r="T1555">
        <v>-0.60186930000000005</v>
      </c>
      <c r="U1555">
        <v>-2.610687</v>
      </c>
      <c r="V1555">
        <v>0.26641290000000001</v>
      </c>
      <c r="W1555">
        <v>0.32374829999999999</v>
      </c>
      <c r="X1555">
        <v>0.90786080000000002</v>
      </c>
      <c r="Y1555">
        <v>0.44809480000000002</v>
      </c>
      <c r="Z1555">
        <v>2.2027729999999999E-2</v>
      </c>
      <c r="AA1555">
        <v>0.89371469999999897</v>
      </c>
      <c r="AB1555">
        <v>21</v>
      </c>
      <c r="AC1555">
        <v>3.97559999999998</v>
      </c>
      <c r="AD1555">
        <v>-1.105583700358</v>
      </c>
      <c r="AE1555">
        <v>-4.7481000000000204</v>
      </c>
      <c r="AF1555">
        <v>2.74231185901158</v>
      </c>
      <c r="AG1555">
        <v>-1.105583700358</v>
      </c>
      <c r="AH1555">
        <v>5.3382622069847798</v>
      </c>
      <c r="AI1555">
        <v>100.43798072929199</v>
      </c>
      <c r="AJ1555">
        <v>62.810038870050697</v>
      </c>
      <c r="AK1555">
        <v>6.10242845440197</v>
      </c>
      <c r="AL1555">
        <v>71.110241903504004</v>
      </c>
      <c r="AM1555">
        <v>73.6456070142073</v>
      </c>
      <c r="AN1555">
        <v>1.0000000136079701</v>
      </c>
    </row>
    <row r="1556" spans="1:40" x14ac:dyDescent="0.25">
      <c r="A1556" t="str">
        <f>"20190304164845635"</f>
        <v>20190304164845635</v>
      </c>
      <c r="B1556" t="str">
        <f>"1551689325627684"</f>
        <v>1551689325627684</v>
      </c>
      <c r="C1556" t="s">
        <v>40</v>
      </c>
      <c r="D1556">
        <v>5.1337599999999997</v>
      </c>
      <c r="E1556">
        <v>0.60177209999999903</v>
      </c>
      <c r="F1556" t="s">
        <v>44</v>
      </c>
      <c r="G1556">
        <v>-198.18350000000001</v>
      </c>
      <c r="H1556" s="1">
        <v>-9.6813460000000008E-6</v>
      </c>
      <c r="I1556">
        <v>359.86219999999997</v>
      </c>
      <c r="J1556">
        <v>-202.1592</v>
      </c>
      <c r="K1556">
        <v>1.1054980000000001</v>
      </c>
      <c r="L1556">
        <v>364.7079</v>
      </c>
      <c r="M1556">
        <v>0.91903009999999996</v>
      </c>
      <c r="N1556">
        <v>-1.267836E-2</v>
      </c>
      <c r="O1556">
        <v>-0.39398369999999999</v>
      </c>
      <c r="P1556">
        <v>0.73304219999999998</v>
      </c>
      <c r="Q1556">
        <v>0.31556499999999998</v>
      </c>
      <c r="R1556">
        <v>-0.60255179999999997</v>
      </c>
      <c r="S1556">
        <v>2.1954799999999999</v>
      </c>
      <c r="T1556">
        <v>-0.592078199999999</v>
      </c>
      <c r="U1556">
        <v>-2.6267399999999999</v>
      </c>
      <c r="V1556">
        <v>0.26912999999999998</v>
      </c>
      <c r="W1556">
        <v>0.32368370000000002</v>
      </c>
      <c r="X1556">
        <v>0.9070821</v>
      </c>
      <c r="Y1556">
        <v>0.4504186</v>
      </c>
      <c r="Z1556">
        <v>2.2326840000000001E-2</v>
      </c>
      <c r="AA1556">
        <v>0.89253830000000001</v>
      </c>
      <c r="AB1556">
        <v>21</v>
      </c>
      <c r="AC1556">
        <v>3.9756999999999798</v>
      </c>
      <c r="AD1556">
        <v>-1.1055076813460001</v>
      </c>
      <c r="AE1556">
        <v>-4.8457000000000203</v>
      </c>
      <c r="AF1556">
        <v>2.8001085994096502</v>
      </c>
      <c r="AG1556">
        <v>-1.1055076813460001</v>
      </c>
      <c r="AH1556">
        <v>5.3955165870503397</v>
      </c>
      <c r="AI1556">
        <v>100.30726760828399</v>
      </c>
      <c r="AJ1556">
        <v>62.572063673838997</v>
      </c>
      <c r="AK1556">
        <v>6.1785398471757196</v>
      </c>
      <c r="AL1556">
        <v>71.114153886460599</v>
      </c>
      <c r="AM1556">
        <v>73.474450309060003</v>
      </c>
      <c r="AN1556">
        <v>1.0000000153430499</v>
      </c>
    </row>
    <row r="1557" spans="1:40" x14ac:dyDescent="0.25">
      <c r="A1557" t="str">
        <f>"20190304164845649"</f>
        <v>20190304164845649</v>
      </c>
      <c r="B1557" t="str">
        <f>"1551689325637444"</f>
        <v>1551689325637444</v>
      </c>
      <c r="C1557" t="s">
        <v>40</v>
      </c>
      <c r="D1557">
        <v>5.1289870000000004</v>
      </c>
      <c r="E1557">
        <v>0.60184629999999995</v>
      </c>
      <c r="F1557" t="s">
        <v>44</v>
      </c>
      <c r="G1557">
        <v>-198.07679999999999</v>
      </c>
      <c r="H1557" s="1">
        <v>-9.6633380000000001E-6</v>
      </c>
      <c r="I1557">
        <v>359.73759999999999</v>
      </c>
      <c r="J1557">
        <v>-202.03659999999999</v>
      </c>
      <c r="K1557">
        <v>1.1054139999999999</v>
      </c>
      <c r="L1557">
        <v>364.64800000000002</v>
      </c>
      <c r="M1557">
        <v>0.91669040000000002</v>
      </c>
      <c r="N1557">
        <v>-1.2632569999999999E-2</v>
      </c>
      <c r="O1557">
        <v>-0.3993987</v>
      </c>
      <c r="P1557">
        <v>0.72794119999999995</v>
      </c>
      <c r="Q1557">
        <v>0.31546639999999998</v>
      </c>
      <c r="R1557">
        <v>-0.6087555</v>
      </c>
      <c r="S1557">
        <v>2.1720429999999999</v>
      </c>
      <c r="T1557">
        <v>-0.58818479999999995</v>
      </c>
      <c r="U1557">
        <v>-2.6444399999999999</v>
      </c>
      <c r="V1557">
        <v>0.27152949999999998</v>
      </c>
      <c r="W1557">
        <v>0.32345770000000001</v>
      </c>
      <c r="X1557">
        <v>0.90644740000000001</v>
      </c>
      <c r="Y1557">
        <v>0.45284839999999998</v>
      </c>
      <c r="Z1557">
        <v>2.2886429999999999E-2</v>
      </c>
      <c r="AA1557">
        <v>0.89129369999999997</v>
      </c>
      <c r="AB1557">
        <v>21</v>
      </c>
      <c r="AC1557">
        <v>3.9598</v>
      </c>
      <c r="AD1557">
        <v>-1.1054236633379999</v>
      </c>
      <c r="AE1557">
        <v>-4.9104000000000303</v>
      </c>
      <c r="AF1557">
        <v>2.8330121978553402</v>
      </c>
      <c r="AG1557">
        <v>-1.1054236633379999</v>
      </c>
      <c r="AH1557">
        <v>5.42496994676904</v>
      </c>
      <c r="AI1557">
        <v>100.238395410051</v>
      </c>
      <c r="AJ1557">
        <v>62.425665601064701</v>
      </c>
      <c r="AK1557">
        <v>6.2191814985584797</v>
      </c>
      <c r="AL1557">
        <v>71.1278390443359</v>
      </c>
      <c r="AM1557">
        <v>73.324228384574397</v>
      </c>
      <c r="AN1557">
        <v>1.0000000210131399</v>
      </c>
    </row>
    <row r="1558" spans="1:40" x14ac:dyDescent="0.25">
      <c r="A1558" t="str">
        <f>"20190304164845658"</f>
        <v>20190304164845658</v>
      </c>
      <c r="B1558" t="str">
        <f>"1551689325647204"</f>
        <v>1551689325647204</v>
      </c>
      <c r="C1558" t="s">
        <v>40</v>
      </c>
      <c r="D1558">
        <v>5.1177859999999997</v>
      </c>
      <c r="E1558">
        <v>0.60156949999999998</v>
      </c>
      <c r="F1558" t="s">
        <v>44</v>
      </c>
      <c r="G1558">
        <v>-197.97190000000001</v>
      </c>
      <c r="H1558" s="1">
        <v>-9.6462840000000007E-6</v>
      </c>
      <c r="I1558">
        <v>359.61110000000002</v>
      </c>
      <c r="J1558">
        <v>-201.95490000000001</v>
      </c>
      <c r="K1558">
        <v>1.1053630000000001</v>
      </c>
      <c r="L1558">
        <v>364.60770000000002</v>
      </c>
      <c r="M1558">
        <v>0.91509879999999999</v>
      </c>
      <c r="N1558">
        <v>-1.260262E-2</v>
      </c>
      <c r="O1558">
        <v>-0.40303309999999998</v>
      </c>
      <c r="P1558">
        <v>0.72403309999999999</v>
      </c>
      <c r="Q1558">
        <v>0.31551970000000001</v>
      </c>
      <c r="R1558">
        <v>-0.61337079999999999</v>
      </c>
      <c r="S1558">
        <v>2.148209</v>
      </c>
      <c r="T1558">
        <v>-0.58422540000000001</v>
      </c>
      <c r="U1558">
        <v>-2.6620180000000002</v>
      </c>
      <c r="V1558">
        <v>0.27375159999999998</v>
      </c>
      <c r="W1558">
        <v>0.32341520000000001</v>
      </c>
      <c r="X1558">
        <v>0.90579390000000004</v>
      </c>
      <c r="Y1558">
        <v>0.4570128</v>
      </c>
      <c r="Z1558">
        <v>2.2941119999999999E-2</v>
      </c>
      <c r="AA1558">
        <v>0.88916419999999996</v>
      </c>
      <c r="AB1558">
        <v>21</v>
      </c>
      <c r="AC1558">
        <v>3.9830000000000001</v>
      </c>
      <c r="AD1558">
        <v>-1.1053726462839999</v>
      </c>
      <c r="AE1558">
        <v>-4.9965999999999999</v>
      </c>
      <c r="AF1558">
        <v>2.8811193729331301</v>
      </c>
      <c r="AG1558">
        <v>-1.1053726462839999</v>
      </c>
      <c r="AH1558">
        <v>5.4946544311021199</v>
      </c>
      <c r="AI1558">
        <v>100.102117913247</v>
      </c>
      <c r="AJ1558">
        <v>62.329752206429198</v>
      </c>
      <c r="AK1558">
        <v>6.3018985112007098</v>
      </c>
      <c r="AL1558">
        <v>71.130411233957503</v>
      </c>
      <c r="AM1558">
        <v>73.183984211608603</v>
      </c>
      <c r="AN1558">
        <v>0.99999995968540401</v>
      </c>
    </row>
    <row r="1559" spans="1:40" x14ac:dyDescent="0.25">
      <c r="A1559" t="str">
        <f>"20190304164845669"</f>
        <v>20190304164845669</v>
      </c>
      <c r="B1559" t="str">
        <f>"1551689325657940"</f>
        <v>1551689325657940</v>
      </c>
      <c r="C1559" t="s">
        <v>40</v>
      </c>
      <c r="D1559">
        <v>5.1062880000000002</v>
      </c>
      <c r="E1559">
        <v>0.60166239999999904</v>
      </c>
      <c r="F1559" t="s">
        <v>44</v>
      </c>
      <c r="G1559">
        <v>-197.9195</v>
      </c>
      <c r="H1559" s="1">
        <v>-6.5074410000000002E-6</v>
      </c>
      <c r="I1559">
        <v>359.55029999999999</v>
      </c>
      <c r="J1559">
        <v>-201.86510000000001</v>
      </c>
      <c r="K1559">
        <v>1.105305</v>
      </c>
      <c r="L1559">
        <v>364.56290000000001</v>
      </c>
      <c r="M1559">
        <v>0.91331010000000001</v>
      </c>
      <c r="N1559">
        <v>-1.2570889999999999E-2</v>
      </c>
      <c r="O1559">
        <v>-0.40707100000000002</v>
      </c>
      <c r="P1559">
        <v>0.71993090000000004</v>
      </c>
      <c r="Q1559">
        <v>0.31531169999999997</v>
      </c>
      <c r="R1559">
        <v>-0.61828669999999997</v>
      </c>
      <c r="S1559">
        <v>2.1332089999999999</v>
      </c>
      <c r="T1559">
        <v>-0.58433029999999997</v>
      </c>
      <c r="U1559">
        <v>-2.673492</v>
      </c>
      <c r="V1559">
        <v>0.27592889999999998</v>
      </c>
      <c r="W1559">
        <v>0.32310800000000001</v>
      </c>
      <c r="X1559">
        <v>0.90524269999999996</v>
      </c>
      <c r="Y1559">
        <v>0.45802330000000002</v>
      </c>
      <c r="Z1559">
        <v>2.3582470000000001E-2</v>
      </c>
      <c r="AA1559">
        <v>0.88862739999999996</v>
      </c>
      <c r="AB1559">
        <v>21</v>
      </c>
      <c r="AC1559">
        <v>3.94560000000001</v>
      </c>
      <c r="AD1559">
        <v>-1.105311507441</v>
      </c>
      <c r="AE1559">
        <v>-5.0126000000000097</v>
      </c>
      <c r="AF1559">
        <v>2.88552421530553</v>
      </c>
      <c r="AG1559">
        <v>-1.105311507441</v>
      </c>
      <c r="AH1559">
        <v>5.4799663225078801</v>
      </c>
      <c r="AI1559">
        <v>100.119067613312</v>
      </c>
      <c r="AJ1559">
        <v>62.230559545895197</v>
      </c>
      <c r="AK1559">
        <v>6.2911043880559401</v>
      </c>
      <c r="AL1559">
        <v>71.149010781986405</v>
      </c>
      <c r="AM1559">
        <v>73.048145890761703</v>
      </c>
      <c r="AN1559">
        <v>0.99999994171124795</v>
      </c>
    </row>
    <row r="1560" spans="1:40" x14ac:dyDescent="0.25">
      <c r="A1560" t="str">
        <f>"20190304164845680"</f>
        <v>20190304164845680</v>
      </c>
      <c r="B1560" t="str">
        <f>"1551689325677461"</f>
        <v>1551689325677461</v>
      </c>
      <c r="C1560" t="s">
        <v>40</v>
      </c>
      <c r="D1560">
        <v>5.1234640000000002</v>
      </c>
      <c r="E1560">
        <v>0.6014446</v>
      </c>
      <c r="F1560" t="s">
        <v>44</v>
      </c>
      <c r="G1560">
        <v>-197.84219999999999</v>
      </c>
      <c r="H1560" s="1">
        <v>-6.4606119999999999E-6</v>
      </c>
      <c r="I1560">
        <v>359.44650000000001</v>
      </c>
      <c r="J1560">
        <v>-201.77500000000001</v>
      </c>
      <c r="K1560">
        <v>1.105251</v>
      </c>
      <c r="L1560">
        <v>364.51729999999998</v>
      </c>
      <c r="M1560">
        <v>0.91147549999999999</v>
      </c>
      <c r="N1560">
        <v>-1.2539410000000001E-2</v>
      </c>
      <c r="O1560">
        <v>-0.41116350000000002</v>
      </c>
      <c r="P1560">
        <v>0.71571649999999998</v>
      </c>
      <c r="Q1560">
        <v>0.31507410000000002</v>
      </c>
      <c r="R1560">
        <v>-0.62328059999999996</v>
      </c>
      <c r="S1560">
        <v>2.1132049999999998</v>
      </c>
      <c r="T1560">
        <v>-0.58061770000000001</v>
      </c>
      <c r="U1560">
        <v>-2.6876220000000002</v>
      </c>
      <c r="V1560">
        <v>0.27817229999999998</v>
      </c>
      <c r="W1560">
        <v>0.32276860000000002</v>
      </c>
      <c r="X1560">
        <v>0.90467710000000001</v>
      </c>
      <c r="Y1560">
        <v>0.46041939999999998</v>
      </c>
      <c r="Z1560">
        <v>2.3900230000000001E-2</v>
      </c>
      <c r="AA1560">
        <v>0.88737980000000005</v>
      </c>
      <c r="AB1560">
        <v>21</v>
      </c>
      <c r="AC1560">
        <v>3.9328000000000101</v>
      </c>
      <c r="AD1560">
        <v>-1.105257460612</v>
      </c>
      <c r="AE1560">
        <v>-5.0707999999999602</v>
      </c>
      <c r="AF1560">
        <v>2.9185440427640099</v>
      </c>
      <c r="AG1560">
        <v>-1.105257460612</v>
      </c>
      <c r="AH1560">
        <v>5.5066695922377296</v>
      </c>
      <c r="AI1560">
        <v>100.056504543806</v>
      </c>
      <c r="AJ1560">
        <v>62.076335887015198</v>
      </c>
      <c r="AK1560">
        <v>6.3295263157575503</v>
      </c>
      <c r="AL1560">
        <v>71.16955953998</v>
      </c>
      <c r="AM1560">
        <v>72.908257532161699</v>
      </c>
      <c r="AN1560">
        <v>1.00000002644882</v>
      </c>
    </row>
    <row r="1561" spans="1:40" x14ac:dyDescent="0.25">
      <c r="A1561" t="str">
        <f>"20190304164845691"</f>
        <v>20190304164845691</v>
      </c>
      <c r="B1561" t="str">
        <f>"1551689325687220"</f>
        <v>1551689325687220</v>
      </c>
      <c r="C1561" t="s">
        <v>40</v>
      </c>
      <c r="D1561">
        <v>5.1292160000000004</v>
      </c>
      <c r="E1561">
        <v>0.60146639999999996</v>
      </c>
      <c r="F1561" t="s">
        <v>44</v>
      </c>
      <c r="G1561">
        <v>-197.76589999999999</v>
      </c>
      <c r="H1561" s="1">
        <v>-6.4159569999999999E-6</v>
      </c>
      <c r="I1561">
        <v>359.34870000000001</v>
      </c>
      <c r="J1561">
        <v>-201.68119999999999</v>
      </c>
      <c r="K1561">
        <v>1.1051869999999999</v>
      </c>
      <c r="L1561">
        <v>364.46940000000001</v>
      </c>
      <c r="M1561">
        <v>0.909524</v>
      </c>
      <c r="N1561">
        <v>-1.250709E-2</v>
      </c>
      <c r="O1561">
        <v>-0.41546369999999999</v>
      </c>
      <c r="P1561">
        <v>0.71123340000000002</v>
      </c>
      <c r="Q1561">
        <v>0.3148359</v>
      </c>
      <c r="R1561">
        <v>-0.62851080000000004</v>
      </c>
      <c r="S1561">
        <v>2.0944060000000002</v>
      </c>
      <c r="T1561">
        <v>-0.57739830000000003</v>
      </c>
      <c r="U1561">
        <v>-2.7001339999999998</v>
      </c>
      <c r="V1561">
        <v>0.28054000000000001</v>
      </c>
      <c r="W1561">
        <v>0.3224224</v>
      </c>
      <c r="X1561">
        <v>0.90406920000000002</v>
      </c>
      <c r="Y1561">
        <v>0.4621111</v>
      </c>
      <c r="Z1561">
        <v>2.434948E-2</v>
      </c>
      <c r="AA1561">
        <v>0.88648769999999999</v>
      </c>
      <c r="AB1561">
        <v>21</v>
      </c>
      <c r="AC1561">
        <v>3.9152999999999998</v>
      </c>
      <c r="AD1561">
        <v>-1.105193415957</v>
      </c>
      <c r="AE1561">
        <v>-5.1206999999999896</v>
      </c>
      <c r="AF1561">
        <v>2.9444158403478302</v>
      </c>
      <c r="AG1561">
        <v>-1.105193415957</v>
      </c>
      <c r="AH1561">
        <v>5.5265088026187099</v>
      </c>
      <c r="AI1561">
        <v>100.009269105572</v>
      </c>
      <c r="AJ1561">
        <v>61.9521814883311</v>
      </c>
      <c r="AK1561">
        <v>6.3587213080137497</v>
      </c>
      <c r="AL1561">
        <v>71.190515340875095</v>
      </c>
      <c r="AM1561">
        <v>72.760459838166</v>
      </c>
      <c r="AN1561">
        <v>1.0000000070052</v>
      </c>
    </row>
    <row r="1562" spans="1:40" x14ac:dyDescent="0.25">
      <c r="A1562" t="str">
        <f>"20190304164845701"</f>
        <v>20190304164845701</v>
      </c>
      <c r="B1562" t="str">
        <f>"1551689325697956"</f>
        <v>1551689325697956</v>
      </c>
      <c r="C1562" t="s">
        <v>40</v>
      </c>
      <c r="D1562">
        <v>5.1411749999999996</v>
      </c>
      <c r="E1562">
        <v>0.60146980000000005</v>
      </c>
      <c r="F1562" t="s">
        <v>44</v>
      </c>
      <c r="G1562">
        <v>-197.69370000000001</v>
      </c>
      <c r="H1562" s="1">
        <v>-6.3719459999999999E-6</v>
      </c>
      <c r="I1562">
        <v>359.2509</v>
      </c>
      <c r="J1562">
        <v>-201.59610000000001</v>
      </c>
      <c r="K1562">
        <v>1.105129</v>
      </c>
      <c r="L1562">
        <v>364.42520000000002</v>
      </c>
      <c r="M1562">
        <v>0.90770720000000005</v>
      </c>
      <c r="N1562">
        <v>-1.247909E-2</v>
      </c>
      <c r="O1562">
        <v>-0.41941859999999997</v>
      </c>
      <c r="P1562">
        <v>0.70690889999999995</v>
      </c>
      <c r="Q1562">
        <v>0.31430449999999999</v>
      </c>
      <c r="R1562">
        <v>-0.6336347</v>
      </c>
      <c r="S1562">
        <v>2.0739899999999998</v>
      </c>
      <c r="T1562">
        <v>-0.57482639999999996</v>
      </c>
      <c r="U1562">
        <v>-2.714172</v>
      </c>
      <c r="V1562">
        <v>0.28308529999999998</v>
      </c>
      <c r="W1562">
        <v>0.32178689999999999</v>
      </c>
      <c r="X1562">
        <v>0.90350200000000003</v>
      </c>
      <c r="Y1562">
        <v>0.4646882</v>
      </c>
      <c r="Z1562">
        <v>2.4677359999999999E-2</v>
      </c>
      <c r="AA1562">
        <v>0.88513050000000004</v>
      </c>
      <c r="AB1562">
        <v>21</v>
      </c>
      <c r="AC1562">
        <v>3.9024000000000001</v>
      </c>
      <c r="AD1562">
        <v>-1.105135371946</v>
      </c>
      <c r="AE1562">
        <v>-5.1743000000000103</v>
      </c>
      <c r="AF1562">
        <v>2.9737778468898899</v>
      </c>
      <c r="AG1562">
        <v>-1.105135371946</v>
      </c>
      <c r="AH1562">
        <v>5.5514554427697798</v>
      </c>
      <c r="AI1562">
        <v>99.952938905242604</v>
      </c>
      <c r="AJ1562">
        <v>61.823143228906702</v>
      </c>
      <c r="AK1562">
        <v>6.3940078515777197</v>
      </c>
      <c r="AL1562">
        <v>71.228976115167498</v>
      </c>
      <c r="AM1562">
        <v>72.603179682380301</v>
      </c>
      <c r="AN1562">
        <v>0.999999980045849</v>
      </c>
    </row>
    <row r="1563" spans="1:40" x14ac:dyDescent="0.25">
      <c r="A1563" t="str">
        <f>"20190304164845712"</f>
        <v>20190304164845712</v>
      </c>
      <c r="B1563" t="str">
        <f>"1551689325707716"</f>
        <v>1551689325707716</v>
      </c>
      <c r="C1563" t="s">
        <v>40</v>
      </c>
      <c r="D1563">
        <v>5.1341060000000001</v>
      </c>
      <c r="E1563">
        <v>0.6014931</v>
      </c>
      <c r="F1563" t="s">
        <v>44</v>
      </c>
      <c r="G1563">
        <v>-197.6378</v>
      </c>
      <c r="H1563" s="1">
        <v>-6.3351840000000003E-6</v>
      </c>
      <c r="I1563">
        <v>359.16719999999998</v>
      </c>
      <c r="J1563">
        <v>-201.50409999999999</v>
      </c>
      <c r="K1563">
        <v>1.105062</v>
      </c>
      <c r="L1563">
        <v>364.37700000000001</v>
      </c>
      <c r="M1563">
        <v>0.90570799999999996</v>
      </c>
      <c r="N1563">
        <v>-1.244955E-2</v>
      </c>
      <c r="O1563">
        <v>-0.42371969999999998</v>
      </c>
      <c r="P1563">
        <v>0.70213359999999903</v>
      </c>
      <c r="Q1563">
        <v>0.31405809999999901</v>
      </c>
      <c r="R1563">
        <v>-0.63904349999999999</v>
      </c>
      <c r="S1563">
        <v>2.053604</v>
      </c>
      <c r="T1563">
        <v>-0.57335939999999996</v>
      </c>
      <c r="U1563">
        <v>-2.7279360000000001</v>
      </c>
      <c r="V1563">
        <v>0.28574300000000002</v>
      </c>
      <c r="W1563">
        <v>0.32142789999999999</v>
      </c>
      <c r="X1563">
        <v>0.90279290000000001</v>
      </c>
      <c r="Y1563">
        <v>0.46687479999999998</v>
      </c>
      <c r="Z1563">
        <v>2.5165360000000001E-2</v>
      </c>
      <c r="AA1563">
        <v>0.88396529999999995</v>
      </c>
      <c r="AB1563">
        <v>21</v>
      </c>
      <c r="AC1563">
        <v>3.8662999999999901</v>
      </c>
      <c r="AD1563">
        <v>-1.1050683351840001</v>
      </c>
      <c r="AE1563">
        <v>-5.2097999999999702</v>
      </c>
      <c r="AF1563">
        <v>2.9937109769908501</v>
      </c>
      <c r="AG1563">
        <v>-1.1050683351840001</v>
      </c>
      <c r="AH1563">
        <v>5.5486897028688098</v>
      </c>
      <c r="AI1563">
        <v>99.941514012559793</v>
      </c>
      <c r="AJ1563">
        <v>61.651595834007502</v>
      </c>
      <c r="AK1563">
        <v>6.4008935983895503</v>
      </c>
      <c r="AL1563">
        <v>71.250699557514494</v>
      </c>
      <c r="AM1563">
        <v>72.436898728534103</v>
      </c>
      <c r="AN1563">
        <v>0.99999998861890904</v>
      </c>
    </row>
    <row r="1564" spans="1:40" x14ac:dyDescent="0.25">
      <c r="A1564" t="str">
        <f>"20190304164845723"</f>
        <v>20190304164845723</v>
      </c>
      <c r="B1564" t="str">
        <f>"1551689325717476"</f>
        <v>1551689325717476</v>
      </c>
      <c r="C1564" t="s">
        <v>40</v>
      </c>
      <c r="D1564">
        <v>5.1264409999999998</v>
      </c>
      <c r="E1564">
        <v>0.60151919999999903</v>
      </c>
      <c r="F1564" t="s">
        <v>44</v>
      </c>
      <c r="G1564">
        <v>-197.5701</v>
      </c>
      <c r="H1564" s="1">
        <v>-6.2915739999999997E-6</v>
      </c>
      <c r="I1564">
        <v>359.06849999999997</v>
      </c>
      <c r="J1564">
        <v>-201.41739999999999</v>
      </c>
      <c r="K1564">
        <v>1.105002</v>
      </c>
      <c r="L1564">
        <v>364.33089999999999</v>
      </c>
      <c r="M1564">
        <v>0.90377220000000003</v>
      </c>
      <c r="N1564">
        <v>-1.242307E-2</v>
      </c>
      <c r="O1564">
        <v>-0.42783349999999998</v>
      </c>
      <c r="P1564">
        <v>0.69731069999999995</v>
      </c>
      <c r="Q1564">
        <v>0.3139709</v>
      </c>
      <c r="R1564">
        <v>-0.64434480000000005</v>
      </c>
      <c r="S1564">
        <v>2.0321959999999999</v>
      </c>
      <c r="T1564">
        <v>-0.57084250000000003</v>
      </c>
      <c r="U1564">
        <v>-2.7422179999999998</v>
      </c>
      <c r="V1564">
        <v>0.28851549999999998</v>
      </c>
      <c r="W1564">
        <v>0.32122869999999998</v>
      </c>
      <c r="X1564">
        <v>0.9019817</v>
      </c>
      <c r="Y1564">
        <v>0.46952529999999998</v>
      </c>
      <c r="Z1564">
        <v>2.5512099999999999E-2</v>
      </c>
      <c r="AA1564">
        <v>0.88255039999999996</v>
      </c>
      <c r="AB1564">
        <v>21</v>
      </c>
      <c r="AC1564">
        <v>3.84729999999999</v>
      </c>
      <c r="AD1564">
        <v>-1.105008291574</v>
      </c>
      <c r="AE1564">
        <v>-5.2624000000000102</v>
      </c>
      <c r="AF1564">
        <v>3.0233730670362999</v>
      </c>
      <c r="AG1564">
        <v>-1.105008291574</v>
      </c>
      <c r="AH1564">
        <v>5.5689374073030198</v>
      </c>
      <c r="AI1564">
        <v>99.891891853654698</v>
      </c>
      <c r="AJ1564">
        <v>61.502489050107798</v>
      </c>
      <c r="AK1564">
        <v>6.4323317602084797</v>
      </c>
      <c r="AL1564">
        <v>71.262752836698795</v>
      </c>
      <c r="AM1564">
        <v>72.262165099170801</v>
      </c>
      <c r="AN1564">
        <v>1.00000002928941</v>
      </c>
    </row>
    <row r="1565" spans="1:40" x14ac:dyDescent="0.25">
      <c r="A1565" t="str">
        <f>"20190304164845734"</f>
        <v>20190304164845734</v>
      </c>
      <c r="B1565" t="str">
        <f>"1551689325727236"</f>
        <v>1551689325727236</v>
      </c>
      <c r="C1565" t="s">
        <v>40</v>
      </c>
      <c r="D1565">
        <v>5.1615630000000001</v>
      </c>
      <c r="E1565">
        <v>0.60147320000000004</v>
      </c>
      <c r="F1565" t="s">
        <v>44</v>
      </c>
      <c r="G1565">
        <v>-197.5043</v>
      </c>
      <c r="H1565" s="1">
        <v>-6.2481689999999999E-6</v>
      </c>
      <c r="I1565">
        <v>358.96949999999998</v>
      </c>
      <c r="J1565">
        <v>-201.31290000000001</v>
      </c>
      <c r="K1565">
        <v>1.104924</v>
      </c>
      <c r="L1565">
        <v>364.2749</v>
      </c>
      <c r="M1565">
        <v>0.90139769999999997</v>
      </c>
      <c r="N1565">
        <v>-1.2391320000000001E-2</v>
      </c>
      <c r="O1565">
        <v>-0.4328148</v>
      </c>
      <c r="P1565">
        <v>0.69156359999999995</v>
      </c>
      <c r="Q1565">
        <v>0.31396259999999998</v>
      </c>
      <c r="R1565">
        <v>-0.65051320000000001</v>
      </c>
      <c r="S1565">
        <v>2.011444</v>
      </c>
      <c r="T1565">
        <v>-0.56800439999999996</v>
      </c>
      <c r="U1565">
        <v>-2.75589</v>
      </c>
      <c r="V1565">
        <v>0.29161340000000002</v>
      </c>
      <c r="W1565">
        <v>0.32108779999999998</v>
      </c>
      <c r="X1565">
        <v>0.90103509999999998</v>
      </c>
      <c r="Y1565">
        <v>0.47111449999999999</v>
      </c>
      <c r="Z1565">
        <v>2.6093310000000002E-2</v>
      </c>
      <c r="AA1565">
        <v>0.88168599999999997</v>
      </c>
      <c r="AB1565">
        <v>21</v>
      </c>
      <c r="AC1565">
        <v>3.80860000000001</v>
      </c>
      <c r="AD1565">
        <v>-1.104930248169</v>
      </c>
      <c r="AE1565">
        <v>-5.3054000000000201</v>
      </c>
      <c r="AF1565">
        <v>3.0468849202587598</v>
      </c>
      <c r="AG1565">
        <v>-1.104930248169</v>
      </c>
      <c r="AH1565">
        <v>5.5703166803032804</v>
      </c>
      <c r="AI1565">
        <v>99.872175636197099</v>
      </c>
      <c r="AJ1565">
        <v>61.321960596482</v>
      </c>
      <c r="AK1565">
        <v>6.4445951377479096</v>
      </c>
      <c r="AL1565">
        <v>71.271276844187099</v>
      </c>
      <c r="AM1565">
        <v>72.0662064072432</v>
      </c>
      <c r="AN1565">
        <v>1.0000000009001999</v>
      </c>
    </row>
    <row r="1566" spans="1:40" x14ac:dyDescent="0.25">
      <c r="A1566" t="str">
        <f>"20190304164845745"</f>
        <v>20190304164845745</v>
      </c>
      <c r="B1566" t="str">
        <f>"1551689325737971"</f>
        <v>1551689325737971</v>
      </c>
      <c r="C1566" t="s">
        <v>40</v>
      </c>
      <c r="D1566">
        <v>5.1439859999999999</v>
      </c>
      <c r="E1566">
        <v>0.60144140000000001</v>
      </c>
      <c r="F1566" t="s">
        <v>44</v>
      </c>
      <c r="G1566">
        <v>-197.4324</v>
      </c>
      <c r="H1566" s="1">
        <v>-6.2004409999999996E-6</v>
      </c>
      <c r="I1566">
        <v>358.8605</v>
      </c>
      <c r="J1566">
        <v>-201.22219999999999</v>
      </c>
      <c r="K1566">
        <v>1.1048500000000001</v>
      </c>
      <c r="L1566">
        <v>364.22519999999997</v>
      </c>
      <c r="M1566">
        <v>0.89927019999999902</v>
      </c>
      <c r="N1566">
        <v>-1.236396E-2</v>
      </c>
      <c r="O1566">
        <v>-0.43721910000000003</v>
      </c>
      <c r="P1566">
        <v>0.68641890000000005</v>
      </c>
      <c r="Q1566">
        <v>0.31379509999999899</v>
      </c>
      <c r="R1566">
        <v>-0.65602019999999905</v>
      </c>
      <c r="S1566">
        <v>1.9870000000000001</v>
      </c>
      <c r="T1566">
        <v>-0.56577999999999995</v>
      </c>
      <c r="U1566">
        <v>-2.7724299999999999</v>
      </c>
      <c r="V1566">
        <v>0.294429099999999</v>
      </c>
      <c r="W1566">
        <v>0.32080340000000002</v>
      </c>
      <c r="X1566">
        <v>0.90022039999999903</v>
      </c>
      <c r="Y1566">
        <v>0.47443249999999998</v>
      </c>
      <c r="Z1566">
        <v>2.6434260000000001E-2</v>
      </c>
      <c r="AA1566">
        <v>0.87989490000000004</v>
      </c>
      <c r="AB1566">
        <v>21</v>
      </c>
      <c r="AC1566">
        <v>3.7897999999999801</v>
      </c>
      <c r="AD1566">
        <v>-1.1048562004410001</v>
      </c>
      <c r="AE1566">
        <v>-5.3646999999999698</v>
      </c>
      <c r="AF1566">
        <v>3.0804238292891899</v>
      </c>
      <c r="AG1566">
        <v>-1.1048562004410001</v>
      </c>
      <c r="AH1566">
        <v>5.5957133562954899</v>
      </c>
      <c r="AI1566">
        <v>99.813340667656902</v>
      </c>
      <c r="AJ1566">
        <v>61.167345019980402</v>
      </c>
      <c r="AK1566">
        <v>6.4824166911368302</v>
      </c>
      <c r="AL1566">
        <v>71.288482761939605</v>
      </c>
      <c r="AM1566">
        <v>71.888976244497798</v>
      </c>
      <c r="AN1566">
        <v>1.0000000424772599</v>
      </c>
    </row>
    <row r="1567" spans="1:40" x14ac:dyDescent="0.25">
      <c r="A1567" t="str">
        <f>"20190304164845757"</f>
        <v>20190304164845757</v>
      </c>
      <c r="B1567" t="str">
        <f>"1551689325747732"</f>
        <v>1551689325747732</v>
      </c>
      <c r="C1567" t="s">
        <v>40</v>
      </c>
      <c r="D1567">
        <v>5.1414999999999997</v>
      </c>
      <c r="E1567">
        <v>0.60120459999999998</v>
      </c>
      <c r="F1567" t="s">
        <v>44</v>
      </c>
      <c r="G1567">
        <v>-197.37139999999999</v>
      </c>
      <c r="H1567" s="1">
        <v>-6.1586230000000002E-6</v>
      </c>
      <c r="I1567">
        <v>358.76400000000001</v>
      </c>
      <c r="J1567">
        <v>-201.1208</v>
      </c>
      <c r="K1567">
        <v>1.1047750000000001</v>
      </c>
      <c r="L1567">
        <v>364.16930000000002</v>
      </c>
      <c r="M1567">
        <v>0.8968507</v>
      </c>
      <c r="N1567">
        <v>-1.233298E-2</v>
      </c>
      <c r="O1567">
        <v>-0.44216149999999999</v>
      </c>
      <c r="P1567">
        <v>0.68059369999999997</v>
      </c>
      <c r="Q1567">
        <v>0.31347000000000003</v>
      </c>
      <c r="R1567">
        <v>-0.662215199999999</v>
      </c>
      <c r="S1567">
        <v>1.9649509999999999</v>
      </c>
      <c r="T1567">
        <v>-0.56377390000000005</v>
      </c>
      <c r="U1567">
        <v>-2.7866819999999999</v>
      </c>
      <c r="V1567">
        <v>0.2976278</v>
      </c>
      <c r="W1567">
        <v>0.32034629999999997</v>
      </c>
      <c r="X1567">
        <v>0.89933090000000004</v>
      </c>
      <c r="Y1567">
        <v>0.47638789999999998</v>
      </c>
      <c r="Z1567">
        <v>2.7015569999999999E-2</v>
      </c>
      <c r="AA1567">
        <v>0.87882009999999899</v>
      </c>
      <c r="AB1567">
        <v>21</v>
      </c>
      <c r="AC1567">
        <v>3.7494000000000001</v>
      </c>
      <c r="AD1567">
        <v>-1.1047811586229901</v>
      </c>
      <c r="AE1567">
        <v>-5.4053000000000102</v>
      </c>
      <c r="AF1567">
        <v>3.1026419440358799</v>
      </c>
      <c r="AG1567">
        <v>-1.1047811586229901</v>
      </c>
      <c r="AH1567">
        <v>5.5952944815879899</v>
      </c>
      <c r="AI1567">
        <v>99.797078751468703</v>
      </c>
      <c r="AJ1567">
        <v>60.991230969584798</v>
      </c>
      <c r="AK1567">
        <v>6.49263034347622</v>
      </c>
      <c r="AL1567">
        <v>71.316132301843595</v>
      </c>
      <c r="AM1567">
        <v>71.688369190151604</v>
      </c>
      <c r="AN1567">
        <v>1.0000000634756601</v>
      </c>
    </row>
    <row r="1568" spans="1:40" x14ac:dyDescent="0.25">
      <c r="A1568" t="str">
        <f>"20190304164845770"</f>
        <v>20190304164845770</v>
      </c>
      <c r="B1568" t="str">
        <f>"1551689325757492"</f>
        <v>1551689325757492</v>
      </c>
      <c r="C1568" t="s">
        <v>40</v>
      </c>
      <c r="D1568">
        <v>5.1657140000000004</v>
      </c>
      <c r="E1568">
        <v>0.60094449999999999</v>
      </c>
      <c r="F1568" t="s">
        <v>44</v>
      </c>
      <c r="G1568">
        <v>-197.32579999999999</v>
      </c>
      <c r="H1568" s="1">
        <v>-6.1271659999999999E-6</v>
      </c>
      <c r="I1568">
        <v>358.69130000000001</v>
      </c>
      <c r="J1568">
        <v>-201.0155</v>
      </c>
      <c r="K1568">
        <v>1.1046990000000001</v>
      </c>
      <c r="L1568">
        <v>364.11009999999999</v>
      </c>
      <c r="M1568">
        <v>0.89426360000000005</v>
      </c>
      <c r="N1568">
        <v>-1.230175E-2</v>
      </c>
      <c r="O1568">
        <v>-0.44737179999999999</v>
      </c>
      <c r="P1568">
        <v>0.67438299999999995</v>
      </c>
      <c r="Q1568">
        <v>0.31336999999999998</v>
      </c>
      <c r="R1568">
        <v>-0.66858600000000001</v>
      </c>
      <c r="S1568">
        <v>1.9414670000000001</v>
      </c>
      <c r="T1568">
        <v>-0.56518789999999997</v>
      </c>
      <c r="U1568">
        <v>-2.8024290000000001</v>
      </c>
      <c r="V1568">
        <v>0.30089379999999999</v>
      </c>
      <c r="W1568">
        <v>0.32011089999999998</v>
      </c>
      <c r="X1568">
        <v>0.89832730000000005</v>
      </c>
      <c r="Y1568">
        <v>0.47857640000000001</v>
      </c>
      <c r="Z1568">
        <v>2.7828229999999999E-2</v>
      </c>
      <c r="AA1568">
        <v>0.87760479999999996</v>
      </c>
      <c r="AB1568">
        <v>21</v>
      </c>
      <c r="AC1568">
        <v>3.68970000000001</v>
      </c>
      <c r="AD1568">
        <v>-1.10470512716599</v>
      </c>
      <c r="AE1568">
        <v>-5.4187999999999699</v>
      </c>
      <c r="AF1568">
        <v>3.1071785051917402</v>
      </c>
      <c r="AG1568">
        <v>-1.10470512716599</v>
      </c>
      <c r="AH1568">
        <v>5.5661597042463704</v>
      </c>
      <c r="AI1568">
        <v>99.8314574891658</v>
      </c>
      <c r="AJ1568">
        <v>60.828582413839797</v>
      </c>
      <c r="AK1568">
        <v>6.4697036666518599</v>
      </c>
      <c r="AL1568">
        <v>71.330368271984796</v>
      </c>
      <c r="AM1568">
        <v>71.481779572075197</v>
      </c>
      <c r="AN1568">
        <v>1.0000000025512701</v>
      </c>
    </row>
    <row r="1569" spans="1:40" x14ac:dyDescent="0.25">
      <c r="A1569" t="str">
        <f>"20190304164845783"</f>
        <v>20190304164845783</v>
      </c>
      <c r="B1569" t="str">
        <f>"1551689325777988"</f>
        <v>1551689325777988</v>
      </c>
      <c r="C1569" t="s">
        <v>40</v>
      </c>
      <c r="D1569">
        <v>5.1035709999999996</v>
      </c>
      <c r="E1569">
        <v>0.60069859999999997</v>
      </c>
      <c r="F1569" t="s">
        <v>44</v>
      </c>
      <c r="G1569">
        <v>-197.27029999999999</v>
      </c>
      <c r="H1569" s="1">
        <v>-6.0902240000000004E-6</v>
      </c>
      <c r="I1569">
        <v>358.6069</v>
      </c>
      <c r="J1569">
        <v>-200.90979999999999</v>
      </c>
      <c r="K1569">
        <v>1.10463</v>
      </c>
      <c r="L1569">
        <v>364.05</v>
      </c>
      <c r="M1569">
        <v>0.89160569999999895</v>
      </c>
      <c r="N1569">
        <v>-1.227226E-2</v>
      </c>
      <c r="O1569">
        <v>-0.4526463</v>
      </c>
      <c r="P1569">
        <v>0.66832650000000005</v>
      </c>
      <c r="Q1569">
        <v>0.31309799999999999</v>
      </c>
      <c r="R1569">
        <v>-0.67476619999999998</v>
      </c>
      <c r="S1569">
        <v>1.917694</v>
      </c>
      <c r="T1569">
        <v>-0.56565639999999995</v>
      </c>
      <c r="U1569">
        <v>-2.8179020000000001</v>
      </c>
      <c r="V1569">
        <v>0.30385570000000001</v>
      </c>
      <c r="W1569">
        <v>0.31971280000000002</v>
      </c>
      <c r="X1569">
        <v>0.89747169999999898</v>
      </c>
      <c r="Y1569">
        <v>0.48071229999999998</v>
      </c>
      <c r="Z1569">
        <v>2.8603650000000001E-2</v>
      </c>
      <c r="AA1569">
        <v>0.87641170000000002</v>
      </c>
      <c r="AB1569">
        <v>21</v>
      </c>
      <c r="AC1569">
        <v>3.6394999999999902</v>
      </c>
      <c r="AD1569">
        <v>-1.104636090224</v>
      </c>
      <c r="AE1569">
        <v>-5.44310000000001</v>
      </c>
      <c r="AF1569">
        <v>3.11721485720442</v>
      </c>
      <c r="AG1569">
        <v>-1.104636090224</v>
      </c>
      <c r="AH1569">
        <v>5.5512337724689198</v>
      </c>
      <c r="AI1569">
        <v>99.843149339643006</v>
      </c>
      <c r="AJ1569">
        <v>60.684242834814398</v>
      </c>
      <c r="AK1569">
        <v>6.4616906266395002</v>
      </c>
      <c r="AL1569">
        <v>71.3544429872032</v>
      </c>
      <c r="AM1569">
        <v>71.295515802296094</v>
      </c>
      <c r="AN1569">
        <v>1.0000000066035999</v>
      </c>
    </row>
    <row r="1570" spans="1:40" x14ac:dyDescent="0.25">
      <c r="A1570" t="str">
        <f>"20190304164845796"</f>
        <v>20190304164845796</v>
      </c>
      <c r="B1570" t="str">
        <f>"1551689325787748"</f>
        <v>1551689325787748</v>
      </c>
      <c r="C1570" t="s">
        <v>40</v>
      </c>
      <c r="D1570">
        <v>5.1365959999999999</v>
      </c>
      <c r="E1570">
        <v>0.60057559999999999</v>
      </c>
      <c r="F1570" t="s">
        <v>44</v>
      </c>
      <c r="G1570">
        <v>-197.19450000000001</v>
      </c>
      <c r="H1570" s="1">
        <v>-6.0385139999999998E-6</v>
      </c>
      <c r="I1570">
        <v>358.48779999999999</v>
      </c>
      <c r="J1570">
        <v>-200.80240000000001</v>
      </c>
      <c r="K1570">
        <v>1.1045640000000001</v>
      </c>
      <c r="L1570">
        <v>363.98820000000001</v>
      </c>
      <c r="M1570">
        <v>0.88885149999999902</v>
      </c>
      <c r="N1570">
        <v>-1.2243499999999999E-2</v>
      </c>
      <c r="O1570">
        <v>-0.45803179999999999</v>
      </c>
      <c r="P1570">
        <v>0.66246799999999995</v>
      </c>
      <c r="Q1570">
        <v>0.31256719999999999</v>
      </c>
      <c r="R1570">
        <v>-0.68076289999999995</v>
      </c>
      <c r="S1570">
        <v>1.8922270000000001</v>
      </c>
      <c r="T1570">
        <v>-0.56259930000000002</v>
      </c>
      <c r="U1570">
        <v>-2.8328549999999999</v>
      </c>
      <c r="V1570">
        <v>0.30645</v>
      </c>
      <c r="W1570">
        <v>0.3190654</v>
      </c>
      <c r="X1570">
        <v>0.89681979999999994</v>
      </c>
      <c r="Y1570">
        <v>0.4830236</v>
      </c>
      <c r="Z1570">
        <v>2.91662E-2</v>
      </c>
      <c r="AA1570">
        <v>0.87512140000000005</v>
      </c>
      <c r="AB1570">
        <v>21</v>
      </c>
      <c r="AC1570">
        <v>3.6078999999999999</v>
      </c>
      <c r="AD1570">
        <v>-1.10457003851399</v>
      </c>
      <c r="AE1570">
        <v>-5.5004000000000097</v>
      </c>
      <c r="AF1570">
        <v>3.1479880383300398</v>
      </c>
      <c r="AG1570">
        <v>-1.10457003851399</v>
      </c>
      <c r="AH1570">
        <v>5.5696337134892202</v>
      </c>
      <c r="AI1570">
        <v>99.795601760417796</v>
      </c>
      <c r="AJ1570">
        <v>60.5246240028793</v>
      </c>
      <c r="AK1570">
        <v>6.49235884420197</v>
      </c>
      <c r="AL1570">
        <v>71.393587166441193</v>
      </c>
      <c r="AM1570">
        <v>71.134320420515905</v>
      </c>
      <c r="AN1570">
        <v>1.0000000428245901</v>
      </c>
    </row>
    <row r="1571" spans="1:40" x14ac:dyDescent="0.25">
      <c r="A1571" t="str">
        <f>"20190304164845812"</f>
        <v>20190304164845812</v>
      </c>
      <c r="B1571" t="str">
        <f>"1551689325807268"</f>
        <v>1551689325807268</v>
      </c>
      <c r="C1571" t="s">
        <v>40</v>
      </c>
      <c r="D1571">
        <v>5.1691200000000004</v>
      </c>
      <c r="E1571">
        <v>0.60012809999999905</v>
      </c>
      <c r="F1571" t="s">
        <v>44</v>
      </c>
      <c r="G1571">
        <v>-197.13300000000001</v>
      </c>
      <c r="H1571" s="1">
        <v>-5.9955319999999996E-6</v>
      </c>
      <c r="I1571">
        <v>358.38810000000001</v>
      </c>
      <c r="J1571">
        <v>-200.66890000000001</v>
      </c>
      <c r="K1571">
        <v>1.1044889999999901</v>
      </c>
      <c r="L1571">
        <v>363.90949999999998</v>
      </c>
      <c r="M1571">
        <v>0.88531389999999999</v>
      </c>
      <c r="N1571">
        <v>-1.2212829999999999E-2</v>
      </c>
      <c r="O1571">
        <v>-0.46483360000000001</v>
      </c>
      <c r="P1571">
        <v>0.65401980000000004</v>
      </c>
      <c r="Q1571">
        <v>0.3112799</v>
      </c>
      <c r="R1571">
        <v>-0.68946619999999903</v>
      </c>
      <c r="S1571">
        <v>1.866455</v>
      </c>
      <c r="T1571">
        <v>-0.56184269999999903</v>
      </c>
      <c r="U1571">
        <v>-2.8485109999999998</v>
      </c>
      <c r="V1571">
        <v>0.31119930000000001</v>
      </c>
      <c r="W1571">
        <v>0.31761699999999998</v>
      </c>
      <c r="X1571">
        <v>0.89569769999999904</v>
      </c>
      <c r="Y1571">
        <v>0.48410769999999997</v>
      </c>
      <c r="Z1571">
        <v>3.0237119999999999E-2</v>
      </c>
      <c r="AA1571">
        <v>0.87448590000000004</v>
      </c>
      <c r="AB1571">
        <v>21</v>
      </c>
      <c r="AC1571">
        <v>3.5359000000000198</v>
      </c>
      <c r="AD1571">
        <v>-1.10449499553199</v>
      </c>
      <c r="AE1571">
        <v>-5.5213999999999697</v>
      </c>
      <c r="AF1571">
        <v>3.1552698223208999</v>
      </c>
      <c r="AG1571">
        <v>-1.10449499553199</v>
      </c>
      <c r="AH1571">
        <v>5.5401227705420499</v>
      </c>
      <c r="AI1571">
        <v>99.828201649229001</v>
      </c>
      <c r="AJ1571">
        <v>60.337160350971502</v>
      </c>
      <c r="AK1571">
        <v>6.4705948072401096</v>
      </c>
      <c r="AL1571">
        <v>71.481127152368003</v>
      </c>
      <c r="AM1571">
        <v>70.840837002638906</v>
      </c>
      <c r="AN1571">
        <v>0.99999996639738897</v>
      </c>
    </row>
    <row r="1572" spans="1:40" x14ac:dyDescent="0.25">
      <c r="A1572" t="str">
        <f>"20190304164845827"</f>
        <v>20190304164845827</v>
      </c>
      <c r="B1572" t="str">
        <f>"1551689325818005"</f>
        <v>1551689325818005</v>
      </c>
      <c r="C1572" t="s">
        <v>40</v>
      </c>
      <c r="D1572">
        <v>5.1418220000000003</v>
      </c>
      <c r="E1572">
        <v>0.59987069999999998</v>
      </c>
      <c r="F1572" t="s">
        <v>44</v>
      </c>
      <c r="G1572">
        <v>-197.08250000000001</v>
      </c>
      <c r="H1572" s="1">
        <v>-5.95366E-6</v>
      </c>
      <c r="I1572">
        <v>358.28660000000002</v>
      </c>
      <c r="J1572">
        <v>-200.5489</v>
      </c>
      <c r="K1572">
        <v>1.1044290000000001</v>
      </c>
      <c r="L1572">
        <v>363.83769999999998</v>
      </c>
      <c r="M1572">
        <v>0.88204850000000001</v>
      </c>
      <c r="N1572">
        <v>-1.2185609999999999E-2</v>
      </c>
      <c r="O1572">
        <v>-0.47100120000000001</v>
      </c>
      <c r="P1572">
        <v>0.64800089999999999</v>
      </c>
      <c r="Q1572">
        <v>0.31079970000000001</v>
      </c>
      <c r="R1572">
        <v>-0.69534090000000004</v>
      </c>
      <c r="S1572">
        <v>1.8302149999999999</v>
      </c>
      <c r="T1572">
        <v>-0.56364829999999999</v>
      </c>
      <c r="U1572">
        <v>-2.8695369999999998</v>
      </c>
      <c r="V1572">
        <v>0.31296489999999999</v>
      </c>
      <c r="W1572">
        <v>0.31703999999999999</v>
      </c>
      <c r="X1572">
        <v>0.8952869</v>
      </c>
      <c r="Y1572">
        <v>0.48873680000000003</v>
      </c>
      <c r="Z1572">
        <v>3.1047600000000002E-2</v>
      </c>
      <c r="AA1572">
        <v>0.87187859999999995</v>
      </c>
      <c r="AB1572">
        <v>21</v>
      </c>
      <c r="AC1572">
        <v>3.4663999999999899</v>
      </c>
      <c r="AD1572">
        <v>-1.10443495366</v>
      </c>
      <c r="AE1572">
        <v>-5.55109999999996</v>
      </c>
      <c r="AF1572">
        <v>3.1735239249002198</v>
      </c>
      <c r="AG1572">
        <v>-1.10443495366</v>
      </c>
      <c r="AH1572">
        <v>5.5154533993859403</v>
      </c>
      <c r="AI1572">
        <v>99.846364534654796</v>
      </c>
      <c r="AJ1572">
        <v>60.084407812655598</v>
      </c>
      <c r="AK1572">
        <v>6.4584252623668199</v>
      </c>
      <c r="AL1572">
        <v>71.515989478959597</v>
      </c>
      <c r="AM1572">
        <v>70.731936105911004</v>
      </c>
      <c r="AN1572">
        <v>1.00000001177181</v>
      </c>
    </row>
    <row r="1573" spans="1:40" x14ac:dyDescent="0.25">
      <c r="A1573" t="str">
        <f>"20190304164845847"</f>
        <v>20190304164845847</v>
      </c>
      <c r="B1573" t="str">
        <f>"1551689325837525"</f>
        <v>1551689325837525</v>
      </c>
      <c r="C1573" t="s">
        <v>40</v>
      </c>
      <c r="D1573">
        <v>5.1290230000000001</v>
      </c>
      <c r="E1573">
        <v>0.5997207</v>
      </c>
      <c r="F1573" t="s">
        <v>44</v>
      </c>
      <c r="G1573">
        <v>-197.01660000000001</v>
      </c>
      <c r="H1573" s="1">
        <v>-5.9114139999999998E-6</v>
      </c>
      <c r="I1573">
        <v>358.19110000000001</v>
      </c>
      <c r="J1573">
        <v>-200.38339999999999</v>
      </c>
      <c r="K1573">
        <v>1.1043499999999999</v>
      </c>
      <c r="L1573">
        <v>363.73669999999998</v>
      </c>
      <c r="M1573">
        <v>0.87740509999999905</v>
      </c>
      <c r="N1573">
        <v>-1.21482E-2</v>
      </c>
      <c r="O1573">
        <v>-0.47959629999999998</v>
      </c>
      <c r="P1573">
        <v>0.63882209999999995</v>
      </c>
      <c r="Q1573">
        <v>0.30996760000000001</v>
      </c>
      <c r="R1573">
        <v>-0.70414919999999903</v>
      </c>
      <c r="S1573">
        <v>1.8046880000000001</v>
      </c>
      <c r="T1573">
        <v>-0.56425909999999901</v>
      </c>
      <c r="U1573">
        <v>-2.8848880000000001</v>
      </c>
      <c r="V1573">
        <v>0.31633739999999999</v>
      </c>
      <c r="W1573">
        <v>0.3160599</v>
      </c>
      <c r="X1573">
        <v>0.89444780000000002</v>
      </c>
      <c r="Y1573">
        <v>0.4879349</v>
      </c>
      <c r="Z1573">
        <v>3.2721849999999997E-2</v>
      </c>
      <c r="AA1573">
        <v>0.87226649999999994</v>
      </c>
      <c r="AB1573">
        <v>21</v>
      </c>
      <c r="AC1573">
        <v>3.36679999999998</v>
      </c>
      <c r="AD1573">
        <v>-1.104355911414</v>
      </c>
      <c r="AE1573">
        <v>-5.5455999999999701</v>
      </c>
      <c r="AF1573">
        <v>3.15971479695436</v>
      </c>
      <c r="AG1573">
        <v>-1.104355911414</v>
      </c>
      <c r="AH1573">
        <v>5.4560138813470802</v>
      </c>
      <c r="AI1573">
        <v>99.935033900992494</v>
      </c>
      <c r="AJ1573">
        <v>59.9237892077944</v>
      </c>
      <c r="AK1573">
        <v>6.4008973629186903</v>
      </c>
      <c r="AL1573">
        <v>71.575189899343897</v>
      </c>
      <c r="AM1573">
        <v>70.522951934242997</v>
      </c>
      <c r="AN1573">
        <v>1.0000000389757999</v>
      </c>
    </row>
    <row r="1574" spans="1:40" x14ac:dyDescent="0.25">
      <c r="A1574" t="str">
        <f>"20190304164845858"</f>
        <v>20190304164845858</v>
      </c>
      <c r="B1574" t="str">
        <f>"1551689325847284"</f>
        <v>1551689325847284</v>
      </c>
      <c r="C1574" t="s">
        <v>40</v>
      </c>
      <c r="D1574">
        <v>5.1323740000000004</v>
      </c>
      <c r="E1574">
        <v>0.59943880000000005</v>
      </c>
      <c r="F1574" t="s">
        <v>44</v>
      </c>
      <c r="G1574">
        <v>-196.9306</v>
      </c>
      <c r="H1574" s="1">
        <v>-5.8486799999999999E-6</v>
      </c>
      <c r="I1574">
        <v>358.04379999999998</v>
      </c>
      <c r="J1574">
        <v>-200.2851</v>
      </c>
      <c r="K1574">
        <v>1.1043050000000001</v>
      </c>
      <c r="L1574">
        <v>363.67579999999998</v>
      </c>
      <c r="M1574">
        <v>0.87457580000000001</v>
      </c>
      <c r="N1574">
        <v>-1.212659E-2</v>
      </c>
      <c r="O1574">
        <v>-0.48473729999999998</v>
      </c>
      <c r="P1574">
        <v>0.63376049999999995</v>
      </c>
      <c r="Q1574">
        <v>0.30936809999999998</v>
      </c>
      <c r="R1574">
        <v>-0.70897089999999996</v>
      </c>
      <c r="S1574">
        <v>1.764008</v>
      </c>
      <c r="T1574">
        <v>-0.56421390000000005</v>
      </c>
      <c r="U1574">
        <v>-2.9084780000000001</v>
      </c>
      <c r="V1574">
        <v>0.31775170000000003</v>
      </c>
      <c r="W1574">
        <v>0.31538620000000001</v>
      </c>
      <c r="X1574">
        <v>0.89418419999999899</v>
      </c>
      <c r="Y1574">
        <v>0.49481190000000003</v>
      </c>
      <c r="Z1574">
        <v>3.3010360000000002E-2</v>
      </c>
      <c r="AA1574">
        <v>0.868372899999999</v>
      </c>
      <c r="AB1574">
        <v>21</v>
      </c>
      <c r="AC1574">
        <v>3.3544999999999998</v>
      </c>
      <c r="AD1574">
        <v>-1.10431084868</v>
      </c>
      <c r="AE1574">
        <v>-5.6319999999999997</v>
      </c>
      <c r="AF1574">
        <v>3.20874136892912</v>
      </c>
      <c r="AG1574">
        <v>-1.10431084868</v>
      </c>
      <c r="AH1574">
        <v>5.5079123928105798</v>
      </c>
      <c r="AI1574">
        <v>99.828440548458602</v>
      </c>
      <c r="AJ1574">
        <v>59.776230047678297</v>
      </c>
      <c r="AK1574">
        <v>6.4693602890908704</v>
      </c>
      <c r="AL1574">
        <v>71.615869921019197</v>
      </c>
      <c r="AM1574">
        <v>70.437140234317297</v>
      </c>
      <c r="AN1574">
        <v>0.99999999076648405</v>
      </c>
    </row>
    <row r="1575" spans="1:40" x14ac:dyDescent="0.25">
      <c r="A1575" t="str">
        <f>"20190304164845870"</f>
        <v>20190304164845870</v>
      </c>
      <c r="B1575" t="str">
        <f>"1551689325857045"</f>
        <v>1551689325857045</v>
      </c>
      <c r="C1575" t="s">
        <v>40</v>
      </c>
      <c r="D1575">
        <v>5.1547169999999998</v>
      </c>
      <c r="E1575">
        <v>0.59912169999999998</v>
      </c>
      <c r="F1575" t="s">
        <v>44</v>
      </c>
      <c r="G1575">
        <v>-196.881</v>
      </c>
      <c r="H1575" s="1">
        <v>-5.8177789999999996E-6</v>
      </c>
      <c r="I1575">
        <v>357.97460000000001</v>
      </c>
      <c r="J1575">
        <v>-200.1893</v>
      </c>
      <c r="K1575">
        <v>1.104263</v>
      </c>
      <c r="L1575">
        <v>363.61529999999999</v>
      </c>
      <c r="M1575">
        <v>0.87175509999999901</v>
      </c>
      <c r="N1575">
        <v>-1.2107120000000001E-2</v>
      </c>
      <c r="O1575">
        <v>-0.48979240000000002</v>
      </c>
      <c r="P1575">
        <v>0.62860939999999998</v>
      </c>
      <c r="Q1575">
        <v>0.3091198</v>
      </c>
      <c r="R1575">
        <v>-0.71364930000000004</v>
      </c>
      <c r="S1575">
        <v>1.7434080000000001</v>
      </c>
      <c r="T1575">
        <v>-0.5655732</v>
      </c>
      <c r="U1575">
        <v>-2.9198300000000001</v>
      </c>
      <c r="V1575">
        <v>0.31917390000000001</v>
      </c>
      <c r="W1575">
        <v>0.31506529999999999</v>
      </c>
      <c r="X1575">
        <v>0.89379069999999905</v>
      </c>
      <c r="Y1575">
        <v>0.49581239999999999</v>
      </c>
      <c r="Z1575">
        <v>3.3943109999999999E-2</v>
      </c>
      <c r="AA1575">
        <v>0.86776609999999998</v>
      </c>
      <c r="AB1575">
        <v>21</v>
      </c>
      <c r="AC1575">
        <v>3.3083000000000302</v>
      </c>
      <c r="AD1575">
        <v>-1.1042688177789901</v>
      </c>
      <c r="AE1575">
        <v>-5.6406999999999803</v>
      </c>
      <c r="AF1575">
        <v>3.20575503640368</v>
      </c>
      <c r="AG1575">
        <v>-1.1042688177789901</v>
      </c>
      <c r="AH1575">
        <v>5.4906419579212002</v>
      </c>
      <c r="AI1575">
        <v>99.852963419516897</v>
      </c>
      <c r="AJ1575">
        <v>59.721140411286299</v>
      </c>
      <c r="AK1575">
        <v>6.4531716299375796</v>
      </c>
      <c r="AL1575">
        <v>71.635243462840904</v>
      </c>
      <c r="AM1575">
        <v>70.348283171933502</v>
      </c>
      <c r="AN1575">
        <v>0.99999996855589401</v>
      </c>
    </row>
    <row r="1576" spans="1:40" x14ac:dyDescent="0.25">
      <c r="A1576" t="str">
        <f>"20190304164845892"</f>
        <v>20190304164845892</v>
      </c>
      <c r="B1576" t="str">
        <f>"1551689325887300"</f>
        <v>1551689325887300</v>
      </c>
      <c r="C1576" t="s">
        <v>40</v>
      </c>
      <c r="D1576">
        <v>3.8051330000000001</v>
      </c>
      <c r="E1576">
        <v>0.59910659999999905</v>
      </c>
      <c r="F1576" t="s">
        <v>44</v>
      </c>
      <c r="G1576">
        <v>-196.82769999999999</v>
      </c>
      <c r="H1576" s="1">
        <v>-5.7842429999999997E-6</v>
      </c>
      <c r="I1576">
        <v>357.89929999999998</v>
      </c>
      <c r="J1576">
        <v>-200.01169999999999</v>
      </c>
      <c r="K1576">
        <v>1.1041890000000001</v>
      </c>
      <c r="L1576">
        <v>363.50139999999999</v>
      </c>
      <c r="M1576">
        <v>0.86638950000000003</v>
      </c>
      <c r="N1576">
        <v>-1.207193E-2</v>
      </c>
      <c r="O1576">
        <v>-0.49922309999999998</v>
      </c>
      <c r="P1576">
        <v>0.61878420000000001</v>
      </c>
      <c r="Q1576">
        <v>0.30919170000000001</v>
      </c>
      <c r="R1576">
        <v>-0.72215469999999904</v>
      </c>
      <c r="S1576">
        <v>1.723557</v>
      </c>
      <c r="T1576">
        <v>-0.56619319999999995</v>
      </c>
      <c r="U1576">
        <v>-2.9307859999999999</v>
      </c>
      <c r="V1576">
        <v>0.32174180000000002</v>
      </c>
      <c r="W1576">
        <v>0.31500329999999999</v>
      </c>
      <c r="X1576">
        <v>0.89289149999999995</v>
      </c>
      <c r="Y1576">
        <v>0.49230079999999998</v>
      </c>
      <c r="Z1576">
        <v>3.6048860000000002E-2</v>
      </c>
      <c r="AA1576">
        <v>0.86967830000000002</v>
      </c>
      <c r="AB1576">
        <v>21</v>
      </c>
      <c r="AC1576">
        <v>3.1839999999999899</v>
      </c>
      <c r="AD1576">
        <v>-1.10419478424299</v>
      </c>
      <c r="AE1576">
        <v>-5.6021000000000001</v>
      </c>
      <c r="AF1576">
        <v>3.1711919836416298</v>
      </c>
      <c r="AG1576">
        <v>-1.10419478424299</v>
      </c>
      <c r="AH1576">
        <v>5.3972011581418702</v>
      </c>
      <c r="AI1576">
        <v>100.003613314793</v>
      </c>
      <c r="AJ1576">
        <v>59.563110249008901</v>
      </c>
      <c r="AK1576">
        <v>6.3565308982266702</v>
      </c>
      <c r="AL1576">
        <v>71.638987897501707</v>
      </c>
      <c r="AM1576">
        <v>70.184034629170796</v>
      </c>
      <c r="AN1576">
        <v>1.00000004782518</v>
      </c>
    </row>
    <row r="1577" spans="1:40" x14ac:dyDescent="0.25">
      <c r="A1577" t="str">
        <f>"20190304164845903"</f>
        <v>20190304164845903</v>
      </c>
      <c r="B1577" t="str">
        <f>"1551689325897060"</f>
        <v>1551689325897060</v>
      </c>
      <c r="C1577" t="s">
        <v>40</v>
      </c>
      <c r="D1577">
        <v>5.2913649999999999</v>
      </c>
      <c r="E1577">
        <v>0.59913090000000002</v>
      </c>
      <c r="F1577" t="s">
        <v>44</v>
      </c>
      <c r="G1577">
        <v>-196.7141</v>
      </c>
      <c r="H1577" s="1">
        <v>-5.7032800000000004E-6</v>
      </c>
      <c r="I1577">
        <v>357.71050000000002</v>
      </c>
      <c r="J1577">
        <v>-199.91739999999999</v>
      </c>
      <c r="K1577">
        <v>1.104149</v>
      </c>
      <c r="L1577">
        <v>363.43950000000001</v>
      </c>
      <c r="M1577">
        <v>0.86345450000000001</v>
      </c>
      <c r="N1577">
        <v>-1.205379E-2</v>
      </c>
      <c r="O1577">
        <v>-0.50428269999999997</v>
      </c>
      <c r="P1577">
        <v>0.61349089999999995</v>
      </c>
      <c r="Q1577">
        <v>0.3095984</v>
      </c>
      <c r="R1577">
        <v>-0.7264834</v>
      </c>
      <c r="S1577">
        <v>1.6821140000000001</v>
      </c>
      <c r="T1577">
        <v>-0.56324240000000003</v>
      </c>
      <c r="U1577">
        <v>-2.9539179999999998</v>
      </c>
      <c r="V1577">
        <v>0.3229321</v>
      </c>
      <c r="W1577">
        <v>0.31534050000000002</v>
      </c>
      <c r="X1577">
        <v>0.89234259999999999</v>
      </c>
      <c r="Y1577">
        <v>0.49930459999999899</v>
      </c>
      <c r="Z1577">
        <v>3.6090579999999997E-2</v>
      </c>
      <c r="AA1577">
        <v>0.86567459999999996</v>
      </c>
      <c r="AB1577">
        <v>21</v>
      </c>
      <c r="AC1577">
        <v>3.2032999999999801</v>
      </c>
      <c r="AD1577">
        <v>-1.1041547032799901</v>
      </c>
      <c r="AE1577">
        <v>-5.7289999999999797</v>
      </c>
      <c r="AF1577">
        <v>3.2399202922285699</v>
      </c>
      <c r="AG1577">
        <v>-1.1041547032799901</v>
      </c>
      <c r="AH1577">
        <v>5.4997183008814297</v>
      </c>
      <c r="AI1577">
        <v>99.813959366046205</v>
      </c>
      <c r="AJ1577">
        <v>59.497380951159997</v>
      </c>
      <c r="AK1577">
        <v>6.4778964562441104</v>
      </c>
      <c r="AL1577">
        <v>71.618630151076303</v>
      </c>
      <c r="AM1577">
        <v>70.105189542486002</v>
      </c>
      <c r="AN1577">
        <v>1.0000000439626999</v>
      </c>
    </row>
    <row r="1578" spans="1:40" x14ac:dyDescent="0.25">
      <c r="A1578" t="str">
        <f>"20190304164845915"</f>
        <v>20190304164845915</v>
      </c>
      <c r="B1578" t="str">
        <f>"1551689325907796"</f>
        <v>1551689325907796</v>
      </c>
      <c r="C1578" t="s">
        <v>40</v>
      </c>
      <c r="D1578">
        <v>5.3168550000000003</v>
      </c>
      <c r="E1578">
        <v>0.59913130000000003</v>
      </c>
      <c r="F1578" t="s">
        <v>44</v>
      </c>
      <c r="G1578">
        <v>-196.66130000000001</v>
      </c>
      <c r="H1578" s="1">
        <v>-5.6673160000000004E-6</v>
      </c>
      <c r="I1578">
        <v>357.6277</v>
      </c>
      <c r="J1578">
        <v>-199.8244</v>
      </c>
      <c r="K1578">
        <v>1.104104</v>
      </c>
      <c r="L1578">
        <v>363.37810000000002</v>
      </c>
      <c r="M1578">
        <v>0.86051650000000002</v>
      </c>
      <c r="N1578">
        <v>-1.203576E-2</v>
      </c>
      <c r="O1578">
        <v>-0.50928070000000003</v>
      </c>
      <c r="P1578">
        <v>0.60824409999999995</v>
      </c>
      <c r="Q1578">
        <v>0.31014039999999998</v>
      </c>
      <c r="R1578">
        <v>-0.73065219999999997</v>
      </c>
      <c r="S1578">
        <v>1.6618649999999999</v>
      </c>
      <c r="T1578">
        <v>-0.56353430000000004</v>
      </c>
      <c r="U1578">
        <v>-2.9662480000000002</v>
      </c>
      <c r="V1578">
        <v>0.32402619999999999</v>
      </c>
      <c r="W1578">
        <v>0.31581510000000002</v>
      </c>
      <c r="X1578">
        <v>0.89177790000000001</v>
      </c>
      <c r="Y1578">
        <v>0.50034780000000001</v>
      </c>
      <c r="Z1578">
        <v>3.691784E-2</v>
      </c>
      <c r="AA1578">
        <v>0.865037099999999</v>
      </c>
      <c r="AB1578">
        <v>21</v>
      </c>
      <c r="AC1578">
        <v>3.16309999999998</v>
      </c>
      <c r="AD1578">
        <v>-1.104109667316</v>
      </c>
      <c r="AE1578">
        <v>-5.7504000000000097</v>
      </c>
      <c r="AF1578">
        <v>3.2457853238386698</v>
      </c>
      <c r="AG1578">
        <v>-1.104109667316</v>
      </c>
      <c r="AH1578">
        <v>5.4953433229754998</v>
      </c>
      <c r="AI1578">
        <v>99.814755548002395</v>
      </c>
      <c r="AJ1578">
        <v>59.432080350237399</v>
      </c>
      <c r="AK1578">
        <v>6.4771119152966996</v>
      </c>
      <c r="AL1578">
        <v>71.5899721538145</v>
      </c>
      <c r="AM1578">
        <v>70.031459823155501</v>
      </c>
      <c r="AN1578">
        <v>0.99999998930142997</v>
      </c>
    </row>
    <row r="1579" spans="1:40" x14ac:dyDescent="0.25">
      <c r="A1579" t="str">
        <f>"20190304164845927"</f>
        <v>20190304164845927</v>
      </c>
      <c r="B1579" t="str">
        <f>"1551689325917555"</f>
        <v>1551689325917555</v>
      </c>
      <c r="C1579" t="s">
        <v>40</v>
      </c>
      <c r="D1579">
        <v>4.9536519999999999</v>
      </c>
      <c r="E1579">
        <v>0.59977279999999999</v>
      </c>
      <c r="F1579" t="s">
        <v>44</v>
      </c>
      <c r="G1579">
        <v>-196.6062</v>
      </c>
      <c r="H1579" s="1">
        <v>-5.6294539999999899E-6</v>
      </c>
      <c r="I1579">
        <v>357.5403</v>
      </c>
      <c r="J1579">
        <v>-199.7296</v>
      </c>
      <c r="K1579">
        <v>1.1040639999999999</v>
      </c>
      <c r="L1579">
        <v>363.3141</v>
      </c>
      <c r="M1579">
        <v>0.85744940000000003</v>
      </c>
      <c r="N1579">
        <v>-1.201955E-2</v>
      </c>
      <c r="O1579">
        <v>-0.51442809999999894</v>
      </c>
      <c r="P1579">
        <v>0.60292979999999996</v>
      </c>
      <c r="Q1579">
        <v>0.31056400000000001</v>
      </c>
      <c r="R1579">
        <v>-0.73486439999999997</v>
      </c>
      <c r="S1579">
        <v>1.641815</v>
      </c>
      <c r="T1579">
        <v>-0.56328440000000002</v>
      </c>
      <c r="U1579">
        <v>-2.9782709999999999</v>
      </c>
      <c r="V1579">
        <v>0.32503490000000002</v>
      </c>
      <c r="W1579">
        <v>0.31617339999999999</v>
      </c>
      <c r="X1579">
        <v>0.89128369999999901</v>
      </c>
      <c r="Y1579">
        <v>0.50114289999999995</v>
      </c>
      <c r="Z1579">
        <v>3.7752800000000003E-2</v>
      </c>
      <c r="AA1579">
        <v>0.86454069999999905</v>
      </c>
      <c r="AB1579">
        <v>21</v>
      </c>
      <c r="AC1579">
        <v>3.1234000000000002</v>
      </c>
      <c r="AD1579">
        <v>-1.104069629454</v>
      </c>
      <c r="AE1579">
        <v>-5.7737999999999898</v>
      </c>
      <c r="AF1579">
        <v>3.2522211136249699</v>
      </c>
      <c r="AG1579">
        <v>-1.104069629454</v>
      </c>
      <c r="AH1579">
        <v>5.4933767835022298</v>
      </c>
      <c r="AI1579">
        <v>99.812020079387693</v>
      </c>
      <c r="AJ1579">
        <v>59.373370145549302</v>
      </c>
      <c r="AK1579">
        <v>6.4786650171244498</v>
      </c>
      <c r="AL1579">
        <v>71.568334001600803</v>
      </c>
      <c r="AM1579">
        <v>69.964010171045999</v>
      </c>
      <c r="AN1579">
        <v>0.99999996948562897</v>
      </c>
    </row>
    <row r="1580" spans="1:40" x14ac:dyDescent="0.25">
      <c r="A1580" t="str">
        <f>"20190304164845938"</f>
        <v>20190304164845938</v>
      </c>
      <c r="B1580" t="str">
        <f>"1551689325927317"</f>
        <v>1551689325927317</v>
      </c>
      <c r="C1580" t="s">
        <v>40</v>
      </c>
      <c r="D1580">
        <v>5.319642</v>
      </c>
      <c r="E1580">
        <v>0.59980359999999999</v>
      </c>
      <c r="F1580" t="s">
        <v>44</v>
      </c>
      <c r="G1580">
        <v>-196.52719999999999</v>
      </c>
      <c r="H1580" s="1">
        <v>-5.5636429999999997E-6</v>
      </c>
      <c r="I1580">
        <v>357.38049999999998</v>
      </c>
      <c r="J1580">
        <v>-199.6446</v>
      </c>
      <c r="K1580">
        <v>1.104028</v>
      </c>
      <c r="L1580">
        <v>363.25639999999999</v>
      </c>
      <c r="M1580">
        <v>0.85466169999999997</v>
      </c>
      <c r="N1580">
        <v>-1.200538E-2</v>
      </c>
      <c r="O1580">
        <v>-0.51904640000000002</v>
      </c>
      <c r="P1580">
        <v>0.59814469999999997</v>
      </c>
      <c r="Q1580">
        <v>0.31135279999999999</v>
      </c>
      <c r="R1580">
        <v>-0.73843289999999995</v>
      </c>
      <c r="S1580">
        <v>1.615097</v>
      </c>
      <c r="T1580">
        <v>-0.55683079999999996</v>
      </c>
      <c r="U1580">
        <v>-2.9925839999999999</v>
      </c>
      <c r="V1580">
        <v>0.32577289999999998</v>
      </c>
      <c r="W1580">
        <v>0.31690570000000001</v>
      </c>
      <c r="X1580">
        <v>0.89075400000000005</v>
      </c>
      <c r="Y1580">
        <v>0.50420329999999902</v>
      </c>
      <c r="Z1580">
        <v>3.7780969999999997E-2</v>
      </c>
      <c r="AA1580">
        <v>0.86275820000000003</v>
      </c>
      <c r="AB1580">
        <v>21</v>
      </c>
      <c r="AC1580">
        <v>3.1173999999999999</v>
      </c>
      <c r="AD1580">
        <v>-1.1040335636429901</v>
      </c>
      <c r="AE1580">
        <v>-5.8758999999999997</v>
      </c>
      <c r="AF1580">
        <v>3.3128121210070498</v>
      </c>
      <c r="AG1580">
        <v>-1.1040335636429901</v>
      </c>
      <c r="AH1580">
        <v>5.5613883144018601</v>
      </c>
      <c r="AI1580">
        <v>99.678758286100006</v>
      </c>
      <c r="AJ1580">
        <v>59.218555815299602</v>
      </c>
      <c r="AK1580">
        <v>6.5667841629146801</v>
      </c>
      <c r="AL1580">
        <v>71.524101417472707</v>
      </c>
      <c r="AM1580">
        <v>69.911163047729303</v>
      </c>
      <c r="AN1580">
        <v>0.99999994679144799</v>
      </c>
    </row>
    <row r="1581" spans="1:40" x14ac:dyDescent="0.25">
      <c r="A1581" t="str">
        <f>"20190304164845947"</f>
        <v>20190304164845947</v>
      </c>
      <c r="B1581" t="str">
        <f>"1551689325938052"</f>
        <v>1551689325938052</v>
      </c>
      <c r="C1581" t="s">
        <v>40</v>
      </c>
      <c r="D1581">
        <v>5.2893350000000003</v>
      </c>
      <c r="E1581">
        <v>0.59990049999999995</v>
      </c>
      <c r="F1581" t="s">
        <v>44</v>
      </c>
      <c r="G1581">
        <v>-196.46979999999999</v>
      </c>
      <c r="H1581" s="1">
        <v>-5.5236519999999997E-6</v>
      </c>
      <c r="I1581">
        <v>357.2878</v>
      </c>
      <c r="J1581">
        <v>-199.56010000000001</v>
      </c>
      <c r="K1581">
        <v>1.1039950000000001</v>
      </c>
      <c r="L1581">
        <v>363.19799999999998</v>
      </c>
      <c r="M1581">
        <v>0.85183449999999905</v>
      </c>
      <c r="N1581">
        <v>-1.199324E-2</v>
      </c>
      <c r="O1581">
        <v>-0.52367370000000002</v>
      </c>
      <c r="P1581">
        <v>0.59336480000000003</v>
      </c>
      <c r="Q1581">
        <v>0.31198130000000002</v>
      </c>
      <c r="R1581">
        <v>-0.74201510000000004</v>
      </c>
      <c r="S1581">
        <v>1.5973660000000001</v>
      </c>
      <c r="T1581">
        <v>-0.55548390000000003</v>
      </c>
      <c r="U1581">
        <v>-3.0030209999999999</v>
      </c>
      <c r="V1581">
        <v>0.32650649999999998</v>
      </c>
      <c r="W1581">
        <v>0.31748090000000001</v>
      </c>
      <c r="X1581">
        <v>0.89028050000000003</v>
      </c>
      <c r="Y1581">
        <v>0.50477419999999995</v>
      </c>
      <c r="Z1581">
        <v>3.8441019999999999E-2</v>
      </c>
      <c r="AA1581">
        <v>0.86239509999999897</v>
      </c>
      <c r="AB1581">
        <v>21</v>
      </c>
      <c r="AC1581">
        <v>3.0903000000000098</v>
      </c>
      <c r="AD1581">
        <v>-1.1040005236520001</v>
      </c>
      <c r="AE1581">
        <v>-5.9102000000000299</v>
      </c>
      <c r="AF1581">
        <v>3.3253310619298402</v>
      </c>
      <c r="AG1581">
        <v>-1.1040005236520001</v>
      </c>
      <c r="AH1581">
        <v>5.5750882713711896</v>
      </c>
      <c r="AI1581">
        <v>99.651882457112094</v>
      </c>
      <c r="AJ1581">
        <v>59.185508501396797</v>
      </c>
      <c r="AK1581">
        <v>6.58469840321027</v>
      </c>
      <c r="AL1581">
        <v>71.489351247557295</v>
      </c>
      <c r="AM1581">
        <v>69.859707611337996</v>
      </c>
      <c r="AN1581">
        <v>0.99999999254365501</v>
      </c>
    </row>
    <row r="1582" spans="1:40" x14ac:dyDescent="0.25">
      <c r="A1582" t="str">
        <f>"20190304164845959"</f>
        <v>20190304164845959</v>
      </c>
      <c r="B1582" t="str">
        <f>"1551689325947812"</f>
        <v>1551689325947812</v>
      </c>
      <c r="C1582" t="s">
        <v>40</v>
      </c>
      <c r="D1582">
        <v>4.941929</v>
      </c>
      <c r="E1582">
        <v>0.60045590000000004</v>
      </c>
      <c r="F1582" t="s">
        <v>44</v>
      </c>
      <c r="G1582">
        <v>-196.41380000000001</v>
      </c>
      <c r="H1582" s="1">
        <v>-5.4832439999999998E-6</v>
      </c>
      <c r="I1582">
        <v>357.19330000000002</v>
      </c>
      <c r="J1582">
        <v>-199.47669999999999</v>
      </c>
      <c r="K1582">
        <v>1.1039669999999999</v>
      </c>
      <c r="L1582">
        <v>363.14</v>
      </c>
      <c r="M1582">
        <v>0.84900560000000003</v>
      </c>
      <c r="N1582">
        <v>-1.198106E-2</v>
      </c>
      <c r="O1582">
        <v>-0.52824799999999905</v>
      </c>
      <c r="P1582">
        <v>0.58854700000000004</v>
      </c>
      <c r="Q1582">
        <v>0.31265850000000001</v>
      </c>
      <c r="R1582">
        <v>-0.74555890000000002</v>
      </c>
      <c r="S1582">
        <v>1.5789029999999999</v>
      </c>
      <c r="T1582">
        <v>-0.55401409999999995</v>
      </c>
      <c r="U1582">
        <v>-3.0133359999999998</v>
      </c>
      <c r="V1582">
        <v>0.3272814</v>
      </c>
      <c r="W1582">
        <v>0.31810440000000001</v>
      </c>
      <c r="X1582">
        <v>0.88977329999999999</v>
      </c>
      <c r="Y1582">
        <v>0.50552730000000001</v>
      </c>
      <c r="Z1582">
        <v>3.9066660000000003E-2</v>
      </c>
      <c r="AA1582">
        <v>0.86192569999999902</v>
      </c>
      <c r="AB1582">
        <v>21</v>
      </c>
      <c r="AC1582">
        <v>3.06289999999998</v>
      </c>
      <c r="AD1582">
        <v>-1.1039724832440001</v>
      </c>
      <c r="AE1582">
        <v>-5.9466999999999599</v>
      </c>
      <c r="AF1582">
        <v>3.3400798246959398</v>
      </c>
      <c r="AG1582">
        <v>-1.1039724832440001</v>
      </c>
      <c r="AH1582">
        <v>5.58990567991549</v>
      </c>
      <c r="AI1582">
        <v>99.622141974171299</v>
      </c>
      <c r="AJ1582">
        <v>59.140842991623302</v>
      </c>
      <c r="AK1582">
        <v>6.6046903023118597</v>
      </c>
      <c r="AL1582">
        <v>71.451674775272394</v>
      </c>
      <c r="AM1582">
        <v>69.805185786931702</v>
      </c>
      <c r="AN1582">
        <v>1.0000000247391001</v>
      </c>
    </row>
    <row r="1583" spans="1:40" x14ac:dyDescent="0.25">
      <c r="A1583" t="str">
        <f>"20190304164845971"</f>
        <v>20190304164845971</v>
      </c>
      <c r="B1583" t="str">
        <f>"1551689325967332"</f>
        <v>1551689325967332</v>
      </c>
      <c r="C1583" t="s">
        <v>40</v>
      </c>
      <c r="D1583">
        <v>5.2867499999999996</v>
      </c>
      <c r="E1583">
        <v>0.60053179999999995</v>
      </c>
      <c r="F1583" t="s">
        <v>44</v>
      </c>
      <c r="G1583">
        <v>-196.33699999999999</v>
      </c>
      <c r="H1583" s="1">
        <v>-5.4182920000000001E-6</v>
      </c>
      <c r="I1583">
        <v>357.0351</v>
      </c>
      <c r="J1583">
        <v>-199.37799999999999</v>
      </c>
      <c r="K1583">
        <v>1.1039270000000001</v>
      </c>
      <c r="L1583">
        <v>363.0702</v>
      </c>
      <c r="M1583">
        <v>0.84559119999999999</v>
      </c>
      <c r="N1583">
        <v>-1.1966549999999999E-2</v>
      </c>
      <c r="O1583">
        <v>-0.53369709999999904</v>
      </c>
      <c r="P1583">
        <v>0.58315030000000001</v>
      </c>
      <c r="Q1583">
        <v>0.3132527</v>
      </c>
      <c r="R1583">
        <v>-0.74953910000000001</v>
      </c>
      <c r="S1583">
        <v>1.5557859999999999</v>
      </c>
      <c r="T1583">
        <v>-0.54703310000000005</v>
      </c>
      <c r="U1583">
        <v>-3.025055</v>
      </c>
      <c r="V1583">
        <v>0.32781189999999999</v>
      </c>
      <c r="W1583">
        <v>0.3186446</v>
      </c>
      <c r="X1583">
        <v>0.88938459999999997</v>
      </c>
      <c r="Y1583">
        <v>0.5066001</v>
      </c>
      <c r="Z1583">
        <v>3.9348370000000001E-2</v>
      </c>
      <c r="AA1583">
        <v>0.86128280000000002</v>
      </c>
      <c r="AB1583">
        <v>21</v>
      </c>
      <c r="AC1583">
        <v>3.04099999999996</v>
      </c>
      <c r="AD1583">
        <v>-1.1039324182920001</v>
      </c>
      <c r="AE1583">
        <v>-6.0350999999999999</v>
      </c>
      <c r="AF1583">
        <v>3.3900429947964299</v>
      </c>
      <c r="AG1583">
        <v>-1.1039324182920001</v>
      </c>
      <c r="AH1583">
        <v>5.6422146625523597</v>
      </c>
      <c r="AI1583">
        <v>99.520568488309706</v>
      </c>
      <c r="AJ1583">
        <v>59.001056506998303</v>
      </c>
      <c r="AK1583">
        <v>6.6742523618039202</v>
      </c>
      <c r="AL1583">
        <v>71.419024070077299</v>
      </c>
      <c r="AM1583">
        <v>69.766979207582906</v>
      </c>
      <c r="AN1583">
        <v>0.99999999480396495</v>
      </c>
    </row>
    <row r="1584" spans="1:40" x14ac:dyDescent="0.25">
      <c r="A1584" t="str">
        <f>"20190304164845983"</f>
        <v>20190304164845983</v>
      </c>
      <c r="B1584" t="str">
        <f>"1551689325977092"</f>
        <v>1551689325977092</v>
      </c>
      <c r="C1584" t="s">
        <v>40</v>
      </c>
      <c r="D1584">
        <v>5.2728640000000002</v>
      </c>
      <c r="E1584">
        <v>0.60052450000000002</v>
      </c>
      <c r="F1584" t="s">
        <v>44</v>
      </c>
      <c r="G1584">
        <v>-196.27879999999999</v>
      </c>
      <c r="H1584" s="1">
        <v>-5.376457E-6</v>
      </c>
      <c r="I1584">
        <v>356.93720000000002</v>
      </c>
      <c r="J1584">
        <v>-199.2851</v>
      </c>
      <c r="K1584">
        <v>1.103896</v>
      </c>
      <c r="L1584">
        <v>363.00360000000001</v>
      </c>
      <c r="M1584">
        <v>0.84231469999999897</v>
      </c>
      <c r="N1584">
        <v>-1.195241E-2</v>
      </c>
      <c r="O1584">
        <v>-0.53885329999999998</v>
      </c>
      <c r="P1584">
        <v>0.57801000000000002</v>
      </c>
      <c r="Q1584">
        <v>0.31378850000000003</v>
      </c>
      <c r="R1584">
        <v>-0.75328709999999999</v>
      </c>
      <c r="S1584">
        <v>1.534653</v>
      </c>
      <c r="T1584">
        <v>-0.54665090000000005</v>
      </c>
      <c r="U1584">
        <v>-3.0369570000000001</v>
      </c>
      <c r="V1584">
        <v>0.32830949999999998</v>
      </c>
      <c r="W1584">
        <v>0.31912950000000001</v>
      </c>
      <c r="X1584">
        <v>0.88902709999999996</v>
      </c>
      <c r="Y1584">
        <v>0.50750189999999995</v>
      </c>
      <c r="Z1584">
        <v>4.0142320000000002E-2</v>
      </c>
      <c r="AA1584">
        <v>0.86071500000000001</v>
      </c>
      <c r="AB1584">
        <v>21</v>
      </c>
      <c r="AC1584">
        <v>3.0063</v>
      </c>
      <c r="AD1584">
        <v>-1.103901376457</v>
      </c>
      <c r="AE1584">
        <v>-6.0663999999999803</v>
      </c>
      <c r="AF1584">
        <v>3.3997334139022999</v>
      </c>
      <c r="AG1584">
        <v>-1.103901376457</v>
      </c>
      <c r="AH1584">
        <v>5.6513288375271804</v>
      </c>
      <c r="AI1584">
        <v>99.502159678483494</v>
      </c>
      <c r="AJ1584">
        <v>58.9696734517319</v>
      </c>
      <c r="AK1584">
        <v>6.6868754410721403</v>
      </c>
      <c r="AL1584">
        <v>71.389710608813502</v>
      </c>
      <c r="AM1584">
        <v>69.731277377167203</v>
      </c>
      <c r="AN1584">
        <v>0.99999997504745397</v>
      </c>
    </row>
    <row r="1585" spans="1:40" x14ac:dyDescent="0.25">
      <c r="A1585" t="str">
        <f>"20190304164845995"</f>
        <v>20190304164845995</v>
      </c>
      <c r="B1585" t="str">
        <f>"1551689325987828"</f>
        <v>1551689325987828</v>
      </c>
      <c r="C1585" t="s">
        <v>40</v>
      </c>
      <c r="D1585">
        <v>5.2999029999999996</v>
      </c>
      <c r="E1585">
        <v>0.60034919999999903</v>
      </c>
      <c r="F1585" t="s">
        <v>44</v>
      </c>
      <c r="G1585">
        <v>-196.22110000000001</v>
      </c>
      <c r="H1585" s="1">
        <v>-5.3342429999999998E-6</v>
      </c>
      <c r="I1585">
        <v>356.83800000000002</v>
      </c>
      <c r="J1585">
        <v>-199.19059999999999</v>
      </c>
      <c r="K1585">
        <v>1.1038589999999999</v>
      </c>
      <c r="L1585">
        <v>362.93520000000001</v>
      </c>
      <c r="M1585">
        <v>0.838933499999999</v>
      </c>
      <c r="N1585">
        <v>-1.193758E-2</v>
      </c>
      <c r="O1585">
        <v>-0.54410340000000001</v>
      </c>
      <c r="P1585">
        <v>0.5728993</v>
      </c>
      <c r="Q1585">
        <v>0.31407590000000002</v>
      </c>
      <c r="R1585">
        <v>-0.75706249999999997</v>
      </c>
      <c r="S1585">
        <v>1.514572</v>
      </c>
      <c r="T1585">
        <v>-0.54567710000000003</v>
      </c>
      <c r="U1585">
        <v>-3.0477289999999999</v>
      </c>
      <c r="V1585">
        <v>0.32870500000000002</v>
      </c>
      <c r="W1585">
        <v>0.31936940000000003</v>
      </c>
      <c r="X1585">
        <v>0.8887948</v>
      </c>
      <c r="Y1585">
        <v>0.50792420000000005</v>
      </c>
      <c r="Z1585">
        <v>4.0949060000000002E-2</v>
      </c>
      <c r="AA1585">
        <v>0.86042790000000002</v>
      </c>
      <c r="AB1585">
        <v>21</v>
      </c>
      <c r="AC1585">
        <v>2.96949999999998</v>
      </c>
      <c r="AD1585">
        <v>-1.1038643342429999</v>
      </c>
      <c r="AE1585">
        <v>-6.0971999999999804</v>
      </c>
      <c r="AF1585">
        <v>3.4093546259923699</v>
      </c>
      <c r="AG1585">
        <v>-1.1038643342429999</v>
      </c>
      <c r="AH1585">
        <v>5.6592032738990996</v>
      </c>
      <c r="AI1585">
        <v>99.485313851860795</v>
      </c>
      <c r="AJ1585">
        <v>58.933378938061502</v>
      </c>
      <c r="AK1585">
        <v>6.6984175093449903</v>
      </c>
      <c r="AL1585">
        <v>71.375206711741399</v>
      </c>
      <c r="AM1585">
        <v>69.703979668176302</v>
      </c>
      <c r="AN1585">
        <v>0.9999999935942</v>
      </c>
    </row>
    <row r="1586" spans="1:40" x14ac:dyDescent="0.25">
      <c r="A1586" t="str">
        <f>"20190304164846005"</f>
        <v>20190304164846005</v>
      </c>
      <c r="B1586" t="str">
        <f>"1551689325997588"</f>
        <v>1551689325997588</v>
      </c>
      <c r="C1586" t="s">
        <v>40</v>
      </c>
      <c r="D1586">
        <v>5.3139909999999997</v>
      </c>
      <c r="E1586">
        <v>0.6003271</v>
      </c>
      <c r="F1586" t="s">
        <v>44</v>
      </c>
      <c r="G1586">
        <v>-196.17449999999999</v>
      </c>
      <c r="H1586" s="1">
        <v>-5.3035839999999999E-6</v>
      </c>
      <c r="I1586">
        <v>356.76819999999998</v>
      </c>
      <c r="J1586">
        <v>-199.1062</v>
      </c>
      <c r="K1586">
        <v>1.1038269999999999</v>
      </c>
      <c r="L1586">
        <v>362.87279999999998</v>
      </c>
      <c r="M1586">
        <v>0.83584380000000003</v>
      </c>
      <c r="N1586">
        <v>-1.192522E-2</v>
      </c>
      <c r="O1586">
        <v>-0.5488381</v>
      </c>
      <c r="P1586">
        <v>0.5683916</v>
      </c>
      <c r="Q1586">
        <v>0.31400409999999901</v>
      </c>
      <c r="R1586">
        <v>-0.760482199999999</v>
      </c>
      <c r="S1586">
        <v>1.4955750000000001</v>
      </c>
      <c r="T1586">
        <v>-0.54737000000000002</v>
      </c>
      <c r="U1586">
        <v>-3.058014</v>
      </c>
      <c r="V1586">
        <v>0.32900469999999998</v>
      </c>
      <c r="W1586">
        <v>0.31926009999999999</v>
      </c>
      <c r="X1586">
        <v>0.88872320000000005</v>
      </c>
      <c r="Y1586">
        <v>0.50853879999999996</v>
      </c>
      <c r="Z1586">
        <v>4.1887050000000002E-2</v>
      </c>
      <c r="AA1586">
        <v>0.86001970000000005</v>
      </c>
      <c r="AB1586">
        <v>21</v>
      </c>
      <c r="AC1586">
        <v>2.9317000000000002</v>
      </c>
      <c r="AD1586">
        <v>-1.1038323035840001</v>
      </c>
      <c r="AE1586">
        <v>-6.1045999999999996</v>
      </c>
      <c r="AF1586">
        <v>3.4032918201919098</v>
      </c>
      <c r="AG1586">
        <v>-1.1038323035840001</v>
      </c>
      <c r="AH1586">
        <v>5.6511508231904397</v>
      </c>
      <c r="AI1586">
        <v>99.499196717749896</v>
      </c>
      <c r="AJ1586">
        <v>58.9423931690744</v>
      </c>
      <c r="AK1586">
        <v>6.6885234988199596</v>
      </c>
      <c r="AL1586">
        <v>71.3818155139966</v>
      </c>
      <c r="AM1586">
        <v>69.685483289814002</v>
      </c>
      <c r="AN1586">
        <v>1.0000000151461601</v>
      </c>
    </row>
    <row r="1587" spans="1:40" x14ac:dyDescent="0.25">
      <c r="A1587" t="str">
        <f>"20190304164846025"</f>
        <v>20190304164846025</v>
      </c>
      <c r="B1587" t="str">
        <f>"1551689326017107"</f>
        <v>1551689326017107</v>
      </c>
      <c r="C1587" t="s">
        <v>40</v>
      </c>
      <c r="D1587">
        <v>5.2695809999999996</v>
      </c>
      <c r="E1587">
        <v>0.60011049999999999</v>
      </c>
      <c r="F1587" t="s">
        <v>44</v>
      </c>
      <c r="G1587">
        <v>-196.13239999999999</v>
      </c>
      <c r="H1587" s="1">
        <v>-5.2734780000000002E-6</v>
      </c>
      <c r="I1587">
        <v>356.6979</v>
      </c>
      <c r="J1587">
        <v>-198.9546</v>
      </c>
      <c r="K1587">
        <v>1.1037709999999901</v>
      </c>
      <c r="L1587">
        <v>362.75940000000003</v>
      </c>
      <c r="M1587">
        <v>0.83018959999999997</v>
      </c>
      <c r="N1587">
        <v>-1.190426E-2</v>
      </c>
      <c r="O1587">
        <v>-0.55735419999999902</v>
      </c>
      <c r="P1587">
        <v>0.56011169999999899</v>
      </c>
      <c r="Q1587">
        <v>0.3131428</v>
      </c>
      <c r="R1587">
        <v>-0.76695309999999906</v>
      </c>
      <c r="S1587">
        <v>1.4771270000000001</v>
      </c>
      <c r="T1587">
        <v>-0.54830100000000004</v>
      </c>
      <c r="U1587">
        <v>-3.0672299999999999</v>
      </c>
      <c r="V1587">
        <v>0.32986959999999999</v>
      </c>
      <c r="W1587">
        <v>0.31833220000000001</v>
      </c>
      <c r="X1587">
        <v>0.88873539999999995</v>
      </c>
      <c r="Y1587">
        <v>0.50504599999999999</v>
      </c>
      <c r="Z1587">
        <v>4.3817010000000003E-2</v>
      </c>
      <c r="AA1587">
        <v>0.86197950000000001</v>
      </c>
      <c r="AB1587">
        <v>21</v>
      </c>
      <c r="AC1587">
        <v>2.8222</v>
      </c>
      <c r="AD1587">
        <v>-1.1037762734779999</v>
      </c>
      <c r="AE1587">
        <v>-6.0615000000000201</v>
      </c>
      <c r="AF1587">
        <v>3.3676991693264799</v>
      </c>
      <c r="AG1587">
        <v>-1.1037762734779999</v>
      </c>
      <c r="AH1587">
        <v>5.5699781741184404</v>
      </c>
      <c r="AI1587">
        <v>99.624599126082799</v>
      </c>
      <c r="AJ1587">
        <v>58.842161435625499</v>
      </c>
      <c r="AK1587">
        <v>6.60184645513141</v>
      </c>
      <c r="AL1587">
        <v>71.437906198686704</v>
      </c>
      <c r="AM1587">
        <v>69.636716218262606</v>
      </c>
      <c r="AN1587">
        <v>0.99999997688707898</v>
      </c>
    </row>
    <row r="1588" spans="1:40" x14ac:dyDescent="0.25">
      <c r="A1588" t="str">
        <f>"20190304164846039"</f>
        <v>20190304164846039</v>
      </c>
      <c r="B1588" t="str">
        <f>"1551689326027844"</f>
        <v>1551689326027844</v>
      </c>
      <c r="C1588" t="s">
        <v>40</v>
      </c>
      <c r="D1588">
        <v>5.2715509999999997</v>
      </c>
      <c r="E1588">
        <v>0.59991530000000004</v>
      </c>
      <c r="F1588" t="s">
        <v>44</v>
      </c>
      <c r="G1588">
        <v>-196.08070000000001</v>
      </c>
      <c r="H1588" s="1">
        <v>-5.2400349999999997E-6</v>
      </c>
      <c r="I1588">
        <v>356.62209999999999</v>
      </c>
      <c r="J1588">
        <v>-198.84880000000001</v>
      </c>
      <c r="K1588">
        <v>1.1037399999999999</v>
      </c>
      <c r="L1588">
        <v>362.6789</v>
      </c>
      <c r="M1588">
        <v>0.82615439999999996</v>
      </c>
      <c r="N1588">
        <v>-1.189015E-2</v>
      </c>
      <c r="O1588">
        <v>-0.5633184</v>
      </c>
      <c r="P1588">
        <v>0.55447760000000001</v>
      </c>
      <c r="Q1588">
        <v>0.31255500000000003</v>
      </c>
      <c r="R1588">
        <v>-0.77127460000000003</v>
      </c>
      <c r="S1588">
        <v>1.4439090000000001</v>
      </c>
      <c r="T1588">
        <v>-0.55456070000000002</v>
      </c>
      <c r="U1588">
        <v>-3.0834959999999998</v>
      </c>
      <c r="V1588">
        <v>0.33018789999999998</v>
      </c>
      <c r="W1588">
        <v>0.31770789999999999</v>
      </c>
      <c r="X1588">
        <v>0.88884059999999898</v>
      </c>
      <c r="Y1588">
        <v>0.50819179999999997</v>
      </c>
      <c r="Z1588">
        <v>4.5218149999999999E-2</v>
      </c>
      <c r="AA1588">
        <v>0.86005609999999999</v>
      </c>
      <c r="AB1588">
        <v>21</v>
      </c>
      <c r="AC1588">
        <v>2.7681</v>
      </c>
      <c r="AD1588">
        <v>-1.1037452400350001</v>
      </c>
      <c r="AE1588">
        <v>-6.0568000000000097</v>
      </c>
      <c r="AF1588">
        <v>3.3526730278480499</v>
      </c>
      <c r="AG1588">
        <v>-1.1037452400350001</v>
      </c>
      <c r="AH1588">
        <v>5.5468120921211099</v>
      </c>
      <c r="AI1588">
        <v>99.664544453473496</v>
      </c>
      <c r="AJ1588">
        <v>58.849874253325297</v>
      </c>
      <c r="AK1588">
        <v>6.57463264159</v>
      </c>
      <c r="AL1588">
        <v>71.475634834885497</v>
      </c>
      <c r="AM1588">
        <v>69.620896464732397</v>
      </c>
      <c r="AN1588">
        <v>0.99999998561858905</v>
      </c>
    </row>
    <row r="1589" spans="1:40" x14ac:dyDescent="0.25">
      <c r="A1589" t="str">
        <f>"20190304164846060"</f>
        <v>20190304164846060</v>
      </c>
      <c r="B1589" t="str">
        <f>"1551689326047364"</f>
        <v>1551689326047364</v>
      </c>
      <c r="C1589" t="s">
        <v>40</v>
      </c>
      <c r="D1589">
        <v>5.2460820000000004</v>
      </c>
      <c r="E1589">
        <v>0.59971989999999997</v>
      </c>
      <c r="F1589" t="s">
        <v>44</v>
      </c>
      <c r="G1589">
        <v>-196.0429</v>
      </c>
      <c r="H1589" s="1">
        <v>-5.2162140000000001E-6</v>
      </c>
      <c r="I1589">
        <v>356.57139999999998</v>
      </c>
      <c r="J1589">
        <v>-198.69300000000001</v>
      </c>
      <c r="K1589">
        <v>1.103694</v>
      </c>
      <c r="L1589">
        <v>362.55790000000002</v>
      </c>
      <c r="M1589">
        <v>0.82006460000000003</v>
      </c>
      <c r="N1589">
        <v>-1.186738E-2</v>
      </c>
      <c r="O1589">
        <v>-0.5721482</v>
      </c>
      <c r="P1589">
        <v>0.54588440000000005</v>
      </c>
      <c r="Q1589">
        <v>0.31215989999999999</v>
      </c>
      <c r="R1589">
        <v>-0.77753930000000004</v>
      </c>
      <c r="S1589">
        <v>1.4215850000000001</v>
      </c>
      <c r="T1589">
        <v>-0.55919379999999996</v>
      </c>
      <c r="U1589">
        <v>-3.0942690000000002</v>
      </c>
      <c r="V1589">
        <v>0.33066479999999998</v>
      </c>
      <c r="W1589">
        <v>0.31726070000000001</v>
      </c>
      <c r="X1589">
        <v>0.88882299999999903</v>
      </c>
      <c r="Y1589">
        <v>0.50530399999999998</v>
      </c>
      <c r="Z1589">
        <v>4.7556380000000002E-2</v>
      </c>
      <c r="AA1589">
        <v>0.86162999999999901</v>
      </c>
      <c r="AB1589">
        <v>21</v>
      </c>
      <c r="AC1589">
        <v>2.6500999999999801</v>
      </c>
      <c r="AD1589">
        <v>-1.103699216214</v>
      </c>
      <c r="AE1589">
        <v>-5.9865000000000297</v>
      </c>
      <c r="AF1589">
        <v>3.2995297228514202</v>
      </c>
      <c r="AG1589">
        <v>-1.103699216214</v>
      </c>
      <c r="AH1589">
        <v>5.4440861552982103</v>
      </c>
      <c r="AI1589">
        <v>99.835946181245305</v>
      </c>
      <c r="AJ1589">
        <v>58.7809540023393</v>
      </c>
      <c r="AK1589">
        <v>6.4608917664793797</v>
      </c>
      <c r="AL1589">
        <v>71.502654653192593</v>
      </c>
      <c r="AM1589">
        <v>69.593516722539505</v>
      </c>
      <c r="AN1589">
        <v>0.99999994352626298</v>
      </c>
    </row>
    <row r="1590" spans="1:40" x14ac:dyDescent="0.25">
      <c r="A1590" t="str">
        <f>"20190304164846072"</f>
        <v>20190304164846072</v>
      </c>
      <c r="B1590" t="str">
        <f>"1551689326067860"</f>
        <v>1551689326067860</v>
      </c>
      <c r="C1590" t="s">
        <v>40</v>
      </c>
      <c r="D1590">
        <v>5.2357670000000001</v>
      </c>
      <c r="E1590">
        <v>0.59953469999999998</v>
      </c>
      <c r="F1590" t="s">
        <v>44</v>
      </c>
      <c r="G1590">
        <v>-195.9734</v>
      </c>
      <c r="H1590" s="1">
        <v>-5.1476090000000001E-6</v>
      </c>
      <c r="I1590">
        <v>356.4572</v>
      </c>
      <c r="J1590">
        <v>-198.59379999999999</v>
      </c>
      <c r="K1590">
        <v>1.103672</v>
      </c>
      <c r="L1590">
        <v>362.4794</v>
      </c>
      <c r="M1590">
        <v>0.81610280000000002</v>
      </c>
      <c r="N1590">
        <v>-1.1851209999999999E-2</v>
      </c>
      <c r="O1590">
        <v>-0.57778549999999995</v>
      </c>
      <c r="P1590">
        <v>0.54032250000000004</v>
      </c>
      <c r="Q1590">
        <v>0.31181940000000002</v>
      </c>
      <c r="R1590">
        <v>-0.78155019999999997</v>
      </c>
      <c r="S1590">
        <v>1.3867339999999999</v>
      </c>
      <c r="T1590">
        <v>-0.56277349999999904</v>
      </c>
      <c r="U1590">
        <v>-3.1107179999999999</v>
      </c>
      <c r="V1590">
        <v>0.33099899999999999</v>
      </c>
      <c r="W1590">
        <v>0.31688899999999998</v>
      </c>
      <c r="X1590">
        <v>0.88883129999999999</v>
      </c>
      <c r="Y1590">
        <v>0.50910119999999903</v>
      </c>
      <c r="Z1590">
        <v>4.8622310000000002E-2</v>
      </c>
      <c r="AA1590">
        <v>0.85933230000000005</v>
      </c>
      <c r="AB1590">
        <v>21</v>
      </c>
      <c r="AC1590">
        <v>2.6203999999999801</v>
      </c>
      <c r="AD1590">
        <v>-1.1036771476089999</v>
      </c>
      <c r="AE1590">
        <v>-6.02219999999999</v>
      </c>
      <c r="AF1590">
        <v>3.3075373553591998</v>
      </c>
      <c r="AG1590">
        <v>-1.1036771476089999</v>
      </c>
      <c r="AH1590">
        <v>5.46413992060765</v>
      </c>
      <c r="AI1590">
        <v>99.8035888516347</v>
      </c>
      <c r="AJ1590">
        <v>58.812763216608403</v>
      </c>
      <c r="AK1590">
        <v>6.4818771721800701</v>
      </c>
      <c r="AL1590">
        <v>71.525111808881604</v>
      </c>
      <c r="AM1590">
        <v>69.574769818220403</v>
      </c>
      <c r="AN1590">
        <v>1.0000000280908401</v>
      </c>
    </row>
    <row r="1591" spans="1:40" x14ac:dyDescent="0.25">
      <c r="A1591" t="str">
        <f>"20190304164846084"</f>
        <v>20190304164846084</v>
      </c>
      <c r="B1591" t="str">
        <f>"1551689326077620"</f>
        <v>1551689326077620</v>
      </c>
      <c r="C1591" t="s">
        <v>40</v>
      </c>
      <c r="D1591">
        <v>5.2638389999999999</v>
      </c>
      <c r="E1591">
        <v>0.59938880000000005</v>
      </c>
      <c r="F1591" t="s">
        <v>44</v>
      </c>
      <c r="G1591">
        <v>-195.9349</v>
      </c>
      <c r="H1591" s="1">
        <v>-5.1129419999999997E-6</v>
      </c>
      <c r="I1591">
        <v>356.40109999999999</v>
      </c>
      <c r="J1591">
        <v>-198.50020000000001</v>
      </c>
      <c r="K1591">
        <v>1.10365</v>
      </c>
      <c r="L1591">
        <v>362.4042</v>
      </c>
      <c r="M1591">
        <v>0.81230459999999904</v>
      </c>
      <c r="N1591">
        <v>-1.1835729999999999E-2</v>
      </c>
      <c r="O1591">
        <v>-0.5831134</v>
      </c>
      <c r="P1591">
        <v>0.53534619999999999</v>
      </c>
      <c r="Q1591">
        <v>0.31146620000000003</v>
      </c>
      <c r="R1591">
        <v>-0.78510749999999996</v>
      </c>
      <c r="S1591">
        <v>1.3651120000000001</v>
      </c>
      <c r="T1591">
        <v>-0.5666542</v>
      </c>
      <c r="U1591">
        <v>-3.1207579999999999</v>
      </c>
      <c r="V1591">
        <v>0.33094420000000002</v>
      </c>
      <c r="W1591">
        <v>0.3165172</v>
      </c>
      <c r="X1591">
        <v>0.88898410000000005</v>
      </c>
      <c r="Y1591">
        <v>0.50951469999999999</v>
      </c>
      <c r="Z1591">
        <v>4.9981030000000003E-2</v>
      </c>
      <c r="AA1591">
        <v>0.85900909999999997</v>
      </c>
      <c r="AB1591">
        <v>21</v>
      </c>
      <c r="AC1591">
        <v>2.5653000000000001</v>
      </c>
      <c r="AD1591">
        <v>-1.103655112942</v>
      </c>
      <c r="AE1591">
        <v>-6.0031000000000097</v>
      </c>
      <c r="AF1591">
        <v>3.2867828058450499</v>
      </c>
      <c r="AG1591">
        <v>-1.103655112942</v>
      </c>
      <c r="AH1591">
        <v>5.4295045482762099</v>
      </c>
      <c r="AI1591">
        <v>99.8645426684066</v>
      </c>
      <c r="AJ1591">
        <v>58.8111349912881</v>
      </c>
      <c r="AK1591">
        <v>6.44208937076115</v>
      </c>
      <c r="AL1591">
        <v>71.547569251520201</v>
      </c>
      <c r="AM1591">
        <v>69.5810925862597</v>
      </c>
      <c r="AN1591">
        <v>0.99999996573114402</v>
      </c>
    </row>
    <row r="1592" spans="1:40" x14ac:dyDescent="0.25">
      <c r="A1592" t="str">
        <f>"20190304164846102"</f>
        <v>20190304164846102</v>
      </c>
      <c r="B1592" t="str">
        <f>"1551689326097140"</f>
        <v>1551689326097140</v>
      </c>
      <c r="C1592" t="s">
        <v>40</v>
      </c>
      <c r="D1592">
        <v>5.2298809999999998</v>
      </c>
      <c r="E1592">
        <v>0.599329</v>
      </c>
      <c r="F1592" t="s">
        <v>44</v>
      </c>
      <c r="G1592">
        <v>-195.89240000000001</v>
      </c>
      <c r="H1592" s="1">
        <v>-5.0723660000000003E-6</v>
      </c>
      <c r="I1592">
        <v>356.33420000000001</v>
      </c>
      <c r="J1592">
        <v>-198.36429999999999</v>
      </c>
      <c r="K1592">
        <v>1.1036269999999999</v>
      </c>
      <c r="L1592">
        <v>362.29349999999999</v>
      </c>
      <c r="M1592">
        <v>0.80668890000000004</v>
      </c>
      <c r="N1592">
        <v>-1.181375E-2</v>
      </c>
      <c r="O1592">
        <v>-0.59085849999999995</v>
      </c>
      <c r="P1592">
        <v>0.52882109999999904</v>
      </c>
      <c r="Q1592">
        <v>0.3103031</v>
      </c>
      <c r="R1592">
        <v>-0.78997530000000005</v>
      </c>
      <c r="S1592">
        <v>1.344711</v>
      </c>
      <c r="T1592">
        <v>-0.56909509999999996</v>
      </c>
      <c r="U1592">
        <v>-3.1299739999999998</v>
      </c>
      <c r="V1592">
        <v>0.33015889999999998</v>
      </c>
      <c r="W1592">
        <v>0.31534770000000001</v>
      </c>
      <c r="X1592">
        <v>0.88969149999999997</v>
      </c>
      <c r="Y1592">
        <v>0.50701079999999998</v>
      </c>
      <c r="Z1592">
        <v>5.192811E-2</v>
      </c>
      <c r="AA1592">
        <v>0.86037399999999997</v>
      </c>
      <c r="AB1592">
        <v>21</v>
      </c>
      <c r="AC1592">
        <v>2.47189999999997</v>
      </c>
      <c r="AD1592">
        <v>-1.103632072366</v>
      </c>
      <c r="AE1592">
        <v>-5.9592999999999803</v>
      </c>
      <c r="AF1592">
        <v>3.2518346797905502</v>
      </c>
      <c r="AG1592">
        <v>-1.103632072366</v>
      </c>
      <c r="AH1592">
        <v>5.3587321663159999</v>
      </c>
      <c r="AI1592">
        <v>99.985618211669802</v>
      </c>
      <c r="AJ1592">
        <v>58.7494047242539</v>
      </c>
      <c r="AK1592">
        <v>6.3646243381799996</v>
      </c>
      <c r="AL1592">
        <v>71.618194950164593</v>
      </c>
      <c r="AM1592">
        <v>69.640427867895198</v>
      </c>
      <c r="AN1592">
        <v>1.0000000181583699</v>
      </c>
    </row>
    <row r="1593" spans="1:40" x14ac:dyDescent="0.25">
      <c r="A1593" t="str">
        <f>"20190304164846113"</f>
        <v>20190304164846113</v>
      </c>
      <c r="B1593" t="str">
        <f>"1551689326107877"</f>
        <v>1551689326107877</v>
      </c>
      <c r="C1593" t="s">
        <v>40</v>
      </c>
      <c r="D1593">
        <v>5.2230930000000004</v>
      </c>
      <c r="E1593">
        <v>0.5992944</v>
      </c>
      <c r="F1593" t="s">
        <v>44</v>
      </c>
      <c r="G1593">
        <v>-195.83240000000001</v>
      </c>
      <c r="H1593" s="1">
        <v>-5.0115850000000002E-6</v>
      </c>
      <c r="I1593">
        <v>356.23230000000001</v>
      </c>
      <c r="J1593">
        <v>-198.27889999999999</v>
      </c>
      <c r="K1593">
        <v>1.1036239999999999</v>
      </c>
      <c r="L1593">
        <v>362.22289999999998</v>
      </c>
      <c r="M1593">
        <v>0.80310289999999995</v>
      </c>
      <c r="N1593">
        <v>-1.180051E-2</v>
      </c>
      <c r="O1593">
        <v>-0.59572360000000002</v>
      </c>
      <c r="P1593">
        <v>0.52487669999999997</v>
      </c>
      <c r="Q1593">
        <v>0.3091275</v>
      </c>
      <c r="R1593">
        <v>-0.7930604</v>
      </c>
      <c r="S1593">
        <v>1.31311</v>
      </c>
      <c r="T1593">
        <v>-0.57236229999999999</v>
      </c>
      <c r="U1593">
        <v>-3.143402</v>
      </c>
      <c r="V1593">
        <v>0.32956429999999998</v>
      </c>
      <c r="W1593">
        <v>0.31417450000000002</v>
      </c>
      <c r="X1593">
        <v>0.89032670000000003</v>
      </c>
      <c r="Y1593">
        <v>0.51046659999999999</v>
      </c>
      <c r="Z1593">
        <v>5.2901160000000003E-2</v>
      </c>
      <c r="AA1593">
        <v>0.8582687</v>
      </c>
      <c r="AB1593">
        <v>21</v>
      </c>
      <c r="AC1593">
        <v>2.4464999999999799</v>
      </c>
      <c r="AD1593">
        <v>-1.103629011585</v>
      </c>
      <c r="AE1593">
        <v>-5.9905999999999704</v>
      </c>
      <c r="AF1593">
        <v>3.2590636956607502</v>
      </c>
      <c r="AG1593">
        <v>-1.103629011585</v>
      </c>
      <c r="AH1593">
        <v>5.3774966989198703</v>
      </c>
      <c r="AI1593">
        <v>99.9547884073815</v>
      </c>
      <c r="AJ1593">
        <v>58.781793706095499</v>
      </c>
      <c r="AK1593">
        <v>6.3841180999790499</v>
      </c>
      <c r="AL1593">
        <v>71.689012520986793</v>
      </c>
      <c r="AM1593">
        <v>69.687408441499201</v>
      </c>
      <c r="AN1593">
        <v>0.99999993850881297</v>
      </c>
    </row>
    <row r="1594" spans="1:40" x14ac:dyDescent="0.25">
      <c r="A1594" t="str">
        <f>"20190304164846125"</f>
        <v>20190304164846125</v>
      </c>
      <c r="B1594" t="str">
        <f>"1551689326117636"</f>
        <v>1551689326117636</v>
      </c>
      <c r="C1594" t="s">
        <v>40</v>
      </c>
      <c r="D1594">
        <v>5.2206159999999997</v>
      </c>
      <c r="E1594">
        <v>0.59914469999999997</v>
      </c>
      <c r="F1594" t="s">
        <v>44</v>
      </c>
      <c r="G1594">
        <v>-195.79949999999999</v>
      </c>
      <c r="H1594" s="1">
        <v>-4.9822210000000003E-6</v>
      </c>
      <c r="I1594">
        <v>356.18490000000003</v>
      </c>
      <c r="J1594">
        <v>-198.19460000000001</v>
      </c>
      <c r="K1594">
        <v>1.103615</v>
      </c>
      <c r="L1594">
        <v>362.15190000000001</v>
      </c>
      <c r="M1594">
        <v>0.79950580000000004</v>
      </c>
      <c r="N1594">
        <v>-1.1786400000000001E-2</v>
      </c>
      <c r="O1594">
        <v>-0.60054300000000005</v>
      </c>
      <c r="P1594">
        <v>0.52095990000000003</v>
      </c>
      <c r="Q1594">
        <v>0.30806609999999901</v>
      </c>
      <c r="R1594">
        <v>-0.7960507</v>
      </c>
      <c r="S1594">
        <v>1.2939000000000001</v>
      </c>
      <c r="T1594">
        <v>-0.57594990000000001</v>
      </c>
      <c r="U1594">
        <v>-3.1510310000000001</v>
      </c>
      <c r="V1594">
        <v>0.32890829999999999</v>
      </c>
      <c r="W1594">
        <v>0.31311689999999998</v>
      </c>
      <c r="X1594">
        <v>0.89094169999999995</v>
      </c>
      <c r="Y1594">
        <v>0.51053559999999998</v>
      </c>
      <c r="Z1594">
        <v>5.422217E-2</v>
      </c>
      <c r="AA1594">
        <v>0.8581453</v>
      </c>
      <c r="AB1594">
        <v>21</v>
      </c>
      <c r="AC1594">
        <v>2.39510000000001</v>
      </c>
      <c r="AD1594">
        <v>-1.103619982221</v>
      </c>
      <c r="AE1594">
        <v>-5.9669999999999801</v>
      </c>
      <c r="AF1594">
        <v>3.2371508185367102</v>
      </c>
      <c r="AG1594">
        <v>-1.103619982221</v>
      </c>
      <c r="AH1594">
        <v>5.3413542069004203</v>
      </c>
      <c r="AI1594">
        <v>100.02071369921499</v>
      </c>
      <c r="AJ1594">
        <v>58.7818604374635</v>
      </c>
      <c r="AK1594">
        <v>6.3424906188880703</v>
      </c>
      <c r="AL1594">
        <v>71.752829636653203</v>
      </c>
      <c r="AM1594">
        <v>69.737403318191596</v>
      </c>
      <c r="AN1594">
        <v>0.99999998783669397</v>
      </c>
    </row>
    <row r="1595" spans="1:40" x14ac:dyDescent="0.25">
      <c r="A1595" t="str">
        <f>"20190304164846137"</f>
        <v>20190304164846137</v>
      </c>
      <c r="B1595" t="str">
        <f>"1551689326127396"</f>
        <v>1551689326127396</v>
      </c>
      <c r="C1595" t="s">
        <v>40</v>
      </c>
      <c r="D1595">
        <v>4.8862249999999996</v>
      </c>
      <c r="E1595">
        <v>0.59944719999999996</v>
      </c>
      <c r="F1595" t="s">
        <v>44</v>
      </c>
      <c r="G1595">
        <v>-195.7688</v>
      </c>
      <c r="H1595" s="1">
        <v>-4.9601659999999999E-6</v>
      </c>
      <c r="I1595">
        <v>356.15219999999999</v>
      </c>
      <c r="J1595">
        <v>-198.10890000000001</v>
      </c>
      <c r="K1595">
        <v>1.1036049999999999</v>
      </c>
      <c r="L1595">
        <v>362.07929999999999</v>
      </c>
      <c r="M1595">
        <v>0.79581109999999999</v>
      </c>
      <c r="N1595">
        <v>-1.177166E-2</v>
      </c>
      <c r="O1595">
        <v>-0.60543069999999999</v>
      </c>
      <c r="P1595">
        <v>0.51720129999999997</v>
      </c>
      <c r="Q1595">
        <v>0.30700309999999997</v>
      </c>
      <c r="R1595">
        <v>-0.79890699999999903</v>
      </c>
      <c r="S1595">
        <v>1.276794</v>
      </c>
      <c r="T1595">
        <v>-0.58087109999999997</v>
      </c>
      <c r="U1595">
        <v>-3.1578369999999998</v>
      </c>
      <c r="V1595">
        <v>0.32795289999999999</v>
      </c>
      <c r="W1595">
        <v>0.3120638</v>
      </c>
      <c r="X1595">
        <v>0.89166309999999904</v>
      </c>
      <c r="Y1595">
        <v>0.50994399999999995</v>
      </c>
      <c r="Z1595">
        <v>5.5774940000000002E-2</v>
      </c>
      <c r="AA1595">
        <v>0.85839750000000004</v>
      </c>
      <c r="AB1595">
        <v>21</v>
      </c>
      <c r="AC1595">
        <v>2.3401000000000001</v>
      </c>
      <c r="AD1595">
        <v>-1.1036099601660001</v>
      </c>
      <c r="AE1595">
        <v>-5.9270999999999896</v>
      </c>
      <c r="AF1595">
        <v>3.2042049046469301</v>
      </c>
      <c r="AG1595">
        <v>-1.1036099601660001</v>
      </c>
      <c r="AH1595">
        <v>5.2923636781326699</v>
      </c>
      <c r="AI1595">
        <v>100.11417763534401</v>
      </c>
      <c r="AJ1595">
        <v>58.807640078474101</v>
      </c>
      <c r="AK1595">
        <v>6.28442497900636</v>
      </c>
      <c r="AL1595">
        <v>71.816351272475799</v>
      </c>
      <c r="AM1595">
        <v>69.806522499592006</v>
      </c>
      <c r="AN1595">
        <v>1.00000000189523</v>
      </c>
    </row>
    <row r="1596" spans="1:40" x14ac:dyDescent="0.25">
      <c r="A1596" t="str">
        <f>"20190304164846147"</f>
        <v>20190304164846147</v>
      </c>
      <c r="B1596" t="str">
        <f>"1551689326137156"</f>
        <v>1551689326137156</v>
      </c>
      <c r="C1596" t="s">
        <v>40</v>
      </c>
      <c r="D1596">
        <v>4.8950519999999997</v>
      </c>
      <c r="E1596">
        <v>0.59944719999999996</v>
      </c>
      <c r="F1596" t="s">
        <v>44</v>
      </c>
      <c r="G1596">
        <v>-195.7192</v>
      </c>
      <c r="H1596" s="1">
        <v>-4.9049219999999996E-6</v>
      </c>
      <c r="I1596">
        <v>356.05720000000002</v>
      </c>
      <c r="J1596">
        <v>-198.02160000000001</v>
      </c>
      <c r="K1596">
        <v>1.1035950000000001</v>
      </c>
      <c r="L1596">
        <v>362.00409999999999</v>
      </c>
      <c r="M1596">
        <v>0.79199039999999998</v>
      </c>
      <c r="N1596">
        <v>-1.1755069999999999E-2</v>
      </c>
      <c r="O1596">
        <v>-0.61042059999999998</v>
      </c>
      <c r="P1596">
        <v>0.51303959999999904</v>
      </c>
      <c r="Q1596">
        <v>0.30608980000000002</v>
      </c>
      <c r="R1596">
        <v>-0.80193530000000002</v>
      </c>
      <c r="S1596">
        <v>1.2559199999999999</v>
      </c>
      <c r="T1596">
        <v>-0.58002129999999996</v>
      </c>
      <c r="U1596">
        <v>-3.1650390000000002</v>
      </c>
      <c r="V1596">
        <v>0.32724419999999999</v>
      </c>
      <c r="W1596">
        <v>0.31115310000000002</v>
      </c>
      <c r="X1596">
        <v>0.89224159999999997</v>
      </c>
      <c r="Y1596">
        <v>0.51013679999999995</v>
      </c>
      <c r="Z1596">
        <v>5.6667179999999998E-2</v>
      </c>
      <c r="AA1596">
        <v>0.85822449999999995</v>
      </c>
      <c r="AB1596">
        <v>21</v>
      </c>
      <c r="AC1596">
        <v>2.3024</v>
      </c>
      <c r="AD1596">
        <v>-1.103599904922</v>
      </c>
      <c r="AE1596">
        <v>-5.9468999999999701</v>
      </c>
      <c r="AF1596">
        <v>3.2085886254000902</v>
      </c>
      <c r="AG1596">
        <v>-1.103599904922</v>
      </c>
      <c r="AH1596">
        <v>5.2953730095874798</v>
      </c>
      <c r="AI1596">
        <v>100.10633611751101</v>
      </c>
      <c r="AJ1596">
        <v>58.787361261537598</v>
      </c>
      <c r="AK1596">
        <v>6.2891930347110696</v>
      </c>
      <c r="AL1596">
        <v>71.871265462128093</v>
      </c>
      <c r="AM1596">
        <v>69.858661883144407</v>
      </c>
      <c r="AN1596">
        <v>1.0000000454219</v>
      </c>
    </row>
    <row r="1597" spans="1:40" x14ac:dyDescent="0.25">
      <c r="A1597" t="str">
        <f>"20190304164846159"</f>
        <v>20190304164846159</v>
      </c>
      <c r="B1597" t="str">
        <f>"1551689326147893"</f>
        <v>1551689326147893</v>
      </c>
      <c r="C1597" t="s">
        <v>40</v>
      </c>
      <c r="D1597">
        <v>4.8591119999999997</v>
      </c>
      <c r="E1597">
        <v>0.62007570000000001</v>
      </c>
      <c r="F1597" t="s">
        <v>44</v>
      </c>
      <c r="G1597">
        <v>-195.67789999999999</v>
      </c>
      <c r="H1597" s="1">
        <v>-4.8668560000000004E-6</v>
      </c>
      <c r="I1597">
        <v>355.99520000000001</v>
      </c>
      <c r="J1597">
        <v>-197.946</v>
      </c>
      <c r="K1597">
        <v>1.1035870000000001</v>
      </c>
      <c r="L1597">
        <v>361.93849999999998</v>
      </c>
      <c r="M1597">
        <v>0.78864690000000004</v>
      </c>
      <c r="N1597">
        <v>-1.1740769999999999E-2</v>
      </c>
      <c r="O1597">
        <v>-0.61473429999999996</v>
      </c>
      <c r="P1597">
        <v>0.50991109999999995</v>
      </c>
      <c r="Q1597">
        <v>0.30520459999999999</v>
      </c>
      <c r="R1597">
        <v>-0.80426439999999999</v>
      </c>
      <c r="S1597">
        <v>1.237152</v>
      </c>
      <c r="T1597">
        <v>-0.58253920000000003</v>
      </c>
      <c r="U1597">
        <v>-3.1718440000000001</v>
      </c>
      <c r="V1597">
        <v>0.3260962</v>
      </c>
      <c r="W1597">
        <v>0.31028109999999998</v>
      </c>
      <c r="X1597">
        <v>0.89296529999999996</v>
      </c>
      <c r="Y1597">
        <v>0.51050079999999998</v>
      </c>
      <c r="Z1597">
        <v>5.7783840000000003E-2</v>
      </c>
      <c r="AA1597">
        <v>0.85793349999999902</v>
      </c>
      <c r="AB1597">
        <v>21</v>
      </c>
      <c r="AC1597">
        <v>2.2681</v>
      </c>
      <c r="AD1597">
        <v>-1.1035918668560001</v>
      </c>
      <c r="AE1597">
        <v>-5.9432999999999598</v>
      </c>
      <c r="AF1597">
        <v>3.1968979557446602</v>
      </c>
      <c r="AG1597">
        <v>-1.1035918668560001</v>
      </c>
      <c r="AH1597">
        <v>5.2836368266006897</v>
      </c>
      <c r="AI1597">
        <v>100.132057639415</v>
      </c>
      <c r="AJ1597">
        <v>58.823698801823198</v>
      </c>
      <c r="AK1597">
        <v>6.2733475643747099</v>
      </c>
      <c r="AL1597">
        <v>71.923829425995805</v>
      </c>
      <c r="AM1597">
        <v>69.938640294198194</v>
      </c>
      <c r="AN1597">
        <v>1.00000005983786</v>
      </c>
    </row>
    <row r="1598" spans="1:40" x14ac:dyDescent="0.25">
      <c r="A1598" t="str">
        <f>"20190304164846170"</f>
        <v>20190304164846170</v>
      </c>
      <c r="B1598" t="str">
        <f>"1551689326167412"</f>
        <v>1551689326167412</v>
      </c>
      <c r="C1598" t="s">
        <v>40</v>
      </c>
      <c r="D1598">
        <v>5.1768519999999896</v>
      </c>
      <c r="E1598">
        <v>0.60809559999999996</v>
      </c>
      <c r="F1598" t="s">
        <v>44</v>
      </c>
      <c r="G1598">
        <v>-194.53299999999999</v>
      </c>
      <c r="H1598" s="1">
        <v>-2.1615119999999999E-6</v>
      </c>
      <c r="I1598">
        <v>351.2167</v>
      </c>
      <c r="J1598">
        <v>-197.85890000000001</v>
      </c>
      <c r="K1598">
        <v>1.1035790000000001</v>
      </c>
      <c r="L1598">
        <v>361.86180000000002</v>
      </c>
      <c r="M1598">
        <v>0.78474580000000005</v>
      </c>
      <c r="N1598">
        <v>-1.1724419999999999E-2</v>
      </c>
      <c r="O1598">
        <v>-0.61970700000000001</v>
      </c>
      <c r="P1598">
        <v>0.50582340000000003</v>
      </c>
      <c r="Q1598">
        <v>0.30436069999999998</v>
      </c>
      <c r="R1598">
        <v>-0.80716019999999999</v>
      </c>
      <c r="S1598">
        <v>1.0211790000000001</v>
      </c>
      <c r="T1598">
        <v>-0.33019730000000003</v>
      </c>
      <c r="U1598">
        <v>-3.2079770000000001</v>
      </c>
      <c r="V1598">
        <v>0.3252157</v>
      </c>
      <c r="W1598">
        <v>0.30944319999999997</v>
      </c>
      <c r="X1598">
        <v>0.89357690000000001</v>
      </c>
      <c r="Y1598">
        <v>0.55910179999999998</v>
      </c>
      <c r="Z1598">
        <v>2.7077469999999999E-2</v>
      </c>
      <c r="AA1598">
        <v>0.82865669999999902</v>
      </c>
      <c r="AB1598">
        <v>21</v>
      </c>
      <c r="AC1598">
        <v>3.3259000000000101</v>
      </c>
      <c r="AD1598">
        <v>-1.1035811615119999</v>
      </c>
      <c r="AE1598">
        <v>-10.645099999999999</v>
      </c>
      <c r="AF1598">
        <v>6.2320237133116496</v>
      </c>
      <c r="AG1598">
        <v>-1.1035811615119999</v>
      </c>
      <c r="AH1598">
        <v>9.1181783714408997</v>
      </c>
      <c r="AI1598">
        <v>95.706169563454097</v>
      </c>
      <c r="AJ1598">
        <v>55.6484693366166</v>
      </c>
      <c r="AK1598">
        <v>11.0994228569207</v>
      </c>
      <c r="AL1598">
        <v>71.974321852522095</v>
      </c>
      <c r="AM1598">
        <v>70.001115041766994</v>
      </c>
      <c r="AN1598">
        <v>1.0000000108831699</v>
      </c>
    </row>
    <row r="1599" spans="1:40" x14ac:dyDescent="0.25">
      <c r="A1599" t="str">
        <f>"20190304164846182"</f>
        <v>20190304164846182</v>
      </c>
      <c r="B1599" t="str">
        <f>"1551689326177173"</f>
        <v>1551689326177173</v>
      </c>
      <c r="C1599" t="s">
        <v>40</v>
      </c>
      <c r="D1599">
        <v>5.2040790000000001</v>
      </c>
      <c r="E1599">
        <v>0.60525839999999997</v>
      </c>
      <c r="F1599" t="s">
        <v>44</v>
      </c>
      <c r="G1599">
        <v>-195.29040000000001</v>
      </c>
      <c r="H1599" s="1">
        <v>-4.0985389999999998E-6</v>
      </c>
      <c r="I1599">
        <v>354.53539999999998</v>
      </c>
      <c r="J1599">
        <v>-197.779</v>
      </c>
      <c r="K1599">
        <v>1.103567</v>
      </c>
      <c r="L1599">
        <v>361.79050000000001</v>
      </c>
      <c r="M1599">
        <v>0.78111989999999998</v>
      </c>
      <c r="N1599">
        <v>-1.171026E-2</v>
      </c>
      <c r="O1599">
        <v>-0.62427140000000003</v>
      </c>
      <c r="P1599">
        <v>0.50240090000000004</v>
      </c>
      <c r="Q1599">
        <v>0.30361470000000002</v>
      </c>
      <c r="R1599">
        <v>-0.80957509999999999</v>
      </c>
      <c r="S1599">
        <v>1.1205290000000001</v>
      </c>
      <c r="T1599">
        <v>-0.4814293</v>
      </c>
      <c r="U1599">
        <v>-3.196075</v>
      </c>
      <c r="V1599">
        <v>0.32399230000000001</v>
      </c>
      <c r="W1599">
        <v>0.30871169999999998</v>
      </c>
      <c r="X1599">
        <v>0.89427409999999996</v>
      </c>
      <c r="Y1599">
        <v>0.52974129999999997</v>
      </c>
      <c r="Z1599">
        <v>4.6638520000000003E-2</v>
      </c>
      <c r="AA1599">
        <v>0.84687610000000002</v>
      </c>
      <c r="AB1599">
        <v>21</v>
      </c>
      <c r="AC1599">
        <v>2.4886000000000101</v>
      </c>
      <c r="AD1599">
        <v>-1.1035710985389999</v>
      </c>
      <c r="AE1599">
        <v>-7.2551000000000201</v>
      </c>
      <c r="AF1599">
        <v>4.0303872099004296</v>
      </c>
      <c r="AG1599">
        <v>-1.1035710985389999</v>
      </c>
      <c r="AH1599">
        <v>6.3421957736285997</v>
      </c>
      <c r="AI1599">
        <v>98.354690366724896</v>
      </c>
      <c r="AJ1599">
        <v>57.564544799391903</v>
      </c>
      <c r="AK1599">
        <v>7.5950864025560598</v>
      </c>
      <c r="AL1599">
        <v>72.018392139569102</v>
      </c>
      <c r="AM1599">
        <v>70.084729830519393</v>
      </c>
      <c r="AN1599">
        <v>1.00000004505349</v>
      </c>
    </row>
    <row r="1600" spans="1:40" x14ac:dyDescent="0.25">
      <c r="A1600" t="str">
        <f>"20190304164846193"</f>
        <v>20190304164846193</v>
      </c>
      <c r="B1600" t="str">
        <f>"1551689326187909"</f>
        <v>1551689326187909</v>
      </c>
      <c r="C1600" t="s">
        <v>40</v>
      </c>
      <c r="D1600">
        <v>5.1957620000000002</v>
      </c>
      <c r="E1600">
        <v>0.60388109999999995</v>
      </c>
      <c r="F1600" t="s">
        <v>44</v>
      </c>
      <c r="G1600">
        <v>-195.35990000000001</v>
      </c>
      <c r="H1600" s="1">
        <v>-4.3152289999999999E-6</v>
      </c>
      <c r="I1600">
        <v>354.96230000000003</v>
      </c>
      <c r="J1600">
        <v>-197.6858</v>
      </c>
      <c r="K1600">
        <v>1.103559</v>
      </c>
      <c r="L1600">
        <v>361.70659999999998</v>
      </c>
      <c r="M1600">
        <v>0.77683899999999995</v>
      </c>
      <c r="N1600">
        <v>-1.1694400000000001E-2</v>
      </c>
      <c r="O1600">
        <v>-0.62959069999999995</v>
      </c>
      <c r="P1600">
        <v>0.49823790000000001</v>
      </c>
      <c r="Q1600">
        <v>0.30305070000000001</v>
      </c>
      <c r="R1600">
        <v>-0.81235440000000003</v>
      </c>
      <c r="S1600">
        <v>1.1324920000000001</v>
      </c>
      <c r="T1600">
        <v>-0.51663139999999996</v>
      </c>
      <c r="U1600">
        <v>-3.1965940000000002</v>
      </c>
      <c r="V1600">
        <v>0.32262649999999998</v>
      </c>
      <c r="W1600">
        <v>0.30816199999999999</v>
      </c>
      <c r="X1600">
        <v>0.89495720000000001</v>
      </c>
      <c r="Y1600">
        <v>0.52118850000000005</v>
      </c>
      <c r="Z1600">
        <v>5.2276330000000003E-2</v>
      </c>
      <c r="AA1600">
        <v>0.85183909999999996</v>
      </c>
      <c r="AB1600">
        <v>21</v>
      </c>
      <c r="AC1600">
        <v>2.3258999999999901</v>
      </c>
      <c r="AD1600">
        <v>-1.1035633152290001</v>
      </c>
      <c r="AE1600">
        <v>-6.7442999999999502</v>
      </c>
      <c r="AF1600">
        <v>3.6869060862594698</v>
      </c>
      <c r="AG1600">
        <v>-1.1035633152290001</v>
      </c>
      <c r="AH1600">
        <v>5.9119479792917797</v>
      </c>
      <c r="AI1600">
        <v>99.000308781105602</v>
      </c>
      <c r="AJ1600">
        <v>58.050832619274303</v>
      </c>
      <c r="AK1600">
        <v>7.0542368396211703</v>
      </c>
      <c r="AL1600">
        <v>72.051501682571896</v>
      </c>
      <c r="AM1600">
        <v>70.176082212276199</v>
      </c>
      <c r="AN1600">
        <v>1.00000003328904</v>
      </c>
    </row>
    <row r="1601" spans="1:40" x14ac:dyDescent="0.25">
      <c r="A1601" t="str">
        <f>"20190304164846206"</f>
        <v>20190304164846206</v>
      </c>
      <c r="B1601" t="str">
        <f>"1551689326197669"</f>
        <v>1551689326197669</v>
      </c>
      <c r="C1601" t="s">
        <v>40</v>
      </c>
      <c r="D1601">
        <v>5.2401809999999998</v>
      </c>
      <c r="E1601">
        <v>0.60365469999999999</v>
      </c>
      <c r="F1601" t="s">
        <v>44</v>
      </c>
      <c r="G1601">
        <v>-195.358</v>
      </c>
      <c r="H1601" s="1">
        <v>-4.3786790000000002E-6</v>
      </c>
      <c r="I1601">
        <v>355.0994</v>
      </c>
      <c r="J1601">
        <v>-197.60079999999999</v>
      </c>
      <c r="K1601">
        <v>1.1035489999999999</v>
      </c>
      <c r="L1601">
        <v>361.62860000000001</v>
      </c>
      <c r="M1601">
        <v>0.77287320000000004</v>
      </c>
      <c r="N1601">
        <v>-1.168144E-2</v>
      </c>
      <c r="O1601">
        <v>-0.63445299999999905</v>
      </c>
      <c r="P1601">
        <v>0.49441580000000002</v>
      </c>
      <c r="Q1601">
        <v>0.30249039999999999</v>
      </c>
      <c r="R1601">
        <v>-0.81489440000000002</v>
      </c>
      <c r="S1601">
        <v>1.12767</v>
      </c>
      <c r="T1601">
        <v>-0.53461689999999995</v>
      </c>
      <c r="U1601">
        <v>-3.2008359999999998</v>
      </c>
      <c r="V1601">
        <v>0.32136330000000002</v>
      </c>
      <c r="W1601">
        <v>0.30761620000000001</v>
      </c>
      <c r="X1601">
        <v>0.89559920000000004</v>
      </c>
      <c r="Y1601">
        <v>0.5173643</v>
      </c>
      <c r="Z1601">
        <v>5.5574159999999997E-2</v>
      </c>
      <c r="AA1601">
        <v>0.85395880000000002</v>
      </c>
      <c r="AB1601">
        <v>21</v>
      </c>
      <c r="AC1601">
        <v>2.2427999999999799</v>
      </c>
      <c r="AD1601">
        <v>-1.1035533786789999</v>
      </c>
      <c r="AE1601">
        <v>-6.5292000000000003</v>
      </c>
      <c r="AF1601">
        <v>3.5332573968874801</v>
      </c>
      <c r="AG1601">
        <v>-1.1035533786789999</v>
      </c>
      <c r="AH1601">
        <v>5.7298611687543399</v>
      </c>
      <c r="AI1601">
        <v>99.309964363956894</v>
      </c>
      <c r="AJ1601">
        <v>58.340386244523202</v>
      </c>
      <c r="AK1601">
        <v>6.8215135347995002</v>
      </c>
      <c r="AL1601">
        <v>72.084370013910203</v>
      </c>
      <c r="AM1601">
        <v>70.260749217622504</v>
      </c>
      <c r="AN1601">
        <v>1.0000000120649799</v>
      </c>
    </row>
    <row r="1602" spans="1:40" x14ac:dyDescent="0.25">
      <c r="A1602" t="str">
        <f>"20190304164846220"</f>
        <v>20190304164846220</v>
      </c>
      <c r="B1602" t="str">
        <f>"1551689326207429"</f>
        <v>1551689326207429</v>
      </c>
      <c r="C1602" t="s">
        <v>40</v>
      </c>
      <c r="D1602">
        <v>5.2611290000000004</v>
      </c>
      <c r="E1602">
        <v>0.60405620000000004</v>
      </c>
      <c r="F1602" t="s">
        <v>44</v>
      </c>
      <c r="G1602">
        <v>-195.33439999999999</v>
      </c>
      <c r="H1602" s="1">
        <v>-4.3752400000000003E-6</v>
      </c>
      <c r="I1602">
        <v>355.10329999999999</v>
      </c>
      <c r="J1602">
        <v>-197.50810000000001</v>
      </c>
      <c r="K1602">
        <v>1.1035410000000001</v>
      </c>
      <c r="L1602">
        <v>361.5428</v>
      </c>
      <c r="M1602">
        <v>0.76849990000000001</v>
      </c>
      <c r="N1602">
        <v>-1.1666889999999999E-2</v>
      </c>
      <c r="O1602">
        <v>-0.63974370000000003</v>
      </c>
      <c r="P1602">
        <v>0.49040060000000002</v>
      </c>
      <c r="Q1602">
        <v>0.30146260000000002</v>
      </c>
      <c r="R1602">
        <v>-0.8176968</v>
      </c>
      <c r="S1602">
        <v>1.1138459999999999</v>
      </c>
      <c r="T1602">
        <v>-0.54236359999999995</v>
      </c>
      <c r="U1602">
        <v>-3.207001</v>
      </c>
      <c r="V1602">
        <v>0.3198917</v>
      </c>
      <c r="W1602">
        <v>0.30660700000000002</v>
      </c>
      <c r="X1602">
        <v>0.89647169999999898</v>
      </c>
      <c r="Y1602">
        <v>0.5153276</v>
      </c>
      <c r="Z1602">
        <v>5.7643890000000003E-2</v>
      </c>
      <c r="AA1602">
        <v>0.85505239999999905</v>
      </c>
      <c r="AB1602">
        <v>21</v>
      </c>
      <c r="AC1602">
        <v>2.1737000000000202</v>
      </c>
      <c r="AD1602">
        <v>-1.10354537524</v>
      </c>
      <c r="AE1602">
        <v>-6.4394999999999998</v>
      </c>
      <c r="AF1602">
        <v>3.4669822812943298</v>
      </c>
      <c r="AG1602">
        <v>-1.10354537524</v>
      </c>
      <c r="AH1602">
        <v>5.64177124615472</v>
      </c>
      <c r="AI1602">
        <v>99.461442540997595</v>
      </c>
      <c r="AJ1602">
        <v>58.428435723034703</v>
      </c>
      <c r="AK1602">
        <v>6.7132228719118698</v>
      </c>
      <c r="AL1602">
        <v>72.145129536472894</v>
      </c>
      <c r="AM1602">
        <v>70.361865198051902</v>
      </c>
      <c r="AN1602">
        <v>1.0000000305393799</v>
      </c>
    </row>
    <row r="1603" spans="1:40" x14ac:dyDescent="0.25">
      <c r="A1603" t="str">
        <f>"20190304164846238"</f>
        <v>20190304164846238</v>
      </c>
      <c r="B1603" t="str">
        <f>"1551689326227924"</f>
        <v>1551689326227924</v>
      </c>
      <c r="C1603" t="s">
        <v>40</v>
      </c>
      <c r="D1603">
        <v>4.9074739999999997</v>
      </c>
      <c r="E1603">
        <v>0.6073672</v>
      </c>
      <c r="F1603" t="s">
        <v>44</v>
      </c>
      <c r="G1603">
        <v>-195.3065</v>
      </c>
      <c r="H1603" s="1">
        <v>-4.3521649999999997E-6</v>
      </c>
      <c r="I1603">
        <v>355.06699999999898</v>
      </c>
      <c r="J1603">
        <v>-197.3708</v>
      </c>
      <c r="K1603">
        <v>1.1035189999999999</v>
      </c>
      <c r="L1603">
        <v>361.4135</v>
      </c>
      <c r="M1603">
        <v>0.76190179999999996</v>
      </c>
      <c r="N1603">
        <v>-1.164313E-2</v>
      </c>
      <c r="O1603">
        <v>-0.64758800000000005</v>
      </c>
      <c r="P1603">
        <v>0.48484270000000002</v>
      </c>
      <c r="Q1603">
        <v>0.29960890000000001</v>
      </c>
      <c r="R1603">
        <v>-0.82168280000000005</v>
      </c>
      <c r="S1603">
        <v>1.0930629999999999</v>
      </c>
      <c r="T1603">
        <v>-0.54790969999999894</v>
      </c>
      <c r="U1603">
        <v>-3.2152400000000001</v>
      </c>
      <c r="V1603">
        <v>0.31726079999999901</v>
      </c>
      <c r="W1603">
        <v>0.30478739999999999</v>
      </c>
      <c r="X1603">
        <v>0.89802579999999999</v>
      </c>
      <c r="Y1603">
        <v>0.51223799999999997</v>
      </c>
      <c r="Z1603">
        <v>6.0048959999999998E-2</v>
      </c>
      <c r="AA1603">
        <v>0.85674169999999905</v>
      </c>
      <c r="AB1603">
        <v>21</v>
      </c>
      <c r="AC1603">
        <v>2.0642999999999998</v>
      </c>
      <c r="AD1603">
        <v>-1.1035233521650001</v>
      </c>
      <c r="AE1603">
        <v>-6.3465000000000398</v>
      </c>
      <c r="AF1603">
        <v>3.4057142342639501</v>
      </c>
      <c r="AG1603">
        <v>-1.1035233521650001</v>
      </c>
      <c r="AH1603">
        <v>5.5318482001896001</v>
      </c>
      <c r="AI1603">
        <v>99.640967368956794</v>
      </c>
      <c r="AJ1603">
        <v>58.381230723206301</v>
      </c>
      <c r="AK1603">
        <v>6.5892334716704699</v>
      </c>
      <c r="AL1603">
        <v>72.254627183035495</v>
      </c>
      <c r="AM1603">
        <v>70.542349977212695</v>
      </c>
      <c r="AN1603">
        <v>1.00000005594051</v>
      </c>
    </row>
    <row r="1604" spans="1:40" x14ac:dyDescent="0.25">
      <c r="A1604" t="str">
        <f>"20190304164846253"</f>
        <v>20190304164846253</v>
      </c>
      <c r="B1604" t="str">
        <f>"1551689326247444"</f>
        <v>1551689326247444</v>
      </c>
      <c r="C1604" t="s">
        <v>40</v>
      </c>
      <c r="D1604">
        <v>4.8869429999999996</v>
      </c>
      <c r="E1604">
        <v>0.61205010000000004</v>
      </c>
      <c r="F1604" t="s">
        <v>44</v>
      </c>
      <c r="G1604">
        <v>-195.19489999999999</v>
      </c>
      <c r="H1604" s="1">
        <v>-4.1267629999999996E-6</v>
      </c>
      <c r="I1604">
        <v>354.63630000000001</v>
      </c>
      <c r="J1604">
        <v>-197.26419999999999</v>
      </c>
      <c r="K1604">
        <v>1.1035090000000001</v>
      </c>
      <c r="L1604">
        <v>361.31130000000002</v>
      </c>
      <c r="M1604">
        <v>0.75668429999999998</v>
      </c>
      <c r="N1604">
        <v>-1.1623079999999999E-2</v>
      </c>
      <c r="O1604">
        <v>-0.65367719999999996</v>
      </c>
      <c r="P1604">
        <v>0.47951070000000001</v>
      </c>
      <c r="Q1604">
        <v>0.29864930000000001</v>
      </c>
      <c r="R1604">
        <v>-0.82515349999999998</v>
      </c>
      <c r="S1604">
        <v>1.037247</v>
      </c>
      <c r="T1604">
        <v>-0.52606519999999901</v>
      </c>
      <c r="U1604">
        <v>-3.230804</v>
      </c>
      <c r="V1604">
        <v>0.31612269999999998</v>
      </c>
      <c r="W1604">
        <v>0.30383120000000002</v>
      </c>
      <c r="X1604">
        <v>0.89875079999999996</v>
      </c>
      <c r="Y1604">
        <v>0.51993549999999999</v>
      </c>
      <c r="Z1604">
        <v>5.7867870000000002E-2</v>
      </c>
      <c r="AA1604">
        <v>0.85224319999999898</v>
      </c>
      <c r="AB1604">
        <v>21</v>
      </c>
      <c r="AC1604">
        <v>2.0692999999999899</v>
      </c>
      <c r="AD1604">
        <v>-1.1035131267630001</v>
      </c>
      <c r="AE1604">
        <v>-6.6750000000000096</v>
      </c>
      <c r="AF1604">
        <v>3.6084873229552299</v>
      </c>
      <c r="AG1604">
        <v>-1.1035131267630001</v>
      </c>
      <c r="AH1604">
        <v>5.7852501048562299</v>
      </c>
      <c r="AI1604">
        <v>99.193257724846305</v>
      </c>
      <c r="AJ1604">
        <v>58.046592668275103</v>
      </c>
      <c r="AK1604">
        <v>6.9071007489833196</v>
      </c>
      <c r="AL1604">
        <v>72.312139716625893</v>
      </c>
      <c r="AM1604">
        <v>70.621408788662393</v>
      </c>
      <c r="AN1604">
        <v>0.99999998002468404</v>
      </c>
    </row>
    <row r="1605" spans="1:40" x14ac:dyDescent="0.25">
      <c r="A1605" t="str">
        <f>"20190304164846269"</f>
        <v>20190304164846269</v>
      </c>
      <c r="B1605" t="str">
        <f>"1551689326267940"</f>
        <v>1551689326267940</v>
      </c>
      <c r="C1605" t="s">
        <v>40</v>
      </c>
      <c r="D1605">
        <v>5.2109249999999996</v>
      </c>
      <c r="E1605">
        <v>0.61179439999999996</v>
      </c>
      <c r="F1605" t="s">
        <v>44</v>
      </c>
      <c r="G1605">
        <v>-195.0384</v>
      </c>
      <c r="H1605" s="1">
        <v>-3.7071719999999999E-6</v>
      </c>
      <c r="I1605">
        <v>353.86869999999999</v>
      </c>
      <c r="J1605">
        <v>-197.14779999999999</v>
      </c>
      <c r="K1605">
        <v>1.103488</v>
      </c>
      <c r="L1605">
        <v>361.19740000000002</v>
      </c>
      <c r="M1605">
        <v>0.75087369999999898</v>
      </c>
      <c r="N1605">
        <v>-1.1601800000000001E-2</v>
      </c>
      <c r="O1605">
        <v>-0.66034399999999904</v>
      </c>
      <c r="P1605">
        <v>0.47419729999999999</v>
      </c>
      <c r="Q1605">
        <v>0.29691519999999999</v>
      </c>
      <c r="R1605">
        <v>-0.82884179999999996</v>
      </c>
      <c r="S1605">
        <v>0.97074890000000003</v>
      </c>
      <c r="T1605">
        <v>-0.48126180000000002</v>
      </c>
      <c r="U1605">
        <v>-3.245819</v>
      </c>
      <c r="V1605">
        <v>0.31438729999999998</v>
      </c>
      <c r="W1605">
        <v>0.30211300000000002</v>
      </c>
      <c r="X1605">
        <v>0.89993799999999902</v>
      </c>
      <c r="Y1605">
        <v>0.529456699999999</v>
      </c>
      <c r="Z1605">
        <v>5.2696010000000001E-2</v>
      </c>
      <c r="AA1605">
        <v>0.84669879999999997</v>
      </c>
      <c r="AB1605">
        <v>21</v>
      </c>
      <c r="AC1605">
        <v>2.1093999999999902</v>
      </c>
      <c r="AD1605">
        <v>-1.1034917071720001</v>
      </c>
      <c r="AE1605">
        <v>-7.32870000000002</v>
      </c>
      <c r="AF1605">
        <v>4.0259821489848697</v>
      </c>
      <c r="AG1605">
        <v>-1.1034917071720001</v>
      </c>
      <c r="AH1605">
        <v>6.2920502576672401</v>
      </c>
      <c r="AI1605">
        <v>98.4033216708536</v>
      </c>
      <c r="AJ1605">
        <v>57.3867652630842</v>
      </c>
      <c r="AK1605">
        <v>7.5509021088047898</v>
      </c>
      <c r="AL1605">
        <v>72.415441295857605</v>
      </c>
      <c r="AM1605">
        <v>70.743481195127799</v>
      </c>
      <c r="AN1605">
        <v>1.0000000215071401</v>
      </c>
    </row>
    <row r="1606" spans="1:40" x14ac:dyDescent="0.25">
      <c r="A1606" t="str">
        <f>"20190304164846282"</f>
        <v>20190304164846282</v>
      </c>
      <c r="B1606" t="str">
        <f>"1551689326277701"</f>
        <v>1551689326277701</v>
      </c>
      <c r="C1606" t="s">
        <v>40</v>
      </c>
      <c r="D1606">
        <v>5.2225820000000001</v>
      </c>
      <c r="E1606">
        <v>0.61171929999999997</v>
      </c>
      <c r="F1606" t="s">
        <v>44</v>
      </c>
      <c r="G1606">
        <v>-195.02889999999999</v>
      </c>
      <c r="H1606" s="1">
        <v>-3.736041E-6</v>
      </c>
      <c r="I1606">
        <v>353.93029999999999</v>
      </c>
      <c r="J1606">
        <v>-197.0592</v>
      </c>
      <c r="K1606">
        <v>1.1034679999999999</v>
      </c>
      <c r="L1606">
        <v>361.1096</v>
      </c>
      <c r="M1606">
        <v>0.74638950000000004</v>
      </c>
      <c r="N1606">
        <v>-1.158675E-2</v>
      </c>
      <c r="O1606">
        <v>-0.66540880000000002</v>
      </c>
      <c r="P1606">
        <v>0.46956360000000003</v>
      </c>
      <c r="Q1606">
        <v>0.29605779999999998</v>
      </c>
      <c r="R1606">
        <v>-0.83178129999999995</v>
      </c>
      <c r="S1606">
        <v>0.9486542</v>
      </c>
      <c r="T1606">
        <v>-0.49406909999999998</v>
      </c>
      <c r="U1606">
        <v>-3.2537539999999998</v>
      </c>
      <c r="V1606">
        <v>0.31353730000000002</v>
      </c>
      <c r="W1606">
        <v>0.301257</v>
      </c>
      <c r="X1606">
        <v>0.90052129999999997</v>
      </c>
      <c r="Y1606">
        <v>0.52958169999999904</v>
      </c>
      <c r="Z1606">
        <v>5.5196580000000002E-2</v>
      </c>
      <c r="AA1606">
        <v>0.84646119999999903</v>
      </c>
      <c r="AB1606">
        <v>21</v>
      </c>
      <c r="AC1606">
        <v>2.0303000000000102</v>
      </c>
      <c r="AD1606">
        <v>-1.103471736041</v>
      </c>
      <c r="AE1606">
        <v>-7.1793000000000102</v>
      </c>
      <c r="AF1606">
        <v>3.9220487819172498</v>
      </c>
      <c r="AG1606">
        <v>-1.103471736041</v>
      </c>
      <c r="AH1606">
        <v>6.1582740488061001</v>
      </c>
      <c r="AI1606">
        <v>98.594448926077504</v>
      </c>
      <c r="AJ1606">
        <v>57.507971818031301</v>
      </c>
      <c r="AK1606">
        <v>7.38406769878085</v>
      </c>
      <c r="AL1606">
        <v>72.466883171858797</v>
      </c>
      <c r="AM1606">
        <v>70.8032569057535</v>
      </c>
      <c r="AN1606">
        <v>1.0000000151469799</v>
      </c>
    </row>
    <row r="1607" spans="1:40" x14ac:dyDescent="0.25">
      <c r="A1607" t="str">
        <f>"20190304164846304"</f>
        <v>20190304164846304</v>
      </c>
      <c r="B1607" t="str">
        <f>"1551689326297220"</f>
        <v>1551689326297220</v>
      </c>
      <c r="C1607" t="s">
        <v>40</v>
      </c>
      <c r="D1607">
        <v>5.1999250000000004</v>
      </c>
      <c r="E1607">
        <v>0.61137379999999997</v>
      </c>
      <c r="F1607" t="s">
        <v>44</v>
      </c>
      <c r="G1607">
        <v>-195.0033</v>
      </c>
      <c r="H1607" s="1">
        <v>-3.7122179999999999E-6</v>
      </c>
      <c r="I1607">
        <v>353.89420000000001</v>
      </c>
      <c r="J1607">
        <v>-196.90610000000001</v>
      </c>
      <c r="K1607">
        <v>1.103443</v>
      </c>
      <c r="L1607">
        <v>360.95499999999998</v>
      </c>
      <c r="M1607">
        <v>0.73847580000000002</v>
      </c>
      <c r="N1607">
        <v>-1.156329E-2</v>
      </c>
      <c r="O1607">
        <v>-0.67418080000000002</v>
      </c>
      <c r="P1607">
        <v>0.461113</v>
      </c>
      <c r="Q1607">
        <v>0.2943172</v>
      </c>
      <c r="R1607">
        <v>-0.83710969999999996</v>
      </c>
      <c r="S1607">
        <v>0.92881769999999997</v>
      </c>
      <c r="T1607">
        <v>-0.49852740000000001</v>
      </c>
      <c r="U1607">
        <v>-3.2597960000000001</v>
      </c>
      <c r="V1607">
        <v>0.3124479</v>
      </c>
      <c r="W1607">
        <v>0.29951489999999997</v>
      </c>
      <c r="X1607">
        <v>0.90148050000000002</v>
      </c>
      <c r="Y1607">
        <v>0.52480300000000002</v>
      </c>
      <c r="Z1607">
        <v>5.767804E-2</v>
      </c>
      <c r="AA1607">
        <v>0.84926740000000001</v>
      </c>
      <c r="AB1607">
        <v>22</v>
      </c>
      <c r="AC1607">
        <v>1.90280000000001</v>
      </c>
      <c r="AD1607">
        <v>-1.1034467122180001</v>
      </c>
      <c r="AE1607">
        <v>-7.0607999999999702</v>
      </c>
      <c r="AF1607">
        <v>3.8441338247205898</v>
      </c>
      <c r="AG1607">
        <v>-1.1034467122180001</v>
      </c>
      <c r="AH1607">
        <v>6.0285741445325298</v>
      </c>
      <c r="AI1607">
        <v>98.773262269027597</v>
      </c>
      <c r="AJ1607">
        <v>57.476287568516398</v>
      </c>
      <c r="AK1607">
        <v>7.2345466841531803</v>
      </c>
      <c r="AL1607">
        <v>72.5715303853748</v>
      </c>
      <c r="AM1607">
        <v>70.883981059554799</v>
      </c>
      <c r="AN1607">
        <v>0.99999997870833401</v>
      </c>
    </row>
    <row r="1608" spans="1:40" x14ac:dyDescent="0.25">
      <c r="A1608" t="str">
        <f>"20190304164846316"</f>
        <v>20190304164846316</v>
      </c>
      <c r="B1608" t="str">
        <f>"1551689326307956"</f>
        <v>1551689326307956</v>
      </c>
      <c r="C1608" t="s">
        <v>40</v>
      </c>
      <c r="D1608">
        <v>5.1821010000000003</v>
      </c>
      <c r="E1608">
        <v>0.61122349999999903</v>
      </c>
      <c r="F1608" t="s">
        <v>44</v>
      </c>
      <c r="G1608">
        <v>-194.96690000000001</v>
      </c>
      <c r="H1608" s="1">
        <v>-3.685128E-6</v>
      </c>
      <c r="I1608">
        <v>353.85640000000001</v>
      </c>
      <c r="J1608">
        <v>-196.82320000000001</v>
      </c>
      <c r="K1608">
        <v>1.103437</v>
      </c>
      <c r="L1608">
        <v>360.87</v>
      </c>
      <c r="M1608">
        <v>0.73411979999999999</v>
      </c>
      <c r="N1608">
        <v>-1.155159E-2</v>
      </c>
      <c r="O1608">
        <v>-0.67892169999999996</v>
      </c>
      <c r="P1608">
        <v>0.45659080000000002</v>
      </c>
      <c r="Q1608">
        <v>0.29309089999999999</v>
      </c>
      <c r="R1608">
        <v>-0.84001360000000003</v>
      </c>
      <c r="S1608">
        <v>0.89340209999999998</v>
      </c>
      <c r="T1608">
        <v>-0.50837730000000003</v>
      </c>
      <c r="U1608">
        <v>-3.270416</v>
      </c>
      <c r="V1608">
        <v>0.31180200000000002</v>
      </c>
      <c r="W1608">
        <v>0.29829050000000001</v>
      </c>
      <c r="X1608">
        <v>0.90210990000000002</v>
      </c>
      <c r="Y1608">
        <v>0.52856550000000002</v>
      </c>
      <c r="Z1608">
        <v>5.9560259999999997E-2</v>
      </c>
      <c r="AA1608">
        <v>0.84680059999999902</v>
      </c>
      <c r="AB1608">
        <v>22</v>
      </c>
      <c r="AC1608">
        <v>1.8563000000000001</v>
      </c>
      <c r="AD1608">
        <v>-1.1034406851279901</v>
      </c>
      <c r="AE1608">
        <v>-7.0135999999999896</v>
      </c>
      <c r="AF1608">
        <v>3.8008781782612</v>
      </c>
      <c r="AG1608">
        <v>-1.1034406851279901</v>
      </c>
      <c r="AH1608">
        <v>5.9863644444236801</v>
      </c>
      <c r="AI1608">
        <v>98.844858035741296</v>
      </c>
      <c r="AJ1608">
        <v>57.587612452195501</v>
      </c>
      <c r="AK1608">
        <v>7.1764068678579003</v>
      </c>
      <c r="AL1608">
        <v>72.645044343522002</v>
      </c>
      <c r="AM1608">
        <v>70.9329884290254</v>
      </c>
      <c r="AN1608">
        <v>0.99999999063612999</v>
      </c>
    </row>
    <row r="1609" spans="1:40" x14ac:dyDescent="0.25">
      <c r="A1609" t="str">
        <f>"20190304164846328"</f>
        <v>20190304164846328</v>
      </c>
      <c r="B1609" t="str">
        <f>"1551689326317717"</f>
        <v>1551689326317717</v>
      </c>
      <c r="C1609" t="s">
        <v>40</v>
      </c>
      <c r="D1609">
        <v>5.1915050000000003</v>
      </c>
      <c r="E1609">
        <v>0.61117489999999997</v>
      </c>
      <c r="F1609" t="s">
        <v>44</v>
      </c>
      <c r="G1609">
        <v>-194.9462</v>
      </c>
      <c r="H1609" s="1">
        <v>-3.6687510000000001E-6</v>
      </c>
      <c r="I1609">
        <v>353.83300000000003</v>
      </c>
      <c r="J1609">
        <v>-196.74180000000001</v>
      </c>
      <c r="K1609">
        <v>1.103426</v>
      </c>
      <c r="L1609">
        <v>360.7851</v>
      </c>
      <c r="M1609">
        <v>0.72977130000000001</v>
      </c>
      <c r="N1609">
        <v>-1.1541060000000001E-2</v>
      </c>
      <c r="O1609">
        <v>-0.68359409999999998</v>
      </c>
      <c r="P1609">
        <v>0.4518875</v>
      </c>
      <c r="Q1609">
        <v>0.29224860000000003</v>
      </c>
      <c r="R1609">
        <v>-0.84284570000000003</v>
      </c>
      <c r="S1609">
        <v>0.87373349999999905</v>
      </c>
      <c r="T1609">
        <v>-0.51364140000000003</v>
      </c>
      <c r="U1609">
        <v>-3.275665</v>
      </c>
      <c r="V1609">
        <v>0.31128860000000003</v>
      </c>
      <c r="W1609">
        <v>0.29744710000000002</v>
      </c>
      <c r="X1609">
        <v>0.90256559999999997</v>
      </c>
      <c r="Y1609">
        <v>0.52825239999999996</v>
      </c>
      <c r="Z1609">
        <v>6.1153010000000001E-2</v>
      </c>
      <c r="AA1609">
        <v>0.84688240000000004</v>
      </c>
      <c r="AB1609">
        <v>22</v>
      </c>
      <c r="AC1609">
        <v>1.7956000000000001</v>
      </c>
      <c r="AD1609">
        <v>-1.1034296687509999</v>
      </c>
      <c r="AE1609">
        <v>-6.9520999999999704</v>
      </c>
      <c r="AF1609">
        <v>3.7574991035796801</v>
      </c>
      <c r="AG1609">
        <v>-1.1034296687509999</v>
      </c>
      <c r="AH1609">
        <v>5.9233085635521601</v>
      </c>
      <c r="AI1609">
        <v>98.939660774301302</v>
      </c>
      <c r="AJ1609">
        <v>57.610667694988202</v>
      </c>
      <c r="AK1609">
        <v>7.1008408576965296</v>
      </c>
      <c r="AL1609">
        <v>72.695665913591895</v>
      </c>
      <c r="AM1609">
        <v>70.971041976164599</v>
      </c>
      <c r="AN1609">
        <v>1.00000001604586</v>
      </c>
    </row>
    <row r="1610" spans="1:40" x14ac:dyDescent="0.25">
      <c r="A1610" t="str">
        <f>"20190304164846340"</f>
        <v>20190304164846340</v>
      </c>
      <c r="B1610" t="str">
        <f>"1551689326327477"</f>
        <v>1551689326327477</v>
      </c>
      <c r="C1610" t="s">
        <v>40</v>
      </c>
      <c r="D1610">
        <v>5.1591579999999997</v>
      </c>
      <c r="E1610">
        <v>0.61109599999999997</v>
      </c>
      <c r="F1610" t="s">
        <v>44</v>
      </c>
      <c r="G1610">
        <v>-194.91810000000001</v>
      </c>
      <c r="H1610" s="1">
        <v>-3.6318620000000001E-6</v>
      </c>
      <c r="I1610">
        <v>353.77210000000002</v>
      </c>
      <c r="J1610">
        <v>-196.66630000000001</v>
      </c>
      <c r="K1610">
        <v>1.103415</v>
      </c>
      <c r="L1610">
        <v>360.70549999999997</v>
      </c>
      <c r="M1610">
        <v>0.72568840000000001</v>
      </c>
      <c r="N1610">
        <v>-1.1531629999999999E-2</v>
      </c>
      <c r="O1610">
        <v>-0.68792710000000001</v>
      </c>
      <c r="P1610">
        <v>0.44724920000000001</v>
      </c>
      <c r="Q1610">
        <v>0.29146470000000002</v>
      </c>
      <c r="R1610">
        <v>-0.84558670000000002</v>
      </c>
      <c r="S1610">
        <v>0.85322569999999998</v>
      </c>
      <c r="T1610">
        <v>-0.51622369999999995</v>
      </c>
      <c r="U1610">
        <v>-3.2809140000000001</v>
      </c>
      <c r="V1610">
        <v>0.31106109999999998</v>
      </c>
      <c r="W1610">
        <v>0.29665659999999999</v>
      </c>
      <c r="X1610">
        <v>0.90290420000000005</v>
      </c>
      <c r="Y1610">
        <v>0.52850350000000001</v>
      </c>
      <c r="Z1610">
        <v>6.2290760000000001E-2</v>
      </c>
      <c r="AA1610">
        <v>0.84664280000000003</v>
      </c>
      <c r="AB1610">
        <v>22</v>
      </c>
      <c r="AC1610">
        <v>1.74819999999999</v>
      </c>
      <c r="AD1610">
        <v>-1.1034186318619901</v>
      </c>
      <c r="AE1610">
        <v>-6.9333999999999403</v>
      </c>
      <c r="AF1610">
        <v>3.7400449179500499</v>
      </c>
      <c r="AG1610">
        <v>-1.1034186318619901</v>
      </c>
      <c r="AH1610">
        <v>5.8982655171002296</v>
      </c>
      <c r="AI1610">
        <v>98.977973692638898</v>
      </c>
      <c r="AJ1610">
        <v>57.621529467138203</v>
      </c>
      <c r="AK1610">
        <v>7.0707145873410697</v>
      </c>
      <c r="AL1610">
        <v>72.7431002734603</v>
      </c>
      <c r="AM1610">
        <v>70.990568890508101</v>
      </c>
      <c r="AN1610">
        <v>1.0000000703172001</v>
      </c>
    </row>
    <row r="1611" spans="1:40" x14ac:dyDescent="0.25">
      <c r="A1611" t="str">
        <f>"20190304164846351"</f>
        <v>20190304164846351</v>
      </c>
      <c r="B1611" t="str">
        <f>"1551689326347972"</f>
        <v>1551689326347972</v>
      </c>
      <c r="C1611" t="s">
        <v>40</v>
      </c>
      <c r="D1611">
        <v>5.1724459999999999</v>
      </c>
      <c r="E1611">
        <v>0.61090619999999995</v>
      </c>
      <c r="F1611" t="s">
        <v>44</v>
      </c>
      <c r="G1611">
        <v>-194.89439999999999</v>
      </c>
      <c r="H1611" s="1">
        <v>-3.600779E-6</v>
      </c>
      <c r="I1611">
        <v>353.7208</v>
      </c>
      <c r="J1611">
        <v>-196.584</v>
      </c>
      <c r="K1611">
        <v>1.103402</v>
      </c>
      <c r="L1611">
        <v>360.61759999999998</v>
      </c>
      <c r="M1611">
        <v>0.72118169999999904</v>
      </c>
      <c r="N1611">
        <v>-1.1522040000000001E-2</v>
      </c>
      <c r="O1611">
        <v>-0.6926504</v>
      </c>
      <c r="P1611">
        <v>0.44251590000000002</v>
      </c>
      <c r="Q1611">
        <v>0.29121340000000001</v>
      </c>
      <c r="R1611">
        <v>-0.84815989999999997</v>
      </c>
      <c r="S1611">
        <v>0.83354189999999995</v>
      </c>
      <c r="T1611">
        <v>-0.51908209999999999</v>
      </c>
      <c r="U1611">
        <v>-3.285828</v>
      </c>
      <c r="V1611">
        <v>0.31027320000000003</v>
      </c>
      <c r="W1611">
        <v>0.29640840000000002</v>
      </c>
      <c r="X1611">
        <v>0.90325670000000002</v>
      </c>
      <c r="Y1611">
        <v>0.52805269999999904</v>
      </c>
      <c r="Z1611">
        <v>6.3602149999999996E-2</v>
      </c>
      <c r="AA1611">
        <v>0.84682639999999998</v>
      </c>
      <c r="AB1611">
        <v>22</v>
      </c>
      <c r="AC1611">
        <v>1.68960000000001</v>
      </c>
      <c r="AD1611">
        <v>-1.1034056007790001</v>
      </c>
      <c r="AE1611">
        <v>-6.8967999999999803</v>
      </c>
      <c r="AF1611">
        <v>3.7141111378643199</v>
      </c>
      <c r="AG1611">
        <v>-1.1034056007790001</v>
      </c>
      <c r="AH1611">
        <v>5.8546058586561003</v>
      </c>
      <c r="AI1611">
        <v>99.042514992670107</v>
      </c>
      <c r="AJ1611">
        <v>57.609312838916303</v>
      </c>
      <c r="AK1611">
        <v>7.02057940802956</v>
      </c>
      <c r="AL1611">
        <v>72.757990142087394</v>
      </c>
      <c r="AM1611">
        <v>71.042146755364996</v>
      </c>
      <c r="AN1611">
        <v>1.0000000321618401</v>
      </c>
    </row>
    <row r="1612" spans="1:40" x14ac:dyDescent="0.25">
      <c r="A1612" t="str">
        <f>"20190304164846363"</f>
        <v>20190304164846363</v>
      </c>
      <c r="B1612" t="str">
        <f>"1551689326357733"</f>
        <v>1551689326357733</v>
      </c>
      <c r="C1612" t="s">
        <v>40</v>
      </c>
      <c r="D1612">
        <v>5.1813229999999999</v>
      </c>
      <c r="E1612">
        <v>0.61074839999999997</v>
      </c>
      <c r="F1612" t="s">
        <v>44</v>
      </c>
      <c r="G1612">
        <v>-194.85759999999999</v>
      </c>
      <c r="H1612" s="1">
        <v>-3.5578820000000002E-6</v>
      </c>
      <c r="I1612">
        <v>353.65170000000001</v>
      </c>
      <c r="J1612">
        <v>-196.5061</v>
      </c>
      <c r="K1612">
        <v>1.103394</v>
      </c>
      <c r="L1612">
        <v>360.53320000000002</v>
      </c>
      <c r="M1612">
        <v>0.71685140000000003</v>
      </c>
      <c r="N1612">
        <v>-1.151371E-2</v>
      </c>
      <c r="O1612">
        <v>-0.69713099999999995</v>
      </c>
      <c r="P1612">
        <v>0.4380153</v>
      </c>
      <c r="Q1612">
        <v>0.29088969999999997</v>
      </c>
      <c r="R1612">
        <v>-0.850603199999999</v>
      </c>
      <c r="S1612">
        <v>0.81550599999999995</v>
      </c>
      <c r="T1612">
        <v>-0.52122550000000001</v>
      </c>
      <c r="U1612">
        <v>-3.2905579999999999</v>
      </c>
      <c r="V1612">
        <v>0.30950709999999998</v>
      </c>
      <c r="W1612">
        <v>0.29608820000000002</v>
      </c>
      <c r="X1612">
        <v>0.90362439999999999</v>
      </c>
      <c r="Y1612">
        <v>0.52744380000000002</v>
      </c>
      <c r="Z1612">
        <v>6.4782690000000004E-2</v>
      </c>
      <c r="AA1612">
        <v>0.84711639999999999</v>
      </c>
      <c r="AB1612">
        <v>22</v>
      </c>
      <c r="AC1612">
        <v>1.6485000000000101</v>
      </c>
      <c r="AD1612">
        <v>-1.1033975578819999</v>
      </c>
      <c r="AE1612">
        <v>-6.8815000000000097</v>
      </c>
      <c r="AF1612">
        <v>3.6942202140520499</v>
      </c>
      <c r="AG1612">
        <v>-1.1033975578819999</v>
      </c>
      <c r="AH1612">
        <v>5.8374971124250701</v>
      </c>
      <c r="AI1612">
        <v>99.074756261133004</v>
      </c>
      <c r="AJ1612">
        <v>57.672604984777301</v>
      </c>
      <c r="AK1612">
        <v>6.9957931428982203</v>
      </c>
      <c r="AL1612">
        <v>72.777197243242398</v>
      </c>
      <c r="AM1612">
        <v>71.092774561451606</v>
      </c>
      <c r="AN1612">
        <v>0.99999996170250405</v>
      </c>
    </row>
    <row r="1613" spans="1:40" x14ac:dyDescent="0.25">
      <c r="A1613" t="str">
        <f>"20190304164846375"</f>
        <v>20190304164846375</v>
      </c>
      <c r="B1613" t="str">
        <f>"1551689326367492"</f>
        <v>1551689326367492</v>
      </c>
      <c r="C1613" t="s">
        <v>40</v>
      </c>
      <c r="D1613">
        <v>5.1640829999999998</v>
      </c>
      <c r="E1613">
        <v>0.61014000000000002</v>
      </c>
      <c r="F1613" t="s">
        <v>44</v>
      </c>
      <c r="G1613">
        <v>-194.82429999999999</v>
      </c>
      <c r="H1613" s="1">
        <v>-3.5196940000000002E-6</v>
      </c>
      <c r="I1613">
        <v>353.59050000000002</v>
      </c>
      <c r="J1613">
        <v>-196.42400000000001</v>
      </c>
      <c r="K1613">
        <v>1.10338</v>
      </c>
      <c r="L1613">
        <v>360.44369999999998</v>
      </c>
      <c r="M1613">
        <v>0.71223939999999997</v>
      </c>
      <c r="N1613">
        <v>-1.150523E-2</v>
      </c>
      <c r="O1613">
        <v>-0.70184259999999998</v>
      </c>
      <c r="P1613">
        <v>0.43324240000000003</v>
      </c>
      <c r="Q1613">
        <v>0.29070170000000001</v>
      </c>
      <c r="R1613">
        <v>-0.853108599999999</v>
      </c>
      <c r="S1613">
        <v>0.79817199999999999</v>
      </c>
      <c r="T1613">
        <v>-0.52366789999999996</v>
      </c>
      <c r="U1613">
        <v>-3.2949830000000002</v>
      </c>
      <c r="V1613">
        <v>0.30865749999999997</v>
      </c>
      <c r="W1613">
        <v>0.29590470000000002</v>
      </c>
      <c r="X1613">
        <v>0.90397510000000003</v>
      </c>
      <c r="Y1613">
        <v>0.52634169999999902</v>
      </c>
      <c r="Z1613">
        <v>6.6095879999999996E-2</v>
      </c>
      <c r="AA1613">
        <v>0.84770029999999996</v>
      </c>
      <c r="AB1613">
        <v>22</v>
      </c>
      <c r="AC1613">
        <v>1.5997000000000099</v>
      </c>
      <c r="AD1613">
        <v>-1.1033835196940001</v>
      </c>
      <c r="AE1613">
        <v>-6.8531999999999504</v>
      </c>
      <c r="AF1613">
        <v>3.6684500578427301</v>
      </c>
      <c r="AG1613">
        <v>-1.1033835196940001</v>
      </c>
      <c r="AH1613">
        <v>5.80688240058487</v>
      </c>
      <c r="AI1613">
        <v>99.126146231711402</v>
      </c>
      <c r="AJ1613">
        <v>57.717688052945299</v>
      </c>
      <c r="AK1613">
        <v>6.9566417352513596</v>
      </c>
      <c r="AL1613">
        <v>72.788205157416002</v>
      </c>
      <c r="AM1613">
        <v>71.147801929678494</v>
      </c>
      <c r="AN1613">
        <v>1.0000000126041699</v>
      </c>
    </row>
    <row r="1614" spans="1:40" x14ac:dyDescent="0.25">
      <c r="A1614" t="str">
        <f>"20190304164846394"</f>
        <v>20190304164846394</v>
      </c>
      <c r="B1614" t="str">
        <f>"1551689326387519"</f>
        <v>1551689326387519</v>
      </c>
      <c r="C1614" t="s">
        <v>40</v>
      </c>
      <c r="D1614">
        <v>5.1312559999999996</v>
      </c>
      <c r="E1614">
        <v>0.60991249999999997</v>
      </c>
      <c r="F1614" t="s">
        <v>44</v>
      </c>
      <c r="G1614">
        <v>-194.79230000000001</v>
      </c>
      <c r="H1614" s="1">
        <v>-3.5072040000000002E-6</v>
      </c>
      <c r="I1614">
        <v>353.57979999999998</v>
      </c>
      <c r="J1614">
        <v>-196.2971</v>
      </c>
      <c r="K1614">
        <v>1.1033599999999999</v>
      </c>
      <c r="L1614">
        <v>360.3023</v>
      </c>
      <c r="M1614">
        <v>0.7049685</v>
      </c>
      <c r="N1614">
        <v>-1.149383E-2</v>
      </c>
      <c r="O1614">
        <v>-0.70914549999999998</v>
      </c>
      <c r="P1614">
        <v>0.4256915</v>
      </c>
      <c r="Q1614">
        <v>0.29066629999999999</v>
      </c>
      <c r="R1614">
        <v>-0.85691319999999904</v>
      </c>
      <c r="S1614">
        <v>0.78422550000000002</v>
      </c>
      <c r="T1614">
        <v>-0.53031399999999995</v>
      </c>
      <c r="U1614">
        <v>-3.29895</v>
      </c>
      <c r="V1614">
        <v>0.30733749999999999</v>
      </c>
      <c r="W1614">
        <v>0.29587550000000001</v>
      </c>
      <c r="X1614">
        <v>0.90443430000000002</v>
      </c>
      <c r="Y1614">
        <v>0.52125929999999998</v>
      </c>
      <c r="Z1614">
        <v>6.8812139999999994E-2</v>
      </c>
      <c r="AA1614">
        <v>0.85061960000000003</v>
      </c>
      <c r="AB1614">
        <v>22</v>
      </c>
      <c r="AC1614">
        <v>1.5047999999999799</v>
      </c>
      <c r="AD1614">
        <v>-1.103363507204</v>
      </c>
      <c r="AE1614">
        <v>-6.7225000000000197</v>
      </c>
      <c r="AF1614">
        <v>3.5804216998048202</v>
      </c>
      <c r="AG1614">
        <v>-1.103363507204</v>
      </c>
      <c r="AH1614">
        <v>5.6826731665897796</v>
      </c>
      <c r="AI1614">
        <v>99.328945396971804</v>
      </c>
      <c r="AJ1614">
        <v>57.786635578470502</v>
      </c>
      <c r="AK1614">
        <v>6.8065854064826299</v>
      </c>
      <c r="AL1614">
        <v>72.789956871582604</v>
      </c>
      <c r="AM1614">
        <v>71.231630057981405</v>
      </c>
      <c r="AN1614">
        <v>1.0000000267114899</v>
      </c>
    </row>
    <row r="1615" spans="1:40" x14ac:dyDescent="0.25">
      <c r="A1615" t="str">
        <f>"20190304164846406"</f>
        <v>20190304164846406</v>
      </c>
      <c r="B1615" t="str">
        <f>"1551689326397279"</f>
        <v>1551689326397279</v>
      </c>
      <c r="C1615" t="s">
        <v>40</v>
      </c>
      <c r="D1615">
        <v>5.1354759999999997</v>
      </c>
      <c r="E1615">
        <v>0.60982499999999995</v>
      </c>
      <c r="F1615" t="s">
        <v>44</v>
      </c>
      <c r="G1615">
        <v>-194.72749999999999</v>
      </c>
      <c r="H1615" s="1">
        <v>-3.4273389999999998E-6</v>
      </c>
      <c r="I1615">
        <v>353.44959999999998</v>
      </c>
      <c r="J1615">
        <v>-196.22309999999999</v>
      </c>
      <c r="K1615">
        <v>1.103348</v>
      </c>
      <c r="L1615">
        <v>360.21809999999999</v>
      </c>
      <c r="M1615">
        <v>0.70064649999999995</v>
      </c>
      <c r="N1615">
        <v>-1.1488180000000001E-2</v>
      </c>
      <c r="O1615">
        <v>-0.71341599999999905</v>
      </c>
      <c r="P1615">
        <v>0.42084569999999999</v>
      </c>
      <c r="Q1615">
        <v>0.2911919</v>
      </c>
      <c r="R1615">
        <v>-0.85912529999999998</v>
      </c>
      <c r="S1615">
        <v>0.75706479999999998</v>
      </c>
      <c r="T1615">
        <v>-0.5322093</v>
      </c>
      <c r="U1615">
        <v>-3.3053889999999999</v>
      </c>
      <c r="V1615">
        <v>0.30683820000000001</v>
      </c>
      <c r="W1615">
        <v>0.29639880000000002</v>
      </c>
      <c r="X1615">
        <v>0.90443240000000003</v>
      </c>
      <c r="Y1615">
        <v>0.52308279999999996</v>
      </c>
      <c r="Z1615">
        <v>6.9773740000000001E-2</v>
      </c>
      <c r="AA1615">
        <v>0.84942099999999898</v>
      </c>
      <c r="AB1615">
        <v>22</v>
      </c>
      <c r="AC1615">
        <v>1.49559999999999</v>
      </c>
      <c r="AD1615">
        <v>-1.1033514273389999</v>
      </c>
      <c r="AE1615">
        <v>-6.7685000000000102</v>
      </c>
      <c r="AF1615">
        <v>3.5847598239601202</v>
      </c>
      <c r="AG1615">
        <v>-1.1033514273389999</v>
      </c>
      <c r="AH1615">
        <v>5.7318096088824602</v>
      </c>
      <c r="AI1615">
        <v>99.269290905300196</v>
      </c>
      <c r="AJ1615">
        <v>57.977520531614402</v>
      </c>
      <c r="AK1615">
        <v>6.8499291062146703</v>
      </c>
      <c r="AL1615">
        <v>72.758564563403397</v>
      </c>
      <c r="AM1615">
        <v>71.259954433369103</v>
      </c>
      <c r="AN1615">
        <v>0.99999994789521796</v>
      </c>
    </row>
    <row r="1616" spans="1:40" x14ac:dyDescent="0.25">
      <c r="A1616" t="str">
        <f>"20190304164846417"</f>
        <v>20190304164846417</v>
      </c>
      <c r="B1616" t="str">
        <f>"1551689326408015"</f>
        <v>1551689326408015</v>
      </c>
      <c r="C1616" t="s">
        <v>40</v>
      </c>
      <c r="D1616">
        <v>5.1260870000000001</v>
      </c>
      <c r="E1616">
        <v>0.6096838</v>
      </c>
      <c r="F1616" t="s">
        <v>44</v>
      </c>
      <c r="G1616">
        <v>-194.6858</v>
      </c>
      <c r="H1616" s="1">
        <v>-3.3644910000000001E-6</v>
      </c>
      <c r="I1616">
        <v>353.34309999999999</v>
      </c>
      <c r="J1616">
        <v>-196.14689999999999</v>
      </c>
      <c r="K1616">
        <v>1.103343</v>
      </c>
      <c r="L1616">
        <v>360.13099999999997</v>
      </c>
      <c r="M1616">
        <v>0.69615329999999997</v>
      </c>
      <c r="N1616">
        <v>-1.148248E-2</v>
      </c>
      <c r="O1616">
        <v>-0.71780159999999904</v>
      </c>
      <c r="P1616">
        <v>0.4158422</v>
      </c>
      <c r="Q1616">
        <v>0.2915529</v>
      </c>
      <c r="R1616">
        <v>-0.86143649999999905</v>
      </c>
      <c r="S1616">
        <v>0.74002080000000003</v>
      </c>
      <c r="T1616">
        <v>-0.53112899999999996</v>
      </c>
      <c r="U1616">
        <v>-3.3094790000000001</v>
      </c>
      <c r="V1616">
        <v>0.306345599999999</v>
      </c>
      <c r="W1616">
        <v>0.29675669999999998</v>
      </c>
      <c r="X1616">
        <v>0.90448209999999996</v>
      </c>
      <c r="Y1616">
        <v>0.52215080000000003</v>
      </c>
      <c r="Z1616">
        <v>7.0520799999999995E-2</v>
      </c>
      <c r="AA1616">
        <v>0.84993259999999904</v>
      </c>
      <c r="AB1616">
        <v>22</v>
      </c>
      <c r="AC1616">
        <v>1.4610999999999801</v>
      </c>
      <c r="AD1616">
        <v>-1.103346364491</v>
      </c>
      <c r="AE1616">
        <v>-6.7878999999999703</v>
      </c>
      <c r="AF1616">
        <v>3.5863216016383999</v>
      </c>
      <c r="AG1616">
        <v>-1.103346364491</v>
      </c>
      <c r="AH1616">
        <v>5.7448378049191504</v>
      </c>
      <c r="AI1616">
        <v>99.253275620196007</v>
      </c>
      <c r="AJ1616">
        <v>58.0247632546631</v>
      </c>
      <c r="AK1616">
        <v>6.8616497458877896</v>
      </c>
      <c r="AL1616">
        <v>72.737093577579301</v>
      </c>
      <c r="AM1616">
        <v>71.288900881828297</v>
      </c>
      <c r="AN1616">
        <v>1.00000001742732</v>
      </c>
    </row>
    <row r="1617" spans="1:40" x14ac:dyDescent="0.25">
      <c r="A1617" t="str">
        <f>"20190304164846431"</f>
        <v>20190304164846431</v>
      </c>
      <c r="B1617" t="str">
        <f>"1551689326427535"</f>
        <v>1551689326427535</v>
      </c>
      <c r="C1617" t="s">
        <v>40</v>
      </c>
      <c r="D1617">
        <v>5.1101340000000004</v>
      </c>
      <c r="E1617">
        <v>0.61022509999999996</v>
      </c>
      <c r="F1617" t="s">
        <v>44</v>
      </c>
      <c r="G1617">
        <v>-194.64429999999999</v>
      </c>
      <c r="H1617" s="1">
        <v>-3.3084840000000002E-6</v>
      </c>
      <c r="I1617">
        <v>353.25009999999997</v>
      </c>
      <c r="J1617">
        <v>-196.0592</v>
      </c>
      <c r="K1617">
        <v>1.103335</v>
      </c>
      <c r="L1617">
        <v>360.029</v>
      </c>
      <c r="M1617">
        <v>0.69089969999999901</v>
      </c>
      <c r="N1617">
        <v>-1.147666E-2</v>
      </c>
      <c r="O1617">
        <v>-0.72285959999999905</v>
      </c>
      <c r="P1617">
        <v>0.40980169999999999</v>
      </c>
      <c r="Q1617">
        <v>0.29226629999999998</v>
      </c>
      <c r="R1617">
        <v>-0.86408529999999995</v>
      </c>
      <c r="S1617">
        <v>0.72349549999999996</v>
      </c>
      <c r="T1617">
        <v>-0.53124830000000001</v>
      </c>
      <c r="U1617">
        <v>-3.3130489999999999</v>
      </c>
      <c r="V1617">
        <v>0.30593330000000002</v>
      </c>
      <c r="W1617">
        <v>0.29746240000000002</v>
      </c>
      <c r="X1617">
        <v>0.90438980000000002</v>
      </c>
      <c r="Y1617">
        <v>0.52020529999999998</v>
      </c>
      <c r="Z1617">
        <v>7.1657750000000006E-2</v>
      </c>
      <c r="AA1617">
        <v>0.85102979999999995</v>
      </c>
      <c r="AB1617">
        <v>22</v>
      </c>
      <c r="AC1617">
        <v>1.41490000000001</v>
      </c>
      <c r="AD1617">
        <v>-1.1033383084840001</v>
      </c>
      <c r="AE1617">
        <v>-6.7789000000000197</v>
      </c>
      <c r="AF1617">
        <v>3.5703724185881298</v>
      </c>
      <c r="AG1617">
        <v>-1.1033383084840001</v>
      </c>
      <c r="AH1617">
        <v>5.7326105864594403</v>
      </c>
      <c r="AI1617">
        <v>99.2785394926495</v>
      </c>
      <c r="AJ1617">
        <v>58.0846111738052</v>
      </c>
      <c r="AK1617">
        <v>6.8430796258972499</v>
      </c>
      <c r="AL1617">
        <v>72.694747207086394</v>
      </c>
      <c r="AM1617">
        <v>71.310559311002294</v>
      </c>
      <c r="AN1617">
        <v>0.99999998690334402</v>
      </c>
    </row>
    <row r="1618" spans="1:40" x14ac:dyDescent="0.25">
      <c r="A1618" t="str">
        <f>"20190304164846450"</f>
        <v>20190304164846450</v>
      </c>
      <c r="B1618" t="str">
        <f>"1551689326448031"</f>
        <v>1551689326448031</v>
      </c>
      <c r="C1618" t="s">
        <v>40</v>
      </c>
      <c r="D1618">
        <v>5.1072160000000002</v>
      </c>
      <c r="E1618">
        <v>0.60991130000000005</v>
      </c>
      <c r="F1618" t="s">
        <v>44</v>
      </c>
      <c r="G1618">
        <v>-194.58150000000001</v>
      </c>
      <c r="H1618" s="1">
        <v>-3.1669550000000002E-6</v>
      </c>
      <c r="I1618">
        <v>352.9966</v>
      </c>
      <c r="J1618">
        <v>-195.93690000000001</v>
      </c>
      <c r="K1618">
        <v>1.1033249999999999</v>
      </c>
      <c r="L1618">
        <v>359.88409999999999</v>
      </c>
      <c r="M1618">
        <v>0.68343039999999999</v>
      </c>
      <c r="N1618">
        <v>-1.146952E-2</v>
      </c>
      <c r="O1618">
        <v>-0.72992579999999996</v>
      </c>
      <c r="P1618">
        <v>0.40105279999999999</v>
      </c>
      <c r="Q1618">
        <v>0.29527690000000001</v>
      </c>
      <c r="R1618">
        <v>-0.86716130000000002</v>
      </c>
      <c r="S1618">
        <v>0.69708249999999905</v>
      </c>
      <c r="T1618">
        <v>-0.5204628</v>
      </c>
      <c r="U1618">
        <v>-3.3173219999999999</v>
      </c>
      <c r="V1618">
        <v>0.30513459999999998</v>
      </c>
      <c r="W1618">
        <v>0.3004616</v>
      </c>
      <c r="X1618">
        <v>0.90366789999999997</v>
      </c>
      <c r="Y1618">
        <v>0.51818379999999997</v>
      </c>
      <c r="Z1618">
        <v>7.1531209999999998E-2</v>
      </c>
      <c r="AA1618">
        <v>0.85227269999999899</v>
      </c>
      <c r="AB1618">
        <v>22</v>
      </c>
      <c r="AC1618">
        <v>1.3553999999999999</v>
      </c>
      <c r="AD1618">
        <v>-1.1033281669549999</v>
      </c>
      <c r="AE1618">
        <v>-6.8874999999999797</v>
      </c>
      <c r="AF1618">
        <v>3.6283900162758602</v>
      </c>
      <c r="AG1618">
        <v>-1.1033281669549999</v>
      </c>
      <c r="AH1618">
        <v>5.8105270885392901</v>
      </c>
      <c r="AI1618">
        <v>99.1495588750726</v>
      </c>
      <c r="AJ1618">
        <v>58.017237964040298</v>
      </c>
      <c r="AK1618">
        <v>6.9386433977295301</v>
      </c>
      <c r="AL1618">
        <v>72.514669744538196</v>
      </c>
      <c r="AM1618">
        <v>71.342112412858597</v>
      </c>
      <c r="AN1618">
        <v>0.99999998534106405</v>
      </c>
    </row>
    <row r="1619" spans="1:40" x14ac:dyDescent="0.25">
      <c r="A1619" t="str">
        <f>"20190304164846465"</f>
        <v>20190304164846465</v>
      </c>
      <c r="B1619" t="str">
        <f>"1551689326457791"</f>
        <v>1551689326457791</v>
      </c>
      <c r="C1619" t="s">
        <v>40</v>
      </c>
      <c r="D1619">
        <v>5.0857429999999999</v>
      </c>
      <c r="E1619">
        <v>0.60979499999999998</v>
      </c>
      <c r="F1619" t="s">
        <v>44</v>
      </c>
      <c r="G1619">
        <v>-194.4913</v>
      </c>
      <c r="H1619" s="1">
        <v>-3.0289529999999999E-6</v>
      </c>
      <c r="I1619">
        <v>352.76209999999998</v>
      </c>
      <c r="J1619">
        <v>-195.84129999999999</v>
      </c>
      <c r="K1619">
        <v>1.103321</v>
      </c>
      <c r="L1619">
        <v>359.76889999999997</v>
      </c>
      <c r="M1619">
        <v>0.67748469999999905</v>
      </c>
      <c r="N1619">
        <v>-1.146252E-2</v>
      </c>
      <c r="O1619">
        <v>-0.73544779999999998</v>
      </c>
      <c r="P1619">
        <v>0.39416329999999999</v>
      </c>
      <c r="Q1619">
        <v>0.2970817</v>
      </c>
      <c r="R1619">
        <v>-0.86970009999999998</v>
      </c>
      <c r="S1619">
        <v>0.67445369999999905</v>
      </c>
      <c r="T1619">
        <v>-0.51477609999999996</v>
      </c>
      <c r="U1619">
        <v>-3.3229060000000001</v>
      </c>
      <c r="V1619">
        <v>0.304591099999999</v>
      </c>
      <c r="W1619">
        <v>0.30225570000000002</v>
      </c>
      <c r="X1619">
        <v>0.90325290000000003</v>
      </c>
      <c r="Y1619">
        <v>0.51713370000000003</v>
      </c>
      <c r="Z1619">
        <v>7.1740429999999994E-2</v>
      </c>
      <c r="AA1619">
        <v>0.85289280000000001</v>
      </c>
      <c r="AB1619">
        <v>22</v>
      </c>
      <c r="AC1619">
        <v>1.3499999999999901</v>
      </c>
      <c r="AD1619">
        <v>-1.103324028953</v>
      </c>
      <c r="AE1619">
        <v>-7.0067999999999904</v>
      </c>
      <c r="AF1619">
        <v>3.6667283380559099</v>
      </c>
      <c r="AG1619">
        <v>-1.103324028953</v>
      </c>
      <c r="AH1619">
        <v>5.9264499888086704</v>
      </c>
      <c r="AI1619">
        <v>98.996265698798695</v>
      </c>
      <c r="AJ1619">
        <v>58.254685418860298</v>
      </c>
      <c r="AK1619">
        <v>7.05585076995097</v>
      </c>
      <c r="AL1619">
        <v>72.406864247992303</v>
      </c>
      <c r="AM1619">
        <v>71.365083651287094</v>
      </c>
      <c r="AN1619">
        <v>1.0000000238700499</v>
      </c>
    </row>
    <row r="1620" spans="1:40" x14ac:dyDescent="0.25">
      <c r="A1620" t="str">
        <f>"20190304164846484"</f>
        <v>20190304164846484</v>
      </c>
      <c r="B1620" t="str">
        <f>"1551689326477311"</f>
        <v>1551689326477311</v>
      </c>
      <c r="C1620" t="s">
        <v>40</v>
      </c>
      <c r="D1620">
        <v>5.0883940000000001</v>
      </c>
      <c r="E1620">
        <v>0.60950939999999998</v>
      </c>
      <c r="F1620" t="s">
        <v>44</v>
      </c>
      <c r="G1620">
        <v>-194.42920000000001</v>
      </c>
      <c r="H1620" s="1">
        <v>-2.9221660000000001E-6</v>
      </c>
      <c r="I1620">
        <v>352.5772</v>
      </c>
      <c r="J1620">
        <v>-195.7244</v>
      </c>
      <c r="K1620">
        <v>1.1033200000000001</v>
      </c>
      <c r="L1620">
        <v>359.62529999999998</v>
      </c>
      <c r="M1620">
        <v>0.67006779999999999</v>
      </c>
      <c r="N1620">
        <v>-1.1451589999999999E-2</v>
      </c>
      <c r="O1620">
        <v>-0.74221159999999997</v>
      </c>
      <c r="P1620">
        <v>0.38606220000000002</v>
      </c>
      <c r="Q1620">
        <v>0.30129299999999998</v>
      </c>
      <c r="R1620">
        <v>-0.87188259999999995</v>
      </c>
      <c r="S1620">
        <v>0.65342709999999904</v>
      </c>
      <c r="T1620">
        <v>-0.51053519999999997</v>
      </c>
      <c r="U1620">
        <v>-3.3277589999999901</v>
      </c>
      <c r="V1620">
        <v>0.30303360000000001</v>
      </c>
      <c r="W1620">
        <v>0.30646269999999998</v>
      </c>
      <c r="X1620">
        <v>0.90235869999999996</v>
      </c>
      <c r="Y1620">
        <v>0.51401439999999998</v>
      </c>
      <c r="Z1620">
        <v>7.2538899999999906E-2</v>
      </c>
      <c r="AA1620">
        <v>0.85470889999999999</v>
      </c>
      <c r="AB1620">
        <v>22</v>
      </c>
      <c r="AC1620">
        <v>1.2951999999999899</v>
      </c>
      <c r="AD1620">
        <v>-1.1033229221659999</v>
      </c>
      <c r="AE1620">
        <v>-7.0480999999999696</v>
      </c>
      <c r="AF1620">
        <v>3.6745346421222602</v>
      </c>
      <c r="AG1620">
        <v>-1.1033229221659999</v>
      </c>
      <c r="AH1620">
        <v>5.9582145680086001</v>
      </c>
      <c r="AI1620">
        <v>98.956904110386105</v>
      </c>
      <c r="AJ1620">
        <v>58.337142679750201</v>
      </c>
      <c r="AK1620">
        <v>7.0865963018337297</v>
      </c>
      <c r="AL1620">
        <v>72.153814647295704</v>
      </c>
      <c r="AM1620">
        <v>71.436719233204798</v>
      </c>
      <c r="AN1620">
        <v>0.99999998634296905</v>
      </c>
    </row>
    <row r="1621" spans="1:40" x14ac:dyDescent="0.25">
      <c r="A1621" t="str">
        <f>"20190304164846495"</f>
        <v>20190304164846495</v>
      </c>
      <c r="B1621" t="str">
        <f>"1551689326488048"</f>
        <v>1551689326488048</v>
      </c>
      <c r="C1621" t="s">
        <v>40</v>
      </c>
      <c r="D1621">
        <v>5.0749259999999996</v>
      </c>
      <c r="E1621">
        <v>0.60932619999999904</v>
      </c>
      <c r="F1621" t="s">
        <v>44</v>
      </c>
      <c r="G1621">
        <v>-194.32570000000001</v>
      </c>
      <c r="H1621" s="1">
        <v>-2.7327570000000002E-6</v>
      </c>
      <c r="I1621">
        <v>352.27499999999998</v>
      </c>
      <c r="J1621">
        <v>-195.6472</v>
      </c>
      <c r="K1621">
        <v>1.1033189999999999</v>
      </c>
      <c r="L1621">
        <v>359.52910000000003</v>
      </c>
      <c r="M1621">
        <v>0.66508780000000001</v>
      </c>
      <c r="N1621">
        <v>-1.144327E-2</v>
      </c>
      <c r="O1621">
        <v>-0.74667759999999905</v>
      </c>
      <c r="P1621">
        <v>0.3810037</v>
      </c>
      <c r="Q1621">
        <v>0.30297659999999998</v>
      </c>
      <c r="R1621">
        <v>-0.87352249999999998</v>
      </c>
      <c r="S1621">
        <v>0.6342468</v>
      </c>
      <c r="T1621">
        <v>-0.50028839999999997</v>
      </c>
      <c r="U1621">
        <v>-3.332916</v>
      </c>
      <c r="V1621">
        <v>0.30187259999999999</v>
      </c>
      <c r="W1621">
        <v>0.30814979999999997</v>
      </c>
      <c r="X1621">
        <v>0.90217329999999996</v>
      </c>
      <c r="Y1621">
        <v>0.51329689999999994</v>
      </c>
      <c r="Z1621">
        <v>7.1734469999999995E-2</v>
      </c>
      <c r="AA1621">
        <v>0.85520790000000002</v>
      </c>
      <c r="AB1621">
        <v>22</v>
      </c>
      <c r="AC1621">
        <v>1.3214999999999799</v>
      </c>
      <c r="AD1621">
        <v>-1.103321732757</v>
      </c>
      <c r="AE1621">
        <v>-7.25410000000005</v>
      </c>
      <c r="AF1621">
        <v>3.7540753717239799</v>
      </c>
      <c r="AG1621">
        <v>-1.103321732757</v>
      </c>
      <c r="AH1621">
        <v>6.1579219740369799</v>
      </c>
      <c r="AI1621">
        <v>98.697897516563202</v>
      </c>
      <c r="AJ1621">
        <v>58.632116689728001</v>
      </c>
      <c r="AK1621">
        <v>7.2959169253004799</v>
      </c>
      <c r="AL1621">
        <v>72.052236100023805</v>
      </c>
      <c r="AM1621">
        <v>71.499449621997499</v>
      </c>
      <c r="AN1621">
        <v>1.00000001455184</v>
      </c>
    </row>
    <row r="1622" spans="1:40" x14ac:dyDescent="0.25">
      <c r="A1622" t="str">
        <f>"20190304164846507"</f>
        <v>20190304164846507</v>
      </c>
      <c r="B1622" t="str">
        <f>"1551689326497807"</f>
        <v>1551689326497807</v>
      </c>
      <c r="C1622" t="s">
        <v>40</v>
      </c>
      <c r="D1622">
        <v>5.0792120000000001</v>
      </c>
      <c r="E1622">
        <v>0.60914639999999998</v>
      </c>
      <c r="F1622" t="s">
        <v>44</v>
      </c>
      <c r="G1622">
        <v>-194.2688</v>
      </c>
      <c r="H1622" s="1">
        <v>-2.6303399999999999E-6</v>
      </c>
      <c r="I1622">
        <v>352.1275</v>
      </c>
      <c r="J1622">
        <v>-195.57400000000001</v>
      </c>
      <c r="K1622">
        <v>1.1033120000000001</v>
      </c>
      <c r="L1622">
        <v>359.43619999999999</v>
      </c>
      <c r="M1622">
        <v>0.66028330000000002</v>
      </c>
      <c r="N1622">
        <v>-1.1435509999999999E-2</v>
      </c>
      <c r="O1622">
        <v>-0.75092990000000004</v>
      </c>
      <c r="P1622">
        <v>0.3763049</v>
      </c>
      <c r="Q1622">
        <v>0.30506480000000002</v>
      </c>
      <c r="R1622">
        <v>-0.87483180000000005</v>
      </c>
      <c r="S1622">
        <v>0.62121579999999998</v>
      </c>
      <c r="T1622">
        <v>-0.49726300000000001</v>
      </c>
      <c r="U1622">
        <v>-3.3358759999999998</v>
      </c>
      <c r="V1622">
        <v>0.30049209999999998</v>
      </c>
      <c r="W1622">
        <v>0.31024469999999998</v>
      </c>
      <c r="X1622">
        <v>0.9019161</v>
      </c>
      <c r="Y1622">
        <v>0.511185</v>
      </c>
      <c r="Z1622">
        <v>7.2151199999999999E-2</v>
      </c>
      <c r="AA1622">
        <v>0.8564368</v>
      </c>
      <c r="AB1622">
        <v>22</v>
      </c>
      <c r="AC1622">
        <v>1.3052000000000099</v>
      </c>
      <c r="AD1622">
        <v>-1.1033146303399901</v>
      </c>
      <c r="AE1622">
        <v>-7.3086999999999804</v>
      </c>
      <c r="AF1622">
        <v>3.76284926951138</v>
      </c>
      <c r="AG1622">
        <v>-1.1033146303399901</v>
      </c>
      <c r="AH1622">
        <v>6.2133196312455699</v>
      </c>
      <c r="AI1622">
        <v>98.636638233740598</v>
      </c>
      <c r="AJ1622">
        <v>58.8004780387922</v>
      </c>
      <c r="AK1622">
        <v>7.3472225118480097</v>
      </c>
      <c r="AL1622">
        <v>71.926021459125906</v>
      </c>
      <c r="AM1622">
        <v>71.573433302356406</v>
      </c>
      <c r="AN1622">
        <v>0.999999963739854</v>
      </c>
    </row>
    <row r="1623" spans="1:40" x14ac:dyDescent="0.25">
      <c r="A1623" t="str">
        <f>"20190304164846520"</f>
        <v>20190304164846520</v>
      </c>
      <c r="B1623" t="str">
        <f>"1551689326517327"</f>
        <v>1551689326517327</v>
      </c>
      <c r="C1623" t="s">
        <v>40</v>
      </c>
      <c r="D1623">
        <v>5.0444290000000001</v>
      </c>
      <c r="E1623">
        <v>0.60876850000000005</v>
      </c>
      <c r="F1623" t="s">
        <v>44</v>
      </c>
      <c r="G1623">
        <v>-194.20869999999999</v>
      </c>
      <c r="H1623" s="1">
        <v>-2.5141339999999999E-6</v>
      </c>
      <c r="I1623">
        <v>351.95830000000001</v>
      </c>
      <c r="J1623">
        <v>-195.50049999999999</v>
      </c>
      <c r="K1623">
        <v>1.1033090000000001</v>
      </c>
      <c r="L1623">
        <v>359.34199999999998</v>
      </c>
      <c r="M1623">
        <v>0.65540619999999905</v>
      </c>
      <c r="N1623">
        <v>-1.1427E-2</v>
      </c>
      <c r="O1623">
        <v>-0.75519040000000004</v>
      </c>
      <c r="P1623">
        <v>0.37200159999999999</v>
      </c>
      <c r="Q1623">
        <v>0.30651289999999998</v>
      </c>
      <c r="R1623">
        <v>-0.87616539999999998</v>
      </c>
      <c r="S1623">
        <v>0.60958859999999904</v>
      </c>
      <c r="T1623">
        <v>-0.49261709999999898</v>
      </c>
      <c r="U1623">
        <v>-3.3388059999999999</v>
      </c>
      <c r="V1623">
        <v>0.29877870000000001</v>
      </c>
      <c r="W1623">
        <v>0.3117086</v>
      </c>
      <c r="X1623">
        <v>0.90198060000000002</v>
      </c>
      <c r="Y1623">
        <v>0.50866880000000003</v>
      </c>
      <c r="Z1623">
        <v>7.2309579999999998E-2</v>
      </c>
      <c r="AA1623">
        <v>0.85792029999999997</v>
      </c>
      <c r="AB1623">
        <v>22</v>
      </c>
      <c r="AC1623">
        <v>1.2917999999999901</v>
      </c>
      <c r="AD1623">
        <v>-1.103311514134</v>
      </c>
      <c r="AE1623">
        <v>-7.38369999999997</v>
      </c>
      <c r="AF1623">
        <v>3.78208130640781</v>
      </c>
      <c r="AG1623">
        <v>-1.103311514134</v>
      </c>
      <c r="AH1623">
        <v>6.2869653759961901</v>
      </c>
      <c r="AI1623">
        <v>98.551972105064806</v>
      </c>
      <c r="AJ1623">
        <v>58.969935264914298</v>
      </c>
      <c r="AK1623">
        <v>7.4193914133488796</v>
      </c>
      <c r="AL1623">
        <v>71.837770811071707</v>
      </c>
      <c r="AM1623">
        <v>71.672683699649298</v>
      </c>
      <c r="AN1623">
        <v>0.99999998283200497</v>
      </c>
    </row>
    <row r="1624" spans="1:40" x14ac:dyDescent="0.25">
      <c r="A1624" t="str">
        <f>"20190304164846538"</f>
        <v>20190304164846538</v>
      </c>
      <c r="B1624" t="str">
        <f>"1551689326528068"</f>
        <v>1551689326528068</v>
      </c>
      <c r="C1624" t="s">
        <v>40</v>
      </c>
      <c r="D1624">
        <v>5.0403719999999996</v>
      </c>
      <c r="E1624">
        <v>0.60861980000000004</v>
      </c>
      <c r="F1624" t="s">
        <v>44</v>
      </c>
      <c r="G1624">
        <v>-194.15110000000001</v>
      </c>
      <c r="H1624" s="1">
        <v>-2.4290240000000002E-6</v>
      </c>
      <c r="I1624">
        <v>351.84039999999999</v>
      </c>
      <c r="J1624">
        <v>-195.38820000000001</v>
      </c>
      <c r="K1624">
        <v>1.103308</v>
      </c>
      <c r="L1624">
        <v>359.19560000000001</v>
      </c>
      <c r="M1624">
        <v>0.64782299999999904</v>
      </c>
      <c r="N1624">
        <v>-1.141199E-2</v>
      </c>
      <c r="O1624">
        <v>-0.76170559999999998</v>
      </c>
      <c r="P1624">
        <v>0.36684840000000002</v>
      </c>
      <c r="Q1624">
        <v>0.30953039999999998</v>
      </c>
      <c r="R1624">
        <v>-0.87727649999999902</v>
      </c>
      <c r="S1624">
        <v>0.6009369</v>
      </c>
      <c r="T1624">
        <v>-0.49134489999999997</v>
      </c>
      <c r="U1624">
        <v>-3.3407589999999998</v>
      </c>
      <c r="V1624">
        <v>0.29442049999999997</v>
      </c>
      <c r="W1624">
        <v>0.31478200000000001</v>
      </c>
      <c r="X1624">
        <v>0.90234630000000005</v>
      </c>
      <c r="Y1624">
        <v>0.50234480000000004</v>
      </c>
      <c r="Z1624">
        <v>7.3676430000000001E-2</v>
      </c>
      <c r="AA1624">
        <v>0.86152269999999898</v>
      </c>
      <c r="AB1624">
        <v>22</v>
      </c>
      <c r="AC1624">
        <v>1.2370999999999901</v>
      </c>
      <c r="AD1624">
        <v>-1.1033104290239999</v>
      </c>
      <c r="AE1624">
        <v>-7.3552000000000204</v>
      </c>
      <c r="AF1624">
        <v>3.74094985333122</v>
      </c>
      <c r="AG1624">
        <v>-1.1033104290239999</v>
      </c>
      <c r="AH1624">
        <v>6.2671948838831399</v>
      </c>
      <c r="AI1624">
        <v>98.595941422665106</v>
      </c>
      <c r="AJ1624">
        <v>59.1666100705297</v>
      </c>
      <c r="AK1624">
        <v>7.3817160213938697</v>
      </c>
      <c r="AL1624">
        <v>71.652346004318403</v>
      </c>
      <c r="AM1624">
        <v>71.929361870916296</v>
      </c>
      <c r="AN1624">
        <v>0.99999999173396903</v>
      </c>
    </row>
    <row r="1625" spans="1:40" x14ac:dyDescent="0.25">
      <c r="A1625" t="str">
        <f>"20190304164846549"</f>
        <v>20190304164846549</v>
      </c>
      <c r="B1625" t="str">
        <f>"1551689326537823"</f>
        <v>1551689326537823</v>
      </c>
      <c r="C1625" t="s">
        <v>40</v>
      </c>
      <c r="D1625">
        <v>5.0559399999999997</v>
      </c>
      <c r="E1625">
        <v>0.6084444</v>
      </c>
      <c r="F1625" t="s">
        <v>44</v>
      </c>
      <c r="G1625">
        <v>-194.04329999999999</v>
      </c>
      <c r="H1625" s="1">
        <v>-2.2419839999999999E-6</v>
      </c>
      <c r="I1625">
        <v>351.57279999999997</v>
      </c>
      <c r="J1625">
        <v>-195.3185</v>
      </c>
      <c r="K1625">
        <v>1.103299</v>
      </c>
      <c r="L1625">
        <v>359.10300000000001</v>
      </c>
      <c r="M1625">
        <v>0.64302609999999905</v>
      </c>
      <c r="N1625">
        <v>-1.1401430000000001E-2</v>
      </c>
      <c r="O1625">
        <v>-0.76575959999999998</v>
      </c>
      <c r="P1625">
        <v>0.36345880000000003</v>
      </c>
      <c r="Q1625">
        <v>0.31066440000000001</v>
      </c>
      <c r="R1625">
        <v>-0.87828589999999995</v>
      </c>
      <c r="S1625">
        <v>0.58996579999999998</v>
      </c>
      <c r="T1625">
        <v>-0.4839733</v>
      </c>
      <c r="U1625">
        <v>-3.3437809999999999</v>
      </c>
      <c r="V1625">
        <v>0.29199709999999901</v>
      </c>
      <c r="W1625">
        <v>0.31594630000000001</v>
      </c>
      <c r="X1625">
        <v>0.90272680000000005</v>
      </c>
      <c r="Y1625">
        <v>0.49981700000000001</v>
      </c>
      <c r="Z1625">
        <v>7.3290690000000006E-2</v>
      </c>
      <c r="AA1625">
        <v>0.86302459999999903</v>
      </c>
      <c r="AB1625">
        <v>22</v>
      </c>
      <c r="AC1625">
        <v>1.2752000000000101</v>
      </c>
      <c r="AD1625">
        <v>-1.103301241984</v>
      </c>
      <c r="AE1625">
        <v>-7.53020000000003</v>
      </c>
      <c r="AF1625">
        <v>3.7868425764480098</v>
      </c>
      <c r="AG1625">
        <v>-1.103301241984</v>
      </c>
      <c r="AH1625">
        <v>6.4520900036885998</v>
      </c>
      <c r="AI1625">
        <v>98.389214398068304</v>
      </c>
      <c r="AJ1625">
        <v>59.590594582298003</v>
      </c>
      <c r="AK1625">
        <v>7.5622031012834601</v>
      </c>
      <c r="AL1625">
        <v>71.582049934245603</v>
      </c>
      <c r="AM1625">
        <v>72.075617890822897</v>
      </c>
      <c r="AN1625">
        <v>1.00000002316516</v>
      </c>
    </row>
    <row r="1626" spans="1:40" x14ac:dyDescent="0.25">
      <c r="A1626" t="str">
        <f>"20190304164846561"</f>
        <v>20190304164846561</v>
      </c>
      <c r="B1626" t="str">
        <f>"1551689326557343"</f>
        <v>1551689326557343</v>
      </c>
      <c r="C1626" t="s">
        <v>40</v>
      </c>
      <c r="D1626">
        <v>5.0639399999999997</v>
      </c>
      <c r="E1626">
        <v>0.60802270000000003</v>
      </c>
      <c r="F1626" t="s">
        <v>44</v>
      </c>
      <c r="G1626">
        <v>-193.9881</v>
      </c>
      <c r="H1626" s="1">
        <v>-2.149886E-6</v>
      </c>
      <c r="I1626">
        <v>351.44199999999898</v>
      </c>
      <c r="J1626">
        <v>-195.25399999999999</v>
      </c>
      <c r="K1626">
        <v>1.103291</v>
      </c>
      <c r="L1626">
        <v>359.01639999999998</v>
      </c>
      <c r="M1626">
        <v>0.63852969999999998</v>
      </c>
      <c r="N1626">
        <v>-1.139161E-2</v>
      </c>
      <c r="O1626">
        <v>-0.769513</v>
      </c>
      <c r="P1626">
        <v>0.36081160000000001</v>
      </c>
      <c r="Q1626">
        <v>0.31145050000000002</v>
      </c>
      <c r="R1626">
        <v>-0.87909809999999999</v>
      </c>
      <c r="S1626">
        <v>0.58103939999999998</v>
      </c>
      <c r="T1626">
        <v>-0.48184589999999999</v>
      </c>
      <c r="U1626">
        <v>-3.3457949999999999</v>
      </c>
      <c r="V1626">
        <v>0.28926059999999998</v>
      </c>
      <c r="W1626">
        <v>0.31677179999999999</v>
      </c>
      <c r="X1626">
        <v>0.90331830000000002</v>
      </c>
      <c r="Y1626">
        <v>0.49709130000000001</v>
      </c>
      <c r="Z1626">
        <v>7.3755650000000006E-2</v>
      </c>
      <c r="AA1626">
        <v>0.86455789999999999</v>
      </c>
      <c r="AB1626">
        <v>22</v>
      </c>
      <c r="AC1626">
        <v>1.26590000000001</v>
      </c>
      <c r="AD1626">
        <v>-1.1032931498859999</v>
      </c>
      <c r="AE1626">
        <v>-7.5744000000000202</v>
      </c>
      <c r="AF1626">
        <v>3.7844892035475999</v>
      </c>
      <c r="AG1626">
        <v>-1.1032931498859999</v>
      </c>
      <c r="AH1626">
        <v>6.5031162062536296</v>
      </c>
      <c r="AI1626">
        <v>98.342033187072303</v>
      </c>
      <c r="AJ1626">
        <v>59.802730023698501</v>
      </c>
      <c r="AK1626">
        <v>7.6046127250762998</v>
      </c>
      <c r="AL1626">
        <v>71.532191254992497</v>
      </c>
      <c r="AM1626">
        <v>72.243894092795003</v>
      </c>
      <c r="AN1626">
        <v>1.00000000955124</v>
      </c>
    </row>
    <row r="1627" spans="1:40" x14ac:dyDescent="0.25">
      <c r="A1627" t="str">
        <f>"20190304164846572"</f>
        <v>20190304164846572</v>
      </c>
      <c r="B1627" t="str">
        <f>"1551689326568079"</f>
        <v>1551689326568079</v>
      </c>
      <c r="C1627" t="s">
        <v>40</v>
      </c>
      <c r="D1627">
        <v>5.0603030000000002</v>
      </c>
      <c r="E1627">
        <v>0.60782449999999999</v>
      </c>
      <c r="F1627" t="s">
        <v>44</v>
      </c>
      <c r="G1627">
        <v>-193.93559999999999</v>
      </c>
      <c r="H1627" s="1">
        <v>-2.0884350000000001E-6</v>
      </c>
      <c r="I1627">
        <v>351.36180000000002</v>
      </c>
      <c r="J1627">
        <v>-195.1797</v>
      </c>
      <c r="K1627">
        <v>1.1032789999999999</v>
      </c>
      <c r="L1627">
        <v>358.91539999999998</v>
      </c>
      <c r="M1627">
        <v>0.63328589999999996</v>
      </c>
      <c r="N1627">
        <v>-1.138027E-2</v>
      </c>
      <c r="O1627">
        <v>-0.77383429999999997</v>
      </c>
      <c r="P1627">
        <v>0.35718119999999998</v>
      </c>
      <c r="Q1627">
        <v>0.31151719999999999</v>
      </c>
      <c r="R1627">
        <v>-0.88055609999999995</v>
      </c>
      <c r="S1627">
        <v>0.57644649999999997</v>
      </c>
      <c r="T1627">
        <v>-0.48241040000000002</v>
      </c>
      <c r="U1627">
        <v>-3.346924</v>
      </c>
      <c r="V1627">
        <v>0.28683340000000002</v>
      </c>
      <c r="W1627">
        <v>0.31687179999999998</v>
      </c>
      <c r="X1627">
        <v>0.90405690000000005</v>
      </c>
      <c r="Y1627">
        <v>0.49242629999999998</v>
      </c>
      <c r="Z1627">
        <v>7.4902040000000003E-2</v>
      </c>
      <c r="AA1627">
        <v>0.86712520000000004</v>
      </c>
      <c r="AB1627">
        <v>22</v>
      </c>
      <c r="AC1627">
        <v>1.2441</v>
      </c>
      <c r="AD1627">
        <v>-1.1032810884349999</v>
      </c>
      <c r="AE1627">
        <v>-7.5535999999999497</v>
      </c>
      <c r="AF1627">
        <v>3.74335822550908</v>
      </c>
      <c r="AG1627">
        <v>-1.1032810884349999</v>
      </c>
      <c r="AH1627">
        <v>6.4985588862333898</v>
      </c>
      <c r="AI1627">
        <v>98.368868022260401</v>
      </c>
      <c r="AJ1627">
        <v>60.056810845679102</v>
      </c>
      <c r="AK1627">
        <v>7.5803184341047203</v>
      </c>
      <c r="AL1627">
        <v>71.526150452277193</v>
      </c>
      <c r="AM1627">
        <v>72.397140612357305</v>
      </c>
      <c r="AN1627">
        <v>1.0000000077141999</v>
      </c>
    </row>
    <row r="1628" spans="1:40" x14ac:dyDescent="0.25">
      <c r="A1628" t="str">
        <f>"20190304164846584"</f>
        <v>20190304164846584</v>
      </c>
      <c r="B1628" t="str">
        <f>"1551689326577839"</f>
        <v>1551689326577839</v>
      </c>
      <c r="C1628" t="s">
        <v>40</v>
      </c>
      <c r="D1628">
        <v>5.0368599999999999</v>
      </c>
      <c r="E1628">
        <v>0.60767079999999996</v>
      </c>
      <c r="F1628" t="s">
        <v>44</v>
      </c>
      <c r="G1628">
        <v>-193.89060000000001</v>
      </c>
      <c r="H1628" s="1">
        <v>-2.0251190000000002E-6</v>
      </c>
      <c r="I1628">
        <v>351.27510000000001</v>
      </c>
      <c r="J1628">
        <v>-195.11109999999999</v>
      </c>
      <c r="K1628">
        <v>1.103262</v>
      </c>
      <c r="L1628">
        <v>358.82040000000001</v>
      </c>
      <c r="M1628">
        <v>0.62836069999999999</v>
      </c>
      <c r="N1628">
        <v>-1.137051E-2</v>
      </c>
      <c r="O1628">
        <v>-0.77783910000000001</v>
      </c>
      <c r="P1628">
        <v>0.35359000000000002</v>
      </c>
      <c r="Q1628">
        <v>0.31147219999999998</v>
      </c>
      <c r="R1628">
        <v>-0.88202009999999897</v>
      </c>
      <c r="S1628">
        <v>0.56501769999999996</v>
      </c>
      <c r="T1628">
        <v>-0.48357440000000002</v>
      </c>
      <c r="U1628">
        <v>-3.3487849999999999</v>
      </c>
      <c r="V1628">
        <v>0.2847864</v>
      </c>
      <c r="W1628">
        <v>0.31685419999999997</v>
      </c>
      <c r="X1628">
        <v>0.90471000000000001</v>
      </c>
      <c r="Y1628">
        <v>0.48988100000000001</v>
      </c>
      <c r="Z1628">
        <v>7.598183E-2</v>
      </c>
      <c r="AA1628">
        <v>0.86847189999999996</v>
      </c>
      <c r="AB1628">
        <v>22</v>
      </c>
      <c r="AC1628">
        <v>1.2204999999999799</v>
      </c>
      <c r="AD1628">
        <v>-1.103264025119</v>
      </c>
      <c r="AE1628">
        <v>-7.5452999999999903</v>
      </c>
      <c r="AF1628">
        <v>3.7146680346218202</v>
      </c>
      <c r="AG1628">
        <v>-1.103264025119</v>
      </c>
      <c r="AH1628">
        <v>6.5009269067238904</v>
      </c>
      <c r="AI1628">
        <v>98.3822085302034</v>
      </c>
      <c r="AJ1628">
        <v>60.256097644899</v>
      </c>
      <c r="AK1628">
        <v>7.5682230915274697</v>
      </c>
      <c r="AL1628">
        <v>71.527214086419605</v>
      </c>
      <c r="AM1628">
        <v>72.526937711994194</v>
      </c>
      <c r="AN1628">
        <v>1.00000003089129</v>
      </c>
    </row>
    <row r="1629" spans="1:40" x14ac:dyDescent="0.25">
      <c r="A1629" t="str">
        <f>"20190304164846598"</f>
        <v>20190304164846598</v>
      </c>
      <c r="B1629" t="str">
        <f>"1551689326587599"</f>
        <v>1551689326587599</v>
      </c>
      <c r="C1629" t="s">
        <v>40</v>
      </c>
      <c r="D1629">
        <v>5.032095</v>
      </c>
      <c r="E1629">
        <v>0.60749790000000004</v>
      </c>
      <c r="F1629" t="s">
        <v>44</v>
      </c>
      <c r="G1629">
        <v>-193.85169999999999</v>
      </c>
      <c r="H1629" s="1">
        <v>-1.9645899999999999E-6</v>
      </c>
      <c r="I1629">
        <v>351.19029999999998</v>
      </c>
      <c r="J1629">
        <v>-195.03489999999999</v>
      </c>
      <c r="K1629">
        <v>1.103245</v>
      </c>
      <c r="L1629">
        <v>358.71409999999997</v>
      </c>
      <c r="M1629">
        <v>0.62283199999999905</v>
      </c>
      <c r="N1629">
        <v>-1.136001E-2</v>
      </c>
      <c r="O1629">
        <v>-0.7822732</v>
      </c>
      <c r="P1629">
        <v>0.34971000000000002</v>
      </c>
      <c r="Q1629">
        <v>0.31023460000000003</v>
      </c>
      <c r="R1629">
        <v>-0.88400080000000003</v>
      </c>
      <c r="S1629">
        <v>0.55305479999999996</v>
      </c>
      <c r="T1629">
        <v>-0.48448360000000001</v>
      </c>
      <c r="U1629">
        <v>-3.3506469999999999</v>
      </c>
      <c r="V1629">
        <v>0.28259800000000002</v>
      </c>
      <c r="W1629">
        <v>0.3156505</v>
      </c>
      <c r="X1629">
        <v>0.90581630000000002</v>
      </c>
      <c r="Y1629">
        <v>0.48682439999999999</v>
      </c>
      <c r="Z1629">
        <v>7.7128929999999998E-2</v>
      </c>
      <c r="AA1629">
        <v>0.87008799999999997</v>
      </c>
      <c r="AB1629">
        <v>22</v>
      </c>
      <c r="AC1629">
        <v>1.18319999999999</v>
      </c>
      <c r="AD1629">
        <v>-1.1032469645899901</v>
      </c>
      <c r="AE1629">
        <v>-7.5237999999999898</v>
      </c>
      <c r="AF1629">
        <v>3.68343191157616</v>
      </c>
      <c r="AG1629">
        <v>-1.1032469645899901</v>
      </c>
      <c r="AH1629">
        <v>6.4869159929925999</v>
      </c>
      <c r="AI1629">
        <v>98.412688727012593</v>
      </c>
      <c r="AJ1629">
        <v>60.411014255545602</v>
      </c>
      <c r="AK1629">
        <v>7.5408821507989297</v>
      </c>
      <c r="AL1629">
        <v>71.599912010323607</v>
      </c>
      <c r="AM1629">
        <v>72.673040020627099</v>
      </c>
      <c r="AN1629">
        <v>1.00000001854996</v>
      </c>
    </row>
    <row r="1630" spans="1:40" x14ac:dyDescent="0.25">
      <c r="A1630" t="str">
        <f>"20190304164846609"</f>
        <v>20190304164846609</v>
      </c>
      <c r="B1630" t="str">
        <f>"1551689326597359"</f>
        <v>1551689326597359</v>
      </c>
      <c r="C1630" t="s">
        <v>40</v>
      </c>
      <c r="D1630">
        <v>5.0254050000000001</v>
      </c>
      <c r="E1630">
        <v>0.60736639999999997</v>
      </c>
      <c r="F1630" t="s">
        <v>44</v>
      </c>
      <c r="G1630">
        <v>-193.82149999999999</v>
      </c>
      <c r="H1630" s="1">
        <v>-1.9407279999999998E-6</v>
      </c>
      <c r="I1630">
        <v>351.16359999999997</v>
      </c>
      <c r="J1630">
        <v>-194.96850000000001</v>
      </c>
      <c r="K1630">
        <v>1.1032299999999999</v>
      </c>
      <c r="L1630">
        <v>358.61959999999999</v>
      </c>
      <c r="M1630">
        <v>0.61792609999999903</v>
      </c>
      <c r="N1630">
        <v>-1.135179E-2</v>
      </c>
      <c r="O1630">
        <v>-0.78615429999999997</v>
      </c>
      <c r="P1630">
        <v>0.34643839999999998</v>
      </c>
      <c r="Q1630">
        <v>0.30912099999999998</v>
      </c>
      <c r="R1630">
        <v>-0.88567799999999997</v>
      </c>
      <c r="S1630">
        <v>0.53878780000000004</v>
      </c>
      <c r="T1630">
        <v>-0.48985240000000002</v>
      </c>
      <c r="U1630">
        <v>-3.3524780000000001</v>
      </c>
      <c r="V1630">
        <v>0.28050009999999997</v>
      </c>
      <c r="W1630">
        <v>0.31457069999999998</v>
      </c>
      <c r="X1630">
        <v>0.90684339999999997</v>
      </c>
      <c r="Y1630">
        <v>0.48506369999999999</v>
      </c>
      <c r="Z1630">
        <v>7.8915089999999993E-2</v>
      </c>
      <c r="AA1630">
        <v>0.87091079999999998</v>
      </c>
      <c r="AB1630">
        <v>22</v>
      </c>
      <c r="AC1630">
        <v>1.14700000000001</v>
      </c>
      <c r="AD1630">
        <v>-1.103231940728</v>
      </c>
      <c r="AE1630">
        <v>-7.4560000000000102</v>
      </c>
      <c r="AF1630">
        <v>3.6281782514521499</v>
      </c>
      <c r="AG1630">
        <v>-1.103231940728</v>
      </c>
      <c r="AH1630">
        <v>6.4331602945474202</v>
      </c>
      <c r="AI1630">
        <v>98.495636462717201</v>
      </c>
      <c r="AJ1630">
        <v>60.577840633288602</v>
      </c>
      <c r="AK1630">
        <v>7.4676870257593402</v>
      </c>
      <c r="AL1630">
        <v>71.6651005462912</v>
      </c>
      <c r="AM1630">
        <v>72.812386925542896</v>
      </c>
      <c r="AN1630">
        <v>0.99999999176102905</v>
      </c>
    </row>
    <row r="1631" spans="1:40" x14ac:dyDescent="0.25">
      <c r="A1631" t="str">
        <f>"20190304164846627"</f>
        <v>20190304164846627</v>
      </c>
      <c r="B1631" t="str">
        <f>"1551689326617858"</f>
        <v>1551689326617858</v>
      </c>
      <c r="C1631" t="s">
        <v>40</v>
      </c>
      <c r="D1631">
        <v>5.0751559999999998</v>
      </c>
      <c r="E1631">
        <v>0.60704389999999997</v>
      </c>
      <c r="F1631" t="s">
        <v>44</v>
      </c>
      <c r="G1631">
        <v>-193.79349999999999</v>
      </c>
      <c r="H1631" s="1">
        <v>-1.916653E-6</v>
      </c>
      <c r="I1631">
        <v>351.13549999999998</v>
      </c>
      <c r="J1631">
        <v>-194.86320000000001</v>
      </c>
      <c r="K1631">
        <v>1.1032029999999999</v>
      </c>
      <c r="L1631">
        <v>358.4674</v>
      </c>
      <c r="M1631">
        <v>0.61001490000000003</v>
      </c>
      <c r="N1631">
        <v>-1.133958E-2</v>
      </c>
      <c r="O1631">
        <v>-0.79230889999999998</v>
      </c>
      <c r="P1631">
        <v>0.34124829999999901</v>
      </c>
      <c r="Q1631">
        <v>0.30694460000000001</v>
      </c>
      <c r="R1631">
        <v>-0.88844509999999899</v>
      </c>
      <c r="S1631">
        <v>0.52655030000000003</v>
      </c>
      <c r="T1631">
        <v>-0.49438140000000003</v>
      </c>
      <c r="U1631">
        <v>-3.35379</v>
      </c>
      <c r="V1631">
        <v>0.27713559999999998</v>
      </c>
      <c r="W1631">
        <v>0.31245149999999999</v>
      </c>
      <c r="X1631">
        <v>0.90860879999999999</v>
      </c>
      <c r="Y1631">
        <v>0.47948770000000002</v>
      </c>
      <c r="Z1631">
        <v>8.12137E-2</v>
      </c>
      <c r="AA1631">
        <v>0.87378250000000002</v>
      </c>
      <c r="AB1631">
        <v>22</v>
      </c>
      <c r="AC1631">
        <v>1.0697000000000101</v>
      </c>
      <c r="AD1631">
        <v>-1.103204916653</v>
      </c>
      <c r="AE1631">
        <v>-7.3319000000000099</v>
      </c>
      <c r="AF1631">
        <v>3.54664519311447</v>
      </c>
      <c r="AG1631">
        <v>-1.103204916653</v>
      </c>
      <c r="AH1631">
        <v>6.3219311932520998</v>
      </c>
      <c r="AI1631">
        <v>98.653487420370297</v>
      </c>
      <c r="AJ1631">
        <v>60.7072867829838</v>
      </c>
      <c r="AK1631">
        <v>7.3322961769273398</v>
      </c>
      <c r="AL1631">
        <v>71.792968766974695</v>
      </c>
      <c r="AM1631">
        <v>73.0377220413326</v>
      </c>
      <c r="AN1631">
        <v>1.0000000160385201</v>
      </c>
    </row>
    <row r="1632" spans="1:40" x14ac:dyDescent="0.25">
      <c r="A1632" t="str">
        <f>"20190304164846641"</f>
        <v>20190304164846641</v>
      </c>
      <c r="B1632" t="str">
        <f>"1551689326627616"</f>
        <v>1551689326627616</v>
      </c>
      <c r="C1632" t="s">
        <v>40</v>
      </c>
      <c r="D1632">
        <v>5.139221</v>
      </c>
      <c r="E1632">
        <v>0.60676699999999995</v>
      </c>
      <c r="F1632" t="s">
        <v>44</v>
      </c>
      <c r="G1632">
        <v>-193.751</v>
      </c>
      <c r="H1632" s="1">
        <v>-1.8917630000000001E-6</v>
      </c>
      <c r="I1632">
        <v>351.11250000000001</v>
      </c>
      <c r="J1632">
        <v>-194.7912</v>
      </c>
      <c r="K1632">
        <v>1.1031879999999901</v>
      </c>
      <c r="L1632">
        <v>358.36160000000001</v>
      </c>
      <c r="M1632">
        <v>0.60450749999999998</v>
      </c>
      <c r="N1632">
        <v>-1.1330639999999999E-2</v>
      </c>
      <c r="O1632">
        <v>-0.79651919999999898</v>
      </c>
      <c r="P1632">
        <v>0.336648</v>
      </c>
      <c r="Q1632">
        <v>0.30629420000000002</v>
      </c>
      <c r="R1632">
        <v>-0.89042289999999902</v>
      </c>
      <c r="S1632">
        <v>0.50744630000000002</v>
      </c>
      <c r="T1632">
        <v>-0.5033339</v>
      </c>
      <c r="U1632">
        <v>-3.3556210000000002</v>
      </c>
      <c r="V1632">
        <v>0.27566239999999997</v>
      </c>
      <c r="W1632">
        <v>0.31181910000000002</v>
      </c>
      <c r="X1632">
        <v>0.90927389999999997</v>
      </c>
      <c r="Y1632">
        <v>0.47835660000000002</v>
      </c>
      <c r="Z1632">
        <v>8.3745219999999995E-2</v>
      </c>
      <c r="AA1632">
        <v>0.87416340000000003</v>
      </c>
      <c r="AB1632">
        <v>22</v>
      </c>
      <c r="AC1632">
        <v>1.04020000000002</v>
      </c>
      <c r="AD1632">
        <v>-1.1031898917630001</v>
      </c>
      <c r="AE1632">
        <v>-7.2490999999999897</v>
      </c>
      <c r="AF1632">
        <v>3.4749677862886501</v>
      </c>
      <c r="AG1632">
        <v>-1.1031898917630001</v>
      </c>
      <c r="AH1632">
        <v>6.26118392990566</v>
      </c>
      <c r="AI1632">
        <v>98.758043333383696</v>
      </c>
      <c r="AJ1632">
        <v>60.9696504239948</v>
      </c>
      <c r="AK1632">
        <v>7.2453332053909598</v>
      </c>
      <c r="AL1632">
        <v>71.831107239510303</v>
      </c>
      <c r="AM1632">
        <v>73.134395771836594</v>
      </c>
      <c r="AN1632">
        <v>0.99999996755988896</v>
      </c>
    </row>
    <row r="1633" spans="1:40" x14ac:dyDescent="0.25">
      <c r="A1633" t="str">
        <f>"20190304164846655"</f>
        <v>20190304164846655</v>
      </c>
      <c r="B1633" t="str">
        <f>"1551689326648111"</f>
        <v>1551689326648111</v>
      </c>
      <c r="C1633" t="s">
        <v>40</v>
      </c>
      <c r="D1633">
        <v>5.0801489999999996</v>
      </c>
      <c r="E1633">
        <v>0.58275219999999905</v>
      </c>
      <c r="F1633" t="s">
        <v>44</v>
      </c>
      <c r="G1633">
        <v>-193.71860000000001</v>
      </c>
      <c r="H1633" s="1">
        <v>-1.8285120000000001E-6</v>
      </c>
      <c r="I1633">
        <v>351.02019999999999</v>
      </c>
      <c r="J1633">
        <v>-194.7046</v>
      </c>
      <c r="K1633">
        <v>1.10317</v>
      </c>
      <c r="L1633">
        <v>358.23239999999998</v>
      </c>
      <c r="M1633">
        <v>0.59777579999999997</v>
      </c>
      <c r="N1633">
        <v>-1.131806E-2</v>
      </c>
      <c r="O1633">
        <v>-0.8015835</v>
      </c>
      <c r="P1633">
        <v>0.33092840000000001</v>
      </c>
      <c r="Q1633">
        <v>0.30589490000000003</v>
      </c>
      <c r="R1633">
        <v>-0.89270110000000003</v>
      </c>
      <c r="S1633">
        <v>0.49049379999999998</v>
      </c>
      <c r="T1633">
        <v>-0.50449279999999996</v>
      </c>
      <c r="U1633">
        <v>-3.3572389999999999</v>
      </c>
      <c r="V1633">
        <v>0.27391399999999999</v>
      </c>
      <c r="W1633">
        <v>0.31143680000000001</v>
      </c>
      <c r="X1633">
        <v>0.90993310000000005</v>
      </c>
      <c r="Y1633">
        <v>0.4753677</v>
      </c>
      <c r="Z1633">
        <v>8.5124089999999999E-2</v>
      </c>
      <c r="AA1633">
        <v>0.87565939999999998</v>
      </c>
      <c r="AB1633">
        <v>22</v>
      </c>
      <c r="AC1633">
        <v>0.98599999999999</v>
      </c>
      <c r="AD1633">
        <v>-1.103171828512</v>
      </c>
      <c r="AE1633">
        <v>-7.2121999999999904</v>
      </c>
      <c r="AF1633">
        <v>3.4420874196376201</v>
      </c>
      <c r="AG1633">
        <v>-1.103171828512</v>
      </c>
      <c r="AH1633">
        <v>6.2279562720840804</v>
      </c>
      <c r="AI1633">
        <v>98.8124169419401</v>
      </c>
      <c r="AJ1633">
        <v>61.071304145828002</v>
      </c>
      <c r="AK1633">
        <v>7.2008605884742396</v>
      </c>
      <c r="AL1633">
        <v>71.854159981463297</v>
      </c>
      <c r="AM1633">
        <v>73.246811749107707</v>
      </c>
      <c r="AN1633">
        <v>1.0000000031329199</v>
      </c>
    </row>
    <row r="1634" spans="1:40" x14ac:dyDescent="0.25">
      <c r="A1634" t="str">
        <f>"20190304164846674"</f>
        <v>20190304164846674</v>
      </c>
      <c r="B1634" t="str">
        <f>"1551689326667631"</f>
        <v>1551689326667631</v>
      </c>
      <c r="C1634" t="s">
        <v>40</v>
      </c>
      <c r="D1634">
        <v>5.0642480000000001</v>
      </c>
      <c r="E1634">
        <v>0.58391789999999999</v>
      </c>
      <c r="F1634" t="s">
        <v>44</v>
      </c>
      <c r="G1634">
        <v>-193.256</v>
      </c>
      <c r="H1634" s="1">
        <v>-1.600577E-6</v>
      </c>
      <c r="I1634">
        <v>350.84309999999999</v>
      </c>
      <c r="J1634">
        <v>-194.60169999999999</v>
      </c>
      <c r="K1634">
        <v>1.103145</v>
      </c>
      <c r="L1634">
        <v>358.07530000000003</v>
      </c>
      <c r="M1634">
        <v>0.58958699999999997</v>
      </c>
      <c r="N1634">
        <v>-1.129669E-2</v>
      </c>
      <c r="O1634">
        <v>-0.80762590000000001</v>
      </c>
      <c r="P1634">
        <v>0.32562380000000002</v>
      </c>
      <c r="Q1634">
        <v>0.30577110000000002</v>
      </c>
      <c r="R1634">
        <v>-0.89469189999999998</v>
      </c>
      <c r="S1634">
        <v>0.64494319999999905</v>
      </c>
      <c r="T1634">
        <v>-0.49114140000000001</v>
      </c>
      <c r="U1634">
        <v>-3.2897639999999999</v>
      </c>
      <c r="V1634">
        <v>0.27007429999999999</v>
      </c>
      <c r="W1634">
        <v>0.3113629</v>
      </c>
      <c r="X1634">
        <v>0.91110539999999995</v>
      </c>
      <c r="Y1634">
        <v>0.42338730000000002</v>
      </c>
      <c r="Z1634">
        <v>8.7722659999999994E-2</v>
      </c>
      <c r="AA1634">
        <v>0.90169169999999998</v>
      </c>
      <c r="AB1634">
        <v>22</v>
      </c>
      <c r="AC1634">
        <v>1.3457000000000201</v>
      </c>
      <c r="AD1634">
        <v>-1.1031466005769901</v>
      </c>
      <c r="AE1634">
        <v>-7.2322000000000299</v>
      </c>
      <c r="AF1634">
        <v>3.1075110386840001</v>
      </c>
      <c r="AG1634">
        <v>-1.1031466005769901</v>
      </c>
      <c r="AH1634">
        <v>6.4888241785171896</v>
      </c>
      <c r="AI1634">
        <v>98.717326088446697</v>
      </c>
      <c r="AJ1634">
        <v>64.410145246313803</v>
      </c>
      <c r="AK1634">
        <v>7.2786260034169104</v>
      </c>
      <c r="AL1634">
        <v>71.858615931768398</v>
      </c>
      <c r="AM1634">
        <v>73.488866651161302</v>
      </c>
      <c r="AN1634">
        <v>1.0000000164630201</v>
      </c>
    </row>
    <row r="1635" spans="1:40" x14ac:dyDescent="0.25">
      <c r="A1635" t="str">
        <f>"20190304164846689"</f>
        <v>20190304164846689</v>
      </c>
      <c r="B1635" t="str">
        <f>"1551689326677391"</f>
        <v>1551689326677391</v>
      </c>
      <c r="C1635" t="s">
        <v>40</v>
      </c>
      <c r="D1635">
        <v>5.0701269999999896</v>
      </c>
      <c r="E1635">
        <v>0.58404069999999997</v>
      </c>
      <c r="F1635" t="s">
        <v>44</v>
      </c>
      <c r="G1635">
        <v>-193.12370000000001</v>
      </c>
      <c r="H1635" s="1">
        <v>-1.1152980000000001E-6</v>
      </c>
      <c r="I1635">
        <v>350.08269999999999</v>
      </c>
      <c r="J1635">
        <v>-194.52090000000001</v>
      </c>
      <c r="K1635">
        <v>1.1031169999999999</v>
      </c>
      <c r="L1635">
        <v>357.94920000000002</v>
      </c>
      <c r="M1635">
        <v>0.5830168</v>
      </c>
      <c r="N1635">
        <v>-1.127422E-2</v>
      </c>
      <c r="O1635">
        <v>-0.81238199999999905</v>
      </c>
      <c r="P1635">
        <v>0.32044319999999998</v>
      </c>
      <c r="Q1635">
        <v>0.30592180000000002</v>
      </c>
      <c r="R1635">
        <v>-0.89650919999999901</v>
      </c>
      <c r="S1635">
        <v>0.60778809999999905</v>
      </c>
      <c r="T1635">
        <v>-0.45367039999999997</v>
      </c>
      <c r="U1635">
        <v>-3.2869570000000001</v>
      </c>
      <c r="V1635">
        <v>0.2679299</v>
      </c>
      <c r="W1635">
        <v>0.3115269</v>
      </c>
      <c r="X1635">
        <v>0.91168229999999995</v>
      </c>
      <c r="Y1635">
        <v>0.42567319999999997</v>
      </c>
      <c r="Z1635">
        <v>8.1300720000000007E-2</v>
      </c>
      <c r="AA1635">
        <v>0.90121719999999905</v>
      </c>
      <c r="AB1635">
        <v>22</v>
      </c>
      <c r="AC1635">
        <v>1.39719999999999</v>
      </c>
      <c r="AD1635">
        <v>-1.1031181152980001</v>
      </c>
      <c r="AE1635">
        <v>-7.8665000000000296</v>
      </c>
      <c r="AF1635">
        <v>3.3868960071860701</v>
      </c>
      <c r="AG1635">
        <v>-1.1031181152980001</v>
      </c>
      <c r="AH1635">
        <v>7.0708592422091003</v>
      </c>
      <c r="AI1635">
        <v>98.008996756566702</v>
      </c>
      <c r="AJ1635">
        <v>64.405879475504506</v>
      </c>
      <c r="AK1635">
        <v>7.9173849573533701</v>
      </c>
      <c r="AL1635">
        <v>71.848727846062303</v>
      </c>
      <c r="AM1635">
        <v>73.6227203324095</v>
      </c>
      <c r="AN1635">
        <v>1.00000002843545</v>
      </c>
    </row>
    <row r="1636" spans="1:40" x14ac:dyDescent="0.25">
      <c r="A1636" t="str">
        <f>"20190304164846708"</f>
        <v>20190304164846708</v>
      </c>
      <c r="B1636" t="str">
        <f>"1551689326697887"</f>
        <v>1551689326697887</v>
      </c>
      <c r="C1636" t="s">
        <v>40</v>
      </c>
      <c r="D1636">
        <v>4.9747430000000001</v>
      </c>
      <c r="E1636">
        <v>0.58453219999999995</v>
      </c>
      <c r="F1636" t="s">
        <v>44</v>
      </c>
      <c r="G1636">
        <v>-193.0718</v>
      </c>
      <c r="H1636" s="1">
        <v>-9.3569709999999996E-7</v>
      </c>
      <c r="I1636">
        <v>349.80259999999998</v>
      </c>
      <c r="J1636">
        <v>-194.4178</v>
      </c>
      <c r="K1636">
        <v>1.103086</v>
      </c>
      <c r="L1636">
        <v>357.78559999999999</v>
      </c>
      <c r="M1636">
        <v>0.57447609999999905</v>
      </c>
      <c r="N1636">
        <v>-1.123999E-2</v>
      </c>
      <c r="O1636">
        <v>-0.81844430000000001</v>
      </c>
      <c r="P1636">
        <v>0.31636249999999999</v>
      </c>
      <c r="Q1636">
        <v>0.30607980000000001</v>
      </c>
      <c r="R1636">
        <v>-0.89790309999999995</v>
      </c>
      <c r="S1636">
        <v>0.58503719999999904</v>
      </c>
      <c r="T1636">
        <v>-0.44537399999999999</v>
      </c>
      <c r="U1636">
        <v>-3.2891240000000002</v>
      </c>
      <c r="V1636">
        <v>0.2624898</v>
      </c>
      <c r="W1636">
        <v>0.31175429999999998</v>
      </c>
      <c r="X1636">
        <v>0.91318580000000005</v>
      </c>
      <c r="Y1636">
        <v>0.42235149999999999</v>
      </c>
      <c r="Z1636">
        <v>8.0890569999999995E-2</v>
      </c>
      <c r="AA1636">
        <v>0.90281549999999999</v>
      </c>
      <c r="AB1636">
        <v>22</v>
      </c>
      <c r="AC1636">
        <v>1.3460000000000001</v>
      </c>
      <c r="AD1636">
        <v>-1.1030869356971</v>
      </c>
      <c r="AE1636">
        <v>-7.9829999999999997</v>
      </c>
      <c r="AF1636">
        <v>3.4211207115261</v>
      </c>
      <c r="AG1636">
        <v>-1.1030869356971</v>
      </c>
      <c r="AH1636">
        <v>7.1741528739352596</v>
      </c>
      <c r="AI1636">
        <v>97.901377740707602</v>
      </c>
      <c r="AJ1636">
        <v>64.505040428816699</v>
      </c>
      <c r="AK1636">
        <v>8.0242966775370395</v>
      </c>
      <c r="AL1636">
        <v>71.835014872636194</v>
      </c>
      <c r="AM1636">
        <v>73.963019129812295</v>
      </c>
      <c r="AN1636">
        <v>0.99999997199708401</v>
      </c>
    </row>
    <row r="1637" spans="1:40" x14ac:dyDescent="0.25">
      <c r="A1637" t="str">
        <f>"20190304164846729"</f>
        <v>20190304164846729</v>
      </c>
      <c r="B1637" t="str">
        <f>"1551689326717407"</f>
        <v>1551689326717407</v>
      </c>
      <c r="C1637" t="s">
        <v>40</v>
      </c>
      <c r="D1637">
        <v>4.8987790000000002</v>
      </c>
      <c r="E1637">
        <v>0.58440429999999999</v>
      </c>
      <c r="F1637" t="s">
        <v>42</v>
      </c>
      <c r="G1637">
        <v>-192.99700000000001</v>
      </c>
      <c r="H1637" s="1">
        <v>-4.7766140000000001E-6</v>
      </c>
      <c r="I1637">
        <v>349.46089999999998</v>
      </c>
      <c r="J1637">
        <v>-194.30770000000001</v>
      </c>
      <c r="K1637">
        <v>1.103056</v>
      </c>
      <c r="L1637">
        <v>357.60640000000001</v>
      </c>
      <c r="M1637">
        <v>0.56511269999999902</v>
      </c>
      <c r="N1637">
        <v>-1.119622E-2</v>
      </c>
      <c r="O1637">
        <v>-0.8249379</v>
      </c>
      <c r="P1637">
        <v>0.3111295</v>
      </c>
      <c r="Q1637">
        <v>0.3061508</v>
      </c>
      <c r="R1637">
        <v>-0.89970589999999995</v>
      </c>
      <c r="S1637">
        <v>0.5618744</v>
      </c>
      <c r="T1637">
        <v>-0.43621019999999999</v>
      </c>
      <c r="U1637">
        <v>-3.2919309999999999</v>
      </c>
      <c r="V1637">
        <v>0.2573819</v>
      </c>
      <c r="W1637">
        <v>0.31187759999999998</v>
      </c>
      <c r="X1637">
        <v>0.91459659999999998</v>
      </c>
      <c r="Y1637">
        <v>0.41833480000000001</v>
      </c>
      <c r="Z1637">
        <v>8.0349740000000003E-2</v>
      </c>
      <c r="AA1637">
        <v>0.90473199999999998</v>
      </c>
      <c r="AB1637">
        <v>22</v>
      </c>
      <c r="AC1637">
        <v>1.31069999999999</v>
      </c>
      <c r="AD1637">
        <v>-1.1030607766139999</v>
      </c>
      <c r="AE1637">
        <v>-8.1455000000000197</v>
      </c>
      <c r="AF1637">
        <v>3.4602455965956</v>
      </c>
      <c r="AG1637">
        <v>-1.1030607766139999</v>
      </c>
      <c r="AH1637">
        <v>7.3296690250385197</v>
      </c>
      <c r="AI1637">
        <v>97.749761293655794</v>
      </c>
      <c r="AJ1637">
        <v>64.728586656584596</v>
      </c>
      <c r="AK1637">
        <v>8.1801033417844202</v>
      </c>
      <c r="AL1637">
        <v>71.827580318808003</v>
      </c>
      <c r="AM1637">
        <v>74.282561230826303</v>
      </c>
      <c r="AN1637">
        <v>1.00000001028046</v>
      </c>
    </row>
    <row r="1638" spans="1:40" x14ac:dyDescent="0.25">
      <c r="A1638" t="str">
        <f>"20190304164846742"</f>
        <v>20190304164846742</v>
      </c>
      <c r="B1638" t="str">
        <f>"1551689326737903"</f>
        <v>1551689326737903</v>
      </c>
      <c r="C1638" t="s">
        <v>40</v>
      </c>
      <c r="D1638">
        <v>4.9668960000000002</v>
      </c>
      <c r="E1638">
        <v>0.58478419999999998</v>
      </c>
      <c r="F1638" t="s">
        <v>42</v>
      </c>
      <c r="G1638">
        <v>-192.95</v>
      </c>
      <c r="H1638" s="1">
        <v>-4.7415009999999997E-6</v>
      </c>
      <c r="I1638">
        <v>349.38229999999999</v>
      </c>
      <c r="J1638">
        <v>-194.23910000000001</v>
      </c>
      <c r="K1638">
        <v>1.10304</v>
      </c>
      <c r="L1638">
        <v>357.49239999999998</v>
      </c>
      <c r="M1638">
        <v>0.55915599999999999</v>
      </c>
      <c r="N1638">
        <v>-1.1166519999999999E-2</v>
      </c>
      <c r="O1638">
        <v>-0.82898749999999999</v>
      </c>
      <c r="P1638">
        <v>0.30675859999999999</v>
      </c>
      <c r="Q1638">
        <v>0.3067704</v>
      </c>
      <c r="R1638">
        <v>-0.90099470000000004</v>
      </c>
      <c r="S1638">
        <v>0.54425049999999997</v>
      </c>
      <c r="T1638">
        <v>-0.44217410000000001</v>
      </c>
      <c r="U1638">
        <v>-3.2967219999999999</v>
      </c>
      <c r="V1638">
        <v>0.25512800000000002</v>
      </c>
      <c r="W1638">
        <v>0.31250679999999997</v>
      </c>
      <c r="X1638">
        <v>0.91501330000000003</v>
      </c>
      <c r="Y1638">
        <v>0.4167382</v>
      </c>
      <c r="Z1638">
        <v>8.2298789999999997E-2</v>
      </c>
      <c r="AA1638">
        <v>0.90529349999999997</v>
      </c>
      <c r="AB1638">
        <v>22</v>
      </c>
      <c r="AC1638">
        <v>1.2891000000000099</v>
      </c>
      <c r="AD1638">
        <v>-1.1030447415009901</v>
      </c>
      <c r="AE1638">
        <v>-8.1100999999999797</v>
      </c>
      <c r="AF1638">
        <v>3.4049448655319901</v>
      </c>
      <c r="AG1638">
        <v>-1.1030447415009901</v>
      </c>
      <c r="AH1638">
        <v>7.3125060019630999</v>
      </c>
      <c r="AI1638">
        <v>97.786675086867405</v>
      </c>
      <c r="AJ1638">
        <v>65.031754351477005</v>
      </c>
      <c r="AK1638">
        <v>8.1414434388388504</v>
      </c>
      <c r="AL1638">
        <v>71.789634260624098</v>
      </c>
      <c r="AM1638">
        <v>74.420234636027502</v>
      </c>
      <c r="AN1638">
        <v>1.0000000678035601</v>
      </c>
    </row>
    <row r="1639" spans="1:40" x14ac:dyDescent="0.25">
      <c r="A1639" t="str">
        <f>"20190304164846764"</f>
        <v>20190304164846764</v>
      </c>
      <c r="B1639" t="str">
        <f>"1551689326757423"</f>
        <v>1551689326757423</v>
      </c>
      <c r="C1639" t="s">
        <v>40</v>
      </c>
      <c r="D1639">
        <v>5.0593240000000002</v>
      </c>
      <c r="E1639">
        <v>0.58488319999999905</v>
      </c>
      <c r="F1639" t="s">
        <v>42</v>
      </c>
      <c r="G1639">
        <v>-192.90729999999999</v>
      </c>
      <c r="H1639" s="1">
        <v>-4.6415630000000002E-6</v>
      </c>
      <c r="I1639">
        <v>349.11079999999998</v>
      </c>
      <c r="J1639">
        <v>-194.1266</v>
      </c>
      <c r="K1639">
        <v>1.1030260000000001</v>
      </c>
      <c r="L1639">
        <v>357.3014</v>
      </c>
      <c r="M1639">
        <v>0.54917159999999998</v>
      </c>
      <c r="N1639">
        <v>-1.111504E-2</v>
      </c>
      <c r="O1639">
        <v>-0.83563589999999999</v>
      </c>
      <c r="P1639">
        <v>0.30037429999999998</v>
      </c>
      <c r="Q1639">
        <v>0.3083013</v>
      </c>
      <c r="R1639">
        <v>-0.90262209999999998</v>
      </c>
      <c r="S1639">
        <v>0.52421569999999995</v>
      </c>
      <c r="T1639">
        <v>-0.43416359999999898</v>
      </c>
      <c r="U1639">
        <v>-3.2990110000000001</v>
      </c>
      <c r="V1639">
        <v>0.25036449999999999</v>
      </c>
      <c r="W1639">
        <v>0.3140713</v>
      </c>
      <c r="X1639">
        <v>0.91579299999999997</v>
      </c>
      <c r="Y1639">
        <v>0.4113079</v>
      </c>
      <c r="Z1639">
        <v>8.2039180000000003E-2</v>
      </c>
      <c r="AA1639">
        <v>0.90779699999999997</v>
      </c>
      <c r="AB1639">
        <v>22</v>
      </c>
      <c r="AC1639">
        <v>1.2193000000000001</v>
      </c>
      <c r="AD1639">
        <v>-1.103030641563</v>
      </c>
      <c r="AE1639">
        <v>-8.1906000000000105</v>
      </c>
      <c r="AF1639">
        <v>3.41871057152651</v>
      </c>
      <c r="AG1639">
        <v>-1.103030641563</v>
      </c>
      <c r="AH1639">
        <v>7.3834239314458099</v>
      </c>
      <c r="AI1639">
        <v>97.720285535995203</v>
      </c>
      <c r="AJ1639">
        <v>65.154679369915399</v>
      </c>
      <c r="AK1639">
        <v>8.2109200166327696</v>
      </c>
      <c r="AL1639">
        <v>71.695241708085703</v>
      </c>
      <c r="AM1639">
        <v>74.709786049041199</v>
      </c>
      <c r="AN1639">
        <v>0.99999999159646902</v>
      </c>
    </row>
    <row r="1640" spans="1:40" x14ac:dyDescent="0.25">
      <c r="A1640" t="str">
        <f>"20190304164846786"</f>
        <v>20190304164846786</v>
      </c>
      <c r="B1640" t="str">
        <f>"1551689326777923"</f>
        <v>1551689326777923</v>
      </c>
      <c r="C1640" t="s">
        <v>40</v>
      </c>
      <c r="D1640">
        <v>5.0676379999999996</v>
      </c>
      <c r="E1640">
        <v>0.58491210000000005</v>
      </c>
      <c r="F1640" t="s">
        <v>42</v>
      </c>
      <c r="G1640">
        <v>-192.82679999999999</v>
      </c>
      <c r="H1640" s="1">
        <v>-4.4928249999999996E-6</v>
      </c>
      <c r="I1640">
        <v>348.71570000000003</v>
      </c>
      <c r="J1640">
        <v>-194.01179999999999</v>
      </c>
      <c r="K1640">
        <v>1.102997</v>
      </c>
      <c r="L1640">
        <v>357.10070000000002</v>
      </c>
      <c r="M1640">
        <v>0.53867529999999997</v>
      </c>
      <c r="N1640">
        <v>-1.105714E-2</v>
      </c>
      <c r="O1640">
        <v>-0.84244110000000005</v>
      </c>
      <c r="P1640">
        <v>0.29350399999999999</v>
      </c>
      <c r="Q1640">
        <v>0.31018990000000002</v>
      </c>
      <c r="R1640">
        <v>-0.90423350000000002</v>
      </c>
      <c r="S1640">
        <v>0.49993900000000002</v>
      </c>
      <c r="T1640">
        <v>-0.42423499999999997</v>
      </c>
      <c r="U1640">
        <v>-3.3021240000000001</v>
      </c>
      <c r="V1640">
        <v>0.24555179999999999</v>
      </c>
      <c r="W1640">
        <v>0.31598799999999999</v>
      </c>
      <c r="X1640">
        <v>0.91643660000000005</v>
      </c>
      <c r="Y1640">
        <v>0.40656690000000001</v>
      </c>
      <c r="Z1640">
        <v>8.1311549999999996E-2</v>
      </c>
      <c r="AA1640">
        <v>0.90999549999999996</v>
      </c>
      <c r="AB1640">
        <v>22</v>
      </c>
      <c r="AC1640">
        <v>1.1850000000000001</v>
      </c>
      <c r="AD1640">
        <v>-1.103001492825</v>
      </c>
      <c r="AE1640">
        <v>-8.3849999999999891</v>
      </c>
      <c r="AF1640">
        <v>3.4600145272793901</v>
      </c>
      <c r="AG1640">
        <v>-1.103001492825</v>
      </c>
      <c r="AH1640">
        <v>7.5741714644167697</v>
      </c>
      <c r="AI1640">
        <v>97.545475858335905</v>
      </c>
      <c r="AJ1640">
        <v>65.448247009660804</v>
      </c>
      <c r="AK1640">
        <v>8.3997848897780596</v>
      </c>
      <c r="AL1640">
        <v>71.579532627183099</v>
      </c>
      <c r="AM1640">
        <v>75.000387727559399</v>
      </c>
      <c r="AN1640">
        <v>1.0000000722233899</v>
      </c>
    </row>
    <row r="1641" spans="1:40" x14ac:dyDescent="0.25">
      <c r="A1641" t="str">
        <f>"20190304164846800"</f>
        <v>20190304164846800</v>
      </c>
      <c r="B1641" t="str">
        <f>"1551689326787683"</f>
        <v>1551689326787683</v>
      </c>
      <c r="C1641" t="s">
        <v>40</v>
      </c>
      <c r="D1641">
        <v>5.0545090000000004</v>
      </c>
      <c r="E1641">
        <v>0.58482040000000002</v>
      </c>
      <c r="F1641" t="s">
        <v>42</v>
      </c>
      <c r="G1641">
        <v>-192.75569999999999</v>
      </c>
      <c r="H1641" s="1">
        <v>-4.3523279999999997E-6</v>
      </c>
      <c r="I1641">
        <v>348.3399</v>
      </c>
      <c r="J1641">
        <v>-193.94540000000001</v>
      </c>
      <c r="K1641">
        <v>1.102983</v>
      </c>
      <c r="L1641">
        <v>356.98230000000001</v>
      </c>
      <c r="M1641">
        <v>0.53247419999999901</v>
      </c>
      <c r="N1641">
        <v>-1.1020159999999999E-2</v>
      </c>
      <c r="O1641">
        <v>-0.84637439999999997</v>
      </c>
      <c r="P1641">
        <v>0.2891302</v>
      </c>
      <c r="Q1641">
        <v>0.31116759999999999</v>
      </c>
      <c r="R1641">
        <v>-0.90530560000000004</v>
      </c>
      <c r="S1641">
        <v>0.47406009999999998</v>
      </c>
      <c r="T1641">
        <v>-0.41630240000000002</v>
      </c>
      <c r="U1641">
        <v>-3.3065799999999999</v>
      </c>
      <c r="V1641">
        <v>0.24308979999999999</v>
      </c>
      <c r="W1641">
        <v>0.31697219999999998</v>
      </c>
      <c r="X1641">
        <v>0.91675289999999998</v>
      </c>
      <c r="Y1641">
        <v>0.40700829999999999</v>
      </c>
      <c r="Z1641">
        <v>8.0234959999999994E-2</v>
      </c>
      <c r="AA1641">
        <v>0.90989379999999997</v>
      </c>
      <c r="AB1641">
        <v>22</v>
      </c>
      <c r="AC1641">
        <v>1.18970000000001</v>
      </c>
      <c r="AD1641">
        <v>-1.102987352328</v>
      </c>
      <c r="AE1641">
        <v>-8.6424000000000092</v>
      </c>
      <c r="AF1641">
        <v>3.5385769474356099</v>
      </c>
      <c r="AG1641">
        <v>-1.102987352328</v>
      </c>
      <c r="AH1641">
        <v>7.8236115576120104</v>
      </c>
      <c r="AI1641">
        <v>97.319780017681197</v>
      </c>
      <c r="AJ1641">
        <v>65.663019209291903</v>
      </c>
      <c r="AK1641">
        <v>8.6571938708058607</v>
      </c>
      <c r="AL1641">
        <v>71.5200842607954</v>
      </c>
      <c r="AM1641">
        <v>75.148997214407501</v>
      </c>
      <c r="AN1641">
        <v>0.999999953047643</v>
      </c>
    </row>
    <row r="1642" spans="1:40" x14ac:dyDescent="0.25">
      <c r="A1642" t="str">
        <f>"20190304164846820"</f>
        <v>20190304164846820</v>
      </c>
      <c r="B1642" t="str">
        <f>"1551689326817939"</f>
        <v>1551689326817939</v>
      </c>
      <c r="C1642" t="s">
        <v>40</v>
      </c>
      <c r="D1642">
        <v>4.942704</v>
      </c>
      <c r="E1642">
        <v>0.58474369999999998</v>
      </c>
      <c r="F1642" t="s">
        <v>42</v>
      </c>
      <c r="G1642">
        <v>-192.71770000000001</v>
      </c>
      <c r="H1642" s="1">
        <v>-4.2711849999999997E-6</v>
      </c>
      <c r="I1642">
        <v>348.12130000000002</v>
      </c>
      <c r="J1642">
        <v>-193.84270000000001</v>
      </c>
      <c r="K1642">
        <v>1.1029690000000001</v>
      </c>
      <c r="L1642">
        <v>356.79469999999998</v>
      </c>
      <c r="M1642">
        <v>0.52265729999999999</v>
      </c>
      <c r="N1642">
        <v>-1.095629E-2</v>
      </c>
      <c r="O1642">
        <v>-0.85247249999999997</v>
      </c>
      <c r="P1642">
        <v>0.28290789999999999</v>
      </c>
      <c r="Q1642">
        <v>0.313951599999999</v>
      </c>
      <c r="R1642">
        <v>-0.90630999999999995</v>
      </c>
      <c r="S1642">
        <v>0.45846559999999997</v>
      </c>
      <c r="T1642">
        <v>-0.41188649999999999</v>
      </c>
      <c r="U1642">
        <v>-3.3089599999999999</v>
      </c>
      <c r="V1642">
        <v>0.23833280000000001</v>
      </c>
      <c r="W1642">
        <v>0.31977610000000001</v>
      </c>
      <c r="X1642">
        <v>0.91702819999999996</v>
      </c>
      <c r="Y1642">
        <v>0.4007638</v>
      </c>
      <c r="Z1642">
        <v>8.0544550000000006E-2</v>
      </c>
      <c r="AA1642">
        <v>0.9126341</v>
      </c>
      <c r="AB1642">
        <v>22</v>
      </c>
      <c r="AC1642">
        <v>1.125</v>
      </c>
      <c r="AD1642">
        <v>-1.102973271185</v>
      </c>
      <c r="AE1642">
        <v>-8.6733999999999494</v>
      </c>
      <c r="AF1642">
        <v>3.5184415237461502</v>
      </c>
      <c r="AG1642">
        <v>-1.102973271185</v>
      </c>
      <c r="AH1642">
        <v>7.8573404419097699</v>
      </c>
      <c r="AI1642">
        <v>97.300769119623098</v>
      </c>
      <c r="AJ1642">
        <v>65.877623563791005</v>
      </c>
      <c r="AK1642">
        <v>8.6795034197263004</v>
      </c>
      <c r="AL1642">
        <v>71.350615067321698</v>
      </c>
      <c r="AM1642">
        <v>75.431316298160795</v>
      </c>
      <c r="AN1642">
        <v>0.99999999864114497</v>
      </c>
    </row>
    <row r="1643" spans="1:40" x14ac:dyDescent="0.25">
      <c r="A1643" t="str">
        <f>"20190304164846843"</f>
        <v>20190304164846843</v>
      </c>
      <c r="B1643" t="str">
        <f>"1551689326837459"</f>
        <v>1551689326837459</v>
      </c>
      <c r="C1643" t="s">
        <v>40</v>
      </c>
      <c r="D1643">
        <v>5.0123100000000003</v>
      </c>
      <c r="E1643">
        <v>0.5845783</v>
      </c>
      <c r="F1643" t="s">
        <v>42</v>
      </c>
      <c r="G1643">
        <v>-192.6455</v>
      </c>
      <c r="H1643" s="1">
        <v>-4.1208469999999998E-6</v>
      </c>
      <c r="I1643">
        <v>347.71710000000002</v>
      </c>
      <c r="J1643">
        <v>-193.7353</v>
      </c>
      <c r="K1643">
        <v>1.1029439999999999</v>
      </c>
      <c r="L1643">
        <v>356.59280000000001</v>
      </c>
      <c r="M1643">
        <v>0.5120924</v>
      </c>
      <c r="N1643">
        <v>-1.088153E-2</v>
      </c>
      <c r="O1643">
        <v>-0.85886130000000005</v>
      </c>
      <c r="P1643">
        <v>0.2757965</v>
      </c>
      <c r="Q1643">
        <v>0.31643450000000001</v>
      </c>
      <c r="R1643">
        <v>-0.90763740000000004</v>
      </c>
      <c r="S1643">
        <v>0.43696590000000002</v>
      </c>
      <c r="T1643">
        <v>-0.40256819999999999</v>
      </c>
      <c r="U1643">
        <v>-3.3131710000000001</v>
      </c>
      <c r="V1643">
        <v>0.23379759999999999</v>
      </c>
      <c r="W1643">
        <v>0.32226399999999999</v>
      </c>
      <c r="X1643">
        <v>0.91732469999999999</v>
      </c>
      <c r="Y1643">
        <v>0.39543489999999998</v>
      </c>
      <c r="Z1643">
        <v>7.9730179999999998E-2</v>
      </c>
      <c r="AA1643">
        <v>0.91502700000000003</v>
      </c>
      <c r="AB1643">
        <v>22</v>
      </c>
      <c r="AC1643">
        <v>1.0897999999999901</v>
      </c>
      <c r="AD1643">
        <v>-1.102948120847</v>
      </c>
      <c r="AE1643">
        <v>-8.8756999999999895</v>
      </c>
      <c r="AF1643">
        <v>3.55531957251752</v>
      </c>
      <c r="AG1643">
        <v>-1.102948120847</v>
      </c>
      <c r="AH1643">
        <v>8.0589603283339404</v>
      </c>
      <c r="AI1643">
        <v>97.137207865930407</v>
      </c>
      <c r="AJ1643">
        <v>66.194676019416704</v>
      </c>
      <c r="AK1643">
        <v>8.8771410596918301</v>
      </c>
      <c r="AL1643">
        <v>71.200102688263499</v>
      </c>
      <c r="AM1643">
        <v>75.701497557589605</v>
      </c>
      <c r="AN1643">
        <v>1.0000000043459201</v>
      </c>
    </row>
    <row r="1644" spans="1:40" x14ac:dyDescent="0.25">
      <c r="A1644" t="str">
        <f>"20190304164846866"</f>
        <v>20190304164846866</v>
      </c>
      <c r="B1644" t="str">
        <f>"1551689326857955"</f>
        <v>1551689326857955</v>
      </c>
      <c r="C1644" t="s">
        <v>40</v>
      </c>
      <c r="D1644">
        <v>4.9773860000000001</v>
      </c>
      <c r="E1644">
        <v>0.58451239999999904</v>
      </c>
      <c r="F1644" t="s">
        <v>42</v>
      </c>
      <c r="G1644">
        <v>-192.5829</v>
      </c>
      <c r="H1644" s="1">
        <v>-3.9803550000000003E-6</v>
      </c>
      <c r="I1644">
        <v>347.33690000000001</v>
      </c>
      <c r="J1644">
        <v>-193.62370000000001</v>
      </c>
      <c r="K1644">
        <v>1.1029089999999999</v>
      </c>
      <c r="L1644">
        <v>356.37670000000003</v>
      </c>
      <c r="M1644">
        <v>0.50079340000000006</v>
      </c>
      <c r="N1644">
        <v>-1.07939E-2</v>
      </c>
      <c r="O1644">
        <v>-0.86549959999999904</v>
      </c>
      <c r="P1644">
        <v>0.26796599999999998</v>
      </c>
      <c r="Q1644">
        <v>0.31760909999999998</v>
      </c>
      <c r="R1644">
        <v>-0.90957080000000001</v>
      </c>
      <c r="S1644">
        <v>0.41302489999999997</v>
      </c>
      <c r="T1644">
        <v>-0.39532590000000001</v>
      </c>
      <c r="U1644">
        <v>-3.3175659999999998</v>
      </c>
      <c r="V1644">
        <v>0.22949410000000001</v>
      </c>
      <c r="W1644">
        <v>0.32343149999999998</v>
      </c>
      <c r="X1644">
        <v>0.91800029999999999</v>
      </c>
      <c r="Y1644">
        <v>0.39006289999999999</v>
      </c>
      <c r="Z1644">
        <v>7.9375879999999996E-2</v>
      </c>
      <c r="AA1644">
        <v>0.91736050000000002</v>
      </c>
      <c r="AB1644">
        <v>22</v>
      </c>
      <c r="AC1644">
        <v>1.0408000000000099</v>
      </c>
      <c r="AD1644">
        <v>-1.102912980355</v>
      </c>
      <c r="AE1644">
        <v>-9.0398000000000103</v>
      </c>
      <c r="AF1644">
        <v>3.5739668321209801</v>
      </c>
      <c r="AG1644">
        <v>-1.102912980355</v>
      </c>
      <c r="AH1644">
        <v>8.2248255275800801</v>
      </c>
      <c r="AI1644">
        <v>97.011383554162506</v>
      </c>
      <c r="AJ1644">
        <v>66.513412150385193</v>
      </c>
      <c r="AK1644">
        <v>9.0353423243654394</v>
      </c>
      <c r="AL1644">
        <v>71.129425330557893</v>
      </c>
      <c r="AM1644">
        <v>75.964107517791803</v>
      </c>
      <c r="AN1644">
        <v>1.0000000139635701</v>
      </c>
    </row>
    <row r="1645" spans="1:40" x14ac:dyDescent="0.25">
      <c r="A1645" t="str">
        <f>"20190304164846886"</f>
        <v>20190304164846886</v>
      </c>
      <c r="B1645" t="str">
        <f>"1551689326878117"</f>
        <v>1551689326878117</v>
      </c>
      <c r="C1645" t="s">
        <v>40</v>
      </c>
      <c r="D1645">
        <v>5.0087719999999996</v>
      </c>
      <c r="E1645">
        <v>0.58422359999999995</v>
      </c>
      <c r="F1645" t="s">
        <v>42</v>
      </c>
      <c r="G1645">
        <v>-192.52860000000001</v>
      </c>
      <c r="H1645" s="1">
        <v>-3.8001880000000001E-6</v>
      </c>
      <c r="I1645">
        <v>346.87909999999999</v>
      </c>
      <c r="J1645">
        <v>-193.53</v>
      </c>
      <c r="K1645">
        <v>1.1028789999999999</v>
      </c>
      <c r="L1645">
        <v>356.18959999999998</v>
      </c>
      <c r="M1645">
        <v>0.49101250000000002</v>
      </c>
      <c r="N1645">
        <v>-1.070961E-2</v>
      </c>
      <c r="O1645">
        <v>-0.87108669999999999</v>
      </c>
      <c r="P1645">
        <v>0.26173990000000003</v>
      </c>
      <c r="Q1645">
        <v>0.31737969999999999</v>
      </c>
      <c r="R1645">
        <v>-0.91146199999999999</v>
      </c>
      <c r="S1645">
        <v>0.3828125</v>
      </c>
      <c r="T1645">
        <v>-0.38554369999999999</v>
      </c>
      <c r="U1645">
        <v>-3.320068</v>
      </c>
      <c r="V1645">
        <v>0.22546260000000001</v>
      </c>
      <c r="W1645">
        <v>0.3231986</v>
      </c>
      <c r="X1645">
        <v>0.91908069999999997</v>
      </c>
      <c r="Y1645">
        <v>0.38801059999999998</v>
      </c>
      <c r="Z1645">
        <v>7.8187690000000004E-2</v>
      </c>
      <c r="AA1645">
        <v>0.9183325</v>
      </c>
      <c r="AB1645">
        <v>22</v>
      </c>
      <c r="AC1645">
        <v>1.0013999999999801</v>
      </c>
      <c r="AD1645">
        <v>-1.102882800188</v>
      </c>
      <c r="AE1645">
        <v>-9.3104999999999905</v>
      </c>
      <c r="AF1645">
        <v>3.64886328717279</v>
      </c>
      <c r="AG1645">
        <v>-1.102882800188</v>
      </c>
      <c r="AH1645">
        <v>8.4847513166580608</v>
      </c>
      <c r="AI1645">
        <v>96.809460307505205</v>
      </c>
      <c r="AJ1645">
        <v>66.729900376037307</v>
      </c>
      <c r="AK1645">
        <v>9.3016965476712201</v>
      </c>
      <c r="AL1645">
        <v>71.143527129905806</v>
      </c>
      <c r="AM1645">
        <v>76.216773279869898</v>
      </c>
      <c r="AN1645">
        <v>1.0000000260766</v>
      </c>
    </row>
    <row r="1646" spans="1:40" x14ac:dyDescent="0.25">
      <c r="A1646" t="str">
        <f>"20190304164846909"</f>
        <v>20190304164846909</v>
      </c>
      <c r="B1646" t="str">
        <f>"1551689326897640"</f>
        <v>1551689326897640</v>
      </c>
      <c r="C1646" t="s">
        <v>40</v>
      </c>
      <c r="D1646">
        <v>5.05945</v>
      </c>
      <c r="E1646">
        <v>0.5838875</v>
      </c>
      <c r="F1646" t="s">
        <v>42</v>
      </c>
      <c r="G1646">
        <v>-192.50309999999999</v>
      </c>
      <c r="H1646" s="1">
        <v>-3.7424099999999998E-6</v>
      </c>
      <c r="I1646">
        <v>346.76029999999997</v>
      </c>
      <c r="J1646">
        <v>-193.43129999999999</v>
      </c>
      <c r="K1646">
        <v>1.102841</v>
      </c>
      <c r="L1646">
        <v>355.98689999999999</v>
      </c>
      <c r="M1646">
        <v>0.4804274</v>
      </c>
      <c r="N1646">
        <v>-1.061205E-2</v>
      </c>
      <c r="O1646">
        <v>-0.87697029999999998</v>
      </c>
      <c r="P1646">
        <v>0.25444139999999998</v>
      </c>
      <c r="Q1646">
        <v>0.31690889999999999</v>
      </c>
      <c r="R1646">
        <v>-0.91368939999999998</v>
      </c>
      <c r="S1646">
        <v>0.36186220000000002</v>
      </c>
      <c r="T1646">
        <v>-0.38865179999999999</v>
      </c>
      <c r="U1646">
        <v>-3.3228759999999999</v>
      </c>
      <c r="V1646">
        <v>0.2217517</v>
      </c>
      <c r="W1646">
        <v>0.32270589999999999</v>
      </c>
      <c r="X1646">
        <v>0.92015599999999997</v>
      </c>
      <c r="Y1646">
        <v>0.38267380000000001</v>
      </c>
      <c r="Z1646">
        <v>8.0042970000000005E-2</v>
      </c>
      <c r="AA1646">
        <v>0.92040960000000005</v>
      </c>
      <c r="AB1646">
        <v>22</v>
      </c>
      <c r="AC1646">
        <v>0.92820000000000402</v>
      </c>
      <c r="AD1646">
        <v>-1.1028447424100001</v>
      </c>
      <c r="AE1646">
        <v>-9.2266000000000101</v>
      </c>
      <c r="AF1646">
        <v>3.5684393765087501</v>
      </c>
      <c r="AG1646">
        <v>-1.1028447424100001</v>
      </c>
      <c r="AH1646">
        <v>8.4187922192645495</v>
      </c>
      <c r="AI1646">
        <v>96.877263007148898</v>
      </c>
      <c r="AJ1646">
        <v>67.029565859471305</v>
      </c>
      <c r="AK1646">
        <v>9.2101079548954701</v>
      </c>
      <c r="AL1646">
        <v>71.173354365598101</v>
      </c>
      <c r="AM1646">
        <v>76.450450720025898</v>
      </c>
      <c r="AN1646">
        <v>0.99999998934184897</v>
      </c>
    </row>
    <row r="1647" spans="1:40" x14ac:dyDescent="0.25">
      <c r="A1647" t="str">
        <f>"20190304164846930"</f>
        <v>20190304164846930</v>
      </c>
      <c r="B1647" t="str">
        <f>"1551689326928094"</f>
        <v>1551689326928094</v>
      </c>
      <c r="C1647" t="s">
        <v>40</v>
      </c>
      <c r="D1647">
        <v>4.9968469999999998</v>
      </c>
      <c r="E1647">
        <v>0.58338109999999999</v>
      </c>
      <c r="F1647" t="s">
        <v>42</v>
      </c>
      <c r="G1647">
        <v>-192.48609999999999</v>
      </c>
      <c r="H1647" s="1">
        <v>-3.6906010000000001E-6</v>
      </c>
      <c r="I1647">
        <v>346.65010000000001</v>
      </c>
      <c r="J1647">
        <v>-193.33529999999999</v>
      </c>
      <c r="K1647">
        <v>1.102811</v>
      </c>
      <c r="L1647">
        <v>355.78379999999999</v>
      </c>
      <c r="M1647">
        <v>0.46983079999999999</v>
      </c>
      <c r="N1647">
        <v>-1.05109E-2</v>
      </c>
      <c r="O1647">
        <v>-0.88269390000000003</v>
      </c>
      <c r="P1647">
        <v>0.2471266</v>
      </c>
      <c r="Q1647">
        <v>0.31734959999999901</v>
      </c>
      <c r="R1647">
        <v>-0.91554219999999997</v>
      </c>
      <c r="S1647">
        <v>0.33666990000000002</v>
      </c>
      <c r="T1647">
        <v>-0.3928411</v>
      </c>
      <c r="U1647">
        <v>-3.3258670000000001</v>
      </c>
      <c r="V1647">
        <v>0.21796209999999999</v>
      </c>
      <c r="W1647">
        <v>0.32312059999999998</v>
      </c>
      <c r="X1647">
        <v>0.9209157</v>
      </c>
      <c r="Y1647">
        <v>0.37855050000000001</v>
      </c>
      <c r="Z1647">
        <v>8.2106899999999997E-2</v>
      </c>
      <c r="AA1647">
        <v>0.92193159999999996</v>
      </c>
      <c r="AB1647">
        <v>23</v>
      </c>
      <c r="AC1647">
        <v>0.84919999999999596</v>
      </c>
      <c r="AD1647">
        <v>-1.1028146906009999</v>
      </c>
      <c r="AE1647">
        <v>-9.1336999999999708</v>
      </c>
      <c r="AF1647">
        <v>3.49144198853319</v>
      </c>
      <c r="AG1647">
        <v>-1.1028146906009999</v>
      </c>
      <c r="AH1647">
        <v>8.3411501351107695</v>
      </c>
      <c r="AI1647">
        <v>96.953477468863795</v>
      </c>
      <c r="AJ1647">
        <v>67.286769803136494</v>
      </c>
      <c r="AK1647">
        <v>9.1093991556828993</v>
      </c>
      <c r="AL1647">
        <v>71.148250305712807</v>
      </c>
      <c r="AM1647">
        <v>76.684277103639204</v>
      </c>
      <c r="AN1647">
        <v>1.0000000628436201</v>
      </c>
    </row>
    <row r="1648" spans="1:40" x14ac:dyDescent="0.25">
      <c r="A1648" t="str">
        <f>"20190304164846943"</f>
        <v>20190304164846943</v>
      </c>
      <c r="B1648" t="str">
        <f>"1551689326937854"</f>
        <v>1551689326937854</v>
      </c>
      <c r="C1648" t="s">
        <v>40</v>
      </c>
      <c r="D1648">
        <v>5.0265240000000002</v>
      </c>
      <c r="E1648">
        <v>0.58317529999999995</v>
      </c>
      <c r="F1648" t="s">
        <v>42</v>
      </c>
      <c r="G1648">
        <v>-192.46199999999999</v>
      </c>
      <c r="H1648" s="1">
        <v>-3.6054089999999999E-6</v>
      </c>
      <c r="I1648">
        <v>346.46640000000002</v>
      </c>
      <c r="J1648">
        <v>-193.27950000000001</v>
      </c>
      <c r="K1648">
        <v>1.102795</v>
      </c>
      <c r="L1648">
        <v>355.6626</v>
      </c>
      <c r="M1648">
        <v>0.46352179999999998</v>
      </c>
      <c r="N1648">
        <v>-1.0449440000000001E-2</v>
      </c>
      <c r="O1648">
        <v>-0.88602389999999998</v>
      </c>
      <c r="P1648">
        <v>0.24268919999999999</v>
      </c>
      <c r="Q1648">
        <v>0.31749939999999999</v>
      </c>
      <c r="R1648">
        <v>-0.91667690000000002</v>
      </c>
      <c r="S1648">
        <v>0.31204219999999999</v>
      </c>
      <c r="T1648">
        <v>-0.39404090000000003</v>
      </c>
      <c r="U1648">
        <v>-3.329132</v>
      </c>
      <c r="V1648">
        <v>0.21583040000000001</v>
      </c>
      <c r="W1648">
        <v>0.3232524</v>
      </c>
      <c r="X1648">
        <v>0.9213713</v>
      </c>
      <c r="Y1648">
        <v>0.37880079999999999</v>
      </c>
      <c r="Z1648">
        <v>8.2925250000000006E-2</v>
      </c>
      <c r="AA1648">
        <v>0.92175560000000001</v>
      </c>
      <c r="AB1648">
        <v>23</v>
      </c>
      <c r="AC1648">
        <v>0.81749999999999501</v>
      </c>
      <c r="AD1648">
        <v>-1.102798605409</v>
      </c>
      <c r="AE1648">
        <v>-9.1961999999999708</v>
      </c>
      <c r="AF1648">
        <v>3.4887312951381402</v>
      </c>
      <c r="AG1648">
        <v>-1.102798605409</v>
      </c>
      <c r="AH1648">
        <v>8.4074911939826702</v>
      </c>
      <c r="AI1648">
        <v>96.907841948103098</v>
      </c>
      <c r="AJ1648">
        <v>67.463744921295103</v>
      </c>
      <c r="AK1648">
        <v>9.1691503963379493</v>
      </c>
      <c r="AL1648">
        <v>71.140268750390106</v>
      </c>
      <c r="AM1648">
        <v>76.816227269251499</v>
      </c>
      <c r="AN1648">
        <v>0.99999997406680396</v>
      </c>
    </row>
    <row r="1649" spans="1:40" x14ac:dyDescent="0.25">
      <c r="A1649" t="str">
        <f>"20190304164846956"</f>
        <v>20190304164846956</v>
      </c>
      <c r="B1649" t="str">
        <f>"1551689326947614"</f>
        <v>1551689326947614</v>
      </c>
      <c r="C1649" t="s">
        <v>40</v>
      </c>
      <c r="D1649">
        <v>5.0373330000000003</v>
      </c>
      <c r="E1649">
        <v>0.58298899999999998</v>
      </c>
      <c r="F1649" t="s">
        <v>42</v>
      </c>
      <c r="G1649">
        <v>-192.45410000000001</v>
      </c>
      <c r="H1649" s="1">
        <v>-3.550151E-6</v>
      </c>
      <c r="I1649">
        <v>346.34249999999997</v>
      </c>
      <c r="J1649">
        <v>-193.22489999999999</v>
      </c>
      <c r="K1649">
        <v>1.1027849999999999</v>
      </c>
      <c r="L1649">
        <v>355.54250000000002</v>
      </c>
      <c r="M1649">
        <v>0.45726499999999998</v>
      </c>
      <c r="N1649">
        <v>-1.0388069999999999E-2</v>
      </c>
      <c r="O1649">
        <v>-0.8892698</v>
      </c>
      <c r="P1649">
        <v>0.2382272</v>
      </c>
      <c r="Q1649">
        <v>0.31820690000000001</v>
      </c>
      <c r="R1649">
        <v>-0.91760140000000001</v>
      </c>
      <c r="S1649">
        <v>0.29499819999999999</v>
      </c>
      <c r="T1649">
        <v>-0.3941482</v>
      </c>
      <c r="U1649">
        <v>-3.3310849999999999</v>
      </c>
      <c r="V1649">
        <v>0.2137175</v>
      </c>
      <c r="W1649">
        <v>0.32393949999999999</v>
      </c>
      <c r="X1649">
        <v>0.92162250000000001</v>
      </c>
      <c r="Y1649">
        <v>0.37701410000000002</v>
      </c>
      <c r="Z1649">
        <v>8.3559389999999997E-2</v>
      </c>
      <c r="AA1649">
        <v>0.92243059999999999</v>
      </c>
      <c r="AB1649">
        <v>23</v>
      </c>
      <c r="AC1649">
        <v>0.77079999999997995</v>
      </c>
      <c r="AD1649">
        <v>-1.102788550151</v>
      </c>
      <c r="AE1649">
        <v>-9.2000000000000401</v>
      </c>
      <c r="AF1649">
        <v>3.4720389601308801</v>
      </c>
      <c r="AG1649">
        <v>-1.102788550151</v>
      </c>
      <c r="AH1649">
        <v>8.4141474111027001</v>
      </c>
      <c r="AI1649">
        <v>96.907953913516295</v>
      </c>
      <c r="AJ1649">
        <v>67.576851398697599</v>
      </c>
      <c r="AK1649">
        <v>9.1689188993456199</v>
      </c>
      <c r="AL1649">
        <v>71.098662720243993</v>
      </c>
      <c r="AM1649">
        <v>76.944284655494499</v>
      </c>
      <c r="AN1649">
        <v>1.0000000009863701</v>
      </c>
    </row>
    <row r="1650" spans="1:40" x14ac:dyDescent="0.25">
      <c r="A1650" t="str">
        <f>"20190304164846975"</f>
        <v>20190304164846975</v>
      </c>
      <c r="B1650" t="str">
        <f>"1551689326968109"</f>
        <v>1551689326968109</v>
      </c>
      <c r="C1650" t="s">
        <v>40</v>
      </c>
      <c r="D1650">
        <v>4.9184910000000004</v>
      </c>
      <c r="E1650">
        <v>0.58263399999999999</v>
      </c>
      <c r="F1650" t="s">
        <v>42</v>
      </c>
      <c r="G1650">
        <v>-192.44220000000001</v>
      </c>
      <c r="H1650" s="1">
        <v>-3.4709760000000001E-6</v>
      </c>
      <c r="I1650">
        <v>346.1653</v>
      </c>
      <c r="J1650">
        <v>-193.1403</v>
      </c>
      <c r="K1650">
        <v>1.10277</v>
      </c>
      <c r="L1650">
        <v>355.35109999999997</v>
      </c>
      <c r="M1650">
        <v>0.4473221</v>
      </c>
      <c r="N1650">
        <v>-1.0292559999999999E-2</v>
      </c>
      <c r="O1650">
        <v>-0.89431380000000005</v>
      </c>
      <c r="P1650">
        <v>0.23160710000000001</v>
      </c>
      <c r="Q1650">
        <v>0.3196775</v>
      </c>
      <c r="R1650">
        <v>-0.91878439999999995</v>
      </c>
      <c r="S1650">
        <v>0.2782135</v>
      </c>
      <c r="T1650">
        <v>-0.39198359999999999</v>
      </c>
      <c r="U1650">
        <v>-3.3330989999999998</v>
      </c>
      <c r="V1650">
        <v>0.2098777</v>
      </c>
      <c r="W1650">
        <v>0.32539000000000001</v>
      </c>
      <c r="X1650">
        <v>0.92199390000000003</v>
      </c>
      <c r="Y1650">
        <v>0.37135869999999999</v>
      </c>
      <c r="Z1650">
        <v>8.4087540000000002E-2</v>
      </c>
      <c r="AA1650">
        <v>0.924674</v>
      </c>
      <c r="AB1650">
        <v>23</v>
      </c>
      <c r="AC1650">
        <v>0.69809999999998196</v>
      </c>
      <c r="AD1650">
        <v>-1.102773470976</v>
      </c>
      <c r="AE1650">
        <v>-9.1857999999999702</v>
      </c>
      <c r="AF1650">
        <v>3.4356433899410201</v>
      </c>
      <c r="AG1650">
        <v>-1.102773470976</v>
      </c>
      <c r="AH1650">
        <v>8.4072408857027607</v>
      </c>
      <c r="AI1650">
        <v>96.923086248415302</v>
      </c>
      <c r="AJ1650">
        <v>67.772477747866205</v>
      </c>
      <c r="AK1650">
        <v>9.1488498807973695</v>
      </c>
      <c r="AL1650">
        <v>71.010795830872397</v>
      </c>
      <c r="AM1650">
        <v>77.176020801895305</v>
      </c>
      <c r="AN1650">
        <v>1.0000000263472399</v>
      </c>
    </row>
    <row r="1651" spans="1:40" x14ac:dyDescent="0.25">
      <c r="A1651" t="str">
        <f>"20190304164846988"</f>
        <v>20190304164846988</v>
      </c>
      <c r="B1651" t="str">
        <f>"1551689326977870"</f>
        <v>1551689326977870</v>
      </c>
      <c r="C1651" t="s">
        <v>40</v>
      </c>
      <c r="D1651">
        <v>5.087904</v>
      </c>
      <c r="E1651">
        <v>0.58237130000000004</v>
      </c>
      <c r="F1651" t="s">
        <v>42</v>
      </c>
      <c r="G1651">
        <v>-192.4196</v>
      </c>
      <c r="H1651" s="1">
        <v>-3.3380679999999998E-6</v>
      </c>
      <c r="I1651">
        <v>345.86950000000002</v>
      </c>
      <c r="J1651">
        <v>-193.08760000000001</v>
      </c>
      <c r="K1651">
        <v>1.1027559999999901</v>
      </c>
      <c r="L1651">
        <v>355.22809999999998</v>
      </c>
      <c r="M1651">
        <v>0.44095859999999898</v>
      </c>
      <c r="N1651">
        <v>-1.0232689999999999E-2</v>
      </c>
      <c r="O1651">
        <v>-0.89746909999999902</v>
      </c>
      <c r="P1651">
        <v>0.22676370000000001</v>
      </c>
      <c r="Q1651">
        <v>0.3203935</v>
      </c>
      <c r="R1651">
        <v>-0.91974259999999997</v>
      </c>
      <c r="S1651">
        <v>0.25358579999999997</v>
      </c>
      <c r="T1651">
        <v>-0.38803209999999999</v>
      </c>
      <c r="U1651">
        <v>-3.3362729999999998</v>
      </c>
      <c r="V1651">
        <v>0.20808740000000001</v>
      </c>
      <c r="W1651">
        <v>0.32608150000000002</v>
      </c>
      <c r="X1651">
        <v>0.92215530000000001</v>
      </c>
      <c r="Y1651">
        <v>0.37162220000000001</v>
      </c>
      <c r="Z1651">
        <v>8.3650080000000002E-2</v>
      </c>
      <c r="AA1651">
        <v>0.92460779999999998</v>
      </c>
      <c r="AB1651">
        <v>23</v>
      </c>
      <c r="AC1651">
        <v>0.66800000000000603</v>
      </c>
      <c r="AD1651">
        <v>-1.1027593380680001</v>
      </c>
      <c r="AE1651">
        <v>-9.3585999999999601</v>
      </c>
      <c r="AF1651">
        <v>3.4793650972404899</v>
      </c>
      <c r="AG1651">
        <v>-1.1027593380680001</v>
      </c>
      <c r="AH1651">
        <v>8.5756029456451603</v>
      </c>
      <c r="AI1651">
        <v>96.795235194854996</v>
      </c>
      <c r="AJ1651">
        <v>67.916211473167706</v>
      </c>
      <c r="AK1651">
        <v>9.3200335578231392</v>
      </c>
      <c r="AL1651">
        <v>70.968888877917493</v>
      </c>
      <c r="AM1651">
        <v>77.283993020592803</v>
      </c>
      <c r="AN1651">
        <v>0.999999953999548</v>
      </c>
    </row>
    <row r="1652" spans="1:40" x14ac:dyDescent="0.25">
      <c r="A1652" t="str">
        <f>"20190304164847009"</f>
        <v>20190304164847009</v>
      </c>
      <c r="B1652" t="str">
        <f>"1551689326997390"</f>
        <v>1551689326997390</v>
      </c>
      <c r="C1652" t="s">
        <v>40</v>
      </c>
      <c r="D1652">
        <v>5.1159100000000004</v>
      </c>
      <c r="E1652">
        <v>0.58212919999999901</v>
      </c>
      <c r="F1652" t="s">
        <v>42</v>
      </c>
      <c r="G1652">
        <v>-192.41370000000001</v>
      </c>
      <c r="H1652" s="1">
        <v>-3.2592149999999998E-6</v>
      </c>
      <c r="I1652">
        <v>345.68939999999998</v>
      </c>
      <c r="J1652">
        <v>-193.00470000000001</v>
      </c>
      <c r="K1652">
        <v>1.1027439999999999</v>
      </c>
      <c r="L1652">
        <v>355.03109999999998</v>
      </c>
      <c r="M1652">
        <v>0.43077130000000002</v>
      </c>
      <c r="N1652">
        <v>-1.0139550000000001E-2</v>
      </c>
      <c r="O1652">
        <v>-0.9024044</v>
      </c>
      <c r="P1652">
        <v>0.2205018</v>
      </c>
      <c r="Q1652">
        <v>0.32211960000000001</v>
      </c>
      <c r="R1652">
        <v>-0.92066199999999998</v>
      </c>
      <c r="S1652">
        <v>0.23583979999999999</v>
      </c>
      <c r="T1652">
        <v>-0.38590930000000001</v>
      </c>
      <c r="U1652">
        <v>-3.3380429999999999</v>
      </c>
      <c r="V1652">
        <v>0.2036847</v>
      </c>
      <c r="W1652">
        <v>0.3278007</v>
      </c>
      <c r="X1652">
        <v>0.92252869999999998</v>
      </c>
      <c r="Y1652">
        <v>0.36604920000000002</v>
      </c>
      <c r="Z1652">
        <v>8.4147100000000002E-2</v>
      </c>
      <c r="AA1652">
        <v>0.92678329999999998</v>
      </c>
      <c r="AB1652">
        <v>23</v>
      </c>
      <c r="AC1652">
        <v>0.59100000000000796</v>
      </c>
      <c r="AD1652">
        <v>-1.1027472592150001</v>
      </c>
      <c r="AE1652">
        <v>-9.3416999999999994</v>
      </c>
      <c r="AF1652">
        <v>3.44320493767757</v>
      </c>
      <c r="AG1652">
        <v>-1.1027472592150001</v>
      </c>
      <c r="AH1652">
        <v>8.5661303499127701</v>
      </c>
      <c r="AI1652">
        <v>96.811438238938507</v>
      </c>
      <c r="AJ1652">
        <v>68.102057888391599</v>
      </c>
      <c r="AK1652">
        <v>9.2978653965439797</v>
      </c>
      <c r="AL1652">
        <v>70.864658407361603</v>
      </c>
      <c r="AM1652">
        <v>77.549438974096105</v>
      </c>
      <c r="AN1652">
        <v>0.99999997912913396</v>
      </c>
    </row>
    <row r="1653" spans="1:40" x14ac:dyDescent="0.25">
      <c r="A1653" t="str">
        <f>"20190304164847023"</f>
        <v>20190304164847023</v>
      </c>
      <c r="B1653" t="str">
        <f>"1551689327017886"</f>
        <v>1551689327017886</v>
      </c>
      <c r="C1653" t="s">
        <v>40</v>
      </c>
      <c r="D1653">
        <v>4.9619099999999996</v>
      </c>
      <c r="E1653">
        <v>0.5819512</v>
      </c>
      <c r="F1653" t="s">
        <v>42</v>
      </c>
      <c r="G1653">
        <v>-192.3921</v>
      </c>
      <c r="H1653" s="1">
        <v>-3.0915610000000002E-6</v>
      </c>
      <c r="I1653">
        <v>345.31199999999899</v>
      </c>
      <c r="J1653">
        <v>-192.94810000000001</v>
      </c>
      <c r="K1653">
        <v>1.1027340000000001</v>
      </c>
      <c r="L1653">
        <v>354.89269999999999</v>
      </c>
      <c r="M1653">
        <v>0.42363410000000001</v>
      </c>
      <c r="N1653">
        <v>-1.007748E-2</v>
      </c>
      <c r="O1653">
        <v>-0.90577750000000001</v>
      </c>
      <c r="P1653">
        <v>0.21538109999999999</v>
      </c>
      <c r="Q1653">
        <v>0.32298870000000002</v>
      </c>
      <c r="R1653">
        <v>-0.92156919999999998</v>
      </c>
      <c r="S1653">
        <v>0.21058650000000001</v>
      </c>
      <c r="T1653">
        <v>-0.37904719999999997</v>
      </c>
      <c r="U1653">
        <v>-3.3407589999999998</v>
      </c>
      <c r="V1653">
        <v>0.20141200000000001</v>
      </c>
      <c r="W1653">
        <v>0.32865420000000001</v>
      </c>
      <c r="X1653">
        <v>0.92272399999999999</v>
      </c>
      <c r="Y1653">
        <v>0.3657339</v>
      </c>
      <c r="Z1653">
        <v>8.3044510000000002E-2</v>
      </c>
      <c r="AA1653">
        <v>0.92700720000000003</v>
      </c>
      <c r="AB1653">
        <v>23</v>
      </c>
      <c r="AC1653">
        <v>0.55600000000001104</v>
      </c>
      <c r="AD1653">
        <v>-1.102737091561</v>
      </c>
      <c r="AE1653">
        <v>-9.5807000000000304</v>
      </c>
      <c r="AF1653">
        <v>3.5089485318241498</v>
      </c>
      <c r="AG1653">
        <v>-1.102737091561</v>
      </c>
      <c r="AH1653">
        <v>8.7978124470184191</v>
      </c>
      <c r="AI1653">
        <v>96.640689630009703</v>
      </c>
      <c r="AJ1653">
        <v>68.255746172129506</v>
      </c>
      <c r="AK1653">
        <v>9.5357355639199408</v>
      </c>
      <c r="AL1653">
        <v>70.812888315851694</v>
      </c>
      <c r="AM1653">
        <v>77.686626049154199</v>
      </c>
      <c r="AN1653">
        <v>0.99999997854881895</v>
      </c>
    </row>
    <row r="1654" spans="1:40" x14ac:dyDescent="0.25">
      <c r="A1654" t="str">
        <f>"20190304164847042"</f>
        <v>20190304164847042</v>
      </c>
      <c r="B1654" t="str">
        <f>"1551689327037406"</f>
        <v>1551689327037406</v>
      </c>
      <c r="C1654" t="s">
        <v>40</v>
      </c>
      <c r="D1654">
        <v>5.1065750000000003</v>
      </c>
      <c r="E1654">
        <v>0.58178909999999995</v>
      </c>
      <c r="F1654" t="s">
        <v>42</v>
      </c>
      <c r="G1654">
        <v>-192.38849999999999</v>
      </c>
      <c r="H1654" s="1">
        <v>-3.012948E-6</v>
      </c>
      <c r="I1654">
        <v>345.13099999999997</v>
      </c>
      <c r="J1654">
        <v>-192.875</v>
      </c>
      <c r="K1654">
        <v>1.102727</v>
      </c>
      <c r="L1654">
        <v>354.7099</v>
      </c>
      <c r="M1654">
        <v>0.41423919999999997</v>
      </c>
      <c r="N1654">
        <v>-1.000004E-2</v>
      </c>
      <c r="O1654">
        <v>-0.91011299999999995</v>
      </c>
      <c r="P1654">
        <v>0.2105226</v>
      </c>
      <c r="Q1654">
        <v>0.32470660000000001</v>
      </c>
      <c r="R1654">
        <v>-0.92208780000000001</v>
      </c>
      <c r="S1654">
        <v>0.19161990000000001</v>
      </c>
      <c r="T1654">
        <v>-0.3776292</v>
      </c>
      <c r="U1654">
        <v>-3.3428960000000001</v>
      </c>
      <c r="V1654">
        <v>0.1964892</v>
      </c>
      <c r="W1654">
        <v>0.33039469999999999</v>
      </c>
      <c r="X1654">
        <v>0.92316379999999998</v>
      </c>
      <c r="Y1654">
        <v>0.36138999999999999</v>
      </c>
      <c r="Z1654">
        <v>8.3529870000000006E-2</v>
      </c>
      <c r="AA1654">
        <v>0.92866579999999999</v>
      </c>
      <c r="AB1654">
        <v>23</v>
      </c>
      <c r="AC1654">
        <v>0.48650000000000598</v>
      </c>
      <c r="AD1654">
        <v>-1.102730012948</v>
      </c>
      <c r="AE1654">
        <v>-9.5789000000000293</v>
      </c>
      <c r="AF1654">
        <v>3.4793698470960801</v>
      </c>
      <c r="AG1654">
        <v>-1.102730012948</v>
      </c>
      <c r="AH1654">
        <v>8.8034852289445595</v>
      </c>
      <c r="AI1654">
        <v>96.644570311037697</v>
      </c>
      <c r="AJ1654">
        <v>68.4347595320435</v>
      </c>
      <c r="AK1654">
        <v>9.5301301245357006</v>
      </c>
      <c r="AL1654">
        <v>70.707266735129707</v>
      </c>
      <c r="AM1654">
        <v>77.984283956595604</v>
      </c>
      <c r="AN1654">
        <v>1.00000003256758</v>
      </c>
    </row>
    <row r="1655" spans="1:40" x14ac:dyDescent="0.25">
      <c r="A1655" t="str">
        <f>"20190304164847066"</f>
        <v>20190304164847066</v>
      </c>
      <c r="B1655" t="str">
        <f>"1551689327057902"</f>
        <v>1551689327057902</v>
      </c>
      <c r="C1655" t="s">
        <v>40</v>
      </c>
      <c r="D1655">
        <v>5.1011639999999998</v>
      </c>
      <c r="E1655">
        <v>0.58147130000000002</v>
      </c>
      <c r="F1655" t="s">
        <v>42</v>
      </c>
      <c r="G1655">
        <v>-192.36109999999999</v>
      </c>
      <c r="H1655" s="1">
        <v>-2.8642850000000001E-6</v>
      </c>
      <c r="I1655">
        <v>344.8014</v>
      </c>
      <c r="J1655">
        <v>-192.7824</v>
      </c>
      <c r="K1655">
        <v>1.1027340000000001</v>
      </c>
      <c r="L1655">
        <v>354.46969999999999</v>
      </c>
      <c r="M1655">
        <v>0.4019761</v>
      </c>
      <c r="N1655">
        <v>-9.9064740000000002E-3</v>
      </c>
      <c r="O1655">
        <v>-0.91559679999999999</v>
      </c>
      <c r="P1655">
        <v>0.2028741</v>
      </c>
      <c r="Q1655">
        <v>0.32509900000000003</v>
      </c>
      <c r="R1655">
        <v>-0.92366309999999996</v>
      </c>
      <c r="S1655">
        <v>0.17350769999999999</v>
      </c>
      <c r="T1655">
        <v>-0.37226720000000002</v>
      </c>
      <c r="U1655">
        <v>-3.3449710000000001</v>
      </c>
      <c r="V1655">
        <v>0.191662</v>
      </c>
      <c r="W1655">
        <v>0.33080199999999998</v>
      </c>
      <c r="X1655">
        <v>0.92403230000000003</v>
      </c>
      <c r="Y1655">
        <v>0.35391650000000002</v>
      </c>
      <c r="Z1655">
        <v>8.3306649999999996E-2</v>
      </c>
      <c r="AA1655">
        <v>0.93155949999999998</v>
      </c>
      <c r="AB1655">
        <v>23</v>
      </c>
      <c r="AC1655">
        <v>0.42130000000000201</v>
      </c>
      <c r="AD1655">
        <v>-1.102736864285</v>
      </c>
      <c r="AE1655">
        <v>-9.6682999999999808</v>
      </c>
      <c r="AF1655">
        <v>3.4559820169970199</v>
      </c>
      <c r="AG1655">
        <v>-1.102736864285</v>
      </c>
      <c r="AH1655">
        <v>8.9064140208004101</v>
      </c>
      <c r="AI1655">
        <v>96.584418811612807</v>
      </c>
      <c r="AJ1655">
        <v>68.792106517923798</v>
      </c>
      <c r="AK1655">
        <v>9.6168628462492904</v>
      </c>
      <c r="AL1655">
        <v>70.682538921686998</v>
      </c>
      <c r="AM1655">
        <v>78.281919903545798</v>
      </c>
      <c r="AN1655">
        <v>0.99999998844564397</v>
      </c>
    </row>
    <row r="1656" spans="1:40" x14ac:dyDescent="0.25">
      <c r="A1656" t="str">
        <f>"20190304164847089"</f>
        <v>20190304164847089</v>
      </c>
      <c r="B1656" t="str">
        <f>"1551689327077422"</f>
        <v>1551689327077422</v>
      </c>
      <c r="C1656" t="s">
        <v>40</v>
      </c>
      <c r="D1656">
        <v>5.1156800000000002</v>
      </c>
      <c r="E1656">
        <v>0.58120360000000004</v>
      </c>
      <c r="F1656" t="s">
        <v>42</v>
      </c>
      <c r="G1656">
        <v>-192.345</v>
      </c>
      <c r="H1656" s="1">
        <v>-2.7801400000000001E-6</v>
      </c>
      <c r="I1656">
        <v>344.61529999999999</v>
      </c>
      <c r="J1656">
        <v>-192.70060000000001</v>
      </c>
      <c r="K1656">
        <v>1.102751</v>
      </c>
      <c r="L1656">
        <v>354.24979999999999</v>
      </c>
      <c r="M1656">
        <v>0.39082650000000002</v>
      </c>
      <c r="N1656">
        <v>-9.8280550000000005E-3</v>
      </c>
      <c r="O1656">
        <v>-0.9204118</v>
      </c>
      <c r="P1656">
        <v>0.19596839999999999</v>
      </c>
      <c r="Q1656">
        <v>0.32531510000000002</v>
      </c>
      <c r="R1656">
        <v>-0.92507680000000003</v>
      </c>
      <c r="S1656">
        <v>0.14857479999999901</v>
      </c>
      <c r="T1656">
        <v>-0.37454929999999997</v>
      </c>
      <c r="U1656">
        <v>-3.3471069999999998</v>
      </c>
      <c r="V1656">
        <v>0.18728339999999999</v>
      </c>
      <c r="W1656">
        <v>0.331041799999999</v>
      </c>
      <c r="X1656">
        <v>0.92484390000000005</v>
      </c>
      <c r="Y1656">
        <v>0.34951969999999999</v>
      </c>
      <c r="Z1656">
        <v>8.4769730000000001E-2</v>
      </c>
      <c r="AA1656">
        <v>0.93308630000000004</v>
      </c>
      <c r="AB1656">
        <v>23</v>
      </c>
      <c r="AC1656">
        <v>0.35560000000000902</v>
      </c>
      <c r="AD1656">
        <v>-1.10275378014</v>
      </c>
      <c r="AE1656">
        <v>-9.6344999999999992</v>
      </c>
      <c r="AF1656">
        <v>3.39388363752927</v>
      </c>
      <c r="AG1656">
        <v>-1.10275378014</v>
      </c>
      <c r="AH1656">
        <v>8.8908027685710707</v>
      </c>
      <c r="AI1656">
        <v>96.609807341072496</v>
      </c>
      <c r="AJ1656">
        <v>69.1066583042508</v>
      </c>
      <c r="AK1656">
        <v>9.58023412627964</v>
      </c>
      <c r="AL1656">
        <v>70.667979141937394</v>
      </c>
      <c r="AM1656">
        <v>78.552254347663407</v>
      </c>
      <c r="AN1656">
        <v>0.99999999231500503</v>
      </c>
    </row>
    <row r="1657" spans="1:40" x14ac:dyDescent="0.25">
      <c r="A1657" t="str">
        <f>"20190304164847109"</f>
        <v>20190304164847109</v>
      </c>
      <c r="B1657" t="str">
        <f>"1551689327097920"</f>
        <v>1551689327097920</v>
      </c>
      <c r="C1657" t="s">
        <v>40</v>
      </c>
      <c r="D1657">
        <v>4.9069609999999999</v>
      </c>
      <c r="E1657">
        <v>0.58101709999999995</v>
      </c>
      <c r="F1657" t="s">
        <v>42</v>
      </c>
      <c r="G1657">
        <v>-192.32419999999999</v>
      </c>
      <c r="H1657" s="1">
        <v>-2.70175E-6</v>
      </c>
      <c r="I1657">
        <v>344.44540000000001</v>
      </c>
      <c r="J1657">
        <v>-192.62610000000001</v>
      </c>
      <c r="K1657">
        <v>1.102776</v>
      </c>
      <c r="L1657">
        <v>354.04250000000002</v>
      </c>
      <c r="M1657">
        <v>0.38039970000000001</v>
      </c>
      <c r="N1657">
        <v>-9.760098E-3</v>
      </c>
      <c r="O1657">
        <v>-0.9247708</v>
      </c>
      <c r="P1657">
        <v>0.1894865</v>
      </c>
      <c r="Q1657">
        <v>0.32609519999999997</v>
      </c>
      <c r="R1657">
        <v>-0.92615159999999996</v>
      </c>
      <c r="S1657">
        <v>0.12853999999999999</v>
      </c>
      <c r="T1657">
        <v>-0.37658350000000002</v>
      </c>
      <c r="U1657">
        <v>-3.3481450000000001</v>
      </c>
      <c r="V1657">
        <v>0.18317749999999999</v>
      </c>
      <c r="W1657">
        <v>0.33185199999999998</v>
      </c>
      <c r="X1657">
        <v>0.92537570000000002</v>
      </c>
      <c r="Y1657">
        <v>0.34452440000000001</v>
      </c>
      <c r="Z1657">
        <v>8.6136749999999998E-2</v>
      </c>
      <c r="AA1657">
        <v>0.93481729999999996</v>
      </c>
      <c r="AB1657">
        <v>23</v>
      </c>
      <c r="AC1657">
        <v>0.30190000000001699</v>
      </c>
      <c r="AD1657">
        <v>-1.1027787017499999</v>
      </c>
      <c r="AE1657">
        <v>-9.59710000000001</v>
      </c>
      <c r="AF1657">
        <v>3.3278098058806398</v>
      </c>
      <c r="AG1657">
        <v>-1.1027787017499999</v>
      </c>
      <c r="AH1657">
        <v>8.8733423191198604</v>
      </c>
      <c r="AI1657">
        <v>96.637408461334999</v>
      </c>
      <c r="AJ1657">
        <v>69.442220067299601</v>
      </c>
      <c r="AK1657">
        <v>9.5407883784010394</v>
      </c>
      <c r="AL1657">
        <v>70.6187763613991</v>
      </c>
      <c r="AM1657">
        <v>78.803087646758897</v>
      </c>
      <c r="AN1657">
        <v>0.99999996628036902</v>
      </c>
    </row>
    <row r="1658" spans="1:40" x14ac:dyDescent="0.25">
      <c r="A1658" t="str">
        <f>"20190304164847132"</f>
        <v>20190304164847132</v>
      </c>
      <c r="B1658" t="str">
        <f>"1551689327117438"</f>
        <v>1551689327117438</v>
      </c>
      <c r="C1658" t="s">
        <v>40</v>
      </c>
      <c r="D1658">
        <v>4.8975869999999997</v>
      </c>
      <c r="E1658">
        <v>0.58092149999999998</v>
      </c>
      <c r="F1658" t="s">
        <v>42</v>
      </c>
      <c r="G1658">
        <v>-192.30189999999999</v>
      </c>
      <c r="H1658" s="1">
        <v>-2.6029999999999999E-6</v>
      </c>
      <c r="I1658">
        <v>344.22910000000002</v>
      </c>
      <c r="J1658">
        <v>-192.54839999999999</v>
      </c>
      <c r="K1658">
        <v>1.102819</v>
      </c>
      <c r="L1658">
        <v>353.81849999999997</v>
      </c>
      <c r="M1658">
        <v>0.36924469999999998</v>
      </c>
      <c r="N1658">
        <v>-9.691992E-3</v>
      </c>
      <c r="O1658">
        <v>-0.92928180000000005</v>
      </c>
      <c r="P1658">
        <v>0.18213080000000001</v>
      </c>
      <c r="Q1658">
        <v>0.32721060000000002</v>
      </c>
      <c r="R1658">
        <v>-0.92723359999999999</v>
      </c>
      <c r="S1658">
        <v>0.1106415</v>
      </c>
      <c r="T1658">
        <v>-0.37635459999999998</v>
      </c>
      <c r="U1658">
        <v>-3.3491209999999998</v>
      </c>
      <c r="V1658">
        <v>0.17920999999999901</v>
      </c>
      <c r="W1658">
        <v>0.3329993</v>
      </c>
      <c r="X1658">
        <v>0.92574040000000002</v>
      </c>
      <c r="Y1658">
        <v>0.33823360000000002</v>
      </c>
      <c r="Z1658">
        <v>8.6990129999999999E-2</v>
      </c>
      <c r="AA1658">
        <v>0.93703289999999995</v>
      </c>
      <c r="AB1658">
        <v>23</v>
      </c>
      <c r="AC1658">
        <v>0.246499999999997</v>
      </c>
      <c r="AD1658">
        <v>-1.102821603</v>
      </c>
      <c r="AE1658">
        <v>-9.5893999999999497</v>
      </c>
      <c r="AF1658">
        <v>3.2687188665767999</v>
      </c>
      <c r="AG1658">
        <v>-1.102821603</v>
      </c>
      <c r="AH1658">
        <v>8.88525686713281</v>
      </c>
      <c r="AI1658">
        <v>96.644200747750602</v>
      </c>
      <c r="AJ1658">
        <v>69.802380472119907</v>
      </c>
      <c r="AK1658">
        <v>9.53144942344497</v>
      </c>
      <c r="AL1658">
        <v>70.549078218085498</v>
      </c>
      <c r="AM1658">
        <v>79.043882859647795</v>
      </c>
      <c r="AN1658">
        <v>1.00000002304632</v>
      </c>
    </row>
    <row r="1659" spans="1:40" x14ac:dyDescent="0.25">
      <c r="A1659" t="str">
        <f>"20190304164847155"</f>
        <v>20190304164847155</v>
      </c>
      <c r="B1659" t="str">
        <f>"1551689327147694"</f>
        <v>1551689327147694</v>
      </c>
      <c r="C1659" t="s">
        <v>40</v>
      </c>
      <c r="D1659">
        <v>4.7936430000000003</v>
      </c>
      <c r="E1659">
        <v>0.58070849999999996</v>
      </c>
      <c r="F1659" t="s">
        <v>42</v>
      </c>
      <c r="G1659">
        <v>-192.2824</v>
      </c>
      <c r="H1659" s="1">
        <v>-2.480117E-6</v>
      </c>
      <c r="I1659">
        <v>343.9547</v>
      </c>
      <c r="J1659">
        <v>-192.46950000000001</v>
      </c>
      <c r="K1659">
        <v>1.102878</v>
      </c>
      <c r="L1659">
        <v>353.58249999999998</v>
      </c>
      <c r="M1659">
        <v>0.35763610000000001</v>
      </c>
      <c r="N1659">
        <v>-9.6247729999999997E-3</v>
      </c>
      <c r="O1659">
        <v>-0.93381139999999996</v>
      </c>
      <c r="P1659">
        <v>0.17410149999999999</v>
      </c>
      <c r="Q1659">
        <v>0.328152099999999</v>
      </c>
      <c r="R1659">
        <v>-0.92844230000000005</v>
      </c>
      <c r="S1659">
        <v>9.0316770000000005E-2</v>
      </c>
      <c r="T1659">
        <v>-0.3745308</v>
      </c>
      <c r="U1659">
        <v>-3.3498540000000001</v>
      </c>
      <c r="V1659">
        <v>0.17551649999999999</v>
      </c>
      <c r="W1659">
        <v>0.33397529999999997</v>
      </c>
      <c r="X1659">
        <v>0.92609640000000004</v>
      </c>
      <c r="Y1659">
        <v>0.33219919999999997</v>
      </c>
      <c r="Z1659">
        <v>8.7434689999999995E-2</v>
      </c>
      <c r="AA1659">
        <v>0.93914790000000004</v>
      </c>
      <c r="AB1659">
        <v>23</v>
      </c>
      <c r="AC1659">
        <v>0.187100000000015</v>
      </c>
      <c r="AD1659">
        <v>-1.102880480117</v>
      </c>
      <c r="AE1659">
        <v>-9.6277999999999793</v>
      </c>
      <c r="AF1659">
        <v>3.22636359172196</v>
      </c>
      <c r="AG1659">
        <v>-1.102880480117</v>
      </c>
      <c r="AH1659">
        <v>8.9406077967331097</v>
      </c>
      <c r="AI1659">
        <v>96.618566338034199</v>
      </c>
      <c r="AJ1659">
        <v>70.157197782682999</v>
      </c>
      <c r="AK1659">
        <v>9.5687112588068501</v>
      </c>
      <c r="AL1659">
        <v>70.489762345072904</v>
      </c>
      <c r="AM1659">
        <v>79.268417126026307</v>
      </c>
      <c r="AN1659">
        <v>1.0000000424376401</v>
      </c>
    </row>
    <row r="1660" spans="1:40" x14ac:dyDescent="0.25">
      <c r="A1660" t="str">
        <f>"20190304164847177"</f>
        <v>20190304164847177</v>
      </c>
      <c r="B1660" t="str">
        <f>"1551689327168190"</f>
        <v>1551689327168190</v>
      </c>
      <c r="C1660" t="s">
        <v>40</v>
      </c>
      <c r="D1660">
        <v>5.0882050000000003</v>
      </c>
      <c r="E1660">
        <v>0.58037349999999999</v>
      </c>
      <c r="F1660" t="s">
        <v>42</v>
      </c>
      <c r="G1660">
        <v>-192.2654</v>
      </c>
      <c r="H1660" s="1">
        <v>-2.3496520000000001E-6</v>
      </c>
      <c r="I1660">
        <v>343.66120000000001</v>
      </c>
      <c r="J1660">
        <v>-192.39599999999999</v>
      </c>
      <c r="K1660">
        <v>1.102951</v>
      </c>
      <c r="L1660">
        <v>353.3535</v>
      </c>
      <c r="M1660">
        <v>0.34655920000000001</v>
      </c>
      <c r="N1660">
        <v>-9.5629559999999992E-3</v>
      </c>
      <c r="O1660">
        <v>-0.93797969999999997</v>
      </c>
      <c r="P1660">
        <v>0.1662979</v>
      </c>
      <c r="Q1660">
        <v>0.32823089999999999</v>
      </c>
      <c r="R1660">
        <v>-0.92984409999999895</v>
      </c>
      <c r="S1660">
        <v>6.8908689999999995E-2</v>
      </c>
      <c r="T1660">
        <v>-0.37238110000000002</v>
      </c>
      <c r="U1660">
        <v>-3.3498839999999999</v>
      </c>
      <c r="V1660">
        <v>0.1722496</v>
      </c>
      <c r="W1660">
        <v>0.3340921</v>
      </c>
      <c r="X1660">
        <v>0.92666749999999998</v>
      </c>
      <c r="Y1660">
        <v>0.32704030000000001</v>
      </c>
      <c r="Z1660">
        <v>8.7722229999999998E-2</v>
      </c>
      <c r="AA1660">
        <v>0.94093009999999999</v>
      </c>
      <c r="AB1660">
        <v>23</v>
      </c>
      <c r="AC1660">
        <v>0.13059999999998601</v>
      </c>
      <c r="AD1660">
        <v>-1.1029533496520001</v>
      </c>
      <c r="AE1660">
        <v>-9.6922999999999799</v>
      </c>
      <c r="AF1660">
        <v>3.1952326584700699</v>
      </c>
      <c r="AG1660">
        <v>-1.1029533496520001</v>
      </c>
      <c r="AH1660">
        <v>9.0200698830382802</v>
      </c>
      <c r="AI1660">
        <v>96.574885543678207</v>
      </c>
      <c r="AJ1660">
        <v>70.494026423323703</v>
      </c>
      <c r="AK1660">
        <v>9.6326361152156306</v>
      </c>
      <c r="AL1660">
        <v>70.482662655403701</v>
      </c>
      <c r="AM1660">
        <v>79.469999229102996</v>
      </c>
      <c r="AN1660">
        <v>1.0000000557694</v>
      </c>
    </row>
    <row r="1661" spans="1:40" x14ac:dyDescent="0.25">
      <c r="A1661" t="str">
        <f>"20190304164847199"</f>
        <v>20190304164847199</v>
      </c>
      <c r="B1661" t="str">
        <f>"1551689327187713"</f>
        <v>1551689327187713</v>
      </c>
      <c r="C1661" t="s">
        <v>40</v>
      </c>
      <c r="D1661">
        <v>4.9483870000000003</v>
      </c>
      <c r="E1661">
        <v>0.57097869999999995</v>
      </c>
      <c r="F1661" t="s">
        <v>42</v>
      </c>
      <c r="G1661">
        <v>-192.2483</v>
      </c>
      <c r="H1661" s="1">
        <v>-2.2882349999999999E-6</v>
      </c>
      <c r="I1661">
        <v>343.52859999999998</v>
      </c>
      <c r="J1661">
        <v>-192.3272</v>
      </c>
      <c r="K1661">
        <v>1.103027</v>
      </c>
      <c r="L1661">
        <v>353.13099999999997</v>
      </c>
      <c r="M1661">
        <v>0.3359549</v>
      </c>
      <c r="N1661">
        <v>-9.5014069999999999E-3</v>
      </c>
      <c r="O1661">
        <v>-0.94183019999999995</v>
      </c>
      <c r="P1661">
        <v>0.15898970000000001</v>
      </c>
      <c r="Q1661">
        <v>0.32760139999999999</v>
      </c>
      <c r="R1661">
        <v>-0.93134309999999998</v>
      </c>
      <c r="S1661">
        <v>5.0354000000000003E-2</v>
      </c>
      <c r="T1661">
        <v>-0.37608619999999998</v>
      </c>
      <c r="U1661">
        <v>-3.3501280000000002</v>
      </c>
      <c r="V1661">
        <v>0.16905439999999999</v>
      </c>
      <c r="W1661">
        <v>0.33350370000000001</v>
      </c>
      <c r="X1661">
        <v>0.9274675</v>
      </c>
      <c r="Y1661">
        <v>0.3215925</v>
      </c>
      <c r="Z1661">
        <v>8.9470160000000007E-2</v>
      </c>
      <c r="AA1661">
        <v>0.94264170000000003</v>
      </c>
      <c r="AB1661">
        <v>23</v>
      </c>
      <c r="AC1661">
        <v>7.8900000000004397E-2</v>
      </c>
      <c r="AD1661">
        <v>-1.1030292882349999</v>
      </c>
      <c r="AE1661">
        <v>-9.6023999999999798</v>
      </c>
      <c r="AF1661">
        <v>3.1107608453005402</v>
      </c>
      <c r="AG1661">
        <v>-1.1030292882349999</v>
      </c>
      <c r="AH1661">
        <v>8.9526228878002705</v>
      </c>
      <c r="AI1661">
        <v>96.638325728062696</v>
      </c>
      <c r="AJ1661">
        <v>70.839234473753706</v>
      </c>
      <c r="AK1661">
        <v>9.5416436329662009</v>
      </c>
      <c r="AL1661">
        <v>70.518426348066996</v>
      </c>
      <c r="AM1661">
        <v>79.669803744673601</v>
      </c>
      <c r="AN1661">
        <v>1.0000000358146399</v>
      </c>
    </row>
    <row r="1662" spans="1:40" x14ac:dyDescent="0.25">
      <c r="A1662" t="str">
        <f>"20190304164847212"</f>
        <v>20190304164847212</v>
      </c>
      <c r="B1662" t="str">
        <f>"1551689327207230"</f>
        <v>1551689327207230</v>
      </c>
      <c r="C1662" t="s">
        <v>40</v>
      </c>
      <c r="D1662">
        <v>4.7306530000000002</v>
      </c>
      <c r="E1662">
        <v>0.57644609999999996</v>
      </c>
      <c r="F1662" t="s">
        <v>42</v>
      </c>
      <c r="G1662">
        <v>-192.04310000000001</v>
      </c>
      <c r="H1662" s="1">
        <v>-2.6645870000000001E-6</v>
      </c>
      <c r="I1662">
        <v>344.53309999999999</v>
      </c>
      <c r="J1662">
        <v>-192.28559999999999</v>
      </c>
      <c r="K1662">
        <v>1.103073</v>
      </c>
      <c r="L1662">
        <v>352.99250000000001</v>
      </c>
      <c r="M1662">
        <v>0.32942450000000001</v>
      </c>
      <c r="N1662">
        <v>-9.4633660000000008E-3</v>
      </c>
      <c r="O1662">
        <v>-0.94413469999999999</v>
      </c>
      <c r="P1662">
        <v>0.15425159999999999</v>
      </c>
      <c r="Q1662">
        <v>0.32787909999999998</v>
      </c>
      <c r="R1662">
        <v>-0.93204219999999904</v>
      </c>
      <c r="S1662">
        <v>0.1108093</v>
      </c>
      <c r="T1662">
        <v>-0.43023990000000001</v>
      </c>
      <c r="U1662">
        <v>-3.3536069999999998</v>
      </c>
      <c r="V1662">
        <v>0.16727349999999999</v>
      </c>
      <c r="W1662">
        <v>0.33379900000000001</v>
      </c>
      <c r="X1662">
        <v>0.92768410000000001</v>
      </c>
      <c r="Y1662">
        <v>0.29800860000000001</v>
      </c>
      <c r="Z1662">
        <v>0.1043824</v>
      </c>
      <c r="AA1662">
        <v>0.94883879999999998</v>
      </c>
      <c r="AB1662">
        <v>23</v>
      </c>
      <c r="AC1662">
        <v>0.24249999999997801</v>
      </c>
      <c r="AD1662">
        <v>-1.1030756645869999</v>
      </c>
      <c r="AE1662">
        <v>-8.4594000000000094</v>
      </c>
      <c r="AF1662">
        <v>2.5151641868441601</v>
      </c>
      <c r="AG1662">
        <v>-1.1030756645869999</v>
      </c>
      <c r="AH1662">
        <v>7.9322942902212699</v>
      </c>
      <c r="AI1662">
        <v>97.550953786631297</v>
      </c>
      <c r="AJ1662">
        <v>72.407270344620997</v>
      </c>
      <c r="AK1662">
        <v>8.3942908881730105</v>
      </c>
      <c r="AL1662">
        <v>70.5004775543253</v>
      </c>
      <c r="AM1662">
        <v>79.778656647367498</v>
      </c>
      <c r="AN1662">
        <v>0.99999999279802998</v>
      </c>
    </row>
    <row r="1663" spans="1:40" x14ac:dyDescent="0.25">
      <c r="A1663" t="str">
        <f>"20190304164847234"</f>
        <v>20190304164847234</v>
      </c>
      <c r="B1663" t="str">
        <f>"1551689327227726"</f>
        <v>1551689327227726</v>
      </c>
      <c r="C1663" t="s">
        <v>40</v>
      </c>
      <c r="D1663">
        <v>5.0330579999999996</v>
      </c>
      <c r="E1663">
        <v>0.57435760000000002</v>
      </c>
      <c r="F1663" t="s">
        <v>42</v>
      </c>
      <c r="G1663">
        <v>-192.15549999999999</v>
      </c>
      <c r="H1663" s="1">
        <v>-1.2918460000000001E-6</v>
      </c>
      <c r="I1663">
        <v>341.26350000000002</v>
      </c>
      <c r="J1663">
        <v>-192.21899999999999</v>
      </c>
      <c r="K1663">
        <v>1.103148</v>
      </c>
      <c r="L1663">
        <v>352.76409999999998</v>
      </c>
      <c r="M1663">
        <v>0.3187799</v>
      </c>
      <c r="N1663">
        <v>-9.4045719999999999E-3</v>
      </c>
      <c r="O1663">
        <v>-0.94778220000000002</v>
      </c>
      <c r="P1663">
        <v>0.14728540000000001</v>
      </c>
      <c r="Q1663">
        <v>0.3295611</v>
      </c>
      <c r="R1663">
        <v>-0.9325755</v>
      </c>
      <c r="S1663">
        <v>3.6849979999999997E-2</v>
      </c>
      <c r="T1663">
        <v>-0.3124788</v>
      </c>
      <c r="U1663">
        <v>-3.3225709999999999</v>
      </c>
      <c r="V1663">
        <v>0.16353000000000001</v>
      </c>
      <c r="W1663">
        <v>0.33552100000000001</v>
      </c>
      <c r="X1663">
        <v>0.92773039999999996</v>
      </c>
      <c r="Y1663">
        <v>0.30810729999999997</v>
      </c>
      <c r="Z1663">
        <v>7.4690740000000005E-2</v>
      </c>
      <c r="AA1663">
        <v>0.94841509999999996</v>
      </c>
      <c r="AB1663">
        <v>23</v>
      </c>
      <c r="AC1663">
        <v>6.3500000000033197E-2</v>
      </c>
      <c r="AD1663">
        <v>-1.103149291846</v>
      </c>
      <c r="AE1663">
        <v>-11.500599999999899</v>
      </c>
      <c r="AF1663">
        <v>3.5732591294095002</v>
      </c>
      <c r="AG1663">
        <v>-1.103149291846</v>
      </c>
      <c r="AH1663">
        <v>10.821227160708199</v>
      </c>
      <c r="AI1663">
        <v>95.529122673734406</v>
      </c>
      <c r="AJ1663">
        <v>71.726347567442104</v>
      </c>
      <c r="AK1663">
        <v>11.4491954490111</v>
      </c>
      <c r="AL1663">
        <v>70.395778202272695</v>
      </c>
      <c r="AM1663">
        <v>80.003228491219204</v>
      </c>
      <c r="AN1663">
        <v>1.00000004871257</v>
      </c>
    </row>
    <row r="1664" spans="1:40" x14ac:dyDescent="0.25">
      <c r="A1664" t="str">
        <f>"20190304164847257"</f>
        <v>20190304164847257</v>
      </c>
      <c r="B1664" t="str">
        <f>"1551689327247246"</f>
        <v>1551689327247246</v>
      </c>
      <c r="C1664" t="s">
        <v>40</v>
      </c>
      <c r="D1664">
        <v>4.7140849999999999</v>
      </c>
      <c r="E1664">
        <v>0.57535239999999999</v>
      </c>
      <c r="F1664" t="s">
        <v>42</v>
      </c>
      <c r="G1664">
        <v>-192.09809999999999</v>
      </c>
      <c r="H1664" s="1">
        <v>-1.591494E-6</v>
      </c>
      <c r="I1664">
        <v>341.99770000000001</v>
      </c>
      <c r="J1664">
        <v>-192.1551</v>
      </c>
      <c r="K1664">
        <v>1.1032200000000001</v>
      </c>
      <c r="L1664">
        <v>352.53570000000002</v>
      </c>
      <c r="M1664">
        <v>0.30832009999999899</v>
      </c>
      <c r="N1664">
        <v>-9.3455450000000002E-3</v>
      </c>
      <c r="O1664">
        <v>-0.951237</v>
      </c>
      <c r="P1664">
        <v>0.1416637</v>
      </c>
      <c r="Q1664">
        <v>0.33230340000000003</v>
      </c>
      <c r="R1664">
        <v>-0.932473</v>
      </c>
      <c r="S1664">
        <v>3.7414549999999998E-2</v>
      </c>
      <c r="T1664">
        <v>-0.34136450000000002</v>
      </c>
      <c r="U1664">
        <v>-3.3316349999999999</v>
      </c>
      <c r="V1664">
        <v>0.15856809999999999</v>
      </c>
      <c r="W1664">
        <v>0.33832109999999999</v>
      </c>
      <c r="X1664">
        <v>0.92757480000000003</v>
      </c>
      <c r="Y1664">
        <v>0.29747639999999997</v>
      </c>
      <c r="Z1664">
        <v>8.2901440000000007E-2</v>
      </c>
      <c r="AA1664">
        <v>0.9511231</v>
      </c>
      <c r="AB1664">
        <v>24</v>
      </c>
      <c r="AC1664">
        <v>5.7000000000016302E-2</v>
      </c>
      <c r="AD1664">
        <v>-1.103221591494</v>
      </c>
      <c r="AE1664">
        <v>-10.538</v>
      </c>
      <c r="AF1664">
        <v>3.16035909984855</v>
      </c>
      <c r="AG1664">
        <v>-1.103221591494</v>
      </c>
      <c r="AH1664">
        <v>9.9332808085394007</v>
      </c>
      <c r="AI1664">
        <v>96.041446534662995</v>
      </c>
      <c r="AJ1664">
        <v>72.351081780482801</v>
      </c>
      <c r="AK1664">
        <v>10.482129322863299</v>
      </c>
      <c r="AL1664">
        <v>70.2253808121486</v>
      </c>
      <c r="AM1664">
        <v>80.299109618288497</v>
      </c>
      <c r="AN1664">
        <v>1.0000000093189201</v>
      </c>
    </row>
    <row r="1665" spans="1:40" x14ac:dyDescent="0.25">
      <c r="A1665" t="str">
        <f>"20190304164847280"</f>
        <v>20190304164847280</v>
      </c>
      <c r="B1665" t="str">
        <f>"1551689327267742"</f>
        <v>1551689327267742</v>
      </c>
      <c r="C1665" t="s">
        <v>40</v>
      </c>
      <c r="D1665">
        <v>4.8079409999999996</v>
      </c>
      <c r="E1665">
        <v>0.57526759999999999</v>
      </c>
      <c r="F1665" t="s">
        <v>42</v>
      </c>
      <c r="G1665">
        <v>-192.1319</v>
      </c>
      <c r="H1665" s="1">
        <v>-8.7864669999999898E-7</v>
      </c>
      <c r="I1665">
        <v>340.315</v>
      </c>
      <c r="J1665">
        <v>-192.08799999999999</v>
      </c>
      <c r="K1665">
        <v>1.1033010000000001</v>
      </c>
      <c r="L1665">
        <v>352.28559999999999</v>
      </c>
      <c r="M1665">
        <v>0.29705679999999901</v>
      </c>
      <c r="N1665">
        <v>-9.2679839999999999E-3</v>
      </c>
      <c r="O1665">
        <v>-0.95481490000000002</v>
      </c>
      <c r="P1665">
        <v>0.136217899999999</v>
      </c>
      <c r="Q1665">
        <v>0.33523069999999999</v>
      </c>
      <c r="R1665">
        <v>-0.93223699999999998</v>
      </c>
      <c r="S1665">
        <v>6.3018800000000002E-3</v>
      </c>
      <c r="T1665">
        <v>-0.30000159999999998</v>
      </c>
      <c r="U1665">
        <v>-3.3232119999999998</v>
      </c>
      <c r="V1665">
        <v>0.15267039999999901</v>
      </c>
      <c r="W1665">
        <v>0.341306099999999</v>
      </c>
      <c r="X1665">
        <v>0.92747069999999998</v>
      </c>
      <c r="Y1665">
        <v>0.29509740000000001</v>
      </c>
      <c r="Z1665">
        <v>7.2595899999999894E-2</v>
      </c>
      <c r="AA1665">
        <v>0.95270529999999998</v>
      </c>
      <c r="AB1665">
        <v>24</v>
      </c>
      <c r="AC1665">
        <v>-4.3900000000007801E-2</v>
      </c>
      <c r="AD1665">
        <v>-1.1033018786466999</v>
      </c>
      <c r="AE1665">
        <v>-11.9705999999999</v>
      </c>
      <c r="AF1665">
        <v>3.5677119469316798</v>
      </c>
      <c r="AG1665">
        <v>-1.1033018786466999</v>
      </c>
      <c r="AH1665">
        <v>11.3209870006853</v>
      </c>
      <c r="AI1665">
        <v>95.310381598953001</v>
      </c>
      <c r="AJ1665">
        <v>72.508201500645498</v>
      </c>
      <c r="AK1665">
        <v>11.921014648149299</v>
      </c>
      <c r="AL1665">
        <v>70.043531318681104</v>
      </c>
      <c r="AM1665">
        <v>80.652402586988401</v>
      </c>
      <c r="AN1665">
        <v>1.0000000021459201</v>
      </c>
    </row>
    <row r="1666" spans="1:40" x14ac:dyDescent="0.25">
      <c r="A1666" t="str">
        <f>"20190304164847299"</f>
        <v>20190304164847299</v>
      </c>
      <c r="B1666" t="str">
        <f>"1551689327287262"</f>
        <v>1551689327287262</v>
      </c>
      <c r="C1666" t="s">
        <v>40</v>
      </c>
      <c r="D1666">
        <v>4.7959940000000003</v>
      </c>
      <c r="E1666">
        <v>0.57503169999999904</v>
      </c>
      <c r="F1666" t="s">
        <v>42</v>
      </c>
      <c r="G1666">
        <v>-192.13900000000001</v>
      </c>
      <c r="H1666" s="1">
        <v>-7.2418669999999896E-7</v>
      </c>
      <c r="I1666">
        <v>339.95049999999998</v>
      </c>
      <c r="J1666">
        <v>-192.03550000000001</v>
      </c>
      <c r="K1666">
        <v>1.1033599999999999</v>
      </c>
      <c r="L1666">
        <v>352.08199999999999</v>
      </c>
      <c r="M1666">
        <v>0.28800999999999999</v>
      </c>
      <c r="N1666">
        <v>-9.2004170000000007E-3</v>
      </c>
      <c r="O1666">
        <v>-0.95758330000000003</v>
      </c>
      <c r="P1666">
        <v>0.13316889999999901</v>
      </c>
      <c r="Q1666">
        <v>0.33859329999999999</v>
      </c>
      <c r="R1666">
        <v>-0.93146189999999995</v>
      </c>
      <c r="S1666">
        <v>-1.376343E-2</v>
      </c>
      <c r="T1666">
        <v>-0.297593</v>
      </c>
      <c r="U1666">
        <v>-3.327118</v>
      </c>
      <c r="V1666">
        <v>0.146566</v>
      </c>
      <c r="W1666">
        <v>0.34472530000000001</v>
      </c>
      <c r="X1666">
        <v>0.92719079999999998</v>
      </c>
      <c r="Y1666">
        <v>0.2918095</v>
      </c>
      <c r="Z1666">
        <v>7.2320220000000005E-2</v>
      </c>
      <c r="AA1666">
        <v>0.95373850000000004</v>
      </c>
      <c r="AB1666">
        <v>24</v>
      </c>
      <c r="AC1666">
        <v>-0.103499999999996</v>
      </c>
      <c r="AD1666">
        <v>-1.1033607241867001</v>
      </c>
      <c r="AE1666">
        <v>-12.131500000000001</v>
      </c>
      <c r="AF1666">
        <v>3.5637778193116199</v>
      </c>
      <c r="AG1666">
        <v>-1.1033607241867001</v>
      </c>
      <c r="AH1666">
        <v>11.4925437238822</v>
      </c>
      <c r="AI1666">
        <v>95.239313478765993</v>
      </c>
      <c r="AJ1666">
        <v>72.7716095561087</v>
      </c>
      <c r="AK1666">
        <v>12.082900251116801</v>
      </c>
      <c r="AL1666">
        <v>69.834971030001299</v>
      </c>
      <c r="AM1666">
        <v>81.017277628166099</v>
      </c>
      <c r="AN1666">
        <v>0.99999995221036297</v>
      </c>
    </row>
    <row r="1667" spans="1:40" x14ac:dyDescent="0.25">
      <c r="A1667" t="str">
        <f>"20190304164847315"</f>
        <v>20190304164847315</v>
      </c>
      <c r="B1667" t="str">
        <f>"1551689327307757"</f>
        <v>1551689327307757</v>
      </c>
      <c r="C1667" t="s">
        <v>40</v>
      </c>
      <c r="D1667">
        <v>4.8077100000000002</v>
      </c>
      <c r="E1667">
        <v>0.57470319999999997</v>
      </c>
      <c r="F1667" t="s">
        <v>42</v>
      </c>
      <c r="G1667">
        <v>-192.13480000000001</v>
      </c>
      <c r="H1667" s="1">
        <v>-4.5988519999999997E-6</v>
      </c>
      <c r="I1667">
        <v>339.38799999999998</v>
      </c>
      <c r="J1667">
        <v>-191.9939</v>
      </c>
      <c r="K1667">
        <v>1.1033959999999901</v>
      </c>
      <c r="L1667">
        <v>351.916</v>
      </c>
      <c r="M1667">
        <v>0.28069139999999998</v>
      </c>
      <c r="N1667">
        <v>-9.1447249999999994E-3</v>
      </c>
      <c r="O1667">
        <v>-0.95975469999999896</v>
      </c>
      <c r="P1667">
        <v>0.12867400000000001</v>
      </c>
      <c r="Q1667">
        <v>0.3404607</v>
      </c>
      <c r="R1667">
        <v>-0.93141309999999999</v>
      </c>
      <c r="S1667">
        <v>-2.606201E-2</v>
      </c>
      <c r="T1667">
        <v>-0.28941209999999901</v>
      </c>
      <c r="U1667">
        <v>-3.3296510000000001</v>
      </c>
      <c r="V1667">
        <v>0.1437581</v>
      </c>
      <c r="W1667">
        <v>0.3465993</v>
      </c>
      <c r="X1667">
        <v>0.92693179999999997</v>
      </c>
      <c r="Y1667">
        <v>0.28803509999999999</v>
      </c>
      <c r="Z1667">
        <v>7.0415119999999998E-2</v>
      </c>
      <c r="AA1667">
        <v>0.95502750000000003</v>
      </c>
      <c r="AB1667">
        <v>24</v>
      </c>
      <c r="AC1667">
        <v>-0.14090000000001601</v>
      </c>
      <c r="AD1667">
        <v>-1.1034005988519999</v>
      </c>
      <c r="AE1667">
        <v>-12.527999999999899</v>
      </c>
      <c r="AF1667">
        <v>3.6237766437465999</v>
      </c>
      <c r="AG1667">
        <v>-1.1034005988519999</v>
      </c>
      <c r="AH1667">
        <v>11.8925158405695</v>
      </c>
      <c r="AI1667">
        <v>95.071841521420595</v>
      </c>
      <c r="AJ1667">
        <v>73.053461092854903</v>
      </c>
      <c r="AK1667">
        <v>12.4812332348813</v>
      </c>
      <c r="AL1667">
        <v>69.7205467027445</v>
      </c>
      <c r="AM1667">
        <v>81.184216526335504</v>
      </c>
      <c r="AN1667">
        <v>1.00000001396367</v>
      </c>
    </row>
    <row r="1668" spans="1:40" x14ac:dyDescent="0.25">
      <c r="A1668" t="str">
        <f>"20190304164847335"</f>
        <v>20190304164847335</v>
      </c>
      <c r="B1668" t="str">
        <f>"1551689327327279"</f>
        <v>1551689327327279</v>
      </c>
      <c r="C1668" t="s">
        <v>40</v>
      </c>
      <c r="D1668">
        <v>4.8924779999999997</v>
      </c>
      <c r="E1668">
        <v>0.57398839999999995</v>
      </c>
      <c r="F1668" t="s">
        <v>42</v>
      </c>
      <c r="G1668">
        <v>-192.1473</v>
      </c>
      <c r="H1668" s="1">
        <v>-4.5071170000000003E-6</v>
      </c>
      <c r="I1668">
        <v>339.11189999999999</v>
      </c>
      <c r="J1668">
        <v>-191.9444</v>
      </c>
      <c r="K1668">
        <v>1.103432</v>
      </c>
      <c r="L1668">
        <v>351.71069999999997</v>
      </c>
      <c r="M1668">
        <v>0.27174549999999997</v>
      </c>
      <c r="N1668">
        <v>-9.0752190000000007E-3</v>
      </c>
      <c r="O1668">
        <v>-0.96232649999999997</v>
      </c>
      <c r="P1668">
        <v>0.1243788</v>
      </c>
      <c r="Q1668">
        <v>0.34373520000000002</v>
      </c>
      <c r="R1668">
        <v>-0.93079339999999999</v>
      </c>
      <c r="S1668">
        <v>-3.9916989999999999E-2</v>
      </c>
      <c r="T1668">
        <v>-0.28708280000000003</v>
      </c>
      <c r="U1668">
        <v>-3.3313600000000001</v>
      </c>
      <c r="V1668">
        <v>0.13908000000000001</v>
      </c>
      <c r="W1668">
        <v>0.34989619999999999</v>
      </c>
      <c r="X1668">
        <v>0.92640670000000003</v>
      </c>
      <c r="Y1668">
        <v>0.2830916</v>
      </c>
      <c r="Z1668">
        <v>7.0194909999999999E-2</v>
      </c>
      <c r="AA1668">
        <v>0.9565207</v>
      </c>
      <c r="AB1668">
        <v>24</v>
      </c>
      <c r="AC1668">
        <v>-0.202899999999999</v>
      </c>
      <c r="AD1668">
        <v>-1.103436507117</v>
      </c>
      <c r="AE1668">
        <v>-12.598799999999899</v>
      </c>
      <c r="AF1668">
        <v>3.5915293160575001</v>
      </c>
      <c r="AG1668">
        <v>-1.103436507117</v>
      </c>
      <c r="AH1668">
        <v>11.977663828363401</v>
      </c>
      <c r="AI1668">
        <v>95.042881937072195</v>
      </c>
      <c r="AJ1668">
        <v>73.308523133056298</v>
      </c>
      <c r="AK1668">
        <v>12.553130515477999</v>
      </c>
      <c r="AL1668">
        <v>69.519033313179705</v>
      </c>
      <c r="AM1668">
        <v>81.462036948346693</v>
      </c>
      <c r="AN1668">
        <v>0.99999998548966396</v>
      </c>
    </row>
    <row r="1669" spans="1:40" x14ac:dyDescent="0.25">
      <c r="A1669" t="str">
        <f>"20190304164847349"</f>
        <v>20190304164847349</v>
      </c>
      <c r="B1669" t="str">
        <f>"1551689327338014"</f>
        <v>1551689327338014</v>
      </c>
      <c r="C1669" t="s">
        <v>40</v>
      </c>
      <c r="D1669">
        <v>4.8933489999999997</v>
      </c>
      <c r="E1669">
        <v>0.57345409999999997</v>
      </c>
      <c r="F1669" t="s">
        <v>42</v>
      </c>
      <c r="G1669">
        <v>-192.13550000000001</v>
      </c>
      <c r="H1669" s="1">
        <v>-4.3946049999999997E-6</v>
      </c>
      <c r="I1669">
        <v>338.78739999999999</v>
      </c>
      <c r="J1669">
        <v>-191.9101</v>
      </c>
      <c r="K1669">
        <v>1.1034550000000001</v>
      </c>
      <c r="L1669">
        <v>351.56299999999999</v>
      </c>
      <c r="M1669">
        <v>0.26537539999999998</v>
      </c>
      <c r="N1669">
        <v>-9.0227410000000008E-3</v>
      </c>
      <c r="O1669">
        <v>-0.96410309999999999</v>
      </c>
      <c r="P1669">
        <v>0.12022819999999999</v>
      </c>
      <c r="Q1669">
        <v>0.34482780000000002</v>
      </c>
      <c r="R1669">
        <v>-0.93093490000000001</v>
      </c>
      <c r="S1669">
        <v>-4.9331670000000001E-2</v>
      </c>
      <c r="T1669">
        <v>-0.28474300000000002</v>
      </c>
      <c r="U1669">
        <v>-3.3348689999999999</v>
      </c>
      <c r="V1669">
        <v>0.13696630000000001</v>
      </c>
      <c r="W1669">
        <v>0.3509815</v>
      </c>
      <c r="X1669">
        <v>0.92631110000000005</v>
      </c>
      <c r="Y1669">
        <v>0.27944020000000003</v>
      </c>
      <c r="Z1669">
        <v>6.9790210000000005E-2</v>
      </c>
      <c r="AA1669">
        <v>0.95762340000000001</v>
      </c>
      <c r="AB1669">
        <v>24</v>
      </c>
      <c r="AC1669">
        <v>-0.22540000000000701</v>
      </c>
      <c r="AD1669">
        <v>-1.10345939460499</v>
      </c>
      <c r="AE1669">
        <v>-12.775600000000001</v>
      </c>
      <c r="AF1669">
        <v>3.58107789373901</v>
      </c>
      <c r="AG1669">
        <v>-1.10345939460499</v>
      </c>
      <c r="AH1669">
        <v>12.1669376014226</v>
      </c>
      <c r="AI1669">
        <v>94.972385282841699</v>
      </c>
      <c r="AJ1669">
        <v>73.599335112009598</v>
      </c>
      <c r="AK1669">
        <v>12.7309116764464</v>
      </c>
      <c r="AL1669">
        <v>69.452640584003703</v>
      </c>
      <c r="AM1669">
        <v>81.589069281051493</v>
      </c>
      <c r="AN1669">
        <v>1.0000000173305701</v>
      </c>
    </row>
    <row r="1670" spans="1:40" x14ac:dyDescent="0.25">
      <c r="A1670" t="str">
        <f>"20190304164847368"</f>
        <v>20190304164847368</v>
      </c>
      <c r="B1670" t="str">
        <f>"1551689327357537"</f>
        <v>1551689327357537</v>
      </c>
      <c r="C1670" t="s">
        <v>40</v>
      </c>
      <c r="D1670">
        <v>4.7330899999999998</v>
      </c>
      <c r="E1670">
        <v>0.57219319999999996</v>
      </c>
      <c r="F1670" t="s">
        <v>42</v>
      </c>
      <c r="G1670">
        <v>-192.13980000000001</v>
      </c>
      <c r="H1670" s="1">
        <v>-4.3561420000000004E-6</v>
      </c>
      <c r="I1670">
        <v>338.6721</v>
      </c>
      <c r="J1670">
        <v>-191.86330000000001</v>
      </c>
      <c r="K1670">
        <v>1.103486</v>
      </c>
      <c r="L1670">
        <v>351.35489999999999</v>
      </c>
      <c r="M1670">
        <v>0.25646940000000001</v>
      </c>
      <c r="N1670">
        <v>-8.9400859999999999E-3</v>
      </c>
      <c r="O1670">
        <v>-0.96651140000000002</v>
      </c>
      <c r="P1670">
        <v>0.1157912</v>
      </c>
      <c r="Q1670">
        <v>0.34712949999999998</v>
      </c>
      <c r="R1670">
        <v>-0.93064179999999996</v>
      </c>
      <c r="S1670">
        <v>-5.9448239999999999E-2</v>
      </c>
      <c r="T1670">
        <v>-0.28556540000000002</v>
      </c>
      <c r="U1670">
        <v>-3.3360289999999999</v>
      </c>
      <c r="V1670">
        <v>0.13260710000000001</v>
      </c>
      <c r="W1670">
        <v>0.35328789999999999</v>
      </c>
      <c r="X1670">
        <v>0.92606860000000002</v>
      </c>
      <c r="Y1670">
        <v>0.27347909999999997</v>
      </c>
      <c r="Z1670">
        <v>7.0447239999999994E-2</v>
      </c>
      <c r="AA1670">
        <v>0.95929469999999994</v>
      </c>
      <c r="AB1670">
        <v>24</v>
      </c>
      <c r="AC1670">
        <v>-0.27649999999999803</v>
      </c>
      <c r="AD1670">
        <v>-1.103490356142</v>
      </c>
      <c r="AE1670">
        <v>-12.682799999999901</v>
      </c>
      <c r="AF1670">
        <v>3.4936944714088298</v>
      </c>
      <c r="AG1670">
        <v>-1.103490356142</v>
      </c>
      <c r="AH1670">
        <v>12.096113018812</v>
      </c>
      <c r="AI1670">
        <v>95.008852871204795</v>
      </c>
      <c r="AJ1670">
        <v>73.889809024579407</v>
      </c>
      <c r="AK1670">
        <v>12.6388109484051</v>
      </c>
      <c r="AL1670">
        <v>69.311450221216703</v>
      </c>
      <c r="AM1670">
        <v>81.851006312366394</v>
      </c>
      <c r="AN1670">
        <v>1.0000000175813899</v>
      </c>
    </row>
    <row r="1671" spans="1:40" x14ac:dyDescent="0.25">
      <c r="A1671" t="str">
        <f>"20190304164847389"</f>
        <v>20190304164847389</v>
      </c>
      <c r="B1671" t="str">
        <f>"1551689327378033"</f>
        <v>1551689327378033</v>
      </c>
      <c r="C1671" t="s">
        <v>40</v>
      </c>
      <c r="D1671">
        <v>4.7331159999999999</v>
      </c>
      <c r="E1671">
        <v>0.57108159999999997</v>
      </c>
      <c r="F1671" t="s">
        <v>42</v>
      </c>
      <c r="G1671">
        <v>-192.1198</v>
      </c>
      <c r="H1671" s="1">
        <v>-4.2306949999999996E-6</v>
      </c>
      <c r="I1671">
        <v>338.31389999999999</v>
      </c>
      <c r="J1671">
        <v>-191.8141</v>
      </c>
      <c r="K1671">
        <v>1.10351</v>
      </c>
      <c r="L1671">
        <v>351.1277</v>
      </c>
      <c r="M1671">
        <v>0.24684619999999999</v>
      </c>
      <c r="N1671">
        <v>-8.839207E-3</v>
      </c>
      <c r="O1671">
        <v>-0.9690145</v>
      </c>
      <c r="P1671">
        <v>0.1108519</v>
      </c>
      <c r="Q1671">
        <v>0.34824169999999999</v>
      </c>
      <c r="R1671">
        <v>-0.93082759999999998</v>
      </c>
      <c r="S1671">
        <v>-6.5658569999999999E-2</v>
      </c>
      <c r="T1671">
        <v>-0.28237200000000001</v>
      </c>
      <c r="U1671">
        <v>-3.3370669999999998</v>
      </c>
      <c r="V1671">
        <v>0.12817899999999999</v>
      </c>
      <c r="W1671">
        <v>0.35439179999999998</v>
      </c>
      <c r="X1671">
        <v>0.92627029999999999</v>
      </c>
      <c r="Y1671">
        <v>0.26569399999999999</v>
      </c>
      <c r="Z1671">
        <v>7.0047129999999999E-2</v>
      </c>
      <c r="AA1671">
        <v>0.96150930000000001</v>
      </c>
      <c r="AB1671">
        <v>24</v>
      </c>
      <c r="AC1671">
        <v>-0.30570000000000103</v>
      </c>
      <c r="AD1671">
        <v>-1.1035142306950001</v>
      </c>
      <c r="AE1671">
        <v>-12.813800000000001</v>
      </c>
      <c r="AF1671">
        <v>3.4339467964866599</v>
      </c>
      <c r="AG1671">
        <v>-1.1035142306950001</v>
      </c>
      <c r="AH1671">
        <v>12.2509697039581</v>
      </c>
      <c r="AI1671">
        <v>94.957022022377799</v>
      </c>
      <c r="AJ1671">
        <v>74.341815726859096</v>
      </c>
      <c r="AK1671">
        <v>12.7709041553739</v>
      </c>
      <c r="AL1671">
        <v>69.243826969563699</v>
      </c>
      <c r="AM1671">
        <v>82.121340518217494</v>
      </c>
      <c r="AN1671">
        <v>1.00000003630516</v>
      </c>
    </row>
    <row r="1672" spans="1:40" x14ac:dyDescent="0.25">
      <c r="A1672" t="str">
        <f>"20190304164847414"</f>
        <v>20190304164847414</v>
      </c>
      <c r="B1672" t="str">
        <f>"1551689327407310"</f>
        <v>1551689327407310</v>
      </c>
      <c r="C1672" t="s">
        <v>40</v>
      </c>
      <c r="D1672">
        <v>4.6885000000000003</v>
      </c>
      <c r="E1672">
        <v>0.56933650000000002</v>
      </c>
      <c r="F1672" t="s">
        <v>42</v>
      </c>
      <c r="G1672">
        <v>-192.1181</v>
      </c>
      <c r="H1672" s="1">
        <v>-4.0675699999999901E-6</v>
      </c>
      <c r="I1672">
        <v>337.83550000000002</v>
      </c>
      <c r="J1672">
        <v>-191.76089999999999</v>
      </c>
      <c r="K1672">
        <v>1.103537</v>
      </c>
      <c r="L1672">
        <v>350.86950000000002</v>
      </c>
      <c r="M1672">
        <v>0.23603070000000001</v>
      </c>
      <c r="N1672">
        <v>-8.7164579999999998E-3</v>
      </c>
      <c r="O1672">
        <v>-0.97170659999999998</v>
      </c>
      <c r="P1672">
        <v>0.10503999999999999</v>
      </c>
      <c r="Q1672">
        <v>0.349118599999999</v>
      </c>
      <c r="R1672">
        <v>-0.93117289999999997</v>
      </c>
      <c r="S1672">
        <v>-7.6278689999999996E-2</v>
      </c>
      <c r="T1672">
        <v>-0.27691969999999999</v>
      </c>
      <c r="U1672">
        <v>-3.3356020000000002</v>
      </c>
      <c r="V1672">
        <v>0.123519</v>
      </c>
      <c r="W1672">
        <v>0.3552459</v>
      </c>
      <c r="X1672">
        <v>0.92657610000000001</v>
      </c>
      <c r="Y1672">
        <v>0.25801960000000002</v>
      </c>
      <c r="Z1672">
        <v>6.9104399999999996E-2</v>
      </c>
      <c r="AA1672">
        <v>0.96366510000000005</v>
      </c>
      <c r="AB1672">
        <v>24</v>
      </c>
      <c r="AC1672">
        <v>-0.35720000000000601</v>
      </c>
      <c r="AD1672">
        <v>-1.1035410675699999</v>
      </c>
      <c r="AE1672">
        <v>-13.033999999999899</v>
      </c>
      <c r="AF1672">
        <v>3.3992982815388801</v>
      </c>
      <c r="AG1672">
        <v>-1.1035410675699999</v>
      </c>
      <c r="AH1672">
        <v>12.4919107802148</v>
      </c>
      <c r="AI1672">
        <v>94.872160566423503</v>
      </c>
      <c r="AJ1672">
        <v>74.777273673795804</v>
      </c>
      <c r="AK1672">
        <v>12.993108428529901</v>
      </c>
      <c r="AL1672">
        <v>69.191482724616506</v>
      </c>
      <c r="AM1672">
        <v>82.406843941384196</v>
      </c>
      <c r="AN1672">
        <v>0.99999993095950701</v>
      </c>
    </row>
    <row r="1673" spans="1:40" x14ac:dyDescent="0.25">
      <c r="A1673" t="str">
        <f>"20190304164847434"</f>
        <v>20190304164847434</v>
      </c>
      <c r="B1673" t="str">
        <f>"1551689327427807"</f>
        <v>1551689327427807</v>
      </c>
      <c r="C1673" t="s">
        <v>40</v>
      </c>
      <c r="D1673">
        <v>4.7266170000000001</v>
      </c>
      <c r="E1673">
        <v>0.56856770000000001</v>
      </c>
      <c r="F1673" t="s">
        <v>42</v>
      </c>
      <c r="G1673">
        <v>-192.10319999999999</v>
      </c>
      <c r="H1673" s="1">
        <v>-3.9697420000000002E-6</v>
      </c>
      <c r="I1673">
        <v>337.55579999999998</v>
      </c>
      <c r="J1673">
        <v>-191.7159</v>
      </c>
      <c r="K1673">
        <v>1.103553</v>
      </c>
      <c r="L1673">
        <v>350.63889999999998</v>
      </c>
      <c r="M1673">
        <v>0.22649150000000001</v>
      </c>
      <c r="N1673">
        <v>-8.601404E-3</v>
      </c>
      <c r="O1673">
        <v>-0.97397529999999999</v>
      </c>
      <c r="P1673">
        <v>0.1003791</v>
      </c>
      <c r="Q1673">
        <v>0.34987659999999998</v>
      </c>
      <c r="R1673">
        <v>-0.93140250000000002</v>
      </c>
      <c r="S1673">
        <v>-8.5739140000000005E-2</v>
      </c>
      <c r="T1673">
        <v>-0.27643440000000002</v>
      </c>
      <c r="U1673">
        <v>-3.3350520000000001</v>
      </c>
      <c r="V1673">
        <v>0.1189674</v>
      </c>
      <c r="W1673">
        <v>0.35598390000000002</v>
      </c>
      <c r="X1673">
        <v>0.9268885</v>
      </c>
      <c r="Y1673">
        <v>0.25128089999999997</v>
      </c>
      <c r="Z1673">
        <v>6.9446019999999997E-2</v>
      </c>
      <c r="AA1673">
        <v>0.96541969999999999</v>
      </c>
      <c r="AB1673">
        <v>24</v>
      </c>
      <c r="AC1673">
        <v>-0.38729999999998199</v>
      </c>
      <c r="AD1673">
        <v>-1.103556969742</v>
      </c>
      <c r="AE1673">
        <v>-13.0831</v>
      </c>
      <c r="AF1673">
        <v>3.31697545259268</v>
      </c>
      <c r="AG1673">
        <v>-1.103556969742</v>
      </c>
      <c r="AH1673">
        <v>12.566034870662399</v>
      </c>
      <c r="AI1673">
        <v>94.853469760698104</v>
      </c>
      <c r="AJ1673">
        <v>75.213273574895197</v>
      </c>
      <c r="AK1673">
        <v>13.0432126605861</v>
      </c>
      <c r="AL1673">
        <v>69.146243385173094</v>
      </c>
      <c r="AM1673">
        <v>82.685997612503002</v>
      </c>
      <c r="AN1673">
        <v>1.0000000353770999</v>
      </c>
    </row>
    <row r="1674" spans="1:40" x14ac:dyDescent="0.25">
      <c r="A1674" t="str">
        <f>"20190304164847459"</f>
        <v>20190304164847459</v>
      </c>
      <c r="B1674" t="str">
        <f>"1551689327448303"</f>
        <v>1551689327448303</v>
      </c>
      <c r="C1674" t="s">
        <v>40</v>
      </c>
      <c r="D1674">
        <v>4.5902370000000001</v>
      </c>
      <c r="E1674">
        <v>0.56783499999999998</v>
      </c>
      <c r="F1674" t="s">
        <v>42</v>
      </c>
      <c r="G1674">
        <v>-192.10830000000001</v>
      </c>
      <c r="H1674" s="1">
        <v>-3.9053599999999997E-6</v>
      </c>
      <c r="I1674">
        <v>337.38490000000002</v>
      </c>
      <c r="J1674">
        <v>-191.66829999999999</v>
      </c>
      <c r="K1674">
        <v>1.1035839999999999</v>
      </c>
      <c r="L1674">
        <v>350.38249999999999</v>
      </c>
      <c r="M1674">
        <v>0.2160328</v>
      </c>
      <c r="N1674">
        <v>-8.469496E-3</v>
      </c>
      <c r="O1674">
        <v>-0.97634949999999998</v>
      </c>
      <c r="P1674">
        <v>9.9499229999999994E-2</v>
      </c>
      <c r="Q1674">
        <v>0.35047909999999999</v>
      </c>
      <c r="R1674">
        <v>-0.9312705</v>
      </c>
      <c r="S1674">
        <v>-9.8785399999999995E-2</v>
      </c>
      <c r="T1674">
        <v>-0.27776149999999999</v>
      </c>
      <c r="U1674">
        <v>-3.3359679999999998</v>
      </c>
      <c r="V1674">
        <v>0.1097861</v>
      </c>
      <c r="W1674">
        <v>0.3566318</v>
      </c>
      <c r="X1674">
        <v>0.92777189999999998</v>
      </c>
      <c r="Y1674">
        <v>0.24466370000000001</v>
      </c>
      <c r="Z1674">
        <v>7.0287530000000001E-2</v>
      </c>
      <c r="AA1674">
        <v>0.96705700000000006</v>
      </c>
      <c r="AB1674">
        <v>24</v>
      </c>
      <c r="AC1674">
        <v>-0.44000000000002598</v>
      </c>
      <c r="AD1674">
        <v>-1.10358790536</v>
      </c>
      <c r="AE1674">
        <v>-12.997599999999901</v>
      </c>
      <c r="AF1674">
        <v>3.2144701647286298</v>
      </c>
      <c r="AG1674">
        <v>-1.10358790536</v>
      </c>
      <c r="AH1674">
        <v>12.5055441584361</v>
      </c>
      <c r="AI1674">
        <v>94.885169551226895</v>
      </c>
      <c r="AJ1674">
        <v>75.584560979419606</v>
      </c>
      <c r="AK1674">
        <v>12.9591419238846</v>
      </c>
      <c r="AL1674">
        <v>69.106512379954097</v>
      </c>
      <c r="AM1674">
        <v>83.251397162154404</v>
      </c>
      <c r="AN1674">
        <v>0.99999996347702902</v>
      </c>
    </row>
    <row r="1675" spans="1:40" x14ac:dyDescent="0.25">
      <c r="A1675" t="str">
        <f>"20190304164847481"</f>
        <v>20190304164847481</v>
      </c>
      <c r="B1675" t="str">
        <f>"1551689327477582"</f>
        <v>1551689327477582</v>
      </c>
      <c r="C1675" t="s">
        <v>40</v>
      </c>
      <c r="D1675">
        <v>4.4882519999999904</v>
      </c>
      <c r="E1675">
        <v>0.56703879999999995</v>
      </c>
      <c r="F1675" t="s">
        <v>42</v>
      </c>
      <c r="G1675">
        <v>-192.07140000000001</v>
      </c>
      <c r="H1675" s="1">
        <v>-3.7883400000000001E-6</v>
      </c>
      <c r="I1675">
        <v>337.13510000000002</v>
      </c>
      <c r="J1675">
        <v>-191.6241</v>
      </c>
      <c r="K1675">
        <v>1.1036159999999999</v>
      </c>
      <c r="L1675">
        <v>350.12990000000002</v>
      </c>
      <c r="M1675">
        <v>0.20587159999999999</v>
      </c>
      <c r="N1675">
        <v>-8.3380060000000002E-3</v>
      </c>
      <c r="O1675">
        <v>-0.97854370000000002</v>
      </c>
      <c r="P1675">
        <v>9.5000280000000006E-2</v>
      </c>
      <c r="Q1675">
        <v>0.3508077</v>
      </c>
      <c r="R1675">
        <v>-0.93161629999999995</v>
      </c>
      <c r="S1675">
        <v>-0.1015167</v>
      </c>
      <c r="T1675">
        <v>-0.27798210000000001</v>
      </c>
      <c r="U1675">
        <v>-3.3368839999999902</v>
      </c>
      <c r="V1675">
        <v>0.104541</v>
      </c>
      <c r="W1675">
        <v>0.35693780000000003</v>
      </c>
      <c r="X1675">
        <v>0.92825999999999997</v>
      </c>
      <c r="Y1675">
        <v>0.23536190000000001</v>
      </c>
      <c r="Z1675">
        <v>7.0827950000000001E-2</v>
      </c>
      <c r="AA1675">
        <v>0.96932359999999995</v>
      </c>
      <c r="AB1675">
        <v>24</v>
      </c>
      <c r="AC1675">
        <v>-0.44730000000001202</v>
      </c>
      <c r="AD1675">
        <v>-1.1036197883400001</v>
      </c>
      <c r="AE1675">
        <v>-12.9947999999999</v>
      </c>
      <c r="AF1675">
        <v>3.0908036867666602</v>
      </c>
      <c r="AG1675">
        <v>-1.1036197883400001</v>
      </c>
      <c r="AH1675">
        <v>12.534031939268299</v>
      </c>
      <c r="AI1675">
        <v>94.886278839686</v>
      </c>
      <c r="AJ1675">
        <v>76.147630941448995</v>
      </c>
      <c r="AK1675">
        <v>12.956581367087001</v>
      </c>
      <c r="AL1675">
        <v>69.087745958428002</v>
      </c>
      <c r="AM1675">
        <v>83.574401928028394</v>
      </c>
      <c r="AN1675">
        <v>1.00000002067491</v>
      </c>
    </row>
    <row r="1676" spans="1:40" x14ac:dyDescent="0.25">
      <c r="A1676" t="str">
        <f>"20190304164847501"</f>
        <v>20190304164847501</v>
      </c>
      <c r="B1676" t="str">
        <f>"1551689327487342"</f>
        <v>1551689327487342</v>
      </c>
      <c r="C1676" t="s">
        <v>40</v>
      </c>
      <c r="D1676">
        <v>4.0436239999999897</v>
      </c>
      <c r="E1676">
        <v>0.56703879999999995</v>
      </c>
      <c r="F1676" t="s">
        <v>42</v>
      </c>
      <c r="G1676">
        <v>-192.0788</v>
      </c>
      <c r="H1676" s="1">
        <v>-3.698223E-6</v>
      </c>
      <c r="I1676">
        <v>336.92039999999997</v>
      </c>
      <c r="J1676">
        <v>-191.58619999999999</v>
      </c>
      <c r="K1676">
        <v>1.103645</v>
      </c>
      <c r="L1676">
        <v>349.90089999999998</v>
      </c>
      <c r="M1676">
        <v>0.19677410000000001</v>
      </c>
      <c r="N1676">
        <v>-8.2243379999999994E-3</v>
      </c>
      <c r="O1676">
        <v>-0.98041460000000002</v>
      </c>
      <c r="P1676">
        <v>9.2135949999999994E-2</v>
      </c>
      <c r="Q1676">
        <v>0.35120089999999998</v>
      </c>
      <c r="R1676">
        <v>-0.93175609999999998</v>
      </c>
      <c r="S1676">
        <v>-0.11485289999999999</v>
      </c>
      <c r="T1676">
        <v>-0.27879540000000003</v>
      </c>
      <c r="U1676">
        <v>-3.3369450000000001</v>
      </c>
      <c r="V1676">
        <v>9.8697129999999994E-2</v>
      </c>
      <c r="W1676">
        <v>0.35733110000000001</v>
      </c>
      <c r="X1676">
        <v>0.92874829999999997</v>
      </c>
      <c r="Y1676">
        <v>0.23020350000000001</v>
      </c>
      <c r="Z1676">
        <v>7.1447789999999997E-2</v>
      </c>
      <c r="AA1676">
        <v>0.97051609999999999</v>
      </c>
      <c r="AB1676">
        <v>25</v>
      </c>
      <c r="AC1676">
        <v>-0.49260000000000997</v>
      </c>
      <c r="AD1676">
        <v>-1.103648698223</v>
      </c>
      <c r="AE1676">
        <v>-12.980499999999999</v>
      </c>
      <c r="AF1676">
        <v>3.0155126150578599</v>
      </c>
      <c r="AG1676">
        <v>-1.103648698223</v>
      </c>
      <c r="AH1676">
        <v>12.5392489354621</v>
      </c>
      <c r="AI1676">
        <v>94.891212347961499</v>
      </c>
      <c r="AJ1676">
        <v>76.477945639443604</v>
      </c>
      <c r="AK1676">
        <v>12.943883522581199</v>
      </c>
      <c r="AL1676">
        <v>69.063620549465199</v>
      </c>
      <c r="AM1676">
        <v>83.934002497911294</v>
      </c>
      <c r="AN1676">
        <v>1.0000000216251601</v>
      </c>
    </row>
    <row r="1677" spans="1:40" x14ac:dyDescent="0.25">
      <c r="A1677" t="str">
        <f>"20190304164847612"</f>
        <v>20190304164847612</v>
      </c>
      <c r="B1677" t="str">
        <f>"1551689327607391"</f>
        <v>1551689327607391</v>
      </c>
      <c r="C1677" t="s">
        <v>40</v>
      </c>
      <c r="D1677">
        <v>4.5865660000000004</v>
      </c>
      <c r="E1677">
        <v>0.53318509999999997</v>
      </c>
      <c r="F1677" t="s">
        <v>42</v>
      </c>
      <c r="G1677">
        <v>-192.10659999999999</v>
      </c>
      <c r="H1677" s="1">
        <v>-3.5472850000000001E-6</v>
      </c>
      <c r="I1677">
        <v>336.5514</v>
      </c>
      <c r="J1677">
        <v>-191.41370000000001</v>
      </c>
      <c r="K1677">
        <v>1.1039369999999999</v>
      </c>
      <c r="L1677">
        <v>348.6549</v>
      </c>
      <c r="M1677">
        <v>0.14974379999999901</v>
      </c>
      <c r="N1677">
        <v>-7.7016559999999899E-3</v>
      </c>
      <c r="O1677">
        <v>-0.98869499999999999</v>
      </c>
      <c r="P1677">
        <v>7.9017669999999998E-2</v>
      </c>
      <c r="Q1677">
        <v>0.35379729999999998</v>
      </c>
      <c r="R1677">
        <v>-0.9319788</v>
      </c>
      <c r="S1677">
        <v>-0.13006589999999901</v>
      </c>
      <c r="T1677">
        <v>-0.2758428</v>
      </c>
      <c r="U1677">
        <v>-3.3365480000000001</v>
      </c>
      <c r="V1677">
        <v>6.6847399999999904E-2</v>
      </c>
      <c r="W1677">
        <v>0.360012</v>
      </c>
      <c r="X1677">
        <v>0.93054970000000004</v>
      </c>
      <c r="Y1677">
        <v>0.187974</v>
      </c>
      <c r="Z1677">
        <v>7.2533319999999998E-2</v>
      </c>
      <c r="AA1677">
        <v>0.97949209999999998</v>
      </c>
      <c r="AB1677">
        <v>25</v>
      </c>
      <c r="AC1677">
        <v>-0.69289999999997998</v>
      </c>
      <c r="AD1677">
        <v>-1.1039405472849999</v>
      </c>
      <c r="AE1677">
        <v>-12.103499999999899</v>
      </c>
      <c r="AF1677">
        <v>2.4770255354683801</v>
      </c>
      <c r="AG1677">
        <v>-1.1039405472849999</v>
      </c>
      <c r="AH1677">
        <v>11.7657036006418</v>
      </c>
      <c r="AI1677">
        <v>95.245865644572703</v>
      </c>
      <c r="AJ1677">
        <v>78.111177337107307</v>
      </c>
      <c r="AK1677">
        <v>12.074192372720301</v>
      </c>
      <c r="AL1677">
        <v>68.899066562165999</v>
      </c>
      <c r="AM1677">
        <v>85.891132006035306</v>
      </c>
      <c r="AN1677">
        <v>0.99999997960042397</v>
      </c>
    </row>
    <row r="1678" spans="1:40" x14ac:dyDescent="0.25">
      <c r="A1678" t="str">
        <f>"20190304164847635"</f>
        <v>20190304164847635</v>
      </c>
      <c r="B1678" t="str">
        <f>"1551689327627886"</f>
        <v>1551689327627886</v>
      </c>
      <c r="C1678" t="s">
        <v>40</v>
      </c>
      <c r="D1678">
        <v>4.5008999999999997</v>
      </c>
      <c r="E1678">
        <v>0.53620029999999996</v>
      </c>
      <c r="F1678" t="s">
        <v>41</v>
      </c>
      <c r="G1678">
        <v>-191.39009999999999</v>
      </c>
      <c r="H1678">
        <v>0.96373699999999995</v>
      </c>
      <c r="I1678">
        <v>347.92469999999997</v>
      </c>
      <c r="J1678">
        <v>-191.3843</v>
      </c>
      <c r="K1678">
        <v>1.104069</v>
      </c>
      <c r="L1678">
        <v>348.3947</v>
      </c>
      <c r="M1678">
        <v>0.1406115</v>
      </c>
      <c r="N1678">
        <v>-7.6103359999999997E-3</v>
      </c>
      <c r="O1678">
        <v>-0.99003569999999996</v>
      </c>
      <c r="P1678">
        <v>7.6169890000000004E-2</v>
      </c>
      <c r="Q1678">
        <v>0.35415219999999997</v>
      </c>
      <c r="R1678">
        <v>-0.93208100000000005</v>
      </c>
      <c r="S1678">
        <v>0.1123199</v>
      </c>
      <c r="T1678">
        <v>-0.66420789999999996</v>
      </c>
      <c r="U1678">
        <v>-3.4615480000000001</v>
      </c>
      <c r="V1678">
        <v>6.0948259999999997E-2</v>
      </c>
      <c r="W1678">
        <v>0.3603905</v>
      </c>
      <c r="X1678">
        <v>0.93080819999999997</v>
      </c>
      <c r="Y1678">
        <v>0.1088643</v>
      </c>
      <c r="Z1678">
        <v>0.17758850000000001</v>
      </c>
      <c r="AA1678">
        <v>0.97806490000000001</v>
      </c>
      <c r="AB1678">
        <v>25</v>
      </c>
      <c r="AC1678">
        <v>-5.7999999999935803E-3</v>
      </c>
      <c r="AD1678">
        <v>-0.14033199999999901</v>
      </c>
      <c r="AE1678">
        <v>-0.47000000000002701</v>
      </c>
      <c r="AF1678">
        <v>6.59529261888359E-2</v>
      </c>
      <c r="AG1678">
        <v>-0.14033199999999901</v>
      </c>
      <c r="AH1678">
        <v>0.42649841214397999</v>
      </c>
      <c r="AI1678">
        <v>108.01286638217</v>
      </c>
      <c r="AJ1678">
        <v>81.209514088892902</v>
      </c>
      <c r="AK1678">
        <v>0.45381026239851202</v>
      </c>
      <c r="AL1678">
        <v>68.875819085323698</v>
      </c>
      <c r="AM1678">
        <v>86.253685639542994</v>
      </c>
      <c r="AN1678">
        <v>0.99999995403725706</v>
      </c>
    </row>
    <row r="1679" spans="1:40" x14ac:dyDescent="0.25">
      <c r="A1679" t="str">
        <f>"20190304164847661"</f>
        <v>20190304164847661</v>
      </c>
      <c r="B1679" t="str">
        <f>"1551689327658142"</f>
        <v>1551689327658142</v>
      </c>
      <c r="C1679" t="s">
        <v>40</v>
      </c>
      <c r="D1679">
        <v>4.5850819999999999</v>
      </c>
      <c r="E1679">
        <v>0.5371262</v>
      </c>
      <c r="F1679" t="s">
        <v>41</v>
      </c>
      <c r="G1679">
        <v>-191.37010000000001</v>
      </c>
      <c r="H1679">
        <v>0.99117569999999999</v>
      </c>
      <c r="I1679">
        <v>347.68310000000002</v>
      </c>
      <c r="J1679">
        <v>-191.35480000000001</v>
      </c>
      <c r="K1679">
        <v>1.10425</v>
      </c>
      <c r="L1679">
        <v>348.11099999999999</v>
      </c>
      <c r="M1679">
        <v>0.1310424</v>
      </c>
      <c r="N1679">
        <v>-7.5181830000000003E-3</v>
      </c>
      <c r="O1679">
        <v>-0.99134829999999996</v>
      </c>
      <c r="P1679">
        <v>7.1902140000000003E-2</v>
      </c>
      <c r="Q1679">
        <v>0.35384520000000003</v>
      </c>
      <c r="R1679">
        <v>-0.93253640000000004</v>
      </c>
      <c r="S1679">
        <v>6.8252560000000004E-2</v>
      </c>
      <c r="T1679">
        <v>-0.54255010000000004</v>
      </c>
      <c r="U1679">
        <v>-3.4191590000000001</v>
      </c>
      <c r="V1679">
        <v>5.6058990000000003E-2</v>
      </c>
      <c r="W1679">
        <v>0.36009429999999998</v>
      </c>
      <c r="X1679">
        <v>0.93123009999999995</v>
      </c>
      <c r="Y1679">
        <v>0.111378</v>
      </c>
      <c r="Z1679">
        <v>0.1467793</v>
      </c>
      <c r="AA1679">
        <v>0.98287880000000005</v>
      </c>
      <c r="AB1679">
        <v>25</v>
      </c>
      <c r="AC1679">
        <v>-1.5299999999996299E-2</v>
      </c>
      <c r="AD1679">
        <v>-0.113074299999999</v>
      </c>
      <c r="AE1679">
        <v>-0.42789999999996498</v>
      </c>
      <c r="AF1679">
        <v>6.6598064748378705E-2</v>
      </c>
      <c r="AG1679">
        <v>-0.113074299999999</v>
      </c>
      <c r="AH1679">
        <v>0.39467954523897197</v>
      </c>
      <c r="AI1679">
        <v>105.775137089737</v>
      </c>
      <c r="AJ1679">
        <v>80.422157001462296</v>
      </c>
      <c r="AK1679">
        <v>0.41592432362000797</v>
      </c>
      <c r="AL1679">
        <v>68.894012737886797</v>
      </c>
      <c r="AM1679">
        <v>86.5550168302467</v>
      </c>
      <c r="AN1679">
        <v>1.0000000071991599</v>
      </c>
    </row>
    <row r="1680" spans="1:40" x14ac:dyDescent="0.25">
      <c r="A1680" t="str">
        <f>"20190304164847681"</f>
        <v>20190304164847681</v>
      </c>
      <c r="B1680" t="str">
        <f>"1551689327677662"</f>
        <v>1551689327677662</v>
      </c>
      <c r="C1680" t="s">
        <v>40</v>
      </c>
      <c r="D1680">
        <v>4.5554220000000001</v>
      </c>
      <c r="E1680">
        <v>0.53709410000000002</v>
      </c>
      <c r="F1680" t="s">
        <v>41</v>
      </c>
      <c r="G1680">
        <v>-191.34399999999999</v>
      </c>
      <c r="H1680">
        <v>0.97753179999999995</v>
      </c>
      <c r="I1680">
        <v>347.2296</v>
      </c>
      <c r="J1680">
        <v>-191.33160000000001</v>
      </c>
      <c r="K1680">
        <v>1.1044050000000001</v>
      </c>
      <c r="L1680">
        <v>347.87060000000002</v>
      </c>
      <c r="M1680">
        <v>0.1232231</v>
      </c>
      <c r="N1680">
        <v>-7.4458299999999996E-3</v>
      </c>
      <c r="O1680">
        <v>-0.99235119999999999</v>
      </c>
      <c r="P1680">
        <v>6.7895540000000004E-2</v>
      </c>
      <c r="Q1680">
        <v>0.35344540000000002</v>
      </c>
      <c r="R1680">
        <v>-0.93298809999999999</v>
      </c>
      <c r="S1680">
        <v>4.188538E-2</v>
      </c>
      <c r="T1680">
        <v>-0.48875089999999999</v>
      </c>
      <c r="U1680">
        <v>-3.3992610000000001</v>
      </c>
      <c r="V1680">
        <v>5.2578420000000001E-2</v>
      </c>
      <c r="W1680">
        <v>0.35969830000000003</v>
      </c>
      <c r="X1680">
        <v>0.93158609999999997</v>
      </c>
      <c r="Y1680">
        <v>0.1110339</v>
      </c>
      <c r="Z1680">
        <v>0.1328838</v>
      </c>
      <c r="AA1680">
        <v>0.98489249999999995</v>
      </c>
      <c r="AB1680">
        <v>25</v>
      </c>
      <c r="AC1680">
        <v>-1.24000000000137E-2</v>
      </c>
      <c r="AD1680">
        <v>-0.12687319999999899</v>
      </c>
      <c r="AE1680">
        <v>-0.641000000000019</v>
      </c>
      <c r="AF1680">
        <v>8.7853201693482694E-2</v>
      </c>
      <c r="AG1680">
        <v>-0.12687319999999899</v>
      </c>
      <c r="AH1680">
        <v>0.61067172940675096</v>
      </c>
      <c r="AI1680">
        <v>101.620472131013</v>
      </c>
      <c r="AJ1680">
        <v>81.813414494094502</v>
      </c>
      <c r="AK1680">
        <v>0.62986899830255805</v>
      </c>
      <c r="AL1680">
        <v>68.918331454917293</v>
      </c>
      <c r="AM1680">
        <v>86.769671717569906</v>
      </c>
      <c r="AN1680">
        <v>1.00000000949289</v>
      </c>
    </row>
    <row r="1681" spans="1:40" x14ac:dyDescent="0.25">
      <c r="A1681" t="str">
        <f>"20190304164847702"</f>
        <v>20190304164847702</v>
      </c>
      <c r="B1681" t="str">
        <f>"1551689327698158"</f>
        <v>1551689327698158</v>
      </c>
      <c r="C1681" t="s">
        <v>40</v>
      </c>
      <c r="D1681">
        <v>4.5825040000000001</v>
      </c>
      <c r="E1681">
        <v>0.53706690000000001</v>
      </c>
      <c r="F1681" t="s">
        <v>41</v>
      </c>
      <c r="G1681">
        <v>-191.32409999999999</v>
      </c>
      <c r="H1681">
        <v>0.98282349999999996</v>
      </c>
      <c r="I1681">
        <v>346.99700000000001</v>
      </c>
      <c r="J1681">
        <v>-191.30969999999999</v>
      </c>
      <c r="K1681">
        <v>1.1045480000000001</v>
      </c>
      <c r="L1681">
        <v>347.6259</v>
      </c>
      <c r="M1681">
        <v>0.11551980000000001</v>
      </c>
      <c r="N1681">
        <v>-7.3794050000000003E-3</v>
      </c>
      <c r="O1681">
        <v>-0.99327799999999999</v>
      </c>
      <c r="P1681">
        <v>6.2536720000000004E-2</v>
      </c>
      <c r="Q1681">
        <v>0.35331600000000002</v>
      </c>
      <c r="R1681">
        <v>-0.93341169999999996</v>
      </c>
      <c r="S1681">
        <v>2.996826E-2</v>
      </c>
      <c r="T1681">
        <v>-0.47187630000000003</v>
      </c>
      <c r="U1681">
        <v>-3.3920590000000002</v>
      </c>
      <c r="V1681">
        <v>5.0562900000000001E-2</v>
      </c>
      <c r="W1681">
        <v>0.35955280000000001</v>
      </c>
      <c r="X1681">
        <v>0.93175379999999997</v>
      </c>
      <c r="Y1681">
        <v>0.1067563</v>
      </c>
      <c r="Z1681">
        <v>0.12870109999999901</v>
      </c>
      <c r="AA1681">
        <v>0.98592040000000003</v>
      </c>
      <c r="AB1681">
        <v>25</v>
      </c>
      <c r="AC1681">
        <v>-1.4399999999994801E-2</v>
      </c>
      <c r="AD1681">
        <v>-0.121724499999999</v>
      </c>
      <c r="AE1681">
        <v>-0.62890000000004398</v>
      </c>
      <c r="AF1681">
        <v>8.3817609553437797E-2</v>
      </c>
      <c r="AG1681">
        <v>-0.121724499999999</v>
      </c>
      <c r="AH1681">
        <v>0.60054012679316604</v>
      </c>
      <c r="AI1681">
        <v>101.351018555198</v>
      </c>
      <c r="AJ1681">
        <v>82.054533641896299</v>
      </c>
      <c r="AK1681">
        <v>0.61845831667158802</v>
      </c>
      <c r="AL1681">
        <v>68.927265145076603</v>
      </c>
      <c r="AM1681">
        <v>86.893812495452494</v>
      </c>
      <c r="AN1681">
        <v>0.99999998332934403</v>
      </c>
    </row>
    <row r="1682" spans="1:40" x14ac:dyDescent="0.25">
      <c r="A1682" t="str">
        <f>"20190304164847725"</f>
        <v>20190304164847725</v>
      </c>
      <c r="B1682" t="str">
        <f>"1551689327717679"</f>
        <v>1551689327717679</v>
      </c>
      <c r="C1682" t="s">
        <v>40</v>
      </c>
      <c r="D1682">
        <v>4.591488</v>
      </c>
      <c r="E1682">
        <v>0.53702269999999996</v>
      </c>
      <c r="F1682" t="s">
        <v>41</v>
      </c>
      <c r="G1682">
        <v>-191.30539999999999</v>
      </c>
      <c r="H1682">
        <v>0.9873651</v>
      </c>
      <c r="I1682">
        <v>346.76369999999997</v>
      </c>
      <c r="J1682">
        <v>-191.28720000000001</v>
      </c>
      <c r="K1682">
        <v>1.104708</v>
      </c>
      <c r="L1682">
        <v>347.3546</v>
      </c>
      <c r="M1682">
        <v>0.1072965</v>
      </c>
      <c r="N1682">
        <v>-7.313773E-3</v>
      </c>
      <c r="O1682">
        <v>-0.99420010000000003</v>
      </c>
      <c r="P1682">
        <v>5.6952780000000001E-2</v>
      </c>
      <c r="Q1682">
        <v>0.35345199999999999</v>
      </c>
      <c r="R1682">
        <v>-0.93371740000000003</v>
      </c>
      <c r="S1682">
        <v>1.664734E-2</v>
      </c>
      <c r="T1682">
        <v>-0.46037860000000003</v>
      </c>
      <c r="U1682">
        <v>-3.3872070000000001</v>
      </c>
      <c r="V1682">
        <v>4.8271260000000003E-2</v>
      </c>
      <c r="W1682">
        <v>0.35967650000000001</v>
      </c>
      <c r="X1682">
        <v>0.93182759999999998</v>
      </c>
      <c r="Y1682">
        <v>0.102395</v>
      </c>
      <c r="Z1682">
        <v>0.12591250000000001</v>
      </c>
      <c r="AA1682">
        <v>0.98674280000000003</v>
      </c>
      <c r="AB1682">
        <v>26</v>
      </c>
      <c r="AC1682">
        <v>-1.81999999999789E-2</v>
      </c>
      <c r="AD1682">
        <v>-0.1173429</v>
      </c>
      <c r="AE1682">
        <v>-0.59090000000003295</v>
      </c>
      <c r="AF1682">
        <v>7.8408974319052596E-2</v>
      </c>
      <c r="AG1682">
        <v>-0.1173429</v>
      </c>
      <c r="AH1682">
        <v>0.56334124044660205</v>
      </c>
      <c r="AI1682">
        <v>101.65709910233301</v>
      </c>
      <c r="AJ1682">
        <v>82.076160829444603</v>
      </c>
      <c r="AK1682">
        <v>0.58075009825405299</v>
      </c>
      <c r="AL1682">
        <v>68.919669611940407</v>
      </c>
      <c r="AM1682">
        <v>87.034570058036195</v>
      </c>
      <c r="AN1682">
        <v>0.99999998765799802</v>
      </c>
    </row>
    <row r="1683" spans="1:40" x14ac:dyDescent="0.25">
      <c r="A1683" t="str">
        <f>"20190304164847747"</f>
        <v>20190304164847747</v>
      </c>
      <c r="B1683" t="str">
        <f>"1551689327737214"</f>
        <v>1551689327737214</v>
      </c>
      <c r="C1683" t="s">
        <v>40</v>
      </c>
      <c r="D1683">
        <v>4.5405290000000003</v>
      </c>
      <c r="E1683">
        <v>0.53681590000000001</v>
      </c>
      <c r="F1683" t="s">
        <v>41</v>
      </c>
      <c r="G1683">
        <v>-191.28720000000001</v>
      </c>
      <c r="H1683">
        <v>0.99489950000000005</v>
      </c>
      <c r="I1683">
        <v>346.5283</v>
      </c>
      <c r="J1683">
        <v>-191.26769999999999</v>
      </c>
      <c r="K1683">
        <v>1.104862</v>
      </c>
      <c r="L1683">
        <v>347.0994</v>
      </c>
      <c r="M1683">
        <v>9.9874180000000007E-2</v>
      </c>
      <c r="N1683">
        <v>-7.2570419999999896E-3</v>
      </c>
      <c r="O1683">
        <v>-0.99497369999999996</v>
      </c>
      <c r="P1683">
        <v>5.348787E-2</v>
      </c>
      <c r="Q1683">
        <v>0.35341020000000001</v>
      </c>
      <c r="R1683">
        <v>-0.93393859999999995</v>
      </c>
      <c r="S1683">
        <v>3.0517579999999998E-4</v>
      </c>
      <c r="T1683">
        <v>-0.44948700000000003</v>
      </c>
      <c r="U1683">
        <v>-3.3830870000000002</v>
      </c>
      <c r="V1683">
        <v>4.4626739999999998E-2</v>
      </c>
      <c r="W1683">
        <v>0.35964629999999997</v>
      </c>
      <c r="X1683">
        <v>0.93202099999999999</v>
      </c>
      <c r="Y1683">
        <v>9.9734929999999999E-2</v>
      </c>
      <c r="Z1683">
        <v>0.123195</v>
      </c>
      <c r="AA1683">
        <v>0.98735799999999996</v>
      </c>
      <c r="AB1683">
        <v>26</v>
      </c>
      <c r="AC1683">
        <v>-1.9500000000022E-2</v>
      </c>
      <c r="AD1683">
        <v>-0.10996249999999901</v>
      </c>
      <c r="AE1683">
        <v>-0.57110000000000105</v>
      </c>
      <c r="AF1683">
        <v>7.3712530045781599E-2</v>
      </c>
      <c r="AG1683">
        <v>-0.10996249999999901</v>
      </c>
      <c r="AH1683">
        <v>0.54607538351652496</v>
      </c>
      <c r="AI1683">
        <v>101.285625049055</v>
      </c>
      <c r="AJ1683">
        <v>82.312340187571607</v>
      </c>
      <c r="AK1683">
        <v>0.56189288389756298</v>
      </c>
      <c r="AL1683">
        <v>68.921525982350104</v>
      </c>
      <c r="AM1683">
        <v>87.258674976291701</v>
      </c>
      <c r="AN1683">
        <v>1.0000000757338501</v>
      </c>
    </row>
    <row r="1684" spans="1:40" x14ac:dyDescent="0.25">
      <c r="A1684" t="str">
        <f>"20190304164847771"</f>
        <v>20190304164847771</v>
      </c>
      <c r="B1684" t="str">
        <f>"1551689327767455"</f>
        <v>1551689327767455</v>
      </c>
      <c r="C1684" t="s">
        <v>40</v>
      </c>
      <c r="D1684">
        <v>4.5476779999999897</v>
      </c>
      <c r="E1684">
        <v>0.53632959999999996</v>
      </c>
      <c r="F1684" t="s">
        <v>41</v>
      </c>
      <c r="G1684">
        <v>-191.27</v>
      </c>
      <c r="H1684">
        <v>0.99978639999999996</v>
      </c>
      <c r="I1684">
        <v>346.29320000000001</v>
      </c>
      <c r="J1684">
        <v>-191.24889999999999</v>
      </c>
      <c r="K1684">
        <v>1.105037</v>
      </c>
      <c r="L1684">
        <v>346.83030000000002</v>
      </c>
      <c r="M1684">
        <v>9.2393760000000005E-2</v>
      </c>
      <c r="N1684">
        <v>-7.2004809999999999E-3</v>
      </c>
      <c r="O1684">
        <v>-0.99569660000000004</v>
      </c>
      <c r="P1684">
        <v>5.0205199999999998E-2</v>
      </c>
      <c r="Q1684">
        <v>0.3533849</v>
      </c>
      <c r="R1684">
        <v>-0.93413000000000002</v>
      </c>
      <c r="S1684">
        <v>-9.1857910000000004E-3</v>
      </c>
      <c r="T1684">
        <v>-0.44046190000000002</v>
      </c>
      <c r="U1684">
        <v>-3.3794249999999999</v>
      </c>
      <c r="V1684">
        <v>4.0727960000000001E-2</v>
      </c>
      <c r="W1684">
        <v>0.35963469999999997</v>
      </c>
      <c r="X1684">
        <v>0.93220389999999997</v>
      </c>
      <c r="Y1684">
        <v>9.5033530000000005E-2</v>
      </c>
      <c r="Z1684">
        <v>0.12097910000000001</v>
      </c>
      <c r="AA1684">
        <v>0.98809550000000002</v>
      </c>
      <c r="AB1684">
        <v>26</v>
      </c>
      <c r="AC1684">
        <v>-2.1100000000018299E-2</v>
      </c>
      <c r="AD1684">
        <v>-0.1052506</v>
      </c>
      <c r="AE1684">
        <v>-0.53710000000000901</v>
      </c>
      <c r="AF1684">
        <v>6.8027437668806395E-2</v>
      </c>
      <c r="AG1684">
        <v>-0.1052506</v>
      </c>
      <c r="AH1684">
        <v>0.51317692886652899</v>
      </c>
      <c r="AI1684">
        <v>101.49258364999</v>
      </c>
      <c r="AJ1684">
        <v>82.448818577138795</v>
      </c>
      <c r="AK1684">
        <v>0.52825749535337996</v>
      </c>
      <c r="AL1684">
        <v>68.922236548127003</v>
      </c>
      <c r="AM1684">
        <v>87.498340062686694</v>
      </c>
      <c r="AN1684">
        <v>0.99999999767253001</v>
      </c>
    </row>
    <row r="1685" spans="1:40" x14ac:dyDescent="0.25">
      <c r="A1685" t="str">
        <f>"20190304164847792"</f>
        <v>20190304164847792</v>
      </c>
      <c r="B1685" t="str">
        <f>"1551689327787951"</f>
        <v>1551689327787951</v>
      </c>
      <c r="C1685" t="s">
        <v>40</v>
      </c>
      <c r="D1685">
        <v>4.6130899999999997</v>
      </c>
      <c r="E1685">
        <v>0.53598570000000001</v>
      </c>
      <c r="F1685" t="s">
        <v>41</v>
      </c>
      <c r="G1685">
        <v>-191.25360000000001</v>
      </c>
      <c r="H1685">
        <v>1.0090349999999999</v>
      </c>
      <c r="I1685">
        <v>346.05529999999999</v>
      </c>
      <c r="J1685">
        <v>-191.23259999999999</v>
      </c>
      <c r="K1685">
        <v>1.1052219999999999</v>
      </c>
      <c r="L1685">
        <v>346.57440000000003</v>
      </c>
      <c r="M1685">
        <v>8.5620379999999996E-2</v>
      </c>
      <c r="N1685">
        <v>-7.1495839999999996E-3</v>
      </c>
      <c r="O1685">
        <v>-0.99630220000000003</v>
      </c>
      <c r="P1685">
        <v>4.7821379999999997E-2</v>
      </c>
      <c r="Q1685">
        <v>0.3537691</v>
      </c>
      <c r="R1685">
        <v>-0.93410979999999999</v>
      </c>
      <c r="S1685">
        <v>-1.954651E-2</v>
      </c>
      <c r="T1685">
        <v>-0.41748049999999998</v>
      </c>
      <c r="U1685">
        <v>-3.3705440000000002</v>
      </c>
      <c r="V1685">
        <v>3.657987E-2</v>
      </c>
      <c r="W1685">
        <v>0.3600373</v>
      </c>
      <c r="X1685">
        <v>0.93222050000000001</v>
      </c>
      <c r="Y1685">
        <v>9.1316320000000006E-2</v>
      </c>
      <c r="Z1685">
        <v>0.1148885</v>
      </c>
      <c r="AA1685">
        <v>0.9891723</v>
      </c>
      <c r="AB1685">
        <v>26</v>
      </c>
      <c r="AC1685">
        <v>-2.1000000000015E-2</v>
      </c>
      <c r="AD1685">
        <v>-9.61869999999998E-2</v>
      </c>
      <c r="AE1685">
        <v>-0.51910000000003698</v>
      </c>
      <c r="AF1685">
        <v>6.3203055381327103E-2</v>
      </c>
      <c r="AG1685">
        <v>-9.61869999999998E-2</v>
      </c>
      <c r="AH1685">
        <v>0.498314193965265</v>
      </c>
      <c r="AI1685">
        <v>100.840380167337</v>
      </c>
      <c r="AJ1685">
        <v>82.771557657261496</v>
      </c>
      <c r="AK1685">
        <v>0.51143289010952997</v>
      </c>
      <c r="AL1685">
        <v>68.8975132923362</v>
      </c>
      <c r="AM1685">
        <v>87.752894878038205</v>
      </c>
      <c r="AN1685">
        <v>1.0000000024503699</v>
      </c>
    </row>
    <row r="1686" spans="1:40" x14ac:dyDescent="0.25">
      <c r="A1686" t="str">
        <f>"20190304164847816"</f>
        <v>20190304164847816</v>
      </c>
      <c r="B1686" t="str">
        <f>"1551689327807471"</f>
        <v>1551689327807471</v>
      </c>
      <c r="C1686" t="s">
        <v>40</v>
      </c>
      <c r="D1686">
        <v>4.6041720000000002</v>
      </c>
      <c r="E1686">
        <v>0.53547939999999905</v>
      </c>
      <c r="F1686" t="s">
        <v>41</v>
      </c>
      <c r="G1686">
        <v>-191.23840000000001</v>
      </c>
      <c r="H1686">
        <v>1.0144280000000001</v>
      </c>
      <c r="I1686">
        <v>345.81830000000002</v>
      </c>
      <c r="J1686">
        <v>-191.21619999999999</v>
      </c>
      <c r="K1686">
        <v>1.1054489999999999</v>
      </c>
      <c r="L1686">
        <v>346.2937</v>
      </c>
      <c r="M1686">
        <v>7.8564659999999994E-2</v>
      </c>
      <c r="N1686">
        <v>-7.0937889999999997E-3</v>
      </c>
      <c r="O1686">
        <v>-0.99688390000000004</v>
      </c>
      <c r="P1686">
        <v>4.4951209999999998E-2</v>
      </c>
      <c r="Q1686">
        <v>0.35480299999999998</v>
      </c>
      <c r="R1686">
        <v>-0.93385989999999997</v>
      </c>
      <c r="S1686">
        <v>-2.6092529999999999E-2</v>
      </c>
      <c r="T1686">
        <v>-0.40417649999999999</v>
      </c>
      <c r="U1686">
        <v>-3.365936</v>
      </c>
      <c r="V1686">
        <v>3.26158E-2</v>
      </c>
      <c r="W1686">
        <v>0.36107939999999999</v>
      </c>
      <c r="X1686">
        <v>0.93196449999999997</v>
      </c>
      <c r="Y1686">
        <v>8.6203749999999996E-2</v>
      </c>
      <c r="Z1686">
        <v>0.11139839999999999</v>
      </c>
      <c r="AA1686">
        <v>0.99002990000000002</v>
      </c>
      <c r="AB1686">
        <v>26</v>
      </c>
      <c r="AC1686">
        <v>-2.22000000000264E-2</v>
      </c>
      <c r="AD1686">
        <v>-9.1020999999999797E-2</v>
      </c>
      <c r="AE1686">
        <v>-0.47539999999997901</v>
      </c>
      <c r="AF1686">
        <v>5.7383001506587497E-2</v>
      </c>
      <c r="AG1686">
        <v>-9.1020999999999797E-2</v>
      </c>
      <c r="AH1686">
        <v>0.45552417504369402</v>
      </c>
      <c r="AI1686">
        <v>101.213442849876</v>
      </c>
      <c r="AJ1686">
        <v>82.820191412080305</v>
      </c>
      <c r="AK1686">
        <v>0.46805972412945701</v>
      </c>
      <c r="AL1686">
        <v>68.833499001845695</v>
      </c>
      <c r="AM1686">
        <v>87.995647568117704</v>
      </c>
      <c r="AN1686">
        <v>0.99999997638712401</v>
      </c>
    </row>
    <row r="1687" spans="1:40" x14ac:dyDescent="0.25">
      <c r="A1687" t="str">
        <f>"20190304164847836"</f>
        <v>20190304164847836</v>
      </c>
      <c r="B1687" t="str">
        <f>"1551689327827967"</f>
        <v>1551689327827967</v>
      </c>
      <c r="C1687" t="s">
        <v>40</v>
      </c>
      <c r="D1687">
        <v>4.6386979999999998</v>
      </c>
      <c r="E1687">
        <v>0.53501189999999998</v>
      </c>
      <c r="F1687" t="s">
        <v>41</v>
      </c>
      <c r="G1687">
        <v>-191.2253</v>
      </c>
      <c r="H1687">
        <v>0.99647379999999997</v>
      </c>
      <c r="I1687">
        <v>345.35480000000001</v>
      </c>
      <c r="J1687">
        <v>-191.20330000000001</v>
      </c>
      <c r="K1687">
        <v>1.1056520000000001</v>
      </c>
      <c r="L1687">
        <v>346.04989999999998</v>
      </c>
      <c r="M1687">
        <v>7.2770879999999996E-2</v>
      </c>
      <c r="N1687">
        <v>-7.0452519999999897E-3</v>
      </c>
      <c r="O1687">
        <v>-0.99732379999999998</v>
      </c>
      <c r="P1687">
        <v>4.3838210000000002E-2</v>
      </c>
      <c r="Q1687">
        <v>0.35622189999999998</v>
      </c>
      <c r="R1687">
        <v>-0.9333728</v>
      </c>
      <c r="S1687">
        <v>-3.2363889999999999E-2</v>
      </c>
      <c r="T1687">
        <v>-0.39023980000000003</v>
      </c>
      <c r="U1687">
        <v>-3.3623660000000002</v>
      </c>
      <c r="V1687">
        <v>2.809743E-2</v>
      </c>
      <c r="W1687">
        <v>0.36251299999999997</v>
      </c>
      <c r="X1687">
        <v>0.93155509999999997</v>
      </c>
      <c r="Y1687">
        <v>8.2276160000000001E-2</v>
      </c>
      <c r="Z1687">
        <v>0.1076279</v>
      </c>
      <c r="AA1687">
        <v>0.99078089999999996</v>
      </c>
      <c r="AB1687">
        <v>26</v>
      </c>
      <c r="AC1687">
        <v>-2.1999999999991301E-2</v>
      </c>
      <c r="AD1687">
        <v>-0.109178199999999</v>
      </c>
      <c r="AE1687">
        <v>-0.69509999999996797</v>
      </c>
      <c r="AF1687">
        <v>7.0781497532055995E-2</v>
      </c>
      <c r="AG1687">
        <v>-0.109178199999999</v>
      </c>
      <c r="AH1687">
        <v>0.67501959985736004</v>
      </c>
      <c r="AI1687">
        <v>99.138251099449604</v>
      </c>
      <c r="AJ1687">
        <v>84.013929905771505</v>
      </c>
      <c r="AK1687">
        <v>0.68744553234398897</v>
      </c>
      <c r="AL1687">
        <v>68.745392110807501</v>
      </c>
      <c r="AM1687">
        <v>88.272376764549307</v>
      </c>
      <c r="AN1687">
        <v>1.0000000225387999</v>
      </c>
    </row>
    <row r="1688" spans="1:40" x14ac:dyDescent="0.25">
      <c r="A1688" t="str">
        <f>"20190304164847859"</f>
        <v>20190304164847859</v>
      </c>
      <c r="B1688" t="str">
        <f>"1551689327847490"</f>
        <v>1551689327847490</v>
      </c>
      <c r="C1688" t="s">
        <v>40</v>
      </c>
      <c r="D1688">
        <v>4.6382779999999997</v>
      </c>
      <c r="E1688">
        <v>0.53452449999999996</v>
      </c>
      <c r="F1688" t="s">
        <v>41</v>
      </c>
      <c r="G1688">
        <v>-191.2133</v>
      </c>
      <c r="H1688">
        <v>1.0012270000000001</v>
      </c>
      <c r="I1688">
        <v>345.11579999999998</v>
      </c>
      <c r="J1688">
        <v>-191.19059999999999</v>
      </c>
      <c r="K1688">
        <v>1.1058380000000001</v>
      </c>
      <c r="L1688">
        <v>345.7867</v>
      </c>
      <c r="M1688">
        <v>6.6798949999999996E-2</v>
      </c>
      <c r="N1688">
        <v>-6.997418E-3</v>
      </c>
      <c r="O1688">
        <v>-0.99774209999999997</v>
      </c>
      <c r="P1688">
        <v>4.1894000000000001E-2</v>
      </c>
      <c r="Q1688">
        <v>0.35850130000000002</v>
      </c>
      <c r="R1688">
        <v>-0.93258890000000005</v>
      </c>
      <c r="S1688">
        <v>-3.5659789999999997E-2</v>
      </c>
      <c r="T1688">
        <v>-0.37547520000000001</v>
      </c>
      <c r="U1688">
        <v>-3.3591609999999998</v>
      </c>
      <c r="V1688">
        <v>2.4248889999999999E-2</v>
      </c>
      <c r="W1688">
        <v>0.36479349999999999</v>
      </c>
      <c r="X1688">
        <v>0.93077270000000001</v>
      </c>
      <c r="Y1688">
        <v>7.7298249999999999E-2</v>
      </c>
      <c r="Z1688">
        <v>0.1035846</v>
      </c>
      <c r="AA1688">
        <v>0.99161239999999995</v>
      </c>
      <c r="AB1688">
        <v>26</v>
      </c>
      <c r="AC1688">
        <v>-2.2700000000014601E-2</v>
      </c>
      <c r="AD1688">
        <v>-0.104610999999999</v>
      </c>
      <c r="AE1688">
        <v>-0.67090000000001704</v>
      </c>
      <c r="AF1688">
        <v>6.5866224332830903E-2</v>
      </c>
      <c r="AG1688">
        <v>-0.104610999999999</v>
      </c>
      <c r="AH1688">
        <v>0.65204988778631301</v>
      </c>
      <c r="AI1688">
        <v>99.069143528840897</v>
      </c>
      <c r="AJ1688">
        <v>84.231885007572401</v>
      </c>
      <c r="AK1688">
        <v>0.66366473236944401</v>
      </c>
      <c r="AL1688">
        <v>68.605126510692102</v>
      </c>
      <c r="AM1688">
        <v>88.507643326853199</v>
      </c>
      <c r="AN1688">
        <v>1.0000000626868799</v>
      </c>
    </row>
    <row r="1689" spans="1:40" x14ac:dyDescent="0.25">
      <c r="A1689" t="str">
        <f>"20190304164847882"</f>
        <v>20190304164847882</v>
      </c>
      <c r="B1689" t="str">
        <f>"1551689327877744"</f>
        <v>1551689327877744</v>
      </c>
      <c r="C1689" t="s">
        <v>40</v>
      </c>
      <c r="D1689">
        <v>4.596743</v>
      </c>
      <c r="E1689">
        <v>0.53419099999999997</v>
      </c>
      <c r="F1689" t="s">
        <v>41</v>
      </c>
      <c r="G1689">
        <v>-191.2013</v>
      </c>
      <c r="H1689">
        <v>1.0081329999999999</v>
      </c>
      <c r="I1689">
        <v>344.87479999999999</v>
      </c>
      <c r="J1689">
        <v>-191.1788</v>
      </c>
      <c r="K1689">
        <v>1.1060190000000001</v>
      </c>
      <c r="L1689">
        <v>345.51409999999998</v>
      </c>
      <c r="M1689">
        <v>6.0917930000000002E-2</v>
      </c>
      <c r="N1689">
        <v>-6.9535300000000003E-3</v>
      </c>
      <c r="O1689">
        <v>-0.99811879999999997</v>
      </c>
      <c r="P1689">
        <v>3.9713350000000001E-2</v>
      </c>
      <c r="Q1689">
        <v>0.36097289999999999</v>
      </c>
      <c r="R1689">
        <v>-0.93173039999999996</v>
      </c>
      <c r="S1689">
        <v>-3.9123539999999998E-2</v>
      </c>
      <c r="T1689">
        <v>-0.35966599999999999</v>
      </c>
      <c r="U1689">
        <v>-3.3568730000000002</v>
      </c>
      <c r="V1689">
        <v>2.074312E-2</v>
      </c>
      <c r="W1689">
        <v>0.36726120000000001</v>
      </c>
      <c r="X1689">
        <v>0.92988649999999995</v>
      </c>
      <c r="Y1689">
        <v>7.2460849999999993E-2</v>
      </c>
      <c r="Z1689">
        <v>9.9174509999999994E-2</v>
      </c>
      <c r="AA1689">
        <v>0.99242819999999998</v>
      </c>
      <c r="AB1689">
        <v>26</v>
      </c>
      <c r="AC1689">
        <v>-2.2500000000007899E-2</v>
      </c>
      <c r="AD1689">
        <v>-9.7886000000000098E-2</v>
      </c>
      <c r="AE1689">
        <v>-0.63929999999999099</v>
      </c>
      <c r="AF1689">
        <v>5.99990965012549E-2</v>
      </c>
      <c r="AG1689">
        <v>-9.7886000000000098E-2</v>
      </c>
      <c r="AH1689">
        <v>0.62217373768926598</v>
      </c>
      <c r="AI1689">
        <v>98.900376681643905</v>
      </c>
      <c r="AJ1689">
        <v>84.491735306966106</v>
      </c>
      <c r="AK1689">
        <v>0.63267821240121602</v>
      </c>
      <c r="AL1689">
        <v>68.453192414030397</v>
      </c>
      <c r="AM1689">
        <v>88.722106242242702</v>
      </c>
      <c r="AN1689">
        <v>0.99999998446751204</v>
      </c>
    </row>
    <row r="1690" spans="1:40" x14ac:dyDescent="0.25">
      <c r="A1690" t="str">
        <f>"20190304164847904"</f>
        <v>20190304164847904</v>
      </c>
      <c r="B1690" t="str">
        <f>"1551689327897263"</f>
        <v>1551689327897263</v>
      </c>
      <c r="C1690" t="s">
        <v>40</v>
      </c>
      <c r="D1690">
        <v>4.6275919999999999</v>
      </c>
      <c r="E1690">
        <v>0.53411260000000005</v>
      </c>
      <c r="F1690" t="s">
        <v>41</v>
      </c>
      <c r="G1690">
        <v>-191.18979999999999</v>
      </c>
      <c r="H1690">
        <v>1.013617</v>
      </c>
      <c r="I1690">
        <v>344.63380000000001</v>
      </c>
      <c r="J1690">
        <v>-191.16849999999999</v>
      </c>
      <c r="K1690">
        <v>1.106187</v>
      </c>
      <c r="L1690">
        <v>345.25</v>
      </c>
      <c r="M1690">
        <v>5.5516370000000002E-2</v>
      </c>
      <c r="N1690">
        <v>-6.9147940000000001E-3</v>
      </c>
      <c r="O1690">
        <v>-0.99843380000000004</v>
      </c>
      <c r="P1690">
        <v>3.8584840000000002E-2</v>
      </c>
      <c r="Q1690">
        <v>0.36249799999999999</v>
      </c>
      <c r="R1690">
        <v>-0.93118579999999995</v>
      </c>
      <c r="S1690">
        <v>-4.118347E-2</v>
      </c>
      <c r="T1690">
        <v>-0.35249069999999999</v>
      </c>
      <c r="U1690">
        <v>-3.3581850000000002</v>
      </c>
      <c r="V1690">
        <v>1.6664599999999901E-2</v>
      </c>
      <c r="W1690">
        <v>0.36879220000000001</v>
      </c>
      <c r="X1690">
        <v>0.92936249999999998</v>
      </c>
      <c r="Y1690">
        <v>6.7672720000000006E-2</v>
      </c>
      <c r="Z1690">
        <v>9.7144629999999996E-2</v>
      </c>
      <c r="AA1690">
        <v>0.99296689999999999</v>
      </c>
      <c r="AB1690">
        <v>26</v>
      </c>
      <c r="AC1690">
        <v>-2.1299999999996499E-2</v>
      </c>
      <c r="AD1690">
        <v>-9.257E-2</v>
      </c>
      <c r="AE1690">
        <v>-0.61619999999999198</v>
      </c>
      <c r="AF1690">
        <v>5.4254196357013701E-2</v>
      </c>
      <c r="AG1690">
        <v>-9.257E-2</v>
      </c>
      <c r="AH1690">
        <v>0.60053038748479304</v>
      </c>
      <c r="AI1690">
        <v>98.728008141264397</v>
      </c>
      <c r="AJ1690">
        <v>84.837696109477903</v>
      </c>
      <c r="AK1690">
        <v>0.61004054702534405</v>
      </c>
      <c r="AL1690">
        <v>68.3588521905926</v>
      </c>
      <c r="AM1690">
        <v>88.972727074746402</v>
      </c>
      <c r="AN1690">
        <v>1.0000000260401201</v>
      </c>
    </row>
    <row r="1691" spans="1:40" x14ac:dyDescent="0.25">
      <c r="A1691" t="str">
        <f>"20190304164848083"</f>
        <v>20190304164848083</v>
      </c>
      <c r="B1691" t="str">
        <f>"1551689328077823"</f>
        <v>1551689328077823</v>
      </c>
      <c r="C1691" t="s">
        <v>40</v>
      </c>
      <c r="D1691">
        <v>4.6594259999999998</v>
      </c>
      <c r="E1691">
        <v>0.53454919999999995</v>
      </c>
      <c r="F1691" t="s">
        <v>41</v>
      </c>
      <c r="G1691">
        <v>-191.14080000000001</v>
      </c>
      <c r="H1691">
        <v>1.01675</v>
      </c>
      <c r="I1691">
        <v>342.45069999999998</v>
      </c>
      <c r="J1691">
        <v>-191.1191</v>
      </c>
      <c r="K1691">
        <v>1.107693</v>
      </c>
      <c r="L1691">
        <v>343.0729</v>
      </c>
      <c r="M1691">
        <v>2.2212809999999999E-2</v>
      </c>
      <c r="N1691">
        <v>-6.6441360000000001E-3</v>
      </c>
      <c r="O1691">
        <v>-0.99973120000000004</v>
      </c>
      <c r="P1691">
        <v>3.1825989999999998E-2</v>
      </c>
      <c r="Q1691">
        <v>0.37278109999999998</v>
      </c>
      <c r="R1691">
        <v>-0.92737340000000001</v>
      </c>
      <c r="S1691">
        <v>-6.5612790000000004E-2</v>
      </c>
      <c r="T1691">
        <v>-0.33403430000000001</v>
      </c>
      <c r="U1691">
        <v>-3.3695369999999998</v>
      </c>
      <c r="V1691">
        <v>-9.0151659999999998E-3</v>
      </c>
      <c r="W1691">
        <v>0.37899660000000002</v>
      </c>
      <c r="X1691">
        <v>0.92535409999999996</v>
      </c>
      <c r="Y1691">
        <v>4.1575800000000003E-2</v>
      </c>
      <c r="Z1691">
        <v>9.1946299999999995E-2</v>
      </c>
      <c r="AA1691">
        <v>0.99489559999999999</v>
      </c>
      <c r="AB1691">
        <v>27</v>
      </c>
      <c r="AC1691">
        <v>-2.1700000000009802E-2</v>
      </c>
      <c r="AD1691">
        <v>-9.0942999999999996E-2</v>
      </c>
      <c r="AE1691">
        <v>-0.62220000000001996</v>
      </c>
      <c r="AF1691">
        <v>3.4773763625010098E-2</v>
      </c>
      <c r="AG1691">
        <v>-9.0942999999999996E-2</v>
      </c>
      <c r="AH1691">
        <v>0.60857868699441398</v>
      </c>
      <c r="AI1691">
        <v>98.485468428843205</v>
      </c>
      <c r="AJ1691">
        <v>86.729714898556196</v>
      </c>
      <c r="AK1691">
        <v>0.61631798785163805</v>
      </c>
      <c r="AL1691">
        <v>67.728455305524307</v>
      </c>
      <c r="AM1691">
        <v>90.558180508721904</v>
      </c>
      <c r="AN1691">
        <v>0.99999995320818702</v>
      </c>
    </row>
    <row r="1692" spans="1:40" x14ac:dyDescent="0.25">
      <c r="A1692" t="str">
        <f>"20190304164848106"</f>
        <v>20190304164848106</v>
      </c>
      <c r="B1692" t="str">
        <f>"1551689328097343"</f>
        <v>1551689328097343</v>
      </c>
      <c r="C1692" t="s">
        <v>40</v>
      </c>
      <c r="D1692">
        <v>4.6810400000000003</v>
      </c>
      <c r="E1692">
        <v>0.53473130000000002</v>
      </c>
      <c r="F1692" t="s">
        <v>41</v>
      </c>
      <c r="G1692">
        <v>-191.13800000000001</v>
      </c>
      <c r="H1692">
        <v>1.0220750000000001</v>
      </c>
      <c r="I1692">
        <v>342.20179999999999</v>
      </c>
      <c r="J1692">
        <v>-191.11619999999999</v>
      </c>
      <c r="K1692">
        <v>1.1078269999999999</v>
      </c>
      <c r="L1692">
        <v>342.79320000000001</v>
      </c>
      <c r="M1692">
        <v>1.9177429999999999E-2</v>
      </c>
      <c r="N1692">
        <v>-6.6135419999999896E-3</v>
      </c>
      <c r="O1692">
        <v>-0.99979439999999997</v>
      </c>
      <c r="P1692">
        <v>3.228901E-2</v>
      </c>
      <c r="Q1692">
        <v>0.37180059999999998</v>
      </c>
      <c r="R1692">
        <v>-0.9277512</v>
      </c>
      <c r="S1692">
        <v>-7.3165889999999997E-2</v>
      </c>
      <c r="T1692">
        <v>-0.33136179999999998</v>
      </c>
      <c r="U1692">
        <v>-3.3706360000000002</v>
      </c>
      <c r="V1692">
        <v>-1.242031E-2</v>
      </c>
      <c r="W1692">
        <v>0.37800489999999998</v>
      </c>
      <c r="X1692">
        <v>0.92572030000000005</v>
      </c>
      <c r="Y1692">
        <v>4.0766499999999997E-2</v>
      </c>
      <c r="Z1692">
        <v>9.1172379999999997E-2</v>
      </c>
      <c r="AA1692">
        <v>0.99500040000000001</v>
      </c>
      <c r="AB1692">
        <v>27</v>
      </c>
      <c r="AC1692">
        <v>-2.1800000000013101E-2</v>
      </c>
      <c r="AD1692">
        <v>-8.5751999999999995E-2</v>
      </c>
      <c r="AE1692">
        <v>-0.59140000000002102</v>
      </c>
      <c r="AF1692">
        <v>3.2456316656475297E-2</v>
      </c>
      <c r="AG1692">
        <v>-8.5751999999999995E-2</v>
      </c>
      <c r="AH1692">
        <v>0.57872231499455995</v>
      </c>
      <c r="AI1692">
        <v>98.415422933615403</v>
      </c>
      <c r="AJ1692">
        <v>86.790059883481106</v>
      </c>
      <c r="AK1692">
        <v>0.585940556599019</v>
      </c>
      <c r="AL1692">
        <v>67.789844288971693</v>
      </c>
      <c r="AM1692">
        <v>90.768686445302095</v>
      </c>
      <c r="AN1692">
        <v>1.00000002117829</v>
      </c>
    </row>
    <row r="1693" spans="1:40" x14ac:dyDescent="0.25">
      <c r="A1693" t="str">
        <f>"20190304164848128"</f>
        <v>20190304164848128</v>
      </c>
      <c r="B1693" t="str">
        <f>"1551689328117839"</f>
        <v>1551689328117839</v>
      </c>
      <c r="C1693" t="s">
        <v>40</v>
      </c>
      <c r="D1693">
        <v>4.6859199999999896</v>
      </c>
      <c r="E1693">
        <v>0.53484900000000002</v>
      </c>
      <c r="F1693" t="s">
        <v>41</v>
      </c>
      <c r="G1693">
        <v>-191.1352</v>
      </c>
      <c r="H1693">
        <v>1.024459</v>
      </c>
      <c r="I1693">
        <v>341.95359999999999</v>
      </c>
      <c r="J1693">
        <v>-191.1139</v>
      </c>
      <c r="K1693">
        <v>1.107952</v>
      </c>
      <c r="L1693">
        <v>342.51369999999997</v>
      </c>
      <c r="M1693">
        <v>1.6368489999999999E-2</v>
      </c>
      <c r="N1693">
        <v>-6.5851520000000004E-3</v>
      </c>
      <c r="O1693">
        <v>-0.99984439999999997</v>
      </c>
      <c r="P1693">
        <v>3.2101699999999997E-2</v>
      </c>
      <c r="Q1693">
        <v>0.37114950000000002</v>
      </c>
      <c r="R1693">
        <v>-0.92801829999999996</v>
      </c>
      <c r="S1693">
        <v>-7.6065060000000004E-2</v>
      </c>
      <c r="T1693">
        <v>-0.33469399999999999</v>
      </c>
      <c r="U1693">
        <v>-3.3704529999999999</v>
      </c>
      <c r="V1693">
        <v>-1.4969E-2</v>
      </c>
      <c r="W1693">
        <v>0.37733680000000003</v>
      </c>
      <c r="X1693">
        <v>0.92595510000000003</v>
      </c>
      <c r="Y1693">
        <v>3.8814460000000002E-2</v>
      </c>
      <c r="Z1693">
        <v>9.2190560000000005E-2</v>
      </c>
      <c r="AA1693">
        <v>0.9949846</v>
      </c>
      <c r="AB1693">
        <v>27</v>
      </c>
      <c r="AC1693">
        <v>-2.1299999999996499E-2</v>
      </c>
      <c r="AD1693">
        <v>-8.3492999999999998E-2</v>
      </c>
      <c r="AE1693">
        <v>-0.56009999999997695</v>
      </c>
      <c r="AF1693">
        <v>2.9804009072400901E-2</v>
      </c>
      <c r="AG1693">
        <v>-8.3492999999999998E-2</v>
      </c>
      <c r="AH1693">
        <v>0.54752712130972403</v>
      </c>
      <c r="AI1693">
        <v>98.657679358158504</v>
      </c>
      <c r="AJ1693">
        <v>86.884245090060602</v>
      </c>
      <c r="AK1693">
        <v>0.55465783017595705</v>
      </c>
      <c r="AL1693">
        <v>67.831184578001</v>
      </c>
      <c r="AM1693">
        <v>90.926163505774696</v>
      </c>
      <c r="AN1693">
        <v>0.99999998940562496</v>
      </c>
    </row>
    <row r="1694" spans="1:40" x14ac:dyDescent="0.25">
      <c r="A1694" t="str">
        <f>"20190304164848150"</f>
        <v>20190304164848150</v>
      </c>
      <c r="B1694" t="str">
        <f>"1551689328137359"</f>
        <v>1551689328137359</v>
      </c>
      <c r="C1694" t="s">
        <v>40</v>
      </c>
      <c r="D1694">
        <v>4.6435129999999996</v>
      </c>
      <c r="E1694">
        <v>0.53480660000000002</v>
      </c>
      <c r="F1694" t="s">
        <v>41</v>
      </c>
      <c r="G1694">
        <v>-191.13300000000001</v>
      </c>
      <c r="H1694">
        <v>1.0271889999999999</v>
      </c>
      <c r="I1694">
        <v>341.70440000000002</v>
      </c>
      <c r="J1694">
        <v>-191.1122</v>
      </c>
      <c r="K1694">
        <v>1.10809</v>
      </c>
      <c r="L1694">
        <v>342.24579999999997</v>
      </c>
      <c r="M1694">
        <v>1.387525E-2</v>
      </c>
      <c r="N1694">
        <v>-6.5608769999999997E-3</v>
      </c>
      <c r="O1694">
        <v>-0.9998823</v>
      </c>
      <c r="P1694">
        <v>3.2552369999999997E-2</v>
      </c>
      <c r="Q1694">
        <v>0.37043900000000002</v>
      </c>
      <c r="R1694">
        <v>-0.9282861</v>
      </c>
      <c r="S1694">
        <v>-7.8659060000000003E-2</v>
      </c>
      <c r="T1694">
        <v>-0.3364549</v>
      </c>
      <c r="U1694">
        <v>-3.3699340000000002</v>
      </c>
      <c r="V1694">
        <v>-1.7860000000000001E-2</v>
      </c>
      <c r="W1694">
        <v>0.3766138</v>
      </c>
      <c r="X1694">
        <v>0.92619819999999997</v>
      </c>
      <c r="Y1694">
        <v>3.7091020000000002E-2</v>
      </c>
      <c r="Z1694">
        <v>9.275274E-2</v>
      </c>
      <c r="AA1694">
        <v>0.9949981</v>
      </c>
      <c r="AB1694">
        <v>28</v>
      </c>
      <c r="AC1694">
        <v>-2.0799999999979901E-2</v>
      </c>
      <c r="AD1694">
        <v>-8.0901000000000098E-2</v>
      </c>
      <c r="AE1694">
        <v>-0.54139999999995303</v>
      </c>
      <c r="AF1694">
        <v>2.7692775454541699E-2</v>
      </c>
      <c r="AG1694">
        <v>-8.0901000000000098E-2</v>
      </c>
      <c r="AH1694">
        <v>0.52925881113817097</v>
      </c>
      <c r="AI1694">
        <v>98.679107760208097</v>
      </c>
      <c r="AJ1694">
        <v>87.004804624532198</v>
      </c>
      <c r="AK1694">
        <v>0.53612195513779004</v>
      </c>
      <c r="AL1694">
        <v>67.875909760653997</v>
      </c>
      <c r="AM1694">
        <v>91.104705035871007</v>
      </c>
      <c r="AN1694">
        <v>1.00000001981683</v>
      </c>
    </row>
    <row r="1695" spans="1:40" x14ac:dyDescent="0.25">
      <c r="A1695" t="str">
        <f>"20190304164848170"</f>
        <v>20190304164848170</v>
      </c>
      <c r="B1695" t="str">
        <f>"1551689328157858"</f>
        <v>1551689328157858</v>
      </c>
      <c r="C1695" t="s">
        <v>40</v>
      </c>
      <c r="D1695">
        <v>4.6762040000000002</v>
      </c>
      <c r="E1695">
        <v>0.53473859999999995</v>
      </c>
      <c r="F1695" t="s">
        <v>41</v>
      </c>
      <c r="G1695">
        <v>-191.13050000000001</v>
      </c>
      <c r="H1695">
        <v>1.028713</v>
      </c>
      <c r="I1695">
        <v>341.45499999999998</v>
      </c>
      <c r="J1695">
        <v>-191.11109999999999</v>
      </c>
      <c r="K1695">
        <v>1.1082110000000001</v>
      </c>
      <c r="L1695">
        <v>341.99009999999998</v>
      </c>
      <c r="M1695">
        <v>1.166086E-2</v>
      </c>
      <c r="N1695">
        <v>-6.5407919999999897E-3</v>
      </c>
      <c r="O1695">
        <v>-0.99991059999999998</v>
      </c>
      <c r="P1695">
        <v>3.3050879999999998E-2</v>
      </c>
      <c r="Q1695">
        <v>0.37063040000000003</v>
      </c>
      <c r="R1695">
        <v>-0.92819240000000003</v>
      </c>
      <c r="S1695">
        <v>-7.7438350000000003E-2</v>
      </c>
      <c r="T1695">
        <v>-0.33831359999999999</v>
      </c>
      <c r="U1695">
        <v>-3.3694459999999999</v>
      </c>
      <c r="V1695">
        <v>-2.0532040000000001E-2</v>
      </c>
      <c r="W1695">
        <v>0.37679190000000001</v>
      </c>
      <c r="X1695">
        <v>0.92607039999999996</v>
      </c>
      <c r="Y1695">
        <v>3.4520519999999999E-2</v>
      </c>
      <c r="Z1695">
        <v>9.3339870000000005E-2</v>
      </c>
      <c r="AA1695">
        <v>0.99503569999999997</v>
      </c>
      <c r="AB1695">
        <v>28</v>
      </c>
      <c r="AC1695">
        <v>-1.9400000000018701E-2</v>
      </c>
      <c r="AD1695">
        <v>-7.9497999999999999E-2</v>
      </c>
      <c r="AE1695">
        <v>-0.53509999999999902</v>
      </c>
      <c r="AF1695">
        <v>2.5085577621019099E-2</v>
      </c>
      <c r="AG1695">
        <v>-7.9497999999999999E-2</v>
      </c>
      <c r="AH1695">
        <v>0.52330220546004602</v>
      </c>
      <c r="AI1695">
        <v>98.628341987698207</v>
      </c>
      <c r="AJ1695">
        <v>87.255508820000898</v>
      </c>
      <c r="AK1695">
        <v>0.52990038351366497</v>
      </c>
      <c r="AL1695">
        <v>67.864894433159094</v>
      </c>
      <c r="AM1695">
        <v>91.270104882780601</v>
      </c>
      <c r="AN1695">
        <v>1.00000004316416</v>
      </c>
    </row>
    <row r="1696" spans="1:40" x14ac:dyDescent="0.25">
      <c r="A1696" t="str">
        <f>"20190304164848194"</f>
        <v>20190304164848194</v>
      </c>
      <c r="B1696" t="str">
        <f>"1551689328188111"</f>
        <v>1551689328188111</v>
      </c>
      <c r="C1696" t="s">
        <v>40</v>
      </c>
      <c r="D1696">
        <v>4.7219980000000001</v>
      </c>
      <c r="E1696">
        <v>0.53466669999999905</v>
      </c>
      <c r="F1696" t="s">
        <v>41</v>
      </c>
      <c r="G1696">
        <v>-191.1293</v>
      </c>
      <c r="H1696">
        <v>1.0299510000000001</v>
      </c>
      <c r="I1696">
        <v>341.20490000000001</v>
      </c>
      <c r="J1696">
        <v>-191.11009999999999</v>
      </c>
      <c r="K1696">
        <v>1.1083400000000001</v>
      </c>
      <c r="L1696">
        <v>341.68729999999999</v>
      </c>
      <c r="M1696">
        <v>9.2081730000000001E-3</v>
      </c>
      <c r="N1696">
        <v>-6.5203429999999996E-3</v>
      </c>
      <c r="O1696">
        <v>-0.9999363</v>
      </c>
      <c r="P1696">
        <v>3.3440190000000002E-2</v>
      </c>
      <c r="Q1696">
        <v>0.37088779999999999</v>
      </c>
      <c r="R1696">
        <v>-0.92807550000000005</v>
      </c>
      <c r="S1696">
        <v>-7.7362059999999996E-2</v>
      </c>
      <c r="T1696">
        <v>-0.33604279999999997</v>
      </c>
      <c r="U1696">
        <v>-3.369049</v>
      </c>
      <c r="V1696">
        <v>-2.332161E-2</v>
      </c>
      <c r="W1696">
        <v>0.37703340000000002</v>
      </c>
      <c r="X1696">
        <v>0.92590600000000001</v>
      </c>
      <c r="Y1696">
        <v>3.2051490000000002E-2</v>
      </c>
      <c r="Z1696">
        <v>9.2715889999999995E-2</v>
      </c>
      <c r="AA1696">
        <v>0.99517659999999997</v>
      </c>
      <c r="AB1696">
        <v>28</v>
      </c>
      <c r="AC1696">
        <v>-1.9200000000011999E-2</v>
      </c>
      <c r="AD1696">
        <v>-7.8388999999999806E-2</v>
      </c>
      <c r="AE1696">
        <v>-0.48239999999998401</v>
      </c>
      <c r="AF1696">
        <v>2.3034038173280501E-2</v>
      </c>
      <c r="AG1696">
        <v>-7.8388999999999806E-2</v>
      </c>
      <c r="AH1696">
        <v>0.46981658989264102</v>
      </c>
      <c r="AI1696">
        <v>99.461395729097902</v>
      </c>
      <c r="AJ1696">
        <v>87.193165832663297</v>
      </c>
      <c r="AK1696">
        <v>0.47686793808550199</v>
      </c>
      <c r="AL1696">
        <v>67.849954786695704</v>
      </c>
      <c r="AM1696">
        <v>91.442854189120894</v>
      </c>
      <c r="AN1696">
        <v>1.0000000015222701</v>
      </c>
    </row>
    <row r="1697" spans="1:40" x14ac:dyDescent="0.25">
      <c r="A1697" t="str">
        <f>"20190304164848216"</f>
        <v>20190304164848216</v>
      </c>
      <c r="B1697" t="str">
        <f>"1551689328207631"</f>
        <v>1551689328207631</v>
      </c>
      <c r="C1697" t="s">
        <v>40</v>
      </c>
      <c r="D1697">
        <v>5.2726730000000002</v>
      </c>
      <c r="E1697">
        <v>0.53463159999999998</v>
      </c>
      <c r="F1697" t="s">
        <v>41</v>
      </c>
      <c r="G1697">
        <v>-191.12700000000001</v>
      </c>
      <c r="H1697">
        <v>1.035334</v>
      </c>
      <c r="I1697">
        <v>340.952</v>
      </c>
      <c r="J1697">
        <v>-191.10980000000001</v>
      </c>
      <c r="K1697">
        <v>1.1084240000000001</v>
      </c>
      <c r="L1697">
        <v>341.41219999999998</v>
      </c>
      <c r="M1697">
        <v>7.1209560000000003E-3</v>
      </c>
      <c r="N1697">
        <v>-6.5054669999999896E-3</v>
      </c>
      <c r="O1697">
        <v>-0.99995350000000005</v>
      </c>
      <c r="P1697">
        <v>3.3523339999999999E-2</v>
      </c>
      <c r="Q1697">
        <v>0.37075049999999998</v>
      </c>
      <c r="R1697">
        <v>-0.92812729999999999</v>
      </c>
      <c r="S1697">
        <v>-7.7499390000000001E-2</v>
      </c>
      <c r="T1697">
        <v>-0.3343796</v>
      </c>
      <c r="U1697">
        <v>-3.3689580000000001</v>
      </c>
      <c r="V1697">
        <v>-2.5426089999999998E-2</v>
      </c>
      <c r="W1697">
        <v>0.37688509999999997</v>
      </c>
      <c r="X1697">
        <v>0.92591100000000004</v>
      </c>
      <c r="Y1697">
        <v>3.0008110000000001E-2</v>
      </c>
      <c r="Z1697">
        <v>9.2252609999999999E-2</v>
      </c>
      <c r="AA1697">
        <v>0.99528340000000004</v>
      </c>
      <c r="AB1697">
        <v>28</v>
      </c>
      <c r="AC1697">
        <v>-1.7200000000002501E-2</v>
      </c>
      <c r="AD1697">
        <v>-7.3090000000000099E-2</v>
      </c>
      <c r="AE1697">
        <v>-0.46019999999998601</v>
      </c>
      <c r="AF1697">
        <v>1.9973576315464502E-2</v>
      </c>
      <c r="AG1697">
        <v>-7.3090000000000099E-2</v>
      </c>
      <c r="AH1697">
        <v>0.44876184246752898</v>
      </c>
      <c r="AI1697">
        <v>99.241567761114894</v>
      </c>
      <c r="AJ1697">
        <v>87.451550611234396</v>
      </c>
      <c r="AK1697">
        <v>0.45511348376606198</v>
      </c>
      <c r="AL1697">
        <v>67.859128980931899</v>
      </c>
      <c r="AM1697">
        <v>91.572982312772396</v>
      </c>
      <c r="AN1697">
        <v>1.00000002228784</v>
      </c>
    </row>
    <row r="1698" spans="1:40" x14ac:dyDescent="0.25">
      <c r="A1698" t="str">
        <f>"20190304164848239"</f>
        <v>20190304164848239</v>
      </c>
      <c r="B1698" t="str">
        <f>"1551689328228127"</f>
        <v>1551689328228127</v>
      </c>
      <c r="C1698" t="s">
        <v>40</v>
      </c>
      <c r="D1698">
        <v>4.6872109999999996</v>
      </c>
      <c r="E1698">
        <v>0.53465750000000001</v>
      </c>
      <c r="F1698" t="s">
        <v>41</v>
      </c>
      <c r="G1698">
        <v>-191.13229999999999</v>
      </c>
      <c r="H1698">
        <v>1.014332</v>
      </c>
      <c r="I1698">
        <v>340.45920000000001</v>
      </c>
      <c r="J1698">
        <v>-191.11009999999999</v>
      </c>
      <c r="K1698">
        <v>1.108484</v>
      </c>
      <c r="L1698">
        <v>341.12180000000001</v>
      </c>
      <c r="M1698">
        <v>5.0126270000000004E-3</v>
      </c>
      <c r="N1698">
        <v>-6.4933339999999999E-3</v>
      </c>
      <c r="O1698">
        <v>-0.99996649999999998</v>
      </c>
      <c r="P1698">
        <v>3.4506080000000001E-2</v>
      </c>
      <c r="Q1698">
        <v>0.37020649999999999</v>
      </c>
      <c r="R1698">
        <v>-0.92830849999999998</v>
      </c>
      <c r="S1698">
        <v>-7.9483029999999996E-2</v>
      </c>
      <c r="T1698">
        <v>-0.33262219999999998</v>
      </c>
      <c r="U1698">
        <v>-3.3680110000000001</v>
      </c>
      <c r="V1698">
        <v>-2.8421789999999999E-2</v>
      </c>
      <c r="W1698">
        <v>0.37633810000000001</v>
      </c>
      <c r="X1698">
        <v>0.92604629999999999</v>
      </c>
      <c r="Y1698">
        <v>2.8494539999999999E-2</v>
      </c>
      <c r="Z1698">
        <v>9.1781390000000004E-2</v>
      </c>
      <c r="AA1698">
        <v>0.99537140000000002</v>
      </c>
      <c r="AB1698">
        <v>28</v>
      </c>
      <c r="AC1698">
        <v>-2.2199999999997999E-2</v>
      </c>
      <c r="AD1698">
        <v>-9.4152E-2</v>
      </c>
      <c r="AE1698">
        <v>-0.66259999999999697</v>
      </c>
      <c r="AF1698">
        <v>2.5016615020892599E-2</v>
      </c>
      <c r="AG1698">
        <v>-9.4152E-2</v>
      </c>
      <c r="AH1698">
        <v>0.64938344146100502</v>
      </c>
      <c r="AI1698">
        <v>98.2436134961644</v>
      </c>
      <c r="AJ1698">
        <v>87.793848849508805</v>
      </c>
      <c r="AK1698">
        <v>0.65665004696173002</v>
      </c>
      <c r="AL1698">
        <v>67.892959237460701</v>
      </c>
      <c r="AM1698">
        <v>91.757944052013002</v>
      </c>
      <c r="AN1698">
        <v>0.99999995670105102</v>
      </c>
    </row>
    <row r="1699" spans="1:40" x14ac:dyDescent="0.25">
      <c r="A1699" t="str">
        <f>"20190304164848260"</f>
        <v>20190304164848260</v>
      </c>
      <c r="B1699" t="str">
        <f>"1551689328247650"</f>
        <v>1551689328247650</v>
      </c>
      <c r="C1699" t="s">
        <v>40</v>
      </c>
      <c r="D1699">
        <v>4.7006480000000002</v>
      </c>
      <c r="E1699">
        <v>0.53467659999999995</v>
      </c>
      <c r="F1699" t="s">
        <v>41</v>
      </c>
      <c r="G1699">
        <v>-191.13159999999999</v>
      </c>
      <c r="H1699">
        <v>1.0175110000000001</v>
      </c>
      <c r="I1699">
        <v>340.20490000000001</v>
      </c>
      <c r="J1699">
        <v>-191.11060000000001</v>
      </c>
      <c r="K1699">
        <v>1.1085149999999999</v>
      </c>
      <c r="L1699">
        <v>340.86579999999998</v>
      </c>
      <c r="M1699">
        <v>3.1997369999999998E-3</v>
      </c>
      <c r="N1699">
        <v>-6.4862309999999899E-3</v>
      </c>
      <c r="O1699">
        <v>-0.99997389999999997</v>
      </c>
      <c r="P1699">
        <v>3.5863199999999998E-2</v>
      </c>
      <c r="Q1699">
        <v>0.37072440000000001</v>
      </c>
      <c r="R1699">
        <v>-0.9280505</v>
      </c>
      <c r="S1699">
        <v>-7.8521729999999998E-2</v>
      </c>
      <c r="T1699">
        <v>-0.33436670000000002</v>
      </c>
      <c r="U1699">
        <v>-3.3679809999999999</v>
      </c>
      <c r="V1699">
        <v>-3.1485159999999998E-2</v>
      </c>
      <c r="W1699">
        <v>0.37685679999999999</v>
      </c>
      <c r="X1699">
        <v>0.92573620000000001</v>
      </c>
      <c r="Y1699">
        <v>2.6398089999999999E-2</v>
      </c>
      <c r="Z1699">
        <v>9.2304330000000004E-2</v>
      </c>
      <c r="AA1699">
        <v>0.99538090000000001</v>
      </c>
      <c r="AB1699">
        <v>28</v>
      </c>
      <c r="AC1699">
        <v>-2.0999999999986502E-2</v>
      </c>
      <c r="AD1699">
        <v>-9.1003999999999793E-2</v>
      </c>
      <c r="AE1699">
        <v>-0.66089999999996896</v>
      </c>
      <c r="AF1699">
        <v>2.2684959029034401E-2</v>
      </c>
      <c r="AG1699">
        <v>-9.1003999999999793E-2</v>
      </c>
      <c r="AH1699">
        <v>0.64854509345923295</v>
      </c>
      <c r="AI1699">
        <v>97.9827861194332</v>
      </c>
      <c r="AJ1699">
        <v>87.996711808502894</v>
      </c>
      <c r="AK1699">
        <v>0.65529159435490603</v>
      </c>
      <c r="AL1699">
        <v>67.860877550050702</v>
      </c>
      <c r="AM1699">
        <v>91.947932566148694</v>
      </c>
      <c r="AN1699">
        <v>0.99999993749844995</v>
      </c>
    </row>
    <row r="1700" spans="1:40" x14ac:dyDescent="0.25">
      <c r="A1700" t="str">
        <f>"20190304164848285"</f>
        <v>20190304164848285</v>
      </c>
      <c r="B1700" t="str">
        <f>"1551689328277903"</f>
        <v>1551689328277903</v>
      </c>
      <c r="C1700" t="s">
        <v>40</v>
      </c>
      <c r="D1700">
        <v>4.7070030000000003</v>
      </c>
      <c r="E1700">
        <v>0.5346166</v>
      </c>
      <c r="F1700" t="s">
        <v>41</v>
      </c>
      <c r="G1700">
        <v>-191.13130000000001</v>
      </c>
      <c r="H1700">
        <v>1.018232</v>
      </c>
      <c r="I1700">
        <v>339.95100000000002</v>
      </c>
      <c r="J1700">
        <v>-191.1121</v>
      </c>
      <c r="K1700">
        <v>1.1085210000000001</v>
      </c>
      <c r="L1700">
        <v>340.54070000000002</v>
      </c>
      <c r="M1700">
        <v>9.2862939999999996E-4</v>
      </c>
      <c r="N1700">
        <v>-6.4882569999999999E-3</v>
      </c>
      <c r="O1700">
        <v>-0.99997849999999999</v>
      </c>
      <c r="P1700">
        <v>3.7257270000000002E-2</v>
      </c>
      <c r="Q1700">
        <v>0.37061939999999999</v>
      </c>
      <c r="R1700">
        <v>-0.92803740000000001</v>
      </c>
      <c r="S1700">
        <v>-7.6019290000000003E-2</v>
      </c>
      <c r="T1700">
        <v>-0.33240799999999998</v>
      </c>
      <c r="U1700">
        <v>-3.3682859999999999</v>
      </c>
      <c r="V1700">
        <v>-3.4994329999999997E-2</v>
      </c>
      <c r="W1700">
        <v>0.37676579999999998</v>
      </c>
      <c r="X1700">
        <v>0.92564729999999995</v>
      </c>
      <c r="Y1700">
        <v>2.3388679999999998E-2</v>
      </c>
      <c r="Z1700">
        <v>9.1725580000000001E-2</v>
      </c>
      <c r="AA1700">
        <v>0.99550959999999999</v>
      </c>
      <c r="AB1700">
        <v>28</v>
      </c>
      <c r="AC1700">
        <v>-1.9200000000011999E-2</v>
      </c>
      <c r="AD1700">
        <v>-9.02889999999998E-2</v>
      </c>
      <c r="AE1700">
        <v>-0.58970000000004996</v>
      </c>
      <c r="AF1700">
        <v>1.9295750742866401E-2</v>
      </c>
      <c r="AG1700">
        <v>-9.02889999999998E-2</v>
      </c>
      <c r="AH1700">
        <v>0.57618880441007203</v>
      </c>
      <c r="AI1700">
        <v>98.900937079769406</v>
      </c>
      <c r="AJ1700">
        <v>88.081961923378799</v>
      </c>
      <c r="AK1700">
        <v>0.58353917421646995</v>
      </c>
      <c r="AL1700">
        <v>67.8665077665501</v>
      </c>
      <c r="AM1700">
        <v>92.165050353759199</v>
      </c>
      <c r="AN1700">
        <v>0.99999999758953895</v>
      </c>
    </row>
    <row r="1701" spans="1:40" x14ac:dyDescent="0.25">
      <c r="A1701" t="str">
        <f>"20190304164848307"</f>
        <v>20190304164848307</v>
      </c>
      <c r="B1701" t="str">
        <f>"1551689328297423"</f>
        <v>1551689328297423</v>
      </c>
      <c r="C1701" t="s">
        <v>40</v>
      </c>
      <c r="D1701">
        <v>4.6974019999999896</v>
      </c>
      <c r="E1701">
        <v>0.53441300000000003</v>
      </c>
      <c r="F1701" t="s">
        <v>41</v>
      </c>
      <c r="G1701">
        <v>-191.1301</v>
      </c>
      <c r="H1701">
        <v>1.0248440000000001</v>
      </c>
      <c r="I1701">
        <v>339.6934</v>
      </c>
      <c r="J1701">
        <v>-191.1139</v>
      </c>
      <c r="K1701">
        <v>1.108508</v>
      </c>
      <c r="L1701">
        <v>340.2638</v>
      </c>
      <c r="M1701">
        <v>-1.0020280000000001E-3</v>
      </c>
      <c r="N1701">
        <v>-6.5024649999999998E-3</v>
      </c>
      <c r="O1701">
        <v>-0.99997860000000005</v>
      </c>
      <c r="P1701">
        <v>3.736917E-2</v>
      </c>
      <c r="Q1701">
        <v>0.36997590000000002</v>
      </c>
      <c r="R1701">
        <v>-0.9282897</v>
      </c>
      <c r="S1701">
        <v>-7.1060180000000001E-2</v>
      </c>
      <c r="T1701">
        <v>-0.33273730000000001</v>
      </c>
      <c r="U1701">
        <v>-3.368347</v>
      </c>
      <c r="V1701">
        <v>-3.6895629999999999E-2</v>
      </c>
      <c r="W1701">
        <v>0.3761446</v>
      </c>
      <c r="X1701">
        <v>0.92582609999999999</v>
      </c>
      <c r="Y1701">
        <v>1.999399E-2</v>
      </c>
      <c r="Z1701">
        <v>9.1811400000000001E-2</v>
      </c>
      <c r="AA1701">
        <v>0.99557569999999995</v>
      </c>
      <c r="AB1701">
        <v>28</v>
      </c>
      <c r="AC1701">
        <v>-1.6199999999997699E-2</v>
      </c>
      <c r="AD1701">
        <v>-8.3663999999999905E-2</v>
      </c>
      <c r="AE1701">
        <v>-0.57040000000000601</v>
      </c>
      <c r="AF1701">
        <v>1.52995364467155E-2</v>
      </c>
      <c r="AG1701">
        <v>-8.3663999999999905E-2</v>
      </c>
      <c r="AH1701">
        <v>0.55841203452916099</v>
      </c>
      <c r="AI1701">
        <v>98.5178013978731</v>
      </c>
      <c r="AJ1701">
        <v>88.4305860780225</v>
      </c>
      <c r="AK1701">
        <v>0.564851963808643</v>
      </c>
      <c r="AL1701">
        <v>67.904926393164203</v>
      </c>
      <c r="AM1701">
        <v>92.282119558606894</v>
      </c>
      <c r="AN1701">
        <v>1.0000000075317299</v>
      </c>
    </row>
    <row r="1702" spans="1:40" x14ac:dyDescent="0.25">
      <c r="A1702" t="str">
        <f>"20190304164848332"</f>
        <v>20190304164848332</v>
      </c>
      <c r="B1702" t="str">
        <f>"1551689328327679"</f>
        <v>1551689328327679</v>
      </c>
      <c r="C1702" t="s">
        <v>40</v>
      </c>
      <c r="D1702">
        <v>4.7573879999999997</v>
      </c>
      <c r="E1702">
        <v>0.53392980000000001</v>
      </c>
      <c r="F1702" t="s">
        <v>41</v>
      </c>
      <c r="G1702">
        <v>-191.1302</v>
      </c>
      <c r="H1702">
        <v>1.0261929999999999</v>
      </c>
      <c r="I1702">
        <v>339.4375</v>
      </c>
      <c r="J1702">
        <v>-191.11660000000001</v>
      </c>
      <c r="K1702">
        <v>1.108492</v>
      </c>
      <c r="L1702">
        <v>339.93979999999999</v>
      </c>
      <c r="M1702">
        <v>-3.270425E-3</v>
      </c>
      <c r="N1702">
        <v>-6.5370000000000003E-3</v>
      </c>
      <c r="O1702">
        <v>-0.99997320000000001</v>
      </c>
      <c r="P1702">
        <v>3.923186E-2</v>
      </c>
      <c r="Q1702">
        <v>0.36895289999999997</v>
      </c>
      <c r="R1702">
        <v>-0.92861990000000005</v>
      </c>
      <c r="S1702">
        <v>-6.622314E-2</v>
      </c>
      <c r="T1702">
        <v>-0.33567709999999901</v>
      </c>
      <c r="U1702">
        <v>-3.3682859999999999</v>
      </c>
      <c r="V1702">
        <v>-4.0857640000000001E-2</v>
      </c>
      <c r="W1702">
        <v>0.37517109999999998</v>
      </c>
      <c r="X1702">
        <v>0.92605470000000001</v>
      </c>
      <c r="Y1702">
        <v>1.6296809999999998E-2</v>
      </c>
      <c r="Z1702">
        <v>9.2643359999999994E-2</v>
      </c>
      <c r="AA1702">
        <v>0.99556599999999995</v>
      </c>
      <c r="AB1702">
        <v>28</v>
      </c>
      <c r="AC1702">
        <v>-1.35999999999967E-2</v>
      </c>
      <c r="AD1702">
        <v>-8.22989999999999E-2</v>
      </c>
      <c r="AE1702">
        <v>-0.50229999999999098</v>
      </c>
      <c r="AF1702">
        <v>1.16447828154172E-2</v>
      </c>
      <c r="AG1702">
        <v>-8.22989999999999E-2</v>
      </c>
      <c r="AH1702">
        <v>0.48921836549519299</v>
      </c>
      <c r="AI1702">
        <v>99.546546127457304</v>
      </c>
      <c r="AJ1702">
        <v>88.636455634381704</v>
      </c>
      <c r="AK1702">
        <v>0.49622911593900498</v>
      </c>
      <c r="AL1702">
        <v>67.965111843534601</v>
      </c>
      <c r="AM1702">
        <v>92.526258048158098</v>
      </c>
      <c r="AN1702">
        <v>1.00000000420683</v>
      </c>
    </row>
    <row r="1703" spans="1:40" x14ac:dyDescent="0.25">
      <c r="A1703" t="str">
        <f>"20190304164848350"</f>
        <v>20190304164848350</v>
      </c>
      <c r="B1703" t="str">
        <f>"1551689328337454"</f>
        <v>1551689328337454</v>
      </c>
      <c r="C1703" t="s">
        <v>40</v>
      </c>
      <c r="D1703">
        <v>4.7172400000000003</v>
      </c>
      <c r="E1703">
        <v>0.4807478</v>
      </c>
      <c r="F1703" t="s">
        <v>41</v>
      </c>
      <c r="G1703">
        <v>-191.1284</v>
      </c>
      <c r="H1703">
        <v>1.0322420000000001</v>
      </c>
      <c r="I1703">
        <v>339.17860000000002</v>
      </c>
      <c r="J1703">
        <v>-191.1189</v>
      </c>
      <c r="K1703">
        <v>1.108484</v>
      </c>
      <c r="L1703">
        <v>339.71480000000003</v>
      </c>
      <c r="M1703">
        <v>-4.8564960000000001E-3</v>
      </c>
      <c r="N1703">
        <v>-6.5741669999999997E-3</v>
      </c>
      <c r="O1703">
        <v>-0.99996680000000004</v>
      </c>
      <c r="P1703">
        <v>3.9669830000000003E-2</v>
      </c>
      <c r="Q1703">
        <v>0.36781160000000002</v>
      </c>
      <c r="R1703">
        <v>-0.92905409999999999</v>
      </c>
      <c r="S1703">
        <v>-5.1574710000000003E-2</v>
      </c>
      <c r="T1703">
        <v>-0.33747959999999999</v>
      </c>
      <c r="U1703">
        <v>-3.366943</v>
      </c>
      <c r="V1703">
        <v>-4.2766169999999999E-2</v>
      </c>
      <c r="W1703">
        <v>0.37407469999999998</v>
      </c>
      <c r="X1703">
        <v>0.92641200000000001</v>
      </c>
      <c r="Y1703">
        <v>1.038965E-2</v>
      </c>
      <c r="Z1703">
        <v>9.3179949999999998E-2</v>
      </c>
      <c r="AA1703">
        <v>0.99559509999999996</v>
      </c>
      <c r="AB1703">
        <v>28</v>
      </c>
      <c r="AC1703">
        <v>-9.5000000000027198E-3</v>
      </c>
      <c r="AD1703">
        <v>-7.6241999999999893E-2</v>
      </c>
      <c r="AE1703">
        <v>-0.536200000000008</v>
      </c>
      <c r="AF1703">
        <v>6.7591661468603898E-3</v>
      </c>
      <c r="AG1703">
        <v>-7.6241999999999893E-2</v>
      </c>
      <c r="AH1703">
        <v>0.52561631767399397</v>
      </c>
      <c r="AI1703">
        <v>98.252664534956395</v>
      </c>
      <c r="AJ1703">
        <v>89.263245194196301</v>
      </c>
      <c r="AK1703">
        <v>0.53116009102357298</v>
      </c>
      <c r="AL1703">
        <v>68.032865040897306</v>
      </c>
      <c r="AM1703">
        <v>92.643081791505907</v>
      </c>
      <c r="AN1703">
        <v>1.00000001011027</v>
      </c>
    </row>
    <row r="1704" spans="1:40" x14ac:dyDescent="0.25">
      <c r="A1704" t="str">
        <f>"20190304164848372"</f>
        <v>20190304164848372</v>
      </c>
      <c r="B1704" t="str">
        <f>"1551689328367696"</f>
        <v>1551689328367696</v>
      </c>
      <c r="C1704" t="s">
        <v>40</v>
      </c>
      <c r="D1704">
        <v>4.6804899999999998</v>
      </c>
      <c r="E1704">
        <v>0.48065740000000001</v>
      </c>
      <c r="F1704" t="s">
        <v>42</v>
      </c>
      <c r="G1704">
        <v>-189.34129999999999</v>
      </c>
      <c r="H1704" s="1">
        <v>-1.9149760000000001E-6</v>
      </c>
      <c r="I1704">
        <v>323.82429999999999</v>
      </c>
      <c r="J1704">
        <v>-191.1224</v>
      </c>
      <c r="K1704">
        <v>1.1084849999999999</v>
      </c>
      <c r="L1704">
        <v>339.42930000000001</v>
      </c>
      <c r="M1704">
        <v>-6.8783710000000003E-3</v>
      </c>
      <c r="N1704">
        <v>-6.6386800000000001E-3</v>
      </c>
      <c r="O1704">
        <v>-0.99995449999999997</v>
      </c>
      <c r="P1704">
        <v>3.9196700000000001E-2</v>
      </c>
      <c r="Q1704">
        <v>0.36651460000000002</v>
      </c>
      <c r="R1704">
        <v>-0.92958669999999999</v>
      </c>
      <c r="S1704">
        <v>0.36967470000000002</v>
      </c>
      <c r="T1704">
        <v>-0.23051920000000001</v>
      </c>
      <c r="U1704">
        <v>-3.3045650000000002</v>
      </c>
      <c r="V1704">
        <v>-4.4169239999999999E-2</v>
      </c>
      <c r="W1704">
        <v>0.37284679999999998</v>
      </c>
      <c r="X1704">
        <v>0.92684109999999997</v>
      </c>
      <c r="Y1704">
        <v>-0.11776059999999999</v>
      </c>
      <c r="Z1704">
        <v>6.2502810000000006E-2</v>
      </c>
      <c r="AA1704">
        <v>0.99107310000000004</v>
      </c>
      <c r="AB1704">
        <v>29</v>
      </c>
      <c r="AC1704">
        <v>1.7810999999999999</v>
      </c>
      <c r="AD1704">
        <v>-1.1084869149759999</v>
      </c>
      <c r="AE1704">
        <v>-15.605</v>
      </c>
      <c r="AF1704">
        <v>-1.87903778761305</v>
      </c>
      <c r="AG1704">
        <v>-1.1084869149759999</v>
      </c>
      <c r="AH1704">
        <v>15.5150994993945</v>
      </c>
      <c r="AI1704">
        <v>94.057046972261801</v>
      </c>
      <c r="AJ1704">
        <v>96.905475531865804</v>
      </c>
      <c r="AK1704">
        <v>15.6677324052992</v>
      </c>
      <c r="AL1704">
        <v>68.108706647297396</v>
      </c>
      <c r="AM1704">
        <v>92.728404945315901</v>
      </c>
      <c r="AN1704">
        <v>1.0000000413408101</v>
      </c>
    </row>
    <row r="1705" spans="1:40" x14ac:dyDescent="0.25">
      <c r="A1705" t="str">
        <f>"20190304164848397"</f>
        <v>20190304164848397</v>
      </c>
      <c r="B1705" t="str">
        <f>"1551689328387750"</f>
        <v>1551689328387750</v>
      </c>
      <c r="C1705" t="s">
        <v>40</v>
      </c>
      <c r="D1705">
        <v>4.673019</v>
      </c>
      <c r="E1705">
        <v>0.48109479999999999</v>
      </c>
      <c r="F1705" t="s">
        <v>42</v>
      </c>
      <c r="G1705">
        <v>-189.5685</v>
      </c>
      <c r="H1705" s="1">
        <v>-2.6481359999999998E-6</v>
      </c>
      <c r="I1705">
        <v>325.62720000000002</v>
      </c>
      <c r="J1705">
        <v>-191.12700000000001</v>
      </c>
      <c r="K1705">
        <v>1.1085</v>
      </c>
      <c r="L1705">
        <v>339.11399999999998</v>
      </c>
      <c r="M1705">
        <v>-9.1165310000000006E-3</v>
      </c>
      <c r="N1705">
        <v>-6.741787E-3</v>
      </c>
      <c r="O1705">
        <v>-0.99993600000000005</v>
      </c>
      <c r="P1705">
        <v>3.7835590000000002E-2</v>
      </c>
      <c r="Q1705">
        <v>0.3654773</v>
      </c>
      <c r="R1705">
        <v>-0.93005150000000003</v>
      </c>
      <c r="S1705">
        <v>0.3733978</v>
      </c>
      <c r="T1705">
        <v>-0.26636169999999998</v>
      </c>
      <c r="U1705">
        <v>-3.3165279999999999</v>
      </c>
      <c r="V1705">
        <v>-4.4885649999999999E-2</v>
      </c>
      <c r="W1705">
        <v>0.37191170000000001</v>
      </c>
      <c r="X1705">
        <v>0.92718230000000001</v>
      </c>
      <c r="Y1705">
        <v>-0.120603</v>
      </c>
      <c r="Z1705">
        <v>7.2783399999999998E-2</v>
      </c>
      <c r="AA1705">
        <v>0.99002900000000005</v>
      </c>
      <c r="AB1705">
        <v>29</v>
      </c>
      <c r="AC1705">
        <v>1.5585</v>
      </c>
      <c r="AD1705">
        <v>-1.1085026481360001</v>
      </c>
      <c r="AE1705">
        <v>-13.486800000000001</v>
      </c>
      <c r="AF1705">
        <v>-1.67025614134483</v>
      </c>
      <c r="AG1705">
        <v>-1.1085026481360001</v>
      </c>
      <c r="AH1705">
        <v>13.382815204817501</v>
      </c>
      <c r="AI1705">
        <v>94.698729330870293</v>
      </c>
      <c r="AJ1705">
        <v>97.114073849220901</v>
      </c>
      <c r="AK1705">
        <v>13.5321201777444</v>
      </c>
      <c r="AL1705">
        <v>68.1664354159618</v>
      </c>
      <c r="AM1705">
        <v>92.771571526471405</v>
      </c>
      <c r="AN1705">
        <v>1.0000000258030499</v>
      </c>
    </row>
    <row r="1706" spans="1:40" x14ac:dyDescent="0.25">
      <c r="A1706" t="str">
        <f>"20190304164848419"</f>
        <v>20190304164848419</v>
      </c>
      <c r="B1706" t="str">
        <f>"1551689328407268"</f>
        <v>1551689328407268</v>
      </c>
      <c r="C1706" t="s">
        <v>40</v>
      </c>
      <c r="D1706">
        <v>4.6730879999999999</v>
      </c>
      <c r="E1706">
        <v>0.4813308</v>
      </c>
      <c r="F1706" t="s">
        <v>42</v>
      </c>
      <c r="G1706">
        <v>-189.64680000000001</v>
      </c>
      <c r="H1706" s="1">
        <v>-2.6785779999999999E-6</v>
      </c>
      <c r="I1706">
        <v>325.73059999999998</v>
      </c>
      <c r="J1706">
        <v>-191.1318</v>
      </c>
      <c r="K1706">
        <v>1.108519</v>
      </c>
      <c r="L1706">
        <v>338.82130000000001</v>
      </c>
      <c r="M1706">
        <v>-1.118859E-2</v>
      </c>
      <c r="N1706">
        <v>-6.8741230000000002E-3</v>
      </c>
      <c r="O1706">
        <v>-0.99991410000000003</v>
      </c>
      <c r="P1706">
        <v>3.6212109999999999E-2</v>
      </c>
      <c r="Q1706">
        <v>0.36471199999999998</v>
      </c>
      <c r="R1706">
        <v>-0.93041629999999997</v>
      </c>
      <c r="S1706">
        <v>0.3670349</v>
      </c>
      <c r="T1706">
        <v>-0.27487089999999997</v>
      </c>
      <c r="U1706">
        <v>-3.3186339999999999</v>
      </c>
      <c r="V1706">
        <v>-4.5189E-2</v>
      </c>
      <c r="W1706">
        <v>0.37127280000000001</v>
      </c>
      <c r="X1706">
        <v>0.92742349999999996</v>
      </c>
      <c r="Y1706">
        <v>-0.1206943</v>
      </c>
      <c r="Z1706">
        <v>7.5129189999999998E-2</v>
      </c>
      <c r="AA1706">
        <v>0.98984269999999996</v>
      </c>
      <c r="AB1706">
        <v>29</v>
      </c>
      <c r="AC1706">
        <v>1.4849999999999799</v>
      </c>
      <c r="AD1706">
        <v>-1.1085216785780001</v>
      </c>
      <c r="AE1706">
        <v>-13.0907</v>
      </c>
      <c r="AF1706">
        <v>-1.61990860392624</v>
      </c>
      <c r="AG1706">
        <v>-1.1085216785780001</v>
      </c>
      <c r="AH1706">
        <v>12.9813620820502</v>
      </c>
      <c r="AI1706">
        <v>94.843452089201307</v>
      </c>
      <c r="AJ1706">
        <v>97.113014449458802</v>
      </c>
      <c r="AK1706">
        <v>13.1289255349492</v>
      </c>
      <c r="AL1706">
        <v>68.205863108346406</v>
      </c>
      <c r="AM1706">
        <v>92.789548558536097</v>
      </c>
      <c r="AN1706">
        <v>0.99999994304654305</v>
      </c>
    </row>
    <row r="1707" spans="1:40" x14ac:dyDescent="0.25">
      <c r="A1707" t="str">
        <f>"20190304164848441"</f>
        <v>20190304164848441</v>
      </c>
      <c r="B1707" t="str">
        <f>"1551689328437524"</f>
        <v>1551689328437524</v>
      </c>
      <c r="C1707" t="s">
        <v>40</v>
      </c>
      <c r="D1707">
        <v>4.625699</v>
      </c>
      <c r="E1707">
        <v>0.48171130000000001</v>
      </c>
      <c r="F1707" t="s">
        <v>42</v>
      </c>
      <c r="G1707">
        <v>-189.69460000000001</v>
      </c>
      <c r="H1707" s="1">
        <v>-2.59814E-6</v>
      </c>
      <c r="I1707">
        <v>325.56279999999998</v>
      </c>
      <c r="J1707">
        <v>-191.1369</v>
      </c>
      <c r="K1707">
        <v>1.108535</v>
      </c>
      <c r="L1707">
        <v>338.54669999999999</v>
      </c>
      <c r="M1707">
        <v>-1.312381E-2</v>
      </c>
      <c r="N1707">
        <v>-7.014798E-3</v>
      </c>
      <c r="O1707">
        <v>-0.99988929999999998</v>
      </c>
      <c r="P1707">
        <v>3.4468430000000001E-2</v>
      </c>
      <c r="Q1707">
        <v>0.36381019999999997</v>
      </c>
      <c r="R1707">
        <v>-0.93083490000000002</v>
      </c>
      <c r="S1707">
        <v>0.35980220000000002</v>
      </c>
      <c r="T1707">
        <v>-0.27750639999999999</v>
      </c>
      <c r="U1707">
        <v>-3.3191220000000001</v>
      </c>
      <c r="V1707">
        <v>-4.5250819999999997E-2</v>
      </c>
      <c r="W1707">
        <v>0.37050509999999998</v>
      </c>
      <c r="X1707">
        <v>0.92772750000000004</v>
      </c>
      <c r="Y1707">
        <v>-0.1204619</v>
      </c>
      <c r="Z1707">
        <v>7.576521E-2</v>
      </c>
      <c r="AA1707">
        <v>0.98982250000000005</v>
      </c>
      <c r="AB1707">
        <v>29</v>
      </c>
      <c r="AC1707">
        <v>1.4422999999999799</v>
      </c>
      <c r="AD1707">
        <v>-1.1085375981399901</v>
      </c>
      <c r="AE1707">
        <v>-12.9839</v>
      </c>
      <c r="AF1707">
        <v>-1.6010498033532701</v>
      </c>
      <c r="AG1707">
        <v>-1.1085375981399901</v>
      </c>
      <c r="AH1707">
        <v>12.8711735852253</v>
      </c>
      <c r="AI1707">
        <v>94.885023020682297</v>
      </c>
      <c r="AJ1707">
        <v>97.090620861471706</v>
      </c>
      <c r="AK1707">
        <v>13.0176543793538</v>
      </c>
      <c r="AL1707">
        <v>68.253228297358902</v>
      </c>
      <c r="AM1707">
        <v>92.792444824707502</v>
      </c>
      <c r="AN1707">
        <v>0.999999990046466</v>
      </c>
    </row>
    <row r="1708" spans="1:40" x14ac:dyDescent="0.25">
      <c r="A1708" t="str">
        <f>"20190304164848461"</f>
        <v>20190304164848461</v>
      </c>
      <c r="B1708" t="str">
        <f>"1551689328458020"</f>
        <v>1551689328458020</v>
      </c>
      <c r="C1708" t="s">
        <v>40</v>
      </c>
      <c r="D1708">
        <v>4.6142459999999996</v>
      </c>
      <c r="E1708">
        <v>0.48194599999999999</v>
      </c>
      <c r="F1708" t="s">
        <v>42</v>
      </c>
      <c r="G1708">
        <v>-189.7492</v>
      </c>
      <c r="H1708" s="1">
        <v>-2.5263019999999999E-6</v>
      </c>
      <c r="I1708">
        <v>325.41789999999997</v>
      </c>
      <c r="J1708">
        <v>-191.14240000000001</v>
      </c>
      <c r="K1708">
        <v>1.1085659999999999</v>
      </c>
      <c r="L1708">
        <v>338.27569999999997</v>
      </c>
      <c r="M1708">
        <v>-1.5009420000000001E-2</v>
      </c>
      <c r="N1708">
        <v>-7.1825459999999997E-3</v>
      </c>
      <c r="O1708">
        <v>-0.99986180000000002</v>
      </c>
      <c r="P1708">
        <v>3.2240039999999998E-2</v>
      </c>
      <c r="Q1708">
        <v>0.36296020000000001</v>
      </c>
      <c r="R1708">
        <v>-0.93124700000000005</v>
      </c>
      <c r="S1708">
        <v>0.35087590000000002</v>
      </c>
      <c r="T1708">
        <v>-0.28028189999999997</v>
      </c>
      <c r="U1708">
        <v>-3.319458</v>
      </c>
      <c r="V1708">
        <v>-4.4788590000000003E-2</v>
      </c>
      <c r="W1708">
        <v>0.3698109</v>
      </c>
      <c r="X1708">
        <v>0.92802689999999999</v>
      </c>
      <c r="Y1708">
        <v>-0.11968520000000001</v>
      </c>
      <c r="Z1708">
        <v>7.64238E-2</v>
      </c>
      <c r="AA1708">
        <v>0.98986609999999997</v>
      </c>
      <c r="AB1708">
        <v>29</v>
      </c>
      <c r="AC1708">
        <v>1.3932</v>
      </c>
      <c r="AD1708">
        <v>-1.108568526302</v>
      </c>
      <c r="AE1708">
        <v>-12.8577999999999</v>
      </c>
      <c r="AF1708">
        <v>-1.5744681520992101</v>
      </c>
      <c r="AG1708">
        <v>-1.108568526302</v>
      </c>
      <c r="AH1708">
        <v>12.741822998276399</v>
      </c>
      <c r="AI1708">
        <v>94.935001141913006</v>
      </c>
      <c r="AJ1708">
        <v>97.044157384103499</v>
      </c>
      <c r="AK1708">
        <v>12.886501754117999</v>
      </c>
      <c r="AL1708">
        <v>68.296045060118104</v>
      </c>
      <c r="AM1708">
        <v>92.763074572745097</v>
      </c>
      <c r="AN1708">
        <v>1.0000000233383</v>
      </c>
    </row>
    <row r="1709" spans="1:40" x14ac:dyDescent="0.25">
      <c r="A1709" t="str">
        <f>"20190304164848475"</f>
        <v>20190304164848475</v>
      </c>
      <c r="B1709" t="str">
        <f>"1551689328467780"</f>
        <v>1551689328467780</v>
      </c>
      <c r="C1709" t="s">
        <v>40</v>
      </c>
      <c r="D1709">
        <v>4.595002</v>
      </c>
      <c r="E1709">
        <v>0.48199150000000002</v>
      </c>
      <c r="F1709" t="s">
        <v>42</v>
      </c>
      <c r="G1709">
        <v>-189.79929999999999</v>
      </c>
      <c r="H1709" s="1">
        <v>-2.465456E-6</v>
      </c>
      <c r="I1709">
        <v>325.29680000000002</v>
      </c>
      <c r="J1709">
        <v>-191.1465</v>
      </c>
      <c r="K1709">
        <v>1.108589</v>
      </c>
      <c r="L1709">
        <v>338.09010000000001</v>
      </c>
      <c r="M1709">
        <v>-1.6284280000000002E-2</v>
      </c>
      <c r="N1709">
        <v>-7.319725E-3</v>
      </c>
      <c r="O1709">
        <v>-0.99984070000000003</v>
      </c>
      <c r="P1709">
        <v>3.078902E-2</v>
      </c>
      <c r="Q1709">
        <v>0.36284070000000002</v>
      </c>
      <c r="R1709">
        <v>-0.93134240000000001</v>
      </c>
      <c r="S1709">
        <v>0.3435822</v>
      </c>
      <c r="T1709">
        <v>-0.2835857</v>
      </c>
      <c r="U1709">
        <v>-3.32016</v>
      </c>
      <c r="V1709">
        <v>-4.4532259999999997E-2</v>
      </c>
      <c r="W1709">
        <v>0.36981710000000001</v>
      </c>
      <c r="X1709">
        <v>0.92803670000000005</v>
      </c>
      <c r="Y1709">
        <v>-0.1187705</v>
      </c>
      <c r="Z1709">
        <v>7.7259399999999895E-2</v>
      </c>
      <c r="AA1709">
        <v>0.9899114</v>
      </c>
      <c r="AB1709">
        <v>29</v>
      </c>
      <c r="AC1709">
        <v>1.3472000000000099</v>
      </c>
      <c r="AD1709">
        <v>-1.1085914654560001</v>
      </c>
      <c r="AE1709">
        <v>-12.793299999999901</v>
      </c>
      <c r="AF1709">
        <v>-1.5438907794079599</v>
      </c>
      <c r="AG1709">
        <v>-1.1085914654560001</v>
      </c>
      <c r="AH1709">
        <v>12.6755290421056</v>
      </c>
      <c r="AI1709">
        <v>94.961838962597298</v>
      </c>
      <c r="AJ1709">
        <v>96.944470559316699</v>
      </c>
      <c r="AK1709">
        <v>12.817238792863501</v>
      </c>
      <c r="AL1709">
        <v>68.295661346637701</v>
      </c>
      <c r="AM1709">
        <v>92.747256524374293</v>
      </c>
      <c r="AN1709">
        <v>0.99999996309000305</v>
      </c>
    </row>
    <row r="1710" spans="1:40" x14ac:dyDescent="0.25">
      <c r="A1710" t="str">
        <f>"20190304164848497"</f>
        <v>20190304164848497</v>
      </c>
      <c r="B1710" t="str">
        <f>"1551689328487822"</f>
        <v>1551689328487822</v>
      </c>
      <c r="C1710" t="s">
        <v>40</v>
      </c>
      <c r="D1710">
        <v>4.5670029999999997</v>
      </c>
      <c r="E1710">
        <v>0.48209999999999997</v>
      </c>
      <c r="F1710" t="s">
        <v>42</v>
      </c>
      <c r="G1710">
        <v>-189.81909999999999</v>
      </c>
      <c r="H1710" s="1">
        <v>-2.3775859999999999E-6</v>
      </c>
      <c r="I1710">
        <v>325.10019999999997</v>
      </c>
      <c r="J1710">
        <v>-191.15309999999999</v>
      </c>
      <c r="K1710">
        <v>1.1086549999999999</v>
      </c>
      <c r="L1710">
        <v>337.80779999999999</v>
      </c>
      <c r="M1710">
        <v>-1.8171400000000001E-2</v>
      </c>
      <c r="N1710">
        <v>-7.590126E-3</v>
      </c>
      <c r="O1710">
        <v>-0.99980619999999998</v>
      </c>
      <c r="P1710">
        <v>2.8956200000000001E-2</v>
      </c>
      <c r="Q1710">
        <v>0.3615739</v>
      </c>
      <c r="R1710">
        <v>-0.93189390000000005</v>
      </c>
      <c r="S1710">
        <v>0.3392792</v>
      </c>
      <c r="T1710">
        <v>-0.28336830000000002</v>
      </c>
      <c r="U1710">
        <v>-3.3203740000000002</v>
      </c>
      <c r="V1710">
        <v>-4.449181E-2</v>
      </c>
      <c r="W1710">
        <v>0.36880269999999998</v>
      </c>
      <c r="X1710">
        <v>0.9284422</v>
      </c>
      <c r="Y1710">
        <v>-0.1193695</v>
      </c>
      <c r="Z1710">
        <v>7.6917540000000006E-2</v>
      </c>
      <c r="AA1710">
        <v>0.98986600000000002</v>
      </c>
      <c r="AB1710">
        <v>29</v>
      </c>
      <c r="AC1710">
        <v>1.3340000000000001</v>
      </c>
      <c r="AD1710">
        <v>-1.108657377586</v>
      </c>
      <c r="AE1710">
        <v>-12.707599999999999</v>
      </c>
      <c r="AF1710">
        <v>-1.55300941665218</v>
      </c>
      <c r="AG1710">
        <v>-1.108657377586</v>
      </c>
      <c r="AH1710">
        <v>12.586502984128</v>
      </c>
      <c r="AI1710">
        <v>94.996100982567199</v>
      </c>
      <c r="AJ1710">
        <v>97.033995682712401</v>
      </c>
      <c r="AK1710">
        <v>12.7303188019212</v>
      </c>
      <c r="AL1710">
        <v>68.358202908167598</v>
      </c>
      <c r="AM1710">
        <v>92.743567973370702</v>
      </c>
      <c r="AN1710">
        <v>0.99999993571260104</v>
      </c>
    </row>
    <row r="1711" spans="1:40" x14ac:dyDescent="0.25">
      <c r="A1711" t="str">
        <f>"20190304164848521"</f>
        <v>20190304164848521</v>
      </c>
      <c r="B1711" t="str">
        <f>"1551689328518078"</f>
        <v>1551689328518078</v>
      </c>
      <c r="C1711" t="s">
        <v>40</v>
      </c>
      <c r="D1711">
        <v>4.5287110000000004</v>
      </c>
      <c r="E1711">
        <v>0.4822439</v>
      </c>
      <c r="F1711" t="s">
        <v>42</v>
      </c>
      <c r="G1711">
        <v>-189.86449999999999</v>
      </c>
      <c r="H1711" s="1">
        <v>-2.3354309999999999E-6</v>
      </c>
      <c r="I1711">
        <v>325.02069999999998</v>
      </c>
      <c r="J1711">
        <v>-191.16059999999999</v>
      </c>
      <c r="K1711">
        <v>1.108743</v>
      </c>
      <c r="L1711">
        <v>337.51029999999997</v>
      </c>
      <c r="M1711">
        <v>-2.0085430000000001E-2</v>
      </c>
      <c r="N1711">
        <v>-7.9396689999999999E-3</v>
      </c>
      <c r="O1711">
        <v>-0.99976690000000001</v>
      </c>
      <c r="P1711">
        <v>2.7675519999999999E-2</v>
      </c>
      <c r="Q1711">
        <v>0.35910740000000002</v>
      </c>
      <c r="R1711">
        <v>-0.9328862</v>
      </c>
      <c r="S1711">
        <v>0.33461000000000002</v>
      </c>
      <c r="T1711">
        <v>-0.28789039999999999</v>
      </c>
      <c r="U1711">
        <v>-3.3204959999999999</v>
      </c>
      <c r="V1711">
        <v>-4.5058239999999999E-2</v>
      </c>
      <c r="W1711">
        <v>0.36666549999999998</v>
      </c>
      <c r="X1711">
        <v>0.92926109999999995</v>
      </c>
      <c r="Y1711">
        <v>-0.1198781</v>
      </c>
      <c r="Z1711">
        <v>7.7902830000000006E-2</v>
      </c>
      <c r="AA1711">
        <v>0.98972740000000003</v>
      </c>
      <c r="AB1711">
        <v>29</v>
      </c>
      <c r="AC1711">
        <v>1.29609999999999</v>
      </c>
      <c r="AD1711">
        <v>-1.108745335431</v>
      </c>
      <c r="AE1711">
        <v>-12.4895999999999</v>
      </c>
      <c r="AF1711">
        <v>-1.5347393657894299</v>
      </c>
      <c r="AG1711">
        <v>-1.108745335431</v>
      </c>
      <c r="AH1711">
        <v>12.3646424961573</v>
      </c>
      <c r="AI1711">
        <v>95.085228078885194</v>
      </c>
      <c r="AJ1711">
        <v>97.075548658326198</v>
      </c>
      <c r="AK1711">
        <v>12.508761937039299</v>
      </c>
      <c r="AL1711">
        <v>68.489883874217696</v>
      </c>
      <c r="AM1711">
        <v>92.775997605358</v>
      </c>
      <c r="AN1711">
        <v>1.00000001292767</v>
      </c>
    </row>
    <row r="1712" spans="1:40" x14ac:dyDescent="0.25">
      <c r="A1712" t="str">
        <f>"20190304164848540"</f>
        <v>20190304164848540</v>
      </c>
      <c r="B1712" t="str">
        <f>"1551689328537598"</f>
        <v>1551689328537598</v>
      </c>
      <c r="C1712" t="s">
        <v>40</v>
      </c>
      <c r="D1712">
        <v>4.5169579999999998</v>
      </c>
      <c r="E1712">
        <v>0.48231420000000003</v>
      </c>
      <c r="F1712" t="s">
        <v>42</v>
      </c>
      <c r="G1712">
        <v>-189.8843</v>
      </c>
      <c r="H1712" s="1">
        <v>-2.2114769999999999E-6</v>
      </c>
      <c r="I1712">
        <v>324.73989999999998</v>
      </c>
      <c r="J1712">
        <v>-191.16739999999999</v>
      </c>
      <c r="K1712">
        <v>1.10883</v>
      </c>
      <c r="L1712">
        <v>337.25420000000003</v>
      </c>
      <c r="M1712">
        <v>-2.16679E-2</v>
      </c>
      <c r="N1712">
        <v>-8.2811729999999993E-3</v>
      </c>
      <c r="O1712">
        <v>-0.99973089999999998</v>
      </c>
      <c r="P1712">
        <v>2.728423E-2</v>
      </c>
      <c r="Q1712">
        <v>0.35652990000000001</v>
      </c>
      <c r="R1712">
        <v>-0.93388570000000004</v>
      </c>
      <c r="S1712">
        <v>0.33149719999999999</v>
      </c>
      <c r="T1712">
        <v>-0.28797479999999998</v>
      </c>
      <c r="U1712">
        <v>-3.3168639999999998</v>
      </c>
      <c r="V1712">
        <v>-4.6212549999999998E-2</v>
      </c>
      <c r="W1712">
        <v>0.36441210000000002</v>
      </c>
      <c r="X1712">
        <v>0.93009039999999998</v>
      </c>
      <c r="Y1712">
        <v>-0.12063740000000001</v>
      </c>
      <c r="Z1712">
        <v>7.7675060000000004E-2</v>
      </c>
      <c r="AA1712">
        <v>0.98965309999999995</v>
      </c>
      <c r="AB1712">
        <v>29</v>
      </c>
      <c r="AC1712">
        <v>1.2830999999999899</v>
      </c>
      <c r="AD1712">
        <v>-1.108832211477</v>
      </c>
      <c r="AE1712">
        <v>-12.5143</v>
      </c>
      <c r="AF1712">
        <v>-1.5419866266181399</v>
      </c>
      <c r="AG1712">
        <v>-1.108832211477</v>
      </c>
      <c r="AH1712">
        <v>12.387319021228199</v>
      </c>
      <c r="AI1712">
        <v>95.076142074776399</v>
      </c>
      <c r="AJ1712">
        <v>97.095738952232296</v>
      </c>
      <c r="AK1712">
        <v>12.5320750142807</v>
      </c>
      <c r="AL1712">
        <v>68.628592404577105</v>
      </c>
      <c r="AM1712">
        <v>92.844463752749604</v>
      </c>
      <c r="AN1712">
        <v>0.99999996528803503</v>
      </c>
    </row>
    <row r="1713" spans="1:40" x14ac:dyDescent="0.25">
      <c r="A1713" t="str">
        <f>"20190304164848562"</f>
        <v>20190304164848562</v>
      </c>
      <c r="B1713" t="str">
        <f>"1551689328558094"</f>
        <v>1551689328558094</v>
      </c>
      <c r="C1713" t="s">
        <v>40</v>
      </c>
      <c r="D1713">
        <v>4.5209769999999896</v>
      </c>
      <c r="E1713">
        <v>0.482238</v>
      </c>
      <c r="F1713" t="s">
        <v>42</v>
      </c>
      <c r="G1713">
        <v>-189.9051</v>
      </c>
      <c r="H1713" s="1">
        <v>-2.1671500000000001E-6</v>
      </c>
      <c r="I1713">
        <v>324.64519999999999</v>
      </c>
      <c r="J1713">
        <v>-191.1756</v>
      </c>
      <c r="K1713">
        <v>1.1089549999999999</v>
      </c>
      <c r="L1713">
        <v>336.96510000000001</v>
      </c>
      <c r="M1713">
        <v>-2.3358830000000001E-2</v>
      </c>
      <c r="N1713">
        <v>-8.7193240000000005E-3</v>
      </c>
      <c r="O1713">
        <v>-0.9996893</v>
      </c>
      <c r="P1713">
        <v>2.6380379999999998E-2</v>
      </c>
      <c r="Q1713">
        <v>0.3537169</v>
      </c>
      <c r="R1713">
        <v>-0.9349809</v>
      </c>
      <c r="S1713">
        <v>0.33177190000000001</v>
      </c>
      <c r="T1713">
        <v>-0.291431099999999</v>
      </c>
      <c r="U1713">
        <v>-3.313965</v>
      </c>
      <c r="V1713">
        <v>-4.6976400000000001E-2</v>
      </c>
      <c r="W1713">
        <v>0.36201129999999998</v>
      </c>
      <c r="X1713">
        <v>0.93098930000000002</v>
      </c>
      <c r="Y1713">
        <v>-0.1224739</v>
      </c>
      <c r="Z1713">
        <v>7.8321329999999995E-2</v>
      </c>
      <c r="AA1713">
        <v>0.98937649999999999</v>
      </c>
      <c r="AB1713">
        <v>29</v>
      </c>
      <c r="AC1713">
        <v>1.27049999999999</v>
      </c>
      <c r="AD1713">
        <v>-1.10895716714999</v>
      </c>
      <c r="AE1713">
        <v>-12.319900000000001</v>
      </c>
      <c r="AF1713">
        <v>-1.54555170565709</v>
      </c>
      <c r="AG1713">
        <v>-1.10895716714999</v>
      </c>
      <c r="AH1713">
        <v>12.1891373502703</v>
      </c>
      <c r="AI1713">
        <v>95.157341031397905</v>
      </c>
      <c r="AJ1713">
        <v>97.226396505196504</v>
      </c>
      <c r="AK1713">
        <v>12.336676433188501</v>
      </c>
      <c r="AL1713">
        <v>68.776232121772594</v>
      </c>
      <c r="AM1713">
        <v>92.888613918755993</v>
      </c>
      <c r="AN1713">
        <v>1.00000002009956</v>
      </c>
    </row>
    <row r="1714" spans="1:40" x14ac:dyDescent="0.25">
      <c r="A1714" t="str">
        <f>"20190304164848584"</f>
        <v>20190304164848584</v>
      </c>
      <c r="B1714" t="str">
        <f>"1551689328577614"</f>
        <v>1551689328577614</v>
      </c>
      <c r="C1714" t="s">
        <v>40</v>
      </c>
      <c r="D1714">
        <v>4.4708230000000002</v>
      </c>
      <c r="E1714">
        <v>0.48216579999999898</v>
      </c>
      <c r="F1714" t="s">
        <v>42</v>
      </c>
      <c r="G1714">
        <v>-189.95699999999999</v>
      </c>
      <c r="H1714" s="1">
        <v>-2.209998E-6</v>
      </c>
      <c r="I1714">
        <v>324.76659999999998</v>
      </c>
      <c r="J1714">
        <v>-191.18430000000001</v>
      </c>
      <c r="K1714">
        <v>1.109111</v>
      </c>
      <c r="L1714">
        <v>336.66849999999999</v>
      </c>
      <c r="M1714">
        <v>-2.4987880000000001E-2</v>
      </c>
      <c r="N1714">
        <v>-9.2215960000000003E-3</v>
      </c>
      <c r="O1714">
        <v>-0.99964540000000002</v>
      </c>
      <c r="P1714">
        <v>2.5196650000000001E-2</v>
      </c>
      <c r="Q1714">
        <v>0.3518366</v>
      </c>
      <c r="R1714">
        <v>-0.93572239999999995</v>
      </c>
      <c r="S1714">
        <v>0.33096310000000001</v>
      </c>
      <c r="T1714">
        <v>-0.30120180000000002</v>
      </c>
      <c r="U1714">
        <v>-3.3132320000000002</v>
      </c>
      <c r="V1714">
        <v>-4.740511E-2</v>
      </c>
      <c r="W1714">
        <v>0.36059730000000001</v>
      </c>
      <c r="X1714">
        <v>0.93151620000000002</v>
      </c>
      <c r="Y1714">
        <v>-0.1238491</v>
      </c>
      <c r="Z1714">
        <v>8.0723349999999999E-2</v>
      </c>
      <c r="AA1714">
        <v>0.98901220000000001</v>
      </c>
      <c r="AB1714">
        <v>29</v>
      </c>
      <c r="AC1714">
        <v>1.22730000000001</v>
      </c>
      <c r="AD1714">
        <v>-1.1091132099979999</v>
      </c>
      <c r="AE1714">
        <v>-11.901899999999999</v>
      </c>
      <c r="AF1714">
        <v>-1.5113461684623199</v>
      </c>
      <c r="AG1714">
        <v>-1.1091132099979999</v>
      </c>
      <c r="AH1714">
        <v>11.766410164852299</v>
      </c>
      <c r="AI1714">
        <v>95.3412214247669</v>
      </c>
      <c r="AJ1714">
        <v>97.319326579218895</v>
      </c>
      <c r="AK1714">
        <v>11.914810427407501</v>
      </c>
      <c r="AL1714">
        <v>68.863118188765299</v>
      </c>
      <c r="AM1714">
        <v>92.913284406531105</v>
      </c>
      <c r="AN1714">
        <v>1.0000000440419201</v>
      </c>
    </row>
    <row r="1715" spans="1:40" x14ac:dyDescent="0.25">
      <c r="A1715" t="str">
        <f>"20190304164848609"</f>
        <v>20190304164848609</v>
      </c>
      <c r="B1715" t="str">
        <f>"1551689328597662"</f>
        <v>1551689328597662</v>
      </c>
      <c r="C1715" t="s">
        <v>40</v>
      </c>
      <c r="D1715">
        <v>4.4403629999999996</v>
      </c>
      <c r="E1715">
        <v>0.48200739999999997</v>
      </c>
      <c r="F1715" t="s">
        <v>42</v>
      </c>
      <c r="G1715">
        <v>-189.99350000000001</v>
      </c>
      <c r="H1715" s="1">
        <v>-2.1825849999999999E-6</v>
      </c>
      <c r="I1715">
        <v>324.68079999999998</v>
      </c>
      <c r="J1715">
        <v>-191.19380000000001</v>
      </c>
      <c r="K1715">
        <v>1.109275</v>
      </c>
      <c r="L1715">
        <v>336.36329999999998</v>
      </c>
      <c r="M1715">
        <v>-2.656675E-2</v>
      </c>
      <c r="N1715">
        <v>-9.7628750000000007E-3</v>
      </c>
      <c r="O1715">
        <v>-0.99959940000000003</v>
      </c>
      <c r="P1715">
        <v>2.3984060000000001E-2</v>
      </c>
      <c r="Q1715">
        <v>0.35042440000000002</v>
      </c>
      <c r="R1715">
        <v>-0.93628400000000001</v>
      </c>
      <c r="S1715">
        <v>0.32904050000000001</v>
      </c>
      <c r="T1715">
        <v>-0.3064693</v>
      </c>
      <c r="U1715">
        <v>-3.3124389999999999</v>
      </c>
      <c r="V1715">
        <v>-4.7757130000000002E-2</v>
      </c>
      <c r="W1715">
        <v>0.3596859</v>
      </c>
      <c r="X1715">
        <v>0.93185050000000003</v>
      </c>
      <c r="Y1715">
        <v>-0.12485789999999999</v>
      </c>
      <c r="Z1715">
        <v>8.1756010000000004E-2</v>
      </c>
      <c r="AA1715">
        <v>0.98880049999999997</v>
      </c>
      <c r="AB1715">
        <v>29</v>
      </c>
      <c r="AC1715">
        <v>1.2002999999999899</v>
      </c>
      <c r="AD1715">
        <v>-1.1092771825849901</v>
      </c>
      <c r="AE1715">
        <v>-11.682499999999999</v>
      </c>
      <c r="AF1715">
        <v>-1.4969022148403299</v>
      </c>
      <c r="AG1715">
        <v>-1.1092771825849901</v>
      </c>
      <c r="AH1715">
        <v>11.543498832408099</v>
      </c>
      <c r="AI1715">
        <v>95.443705210383797</v>
      </c>
      <c r="AJ1715">
        <v>97.388594843921297</v>
      </c>
      <c r="AK1715">
        <v>11.692885760256299</v>
      </c>
      <c r="AL1715">
        <v>68.919093165721407</v>
      </c>
      <c r="AM1715">
        <v>92.9338290937701</v>
      </c>
      <c r="AN1715">
        <v>1.0000000222374399</v>
      </c>
    </row>
    <row r="1716" spans="1:40" x14ac:dyDescent="0.25">
      <c r="A1716" t="str">
        <f>"20190304164848630"</f>
        <v>20190304164848630</v>
      </c>
      <c r="B1716" t="str">
        <f>"1551689328627916"</f>
        <v>1551689328627916</v>
      </c>
      <c r="C1716" t="s">
        <v>40</v>
      </c>
      <c r="D1716">
        <v>4.4062659999999996</v>
      </c>
      <c r="E1716">
        <v>0.48176330000000001</v>
      </c>
      <c r="F1716" t="s">
        <v>42</v>
      </c>
      <c r="G1716">
        <v>-190.02959999999999</v>
      </c>
      <c r="H1716" s="1">
        <v>-2.1261950000000001E-6</v>
      </c>
      <c r="I1716">
        <v>324.52699999999999</v>
      </c>
      <c r="J1716">
        <v>-191.2028</v>
      </c>
      <c r="K1716">
        <v>1.10941</v>
      </c>
      <c r="L1716">
        <v>336.08170000000001</v>
      </c>
      <c r="M1716">
        <v>-2.7950450000000002E-2</v>
      </c>
      <c r="N1716">
        <v>-1.0247300000000001E-2</v>
      </c>
      <c r="O1716">
        <v>-0.99955700000000003</v>
      </c>
      <c r="P1716">
        <v>2.313453E-2</v>
      </c>
      <c r="Q1716">
        <v>0.35026289999999999</v>
      </c>
      <c r="R1716">
        <v>-0.93636600000000003</v>
      </c>
      <c r="S1716">
        <v>0.32575989999999999</v>
      </c>
      <c r="T1716">
        <v>-0.3103901</v>
      </c>
      <c r="U1716">
        <v>-3.3119510000000001</v>
      </c>
      <c r="V1716">
        <v>-4.8260669999999999E-2</v>
      </c>
      <c r="W1716">
        <v>0.35997010000000002</v>
      </c>
      <c r="X1716">
        <v>0.93171479999999995</v>
      </c>
      <c r="Y1716">
        <v>-0.12526580000000001</v>
      </c>
      <c r="Z1716">
        <v>8.2443799999999998E-2</v>
      </c>
      <c r="AA1716">
        <v>0.98869180000000001</v>
      </c>
      <c r="AB1716">
        <v>29</v>
      </c>
      <c r="AC1716">
        <v>1.1732</v>
      </c>
      <c r="AD1716">
        <v>-1.1094121261950001</v>
      </c>
      <c r="AE1716">
        <v>-11.5547</v>
      </c>
      <c r="AF1716">
        <v>-1.48219311830706</v>
      </c>
      <c r="AG1716">
        <v>-1.1094121261950001</v>
      </c>
      <c r="AH1716">
        <v>11.41325061733</v>
      </c>
      <c r="AI1716">
        <v>95.505981496281706</v>
      </c>
      <c r="AJ1716">
        <v>97.399361534039997</v>
      </c>
      <c r="AK1716">
        <v>11.562438382957501</v>
      </c>
      <c r="AL1716">
        <v>68.901640597941807</v>
      </c>
      <c r="AM1716">
        <v>92.965138828188998</v>
      </c>
      <c r="AN1716">
        <v>1.00000001685094</v>
      </c>
    </row>
    <row r="1717" spans="1:40" x14ac:dyDescent="0.25">
      <c r="A1717" t="str">
        <f>"20190304164848651"</f>
        <v>20190304164848651</v>
      </c>
      <c r="B1717" t="str">
        <f>"1551689328647435"</f>
        <v>1551689328647435</v>
      </c>
      <c r="C1717" t="s">
        <v>40</v>
      </c>
      <c r="D1717">
        <v>4.4051530000000003</v>
      </c>
      <c r="E1717">
        <v>0.48169079999999898</v>
      </c>
      <c r="F1717" t="s">
        <v>42</v>
      </c>
      <c r="G1717">
        <v>-190.0343</v>
      </c>
      <c r="H1717" s="1">
        <v>-1.9697349999999999E-6</v>
      </c>
      <c r="I1717">
        <v>324.15929999999997</v>
      </c>
      <c r="J1717">
        <v>-191.2116</v>
      </c>
      <c r="K1717">
        <v>1.1094999999999999</v>
      </c>
      <c r="L1717">
        <v>335.81580000000002</v>
      </c>
      <c r="M1717">
        <v>-2.9203469999999999E-2</v>
      </c>
      <c r="N1717">
        <v>-1.067275E-2</v>
      </c>
      <c r="O1717">
        <v>-0.99951650000000003</v>
      </c>
      <c r="P1717">
        <v>2.2601300000000001E-2</v>
      </c>
      <c r="Q1717">
        <v>0.35091529999999999</v>
      </c>
      <c r="R1717">
        <v>-0.93613449999999998</v>
      </c>
      <c r="S1717">
        <v>0.32449339999999999</v>
      </c>
      <c r="T1717">
        <v>-0.3081024</v>
      </c>
      <c r="U1717">
        <v>-3.311035</v>
      </c>
      <c r="V1717">
        <v>-4.8932160000000002E-2</v>
      </c>
      <c r="W1717">
        <v>0.36101179999999999</v>
      </c>
      <c r="X1717">
        <v>0.93127660000000001</v>
      </c>
      <c r="Y1717">
        <v>-0.12616720000000001</v>
      </c>
      <c r="Z1717">
        <v>8.1357399999999996E-2</v>
      </c>
      <c r="AA1717">
        <v>0.98866719999999997</v>
      </c>
      <c r="AB1717">
        <v>29</v>
      </c>
      <c r="AC1717">
        <v>1.1773</v>
      </c>
      <c r="AD1717">
        <v>-1.1095019697349999</v>
      </c>
      <c r="AE1717">
        <v>-11.656499999999999</v>
      </c>
      <c r="AF1717">
        <v>-1.5037413856511399</v>
      </c>
      <c r="AG1717">
        <v>-1.1095019697349999</v>
      </c>
      <c r="AH1717">
        <v>11.513884159150599</v>
      </c>
      <c r="AI1717">
        <v>95.458077729295994</v>
      </c>
      <c r="AJ1717">
        <v>97.440853233467493</v>
      </c>
      <c r="AK1717">
        <v>11.664551478994101</v>
      </c>
      <c r="AL1717">
        <v>68.837652668553602</v>
      </c>
      <c r="AM1717">
        <v>93.007732043881205</v>
      </c>
      <c r="AN1717">
        <v>0.99999999086453195</v>
      </c>
    </row>
    <row r="1718" spans="1:40" x14ac:dyDescent="0.25">
      <c r="A1718" t="str">
        <f>"20190304164848674"</f>
        <v>20190304164848674</v>
      </c>
      <c r="B1718" t="str">
        <f>"1551689328667931"</f>
        <v>1551689328667931</v>
      </c>
      <c r="C1718" t="s">
        <v>40</v>
      </c>
      <c r="D1718">
        <v>4.4087820000000004</v>
      </c>
      <c r="E1718">
        <v>0.48108960000000001</v>
      </c>
      <c r="F1718" t="s">
        <v>42</v>
      </c>
      <c r="G1718">
        <v>-190.03569999999999</v>
      </c>
      <c r="H1718" s="1">
        <v>-1.7975729999999901E-6</v>
      </c>
      <c r="I1718">
        <v>323.75709999999998</v>
      </c>
      <c r="J1718">
        <v>-191.22200000000001</v>
      </c>
      <c r="K1718">
        <v>1.1095790000000001</v>
      </c>
      <c r="L1718">
        <v>335.51560000000001</v>
      </c>
      <c r="M1718">
        <v>-3.0573699999999999E-2</v>
      </c>
      <c r="N1718">
        <v>-1.1113990000000001E-2</v>
      </c>
      <c r="O1718">
        <v>-0.999471</v>
      </c>
      <c r="P1718">
        <v>2.2265480000000001E-2</v>
      </c>
      <c r="Q1718">
        <v>0.35214459999999997</v>
      </c>
      <c r="R1718">
        <v>-0.93568099999999998</v>
      </c>
      <c r="S1718">
        <v>0.322876</v>
      </c>
      <c r="T1718">
        <v>-0.30464730000000001</v>
      </c>
      <c r="U1718">
        <v>-3.3110659999999998</v>
      </c>
      <c r="V1718">
        <v>-4.9892470000000001E-2</v>
      </c>
      <c r="W1718">
        <v>0.36264459999999998</v>
      </c>
      <c r="X1718">
        <v>0.93059099999999995</v>
      </c>
      <c r="Y1718">
        <v>-0.12705649999999999</v>
      </c>
      <c r="Z1718">
        <v>7.9882759999999997E-2</v>
      </c>
      <c r="AA1718">
        <v>0.98867360000000004</v>
      </c>
      <c r="AB1718">
        <v>29</v>
      </c>
      <c r="AC1718">
        <v>1.1863000000000099</v>
      </c>
      <c r="AD1718">
        <v>-1.1095807975730001</v>
      </c>
      <c r="AE1718">
        <v>-11.7585</v>
      </c>
      <c r="AF1718">
        <v>-1.5317659945562001</v>
      </c>
      <c r="AG1718">
        <v>-1.1095807975730001</v>
      </c>
      <c r="AH1718">
        <v>11.6143516003575</v>
      </c>
      <c r="AI1718">
        <v>95.410636899388095</v>
      </c>
      <c r="AJ1718">
        <v>97.513129130122294</v>
      </c>
      <c r="AK1718">
        <v>11.767354830425999</v>
      </c>
      <c r="AL1718">
        <v>68.737300646476697</v>
      </c>
      <c r="AM1718">
        <v>93.068903197703307</v>
      </c>
      <c r="AN1718">
        <v>0.99999998687642999</v>
      </c>
    </row>
    <row r="1719" spans="1:40" x14ac:dyDescent="0.25">
      <c r="A1719" t="str">
        <f>"20190304164848698"</f>
        <v>20190304164848698</v>
      </c>
      <c r="B1719" t="str">
        <f>"1551689328687992"</f>
        <v>1551689328687992</v>
      </c>
      <c r="C1719" t="s">
        <v>40</v>
      </c>
      <c r="D1719">
        <v>4.2891779999999997</v>
      </c>
      <c r="E1719">
        <v>0.40601300000000001</v>
      </c>
      <c r="F1719" t="s">
        <v>42</v>
      </c>
      <c r="G1719">
        <v>-189.99690000000001</v>
      </c>
      <c r="H1719" s="1">
        <v>-1.5139609999999901E-6</v>
      </c>
      <c r="I1719">
        <v>323.12009999999998</v>
      </c>
      <c r="J1719">
        <v>-191.2329</v>
      </c>
      <c r="K1719">
        <v>1.1096349999999999</v>
      </c>
      <c r="L1719">
        <v>335.20949999999999</v>
      </c>
      <c r="M1719">
        <v>-3.1938429999999997E-2</v>
      </c>
      <c r="N1719">
        <v>-1.1516439999999999E-2</v>
      </c>
      <c r="O1719">
        <v>-0.99942359999999997</v>
      </c>
      <c r="P1719">
        <v>2.1842440000000001E-2</v>
      </c>
      <c r="Q1719">
        <v>0.35300100000000001</v>
      </c>
      <c r="R1719">
        <v>-0.93536830000000004</v>
      </c>
      <c r="S1719">
        <v>0.32713320000000001</v>
      </c>
      <c r="T1719">
        <v>-0.2962902</v>
      </c>
      <c r="U1719">
        <v>-3.3099370000000001</v>
      </c>
      <c r="V1719">
        <v>-5.0756120000000002E-2</v>
      </c>
      <c r="W1719">
        <v>0.36387029999999998</v>
      </c>
      <c r="X1719">
        <v>0.9300657</v>
      </c>
      <c r="Y1719">
        <v>-0.12972220000000001</v>
      </c>
      <c r="Z1719">
        <v>7.7005270000000001E-2</v>
      </c>
      <c r="AA1719">
        <v>0.98855570000000004</v>
      </c>
      <c r="AB1719">
        <v>29</v>
      </c>
      <c r="AC1719">
        <v>1.23599999999999</v>
      </c>
      <c r="AD1719">
        <v>-1.1096365139609901</v>
      </c>
      <c r="AE1719">
        <v>-12.089399999999999</v>
      </c>
      <c r="AF1719">
        <v>-1.6081038060598201</v>
      </c>
      <c r="AG1719">
        <v>-1.1096365139609901</v>
      </c>
      <c r="AH1719">
        <v>11.9441685779925</v>
      </c>
      <c r="AI1719">
        <v>95.260461578159806</v>
      </c>
      <c r="AJ1719">
        <v>97.667911288731304</v>
      </c>
      <c r="AK1719">
        <v>12.1029109747896</v>
      </c>
      <c r="AL1719">
        <v>68.661924270542499</v>
      </c>
      <c r="AM1719">
        <v>93.123682184505498</v>
      </c>
      <c r="AN1719">
        <v>0.99999999262801698</v>
      </c>
    </row>
    <row r="1720" spans="1:40" x14ac:dyDescent="0.25">
      <c r="A1720" t="str">
        <f>"20190304164848721"</f>
        <v>20190304164848721</v>
      </c>
      <c r="B1720" t="str">
        <f>"1551689328717272"</f>
        <v>1551689328717272</v>
      </c>
      <c r="C1720" t="s">
        <v>40</v>
      </c>
      <c r="D1720">
        <v>4.2453070000000004</v>
      </c>
      <c r="E1720">
        <v>0.39720509999999998</v>
      </c>
      <c r="F1720" t="s">
        <v>42</v>
      </c>
      <c r="G1720">
        <v>-182.60640000000001</v>
      </c>
      <c r="H1720" s="1">
        <v>-3.6659930000000002E-6</v>
      </c>
      <c r="I1720">
        <v>304.63990000000001</v>
      </c>
      <c r="J1720">
        <v>-191.24369999999999</v>
      </c>
      <c r="K1720">
        <v>1.109685</v>
      </c>
      <c r="L1720">
        <v>334.91789999999997</v>
      </c>
      <c r="M1720">
        <v>-3.3228420000000002E-2</v>
      </c>
      <c r="N1720">
        <v>-1.1858219999999999E-2</v>
      </c>
      <c r="O1720">
        <v>-0.99937770000000004</v>
      </c>
      <c r="P1720">
        <v>2.1536420000000001E-2</v>
      </c>
      <c r="Q1720">
        <v>0.35343809999999998</v>
      </c>
      <c r="R1720">
        <v>-0.93521049999999994</v>
      </c>
      <c r="S1720">
        <v>0.91154480000000004</v>
      </c>
      <c r="T1720">
        <v>-0.1172533</v>
      </c>
      <c r="U1720">
        <v>-3.2302249999999999</v>
      </c>
      <c r="V1720">
        <v>-5.1667110000000002E-2</v>
      </c>
      <c r="W1720">
        <v>0.3646221</v>
      </c>
      <c r="X1720">
        <v>0.92972109999999997</v>
      </c>
      <c r="Y1720">
        <v>-0.30326409999999998</v>
      </c>
      <c r="Z1720">
        <v>2.280596E-2</v>
      </c>
      <c r="AA1720">
        <v>0.95263359999999997</v>
      </c>
      <c r="AB1720">
        <v>29</v>
      </c>
      <c r="AC1720">
        <v>8.6372999999999802</v>
      </c>
      <c r="AD1720">
        <v>-1.1096886659929901</v>
      </c>
      <c r="AE1720">
        <v>-30.277999999999899</v>
      </c>
      <c r="AF1720">
        <v>-9.6267324932247895</v>
      </c>
      <c r="AG1720">
        <v>-1.1096886659929901</v>
      </c>
      <c r="AH1720">
        <v>29.937067660086299</v>
      </c>
      <c r="AI1720">
        <v>92.021003135610201</v>
      </c>
      <c r="AJ1720">
        <v>107.826006968348</v>
      </c>
      <c r="AK1720">
        <v>31.466385358285599</v>
      </c>
      <c r="AL1720">
        <v>68.615673060575205</v>
      </c>
      <c r="AM1720">
        <v>93.180809291780605</v>
      </c>
      <c r="AN1720">
        <v>1.00000004492468</v>
      </c>
    </row>
    <row r="1721" spans="1:40" x14ac:dyDescent="0.25">
      <c r="A1721" t="str">
        <f>"20190304164848740"</f>
        <v>20190304164848740</v>
      </c>
      <c r="B1721" t="str">
        <f>"1551689328737768"</f>
        <v>1551689328737768</v>
      </c>
      <c r="C1721" t="s">
        <v>40</v>
      </c>
      <c r="D1721">
        <v>4.2291359999999996</v>
      </c>
      <c r="E1721">
        <v>0.39493260000000002</v>
      </c>
      <c r="F1721" t="s">
        <v>42</v>
      </c>
      <c r="G1721">
        <v>-181.70849999999999</v>
      </c>
      <c r="H1721" s="1">
        <v>-3.5261680000000002E-6</v>
      </c>
      <c r="I1721">
        <v>303.52699999999999</v>
      </c>
      <c r="J1721">
        <v>-191.2534</v>
      </c>
      <c r="K1721">
        <v>1.1097129999999999</v>
      </c>
      <c r="L1721">
        <v>334.6644</v>
      </c>
      <c r="M1721">
        <v>-3.434914E-2</v>
      </c>
      <c r="N1721">
        <v>-1.212424E-2</v>
      </c>
      <c r="O1721">
        <v>-0.99933649999999996</v>
      </c>
      <c r="P1721">
        <v>2.0533570000000001E-2</v>
      </c>
      <c r="Q1721">
        <v>0.35371200000000003</v>
      </c>
      <c r="R1721">
        <v>-0.9351294</v>
      </c>
      <c r="S1721">
        <v>0.98065190000000002</v>
      </c>
      <c r="T1721">
        <v>-0.1141257</v>
      </c>
      <c r="U1721">
        <v>-3.2283940000000002</v>
      </c>
      <c r="V1721">
        <v>-5.1722320000000002E-2</v>
      </c>
      <c r="W1721">
        <v>0.36514069999999998</v>
      </c>
      <c r="X1721">
        <v>0.92951450000000002</v>
      </c>
      <c r="Y1721">
        <v>-0.32318750000000002</v>
      </c>
      <c r="Z1721">
        <v>2.1410999999999999E-2</v>
      </c>
      <c r="AA1721">
        <v>0.94609270000000001</v>
      </c>
      <c r="AB1721">
        <v>29</v>
      </c>
      <c r="AC1721">
        <v>9.5449000000000108</v>
      </c>
      <c r="AD1721">
        <v>-1.109716526168</v>
      </c>
      <c r="AE1721">
        <v>-31.1374</v>
      </c>
      <c r="AF1721">
        <v>-10.5965847626489</v>
      </c>
      <c r="AG1721">
        <v>-1.109716526168</v>
      </c>
      <c r="AH1721">
        <v>30.755430860379999</v>
      </c>
      <c r="AI1721">
        <v>91.953825063943398</v>
      </c>
      <c r="AJ1721">
        <v>109.01105918807301</v>
      </c>
      <c r="AK1721">
        <v>32.548665207778797</v>
      </c>
      <c r="AL1721">
        <v>68.583759638986606</v>
      </c>
      <c r="AM1721">
        <v>93.184907508025205</v>
      </c>
      <c r="AN1721">
        <v>1.00000006744645</v>
      </c>
    </row>
    <row r="1722" spans="1:40" x14ac:dyDescent="0.25">
      <c r="A1722" t="str">
        <f>"20190304164848765"</f>
        <v>20190304164848765</v>
      </c>
      <c r="B1722" t="str">
        <f>"1551689328757289"</f>
        <v>1551689328757289</v>
      </c>
      <c r="C1722" t="s">
        <v>40</v>
      </c>
      <c r="D1722">
        <v>4.2037050000000002</v>
      </c>
      <c r="E1722">
        <v>0.39351459999999999</v>
      </c>
      <c r="F1722" t="s">
        <v>42</v>
      </c>
      <c r="G1722">
        <v>-181.39150000000001</v>
      </c>
      <c r="H1722" s="1">
        <v>-3.3204500000000001E-6</v>
      </c>
      <c r="I1722">
        <v>302.6746</v>
      </c>
      <c r="J1722">
        <v>-191.26560000000001</v>
      </c>
      <c r="K1722">
        <v>1.1097509999999999</v>
      </c>
      <c r="L1722">
        <v>334.3553</v>
      </c>
      <c r="M1722">
        <v>-3.5711149999999997E-2</v>
      </c>
      <c r="N1722">
        <v>-1.240956E-2</v>
      </c>
      <c r="O1722">
        <v>-0.99928499999999998</v>
      </c>
      <c r="P1722">
        <v>1.9910509999999999E-2</v>
      </c>
      <c r="Q1722">
        <v>0.35295470000000001</v>
      </c>
      <c r="R1722">
        <v>-0.9354287</v>
      </c>
      <c r="S1722">
        <v>0.99533079999999996</v>
      </c>
      <c r="T1722">
        <v>-0.1119995</v>
      </c>
      <c r="U1722">
        <v>-3.2286069999999998</v>
      </c>
      <c r="V1722">
        <v>-5.2401059999999999E-2</v>
      </c>
      <c r="W1722">
        <v>0.36465059999999999</v>
      </c>
      <c r="X1722">
        <v>0.92966879999999996</v>
      </c>
      <c r="Y1722">
        <v>-0.3283913</v>
      </c>
      <c r="Z1722">
        <v>2.0439160000000001E-2</v>
      </c>
      <c r="AA1722">
        <v>0.94432059999999995</v>
      </c>
      <c r="AB1722">
        <v>29</v>
      </c>
      <c r="AC1722">
        <v>9.8741000000000003</v>
      </c>
      <c r="AD1722">
        <v>-1.10975432045</v>
      </c>
      <c r="AE1722">
        <v>-31.680700000000002</v>
      </c>
      <c r="AF1722">
        <v>-10.986954405428801</v>
      </c>
      <c r="AG1722">
        <v>-1.10975432045</v>
      </c>
      <c r="AH1722">
        <v>31.272870876994201</v>
      </c>
      <c r="AI1722">
        <v>91.917549632419906</v>
      </c>
      <c r="AJ1722">
        <v>109.357671520528</v>
      </c>
      <c r="AK1722">
        <v>33.165300762210499</v>
      </c>
      <c r="AL1722">
        <v>68.613918482204397</v>
      </c>
      <c r="AM1722">
        <v>93.226080171189395</v>
      </c>
      <c r="AN1722">
        <v>1.0000000044314601</v>
      </c>
    </row>
    <row r="1723" spans="1:40" x14ac:dyDescent="0.25">
      <c r="A1723" t="str">
        <f>"20190304164848788"</f>
        <v>20190304164848788</v>
      </c>
      <c r="B1723" t="str">
        <f>"1551689328777785"</f>
        <v>1551689328777785</v>
      </c>
      <c r="C1723" t="s">
        <v>40</v>
      </c>
      <c r="D1723">
        <v>4.1936090000000004</v>
      </c>
      <c r="E1723">
        <v>0.3927136</v>
      </c>
      <c r="F1723" t="s">
        <v>42</v>
      </c>
      <c r="G1723">
        <v>-181.6241</v>
      </c>
      <c r="H1723" s="1">
        <v>-3.474012E-6</v>
      </c>
      <c r="I1723">
        <v>303.30779999999999</v>
      </c>
      <c r="J1723">
        <v>-191.27770000000001</v>
      </c>
      <c r="K1723">
        <v>1.10978</v>
      </c>
      <c r="L1723">
        <v>334.05939999999998</v>
      </c>
      <c r="M1723">
        <v>-3.7000690000000003E-2</v>
      </c>
      <c r="N1723">
        <v>-1.2648049999999999E-2</v>
      </c>
      <c r="O1723">
        <v>-0.99923530000000005</v>
      </c>
      <c r="P1723">
        <v>1.9551789999999999E-2</v>
      </c>
      <c r="Q1723">
        <v>0.35216839999999999</v>
      </c>
      <c r="R1723">
        <v>-0.93573240000000002</v>
      </c>
      <c r="S1723">
        <v>1.0028379999999999</v>
      </c>
      <c r="T1723">
        <v>-0.11542860000000001</v>
      </c>
      <c r="U1723">
        <v>-3.2293400000000001</v>
      </c>
      <c r="V1723">
        <v>-5.3278480000000003E-2</v>
      </c>
      <c r="W1723">
        <v>0.3640892</v>
      </c>
      <c r="X1723">
        <v>0.92983899999999997</v>
      </c>
      <c r="Y1723">
        <v>-0.331542</v>
      </c>
      <c r="Z1723">
        <v>2.1162839999999999E-2</v>
      </c>
      <c r="AA1723">
        <v>0.94320309999999896</v>
      </c>
      <c r="AB1723">
        <v>29</v>
      </c>
      <c r="AC1723">
        <v>9.6536000000000097</v>
      </c>
      <c r="AD1723">
        <v>-1.1097834740120001</v>
      </c>
      <c r="AE1723">
        <v>-30.7516</v>
      </c>
      <c r="AF1723">
        <v>-10.7721388811634</v>
      </c>
      <c r="AG1723">
        <v>-1.1097834740120001</v>
      </c>
      <c r="AH1723">
        <v>30.337354108052899</v>
      </c>
      <c r="AI1723">
        <v>91.974360659250706</v>
      </c>
      <c r="AJ1723">
        <v>109.548851010099</v>
      </c>
      <c r="AK1723">
        <v>32.212197219557297</v>
      </c>
      <c r="AL1723">
        <v>68.648459943158997</v>
      </c>
      <c r="AM1723">
        <v>93.279382644294898</v>
      </c>
      <c r="AN1723">
        <v>1.0000000539543701</v>
      </c>
    </row>
    <row r="1724" spans="1:40" x14ac:dyDescent="0.25">
      <c r="A1724" t="str">
        <f>"20190304164848810"</f>
        <v>20190304164848810</v>
      </c>
      <c r="B1724" t="str">
        <f>"1551689328797973"</f>
        <v>1551689328797973</v>
      </c>
      <c r="C1724" t="s">
        <v>40</v>
      </c>
      <c r="D1724">
        <v>4.2026089999999998</v>
      </c>
      <c r="E1724">
        <v>0.39213150000000002</v>
      </c>
      <c r="F1724" t="s">
        <v>42</v>
      </c>
      <c r="G1724">
        <v>-182.16460000000001</v>
      </c>
      <c r="H1724" s="1">
        <v>-3.8275509999999997E-6</v>
      </c>
      <c r="I1724">
        <v>304.76920000000001</v>
      </c>
      <c r="J1724">
        <v>-191.2894</v>
      </c>
      <c r="K1724">
        <v>1.1098129999999999</v>
      </c>
      <c r="L1724">
        <v>333.77929999999998</v>
      </c>
      <c r="M1724">
        <v>-3.8194649999999997E-2</v>
      </c>
      <c r="N1724">
        <v>-1.284507E-2</v>
      </c>
      <c r="O1724">
        <v>-0.99918790000000002</v>
      </c>
      <c r="P1724">
        <v>1.9555510000000002E-2</v>
      </c>
      <c r="Q1724">
        <v>0.35078320000000002</v>
      </c>
      <c r="R1724">
        <v>-0.93625239999999998</v>
      </c>
      <c r="S1724">
        <v>1.005295</v>
      </c>
      <c r="T1724">
        <v>-0.1224242</v>
      </c>
      <c r="U1724">
        <v>-3.2311100000000001</v>
      </c>
      <c r="V1724">
        <v>-5.4443449999999997E-2</v>
      </c>
      <c r="W1724">
        <v>0.3628921</v>
      </c>
      <c r="X1724">
        <v>0.93023940000000005</v>
      </c>
      <c r="Y1724">
        <v>-0.3331578</v>
      </c>
      <c r="Z1724">
        <v>2.297776E-2</v>
      </c>
      <c r="AA1724">
        <v>0.94259110000000002</v>
      </c>
      <c r="AB1724">
        <v>29</v>
      </c>
      <c r="AC1724">
        <v>9.1247999999999898</v>
      </c>
      <c r="AD1724">
        <v>-1.1098168275510001</v>
      </c>
      <c r="AE1724">
        <v>-29.010099999999898</v>
      </c>
      <c r="AF1724">
        <v>-10.212661567620399</v>
      </c>
      <c r="AG1724">
        <v>-1.1098168275510001</v>
      </c>
      <c r="AH1724">
        <v>28.6022891790473</v>
      </c>
      <c r="AI1724">
        <v>92.092780059766696</v>
      </c>
      <c r="AJ1724">
        <v>109.649486037854</v>
      </c>
      <c r="AK1724">
        <v>30.391135154306301</v>
      </c>
      <c r="AL1724">
        <v>68.722084811482205</v>
      </c>
      <c r="AM1724">
        <v>93.349487861792696</v>
      </c>
      <c r="AN1724">
        <v>1.00000005340133</v>
      </c>
    </row>
    <row r="1725" spans="1:40" x14ac:dyDescent="0.25">
      <c r="A1725" t="str">
        <f>"20190304164848832"</f>
        <v>20190304164848832</v>
      </c>
      <c r="B1725" t="str">
        <f>"1551689328828231"</f>
        <v>1551689328828231</v>
      </c>
      <c r="C1725" t="s">
        <v>40</v>
      </c>
      <c r="D1725">
        <v>4.1766740000000002</v>
      </c>
      <c r="E1725">
        <v>0.39132840000000002</v>
      </c>
      <c r="F1725" t="s">
        <v>42</v>
      </c>
      <c r="G1725">
        <v>-182.5651</v>
      </c>
      <c r="H1725" s="1">
        <v>-4.0756380000000002E-6</v>
      </c>
      <c r="I1725">
        <v>305.81139999999999</v>
      </c>
      <c r="J1725">
        <v>-191.30099999999999</v>
      </c>
      <c r="K1725">
        <v>1.1098589999999999</v>
      </c>
      <c r="L1725">
        <v>333.50839999999999</v>
      </c>
      <c r="M1725">
        <v>-3.9310779999999997E-2</v>
      </c>
      <c r="N1725">
        <v>-1.3011490000000001E-2</v>
      </c>
      <c r="O1725">
        <v>-0.99914250000000004</v>
      </c>
      <c r="P1725">
        <v>1.8869710000000001E-2</v>
      </c>
      <c r="Q1725">
        <v>0.35094370000000003</v>
      </c>
      <c r="R1725">
        <v>-0.93620650000000005</v>
      </c>
      <c r="S1725">
        <v>1.007965</v>
      </c>
      <c r="T1725">
        <v>-0.12822329999999901</v>
      </c>
      <c r="U1725">
        <v>-3.231293</v>
      </c>
      <c r="V1725">
        <v>-5.4828410000000001E-2</v>
      </c>
      <c r="W1725">
        <v>0.36320350000000001</v>
      </c>
      <c r="X1725">
        <v>0.93009520000000001</v>
      </c>
      <c r="Y1725">
        <v>-0.33488869999999998</v>
      </c>
      <c r="Z1725">
        <v>2.4485429999999999E-2</v>
      </c>
      <c r="AA1725">
        <v>0.94193950000000004</v>
      </c>
      <c r="AB1725">
        <v>29</v>
      </c>
      <c r="AC1725">
        <v>8.7358999999999796</v>
      </c>
      <c r="AD1725">
        <v>-1.1098630756379999</v>
      </c>
      <c r="AE1725">
        <v>-27.696999999999999</v>
      </c>
      <c r="AF1725">
        <v>-9.8037111753417605</v>
      </c>
      <c r="AG1725">
        <v>-1.1098630756379999</v>
      </c>
      <c r="AH1725">
        <v>27.292284611633999</v>
      </c>
      <c r="AI1725">
        <v>92.191729213776796</v>
      </c>
      <c r="AJ1725">
        <v>109.758888008418</v>
      </c>
      <c r="AK1725">
        <v>29.0209122561408</v>
      </c>
      <c r="AL1725">
        <v>68.702935430476401</v>
      </c>
      <c r="AM1725">
        <v>93.373638756446496</v>
      </c>
      <c r="AN1725">
        <v>1.0000000090092001</v>
      </c>
    </row>
    <row r="1726" spans="1:40" x14ac:dyDescent="0.25">
      <c r="A1726" t="str">
        <f>"20190304164848852"</f>
        <v>20190304164848852</v>
      </c>
      <c r="B1726" t="str">
        <f>"1551689328847749"</f>
        <v>1551689328847749</v>
      </c>
      <c r="C1726" t="s">
        <v>40</v>
      </c>
      <c r="D1726">
        <v>4.2033310000000004</v>
      </c>
      <c r="E1726">
        <v>0.39094489999999998</v>
      </c>
      <c r="F1726" t="s">
        <v>42</v>
      </c>
      <c r="G1726">
        <v>-182.56139999999999</v>
      </c>
      <c r="H1726" s="1">
        <v>-4.0021199999999999E-6</v>
      </c>
      <c r="I1726">
        <v>305.5924</v>
      </c>
      <c r="J1726">
        <v>-191.31299999999999</v>
      </c>
      <c r="K1726">
        <v>1.1099129999999999</v>
      </c>
      <c r="L1726">
        <v>333.23399999999998</v>
      </c>
      <c r="M1726">
        <v>-4.0390210000000003E-2</v>
      </c>
      <c r="N1726">
        <v>-1.315854E-2</v>
      </c>
      <c r="O1726">
        <v>-0.99909740000000002</v>
      </c>
      <c r="P1726">
        <v>1.8199710000000001E-2</v>
      </c>
      <c r="Q1726">
        <v>0.35148030000000002</v>
      </c>
      <c r="R1726">
        <v>-0.93601860000000003</v>
      </c>
      <c r="S1726">
        <v>1.0119020000000001</v>
      </c>
      <c r="T1726">
        <v>-0.12850400000000001</v>
      </c>
      <c r="U1726">
        <v>-3.232208</v>
      </c>
      <c r="V1726">
        <v>-5.519665E-2</v>
      </c>
      <c r="W1726">
        <v>0.363869</v>
      </c>
      <c r="X1726">
        <v>0.92981329999999995</v>
      </c>
      <c r="Y1726">
        <v>-0.3368737</v>
      </c>
      <c r="Z1726">
        <v>2.4384159999999998E-2</v>
      </c>
      <c r="AA1726">
        <v>0.94123409999999996</v>
      </c>
      <c r="AB1726">
        <v>29</v>
      </c>
      <c r="AC1726">
        <v>8.7515999999999892</v>
      </c>
      <c r="AD1726">
        <v>-1.10991700212</v>
      </c>
      <c r="AE1726">
        <v>-27.6416</v>
      </c>
      <c r="AF1726">
        <v>-9.8465744143706306</v>
      </c>
      <c r="AG1726">
        <v>-1.10991700212</v>
      </c>
      <c r="AH1726">
        <v>27.225633128237401</v>
      </c>
      <c r="AI1726">
        <v>92.195478739171605</v>
      </c>
      <c r="AJ1726">
        <v>109.88331336268701</v>
      </c>
      <c r="AK1726">
        <v>28.972781065729801</v>
      </c>
      <c r="AL1726">
        <v>68.662005433462994</v>
      </c>
      <c r="AM1726">
        <v>93.397271275411399</v>
      </c>
      <c r="AN1726">
        <v>1.00000004609455</v>
      </c>
    </row>
    <row r="1727" spans="1:40" x14ac:dyDescent="0.25">
      <c r="A1727" t="str">
        <f>"20190304164848876"</f>
        <v>20190304164848876</v>
      </c>
      <c r="B1727" t="str">
        <f>"1551689328868246"</f>
        <v>1551689328868246</v>
      </c>
      <c r="C1727" t="s">
        <v>40</v>
      </c>
      <c r="D1727">
        <v>4.1881339999999998</v>
      </c>
      <c r="E1727">
        <v>0.39048549999999999</v>
      </c>
      <c r="F1727" t="s">
        <v>42</v>
      </c>
      <c r="G1727">
        <v>-182.49600000000001</v>
      </c>
      <c r="H1727" s="1">
        <v>-3.8570420000000004E-6</v>
      </c>
      <c r="I1727">
        <v>305.11500000000001</v>
      </c>
      <c r="J1727">
        <v>-191.3261</v>
      </c>
      <c r="K1727">
        <v>1.109969</v>
      </c>
      <c r="L1727">
        <v>332.93950000000001</v>
      </c>
      <c r="M1727">
        <v>-4.1484140000000003E-2</v>
      </c>
      <c r="N1727">
        <v>-1.329554E-2</v>
      </c>
      <c r="O1727">
        <v>-0.99905069999999996</v>
      </c>
      <c r="P1727">
        <v>1.7838509999999998E-2</v>
      </c>
      <c r="Q1727">
        <v>0.3517074</v>
      </c>
      <c r="R1727">
        <v>-0.93594010000000005</v>
      </c>
      <c r="S1727">
        <v>1.0138240000000001</v>
      </c>
      <c r="T1727">
        <v>-0.1276245</v>
      </c>
      <c r="U1727">
        <v>-3.233276</v>
      </c>
      <c r="V1727">
        <v>-5.5901880000000001E-2</v>
      </c>
      <c r="W1727">
        <v>0.36421579999999998</v>
      </c>
      <c r="X1727">
        <v>0.92963530000000005</v>
      </c>
      <c r="Y1727">
        <v>-0.33832699999999999</v>
      </c>
      <c r="Z1727">
        <v>2.395914E-2</v>
      </c>
      <c r="AA1727">
        <v>0.94072350000000005</v>
      </c>
      <c r="AB1727">
        <v>29</v>
      </c>
      <c r="AC1727">
        <v>8.8301000000000105</v>
      </c>
      <c r="AD1727">
        <v>-1.109972857042</v>
      </c>
      <c r="AE1727">
        <v>-27.8245</v>
      </c>
      <c r="AF1727">
        <v>-9.9624714998571502</v>
      </c>
      <c r="AG1727">
        <v>-1.109972857042</v>
      </c>
      <c r="AH1727">
        <v>27.394595850513198</v>
      </c>
      <c r="AI1727">
        <v>92.1806634827322</v>
      </c>
      <c r="AJ1727">
        <v>109.98458481733</v>
      </c>
      <c r="AK1727">
        <v>29.1709917545118</v>
      </c>
      <c r="AL1727">
        <v>68.640669885775296</v>
      </c>
      <c r="AM1727">
        <v>93.441230706168497</v>
      </c>
      <c r="AN1727">
        <v>0.99999998008163105</v>
      </c>
    </row>
    <row r="1728" spans="1:40" x14ac:dyDescent="0.25">
      <c r="A1728" t="str">
        <f>"20190304164848899"</f>
        <v>20190304164848899</v>
      </c>
      <c r="B1728" t="str">
        <f>"1551689328887509"</f>
        <v>1551689328887509</v>
      </c>
      <c r="C1728" t="s">
        <v>40</v>
      </c>
      <c r="D1728">
        <v>4.210521</v>
      </c>
      <c r="E1728">
        <v>0.38988339999999999</v>
      </c>
      <c r="F1728" t="s">
        <v>42</v>
      </c>
      <c r="G1728">
        <v>-182.43</v>
      </c>
      <c r="H1728" s="1">
        <v>-3.7003570000000001E-6</v>
      </c>
      <c r="I1728">
        <v>304.60300000000001</v>
      </c>
      <c r="J1728">
        <v>-191.3398</v>
      </c>
      <c r="K1728">
        <v>1.1100300000000001</v>
      </c>
      <c r="L1728">
        <v>332.63839999999999</v>
      </c>
      <c r="M1728">
        <v>-4.2517979999999997E-2</v>
      </c>
      <c r="N1728">
        <v>-1.3413939999999999E-2</v>
      </c>
      <c r="O1728">
        <v>-0.99900580000000005</v>
      </c>
      <c r="P1728">
        <v>1.819053E-2</v>
      </c>
      <c r="Q1728">
        <v>0.35114440000000002</v>
      </c>
      <c r="R1728">
        <v>-0.9361448</v>
      </c>
      <c r="S1728">
        <v>1.015182</v>
      </c>
      <c r="T1728">
        <v>-0.1266642</v>
      </c>
      <c r="U1728">
        <v>-3.2336119999999999</v>
      </c>
      <c r="V1728">
        <v>-5.7281650000000003E-2</v>
      </c>
      <c r="W1728">
        <v>0.3637592</v>
      </c>
      <c r="X1728">
        <v>0.9297301</v>
      </c>
      <c r="Y1728">
        <v>-0.33963409999999999</v>
      </c>
      <c r="Z1728">
        <v>2.3539689999999999E-2</v>
      </c>
      <c r="AA1728">
        <v>0.94026299999999996</v>
      </c>
      <c r="AB1728">
        <v>28</v>
      </c>
      <c r="AC1728">
        <v>8.90979999999999</v>
      </c>
      <c r="AD1728">
        <v>-1.11003370035699</v>
      </c>
      <c r="AE1728">
        <v>-28.0353999999999</v>
      </c>
      <c r="AF1728">
        <v>-10.0795051485941</v>
      </c>
      <c r="AG1728">
        <v>-1.11003370035699</v>
      </c>
      <c r="AH1728">
        <v>27.591894986317399</v>
      </c>
      <c r="AI1728">
        <v>92.164061941538506</v>
      </c>
      <c r="AJ1728">
        <v>110.06758925873299</v>
      </c>
      <c r="AK1728">
        <v>29.396279829128598</v>
      </c>
      <c r="AL1728">
        <v>68.668758334024702</v>
      </c>
      <c r="AM1728">
        <v>93.525596822857395</v>
      </c>
      <c r="AN1728">
        <v>1.00000000092868</v>
      </c>
    </row>
    <row r="1729" spans="1:40" x14ac:dyDescent="0.25">
      <c r="A1729" t="str">
        <f>"20190304164848922"</f>
        <v>20190304164848922</v>
      </c>
      <c r="B1729" t="str">
        <f>"1551689328917767"</f>
        <v>1551689328917767</v>
      </c>
      <c r="C1729" t="s">
        <v>40</v>
      </c>
      <c r="D1729">
        <v>4.1729989999999999</v>
      </c>
      <c r="E1729">
        <v>0.3891288</v>
      </c>
      <c r="F1729" t="s">
        <v>42</v>
      </c>
      <c r="G1729">
        <v>-182.57230000000001</v>
      </c>
      <c r="H1729" s="1">
        <v>-3.7393049999999999E-6</v>
      </c>
      <c r="I1729">
        <v>304.82870000000003</v>
      </c>
      <c r="J1729">
        <v>-191.35319999999999</v>
      </c>
      <c r="K1729">
        <v>1.1100950000000001</v>
      </c>
      <c r="L1729">
        <v>332.3492</v>
      </c>
      <c r="M1729">
        <v>-4.3447369999999999E-2</v>
      </c>
      <c r="N1729">
        <v>-1.351188E-2</v>
      </c>
      <c r="O1729">
        <v>-0.99896439999999997</v>
      </c>
      <c r="P1729">
        <v>1.8280910000000001E-2</v>
      </c>
      <c r="Q1729">
        <v>0.35093999999999997</v>
      </c>
      <c r="R1729">
        <v>-0.93621980000000005</v>
      </c>
      <c r="S1729">
        <v>1.0193479999999999</v>
      </c>
      <c r="T1729">
        <v>-0.12905739999999999</v>
      </c>
      <c r="U1729">
        <v>-3.233276</v>
      </c>
      <c r="V1729">
        <v>-5.8290889999999998E-2</v>
      </c>
      <c r="W1729">
        <v>0.36364069999999998</v>
      </c>
      <c r="X1729">
        <v>0.92971369999999998</v>
      </c>
      <c r="Y1729">
        <v>-0.34163110000000002</v>
      </c>
      <c r="Z1729">
        <v>2.4118049999999999E-2</v>
      </c>
      <c r="AA1729">
        <v>0.93952460000000004</v>
      </c>
      <c r="AB1729">
        <v>28</v>
      </c>
      <c r="AC1729">
        <v>8.7808999999999706</v>
      </c>
      <c r="AD1729">
        <v>-1.1100987393049999</v>
      </c>
      <c r="AE1729">
        <v>-27.520499999999899</v>
      </c>
      <c r="AF1729">
        <v>-9.9537101590376196</v>
      </c>
      <c r="AG1729">
        <v>-1.1100987393049999</v>
      </c>
      <c r="AH1729">
        <v>27.072986341556799</v>
      </c>
      <c r="AI1729">
        <v>92.203952941799599</v>
      </c>
      <c r="AJ1729">
        <v>110.186560597922</v>
      </c>
      <c r="AK1729">
        <v>28.8661610643199</v>
      </c>
      <c r="AL1729">
        <v>68.676046468593498</v>
      </c>
      <c r="AM1729">
        <v>93.587616268665798</v>
      </c>
      <c r="AN1729">
        <v>0.99999997526058504</v>
      </c>
    </row>
    <row r="1730" spans="1:40" x14ac:dyDescent="0.25">
      <c r="A1730" t="str">
        <f>"20190304164848943"</f>
        <v>20190304164848943</v>
      </c>
      <c r="B1730" t="str">
        <f>"1551689328938262"</f>
        <v>1551689328938262</v>
      </c>
      <c r="C1730" t="s">
        <v>40</v>
      </c>
      <c r="D1730">
        <v>3.9537599999999999</v>
      </c>
      <c r="E1730">
        <v>0.38883499999999999</v>
      </c>
      <c r="F1730" t="s">
        <v>42</v>
      </c>
      <c r="G1730">
        <v>-182.72669999999999</v>
      </c>
      <c r="H1730" s="1">
        <v>-3.8014609999999999E-6</v>
      </c>
      <c r="I1730">
        <v>305.13200000000001</v>
      </c>
      <c r="J1730">
        <v>-191.36519999999999</v>
      </c>
      <c r="K1730">
        <v>1.1101430000000001</v>
      </c>
      <c r="L1730">
        <v>332.09440000000001</v>
      </c>
      <c r="M1730">
        <v>-4.4211229999999997E-2</v>
      </c>
      <c r="N1730">
        <v>-1.3586859999999999E-2</v>
      </c>
      <c r="O1730">
        <v>-0.99892990000000004</v>
      </c>
      <c r="P1730">
        <v>1.866814E-2</v>
      </c>
      <c r="Q1730">
        <v>0.3505839</v>
      </c>
      <c r="R1730">
        <v>-0.93634510000000004</v>
      </c>
      <c r="S1730">
        <v>1.0249629999999901</v>
      </c>
      <c r="T1730">
        <v>-0.1318957</v>
      </c>
      <c r="U1730">
        <v>-3.2337950000000002</v>
      </c>
      <c r="V1730">
        <v>-5.9436049999999997E-2</v>
      </c>
      <c r="W1730">
        <v>0.36335149999999999</v>
      </c>
      <c r="X1730">
        <v>0.92975430000000003</v>
      </c>
      <c r="Y1730">
        <v>-0.34377999999999997</v>
      </c>
      <c r="Z1730">
        <v>2.4835670000000001E-2</v>
      </c>
      <c r="AA1730">
        <v>0.93872169999999999</v>
      </c>
      <c r="AB1730">
        <v>28</v>
      </c>
      <c r="AC1730">
        <v>8.6384999999999899</v>
      </c>
      <c r="AD1730">
        <v>-1.1101468014610001</v>
      </c>
      <c r="AE1730">
        <v>-26.962399999999999</v>
      </c>
      <c r="AF1730">
        <v>-9.8071244292835598</v>
      </c>
      <c r="AG1730">
        <v>-1.1101468014610001</v>
      </c>
      <c r="AH1730">
        <v>26.513314153674401</v>
      </c>
      <c r="AI1730">
        <v>92.248897806225003</v>
      </c>
      <c r="AJ1730">
        <v>110.29914785189099</v>
      </c>
      <c r="AK1730">
        <v>28.290774872804</v>
      </c>
      <c r="AL1730">
        <v>68.693833809576304</v>
      </c>
      <c r="AM1730">
        <v>93.657748352934902</v>
      </c>
      <c r="AN1730">
        <v>1.00000000748017</v>
      </c>
    </row>
    <row r="1731" spans="1:40" x14ac:dyDescent="0.25">
      <c r="A1731" t="str">
        <f>"20190304164848965"</f>
        <v>20190304164848965</v>
      </c>
      <c r="B1731" t="str">
        <f>"1551689328957781"</f>
        <v>1551689328957781</v>
      </c>
      <c r="C1731" t="s">
        <v>40</v>
      </c>
      <c r="D1731">
        <v>4.7376110000000002</v>
      </c>
      <c r="E1731">
        <v>0.38883499999999999</v>
      </c>
      <c r="F1731" t="s">
        <v>42</v>
      </c>
      <c r="G1731">
        <v>-182.81280000000001</v>
      </c>
      <c r="H1731" s="1">
        <v>-3.796162E-6</v>
      </c>
      <c r="I1731">
        <v>305.18380000000002</v>
      </c>
      <c r="J1731">
        <v>-191.37899999999999</v>
      </c>
      <c r="K1731">
        <v>1.1102050000000001</v>
      </c>
      <c r="L1731">
        <v>331.80259999999998</v>
      </c>
      <c r="M1731">
        <v>-4.501749E-2</v>
      </c>
      <c r="N1731">
        <v>-1.366089E-2</v>
      </c>
      <c r="O1731">
        <v>-0.99889300000000003</v>
      </c>
      <c r="P1731">
        <v>1.9045329999999999E-2</v>
      </c>
      <c r="Q1731">
        <v>0.3507749</v>
      </c>
      <c r="R1731">
        <v>-0.93626620000000005</v>
      </c>
      <c r="S1731">
        <v>1.0275879999999999</v>
      </c>
      <c r="T1731">
        <v>-0.1333867</v>
      </c>
      <c r="U1731">
        <v>-3.233368</v>
      </c>
      <c r="V1731">
        <v>-6.0606670000000001E-2</v>
      </c>
      <c r="W1731">
        <v>0.36360340000000002</v>
      </c>
      <c r="X1731">
        <v>0.92958030000000003</v>
      </c>
      <c r="Y1731">
        <v>-0.34526040000000002</v>
      </c>
      <c r="Z1731">
        <v>2.5181160000000001E-2</v>
      </c>
      <c r="AA1731">
        <v>0.93816909999999998</v>
      </c>
      <c r="AB1731">
        <v>28</v>
      </c>
      <c r="AC1731">
        <v>8.5662000000000091</v>
      </c>
      <c r="AD1731">
        <v>-1.110208796162</v>
      </c>
      <c r="AE1731">
        <v>-26.618799999999901</v>
      </c>
      <c r="AF1731">
        <v>-9.7405831300427899</v>
      </c>
      <c r="AG1731">
        <v>-1.110208796162</v>
      </c>
      <c r="AH1731">
        <v>26.164900638569801</v>
      </c>
      <c r="AI1731">
        <v>92.277171707071801</v>
      </c>
      <c r="AJ1731">
        <v>110.419126823227</v>
      </c>
      <c r="AK1731">
        <v>27.941251738434701</v>
      </c>
      <c r="AL1731">
        <v>68.678342709314094</v>
      </c>
      <c r="AM1731">
        <v>93.730284133155806</v>
      </c>
      <c r="AN1731">
        <v>1.0000000675440599</v>
      </c>
    </row>
    <row r="1732" spans="1:40" x14ac:dyDescent="0.25">
      <c r="A1732" t="str">
        <f>"20190304164848987"</f>
        <v>20190304164848987</v>
      </c>
      <c r="B1732" t="str">
        <f>"1551689328978277"</f>
        <v>1551689328978277</v>
      </c>
      <c r="C1732" t="s">
        <v>40</v>
      </c>
      <c r="D1732">
        <v>4.390568</v>
      </c>
      <c r="E1732">
        <v>0.52904510000000005</v>
      </c>
      <c r="F1732" t="s">
        <v>42</v>
      </c>
      <c r="G1732">
        <v>-182.86519999999999</v>
      </c>
      <c r="H1732" s="1">
        <v>-3.7172530000000002E-6</v>
      </c>
      <c r="I1732">
        <v>304.99290000000002</v>
      </c>
      <c r="J1732">
        <v>-191.39240000000001</v>
      </c>
      <c r="K1732">
        <v>1.1102650000000001</v>
      </c>
      <c r="L1732">
        <v>331.52480000000003</v>
      </c>
      <c r="M1732">
        <v>-4.572064E-2</v>
      </c>
      <c r="N1732">
        <v>-1.3721229999999999E-2</v>
      </c>
      <c r="O1732">
        <v>-0.99886019999999998</v>
      </c>
      <c r="P1732">
        <v>1.9450289999999999E-2</v>
      </c>
      <c r="Q1732">
        <v>0.35129690000000002</v>
      </c>
      <c r="R1732">
        <v>-0.93606259999999997</v>
      </c>
      <c r="S1732">
        <v>1.02684</v>
      </c>
      <c r="T1732">
        <v>-0.13390150000000001</v>
      </c>
      <c r="U1732">
        <v>-3.2334900000000002</v>
      </c>
      <c r="V1732">
        <v>-6.1702720000000003E-2</v>
      </c>
      <c r="W1732">
        <v>0.36417189999999999</v>
      </c>
      <c r="X1732">
        <v>0.92928549999999999</v>
      </c>
      <c r="Y1732">
        <v>-0.34571180000000001</v>
      </c>
      <c r="Z1732">
        <v>2.5263669999999998E-2</v>
      </c>
      <c r="AA1732">
        <v>0.93800059999999996</v>
      </c>
      <c r="AB1732">
        <v>28</v>
      </c>
      <c r="AC1732">
        <v>8.5272000000000201</v>
      </c>
      <c r="AD1732">
        <v>-1.1102687172529999</v>
      </c>
      <c r="AE1732">
        <v>-26.5319</v>
      </c>
      <c r="AF1732">
        <v>-9.7160294178304607</v>
      </c>
      <c r="AG1732">
        <v>-1.1102687172529999</v>
      </c>
      <c r="AH1732">
        <v>26.0728612491374</v>
      </c>
      <c r="AI1732">
        <v>92.285046933330094</v>
      </c>
      <c r="AJ1732">
        <v>110.43786603044499</v>
      </c>
      <c r="AK1732">
        <v>27.846508183063602</v>
      </c>
      <c r="AL1732">
        <v>68.643370412506599</v>
      </c>
      <c r="AM1732">
        <v>93.798750519818498</v>
      </c>
      <c r="AN1732">
        <v>0.99999996945762804</v>
      </c>
    </row>
    <row r="1733" spans="1:40" x14ac:dyDescent="0.25">
      <c r="A1733" t="str">
        <f>"20190304164849008"</f>
        <v>20190304164849008</v>
      </c>
      <c r="B1733" t="str">
        <f>"1551689328997800"</f>
        <v>1551689328997800</v>
      </c>
      <c r="C1733" t="s">
        <v>40</v>
      </c>
      <c r="D1733">
        <v>4.5484839999999904</v>
      </c>
      <c r="E1733">
        <v>0.54218849999999996</v>
      </c>
      <c r="F1733" t="s">
        <v>42</v>
      </c>
      <c r="G1733">
        <v>-191.7107</v>
      </c>
      <c r="H1733" s="1">
        <v>-4.6503570000000003E-6</v>
      </c>
      <c r="I1733">
        <v>318.60570000000001</v>
      </c>
      <c r="J1733">
        <v>-191.40549999999999</v>
      </c>
      <c r="K1733">
        <v>1.1103229999999999</v>
      </c>
      <c r="L1733">
        <v>331.25389999999999</v>
      </c>
      <c r="M1733">
        <v>-4.6346720000000001E-2</v>
      </c>
      <c r="N1733">
        <v>-1.377168E-2</v>
      </c>
      <c r="O1733">
        <v>-0.99883069999999896</v>
      </c>
      <c r="P1733">
        <v>1.97523E-2</v>
      </c>
      <c r="Q1733">
        <v>0.35189369999999998</v>
      </c>
      <c r="R1733">
        <v>-0.93583190000000005</v>
      </c>
      <c r="S1733">
        <v>-8.1649780000000005E-2</v>
      </c>
      <c r="T1733">
        <v>-0.28476259999999998</v>
      </c>
      <c r="U1733">
        <v>-3.313507</v>
      </c>
      <c r="V1733">
        <v>-6.262363E-2</v>
      </c>
      <c r="W1733">
        <v>0.3648055</v>
      </c>
      <c r="X1733">
        <v>0.92897529999999995</v>
      </c>
      <c r="Y1733">
        <v>-2.177813E-2</v>
      </c>
      <c r="Z1733">
        <v>7.1742150000000005E-2</v>
      </c>
      <c r="AA1733">
        <v>0.9971854</v>
      </c>
      <c r="AB1733">
        <v>28</v>
      </c>
      <c r="AC1733">
        <v>-0.30520000000001302</v>
      </c>
      <c r="AD1733">
        <v>-1.1103276503570001</v>
      </c>
      <c r="AE1733">
        <v>-12.6481999999999</v>
      </c>
      <c r="AF1733">
        <v>-0.27923546182054299</v>
      </c>
      <c r="AG1733">
        <v>-1.1103276503570001</v>
      </c>
      <c r="AH1733">
        <v>12.552078636311601</v>
      </c>
      <c r="AI1733">
        <v>95.053849764953199</v>
      </c>
      <c r="AJ1733">
        <v>91.274400475168406</v>
      </c>
      <c r="AK1733">
        <v>12.6041849409803</v>
      </c>
      <c r="AL1733">
        <v>68.604385317155604</v>
      </c>
      <c r="AM1733">
        <v>93.856560411668696</v>
      </c>
      <c r="AN1733">
        <v>0.99999993993735603</v>
      </c>
    </row>
    <row r="1734" spans="1:40" x14ac:dyDescent="0.25">
      <c r="A1734" t="str">
        <f>"20190304164849030"</f>
        <v>20190304164849030</v>
      </c>
      <c r="B1734" t="str">
        <f>"1551689329028053"</f>
        <v>1551689329028053</v>
      </c>
      <c r="C1734" t="s">
        <v>40</v>
      </c>
      <c r="D1734">
        <v>4.4270329999999998</v>
      </c>
      <c r="E1734">
        <v>0.54841960000000001</v>
      </c>
      <c r="F1734" t="s">
        <v>41</v>
      </c>
      <c r="G1734">
        <v>-191.4502</v>
      </c>
      <c r="H1734">
        <v>1.0328630000000001</v>
      </c>
      <c r="I1734">
        <v>330.44600000000003</v>
      </c>
      <c r="J1734">
        <v>-191.41900000000001</v>
      </c>
      <c r="K1734">
        <v>1.1103829999999999</v>
      </c>
      <c r="L1734">
        <v>330.9785</v>
      </c>
      <c r="M1734">
        <v>-4.6919860000000001E-2</v>
      </c>
      <c r="N1734">
        <v>-1.381572E-2</v>
      </c>
      <c r="O1734">
        <v>-0.99880349999999996</v>
      </c>
      <c r="P1734">
        <v>2.0800920000000001E-2</v>
      </c>
      <c r="Q1734">
        <v>0.35216700000000001</v>
      </c>
      <c r="R1734">
        <v>-0.9357065</v>
      </c>
      <c r="S1734">
        <v>-0.18379210000000001</v>
      </c>
      <c r="T1734">
        <v>-0.31935950000000002</v>
      </c>
      <c r="U1734">
        <v>-3.3296809999999999</v>
      </c>
      <c r="V1734">
        <v>-6.4249410000000007E-2</v>
      </c>
      <c r="W1734">
        <v>0.3651105</v>
      </c>
      <c r="X1734">
        <v>0.92874449999999997</v>
      </c>
      <c r="Y1734">
        <v>8.0107640000000001E-3</v>
      </c>
      <c r="Z1734">
        <v>8.150019E-2</v>
      </c>
      <c r="AA1734">
        <v>0.9966412</v>
      </c>
      <c r="AB1734">
        <v>28</v>
      </c>
      <c r="AC1734">
        <v>-3.1199999999984102E-2</v>
      </c>
      <c r="AD1734">
        <v>-7.7520000000000006E-2</v>
      </c>
      <c r="AE1734">
        <v>-0.53250000000002695</v>
      </c>
      <c r="AF1734">
        <v>6.0506397390035199E-3</v>
      </c>
      <c r="AG1734">
        <v>-7.7520000000000006E-2</v>
      </c>
      <c r="AH1734">
        <v>0.52234537469523501</v>
      </c>
      <c r="AI1734">
        <v>98.440954071928701</v>
      </c>
      <c r="AJ1734">
        <v>89.336338306417701</v>
      </c>
      <c r="AK1734">
        <v>0.52810098570894204</v>
      </c>
      <c r="AL1734">
        <v>68.585616895083703</v>
      </c>
      <c r="AM1734">
        <v>93.957347176632993</v>
      </c>
      <c r="AN1734">
        <v>1.0000000050879201</v>
      </c>
    </row>
    <row r="1735" spans="1:40" x14ac:dyDescent="0.25">
      <c r="A1735" t="str">
        <f>"20190304164849054"</f>
        <v>20190304164849054</v>
      </c>
      <c r="B1735" t="str">
        <f>"1551689329047573"</f>
        <v>1551689329047573</v>
      </c>
      <c r="C1735" t="s">
        <v>40</v>
      </c>
      <c r="D1735">
        <v>4.4284970000000001</v>
      </c>
      <c r="E1735">
        <v>0.55044569999999904</v>
      </c>
      <c r="F1735" t="s">
        <v>41</v>
      </c>
      <c r="G1735">
        <v>-191.47290000000001</v>
      </c>
      <c r="H1735">
        <v>1.0313650000000001</v>
      </c>
      <c r="I1735">
        <v>330.19549999999998</v>
      </c>
      <c r="J1735">
        <v>-191.4333</v>
      </c>
      <c r="K1735">
        <v>1.110457</v>
      </c>
      <c r="L1735">
        <v>330.68709999999999</v>
      </c>
      <c r="M1735">
        <v>-4.7456079999999998E-2</v>
      </c>
      <c r="N1735">
        <v>-1.385554E-2</v>
      </c>
      <c r="O1735">
        <v>-0.99877720000000003</v>
      </c>
      <c r="P1735">
        <v>2.1534930000000001E-2</v>
      </c>
      <c r="Q1735">
        <v>0.35294490000000001</v>
      </c>
      <c r="R1735">
        <v>-0.93539629999999996</v>
      </c>
      <c r="S1735">
        <v>-0.22953799999999999</v>
      </c>
      <c r="T1735">
        <v>-0.33691100000000002</v>
      </c>
      <c r="U1735">
        <v>-3.3380740000000002</v>
      </c>
      <c r="V1735">
        <v>-6.5520780000000001E-2</v>
      </c>
      <c r="W1735">
        <v>0.36591210000000002</v>
      </c>
      <c r="X1735">
        <v>0.9283401</v>
      </c>
      <c r="Y1735">
        <v>2.0902210000000001E-2</v>
      </c>
      <c r="Z1735">
        <v>8.634973E-2</v>
      </c>
      <c r="AA1735">
        <v>0.99604559999999998</v>
      </c>
      <c r="AB1735">
        <v>28</v>
      </c>
      <c r="AC1735">
        <v>-3.9600000000007102E-2</v>
      </c>
      <c r="AD1735">
        <v>-7.9092000000000107E-2</v>
      </c>
      <c r="AE1735">
        <v>-0.49160000000000498</v>
      </c>
      <c r="AF1735">
        <v>1.5816950108978701E-2</v>
      </c>
      <c r="AG1735">
        <v>-7.9092000000000107E-2</v>
      </c>
      <c r="AH1735">
        <v>0.48056639136852403</v>
      </c>
      <c r="AI1735">
        <v>99.341032708541803</v>
      </c>
      <c r="AJ1735">
        <v>88.114896344195103</v>
      </c>
      <c r="AK1735">
        <v>0.487288186690089</v>
      </c>
      <c r="AL1735">
        <v>68.536274085703994</v>
      </c>
      <c r="AM1735">
        <v>94.037151188636003</v>
      </c>
      <c r="AN1735">
        <v>0.99999998940311396</v>
      </c>
    </row>
    <row r="1736" spans="1:40" x14ac:dyDescent="0.25">
      <c r="A1736" t="str">
        <f>"20190304164849076"</f>
        <v>20190304164849076</v>
      </c>
      <c r="B1736" t="str">
        <f>"1551689329068069"</f>
        <v>1551689329068069</v>
      </c>
      <c r="C1736" t="s">
        <v>40</v>
      </c>
      <c r="D1736">
        <v>4.9261059999999999</v>
      </c>
      <c r="E1736">
        <v>0.55173159999999999</v>
      </c>
      <c r="F1736" t="s">
        <v>41</v>
      </c>
      <c r="G1736">
        <v>-191.48759999999999</v>
      </c>
      <c r="H1736">
        <v>1.034799</v>
      </c>
      <c r="I1736">
        <v>329.9427</v>
      </c>
      <c r="J1736">
        <v>-191.44759999999999</v>
      </c>
      <c r="K1736">
        <v>1.110525</v>
      </c>
      <c r="L1736">
        <v>330.3999</v>
      </c>
      <c r="M1736">
        <v>-4.7905129999999997E-2</v>
      </c>
      <c r="N1736">
        <v>-1.3888620000000001E-2</v>
      </c>
      <c r="O1736">
        <v>-0.99875539999999996</v>
      </c>
      <c r="P1736">
        <v>2.146851E-2</v>
      </c>
      <c r="Q1736">
        <v>0.35374620000000001</v>
      </c>
      <c r="R1736">
        <v>-0.93509520000000002</v>
      </c>
      <c r="S1736">
        <v>-0.24328610000000001</v>
      </c>
      <c r="T1736">
        <v>-0.33958650000000001</v>
      </c>
      <c r="U1736">
        <v>-3.340973</v>
      </c>
      <c r="V1736">
        <v>-6.591052E-2</v>
      </c>
      <c r="W1736">
        <v>0.36673030000000001</v>
      </c>
      <c r="X1736">
        <v>0.92798959999999997</v>
      </c>
      <c r="Y1736">
        <v>2.4464630000000001E-2</v>
      </c>
      <c r="Z1736">
        <v>8.6998069999999997E-2</v>
      </c>
      <c r="AA1736">
        <v>0.99590800000000002</v>
      </c>
      <c r="AB1736">
        <v>28</v>
      </c>
      <c r="AC1736">
        <v>-3.9999999999992E-2</v>
      </c>
      <c r="AD1736">
        <v>-7.5725999999999904E-2</v>
      </c>
      <c r="AE1736">
        <v>-0.4572</v>
      </c>
      <c r="AF1736">
        <v>1.7571352188830401E-2</v>
      </c>
      <c r="AG1736">
        <v>-7.5725999999999904E-2</v>
      </c>
      <c r="AH1736">
        <v>0.44643717328996801</v>
      </c>
      <c r="AI1736">
        <v>99.619739726513203</v>
      </c>
      <c r="AJ1736">
        <v>87.746054782452205</v>
      </c>
      <c r="AK1736">
        <v>0.45315486225889801</v>
      </c>
      <c r="AL1736">
        <v>68.485892901895596</v>
      </c>
      <c r="AM1736">
        <v>94.062614160724195</v>
      </c>
      <c r="AN1736">
        <v>1.00000000364646</v>
      </c>
    </row>
    <row r="1737" spans="1:40" x14ac:dyDescent="0.25">
      <c r="A1737" t="str">
        <f>"20190304164849100"</f>
        <v>20190304164849100</v>
      </c>
      <c r="B1737" t="str">
        <f>"1551689329087592"</f>
        <v>1551689329087592</v>
      </c>
      <c r="C1737" t="s">
        <v>40</v>
      </c>
      <c r="D1737">
        <v>4.5555399999999997</v>
      </c>
      <c r="E1737">
        <v>0.55243409999999904</v>
      </c>
      <c r="F1737" t="s">
        <v>41</v>
      </c>
      <c r="G1737">
        <v>-191.51910000000001</v>
      </c>
      <c r="H1737">
        <v>1.016162</v>
      </c>
      <c r="I1737">
        <v>329.4504</v>
      </c>
      <c r="J1737">
        <v>-191.46209999999999</v>
      </c>
      <c r="K1737">
        <v>1.110603</v>
      </c>
      <c r="L1737">
        <v>330.10629999999998</v>
      </c>
      <c r="M1737">
        <v>-4.8278000000000001E-2</v>
      </c>
      <c r="N1737">
        <v>-1.3916980000000001E-2</v>
      </c>
      <c r="O1737">
        <v>-0.99873699999999999</v>
      </c>
      <c r="P1737">
        <v>2.0676509999999999E-2</v>
      </c>
      <c r="Q1737">
        <v>0.35449809999999998</v>
      </c>
      <c r="R1737">
        <v>-0.93482810000000005</v>
      </c>
      <c r="S1737">
        <v>-0.2514496</v>
      </c>
      <c r="T1737">
        <v>-0.3320535</v>
      </c>
      <c r="U1737">
        <v>-3.3396300000000001</v>
      </c>
      <c r="V1737">
        <v>-6.5507819999999994E-2</v>
      </c>
      <c r="W1737">
        <v>0.36749490000000001</v>
      </c>
      <c r="X1737">
        <v>0.92771559999999997</v>
      </c>
      <c r="Y1737">
        <v>2.6554540000000001E-2</v>
      </c>
      <c r="Z1737">
        <v>8.4779080000000007E-2</v>
      </c>
      <c r="AA1737">
        <v>0.99604590000000004</v>
      </c>
      <c r="AB1737">
        <v>28</v>
      </c>
      <c r="AC1737">
        <v>-5.7000000000016302E-2</v>
      </c>
      <c r="AD1737">
        <v>-9.4440999999999997E-2</v>
      </c>
      <c r="AE1737">
        <v>-0.65589999999997395</v>
      </c>
      <c r="AF1737">
        <v>2.4755524996874799E-2</v>
      </c>
      <c r="AG1737">
        <v>-9.4440999999999997E-2</v>
      </c>
      <c r="AH1737">
        <v>0.644622853285305</v>
      </c>
      <c r="AI1737">
        <v>98.328816447844602</v>
      </c>
      <c r="AJ1737">
        <v>87.800744369554906</v>
      </c>
      <c r="AK1737">
        <v>0.651974356456264</v>
      </c>
      <c r="AL1737">
        <v>68.438796119165403</v>
      </c>
      <c r="AM1737">
        <v>94.039063398992397</v>
      </c>
      <c r="AN1737">
        <v>1.00000000524526</v>
      </c>
    </row>
    <row r="1738" spans="1:40" x14ac:dyDescent="0.25">
      <c r="A1738" t="str">
        <f>"20190304164849122"</f>
        <v>20190304164849122</v>
      </c>
      <c r="B1738" t="str">
        <f>"1551689329117844"</f>
        <v>1551689329117844</v>
      </c>
      <c r="C1738" t="s">
        <v>40</v>
      </c>
      <c r="D1738">
        <v>4.5237360000000004</v>
      </c>
      <c r="E1738">
        <v>0.55307580000000001</v>
      </c>
      <c r="F1738" t="s">
        <v>41</v>
      </c>
      <c r="G1738">
        <v>-191.5326</v>
      </c>
      <c r="H1738">
        <v>1.0212749999999999</v>
      </c>
      <c r="I1738">
        <v>329.19760000000002</v>
      </c>
      <c r="J1738">
        <v>-191.47569999999999</v>
      </c>
      <c r="K1738">
        <v>1.11066</v>
      </c>
      <c r="L1738">
        <v>329.83390000000003</v>
      </c>
      <c r="M1738">
        <v>-4.8563240000000001E-2</v>
      </c>
      <c r="N1738">
        <v>-1.3939450000000001E-2</v>
      </c>
      <c r="O1738">
        <v>-0.99872309999999997</v>
      </c>
      <c r="P1738">
        <v>1.974791E-2</v>
      </c>
      <c r="Q1738">
        <v>0.35524109999999998</v>
      </c>
      <c r="R1738">
        <v>-0.93456629999999996</v>
      </c>
      <c r="S1738">
        <v>-0.25906370000000001</v>
      </c>
      <c r="T1738">
        <v>-0.32835819999999999</v>
      </c>
      <c r="U1738">
        <v>-3.3393549999999999</v>
      </c>
      <c r="V1738">
        <v>-6.4879249999999999E-2</v>
      </c>
      <c r="W1738">
        <v>0.36824649999999998</v>
      </c>
      <c r="X1738">
        <v>0.92746170000000006</v>
      </c>
      <c r="Y1738">
        <v>2.853895E-2</v>
      </c>
      <c r="Z1738">
        <v>8.3664210000000003E-2</v>
      </c>
      <c r="AA1738">
        <v>0.9960852</v>
      </c>
      <c r="AB1738">
        <v>28</v>
      </c>
      <c r="AC1738">
        <v>-5.6900000000013003E-2</v>
      </c>
      <c r="AD1738">
        <v>-8.9385000000000006E-2</v>
      </c>
      <c r="AE1738">
        <v>-0.63630000000000497</v>
      </c>
      <c r="AF1738">
        <v>2.5431200264270998E-2</v>
      </c>
      <c r="AG1738">
        <v>-8.9385000000000006E-2</v>
      </c>
      <c r="AH1738">
        <v>0.626056294643352</v>
      </c>
      <c r="AI1738">
        <v>98.118866896170204</v>
      </c>
      <c r="AJ1738">
        <v>87.673851696065896</v>
      </c>
      <c r="AK1738">
        <v>0.632916193689532</v>
      </c>
      <c r="AL1738">
        <v>68.392485101312502</v>
      </c>
      <c r="AM1738">
        <v>94.001525233276197</v>
      </c>
      <c r="AN1738">
        <v>1.00000000340485</v>
      </c>
    </row>
    <row r="1739" spans="1:40" x14ac:dyDescent="0.25">
      <c r="A1739" t="str">
        <f>"20190304164849143"</f>
        <v>20190304164849143</v>
      </c>
      <c r="B1739" t="str">
        <f>"1551689329137364"</f>
        <v>1551689329137364</v>
      </c>
      <c r="C1739" t="s">
        <v>40</v>
      </c>
      <c r="D1739">
        <v>4.6371479999999998</v>
      </c>
      <c r="E1739">
        <v>0.5533496</v>
      </c>
      <c r="F1739" t="s">
        <v>41</v>
      </c>
      <c r="G1739">
        <v>-191.5471</v>
      </c>
      <c r="H1739">
        <v>1.0251870000000001</v>
      </c>
      <c r="I1739">
        <v>328.94569999999999</v>
      </c>
      <c r="J1739">
        <v>-191.489</v>
      </c>
      <c r="K1739">
        <v>1.110717</v>
      </c>
      <c r="L1739">
        <v>329.56709999999998</v>
      </c>
      <c r="M1739">
        <v>-4.877944E-2</v>
      </c>
      <c r="N1739">
        <v>-1.395821E-2</v>
      </c>
      <c r="O1739">
        <v>-0.99871209999999999</v>
      </c>
      <c r="P1739">
        <v>1.8253249999999999E-2</v>
      </c>
      <c r="Q1739">
        <v>0.3558595</v>
      </c>
      <c r="R1739">
        <v>-0.93436110000000006</v>
      </c>
      <c r="S1739">
        <v>-0.26759339999999998</v>
      </c>
      <c r="T1739">
        <v>-0.32146390000000002</v>
      </c>
      <c r="U1739">
        <v>-3.3378909999999999</v>
      </c>
      <c r="V1739">
        <v>-6.3622150000000002E-2</v>
      </c>
      <c r="W1739">
        <v>0.36887189999999997</v>
      </c>
      <c r="X1739">
        <v>0.92730020000000002</v>
      </c>
      <c r="Y1739">
        <v>3.0897810000000001E-2</v>
      </c>
      <c r="Z1739">
        <v>8.1642439999999997E-2</v>
      </c>
      <c r="AA1739">
        <v>0.99618260000000003</v>
      </c>
      <c r="AB1739">
        <v>28</v>
      </c>
      <c r="AC1739">
        <v>-5.8099999999996002E-2</v>
      </c>
      <c r="AD1739">
        <v>-8.5529999999999801E-2</v>
      </c>
      <c r="AE1739">
        <v>-0.62139999999999396</v>
      </c>
      <c r="AF1739">
        <v>2.72053881502144E-2</v>
      </c>
      <c r="AG1739">
        <v>-8.5529999999999801E-2</v>
      </c>
      <c r="AH1739">
        <v>0.61200061869710498</v>
      </c>
      <c r="AI1739">
        <v>97.948080142303596</v>
      </c>
      <c r="AJ1739">
        <v>87.454694743009199</v>
      </c>
      <c r="AK1739">
        <v>0.61854690309631599</v>
      </c>
      <c r="AL1739">
        <v>68.353937811833305</v>
      </c>
      <c r="AM1739">
        <v>93.924917643452105</v>
      </c>
      <c r="AN1739">
        <v>0.99999995875013503</v>
      </c>
    </row>
    <row r="1740" spans="1:40" x14ac:dyDescent="0.25">
      <c r="A1740" t="str">
        <f>"20190304164849166"</f>
        <v>20190304164849166</v>
      </c>
      <c r="B1740" t="str">
        <f>"1551689329157861"</f>
        <v>1551689329157861</v>
      </c>
      <c r="C1740" t="s">
        <v>40</v>
      </c>
      <c r="D1740">
        <v>4.5509089999999999</v>
      </c>
      <c r="E1740">
        <v>0.55384580000000005</v>
      </c>
      <c r="F1740" t="s">
        <v>41</v>
      </c>
      <c r="G1740">
        <v>-191.56059999999999</v>
      </c>
      <c r="H1740">
        <v>1.0273129999999999</v>
      </c>
      <c r="I1740">
        <v>328.69490000000002</v>
      </c>
      <c r="J1740">
        <v>-191.5033</v>
      </c>
      <c r="K1740">
        <v>1.110779</v>
      </c>
      <c r="L1740">
        <v>329.27789999999999</v>
      </c>
      <c r="M1740">
        <v>-4.8935800000000002E-2</v>
      </c>
      <c r="N1740">
        <v>-1.3975349999999999E-2</v>
      </c>
      <c r="O1740">
        <v>-0.99870420000000004</v>
      </c>
      <c r="P1740">
        <v>1.6053830000000002E-2</v>
      </c>
      <c r="Q1740">
        <v>0.3564464</v>
      </c>
      <c r="R1740">
        <v>-0.9341777</v>
      </c>
      <c r="S1740">
        <v>-0.2739105</v>
      </c>
      <c r="T1740">
        <v>-0.319245</v>
      </c>
      <c r="U1740">
        <v>-3.3376769999999998</v>
      </c>
      <c r="V1740">
        <v>-6.1613550000000003E-2</v>
      </c>
      <c r="W1740">
        <v>0.36946400000000001</v>
      </c>
      <c r="X1740">
        <v>0.92720009999999997</v>
      </c>
      <c r="Y1740">
        <v>3.2622789999999999E-2</v>
      </c>
      <c r="Z1740">
        <v>8.0967079999999997E-2</v>
      </c>
      <c r="AA1740">
        <v>0.99618269999999998</v>
      </c>
      <c r="AB1740">
        <v>28</v>
      </c>
      <c r="AC1740">
        <v>-5.7299999999997901E-2</v>
      </c>
      <c r="AD1740">
        <v>-8.3466000000000207E-2</v>
      </c>
      <c r="AE1740">
        <v>-0.58299999999996999</v>
      </c>
      <c r="AF1740">
        <v>2.8127968380711601E-2</v>
      </c>
      <c r="AG1740">
        <v>-8.3466000000000207E-2</v>
      </c>
      <c r="AH1740">
        <v>0.57346406737119004</v>
      </c>
      <c r="AI1740">
        <v>98.271276914558996</v>
      </c>
      <c r="AJ1740">
        <v>87.191936849431002</v>
      </c>
      <c r="AK1740">
        <v>0.58018858341674995</v>
      </c>
      <c r="AL1740">
        <v>68.317434308190897</v>
      </c>
      <c r="AM1740">
        <v>93.801783382193406</v>
      </c>
      <c r="AN1740">
        <v>0.999999951139804</v>
      </c>
    </row>
    <row r="1741" spans="1:40" x14ac:dyDescent="0.25">
      <c r="A1741" t="str">
        <f>"20190304164849189"</f>
        <v>20190304164849189</v>
      </c>
      <c r="B1741" t="str">
        <f>"1551689329177380"</f>
        <v>1551689329177380</v>
      </c>
      <c r="C1741" t="s">
        <v>40</v>
      </c>
      <c r="D1741">
        <v>4.6152749999999996</v>
      </c>
      <c r="E1741">
        <v>0.55405490000000002</v>
      </c>
      <c r="F1741" t="s">
        <v>41</v>
      </c>
      <c r="G1741">
        <v>-191.57409999999999</v>
      </c>
      <c r="H1741">
        <v>1.0303709999999999</v>
      </c>
      <c r="I1741">
        <v>328.44420000000002</v>
      </c>
      <c r="J1741">
        <v>-191.5171</v>
      </c>
      <c r="K1741">
        <v>1.1108450000000001</v>
      </c>
      <c r="L1741">
        <v>329.00069999999999</v>
      </c>
      <c r="M1741">
        <v>-4.9015919999999998E-2</v>
      </c>
      <c r="N1741">
        <v>-1.398926E-2</v>
      </c>
      <c r="O1741">
        <v>-0.99870040000000004</v>
      </c>
      <c r="P1741">
        <v>1.460328E-2</v>
      </c>
      <c r="Q1741">
        <v>0.35621999999999998</v>
      </c>
      <c r="R1741">
        <v>-0.93428829999999996</v>
      </c>
      <c r="S1741">
        <v>-0.28301999999999999</v>
      </c>
      <c r="T1741">
        <v>-0.32216840000000002</v>
      </c>
      <c r="U1741">
        <v>-3.3391419999999998</v>
      </c>
      <c r="V1741">
        <v>-6.0294540000000001E-2</v>
      </c>
      <c r="W1741">
        <v>0.36924420000000002</v>
      </c>
      <c r="X1741">
        <v>0.92737440000000004</v>
      </c>
      <c r="Y1741">
        <v>3.5198109999999998E-2</v>
      </c>
      <c r="Z1741">
        <v>8.1758979999999995E-2</v>
      </c>
      <c r="AA1741">
        <v>0.99603039999999998</v>
      </c>
      <c r="AB1741">
        <v>28</v>
      </c>
      <c r="AC1741">
        <v>-5.6999999999987901E-2</v>
      </c>
      <c r="AD1741">
        <v>-8.0474000000000101E-2</v>
      </c>
      <c r="AE1741">
        <v>-0.55649999999997102</v>
      </c>
      <c r="AF1741">
        <v>2.9050281788513699E-2</v>
      </c>
      <c r="AG1741">
        <v>-8.0474000000000101E-2</v>
      </c>
      <c r="AH1741">
        <v>0.54729922252329599</v>
      </c>
      <c r="AI1741">
        <v>98.353147891868602</v>
      </c>
      <c r="AJ1741">
        <v>86.961629121223993</v>
      </c>
      <c r="AK1741">
        <v>0.55394622710385499</v>
      </c>
      <c r="AL1741">
        <v>68.330987174286804</v>
      </c>
      <c r="AM1741">
        <v>93.719929365694796</v>
      </c>
      <c r="AN1741">
        <v>0.99999999428140496</v>
      </c>
    </row>
    <row r="1742" spans="1:40" x14ac:dyDescent="0.25">
      <c r="A1742" t="str">
        <f>"20190304164849209"</f>
        <v>20190304164849209</v>
      </c>
      <c r="B1742" t="str">
        <f>"1551689329197880"</f>
        <v>1551689329197880</v>
      </c>
      <c r="C1742" t="s">
        <v>40</v>
      </c>
      <c r="D1742">
        <v>4.4766120000000003</v>
      </c>
      <c r="E1742">
        <v>0.55436739999999995</v>
      </c>
      <c r="F1742" t="s">
        <v>41</v>
      </c>
      <c r="G1742">
        <v>-191.5866</v>
      </c>
      <c r="H1742">
        <v>1.031377</v>
      </c>
      <c r="I1742">
        <v>328.19459999999998</v>
      </c>
      <c r="J1742">
        <v>-191.5299</v>
      </c>
      <c r="K1742">
        <v>1.1108990000000001</v>
      </c>
      <c r="L1742">
        <v>328.74160000000001</v>
      </c>
      <c r="M1742">
        <v>-4.902977E-2</v>
      </c>
      <c r="N1742">
        <v>-1.4000189999999999E-2</v>
      </c>
      <c r="O1742">
        <v>-0.99869920000000001</v>
      </c>
      <c r="P1742">
        <v>1.3304959999999999E-2</v>
      </c>
      <c r="Q1742">
        <v>0.35556779999999999</v>
      </c>
      <c r="R1742">
        <v>-0.93455560000000004</v>
      </c>
      <c r="S1742">
        <v>-0.28758240000000002</v>
      </c>
      <c r="T1742">
        <v>-0.32947399999999999</v>
      </c>
      <c r="U1742">
        <v>-3.3410950000000001</v>
      </c>
      <c r="V1742">
        <v>-5.9070820000000003E-2</v>
      </c>
      <c r="W1742">
        <v>0.3685988</v>
      </c>
      <c r="X1742">
        <v>0.92770980000000003</v>
      </c>
      <c r="Y1742">
        <v>3.6469109999999999E-2</v>
      </c>
      <c r="Z1742">
        <v>8.3835590000000001E-2</v>
      </c>
      <c r="AA1742">
        <v>0.99581209999999998</v>
      </c>
      <c r="AB1742">
        <v>28</v>
      </c>
      <c r="AC1742">
        <v>-5.6700000000006398E-2</v>
      </c>
      <c r="AD1742">
        <v>-7.9521999999999995E-2</v>
      </c>
      <c r="AE1742">
        <v>-0.54700000000002502</v>
      </c>
      <c r="AF1742">
        <v>2.91993178005313E-2</v>
      </c>
      <c r="AG1742">
        <v>-7.9521999999999995E-2</v>
      </c>
      <c r="AH1742">
        <v>0.53787517862377898</v>
      </c>
      <c r="AI1742">
        <v>98.397767593233198</v>
      </c>
      <c r="AJ1742">
        <v>86.892667312133696</v>
      </c>
      <c r="AK1742">
        <v>0.54450533185964201</v>
      </c>
      <c r="AL1742">
        <v>68.370771401063195</v>
      </c>
      <c r="AM1742">
        <v>93.643322269298807</v>
      </c>
      <c r="AN1742">
        <v>0.99999995507647499</v>
      </c>
    </row>
    <row r="1743" spans="1:40" x14ac:dyDescent="0.25">
      <c r="A1743" t="str">
        <f>"20190304164849233"</f>
        <v>20190304164849233</v>
      </c>
      <c r="B1743" t="str">
        <f>"1551689329228133"</f>
        <v>1551689329228133</v>
      </c>
      <c r="C1743" t="s">
        <v>40</v>
      </c>
      <c r="D1743">
        <v>4.479222</v>
      </c>
      <c r="E1743">
        <v>0.55480819999999997</v>
      </c>
      <c r="F1743" t="s">
        <v>41</v>
      </c>
      <c r="G1743">
        <v>-191.59989999999999</v>
      </c>
      <c r="H1743">
        <v>1.031318</v>
      </c>
      <c r="I1743">
        <v>327.94589999999999</v>
      </c>
      <c r="J1743">
        <v>-191.5445</v>
      </c>
      <c r="K1743">
        <v>1.110965</v>
      </c>
      <c r="L1743">
        <v>328.44319999999999</v>
      </c>
      <c r="M1743">
        <v>-4.896238E-2</v>
      </c>
      <c r="N1743">
        <v>-1.4010689999999999E-2</v>
      </c>
      <c r="O1743">
        <v>-0.99870230000000004</v>
      </c>
      <c r="P1743">
        <v>1.1729959999999999E-2</v>
      </c>
      <c r="Q1743">
        <v>0.35518240000000001</v>
      </c>
      <c r="R1743">
        <v>-0.93472359999999999</v>
      </c>
      <c r="S1743">
        <v>-0.29335020000000001</v>
      </c>
      <c r="T1743">
        <v>-0.3344432</v>
      </c>
      <c r="U1743">
        <v>-3.3414920000000001</v>
      </c>
      <c r="V1743">
        <v>-5.7499069999999999E-2</v>
      </c>
      <c r="W1743">
        <v>0.36821759999999998</v>
      </c>
      <c r="X1743">
        <v>0.92795989999999995</v>
      </c>
      <c r="Y1743">
        <v>3.8219950000000003E-2</v>
      </c>
      <c r="Z1743">
        <v>8.5265670000000002E-2</v>
      </c>
      <c r="AA1743">
        <v>0.99562499999999998</v>
      </c>
      <c r="AB1743">
        <v>28</v>
      </c>
      <c r="AC1743">
        <v>-5.5399999999991602E-2</v>
      </c>
      <c r="AD1743">
        <v>-7.9646999999999996E-2</v>
      </c>
      <c r="AE1743">
        <v>-0.49729999999999502</v>
      </c>
      <c r="AF1743">
        <v>3.0216578337261601E-2</v>
      </c>
      <c r="AG1743">
        <v>-7.9646999999999996E-2</v>
      </c>
      <c r="AH1743">
        <v>0.48707546321068501</v>
      </c>
      <c r="AI1743">
        <v>99.269353836360693</v>
      </c>
      <c r="AJ1743">
        <v>86.450105425672604</v>
      </c>
      <c r="AK1743">
        <v>0.49446859665434301</v>
      </c>
      <c r="AL1743">
        <v>68.394265107786595</v>
      </c>
      <c r="AM1743">
        <v>93.545678517075601</v>
      </c>
      <c r="AN1743">
        <v>0.99999996000431601</v>
      </c>
    </row>
    <row r="1744" spans="1:40" x14ac:dyDescent="0.25">
      <c r="A1744" t="str">
        <f>"20190304164849255"</f>
        <v>20190304164849255</v>
      </c>
      <c r="B1744" t="str">
        <f>"1551689329247653"</f>
        <v>1551689329247653</v>
      </c>
      <c r="C1744" t="s">
        <v>40</v>
      </c>
      <c r="D1744">
        <v>4.4572750000000001</v>
      </c>
      <c r="E1744">
        <v>0.55503499999999995</v>
      </c>
      <c r="F1744" t="s">
        <v>41</v>
      </c>
      <c r="G1744">
        <v>-191.61179999999999</v>
      </c>
      <c r="H1744">
        <v>1.035204</v>
      </c>
      <c r="I1744">
        <v>327.69549999999998</v>
      </c>
      <c r="J1744">
        <v>-191.55760000000001</v>
      </c>
      <c r="K1744">
        <v>1.1110340000000001</v>
      </c>
      <c r="L1744">
        <v>328.1737</v>
      </c>
      <c r="M1744">
        <v>-4.8806809999999999E-2</v>
      </c>
      <c r="N1744">
        <v>-1.4018310000000001E-2</v>
      </c>
      <c r="O1744">
        <v>-0.99870999999999999</v>
      </c>
      <c r="P1744">
        <v>1.013152E-2</v>
      </c>
      <c r="Q1744">
        <v>0.3551684</v>
      </c>
      <c r="R1744">
        <v>-0.93474760000000001</v>
      </c>
      <c r="S1744">
        <v>-0.30105589999999999</v>
      </c>
      <c r="T1744">
        <v>-0.33855150000000001</v>
      </c>
      <c r="U1744">
        <v>-3.3419189999999999</v>
      </c>
      <c r="V1744">
        <v>-5.5816520000000001E-2</v>
      </c>
      <c r="W1744">
        <v>0.36820389999999997</v>
      </c>
      <c r="X1744">
        <v>0.92806809999999995</v>
      </c>
      <c r="Y1744">
        <v>4.0630729999999997E-2</v>
      </c>
      <c r="Z1744">
        <v>8.6440119999999995E-2</v>
      </c>
      <c r="AA1744">
        <v>0.99542810000000004</v>
      </c>
      <c r="AB1744">
        <v>28</v>
      </c>
      <c r="AC1744">
        <v>-5.4199999999980202E-2</v>
      </c>
      <c r="AD1744">
        <v>-7.5829999999999995E-2</v>
      </c>
      <c r="AE1744">
        <v>-0.478200000000015</v>
      </c>
      <c r="AF1744">
        <v>3.0047700987028799E-2</v>
      </c>
      <c r="AG1744">
        <v>-7.5829999999999995E-2</v>
      </c>
      <c r="AH1744">
        <v>0.46864076139795802</v>
      </c>
      <c r="AI1744">
        <v>99.172760409559302</v>
      </c>
      <c r="AJ1744">
        <v>86.331405103424999</v>
      </c>
      <c r="AK1744">
        <v>0.47568604822746602</v>
      </c>
      <c r="AL1744">
        <v>68.395110217115004</v>
      </c>
      <c r="AM1744">
        <v>93.441776991156999</v>
      </c>
      <c r="AN1744">
        <v>0.999999997058865</v>
      </c>
    </row>
    <row r="1745" spans="1:40" x14ac:dyDescent="0.25">
      <c r="A1745" t="str">
        <f>"20190304164849269"</f>
        <v>20190304164849269</v>
      </c>
      <c r="B1745" t="str">
        <f>"1551689329257413"</f>
        <v>1551689329257413</v>
      </c>
      <c r="C1745" t="s">
        <v>40</v>
      </c>
      <c r="D1745">
        <v>4.7178849999999999</v>
      </c>
      <c r="E1745">
        <v>0.55512919999999999</v>
      </c>
      <c r="F1745" t="s">
        <v>41</v>
      </c>
      <c r="G1745">
        <v>-191.62479999999999</v>
      </c>
      <c r="H1745">
        <v>1.037704</v>
      </c>
      <c r="I1745">
        <v>327.44619999999998</v>
      </c>
      <c r="J1745">
        <v>-191.56559999999999</v>
      </c>
      <c r="K1745">
        <v>1.1110819999999999</v>
      </c>
      <c r="L1745">
        <v>328.00889999999998</v>
      </c>
      <c r="M1745">
        <v>-4.8650039999999999E-2</v>
      </c>
      <c r="N1745">
        <v>-1.402226E-2</v>
      </c>
      <c r="O1745">
        <v>-0.99871770000000004</v>
      </c>
      <c r="P1745">
        <v>9.4999899999999998E-3</v>
      </c>
      <c r="Q1745">
        <v>0.35502719999999999</v>
      </c>
      <c r="R1745">
        <v>-0.93480810000000003</v>
      </c>
      <c r="S1745">
        <v>-0.30731199999999997</v>
      </c>
      <c r="T1745">
        <v>-0.33710709999999999</v>
      </c>
      <c r="U1745">
        <v>-3.3408509999999998</v>
      </c>
      <c r="V1745">
        <v>-5.5083449999999999E-2</v>
      </c>
      <c r="W1745">
        <v>0.368062</v>
      </c>
      <c r="X1745">
        <v>0.9281682</v>
      </c>
      <c r="Y1745">
        <v>4.2666370000000002E-2</v>
      </c>
      <c r="Z1745">
        <v>8.6032310000000001E-2</v>
      </c>
      <c r="AA1745">
        <v>0.99537830000000005</v>
      </c>
      <c r="AB1745">
        <v>28</v>
      </c>
      <c r="AC1745">
        <v>-5.9200000000004097E-2</v>
      </c>
      <c r="AD1745">
        <v>-7.3377999999999693E-2</v>
      </c>
      <c r="AE1745">
        <v>-0.56270000000000597</v>
      </c>
      <c r="AF1745">
        <v>3.1226627022007201E-2</v>
      </c>
      <c r="AG1745">
        <v>-7.3377999999999693E-2</v>
      </c>
      <c r="AH1745">
        <v>0.55556986471088898</v>
      </c>
      <c r="AI1745">
        <v>97.512185358513307</v>
      </c>
      <c r="AJ1745">
        <v>86.782990702044401</v>
      </c>
      <c r="AK1745">
        <v>0.56126402672365105</v>
      </c>
      <c r="AL1745">
        <v>68.403854981658398</v>
      </c>
      <c r="AM1745">
        <v>93.396315256551702</v>
      </c>
      <c r="AN1745">
        <v>1.00000001489957</v>
      </c>
    </row>
    <row r="1746" spans="1:40" x14ac:dyDescent="0.25">
      <c r="A1746" t="str">
        <f>"20190304164849288"</f>
        <v>20190304164849288</v>
      </c>
      <c r="B1746" t="str">
        <f>"1551689329277909"</f>
        <v>1551689329277909</v>
      </c>
      <c r="C1746" t="s">
        <v>40</v>
      </c>
      <c r="D1746">
        <v>4.4651639999999997</v>
      </c>
      <c r="E1746">
        <v>0.55523089999999997</v>
      </c>
      <c r="F1746" t="s">
        <v>41</v>
      </c>
      <c r="G1746">
        <v>-191.6404</v>
      </c>
      <c r="H1746">
        <v>1.0301480000000001</v>
      </c>
      <c r="I1746">
        <v>327.20240000000001</v>
      </c>
      <c r="J1746">
        <v>-191.57740000000001</v>
      </c>
      <c r="K1746">
        <v>1.111157</v>
      </c>
      <c r="L1746">
        <v>327.76029999999997</v>
      </c>
      <c r="M1746">
        <v>-4.8351089999999999E-2</v>
      </c>
      <c r="N1746">
        <v>-1.402773E-2</v>
      </c>
      <c r="O1746">
        <v>-0.99873199999999995</v>
      </c>
      <c r="P1746">
        <v>7.8858980000000006E-3</v>
      </c>
      <c r="Q1746">
        <v>0.3542381</v>
      </c>
      <c r="R1746">
        <v>-0.93512209999999996</v>
      </c>
      <c r="S1746">
        <v>-0.30992130000000001</v>
      </c>
      <c r="T1746">
        <v>-0.3351229</v>
      </c>
      <c r="U1746">
        <v>-3.339661</v>
      </c>
      <c r="V1746">
        <v>-5.3274189999999999E-2</v>
      </c>
      <c r="W1746">
        <v>0.36727399999999999</v>
      </c>
      <c r="X1746">
        <v>0.92858580000000002</v>
      </c>
      <c r="Y1746">
        <v>4.3772560000000002E-2</v>
      </c>
      <c r="Z1746">
        <v>8.5474889999999998E-2</v>
      </c>
      <c r="AA1746">
        <v>0.99537830000000005</v>
      </c>
      <c r="AB1746">
        <v>28</v>
      </c>
      <c r="AC1746">
        <v>-6.2999999999988093E-2</v>
      </c>
      <c r="AD1746">
        <v>-8.1008999999999803E-2</v>
      </c>
      <c r="AE1746">
        <v>-0.55789999999996098</v>
      </c>
      <c r="AF1746">
        <v>3.5215441140514898E-2</v>
      </c>
      <c r="AG1746">
        <v>-8.1008999999999803E-2</v>
      </c>
      <c r="AH1746">
        <v>0.54886714357758903</v>
      </c>
      <c r="AI1746">
        <v>98.378864358349603</v>
      </c>
      <c r="AJ1746">
        <v>86.328921572296807</v>
      </c>
      <c r="AK1746">
        <v>0.55592960586277695</v>
      </c>
      <c r="AL1746">
        <v>68.452403352576695</v>
      </c>
      <c r="AM1746">
        <v>93.283534917692904</v>
      </c>
      <c r="AN1746">
        <v>0.99999995917889695</v>
      </c>
    </row>
    <row r="1747" spans="1:40" x14ac:dyDescent="0.25">
      <c r="A1747" t="str">
        <f>"20190304164849312"</f>
        <v>20190304164849312</v>
      </c>
      <c r="B1747" t="str">
        <f>"1551689329308165"</f>
        <v>1551689329308165</v>
      </c>
      <c r="C1747" t="s">
        <v>40</v>
      </c>
      <c r="D1747">
        <v>4.4691239999999999</v>
      </c>
      <c r="E1747">
        <v>0.55527320000000002</v>
      </c>
      <c r="F1747" t="s">
        <v>41</v>
      </c>
      <c r="G1747">
        <v>-191.654</v>
      </c>
      <c r="H1747">
        <v>1.0307360000000001</v>
      </c>
      <c r="I1747">
        <v>326.9547</v>
      </c>
      <c r="J1747">
        <v>-191.5908</v>
      </c>
      <c r="K1747">
        <v>1.1112519999999999</v>
      </c>
      <c r="L1747">
        <v>327.47559999999999</v>
      </c>
      <c r="M1747">
        <v>-4.7900560000000002E-2</v>
      </c>
      <c r="N1747">
        <v>-1.403305E-2</v>
      </c>
      <c r="O1747">
        <v>-0.99875360000000002</v>
      </c>
      <c r="P1747">
        <v>6.676113E-3</v>
      </c>
      <c r="Q1747">
        <v>0.35385489999999997</v>
      </c>
      <c r="R1747">
        <v>-0.93527660000000001</v>
      </c>
      <c r="S1747">
        <v>-0.31681819999999999</v>
      </c>
      <c r="T1747">
        <v>-0.33323979999999997</v>
      </c>
      <c r="U1747">
        <v>-3.3370359999999999</v>
      </c>
      <c r="V1747">
        <v>-5.173328E-2</v>
      </c>
      <c r="W1747">
        <v>0.36688860000000001</v>
      </c>
      <c r="X1747">
        <v>0.92882529999999996</v>
      </c>
      <c r="Y1747">
        <v>4.6336460000000003E-2</v>
      </c>
      <c r="Z1747">
        <v>8.4980959999999994E-2</v>
      </c>
      <c r="AA1747">
        <v>0.99530459999999998</v>
      </c>
      <c r="AB1747">
        <v>28</v>
      </c>
      <c r="AC1747">
        <v>-6.3200000000023196E-2</v>
      </c>
      <c r="AD1747">
        <v>-8.0516000000000004E-2</v>
      </c>
      <c r="AE1747">
        <v>-0.52089999999998304</v>
      </c>
      <c r="AF1747">
        <v>3.7295439604378297E-2</v>
      </c>
      <c r="AG1747">
        <v>-8.0516000000000004E-2</v>
      </c>
      <c r="AH1747">
        <v>0.51129092354622796</v>
      </c>
      <c r="AI1747">
        <v>98.925879939669599</v>
      </c>
      <c r="AJ1747">
        <v>85.8280241266703</v>
      </c>
      <c r="AK1747">
        <v>0.51893369959180602</v>
      </c>
      <c r="AL1747">
        <v>68.476143488769793</v>
      </c>
      <c r="AM1747">
        <v>93.187939869936102</v>
      </c>
      <c r="AN1747">
        <v>1.0000000074947999</v>
      </c>
    </row>
    <row r="1748" spans="1:40" x14ac:dyDescent="0.25">
      <c r="A1748" t="str">
        <f>"20190304164849332"</f>
        <v>20190304164849332</v>
      </c>
      <c r="B1748" t="str">
        <f>"1551689329327685"</f>
        <v>1551689329327685</v>
      </c>
      <c r="C1748" t="s">
        <v>40</v>
      </c>
      <c r="D1748">
        <v>4.4232750000000003</v>
      </c>
      <c r="E1748">
        <v>0.55527469999999901</v>
      </c>
      <c r="F1748" t="s">
        <v>41</v>
      </c>
      <c r="G1748">
        <v>-191.66489999999999</v>
      </c>
      <c r="H1748">
        <v>1.0348219999999999</v>
      </c>
      <c r="I1748">
        <v>326.70549999999997</v>
      </c>
      <c r="J1748">
        <v>-191.6028</v>
      </c>
      <c r="K1748">
        <v>1.111345</v>
      </c>
      <c r="L1748">
        <v>327.21370000000002</v>
      </c>
      <c r="M1748">
        <v>-4.7379780000000003E-2</v>
      </c>
      <c r="N1748">
        <v>-1.403717E-2</v>
      </c>
      <c r="O1748">
        <v>-0.99877859999999996</v>
      </c>
      <c r="P1748">
        <v>5.572876E-3</v>
      </c>
      <c r="Q1748">
        <v>0.35404229999999998</v>
      </c>
      <c r="R1748">
        <v>-0.93521299999999996</v>
      </c>
      <c r="S1748">
        <v>-0.32124330000000001</v>
      </c>
      <c r="T1748">
        <v>-0.33100010000000002</v>
      </c>
      <c r="U1748">
        <v>-3.335083</v>
      </c>
      <c r="V1748">
        <v>-5.0214620000000001E-2</v>
      </c>
      <c r="W1748">
        <v>0.36707089999999998</v>
      </c>
      <c r="X1748">
        <v>0.92883660000000001</v>
      </c>
      <c r="Y1748">
        <v>4.8224419999999997E-2</v>
      </c>
      <c r="Z1748">
        <v>8.4367650000000002E-2</v>
      </c>
      <c r="AA1748">
        <v>0.99526700000000001</v>
      </c>
      <c r="AB1748">
        <v>28</v>
      </c>
      <c r="AC1748">
        <v>-6.2099999999986701E-2</v>
      </c>
      <c r="AD1748">
        <v>-7.6523000000000105E-2</v>
      </c>
      <c r="AE1748">
        <v>-0.50820000000004395</v>
      </c>
      <c r="AF1748">
        <v>3.7120219518960197E-2</v>
      </c>
      <c r="AG1748">
        <v>-7.6523000000000105E-2</v>
      </c>
      <c r="AH1748">
        <v>0.49941493504140699</v>
      </c>
      <c r="AI1748">
        <v>98.687810843201504</v>
      </c>
      <c r="AJ1748">
        <v>85.749169499837194</v>
      </c>
      <c r="AK1748">
        <v>0.50660532722085405</v>
      </c>
      <c r="AL1748">
        <v>68.464914688386997</v>
      </c>
      <c r="AM1748">
        <v>93.094503128152894</v>
      </c>
      <c r="AN1748">
        <v>0.99999999159405695</v>
      </c>
    </row>
    <row r="1749" spans="1:40" x14ac:dyDescent="0.25">
      <c r="A1749" t="str">
        <f>"20190304164849355"</f>
        <v>20190304164849355</v>
      </c>
      <c r="B1749" t="str">
        <f>"1551689329348181"</f>
        <v>1551689329348181</v>
      </c>
      <c r="C1749" t="s">
        <v>40</v>
      </c>
      <c r="D1749">
        <v>4.3581079999999996</v>
      </c>
      <c r="E1749">
        <v>0.55514869999999905</v>
      </c>
      <c r="F1749" t="s">
        <v>41</v>
      </c>
      <c r="G1749">
        <v>-191.6765</v>
      </c>
      <c r="H1749">
        <v>1.0362480000000001</v>
      </c>
      <c r="I1749">
        <v>326.45800000000003</v>
      </c>
      <c r="J1749">
        <v>-191.61580000000001</v>
      </c>
      <c r="K1749">
        <v>1.1114409999999999</v>
      </c>
      <c r="L1749">
        <v>326.9255</v>
      </c>
      <c r="M1749">
        <v>-4.6679600000000002E-2</v>
      </c>
      <c r="N1749">
        <v>-1.4040540000000001E-2</v>
      </c>
      <c r="O1749">
        <v>-0.99881149999999996</v>
      </c>
      <c r="P1749">
        <v>4.5622500000000003E-3</v>
      </c>
      <c r="Q1749">
        <v>0.35419319999999999</v>
      </c>
      <c r="R1749">
        <v>-0.93516149999999998</v>
      </c>
      <c r="S1749">
        <v>-0.32467649999999998</v>
      </c>
      <c r="T1749">
        <v>-0.33169520000000002</v>
      </c>
      <c r="U1749">
        <v>-3.3353579999999998</v>
      </c>
      <c r="V1749">
        <v>-4.862905E-2</v>
      </c>
      <c r="W1749">
        <v>0.3672163</v>
      </c>
      <c r="X1749">
        <v>0.92886349999999995</v>
      </c>
      <c r="Y1749">
        <v>4.9928720000000003E-2</v>
      </c>
      <c r="Z1749">
        <v>8.4556770000000003E-2</v>
      </c>
      <c r="AA1749">
        <v>0.99516700000000002</v>
      </c>
      <c r="AB1749">
        <v>28</v>
      </c>
      <c r="AC1749">
        <v>-6.0699999999996999E-2</v>
      </c>
      <c r="AD1749">
        <v>-7.5192999999999802E-2</v>
      </c>
      <c r="AE1749">
        <v>-0.467500000000029</v>
      </c>
      <c r="AF1749">
        <v>3.7846123684948697E-2</v>
      </c>
      <c r="AG1749">
        <v>-7.5192999999999802E-2</v>
      </c>
      <c r="AH1749">
        <v>0.45816784755974699</v>
      </c>
      <c r="AI1749">
        <v>99.2890279141712</v>
      </c>
      <c r="AJ1749">
        <v>85.277906690968194</v>
      </c>
      <c r="AK1749">
        <v>0.46583698099711701</v>
      </c>
      <c r="AL1749">
        <v>68.455958571624805</v>
      </c>
      <c r="AM1749">
        <v>92.996885909939095</v>
      </c>
      <c r="AN1749">
        <v>0.99999999856092103</v>
      </c>
    </row>
    <row r="1750" spans="1:40" x14ac:dyDescent="0.25">
      <c r="A1750" t="str">
        <f>"20190304164849379"</f>
        <v>20190304164849379</v>
      </c>
      <c r="B1750" t="str">
        <f>"1551689329367704"</f>
        <v>1551689329367704</v>
      </c>
      <c r="C1750" t="s">
        <v>40</v>
      </c>
      <c r="D1750">
        <v>4.4816589999999996</v>
      </c>
      <c r="E1750">
        <v>0.55501780000000001</v>
      </c>
      <c r="F1750" t="s">
        <v>41</v>
      </c>
      <c r="G1750">
        <v>-191.70939999999999</v>
      </c>
      <c r="H1750">
        <v>1.017795</v>
      </c>
      <c r="I1750">
        <v>325.9751</v>
      </c>
      <c r="J1750">
        <v>-191.62790000000001</v>
      </c>
      <c r="K1750">
        <v>1.111529</v>
      </c>
      <c r="L1750">
        <v>326.64879999999999</v>
      </c>
      <c r="M1750">
        <v>-4.5871990000000001E-2</v>
      </c>
      <c r="N1750">
        <v>-1.4043369999999999E-2</v>
      </c>
      <c r="O1750">
        <v>-0.99884870000000003</v>
      </c>
      <c r="P1750">
        <v>4.2146869999999999E-3</v>
      </c>
      <c r="Q1750">
        <v>0.35417219999999999</v>
      </c>
      <c r="R1750">
        <v>-0.93517110000000003</v>
      </c>
      <c r="S1750">
        <v>-0.32752989999999998</v>
      </c>
      <c r="T1750">
        <v>-0.3288162</v>
      </c>
      <c r="U1750">
        <v>-3.3341370000000001</v>
      </c>
      <c r="V1750">
        <v>-4.7605080000000001E-2</v>
      </c>
      <c r="W1750">
        <v>0.36719020000000002</v>
      </c>
      <c r="X1750">
        <v>0.9289269</v>
      </c>
      <c r="Y1750">
        <v>5.1620640000000002E-2</v>
      </c>
      <c r="Z1750">
        <v>8.3738339999999994E-2</v>
      </c>
      <c r="AA1750">
        <v>0.99514990000000003</v>
      </c>
      <c r="AB1750">
        <v>28</v>
      </c>
      <c r="AC1750">
        <v>-8.1499999999976994E-2</v>
      </c>
      <c r="AD1750">
        <v>-9.3733999999999901E-2</v>
      </c>
      <c r="AE1750">
        <v>-0.67369999999999597</v>
      </c>
      <c r="AF1750">
        <v>4.9561608448159399E-2</v>
      </c>
      <c r="AG1750">
        <v>-9.3733999999999901E-2</v>
      </c>
      <c r="AH1750">
        <v>0.66406012550902804</v>
      </c>
      <c r="AI1750">
        <v>98.012391542523005</v>
      </c>
      <c r="AJ1750">
        <v>85.731687751948201</v>
      </c>
      <c r="AK1750">
        <v>0.672471758573574</v>
      </c>
      <c r="AL1750">
        <v>68.457567155312802</v>
      </c>
      <c r="AM1750">
        <v>92.933692760552404</v>
      </c>
      <c r="AN1750">
        <v>1.00000003608072</v>
      </c>
    </row>
    <row r="1751" spans="1:40" x14ac:dyDescent="0.25">
      <c r="A1751" t="str">
        <f>"20190304164849399"</f>
        <v>20190304164849399</v>
      </c>
      <c r="B1751" t="str">
        <f>"1551689329397958"</f>
        <v>1551689329397958</v>
      </c>
      <c r="C1751" t="s">
        <v>40</v>
      </c>
      <c r="D1751">
        <v>4.4764150000000003</v>
      </c>
      <c r="E1751">
        <v>0.53608409999999995</v>
      </c>
      <c r="F1751" t="s">
        <v>41</v>
      </c>
      <c r="G1751">
        <v>-191.71870000000001</v>
      </c>
      <c r="H1751">
        <v>1.020167</v>
      </c>
      <c r="I1751">
        <v>325.72809999999998</v>
      </c>
      <c r="J1751">
        <v>-191.63919999999999</v>
      </c>
      <c r="K1751">
        <v>1.111604</v>
      </c>
      <c r="L1751">
        <v>326.3827</v>
      </c>
      <c r="M1751">
        <v>-4.5002399999999998E-2</v>
      </c>
      <c r="N1751">
        <v>-1.4045409999999999E-2</v>
      </c>
      <c r="O1751">
        <v>-0.99888840000000001</v>
      </c>
      <c r="P1751">
        <v>4.0870430000000003E-3</v>
      </c>
      <c r="Q1751">
        <v>0.35406480000000001</v>
      </c>
      <c r="R1751">
        <v>-0.93521240000000005</v>
      </c>
      <c r="S1751">
        <v>-0.32833859999999998</v>
      </c>
      <c r="T1751">
        <v>-0.331009</v>
      </c>
      <c r="U1751">
        <v>-3.3348080000000002</v>
      </c>
      <c r="V1751">
        <v>-4.6734230000000002E-2</v>
      </c>
      <c r="W1751">
        <v>0.36707840000000003</v>
      </c>
      <c r="X1751">
        <v>0.92901529999999999</v>
      </c>
      <c r="Y1751">
        <v>5.2703279999999998E-2</v>
      </c>
      <c r="Z1751">
        <v>8.4364170000000002E-2</v>
      </c>
      <c r="AA1751">
        <v>0.99504020000000004</v>
      </c>
      <c r="AB1751">
        <v>28</v>
      </c>
      <c r="AC1751">
        <v>-7.9500000000024301E-2</v>
      </c>
      <c r="AD1751">
        <v>-9.1437000000000004E-2</v>
      </c>
      <c r="AE1751">
        <v>-0.65460000000001595</v>
      </c>
      <c r="AF1751">
        <v>4.9015503846589099E-2</v>
      </c>
      <c r="AG1751">
        <v>-9.1437000000000004E-2</v>
      </c>
      <c r="AH1751">
        <v>0.64511056838608805</v>
      </c>
      <c r="AI1751">
        <v>98.044398742001306</v>
      </c>
      <c r="AJ1751">
        <v>85.655014729303304</v>
      </c>
      <c r="AK1751">
        <v>0.65339948731978403</v>
      </c>
      <c r="AL1751">
        <v>68.464453675448198</v>
      </c>
      <c r="AM1751">
        <v>92.879843689160694</v>
      </c>
      <c r="AN1751">
        <v>1.00000003381717</v>
      </c>
    </row>
    <row r="1752" spans="1:40" x14ac:dyDescent="0.25">
      <c r="A1752" t="str">
        <f>"20190304164849422"</f>
        <v>20190304164849422</v>
      </c>
      <c r="B1752" t="str">
        <f>"1551689329417477"</f>
        <v>1551689329417477</v>
      </c>
      <c r="C1752" t="s">
        <v>40</v>
      </c>
      <c r="D1752">
        <v>4.458774</v>
      </c>
      <c r="E1752">
        <v>0.53572030000000004</v>
      </c>
      <c r="F1752" t="s">
        <v>41</v>
      </c>
      <c r="G1752">
        <v>-191.68700000000001</v>
      </c>
      <c r="H1752">
        <v>1.019714</v>
      </c>
      <c r="I1752">
        <v>325.4803</v>
      </c>
      <c r="J1752">
        <v>-191.65</v>
      </c>
      <c r="K1752">
        <v>1.1116790000000001</v>
      </c>
      <c r="L1752">
        <v>326.11950000000002</v>
      </c>
      <c r="M1752">
        <v>-4.4047929999999999E-2</v>
      </c>
      <c r="N1752">
        <v>-1.404705E-2</v>
      </c>
      <c r="O1752">
        <v>-0.99893089999999995</v>
      </c>
      <c r="P1752">
        <v>3.9581809999999999E-3</v>
      </c>
      <c r="Q1752">
        <v>0.35411930000000003</v>
      </c>
      <c r="R1752">
        <v>-0.93519220000000003</v>
      </c>
      <c r="S1752">
        <v>-0.1764221</v>
      </c>
      <c r="T1752">
        <v>-0.34014489999999997</v>
      </c>
      <c r="U1752">
        <v>-3.3373409999999999</v>
      </c>
      <c r="V1752">
        <v>-4.5775929999999999E-2</v>
      </c>
      <c r="W1752">
        <v>0.36712860000000003</v>
      </c>
      <c r="X1752">
        <v>0.92904319999999896</v>
      </c>
      <c r="Y1752">
        <v>8.5388649999999996E-3</v>
      </c>
      <c r="Z1752">
        <v>8.7208300000000002E-2</v>
      </c>
      <c r="AA1752">
        <v>0.99615350000000003</v>
      </c>
      <c r="AB1752">
        <v>28</v>
      </c>
      <c r="AC1752">
        <v>-3.7000000000006097E-2</v>
      </c>
      <c r="AD1752">
        <v>-9.1965000000000005E-2</v>
      </c>
      <c r="AE1752">
        <v>-0.63920000000001598</v>
      </c>
      <c r="AF1752">
        <v>8.6278720918781405E-3</v>
      </c>
      <c r="AG1752">
        <v>-9.1965000000000005E-2</v>
      </c>
      <c r="AH1752">
        <v>0.62726828593082395</v>
      </c>
      <c r="AI1752">
        <v>98.340042371808707</v>
      </c>
      <c r="AJ1752">
        <v>89.211964805625499</v>
      </c>
      <c r="AK1752">
        <v>0.63403273096617596</v>
      </c>
      <c r="AL1752">
        <v>68.461362038040306</v>
      </c>
      <c r="AM1752">
        <v>92.820803393127505</v>
      </c>
      <c r="AN1752">
        <v>1.00000005608578</v>
      </c>
    </row>
    <row r="1753" spans="1:40" x14ac:dyDescent="0.25">
      <c r="A1753" t="str">
        <f>"20190304164849444"</f>
        <v>20190304164849444</v>
      </c>
      <c r="B1753" t="str">
        <f>"1551689329437973"</f>
        <v>1551689329437973</v>
      </c>
      <c r="C1753" t="s">
        <v>40</v>
      </c>
      <c r="D1753">
        <v>4.4779559999999998</v>
      </c>
      <c r="E1753">
        <v>0.53559209999999902</v>
      </c>
      <c r="F1753" t="s">
        <v>41</v>
      </c>
      <c r="G1753">
        <v>-191.69589999999999</v>
      </c>
      <c r="H1753">
        <v>1.0218989999999999</v>
      </c>
      <c r="I1753">
        <v>325.23390000000001</v>
      </c>
      <c r="J1753">
        <v>-191.66120000000001</v>
      </c>
      <c r="K1753">
        <v>1.1117680000000001</v>
      </c>
      <c r="L1753">
        <v>325.8399</v>
      </c>
      <c r="M1753">
        <v>-4.2920659999999999E-2</v>
      </c>
      <c r="N1753">
        <v>-1.404827E-2</v>
      </c>
      <c r="O1753">
        <v>-0.99897970000000003</v>
      </c>
      <c r="P1753">
        <v>4.5957790000000004E-3</v>
      </c>
      <c r="Q1753">
        <v>0.3542342</v>
      </c>
      <c r="R1753">
        <v>-0.93514549999999996</v>
      </c>
      <c r="S1753">
        <v>-0.17265320000000001</v>
      </c>
      <c r="T1753">
        <v>-0.33841900000000003</v>
      </c>
      <c r="U1753">
        <v>-3.3368229999999999</v>
      </c>
      <c r="V1753">
        <v>-4.5427429999999998E-2</v>
      </c>
      <c r="W1753">
        <v>0.3672359</v>
      </c>
      <c r="X1753">
        <v>0.9290178</v>
      </c>
      <c r="Y1753">
        <v>8.5555579999999996E-3</v>
      </c>
      <c r="Z1753">
        <v>8.6723309999999998E-2</v>
      </c>
      <c r="AA1753">
        <v>0.99619570000000002</v>
      </c>
      <c r="AB1753">
        <v>28</v>
      </c>
      <c r="AC1753">
        <v>-3.4699999999986603E-2</v>
      </c>
      <c r="AD1753">
        <v>-8.9869000000000199E-2</v>
      </c>
      <c r="AE1753">
        <v>-0.60599999999999399</v>
      </c>
      <c r="AF1753">
        <v>8.4698651288905597E-3</v>
      </c>
      <c r="AG1753">
        <v>-8.9869000000000199E-2</v>
      </c>
      <c r="AH1753">
        <v>0.59391202194027704</v>
      </c>
      <c r="AI1753">
        <v>98.603689001882699</v>
      </c>
      <c r="AJ1753">
        <v>89.182952000093593</v>
      </c>
      <c r="AK1753">
        <v>0.60073260738991796</v>
      </c>
      <c r="AL1753">
        <v>68.454750463542894</v>
      </c>
      <c r="AM1753">
        <v>92.799438838562295</v>
      </c>
      <c r="AN1753">
        <v>0.99999996518102596</v>
      </c>
    </row>
    <row r="1754" spans="1:40" x14ac:dyDescent="0.25">
      <c r="A1754" t="str">
        <f>"20190304164849467"</f>
        <v>20190304164849467</v>
      </c>
      <c r="B1754" t="str">
        <f>"1551689329457497"</f>
        <v>1551689329457497</v>
      </c>
      <c r="C1754" t="s">
        <v>40</v>
      </c>
      <c r="D1754">
        <v>4.4645270000000004</v>
      </c>
      <c r="E1754">
        <v>0.53562569999999998</v>
      </c>
      <c r="F1754" t="s">
        <v>41</v>
      </c>
      <c r="G1754">
        <v>-191.7046</v>
      </c>
      <c r="H1754">
        <v>1.025048</v>
      </c>
      <c r="I1754">
        <v>324.98750000000001</v>
      </c>
      <c r="J1754">
        <v>-191.67179999999999</v>
      </c>
      <c r="K1754">
        <v>1.111855</v>
      </c>
      <c r="L1754">
        <v>325.56279999999998</v>
      </c>
      <c r="M1754">
        <v>-4.1687979999999999E-2</v>
      </c>
      <c r="N1754">
        <v>-1.4049559999999999E-2</v>
      </c>
      <c r="O1754">
        <v>-0.99903209999999998</v>
      </c>
      <c r="P1754">
        <v>5.0858320000000002E-3</v>
      </c>
      <c r="Q1754">
        <v>0.35448730000000001</v>
      </c>
      <c r="R1754">
        <v>-0.93504759999999998</v>
      </c>
      <c r="S1754">
        <v>-0.16963200000000001</v>
      </c>
      <c r="T1754">
        <v>-0.33982689999999999</v>
      </c>
      <c r="U1754">
        <v>-3.3376160000000001</v>
      </c>
      <c r="V1754">
        <v>-4.4834899999999997E-2</v>
      </c>
      <c r="W1754">
        <v>0.36748160000000002</v>
      </c>
      <c r="X1754">
        <v>0.92894949999999998</v>
      </c>
      <c r="Y1754">
        <v>8.8757699999999998E-3</v>
      </c>
      <c r="Z1754">
        <v>8.7122809999999995E-2</v>
      </c>
      <c r="AA1754">
        <v>0.99615810000000005</v>
      </c>
      <c r="AB1754">
        <v>27</v>
      </c>
      <c r="AC1754">
        <v>-3.2800000000008801E-2</v>
      </c>
      <c r="AD1754">
        <v>-8.6806999999999995E-2</v>
      </c>
      <c r="AE1754">
        <v>-0.57529999999996995</v>
      </c>
      <c r="AF1754">
        <v>8.5910577525012601E-3</v>
      </c>
      <c r="AG1754">
        <v>-8.6806999999999995E-2</v>
      </c>
      <c r="AH1754">
        <v>0.56338188426733304</v>
      </c>
      <c r="AI1754">
        <v>98.758359139908194</v>
      </c>
      <c r="AJ1754">
        <v>89.1263595507112</v>
      </c>
      <c r="AK1754">
        <v>0.57009508772038897</v>
      </c>
      <c r="AL1754">
        <v>68.439616138248098</v>
      </c>
      <c r="AM1754">
        <v>92.763184309050104</v>
      </c>
      <c r="AN1754">
        <v>1.0000000340734001</v>
      </c>
    </row>
    <row r="1755" spans="1:40" x14ac:dyDescent="0.25">
      <c r="A1755" t="str">
        <f>"20190304164849488"</f>
        <v>20190304164849488</v>
      </c>
      <c r="B1755" t="str">
        <f>"1551689329477992"</f>
        <v>1551689329477992</v>
      </c>
      <c r="C1755" t="s">
        <v>40</v>
      </c>
      <c r="D1755">
        <v>4.4718839999999904</v>
      </c>
      <c r="E1755">
        <v>0.53559140000000005</v>
      </c>
      <c r="F1755" t="s">
        <v>41</v>
      </c>
      <c r="G1755">
        <v>-191.71340000000001</v>
      </c>
      <c r="H1755">
        <v>1.0284409999999999</v>
      </c>
      <c r="I1755">
        <v>324.74130000000002</v>
      </c>
      <c r="J1755">
        <v>-191.6814</v>
      </c>
      <c r="K1755">
        <v>1.111942</v>
      </c>
      <c r="L1755">
        <v>325.29969999999997</v>
      </c>
      <c r="M1755">
        <v>-4.0411759999999998E-2</v>
      </c>
      <c r="N1755">
        <v>-1.405064E-2</v>
      </c>
      <c r="O1755">
        <v>-0.99908439999999998</v>
      </c>
      <c r="P1755">
        <v>5.6929349999999997E-3</v>
      </c>
      <c r="Q1755">
        <v>0.3546262</v>
      </c>
      <c r="R1755">
        <v>-0.93499080000000001</v>
      </c>
      <c r="S1755">
        <v>-0.16859440000000001</v>
      </c>
      <c r="T1755">
        <v>-0.33926440000000002</v>
      </c>
      <c r="U1755">
        <v>-3.3378909999999999</v>
      </c>
      <c r="V1755">
        <v>-4.4319890000000001E-2</v>
      </c>
      <c r="W1755">
        <v>0.3676142</v>
      </c>
      <c r="X1755">
        <v>0.92892169999999996</v>
      </c>
      <c r="Y1755">
        <v>9.8400889999999998E-3</v>
      </c>
      <c r="Z1755">
        <v>8.6955370000000004E-2</v>
      </c>
      <c r="AA1755">
        <v>0.99616360000000004</v>
      </c>
      <c r="AB1755">
        <v>27</v>
      </c>
      <c r="AC1755">
        <v>-3.2000000000010603E-2</v>
      </c>
      <c r="AD1755">
        <v>-8.3501000000000006E-2</v>
      </c>
      <c r="AE1755">
        <v>-0.55839999999994905</v>
      </c>
      <c r="AF1755">
        <v>9.2006390294446603E-3</v>
      </c>
      <c r="AG1755">
        <v>-8.3501000000000006E-2</v>
      </c>
      <c r="AH1755">
        <v>0.54704460240280695</v>
      </c>
      <c r="AI1755">
        <v>98.677443309352498</v>
      </c>
      <c r="AJ1755">
        <v>89.036444039100203</v>
      </c>
      <c r="AK1755">
        <v>0.55345719416915595</v>
      </c>
      <c r="AL1755">
        <v>68.431445882293701</v>
      </c>
      <c r="AM1755">
        <v>92.731574105309903</v>
      </c>
      <c r="AN1755">
        <v>0.99999998871106999</v>
      </c>
    </row>
    <row r="1756" spans="1:40" x14ac:dyDescent="0.25">
      <c r="A1756" t="str">
        <f>"20190304164849513"</f>
        <v>20190304164849513</v>
      </c>
      <c r="B1756" t="str">
        <f>"1551689329508245"</f>
        <v>1551689329508245</v>
      </c>
      <c r="C1756" t="s">
        <v>40</v>
      </c>
      <c r="D1756">
        <v>4.4971860000000001</v>
      </c>
      <c r="E1756">
        <v>0.53561939999999997</v>
      </c>
      <c r="F1756" t="s">
        <v>41</v>
      </c>
      <c r="G1756">
        <v>-191.7218</v>
      </c>
      <c r="H1756">
        <v>1.030408</v>
      </c>
      <c r="I1756">
        <v>324.49610000000001</v>
      </c>
      <c r="J1756">
        <v>-191.69139999999999</v>
      </c>
      <c r="K1756">
        <v>1.112028</v>
      </c>
      <c r="L1756">
        <v>325.01339999999999</v>
      </c>
      <c r="M1756">
        <v>-3.8914280000000002E-2</v>
      </c>
      <c r="N1756">
        <v>-1.4051620000000001E-2</v>
      </c>
      <c r="O1756">
        <v>-0.99914380000000003</v>
      </c>
      <c r="P1756">
        <v>6.6536010000000003E-3</v>
      </c>
      <c r="Q1756">
        <v>0.35489510000000002</v>
      </c>
      <c r="R1756">
        <v>-0.93488280000000001</v>
      </c>
      <c r="S1756">
        <v>-0.1674957</v>
      </c>
      <c r="T1756">
        <v>-0.33891199999999999</v>
      </c>
      <c r="U1756">
        <v>-3.338165</v>
      </c>
      <c r="V1756">
        <v>-4.3954470000000002E-2</v>
      </c>
      <c r="W1756">
        <v>0.36787399999999998</v>
      </c>
      <c r="X1756">
        <v>0.9288362</v>
      </c>
      <c r="Y1756">
        <v>1.100719E-2</v>
      </c>
      <c r="Z1756">
        <v>8.6850839999999999E-2</v>
      </c>
      <c r="AA1756">
        <v>0.9961605</v>
      </c>
      <c r="AB1756">
        <v>27</v>
      </c>
      <c r="AC1756">
        <v>-3.0400000000014402E-2</v>
      </c>
      <c r="AD1756">
        <v>-8.1619999999999998E-2</v>
      </c>
      <c r="AE1756">
        <v>-0.517299999999977</v>
      </c>
      <c r="AF1756">
        <v>9.9966183159188697E-3</v>
      </c>
      <c r="AG1756">
        <v>-8.1619999999999998E-2</v>
      </c>
      <c r="AH1756">
        <v>0.50554899178869295</v>
      </c>
      <c r="AI1756">
        <v>99.169403975433099</v>
      </c>
      <c r="AJ1756">
        <v>88.867193061485295</v>
      </c>
      <c r="AK1756">
        <v>0.512192873707082</v>
      </c>
      <c r="AL1756">
        <v>68.415438595027695</v>
      </c>
      <c r="AM1756">
        <v>92.709334815293204</v>
      </c>
      <c r="AN1756">
        <v>0.99999998086970998</v>
      </c>
    </row>
    <row r="1757" spans="1:40" x14ac:dyDescent="0.25">
      <c r="A1757" t="str">
        <f>"20190304164849545"</f>
        <v>20190304164849545</v>
      </c>
      <c r="B1757" t="str">
        <f>"1551689329537525"</f>
        <v>1551689329537525</v>
      </c>
      <c r="C1757" t="s">
        <v>40</v>
      </c>
      <c r="D1757">
        <v>4.5062170000000004</v>
      </c>
      <c r="E1757">
        <v>0.53557589999999999</v>
      </c>
      <c r="F1757" t="s">
        <v>41</v>
      </c>
      <c r="G1757">
        <v>-191.72970000000001</v>
      </c>
      <c r="H1757">
        <v>1.0348059999999999</v>
      </c>
      <c r="I1757">
        <v>324.24990000000003</v>
      </c>
      <c r="J1757">
        <v>-191.70429999999999</v>
      </c>
      <c r="K1757">
        <v>1.112123</v>
      </c>
      <c r="L1757">
        <v>324.6121</v>
      </c>
      <c r="M1757">
        <v>-3.6633909999999999E-2</v>
      </c>
      <c r="N1757">
        <v>-1.4052439999999999E-2</v>
      </c>
      <c r="O1757">
        <v>-0.99922999999999995</v>
      </c>
      <c r="P1757">
        <v>7.6066850000000002E-3</v>
      </c>
      <c r="Q1757">
        <v>0.35515560000000002</v>
      </c>
      <c r="R1757">
        <v>-0.9347763</v>
      </c>
      <c r="S1757">
        <v>-0.16763310000000001</v>
      </c>
      <c r="T1757">
        <v>-0.33763189999999998</v>
      </c>
      <c r="U1757">
        <v>-3.3383479999999999</v>
      </c>
      <c r="V1757">
        <v>-4.2861610000000001E-2</v>
      </c>
      <c r="W1757">
        <v>0.36812719999999999</v>
      </c>
      <c r="X1757">
        <v>0.92878700000000003</v>
      </c>
      <c r="Y1757">
        <v>1.3327189999999999E-2</v>
      </c>
      <c r="Z1757">
        <v>8.6477769999999995E-2</v>
      </c>
      <c r="AA1757">
        <v>0.99616459999999996</v>
      </c>
      <c r="AB1757">
        <v>27</v>
      </c>
      <c r="AC1757">
        <v>-2.5400000000018901E-2</v>
      </c>
      <c r="AD1757">
        <v>-7.7316999999999997E-2</v>
      </c>
      <c r="AE1757">
        <v>-0.36219999999997199</v>
      </c>
      <c r="AF1757">
        <v>1.1587412249001901E-2</v>
      </c>
      <c r="AG1757">
        <v>-7.7316999999999997E-2</v>
      </c>
      <c r="AH1757">
        <v>0.34714631786253602</v>
      </c>
      <c r="AI1757">
        <v>102.54930576317599</v>
      </c>
      <c r="AJ1757">
        <v>88.088231444460206</v>
      </c>
      <c r="AK1757">
        <v>0.35584090913938698</v>
      </c>
      <c r="AL1757">
        <v>68.399837367096197</v>
      </c>
      <c r="AM1757">
        <v>92.642207815736896</v>
      </c>
      <c r="AN1757">
        <v>1.00000002218031</v>
      </c>
    </row>
    <row r="1758" spans="1:40" x14ac:dyDescent="0.25">
      <c r="A1758" t="str">
        <f>"20190304164849568"</f>
        <v>20190304164849568</v>
      </c>
      <c r="B1758" t="str">
        <f>"1551689329558024"</f>
        <v>1551689329558024</v>
      </c>
      <c r="C1758" t="s">
        <v>40</v>
      </c>
      <c r="D1758">
        <v>4.547879</v>
      </c>
      <c r="E1758">
        <v>0.53546479999999996</v>
      </c>
      <c r="F1758" t="s">
        <v>41</v>
      </c>
      <c r="G1758">
        <v>-191.74639999999999</v>
      </c>
      <c r="H1758">
        <v>1.02661</v>
      </c>
      <c r="I1758">
        <v>323.76729999999998</v>
      </c>
      <c r="J1758">
        <v>-191.71279999999999</v>
      </c>
      <c r="K1758">
        <v>1.1121780000000001</v>
      </c>
      <c r="L1758">
        <v>324.33179999999999</v>
      </c>
      <c r="M1758">
        <v>-3.4955920000000001E-2</v>
      </c>
      <c r="N1758">
        <v>-1.4052429999999999E-2</v>
      </c>
      <c r="O1758">
        <v>-0.99929020000000002</v>
      </c>
      <c r="P1758">
        <v>7.5348409999999996E-3</v>
      </c>
      <c r="Q1758">
        <v>0.35504170000000002</v>
      </c>
      <c r="R1758">
        <v>-0.9348204</v>
      </c>
      <c r="S1758">
        <v>-0.1663818</v>
      </c>
      <c r="T1758">
        <v>-0.33806629999999999</v>
      </c>
      <c r="U1758">
        <v>-3.3391109999999999</v>
      </c>
      <c r="V1758">
        <v>-4.126606E-2</v>
      </c>
      <c r="W1758">
        <v>0.36801460000000003</v>
      </c>
      <c r="X1758">
        <v>0.9289039</v>
      </c>
      <c r="Y1758">
        <v>1.462098E-2</v>
      </c>
      <c r="Z1758">
        <v>8.6591509999999997E-2</v>
      </c>
      <c r="AA1758">
        <v>0.99613660000000004</v>
      </c>
      <c r="AB1758">
        <v>27</v>
      </c>
      <c r="AC1758">
        <v>-3.3600000000006902E-2</v>
      </c>
      <c r="AD1758">
        <v>-8.5568000000000005E-2</v>
      </c>
      <c r="AE1758">
        <v>-0.56450000000000899</v>
      </c>
      <c r="AF1758">
        <v>1.35350019804347E-2</v>
      </c>
      <c r="AG1758">
        <v>-8.5568000000000005E-2</v>
      </c>
      <c r="AH1758">
        <v>0.55267553552841897</v>
      </c>
      <c r="AI1758">
        <v>98.798345490539802</v>
      </c>
      <c r="AJ1758">
        <v>88.597109048759705</v>
      </c>
      <c r="AK1758">
        <v>0.55942410251457297</v>
      </c>
      <c r="AL1758">
        <v>68.406776483617804</v>
      </c>
      <c r="AM1758">
        <v>92.543661971955999</v>
      </c>
      <c r="AN1758">
        <v>1.0000000444781401</v>
      </c>
    </row>
    <row r="1759" spans="1:40" x14ac:dyDescent="0.25">
      <c r="A1759" t="str">
        <f>"20190304164849589"</f>
        <v>20190304164849589</v>
      </c>
      <c r="B1759" t="str">
        <f>"1551689329577545"</f>
        <v>1551689329577545</v>
      </c>
      <c r="C1759" t="s">
        <v>40</v>
      </c>
      <c r="D1759">
        <v>4.5549920000000004</v>
      </c>
      <c r="E1759">
        <v>0.53532669999999904</v>
      </c>
      <c r="F1759" t="s">
        <v>41</v>
      </c>
      <c r="G1759">
        <v>-191.75299999999999</v>
      </c>
      <c r="H1759">
        <v>1.029701</v>
      </c>
      <c r="I1759">
        <v>323.52280000000002</v>
      </c>
      <c r="J1759">
        <v>-191.71979999999999</v>
      </c>
      <c r="K1759">
        <v>1.112212</v>
      </c>
      <c r="L1759">
        <v>324.08100000000002</v>
      </c>
      <c r="M1759">
        <v>-3.3416460000000002E-2</v>
      </c>
      <c r="N1759">
        <v>-1.4051930000000001E-2</v>
      </c>
      <c r="O1759">
        <v>-0.99934290000000003</v>
      </c>
      <c r="P1759">
        <v>7.6470399999999999E-3</v>
      </c>
      <c r="Q1759">
        <v>0.35466989999999998</v>
      </c>
      <c r="R1759">
        <v>-0.93496040000000002</v>
      </c>
      <c r="S1759">
        <v>-0.16578670000000001</v>
      </c>
      <c r="T1759">
        <v>-0.3407443</v>
      </c>
      <c r="U1759">
        <v>-3.3399350000000001</v>
      </c>
      <c r="V1759">
        <v>-3.996649E-2</v>
      </c>
      <c r="W1759">
        <v>0.36764659999999999</v>
      </c>
      <c r="X1759">
        <v>0.9291064</v>
      </c>
      <c r="Y1759">
        <v>1.5967539999999999E-2</v>
      </c>
      <c r="Z1759">
        <v>8.7363609999999994E-2</v>
      </c>
      <c r="AA1759">
        <v>0.9960485</v>
      </c>
      <c r="AB1759">
        <v>27</v>
      </c>
      <c r="AC1759">
        <v>-3.3199999999993603E-2</v>
      </c>
      <c r="AD1759">
        <v>-8.2511000000000001E-2</v>
      </c>
      <c r="AE1759">
        <v>-0.55819999999994196</v>
      </c>
      <c r="AF1759">
        <v>1.42170067325383E-2</v>
      </c>
      <c r="AG1759">
        <v>-8.2511000000000001E-2</v>
      </c>
      <c r="AH1759">
        <v>0.54708623404765999</v>
      </c>
      <c r="AI1759">
        <v>98.5738014048206</v>
      </c>
      <c r="AJ1759">
        <v>88.511402512873701</v>
      </c>
      <c r="AK1759">
        <v>0.55345599272741097</v>
      </c>
      <c r="AL1759">
        <v>68.429450480252996</v>
      </c>
      <c r="AM1759">
        <v>92.463119791660006</v>
      </c>
      <c r="AN1759">
        <v>1.0000000226677199</v>
      </c>
    </row>
    <row r="1760" spans="1:40" x14ac:dyDescent="0.25">
      <c r="A1760" t="str">
        <f>"20190304164849611"</f>
        <v>20190304164849611</v>
      </c>
      <c r="B1760" t="str">
        <f>"1551689329607797"</f>
        <v>1551689329607797</v>
      </c>
      <c r="C1760" t="s">
        <v>40</v>
      </c>
      <c r="D1760">
        <v>4.5868929999999999</v>
      </c>
      <c r="E1760">
        <v>0.53506750000000003</v>
      </c>
      <c r="F1760" t="s">
        <v>41</v>
      </c>
      <c r="G1760">
        <v>-191.7595</v>
      </c>
      <c r="H1760">
        <v>1.0299020000000001</v>
      </c>
      <c r="I1760">
        <v>323.27999999999997</v>
      </c>
      <c r="J1760">
        <v>-191.727</v>
      </c>
      <c r="K1760">
        <v>1.112231</v>
      </c>
      <c r="L1760">
        <v>323.81240000000003</v>
      </c>
      <c r="M1760">
        <v>-3.1747419999999998E-2</v>
      </c>
      <c r="N1760">
        <v>-1.405095E-2</v>
      </c>
      <c r="O1760">
        <v>-0.99939730000000004</v>
      </c>
      <c r="P1760">
        <v>8.4973669999999901E-3</v>
      </c>
      <c r="Q1760">
        <v>0.35502139999999999</v>
      </c>
      <c r="R1760">
        <v>-0.93481979999999998</v>
      </c>
      <c r="S1760">
        <v>-0.1651764</v>
      </c>
      <c r="T1760">
        <v>-0.3433814</v>
      </c>
      <c r="U1760">
        <v>-3.340271</v>
      </c>
      <c r="V1760">
        <v>-3.9264199999999999E-2</v>
      </c>
      <c r="W1760">
        <v>0.3679964</v>
      </c>
      <c r="X1760">
        <v>0.92899779999999998</v>
      </c>
      <c r="Y1760">
        <v>1.7446219999999998E-2</v>
      </c>
      <c r="Z1760">
        <v>8.8138530000000007E-2</v>
      </c>
      <c r="AA1760">
        <v>0.99595540000000005</v>
      </c>
      <c r="AB1760">
        <v>27</v>
      </c>
      <c r="AC1760">
        <v>-3.2499999999998801E-2</v>
      </c>
      <c r="AD1760">
        <v>-8.2328999999999805E-2</v>
      </c>
      <c r="AE1760">
        <v>-0.53240000000005205</v>
      </c>
      <c r="AF1760">
        <v>1.5217090004982401E-2</v>
      </c>
      <c r="AG1760">
        <v>-8.2328999999999805E-2</v>
      </c>
      <c r="AH1760">
        <v>0.52075696836162499</v>
      </c>
      <c r="AI1760">
        <v>98.980042989634498</v>
      </c>
      <c r="AJ1760">
        <v>88.326230742824507</v>
      </c>
      <c r="AK1760">
        <v>0.52744425692807595</v>
      </c>
      <c r="AL1760">
        <v>68.407896282139902</v>
      </c>
      <c r="AM1760">
        <v>92.420172383163504</v>
      </c>
      <c r="AN1760">
        <v>0.99999997010971897</v>
      </c>
    </row>
    <row r="1761" spans="1:40" x14ac:dyDescent="0.25">
      <c r="A1761" t="str">
        <f>"20190304164849635"</f>
        <v>20190304164849635</v>
      </c>
      <c r="B1761" t="str">
        <f>"1551689329627317"</f>
        <v>1551689329627317</v>
      </c>
      <c r="C1761" t="s">
        <v>40</v>
      </c>
      <c r="D1761">
        <v>4.5931129999999998</v>
      </c>
      <c r="E1761">
        <v>0.53181230000000002</v>
      </c>
      <c r="F1761" t="s">
        <v>41</v>
      </c>
      <c r="G1761">
        <v>-191.7647</v>
      </c>
      <c r="H1761">
        <v>1.0326200000000001</v>
      </c>
      <c r="I1761">
        <v>323.03629999999998</v>
      </c>
      <c r="J1761">
        <v>-191.73429999999999</v>
      </c>
      <c r="K1761">
        <v>1.1122209999999999</v>
      </c>
      <c r="L1761">
        <v>323.5224</v>
      </c>
      <c r="M1761">
        <v>-2.993906E-2</v>
      </c>
      <c r="N1761">
        <v>-1.4049529999999999E-2</v>
      </c>
      <c r="O1761">
        <v>-0.99945309999999998</v>
      </c>
      <c r="P1761">
        <v>8.6967840000000008E-3</v>
      </c>
      <c r="Q1761">
        <v>0.3554427</v>
      </c>
      <c r="R1761">
        <v>-0.93465790000000004</v>
      </c>
      <c r="S1761">
        <v>-0.16146849999999999</v>
      </c>
      <c r="T1761">
        <v>-0.34294350000000001</v>
      </c>
      <c r="U1761">
        <v>-3.3408809999999902</v>
      </c>
      <c r="V1761">
        <v>-3.7772470000000002E-2</v>
      </c>
      <c r="W1761">
        <v>0.36841930000000001</v>
      </c>
      <c r="X1761">
        <v>0.92889200000000005</v>
      </c>
      <c r="Y1761">
        <v>1.8143670000000001E-2</v>
      </c>
      <c r="Z1761">
        <v>8.8002209999999997E-2</v>
      </c>
      <c r="AA1761">
        <v>0.99595500000000003</v>
      </c>
      <c r="AB1761">
        <v>27</v>
      </c>
      <c r="AC1761">
        <v>-3.0400000000014402E-2</v>
      </c>
      <c r="AD1761">
        <v>-7.9600999999999797E-2</v>
      </c>
      <c r="AE1761">
        <v>-0.48610000000002102</v>
      </c>
      <c r="AF1761">
        <v>1.5419682347931001E-2</v>
      </c>
      <c r="AG1761">
        <v>-7.9600999999999797E-2</v>
      </c>
      <c r="AH1761">
        <v>0.474127847143125</v>
      </c>
      <c r="AI1761">
        <v>99.525524149285204</v>
      </c>
      <c r="AJ1761">
        <v>88.137271543729497</v>
      </c>
      <c r="AK1761">
        <v>0.48101070803183299</v>
      </c>
      <c r="AL1761">
        <v>68.381834319979802</v>
      </c>
      <c r="AM1761">
        <v>92.328593005411406</v>
      </c>
      <c r="AN1761">
        <v>0.99999994388319402</v>
      </c>
    </row>
    <row r="1762" spans="1:40" x14ac:dyDescent="0.25">
      <c r="A1762" t="str">
        <f>"20190304164849657"</f>
        <v>20190304164849657</v>
      </c>
      <c r="B1762" t="str">
        <f>"1551689329647817"</f>
        <v>1551689329647817</v>
      </c>
      <c r="C1762" t="s">
        <v>40</v>
      </c>
      <c r="D1762">
        <v>4.5978289999999999</v>
      </c>
      <c r="E1762">
        <v>0.53281869999999998</v>
      </c>
      <c r="F1762" t="s">
        <v>42</v>
      </c>
      <c r="G1762">
        <v>-192.2646</v>
      </c>
      <c r="H1762" s="1">
        <v>-1.1468500000000001E-6</v>
      </c>
      <c r="I1762">
        <v>310.74299999999999</v>
      </c>
      <c r="J1762">
        <v>-191.74039999999999</v>
      </c>
      <c r="K1762">
        <v>1.112214</v>
      </c>
      <c r="L1762">
        <v>323.25709999999998</v>
      </c>
      <c r="M1762">
        <v>-2.8291239999999999E-2</v>
      </c>
      <c r="N1762">
        <v>-1.404799E-2</v>
      </c>
      <c r="O1762">
        <v>-0.99950099999999997</v>
      </c>
      <c r="P1762">
        <v>8.105447E-3</v>
      </c>
      <c r="Q1762">
        <v>0.35482180000000002</v>
      </c>
      <c r="R1762">
        <v>-0.93489869999999997</v>
      </c>
      <c r="S1762">
        <v>-0.1378326</v>
      </c>
      <c r="T1762">
        <v>-0.28902909999999998</v>
      </c>
      <c r="U1762">
        <v>-3.3209230000000001</v>
      </c>
      <c r="V1762">
        <v>-3.5643639999999997E-2</v>
      </c>
      <c r="W1762">
        <v>0.36780750000000001</v>
      </c>
      <c r="X1762">
        <v>0.92921860000000001</v>
      </c>
      <c r="Y1762">
        <v>1.3063480000000001E-2</v>
      </c>
      <c r="Z1762">
        <v>7.2616920000000001E-2</v>
      </c>
      <c r="AA1762">
        <v>0.99727429999999995</v>
      </c>
      <c r="AB1762">
        <v>27</v>
      </c>
      <c r="AC1762">
        <v>-0.52420000000000699</v>
      </c>
      <c r="AD1762">
        <v>-1.1122151468499999</v>
      </c>
      <c r="AE1762">
        <v>-12.5140999999999</v>
      </c>
      <c r="AF1762">
        <v>0.16858643469856799</v>
      </c>
      <c r="AG1762">
        <v>-1.1122151468499999</v>
      </c>
      <c r="AH1762">
        <v>12.4259396481949</v>
      </c>
      <c r="AI1762">
        <v>95.114305325885894</v>
      </c>
      <c r="AJ1762">
        <v>89.222698736413406</v>
      </c>
      <c r="AK1762">
        <v>12.4767551895286</v>
      </c>
      <c r="AL1762">
        <v>68.419536845557403</v>
      </c>
      <c r="AM1762">
        <v>92.196716016731401</v>
      </c>
      <c r="AN1762">
        <v>1.0000000163573199</v>
      </c>
    </row>
    <row r="1763" spans="1:40" x14ac:dyDescent="0.25">
      <c r="A1763" t="str">
        <f>"20190304164849679"</f>
        <v>20190304164849679</v>
      </c>
      <c r="B1763" t="str">
        <f>"1551689329668309"</f>
        <v>1551689329668309</v>
      </c>
      <c r="C1763" t="s">
        <v>40</v>
      </c>
      <c r="D1763">
        <v>4.6317409999999999</v>
      </c>
      <c r="E1763">
        <v>0.53309110000000004</v>
      </c>
      <c r="F1763" t="s">
        <v>41</v>
      </c>
      <c r="G1763">
        <v>-191.77979999999999</v>
      </c>
      <c r="H1763">
        <v>1.0097400000000001</v>
      </c>
      <c r="I1763">
        <v>322.3218</v>
      </c>
      <c r="J1763">
        <v>-191.74610000000001</v>
      </c>
      <c r="K1763">
        <v>1.1121989999999999</v>
      </c>
      <c r="L1763">
        <v>322.99209999999999</v>
      </c>
      <c r="M1763">
        <v>-2.6655109999999999E-2</v>
      </c>
      <c r="N1763">
        <v>-1.4046360000000001E-2</v>
      </c>
      <c r="O1763">
        <v>-0.99954620000000005</v>
      </c>
      <c r="P1763">
        <v>7.3237210000000001E-3</v>
      </c>
      <c r="Q1763">
        <v>0.35423539999999998</v>
      </c>
      <c r="R1763">
        <v>-0.93512790000000001</v>
      </c>
      <c r="S1763">
        <v>-0.1407776</v>
      </c>
      <c r="T1763">
        <v>-0.36714020000000003</v>
      </c>
      <c r="U1763">
        <v>-3.3494570000000001</v>
      </c>
      <c r="V1763">
        <v>-3.3333010000000003E-2</v>
      </c>
      <c r="W1763">
        <v>0.36723149999999999</v>
      </c>
      <c r="X1763">
        <v>0.92953209999999997</v>
      </c>
      <c r="Y1763">
        <v>1.514099E-2</v>
      </c>
      <c r="Z1763">
        <v>9.4881999999999994E-2</v>
      </c>
      <c r="AA1763">
        <v>0.99537339999999996</v>
      </c>
      <c r="AB1763">
        <v>27</v>
      </c>
      <c r="AC1763">
        <v>-3.36999999999818E-2</v>
      </c>
      <c r="AD1763">
        <v>-0.10245899999999999</v>
      </c>
      <c r="AE1763">
        <v>-0.67029999999999701</v>
      </c>
      <c r="AF1763">
        <v>1.54590573308841E-2</v>
      </c>
      <c r="AG1763">
        <v>-0.10245899999999999</v>
      </c>
      <c r="AH1763">
        <v>0.65567898156158599</v>
      </c>
      <c r="AI1763">
        <v>98.879012262927205</v>
      </c>
      <c r="AJ1763">
        <v>88.649377671810299</v>
      </c>
      <c r="AK1763">
        <v>0.66381605584393499</v>
      </c>
      <c r="AL1763">
        <v>68.455022166971602</v>
      </c>
      <c r="AM1763">
        <v>92.053745939958404</v>
      </c>
      <c r="AN1763">
        <v>0.99999999453916</v>
      </c>
    </row>
    <row r="1764" spans="1:40" x14ac:dyDescent="0.25">
      <c r="A1764" t="str">
        <f>"20190304164849701"</f>
        <v>20190304164849701</v>
      </c>
      <c r="B1764" t="str">
        <f>"1551689329697589"</f>
        <v>1551689329697589</v>
      </c>
      <c r="C1764" t="s">
        <v>40</v>
      </c>
      <c r="D1764">
        <v>4.6150479999999998</v>
      </c>
      <c r="E1764">
        <v>0.53293459999999904</v>
      </c>
      <c r="F1764" t="s">
        <v>41</v>
      </c>
      <c r="G1764">
        <v>-191.786</v>
      </c>
      <c r="H1764">
        <v>1.012956</v>
      </c>
      <c r="I1764">
        <v>322.07909999999998</v>
      </c>
      <c r="J1764">
        <v>-191.75129999999999</v>
      </c>
      <c r="K1764">
        <v>1.1121970000000001</v>
      </c>
      <c r="L1764">
        <v>322.72730000000001</v>
      </c>
      <c r="M1764">
        <v>-2.503124E-2</v>
      </c>
      <c r="N1764">
        <v>-1.404438E-2</v>
      </c>
      <c r="O1764">
        <v>-0.99958809999999998</v>
      </c>
      <c r="P1764">
        <v>6.1210650000000002E-3</v>
      </c>
      <c r="Q1764">
        <v>0.35432129999999901</v>
      </c>
      <c r="R1764">
        <v>-0.93510389999999999</v>
      </c>
      <c r="S1764">
        <v>-0.14546199999999901</v>
      </c>
      <c r="T1764">
        <v>-0.3642032</v>
      </c>
      <c r="U1764">
        <v>-3.3472599999999999</v>
      </c>
      <c r="V1764">
        <v>-3.060709E-2</v>
      </c>
      <c r="W1764">
        <v>0.3673247</v>
      </c>
      <c r="X1764">
        <v>0.929589</v>
      </c>
      <c r="Y1764">
        <v>1.8183899999999999E-2</v>
      </c>
      <c r="Z1764">
        <v>9.4092930000000005E-2</v>
      </c>
      <c r="AA1764">
        <v>0.99539730000000004</v>
      </c>
      <c r="AB1764">
        <v>27</v>
      </c>
      <c r="AC1764">
        <v>-3.4699999999986603E-2</v>
      </c>
      <c r="AD1764">
        <v>-9.9240999999999899E-2</v>
      </c>
      <c r="AE1764">
        <v>-0.64820000000003097</v>
      </c>
      <c r="AF1764">
        <v>1.80406067048915E-2</v>
      </c>
      <c r="AG1764">
        <v>-9.9240999999999899E-2</v>
      </c>
      <c r="AH1764">
        <v>0.63404574065031005</v>
      </c>
      <c r="AI1764">
        <v>98.892232654812801</v>
      </c>
      <c r="AJ1764">
        <v>88.370193581628598</v>
      </c>
      <c r="AK1764">
        <v>0.64201887885644005</v>
      </c>
      <c r="AL1764">
        <v>68.449280376964097</v>
      </c>
      <c r="AM1764">
        <v>91.885805220763402</v>
      </c>
      <c r="AN1764">
        <v>0.99999996905467803</v>
      </c>
    </row>
    <row r="1765" spans="1:40" x14ac:dyDescent="0.25">
      <c r="A1765" t="str">
        <f>"20190304164849725"</f>
        <v>20190304164849725</v>
      </c>
      <c r="B1765" t="str">
        <f>"1551689329718086"</f>
        <v>1551689329718086</v>
      </c>
      <c r="C1765" t="s">
        <v>40</v>
      </c>
      <c r="D1765">
        <v>4.6448349999999996</v>
      </c>
      <c r="E1765">
        <v>0.53290249999999995</v>
      </c>
      <c r="F1765" t="s">
        <v>41</v>
      </c>
      <c r="G1765">
        <v>-191.79060000000001</v>
      </c>
      <c r="H1765">
        <v>1.0151749999999999</v>
      </c>
      <c r="I1765">
        <v>321.83699999999999</v>
      </c>
      <c r="J1765">
        <v>-191.7567</v>
      </c>
      <c r="K1765">
        <v>1.112195</v>
      </c>
      <c r="L1765">
        <v>322.43090000000001</v>
      </c>
      <c r="M1765">
        <v>-2.3221809999999999E-2</v>
      </c>
      <c r="N1765">
        <v>-1.404204E-2</v>
      </c>
      <c r="O1765">
        <v>-0.99963190000000002</v>
      </c>
      <c r="P1765">
        <v>4.1157709999999998E-3</v>
      </c>
      <c r="Q1765">
        <v>0.35453499999999999</v>
      </c>
      <c r="R1765">
        <v>-0.93503409999999998</v>
      </c>
      <c r="S1765">
        <v>-0.14784239999999901</v>
      </c>
      <c r="T1765">
        <v>-0.36472929999999998</v>
      </c>
      <c r="U1765">
        <v>-3.3473820000000001</v>
      </c>
      <c r="V1765">
        <v>-2.6903059999999999E-2</v>
      </c>
      <c r="W1765">
        <v>0.36754809999999999</v>
      </c>
      <c r="X1765">
        <v>0.92961530000000003</v>
      </c>
      <c r="Y1765">
        <v>2.0695769999999999E-2</v>
      </c>
      <c r="Z1765">
        <v>9.4248170000000006E-2</v>
      </c>
      <c r="AA1765">
        <v>0.99533360000000004</v>
      </c>
      <c r="AB1765">
        <v>27</v>
      </c>
      <c r="AC1765">
        <v>-3.3900000000016903E-2</v>
      </c>
      <c r="AD1765">
        <v>-9.7020000000000106E-2</v>
      </c>
      <c r="AE1765">
        <v>-0.59390000000001897</v>
      </c>
      <c r="AF1765">
        <v>1.95773080641399E-2</v>
      </c>
      <c r="AG1765">
        <v>-9.7020000000000106E-2</v>
      </c>
      <c r="AH1765">
        <v>0.57912240177435603</v>
      </c>
      <c r="AI1765">
        <v>99.5050773005255</v>
      </c>
      <c r="AJ1765">
        <v>88.063846038916097</v>
      </c>
      <c r="AK1765">
        <v>0.58751928277115895</v>
      </c>
      <c r="AL1765">
        <v>68.435518334872995</v>
      </c>
      <c r="AM1765">
        <v>91.657676763516093</v>
      </c>
      <c r="AN1765">
        <v>0.99999999322253097</v>
      </c>
    </row>
    <row r="1766" spans="1:40" x14ac:dyDescent="0.25">
      <c r="A1766" t="str">
        <f>"20190304164849746"</f>
        <v>20190304164849746</v>
      </c>
      <c r="B1766" t="str">
        <f>"1551689329738582"</f>
        <v>1551689329738582</v>
      </c>
      <c r="C1766" t="s">
        <v>40</v>
      </c>
      <c r="D1766">
        <v>4.6366680000000002</v>
      </c>
      <c r="E1766">
        <v>0.53275059999999996</v>
      </c>
      <c r="F1766" t="s">
        <v>41</v>
      </c>
      <c r="G1766">
        <v>-191.79509999999999</v>
      </c>
      <c r="H1766">
        <v>1.0207409999999999</v>
      </c>
      <c r="I1766">
        <v>321.59359999999998</v>
      </c>
      <c r="J1766">
        <v>-191.76089999999999</v>
      </c>
      <c r="K1766">
        <v>1.112193</v>
      </c>
      <c r="L1766">
        <v>322.17860000000002</v>
      </c>
      <c r="M1766">
        <v>-2.1685980000000001E-2</v>
      </c>
      <c r="N1766">
        <v>-1.4039980000000001E-2</v>
      </c>
      <c r="O1766">
        <v>-0.99966630000000001</v>
      </c>
      <c r="P1766">
        <v>1.3866639999999999E-3</v>
      </c>
      <c r="Q1766">
        <v>0.35436839999999997</v>
      </c>
      <c r="R1766">
        <v>-0.93510499999999996</v>
      </c>
      <c r="S1766">
        <v>-0.1533051</v>
      </c>
      <c r="T1766">
        <v>-0.36569849999999998</v>
      </c>
      <c r="U1766">
        <v>-3.3477779999999999</v>
      </c>
      <c r="V1766">
        <v>-2.2734850000000001E-2</v>
      </c>
      <c r="W1766">
        <v>0.3673942</v>
      </c>
      <c r="X1766">
        <v>0.92978740000000004</v>
      </c>
      <c r="Y1766">
        <v>2.3843389999999999E-2</v>
      </c>
      <c r="Z1766">
        <v>9.4519699999999998E-2</v>
      </c>
      <c r="AA1766">
        <v>0.99523740000000005</v>
      </c>
      <c r="AB1766">
        <v>27</v>
      </c>
      <c r="AC1766">
        <v>-3.4199999999998398E-2</v>
      </c>
      <c r="AD1766">
        <v>-9.1452000000000006E-2</v>
      </c>
      <c r="AE1766">
        <v>-0.58500000000003605</v>
      </c>
      <c r="AF1766">
        <v>2.0993114601741601E-2</v>
      </c>
      <c r="AG1766">
        <v>-9.1452000000000006E-2</v>
      </c>
      <c r="AH1766">
        <v>0.57168069661744303</v>
      </c>
      <c r="AI1766">
        <v>99.082604617188593</v>
      </c>
      <c r="AJ1766">
        <v>87.896943785637603</v>
      </c>
      <c r="AK1766">
        <v>0.57932978349959396</v>
      </c>
      <c r="AL1766">
        <v>68.444999442419103</v>
      </c>
      <c r="AM1766">
        <v>91.400698097833896</v>
      </c>
      <c r="AN1766">
        <v>0.99999999039846099</v>
      </c>
    </row>
    <row r="1767" spans="1:40" x14ac:dyDescent="0.25">
      <c r="A1767" t="str">
        <f>"20190304164849770"</f>
        <v>20190304164849770</v>
      </c>
      <c r="B1767" t="str">
        <f>"1551689329758101"</f>
        <v>1551689329758101</v>
      </c>
      <c r="C1767" t="s">
        <v>40</v>
      </c>
      <c r="D1767">
        <v>4.6490039999999997</v>
      </c>
      <c r="E1767">
        <v>0.53261719999999901</v>
      </c>
      <c r="F1767" t="s">
        <v>41</v>
      </c>
      <c r="G1767">
        <v>-191.80070000000001</v>
      </c>
      <c r="H1767">
        <v>1.0217020000000001</v>
      </c>
      <c r="I1767">
        <v>321.35270000000003</v>
      </c>
      <c r="J1767">
        <v>-191.76499999999999</v>
      </c>
      <c r="K1767">
        <v>1.11219</v>
      </c>
      <c r="L1767">
        <v>321.89800000000002</v>
      </c>
      <c r="M1767">
        <v>-1.9979170000000001E-2</v>
      </c>
      <c r="N1767">
        <v>-1.403766E-2</v>
      </c>
      <c r="O1767">
        <v>-0.99970179999999997</v>
      </c>
      <c r="P1767">
        <v>-1.900552E-3</v>
      </c>
      <c r="Q1767">
        <v>0.35474430000000001</v>
      </c>
      <c r="R1767">
        <v>-0.9349615</v>
      </c>
      <c r="S1767">
        <v>-0.16123959999999901</v>
      </c>
      <c r="T1767">
        <v>-0.36689339999999998</v>
      </c>
      <c r="U1767">
        <v>-3.3475039999999998</v>
      </c>
      <c r="V1767">
        <v>-1.7844929999999998E-2</v>
      </c>
      <c r="W1767">
        <v>0.36778179999999999</v>
      </c>
      <c r="X1767">
        <v>0.92974089999999998</v>
      </c>
      <c r="Y1767">
        <v>2.7902389999999999E-2</v>
      </c>
      <c r="Z1767">
        <v>9.4875500000000001E-2</v>
      </c>
      <c r="AA1767">
        <v>0.99509809999999999</v>
      </c>
      <c r="AB1767">
        <v>27</v>
      </c>
      <c r="AC1767">
        <v>-3.5700000000019799E-2</v>
      </c>
      <c r="AD1767">
        <v>-9.0487999999999902E-2</v>
      </c>
      <c r="AE1767">
        <v>-0.54529999999994005</v>
      </c>
      <c r="AF1767">
        <v>2.41353862228172E-2</v>
      </c>
      <c r="AG1767">
        <v>-9.0487999999999902E-2</v>
      </c>
      <c r="AH1767">
        <v>0.53133570379155104</v>
      </c>
      <c r="AI1767">
        <v>99.655142628350504</v>
      </c>
      <c r="AJ1767">
        <v>87.399185047315697</v>
      </c>
      <c r="AK1767">
        <v>0.53952592628694596</v>
      </c>
      <c r="AL1767">
        <v>68.421120365493195</v>
      </c>
      <c r="AM1767">
        <v>91.099568332325703</v>
      </c>
      <c r="AN1767">
        <v>1.00000001753537</v>
      </c>
    </row>
    <row r="1768" spans="1:40" x14ac:dyDescent="0.25">
      <c r="A1768" t="str">
        <f>"20190304164849791"</f>
        <v>20190304164849791</v>
      </c>
      <c r="B1768" t="str">
        <f>"1551689329787381"</f>
        <v>1551689329787381</v>
      </c>
      <c r="C1768" t="s">
        <v>40</v>
      </c>
      <c r="D1768">
        <v>4.6446589999999999</v>
      </c>
      <c r="E1768">
        <v>0.5323542</v>
      </c>
      <c r="F1768" t="s">
        <v>41</v>
      </c>
      <c r="G1768">
        <v>-191.80539999999999</v>
      </c>
      <c r="H1768">
        <v>1.0258969999999901</v>
      </c>
      <c r="I1768">
        <v>321.11059999999998</v>
      </c>
      <c r="J1768">
        <v>-191.76840000000001</v>
      </c>
      <c r="K1768">
        <v>1.112185</v>
      </c>
      <c r="L1768">
        <v>321.64780000000002</v>
      </c>
      <c r="M1768">
        <v>-1.8457790000000002E-2</v>
      </c>
      <c r="N1768">
        <v>-1.403539E-2</v>
      </c>
      <c r="O1768">
        <v>-0.99973129999999999</v>
      </c>
      <c r="P1768">
        <v>-5.7574979999999998E-3</v>
      </c>
      <c r="Q1768">
        <v>0.35478009999999999</v>
      </c>
      <c r="R1768">
        <v>-0.93493250000000006</v>
      </c>
      <c r="S1768">
        <v>-0.17095949999999999</v>
      </c>
      <c r="T1768">
        <v>-0.36710130000000002</v>
      </c>
      <c r="U1768">
        <v>-3.3475950000000001</v>
      </c>
      <c r="V1768">
        <v>-1.256118E-2</v>
      </c>
      <c r="W1768">
        <v>0.36783189999999999</v>
      </c>
      <c r="X1768">
        <v>0.92980750000000001</v>
      </c>
      <c r="Y1768">
        <v>3.230015E-2</v>
      </c>
      <c r="Z1768">
        <v>9.4925510000000005E-2</v>
      </c>
      <c r="AA1768">
        <v>0.99496019999999996</v>
      </c>
      <c r="AB1768">
        <v>27</v>
      </c>
      <c r="AC1768">
        <v>-3.6999999999977697E-2</v>
      </c>
      <c r="AD1768">
        <v>-8.6288000000000101E-2</v>
      </c>
      <c r="AE1768">
        <v>-0.53720000000004098</v>
      </c>
      <c r="AF1768">
        <v>2.6399295422521001E-2</v>
      </c>
      <c r="AG1768">
        <v>-8.6288000000000101E-2</v>
      </c>
      <c r="AH1768">
        <v>0.52432741138312999</v>
      </c>
      <c r="AI1768">
        <v>99.333724823801802</v>
      </c>
      <c r="AJ1768">
        <v>87.117655890678293</v>
      </c>
      <c r="AK1768">
        <v>0.53203550264107302</v>
      </c>
      <c r="AL1768">
        <v>68.418033936533703</v>
      </c>
      <c r="AM1768">
        <v>90.773986896629793</v>
      </c>
      <c r="AN1768">
        <v>1.00000003847842</v>
      </c>
    </row>
    <row r="1769" spans="1:40" x14ac:dyDescent="0.25">
      <c r="A1769" t="str">
        <f>"20190304164849814"</f>
        <v>20190304164849814</v>
      </c>
      <c r="B1769" t="str">
        <f>"1551689329807878"</f>
        <v>1551689329807878</v>
      </c>
      <c r="C1769" t="s">
        <v>40</v>
      </c>
      <c r="D1769">
        <v>4.6264609999999999</v>
      </c>
      <c r="E1769">
        <v>0.53211350000000002</v>
      </c>
      <c r="F1769" t="s">
        <v>41</v>
      </c>
      <c r="G1769">
        <v>-191.81020000000001</v>
      </c>
      <c r="H1769">
        <v>1.0265569999999999</v>
      </c>
      <c r="I1769">
        <v>320.87040000000002</v>
      </c>
      <c r="J1769">
        <v>-191.77160000000001</v>
      </c>
      <c r="K1769">
        <v>1.1121810000000001</v>
      </c>
      <c r="L1769">
        <v>321.37139999999999</v>
      </c>
      <c r="M1769">
        <v>-1.677681E-2</v>
      </c>
      <c r="N1769">
        <v>-1.4032899999999999E-2</v>
      </c>
      <c r="O1769">
        <v>-0.99976080000000001</v>
      </c>
      <c r="P1769">
        <v>-9.7546750000000008E-3</v>
      </c>
      <c r="Q1769">
        <v>0.35471540000000001</v>
      </c>
      <c r="R1769">
        <v>-0.93492350000000002</v>
      </c>
      <c r="S1769">
        <v>-0.1799316</v>
      </c>
      <c r="T1769">
        <v>-0.3688188</v>
      </c>
      <c r="U1769">
        <v>-3.347626</v>
      </c>
      <c r="V1769">
        <v>-6.9875750000000002E-3</v>
      </c>
      <c r="W1769">
        <v>0.36778179999999999</v>
      </c>
      <c r="X1769">
        <v>0.92988590000000004</v>
      </c>
      <c r="Y1769">
        <v>3.6632820000000003E-2</v>
      </c>
      <c r="Z1769">
        <v>9.5419850000000001E-2</v>
      </c>
      <c r="AA1769">
        <v>0.99476279999999995</v>
      </c>
      <c r="AB1769">
        <v>27</v>
      </c>
      <c r="AC1769">
        <v>-3.8600000000002403E-2</v>
      </c>
      <c r="AD1769">
        <v>-8.5623999999999895E-2</v>
      </c>
      <c r="AE1769">
        <v>-0.50099999999997602</v>
      </c>
      <c r="AF1769">
        <v>2.9336719528426002E-2</v>
      </c>
      <c r="AG1769">
        <v>-8.5623999999999895E-2</v>
      </c>
      <c r="AH1769">
        <v>0.48742400639926298</v>
      </c>
      <c r="AI1769">
        <v>99.945648813973406</v>
      </c>
      <c r="AJ1769">
        <v>86.555678553142599</v>
      </c>
      <c r="AK1769">
        <v>0.49575626521809901</v>
      </c>
      <c r="AL1769">
        <v>68.421120711788404</v>
      </c>
      <c r="AM1769">
        <v>90.4305377908438</v>
      </c>
      <c r="AN1769">
        <v>1.0000000328172101</v>
      </c>
    </row>
    <row r="1770" spans="1:40" x14ac:dyDescent="0.25">
      <c r="A1770" t="str">
        <f>"20190304164849837"</f>
        <v>20190304164849837</v>
      </c>
      <c r="B1770" t="str">
        <f>"1551689329827398"</f>
        <v>1551689329827398</v>
      </c>
      <c r="C1770" t="s">
        <v>40</v>
      </c>
      <c r="D1770">
        <v>4.6332449999999996</v>
      </c>
      <c r="E1770">
        <v>0.52871880000000004</v>
      </c>
      <c r="F1770" t="s">
        <v>41</v>
      </c>
      <c r="G1770">
        <v>-191.81379999999999</v>
      </c>
      <c r="H1770">
        <v>1.0300290000000001</v>
      </c>
      <c r="I1770">
        <v>320.62920000000003</v>
      </c>
      <c r="J1770">
        <v>-191.77440000000001</v>
      </c>
      <c r="K1770">
        <v>1.112174</v>
      </c>
      <c r="L1770">
        <v>321.09649999999999</v>
      </c>
      <c r="M1770">
        <v>-1.510418E-2</v>
      </c>
      <c r="N1770">
        <v>-1.4030249999999999E-2</v>
      </c>
      <c r="O1770">
        <v>-0.99978769999999995</v>
      </c>
      <c r="P1770">
        <v>-1.420628E-2</v>
      </c>
      <c r="Q1770">
        <v>0.3547361</v>
      </c>
      <c r="R1770">
        <v>-0.93485910000000005</v>
      </c>
      <c r="S1770">
        <v>-0.18991089999999999</v>
      </c>
      <c r="T1770">
        <v>-0.37060979999999999</v>
      </c>
      <c r="U1770">
        <v>-3.3474729999999999</v>
      </c>
      <c r="V1770">
        <v>-9.6780059999999998E-4</v>
      </c>
      <c r="W1770">
        <v>0.36781770000000003</v>
      </c>
      <c r="X1770">
        <v>0.92989739999999999</v>
      </c>
      <c r="Y1770">
        <v>4.1256229999999998E-2</v>
      </c>
      <c r="Z1770">
        <v>9.593815E-2</v>
      </c>
      <c r="AA1770">
        <v>0.99453190000000002</v>
      </c>
      <c r="AB1770">
        <v>27</v>
      </c>
      <c r="AC1770">
        <v>-3.9399999999972103E-2</v>
      </c>
      <c r="AD1770">
        <v>-8.2144999999999899E-2</v>
      </c>
      <c r="AE1770">
        <v>-0.46729999999996602</v>
      </c>
      <c r="AF1770">
        <v>3.1373987755313901E-2</v>
      </c>
      <c r="AG1770">
        <v>-8.2144999999999899E-2</v>
      </c>
      <c r="AH1770">
        <v>0.45391450042025999</v>
      </c>
      <c r="AI1770">
        <v>100.233909894345</v>
      </c>
      <c r="AJ1770">
        <v>86.046077732310593</v>
      </c>
      <c r="AK1770">
        <v>0.46235322192501699</v>
      </c>
      <c r="AL1770">
        <v>68.418907680077695</v>
      </c>
      <c r="AM1770">
        <v>90.059631169814097</v>
      </c>
      <c r="AN1770">
        <v>0.99999998579902505</v>
      </c>
    </row>
    <row r="1771" spans="1:40" x14ac:dyDescent="0.25">
      <c r="A1771" t="str">
        <f>"20190304164849859"</f>
        <v>20190304164849859</v>
      </c>
      <c r="B1771" t="str">
        <f>"1551689329847897"</f>
        <v>1551689329847897</v>
      </c>
      <c r="C1771" t="s">
        <v>40</v>
      </c>
      <c r="D1771">
        <v>4.6636089999999903</v>
      </c>
      <c r="E1771">
        <v>0.52870729999999999</v>
      </c>
      <c r="F1771" t="s">
        <v>41</v>
      </c>
      <c r="G1771">
        <v>-191.8228</v>
      </c>
      <c r="H1771">
        <v>1.0031810000000001</v>
      </c>
      <c r="I1771">
        <v>320.16419999999999</v>
      </c>
      <c r="J1771">
        <v>-191.7765</v>
      </c>
      <c r="K1771">
        <v>1.1121719999999999</v>
      </c>
      <c r="L1771">
        <v>320.83280000000002</v>
      </c>
      <c r="M1771">
        <v>-1.3498090000000001E-2</v>
      </c>
      <c r="N1771">
        <v>-1.402772E-2</v>
      </c>
      <c r="O1771">
        <v>-0.99981050000000005</v>
      </c>
      <c r="P1771">
        <v>-1.8312419999999999E-2</v>
      </c>
      <c r="Q1771">
        <v>0.35480119999999998</v>
      </c>
      <c r="R1771">
        <v>-0.93476250000000005</v>
      </c>
      <c r="S1771">
        <v>-0.17375179999999901</v>
      </c>
      <c r="T1771">
        <v>-0.3924397</v>
      </c>
      <c r="U1771">
        <v>-3.3553160000000002</v>
      </c>
      <c r="V1771">
        <v>4.6445210000000004E-3</v>
      </c>
      <c r="W1771">
        <v>0.3678958</v>
      </c>
      <c r="X1771">
        <v>0.9298554</v>
      </c>
      <c r="Y1771">
        <v>3.7923529999999997E-2</v>
      </c>
      <c r="Z1771">
        <v>0.10209509999999999</v>
      </c>
      <c r="AA1771">
        <v>0.99405149999999998</v>
      </c>
      <c r="AB1771">
        <v>27</v>
      </c>
      <c r="AC1771">
        <v>-4.6300000000002201E-2</v>
      </c>
      <c r="AD1771">
        <v>-0.108991</v>
      </c>
      <c r="AE1771">
        <v>-0.66860000000002595</v>
      </c>
      <c r="AF1771">
        <v>3.6309797145412402E-2</v>
      </c>
      <c r="AG1771">
        <v>-0.108991</v>
      </c>
      <c r="AH1771">
        <v>0.65192291415944104</v>
      </c>
      <c r="AI1771">
        <v>99.476732347925207</v>
      </c>
      <c r="AJ1771">
        <v>86.812121673419796</v>
      </c>
      <c r="AK1771">
        <v>0.66196746555693997</v>
      </c>
      <c r="AL1771">
        <v>68.414095283360595</v>
      </c>
      <c r="AM1771">
        <v>89.713816537353793</v>
      </c>
      <c r="AN1771">
        <v>0.999999978071059</v>
      </c>
    </row>
    <row r="1772" spans="1:40" x14ac:dyDescent="0.25">
      <c r="A1772" t="str">
        <f>"20190304164849880"</f>
        <v>20190304164849880</v>
      </c>
      <c r="B1772" t="str">
        <f>"1551689329867413"</f>
        <v>1551689329867413</v>
      </c>
      <c r="C1772" t="s">
        <v>40</v>
      </c>
      <c r="D1772">
        <v>4.6803679999999996</v>
      </c>
      <c r="E1772">
        <v>0.52829369999999998</v>
      </c>
      <c r="F1772" t="s">
        <v>41</v>
      </c>
      <c r="G1772">
        <v>-191.82689999999999</v>
      </c>
      <c r="H1772">
        <v>1.0073129999999999</v>
      </c>
      <c r="I1772">
        <v>319.92349999999999</v>
      </c>
      <c r="J1772">
        <v>-191.7782</v>
      </c>
      <c r="K1772">
        <v>1.112169</v>
      </c>
      <c r="L1772">
        <v>320.58550000000002</v>
      </c>
      <c r="M1772">
        <v>-1.199212E-2</v>
      </c>
      <c r="N1772">
        <v>-1.402509E-2</v>
      </c>
      <c r="O1772">
        <v>-0.99982979999999999</v>
      </c>
      <c r="P1772">
        <v>-2.3043999999999999E-2</v>
      </c>
      <c r="Q1772">
        <v>0.35473549999999998</v>
      </c>
      <c r="R1772">
        <v>-0.93468249999999997</v>
      </c>
      <c r="S1772">
        <v>-0.18553159999999999</v>
      </c>
      <c r="T1772">
        <v>-0.38668849999999999</v>
      </c>
      <c r="U1772">
        <v>-3.3525089999999902</v>
      </c>
      <c r="V1772">
        <v>1.0787919999999999E-2</v>
      </c>
      <c r="W1772">
        <v>0.36784480000000003</v>
      </c>
      <c r="X1772">
        <v>0.92982469999999995</v>
      </c>
      <c r="Y1772">
        <v>4.295889E-2</v>
      </c>
      <c r="Z1772">
        <v>0.1004924</v>
      </c>
      <c r="AA1772">
        <v>0.99400999999999995</v>
      </c>
      <c r="AB1772">
        <v>27</v>
      </c>
      <c r="AC1772">
        <v>-4.86999999999966E-2</v>
      </c>
      <c r="AD1772">
        <v>-0.104856</v>
      </c>
      <c r="AE1772">
        <v>-0.66200000000003401</v>
      </c>
      <c r="AF1772">
        <v>3.9764676836741897E-2</v>
      </c>
      <c r="AG1772">
        <v>-0.104856</v>
      </c>
      <c r="AH1772">
        <v>0.64640653594057795</v>
      </c>
      <c r="AI1772">
        <v>99.196816781722305</v>
      </c>
      <c r="AJ1772">
        <v>86.4797993714227</v>
      </c>
      <c r="AK1772">
        <v>0.65606205496631798</v>
      </c>
      <c r="AL1772">
        <v>68.417239908994901</v>
      </c>
      <c r="AM1772">
        <v>89.3352784089588</v>
      </c>
      <c r="AN1772">
        <v>1.0000000744175199</v>
      </c>
    </row>
    <row r="1773" spans="1:40" x14ac:dyDescent="0.25">
      <c r="A1773" t="str">
        <f>"20190304164849903"</f>
        <v>20190304164849903</v>
      </c>
      <c r="B1773" t="str">
        <f>"1551689329897669"</f>
        <v>1551689329897669</v>
      </c>
      <c r="C1773" t="s">
        <v>40</v>
      </c>
      <c r="D1773">
        <v>4.6753269999999896</v>
      </c>
      <c r="E1773">
        <v>0.52769049999999995</v>
      </c>
      <c r="F1773" t="s">
        <v>41</v>
      </c>
      <c r="G1773">
        <v>-191.83070000000001</v>
      </c>
      <c r="H1773">
        <v>1.00774599999999</v>
      </c>
      <c r="I1773">
        <v>319.68490000000003</v>
      </c>
      <c r="J1773">
        <v>-191.77959999999999</v>
      </c>
      <c r="K1773">
        <v>1.1121650000000001</v>
      </c>
      <c r="L1773">
        <v>320.30430000000001</v>
      </c>
      <c r="M1773">
        <v>-1.0277980000000001E-2</v>
      </c>
      <c r="N1773">
        <v>-1.4022400000000001E-2</v>
      </c>
      <c r="O1773">
        <v>-0.99984899999999999</v>
      </c>
      <c r="P1773">
        <v>-2.746848E-2</v>
      </c>
      <c r="Q1773">
        <v>0.35485860000000002</v>
      </c>
      <c r="R1773">
        <v>-0.93451680000000004</v>
      </c>
      <c r="S1773">
        <v>-0.1951599</v>
      </c>
      <c r="T1773">
        <v>-0.38872329999999999</v>
      </c>
      <c r="U1773">
        <v>-3.3523559999999999</v>
      </c>
      <c r="V1773">
        <v>1.681935E-2</v>
      </c>
      <c r="W1773">
        <v>0.36797999999999997</v>
      </c>
      <c r="X1773">
        <v>0.9296816</v>
      </c>
      <c r="Y1773">
        <v>4.7511690000000002E-2</v>
      </c>
      <c r="Z1773">
        <v>0.101077</v>
      </c>
      <c r="AA1773">
        <v>0.9937435</v>
      </c>
      <c r="AB1773">
        <v>27</v>
      </c>
      <c r="AC1773">
        <v>-5.1100000000019401E-2</v>
      </c>
      <c r="AD1773">
        <v>-0.104419</v>
      </c>
      <c r="AE1773">
        <v>-0.61939999999998396</v>
      </c>
      <c r="AF1773">
        <v>4.3502531335695899E-2</v>
      </c>
      <c r="AG1773">
        <v>-0.104419</v>
      </c>
      <c r="AH1773">
        <v>0.60287494369726102</v>
      </c>
      <c r="AI1773">
        <v>99.8012574249842</v>
      </c>
      <c r="AJ1773">
        <v>85.872777770926405</v>
      </c>
      <c r="AK1773">
        <v>0.61339546422482505</v>
      </c>
      <c r="AL1773">
        <v>68.408908069082699</v>
      </c>
      <c r="AM1773">
        <v>88.963545528278203</v>
      </c>
      <c r="AN1773">
        <v>1.0000000241564899</v>
      </c>
    </row>
    <row r="1774" spans="1:40" x14ac:dyDescent="0.25">
      <c r="A1774" t="str">
        <f>"20190304164849926"</f>
        <v>20190304164849926</v>
      </c>
      <c r="B1774" t="str">
        <f>"1551689329918166"</f>
        <v>1551689329918166</v>
      </c>
      <c r="C1774" t="s">
        <v>40</v>
      </c>
      <c r="D1774">
        <v>5.1762790000000001</v>
      </c>
      <c r="E1774">
        <v>0.52325359999999999</v>
      </c>
      <c r="F1774" t="s">
        <v>41</v>
      </c>
      <c r="G1774">
        <v>-191.83170000000001</v>
      </c>
      <c r="H1774">
        <v>1.013436</v>
      </c>
      <c r="I1774">
        <v>319.44400000000002</v>
      </c>
      <c r="J1774">
        <v>-191.78059999999999</v>
      </c>
      <c r="K1774">
        <v>1.11216</v>
      </c>
      <c r="L1774">
        <v>320.02769999999998</v>
      </c>
      <c r="M1774">
        <v>-8.5909030000000004E-3</v>
      </c>
      <c r="N1774">
        <v>-1.401995E-2</v>
      </c>
      <c r="O1774">
        <v>-0.99986489999999995</v>
      </c>
      <c r="P1774">
        <v>-3.194528E-2</v>
      </c>
      <c r="Q1774">
        <v>0.35510409999999998</v>
      </c>
      <c r="R1774">
        <v>-0.93428109999999998</v>
      </c>
      <c r="S1774">
        <v>-0.20260619999999999</v>
      </c>
      <c r="T1774">
        <v>-0.38438460000000002</v>
      </c>
      <c r="U1774">
        <v>-3.3501889999999999</v>
      </c>
      <c r="V1774">
        <v>2.2877290000000002E-2</v>
      </c>
      <c r="W1774">
        <v>0.36823719999999999</v>
      </c>
      <c r="X1774">
        <v>0.92945040000000001</v>
      </c>
      <c r="Y1774">
        <v>5.1439230000000002E-2</v>
      </c>
      <c r="Z1774">
        <v>9.9866849999999993E-2</v>
      </c>
      <c r="AA1774">
        <v>0.99367030000000001</v>
      </c>
      <c r="AB1774">
        <v>27</v>
      </c>
      <c r="AC1774">
        <v>-5.1100000000019401E-2</v>
      </c>
      <c r="AD1774">
        <v>-9.8724000000000006E-2</v>
      </c>
      <c r="AE1774">
        <v>-0.58369999999996403</v>
      </c>
      <c r="AF1774">
        <v>4.4810972088461999E-2</v>
      </c>
      <c r="AG1774">
        <v>-9.8724000000000006E-2</v>
      </c>
      <c r="AH1774">
        <v>0.56799274035603797</v>
      </c>
      <c r="AI1774">
        <v>99.830245329426404</v>
      </c>
      <c r="AJ1774">
        <v>85.489075178586106</v>
      </c>
      <c r="AK1774">
        <v>0.57824752873892604</v>
      </c>
      <c r="AL1774">
        <v>68.393058737338606</v>
      </c>
      <c r="AM1774">
        <v>88.590018838493606</v>
      </c>
      <c r="AN1774">
        <v>1.0000000259608699</v>
      </c>
    </row>
    <row r="1775" spans="1:40" x14ac:dyDescent="0.25">
      <c r="A1775" t="str">
        <f>"20190304164849949"</f>
        <v>20190304164849949</v>
      </c>
      <c r="B1775" t="str">
        <f>"1551689329937685"</f>
        <v>1551689329937685</v>
      </c>
      <c r="C1775" t="s">
        <v>40</v>
      </c>
      <c r="D1775">
        <v>4.6818479999999996</v>
      </c>
      <c r="E1775">
        <v>0.52269969999999999</v>
      </c>
      <c r="F1775" t="s">
        <v>41</v>
      </c>
      <c r="G1775">
        <v>-191.82749999999999</v>
      </c>
      <c r="H1775">
        <v>1.0366379999999999</v>
      </c>
      <c r="I1775">
        <v>319.19450000000001</v>
      </c>
      <c r="J1775">
        <v>-191.78110000000001</v>
      </c>
      <c r="K1775">
        <v>1.1121589999999999</v>
      </c>
      <c r="L1775">
        <v>319.75580000000002</v>
      </c>
      <c r="M1775">
        <v>-6.9329279999999997E-3</v>
      </c>
      <c r="N1775">
        <v>-1.4017419999999999E-2</v>
      </c>
      <c r="O1775">
        <v>-0.99987780000000004</v>
      </c>
      <c r="P1775">
        <v>-3.6760729999999998E-2</v>
      </c>
      <c r="Q1775">
        <v>0.3551472</v>
      </c>
      <c r="R1775">
        <v>-0.93408740000000001</v>
      </c>
      <c r="S1775">
        <v>-0.18601989999999999</v>
      </c>
      <c r="T1775">
        <v>-0.30112450000000002</v>
      </c>
      <c r="U1775">
        <v>-3.3191220000000001</v>
      </c>
      <c r="V1775">
        <v>2.9246049999999999E-2</v>
      </c>
      <c r="W1775">
        <v>0.36829299999999998</v>
      </c>
      <c r="X1775">
        <v>0.92924960000000001</v>
      </c>
      <c r="Y1775">
        <v>4.8834219999999998E-2</v>
      </c>
      <c r="Z1775">
        <v>7.6259380000000002E-2</v>
      </c>
      <c r="AA1775">
        <v>0.99589150000000004</v>
      </c>
      <c r="AB1775">
        <v>27</v>
      </c>
      <c r="AC1775">
        <v>-4.6399999999977098E-2</v>
      </c>
      <c r="AD1775">
        <v>-7.5521000000000102E-2</v>
      </c>
      <c r="AE1775">
        <v>-0.56130000000001701</v>
      </c>
      <c r="AF1775">
        <v>4.1756275712692997E-2</v>
      </c>
      <c r="AG1775">
        <v>-7.5521000000000102E-2</v>
      </c>
      <c r="AH1775">
        <v>0.55168890582198205</v>
      </c>
      <c r="AI1775">
        <v>97.772843577671594</v>
      </c>
      <c r="AJ1775">
        <v>85.671644956239405</v>
      </c>
      <c r="AK1775">
        <v>0.55839740043221098</v>
      </c>
      <c r="AL1775">
        <v>68.389618057158998</v>
      </c>
      <c r="AM1775">
        <v>88.197338702584403</v>
      </c>
      <c r="AN1775">
        <v>0.99999994219487898</v>
      </c>
    </row>
    <row r="1776" spans="1:40" x14ac:dyDescent="0.25">
      <c r="A1776" t="str">
        <f>"20190304164849970"</f>
        <v>20190304164849970</v>
      </c>
      <c r="B1776" t="str">
        <f>"1551689329958181"</f>
        <v>1551689329958181</v>
      </c>
      <c r="C1776" t="s">
        <v>40</v>
      </c>
      <c r="D1776">
        <v>4.6472870000000004</v>
      </c>
      <c r="E1776">
        <v>0.52255109999999905</v>
      </c>
      <c r="F1776" t="s">
        <v>41</v>
      </c>
      <c r="G1776">
        <v>-191.82839999999999</v>
      </c>
      <c r="H1776">
        <v>1.0390619999999999</v>
      </c>
      <c r="I1776">
        <v>318.95580000000001</v>
      </c>
      <c r="J1776">
        <v>-191.78120000000001</v>
      </c>
      <c r="K1776">
        <v>1.1121540000000001</v>
      </c>
      <c r="L1776">
        <v>319.51089999999999</v>
      </c>
      <c r="M1776">
        <v>-5.4391279999999997E-3</v>
      </c>
      <c r="N1776">
        <v>-1.4015130000000001E-2</v>
      </c>
      <c r="O1776">
        <v>-0.99988699999999997</v>
      </c>
      <c r="P1776">
        <v>-4.1988200000000003E-2</v>
      </c>
      <c r="Q1776">
        <v>0.35432069999999999</v>
      </c>
      <c r="R1776">
        <v>-0.93418100000000004</v>
      </c>
      <c r="S1776">
        <v>-0.19599910000000001</v>
      </c>
      <c r="T1776">
        <v>-0.30336109999999999</v>
      </c>
      <c r="U1776">
        <v>-3.3192750000000002</v>
      </c>
      <c r="V1776">
        <v>3.587369E-2</v>
      </c>
      <c r="W1776">
        <v>0.36748380000000003</v>
      </c>
      <c r="X1776">
        <v>0.92933779999999999</v>
      </c>
      <c r="Y1776">
        <v>5.3301109999999999E-2</v>
      </c>
      <c r="Z1776">
        <v>7.6905559999999998E-2</v>
      </c>
      <c r="AA1776">
        <v>0.99561259999999996</v>
      </c>
      <c r="AB1776">
        <v>27</v>
      </c>
      <c r="AC1776">
        <v>-4.7199999999975199E-2</v>
      </c>
      <c r="AD1776">
        <v>-7.3091999999999893E-2</v>
      </c>
      <c r="AE1776">
        <v>-0.55509999999998105</v>
      </c>
      <c r="AF1776">
        <v>4.3432127329333201E-2</v>
      </c>
      <c r="AG1776">
        <v>-7.3091999999999893E-2</v>
      </c>
      <c r="AH1776">
        <v>0.54595082821878405</v>
      </c>
      <c r="AI1776">
        <v>97.601692028621599</v>
      </c>
      <c r="AJ1776">
        <v>85.451517444180197</v>
      </c>
      <c r="AK1776">
        <v>0.55253153482957695</v>
      </c>
      <c r="AL1776">
        <v>68.439479961981206</v>
      </c>
      <c r="AM1776">
        <v>87.789403329580296</v>
      </c>
      <c r="AN1776">
        <v>1.0000000057027401</v>
      </c>
    </row>
    <row r="1777" spans="1:40" x14ac:dyDescent="0.25">
      <c r="A1777" t="str">
        <f>"20190304164849992"</f>
        <v>20190304164849992</v>
      </c>
      <c r="B1777" t="str">
        <f>"1551689329987461"</f>
        <v>1551689329987461</v>
      </c>
      <c r="C1777" t="s">
        <v>40</v>
      </c>
      <c r="D1777">
        <v>4.636603</v>
      </c>
      <c r="E1777">
        <v>0.51996679999999995</v>
      </c>
      <c r="F1777" t="s">
        <v>41</v>
      </c>
      <c r="G1777">
        <v>-191.83160000000001</v>
      </c>
      <c r="H1777">
        <v>1.0395209999999999</v>
      </c>
      <c r="I1777">
        <v>318.71839999999997</v>
      </c>
      <c r="J1777">
        <v>-191.7808</v>
      </c>
      <c r="K1777">
        <v>1.1121490000000001</v>
      </c>
      <c r="L1777">
        <v>319.2466</v>
      </c>
      <c r="M1777">
        <v>-3.8318760000000001E-3</v>
      </c>
      <c r="N1777">
        <v>-1.401262E-2</v>
      </c>
      <c r="O1777">
        <v>-0.99989459999999997</v>
      </c>
      <c r="P1777">
        <v>-4.6398269999999998E-2</v>
      </c>
      <c r="Q1777">
        <v>0.35368939999999999</v>
      </c>
      <c r="R1777">
        <v>-0.93421140000000003</v>
      </c>
      <c r="S1777">
        <v>-0.21049499999999999</v>
      </c>
      <c r="T1777">
        <v>-0.30428470000000002</v>
      </c>
      <c r="U1777">
        <v>-3.3173520000000001</v>
      </c>
      <c r="V1777">
        <v>4.1791849999999998E-2</v>
      </c>
      <c r="W1777">
        <v>0.36686600000000003</v>
      </c>
      <c r="X1777">
        <v>0.92933460000000001</v>
      </c>
      <c r="Y1777">
        <v>5.9267460000000001E-2</v>
      </c>
      <c r="Z1777">
        <v>7.7208170000000007E-2</v>
      </c>
      <c r="AA1777">
        <v>0.99525180000000002</v>
      </c>
      <c r="AB1777">
        <v>27</v>
      </c>
      <c r="AC1777">
        <v>-5.0800000000009497E-2</v>
      </c>
      <c r="AD1777">
        <v>-7.2628000000000095E-2</v>
      </c>
      <c r="AE1777">
        <v>-0.52820000000002598</v>
      </c>
      <c r="AF1777">
        <v>4.7878512284201598E-2</v>
      </c>
      <c r="AG1777">
        <v>-7.2628000000000095E-2</v>
      </c>
      <c r="AH1777">
        <v>0.51867435260216699</v>
      </c>
      <c r="AI1777">
        <v>97.937768478603203</v>
      </c>
      <c r="AJ1777">
        <v>84.726007682937507</v>
      </c>
      <c r="AK1777">
        <v>0.52591849403669499</v>
      </c>
      <c r="AL1777">
        <v>68.477535484955794</v>
      </c>
      <c r="AM1777">
        <v>87.425163689076697</v>
      </c>
      <c r="AN1777">
        <v>1.0000000097197901</v>
      </c>
    </row>
    <row r="1778" spans="1:40" x14ac:dyDescent="0.25">
      <c r="A1778" t="str">
        <f>"20190304164850014"</f>
        <v>20190304164850014</v>
      </c>
      <c r="B1778" t="str">
        <f>"1551689330007958"</f>
        <v>1551689330007958</v>
      </c>
      <c r="C1778" t="s">
        <v>40</v>
      </c>
      <c r="D1778">
        <v>4.6586189999999998</v>
      </c>
      <c r="E1778">
        <v>0.51970760000000005</v>
      </c>
      <c r="F1778" t="s">
        <v>41</v>
      </c>
      <c r="G1778">
        <v>-191.82769999999999</v>
      </c>
      <c r="H1778">
        <v>1.04033</v>
      </c>
      <c r="I1778">
        <v>318.48090000000002</v>
      </c>
      <c r="J1778">
        <v>-191.78</v>
      </c>
      <c r="K1778">
        <v>1.112136</v>
      </c>
      <c r="L1778">
        <v>318.98020000000002</v>
      </c>
      <c r="M1778">
        <v>-2.2208309999999999E-3</v>
      </c>
      <c r="N1778">
        <v>-1.400998E-2</v>
      </c>
      <c r="O1778">
        <v>-0.99989939999999999</v>
      </c>
      <c r="P1778">
        <v>-5.0358930000000003E-2</v>
      </c>
      <c r="Q1778">
        <v>0.35275810000000002</v>
      </c>
      <c r="R1778">
        <v>-0.93435849999999998</v>
      </c>
      <c r="S1778">
        <v>-0.20294190000000001</v>
      </c>
      <c r="T1778">
        <v>-0.31128109999999998</v>
      </c>
      <c r="U1778">
        <v>-3.319</v>
      </c>
      <c r="V1778">
        <v>4.7268110000000002E-2</v>
      </c>
      <c r="W1778">
        <v>0.365948</v>
      </c>
      <c r="X1778">
        <v>0.92943410000000004</v>
      </c>
      <c r="Y1778">
        <v>5.8578280000000003E-2</v>
      </c>
      <c r="Z1778">
        <v>7.9253989999999996E-2</v>
      </c>
      <c r="AA1778">
        <v>0.99513189999999996</v>
      </c>
      <c r="AB1778">
        <v>27</v>
      </c>
      <c r="AC1778">
        <v>-4.7699999999991798E-2</v>
      </c>
      <c r="AD1778">
        <v>-7.1805999999999995E-2</v>
      </c>
      <c r="AE1778">
        <v>-0.49930000000000502</v>
      </c>
      <c r="AF1778">
        <v>4.5655199127443202E-2</v>
      </c>
      <c r="AG1778">
        <v>-7.1805999999999995E-2</v>
      </c>
      <c r="AH1778">
        <v>0.48937486564268401</v>
      </c>
      <c r="AI1778">
        <v>98.311861293949605</v>
      </c>
      <c r="AJ1778">
        <v>84.6701379279273</v>
      </c>
      <c r="AK1778">
        <v>0.49671748304862601</v>
      </c>
      <c r="AL1778">
        <v>68.534063650776801</v>
      </c>
      <c r="AM1778">
        <v>87.088624226207401</v>
      </c>
      <c r="AN1778">
        <v>0.99999997958488995</v>
      </c>
    </row>
    <row r="1779" spans="1:40" x14ac:dyDescent="0.25">
      <c r="A1779" t="str">
        <f>"20190304164850038"</f>
        <v>20190304164850038</v>
      </c>
      <c r="B1779" t="str">
        <f>"1551689330027481"</f>
        <v>1551689330027481</v>
      </c>
      <c r="C1779" t="s">
        <v>40</v>
      </c>
      <c r="D1779">
        <v>4.635097</v>
      </c>
      <c r="E1779">
        <v>0.51919729999999997</v>
      </c>
      <c r="F1779" t="s">
        <v>41</v>
      </c>
      <c r="G1779">
        <v>-191.82759999999999</v>
      </c>
      <c r="H1779">
        <v>1.0425599999999999</v>
      </c>
      <c r="I1779">
        <v>318.24310000000003</v>
      </c>
      <c r="J1779">
        <v>-191.77879999999999</v>
      </c>
      <c r="K1779">
        <v>1.1121160000000001</v>
      </c>
      <c r="L1779">
        <v>318.70580000000001</v>
      </c>
      <c r="M1779">
        <v>-5.8349360000000002E-4</v>
      </c>
      <c r="N1779">
        <v>-1.400708E-2</v>
      </c>
      <c r="O1779">
        <v>-0.9999017</v>
      </c>
      <c r="P1779">
        <v>-5.1101349999999997E-2</v>
      </c>
      <c r="Q1779">
        <v>0.35298259999999998</v>
      </c>
      <c r="R1779">
        <v>-0.93423350000000005</v>
      </c>
      <c r="S1779">
        <v>-0.21342469999999999</v>
      </c>
      <c r="T1779">
        <v>-0.31348189999999998</v>
      </c>
      <c r="U1779">
        <v>-3.317596</v>
      </c>
      <c r="V1779">
        <v>4.9554380000000002E-2</v>
      </c>
      <c r="W1779">
        <v>0.36617119999999997</v>
      </c>
      <c r="X1779">
        <v>0.92922709999999997</v>
      </c>
      <c r="Y1779">
        <v>6.3362580000000002E-2</v>
      </c>
      <c r="Z1779">
        <v>7.9926949999999997E-2</v>
      </c>
      <c r="AA1779">
        <v>0.99478480000000002</v>
      </c>
      <c r="AB1779">
        <v>27</v>
      </c>
      <c r="AC1779">
        <v>-4.8799999999999899E-2</v>
      </c>
      <c r="AD1779">
        <v>-6.9555999999999896E-2</v>
      </c>
      <c r="AE1779">
        <v>-0.46269999999998301</v>
      </c>
      <c r="AF1779">
        <v>4.7469076987338703E-2</v>
      </c>
      <c r="AG1779">
        <v>-6.9555999999999896E-2</v>
      </c>
      <c r="AH1779">
        <v>0.452612771480283</v>
      </c>
      <c r="AI1779">
        <v>98.689746133586496</v>
      </c>
      <c r="AJ1779">
        <v>84.012826665334302</v>
      </c>
      <c r="AK1779">
        <v>0.46037992062327499</v>
      </c>
      <c r="AL1779">
        <v>68.520321723513106</v>
      </c>
      <c r="AM1779">
        <v>86.947387936059499</v>
      </c>
      <c r="AN1779">
        <v>0.99999999383051696</v>
      </c>
    </row>
    <row r="1780" spans="1:40" x14ac:dyDescent="0.25">
      <c r="A1780" t="str">
        <f>"20190304164850059"</f>
        <v>20190304164850059</v>
      </c>
      <c r="B1780" t="str">
        <f>"1551689330047977"</f>
        <v>1551689330047977</v>
      </c>
      <c r="C1780" t="s">
        <v>40</v>
      </c>
      <c r="D1780">
        <v>4.6552819999999997</v>
      </c>
      <c r="E1780">
        <v>0.51923140000000001</v>
      </c>
      <c r="F1780" t="s">
        <v>41</v>
      </c>
      <c r="G1780">
        <v>-191.83590000000001</v>
      </c>
      <c r="H1780">
        <v>1.009039</v>
      </c>
      <c r="I1780">
        <v>317.78710000000001</v>
      </c>
      <c r="J1780">
        <v>-191.7773</v>
      </c>
      <c r="K1780">
        <v>1.1120859999999999</v>
      </c>
      <c r="L1780">
        <v>318.45699999999999</v>
      </c>
      <c r="M1780">
        <v>8.7507049999999999E-4</v>
      </c>
      <c r="N1780">
        <v>-1.4004259999999999E-2</v>
      </c>
      <c r="O1780">
        <v>-0.9999015</v>
      </c>
      <c r="P1780">
        <v>-5.472755E-2</v>
      </c>
      <c r="Q1780">
        <v>0.35278789999999999</v>
      </c>
      <c r="R1780">
        <v>-0.93410170000000003</v>
      </c>
      <c r="S1780">
        <v>-0.2071228</v>
      </c>
      <c r="T1780">
        <v>-0.37527329999999998</v>
      </c>
      <c r="U1780">
        <v>-3.3416440000000001</v>
      </c>
      <c r="V1780">
        <v>5.456275E-2</v>
      </c>
      <c r="W1780">
        <v>0.36598170000000002</v>
      </c>
      <c r="X1780">
        <v>0.92902110000000004</v>
      </c>
      <c r="Y1780">
        <v>6.2387379999999999E-2</v>
      </c>
      <c r="Z1780">
        <v>9.745798E-2</v>
      </c>
      <c r="AA1780">
        <v>0.99328229999999995</v>
      </c>
      <c r="AB1780">
        <v>27</v>
      </c>
      <c r="AC1780">
        <v>-5.86000000000126E-2</v>
      </c>
      <c r="AD1780">
        <v>-0.103047</v>
      </c>
      <c r="AE1780">
        <v>-0.66989999999998395</v>
      </c>
      <c r="AF1780">
        <v>5.78283046374179E-2</v>
      </c>
      <c r="AG1780">
        <v>-0.103047</v>
      </c>
      <c r="AH1780">
        <v>0.65447978478148805</v>
      </c>
      <c r="AI1780">
        <v>98.913525409706594</v>
      </c>
      <c r="AJ1780">
        <v>84.950591916397698</v>
      </c>
      <c r="AK1780">
        <v>0.66506133981299898</v>
      </c>
      <c r="AL1780">
        <v>68.531988214809502</v>
      </c>
      <c r="AM1780">
        <v>86.638797320524901</v>
      </c>
      <c r="AN1780">
        <v>0.99999995133383002</v>
      </c>
    </row>
    <row r="1781" spans="1:40" x14ac:dyDescent="0.25">
      <c r="A1781" t="str">
        <f>"20190304164850074"</f>
        <v>20190304164850074</v>
      </c>
      <c r="B1781" t="str">
        <f>"1551689330067494"</f>
        <v>1551689330067494</v>
      </c>
      <c r="C1781" t="s">
        <v>40</v>
      </c>
      <c r="D1781">
        <v>4.5798740000000002</v>
      </c>
      <c r="E1781">
        <v>0.51839420000000003</v>
      </c>
      <c r="F1781" t="s">
        <v>41</v>
      </c>
      <c r="G1781">
        <v>-191.83670000000001</v>
      </c>
      <c r="H1781">
        <v>1.010038</v>
      </c>
      <c r="I1781">
        <v>317.55070000000001</v>
      </c>
      <c r="J1781">
        <v>-191.77600000000001</v>
      </c>
      <c r="K1781">
        <v>1.1120719999999999</v>
      </c>
      <c r="L1781">
        <v>318.27690000000001</v>
      </c>
      <c r="M1781">
        <v>1.917116E-3</v>
      </c>
      <c r="N1781">
        <v>-1.400215E-2</v>
      </c>
      <c r="O1781">
        <v>-0.99990020000000002</v>
      </c>
      <c r="P1781">
        <v>-5.5799620000000001E-2</v>
      </c>
      <c r="Q1781">
        <v>0.35233720000000002</v>
      </c>
      <c r="R1781">
        <v>-0.93420840000000005</v>
      </c>
      <c r="S1781">
        <v>-0.21821589999999999</v>
      </c>
      <c r="T1781">
        <v>-0.37638830000000001</v>
      </c>
      <c r="U1781">
        <v>-3.3410340000000001</v>
      </c>
      <c r="V1781">
        <v>5.6625099999999998E-2</v>
      </c>
      <c r="W1781">
        <v>0.36553259999999899</v>
      </c>
      <c r="X1781">
        <v>0.92907450000000003</v>
      </c>
      <c r="Y1781">
        <v>6.6716689999999995E-2</v>
      </c>
      <c r="Z1781">
        <v>9.7779469999999993E-2</v>
      </c>
      <c r="AA1781">
        <v>0.99296930000000005</v>
      </c>
      <c r="AB1781">
        <v>26</v>
      </c>
      <c r="AC1781">
        <v>-6.0700000000025497E-2</v>
      </c>
      <c r="AD1781">
        <v>-0.102033999999999</v>
      </c>
      <c r="AE1781">
        <v>-0.72620000000000495</v>
      </c>
      <c r="AF1781">
        <v>6.0898358425971598E-2</v>
      </c>
      <c r="AG1781">
        <v>-0.102033999999999</v>
      </c>
      <c r="AH1781">
        <v>0.71212156576811303</v>
      </c>
      <c r="AI1781">
        <v>98.124684436892807</v>
      </c>
      <c r="AJ1781">
        <v>85.112140235015104</v>
      </c>
      <c r="AK1781">
        <v>0.721967223388297</v>
      </c>
      <c r="AL1781">
        <v>68.559635501197505</v>
      </c>
      <c r="AM1781">
        <v>86.512259308244893</v>
      </c>
      <c r="AN1781">
        <v>0.99999995508150896</v>
      </c>
    </row>
    <row r="1782" spans="1:40" x14ac:dyDescent="0.25">
      <c r="A1782" t="str">
        <f>"20190304164850092"</f>
        <v>20190304164850092</v>
      </c>
      <c r="B1782" t="str">
        <f>"1551689330087990"</f>
        <v>1551689330087990</v>
      </c>
      <c r="C1782" t="s">
        <v>40</v>
      </c>
      <c r="D1782">
        <v>4.6387830000000001</v>
      </c>
      <c r="E1782">
        <v>0.51765929999999905</v>
      </c>
      <c r="F1782" t="s">
        <v>41</v>
      </c>
      <c r="G1782">
        <v>-191.8235</v>
      </c>
      <c r="H1782">
        <v>1.0297510000000001</v>
      </c>
      <c r="I1782">
        <v>317.54090000000002</v>
      </c>
      <c r="J1782">
        <v>-191.77430000000001</v>
      </c>
      <c r="K1782">
        <v>1.112052</v>
      </c>
      <c r="L1782">
        <v>318.06729999999999</v>
      </c>
      <c r="M1782">
        <v>3.1056109999999999E-3</v>
      </c>
      <c r="N1782">
        <v>-1.3999549999999999E-2</v>
      </c>
      <c r="O1782">
        <v>-0.99989740000000005</v>
      </c>
      <c r="P1782">
        <v>-5.871676E-2</v>
      </c>
      <c r="Q1782">
        <v>0.35290149999999998</v>
      </c>
      <c r="R1782">
        <v>-0.93381639999999999</v>
      </c>
      <c r="S1782">
        <v>-0.2149963</v>
      </c>
      <c r="T1782">
        <v>-0.37376569999999998</v>
      </c>
      <c r="U1782">
        <v>-3.3393250000000001</v>
      </c>
      <c r="V1782">
        <v>6.0670130000000003E-2</v>
      </c>
      <c r="W1782">
        <v>0.36609530000000001</v>
      </c>
      <c r="X1782">
        <v>0.92859749999999996</v>
      </c>
      <c r="Y1782">
        <v>6.6986899999999905E-2</v>
      </c>
      <c r="Z1782">
        <v>9.7069669999999997E-2</v>
      </c>
      <c r="AA1782">
        <v>0.99302080000000004</v>
      </c>
      <c r="AB1782">
        <v>26</v>
      </c>
      <c r="AC1782">
        <v>-4.9199999999984798E-2</v>
      </c>
      <c r="AD1782">
        <v>-8.2300999999999902E-2</v>
      </c>
      <c r="AE1782">
        <v>-0.52639999999996601</v>
      </c>
      <c r="AF1782">
        <v>4.9632000844872702E-2</v>
      </c>
      <c r="AG1782">
        <v>-8.2300999999999902E-2</v>
      </c>
      <c r="AH1782">
        <v>0.51379405402571299</v>
      </c>
      <c r="AI1782">
        <v>99.059027736481198</v>
      </c>
      <c r="AJ1782">
        <v>84.482403734937094</v>
      </c>
      <c r="AK1782">
        <v>0.522705576841344</v>
      </c>
      <c r="AL1782">
        <v>68.524994551863898</v>
      </c>
      <c r="AM1782">
        <v>86.261880063840096</v>
      </c>
      <c r="AN1782">
        <v>0.99999997518127803</v>
      </c>
    </row>
    <row r="1783" spans="1:40" x14ac:dyDescent="0.25">
      <c r="A1783" t="str">
        <f>"20190304164850117"</f>
        <v>20190304164850117</v>
      </c>
      <c r="B1783" t="str">
        <f>"1551689330107510"</f>
        <v>1551689330107510</v>
      </c>
      <c r="C1783" t="s">
        <v>40</v>
      </c>
      <c r="D1783">
        <v>4.6077250000000003</v>
      </c>
      <c r="E1783">
        <v>0.5174491</v>
      </c>
      <c r="F1783" t="s">
        <v>41</v>
      </c>
      <c r="G1783">
        <v>-191.82429999999999</v>
      </c>
      <c r="H1783">
        <v>1.0279020000000001</v>
      </c>
      <c r="I1783">
        <v>317.30630000000002</v>
      </c>
      <c r="J1783">
        <v>-191.77160000000001</v>
      </c>
      <c r="K1783">
        <v>1.112018</v>
      </c>
      <c r="L1783">
        <v>317.78390000000002</v>
      </c>
      <c r="M1783">
        <v>4.6591769999999996E-3</v>
      </c>
      <c r="N1783">
        <v>-1.399588E-2</v>
      </c>
      <c r="O1783">
        <v>-0.99989150000000004</v>
      </c>
      <c r="P1783">
        <v>-6.097607E-2</v>
      </c>
      <c r="Q1783">
        <v>0.3526997</v>
      </c>
      <c r="R1783">
        <v>-0.93374820000000003</v>
      </c>
      <c r="S1783">
        <v>-0.218338</v>
      </c>
      <c r="T1783">
        <v>-0.36949660000000001</v>
      </c>
      <c r="U1783">
        <v>-3.338562</v>
      </c>
      <c r="V1783">
        <v>6.4415589999999995E-2</v>
      </c>
      <c r="W1783">
        <v>0.36589120000000003</v>
      </c>
      <c r="X1783">
        <v>0.92842570000000002</v>
      </c>
      <c r="Y1783">
        <v>6.9547410000000004E-2</v>
      </c>
      <c r="Z1783">
        <v>9.5828969999999999E-2</v>
      </c>
      <c r="AA1783">
        <v>0.99296519999999999</v>
      </c>
      <c r="AB1783">
        <v>26</v>
      </c>
      <c r="AC1783">
        <v>-5.2699999999987299E-2</v>
      </c>
      <c r="AD1783">
        <v>-8.4115999999999802E-2</v>
      </c>
      <c r="AE1783">
        <v>-0.47759999999999497</v>
      </c>
      <c r="AF1783">
        <v>5.3291694969359399E-2</v>
      </c>
      <c r="AG1783">
        <v>-8.4115999999999802E-2</v>
      </c>
      <c r="AH1783">
        <v>0.46315542720657299</v>
      </c>
      <c r="AI1783">
        <v>100.22753829081999</v>
      </c>
      <c r="AJ1783">
        <v>83.436284807770306</v>
      </c>
      <c r="AK1783">
        <v>0.47373880562986398</v>
      </c>
      <c r="AL1783">
        <v>68.537561247857198</v>
      </c>
      <c r="AM1783">
        <v>86.031091847795395</v>
      </c>
      <c r="AN1783">
        <v>1.00000000944648</v>
      </c>
    </row>
    <row r="1784" spans="1:40" x14ac:dyDescent="0.25">
      <c r="A1784" t="str">
        <f>"20190304164850139"</f>
        <v>20190304164850139</v>
      </c>
      <c r="B1784" t="str">
        <f>"1551689330128006"</f>
        <v>1551689330128006</v>
      </c>
      <c r="C1784" t="s">
        <v>40</v>
      </c>
      <c r="D1784">
        <v>4.6057990000000002</v>
      </c>
      <c r="E1784">
        <v>0.51703199999999905</v>
      </c>
      <c r="F1784" t="s">
        <v>41</v>
      </c>
      <c r="G1784">
        <v>-191.8347</v>
      </c>
      <c r="H1784">
        <v>1.0080639999999901</v>
      </c>
      <c r="I1784">
        <v>316.84559999999999</v>
      </c>
      <c r="J1784">
        <v>-191.7687</v>
      </c>
      <c r="K1784">
        <v>1.1119650000000001</v>
      </c>
      <c r="L1784">
        <v>317.51069999999999</v>
      </c>
      <c r="M1784">
        <v>6.0776859999999997E-3</v>
      </c>
      <c r="N1784">
        <v>-1.399213E-2</v>
      </c>
      <c r="O1784">
        <v>-0.99988370000000004</v>
      </c>
      <c r="P1784">
        <v>-6.3176449999999995E-2</v>
      </c>
      <c r="Q1784">
        <v>0.35212209999999899</v>
      </c>
      <c r="R1784">
        <v>-0.93381970000000003</v>
      </c>
      <c r="S1784">
        <v>-0.2237854</v>
      </c>
      <c r="T1784">
        <v>-0.36997740000000001</v>
      </c>
      <c r="U1784">
        <v>-3.3380429999999999</v>
      </c>
      <c r="V1784">
        <v>6.7985799999999999E-2</v>
      </c>
      <c r="W1784">
        <v>0.36531029999999998</v>
      </c>
      <c r="X1784">
        <v>0.92839989999999994</v>
      </c>
      <c r="Y1784">
        <v>7.258204E-2</v>
      </c>
      <c r="Z1784">
        <v>9.5971130000000002E-2</v>
      </c>
      <c r="AA1784">
        <v>0.99273429999999996</v>
      </c>
      <c r="AB1784">
        <v>26</v>
      </c>
      <c r="AC1784">
        <v>-6.6000000000002501E-2</v>
      </c>
      <c r="AD1784">
        <v>-0.10390099999999999</v>
      </c>
      <c r="AE1784">
        <v>-0.66509999999999503</v>
      </c>
      <c r="AF1784">
        <v>6.83887434138159E-2</v>
      </c>
      <c r="AG1784">
        <v>-0.10390099999999999</v>
      </c>
      <c r="AH1784">
        <v>0.64900256655533395</v>
      </c>
      <c r="AI1784">
        <v>99.046241576668706</v>
      </c>
      <c r="AJ1784">
        <v>83.984647707787303</v>
      </c>
      <c r="AK1784">
        <v>0.66081523092475003</v>
      </c>
      <c r="AL1784">
        <v>68.573320319334698</v>
      </c>
      <c r="AM1784">
        <v>85.811762912325406</v>
      </c>
      <c r="AN1784">
        <v>1.00000002930386</v>
      </c>
    </row>
    <row r="1785" spans="1:40" x14ac:dyDescent="0.25">
      <c r="A1785" t="str">
        <f>"20190304164850161"</f>
        <v>20190304164850161</v>
      </c>
      <c r="B1785" t="str">
        <f>"1551689330158263"</f>
        <v>1551689330158263</v>
      </c>
      <c r="C1785" t="s">
        <v>40</v>
      </c>
      <c r="D1785">
        <v>4.5767049999999996</v>
      </c>
      <c r="E1785">
        <v>0.51646789999999998</v>
      </c>
      <c r="F1785" t="s">
        <v>41</v>
      </c>
      <c r="G1785">
        <v>-191.83029999999999</v>
      </c>
      <c r="H1785">
        <v>1.012292</v>
      </c>
      <c r="I1785">
        <v>316.6087</v>
      </c>
      <c r="J1785">
        <v>-191.76570000000001</v>
      </c>
      <c r="K1785">
        <v>1.111915</v>
      </c>
      <c r="L1785">
        <v>317.25889999999998</v>
      </c>
      <c r="M1785">
        <v>7.3312550000000001E-3</v>
      </c>
      <c r="N1785">
        <v>-1.3988550000000001E-2</v>
      </c>
      <c r="O1785">
        <v>-0.99987539999999997</v>
      </c>
      <c r="P1785">
        <v>-6.4910640000000006E-2</v>
      </c>
      <c r="Q1785">
        <v>0.35175139999999999</v>
      </c>
      <c r="R1785">
        <v>-0.93384029999999996</v>
      </c>
      <c r="S1785">
        <v>-0.2274323</v>
      </c>
      <c r="T1785">
        <v>-0.3687954</v>
      </c>
      <c r="U1785">
        <v>-3.3362729999999998</v>
      </c>
      <c r="V1785">
        <v>7.0932750000000003E-2</v>
      </c>
      <c r="W1785">
        <v>0.36493429999999999</v>
      </c>
      <c r="X1785">
        <v>0.92832729999999997</v>
      </c>
      <c r="Y1785">
        <v>7.4947650000000005E-2</v>
      </c>
      <c r="Z1785">
        <v>9.5669100000000007E-2</v>
      </c>
      <c r="AA1785">
        <v>0.99258769999999996</v>
      </c>
      <c r="AB1785">
        <v>26</v>
      </c>
      <c r="AC1785">
        <v>-6.4599999999984406E-2</v>
      </c>
      <c r="AD1785">
        <v>-9.9623000000000003E-2</v>
      </c>
      <c r="AE1785">
        <v>-0.65019999999998301</v>
      </c>
      <c r="AF1785">
        <v>6.7789633486010997E-2</v>
      </c>
      <c r="AG1785">
        <v>-9.9623000000000003E-2</v>
      </c>
      <c r="AH1785">
        <v>0.63494848895608202</v>
      </c>
      <c r="AI1785">
        <v>98.867386524104901</v>
      </c>
      <c r="AJ1785">
        <v>83.905958474421297</v>
      </c>
      <c r="AK1785">
        <v>0.64628148678790098</v>
      </c>
      <c r="AL1785">
        <v>68.596461363406704</v>
      </c>
      <c r="AM1785">
        <v>85.630565352466306</v>
      </c>
      <c r="AN1785">
        <v>1.00000003713217</v>
      </c>
    </row>
    <row r="1786" spans="1:40" x14ac:dyDescent="0.25">
      <c r="A1786" t="str">
        <f>"20190304164850182"</f>
        <v>20190304164850182</v>
      </c>
      <c r="B1786" t="str">
        <f>"1551689330177782"</f>
        <v>1551689330177782</v>
      </c>
      <c r="C1786" t="s">
        <v>40</v>
      </c>
      <c r="D1786">
        <v>4.6056299999999997</v>
      </c>
      <c r="E1786">
        <v>0.51610769999999995</v>
      </c>
      <c r="F1786" t="s">
        <v>41</v>
      </c>
      <c r="G1786">
        <v>-191.82660000000001</v>
      </c>
      <c r="H1786">
        <v>1.014467</v>
      </c>
      <c r="I1786">
        <v>316.37299999999999</v>
      </c>
      <c r="J1786">
        <v>-191.76259999999999</v>
      </c>
      <c r="K1786">
        <v>1.1118699999999999</v>
      </c>
      <c r="L1786">
        <v>317.01409999999998</v>
      </c>
      <c r="M1786">
        <v>8.4919269999999998E-3</v>
      </c>
      <c r="N1786">
        <v>-1.3985020000000001E-2</v>
      </c>
      <c r="O1786">
        <v>-0.99986620000000004</v>
      </c>
      <c r="P1786">
        <v>-6.6182729999999995E-2</v>
      </c>
      <c r="Q1786">
        <v>0.35149970000000003</v>
      </c>
      <c r="R1786">
        <v>-0.93384619999999996</v>
      </c>
      <c r="S1786">
        <v>-0.2283936</v>
      </c>
      <c r="T1786">
        <v>-0.36716270000000001</v>
      </c>
      <c r="U1786">
        <v>-3.3349299999999999</v>
      </c>
      <c r="V1786">
        <v>7.3330370000000006E-2</v>
      </c>
      <c r="W1786">
        <v>0.36467500000000003</v>
      </c>
      <c r="X1786">
        <v>0.92824289999999998</v>
      </c>
      <c r="Y1786">
        <v>7.6418860000000005E-2</v>
      </c>
      <c r="Z1786">
        <v>9.5226679999999994E-2</v>
      </c>
      <c r="AA1786">
        <v>0.99251800000000001</v>
      </c>
      <c r="AB1786">
        <v>26</v>
      </c>
      <c r="AC1786">
        <v>-6.4000000000021304E-2</v>
      </c>
      <c r="AD1786">
        <v>-9.7403000000000101E-2</v>
      </c>
      <c r="AE1786">
        <v>-0.64109999999999401</v>
      </c>
      <c r="AF1786">
        <v>6.7890736886211098E-2</v>
      </c>
      <c r="AG1786">
        <v>-9.7403000000000101E-2</v>
      </c>
      <c r="AH1786">
        <v>0.62622089114067003</v>
      </c>
      <c r="AI1786">
        <v>98.790302221013903</v>
      </c>
      <c r="AJ1786">
        <v>83.812535521724996</v>
      </c>
      <c r="AK1786">
        <v>0.63737673401605</v>
      </c>
      <c r="AL1786">
        <v>68.612417878239896</v>
      </c>
      <c r="AM1786">
        <v>85.483064911060794</v>
      </c>
      <c r="AN1786">
        <v>1.0000000400948701</v>
      </c>
    </row>
    <row r="1787" spans="1:40" x14ac:dyDescent="0.25">
      <c r="A1787" t="str">
        <f>"20190304164850206"</f>
        <v>20190304164850206</v>
      </c>
      <c r="B1787" t="str">
        <f>"1551689330198278"</f>
        <v>1551689330198278</v>
      </c>
      <c r="C1787" t="s">
        <v>40</v>
      </c>
      <c r="D1787">
        <v>4.6090660000000003</v>
      </c>
      <c r="E1787">
        <v>0.51583230000000002</v>
      </c>
      <c r="F1787" t="s">
        <v>41</v>
      </c>
      <c r="G1787">
        <v>-191.8227</v>
      </c>
      <c r="H1787">
        <v>1.015671</v>
      </c>
      <c r="I1787">
        <v>316.13819999999998</v>
      </c>
      <c r="J1787">
        <v>-191.75880000000001</v>
      </c>
      <c r="K1787">
        <v>1.1118110000000001</v>
      </c>
      <c r="L1787">
        <v>316.7346</v>
      </c>
      <c r="M1787">
        <v>9.7331120000000004E-3</v>
      </c>
      <c r="N1787">
        <v>-1.398083E-2</v>
      </c>
      <c r="O1787">
        <v>-0.99985500000000005</v>
      </c>
      <c r="P1787">
        <v>-6.6481689999999996E-2</v>
      </c>
      <c r="Q1787">
        <v>0.35183829999999999</v>
      </c>
      <c r="R1787">
        <v>-0.93369749999999996</v>
      </c>
      <c r="S1787">
        <v>-0.2289581</v>
      </c>
      <c r="T1787">
        <v>-0.36608669999999999</v>
      </c>
      <c r="U1787">
        <v>-3.334076</v>
      </c>
      <c r="V1787">
        <v>7.4836130000000001E-2</v>
      </c>
      <c r="W1787">
        <v>0.36499870000000001</v>
      </c>
      <c r="X1787">
        <v>0.92799540000000003</v>
      </c>
      <c r="Y1787">
        <v>7.7841949999999993E-2</v>
      </c>
      <c r="Z1787">
        <v>9.4932840000000004E-2</v>
      </c>
      <c r="AA1787">
        <v>0.99243559999999997</v>
      </c>
      <c r="AB1787">
        <v>26</v>
      </c>
      <c r="AC1787">
        <v>-6.3899999999989604E-2</v>
      </c>
      <c r="AD1787">
        <v>-9.61400000000001E-2</v>
      </c>
      <c r="AE1787">
        <v>-0.59640000000001603</v>
      </c>
      <c r="AF1787">
        <v>6.7956517255425203E-2</v>
      </c>
      <c r="AG1787">
        <v>-9.61400000000001E-2</v>
      </c>
      <c r="AH1787">
        <v>0.58082786655108098</v>
      </c>
      <c r="AI1787">
        <v>99.335968806278601</v>
      </c>
      <c r="AJ1787">
        <v>83.326766937803001</v>
      </c>
      <c r="AK1787">
        <v>0.59263985556134102</v>
      </c>
      <c r="AL1787">
        <v>68.592496848557801</v>
      </c>
      <c r="AM1787">
        <v>85.3894861691344</v>
      </c>
      <c r="AN1787">
        <v>0.99999997988811296</v>
      </c>
    </row>
    <row r="1788" spans="1:40" x14ac:dyDescent="0.25">
      <c r="A1788" t="str">
        <f>"20190304164850227"</f>
        <v>20190304164850227</v>
      </c>
      <c r="B1788" t="str">
        <f>"1551689330217798"</f>
        <v>1551689330217798</v>
      </c>
      <c r="C1788" t="s">
        <v>40</v>
      </c>
      <c r="D1788">
        <v>4.6133819999999996</v>
      </c>
      <c r="E1788">
        <v>0.51561979999999996</v>
      </c>
      <c r="F1788" t="s">
        <v>41</v>
      </c>
      <c r="G1788">
        <v>-191.816</v>
      </c>
      <c r="H1788">
        <v>1.0211980000000001</v>
      </c>
      <c r="I1788">
        <v>315.9015</v>
      </c>
      <c r="J1788">
        <v>-191.7551</v>
      </c>
      <c r="K1788">
        <v>1.1117539999999999</v>
      </c>
      <c r="L1788">
        <v>316.48590000000002</v>
      </c>
      <c r="M1788">
        <v>1.075986E-2</v>
      </c>
      <c r="N1788">
        <v>-1.3977079999999999E-2</v>
      </c>
      <c r="O1788">
        <v>-0.99984450000000002</v>
      </c>
      <c r="P1788">
        <v>-6.6519079999999994E-2</v>
      </c>
      <c r="Q1788">
        <v>0.35183979999999998</v>
      </c>
      <c r="R1788">
        <v>-0.93369389999999997</v>
      </c>
      <c r="S1788">
        <v>-0.22828670000000001</v>
      </c>
      <c r="T1788">
        <v>-0.36275960000000002</v>
      </c>
      <c r="U1788">
        <v>-3.3334350000000001</v>
      </c>
      <c r="V1788">
        <v>7.5880379999999997E-2</v>
      </c>
      <c r="W1788">
        <v>0.36498799999999998</v>
      </c>
      <c r="X1788">
        <v>0.92791489999999999</v>
      </c>
      <c r="Y1788">
        <v>7.8685820000000004E-2</v>
      </c>
      <c r="Z1788">
        <v>9.3972970000000003E-2</v>
      </c>
      <c r="AA1788">
        <v>0.99246040000000002</v>
      </c>
      <c r="AB1788">
        <v>26</v>
      </c>
      <c r="AC1788">
        <v>-6.08999999999753E-2</v>
      </c>
      <c r="AD1788">
        <v>-9.0555999999999998E-2</v>
      </c>
      <c r="AE1788">
        <v>-0.58440000000001602</v>
      </c>
      <c r="AF1788">
        <v>6.5626311103674395E-2</v>
      </c>
      <c r="AG1788">
        <v>-9.0555999999999998E-2</v>
      </c>
      <c r="AH1788">
        <v>0.57016748765659397</v>
      </c>
      <c r="AI1788">
        <v>98.966312952149096</v>
      </c>
      <c r="AJ1788">
        <v>83.434145570312396</v>
      </c>
      <c r="AK1788">
        <v>0.58103198347914498</v>
      </c>
      <c r="AL1788">
        <v>68.5931572979176</v>
      </c>
      <c r="AM1788">
        <v>85.325031304400497</v>
      </c>
      <c r="AN1788">
        <v>1.00000006692747</v>
      </c>
    </row>
    <row r="1789" spans="1:40" x14ac:dyDescent="0.25">
      <c r="A1789" t="str">
        <f>"20190304164850250"</f>
        <v>20190304164850250</v>
      </c>
      <c r="B1789" t="str">
        <f>"1551689330237317"</f>
        <v>1551689330237317</v>
      </c>
      <c r="C1789" t="s">
        <v>40</v>
      </c>
      <c r="D1789">
        <v>4.6135289999999998</v>
      </c>
      <c r="E1789">
        <v>0.51548079999999996</v>
      </c>
      <c r="F1789" t="s">
        <v>41</v>
      </c>
      <c r="G1789">
        <v>-191.8109</v>
      </c>
      <c r="H1789">
        <v>1.0231699999999999</v>
      </c>
      <c r="I1789">
        <v>315.66680000000002</v>
      </c>
      <c r="J1789">
        <v>-191.75110000000001</v>
      </c>
      <c r="K1789">
        <v>1.1116919999999999</v>
      </c>
      <c r="L1789">
        <v>316.22140000000002</v>
      </c>
      <c r="M1789">
        <v>1.1766250000000001E-2</v>
      </c>
      <c r="N1789">
        <v>-1.397296E-2</v>
      </c>
      <c r="O1789">
        <v>-0.99983350000000004</v>
      </c>
      <c r="P1789">
        <v>-6.6369440000000002E-2</v>
      </c>
      <c r="Q1789">
        <v>0.35233809999999999</v>
      </c>
      <c r="R1789">
        <v>-0.93351680000000004</v>
      </c>
      <c r="S1789">
        <v>-0.22653200000000001</v>
      </c>
      <c r="T1789">
        <v>-0.36041820000000002</v>
      </c>
      <c r="U1789">
        <v>-3.3327330000000002</v>
      </c>
      <c r="V1789">
        <v>7.6723990000000006E-2</v>
      </c>
      <c r="W1789">
        <v>0.36546780000000001</v>
      </c>
      <c r="X1789">
        <v>0.92765660000000005</v>
      </c>
      <c r="Y1789">
        <v>7.9187530000000006E-2</v>
      </c>
      <c r="Z1789">
        <v>9.3307639999999997E-2</v>
      </c>
      <c r="AA1789">
        <v>0.99248329999999996</v>
      </c>
      <c r="AB1789">
        <v>26</v>
      </c>
      <c r="AC1789">
        <v>-5.97999999999956E-2</v>
      </c>
      <c r="AD1789">
        <v>-8.8521999999999698E-2</v>
      </c>
      <c r="AE1789">
        <v>-0.55459999999999299</v>
      </c>
      <c r="AF1789">
        <v>6.4692840107253097E-2</v>
      </c>
      <c r="AG1789">
        <v>-8.8521999999999698E-2</v>
      </c>
      <c r="AH1789">
        <v>0.54025226403194204</v>
      </c>
      <c r="AI1789">
        <v>99.240538018385607</v>
      </c>
      <c r="AJ1789">
        <v>83.171595251233498</v>
      </c>
      <c r="AK1789">
        <v>0.55126564996994198</v>
      </c>
      <c r="AL1789">
        <v>68.563625828138896</v>
      </c>
      <c r="AM1789">
        <v>85.271980784830603</v>
      </c>
      <c r="AN1789">
        <v>1.00000002550095</v>
      </c>
    </row>
    <row r="1790" spans="1:40" x14ac:dyDescent="0.25">
      <c r="A1790" t="str">
        <f>"20190304164850270"</f>
        <v>20190304164850270</v>
      </c>
      <c r="B1790" t="str">
        <f>"1551689330267574"</f>
        <v>1551689330267574</v>
      </c>
      <c r="C1790" t="s">
        <v>40</v>
      </c>
      <c r="D1790">
        <v>4.8430179999999998</v>
      </c>
      <c r="E1790">
        <v>0.54415019999999903</v>
      </c>
      <c r="F1790" t="s">
        <v>41</v>
      </c>
      <c r="G1790">
        <v>-191.80439999999999</v>
      </c>
      <c r="H1790">
        <v>1.0270269999999999</v>
      </c>
      <c r="I1790">
        <v>315.4314</v>
      </c>
      <c r="J1790">
        <v>-191.74719999999999</v>
      </c>
      <c r="K1790">
        <v>1.1116299999999999</v>
      </c>
      <c r="L1790">
        <v>315.97710000000001</v>
      </c>
      <c r="M1790">
        <v>1.261046E-2</v>
      </c>
      <c r="N1790">
        <v>-1.396911E-2</v>
      </c>
      <c r="O1790">
        <v>-0.99982320000000002</v>
      </c>
      <c r="P1790">
        <v>-6.6390069999999995E-2</v>
      </c>
      <c r="Q1790">
        <v>0.3527111</v>
      </c>
      <c r="R1790">
        <v>-0.93337420000000004</v>
      </c>
      <c r="S1790">
        <v>-0.2239227</v>
      </c>
      <c r="T1790">
        <v>-0.35750219999999999</v>
      </c>
      <c r="U1790">
        <v>-3.3326720000000001</v>
      </c>
      <c r="V1790">
        <v>7.7587420000000004E-2</v>
      </c>
      <c r="W1790">
        <v>0.36582330000000002</v>
      </c>
      <c r="X1790">
        <v>0.92744459999999995</v>
      </c>
      <c r="Y1790">
        <v>7.9262699999999894E-2</v>
      </c>
      <c r="Z1790">
        <v>9.2455109999999993E-2</v>
      </c>
      <c r="AA1790">
        <v>0.99255700000000002</v>
      </c>
      <c r="AB1790">
        <v>26</v>
      </c>
      <c r="AC1790">
        <v>-5.7199999999994498E-2</v>
      </c>
      <c r="AD1790">
        <v>-8.4602999999999706E-2</v>
      </c>
      <c r="AE1790">
        <v>-0.54570000000000995</v>
      </c>
      <c r="AF1790">
        <v>6.2589589545035407E-2</v>
      </c>
      <c r="AG1790">
        <v>-8.4602999999999706E-2</v>
      </c>
      <c r="AH1790">
        <v>0.53228032088991195</v>
      </c>
      <c r="AI1790">
        <v>98.970509169170995</v>
      </c>
      <c r="AJ1790">
        <v>83.293520889541398</v>
      </c>
      <c r="AK1790">
        <v>0.54258406199876796</v>
      </c>
      <c r="AL1790">
        <v>68.541741009045197</v>
      </c>
      <c r="AM1790">
        <v>85.217930485740993</v>
      </c>
      <c r="AN1790">
        <v>0.99999999031715303</v>
      </c>
    </row>
    <row r="1791" spans="1:40" x14ac:dyDescent="0.25">
      <c r="A1791" t="str">
        <f>"20190304164850294"</f>
        <v>20190304164850294</v>
      </c>
      <c r="B1791" t="str">
        <f>"1551689330288070"</f>
        <v>1551689330288070</v>
      </c>
      <c r="C1791" t="s">
        <v>40</v>
      </c>
      <c r="D1791">
        <v>4.6700229999999996</v>
      </c>
      <c r="E1791">
        <v>0.55362730000000004</v>
      </c>
      <c r="F1791" t="s">
        <v>41</v>
      </c>
      <c r="G1791">
        <v>-191.85599999999999</v>
      </c>
      <c r="H1791">
        <v>1.0392509999999999</v>
      </c>
      <c r="I1791">
        <v>315.19029999999998</v>
      </c>
      <c r="J1791">
        <v>-191.74270000000001</v>
      </c>
      <c r="K1791">
        <v>1.111561</v>
      </c>
      <c r="L1791">
        <v>315.70299999999997</v>
      </c>
      <c r="M1791">
        <v>1.3456589999999999E-2</v>
      </c>
      <c r="N1791">
        <v>-1.3964870000000001E-2</v>
      </c>
      <c r="O1791">
        <v>-0.99981200000000003</v>
      </c>
      <c r="P1791">
        <v>-6.6024760000000002E-2</v>
      </c>
      <c r="Q1791">
        <v>0.35301310000000002</v>
      </c>
      <c r="R1791">
        <v>-0.93328610000000001</v>
      </c>
      <c r="S1791">
        <v>-0.45576480000000003</v>
      </c>
      <c r="T1791">
        <v>-0.30330249999999997</v>
      </c>
      <c r="U1791">
        <v>-3.2963870000000002</v>
      </c>
      <c r="V1791">
        <v>7.8079620000000002E-2</v>
      </c>
      <c r="W1791">
        <v>0.36610510000000002</v>
      </c>
      <c r="X1791">
        <v>0.92729209999999995</v>
      </c>
      <c r="Y1791">
        <v>0.14976400000000001</v>
      </c>
      <c r="Z1791">
        <v>7.6738509999999996E-2</v>
      </c>
      <c r="AA1791">
        <v>0.98573929999999998</v>
      </c>
      <c r="AB1791">
        <v>26</v>
      </c>
      <c r="AC1791">
        <v>-0.113299999999981</v>
      </c>
      <c r="AD1791">
        <v>-7.2310000000000096E-2</v>
      </c>
      <c r="AE1791">
        <v>-0.51269999999999505</v>
      </c>
      <c r="AF1791">
        <v>0.11795258329786899</v>
      </c>
      <c r="AG1791">
        <v>-7.2310000000000096E-2</v>
      </c>
      <c r="AH1791">
        <v>0.50161543356475602</v>
      </c>
      <c r="AI1791">
        <v>97.987978297980106</v>
      </c>
      <c r="AJ1791">
        <v>76.767551918358393</v>
      </c>
      <c r="AK1791">
        <v>0.52034564589030496</v>
      </c>
      <c r="AL1791">
        <v>68.524391835678898</v>
      </c>
      <c r="AM1791">
        <v>85.186948263332994</v>
      </c>
      <c r="AN1791">
        <v>1.00000000501388</v>
      </c>
    </row>
    <row r="1792" spans="1:40" x14ac:dyDescent="0.25">
      <c r="A1792" t="str">
        <f>"20190304164850316"</f>
        <v>20190304164850316</v>
      </c>
      <c r="B1792" t="str">
        <f>"1551689330308194"</f>
        <v>1551689330308194</v>
      </c>
      <c r="C1792" t="s">
        <v>40</v>
      </c>
      <c r="D1792">
        <v>4.4504989999999998</v>
      </c>
      <c r="E1792">
        <v>0.56039680000000003</v>
      </c>
      <c r="F1792" t="s">
        <v>41</v>
      </c>
      <c r="G1792">
        <v>-191.8604</v>
      </c>
      <c r="H1792">
        <v>1.0298339999999999</v>
      </c>
      <c r="I1792">
        <v>314.9624</v>
      </c>
      <c r="J1792">
        <v>-191.73840000000001</v>
      </c>
      <c r="K1792">
        <v>1.1114869999999999</v>
      </c>
      <c r="L1792">
        <v>315.4452</v>
      </c>
      <c r="M1792">
        <v>1.4139759999999999E-2</v>
      </c>
      <c r="N1792">
        <v>-1.396089E-2</v>
      </c>
      <c r="O1792">
        <v>-0.99980290000000005</v>
      </c>
      <c r="P1792">
        <v>-6.5447199999999997E-2</v>
      </c>
      <c r="Q1792">
        <v>0.35367530000000003</v>
      </c>
      <c r="R1792">
        <v>-0.93307640000000003</v>
      </c>
      <c r="S1792">
        <v>-0.52648930000000005</v>
      </c>
      <c r="T1792">
        <v>-0.36604910000000002</v>
      </c>
      <c r="U1792">
        <v>-3.315674</v>
      </c>
      <c r="V1792">
        <v>7.8204860000000001E-2</v>
      </c>
      <c r="W1792">
        <v>0.36674479999999998</v>
      </c>
      <c r="X1792">
        <v>0.92702870000000004</v>
      </c>
      <c r="Y1792">
        <v>0.16992829999999901</v>
      </c>
      <c r="Z1792">
        <v>9.4345059999999994E-2</v>
      </c>
      <c r="AA1792">
        <v>0.98092990000000002</v>
      </c>
      <c r="AB1792">
        <v>26</v>
      </c>
      <c r="AC1792">
        <v>-0.121999999999985</v>
      </c>
      <c r="AD1792">
        <v>-8.1653000000000198E-2</v>
      </c>
      <c r="AE1792">
        <v>-0.48279999999999701</v>
      </c>
      <c r="AF1792">
        <v>0.12544248041227099</v>
      </c>
      <c r="AG1792">
        <v>-8.1653000000000198E-2</v>
      </c>
      <c r="AH1792">
        <v>0.46843218841293399</v>
      </c>
      <c r="AI1792">
        <v>99.557716982247698</v>
      </c>
      <c r="AJ1792">
        <v>75.008393452419298</v>
      </c>
      <c r="AK1792">
        <v>0.49176391026824401</v>
      </c>
      <c r="AL1792">
        <v>68.484999347639501</v>
      </c>
      <c r="AM1792">
        <v>85.177901189826102</v>
      </c>
      <c r="AN1792">
        <v>0.99999997953917397</v>
      </c>
    </row>
    <row r="1793" spans="1:40" x14ac:dyDescent="0.25">
      <c r="A1793" t="str">
        <f>"20190304164850341"</f>
        <v>20190304164850341</v>
      </c>
      <c r="B1793" t="str">
        <f>"1551689330327713"</f>
        <v>1551689330327713</v>
      </c>
      <c r="C1793" t="s">
        <v>40</v>
      </c>
      <c r="D1793">
        <v>4.4617110000000002</v>
      </c>
      <c r="E1793">
        <v>0.56507940000000001</v>
      </c>
      <c r="F1793" t="s">
        <v>41</v>
      </c>
      <c r="G1793">
        <v>-191.90360000000001</v>
      </c>
      <c r="H1793">
        <v>1.0096510000000001</v>
      </c>
      <c r="I1793">
        <v>314.50380000000001</v>
      </c>
      <c r="J1793">
        <v>-191.7336</v>
      </c>
      <c r="K1793">
        <v>1.111399</v>
      </c>
      <c r="L1793">
        <v>315.16430000000003</v>
      </c>
      <c r="M1793">
        <v>1.475248E-2</v>
      </c>
      <c r="N1793">
        <v>-1.395676E-2</v>
      </c>
      <c r="O1793">
        <v>-0.99979390000000001</v>
      </c>
      <c r="P1793">
        <v>-6.5437899999999993E-2</v>
      </c>
      <c r="Q1793">
        <v>0.35416789999999998</v>
      </c>
      <c r="R1793">
        <v>-0.93288979999999999</v>
      </c>
      <c r="S1793">
        <v>-0.58045959999999996</v>
      </c>
      <c r="T1793">
        <v>-0.35831259999999998</v>
      </c>
      <c r="U1793">
        <v>-3.3102420000000001</v>
      </c>
      <c r="V1793">
        <v>7.8841250000000002E-2</v>
      </c>
      <c r="W1793">
        <v>0.3672146</v>
      </c>
      <c r="X1793">
        <v>0.92678879999999997</v>
      </c>
      <c r="Y1793">
        <v>0.18634229999999999</v>
      </c>
      <c r="Z1793">
        <v>9.1951900000000003E-2</v>
      </c>
      <c r="AA1793">
        <v>0.9781725</v>
      </c>
      <c r="AB1793">
        <v>26</v>
      </c>
      <c r="AC1793">
        <v>-0.170000000000015</v>
      </c>
      <c r="AD1793">
        <v>-0.10174799999999901</v>
      </c>
      <c r="AE1793">
        <v>-0.66050000000001297</v>
      </c>
      <c r="AF1793">
        <v>0.17581353275462</v>
      </c>
      <c r="AG1793">
        <v>-0.10174799999999901</v>
      </c>
      <c r="AH1793">
        <v>0.64359600197775502</v>
      </c>
      <c r="AI1793">
        <v>98.671085630499803</v>
      </c>
      <c r="AJ1793">
        <v>74.721073792674702</v>
      </c>
      <c r="AK1793">
        <v>0.67489174507131899</v>
      </c>
      <c r="AL1793">
        <v>68.456063152992201</v>
      </c>
      <c r="AM1793">
        <v>85.137596489825199</v>
      </c>
      <c r="AN1793">
        <v>0.99999999248008098</v>
      </c>
    </row>
    <row r="1794" spans="1:40" x14ac:dyDescent="0.25">
      <c r="A1794" t="str">
        <f>"20190304164850361"</f>
        <v>20190304164850361</v>
      </c>
      <c r="B1794" t="str">
        <f>"1551689330357970"</f>
        <v>1551689330357970</v>
      </c>
      <c r="C1794" t="s">
        <v>40</v>
      </c>
      <c r="D1794">
        <v>4.610004</v>
      </c>
      <c r="E1794">
        <v>0.56701759999999901</v>
      </c>
      <c r="F1794" t="s">
        <v>42</v>
      </c>
      <c r="G1794">
        <v>-193.8278</v>
      </c>
      <c r="H1794" s="1">
        <v>-2.9261350000000001E-6</v>
      </c>
      <c r="I1794">
        <v>304.03590000000003</v>
      </c>
      <c r="J1794">
        <v>-191.7296</v>
      </c>
      <c r="K1794">
        <v>1.1113329999999999</v>
      </c>
      <c r="L1794">
        <v>314.92880000000002</v>
      </c>
      <c r="M1794">
        <v>1.5185779999999999E-2</v>
      </c>
      <c r="N1794">
        <v>-1.395325E-2</v>
      </c>
      <c r="O1794">
        <v>-0.9997876</v>
      </c>
      <c r="P1794">
        <v>-6.6086720000000002E-2</v>
      </c>
      <c r="Q1794">
        <v>0.35441289999999998</v>
      </c>
      <c r="R1794">
        <v>-0.93275090000000005</v>
      </c>
      <c r="S1794">
        <v>-0.62049869999999996</v>
      </c>
      <c r="T1794">
        <v>-0.32930579999999998</v>
      </c>
      <c r="U1794">
        <v>-3.2973020000000002</v>
      </c>
      <c r="V1794">
        <v>7.9951040000000001E-2</v>
      </c>
      <c r="W1794">
        <v>0.36744169999999998</v>
      </c>
      <c r="X1794">
        <v>0.92660370000000003</v>
      </c>
      <c r="Y1794">
        <v>0.19903879999999999</v>
      </c>
      <c r="Z1794">
        <v>8.3603759999999999E-2</v>
      </c>
      <c r="AA1794">
        <v>0.97641900000000004</v>
      </c>
      <c r="AB1794">
        <v>26</v>
      </c>
      <c r="AC1794">
        <v>-2.0981999999999901</v>
      </c>
      <c r="AD1794">
        <v>-1.111335926135</v>
      </c>
      <c r="AE1794">
        <v>-10.8928999999999</v>
      </c>
      <c r="AF1794">
        <v>2.24090047549854</v>
      </c>
      <c r="AG1794">
        <v>-1.111335926135</v>
      </c>
      <c r="AH1794">
        <v>10.751866786155199</v>
      </c>
      <c r="AI1794">
        <v>95.777965220608706</v>
      </c>
      <c r="AJ1794">
        <v>78.226970459099306</v>
      </c>
      <c r="AK1794">
        <v>11.0389918864467</v>
      </c>
      <c r="AL1794">
        <v>68.4420733088036</v>
      </c>
      <c r="AM1794">
        <v>85.068507033049997</v>
      </c>
      <c r="AN1794">
        <v>0.99999999427483</v>
      </c>
    </row>
    <row r="1795" spans="1:40" x14ac:dyDescent="0.25">
      <c r="A1795" t="str">
        <f>"20190304164850383"</f>
        <v>20190304164850383</v>
      </c>
      <c r="B1795" t="str">
        <f>"1551689330377490"</f>
        <v>1551689330377490</v>
      </c>
      <c r="C1795" t="s">
        <v>40</v>
      </c>
      <c r="D1795">
        <v>4.6234440000000001</v>
      </c>
      <c r="E1795">
        <v>0.56774040000000003</v>
      </c>
      <c r="F1795" t="s">
        <v>42</v>
      </c>
      <c r="G1795">
        <v>-193.779</v>
      </c>
      <c r="H1795" s="1">
        <v>-3.0269830000000002E-6</v>
      </c>
      <c r="I1795">
        <v>304.30130000000003</v>
      </c>
      <c r="J1795">
        <v>-191.7251</v>
      </c>
      <c r="K1795">
        <v>1.1112660000000001</v>
      </c>
      <c r="L1795">
        <v>314.66559999999998</v>
      </c>
      <c r="M1795">
        <v>1.5575250000000001E-2</v>
      </c>
      <c r="N1795">
        <v>-1.3949410000000001E-2</v>
      </c>
      <c r="O1795">
        <v>-0.99978149999999999</v>
      </c>
      <c r="P1795">
        <v>-6.67909E-2</v>
      </c>
      <c r="Q1795">
        <v>0.35560829999999999</v>
      </c>
      <c r="R1795">
        <v>-0.93224589999999996</v>
      </c>
      <c r="S1795">
        <v>-0.63684079999999998</v>
      </c>
      <c r="T1795">
        <v>-0.34533849999999999</v>
      </c>
      <c r="U1795">
        <v>-3.3024290000000001</v>
      </c>
      <c r="V1795">
        <v>8.1071270000000001E-2</v>
      </c>
      <c r="W1795">
        <v>0.36861310000000003</v>
      </c>
      <c r="X1795">
        <v>0.92604089999999994</v>
      </c>
      <c r="Y1795">
        <v>0.2037225</v>
      </c>
      <c r="Z1795">
        <v>8.8059789999999999E-2</v>
      </c>
      <c r="AA1795">
        <v>0.97506029999999999</v>
      </c>
      <c r="AB1795">
        <v>26</v>
      </c>
      <c r="AC1795">
        <v>-2.05390000000002</v>
      </c>
      <c r="AD1795">
        <v>-1.1112690269829999</v>
      </c>
      <c r="AE1795">
        <v>-10.364299999999901</v>
      </c>
      <c r="AF1795">
        <v>2.1908580293180502</v>
      </c>
      <c r="AG1795">
        <v>-1.1112690269829999</v>
      </c>
      <c r="AH1795">
        <v>10.2180188154916</v>
      </c>
      <c r="AI1795">
        <v>96.069963046119199</v>
      </c>
      <c r="AJ1795">
        <v>77.898367052876793</v>
      </c>
      <c r="AK1795">
        <v>10.5091715310342</v>
      </c>
      <c r="AL1795">
        <v>68.369890084117898</v>
      </c>
      <c r="AM1795">
        <v>84.996734099629705</v>
      </c>
      <c r="AN1795">
        <v>0.99999995839191502</v>
      </c>
    </row>
    <row r="1796" spans="1:40" x14ac:dyDescent="0.25">
      <c r="A1796" t="str">
        <f>"20190304164850405"</f>
        <v>20190304164850405</v>
      </c>
      <c r="B1796" t="str">
        <f>"1551689330397622"</f>
        <v>1551689330397622</v>
      </c>
      <c r="C1796" t="s">
        <v>40</v>
      </c>
      <c r="D1796">
        <v>4.7203169999999997</v>
      </c>
      <c r="E1796">
        <v>0.56791340000000001</v>
      </c>
      <c r="F1796" t="s">
        <v>41</v>
      </c>
      <c r="G1796">
        <v>-191.89490000000001</v>
      </c>
      <c r="H1796">
        <v>1.016267</v>
      </c>
      <c r="I1796">
        <v>313.79250000000002</v>
      </c>
      <c r="J1796">
        <v>-191.72059999999999</v>
      </c>
      <c r="K1796">
        <v>1.1112029999999999</v>
      </c>
      <c r="L1796">
        <v>314.40699999999998</v>
      </c>
      <c r="M1796">
        <v>1.585719E-2</v>
      </c>
      <c r="N1796">
        <v>-1.394572E-2</v>
      </c>
      <c r="O1796">
        <v>-0.99977709999999997</v>
      </c>
      <c r="P1796">
        <v>-6.8007150000000002E-2</v>
      </c>
      <c r="Q1796">
        <v>0.35659059999999998</v>
      </c>
      <c r="R1796">
        <v>-0.93178249999999996</v>
      </c>
      <c r="S1796">
        <v>-0.64389039999999997</v>
      </c>
      <c r="T1796">
        <v>-0.36007739999999999</v>
      </c>
      <c r="U1796">
        <v>-3.3092649999999999</v>
      </c>
      <c r="V1796">
        <v>8.2602899999999896E-2</v>
      </c>
      <c r="W1796">
        <v>0.36957240000000002</v>
      </c>
      <c r="X1796">
        <v>0.92552299999999998</v>
      </c>
      <c r="Y1796">
        <v>0.20554819999999999</v>
      </c>
      <c r="Z1796">
        <v>9.211598E-2</v>
      </c>
      <c r="AA1796">
        <v>0.97430209999999995</v>
      </c>
      <c r="AB1796">
        <v>26</v>
      </c>
      <c r="AC1796">
        <v>-0.174300000000016</v>
      </c>
      <c r="AD1796">
        <v>-9.4936000000000104E-2</v>
      </c>
      <c r="AE1796">
        <v>-0.61449999999996396</v>
      </c>
      <c r="AF1796">
        <v>0.180045911286627</v>
      </c>
      <c r="AG1796">
        <v>-9.4936000000000104E-2</v>
      </c>
      <c r="AH1796">
        <v>0.59843855544774005</v>
      </c>
      <c r="AI1796">
        <v>98.637936569057103</v>
      </c>
      <c r="AJ1796">
        <v>73.255588065034004</v>
      </c>
      <c r="AK1796">
        <v>0.63210606618937804</v>
      </c>
      <c r="AL1796">
        <v>68.310749459382194</v>
      </c>
      <c r="AM1796">
        <v>84.899866552443697</v>
      </c>
      <c r="AN1796">
        <v>0.99999991072958005</v>
      </c>
    </row>
    <row r="1797" spans="1:40" x14ac:dyDescent="0.25">
      <c r="A1797" t="str">
        <f>"20190304164850428"</f>
        <v>20190304164850428</v>
      </c>
      <c r="B1797" t="str">
        <f>"1551689330418121"</f>
        <v>1551689330418121</v>
      </c>
      <c r="C1797" t="s">
        <v>40</v>
      </c>
      <c r="D1797">
        <v>4.6172589999999998</v>
      </c>
      <c r="E1797">
        <v>0.56818990000000003</v>
      </c>
      <c r="F1797" t="s">
        <v>41</v>
      </c>
      <c r="G1797">
        <v>-191.88470000000001</v>
      </c>
      <c r="H1797">
        <v>1.018103</v>
      </c>
      <c r="I1797">
        <v>313.57029999999997</v>
      </c>
      <c r="J1797">
        <v>-191.71610000000001</v>
      </c>
      <c r="K1797">
        <v>1.111124</v>
      </c>
      <c r="L1797">
        <v>314.13979999999998</v>
      </c>
      <c r="M1797">
        <v>1.6043390000000001E-2</v>
      </c>
      <c r="N1797">
        <v>-1.3942029999999999E-2</v>
      </c>
      <c r="O1797">
        <v>-0.99977419999999995</v>
      </c>
      <c r="P1797">
        <v>-6.8743170000000006E-2</v>
      </c>
      <c r="Q1797">
        <v>0.35688249999999999</v>
      </c>
      <c r="R1797">
        <v>-0.93161689999999997</v>
      </c>
      <c r="S1797">
        <v>-0.64907840000000006</v>
      </c>
      <c r="T1797">
        <v>-0.36894549999999998</v>
      </c>
      <c r="U1797">
        <v>-3.3134459999999999</v>
      </c>
      <c r="V1797">
        <v>8.3575549999999998E-2</v>
      </c>
      <c r="W1797">
        <v>0.3698437</v>
      </c>
      <c r="X1797">
        <v>0.92532740000000002</v>
      </c>
      <c r="Y1797">
        <v>0.20692089999999999</v>
      </c>
      <c r="Z1797">
        <v>9.4537449999999995E-2</v>
      </c>
      <c r="AA1797">
        <v>0.97377939999999996</v>
      </c>
      <c r="AB1797">
        <v>26</v>
      </c>
      <c r="AC1797">
        <v>-0.168599999999997</v>
      </c>
      <c r="AD1797">
        <v>-9.3021000000000006E-2</v>
      </c>
      <c r="AE1797">
        <v>-0.569500000000005</v>
      </c>
      <c r="AF1797">
        <v>0.17346099588583999</v>
      </c>
      <c r="AG1797">
        <v>-9.3021000000000006E-2</v>
      </c>
      <c r="AH1797">
        <v>0.55315298711896699</v>
      </c>
      <c r="AI1797">
        <v>99.116000451789802</v>
      </c>
      <c r="AJ1797">
        <v>72.589309024435806</v>
      </c>
      <c r="AK1797">
        <v>0.58712847886416097</v>
      </c>
      <c r="AL1797">
        <v>68.294022184121005</v>
      </c>
      <c r="AM1797">
        <v>84.839049905781707</v>
      </c>
      <c r="AN1797">
        <v>1.00000001608912</v>
      </c>
    </row>
    <row r="1798" spans="1:40" x14ac:dyDescent="0.25">
      <c r="A1798" t="str">
        <f>"20190304164850449"</f>
        <v>20190304164850449</v>
      </c>
      <c r="B1798" t="str">
        <f>"1551689330437640"</f>
        <v>1551689330437640</v>
      </c>
      <c r="C1798" t="s">
        <v>40</v>
      </c>
      <c r="D1798">
        <v>4.6124530000000004</v>
      </c>
      <c r="E1798">
        <v>0.56853959999999903</v>
      </c>
      <c r="F1798" t="s">
        <v>41</v>
      </c>
      <c r="G1798">
        <v>-191.874</v>
      </c>
      <c r="H1798">
        <v>1.0197670000000001</v>
      </c>
      <c r="I1798">
        <v>313.33980000000003</v>
      </c>
      <c r="J1798">
        <v>-191.71209999999999</v>
      </c>
      <c r="K1798">
        <v>1.1110599999999999</v>
      </c>
      <c r="L1798">
        <v>313.90280000000001</v>
      </c>
      <c r="M1798">
        <v>1.6129439999999998E-2</v>
      </c>
      <c r="N1798">
        <v>-1.3938880000000001E-2</v>
      </c>
      <c r="O1798">
        <v>-0.99977300000000002</v>
      </c>
      <c r="P1798">
        <v>-6.9290249999999998E-2</v>
      </c>
      <c r="Q1798">
        <v>0.35685070000000002</v>
      </c>
      <c r="R1798">
        <v>-0.93158839999999998</v>
      </c>
      <c r="S1798">
        <v>-0.65454100000000004</v>
      </c>
      <c r="T1798">
        <v>-0.37884459999999998</v>
      </c>
      <c r="U1798">
        <v>-3.317078</v>
      </c>
      <c r="V1798">
        <v>8.4259669999999995E-2</v>
      </c>
      <c r="W1798">
        <v>0.36979499999999998</v>
      </c>
      <c r="X1798">
        <v>0.92528480000000002</v>
      </c>
      <c r="Y1798">
        <v>0.20829159999999999</v>
      </c>
      <c r="Z1798">
        <v>9.7265299999999999E-2</v>
      </c>
      <c r="AA1798">
        <v>0.97321840000000004</v>
      </c>
      <c r="AB1798">
        <v>26</v>
      </c>
      <c r="AC1798">
        <v>-0.16190000000003099</v>
      </c>
      <c r="AD1798">
        <v>-9.1292999999999805E-2</v>
      </c>
      <c r="AE1798">
        <v>-0.56299999999998795</v>
      </c>
      <c r="AF1798">
        <v>0.16690721601358499</v>
      </c>
      <c r="AG1798">
        <v>-9.1292999999999805E-2</v>
      </c>
      <c r="AH1798">
        <v>0.54703007988582197</v>
      </c>
      <c r="AI1798">
        <v>99.069251027552895</v>
      </c>
      <c r="AJ1798">
        <v>73.032253306996907</v>
      </c>
      <c r="AK1798">
        <v>0.57916693526676299</v>
      </c>
      <c r="AL1798">
        <v>68.297024983413905</v>
      </c>
      <c r="AM1798">
        <v>84.796796888026904</v>
      </c>
      <c r="AN1798">
        <v>0.99999999756227398</v>
      </c>
    </row>
    <row r="1799" spans="1:40" x14ac:dyDescent="0.25">
      <c r="A1799" t="str">
        <f>"20190304164850471"</f>
        <v>20190304164850471</v>
      </c>
      <c r="B1799" t="str">
        <f>"1551689330467893"</f>
        <v>1551689330467893</v>
      </c>
      <c r="C1799" t="s">
        <v>40</v>
      </c>
      <c r="D1799">
        <v>4.6280830000000002</v>
      </c>
      <c r="E1799">
        <v>0.56865109999999996</v>
      </c>
      <c r="F1799" t="s">
        <v>41</v>
      </c>
      <c r="G1799">
        <v>-191.86959999999999</v>
      </c>
      <c r="H1799">
        <v>1.0179879999999999</v>
      </c>
      <c r="I1799">
        <v>313.11040000000003</v>
      </c>
      <c r="J1799">
        <v>-191.708</v>
      </c>
      <c r="K1799">
        <v>1.111</v>
      </c>
      <c r="L1799">
        <v>313.64999999999998</v>
      </c>
      <c r="M1799">
        <v>1.6154470000000001E-2</v>
      </c>
      <c r="N1799">
        <v>-1.393552E-2</v>
      </c>
      <c r="O1799">
        <v>-0.99977229999999995</v>
      </c>
      <c r="P1799">
        <v>-6.9428459999999997E-2</v>
      </c>
      <c r="Q1799">
        <v>0.35648030000000003</v>
      </c>
      <c r="R1799">
        <v>-0.93171979999999999</v>
      </c>
      <c r="S1799">
        <v>-0.65890499999999996</v>
      </c>
      <c r="T1799">
        <v>-0.3902851</v>
      </c>
      <c r="U1799">
        <v>-3.3208310000000001</v>
      </c>
      <c r="V1799">
        <v>8.4477830000000004E-2</v>
      </c>
      <c r="W1799">
        <v>0.36941079999999998</v>
      </c>
      <c r="X1799">
        <v>0.92541839999999997</v>
      </c>
      <c r="Y1799">
        <v>0.20927100000000001</v>
      </c>
      <c r="Z1799">
        <v>0.10043390000000001</v>
      </c>
      <c r="AA1799">
        <v>0.9726863</v>
      </c>
      <c r="AB1799">
        <v>26</v>
      </c>
      <c r="AC1799">
        <v>-0.161599999999992</v>
      </c>
      <c r="AD1799">
        <v>-9.3012000000000095E-2</v>
      </c>
      <c r="AE1799">
        <v>-0.53959999999995001</v>
      </c>
      <c r="AF1799">
        <v>0.165776539336771</v>
      </c>
      <c r="AG1799">
        <v>-9.3012000000000095E-2</v>
      </c>
      <c r="AH1799">
        <v>0.52266737612024095</v>
      </c>
      <c r="AI1799">
        <v>99.627359448908805</v>
      </c>
      <c r="AJ1799">
        <v>72.402322560312797</v>
      </c>
      <c r="AK1799">
        <v>0.55616029991261795</v>
      </c>
      <c r="AL1799">
        <v>68.320716272029401</v>
      </c>
      <c r="AM1799">
        <v>84.784148254881103</v>
      </c>
      <c r="AN1799">
        <v>1.0000000289883499</v>
      </c>
    </row>
    <row r="1800" spans="1:40" x14ac:dyDescent="0.25">
      <c r="A1800" t="str">
        <f>"20190304164850494"</f>
        <v>20190304164850494</v>
      </c>
      <c r="B1800" t="str">
        <f>"1551689330487414"</f>
        <v>1551689330487414</v>
      </c>
      <c r="C1800" t="s">
        <v>40</v>
      </c>
      <c r="D1800">
        <v>4.6827940000000003</v>
      </c>
      <c r="E1800">
        <v>0.56874069999999899</v>
      </c>
      <c r="F1800" t="s">
        <v>41</v>
      </c>
      <c r="G1800">
        <v>-191.86019999999999</v>
      </c>
      <c r="H1800">
        <v>1.0165900000000001</v>
      </c>
      <c r="I1800">
        <v>312.88209999999998</v>
      </c>
      <c r="J1800">
        <v>-191.70359999999999</v>
      </c>
      <c r="K1800">
        <v>1.110943</v>
      </c>
      <c r="L1800">
        <v>313.37790000000001</v>
      </c>
      <c r="M1800">
        <v>1.6105789999999998E-2</v>
      </c>
      <c r="N1800">
        <v>-1.393205E-2</v>
      </c>
      <c r="O1800">
        <v>-0.99977360000000004</v>
      </c>
      <c r="P1800">
        <v>-6.9668359999999999E-2</v>
      </c>
      <c r="Q1800">
        <v>0.35603109999999999</v>
      </c>
      <c r="R1800">
        <v>-0.93187359999999997</v>
      </c>
      <c r="S1800">
        <v>-0.6592865</v>
      </c>
      <c r="T1800">
        <v>-0.40911360000000002</v>
      </c>
      <c r="U1800">
        <v>-3.3272089999999999</v>
      </c>
      <c r="V1800">
        <v>8.4725159999999994E-2</v>
      </c>
      <c r="W1800">
        <v>0.36894949999999999</v>
      </c>
      <c r="X1800">
        <v>0.92557979999999995</v>
      </c>
      <c r="Y1800">
        <v>0.20886199999999999</v>
      </c>
      <c r="Z1800">
        <v>0.10566349999999999</v>
      </c>
      <c r="AA1800">
        <v>0.97222010000000003</v>
      </c>
      <c r="AB1800">
        <v>26</v>
      </c>
      <c r="AC1800">
        <v>-0.15659999999999699</v>
      </c>
      <c r="AD1800">
        <v>-9.4353000000000103E-2</v>
      </c>
      <c r="AE1800">
        <v>-0.49580000000003099</v>
      </c>
      <c r="AF1800">
        <v>0.15931923429837799</v>
      </c>
      <c r="AG1800">
        <v>-9.4353000000000103E-2</v>
      </c>
      <c r="AH1800">
        <v>0.477489276502022</v>
      </c>
      <c r="AI1800">
        <v>100.61653606577499</v>
      </c>
      <c r="AJ1800">
        <v>71.548190344889093</v>
      </c>
      <c r="AK1800">
        <v>0.51213388503480795</v>
      </c>
      <c r="AL1800">
        <v>68.349155784532996</v>
      </c>
      <c r="AM1800">
        <v>84.769869252559701</v>
      </c>
      <c r="AN1800">
        <v>1.0000000262276501</v>
      </c>
    </row>
    <row r="1801" spans="1:40" x14ac:dyDescent="0.25">
      <c r="A1801" t="str">
        <f>"20190304164850518"</f>
        <v>20190304164850518</v>
      </c>
      <c r="B1801" t="str">
        <f>"1551689330507539"</f>
        <v>1551689330507539</v>
      </c>
      <c r="C1801" t="s">
        <v>40</v>
      </c>
      <c r="D1801">
        <v>4.6875479999999996</v>
      </c>
      <c r="E1801">
        <v>0.56879449999999998</v>
      </c>
      <c r="F1801" t="s">
        <v>41</v>
      </c>
      <c r="G1801">
        <v>-191.84800000000001</v>
      </c>
      <c r="H1801">
        <v>1.0201439999999999</v>
      </c>
      <c r="I1801">
        <v>312.65039999999999</v>
      </c>
      <c r="J1801">
        <v>-191.6994</v>
      </c>
      <c r="K1801">
        <v>1.1108990000000001</v>
      </c>
      <c r="L1801">
        <v>313.11590000000001</v>
      </c>
      <c r="M1801">
        <v>1.597548E-2</v>
      </c>
      <c r="N1801">
        <v>-1.3928799999999899E-2</v>
      </c>
      <c r="O1801">
        <v>-0.99977570000000004</v>
      </c>
      <c r="P1801">
        <v>-7.0058029999999993E-2</v>
      </c>
      <c r="Q1801">
        <v>0.3557768</v>
      </c>
      <c r="R1801">
        <v>-0.93194169999999998</v>
      </c>
      <c r="S1801">
        <v>-0.65998840000000003</v>
      </c>
      <c r="T1801">
        <v>-0.41570400000000002</v>
      </c>
      <c r="U1801">
        <v>-3.3288269999999902</v>
      </c>
      <c r="V1801">
        <v>8.5037080000000001E-2</v>
      </c>
      <c r="W1801">
        <v>0.36868309999999999</v>
      </c>
      <c r="X1801">
        <v>0.92565730000000002</v>
      </c>
      <c r="Y1801">
        <v>0.2088006</v>
      </c>
      <c r="Z1801">
        <v>0.1075083</v>
      </c>
      <c r="AA1801">
        <v>0.97203099999999998</v>
      </c>
      <c r="AB1801">
        <v>26</v>
      </c>
      <c r="AC1801">
        <v>-0.14859999999998699</v>
      </c>
      <c r="AD1801">
        <v>-9.0754999999999905E-2</v>
      </c>
      <c r="AE1801">
        <v>-0.46550000000002001</v>
      </c>
      <c r="AF1801">
        <v>0.15081592776345801</v>
      </c>
      <c r="AG1801">
        <v>-9.0754999999999905E-2</v>
      </c>
      <c r="AH1801">
        <v>0.44762551285139501</v>
      </c>
      <c r="AI1801">
        <v>100.87600030086899</v>
      </c>
      <c r="AJ1801">
        <v>71.380076833199496</v>
      </c>
      <c r="AK1801">
        <v>0.48098909951019397</v>
      </c>
      <c r="AL1801">
        <v>68.365576106364998</v>
      </c>
      <c r="AM1801">
        <v>84.751158667500405</v>
      </c>
      <c r="AN1801">
        <v>0.99999998512191302</v>
      </c>
    </row>
    <row r="1802" spans="1:40" x14ac:dyDescent="0.25">
      <c r="A1802" t="str">
        <f>"20190304164850541"</f>
        <v>20190304164850541</v>
      </c>
      <c r="B1802" t="str">
        <f>"1551689330537792"</f>
        <v>1551689330537792</v>
      </c>
      <c r="C1802" t="s">
        <v>40</v>
      </c>
      <c r="D1802">
        <v>4.6701620000000004</v>
      </c>
      <c r="E1802">
        <v>0.56879679999999999</v>
      </c>
      <c r="F1802" t="s">
        <v>41</v>
      </c>
      <c r="G1802">
        <v>-191.88149999999999</v>
      </c>
      <c r="H1802">
        <v>0.99523620000000002</v>
      </c>
      <c r="I1802">
        <v>312.19940000000003</v>
      </c>
      <c r="J1802">
        <v>-191.6953</v>
      </c>
      <c r="K1802">
        <v>1.1108579999999999</v>
      </c>
      <c r="L1802">
        <v>312.8485</v>
      </c>
      <c r="M1802">
        <v>1.577419E-2</v>
      </c>
      <c r="N1802">
        <v>-1.39256E-2</v>
      </c>
      <c r="O1802">
        <v>-0.99977890000000003</v>
      </c>
      <c r="P1802">
        <v>-7.1150820000000004E-2</v>
      </c>
      <c r="Q1802">
        <v>0.35561789999999999</v>
      </c>
      <c r="R1802">
        <v>-0.93191959999999996</v>
      </c>
      <c r="S1802">
        <v>-0.66090389999999999</v>
      </c>
      <c r="T1802">
        <v>-0.4202805</v>
      </c>
      <c r="U1802">
        <v>-3.3297729999999999</v>
      </c>
      <c r="V1802">
        <v>8.5981849999999999E-2</v>
      </c>
      <c r="W1802">
        <v>0.36851159999999999</v>
      </c>
      <c r="X1802">
        <v>0.92563830000000002</v>
      </c>
      <c r="Y1802">
        <v>0.2087792</v>
      </c>
      <c r="Z1802">
        <v>0.1087935</v>
      </c>
      <c r="AA1802">
        <v>0.9718926</v>
      </c>
      <c r="AB1802">
        <v>26</v>
      </c>
      <c r="AC1802">
        <v>-0.18619999999998499</v>
      </c>
      <c r="AD1802">
        <v>-0.1156218</v>
      </c>
      <c r="AE1802">
        <v>-0.64909999999997503</v>
      </c>
      <c r="AF1802">
        <v>0.19082257822366</v>
      </c>
      <c r="AG1802">
        <v>-0.1156218</v>
      </c>
      <c r="AH1802">
        <v>0.62768033933532497</v>
      </c>
      <c r="AI1802">
        <v>99.995193569882204</v>
      </c>
      <c r="AJ1802">
        <v>73.090080181942</v>
      </c>
      <c r="AK1802">
        <v>0.66615633704354604</v>
      </c>
      <c r="AL1802">
        <v>68.376146270764195</v>
      </c>
      <c r="AM1802">
        <v>84.693066365710493</v>
      </c>
      <c r="AN1802">
        <v>0.99999997014543496</v>
      </c>
    </row>
    <row r="1803" spans="1:40" x14ac:dyDescent="0.25">
      <c r="A1803" t="str">
        <f>"20190304164850572"</f>
        <v>20190304164850572</v>
      </c>
      <c r="B1803" t="str">
        <f>"1551689330568048"</f>
        <v>1551689330568048</v>
      </c>
      <c r="C1803" t="s">
        <v>40</v>
      </c>
      <c r="D1803">
        <v>4.6191449999999996</v>
      </c>
      <c r="E1803">
        <v>0.5691233</v>
      </c>
      <c r="F1803" t="s">
        <v>41</v>
      </c>
      <c r="G1803">
        <v>-191.87049999999999</v>
      </c>
      <c r="H1803">
        <v>0.99792910000000001</v>
      </c>
      <c r="I1803">
        <v>311.9699</v>
      </c>
      <c r="J1803">
        <v>-191.68989999999999</v>
      </c>
      <c r="K1803">
        <v>1.1108</v>
      </c>
      <c r="L1803">
        <v>312.48259999999999</v>
      </c>
      <c r="M1803">
        <v>1.542338E-2</v>
      </c>
      <c r="N1803">
        <v>-1.3921350000000001E-2</v>
      </c>
      <c r="O1803">
        <v>-0.99978420000000001</v>
      </c>
      <c r="P1803">
        <v>-7.2588470000000002E-2</v>
      </c>
      <c r="Q1803">
        <v>0.35516130000000001</v>
      </c>
      <c r="R1803">
        <v>-0.9319828</v>
      </c>
      <c r="S1803">
        <v>-0.66395569999999904</v>
      </c>
      <c r="T1803">
        <v>-0.42845680000000003</v>
      </c>
      <c r="U1803">
        <v>-3.332001</v>
      </c>
      <c r="V1803">
        <v>8.7139430000000004E-2</v>
      </c>
      <c r="W1803">
        <v>0.36804029999999999</v>
      </c>
      <c r="X1803">
        <v>0.92571760000000003</v>
      </c>
      <c r="Y1803">
        <v>0.20911579999999999</v>
      </c>
      <c r="Z1803">
        <v>0.1110551</v>
      </c>
      <c r="AA1803">
        <v>0.97156439999999999</v>
      </c>
      <c r="AB1803">
        <v>26</v>
      </c>
      <c r="AC1803">
        <v>-0.18059999999999801</v>
      </c>
      <c r="AD1803">
        <v>-0.1128709</v>
      </c>
      <c r="AE1803">
        <v>-0.51269999999999505</v>
      </c>
      <c r="AF1803">
        <v>0.18069594464403901</v>
      </c>
      <c r="AG1803">
        <v>-0.1128709</v>
      </c>
      <c r="AH1803">
        <v>0.48877903236498899</v>
      </c>
      <c r="AI1803">
        <v>102.22130660967299</v>
      </c>
      <c r="AJ1803">
        <v>69.711230790335193</v>
      </c>
      <c r="AK1803">
        <v>0.53319396748019099</v>
      </c>
      <c r="AL1803">
        <v>68.405192024810802</v>
      </c>
      <c r="AM1803">
        <v>84.622492873881001</v>
      </c>
      <c r="AN1803">
        <v>1.00000000881728</v>
      </c>
    </row>
    <row r="1804" spans="1:40" x14ac:dyDescent="0.25">
      <c r="A1804" t="str">
        <f>"20190304164850594"</f>
        <v>20190304164850594</v>
      </c>
      <c r="B1804" t="str">
        <f>"1551689330587568"</f>
        <v>1551689330587568</v>
      </c>
      <c r="C1804" t="s">
        <v>40</v>
      </c>
      <c r="D1804">
        <v>4.5892759999999999</v>
      </c>
      <c r="E1804">
        <v>0.56937530000000003</v>
      </c>
      <c r="F1804" t="s">
        <v>41</v>
      </c>
      <c r="G1804">
        <v>-191.84100000000001</v>
      </c>
      <c r="H1804">
        <v>1.0141100000000001</v>
      </c>
      <c r="I1804">
        <v>311.73430000000002</v>
      </c>
      <c r="J1804">
        <v>-191.68620000000001</v>
      </c>
      <c r="K1804">
        <v>1.1107640000000001</v>
      </c>
      <c r="L1804">
        <v>312.22559999999999</v>
      </c>
      <c r="M1804">
        <v>1.512406E-2</v>
      </c>
      <c r="N1804">
        <v>-1.3918410000000001E-2</v>
      </c>
      <c r="O1804">
        <v>-0.99978880000000003</v>
      </c>
      <c r="P1804">
        <v>-7.3716599999999993E-2</v>
      </c>
      <c r="Q1804">
        <v>0.35487750000000001</v>
      </c>
      <c r="R1804">
        <v>-0.93200190000000005</v>
      </c>
      <c r="S1804">
        <v>-0.67149349999999997</v>
      </c>
      <c r="T1804">
        <v>-0.4306217</v>
      </c>
      <c r="U1804">
        <v>-3.3307500000000001</v>
      </c>
      <c r="V1804">
        <v>8.8016929999999993E-2</v>
      </c>
      <c r="W1804">
        <v>0.3677472</v>
      </c>
      <c r="X1804">
        <v>0.92575099999999999</v>
      </c>
      <c r="Y1804">
        <v>0.21099000000000001</v>
      </c>
      <c r="Z1804">
        <v>0.11167390000000001</v>
      </c>
      <c r="AA1804">
        <v>0.97108810000000001</v>
      </c>
      <c r="AB1804">
        <v>26</v>
      </c>
      <c r="AC1804">
        <v>-0.15479999999996599</v>
      </c>
      <c r="AD1804">
        <v>-9.6653999999999796E-2</v>
      </c>
      <c r="AE1804">
        <v>-0.49129999999996699</v>
      </c>
      <c r="AF1804">
        <v>0.15669652003894899</v>
      </c>
      <c r="AG1804">
        <v>-9.6653999999999796E-2</v>
      </c>
      <c r="AH1804">
        <v>0.47227461046728197</v>
      </c>
      <c r="AI1804">
        <v>100.992460288779</v>
      </c>
      <c r="AJ1804">
        <v>71.644614229769104</v>
      </c>
      <c r="AK1804">
        <v>0.50689160853217896</v>
      </c>
      <c r="AL1804">
        <v>68.423250637292199</v>
      </c>
      <c r="AM1804">
        <v>84.568858020641798</v>
      </c>
      <c r="AN1804">
        <v>0.999999948537731</v>
      </c>
    </row>
    <row r="1805" spans="1:40" x14ac:dyDescent="0.25">
      <c r="A1805" t="str">
        <f>"20190304164850618"</f>
        <v>20190304164850618</v>
      </c>
      <c r="B1805" t="str">
        <f>"1551689330607660"</f>
        <v>1551689330607660</v>
      </c>
      <c r="C1805" t="s">
        <v>40</v>
      </c>
      <c r="D1805">
        <v>4.5869049999999998</v>
      </c>
      <c r="E1805">
        <v>0.56957819999999904</v>
      </c>
      <c r="F1805" t="s">
        <v>41</v>
      </c>
      <c r="G1805">
        <v>-191.833</v>
      </c>
      <c r="H1805">
        <v>1.0168999999999999</v>
      </c>
      <c r="I1805">
        <v>311.50409999999999</v>
      </c>
      <c r="J1805">
        <v>-191.68260000000001</v>
      </c>
      <c r="K1805">
        <v>1.110722</v>
      </c>
      <c r="L1805">
        <v>311.95999999999998</v>
      </c>
      <c r="M1805">
        <v>1.475255E-2</v>
      </c>
      <c r="N1805">
        <v>-1.3915469999999999E-2</v>
      </c>
      <c r="O1805">
        <v>-0.99979450000000003</v>
      </c>
      <c r="P1805">
        <v>-7.4643749999999995E-2</v>
      </c>
      <c r="Q1805">
        <v>0.35426049999999998</v>
      </c>
      <c r="R1805">
        <v>-0.93216330000000003</v>
      </c>
      <c r="S1805">
        <v>-0.67704770000000003</v>
      </c>
      <c r="T1805">
        <v>-0.43322369999999999</v>
      </c>
      <c r="U1805">
        <v>-3.3303219999999998</v>
      </c>
      <c r="V1805">
        <v>8.863124E-2</v>
      </c>
      <c r="W1805">
        <v>0.36712280000000003</v>
      </c>
      <c r="X1805">
        <v>0.92594030000000005</v>
      </c>
      <c r="Y1805">
        <v>0.21218799999999999</v>
      </c>
      <c r="Z1805">
        <v>0.1124043</v>
      </c>
      <c r="AA1805">
        <v>0.97074280000000002</v>
      </c>
      <c r="AB1805">
        <v>26</v>
      </c>
      <c r="AC1805">
        <v>-0.15039999999998999</v>
      </c>
      <c r="AD1805">
        <v>-9.3822000000000003E-2</v>
      </c>
      <c r="AE1805">
        <v>-0.45589999999998498</v>
      </c>
      <c r="AF1805">
        <v>0.15132994746477399</v>
      </c>
      <c r="AG1805">
        <v>-9.3822000000000003E-2</v>
      </c>
      <c r="AH1805">
        <v>0.43694244193246801</v>
      </c>
      <c r="AI1805">
        <v>101.469585274339</v>
      </c>
      <c r="AJ1805">
        <v>70.8970656860362</v>
      </c>
      <c r="AK1805">
        <v>0.47182837795707</v>
      </c>
      <c r="AL1805">
        <v>68.461719006468797</v>
      </c>
      <c r="AM1805">
        <v>84.532291918549106</v>
      </c>
      <c r="AN1805">
        <v>1.00000004307393</v>
      </c>
    </row>
    <row r="1806" spans="1:40" x14ac:dyDescent="0.25">
      <c r="A1806" t="str">
        <f>"20190304164850639"</f>
        <v>20190304164850639</v>
      </c>
      <c r="B1806" t="str">
        <f>"1551689330628153"</f>
        <v>1551689330628153</v>
      </c>
      <c r="C1806" t="s">
        <v>40</v>
      </c>
      <c r="D1806">
        <v>4.6315770000000001</v>
      </c>
      <c r="E1806">
        <v>0.56951180000000001</v>
      </c>
      <c r="F1806" t="s">
        <v>41</v>
      </c>
      <c r="G1806">
        <v>-191.86799999999999</v>
      </c>
      <c r="H1806">
        <v>0.99200370000000004</v>
      </c>
      <c r="I1806">
        <v>311.05610000000001</v>
      </c>
      <c r="J1806">
        <v>-191.67939999999999</v>
      </c>
      <c r="K1806">
        <v>1.1106860000000001</v>
      </c>
      <c r="L1806">
        <v>311.71789999999999</v>
      </c>
      <c r="M1806">
        <v>1.436191E-2</v>
      </c>
      <c r="N1806">
        <v>-1.3912870000000001E-2</v>
      </c>
      <c r="O1806">
        <v>-0.99980029999999998</v>
      </c>
      <c r="P1806">
        <v>-7.4771690000000002E-2</v>
      </c>
      <c r="Q1806">
        <v>0.3535044</v>
      </c>
      <c r="R1806">
        <v>-0.93244000000000005</v>
      </c>
      <c r="S1806">
        <v>-0.68280030000000003</v>
      </c>
      <c r="T1806">
        <v>-0.43738260000000001</v>
      </c>
      <c r="U1806">
        <v>-3.3299259999999999</v>
      </c>
      <c r="V1806">
        <v>8.8430410000000001E-2</v>
      </c>
      <c r="W1806">
        <v>0.3663611</v>
      </c>
      <c r="X1806">
        <v>0.92626109999999995</v>
      </c>
      <c r="Y1806">
        <v>0.21340880000000001</v>
      </c>
      <c r="Z1806">
        <v>0.11357829999999999</v>
      </c>
      <c r="AA1806">
        <v>0.97033840000000005</v>
      </c>
      <c r="AB1806">
        <v>26</v>
      </c>
      <c r="AC1806">
        <v>-0.18860000000000801</v>
      </c>
      <c r="AD1806">
        <v>-0.1186823</v>
      </c>
      <c r="AE1806">
        <v>-0.66179999999997097</v>
      </c>
      <c r="AF1806">
        <v>0.19236439004464501</v>
      </c>
      <c r="AG1806">
        <v>-0.1186823</v>
      </c>
      <c r="AH1806">
        <v>0.63998672194391704</v>
      </c>
      <c r="AI1806">
        <v>100.070494961615</v>
      </c>
      <c r="AJ1806">
        <v>73.270504422316407</v>
      </c>
      <c r="AK1806">
        <v>0.67872862850704896</v>
      </c>
      <c r="AL1806">
        <v>68.508629055334694</v>
      </c>
      <c r="AM1806">
        <v>84.546484420344697</v>
      </c>
      <c r="AN1806">
        <v>1.00000000918959</v>
      </c>
    </row>
    <row r="1807" spans="1:40" x14ac:dyDescent="0.25">
      <c r="A1807" t="str">
        <f>"20190304164850662"</f>
        <v>20190304164850662</v>
      </c>
      <c r="B1807" t="str">
        <f>"1551689330657432"</f>
        <v>1551689330657432</v>
      </c>
      <c r="C1807" t="s">
        <v>40</v>
      </c>
      <c r="D1807">
        <v>4.5340389999999999</v>
      </c>
      <c r="E1807">
        <v>0.56853900000000002</v>
      </c>
      <c r="F1807" t="s">
        <v>41</v>
      </c>
      <c r="G1807">
        <v>-191.86279999999999</v>
      </c>
      <c r="H1807">
        <v>0.99286319999999995</v>
      </c>
      <c r="I1807">
        <v>310.82799999999997</v>
      </c>
      <c r="J1807">
        <v>-191.6763</v>
      </c>
      <c r="K1807">
        <v>1.1106499999999999</v>
      </c>
      <c r="L1807">
        <v>311.46460000000002</v>
      </c>
      <c r="M1807">
        <v>1.3906679999999999E-2</v>
      </c>
      <c r="N1807">
        <v>-1.3910270000000001E-2</v>
      </c>
      <c r="O1807">
        <v>-0.9998068</v>
      </c>
      <c r="P1807">
        <v>-7.466296E-2</v>
      </c>
      <c r="Q1807">
        <v>0.35291790000000001</v>
      </c>
      <c r="R1807">
        <v>-0.93267109999999998</v>
      </c>
      <c r="S1807">
        <v>-0.68521119999999902</v>
      </c>
      <c r="T1807">
        <v>-0.44096020000000002</v>
      </c>
      <c r="U1807">
        <v>-3.32959</v>
      </c>
      <c r="V1807">
        <v>8.7933189999999994E-2</v>
      </c>
      <c r="W1807">
        <v>0.36576829999999999</v>
      </c>
      <c r="X1807">
        <v>0.92654270000000005</v>
      </c>
      <c r="Y1807">
        <v>0.21363190000000001</v>
      </c>
      <c r="Z1807">
        <v>0.1146093</v>
      </c>
      <c r="AA1807">
        <v>0.97016809999999998</v>
      </c>
      <c r="AB1807">
        <v>26</v>
      </c>
      <c r="AC1807">
        <v>-0.186499999999995</v>
      </c>
      <c r="AD1807">
        <v>-0.117786799999999</v>
      </c>
      <c r="AE1807">
        <v>-0.63660000000004302</v>
      </c>
      <c r="AF1807">
        <v>0.18936545459947701</v>
      </c>
      <c r="AG1807">
        <v>-0.117786799999999</v>
      </c>
      <c r="AH1807">
        <v>0.61456834191133702</v>
      </c>
      <c r="AI1807">
        <v>100.37925214950999</v>
      </c>
      <c r="AJ1807">
        <v>72.874491576440406</v>
      </c>
      <c r="AK1807">
        <v>0.65377920778314502</v>
      </c>
      <c r="AL1807">
        <v>68.545127945724204</v>
      </c>
      <c r="AM1807">
        <v>84.578603104417496</v>
      </c>
      <c r="AN1807">
        <v>1.00000003505587</v>
      </c>
    </row>
    <row r="1808" spans="1:40" x14ac:dyDescent="0.25">
      <c r="A1808" t="str">
        <f>"20190304164850685"</f>
        <v>20190304164850685</v>
      </c>
      <c r="B1808" t="str">
        <f>"1551689330677929"</f>
        <v>1551689330677929</v>
      </c>
      <c r="C1808" t="s">
        <v>40</v>
      </c>
      <c r="D1808">
        <v>4.5028439999999996</v>
      </c>
      <c r="E1808">
        <v>0.56797489999999995</v>
      </c>
      <c r="F1808" t="s">
        <v>41</v>
      </c>
      <c r="G1808">
        <v>-191.85290000000001</v>
      </c>
      <c r="H1808">
        <v>0.9960755</v>
      </c>
      <c r="I1808">
        <v>310.5994</v>
      </c>
      <c r="J1808">
        <v>-191.67310000000001</v>
      </c>
      <c r="K1808">
        <v>1.110614</v>
      </c>
      <c r="L1808">
        <v>311.19819999999999</v>
      </c>
      <c r="M1808">
        <v>1.33683E-2</v>
      </c>
      <c r="N1808">
        <v>-1.3907589999999999E-2</v>
      </c>
      <c r="O1808">
        <v>-0.99981390000000003</v>
      </c>
      <c r="P1808">
        <v>-7.515107E-2</v>
      </c>
      <c r="Q1808">
        <v>0.3534967</v>
      </c>
      <c r="R1808">
        <v>-0.93241220000000002</v>
      </c>
      <c r="S1808">
        <v>-0.67950440000000001</v>
      </c>
      <c r="T1808">
        <v>-0.44089929999999999</v>
      </c>
      <c r="U1808">
        <v>-3.3290099999999998</v>
      </c>
      <c r="V1808">
        <v>8.7952080000000002E-2</v>
      </c>
      <c r="W1808">
        <v>0.36633320000000003</v>
      </c>
      <c r="X1808">
        <v>0.92631770000000002</v>
      </c>
      <c r="Y1808">
        <v>0.2115436</v>
      </c>
      <c r="Z1808">
        <v>0.11466949999999999</v>
      </c>
      <c r="AA1808">
        <v>0.97061850000000005</v>
      </c>
      <c r="AB1808">
        <v>26</v>
      </c>
      <c r="AC1808">
        <v>-0.17979999999999999</v>
      </c>
      <c r="AD1808">
        <v>-0.1145385</v>
      </c>
      <c r="AE1808">
        <v>-0.59879999999998201</v>
      </c>
      <c r="AF1808">
        <v>0.18169168958720999</v>
      </c>
      <c r="AG1808">
        <v>-0.1145385</v>
      </c>
      <c r="AH1808">
        <v>0.57697803919086099</v>
      </c>
      <c r="AI1808">
        <v>100.721915953981</v>
      </c>
      <c r="AJ1808">
        <v>72.520667302093699</v>
      </c>
      <c r="AK1808">
        <v>0.61565785608228596</v>
      </c>
      <c r="AL1808">
        <v>68.510347549991394</v>
      </c>
      <c r="AM1808">
        <v>84.576136139614604</v>
      </c>
      <c r="AN1808">
        <v>1.0000000315659201</v>
      </c>
    </row>
    <row r="1809" spans="1:40" x14ac:dyDescent="0.25">
      <c r="A1809" t="str">
        <f>"20190304164850706"</f>
        <v>20190304164850706</v>
      </c>
      <c r="B1809" t="str">
        <f>"1551689330698137"</f>
        <v>1551689330698137</v>
      </c>
      <c r="C1809" t="s">
        <v>40</v>
      </c>
      <c r="D1809">
        <v>4.5843309999999997</v>
      </c>
      <c r="E1809">
        <v>0.56747360000000002</v>
      </c>
      <c r="F1809" t="s">
        <v>41</v>
      </c>
      <c r="G1809">
        <v>-191.84200000000001</v>
      </c>
      <c r="H1809">
        <v>1.00177</v>
      </c>
      <c r="I1809">
        <v>310.36939999999998</v>
      </c>
      <c r="J1809">
        <v>-191.6705</v>
      </c>
      <c r="K1809">
        <v>1.1105780000000001</v>
      </c>
      <c r="L1809">
        <v>310.95490000000001</v>
      </c>
      <c r="M1809">
        <v>1.2809299999999999E-2</v>
      </c>
      <c r="N1809">
        <v>-1.3905219999999999E-2</v>
      </c>
      <c r="O1809">
        <v>-0.99982139999999997</v>
      </c>
      <c r="P1809">
        <v>-7.5713520000000006E-2</v>
      </c>
      <c r="Q1809">
        <v>0.3537073</v>
      </c>
      <c r="R1809">
        <v>-0.93228670000000002</v>
      </c>
      <c r="S1809">
        <v>-0.67797850000000004</v>
      </c>
      <c r="T1809">
        <v>-0.43713809999999897</v>
      </c>
      <c r="U1809">
        <v>-3.3285520000000002</v>
      </c>
      <c r="V1809">
        <v>8.8029170000000004E-2</v>
      </c>
      <c r="W1809">
        <v>0.36653150000000001</v>
      </c>
      <c r="X1809">
        <v>0.9262319</v>
      </c>
      <c r="Y1809">
        <v>0.2106227</v>
      </c>
      <c r="Z1809">
        <v>0.1136298</v>
      </c>
      <c r="AA1809">
        <v>0.9709409</v>
      </c>
      <c r="AB1809">
        <v>25</v>
      </c>
      <c r="AC1809">
        <v>-0.17150000000000801</v>
      </c>
      <c r="AD1809">
        <v>-0.108808</v>
      </c>
      <c r="AE1809">
        <v>-0.585500000000024</v>
      </c>
      <c r="AF1809">
        <v>0.17346901409229601</v>
      </c>
      <c r="AG1809">
        <v>-0.108808</v>
      </c>
      <c r="AH1809">
        <v>0.56527538576249403</v>
      </c>
      <c r="AI1809">
        <v>100.426748944141</v>
      </c>
      <c r="AJ1809">
        <v>72.940047069899194</v>
      </c>
      <c r="AK1809">
        <v>0.601221208427555</v>
      </c>
      <c r="AL1809">
        <v>68.498135826564507</v>
      </c>
      <c r="AM1809">
        <v>84.570910646371402</v>
      </c>
      <c r="AN1809">
        <v>1.00000000392037</v>
      </c>
    </row>
    <row r="1810" spans="1:40" x14ac:dyDescent="0.25">
      <c r="A1810" t="str">
        <f>"20190304164850729"</f>
        <v>20190304164850729</v>
      </c>
      <c r="B1810" t="str">
        <f>"1551689330717660"</f>
        <v>1551689330717660</v>
      </c>
      <c r="C1810" t="s">
        <v>40</v>
      </c>
      <c r="D1810">
        <v>4.5156879999999999</v>
      </c>
      <c r="E1810">
        <v>0.56701899999999905</v>
      </c>
      <c r="F1810" t="s">
        <v>41</v>
      </c>
      <c r="G1810">
        <v>-191.83619999999999</v>
      </c>
      <c r="H1810">
        <v>1.003943</v>
      </c>
      <c r="I1810">
        <v>310.14109999999999</v>
      </c>
      <c r="J1810">
        <v>-191.66800000000001</v>
      </c>
      <c r="K1810">
        <v>1.11053</v>
      </c>
      <c r="L1810">
        <v>310.70080000000002</v>
      </c>
      <c r="M1810">
        <v>1.214118E-2</v>
      </c>
      <c r="N1810">
        <v>-1.390282E-2</v>
      </c>
      <c r="O1810">
        <v>-0.99982979999999999</v>
      </c>
      <c r="P1810">
        <v>-7.625461E-2</v>
      </c>
      <c r="Q1810">
        <v>0.35413210000000001</v>
      </c>
      <c r="R1810">
        <v>-0.93208159999999896</v>
      </c>
      <c r="S1810">
        <v>-0.67732239999999999</v>
      </c>
      <c r="T1810">
        <v>-0.43620160000000002</v>
      </c>
      <c r="U1810">
        <v>-3.3283689999999999</v>
      </c>
      <c r="V1810">
        <v>8.7993639999999998E-2</v>
      </c>
      <c r="W1810">
        <v>0.3669405</v>
      </c>
      <c r="X1810">
        <v>0.92607329999999999</v>
      </c>
      <c r="Y1810">
        <v>0.20980309999999999</v>
      </c>
      <c r="Z1810">
        <v>0.1133863</v>
      </c>
      <c r="AA1810">
        <v>0.97114679999999998</v>
      </c>
      <c r="AB1810">
        <v>25</v>
      </c>
      <c r="AC1810">
        <v>-0.168199999999984</v>
      </c>
      <c r="AD1810">
        <v>-0.106587</v>
      </c>
      <c r="AE1810">
        <v>-0.55970000000001996</v>
      </c>
      <c r="AF1810">
        <v>0.169350742206412</v>
      </c>
      <c r="AG1810">
        <v>-0.106587</v>
      </c>
      <c r="AH1810">
        <v>0.53966606146042295</v>
      </c>
      <c r="AI1810">
        <v>100.671940274561</v>
      </c>
      <c r="AJ1810">
        <v>72.577801338954004</v>
      </c>
      <c r="AK1810">
        <v>0.57556921421065199</v>
      </c>
      <c r="AL1810">
        <v>68.472946361121501</v>
      </c>
      <c r="AM1810">
        <v>84.5721649632912</v>
      </c>
      <c r="AN1810">
        <v>0.99999998409679403</v>
      </c>
    </row>
    <row r="1811" spans="1:40" x14ac:dyDescent="0.25">
      <c r="A1811" t="str">
        <f>"20190304164850753"</f>
        <v>20190304164850753</v>
      </c>
      <c r="B1811" t="str">
        <f>"1551689330747913"</f>
        <v>1551689330747913</v>
      </c>
      <c r="C1811" t="s">
        <v>40</v>
      </c>
      <c r="D1811">
        <v>4.5084609999999996</v>
      </c>
      <c r="E1811">
        <v>0.56644649999999996</v>
      </c>
      <c r="F1811" t="s">
        <v>41</v>
      </c>
      <c r="G1811">
        <v>-191.8289</v>
      </c>
      <c r="H1811">
        <v>1.008211</v>
      </c>
      <c r="I1811">
        <v>309.91210000000001</v>
      </c>
      <c r="J1811">
        <v>-191.66550000000001</v>
      </c>
      <c r="K1811">
        <v>1.110474</v>
      </c>
      <c r="L1811">
        <v>310.42700000000002</v>
      </c>
      <c r="M1811">
        <v>1.131151E-2</v>
      </c>
      <c r="N1811">
        <v>-1.3900630000000001E-2</v>
      </c>
      <c r="O1811">
        <v>-0.99983940000000004</v>
      </c>
      <c r="P1811">
        <v>-7.7047989999999997E-2</v>
      </c>
      <c r="Q1811">
        <v>0.35570960000000001</v>
      </c>
      <c r="R1811">
        <v>-0.9314154</v>
      </c>
      <c r="S1811">
        <v>-0.67784119999999903</v>
      </c>
      <c r="T1811">
        <v>-0.43168649999999997</v>
      </c>
      <c r="U1811">
        <v>-3.3271480000000002</v>
      </c>
      <c r="V1811">
        <v>8.8073750000000006E-2</v>
      </c>
      <c r="W1811">
        <v>0.36849159999999997</v>
      </c>
      <c r="X1811">
        <v>0.92544959999999998</v>
      </c>
      <c r="Y1811">
        <v>0.2092377</v>
      </c>
      <c r="Z1811">
        <v>0.11214449999999999</v>
      </c>
      <c r="AA1811">
        <v>0.97141299999999997</v>
      </c>
      <c r="AB1811">
        <v>25</v>
      </c>
      <c r="AC1811">
        <v>-0.16339999999999499</v>
      </c>
      <c r="AD1811">
        <v>-0.10226300000000001</v>
      </c>
      <c r="AE1811">
        <v>-0.51490000000001102</v>
      </c>
      <c r="AF1811">
        <v>0.16336022448600901</v>
      </c>
      <c r="AG1811">
        <v>-0.10226300000000001</v>
      </c>
      <c r="AH1811">
        <v>0.49527006853432998</v>
      </c>
      <c r="AI1811">
        <v>101.09424654134</v>
      </c>
      <c r="AJ1811">
        <v>71.745341491127306</v>
      </c>
      <c r="AK1811">
        <v>0.53144776309541397</v>
      </c>
      <c r="AL1811">
        <v>68.377379688162804</v>
      </c>
      <c r="AM1811">
        <v>84.5636135457911</v>
      </c>
      <c r="AN1811">
        <v>1.0000000034248899</v>
      </c>
    </row>
    <row r="1812" spans="1:40" x14ac:dyDescent="0.25">
      <c r="A1812" t="str">
        <f>"20190304164850776"</f>
        <v>20190304164850776</v>
      </c>
      <c r="B1812" t="str">
        <f>"1551689330767433"</f>
        <v>1551689330767433</v>
      </c>
      <c r="C1812" t="s">
        <v>40</v>
      </c>
      <c r="D1812">
        <v>4.6136660000000003</v>
      </c>
      <c r="E1812">
        <v>0.56612379999999995</v>
      </c>
      <c r="F1812" t="s">
        <v>41</v>
      </c>
      <c r="G1812">
        <v>-191.8177</v>
      </c>
      <c r="H1812">
        <v>1.0155369999999999</v>
      </c>
      <c r="I1812">
        <v>309.68209999999999</v>
      </c>
      <c r="J1812">
        <v>-191.6636</v>
      </c>
      <c r="K1812">
        <v>1.1103970000000001</v>
      </c>
      <c r="L1812">
        <v>310.17039999999997</v>
      </c>
      <c r="M1812">
        <v>1.040749E-2</v>
      </c>
      <c r="N1812">
        <v>-1.389927E-2</v>
      </c>
      <c r="O1812">
        <v>-0.9998494</v>
      </c>
      <c r="P1812">
        <v>-7.7622380000000005E-2</v>
      </c>
      <c r="Q1812">
        <v>0.35724909999999999</v>
      </c>
      <c r="R1812">
        <v>-0.93077810000000005</v>
      </c>
      <c r="S1812">
        <v>-0.67904659999999994</v>
      </c>
      <c r="T1812">
        <v>-0.42407630000000002</v>
      </c>
      <c r="U1812">
        <v>-3.326721</v>
      </c>
      <c r="V1812">
        <v>8.7877670000000005E-2</v>
      </c>
      <c r="W1812">
        <v>0.37000490000000003</v>
      </c>
      <c r="X1812">
        <v>0.92486420000000003</v>
      </c>
      <c r="Y1812">
        <v>0.2087685</v>
      </c>
      <c r="Z1812">
        <v>0.10997709999999999</v>
      </c>
      <c r="AA1812">
        <v>0.97176169999999995</v>
      </c>
      <c r="AB1812">
        <v>25</v>
      </c>
      <c r="AC1812">
        <v>-0.15409999999999899</v>
      </c>
      <c r="AD1812">
        <v>-9.4859999999999695E-2</v>
      </c>
      <c r="AE1812">
        <v>-0.48829999999998103</v>
      </c>
      <c r="AF1812">
        <v>0.15389237228340499</v>
      </c>
      <c r="AG1812">
        <v>-9.4859999999999695E-2</v>
      </c>
      <c r="AH1812">
        <v>0.47052083149467699</v>
      </c>
      <c r="AI1812">
        <v>100.847398830667</v>
      </c>
      <c r="AJ1812">
        <v>71.888728432016904</v>
      </c>
      <c r="AK1812">
        <v>0.50405469417262305</v>
      </c>
      <c r="AL1812">
        <v>68.2840793724327</v>
      </c>
      <c r="AM1812">
        <v>84.572231499972503</v>
      </c>
      <c r="AN1812">
        <v>0.99999994967513794</v>
      </c>
    </row>
    <row r="1813" spans="1:40" x14ac:dyDescent="0.25">
      <c r="A1813" t="str">
        <f>"20190304164850797"</f>
        <v>20190304164850797</v>
      </c>
      <c r="B1813" t="str">
        <f>"1551689330787929"</f>
        <v>1551689330787929</v>
      </c>
      <c r="C1813" t="s">
        <v>40</v>
      </c>
      <c r="D1813">
        <v>4.5137530000000003</v>
      </c>
      <c r="E1813">
        <v>0.56585269999999899</v>
      </c>
      <c r="F1813" t="s">
        <v>41</v>
      </c>
      <c r="G1813">
        <v>-191.85509999999999</v>
      </c>
      <c r="H1813">
        <v>0.99307679999999998</v>
      </c>
      <c r="I1813">
        <v>309.23630000000003</v>
      </c>
      <c r="J1813">
        <v>-191.66210000000001</v>
      </c>
      <c r="K1813">
        <v>1.1103050000000001</v>
      </c>
      <c r="L1813">
        <v>309.92750000000001</v>
      </c>
      <c r="M1813">
        <v>9.4124340000000008E-3</v>
      </c>
      <c r="N1813">
        <v>-1.3898560000000001E-2</v>
      </c>
      <c r="O1813">
        <v>-0.99985930000000001</v>
      </c>
      <c r="P1813">
        <v>-7.8986559999999997E-2</v>
      </c>
      <c r="Q1813">
        <v>0.357151</v>
      </c>
      <c r="R1813">
        <v>-0.93070140000000001</v>
      </c>
      <c r="S1813">
        <v>-0.68197629999999998</v>
      </c>
      <c r="T1813">
        <v>-0.41781560000000001</v>
      </c>
      <c r="U1813">
        <v>-3.3265989999999999</v>
      </c>
      <c r="V1813">
        <v>8.8399099999999994E-2</v>
      </c>
      <c r="W1813">
        <v>0.36988490000000002</v>
      </c>
      <c r="X1813">
        <v>0.92486259999999998</v>
      </c>
      <c r="Y1813">
        <v>0.20866660000000001</v>
      </c>
      <c r="Z1813">
        <v>0.10817359999999999</v>
      </c>
      <c r="AA1813">
        <v>0.97198600000000002</v>
      </c>
      <c r="AB1813">
        <v>25</v>
      </c>
      <c r="AC1813">
        <v>-0.19299999999998299</v>
      </c>
      <c r="AD1813">
        <v>-0.11722819999999901</v>
      </c>
      <c r="AE1813">
        <v>-0.69119999999998005</v>
      </c>
      <c r="AF1813">
        <v>0.19431289789494899</v>
      </c>
      <c r="AG1813">
        <v>-0.11722819999999901</v>
      </c>
      <c r="AH1813">
        <v>0.67143597801794397</v>
      </c>
      <c r="AI1813">
        <v>99.520553155134607</v>
      </c>
      <c r="AJ1813">
        <v>73.859609758326798</v>
      </c>
      <c r="AK1813">
        <v>0.70874976242711096</v>
      </c>
      <c r="AL1813">
        <v>68.2914818419451</v>
      </c>
      <c r="AM1813">
        <v>84.540210003744406</v>
      </c>
      <c r="AN1813">
        <v>1.0000000345037801</v>
      </c>
    </row>
    <row r="1814" spans="1:40" x14ac:dyDescent="0.25">
      <c r="A1814" t="str">
        <f>"20190304164850820"</f>
        <v>20190304164850820</v>
      </c>
      <c r="B1814" t="str">
        <f>"1551689330817783"</f>
        <v>1551689330817783</v>
      </c>
      <c r="C1814" t="s">
        <v>40</v>
      </c>
      <c r="D1814">
        <v>4.5690350000000004</v>
      </c>
      <c r="E1814">
        <v>0.56544510000000003</v>
      </c>
      <c r="F1814" t="s">
        <v>41</v>
      </c>
      <c r="G1814">
        <v>-191.852</v>
      </c>
      <c r="H1814">
        <v>0.99504029999999999</v>
      </c>
      <c r="I1814">
        <v>309.00959999999998</v>
      </c>
      <c r="J1814">
        <v>-191.661</v>
      </c>
      <c r="K1814">
        <v>1.110193</v>
      </c>
      <c r="L1814">
        <v>309.66239999999999</v>
      </c>
      <c r="M1814">
        <v>8.193044E-3</v>
      </c>
      <c r="N1814">
        <v>-1.389809E-2</v>
      </c>
      <c r="O1814">
        <v>-0.99987009999999998</v>
      </c>
      <c r="P1814">
        <v>-8.12113E-2</v>
      </c>
      <c r="Q1814">
        <v>0.35583340000000002</v>
      </c>
      <c r="R1814">
        <v>-0.93101449999999997</v>
      </c>
      <c r="S1814">
        <v>-0.68688959999999999</v>
      </c>
      <c r="T1814">
        <v>-0.41768840000000002</v>
      </c>
      <c r="U1814">
        <v>-3.325348</v>
      </c>
      <c r="V1814">
        <v>8.9577459999999998E-2</v>
      </c>
      <c r="W1814">
        <v>0.36854959999999998</v>
      </c>
      <c r="X1814">
        <v>0.9252821</v>
      </c>
      <c r="Y1814">
        <v>0.2089241</v>
      </c>
      <c r="Z1814">
        <v>0.1081643</v>
      </c>
      <c r="AA1814">
        <v>0.97193169999999995</v>
      </c>
      <c r="AB1814">
        <v>25</v>
      </c>
      <c r="AC1814">
        <v>-0.19100000000003001</v>
      </c>
      <c r="AD1814">
        <v>-0.1151527</v>
      </c>
      <c r="AE1814">
        <v>-0.65280000000001304</v>
      </c>
      <c r="AF1814">
        <v>0.190871645350566</v>
      </c>
      <c r="AG1814">
        <v>-0.1151527</v>
      </c>
      <c r="AH1814">
        <v>0.63306769857590495</v>
      </c>
      <c r="AI1814">
        <v>99.879145985703303</v>
      </c>
      <c r="AJ1814">
        <v>73.221797073430096</v>
      </c>
      <c r="AK1814">
        <v>0.67116826526312701</v>
      </c>
      <c r="AL1814">
        <v>68.373803654274099</v>
      </c>
      <c r="AM1814">
        <v>84.470372125261406</v>
      </c>
      <c r="AN1814">
        <v>0.99999994679030901</v>
      </c>
    </row>
    <row r="1815" spans="1:40" x14ac:dyDescent="0.25">
      <c r="A1815" t="str">
        <f>"20190304164850841"</f>
        <v>20190304164850841</v>
      </c>
      <c r="B1815" t="str">
        <f>"1551689330837303"</f>
        <v>1551689330837303</v>
      </c>
      <c r="C1815" t="s">
        <v>40</v>
      </c>
      <c r="D1815">
        <v>4.5457589999999897</v>
      </c>
      <c r="E1815">
        <v>0.56517479999999998</v>
      </c>
      <c r="F1815" t="s">
        <v>41</v>
      </c>
      <c r="G1815">
        <v>-191.8442</v>
      </c>
      <c r="H1815">
        <v>0.9983957</v>
      </c>
      <c r="I1815">
        <v>308.78379999999999</v>
      </c>
      <c r="J1815">
        <v>-191.66040000000001</v>
      </c>
      <c r="K1815">
        <v>1.110106</v>
      </c>
      <c r="L1815">
        <v>309.43220000000002</v>
      </c>
      <c r="M1815">
        <v>7.0190529999999999E-3</v>
      </c>
      <c r="N1815">
        <v>-1.389775E-2</v>
      </c>
      <c r="O1815">
        <v>-0.99987879999999996</v>
      </c>
      <c r="P1815">
        <v>-8.4191349999999998E-2</v>
      </c>
      <c r="Q1815">
        <v>0.35490270000000002</v>
      </c>
      <c r="R1815">
        <v>-0.93110459999999995</v>
      </c>
      <c r="S1815">
        <v>-0.69277949999999999</v>
      </c>
      <c r="T1815">
        <v>-0.4229947</v>
      </c>
      <c r="U1815">
        <v>-3.3235779999999999</v>
      </c>
      <c r="V1815">
        <v>9.1536190000000003E-2</v>
      </c>
      <c r="W1815">
        <v>0.36759910000000001</v>
      </c>
      <c r="X1815">
        <v>0.92546859999999997</v>
      </c>
      <c r="Y1815">
        <v>0.20949209999999999</v>
      </c>
      <c r="Z1815">
        <v>0.1097303</v>
      </c>
      <c r="AA1815">
        <v>0.97163390000000005</v>
      </c>
      <c r="AB1815">
        <v>25</v>
      </c>
      <c r="AC1815">
        <v>-0.18379999999999</v>
      </c>
      <c r="AD1815">
        <v>-0.1117103</v>
      </c>
      <c r="AE1815">
        <v>-0.64840000000003695</v>
      </c>
      <c r="AF1815">
        <v>0.183310641848872</v>
      </c>
      <c r="AG1815">
        <v>-0.1117103</v>
      </c>
      <c r="AH1815">
        <v>0.62979043219132402</v>
      </c>
      <c r="AI1815">
        <v>99.665269945216195</v>
      </c>
      <c r="AJ1815">
        <v>73.771512862213598</v>
      </c>
      <c r="AK1815">
        <v>0.66537055166340997</v>
      </c>
      <c r="AL1815">
        <v>68.432377597792396</v>
      </c>
      <c r="AM1815">
        <v>84.351364626538</v>
      </c>
      <c r="AN1815">
        <v>1.0000000509932401</v>
      </c>
    </row>
    <row r="1816" spans="1:40" x14ac:dyDescent="0.25">
      <c r="A1816" t="str">
        <f>"20190304164850863"</f>
        <v>20190304164850863</v>
      </c>
      <c r="B1816" t="str">
        <f>"1551689330857799"</f>
        <v>1551689330857799</v>
      </c>
      <c r="C1816" t="s">
        <v>40</v>
      </c>
      <c r="D1816">
        <v>4.5895039999999998</v>
      </c>
      <c r="E1816">
        <v>0.56492219999999904</v>
      </c>
      <c r="F1816" t="s">
        <v>41</v>
      </c>
      <c r="G1816">
        <v>-191.84520000000001</v>
      </c>
      <c r="H1816">
        <v>0.99866319999999997</v>
      </c>
      <c r="I1816">
        <v>308.55790000000002</v>
      </c>
      <c r="J1816">
        <v>-191.6602</v>
      </c>
      <c r="K1816">
        <v>1.110012</v>
      </c>
      <c r="L1816">
        <v>309.17610000000002</v>
      </c>
      <c r="M1816">
        <v>5.5658790000000001E-3</v>
      </c>
      <c r="N1816">
        <v>-1.389759E-2</v>
      </c>
      <c r="O1816">
        <v>-0.99988809999999995</v>
      </c>
      <c r="P1816">
        <v>-8.7702329999999995E-2</v>
      </c>
      <c r="Q1816">
        <v>0.3548501</v>
      </c>
      <c r="R1816">
        <v>-0.93080079999999998</v>
      </c>
      <c r="S1816">
        <v>-0.7010345</v>
      </c>
      <c r="T1816">
        <v>-0.42325030000000002</v>
      </c>
      <c r="U1816">
        <v>-3.3199160000000001</v>
      </c>
      <c r="V1816">
        <v>9.3774010000000005E-2</v>
      </c>
      <c r="W1816">
        <v>0.36751840000000002</v>
      </c>
      <c r="X1816">
        <v>0.92527649999999995</v>
      </c>
      <c r="Y1816">
        <v>0.21059449999999999</v>
      </c>
      <c r="Z1816">
        <v>0.1098938</v>
      </c>
      <c r="AA1816">
        <v>0.97137700000000005</v>
      </c>
      <c r="AB1816">
        <v>25</v>
      </c>
      <c r="AC1816">
        <v>-0.185000000000002</v>
      </c>
      <c r="AD1816">
        <v>-0.1113488</v>
      </c>
      <c r="AE1816">
        <v>-0.61820000000000097</v>
      </c>
      <c r="AF1816">
        <v>0.182989619131225</v>
      </c>
      <c r="AG1816">
        <v>-0.1113488</v>
      </c>
      <c r="AH1816">
        <v>0.59931550235226905</v>
      </c>
      <c r="AI1816">
        <v>100.07599221940799</v>
      </c>
      <c r="AJ1816">
        <v>73.0209433465578</v>
      </c>
      <c r="AK1816">
        <v>0.63644546296676796</v>
      </c>
      <c r="AL1816">
        <v>68.437347565507395</v>
      </c>
      <c r="AM1816">
        <v>84.213003045697803</v>
      </c>
      <c r="AN1816">
        <v>0.99999997037114396</v>
      </c>
    </row>
    <row r="1817" spans="1:40" x14ac:dyDescent="0.25">
      <c r="A1817" t="str">
        <f>"20190304164850886"</f>
        <v>20190304164850886</v>
      </c>
      <c r="B1817" t="str">
        <f>"1551689330877319"</f>
        <v>1551689330877319</v>
      </c>
      <c r="C1817" t="s">
        <v>40</v>
      </c>
      <c r="D1817">
        <v>4.5920110000000003</v>
      </c>
      <c r="E1817">
        <v>0.56469969999999903</v>
      </c>
      <c r="F1817" t="s">
        <v>41</v>
      </c>
      <c r="G1817">
        <v>-191.8409</v>
      </c>
      <c r="H1817">
        <v>1.0023580000000001</v>
      </c>
      <c r="I1817">
        <v>308.3313</v>
      </c>
      <c r="J1817">
        <v>-191.66050000000001</v>
      </c>
      <c r="K1817">
        <v>1.1099239999999999</v>
      </c>
      <c r="L1817">
        <v>308.9255</v>
      </c>
      <c r="M1817">
        <v>3.9915530000000001E-3</v>
      </c>
      <c r="N1817">
        <v>-1.3897799999999899E-2</v>
      </c>
      <c r="O1817">
        <v>-0.99989530000000004</v>
      </c>
      <c r="P1817">
        <v>-9.1941889999999998E-2</v>
      </c>
      <c r="Q1817">
        <v>0.3552922</v>
      </c>
      <c r="R1817">
        <v>-0.93022269999999896</v>
      </c>
      <c r="S1817">
        <v>-0.70993039999999996</v>
      </c>
      <c r="T1817">
        <v>-0.42272110000000002</v>
      </c>
      <c r="U1817">
        <v>-3.317291</v>
      </c>
      <c r="V1817">
        <v>9.6632800000000005E-2</v>
      </c>
      <c r="W1817">
        <v>0.367925</v>
      </c>
      <c r="X1817">
        <v>0.92482070000000005</v>
      </c>
      <c r="Y1817">
        <v>0.2117048</v>
      </c>
      <c r="Z1817">
        <v>0.1097904</v>
      </c>
      <c r="AA1817">
        <v>0.97114739999999999</v>
      </c>
      <c r="AB1817">
        <v>25</v>
      </c>
      <c r="AC1817">
        <v>-0.18039999999999101</v>
      </c>
      <c r="AD1817">
        <v>-0.107565999999999</v>
      </c>
      <c r="AE1817">
        <v>-0.59419999999999995</v>
      </c>
      <c r="AF1817">
        <v>0.17744630463861499</v>
      </c>
      <c r="AG1817">
        <v>-0.107565999999999</v>
      </c>
      <c r="AH1817">
        <v>0.57618666530193297</v>
      </c>
      <c r="AI1817">
        <v>100.116086794164</v>
      </c>
      <c r="AJ1817">
        <v>72.882910431102701</v>
      </c>
      <c r="AK1817">
        <v>0.61241220485687697</v>
      </c>
      <c r="AL1817">
        <v>68.412296896995997</v>
      </c>
      <c r="AM1817">
        <v>84.034915879212207</v>
      </c>
      <c r="AN1817">
        <v>1.00000001540466</v>
      </c>
    </row>
    <row r="1818" spans="1:40" x14ac:dyDescent="0.25">
      <c r="A1818" t="str">
        <f>"20190304164850908"</f>
        <v>20190304164850908</v>
      </c>
      <c r="B1818" t="str">
        <f>"1551689330897814"</f>
        <v>1551689330897814</v>
      </c>
      <c r="C1818" t="s">
        <v>40</v>
      </c>
      <c r="D1818">
        <v>4.5685310000000001</v>
      </c>
      <c r="E1818">
        <v>0.56447559999999997</v>
      </c>
      <c r="F1818" t="s">
        <v>41</v>
      </c>
      <c r="G1818">
        <v>-191.83940000000001</v>
      </c>
      <c r="H1818">
        <v>1.005398</v>
      </c>
      <c r="I1818">
        <v>308.10449999999997</v>
      </c>
      <c r="J1818">
        <v>-191.66139999999999</v>
      </c>
      <c r="K1818">
        <v>1.1098209999999999</v>
      </c>
      <c r="L1818">
        <v>308.67340000000002</v>
      </c>
      <c r="M1818">
        <v>2.2552599999999998E-3</v>
      </c>
      <c r="N1818">
        <v>-1.389843E-2</v>
      </c>
      <c r="O1818">
        <v>-0.99990080000000003</v>
      </c>
      <c r="P1818">
        <v>-9.5857040000000004E-2</v>
      </c>
      <c r="Q1818">
        <v>0.35551830000000001</v>
      </c>
      <c r="R1818">
        <v>-0.92974100000000004</v>
      </c>
      <c r="S1818">
        <v>-0.72164919999999899</v>
      </c>
      <c r="T1818">
        <v>-0.42212080000000002</v>
      </c>
      <c r="U1818">
        <v>-3.3149410000000001</v>
      </c>
      <c r="V1818">
        <v>9.9026260000000005E-2</v>
      </c>
      <c r="W1818">
        <v>0.3681161</v>
      </c>
      <c r="X1818">
        <v>0.92449139999999996</v>
      </c>
      <c r="Y1818">
        <v>0.21343129999999999</v>
      </c>
      <c r="Z1818">
        <v>0.10963630000000001</v>
      </c>
      <c r="AA1818">
        <v>0.97078679999999995</v>
      </c>
      <c r="AB1818">
        <v>25</v>
      </c>
      <c r="AC1818">
        <v>-0.178000000000025</v>
      </c>
      <c r="AD1818">
        <v>-0.104422999999999</v>
      </c>
      <c r="AE1818">
        <v>-0.56890000000004104</v>
      </c>
      <c r="AF1818">
        <v>0.173944789086587</v>
      </c>
      <c r="AG1818">
        <v>-0.104422999999999</v>
      </c>
      <c r="AH1818">
        <v>0.55157084621139096</v>
      </c>
      <c r="AI1818">
        <v>100.234700487943</v>
      </c>
      <c r="AJ1818">
        <v>72.496677109307399</v>
      </c>
      <c r="AK1818">
        <v>0.58770005187146901</v>
      </c>
      <c r="AL1818">
        <v>68.400521015563697</v>
      </c>
      <c r="AM1818">
        <v>83.886113408827001</v>
      </c>
      <c r="AN1818">
        <v>1.0000000059613701</v>
      </c>
    </row>
    <row r="1819" spans="1:40" x14ac:dyDescent="0.25">
      <c r="A1819" t="str">
        <f>"20190304164850930"</f>
        <v>20190304164850930</v>
      </c>
      <c r="B1819" t="str">
        <f>"1551689330917335"</f>
        <v>1551689330917335</v>
      </c>
      <c r="C1819" t="s">
        <v>40</v>
      </c>
      <c r="D1819">
        <v>4.6829609999999997</v>
      </c>
      <c r="E1819">
        <v>0.56455749999999905</v>
      </c>
      <c r="F1819" t="s">
        <v>41</v>
      </c>
      <c r="G1819">
        <v>-191.8374</v>
      </c>
      <c r="H1819">
        <v>1.0086919999999999</v>
      </c>
      <c r="I1819">
        <v>307.87810000000002</v>
      </c>
      <c r="J1819">
        <v>-191.6628</v>
      </c>
      <c r="K1819">
        <v>1.1097170000000001</v>
      </c>
      <c r="L1819">
        <v>308.43360000000001</v>
      </c>
      <c r="M1819">
        <v>4.6080330000000002E-4</v>
      </c>
      <c r="N1819">
        <v>-1.389956E-2</v>
      </c>
      <c r="O1819">
        <v>-0.99990319999999999</v>
      </c>
      <c r="P1819">
        <v>-9.994799E-2</v>
      </c>
      <c r="Q1819">
        <v>0.35489700000000002</v>
      </c>
      <c r="R1819">
        <v>-0.92954749999999997</v>
      </c>
      <c r="S1819">
        <v>-0.73295589999999999</v>
      </c>
      <c r="T1819">
        <v>-0.42123959999999999</v>
      </c>
      <c r="U1819">
        <v>-3.312195</v>
      </c>
      <c r="V1819">
        <v>0.10154100000000001</v>
      </c>
      <c r="W1819">
        <v>0.36746250000000003</v>
      </c>
      <c r="X1819">
        <v>0.92447860000000004</v>
      </c>
      <c r="Y1819">
        <v>0.21501120000000001</v>
      </c>
      <c r="Z1819">
        <v>0.1094171</v>
      </c>
      <c r="AA1819">
        <v>0.97046279999999996</v>
      </c>
      <c r="AB1819">
        <v>25</v>
      </c>
      <c r="AC1819">
        <v>-0.17459999999999801</v>
      </c>
      <c r="AD1819">
        <v>-0.101025</v>
      </c>
      <c r="AE1819">
        <v>-0.555499999999995</v>
      </c>
      <c r="AF1819">
        <v>0.16974652115269001</v>
      </c>
      <c r="AG1819">
        <v>-0.101025</v>
      </c>
      <c r="AH1819">
        <v>0.53918958149461405</v>
      </c>
      <c r="AI1819">
        <v>100.13277405551599</v>
      </c>
      <c r="AJ1819">
        <v>72.525065939622394</v>
      </c>
      <c r="AK1819">
        <v>0.57423456606231704</v>
      </c>
      <c r="AL1819">
        <v>68.440791425392106</v>
      </c>
      <c r="AM1819">
        <v>83.731987774769394</v>
      </c>
      <c r="AN1819">
        <v>0.99999997272260399</v>
      </c>
    </row>
    <row r="1820" spans="1:40" x14ac:dyDescent="0.25">
      <c r="A1820" t="str">
        <f>"20190304164850954"</f>
        <v>20190304164850954</v>
      </c>
      <c r="B1820" t="str">
        <f>"1551689330947591"</f>
        <v>1551689330947591</v>
      </c>
      <c r="C1820" t="s">
        <v>40</v>
      </c>
      <c r="D1820">
        <v>4.7021449999999998</v>
      </c>
      <c r="E1820">
        <v>0.56515839999999995</v>
      </c>
      <c r="F1820" t="s">
        <v>41</v>
      </c>
      <c r="G1820">
        <v>-191.83920000000001</v>
      </c>
      <c r="H1820">
        <v>1.009436</v>
      </c>
      <c r="I1820">
        <v>307.65309999999999</v>
      </c>
      <c r="J1820">
        <v>-191.6651</v>
      </c>
      <c r="K1820">
        <v>1.1095980000000001</v>
      </c>
      <c r="L1820">
        <v>308.16160000000002</v>
      </c>
      <c r="M1820">
        <v>-1.741996E-3</v>
      </c>
      <c r="N1820">
        <v>-1.390095E-2</v>
      </c>
      <c r="O1820">
        <v>-0.99990199999999996</v>
      </c>
      <c r="P1820">
        <v>-0.1045755</v>
      </c>
      <c r="Q1820">
        <v>0.35543079999999999</v>
      </c>
      <c r="R1820">
        <v>-0.92883459999999995</v>
      </c>
      <c r="S1820">
        <v>-0.74749759999999998</v>
      </c>
      <c r="T1820">
        <v>-0.42529929999999999</v>
      </c>
      <c r="U1820">
        <v>-3.3093569999999999</v>
      </c>
      <c r="V1820">
        <v>0.104231</v>
      </c>
      <c r="W1820">
        <v>0.3679521</v>
      </c>
      <c r="X1820">
        <v>0.92398440000000004</v>
      </c>
      <c r="Y1820">
        <v>0.21706410000000001</v>
      </c>
      <c r="Z1820">
        <v>0.1106057</v>
      </c>
      <c r="AA1820">
        <v>0.96987089999999998</v>
      </c>
      <c r="AB1820">
        <v>25</v>
      </c>
      <c r="AC1820">
        <v>-0.174100000000009</v>
      </c>
      <c r="AD1820">
        <v>-0.100161999999999</v>
      </c>
      <c r="AE1820">
        <v>-0.50850000000002604</v>
      </c>
      <c r="AF1820">
        <v>0.16740031206974701</v>
      </c>
      <c r="AG1820">
        <v>-0.100161999999999</v>
      </c>
      <c r="AH1820">
        <v>0.49172572580054402</v>
      </c>
      <c r="AI1820">
        <v>100.914228217358</v>
      </c>
      <c r="AJ1820">
        <v>71.199663721405301</v>
      </c>
      <c r="AK1820">
        <v>0.52900801519364504</v>
      </c>
      <c r="AL1820">
        <v>68.410626926577805</v>
      </c>
      <c r="AM1820">
        <v>83.563899507020594</v>
      </c>
      <c r="AN1820">
        <v>1.00000001034938</v>
      </c>
    </row>
    <row r="1821" spans="1:40" x14ac:dyDescent="0.25">
      <c r="A1821" t="str">
        <f>"20190304164850976"</f>
        <v>20190304164850976</v>
      </c>
      <c r="B1821" t="str">
        <f>"1551689330968087"</f>
        <v>1551689330968087</v>
      </c>
      <c r="C1821" t="s">
        <v>40</v>
      </c>
      <c r="D1821">
        <v>4.675897</v>
      </c>
      <c r="E1821">
        <v>0.56556669999999998</v>
      </c>
      <c r="F1821" t="s">
        <v>41</v>
      </c>
      <c r="G1821">
        <v>-191.8357</v>
      </c>
      <c r="H1821">
        <v>1.014721</v>
      </c>
      <c r="I1821">
        <v>307.42669999999998</v>
      </c>
      <c r="J1821">
        <v>-191.6679</v>
      </c>
      <c r="K1821">
        <v>1.1094949999999999</v>
      </c>
      <c r="L1821">
        <v>307.91570000000002</v>
      </c>
      <c r="M1821">
        <v>-3.8987480000000001E-3</v>
      </c>
      <c r="N1821">
        <v>-1.390244E-2</v>
      </c>
      <c r="O1821">
        <v>-0.99989570000000005</v>
      </c>
      <c r="P1821">
        <v>-0.1090333</v>
      </c>
      <c r="Q1821">
        <v>0.3547264</v>
      </c>
      <c r="R1821">
        <v>-0.92859069999999999</v>
      </c>
      <c r="S1821">
        <v>-0.76658630000000005</v>
      </c>
      <c r="T1821">
        <v>-0.4269925</v>
      </c>
      <c r="U1821">
        <v>-3.306915</v>
      </c>
      <c r="V1821">
        <v>0.10677730000000001</v>
      </c>
      <c r="W1821">
        <v>0.36721330000000002</v>
      </c>
      <c r="X1821">
        <v>0.92398760000000002</v>
      </c>
      <c r="Y1821">
        <v>0.22041620000000001</v>
      </c>
      <c r="Z1821">
        <v>0.1110577</v>
      </c>
      <c r="AA1821">
        <v>0.96906289999999995</v>
      </c>
      <c r="AB1821">
        <v>25</v>
      </c>
      <c r="AC1821">
        <v>-0.16779999999999901</v>
      </c>
      <c r="AD1821">
        <v>-9.4774000000000094E-2</v>
      </c>
      <c r="AE1821">
        <v>-0.48900000000003202</v>
      </c>
      <c r="AF1821">
        <v>0.16049836119951499</v>
      </c>
      <c r="AG1821">
        <v>-9.4774000000000094E-2</v>
      </c>
      <c r="AH1821">
        <v>0.47373042111404201</v>
      </c>
      <c r="AI1821">
        <v>100.729192598</v>
      </c>
      <c r="AJ1821">
        <v>71.283783089404693</v>
      </c>
      <c r="AK1821">
        <v>0.509079902287075</v>
      </c>
      <c r="AL1821">
        <v>68.456144357301994</v>
      </c>
      <c r="AM1821">
        <v>83.4080596547889</v>
      </c>
      <c r="AN1821">
        <v>1.00000004222296</v>
      </c>
    </row>
    <row r="1822" spans="1:40" x14ac:dyDescent="0.25">
      <c r="A1822" t="str">
        <f>"20190304164850998"</f>
        <v>20190304164850998</v>
      </c>
      <c r="B1822" t="str">
        <f>"1551689330987610"</f>
        <v>1551689330987610</v>
      </c>
      <c r="C1822" t="s">
        <v>40</v>
      </c>
      <c r="D1822">
        <v>4.63368</v>
      </c>
      <c r="E1822">
        <v>0.56594500000000003</v>
      </c>
      <c r="F1822" t="s">
        <v>45</v>
      </c>
      <c r="G1822">
        <v>-193.6798</v>
      </c>
      <c r="H1822" s="1">
        <v>3.4000900000000002E-8</v>
      </c>
      <c r="I1822">
        <v>299.42329999999998</v>
      </c>
      <c r="J1822">
        <v>-191.67150000000001</v>
      </c>
      <c r="K1822">
        <v>1.109394</v>
      </c>
      <c r="L1822">
        <v>307.66669999999999</v>
      </c>
      <c r="M1822">
        <v>-6.2454969999999896E-3</v>
      </c>
      <c r="N1822">
        <v>-1.390431E-2</v>
      </c>
      <c r="O1822">
        <v>-0.9998842</v>
      </c>
      <c r="P1822">
        <v>-0.11362029999999999</v>
      </c>
      <c r="Q1822">
        <v>0.35437839999999998</v>
      </c>
      <c r="R1822">
        <v>-0.92817400000000005</v>
      </c>
      <c r="S1822">
        <v>-0.78263850000000001</v>
      </c>
      <c r="T1822">
        <v>-0.43160690000000002</v>
      </c>
      <c r="U1822">
        <v>-3.3036500000000002</v>
      </c>
      <c r="V1822">
        <v>0.1092752</v>
      </c>
      <c r="W1822">
        <v>0.36682920000000002</v>
      </c>
      <c r="X1822">
        <v>0.92384809999999995</v>
      </c>
      <c r="Y1822">
        <v>0.22276190000000001</v>
      </c>
      <c r="Z1822">
        <v>0.1124049</v>
      </c>
      <c r="AA1822">
        <v>0.96837090000000003</v>
      </c>
      <c r="AB1822">
        <v>25</v>
      </c>
      <c r="AC1822">
        <v>-2.00829999999999</v>
      </c>
      <c r="AD1822">
        <v>-1.1093939659990999</v>
      </c>
      <c r="AE1822">
        <v>-8.2433999999999994</v>
      </c>
      <c r="AF1822">
        <v>1.92387931211607</v>
      </c>
      <c r="AG1822">
        <v>-1.1093939659990999</v>
      </c>
      <c r="AH1822">
        <v>8.1170073545534596</v>
      </c>
      <c r="AI1822">
        <v>97.575355623708106</v>
      </c>
      <c r="AJ1822">
        <v>76.665909919809096</v>
      </c>
      <c r="AK1822">
        <v>8.4153357017565504</v>
      </c>
      <c r="AL1822">
        <v>68.479802256004902</v>
      </c>
      <c r="AM1822">
        <v>83.254246399911693</v>
      </c>
      <c r="AN1822">
        <v>1.0000000215906399</v>
      </c>
    </row>
    <row r="1823" spans="1:40" x14ac:dyDescent="0.25">
      <c r="A1823" t="str">
        <f>"20190304164851019"</f>
        <v>20190304164851019</v>
      </c>
      <c r="B1823" t="str">
        <f>"1551689331008107"</f>
        <v>1551689331008107</v>
      </c>
      <c r="C1823" t="s">
        <v>40</v>
      </c>
      <c r="D1823">
        <v>4.6515529999999998</v>
      </c>
      <c r="E1823">
        <v>0.5662779</v>
      </c>
      <c r="F1823" t="s">
        <v>45</v>
      </c>
      <c r="G1823">
        <v>-193.71299999999999</v>
      </c>
      <c r="H1823" s="1">
        <v>6.4968449999999994E-8</v>
      </c>
      <c r="I1823">
        <v>299.24740000000003</v>
      </c>
      <c r="J1823">
        <v>-191.6756</v>
      </c>
      <c r="K1823">
        <v>1.1093109999999999</v>
      </c>
      <c r="L1823">
        <v>307.42919999999998</v>
      </c>
      <c r="M1823">
        <v>-8.5980599999999994E-3</v>
      </c>
      <c r="N1823">
        <v>-1.3906129999999999E-2</v>
      </c>
      <c r="O1823">
        <v>-0.99986629999999999</v>
      </c>
      <c r="P1823">
        <v>-0.11801639999999999</v>
      </c>
      <c r="Q1823">
        <v>0.35492410000000002</v>
      </c>
      <c r="R1823">
        <v>-0.92741640000000003</v>
      </c>
      <c r="S1823">
        <v>-0.80024719999999905</v>
      </c>
      <c r="T1823">
        <v>-0.43486550000000002</v>
      </c>
      <c r="U1823">
        <v>-3.3002319999999998</v>
      </c>
      <c r="V1823">
        <v>0.1115674</v>
      </c>
      <c r="W1823">
        <v>0.36733919999999998</v>
      </c>
      <c r="X1823">
        <v>0.92337130000000001</v>
      </c>
      <c r="Y1823">
        <v>0.22554950000000001</v>
      </c>
      <c r="Z1823">
        <v>0.1133507</v>
      </c>
      <c r="AA1823">
        <v>0.96761509999999995</v>
      </c>
      <c r="AB1823">
        <v>25</v>
      </c>
      <c r="AC1823">
        <v>-2.0373999999999901</v>
      </c>
      <c r="AD1823">
        <v>-1.10931093503155</v>
      </c>
      <c r="AE1823">
        <v>-8.1817999999999493</v>
      </c>
      <c r="AF1823">
        <v>1.9335025963578201</v>
      </c>
      <c r="AG1823">
        <v>-1.10931093503155</v>
      </c>
      <c r="AH1823">
        <v>8.0595120082723195</v>
      </c>
      <c r="AI1823">
        <v>97.623293290832805</v>
      </c>
      <c r="AJ1823">
        <v>76.509511841171602</v>
      </c>
      <c r="AK1823">
        <v>8.3621012223118196</v>
      </c>
      <c r="AL1823">
        <v>68.448387053216393</v>
      </c>
      <c r="AM1823">
        <v>83.110568147085303</v>
      </c>
      <c r="AN1823">
        <v>0.99999996513154399</v>
      </c>
    </row>
    <row r="1824" spans="1:40" x14ac:dyDescent="0.25">
      <c r="A1824" t="str">
        <f>"20190304164851042"</f>
        <v>20190304164851042</v>
      </c>
      <c r="B1824" t="str">
        <f>"1551689331038359"</f>
        <v>1551689331038359</v>
      </c>
      <c r="C1824" t="s">
        <v>40</v>
      </c>
      <c r="D1824">
        <v>4.6961389999999996</v>
      </c>
      <c r="E1824">
        <v>0.56674290000000005</v>
      </c>
      <c r="F1824" t="s">
        <v>45</v>
      </c>
      <c r="G1824">
        <v>-193.75800000000001</v>
      </c>
      <c r="H1824" s="1">
        <v>1.039199E-7</v>
      </c>
      <c r="I1824">
        <v>299.02629999999999</v>
      </c>
      <c r="J1824">
        <v>-191.6806</v>
      </c>
      <c r="K1824">
        <v>1.1092470000000001</v>
      </c>
      <c r="L1824">
        <v>307.18</v>
      </c>
      <c r="M1824">
        <v>-1.117874E-2</v>
      </c>
      <c r="N1824">
        <v>-1.390772E-2</v>
      </c>
      <c r="O1824">
        <v>-0.99984099999999998</v>
      </c>
      <c r="P1824">
        <v>-0.1232367</v>
      </c>
      <c r="Q1824">
        <v>0.3551337</v>
      </c>
      <c r="R1824">
        <v>-0.92665699999999995</v>
      </c>
      <c r="S1824">
        <v>-0.81715389999999999</v>
      </c>
      <c r="T1824">
        <v>-0.43530010000000002</v>
      </c>
      <c r="U1824">
        <v>-3.2973629999999998</v>
      </c>
      <c r="V1824">
        <v>0.1144657</v>
      </c>
      <c r="W1824">
        <v>0.36751220000000001</v>
      </c>
      <c r="X1824">
        <v>0.92294759999999998</v>
      </c>
      <c r="Y1824">
        <v>0.2279023</v>
      </c>
      <c r="Z1824">
        <v>0.1134694</v>
      </c>
      <c r="AA1824">
        <v>0.96704979999999996</v>
      </c>
      <c r="AB1824">
        <v>25</v>
      </c>
      <c r="AC1824">
        <v>-2.0773999999999799</v>
      </c>
      <c r="AD1824">
        <v>-1.1092468960801001</v>
      </c>
      <c r="AE1824">
        <v>-8.1537000000000095</v>
      </c>
      <c r="AF1824">
        <v>1.9521856118391701</v>
      </c>
      <c r="AG1824">
        <v>-1.1092468960801001</v>
      </c>
      <c r="AH1824">
        <v>8.0367422236558603</v>
      </c>
      <c r="AI1824">
        <v>97.639025331815503</v>
      </c>
      <c r="AJ1824">
        <v>76.346851961503305</v>
      </c>
      <c r="AK1824">
        <v>8.3445001593281898</v>
      </c>
      <c r="AL1824">
        <v>68.437728910158995</v>
      </c>
      <c r="AM1824">
        <v>82.930170024199796</v>
      </c>
      <c r="AN1824">
        <v>0.99999994298554296</v>
      </c>
    </row>
    <row r="1825" spans="1:40" x14ac:dyDescent="0.25">
      <c r="A1825" t="str">
        <f>"20190304164851064"</f>
        <v>20190304164851064</v>
      </c>
      <c r="B1825" t="str">
        <f>"1551689331057879"</f>
        <v>1551689331057879</v>
      </c>
      <c r="C1825" t="s">
        <v>40</v>
      </c>
      <c r="D1825">
        <v>4.6760029999999997</v>
      </c>
      <c r="E1825">
        <v>0.56702129999999995</v>
      </c>
      <c r="F1825" t="s">
        <v>45</v>
      </c>
      <c r="G1825">
        <v>-193.797</v>
      </c>
      <c r="H1825" s="1">
        <v>1.3725029999999999E-7</v>
      </c>
      <c r="I1825">
        <v>298.83699999999999</v>
      </c>
      <c r="J1825">
        <v>-191.6866</v>
      </c>
      <c r="K1825">
        <v>1.109183</v>
      </c>
      <c r="L1825">
        <v>306.92590000000001</v>
      </c>
      <c r="M1825">
        <v>-1.3927439999999999E-2</v>
      </c>
      <c r="N1825">
        <v>-1.390899E-2</v>
      </c>
      <c r="O1825">
        <v>-0.99980630000000004</v>
      </c>
      <c r="P1825">
        <v>-0.1277517</v>
      </c>
      <c r="Q1825">
        <v>0.35605360000000003</v>
      </c>
      <c r="R1825">
        <v>-0.92569170000000001</v>
      </c>
      <c r="S1825">
        <v>-0.8356171</v>
      </c>
      <c r="T1825">
        <v>-0.43797150000000001</v>
      </c>
      <c r="U1825">
        <v>-3.2941280000000002</v>
      </c>
      <c r="V1825">
        <v>0.116507399999999</v>
      </c>
      <c r="W1825">
        <v>0.36839680000000002</v>
      </c>
      <c r="X1825">
        <v>0.92233929999999997</v>
      </c>
      <c r="Y1825">
        <v>0.2305217</v>
      </c>
      <c r="Z1825">
        <v>0.114231399999999</v>
      </c>
      <c r="AA1825">
        <v>0.9663389</v>
      </c>
      <c r="AB1825">
        <v>25</v>
      </c>
      <c r="AC1825">
        <v>-2.1103999999999901</v>
      </c>
      <c r="AD1825">
        <v>-1.1091828627497</v>
      </c>
      <c r="AE1825">
        <v>-8.0889000000000202</v>
      </c>
      <c r="AF1825">
        <v>1.96296927173917</v>
      </c>
      <c r="AG1825">
        <v>-1.1091828627497</v>
      </c>
      <c r="AH1825">
        <v>7.9770767722188598</v>
      </c>
      <c r="AI1825">
        <v>97.689485331692396</v>
      </c>
      <c r="AJ1825">
        <v>76.1755401334906</v>
      </c>
      <c r="AK1825">
        <v>8.2895891825037697</v>
      </c>
      <c r="AL1825">
        <v>68.383221838423395</v>
      </c>
      <c r="AM1825">
        <v>82.800681789197299</v>
      </c>
      <c r="AN1825">
        <v>0.99999998041474403</v>
      </c>
    </row>
    <row r="1826" spans="1:40" x14ac:dyDescent="0.25">
      <c r="A1826" t="str">
        <f>"20190304164851088"</f>
        <v>20190304164851088</v>
      </c>
      <c r="B1826" t="str">
        <f>"1551689331077399"</f>
        <v>1551689331077399</v>
      </c>
      <c r="C1826" t="s">
        <v>40</v>
      </c>
      <c r="D1826">
        <v>4.6967179999999997</v>
      </c>
      <c r="E1826">
        <v>0.56733669999999903</v>
      </c>
      <c r="F1826" t="s">
        <v>45</v>
      </c>
      <c r="G1826">
        <v>-193.85140000000001</v>
      </c>
      <c r="H1826" s="1">
        <v>1.854826E-7</v>
      </c>
      <c r="I1826">
        <v>298.56310000000002</v>
      </c>
      <c r="J1826">
        <v>-191.6936</v>
      </c>
      <c r="K1826">
        <v>1.109103</v>
      </c>
      <c r="L1826">
        <v>306.66199999999998</v>
      </c>
      <c r="M1826">
        <v>-1.6902199999999999E-2</v>
      </c>
      <c r="N1826">
        <v>-1.3910820000000001E-2</v>
      </c>
      <c r="O1826">
        <v>-0.9997606</v>
      </c>
      <c r="P1826">
        <v>-0.1329081</v>
      </c>
      <c r="Q1826">
        <v>0.35655009999999998</v>
      </c>
      <c r="R1826">
        <v>-0.92477430000000005</v>
      </c>
      <c r="S1826">
        <v>-0.85195919999999903</v>
      </c>
      <c r="T1826">
        <v>-0.43651509999999999</v>
      </c>
      <c r="U1826">
        <v>-3.2911380000000001</v>
      </c>
      <c r="V1826">
        <v>0.1189857</v>
      </c>
      <c r="W1826">
        <v>0.36885600000000002</v>
      </c>
      <c r="X1826">
        <v>0.92183930000000003</v>
      </c>
      <c r="Y1826">
        <v>0.2323501</v>
      </c>
      <c r="Z1826">
        <v>0.1138136</v>
      </c>
      <c r="AA1826">
        <v>0.96595030000000004</v>
      </c>
      <c r="AB1826">
        <v>25</v>
      </c>
      <c r="AC1826">
        <v>-2.1577999999999999</v>
      </c>
      <c r="AD1826">
        <v>-1.1091028145174</v>
      </c>
      <c r="AE1826">
        <v>-8.0989000000000093</v>
      </c>
      <c r="AF1826">
        <v>1.98581587206455</v>
      </c>
      <c r="AG1826">
        <v>-1.1091028145174</v>
      </c>
      <c r="AH1826">
        <v>7.9942319030292701</v>
      </c>
      <c r="AI1826">
        <v>97.668519453018604</v>
      </c>
      <c r="AJ1826">
        <v>76.049741130576905</v>
      </c>
      <c r="AK1826">
        <v>8.3115171569530499</v>
      </c>
      <c r="AL1826">
        <v>68.354919328398196</v>
      </c>
      <c r="AM1826">
        <v>82.645255088202205</v>
      </c>
      <c r="AN1826">
        <v>1.0000000202824899</v>
      </c>
    </row>
    <row r="1827" spans="1:40" x14ac:dyDescent="0.25">
      <c r="A1827" t="str">
        <f>"20190304164851108"</f>
        <v>20190304164851108</v>
      </c>
      <c r="B1827" t="str">
        <f>"1551689331097898"</f>
        <v>1551689331097898</v>
      </c>
      <c r="C1827" t="s">
        <v>40</v>
      </c>
      <c r="D1827">
        <v>4.691783</v>
      </c>
      <c r="E1827">
        <v>0.56771549999999904</v>
      </c>
      <c r="F1827" t="s">
        <v>41</v>
      </c>
      <c r="G1827">
        <v>-191.90710000000001</v>
      </c>
      <c r="H1827">
        <v>1.0021929999999999</v>
      </c>
      <c r="I1827">
        <v>305.85640000000001</v>
      </c>
      <c r="J1827">
        <v>-191.70050000000001</v>
      </c>
      <c r="K1827">
        <v>1.1090329999999999</v>
      </c>
      <c r="L1827">
        <v>306.42849999999999</v>
      </c>
      <c r="M1827">
        <v>-1.9641680000000002E-2</v>
      </c>
      <c r="N1827">
        <v>-1.391278E-2</v>
      </c>
      <c r="O1827">
        <v>-0.9997104</v>
      </c>
      <c r="P1827">
        <v>-0.1374097</v>
      </c>
      <c r="Q1827">
        <v>0.35665819999999998</v>
      </c>
      <c r="R1827">
        <v>-0.92407479999999997</v>
      </c>
      <c r="S1827">
        <v>-0.87040709999999999</v>
      </c>
      <c r="T1827">
        <v>-0.43618420000000002</v>
      </c>
      <c r="U1827">
        <v>-3.2871090000000001</v>
      </c>
      <c r="V1827">
        <v>0.121022</v>
      </c>
      <c r="W1827">
        <v>0.36893219999999999</v>
      </c>
      <c r="X1827">
        <v>0.92154369999999997</v>
      </c>
      <c r="Y1827">
        <v>0.23504530000000001</v>
      </c>
      <c r="Z1827">
        <v>0.11373170000000001</v>
      </c>
      <c r="AA1827">
        <v>0.96530769999999999</v>
      </c>
      <c r="AB1827">
        <v>25</v>
      </c>
      <c r="AC1827">
        <v>-0.206600000000008</v>
      </c>
      <c r="AD1827">
        <v>-0.10683999999999901</v>
      </c>
      <c r="AE1827">
        <v>-0.57209999999997696</v>
      </c>
      <c r="AF1827">
        <v>0.189476270250552</v>
      </c>
      <c r="AG1827">
        <v>-0.10683999999999901</v>
      </c>
      <c r="AH1827">
        <v>0.55880749198101798</v>
      </c>
      <c r="AI1827">
        <v>100.263195497495</v>
      </c>
      <c r="AJ1827">
        <v>71.269613884789194</v>
      </c>
      <c r="AK1827">
        <v>0.599651445159749</v>
      </c>
      <c r="AL1827">
        <v>68.350222591800602</v>
      </c>
      <c r="AM1827">
        <v>82.5184286006766</v>
      </c>
      <c r="AN1827">
        <v>1.0000000418452599</v>
      </c>
    </row>
    <row r="1828" spans="1:40" x14ac:dyDescent="0.25">
      <c r="A1828" t="str">
        <f>"20190304164851131"</f>
        <v>20190304164851131</v>
      </c>
      <c r="B1828" t="str">
        <f>"1551689331117415"</f>
        <v>1551689331117415</v>
      </c>
      <c r="C1828" t="s">
        <v>40</v>
      </c>
      <c r="D1828">
        <v>4.6678730000000002</v>
      </c>
      <c r="E1828">
        <v>0.56792410000000004</v>
      </c>
      <c r="F1828" t="s">
        <v>45</v>
      </c>
      <c r="G1828">
        <v>-193.97149999999999</v>
      </c>
      <c r="H1828" s="1">
        <v>2.7503489999999998E-7</v>
      </c>
      <c r="I1828">
        <v>298.05470000000003</v>
      </c>
      <c r="J1828">
        <v>-191.70849999999999</v>
      </c>
      <c r="K1828">
        <v>1.1089629999999999</v>
      </c>
      <c r="L1828">
        <v>306.18799999999999</v>
      </c>
      <c r="M1828">
        <v>-2.2570449999999999E-2</v>
      </c>
      <c r="N1828">
        <v>-1.3915210000000001E-2</v>
      </c>
      <c r="O1828">
        <v>-0.99964830000000005</v>
      </c>
      <c r="P1828">
        <v>-0.14211409999999999</v>
      </c>
      <c r="Q1828">
        <v>0.35662549999999998</v>
      </c>
      <c r="R1828">
        <v>-0.92337539999999996</v>
      </c>
      <c r="S1828">
        <v>-0.89006039999999997</v>
      </c>
      <c r="T1828">
        <v>-0.43465540000000003</v>
      </c>
      <c r="U1828">
        <v>-3.2818909999999999</v>
      </c>
      <c r="V1828">
        <v>0.12309489999999899</v>
      </c>
      <c r="W1828">
        <v>0.36886609999999997</v>
      </c>
      <c r="X1828">
        <v>0.92129550000000004</v>
      </c>
      <c r="Y1828">
        <v>0.2379802</v>
      </c>
      <c r="Z1828">
        <v>0.1133343</v>
      </c>
      <c r="AA1828">
        <v>0.96463500000000002</v>
      </c>
      <c r="AB1828">
        <v>25</v>
      </c>
      <c r="AC1828">
        <v>-2.2629999999999999</v>
      </c>
      <c r="AD1828">
        <v>-1.1089627249651</v>
      </c>
      <c r="AE1828">
        <v>-8.1332999999999593</v>
      </c>
      <c r="AF1828">
        <v>2.0435714103694602</v>
      </c>
      <c r="AG1828">
        <v>-1.1089627249651</v>
      </c>
      <c r="AH1828">
        <v>8.0435181478561297</v>
      </c>
      <c r="AI1828">
        <v>97.611069316938</v>
      </c>
      <c r="AJ1828">
        <v>75.744793794413596</v>
      </c>
      <c r="AK1828">
        <v>8.37282309794805</v>
      </c>
      <c r="AL1828">
        <v>68.3542957371439</v>
      </c>
      <c r="AM1828">
        <v>82.389745088252695</v>
      </c>
      <c r="AN1828">
        <v>0.99999997622773396</v>
      </c>
    </row>
    <row r="1829" spans="1:40" x14ac:dyDescent="0.25">
      <c r="A1829" t="str">
        <f>"20190304164851157"</f>
        <v>20190304164851157</v>
      </c>
      <c r="B1829" t="str">
        <f>"1551689331147671"</f>
        <v>1551689331147671</v>
      </c>
      <c r="C1829" t="s">
        <v>40</v>
      </c>
      <c r="D1829">
        <v>4.6751189999999996</v>
      </c>
      <c r="E1829">
        <v>0.56820890000000002</v>
      </c>
      <c r="F1829" t="s">
        <v>45</v>
      </c>
      <c r="G1829">
        <v>-194.0198</v>
      </c>
      <c r="H1829" s="1">
        <v>3.0966809999999998E-7</v>
      </c>
      <c r="I1829">
        <v>297.858</v>
      </c>
      <c r="J1829">
        <v>-191.7191</v>
      </c>
      <c r="K1829">
        <v>1.1088739999999999</v>
      </c>
      <c r="L1829">
        <v>305.90219999999999</v>
      </c>
      <c r="M1829">
        <v>-2.620221E-2</v>
      </c>
      <c r="N1829">
        <v>-1.3918689999999999E-2</v>
      </c>
      <c r="O1829">
        <v>-0.9995598</v>
      </c>
      <c r="P1829">
        <v>-0.14769389999999999</v>
      </c>
      <c r="Q1829">
        <v>0.3571067</v>
      </c>
      <c r="R1829">
        <v>-0.9223133</v>
      </c>
      <c r="S1829">
        <v>-0.90937809999999997</v>
      </c>
      <c r="T1829">
        <v>-0.43632539999999997</v>
      </c>
      <c r="U1829">
        <v>-3.277466</v>
      </c>
      <c r="V1829">
        <v>0.12542500000000001</v>
      </c>
      <c r="W1829">
        <v>0.36930220000000002</v>
      </c>
      <c r="X1829">
        <v>0.92080640000000002</v>
      </c>
      <c r="Y1829">
        <v>0.24005070000000001</v>
      </c>
      <c r="Z1829">
        <v>0.1138371</v>
      </c>
      <c r="AA1829">
        <v>0.96406259999999999</v>
      </c>
      <c r="AB1829">
        <v>25</v>
      </c>
      <c r="AC1829">
        <v>-2.3007</v>
      </c>
      <c r="AD1829">
        <v>-1.1088736903319001</v>
      </c>
      <c r="AE1829">
        <v>-8.0441999999999894</v>
      </c>
      <c r="AF1829">
        <v>2.0530515831484601</v>
      </c>
      <c r="AG1829">
        <v>-1.1088736903319001</v>
      </c>
      <c r="AH1829">
        <v>7.9618754726178302</v>
      </c>
      <c r="AI1829">
        <v>97.680652891401905</v>
      </c>
      <c r="AJ1829">
        <v>75.540676682234704</v>
      </c>
      <c r="AK1829">
        <v>8.2967513344472508</v>
      </c>
      <c r="AL1829">
        <v>68.327411087364297</v>
      </c>
      <c r="AM1829">
        <v>82.243356423686194</v>
      </c>
      <c r="AN1829">
        <v>0.99999998591539996</v>
      </c>
    </row>
    <row r="1830" spans="1:40" x14ac:dyDescent="0.25">
      <c r="A1830" t="str">
        <f>"20190304164851177"</f>
        <v>20190304164851177</v>
      </c>
      <c r="B1830" t="str">
        <f>"1551689331168167"</f>
        <v>1551689331168167</v>
      </c>
      <c r="C1830" t="s">
        <v>40</v>
      </c>
      <c r="D1830">
        <v>4.6846489999999896</v>
      </c>
      <c r="E1830">
        <v>0.56838549999999999</v>
      </c>
      <c r="F1830" t="s">
        <v>45</v>
      </c>
      <c r="G1830">
        <v>-194.0874</v>
      </c>
      <c r="H1830" s="1">
        <v>3.5597789999999999E-7</v>
      </c>
      <c r="I1830">
        <v>297.59500000000003</v>
      </c>
      <c r="J1830">
        <v>-191.7287</v>
      </c>
      <c r="K1830">
        <v>1.108792</v>
      </c>
      <c r="L1830">
        <v>305.66739999999999</v>
      </c>
      <c r="M1830">
        <v>-2.932976E-2</v>
      </c>
      <c r="N1830">
        <v>-1.392209E-2</v>
      </c>
      <c r="O1830">
        <v>-0.99947299999999994</v>
      </c>
      <c r="P1830">
        <v>-0.15388679999999999</v>
      </c>
      <c r="Q1830">
        <v>0.35801189999999999</v>
      </c>
      <c r="R1830">
        <v>-0.92094900000000002</v>
      </c>
      <c r="S1830">
        <v>-0.93295289999999997</v>
      </c>
      <c r="T1830">
        <v>-0.4368165</v>
      </c>
      <c r="U1830">
        <v>-3.2724299999999999</v>
      </c>
      <c r="V1830">
        <v>0.1288378</v>
      </c>
      <c r="W1830">
        <v>0.37015520000000002</v>
      </c>
      <c r="X1830">
        <v>0.91999240000000004</v>
      </c>
      <c r="Y1830">
        <v>0.24382219999999999</v>
      </c>
      <c r="Z1830">
        <v>0.1139709</v>
      </c>
      <c r="AA1830">
        <v>0.96309990000000001</v>
      </c>
      <c r="AB1830">
        <v>25</v>
      </c>
      <c r="AC1830">
        <v>-2.35869999999999</v>
      </c>
      <c r="AD1830">
        <v>-1.1087916440221</v>
      </c>
      <c r="AE1830">
        <v>-8.0723999999999592</v>
      </c>
      <c r="AF1830">
        <v>2.0846637895734799</v>
      </c>
      <c r="AG1830">
        <v>-1.1087916440221</v>
      </c>
      <c r="AH1830">
        <v>7.9990689225603999</v>
      </c>
      <c r="AI1830">
        <v>97.639754093461207</v>
      </c>
      <c r="AJ1830">
        <v>75.392873965200295</v>
      </c>
      <c r="AK1830">
        <v>8.3402845067349904</v>
      </c>
      <c r="AL1830">
        <v>68.274811577922094</v>
      </c>
      <c r="AM1830">
        <v>82.028015754197497</v>
      </c>
      <c r="AN1830">
        <v>1.00000003342681</v>
      </c>
    </row>
    <row r="1831" spans="1:40" x14ac:dyDescent="0.25">
      <c r="A1831" t="str">
        <f>"20190304164851199"</f>
        <v>20190304164851199</v>
      </c>
      <c r="B1831" t="str">
        <f>"1551689331187687"</f>
        <v>1551689331187687</v>
      </c>
      <c r="C1831" t="s">
        <v>40</v>
      </c>
      <c r="D1831">
        <v>4.9768150000000002</v>
      </c>
      <c r="E1831">
        <v>0.56861410000000001</v>
      </c>
      <c r="F1831" t="s">
        <v>45</v>
      </c>
      <c r="G1831">
        <v>-194.1609</v>
      </c>
      <c r="H1831" s="1">
        <v>4.2840450000000002E-7</v>
      </c>
      <c r="I1831">
        <v>297.34989999999999</v>
      </c>
      <c r="J1831">
        <v>-191.73939999999999</v>
      </c>
      <c r="K1831">
        <v>1.108714</v>
      </c>
      <c r="L1831">
        <v>305.43020000000001</v>
      </c>
      <c r="M1831">
        <v>-3.2599099999999999E-2</v>
      </c>
      <c r="N1831">
        <v>-1.392555E-2</v>
      </c>
      <c r="O1831">
        <v>-0.99937149999999997</v>
      </c>
      <c r="P1831">
        <v>-0.16042419999999999</v>
      </c>
      <c r="Q1831">
        <v>0.35808970000000001</v>
      </c>
      <c r="R1831">
        <v>-0.91980229999999996</v>
      </c>
      <c r="S1831">
        <v>-0.95538330000000005</v>
      </c>
      <c r="T1831">
        <v>-0.4355464</v>
      </c>
      <c r="U1831">
        <v>-3.267242</v>
      </c>
      <c r="V1831">
        <v>0.13245119999999999</v>
      </c>
      <c r="W1831">
        <v>0.37018479999999998</v>
      </c>
      <c r="X1831">
        <v>0.91946719999999904</v>
      </c>
      <c r="Y1831">
        <v>0.24716450000000001</v>
      </c>
      <c r="Z1831">
        <v>0.11360969999999999</v>
      </c>
      <c r="AA1831">
        <v>0.96229030000000004</v>
      </c>
      <c r="AB1831">
        <v>25</v>
      </c>
      <c r="AC1831">
        <v>-2.4215</v>
      </c>
      <c r="AD1831">
        <v>-1.1087135715955001</v>
      </c>
      <c r="AE1831">
        <v>-8.0803000000000207</v>
      </c>
      <c r="AF1831">
        <v>2.1201497736499801</v>
      </c>
      <c r="AG1831">
        <v>-1.1087135715955001</v>
      </c>
      <c r="AH1831">
        <v>8.0164615182814494</v>
      </c>
      <c r="AI1831">
        <v>97.615702523140897</v>
      </c>
      <c r="AJ1831">
        <v>75.185909060186901</v>
      </c>
      <c r="AK1831">
        <v>8.3658792795877392</v>
      </c>
      <c r="AL1831">
        <v>68.272985611990094</v>
      </c>
      <c r="AM1831">
        <v>81.802811061141</v>
      </c>
      <c r="AN1831">
        <v>1.00000001920415</v>
      </c>
    </row>
    <row r="1832" spans="1:40" x14ac:dyDescent="0.25">
      <c r="A1832" t="str">
        <f>"20190304164851220"</f>
        <v>20190304164851220</v>
      </c>
      <c r="B1832" t="str">
        <f>"1551689331217943"</f>
        <v>1551689331217943</v>
      </c>
      <c r="C1832" t="s">
        <v>40</v>
      </c>
      <c r="D1832">
        <v>4.6574429999999998</v>
      </c>
      <c r="E1832">
        <v>0.56889559999999995</v>
      </c>
      <c r="F1832" t="s">
        <v>45</v>
      </c>
      <c r="G1832">
        <v>-194.2235</v>
      </c>
      <c r="H1832" s="1">
        <v>4.9591259999999995E-7</v>
      </c>
      <c r="I1832">
        <v>297.14319999999998</v>
      </c>
      <c r="J1832">
        <v>-191.751</v>
      </c>
      <c r="K1832">
        <v>1.108643</v>
      </c>
      <c r="L1832">
        <v>305.19170000000003</v>
      </c>
      <c r="M1832">
        <v>-3.600482E-2</v>
      </c>
      <c r="N1832">
        <v>-1.39291E-2</v>
      </c>
      <c r="O1832">
        <v>-0.99925450000000005</v>
      </c>
      <c r="P1832">
        <v>-0.16658819999999999</v>
      </c>
      <c r="Q1832">
        <v>0.35772080000000001</v>
      </c>
      <c r="R1832">
        <v>-0.91884920000000003</v>
      </c>
      <c r="S1832">
        <v>-0.9775085</v>
      </c>
      <c r="T1832">
        <v>-0.43627460000000001</v>
      </c>
      <c r="U1832">
        <v>-3.2609249999999999</v>
      </c>
      <c r="V1832">
        <v>0.13555610000000001</v>
      </c>
      <c r="W1832">
        <v>0.36977460000000001</v>
      </c>
      <c r="X1832">
        <v>0.91917969999999904</v>
      </c>
      <c r="Y1832">
        <v>0.25035479999999999</v>
      </c>
      <c r="Z1832">
        <v>0.1138637</v>
      </c>
      <c r="AA1832">
        <v>0.96143509999999999</v>
      </c>
      <c r="AB1832">
        <v>25</v>
      </c>
      <c r="AC1832">
        <v>-2.4725000000000201</v>
      </c>
      <c r="AD1832">
        <v>-1.1086425040873999</v>
      </c>
      <c r="AE1832">
        <v>-8.0485000000000397</v>
      </c>
      <c r="AF1832">
        <v>2.14391339103129</v>
      </c>
      <c r="AG1832">
        <v>-1.1086425040873999</v>
      </c>
      <c r="AH1832">
        <v>7.9937193618515803</v>
      </c>
      <c r="AI1832">
        <v>97.629641810871206</v>
      </c>
      <c r="AJ1832">
        <v>74.986607569118803</v>
      </c>
      <c r="AK1832">
        <v>8.3501498229764302</v>
      </c>
      <c r="AL1832">
        <v>68.298283407706506</v>
      </c>
      <c r="AM1832">
        <v>81.610770387534899</v>
      </c>
      <c r="AN1832">
        <v>1.00000001597222</v>
      </c>
    </row>
    <row r="1833" spans="1:40" x14ac:dyDescent="0.25">
      <c r="A1833" t="str">
        <f>"20190304164851243"</f>
        <v>20190304164851243</v>
      </c>
      <c r="B1833" t="str">
        <f>"1551689331237463"</f>
        <v>1551689331237463</v>
      </c>
      <c r="C1833" t="s">
        <v>40</v>
      </c>
      <c r="D1833">
        <v>4.5123989999999896</v>
      </c>
      <c r="E1833">
        <v>0.56910000000000005</v>
      </c>
      <c r="F1833" t="s">
        <v>45</v>
      </c>
      <c r="G1833">
        <v>-194.2792</v>
      </c>
      <c r="H1833" s="1">
        <v>5.5077430000000004E-7</v>
      </c>
      <c r="I1833">
        <v>296.97399999999999</v>
      </c>
      <c r="J1833">
        <v>-191.7645</v>
      </c>
      <c r="K1833">
        <v>1.1085750000000001</v>
      </c>
      <c r="L1833">
        <v>304.93700000000001</v>
      </c>
      <c r="M1833">
        <v>-3.9784269999999997E-2</v>
      </c>
      <c r="N1833">
        <v>-1.3932979999999999E-2</v>
      </c>
      <c r="O1833">
        <v>-0.99911119999999998</v>
      </c>
      <c r="P1833">
        <v>-0.1723847</v>
      </c>
      <c r="Q1833">
        <v>0.35772929999999997</v>
      </c>
      <c r="R1833">
        <v>-0.9177765</v>
      </c>
      <c r="S1833">
        <v>-1.0012209999999999</v>
      </c>
      <c r="T1833">
        <v>-0.43904359999999998</v>
      </c>
      <c r="U1833">
        <v>-3.2543639999999998</v>
      </c>
      <c r="V1833">
        <v>0.13796439999999999</v>
      </c>
      <c r="W1833">
        <v>0.36974220000000002</v>
      </c>
      <c r="X1833">
        <v>0.91883429999999999</v>
      </c>
      <c r="Y1833">
        <v>0.25360630000000001</v>
      </c>
      <c r="Z1833">
        <v>0.1146972</v>
      </c>
      <c r="AA1833">
        <v>0.96048339999999999</v>
      </c>
      <c r="AB1833">
        <v>25</v>
      </c>
      <c r="AC1833">
        <v>-2.5146999999999999</v>
      </c>
      <c r="AD1833">
        <v>-1.1085744492256999</v>
      </c>
      <c r="AE1833">
        <v>-7.9630000000000196</v>
      </c>
      <c r="AF1833">
        <v>2.1578471231606899</v>
      </c>
      <c r="AG1833">
        <v>-1.1085744492256999</v>
      </c>
      <c r="AH1833">
        <v>7.9172208995317703</v>
      </c>
      <c r="AI1833">
        <v>97.693675301301695</v>
      </c>
      <c r="AJ1833">
        <v>74.754277814827006</v>
      </c>
      <c r="AK1833">
        <v>8.2805572450404394</v>
      </c>
      <c r="AL1833">
        <v>68.300280355248503</v>
      </c>
      <c r="AM1833">
        <v>81.460742130571404</v>
      </c>
      <c r="AN1833">
        <v>0.99999997049234401</v>
      </c>
    </row>
    <row r="1834" spans="1:40" x14ac:dyDescent="0.25">
      <c r="A1834" t="str">
        <f>"20190304164851265"</f>
        <v>20190304164851265</v>
      </c>
      <c r="B1834" t="str">
        <f>"1551689331257959"</f>
        <v>1551689331257959</v>
      </c>
      <c r="C1834" t="s">
        <v>40</v>
      </c>
      <c r="D1834">
        <v>4.6918930000000003</v>
      </c>
      <c r="E1834">
        <v>0.56920490000000001</v>
      </c>
      <c r="F1834" t="s">
        <v>45</v>
      </c>
      <c r="G1834">
        <v>-194.36009999999999</v>
      </c>
      <c r="H1834" s="1">
        <v>6.3005219999999899E-7</v>
      </c>
      <c r="I1834">
        <v>296.72949999999997</v>
      </c>
      <c r="J1834">
        <v>-191.77850000000001</v>
      </c>
      <c r="K1834">
        <v>1.108495</v>
      </c>
      <c r="L1834">
        <v>304.69069999999999</v>
      </c>
      <c r="M1834">
        <v>-4.3579619999999999E-2</v>
      </c>
      <c r="N1834">
        <v>-1.3937700000000001E-2</v>
      </c>
      <c r="O1834">
        <v>-0.99895290000000003</v>
      </c>
      <c r="P1834">
        <v>-0.17818709999999999</v>
      </c>
      <c r="Q1834">
        <v>0.35805140000000002</v>
      </c>
      <c r="R1834">
        <v>-0.91654170000000001</v>
      </c>
      <c r="S1834">
        <v>-1.0268250000000001</v>
      </c>
      <c r="T1834">
        <v>-0.43855110000000003</v>
      </c>
      <c r="U1834">
        <v>-3.2468870000000001</v>
      </c>
      <c r="V1834">
        <v>0.14038100000000001</v>
      </c>
      <c r="W1834">
        <v>0.37001909999999999</v>
      </c>
      <c r="X1834">
        <v>0.91835670000000003</v>
      </c>
      <c r="Y1834">
        <v>0.25745430000000002</v>
      </c>
      <c r="Z1834">
        <v>0.114596699999999</v>
      </c>
      <c r="AA1834">
        <v>0.95947119999999997</v>
      </c>
      <c r="AB1834">
        <v>25</v>
      </c>
      <c r="AC1834">
        <v>-2.5815999999999799</v>
      </c>
      <c r="AD1834">
        <v>-1.1084943699478</v>
      </c>
      <c r="AE1834">
        <v>-7.9612000000000096</v>
      </c>
      <c r="AF1834">
        <v>2.1936848073542601</v>
      </c>
      <c r="AG1834">
        <v>-1.1084943699478</v>
      </c>
      <c r="AH1834">
        <v>7.9270913557611102</v>
      </c>
      <c r="AI1834">
        <v>97.675558573575401</v>
      </c>
      <c r="AJ1834">
        <v>74.531497161920996</v>
      </c>
      <c r="AK1834">
        <v>8.2993849268970195</v>
      </c>
      <c r="AL1834">
        <v>68.283204628381597</v>
      </c>
      <c r="AM1834">
        <v>81.308981290071301</v>
      </c>
      <c r="AN1834">
        <v>0.99999999398035</v>
      </c>
    </row>
    <row r="1835" spans="1:40" x14ac:dyDescent="0.25">
      <c r="A1835" t="str">
        <f>"20190304164851289"</f>
        <v>20190304164851289</v>
      </c>
      <c r="B1835" t="str">
        <f>"1551689331277479"</f>
        <v>1551689331277479</v>
      </c>
      <c r="C1835" t="s">
        <v>40</v>
      </c>
      <c r="D1835">
        <v>4.5066220000000001</v>
      </c>
      <c r="E1835">
        <v>0.56937179999999998</v>
      </c>
      <c r="F1835" t="s">
        <v>45</v>
      </c>
      <c r="G1835">
        <v>-194.43979999999999</v>
      </c>
      <c r="H1835" s="1">
        <v>7.0617719999999904E-7</v>
      </c>
      <c r="I1835">
        <v>296.4941</v>
      </c>
      <c r="J1835">
        <v>-191.79419999999999</v>
      </c>
      <c r="K1835">
        <v>1.1084000000000001</v>
      </c>
      <c r="L1835">
        <v>304.43700000000001</v>
      </c>
      <c r="M1835">
        <v>-4.764616E-2</v>
      </c>
      <c r="N1835">
        <v>-1.3943499999999999E-2</v>
      </c>
      <c r="O1835">
        <v>-0.99876710000000002</v>
      </c>
      <c r="P1835">
        <v>-0.18429119999999999</v>
      </c>
      <c r="Q1835">
        <v>0.35855550000000003</v>
      </c>
      <c r="R1835">
        <v>-0.91513690000000003</v>
      </c>
      <c r="S1835">
        <v>-1.0519259999999999</v>
      </c>
      <c r="T1835">
        <v>-0.4381506</v>
      </c>
      <c r="U1835">
        <v>-3.2398380000000002</v>
      </c>
      <c r="V1835">
        <v>0.14287569999999999</v>
      </c>
      <c r="W1835">
        <v>0.37047180000000002</v>
      </c>
      <c r="X1835">
        <v>0.91778930000000003</v>
      </c>
      <c r="Y1835">
        <v>0.26086130000000002</v>
      </c>
      <c r="Z1835">
        <v>0.1145072</v>
      </c>
      <c r="AA1835">
        <v>0.9585612</v>
      </c>
      <c r="AB1835">
        <v>25</v>
      </c>
      <c r="AC1835">
        <v>-2.6456</v>
      </c>
      <c r="AD1835">
        <v>-1.1083992938228</v>
      </c>
      <c r="AE1835">
        <v>-7.9428999999999998</v>
      </c>
      <c r="AF1835">
        <v>2.2251066562117101</v>
      </c>
      <c r="AG1835">
        <v>-1.1083992938228</v>
      </c>
      <c r="AH1835">
        <v>7.9210976735964804</v>
      </c>
      <c r="AI1835">
        <v>97.672451128421201</v>
      </c>
      <c r="AJ1835">
        <v>74.309475957778204</v>
      </c>
      <c r="AK1835">
        <v>8.3020140315901703</v>
      </c>
      <c r="AL1835">
        <v>68.255282874134707</v>
      </c>
      <c r="AM1835">
        <v>81.151573635321796</v>
      </c>
      <c r="AN1835">
        <v>1.0000000097201001</v>
      </c>
    </row>
    <row r="1836" spans="1:40" x14ac:dyDescent="0.25">
      <c r="A1836" t="str">
        <f>"20190304164851310"</f>
        <v>20190304164851310</v>
      </c>
      <c r="B1836" t="str">
        <f>"1551689331307735"</f>
        <v>1551689331307735</v>
      </c>
      <c r="C1836" t="s">
        <v>40</v>
      </c>
      <c r="D1836">
        <v>4.7275029999999996</v>
      </c>
      <c r="E1836">
        <v>0.56947360000000002</v>
      </c>
      <c r="F1836" t="s">
        <v>45</v>
      </c>
      <c r="G1836">
        <v>-194.53360000000001</v>
      </c>
      <c r="H1836" s="1">
        <v>7.9716549999999997E-7</v>
      </c>
      <c r="I1836">
        <v>296.21319999999997</v>
      </c>
      <c r="J1836">
        <v>-191.8098</v>
      </c>
      <c r="K1836">
        <v>1.108295</v>
      </c>
      <c r="L1836">
        <v>304.2011</v>
      </c>
      <c r="M1836">
        <v>-5.1582570000000001E-2</v>
      </c>
      <c r="N1836">
        <v>-1.3949720000000001E-2</v>
      </c>
      <c r="O1836">
        <v>-0.99857130000000005</v>
      </c>
      <c r="P1836">
        <v>-0.190052</v>
      </c>
      <c r="Q1836">
        <v>0.35831970000000002</v>
      </c>
      <c r="R1836">
        <v>-0.91405020000000003</v>
      </c>
      <c r="S1836">
        <v>-1.0766450000000001</v>
      </c>
      <c r="T1836">
        <v>-0.43561179999999999</v>
      </c>
      <c r="U1836">
        <v>-3.2320250000000001</v>
      </c>
      <c r="V1836">
        <v>0.1451374</v>
      </c>
      <c r="W1836">
        <v>0.37018790000000001</v>
      </c>
      <c r="X1836">
        <v>0.91754899999999995</v>
      </c>
      <c r="Y1836">
        <v>0.264374</v>
      </c>
      <c r="Z1836">
        <v>0.11382299999999999</v>
      </c>
      <c r="AA1836">
        <v>0.95767990000000003</v>
      </c>
      <c r="AB1836">
        <v>25</v>
      </c>
      <c r="AC1836">
        <v>-2.72380000000001</v>
      </c>
      <c r="AD1836">
        <v>-1.1082942028345</v>
      </c>
      <c r="AE1836">
        <v>-7.9879000000000202</v>
      </c>
      <c r="AF1836">
        <v>2.26896738338441</v>
      </c>
      <c r="AG1836">
        <v>-1.1082942028345</v>
      </c>
      <c r="AH1836">
        <v>7.9801570096569803</v>
      </c>
      <c r="AI1836">
        <v>97.608896216182202</v>
      </c>
      <c r="AJ1836">
        <v>74.128162330753995</v>
      </c>
      <c r="AK1836">
        <v>8.3701514278820799</v>
      </c>
      <c r="AL1836">
        <v>68.272795269977294</v>
      </c>
      <c r="AM1836">
        <v>81.011457787171807</v>
      </c>
      <c r="AN1836">
        <v>1.00000005679308</v>
      </c>
    </row>
    <row r="1837" spans="1:40" x14ac:dyDescent="0.25">
      <c r="A1837" t="str">
        <f>"20190304164851333"</f>
        <v>20190304164851333</v>
      </c>
      <c r="B1837" t="str">
        <f>"1551689331328231"</f>
        <v>1551689331328231</v>
      </c>
      <c r="C1837" t="s">
        <v>40</v>
      </c>
      <c r="D1837">
        <v>4.6774089999999999</v>
      </c>
      <c r="E1837">
        <v>0.56953980000000004</v>
      </c>
      <c r="F1837" t="s">
        <v>45</v>
      </c>
      <c r="G1837">
        <v>-194.5874</v>
      </c>
      <c r="H1837" s="1">
        <v>8.4977730000000003E-7</v>
      </c>
      <c r="I1837">
        <v>296.05079999999998</v>
      </c>
      <c r="J1837">
        <v>-191.82740000000001</v>
      </c>
      <c r="K1837">
        <v>1.108176</v>
      </c>
      <c r="L1837">
        <v>303.95299999999997</v>
      </c>
      <c r="M1837">
        <v>-5.5900610000000003E-2</v>
      </c>
      <c r="N1837">
        <v>-1.3957270000000001E-2</v>
      </c>
      <c r="O1837">
        <v>-0.99833879999999997</v>
      </c>
      <c r="P1837">
        <v>-0.19578129999999999</v>
      </c>
      <c r="Q1837">
        <v>0.35790739999999999</v>
      </c>
      <c r="R1837">
        <v>-0.91300199999999998</v>
      </c>
      <c r="S1837">
        <v>-1.0992580000000001</v>
      </c>
      <c r="T1837">
        <v>-0.4386101</v>
      </c>
      <c r="U1837">
        <v>-3.2254939999999999</v>
      </c>
      <c r="V1837">
        <v>0.14702939999999901</v>
      </c>
      <c r="W1837">
        <v>0.36972630000000001</v>
      </c>
      <c r="X1837">
        <v>0.91743390000000002</v>
      </c>
      <c r="Y1837">
        <v>0.26677779999999901</v>
      </c>
      <c r="Z1837">
        <v>0.1147089</v>
      </c>
      <c r="AA1837">
        <v>0.95690719999999996</v>
      </c>
      <c r="AB1837">
        <v>24</v>
      </c>
      <c r="AC1837">
        <v>-2.75999999999999</v>
      </c>
      <c r="AD1837">
        <v>-1.1081751502227</v>
      </c>
      <c r="AE1837">
        <v>-7.9021999999999899</v>
      </c>
      <c r="AF1837">
        <v>2.2740432306826501</v>
      </c>
      <c r="AG1837">
        <v>-1.1081751502227</v>
      </c>
      <c r="AH1837">
        <v>7.9055731574090098</v>
      </c>
      <c r="AI1837">
        <v>97.672347627596807</v>
      </c>
      <c r="AJ1837">
        <v>73.952084569310699</v>
      </c>
      <c r="AK1837">
        <v>8.3004464774932707</v>
      </c>
      <c r="AL1837">
        <v>68.301263131853304</v>
      </c>
      <c r="AM1837">
        <v>80.895110734247794</v>
      </c>
      <c r="AN1837">
        <v>1.00000007112262</v>
      </c>
    </row>
    <row r="1838" spans="1:40" x14ac:dyDescent="0.25">
      <c r="A1838" t="str">
        <f>"20190304164851358"</f>
        <v>20190304164851358</v>
      </c>
      <c r="B1838" t="str">
        <f>"1551689331347751"</f>
        <v>1551689331347751</v>
      </c>
      <c r="C1838" t="s">
        <v>40</v>
      </c>
      <c r="D1838">
        <v>4.4609240000000003</v>
      </c>
      <c r="E1838">
        <v>0.56973359999999995</v>
      </c>
      <c r="F1838" t="s">
        <v>45</v>
      </c>
      <c r="G1838">
        <v>-194.63890000000001</v>
      </c>
      <c r="H1838" s="1">
        <v>9.0525549999999998E-7</v>
      </c>
      <c r="I1838">
        <v>295.88099999999997</v>
      </c>
      <c r="J1838">
        <v>-191.84809999999999</v>
      </c>
      <c r="K1838">
        <v>1.108044</v>
      </c>
      <c r="L1838">
        <v>303.68299999999999</v>
      </c>
      <c r="M1838">
        <v>-6.083616E-2</v>
      </c>
      <c r="N1838">
        <v>-1.396697E-2</v>
      </c>
      <c r="O1838">
        <v>-0.99805029999999995</v>
      </c>
      <c r="P1838">
        <v>-0.2015228</v>
      </c>
      <c r="Q1838">
        <v>0.35741919999999999</v>
      </c>
      <c r="R1838">
        <v>-0.91194339999999996</v>
      </c>
      <c r="S1838">
        <v>-1.121048</v>
      </c>
      <c r="T1838">
        <v>-0.4418803</v>
      </c>
      <c r="U1838">
        <v>-3.2186889999999999</v>
      </c>
      <c r="V1838">
        <v>0.148383399999999</v>
      </c>
      <c r="W1838">
        <v>0.36918790000000001</v>
      </c>
      <c r="X1838">
        <v>0.91743269999999999</v>
      </c>
      <c r="Y1838">
        <v>0.2683815</v>
      </c>
      <c r="Z1838">
        <v>0.1156885</v>
      </c>
      <c r="AA1838">
        <v>0.95634070000000004</v>
      </c>
      <c r="AB1838">
        <v>24</v>
      </c>
      <c r="AC1838">
        <v>-2.7908000000000102</v>
      </c>
      <c r="AD1838">
        <v>-1.1080430947444999</v>
      </c>
      <c r="AE1838">
        <v>-7.80200000000002</v>
      </c>
      <c r="AF1838">
        <v>2.2703420979486899</v>
      </c>
      <c r="AG1838">
        <v>-1.1080430947444999</v>
      </c>
      <c r="AH1838">
        <v>7.8175523039646304</v>
      </c>
      <c r="AI1838">
        <v>97.751124104113202</v>
      </c>
      <c r="AJ1838">
        <v>73.805858573942999</v>
      </c>
      <c r="AK1838">
        <v>8.2156154222767501</v>
      </c>
      <c r="AL1838">
        <v>68.334459419815303</v>
      </c>
      <c r="AM1838">
        <v>80.812675129898693</v>
      </c>
      <c r="AN1838">
        <v>1.00000004896562</v>
      </c>
    </row>
    <row r="1839" spans="1:40" x14ac:dyDescent="0.25">
      <c r="A1839" t="str">
        <f>"20190304164851379"</f>
        <v>20190304164851379</v>
      </c>
      <c r="B1839" t="str">
        <f>"1551689331368247"</f>
        <v>1551689331368247</v>
      </c>
      <c r="C1839" t="s">
        <v>40</v>
      </c>
      <c r="D1839">
        <v>4.4771660000000004</v>
      </c>
      <c r="E1839">
        <v>0.57011909999999999</v>
      </c>
      <c r="F1839" t="s">
        <v>45</v>
      </c>
      <c r="G1839">
        <v>-194.71530000000001</v>
      </c>
      <c r="H1839" s="1">
        <v>9.8198090000000004E-7</v>
      </c>
      <c r="I1839">
        <v>295.64479999999998</v>
      </c>
      <c r="J1839">
        <v>-191.8682</v>
      </c>
      <c r="K1839">
        <v>1.107926</v>
      </c>
      <c r="L1839">
        <v>303.44060000000002</v>
      </c>
      <c r="M1839">
        <v>-6.5482739999999998E-2</v>
      </c>
      <c r="N1839">
        <v>-1.397702E-2</v>
      </c>
      <c r="O1839">
        <v>-0.99775610000000003</v>
      </c>
      <c r="P1839">
        <v>-0.20699980000000001</v>
      </c>
      <c r="Q1839">
        <v>0.35806959999999999</v>
      </c>
      <c r="R1839">
        <v>-0.91046050000000001</v>
      </c>
      <c r="S1839">
        <v>-1.144989</v>
      </c>
      <c r="T1839">
        <v>-0.442498</v>
      </c>
      <c r="U1839">
        <v>-3.210083</v>
      </c>
      <c r="V1839">
        <v>0.14976829999999999</v>
      </c>
      <c r="W1839">
        <v>0.36978559999999999</v>
      </c>
      <c r="X1839">
        <v>0.91696679999999997</v>
      </c>
      <c r="Y1839">
        <v>0.27102399999999999</v>
      </c>
      <c r="Z1839">
        <v>0.1159333</v>
      </c>
      <c r="AA1839">
        <v>0.95556549999999996</v>
      </c>
      <c r="AB1839">
        <v>24</v>
      </c>
      <c r="AC1839">
        <v>-2.84710000000001</v>
      </c>
      <c r="AD1839">
        <v>-1.1079250180191</v>
      </c>
      <c r="AE1839">
        <v>-7.7958000000000398</v>
      </c>
      <c r="AF1839">
        <v>2.2896449553974998</v>
      </c>
      <c r="AG1839">
        <v>-1.1079250180191</v>
      </c>
      <c r="AH1839">
        <v>7.8260530046531898</v>
      </c>
      <c r="AI1839">
        <v>97.737573240212697</v>
      </c>
      <c r="AJ1839">
        <v>73.692265077811101</v>
      </c>
      <c r="AK1839">
        <v>8.2290386740475991</v>
      </c>
      <c r="AL1839">
        <v>68.297605233068595</v>
      </c>
      <c r="AM1839">
        <v>80.723780962097607</v>
      </c>
      <c r="AN1839">
        <v>1.0000000229772401</v>
      </c>
    </row>
    <row r="1840" spans="1:40" x14ac:dyDescent="0.25">
      <c r="A1840" t="str">
        <f>"20190304164851400"</f>
        <v>20190304164851400</v>
      </c>
      <c r="B1840" t="str">
        <f>"1551689331387770"</f>
        <v>1551689331387770</v>
      </c>
      <c r="C1840" t="s">
        <v>40</v>
      </c>
      <c r="D1840">
        <v>4.4632290000000001</v>
      </c>
      <c r="E1840">
        <v>0.57042930000000003</v>
      </c>
      <c r="F1840" t="s">
        <v>45</v>
      </c>
      <c r="G1840">
        <v>-194.84350000000001</v>
      </c>
      <c r="H1840" s="1">
        <v>1.0947310000000001E-6</v>
      </c>
      <c r="I1840">
        <v>295.2937</v>
      </c>
      <c r="J1840">
        <v>-191.88800000000001</v>
      </c>
      <c r="K1840">
        <v>1.1078269999999999</v>
      </c>
      <c r="L1840">
        <v>303.21519999999998</v>
      </c>
      <c r="M1840">
        <v>-6.9953050000000003E-2</v>
      </c>
      <c r="N1840">
        <v>-1.3986439999999999E-2</v>
      </c>
      <c r="O1840">
        <v>-0.99745229999999996</v>
      </c>
      <c r="P1840">
        <v>-0.2123941</v>
      </c>
      <c r="Q1840">
        <v>0.3587939</v>
      </c>
      <c r="R1840">
        <v>-0.90893120000000005</v>
      </c>
      <c r="S1840">
        <v>-1.1688229999999999</v>
      </c>
      <c r="T1840">
        <v>-0.43524059999999998</v>
      </c>
      <c r="U1840">
        <v>-3.2004700000000001</v>
      </c>
      <c r="V1840">
        <v>0.1512249</v>
      </c>
      <c r="W1840">
        <v>0.3704616</v>
      </c>
      <c r="X1840">
        <v>0.91645469999999896</v>
      </c>
      <c r="Y1840">
        <v>0.27399440000000003</v>
      </c>
      <c r="Z1840">
        <v>0.11393209999999999</v>
      </c>
      <c r="AA1840">
        <v>0.95495890000000005</v>
      </c>
      <c r="AB1840">
        <v>24</v>
      </c>
      <c r="AC1840">
        <v>-2.9554999999999998</v>
      </c>
      <c r="AD1840">
        <v>-1.107825905269</v>
      </c>
      <c r="AE1840">
        <v>-7.9214999999999796</v>
      </c>
      <c r="AF1840">
        <v>2.35366281029318</v>
      </c>
      <c r="AG1840">
        <v>-1.107825905269</v>
      </c>
      <c r="AH1840">
        <v>7.9719917022301798</v>
      </c>
      <c r="AI1840">
        <v>97.591493319989695</v>
      </c>
      <c r="AJ1840">
        <v>73.551212289062207</v>
      </c>
      <c r="AK1840">
        <v>8.3856817588893193</v>
      </c>
      <c r="AL1840">
        <v>68.255911662348197</v>
      </c>
      <c r="AM1840">
        <v>80.630013922969695</v>
      </c>
      <c r="AN1840">
        <v>0.99999999230332903</v>
      </c>
    </row>
    <row r="1841" spans="1:40" x14ac:dyDescent="0.25">
      <c r="A1841" t="str">
        <f>"20190304164851422"</f>
        <v>20190304164851422</v>
      </c>
      <c r="B1841" t="str">
        <f>"1551689331418023"</f>
        <v>1551689331418023</v>
      </c>
      <c r="C1841" t="s">
        <v>40</v>
      </c>
      <c r="D1841">
        <v>4.7609329999999996</v>
      </c>
      <c r="E1841">
        <v>0.57048109999999996</v>
      </c>
      <c r="F1841" t="s">
        <v>45</v>
      </c>
      <c r="G1841">
        <v>-194.9641</v>
      </c>
      <c r="H1841" s="1">
        <v>1.1967699999999999E-6</v>
      </c>
      <c r="I1841">
        <v>294.97480000000002</v>
      </c>
      <c r="J1841">
        <v>-191.91</v>
      </c>
      <c r="K1841">
        <v>1.107726</v>
      </c>
      <c r="L1841">
        <v>302.9785</v>
      </c>
      <c r="M1841">
        <v>-7.4813669999999999E-2</v>
      </c>
      <c r="N1841">
        <v>-1.399589E-2</v>
      </c>
      <c r="O1841">
        <v>-0.99709939999999997</v>
      </c>
      <c r="P1841">
        <v>-0.21789529999999999</v>
      </c>
      <c r="Q1841">
        <v>0.36008770000000001</v>
      </c>
      <c r="R1841">
        <v>-0.90711589999999998</v>
      </c>
      <c r="S1841">
        <v>-1.191406</v>
      </c>
      <c r="T1841">
        <v>-0.42907070000000003</v>
      </c>
      <c r="U1841">
        <v>-3.191589</v>
      </c>
      <c r="V1841">
        <v>0.1524575</v>
      </c>
      <c r="W1841">
        <v>0.3717067</v>
      </c>
      <c r="X1841">
        <v>0.91574599999999995</v>
      </c>
      <c r="Y1841">
        <v>0.2761789</v>
      </c>
      <c r="Z1841">
        <v>0.11222500000000001</v>
      </c>
      <c r="AA1841">
        <v>0.95453169999999998</v>
      </c>
      <c r="AB1841">
        <v>24</v>
      </c>
      <c r="AC1841">
        <v>-3.0541</v>
      </c>
      <c r="AD1841">
        <v>-1.10772480323</v>
      </c>
      <c r="AE1841">
        <v>-8.0036999999999807</v>
      </c>
      <c r="AF1841">
        <v>2.4064576414169498</v>
      </c>
      <c r="AG1841">
        <v>-1.10772480323</v>
      </c>
      <c r="AH1841">
        <v>8.0747631545531604</v>
      </c>
      <c r="AI1841">
        <v>97.489686560765193</v>
      </c>
      <c r="AJ1841">
        <v>73.404781970707702</v>
      </c>
      <c r="AK1841">
        <v>8.4982287932106395</v>
      </c>
      <c r="AL1841">
        <v>68.179086356847904</v>
      </c>
      <c r="AM1841">
        <v>80.547834291017907</v>
      </c>
      <c r="AN1841">
        <v>0.99999994832356798</v>
      </c>
    </row>
    <row r="1842" spans="1:40" x14ac:dyDescent="0.25">
      <c r="A1842" t="str">
        <f>"20190304164851444"</f>
        <v>20190304164851444</v>
      </c>
      <c r="B1842" t="str">
        <f>"1551689331437544"</f>
        <v>1551689331437544</v>
      </c>
      <c r="C1842" t="s">
        <v>40</v>
      </c>
      <c r="D1842">
        <v>4.7039589999999896</v>
      </c>
      <c r="E1842">
        <v>0.57896719999999902</v>
      </c>
      <c r="F1842" t="s">
        <v>45</v>
      </c>
      <c r="G1842">
        <v>-195.05269999999999</v>
      </c>
      <c r="H1842" s="1">
        <v>1.2795889999999999E-6</v>
      </c>
      <c r="I1842">
        <v>294.71820000000002</v>
      </c>
      <c r="J1842">
        <v>-191.93450000000001</v>
      </c>
      <c r="K1842">
        <v>1.1076280000000001</v>
      </c>
      <c r="L1842">
        <v>302.7321</v>
      </c>
      <c r="M1842">
        <v>-8.0065120000000004E-2</v>
      </c>
      <c r="N1842">
        <v>-1.4006040000000001E-2</v>
      </c>
      <c r="O1842">
        <v>-0.9966912</v>
      </c>
      <c r="P1842">
        <v>-0.2237806</v>
      </c>
      <c r="Q1842">
        <v>0.36111549999999998</v>
      </c>
      <c r="R1842">
        <v>-0.90527219999999997</v>
      </c>
      <c r="S1842">
        <v>-1.211975</v>
      </c>
      <c r="T1842">
        <v>-0.42719849999999998</v>
      </c>
      <c r="U1842">
        <v>-3.1856080000000002</v>
      </c>
      <c r="V1842">
        <v>0.15372420000000001</v>
      </c>
      <c r="W1842">
        <v>0.37268570000000001</v>
      </c>
      <c r="X1842">
        <v>0.91513619999999996</v>
      </c>
      <c r="Y1842">
        <v>0.27712389999999998</v>
      </c>
      <c r="Z1842">
        <v>0.1116765</v>
      </c>
      <c r="AA1842">
        <v>0.95432220000000001</v>
      </c>
      <c r="AB1842">
        <v>24</v>
      </c>
      <c r="AC1842">
        <v>-3.1181999999999701</v>
      </c>
      <c r="AD1842">
        <v>-1.107626720411</v>
      </c>
      <c r="AE1842">
        <v>-8.0138999999999694</v>
      </c>
      <c r="AF1842">
        <v>2.4262368575888198</v>
      </c>
      <c r="AG1842">
        <v>-1.107626720411</v>
      </c>
      <c r="AH1842">
        <v>8.1034070247677192</v>
      </c>
      <c r="AI1842">
        <v>97.460050647823707</v>
      </c>
      <c r="AJ1842">
        <v>73.331801622614293</v>
      </c>
      <c r="AK1842">
        <v>8.5310414164945705</v>
      </c>
      <c r="AL1842">
        <v>68.118653284360903</v>
      </c>
      <c r="AM1842">
        <v>80.464501776305298</v>
      </c>
      <c r="AN1842">
        <v>1.0000000126002799</v>
      </c>
    </row>
    <row r="1843" spans="1:40" x14ac:dyDescent="0.25">
      <c r="A1843" t="str">
        <f>"20190304164851468"</f>
        <v>20190304164851468</v>
      </c>
      <c r="B1843" t="str">
        <f>"1551689331458039"</f>
        <v>1551689331458039</v>
      </c>
      <c r="C1843" t="s">
        <v>40</v>
      </c>
      <c r="D1843">
        <v>5.0527119999999996</v>
      </c>
      <c r="E1843">
        <v>0.57876070000000002</v>
      </c>
      <c r="F1843" t="s">
        <v>45</v>
      </c>
      <c r="G1843">
        <v>-194.3065</v>
      </c>
      <c r="H1843" s="1">
        <v>5.9389089999999996E-7</v>
      </c>
      <c r="I1843">
        <v>296.84519999999998</v>
      </c>
      <c r="J1843">
        <v>-191.96170000000001</v>
      </c>
      <c r="K1843">
        <v>1.1075219999999999</v>
      </c>
      <c r="L1843">
        <v>302.47370000000001</v>
      </c>
      <c r="M1843">
        <v>-8.5776370000000005E-2</v>
      </c>
      <c r="N1843">
        <v>-1.4017989999999999E-2</v>
      </c>
      <c r="O1843">
        <v>-0.99621590000000004</v>
      </c>
      <c r="P1843">
        <v>-0.23024620000000001</v>
      </c>
      <c r="Q1843">
        <v>0.36221819999999999</v>
      </c>
      <c r="R1843">
        <v>-0.90320849999999997</v>
      </c>
      <c r="S1843">
        <v>-1.303329</v>
      </c>
      <c r="T1843">
        <v>-0.60859099999999999</v>
      </c>
      <c r="U1843">
        <v>-3.2345579999999998</v>
      </c>
      <c r="V1843">
        <v>0.15518270000000001</v>
      </c>
      <c r="W1843">
        <v>0.37373420000000002</v>
      </c>
      <c r="X1843">
        <v>0.9144622</v>
      </c>
      <c r="Y1843">
        <v>0.28762450000000001</v>
      </c>
      <c r="Z1843">
        <v>0.15988239999999901</v>
      </c>
      <c r="AA1843">
        <v>0.94430389999999997</v>
      </c>
      <c r="AB1843">
        <v>24</v>
      </c>
      <c r="AC1843">
        <v>-2.34479999999999</v>
      </c>
      <c r="AD1843">
        <v>-1.1075214061091001</v>
      </c>
      <c r="AE1843">
        <v>-5.62850000000003</v>
      </c>
      <c r="AF1843">
        <v>1.79412377043821</v>
      </c>
      <c r="AG1843">
        <v>-1.1075214061091001</v>
      </c>
      <c r="AH1843">
        <v>5.6233699587697501</v>
      </c>
      <c r="AI1843">
        <v>100.62693395829299</v>
      </c>
      <c r="AJ1843">
        <v>72.304831780996494</v>
      </c>
      <c r="AK1843">
        <v>6.0056451328592004</v>
      </c>
      <c r="AL1843">
        <v>68.053900179449101</v>
      </c>
      <c r="AM1843">
        <v>80.368754948210693</v>
      </c>
      <c r="AN1843">
        <v>1.00000001892888</v>
      </c>
    </row>
    <row r="1844" spans="1:40" x14ac:dyDescent="0.25">
      <c r="A1844" t="str">
        <f>"20190304164851489"</f>
        <v>20190304164851489</v>
      </c>
      <c r="B1844" t="str">
        <f>"1551689331477562"</f>
        <v>1551689331477562</v>
      </c>
      <c r="C1844" t="s">
        <v>40</v>
      </c>
      <c r="D1844">
        <v>5.012581</v>
      </c>
      <c r="E1844">
        <v>0.57771439999999996</v>
      </c>
      <c r="F1844" t="s">
        <v>45</v>
      </c>
      <c r="G1844">
        <v>-194.36760000000001</v>
      </c>
      <c r="H1844" s="1">
        <v>6.6804219999999998E-7</v>
      </c>
      <c r="I1844">
        <v>296.62009999999998</v>
      </c>
      <c r="J1844">
        <v>-191.98699999999999</v>
      </c>
      <c r="K1844">
        <v>1.1074170000000001</v>
      </c>
      <c r="L1844">
        <v>302.24740000000003</v>
      </c>
      <c r="M1844">
        <v>-9.095686E-2</v>
      </c>
      <c r="N1844">
        <v>-1.402979E-2</v>
      </c>
      <c r="O1844">
        <v>-0.99575610000000003</v>
      </c>
      <c r="P1844">
        <v>-0.23598420000000001</v>
      </c>
      <c r="Q1844">
        <v>0.36272840000000001</v>
      </c>
      <c r="R1844">
        <v>-0.90152089999999996</v>
      </c>
      <c r="S1844">
        <v>-1.3268279999999999</v>
      </c>
      <c r="T1844">
        <v>-0.61078459999999901</v>
      </c>
      <c r="U1844">
        <v>-3.22818</v>
      </c>
      <c r="V1844">
        <v>0.1563717</v>
      </c>
      <c r="W1844">
        <v>0.37419770000000002</v>
      </c>
      <c r="X1844">
        <v>0.91407000000000005</v>
      </c>
      <c r="Y1844">
        <v>0.28915550000000001</v>
      </c>
      <c r="Z1844">
        <v>0.16042110000000001</v>
      </c>
      <c r="AA1844">
        <v>0.94374469999999999</v>
      </c>
      <c r="AB1844">
        <v>24</v>
      </c>
      <c r="AC1844">
        <v>-2.38060000000001</v>
      </c>
      <c r="AD1844">
        <v>-1.1074163319578001</v>
      </c>
      <c r="AE1844">
        <v>-5.6273000000000399</v>
      </c>
      <c r="AF1844">
        <v>1.7997194964054</v>
      </c>
      <c r="AG1844">
        <v>-1.1074163319578001</v>
      </c>
      <c r="AH1844">
        <v>5.6354059280324797</v>
      </c>
      <c r="AI1844">
        <v>100.60283400645</v>
      </c>
      <c r="AJ1844">
        <v>72.288632216813298</v>
      </c>
      <c r="AK1844">
        <v>6.01856803332256</v>
      </c>
      <c r="AL1844">
        <v>68.0252654278612</v>
      </c>
      <c r="AM1844">
        <v>80.292274469003601</v>
      </c>
      <c r="AN1844">
        <v>0.99999999607308998</v>
      </c>
    </row>
    <row r="1845" spans="1:40" x14ac:dyDescent="0.25">
      <c r="A1845" t="str">
        <f>"20190304164851510"</f>
        <v>20190304164851510</v>
      </c>
      <c r="B1845" t="str">
        <f>"1551689331507815"</f>
        <v>1551689331507815</v>
      </c>
      <c r="C1845" t="s">
        <v>40</v>
      </c>
      <c r="D1845">
        <v>5.018866</v>
      </c>
      <c r="E1845">
        <v>0.57685940000000002</v>
      </c>
      <c r="F1845" t="s">
        <v>45</v>
      </c>
      <c r="G1845">
        <v>-194.3888</v>
      </c>
      <c r="H1845" s="1">
        <v>7.1712400000000001E-7</v>
      </c>
      <c r="I1845">
        <v>296.476</v>
      </c>
      <c r="J1845">
        <v>-192.01410000000001</v>
      </c>
      <c r="K1845">
        <v>1.1072959999999901</v>
      </c>
      <c r="L1845">
        <v>302.017</v>
      </c>
      <c r="M1845">
        <v>-9.640978E-2</v>
      </c>
      <c r="N1845">
        <v>-1.4042860000000001E-2</v>
      </c>
      <c r="O1845">
        <v>-0.99524270000000004</v>
      </c>
      <c r="P1845">
        <v>-0.24245620000000001</v>
      </c>
      <c r="Q1845">
        <v>0.36296400000000001</v>
      </c>
      <c r="R1845">
        <v>-0.89970689999999998</v>
      </c>
      <c r="S1845">
        <v>-1.342285</v>
      </c>
      <c r="T1845">
        <v>-0.6188806</v>
      </c>
      <c r="U1845">
        <v>-3.2253720000000001</v>
      </c>
      <c r="V1845">
        <v>0.15806529999999999</v>
      </c>
      <c r="W1845">
        <v>0.3743785</v>
      </c>
      <c r="X1845">
        <v>0.91370459999999998</v>
      </c>
      <c r="Y1845">
        <v>0.28793299999999999</v>
      </c>
      <c r="Z1845">
        <v>0.16254839999999901</v>
      </c>
      <c r="AA1845">
        <v>0.94375450000000005</v>
      </c>
      <c r="AB1845">
        <v>24</v>
      </c>
      <c r="AC1845">
        <v>-2.37469999999999</v>
      </c>
      <c r="AD1845">
        <v>-1.1072952828760001</v>
      </c>
      <c r="AE1845">
        <v>-5.5409999999999897</v>
      </c>
      <c r="AF1845">
        <v>1.76967136817781</v>
      </c>
      <c r="AG1845">
        <v>-1.1072952828760001</v>
      </c>
      <c r="AH1845">
        <v>5.5566789779820596</v>
      </c>
      <c r="AI1845">
        <v>100.751113681601</v>
      </c>
      <c r="AJ1845">
        <v>72.3345481003484</v>
      </c>
      <c r="AK1845">
        <v>5.9358673215609796</v>
      </c>
      <c r="AL1845">
        <v>68.014094402079493</v>
      </c>
      <c r="AM1845">
        <v>80.185319298670294</v>
      </c>
      <c r="AN1845">
        <v>0.99999999819374996</v>
      </c>
    </row>
    <row r="1846" spans="1:40" x14ac:dyDescent="0.25">
      <c r="A1846" t="str">
        <f>"20190304164851536"</f>
        <v>20190304164851536</v>
      </c>
      <c r="B1846" t="str">
        <f>"1551689331528311"</f>
        <v>1551689331528311</v>
      </c>
      <c r="C1846" t="s">
        <v>40</v>
      </c>
      <c r="D1846">
        <v>5.0528810000000002</v>
      </c>
      <c r="E1846">
        <v>0.57627640000000002</v>
      </c>
      <c r="F1846" t="s">
        <v>45</v>
      </c>
      <c r="G1846">
        <v>-194.422</v>
      </c>
      <c r="H1846" s="1">
        <v>7.6828999999999995E-7</v>
      </c>
      <c r="I1846">
        <v>296.3229</v>
      </c>
      <c r="J1846">
        <v>-192.04769999999999</v>
      </c>
      <c r="K1846">
        <v>1.107146</v>
      </c>
      <c r="L1846">
        <v>301.74740000000003</v>
      </c>
      <c r="M1846">
        <v>-0.1030237</v>
      </c>
      <c r="N1846">
        <v>-1.405936E-2</v>
      </c>
      <c r="O1846">
        <v>-0.99457949999999995</v>
      </c>
      <c r="P1846">
        <v>-0.2497817</v>
      </c>
      <c r="Q1846">
        <v>0.3628149</v>
      </c>
      <c r="R1846">
        <v>-0.89776089999999997</v>
      </c>
      <c r="S1846">
        <v>-1.36171</v>
      </c>
      <c r="T1846">
        <v>-0.62619009999999997</v>
      </c>
      <c r="U1846">
        <v>-3.2200929999999999</v>
      </c>
      <c r="V1846">
        <v>0.1595782</v>
      </c>
      <c r="W1846">
        <v>0.37417020000000001</v>
      </c>
      <c r="X1846">
        <v>0.91352699999999998</v>
      </c>
      <c r="Y1846">
        <v>0.28683599999999998</v>
      </c>
      <c r="Z1846">
        <v>0.16449169999999999</v>
      </c>
      <c r="AA1846">
        <v>0.94375189999999998</v>
      </c>
      <c r="AB1846">
        <v>24</v>
      </c>
      <c r="AC1846">
        <v>-2.3742999999999999</v>
      </c>
      <c r="AD1846">
        <v>-1.1071452317099999</v>
      </c>
      <c r="AE1846">
        <v>-5.4245000000000196</v>
      </c>
      <c r="AF1846">
        <v>1.7418615287922701</v>
      </c>
      <c r="AG1846">
        <v>-1.1071452317099999</v>
      </c>
      <c r="AH1846">
        <v>5.4497425832183204</v>
      </c>
      <c r="AI1846">
        <v>100.95201963047801</v>
      </c>
      <c r="AJ1846">
        <v>72.2749393308452</v>
      </c>
      <c r="AK1846">
        <v>5.8274819925013803</v>
      </c>
      <c r="AL1846">
        <v>68.026965971393693</v>
      </c>
      <c r="AM1846">
        <v>80.091344228469794</v>
      </c>
      <c r="AN1846">
        <v>1.0000000601061301</v>
      </c>
    </row>
    <row r="1847" spans="1:40" x14ac:dyDescent="0.25">
      <c r="A1847" t="str">
        <f>"20190304164851558"</f>
        <v>20190304164851558</v>
      </c>
      <c r="B1847" t="str">
        <f>"1551689331547831"</f>
        <v>1551689331547831</v>
      </c>
      <c r="C1847" t="s">
        <v>40</v>
      </c>
      <c r="D1847">
        <v>5.0220719999999996</v>
      </c>
      <c r="E1847">
        <v>0.57585220000000004</v>
      </c>
      <c r="F1847" t="s">
        <v>45</v>
      </c>
      <c r="G1847">
        <v>-194.47110000000001</v>
      </c>
      <c r="H1847" s="1">
        <v>8.3262010000000005E-7</v>
      </c>
      <c r="I1847">
        <v>296.12860000000001</v>
      </c>
      <c r="J1847">
        <v>-192.0805</v>
      </c>
      <c r="K1847">
        <v>1.1070040000000001</v>
      </c>
      <c r="L1847">
        <v>301.50119999999998</v>
      </c>
      <c r="M1847">
        <v>-0.1093278</v>
      </c>
      <c r="N1847">
        <v>-1.407623E-2</v>
      </c>
      <c r="O1847">
        <v>-0.99390619999999996</v>
      </c>
      <c r="P1847">
        <v>-0.25746740000000001</v>
      </c>
      <c r="Q1847">
        <v>0.3632417</v>
      </c>
      <c r="R1847">
        <v>-0.89541389999999998</v>
      </c>
      <c r="S1847">
        <v>-1.38533</v>
      </c>
      <c r="T1847">
        <v>-0.63289549999999895</v>
      </c>
      <c r="U1847">
        <v>-3.2120060000000001</v>
      </c>
      <c r="V1847">
        <v>0.16177949999999999</v>
      </c>
      <c r="W1847">
        <v>0.37452920000000001</v>
      </c>
      <c r="X1847">
        <v>0.91299249999999998</v>
      </c>
      <c r="Y1847">
        <v>0.28736469999999997</v>
      </c>
      <c r="Z1847">
        <v>0.16631119999999999</v>
      </c>
      <c r="AA1847">
        <v>0.94327209999999995</v>
      </c>
      <c r="AB1847">
        <v>24</v>
      </c>
      <c r="AC1847">
        <v>-2.3906000000000001</v>
      </c>
      <c r="AD1847">
        <v>-1.1070031673798999</v>
      </c>
      <c r="AE1847">
        <v>-5.3725999999999701</v>
      </c>
      <c r="AF1847">
        <v>1.7276107130359899</v>
      </c>
      <c r="AG1847">
        <v>-1.1070031673798999</v>
      </c>
      <c r="AH1847">
        <v>5.4100497871170203</v>
      </c>
      <c r="AI1847">
        <v>101.02993029402001</v>
      </c>
      <c r="AJ1847">
        <v>72.289969960552696</v>
      </c>
      <c r="AK1847">
        <v>5.7860810128679301</v>
      </c>
      <c r="AL1847">
        <v>68.004782869005695</v>
      </c>
      <c r="AM1847">
        <v>79.951663832432402</v>
      </c>
      <c r="AN1847">
        <v>1.00000001666456</v>
      </c>
    </row>
    <row r="1848" spans="1:40" x14ac:dyDescent="0.25">
      <c r="A1848" t="str">
        <f>"20190304164851581"</f>
        <v>20190304164851581</v>
      </c>
      <c r="B1848" t="str">
        <f>"1551689331578087"</f>
        <v>1551689331578087</v>
      </c>
      <c r="C1848" t="s">
        <v>40</v>
      </c>
      <c r="D1848">
        <v>5.0481259999999999</v>
      </c>
      <c r="E1848">
        <v>0.57526820000000001</v>
      </c>
      <c r="F1848" t="s">
        <v>45</v>
      </c>
      <c r="G1848">
        <v>-194.5334</v>
      </c>
      <c r="H1848" s="1">
        <v>8.9746770000000002E-7</v>
      </c>
      <c r="I1848">
        <v>295.92950000000002</v>
      </c>
      <c r="J1848">
        <v>-192.1147</v>
      </c>
      <c r="K1848">
        <v>1.106884</v>
      </c>
      <c r="L1848">
        <v>301.25740000000002</v>
      </c>
      <c r="M1848">
        <v>-0.11575920000000001</v>
      </c>
      <c r="N1848">
        <v>-1.409298E-2</v>
      </c>
      <c r="O1848">
        <v>-0.99317750000000005</v>
      </c>
      <c r="P1848">
        <v>-0.26630779999999998</v>
      </c>
      <c r="Q1848">
        <v>0.36339159999999998</v>
      </c>
      <c r="R1848">
        <v>-0.89276390000000005</v>
      </c>
      <c r="S1848">
        <v>-1.410156</v>
      </c>
      <c r="T1848">
        <v>-0.63640169999999996</v>
      </c>
      <c r="U1848">
        <v>-3.2030940000000001</v>
      </c>
      <c r="V1848">
        <v>0.1650344</v>
      </c>
      <c r="W1848">
        <v>0.37460490000000002</v>
      </c>
      <c r="X1848">
        <v>0.91237869999999999</v>
      </c>
      <c r="Y1848">
        <v>0.28820180000000001</v>
      </c>
      <c r="Z1848">
        <v>0.16725009999999901</v>
      </c>
      <c r="AA1848">
        <v>0.94285050000000004</v>
      </c>
      <c r="AB1848">
        <v>24</v>
      </c>
      <c r="AC1848">
        <v>-2.4186999999999999</v>
      </c>
      <c r="AD1848">
        <v>-1.1068831025323</v>
      </c>
      <c r="AE1848">
        <v>-5.3278999999999996</v>
      </c>
      <c r="AF1848">
        <v>1.7239295425835901</v>
      </c>
      <c r="AG1848">
        <v>-1.1068831025323</v>
      </c>
      <c r="AH1848">
        <v>5.3795763306317497</v>
      </c>
      <c r="AI1848">
        <v>101.08616400154099</v>
      </c>
      <c r="AJ1848">
        <v>72.231515322787601</v>
      </c>
      <c r="AK1848">
        <v>5.7564715553503296</v>
      </c>
      <c r="AL1848">
        <v>68.000105530882095</v>
      </c>
      <c r="AM1848">
        <v>79.746992699007095</v>
      </c>
      <c r="AN1848">
        <v>1.0000000382505201</v>
      </c>
    </row>
    <row r="1849" spans="1:40" x14ac:dyDescent="0.25">
      <c r="A1849" t="str">
        <f>"20190304164851612"</f>
        <v>20190304164851612</v>
      </c>
      <c r="B1849" t="str">
        <f>"1551689331608343"</f>
        <v>1551689331608343</v>
      </c>
      <c r="C1849" t="s">
        <v>40</v>
      </c>
      <c r="D1849">
        <v>4.6404399999999999</v>
      </c>
      <c r="E1849">
        <v>0.59120530000000004</v>
      </c>
      <c r="F1849" t="s">
        <v>45</v>
      </c>
      <c r="G1849">
        <v>-194.58699999999999</v>
      </c>
      <c r="H1849" s="1">
        <v>9.5163550000000005E-7</v>
      </c>
      <c r="I1849">
        <v>295.76280000000003</v>
      </c>
      <c r="J1849">
        <v>-192.1635</v>
      </c>
      <c r="K1849">
        <v>1.1067180000000001</v>
      </c>
      <c r="L1849">
        <v>300.92989999999998</v>
      </c>
      <c r="M1849">
        <v>-0.1247159</v>
      </c>
      <c r="N1849">
        <v>-1.4114440000000001E-2</v>
      </c>
      <c r="O1849">
        <v>-0.99209219999999998</v>
      </c>
      <c r="P1849">
        <v>-0.27640229999999999</v>
      </c>
      <c r="Q1849">
        <v>0.36271629999999999</v>
      </c>
      <c r="R1849">
        <v>-0.88996569999999997</v>
      </c>
      <c r="S1849">
        <v>-1.4369809999999901</v>
      </c>
      <c r="T1849">
        <v>-0.64335159999999902</v>
      </c>
      <c r="U1849">
        <v>-3.1936339999999999</v>
      </c>
      <c r="V1849">
        <v>0.167245799999999</v>
      </c>
      <c r="W1849">
        <v>0.37386380000000002</v>
      </c>
      <c r="X1849">
        <v>0.91227999999999998</v>
      </c>
      <c r="Y1849">
        <v>0.287078</v>
      </c>
      <c r="Z1849">
        <v>0.16909679999999999</v>
      </c>
      <c r="AA1849">
        <v>0.94286400000000004</v>
      </c>
      <c r="AB1849">
        <v>24</v>
      </c>
      <c r="AC1849">
        <v>-2.42350000000001</v>
      </c>
      <c r="AD1849">
        <v>-1.1067170483644999</v>
      </c>
      <c r="AE1849">
        <v>-5.1670999999999401</v>
      </c>
      <c r="AF1849">
        <v>1.69630454312484</v>
      </c>
      <c r="AG1849">
        <v>-1.1067170483644999</v>
      </c>
      <c r="AH1849">
        <v>5.2322782891641202</v>
      </c>
      <c r="AI1849">
        <v>101.376433167901</v>
      </c>
      <c r="AJ1849">
        <v>72.037306571906498</v>
      </c>
      <c r="AK1849">
        <v>5.61061563675724</v>
      </c>
      <c r="AL1849">
        <v>68.045894980710003</v>
      </c>
      <c r="AM1849">
        <v>79.611478405355598</v>
      </c>
      <c r="AN1849">
        <v>1.0000000484840299</v>
      </c>
    </row>
    <row r="1850" spans="1:40" x14ac:dyDescent="0.25">
      <c r="A1850" t="str">
        <f>"20190304164851635"</f>
        <v>20190304164851635</v>
      </c>
      <c r="B1850" t="str">
        <f>"1551689331627863"</f>
        <v>1551689331627863</v>
      </c>
      <c r="C1850" t="s">
        <v>40</v>
      </c>
      <c r="D1850">
        <v>4.6518139999999999</v>
      </c>
      <c r="E1850">
        <v>0.59135930000000003</v>
      </c>
      <c r="F1850" t="s">
        <v>45</v>
      </c>
      <c r="G1850">
        <v>-196.22370000000001</v>
      </c>
      <c r="H1850" s="1">
        <v>1.477491E-6</v>
      </c>
      <c r="I1850">
        <v>293.10750000000002</v>
      </c>
      <c r="J1850">
        <v>-192.20359999999999</v>
      </c>
      <c r="K1850">
        <v>1.106595</v>
      </c>
      <c r="L1850">
        <v>300.67599999999999</v>
      </c>
      <c r="M1850">
        <v>-0.1319266</v>
      </c>
      <c r="N1850">
        <v>-1.413233E-2</v>
      </c>
      <c r="O1850">
        <v>-0.99115880000000001</v>
      </c>
      <c r="P1850">
        <v>-0.28412179999999998</v>
      </c>
      <c r="Q1850">
        <v>0.36260829999999999</v>
      </c>
      <c r="R1850">
        <v>-0.88757569999999997</v>
      </c>
      <c r="S1850">
        <v>-1.5854950000000001</v>
      </c>
      <c r="T1850">
        <v>-0.43216840000000001</v>
      </c>
      <c r="U1850">
        <v>-3.0546259999999998</v>
      </c>
      <c r="V1850">
        <v>0.1686494</v>
      </c>
      <c r="W1850">
        <v>0.3737045</v>
      </c>
      <c r="X1850">
        <v>0.91208679999999998</v>
      </c>
      <c r="Y1850">
        <v>0.3363025</v>
      </c>
      <c r="Z1850">
        <v>0.1127838</v>
      </c>
      <c r="AA1850">
        <v>0.93497620000000004</v>
      </c>
      <c r="AB1850">
        <v>24</v>
      </c>
      <c r="AC1850">
        <v>-4.02010000000001</v>
      </c>
      <c r="AD1850">
        <v>-1.106593522509</v>
      </c>
      <c r="AE1850">
        <v>-7.56849999999997</v>
      </c>
      <c r="AF1850">
        <v>2.9373928326456298</v>
      </c>
      <c r="AG1850">
        <v>-1.106593522509</v>
      </c>
      <c r="AH1850">
        <v>7.9010087570116303</v>
      </c>
      <c r="AI1850">
        <v>97.478928628849303</v>
      </c>
      <c r="AJ1850">
        <v>69.606154153315799</v>
      </c>
      <c r="AK1850">
        <v>8.5016919054804205</v>
      </c>
      <c r="AL1850">
        <v>68.055734408328505</v>
      </c>
      <c r="AM1850">
        <v>79.524045511541303</v>
      </c>
      <c r="AN1850">
        <v>1.00000000208742</v>
      </c>
    </row>
    <row r="1851" spans="1:40" x14ac:dyDescent="0.25">
      <c r="A1851" t="str">
        <f>"20190304164851657"</f>
        <v>20190304164851657</v>
      </c>
      <c r="B1851" t="str">
        <f>"1551689331648359"</f>
        <v>1551689331648359</v>
      </c>
      <c r="C1851" t="s">
        <v>40</v>
      </c>
      <c r="D1851">
        <v>4.9322569999999999</v>
      </c>
      <c r="E1851">
        <v>0.59115240000000002</v>
      </c>
      <c r="F1851" t="s">
        <v>45</v>
      </c>
      <c r="G1851">
        <v>-196.35400000000001</v>
      </c>
      <c r="H1851" s="1">
        <v>1.5113189999999999E-6</v>
      </c>
      <c r="I1851">
        <v>292.84980000000002</v>
      </c>
      <c r="J1851">
        <v>-192.24209999999999</v>
      </c>
      <c r="K1851">
        <v>1.1064689999999999</v>
      </c>
      <c r="L1851">
        <v>300.44529999999997</v>
      </c>
      <c r="M1851">
        <v>-0.138733299999999</v>
      </c>
      <c r="N1851">
        <v>-1.415216E-2</v>
      </c>
      <c r="O1851">
        <v>-0.99022869999999996</v>
      </c>
      <c r="P1851">
        <v>-0.291798</v>
      </c>
      <c r="Q1851">
        <v>0.36234349999999999</v>
      </c>
      <c r="R1851">
        <v>-0.88518989999999997</v>
      </c>
      <c r="S1851">
        <v>-1.6119380000000001</v>
      </c>
      <c r="T1851">
        <v>-0.4297822</v>
      </c>
      <c r="U1851">
        <v>-3.0395810000000001</v>
      </c>
      <c r="V1851">
        <v>0.17039489999999999</v>
      </c>
      <c r="W1851">
        <v>0.37338159999999998</v>
      </c>
      <c r="X1851">
        <v>0.9118946</v>
      </c>
      <c r="Y1851">
        <v>0.3381304</v>
      </c>
      <c r="Z1851">
        <v>0.1121949</v>
      </c>
      <c r="AA1851">
        <v>0.93438759999999998</v>
      </c>
      <c r="AB1851">
        <v>24</v>
      </c>
      <c r="AC1851">
        <v>-4.1119000000000199</v>
      </c>
      <c r="AD1851">
        <v>-1.106467488681</v>
      </c>
      <c r="AE1851">
        <v>-7.5954999999999497</v>
      </c>
      <c r="AF1851">
        <v>2.9695407952984101</v>
      </c>
      <c r="AG1851">
        <v>-1.106467488681</v>
      </c>
      <c r="AH1851">
        <v>7.9618849420620101</v>
      </c>
      <c r="AI1851">
        <v>97.418681370210194</v>
      </c>
      <c r="AJ1851">
        <v>69.546015241702904</v>
      </c>
      <c r="AK1851">
        <v>8.5693672268775707</v>
      </c>
      <c r="AL1851">
        <v>68.075678926504494</v>
      </c>
      <c r="AM1851">
        <v>79.415877477880201</v>
      </c>
      <c r="AN1851">
        <v>1.00000000133686</v>
      </c>
    </row>
    <row r="1852" spans="1:40" x14ac:dyDescent="0.25">
      <c r="A1852" t="str">
        <f>"20190304164851679"</f>
        <v>20190304164851679</v>
      </c>
      <c r="B1852" t="str">
        <f>"1551689331667883"</f>
        <v>1551689331667883</v>
      </c>
      <c r="C1852" t="s">
        <v>40</v>
      </c>
      <c r="D1852">
        <v>4.9124930000000004</v>
      </c>
      <c r="E1852">
        <v>0.59115240000000002</v>
      </c>
      <c r="F1852" t="s">
        <v>45</v>
      </c>
      <c r="G1852">
        <v>-196.4177</v>
      </c>
      <c r="H1852" s="1">
        <v>1.530301E-6</v>
      </c>
      <c r="I1852">
        <v>292.7099</v>
      </c>
      <c r="J1852">
        <v>-192.28370000000001</v>
      </c>
      <c r="K1852">
        <v>1.1063160000000001</v>
      </c>
      <c r="L1852">
        <v>300.2081</v>
      </c>
      <c r="M1852">
        <v>-0.1459705</v>
      </c>
      <c r="N1852">
        <v>-1.417554E-2</v>
      </c>
      <c r="O1852">
        <v>-0.98918740000000005</v>
      </c>
      <c r="P1852">
        <v>-0.30000339999999998</v>
      </c>
      <c r="Q1852">
        <v>0.36242049999999998</v>
      </c>
      <c r="R1852">
        <v>-0.88241119999999995</v>
      </c>
      <c r="S1852">
        <v>-1.6343080000000001</v>
      </c>
      <c r="T1852">
        <v>-0.43306420000000001</v>
      </c>
      <c r="U1852">
        <v>-3.0275880000000002</v>
      </c>
      <c r="V1852">
        <v>0.17234949999999999</v>
      </c>
      <c r="W1852">
        <v>0.37338959999999999</v>
      </c>
      <c r="X1852">
        <v>0.91152390000000005</v>
      </c>
      <c r="Y1852">
        <v>0.33809280000000003</v>
      </c>
      <c r="Z1852">
        <v>0.1131817</v>
      </c>
      <c r="AA1852">
        <v>0.93428219999999995</v>
      </c>
      <c r="AB1852">
        <v>24</v>
      </c>
      <c r="AC1852">
        <v>-4.1339999999999799</v>
      </c>
      <c r="AD1852">
        <v>-1.1063144696989999</v>
      </c>
      <c r="AE1852">
        <v>-7.49819999999999</v>
      </c>
      <c r="AF1852">
        <v>2.94590483110359</v>
      </c>
      <c r="AG1852">
        <v>-1.1063144696989999</v>
      </c>
      <c r="AH1852">
        <v>7.8896579894188799</v>
      </c>
      <c r="AI1852">
        <v>97.483791818605994</v>
      </c>
      <c r="AJ1852">
        <v>69.524963776255404</v>
      </c>
      <c r="AK1852">
        <v>8.4940561670962698</v>
      </c>
      <c r="AL1852">
        <v>68.075184376852107</v>
      </c>
      <c r="AM1852">
        <v>79.293004324102597</v>
      </c>
      <c r="AN1852">
        <v>0.99999998190480899</v>
      </c>
    </row>
    <row r="1853" spans="1:40" x14ac:dyDescent="0.25">
      <c r="A1853" t="str">
        <f>"20190304164851701"</f>
        <v>20190304164851701</v>
      </c>
      <c r="B1853" t="str">
        <f>"1551689331698135"</f>
        <v>1551689331698135</v>
      </c>
      <c r="C1853" t="s">
        <v>40</v>
      </c>
      <c r="D1853">
        <v>4.9147790000000002</v>
      </c>
      <c r="E1853">
        <v>0.59115240000000002</v>
      </c>
      <c r="F1853" t="s">
        <v>45</v>
      </c>
      <c r="G1853">
        <v>-196.52019999999999</v>
      </c>
      <c r="H1853" s="1">
        <v>1.5550520000000001E-6</v>
      </c>
      <c r="I1853">
        <v>292.51769999999999</v>
      </c>
      <c r="J1853">
        <v>-192.3262</v>
      </c>
      <c r="K1853">
        <v>1.106176</v>
      </c>
      <c r="L1853">
        <v>299.97640000000001</v>
      </c>
      <c r="M1853">
        <v>-0.15324090000000001</v>
      </c>
      <c r="N1853">
        <v>-1.419919E-2</v>
      </c>
      <c r="O1853">
        <v>-0.9880871</v>
      </c>
      <c r="P1853">
        <v>-0.30740959999999901</v>
      </c>
      <c r="Q1853">
        <v>0.36287999999999998</v>
      </c>
      <c r="R1853">
        <v>-0.87966909999999898</v>
      </c>
      <c r="S1853">
        <v>-1.6600649999999999</v>
      </c>
      <c r="T1853">
        <v>-0.43349979999999999</v>
      </c>
      <c r="U1853">
        <v>-3.0134280000000002</v>
      </c>
      <c r="V1853">
        <v>0.17347960000000001</v>
      </c>
      <c r="W1853">
        <v>0.37379210000000002</v>
      </c>
      <c r="X1853">
        <v>0.91114450000000002</v>
      </c>
      <c r="Y1853">
        <v>0.33914879999999997</v>
      </c>
      <c r="Z1853">
        <v>0.1133567</v>
      </c>
      <c r="AA1853">
        <v>0.93387810000000004</v>
      </c>
      <c r="AB1853">
        <v>24</v>
      </c>
      <c r="AC1853">
        <v>-4.1939999999999804</v>
      </c>
      <c r="AD1853">
        <v>-1.106174444948</v>
      </c>
      <c r="AE1853">
        <v>-7.4587000000000199</v>
      </c>
      <c r="AF1853">
        <v>2.9520293778112001</v>
      </c>
      <c r="AG1853">
        <v>-1.106174444948</v>
      </c>
      <c r="AH1853">
        <v>7.8816321915410699</v>
      </c>
      <c r="AI1853">
        <v>97.487577400958699</v>
      </c>
      <c r="AJ1853">
        <v>69.466791734873198</v>
      </c>
      <c r="AK1853">
        <v>8.4887116426966092</v>
      </c>
      <c r="AL1853">
        <v>68.050323160188299</v>
      </c>
      <c r="AM1853">
        <v>79.220055096282294</v>
      </c>
      <c r="AN1853">
        <v>1.00000000275941</v>
      </c>
    </row>
    <row r="1854" spans="1:40" x14ac:dyDescent="0.25">
      <c r="A1854" t="str">
        <f>"20190304164851723"</f>
        <v>20190304164851723</v>
      </c>
      <c r="B1854" t="str">
        <f>"1551689331717656"</f>
        <v>1551689331717656</v>
      </c>
      <c r="C1854" t="s">
        <v>40</v>
      </c>
      <c r="D1854">
        <v>4.9365269999999999</v>
      </c>
      <c r="E1854">
        <v>0.59115240000000002</v>
      </c>
      <c r="F1854" t="s">
        <v>45</v>
      </c>
      <c r="G1854">
        <v>-196.64009999999999</v>
      </c>
      <c r="H1854" s="1">
        <v>1.5833959999999901E-6</v>
      </c>
      <c r="I1854">
        <v>292.29640000000001</v>
      </c>
      <c r="J1854">
        <v>-192.37309999999999</v>
      </c>
      <c r="K1854">
        <v>1.1060380000000001</v>
      </c>
      <c r="L1854">
        <v>299.73289999999997</v>
      </c>
      <c r="M1854">
        <v>-0.16110279999999999</v>
      </c>
      <c r="N1854">
        <v>-1.4222500000000001E-2</v>
      </c>
      <c r="O1854">
        <v>-0.98683520000000002</v>
      </c>
      <c r="P1854">
        <v>-0.31470910000000002</v>
      </c>
      <c r="Q1854">
        <v>0.36314039999999997</v>
      </c>
      <c r="R1854">
        <v>-0.87697649999999905</v>
      </c>
      <c r="S1854">
        <v>-1.6849670000000001</v>
      </c>
      <c r="T1854">
        <v>-0.43206119999999998</v>
      </c>
      <c r="U1854">
        <v>-2.9997560000000001</v>
      </c>
      <c r="V1854">
        <v>0.17394599999999999</v>
      </c>
      <c r="W1854">
        <v>0.37400840000000002</v>
      </c>
      <c r="X1854">
        <v>0.91096679999999997</v>
      </c>
      <c r="Y1854">
        <v>0.33939899999999901</v>
      </c>
      <c r="Z1854">
        <v>0.1129705</v>
      </c>
      <c r="AA1854">
        <v>0.93383400000000005</v>
      </c>
      <c r="AB1854">
        <v>24</v>
      </c>
      <c r="AC1854">
        <v>-4.2669999999999897</v>
      </c>
      <c r="AD1854">
        <v>-1.10603641660399</v>
      </c>
      <c r="AE1854">
        <v>-7.4364999999999597</v>
      </c>
      <c r="AF1854">
        <v>2.96376711174547</v>
      </c>
      <c r="AG1854">
        <v>-1.10603641660399</v>
      </c>
      <c r="AH1854">
        <v>7.8954429606778502</v>
      </c>
      <c r="AI1854">
        <v>97.471686620690704</v>
      </c>
      <c r="AJ1854">
        <v>69.425023387917193</v>
      </c>
      <c r="AK1854">
        <v>8.50560118938313</v>
      </c>
      <c r="AL1854">
        <v>68.036960896985093</v>
      </c>
      <c r="AM1854">
        <v>79.189696333588699</v>
      </c>
      <c r="AN1854">
        <v>1.0000000024444</v>
      </c>
    </row>
    <row r="1855" spans="1:40" x14ac:dyDescent="0.25">
      <c r="A1855" t="str">
        <f>"20190304164851746"</f>
        <v>20190304164851746</v>
      </c>
      <c r="B1855" t="str">
        <f>"1551689331738152"</f>
        <v>1551689331738152</v>
      </c>
      <c r="C1855" t="s">
        <v>40</v>
      </c>
      <c r="D1855">
        <v>4.5912730000000002</v>
      </c>
      <c r="E1855">
        <v>0.61174740000000005</v>
      </c>
      <c r="F1855" t="s">
        <v>45</v>
      </c>
      <c r="G1855">
        <v>-196.77010000000001</v>
      </c>
      <c r="H1855" s="1">
        <v>1.6126269999999999E-6</v>
      </c>
      <c r="I1855">
        <v>292.065</v>
      </c>
      <c r="J1855">
        <v>-192.42169999999999</v>
      </c>
      <c r="K1855">
        <v>1.1059139999999901</v>
      </c>
      <c r="L1855">
        <v>299.49250000000001</v>
      </c>
      <c r="M1855">
        <v>-0.1691067</v>
      </c>
      <c r="N1855">
        <v>-1.424484E-2</v>
      </c>
      <c r="O1855">
        <v>-0.98549489999999995</v>
      </c>
      <c r="P1855">
        <v>-0.32226080000000001</v>
      </c>
      <c r="Q1855">
        <v>0.36264229999999997</v>
      </c>
      <c r="R1855">
        <v>-0.8744364</v>
      </c>
      <c r="S1855">
        <v>-1.711624</v>
      </c>
      <c r="T1855">
        <v>-0.43055470000000001</v>
      </c>
      <c r="U1855">
        <v>-2.9849549999999998</v>
      </c>
      <c r="V1855">
        <v>0.1744888</v>
      </c>
      <c r="W1855">
        <v>0.37347239999999998</v>
      </c>
      <c r="X1855">
        <v>0.91108290000000003</v>
      </c>
      <c r="Y1855">
        <v>0.34007009999999899</v>
      </c>
      <c r="Z1855">
        <v>0.11256049999999999</v>
      </c>
      <c r="AA1855">
        <v>0.93363929999999995</v>
      </c>
      <c r="AB1855">
        <v>24</v>
      </c>
      <c r="AC1855">
        <v>-4.3484000000000202</v>
      </c>
      <c r="AD1855">
        <v>-1.1059123873729999</v>
      </c>
      <c r="AE1855">
        <v>-7.4275000000000002</v>
      </c>
      <c r="AF1855">
        <v>2.9803852684897798</v>
      </c>
      <c r="AG1855">
        <v>-1.1059123873729999</v>
      </c>
      <c r="AH1855">
        <v>7.9250760745219102</v>
      </c>
      <c r="AI1855">
        <v>97.441557478302698</v>
      </c>
      <c r="AJ1855">
        <v>69.3902134543534</v>
      </c>
      <c r="AK1855">
        <v>8.5388857202878405</v>
      </c>
      <c r="AL1855">
        <v>68.070071037485604</v>
      </c>
      <c r="AM1855">
        <v>79.1581102132334</v>
      </c>
      <c r="AN1855">
        <v>1.0000000127798001</v>
      </c>
    </row>
    <row r="1856" spans="1:40" x14ac:dyDescent="0.25">
      <c r="A1856" t="str">
        <f>"20190304164851772"</f>
        <v>20190304164851772</v>
      </c>
      <c r="B1856" t="str">
        <f>"1551689331768408"</f>
        <v>1551689331768408</v>
      </c>
      <c r="C1856" t="s">
        <v>40</v>
      </c>
      <c r="D1856">
        <v>4.9241599999999996</v>
      </c>
      <c r="E1856">
        <v>0.57270600000000005</v>
      </c>
      <c r="F1856" t="s">
        <v>45</v>
      </c>
      <c r="G1856">
        <v>-201.28550000000001</v>
      </c>
      <c r="H1856" s="1">
        <v>2.6532139999999998E-6</v>
      </c>
      <c r="I1856">
        <v>286.1472</v>
      </c>
      <c r="J1856">
        <v>-192.47720000000001</v>
      </c>
      <c r="K1856">
        <v>1.1057729999999999</v>
      </c>
      <c r="L1856">
        <v>299.23009999999999</v>
      </c>
      <c r="M1856">
        <v>-0.17812039999999901</v>
      </c>
      <c r="N1856">
        <v>-1.4271880000000001E-2</v>
      </c>
      <c r="O1856">
        <v>-0.98390529999999998</v>
      </c>
      <c r="P1856">
        <v>-0.33082050000000002</v>
      </c>
      <c r="Q1856">
        <v>0.36296820000000002</v>
      </c>
      <c r="R1856">
        <v>-0.87109820000000004</v>
      </c>
      <c r="S1856">
        <v>-1.8825529999999999</v>
      </c>
      <c r="T1856">
        <v>-0.2348816</v>
      </c>
      <c r="U1856">
        <v>-2.834381</v>
      </c>
      <c r="V1856">
        <v>0.1752475</v>
      </c>
      <c r="W1856">
        <v>0.37374970000000002</v>
      </c>
      <c r="X1856">
        <v>0.91082350000000001</v>
      </c>
      <c r="Y1856">
        <v>0.39492050000000001</v>
      </c>
      <c r="Z1856">
        <v>5.6801879999999999E-2</v>
      </c>
      <c r="AA1856">
        <v>0.91695769999999999</v>
      </c>
      <c r="AB1856">
        <v>24</v>
      </c>
      <c r="AC1856">
        <v>-8.8082999999999991</v>
      </c>
      <c r="AD1856">
        <v>-1.1057703467859901</v>
      </c>
      <c r="AE1856">
        <v>-13.082899999999899</v>
      </c>
      <c r="AF1856">
        <v>6.3058498913887799</v>
      </c>
      <c r="AG1856">
        <v>-1.1057703467859901</v>
      </c>
      <c r="AH1856">
        <v>14.3720957382526</v>
      </c>
      <c r="AI1856">
        <v>94.030137770556195</v>
      </c>
      <c r="AJ1856">
        <v>66.310225744028997</v>
      </c>
      <c r="AK1856">
        <v>15.733518577294101</v>
      </c>
      <c r="AL1856">
        <v>68.052941957018106</v>
      </c>
      <c r="AM1856">
        <v>79.109065954984302</v>
      </c>
      <c r="AN1856">
        <v>0.99999998632929399</v>
      </c>
    </row>
    <row r="1857" spans="1:40" x14ac:dyDescent="0.25">
      <c r="A1857" t="str">
        <f>"20190304164851793"</f>
        <v>20190304164851793</v>
      </c>
      <c r="B1857" t="str">
        <f>"1551689331787927"</f>
        <v>1551689331787927</v>
      </c>
      <c r="C1857" t="s">
        <v>40</v>
      </c>
      <c r="D1857">
        <v>4.5985060000000004</v>
      </c>
      <c r="E1857">
        <v>0.58795240000000004</v>
      </c>
      <c r="F1857" t="s">
        <v>45</v>
      </c>
      <c r="G1857">
        <v>-195.17490000000001</v>
      </c>
      <c r="H1857" s="1">
        <v>1.3859639999999901E-6</v>
      </c>
      <c r="I1857">
        <v>294.15530000000001</v>
      </c>
      <c r="J1857">
        <v>-192.52780000000001</v>
      </c>
      <c r="K1857">
        <v>1.105631</v>
      </c>
      <c r="L1857">
        <v>299.00189999999998</v>
      </c>
      <c r="M1857">
        <v>-0.1862182</v>
      </c>
      <c r="N1857">
        <v>-1.429884E-2</v>
      </c>
      <c r="O1857">
        <v>-0.98240450000000001</v>
      </c>
      <c r="P1857">
        <v>-0.33937539999999999</v>
      </c>
      <c r="Q1857">
        <v>0.36407590000000001</v>
      </c>
      <c r="R1857">
        <v>-0.86733700000000002</v>
      </c>
      <c r="S1857">
        <v>-1.6477200000000001</v>
      </c>
      <c r="T1857">
        <v>-0.67538999999999905</v>
      </c>
      <c r="U1857">
        <v>-3.0996090000000001</v>
      </c>
      <c r="V1857">
        <v>0.17694199999999999</v>
      </c>
      <c r="W1857">
        <v>0.37479190000000001</v>
      </c>
      <c r="X1857">
        <v>0.91006730000000002</v>
      </c>
      <c r="Y1857">
        <v>0.28880489999999998</v>
      </c>
      <c r="Z1857">
        <v>0.17750489999999999</v>
      </c>
      <c r="AA1857">
        <v>0.94078890000000004</v>
      </c>
      <c r="AB1857">
        <v>24</v>
      </c>
      <c r="AC1857">
        <v>-2.6470999999999898</v>
      </c>
      <c r="AD1857">
        <v>-1.105629614036</v>
      </c>
      <c r="AE1857">
        <v>-4.8465999999999596</v>
      </c>
      <c r="AF1857">
        <v>1.6327256494472899</v>
      </c>
      <c r="AG1857">
        <v>-1.105629614036</v>
      </c>
      <c r="AH1857">
        <v>5.0522825768863502</v>
      </c>
      <c r="AI1857">
        <v>101.762835946222</v>
      </c>
      <c r="AJ1857">
        <v>72.090934352890301</v>
      </c>
      <c r="AK1857">
        <v>5.4234462407684898</v>
      </c>
      <c r="AL1857">
        <v>67.988547618234406</v>
      </c>
      <c r="AM1857">
        <v>78.997401298613497</v>
      </c>
      <c r="AN1857">
        <v>0.999999965099449</v>
      </c>
    </row>
    <row r="1858" spans="1:40" x14ac:dyDescent="0.25">
      <c r="A1858" t="str">
        <f>"20190304164851815"</f>
        <v>20190304164851815</v>
      </c>
      <c r="B1858" t="str">
        <f>"1551689331807447"</f>
        <v>1551689331807447</v>
      </c>
      <c r="C1858" t="s">
        <v>40</v>
      </c>
      <c r="D1858">
        <v>4.5922109999999998</v>
      </c>
      <c r="E1858">
        <v>0.59434560000000003</v>
      </c>
      <c r="F1858" t="s">
        <v>45</v>
      </c>
      <c r="G1858">
        <v>-196.47290000000001</v>
      </c>
      <c r="H1858" s="1">
        <v>1.579307E-6</v>
      </c>
      <c r="I1858">
        <v>292.40379999999999</v>
      </c>
      <c r="J1858">
        <v>-192.5806</v>
      </c>
      <c r="K1858">
        <v>1.1054809999999999</v>
      </c>
      <c r="L1858">
        <v>298.77440000000001</v>
      </c>
      <c r="M1858">
        <v>-0.19453609999999999</v>
      </c>
      <c r="N1858">
        <v>-1.4328219999999999E-2</v>
      </c>
      <c r="O1858">
        <v>-0.98079090000000002</v>
      </c>
      <c r="P1858">
        <v>-0.34884209999999999</v>
      </c>
      <c r="Q1858">
        <v>0.36598730000000002</v>
      </c>
      <c r="R1858">
        <v>-0.86276469999999905</v>
      </c>
      <c r="S1858">
        <v>-1.77732799999999</v>
      </c>
      <c r="T1858">
        <v>-0.4981042</v>
      </c>
      <c r="U1858">
        <v>-2.9725649999999999</v>
      </c>
      <c r="V1858">
        <v>0.17952070000000001</v>
      </c>
      <c r="W1858">
        <v>0.37661299999999998</v>
      </c>
      <c r="X1858">
        <v>0.90880970000000005</v>
      </c>
      <c r="Y1858">
        <v>0.33158110000000002</v>
      </c>
      <c r="Z1858">
        <v>0.13096259999999901</v>
      </c>
      <c r="AA1858">
        <v>0.93429269999999998</v>
      </c>
      <c r="AB1858">
        <v>24</v>
      </c>
      <c r="AC1858">
        <v>-3.8923000000000001</v>
      </c>
      <c r="AD1858">
        <v>-1.1054794206930001</v>
      </c>
      <c r="AE1858">
        <v>-6.37060000000002</v>
      </c>
      <c r="AF1858">
        <v>2.5231599125977699</v>
      </c>
      <c r="AG1858">
        <v>-1.1054794206930001</v>
      </c>
      <c r="AH1858">
        <v>6.8558106915889496</v>
      </c>
      <c r="AI1858">
        <v>98.6049502406849</v>
      </c>
      <c r="AJ1858">
        <v>69.794753929106705</v>
      </c>
      <c r="AK1858">
        <v>7.3885425445768096</v>
      </c>
      <c r="AL1858">
        <v>67.875959993732295</v>
      </c>
      <c r="AM1858">
        <v>78.825995832016403</v>
      </c>
      <c r="AN1858">
        <v>1.0000000521557799</v>
      </c>
    </row>
    <row r="1859" spans="1:40" x14ac:dyDescent="0.25">
      <c r="A1859" t="str">
        <f>"20190304164851837"</f>
        <v>20190304164851837</v>
      </c>
      <c r="B1859" t="str">
        <f>"1551689331827943"</f>
        <v>1551689331827943</v>
      </c>
      <c r="C1859" t="s">
        <v>40</v>
      </c>
      <c r="D1859">
        <v>4.9391889999999998</v>
      </c>
      <c r="E1859">
        <v>0.59337709999999999</v>
      </c>
      <c r="F1859" t="s">
        <v>45</v>
      </c>
      <c r="G1859">
        <v>-197.45599999999999</v>
      </c>
      <c r="H1859" s="1">
        <v>1.720521E-6</v>
      </c>
      <c r="I1859">
        <v>291.1069</v>
      </c>
      <c r="J1859">
        <v>-192.63509999999999</v>
      </c>
      <c r="K1859">
        <v>1.1053230000000001</v>
      </c>
      <c r="L1859">
        <v>298.54930000000002</v>
      </c>
      <c r="M1859">
        <v>-0.203042</v>
      </c>
      <c r="N1859">
        <v>-1.4360059999999999E-2</v>
      </c>
      <c r="O1859">
        <v>-0.97906479999999996</v>
      </c>
      <c r="P1859">
        <v>-0.35675220000000002</v>
      </c>
      <c r="Q1859">
        <v>0.36798160000000002</v>
      </c>
      <c r="R1859">
        <v>-0.8586722</v>
      </c>
      <c r="S1859">
        <v>-1.84877</v>
      </c>
      <c r="T1859">
        <v>-0.4191993</v>
      </c>
      <c r="U1859">
        <v>-2.9075319999999998</v>
      </c>
      <c r="V1859">
        <v>0.18033650000000001</v>
      </c>
      <c r="W1859">
        <v>0.37854070000000001</v>
      </c>
      <c r="X1859">
        <v>0.90784670000000001</v>
      </c>
      <c r="Y1859">
        <v>0.35047909999999999</v>
      </c>
      <c r="Z1859">
        <v>0.1092887</v>
      </c>
      <c r="AA1859">
        <v>0.9301722</v>
      </c>
      <c r="AB1859">
        <v>24</v>
      </c>
      <c r="AC1859">
        <v>-4.8208999999999902</v>
      </c>
      <c r="AD1859">
        <v>-1.1053212794789999</v>
      </c>
      <c r="AE1859">
        <v>-7.4424000000000099</v>
      </c>
      <c r="AF1859">
        <v>3.1600839562703902</v>
      </c>
      <c r="AG1859">
        <v>-1.1053212794789999</v>
      </c>
      <c r="AH1859">
        <v>8.1398148156235894</v>
      </c>
      <c r="AI1859">
        <v>97.214532315161804</v>
      </c>
      <c r="AJ1859">
        <v>68.782516373196302</v>
      </c>
      <c r="AK1859">
        <v>8.8013891502530406</v>
      </c>
      <c r="AL1859">
        <v>67.756679848418699</v>
      </c>
      <c r="AM1859">
        <v>78.764901132271305</v>
      </c>
      <c r="AN1859">
        <v>0.999999972744814</v>
      </c>
    </row>
    <row r="1860" spans="1:40" x14ac:dyDescent="0.25">
      <c r="A1860" t="str">
        <f>"20190304164851859"</f>
        <v>20190304164851859</v>
      </c>
      <c r="B1860" t="str">
        <f>"1551689331847467"</f>
        <v>1551689331847467</v>
      </c>
      <c r="C1860" t="s">
        <v>40</v>
      </c>
      <c r="D1860">
        <v>4.8843239999999897</v>
      </c>
      <c r="E1860">
        <v>0.57166589999999995</v>
      </c>
      <c r="F1860" t="s">
        <v>45</v>
      </c>
      <c r="G1860">
        <v>-197.5213</v>
      </c>
      <c r="H1860" s="1">
        <v>1.7394039999999999E-6</v>
      </c>
      <c r="I1860">
        <v>290.96679999999998</v>
      </c>
      <c r="J1860">
        <v>-192.69300000000001</v>
      </c>
      <c r="K1860">
        <v>1.1051580000000001</v>
      </c>
      <c r="L1860">
        <v>298.32100000000003</v>
      </c>
      <c r="M1860">
        <v>-0.2119366</v>
      </c>
      <c r="N1860">
        <v>-1.439468E-2</v>
      </c>
      <c r="O1860">
        <v>-0.97717750000000003</v>
      </c>
      <c r="P1860">
        <v>-0.36451909999999998</v>
      </c>
      <c r="Q1860">
        <v>0.3687704</v>
      </c>
      <c r="R1860">
        <v>-0.85506419999999905</v>
      </c>
      <c r="S1860">
        <v>-1.867966</v>
      </c>
      <c r="T1860">
        <v>-0.42255969999999998</v>
      </c>
      <c r="U1860">
        <v>-2.8987729999999998</v>
      </c>
      <c r="V1860">
        <v>0.1805525</v>
      </c>
      <c r="W1860">
        <v>0.37927860000000002</v>
      </c>
      <c r="X1860">
        <v>0.90749570000000002</v>
      </c>
      <c r="Y1860">
        <v>0.34755540000000001</v>
      </c>
      <c r="Z1860">
        <v>0.1100944</v>
      </c>
      <c r="AA1860">
        <v>0.93117369999999999</v>
      </c>
      <c r="AB1860">
        <v>24</v>
      </c>
      <c r="AC1860">
        <v>-4.8283000000000103</v>
      </c>
      <c r="AD1860">
        <v>-1.1051562605959999</v>
      </c>
      <c r="AE1860">
        <v>-7.3541999999999899</v>
      </c>
      <c r="AF1860">
        <v>3.11071989168678</v>
      </c>
      <c r="AG1860">
        <v>-1.1051562605959999</v>
      </c>
      <c r="AH1860">
        <v>8.0829480094836192</v>
      </c>
      <c r="AI1860">
        <v>97.271838728681402</v>
      </c>
      <c r="AJ1860">
        <v>68.950796060822597</v>
      </c>
      <c r="AK1860">
        <v>8.7310936960317598</v>
      </c>
      <c r="AL1860">
        <v>67.710994267380102</v>
      </c>
      <c r="AM1860">
        <v>78.747547498581</v>
      </c>
      <c r="AN1860">
        <v>0.99999995359634897</v>
      </c>
    </row>
    <row r="1861" spans="1:40" x14ac:dyDescent="0.25">
      <c r="A1861" t="str">
        <f>"20190304164851880"</f>
        <v>20190304164851880</v>
      </c>
      <c r="B1861" t="str">
        <f>"1551689331867963"</f>
        <v>1551689331867963</v>
      </c>
      <c r="C1861" t="s">
        <v>40</v>
      </c>
      <c r="D1861">
        <v>4.8378220000000001</v>
      </c>
      <c r="E1861">
        <v>0.57217790000000002</v>
      </c>
      <c r="F1861" t="s">
        <v>45</v>
      </c>
      <c r="G1861">
        <v>-195.75069999999999</v>
      </c>
      <c r="H1861" s="1">
        <v>1.5340289999999901E-6</v>
      </c>
      <c r="I1861">
        <v>293.02460000000002</v>
      </c>
      <c r="J1861">
        <v>-192.75219999999999</v>
      </c>
      <c r="K1861">
        <v>1.105008</v>
      </c>
      <c r="L1861">
        <v>298.09699999999998</v>
      </c>
      <c r="M1861">
        <v>-0.2208956</v>
      </c>
      <c r="N1861">
        <v>-1.442908E-2</v>
      </c>
      <c r="O1861">
        <v>-0.97519069999999997</v>
      </c>
      <c r="P1861">
        <v>-0.37198100000000001</v>
      </c>
      <c r="Q1861">
        <v>0.36831989999999998</v>
      </c>
      <c r="R1861">
        <v>-0.85203909999999905</v>
      </c>
      <c r="S1861">
        <v>-1.751968</v>
      </c>
      <c r="T1861">
        <v>-0.63322639999999997</v>
      </c>
      <c r="U1861">
        <v>-3.0346980000000001</v>
      </c>
      <c r="V1861">
        <v>0.18024870000000001</v>
      </c>
      <c r="W1861">
        <v>0.37880249999999999</v>
      </c>
      <c r="X1861">
        <v>0.90775499999999998</v>
      </c>
      <c r="Y1861">
        <v>0.2888752</v>
      </c>
      <c r="Z1861">
        <v>0.16595109999999999</v>
      </c>
      <c r="AA1861">
        <v>0.94287399999999999</v>
      </c>
      <c r="AB1861">
        <v>24</v>
      </c>
      <c r="AC1861">
        <v>-2.9984999999999999</v>
      </c>
      <c r="AD1861">
        <v>-1.1050064659709999</v>
      </c>
      <c r="AE1861">
        <v>-5.0723999999999503</v>
      </c>
      <c r="AF1861">
        <v>1.74254459464223</v>
      </c>
      <c r="AG1861">
        <v>-1.1050064659709999</v>
      </c>
      <c r="AH1861">
        <v>5.41892444990473</v>
      </c>
      <c r="AI1861">
        <v>100.985972317199</v>
      </c>
      <c r="AJ1861">
        <v>72.173948427701703</v>
      </c>
      <c r="AK1861">
        <v>5.7984690348340999</v>
      </c>
      <c r="AL1861">
        <v>67.740474334273301</v>
      </c>
      <c r="AM1861">
        <v>78.769126512592194</v>
      </c>
      <c r="AN1861">
        <v>1.0000000339414601</v>
      </c>
    </row>
    <row r="1862" spans="1:40" x14ac:dyDescent="0.25">
      <c r="A1862" t="str">
        <f>"20190304164851903"</f>
        <v>20190304164851903</v>
      </c>
      <c r="B1862" t="str">
        <f>"1551689331898215"</f>
        <v>1551689331898215</v>
      </c>
      <c r="C1862" t="s">
        <v>40</v>
      </c>
      <c r="D1862">
        <v>4.7596679999999996</v>
      </c>
      <c r="E1862">
        <v>0.57205859999999997</v>
      </c>
      <c r="F1862" t="s">
        <v>45</v>
      </c>
      <c r="G1862">
        <v>-196.02529999999999</v>
      </c>
      <c r="H1862" s="1">
        <v>1.5879530000000001E-6</v>
      </c>
      <c r="I1862">
        <v>292.58010000000002</v>
      </c>
      <c r="J1862">
        <v>-192.81440000000001</v>
      </c>
      <c r="K1862">
        <v>1.1048690000000001</v>
      </c>
      <c r="L1862">
        <v>297.87110000000001</v>
      </c>
      <c r="M1862">
        <v>-0.2301715</v>
      </c>
      <c r="N1862">
        <v>-1.446219E-2</v>
      </c>
      <c r="O1862">
        <v>-0.97304259999999998</v>
      </c>
      <c r="P1862">
        <v>-0.37973879999999999</v>
      </c>
      <c r="Q1862">
        <v>0.36880109999999999</v>
      </c>
      <c r="R1862">
        <v>-0.84840110000000002</v>
      </c>
      <c r="S1862">
        <v>-1.7817229999999999</v>
      </c>
      <c r="T1862">
        <v>-0.60149909999999995</v>
      </c>
      <c r="U1862">
        <v>-3.003082</v>
      </c>
      <c r="V1862">
        <v>0.18006730000000001</v>
      </c>
      <c r="W1862">
        <v>0.37925609999999998</v>
      </c>
      <c r="X1862">
        <v>0.90760160000000001</v>
      </c>
      <c r="Y1862">
        <v>0.29170689999999999</v>
      </c>
      <c r="Z1862">
        <v>0.15773970000000001</v>
      </c>
      <c r="AA1862">
        <v>0.94341149999999996</v>
      </c>
      <c r="AB1862">
        <v>24</v>
      </c>
      <c r="AC1862">
        <v>-3.2108999999999801</v>
      </c>
      <c r="AD1862">
        <v>-1.1048674120469999</v>
      </c>
      <c r="AE1862">
        <v>-5.2909999999999897</v>
      </c>
      <c r="AF1862">
        <v>1.8478162612039799</v>
      </c>
      <c r="AG1862">
        <v>-1.1048674120469999</v>
      </c>
      <c r="AH1862">
        <v>5.7061907401914898</v>
      </c>
      <c r="AI1862">
        <v>100.437359990126</v>
      </c>
      <c r="AJ1862">
        <v>72.056668146825899</v>
      </c>
      <c r="AK1862">
        <v>6.0988334701662703</v>
      </c>
      <c r="AL1862">
        <v>67.712389618479904</v>
      </c>
      <c r="AM1862">
        <v>78.7782940192578</v>
      </c>
      <c r="AN1862">
        <v>1.00000004311952</v>
      </c>
    </row>
    <row r="1863" spans="1:40" x14ac:dyDescent="0.25">
      <c r="A1863" t="str">
        <f>"20190304164851926"</f>
        <v>20190304164851926</v>
      </c>
      <c r="B1863" t="str">
        <f>"1551689331917736"</f>
        <v>1551689331917736</v>
      </c>
      <c r="C1863" t="s">
        <v>40</v>
      </c>
      <c r="D1863">
        <v>4.7582440000000004</v>
      </c>
      <c r="E1863">
        <v>0.57150849999999997</v>
      </c>
      <c r="F1863" t="s">
        <v>45</v>
      </c>
      <c r="G1863">
        <v>-196.3783</v>
      </c>
      <c r="H1863" s="1">
        <v>1.655903E-6</v>
      </c>
      <c r="I1863">
        <v>292.01650000000001</v>
      </c>
      <c r="J1863">
        <v>-192.88390000000001</v>
      </c>
      <c r="K1863">
        <v>1.104732</v>
      </c>
      <c r="L1863">
        <v>297.6293</v>
      </c>
      <c r="M1863">
        <v>-0.2403728</v>
      </c>
      <c r="N1863">
        <v>-1.4497329999999999E-2</v>
      </c>
      <c r="O1863">
        <v>-0.97057260000000001</v>
      </c>
      <c r="P1863">
        <v>-0.38861709999999999</v>
      </c>
      <c r="Q1863">
        <v>0.36998360000000002</v>
      </c>
      <c r="R1863">
        <v>-0.84385379999999999</v>
      </c>
      <c r="S1863">
        <v>-1.8082279999999999</v>
      </c>
      <c r="T1863">
        <v>-0.56057489999999999</v>
      </c>
      <c r="U1863">
        <v>-2.9704280000000001</v>
      </c>
      <c r="V1863">
        <v>0.18033350000000001</v>
      </c>
      <c r="W1863">
        <v>0.38039899999999999</v>
      </c>
      <c r="X1863">
        <v>0.9070703</v>
      </c>
      <c r="Y1863">
        <v>0.29328359999999998</v>
      </c>
      <c r="Z1863">
        <v>0.1469202</v>
      </c>
      <c r="AA1863">
        <v>0.94466879999999998</v>
      </c>
      <c r="AB1863">
        <v>23</v>
      </c>
      <c r="AC1863">
        <v>-3.4943999999999802</v>
      </c>
      <c r="AD1863">
        <v>-1.104730344097</v>
      </c>
      <c r="AE1863">
        <v>-5.6127999999999902</v>
      </c>
      <c r="AF1863">
        <v>1.9871411267436401</v>
      </c>
      <c r="AG1863">
        <v>-1.104730344097</v>
      </c>
      <c r="AH1863">
        <v>6.1174592278579496</v>
      </c>
      <c r="AI1863">
        <v>99.7456022276006</v>
      </c>
      <c r="AJ1863">
        <v>72.004590589295304</v>
      </c>
      <c r="AK1863">
        <v>6.5262904007766203</v>
      </c>
      <c r="AL1863">
        <v>67.641601351420107</v>
      </c>
      <c r="AM1863">
        <v>78.755711754147399</v>
      </c>
      <c r="AN1863">
        <v>1.00000004978266</v>
      </c>
    </row>
    <row r="1864" spans="1:40" x14ac:dyDescent="0.25">
      <c r="A1864" t="str">
        <f>"20190304164851948"</f>
        <v>20190304164851948</v>
      </c>
      <c r="B1864" t="str">
        <f>"1551689331938231"</f>
        <v>1551689331938231</v>
      </c>
      <c r="C1864" t="s">
        <v>40</v>
      </c>
      <c r="D1864">
        <v>4.8604070000000004</v>
      </c>
      <c r="E1864">
        <v>0.57137890000000002</v>
      </c>
      <c r="F1864" t="s">
        <v>45</v>
      </c>
      <c r="G1864">
        <v>-196.60499999999999</v>
      </c>
      <c r="H1864" s="1">
        <v>1.6997340000000001E-6</v>
      </c>
      <c r="I1864">
        <v>291.65350000000001</v>
      </c>
      <c r="J1864">
        <v>-192.95310000000001</v>
      </c>
      <c r="K1864">
        <v>1.104592</v>
      </c>
      <c r="L1864">
        <v>297.3981</v>
      </c>
      <c r="M1864">
        <v>-0.25040059999999997</v>
      </c>
      <c r="N1864">
        <v>-1.453368E-2</v>
      </c>
      <c r="O1864">
        <v>-0.96803329999999999</v>
      </c>
      <c r="P1864">
        <v>-0.3975902</v>
      </c>
      <c r="Q1864">
        <v>0.37195729999999999</v>
      </c>
      <c r="R1864">
        <v>-0.83879099999999995</v>
      </c>
      <c r="S1864">
        <v>-1.836044</v>
      </c>
      <c r="T1864">
        <v>-0.54508809999999996</v>
      </c>
      <c r="U1864">
        <v>-2.9485169999999998</v>
      </c>
      <c r="V1864">
        <v>0.1810011</v>
      </c>
      <c r="W1864">
        <v>0.3823222</v>
      </c>
      <c r="X1864">
        <v>0.90612820000000005</v>
      </c>
      <c r="Y1864">
        <v>0.293307599999999</v>
      </c>
      <c r="Z1864">
        <v>0.14263439999999999</v>
      </c>
      <c r="AA1864">
        <v>0.94531799999999999</v>
      </c>
      <c r="AB1864">
        <v>23</v>
      </c>
      <c r="AC1864">
        <v>-3.6518999999999799</v>
      </c>
      <c r="AD1864">
        <v>-1.104590300266</v>
      </c>
      <c r="AE1864">
        <v>-5.7445999999999904</v>
      </c>
      <c r="AF1864">
        <v>2.0431320045822399</v>
      </c>
      <c r="AG1864">
        <v>-1.104590300266</v>
      </c>
      <c r="AH1864">
        <v>6.3099351758777704</v>
      </c>
      <c r="AI1864">
        <v>99.455417051987794</v>
      </c>
      <c r="AJ1864">
        <v>72.058252309191701</v>
      </c>
      <c r="AK1864">
        <v>6.7238225767318998</v>
      </c>
      <c r="AL1864">
        <v>67.522400290566495</v>
      </c>
      <c r="AM1864">
        <v>78.703720084700606</v>
      </c>
      <c r="AN1864">
        <v>0.99999998882464503</v>
      </c>
    </row>
    <row r="1865" spans="1:40" x14ac:dyDescent="0.25">
      <c r="A1865" t="str">
        <f>"20190304164851972"</f>
        <v>20190304164851972</v>
      </c>
      <c r="B1865" t="str">
        <f>"1551689331967512"</f>
        <v>1551689331967512</v>
      </c>
      <c r="C1865" t="s">
        <v>40</v>
      </c>
      <c r="D1865">
        <v>4.8525700000000001</v>
      </c>
      <c r="E1865">
        <v>0.57113729999999996</v>
      </c>
      <c r="F1865" t="s">
        <v>45</v>
      </c>
      <c r="G1865">
        <v>-196.79730000000001</v>
      </c>
      <c r="H1865" s="1">
        <v>1.7317380000000001E-6</v>
      </c>
      <c r="I1865">
        <v>291.37490000000003</v>
      </c>
      <c r="J1865">
        <v>-193.0264</v>
      </c>
      <c r="K1865">
        <v>1.1044430000000001</v>
      </c>
      <c r="L1865">
        <v>297.16320000000002</v>
      </c>
      <c r="M1865">
        <v>-0.26087339999999998</v>
      </c>
      <c r="N1865">
        <v>-1.4574770000000001E-2</v>
      </c>
      <c r="O1865">
        <v>-0.96526319999999999</v>
      </c>
      <c r="P1865">
        <v>-0.40606530000000002</v>
      </c>
      <c r="Q1865">
        <v>0.37320379999999997</v>
      </c>
      <c r="R1865">
        <v>-0.83416460000000003</v>
      </c>
      <c r="S1865">
        <v>-1.869202</v>
      </c>
      <c r="T1865">
        <v>-0.53709479999999998</v>
      </c>
      <c r="U1865">
        <v>-2.9287109999999998</v>
      </c>
      <c r="V1865">
        <v>0.18067040000000001</v>
      </c>
      <c r="W1865">
        <v>0.3835384</v>
      </c>
      <c r="X1865">
        <v>0.90568020000000005</v>
      </c>
      <c r="Y1865">
        <v>0.29365790000000003</v>
      </c>
      <c r="Z1865">
        <v>0.14020859999999999</v>
      </c>
      <c r="AA1865">
        <v>0.94557210000000003</v>
      </c>
      <c r="AB1865">
        <v>23</v>
      </c>
      <c r="AC1865">
        <v>-3.7709000000000099</v>
      </c>
      <c r="AD1865">
        <v>-1.104441268262</v>
      </c>
      <c r="AE1865">
        <v>-5.7882999999999898</v>
      </c>
      <c r="AF1865">
        <v>2.0770359272100198</v>
      </c>
      <c r="AG1865">
        <v>-1.104441268262</v>
      </c>
      <c r="AH1865">
        <v>6.4078769072275499</v>
      </c>
      <c r="AI1865">
        <v>99.311294760134899</v>
      </c>
      <c r="AJ1865">
        <v>72.040524199376705</v>
      </c>
      <c r="AK1865">
        <v>6.8260351021761903</v>
      </c>
      <c r="AL1865">
        <v>67.446969177936396</v>
      </c>
      <c r="AM1865">
        <v>78.718394984126405</v>
      </c>
      <c r="AN1865">
        <v>1.00000006119137</v>
      </c>
    </row>
    <row r="1866" spans="1:40" x14ac:dyDescent="0.25">
      <c r="A1866" t="str">
        <f>"20190304164851992"</f>
        <v>20190304164851992</v>
      </c>
      <c r="B1866" t="str">
        <f>"1551689331988008"</f>
        <v>1551689331988008</v>
      </c>
      <c r="C1866" t="s">
        <v>40</v>
      </c>
      <c r="D1866">
        <v>4.8902609999999997</v>
      </c>
      <c r="E1866">
        <v>0.57122519999999999</v>
      </c>
      <c r="F1866" t="s">
        <v>45</v>
      </c>
      <c r="G1866">
        <v>-196.88810000000001</v>
      </c>
      <c r="H1866" s="1">
        <v>1.745346E-6</v>
      </c>
      <c r="I1866">
        <v>291.25189999999998</v>
      </c>
      <c r="J1866">
        <v>-193.09479999999999</v>
      </c>
      <c r="K1866">
        <v>1.1043019999999999</v>
      </c>
      <c r="L1866">
        <v>296.95269999999999</v>
      </c>
      <c r="M1866">
        <v>-0.27051910000000001</v>
      </c>
      <c r="N1866">
        <v>-1.4614820000000001E-2</v>
      </c>
      <c r="O1866">
        <v>-0.96260389999999996</v>
      </c>
      <c r="P1866">
        <v>-0.41329559999999999</v>
      </c>
      <c r="Q1866">
        <v>0.37380099999999999</v>
      </c>
      <c r="R1866">
        <v>-0.8303374</v>
      </c>
      <c r="S1866">
        <v>-1.9032750000000001</v>
      </c>
      <c r="T1866">
        <v>-0.5443268</v>
      </c>
      <c r="U1866">
        <v>-2.9133909999999998</v>
      </c>
      <c r="V1866">
        <v>0.1796944</v>
      </c>
      <c r="W1866">
        <v>0.38412220000000002</v>
      </c>
      <c r="X1866">
        <v>0.90562690000000001</v>
      </c>
      <c r="Y1866">
        <v>0.29400609999999999</v>
      </c>
      <c r="Z1866">
        <v>0.14183799999999999</v>
      </c>
      <c r="AA1866">
        <v>0.94522079999999997</v>
      </c>
      <c r="AB1866">
        <v>23</v>
      </c>
      <c r="AC1866">
        <v>-3.7933000000000101</v>
      </c>
      <c r="AD1866">
        <v>-1.1043002546539999</v>
      </c>
      <c r="AE1866">
        <v>-5.7008000000000099</v>
      </c>
      <c r="AF1866">
        <v>2.0560214918574502</v>
      </c>
      <c r="AG1866">
        <v>-1.1043002546539999</v>
      </c>
      <c r="AH1866">
        <v>6.3493320040247498</v>
      </c>
      <c r="AI1866">
        <v>99.395316830754396</v>
      </c>
      <c r="AJ1866">
        <v>72.057166431741294</v>
      </c>
      <c r="AK1866">
        <v>6.7646670520241798</v>
      </c>
      <c r="AL1866">
        <v>67.410744112013205</v>
      </c>
      <c r="AM1866">
        <v>78.777144874354505</v>
      </c>
      <c r="AN1866">
        <v>1.0000000119639001</v>
      </c>
    </row>
    <row r="1867" spans="1:40" x14ac:dyDescent="0.25">
      <c r="A1867" t="str">
        <f>"20190304164852016"</f>
        <v>20190304164852016</v>
      </c>
      <c r="B1867" t="str">
        <f>"1551689332007527"</f>
        <v>1551689332007527</v>
      </c>
      <c r="C1867" t="s">
        <v>40</v>
      </c>
      <c r="D1867">
        <v>4.9217240000000002</v>
      </c>
      <c r="E1867">
        <v>0.57098040000000005</v>
      </c>
      <c r="F1867" t="s">
        <v>45</v>
      </c>
      <c r="G1867">
        <v>-197.04570000000001</v>
      </c>
      <c r="H1867" s="1">
        <v>1.771487E-6</v>
      </c>
      <c r="I1867">
        <v>291.04829999999998</v>
      </c>
      <c r="J1867">
        <v>-193.1748</v>
      </c>
      <c r="K1867">
        <v>1.10412</v>
      </c>
      <c r="L1867">
        <v>296.71600000000001</v>
      </c>
      <c r="M1867">
        <v>-0.28165050000000003</v>
      </c>
      <c r="N1867">
        <v>-1.466189E-2</v>
      </c>
      <c r="O1867">
        <v>-0.95940519999999996</v>
      </c>
      <c r="P1867">
        <v>-0.42162769999999999</v>
      </c>
      <c r="Q1867">
        <v>0.37360300000000002</v>
      </c>
      <c r="R1867">
        <v>-0.82622719999999905</v>
      </c>
      <c r="S1867">
        <v>-1.935883</v>
      </c>
      <c r="T1867">
        <v>-0.54109219999999902</v>
      </c>
      <c r="U1867">
        <v>-2.8930359999999999</v>
      </c>
      <c r="V1867">
        <v>0.17845050000000001</v>
      </c>
      <c r="W1867">
        <v>0.38391619999999999</v>
      </c>
      <c r="X1867">
        <v>0.90596010000000005</v>
      </c>
      <c r="Y1867">
        <v>0.29347220000000002</v>
      </c>
      <c r="Z1867">
        <v>0.14067760000000001</v>
      </c>
      <c r="AA1867">
        <v>0.94556010000000001</v>
      </c>
      <c r="AB1867">
        <v>23</v>
      </c>
      <c r="AC1867">
        <v>-3.8708999999999998</v>
      </c>
      <c r="AD1867">
        <v>-1.104118228513</v>
      </c>
      <c r="AE1867">
        <v>-5.6677000000000204</v>
      </c>
      <c r="AF1867">
        <v>2.0642573029003102</v>
      </c>
      <c r="AG1867">
        <v>-1.104118228513</v>
      </c>
      <c r="AH1867">
        <v>6.3638714752193</v>
      </c>
      <c r="AI1867">
        <v>99.371218476411798</v>
      </c>
      <c r="AJ1867">
        <v>72.028424628759197</v>
      </c>
      <c r="AK1867">
        <v>6.7807887025199198</v>
      </c>
      <c r="AL1867">
        <v>67.423526092440397</v>
      </c>
      <c r="AM1867">
        <v>78.856877963277597</v>
      </c>
      <c r="AN1867">
        <v>0.99999996618234899</v>
      </c>
    </row>
    <row r="1868" spans="1:40" x14ac:dyDescent="0.25">
      <c r="A1868" t="str">
        <f>"20190304164852037"</f>
        <v>20190304164852037</v>
      </c>
      <c r="B1868" t="str">
        <f>"1551689332028024"</f>
        <v>1551689332028024</v>
      </c>
      <c r="C1868" t="s">
        <v>40</v>
      </c>
      <c r="D1868">
        <v>4.7529979999999998</v>
      </c>
      <c r="E1868">
        <v>0.57093640000000001</v>
      </c>
      <c r="F1868" t="s">
        <v>45</v>
      </c>
      <c r="G1868">
        <v>-197.17490000000001</v>
      </c>
      <c r="H1868" s="1">
        <v>1.805166E-6</v>
      </c>
      <c r="I1868">
        <v>290.88819999999998</v>
      </c>
      <c r="J1868">
        <v>-193.251</v>
      </c>
      <c r="K1868">
        <v>1.1039509999999999</v>
      </c>
      <c r="L1868">
        <v>296.50029999999998</v>
      </c>
      <c r="M1868">
        <v>-0.29209410000000002</v>
      </c>
      <c r="N1868">
        <v>-1.47072E-2</v>
      </c>
      <c r="O1868">
        <v>-0.95627660000000003</v>
      </c>
      <c r="P1868">
        <v>-0.428956</v>
      </c>
      <c r="Q1868">
        <v>0.3731814</v>
      </c>
      <c r="R1868">
        <v>-0.82263759999999997</v>
      </c>
      <c r="S1868">
        <v>-1.9707790000000001</v>
      </c>
      <c r="T1868">
        <v>-0.54398290000000005</v>
      </c>
      <c r="U1868">
        <v>-2.8712460000000002</v>
      </c>
      <c r="V1868">
        <v>0.176709</v>
      </c>
      <c r="W1868">
        <v>0.38350400000000001</v>
      </c>
      <c r="X1868">
        <v>0.90647599999999995</v>
      </c>
      <c r="Y1868">
        <v>0.29416940000000003</v>
      </c>
      <c r="Z1868">
        <v>0.14122779999999999</v>
      </c>
      <c r="AA1868">
        <v>0.94526140000000003</v>
      </c>
      <c r="AB1868">
        <v>23</v>
      </c>
      <c r="AC1868">
        <v>-3.9239000000000299</v>
      </c>
      <c r="AD1868">
        <v>-1.1039491948339999</v>
      </c>
      <c r="AE1868">
        <v>-5.6120999999999901</v>
      </c>
      <c r="AF1868">
        <v>2.0597690077439101</v>
      </c>
      <c r="AG1868">
        <v>-1.1039491948339999</v>
      </c>
      <c r="AH1868">
        <v>6.3485771786329197</v>
      </c>
      <c r="AI1868">
        <v>99.391778631133505</v>
      </c>
      <c r="AJ1868">
        <v>72.024564446789796</v>
      </c>
      <c r="AK1868">
        <v>6.7650413437831798</v>
      </c>
      <c r="AL1868">
        <v>67.449103406361203</v>
      </c>
      <c r="AM1868">
        <v>78.969068227686606</v>
      </c>
      <c r="AN1868">
        <v>1.0000000636364901</v>
      </c>
    </row>
    <row r="1869" spans="1:40" x14ac:dyDescent="0.25">
      <c r="A1869" t="str">
        <f>"20190304164852060"</f>
        <v>20190304164852060</v>
      </c>
      <c r="B1869" t="str">
        <f>"1551689332047543"</f>
        <v>1551689332047543</v>
      </c>
      <c r="C1869" t="s">
        <v>40</v>
      </c>
      <c r="D1869">
        <v>4.9684809999999997</v>
      </c>
      <c r="E1869">
        <v>0.57069510000000001</v>
      </c>
      <c r="F1869" t="s">
        <v>45</v>
      </c>
      <c r="G1869">
        <v>-197.33150000000001</v>
      </c>
      <c r="H1869" s="1">
        <v>1.8465480000000001E-6</v>
      </c>
      <c r="I1869">
        <v>290.69260000000003</v>
      </c>
      <c r="J1869">
        <v>-193.33150000000001</v>
      </c>
      <c r="K1869">
        <v>1.103799</v>
      </c>
      <c r="L1869">
        <v>296.2808</v>
      </c>
      <c r="M1869">
        <v>-0.30295709999999998</v>
      </c>
      <c r="N1869">
        <v>-1.4752629999999999E-2</v>
      </c>
      <c r="O1869">
        <v>-0.95289000000000001</v>
      </c>
      <c r="P1869">
        <v>-0.43679040000000002</v>
      </c>
      <c r="Q1869">
        <v>0.3724402</v>
      </c>
      <c r="R1869">
        <v>-0.81884239999999997</v>
      </c>
      <c r="S1869">
        <v>-2.0015719999999999</v>
      </c>
      <c r="T1869">
        <v>-0.541516199999999</v>
      </c>
      <c r="U1869">
        <v>-2.8488159999999998</v>
      </c>
      <c r="V1869">
        <v>0.175061299999999</v>
      </c>
      <c r="W1869">
        <v>0.38278210000000001</v>
      </c>
      <c r="X1869">
        <v>0.90710060000000003</v>
      </c>
      <c r="Y1869">
        <v>0.29371190000000003</v>
      </c>
      <c r="Z1869">
        <v>0.14033579999999901</v>
      </c>
      <c r="AA1869">
        <v>0.94553640000000005</v>
      </c>
      <c r="AB1869">
        <v>23</v>
      </c>
      <c r="AC1869">
        <v>-4</v>
      </c>
      <c r="AD1869">
        <v>-1.1037971534519999</v>
      </c>
      <c r="AE1869">
        <v>-5.5881999999999703</v>
      </c>
      <c r="AF1869">
        <v>2.0655202685507299</v>
      </c>
      <c r="AG1869">
        <v>-1.1037971534519999</v>
      </c>
      <c r="AH1869">
        <v>6.3730698973363902</v>
      </c>
      <c r="AI1869">
        <v>99.355987038318901</v>
      </c>
      <c r="AJ1869">
        <v>72.042422944654504</v>
      </c>
      <c r="AK1869">
        <v>6.78975419673628</v>
      </c>
      <c r="AL1869">
        <v>67.493881950938203</v>
      </c>
      <c r="AM1869">
        <v>79.076781296437801</v>
      </c>
      <c r="AN1869">
        <v>1.00000004667922</v>
      </c>
    </row>
    <row r="1870" spans="1:40" x14ac:dyDescent="0.25">
      <c r="A1870" t="str">
        <f>"20190304164852081"</f>
        <v>20190304164852081</v>
      </c>
      <c r="B1870" t="str">
        <f>"1551689332077800"</f>
        <v>1551689332077800</v>
      </c>
      <c r="C1870" t="s">
        <v>40</v>
      </c>
      <c r="D1870">
        <v>4.9876100000000001</v>
      </c>
      <c r="E1870">
        <v>0.56990419999999997</v>
      </c>
      <c r="F1870" t="s">
        <v>45</v>
      </c>
      <c r="G1870">
        <v>-197.44280000000001</v>
      </c>
      <c r="H1870" s="1">
        <v>1.8733239999999999E-6</v>
      </c>
      <c r="I1870">
        <v>290.56099999999998</v>
      </c>
      <c r="J1870">
        <v>-193.41460000000001</v>
      </c>
      <c r="K1870">
        <v>1.1036680000000001</v>
      </c>
      <c r="L1870">
        <v>296.06299999999999</v>
      </c>
      <c r="M1870">
        <v>-0.31397930000000002</v>
      </c>
      <c r="N1870">
        <v>-1.4795350000000001E-2</v>
      </c>
      <c r="O1870">
        <v>-0.94931469999999996</v>
      </c>
      <c r="P1870">
        <v>-0.44543929999999998</v>
      </c>
      <c r="Q1870">
        <v>0.37200230000000001</v>
      </c>
      <c r="R1870">
        <v>-0.81436989999999998</v>
      </c>
      <c r="S1870">
        <v>-2.032486</v>
      </c>
      <c r="T1870">
        <v>-0.54568909999999904</v>
      </c>
      <c r="U1870">
        <v>-2.827728</v>
      </c>
      <c r="V1870">
        <v>0.1742012</v>
      </c>
      <c r="W1870">
        <v>0.3823512</v>
      </c>
      <c r="X1870">
        <v>0.90744780000000003</v>
      </c>
      <c r="Y1870">
        <v>0.29272100000000001</v>
      </c>
      <c r="Z1870">
        <v>0.1411838</v>
      </c>
      <c r="AA1870">
        <v>0.94571749999999999</v>
      </c>
      <c r="AB1870">
        <v>23</v>
      </c>
      <c r="AC1870">
        <v>-4.0281999999999902</v>
      </c>
      <c r="AD1870">
        <v>-1.1036661266759999</v>
      </c>
      <c r="AE1870">
        <v>-5.5019999999999998</v>
      </c>
      <c r="AF1870">
        <v>2.0432200583899398</v>
      </c>
      <c r="AG1870">
        <v>-1.1036661266759999</v>
      </c>
      <c r="AH1870">
        <v>6.3229726155214898</v>
      </c>
      <c r="AI1870">
        <v>99.430291195845399</v>
      </c>
      <c r="AJ1870">
        <v>72.092159581395805</v>
      </c>
      <c r="AK1870">
        <v>6.7359342204933803</v>
      </c>
      <c r="AL1870">
        <v>67.520602450457901</v>
      </c>
      <c r="AM1870">
        <v>79.133227072185605</v>
      </c>
      <c r="AN1870">
        <v>1.0000000039738599</v>
      </c>
    </row>
    <row r="1871" spans="1:40" x14ac:dyDescent="0.25">
      <c r="A1871" t="str">
        <f>"20190304164852104"</f>
        <v>20190304164852104</v>
      </c>
      <c r="B1871" t="str">
        <f>"1551689332098296"</f>
        <v>1551689332098296</v>
      </c>
      <c r="C1871" t="s">
        <v>40</v>
      </c>
      <c r="D1871">
        <v>4.9851859999999997</v>
      </c>
      <c r="E1871">
        <v>0.56931449999999995</v>
      </c>
      <c r="F1871" t="s">
        <v>45</v>
      </c>
      <c r="G1871">
        <v>-197.49780000000001</v>
      </c>
      <c r="H1871" s="1">
        <v>1.8870370000000001E-6</v>
      </c>
      <c r="I1871">
        <v>290.49459999999999</v>
      </c>
      <c r="J1871">
        <v>-193.50360000000001</v>
      </c>
      <c r="K1871">
        <v>1.1035469999999901</v>
      </c>
      <c r="L1871">
        <v>295.8383</v>
      </c>
      <c r="M1871">
        <v>-0.32560159999999899</v>
      </c>
      <c r="N1871">
        <v>-1.4838219999999999E-2</v>
      </c>
      <c r="O1871">
        <v>-0.94539079999999998</v>
      </c>
      <c r="P1871">
        <v>-0.45523400000000003</v>
      </c>
      <c r="Q1871">
        <v>0.37130259999999998</v>
      </c>
      <c r="R1871">
        <v>-0.809257</v>
      </c>
      <c r="S1871">
        <v>-2.061188</v>
      </c>
      <c r="T1871">
        <v>-0.557123699999999</v>
      </c>
      <c r="U1871">
        <v>-2.8109130000000002</v>
      </c>
      <c r="V1871">
        <v>0.1740128</v>
      </c>
      <c r="W1871">
        <v>0.38164969999999998</v>
      </c>
      <c r="X1871">
        <v>0.90777920000000001</v>
      </c>
      <c r="Y1871">
        <v>0.28973660000000001</v>
      </c>
      <c r="Z1871">
        <v>0.14382529999999999</v>
      </c>
      <c r="AA1871">
        <v>0.94623829999999998</v>
      </c>
      <c r="AB1871">
        <v>23</v>
      </c>
      <c r="AC1871">
        <v>-3.9942000000000002</v>
      </c>
      <c r="AD1871">
        <v>-1.1035451129629901</v>
      </c>
      <c r="AE1871">
        <v>-5.3437000000000099</v>
      </c>
      <c r="AF1871">
        <v>1.9821524981633201</v>
      </c>
      <c r="AG1871">
        <v>-1.1035451129629901</v>
      </c>
      <c r="AH1871">
        <v>6.1839022805378399</v>
      </c>
      <c r="AI1871">
        <v>99.644592116037501</v>
      </c>
      <c r="AJ1871">
        <v>72.227565590317099</v>
      </c>
      <c r="AK1871">
        <v>6.5869103347138998</v>
      </c>
      <c r="AL1871">
        <v>67.564093916667503</v>
      </c>
      <c r="AM1871">
        <v>79.148569005240802</v>
      </c>
      <c r="AN1871">
        <v>1.0000000120132799</v>
      </c>
    </row>
    <row r="1872" spans="1:40" x14ac:dyDescent="0.25">
      <c r="A1872" t="str">
        <f>"20190304164852126"</f>
        <v>20190304164852126</v>
      </c>
      <c r="B1872" t="str">
        <f>"1551689332117816"</f>
        <v>1551689332117816</v>
      </c>
      <c r="C1872" t="s">
        <v>40</v>
      </c>
      <c r="D1872">
        <v>4.9969440000000001</v>
      </c>
      <c r="E1872">
        <v>0.56876780000000005</v>
      </c>
      <c r="F1872" t="s">
        <v>45</v>
      </c>
      <c r="G1872">
        <v>-197.57249999999999</v>
      </c>
      <c r="H1872" s="1">
        <v>1.903005E-6</v>
      </c>
      <c r="I1872">
        <v>290.41199999999998</v>
      </c>
      <c r="J1872">
        <v>-193.59139999999999</v>
      </c>
      <c r="K1872">
        <v>1.1034360000000001</v>
      </c>
      <c r="L1872">
        <v>295.62490000000003</v>
      </c>
      <c r="M1872">
        <v>-0.33685619999999999</v>
      </c>
      <c r="N1872">
        <v>-1.487989E-2</v>
      </c>
      <c r="O1872">
        <v>-0.94143860000000001</v>
      </c>
      <c r="P1872">
        <v>-0.46431650000000002</v>
      </c>
      <c r="Q1872">
        <v>0.37115710000000002</v>
      </c>
      <c r="R1872">
        <v>-0.80414739999999996</v>
      </c>
      <c r="S1872">
        <v>-2.0923609999999999</v>
      </c>
      <c r="T1872">
        <v>-0.56749079999999996</v>
      </c>
      <c r="U1872">
        <v>-2.7904360000000001</v>
      </c>
      <c r="V1872">
        <v>0.17347699999999999</v>
      </c>
      <c r="W1872">
        <v>0.38151040000000003</v>
      </c>
      <c r="X1872">
        <v>0.90794030000000003</v>
      </c>
      <c r="Y1872">
        <v>0.28819719999999999</v>
      </c>
      <c r="Z1872">
        <v>0.14622689999999999</v>
      </c>
      <c r="AA1872">
        <v>0.94634030000000002</v>
      </c>
      <c r="AB1872">
        <v>23</v>
      </c>
      <c r="AC1872">
        <v>-3.9810999999999899</v>
      </c>
      <c r="AD1872">
        <v>-1.1034340969949901</v>
      </c>
      <c r="AE1872">
        <v>-5.2128999999999897</v>
      </c>
      <c r="AF1872">
        <v>1.9373566429604501</v>
      </c>
      <c r="AG1872">
        <v>-1.1034340969949901</v>
      </c>
      <c r="AH1872">
        <v>6.0773846134310103</v>
      </c>
      <c r="AI1872">
        <v>99.814298292874298</v>
      </c>
      <c r="AJ1872">
        <v>72.318690437848502</v>
      </c>
      <c r="AK1872">
        <v>6.4734474052086197</v>
      </c>
      <c r="AL1872">
        <v>67.572728778126503</v>
      </c>
      <c r="AM1872">
        <v>79.183066079222499</v>
      </c>
      <c r="AN1872">
        <v>1.00000002160062</v>
      </c>
    </row>
    <row r="1873" spans="1:40" x14ac:dyDescent="0.25">
      <c r="A1873" t="str">
        <f>"20190304164852151"</f>
        <v>20190304164852151</v>
      </c>
      <c r="B1873" t="str">
        <f>"1551689332148071"</f>
        <v>1551689332148071</v>
      </c>
      <c r="C1873" t="s">
        <v>40</v>
      </c>
      <c r="D1873">
        <v>5.3053629999999998</v>
      </c>
      <c r="E1873">
        <v>0.56805249999999996</v>
      </c>
      <c r="F1873" t="s">
        <v>45</v>
      </c>
      <c r="G1873">
        <v>-197.67789999999999</v>
      </c>
      <c r="H1873" s="1">
        <v>1.9250600000000002E-6</v>
      </c>
      <c r="I1873">
        <v>290.29669999999999</v>
      </c>
      <c r="J1873">
        <v>-193.69069999999999</v>
      </c>
      <c r="K1873">
        <v>1.1033200000000001</v>
      </c>
      <c r="L1873">
        <v>295.3922</v>
      </c>
      <c r="M1873">
        <v>-0.34936149999999999</v>
      </c>
      <c r="N1873">
        <v>-1.4926399999999999E-2</v>
      </c>
      <c r="O1873">
        <v>-0.93686930000000002</v>
      </c>
      <c r="P1873">
        <v>-0.47471550000000001</v>
      </c>
      <c r="Q1873">
        <v>0.37094749999999999</v>
      </c>
      <c r="R1873">
        <v>-0.79815019999999903</v>
      </c>
      <c r="S1873">
        <v>-2.123764</v>
      </c>
      <c r="T1873">
        <v>-0.57345699999999999</v>
      </c>
      <c r="U1873">
        <v>-2.7690730000000001</v>
      </c>
      <c r="V1873">
        <v>0.17324120000000001</v>
      </c>
      <c r="W1873">
        <v>0.38130330000000001</v>
      </c>
      <c r="X1873">
        <v>0.9080724</v>
      </c>
      <c r="Y1873">
        <v>0.28562729999999997</v>
      </c>
      <c r="Z1873">
        <v>0.1473129</v>
      </c>
      <c r="AA1873">
        <v>0.94695090000000004</v>
      </c>
      <c r="AB1873">
        <v>23</v>
      </c>
      <c r="AC1873">
        <v>-3.9872000000000001</v>
      </c>
      <c r="AD1873">
        <v>-1.10331807494</v>
      </c>
      <c r="AE1873">
        <v>-5.0955000000000101</v>
      </c>
      <c r="AF1873">
        <v>1.9002728283957899</v>
      </c>
      <c r="AG1873">
        <v>-1.10331807494</v>
      </c>
      <c r="AH1873">
        <v>5.9932001656651401</v>
      </c>
      <c r="AI1873">
        <v>99.9532094756688</v>
      </c>
      <c r="AJ1873">
        <v>72.407663617235698</v>
      </c>
      <c r="AK1873">
        <v>6.3833216919216396</v>
      </c>
      <c r="AL1873">
        <v>67.585566958994704</v>
      </c>
      <c r="AM1873">
        <v>79.198957401631205</v>
      </c>
      <c r="AN1873">
        <v>1.00000010180504</v>
      </c>
    </row>
    <row r="1874" spans="1:40" x14ac:dyDescent="0.25">
      <c r="A1874" t="str">
        <f>"20190304164852172"</f>
        <v>20190304164852172</v>
      </c>
      <c r="B1874" t="str">
        <f>"1551689332167592"</f>
        <v>1551689332167592</v>
      </c>
      <c r="C1874" t="s">
        <v>40</v>
      </c>
      <c r="D1874">
        <v>5.1645599999999998</v>
      </c>
      <c r="E1874">
        <v>0.56765779999999999</v>
      </c>
      <c r="F1874" t="s">
        <v>45</v>
      </c>
      <c r="G1874">
        <v>-197.79040000000001</v>
      </c>
      <c r="H1874" s="1">
        <v>1.948599E-6</v>
      </c>
      <c r="I1874">
        <v>290.17360000000002</v>
      </c>
      <c r="J1874">
        <v>-193.78149999999999</v>
      </c>
      <c r="K1874">
        <v>1.103221</v>
      </c>
      <c r="L1874">
        <v>295.18700000000001</v>
      </c>
      <c r="M1874">
        <v>-0.36057450000000002</v>
      </c>
      <c r="N1874">
        <v>-1.4966459999999999E-2</v>
      </c>
      <c r="O1874">
        <v>-0.93261019999999994</v>
      </c>
      <c r="P1874">
        <v>-0.48395749999999998</v>
      </c>
      <c r="Q1874">
        <v>0.37114809999999998</v>
      </c>
      <c r="R1874">
        <v>-0.79248609999999997</v>
      </c>
      <c r="S1874">
        <v>-2.156952</v>
      </c>
      <c r="T1874">
        <v>-0.58047340000000003</v>
      </c>
      <c r="U1874">
        <v>-2.7455750000000001</v>
      </c>
      <c r="V1874">
        <v>0.17302509999999999</v>
      </c>
      <c r="W1874">
        <v>0.38150519999999999</v>
      </c>
      <c r="X1874">
        <v>0.90802870000000002</v>
      </c>
      <c r="Y1874">
        <v>0.28500379999999997</v>
      </c>
      <c r="Z1874">
        <v>0.1487599</v>
      </c>
      <c r="AA1874">
        <v>0.94691250000000005</v>
      </c>
      <c r="AB1874">
        <v>23</v>
      </c>
      <c r="AC1874">
        <v>-4.0089000000000103</v>
      </c>
      <c r="AD1874">
        <v>-1.1032190514010001</v>
      </c>
      <c r="AE1874">
        <v>-5.0133999999999901</v>
      </c>
      <c r="AF1874">
        <v>1.8758462096300399</v>
      </c>
      <c r="AG1874">
        <v>-1.1032190514010001</v>
      </c>
      <c r="AH1874">
        <v>5.9461102946753703</v>
      </c>
      <c r="AI1874">
        <v>100.03406935035299</v>
      </c>
      <c r="AJ1874">
        <v>72.490842971365595</v>
      </c>
      <c r="AK1874">
        <v>6.3318337718232902</v>
      </c>
      <c r="AL1874">
        <v>67.573050854100103</v>
      </c>
      <c r="AM1874">
        <v>79.211607195690505</v>
      </c>
      <c r="AN1874">
        <v>1.00000001144036</v>
      </c>
    </row>
    <row r="1875" spans="1:40" x14ac:dyDescent="0.25">
      <c r="A1875" t="str">
        <f>"20190304164852196"</f>
        <v>20190304164852196</v>
      </c>
      <c r="B1875" t="str">
        <f>"1551689332188087"</f>
        <v>1551689332188087</v>
      </c>
      <c r="C1875" t="s">
        <v>40</v>
      </c>
      <c r="D1875">
        <v>5.0160239999999998</v>
      </c>
      <c r="E1875">
        <v>0.56714519999999902</v>
      </c>
      <c r="F1875" t="s">
        <v>45</v>
      </c>
      <c r="G1875">
        <v>-197.9331</v>
      </c>
      <c r="H1875" s="1">
        <v>1.9765640000000001E-6</v>
      </c>
      <c r="I1875">
        <v>290.02289999999999</v>
      </c>
      <c r="J1875">
        <v>-193.887</v>
      </c>
      <c r="K1875">
        <v>1.103127</v>
      </c>
      <c r="L1875">
        <v>294.95729999999998</v>
      </c>
      <c r="M1875">
        <v>-0.37331409999999998</v>
      </c>
      <c r="N1875">
        <v>-1.500838E-2</v>
      </c>
      <c r="O1875">
        <v>-0.92758359999999995</v>
      </c>
      <c r="P1875">
        <v>-0.49448350000000002</v>
      </c>
      <c r="Q1875">
        <v>0.37073699999999998</v>
      </c>
      <c r="R1875">
        <v>-0.78615539999999995</v>
      </c>
      <c r="S1875">
        <v>-2.1880190000000002</v>
      </c>
      <c r="T1875">
        <v>-0.58143630000000002</v>
      </c>
      <c r="U1875">
        <v>-2.7216800000000001</v>
      </c>
      <c r="V1875">
        <v>0.172704</v>
      </c>
      <c r="W1875">
        <v>0.381104</v>
      </c>
      <c r="X1875">
        <v>0.90825829999999996</v>
      </c>
      <c r="Y1875">
        <v>0.28252660000000002</v>
      </c>
      <c r="Z1875">
        <v>0.1484606</v>
      </c>
      <c r="AA1875">
        <v>0.94770149999999997</v>
      </c>
      <c r="AB1875">
        <v>23</v>
      </c>
      <c r="AC1875">
        <v>-4.0460999999999903</v>
      </c>
      <c r="AD1875">
        <v>-1.1031250234359999</v>
      </c>
      <c r="AE1875">
        <v>-4.9343999999999797</v>
      </c>
      <c r="AF1875">
        <v>1.8557708834834601</v>
      </c>
      <c r="AG1875">
        <v>-1.1031250234359999</v>
      </c>
      <c r="AH1875">
        <v>5.9115549481182503</v>
      </c>
      <c r="AI1875">
        <v>100.095070562063</v>
      </c>
      <c r="AJ1875">
        <v>72.571746555896297</v>
      </c>
      <c r="AK1875">
        <v>6.2934292952203004</v>
      </c>
      <c r="AL1875">
        <v>67.597917092424197</v>
      </c>
      <c r="AM1875">
        <v>79.233818324507794</v>
      </c>
      <c r="AN1875">
        <v>1.0000000349754401</v>
      </c>
    </row>
    <row r="1876" spans="1:40" x14ac:dyDescent="0.25">
      <c r="A1876" t="str">
        <f>"20190304164852217"</f>
        <v>20190304164852217</v>
      </c>
      <c r="B1876" t="str">
        <f>"1551689332207608"</f>
        <v>1551689332207608</v>
      </c>
      <c r="C1876" t="s">
        <v>40</v>
      </c>
      <c r="D1876">
        <v>4.7807789999999999</v>
      </c>
      <c r="E1876">
        <v>0.56688859999999996</v>
      </c>
      <c r="F1876" t="s">
        <v>45</v>
      </c>
      <c r="G1876">
        <v>-198.06450000000001</v>
      </c>
      <c r="H1876" s="1">
        <v>1.9989999999999998E-6</v>
      </c>
      <c r="I1876">
        <v>289.89350000000002</v>
      </c>
      <c r="J1876">
        <v>-193.98330000000001</v>
      </c>
      <c r="K1876">
        <v>1.1030679999999999</v>
      </c>
      <c r="L1876">
        <v>294.75540000000001</v>
      </c>
      <c r="M1876">
        <v>-0.38466270000000002</v>
      </c>
      <c r="N1876">
        <v>-1.504137E-2</v>
      </c>
      <c r="O1876">
        <v>-0.92293480000000006</v>
      </c>
      <c r="P1876">
        <v>-0.50326130000000002</v>
      </c>
      <c r="Q1876">
        <v>0.3703728</v>
      </c>
      <c r="R1876">
        <v>-0.78073840000000005</v>
      </c>
      <c r="S1876">
        <v>-2.2229920000000001</v>
      </c>
      <c r="T1876">
        <v>-0.58700969999999997</v>
      </c>
      <c r="U1876">
        <v>-2.6946110000000001</v>
      </c>
      <c r="V1876">
        <v>0.1717205</v>
      </c>
      <c r="W1876">
        <v>0.38076890000000002</v>
      </c>
      <c r="X1876">
        <v>0.90858530000000004</v>
      </c>
      <c r="Y1876">
        <v>0.28264119999999998</v>
      </c>
      <c r="Z1876">
        <v>0.14950329999999901</v>
      </c>
      <c r="AA1876">
        <v>0.9475034</v>
      </c>
      <c r="AB1876">
        <v>23</v>
      </c>
      <c r="AC1876">
        <v>-4.0811999999999902</v>
      </c>
      <c r="AD1876">
        <v>-1.103066001</v>
      </c>
      <c r="AE1876">
        <v>-4.8618999999999897</v>
      </c>
      <c r="AF1876">
        <v>1.8411087836945399</v>
      </c>
      <c r="AG1876">
        <v>-1.103066001</v>
      </c>
      <c r="AH1876">
        <v>5.8802231235157896</v>
      </c>
      <c r="AI1876">
        <v>100.149542164564</v>
      </c>
      <c r="AJ1876">
        <v>72.614564805822297</v>
      </c>
      <c r="AK1876">
        <v>6.25966933138558</v>
      </c>
      <c r="AL1876">
        <v>67.618683341792106</v>
      </c>
      <c r="AM1876">
        <v>79.297471686698302</v>
      </c>
      <c r="AN1876">
        <v>1.0000000663517701</v>
      </c>
    </row>
    <row r="1877" spans="1:40" x14ac:dyDescent="0.25">
      <c r="A1877" t="str">
        <f>"20190304164852238"</f>
        <v>20190304164852238</v>
      </c>
      <c r="B1877" t="str">
        <f>"1551689332228107"</f>
        <v>1551689332228107</v>
      </c>
      <c r="C1877" t="s">
        <v>40</v>
      </c>
      <c r="D1877">
        <v>4.905043</v>
      </c>
      <c r="E1877">
        <v>0.5668069</v>
      </c>
      <c r="F1877" t="s">
        <v>45</v>
      </c>
      <c r="G1877">
        <v>-198.23009999999999</v>
      </c>
      <c r="H1877" s="1">
        <v>2.0285269999999998E-6</v>
      </c>
      <c r="I1877">
        <v>289.7269</v>
      </c>
      <c r="J1877">
        <v>-194.083</v>
      </c>
      <c r="K1877">
        <v>1.1030249999999999</v>
      </c>
      <c r="L1877">
        <v>294.5532</v>
      </c>
      <c r="M1877">
        <v>-0.39613379999999998</v>
      </c>
      <c r="N1877">
        <v>-1.507001E-2</v>
      </c>
      <c r="O1877">
        <v>-0.91806920000000003</v>
      </c>
      <c r="P1877">
        <v>-0.51270959999999999</v>
      </c>
      <c r="Q1877">
        <v>0.36945670000000003</v>
      </c>
      <c r="R1877">
        <v>-0.77500400000000003</v>
      </c>
      <c r="S1877">
        <v>-2.2530359999999998</v>
      </c>
      <c r="T1877">
        <v>-0.58521219999999996</v>
      </c>
      <c r="U1877">
        <v>-2.667786</v>
      </c>
      <c r="V1877">
        <v>0.17127989999999901</v>
      </c>
      <c r="W1877">
        <v>0.37987890000000002</v>
      </c>
      <c r="X1877">
        <v>0.90904079999999998</v>
      </c>
      <c r="Y1877">
        <v>0.28169680000000002</v>
      </c>
      <c r="Z1877">
        <v>0.14859410000000001</v>
      </c>
      <c r="AA1877">
        <v>0.94792759999999998</v>
      </c>
      <c r="AB1877">
        <v>23</v>
      </c>
      <c r="AC1877">
        <v>-4.1470999999999902</v>
      </c>
      <c r="AD1877">
        <v>-1.103022971473</v>
      </c>
      <c r="AE1877">
        <v>-4.8262999999999998</v>
      </c>
      <c r="AF1877">
        <v>1.84038104594404</v>
      </c>
      <c r="AG1877">
        <v>-1.103022971473</v>
      </c>
      <c r="AH1877">
        <v>5.8971794552416696</v>
      </c>
      <c r="AI1877">
        <v>100.12346600739301</v>
      </c>
      <c r="AJ1877">
        <v>72.667996162300298</v>
      </c>
      <c r="AK1877">
        <v>6.2753794783416597</v>
      </c>
      <c r="AL1877">
        <v>67.673817867767795</v>
      </c>
      <c r="AM1877">
        <v>79.329526739872406</v>
      </c>
      <c r="AN1877">
        <v>0.99999997943692898</v>
      </c>
    </row>
    <row r="1878" spans="1:40" x14ac:dyDescent="0.25">
      <c r="A1878" t="str">
        <f>"20190304164852261"</f>
        <v>20190304164852261</v>
      </c>
      <c r="B1878" t="str">
        <f>"1551689332258361"</f>
        <v>1551689332258361</v>
      </c>
      <c r="C1878" t="s">
        <v>40</v>
      </c>
      <c r="D1878">
        <v>5.0928139999999997</v>
      </c>
      <c r="E1878">
        <v>0.566754599999999</v>
      </c>
      <c r="F1878" t="s">
        <v>45</v>
      </c>
      <c r="G1878">
        <v>-198.37719999999999</v>
      </c>
      <c r="H1878" s="1">
        <v>2.0439110000000001E-6</v>
      </c>
      <c r="I1878">
        <v>289.58890000000002</v>
      </c>
      <c r="J1878">
        <v>-194.1876</v>
      </c>
      <c r="K1878">
        <v>1.103002</v>
      </c>
      <c r="L1878">
        <v>294.34789999999998</v>
      </c>
      <c r="M1878">
        <v>-0.40785769999999999</v>
      </c>
      <c r="N1878">
        <v>-1.5094069999999999E-2</v>
      </c>
      <c r="O1878">
        <v>-0.91292079999999998</v>
      </c>
      <c r="P1878">
        <v>-0.52349849999999998</v>
      </c>
      <c r="Q1878">
        <v>0.36821920000000002</v>
      </c>
      <c r="R1878">
        <v>-0.76835159999999902</v>
      </c>
      <c r="S1878">
        <v>-2.2835390000000002</v>
      </c>
      <c r="T1878">
        <v>-0.5865629</v>
      </c>
      <c r="U1878">
        <v>-2.6398929999999998</v>
      </c>
      <c r="V1878">
        <v>0.17210529999999999</v>
      </c>
      <c r="W1878">
        <v>0.3786466</v>
      </c>
      <c r="X1878">
        <v>0.90939899999999996</v>
      </c>
      <c r="Y1878">
        <v>0.28062589999999998</v>
      </c>
      <c r="Z1878">
        <v>0.1484972</v>
      </c>
      <c r="AA1878">
        <v>0.9482604</v>
      </c>
      <c r="AB1878">
        <v>23</v>
      </c>
      <c r="AC1878">
        <v>-4.18959999999998</v>
      </c>
      <c r="AD1878">
        <v>-1.102999956089</v>
      </c>
      <c r="AE1878">
        <v>-4.7589999999999497</v>
      </c>
      <c r="AF1878">
        <v>1.8286517065627901</v>
      </c>
      <c r="AG1878">
        <v>-1.102999956089</v>
      </c>
      <c r="AH1878">
        <v>5.8762067441927597</v>
      </c>
      <c r="AI1878">
        <v>100.161131836979</v>
      </c>
      <c r="AJ1878">
        <v>72.714070091415905</v>
      </c>
      <c r="AK1878">
        <v>6.25223013552315</v>
      </c>
      <c r="AL1878">
        <v>67.750125156250107</v>
      </c>
      <c r="AM1878">
        <v>79.283419585245596</v>
      </c>
      <c r="AN1878">
        <v>1.00000001159032</v>
      </c>
    </row>
    <row r="1879" spans="1:40" x14ac:dyDescent="0.25">
      <c r="A1879" t="str">
        <f>"20190304164852282"</f>
        <v>20190304164852282</v>
      </c>
      <c r="B1879" t="str">
        <f>"1551689332277880"</f>
        <v>1551689332277880</v>
      </c>
      <c r="C1879" t="s">
        <v>40</v>
      </c>
      <c r="D1879">
        <v>5.0720900000000002</v>
      </c>
      <c r="E1879">
        <v>0.56681969999999904</v>
      </c>
      <c r="F1879" t="s">
        <v>45</v>
      </c>
      <c r="G1879">
        <v>-198.44470000000001</v>
      </c>
      <c r="H1879" s="1">
        <v>2.0359439999999998E-6</v>
      </c>
      <c r="I1879">
        <v>289.54300000000001</v>
      </c>
      <c r="J1879">
        <v>-194.29429999999999</v>
      </c>
      <c r="K1879">
        <v>1.1030040000000001</v>
      </c>
      <c r="L1879">
        <v>294.14490000000001</v>
      </c>
      <c r="M1879">
        <v>-0.41950520000000002</v>
      </c>
      <c r="N1879">
        <v>-1.5112570000000001E-2</v>
      </c>
      <c r="O1879">
        <v>-0.90762739999999997</v>
      </c>
      <c r="P1879">
        <v>-0.53382059999999998</v>
      </c>
      <c r="Q1879">
        <v>0.36622880000000002</v>
      </c>
      <c r="R1879">
        <v>-0.76217619999999997</v>
      </c>
      <c r="S1879">
        <v>-2.316071</v>
      </c>
      <c r="T1879">
        <v>-0.60008189999999995</v>
      </c>
      <c r="U1879">
        <v>-2.6140439999999998</v>
      </c>
      <c r="V1879">
        <v>0.17229659999999999</v>
      </c>
      <c r="W1879">
        <v>0.37668449999999998</v>
      </c>
      <c r="X1879">
        <v>0.91017729999999997</v>
      </c>
      <c r="Y1879">
        <v>0.27927350000000001</v>
      </c>
      <c r="Z1879">
        <v>0.1514662</v>
      </c>
      <c r="AA1879">
        <v>0.94818999999999998</v>
      </c>
      <c r="AB1879">
        <v>23</v>
      </c>
      <c r="AC1879">
        <v>-4.1504000000000101</v>
      </c>
      <c r="AD1879">
        <v>-1.103001964056</v>
      </c>
      <c r="AE1879">
        <v>-4.6018999999999997</v>
      </c>
      <c r="AF1879">
        <v>1.7803051631490701</v>
      </c>
      <c r="AG1879">
        <v>-1.103001964056</v>
      </c>
      <c r="AH1879">
        <v>5.7368562391012503</v>
      </c>
      <c r="AI1879">
        <v>100.405145710368</v>
      </c>
      <c r="AJ1879">
        <v>72.7594379058946</v>
      </c>
      <c r="AK1879">
        <v>6.1071776881601902</v>
      </c>
      <c r="AL1879">
        <v>67.871537016763895</v>
      </c>
      <c r="AM1879">
        <v>79.280745248177794</v>
      </c>
      <c r="AN1879">
        <v>1.0000000241735401</v>
      </c>
    </row>
    <row r="1880" spans="1:40" x14ac:dyDescent="0.25">
      <c r="A1880" t="str">
        <f>"20190304164852306"</f>
        <v>20190304164852306</v>
      </c>
      <c r="B1880" t="str">
        <f>"1551689332298376"</f>
        <v>1551689332298376</v>
      </c>
      <c r="C1880" t="s">
        <v>40</v>
      </c>
      <c r="D1880">
        <v>5.0032759999999996</v>
      </c>
      <c r="E1880">
        <v>0.56688760000000005</v>
      </c>
      <c r="F1880" t="s">
        <v>45</v>
      </c>
      <c r="G1880">
        <v>-198.51689999999999</v>
      </c>
      <c r="H1880" s="1">
        <v>2.0273270000000002E-6</v>
      </c>
      <c r="I1880">
        <v>289.49520000000001</v>
      </c>
      <c r="J1880">
        <v>-194.41069999999999</v>
      </c>
      <c r="K1880">
        <v>1.1030219999999999</v>
      </c>
      <c r="L1880">
        <v>293.93049999999999</v>
      </c>
      <c r="M1880">
        <v>-0.43183369999999999</v>
      </c>
      <c r="N1880">
        <v>-1.5127059999999999E-2</v>
      </c>
      <c r="O1880">
        <v>-0.90182640000000003</v>
      </c>
      <c r="P1880">
        <v>-0.54489359999999998</v>
      </c>
      <c r="Q1880">
        <v>0.3632379</v>
      </c>
      <c r="R1880">
        <v>-0.75574459999999999</v>
      </c>
      <c r="S1880">
        <v>-2.3484039999999999</v>
      </c>
      <c r="T1880">
        <v>-0.61344659999999995</v>
      </c>
      <c r="U1880">
        <v>-2.5859679999999998</v>
      </c>
      <c r="V1880">
        <v>0.17248279999999999</v>
      </c>
      <c r="W1880">
        <v>0.3737316</v>
      </c>
      <c r="X1880">
        <v>0.91135849999999996</v>
      </c>
      <c r="Y1880">
        <v>0.27746349999999997</v>
      </c>
      <c r="Z1880">
        <v>0.15433720000000001</v>
      </c>
      <c r="AA1880">
        <v>0.94825839999999995</v>
      </c>
      <c r="AB1880">
        <v>23</v>
      </c>
      <c r="AC1880">
        <v>-4.1062000000000003</v>
      </c>
      <c r="AD1880">
        <v>-1.1030199726729999</v>
      </c>
      <c r="AE1880">
        <v>-4.4352999999999803</v>
      </c>
      <c r="AF1880">
        <v>1.73034627383583</v>
      </c>
      <c r="AG1880">
        <v>-1.1030199726729999</v>
      </c>
      <c r="AH1880">
        <v>5.5876411419446299</v>
      </c>
      <c r="AI1880">
        <v>100.678801477235</v>
      </c>
      <c r="AJ1880">
        <v>72.793614689337105</v>
      </c>
      <c r="AK1880">
        <v>5.9525191993512596</v>
      </c>
      <c r="AL1880">
        <v>68.054059664654304</v>
      </c>
      <c r="AM1880">
        <v>79.2830152797534</v>
      </c>
      <c r="AN1880">
        <v>0.99999997032832399</v>
      </c>
    </row>
    <row r="1881" spans="1:40" x14ac:dyDescent="0.25">
      <c r="A1881" t="str">
        <f>"20190304164852328"</f>
        <v>20190304164852328</v>
      </c>
      <c r="B1881" t="str">
        <f>"1551689332318872"</f>
        <v>1551689332318872</v>
      </c>
      <c r="C1881" t="s">
        <v>40</v>
      </c>
      <c r="D1881">
        <v>4.9959290000000003</v>
      </c>
      <c r="E1881">
        <v>0.5670096</v>
      </c>
      <c r="F1881" t="s">
        <v>45</v>
      </c>
      <c r="G1881">
        <v>-198.58539999999999</v>
      </c>
      <c r="H1881" s="1">
        <v>2.0186660000000002E-6</v>
      </c>
      <c r="I1881">
        <v>289.45510000000002</v>
      </c>
      <c r="J1881">
        <v>-194.52440000000001</v>
      </c>
      <c r="K1881">
        <v>1.1030519999999999</v>
      </c>
      <c r="L1881">
        <v>293.72750000000002</v>
      </c>
      <c r="M1881">
        <v>-0.44352740000000002</v>
      </c>
      <c r="N1881">
        <v>-1.5135569999999999E-2</v>
      </c>
      <c r="O1881">
        <v>-0.89613310000000002</v>
      </c>
      <c r="P1881">
        <v>-0.55575969999999997</v>
      </c>
      <c r="Q1881">
        <v>0.36081210000000002</v>
      </c>
      <c r="R1881">
        <v>-0.74896339999999995</v>
      </c>
      <c r="S1881">
        <v>-2.3826450000000001</v>
      </c>
      <c r="T1881">
        <v>-0.62951950000000001</v>
      </c>
      <c r="U1881">
        <v>-2.55423</v>
      </c>
      <c r="V1881">
        <v>0.17320749999999999</v>
      </c>
      <c r="W1881">
        <v>0.37132559999999998</v>
      </c>
      <c r="X1881">
        <v>0.91220420000000002</v>
      </c>
      <c r="Y1881">
        <v>0.2771805</v>
      </c>
      <c r="Z1881">
        <v>0.15799549999999901</v>
      </c>
      <c r="AA1881">
        <v>0.94773859999999999</v>
      </c>
      <c r="AB1881">
        <v>23</v>
      </c>
      <c r="AC1881">
        <v>-4.0609999999999697</v>
      </c>
      <c r="AD1881">
        <v>-1.103049981334</v>
      </c>
      <c r="AE1881">
        <v>-4.2724000000000002</v>
      </c>
      <c r="AF1881">
        <v>1.68544800799063</v>
      </c>
      <c r="AG1881">
        <v>-1.103049981334</v>
      </c>
      <c r="AH1881">
        <v>5.4399498620994597</v>
      </c>
      <c r="AI1881">
        <v>100.96161595075201</v>
      </c>
      <c r="AJ1881">
        <v>72.785562574674799</v>
      </c>
      <c r="AK1881">
        <v>5.8009058560811404</v>
      </c>
      <c r="AL1881">
        <v>68.202606761472495</v>
      </c>
      <c r="AM1881">
        <v>79.248780148630004</v>
      </c>
      <c r="AN1881">
        <v>1.00000002088462</v>
      </c>
    </row>
    <row r="1882" spans="1:40" x14ac:dyDescent="0.25">
      <c r="A1882" t="str">
        <f>"20190304164852374"</f>
        <v>20190304164852374</v>
      </c>
      <c r="B1882" t="str">
        <f>"1551689332367672"</f>
        <v>1551689332367672</v>
      </c>
      <c r="C1882" t="s">
        <v>40</v>
      </c>
      <c r="D1882">
        <v>5.2370960000000002</v>
      </c>
      <c r="E1882">
        <v>0.5675443</v>
      </c>
      <c r="F1882" t="s">
        <v>45</v>
      </c>
      <c r="G1882">
        <v>-198.6694</v>
      </c>
      <c r="H1882" s="1">
        <v>2.0088889999999999E-6</v>
      </c>
      <c r="I1882">
        <v>289.39659999999998</v>
      </c>
      <c r="J1882">
        <v>-194.7637</v>
      </c>
      <c r="K1882">
        <v>1.103075</v>
      </c>
      <c r="L1882">
        <v>293.31889999999999</v>
      </c>
      <c r="M1882">
        <v>-0.46708189999999999</v>
      </c>
      <c r="N1882">
        <v>-1.5083310000000001E-2</v>
      </c>
      <c r="O1882">
        <v>-0.88408549999999997</v>
      </c>
      <c r="P1882">
        <v>-0.57844079999999998</v>
      </c>
      <c r="Q1882">
        <v>0.35720069999999998</v>
      </c>
      <c r="R1882">
        <v>-0.73335839999999997</v>
      </c>
      <c r="S1882">
        <v>-2.4149020000000001</v>
      </c>
      <c r="T1882">
        <v>-0.64263769999999998</v>
      </c>
      <c r="U1882">
        <v>-2.523193</v>
      </c>
      <c r="V1882">
        <v>0.1760774</v>
      </c>
      <c r="W1882">
        <v>0.36765140000000002</v>
      </c>
      <c r="X1882">
        <v>0.91314249999999997</v>
      </c>
      <c r="Y1882">
        <v>0.26363740000000002</v>
      </c>
      <c r="Z1882">
        <v>0.15953439999999999</v>
      </c>
      <c r="AA1882">
        <v>0.95133809999999996</v>
      </c>
      <c r="AB1882">
        <v>23</v>
      </c>
      <c r="AC1882">
        <v>-3.9056999999999902</v>
      </c>
      <c r="AD1882">
        <v>-1.103072991111</v>
      </c>
      <c r="AE1882">
        <v>-3.9222999999999999</v>
      </c>
      <c r="AF1882">
        <v>1.55920081631967</v>
      </c>
      <c r="AG1882">
        <v>-1.103072991111</v>
      </c>
      <c r="AH1882">
        <v>5.0903767726503997</v>
      </c>
      <c r="AI1882">
        <v>101.705811789132</v>
      </c>
      <c r="AJ1882">
        <v>72.969984106943897</v>
      </c>
      <c r="AK1882">
        <v>5.4368936808502397</v>
      </c>
      <c r="AL1882">
        <v>68.429154552740897</v>
      </c>
      <c r="AM1882">
        <v>79.085850994785105</v>
      </c>
      <c r="AN1882">
        <v>1.00000001400948</v>
      </c>
    </row>
    <row r="1883" spans="1:40" x14ac:dyDescent="0.25">
      <c r="A1883" t="str">
        <f>"20190304164852399"</f>
        <v>20190304164852399</v>
      </c>
      <c r="B1883" t="str">
        <f>"1551689332388168"</f>
        <v>1551689332388168</v>
      </c>
      <c r="C1883" t="s">
        <v>40</v>
      </c>
      <c r="D1883">
        <v>4.8474579999999996</v>
      </c>
      <c r="E1883">
        <v>0.5676677</v>
      </c>
      <c r="F1883" t="s">
        <v>41</v>
      </c>
      <c r="G1883">
        <v>-195.2961</v>
      </c>
      <c r="H1883">
        <v>0.96169939999999998</v>
      </c>
      <c r="I1883">
        <v>292.7928</v>
      </c>
      <c r="J1883">
        <v>-194.89340000000001</v>
      </c>
      <c r="K1883">
        <v>1.1030660000000001</v>
      </c>
      <c r="L1883">
        <v>293.1078</v>
      </c>
      <c r="M1883">
        <v>-0.47927219999999998</v>
      </c>
      <c r="N1883">
        <v>-1.4980240000000001E-2</v>
      </c>
      <c r="O1883">
        <v>-0.87753859999999995</v>
      </c>
      <c r="P1883">
        <v>-0.58989919999999996</v>
      </c>
      <c r="Q1883">
        <v>0.35603950000000001</v>
      </c>
      <c r="R1883">
        <v>-0.72474490000000003</v>
      </c>
      <c r="S1883">
        <v>-2.4821469999999999</v>
      </c>
      <c r="T1883">
        <v>-0.65878179999999997</v>
      </c>
      <c r="U1883">
        <v>-2.453827</v>
      </c>
      <c r="V1883">
        <v>0.177490799999999</v>
      </c>
      <c r="W1883">
        <v>0.36637930000000002</v>
      </c>
      <c r="X1883">
        <v>0.91338010000000003</v>
      </c>
      <c r="Y1883">
        <v>0.27598679999999998</v>
      </c>
      <c r="Z1883">
        <v>0.16379060000000001</v>
      </c>
      <c r="AA1883">
        <v>0.94710289999999997</v>
      </c>
      <c r="AB1883">
        <v>23</v>
      </c>
      <c r="AC1883">
        <v>-0.40269999999998102</v>
      </c>
      <c r="AD1883">
        <v>-0.14136659999999901</v>
      </c>
      <c r="AE1883">
        <v>-0.314999999999997</v>
      </c>
      <c r="AF1883">
        <v>0.18805886809469999</v>
      </c>
      <c r="AG1883">
        <v>-0.14136659999999901</v>
      </c>
      <c r="AH1883">
        <v>0.43613581999627099</v>
      </c>
      <c r="AI1883">
        <v>106.575278344365</v>
      </c>
      <c r="AJ1883">
        <v>66.674615497719699</v>
      </c>
      <c r="AK1883">
        <v>0.49554526226010898</v>
      </c>
      <c r="AL1883">
        <v>68.507507945207394</v>
      </c>
      <c r="AM1883">
        <v>79.003161710149698</v>
      </c>
      <c r="AN1883">
        <v>0.99999999131456996</v>
      </c>
    </row>
    <row r="1884" spans="1:40" x14ac:dyDescent="0.25">
      <c r="A1884" t="str">
        <f>"20190304164852418"</f>
        <v>20190304164852418</v>
      </c>
      <c r="B1884" t="str">
        <f>"1551689332408329"</f>
        <v>1551689332408329</v>
      </c>
      <c r="C1884" t="s">
        <v>40</v>
      </c>
      <c r="D1884">
        <v>5.3557069999999998</v>
      </c>
      <c r="E1884">
        <v>0.56784569999999901</v>
      </c>
      <c r="F1884" t="s">
        <v>45</v>
      </c>
      <c r="G1884">
        <v>-199.0752</v>
      </c>
      <c r="H1884" s="1">
        <v>1.9633820000000001E-6</v>
      </c>
      <c r="I1884">
        <v>289.09379999999999</v>
      </c>
      <c r="J1884">
        <v>-195.0061</v>
      </c>
      <c r="K1884">
        <v>1.103056</v>
      </c>
      <c r="L1884">
        <v>292.92939999999999</v>
      </c>
      <c r="M1884">
        <v>-0.48958000000000002</v>
      </c>
      <c r="N1884">
        <v>-1.4855E-2</v>
      </c>
      <c r="O1884">
        <v>-0.87183189999999999</v>
      </c>
      <c r="P1884">
        <v>-0.59881879999999998</v>
      </c>
      <c r="Q1884">
        <v>0.35576809999999998</v>
      </c>
      <c r="R1884">
        <v>-0.71752729999999998</v>
      </c>
      <c r="S1884">
        <v>-2.5175019999999999</v>
      </c>
      <c r="T1884">
        <v>-0.66406140000000002</v>
      </c>
      <c r="U1884">
        <v>-2.416534</v>
      </c>
      <c r="V1884">
        <v>0.1779442</v>
      </c>
      <c r="W1884">
        <v>0.3659907</v>
      </c>
      <c r="X1884">
        <v>0.91344769999999997</v>
      </c>
      <c r="Y1884">
        <v>0.27844720000000001</v>
      </c>
      <c r="Z1884">
        <v>0.164749799999999</v>
      </c>
      <c r="AA1884">
        <v>0.94621599999999995</v>
      </c>
      <c r="AB1884">
        <v>23</v>
      </c>
      <c r="AC1884">
        <v>-4.0690999999999899</v>
      </c>
      <c r="AD1884">
        <v>-1.1030540366179999</v>
      </c>
      <c r="AE1884">
        <v>-3.8355999999999999</v>
      </c>
      <c r="AF1884">
        <v>1.6073774130998499</v>
      </c>
      <c r="AG1884">
        <v>-1.1030540366179999</v>
      </c>
      <c r="AH1884">
        <v>5.1368560414457098</v>
      </c>
      <c r="AI1884">
        <v>101.58153315471399</v>
      </c>
      <c r="AJ1884">
        <v>72.624538068778904</v>
      </c>
      <c r="AK1884">
        <v>5.4943316560233297</v>
      </c>
      <c r="AL1884">
        <v>68.531435559830697</v>
      </c>
      <c r="AM1884">
        <v>78.976553532625402</v>
      </c>
      <c r="AN1884">
        <v>1.0000000157177</v>
      </c>
    </row>
    <row r="1885" spans="1:40" x14ac:dyDescent="0.25">
      <c r="A1885" t="str">
        <f>"20190304164852441"</f>
        <v>20190304164852441</v>
      </c>
      <c r="B1885" t="str">
        <f>"1551689332437609"</f>
        <v>1551689332437609</v>
      </c>
      <c r="C1885" t="s">
        <v>40</v>
      </c>
      <c r="D1885">
        <v>4.9770539999999999</v>
      </c>
      <c r="E1885">
        <v>0.56808349999999996</v>
      </c>
      <c r="F1885" t="s">
        <v>45</v>
      </c>
      <c r="G1885">
        <v>-199.2269</v>
      </c>
      <c r="H1885" s="1">
        <v>1.9465400000000002E-6</v>
      </c>
      <c r="I1885">
        <v>288.97859999999997</v>
      </c>
      <c r="J1885">
        <v>-195.1327</v>
      </c>
      <c r="K1885">
        <v>1.1030530000000001</v>
      </c>
      <c r="L1885">
        <v>292.73439999999999</v>
      </c>
      <c r="M1885">
        <v>-0.50084839999999997</v>
      </c>
      <c r="N1885">
        <v>-1.469993E-2</v>
      </c>
      <c r="O1885">
        <v>-0.86541029999999997</v>
      </c>
      <c r="P1885">
        <v>-0.60698359999999996</v>
      </c>
      <c r="Q1885">
        <v>0.3568093</v>
      </c>
      <c r="R1885">
        <v>-0.71011139999999995</v>
      </c>
      <c r="S1885">
        <v>-2.5478969999999999</v>
      </c>
      <c r="T1885">
        <v>-0.66586489999999998</v>
      </c>
      <c r="U1885">
        <v>-2.3848880000000001</v>
      </c>
      <c r="V1885">
        <v>0.17679539999999999</v>
      </c>
      <c r="W1885">
        <v>0.36691699999999999</v>
      </c>
      <c r="X1885">
        <v>0.91329910000000003</v>
      </c>
      <c r="Y1885">
        <v>0.27788810000000003</v>
      </c>
      <c r="Z1885">
        <v>0.1645229</v>
      </c>
      <c r="AA1885">
        <v>0.94641980000000003</v>
      </c>
      <c r="AB1885">
        <v>23</v>
      </c>
      <c r="AC1885">
        <v>-4.0941999999999998</v>
      </c>
      <c r="AD1885">
        <v>-1.10305105346</v>
      </c>
      <c r="AE1885">
        <v>-3.7558000000000198</v>
      </c>
      <c r="AF1885">
        <v>1.5992205538497299</v>
      </c>
      <c r="AG1885">
        <v>-1.10305105346</v>
      </c>
      <c r="AH1885">
        <v>5.1004144791833497</v>
      </c>
      <c r="AI1885">
        <v>101.659932661323</v>
      </c>
      <c r="AJ1885">
        <v>72.591330900466602</v>
      </c>
      <c r="AK1885">
        <v>5.4578801622844297</v>
      </c>
      <c r="AL1885">
        <v>68.474393501387894</v>
      </c>
      <c r="AM1885">
        <v>79.044254357804903</v>
      </c>
      <c r="AN1885">
        <v>0.99999997220548398</v>
      </c>
    </row>
    <row r="1886" spans="1:40" x14ac:dyDescent="0.25">
      <c r="A1886" t="str">
        <f>"20190304164852462"</f>
        <v>20190304164852462</v>
      </c>
      <c r="B1886" t="str">
        <f>"1551689332458105"</f>
        <v>1551689332458105</v>
      </c>
      <c r="C1886" t="s">
        <v>40</v>
      </c>
      <c r="D1886">
        <v>4.9636870000000002</v>
      </c>
      <c r="E1886">
        <v>0.56819390000000003</v>
      </c>
      <c r="F1886" t="s">
        <v>45</v>
      </c>
      <c r="G1886">
        <v>-199.43700000000001</v>
      </c>
      <c r="H1886" s="1">
        <v>1.9237139999999999E-6</v>
      </c>
      <c r="I1886">
        <v>288.81349999999998</v>
      </c>
      <c r="J1886">
        <v>-195.25460000000001</v>
      </c>
      <c r="K1886">
        <v>1.103054</v>
      </c>
      <c r="L1886">
        <v>292.55160000000001</v>
      </c>
      <c r="M1886">
        <v>-0.51143530000000004</v>
      </c>
      <c r="N1886">
        <v>-1.4536159999999999E-2</v>
      </c>
      <c r="O1886">
        <v>-0.85919880000000004</v>
      </c>
      <c r="P1886">
        <v>-0.61401700000000003</v>
      </c>
      <c r="Q1886">
        <v>0.3581182</v>
      </c>
      <c r="R1886">
        <v>-0.70337369999999899</v>
      </c>
      <c r="S1886">
        <v>-2.5808409999999999</v>
      </c>
      <c r="T1886">
        <v>-0.66139440000000005</v>
      </c>
      <c r="U1886">
        <v>-2.3509829999999998</v>
      </c>
      <c r="V1886">
        <v>0.17500389999999999</v>
      </c>
      <c r="W1886">
        <v>0.36811480000000002</v>
      </c>
      <c r="X1886">
        <v>0.91316220000000003</v>
      </c>
      <c r="Y1886">
        <v>0.27913070000000001</v>
      </c>
      <c r="Z1886">
        <v>0.16276009999999999</v>
      </c>
      <c r="AA1886">
        <v>0.9463589</v>
      </c>
      <c r="AB1886">
        <v>23</v>
      </c>
      <c r="AC1886">
        <v>-4.1824000000000003</v>
      </c>
      <c r="AD1886">
        <v>-1.1030520762860001</v>
      </c>
      <c r="AE1886">
        <v>-3.73810000000003</v>
      </c>
      <c r="AF1886">
        <v>1.61928009160728</v>
      </c>
      <c r="AG1886">
        <v>-1.1030520762860001</v>
      </c>
      <c r="AH1886">
        <v>5.1521403028395101</v>
      </c>
      <c r="AI1886">
        <v>101.54364640909201</v>
      </c>
      <c r="AJ1886">
        <v>72.5524472554429</v>
      </c>
      <c r="AK1886">
        <v>5.5121086344717298</v>
      </c>
      <c r="AL1886">
        <v>68.400601835176502</v>
      </c>
      <c r="AM1886">
        <v>79.151036499026105</v>
      </c>
      <c r="AN1886">
        <v>1.0000000372515401</v>
      </c>
    </row>
    <row r="1887" spans="1:40" x14ac:dyDescent="0.25">
      <c r="A1887" t="str">
        <f>"20190304164852484"</f>
        <v>20190304164852484</v>
      </c>
      <c r="B1887" t="str">
        <f>"1551689332477627"</f>
        <v>1551689332477627</v>
      </c>
      <c r="C1887" t="s">
        <v>40</v>
      </c>
      <c r="D1887">
        <v>4.9922559999999896</v>
      </c>
      <c r="E1887">
        <v>0.56831409999999905</v>
      </c>
      <c r="F1887" t="s">
        <v>45</v>
      </c>
      <c r="G1887">
        <v>-199.63839999999999</v>
      </c>
      <c r="H1887" s="1">
        <v>1.9023350000000001E-6</v>
      </c>
      <c r="I1887">
        <v>288.64920000000001</v>
      </c>
      <c r="J1887">
        <v>-195.3888</v>
      </c>
      <c r="K1887">
        <v>1.103035</v>
      </c>
      <c r="L1887">
        <v>292.35590000000002</v>
      </c>
      <c r="M1887">
        <v>-0.52281089999999997</v>
      </c>
      <c r="N1887">
        <v>-1.433384E-2</v>
      </c>
      <c r="O1887">
        <v>-0.85232830000000004</v>
      </c>
      <c r="P1887">
        <v>-0.62112670000000003</v>
      </c>
      <c r="Q1887">
        <v>0.36019400000000001</v>
      </c>
      <c r="R1887">
        <v>-0.69603340000000002</v>
      </c>
      <c r="S1887">
        <v>-2.6085509999999998</v>
      </c>
      <c r="T1887">
        <v>-0.6563601</v>
      </c>
      <c r="U1887">
        <v>-2.3220830000000001</v>
      </c>
      <c r="V1887">
        <v>0.172711</v>
      </c>
      <c r="W1887">
        <v>0.37004799999999999</v>
      </c>
      <c r="X1887">
        <v>0.91281730000000005</v>
      </c>
      <c r="Y1887">
        <v>0.27748250000000002</v>
      </c>
      <c r="Z1887">
        <v>0.160640899999999</v>
      </c>
      <c r="AA1887">
        <v>0.94720539999999998</v>
      </c>
      <c r="AB1887">
        <v>23</v>
      </c>
      <c r="AC1887">
        <v>-4.2495999999999796</v>
      </c>
      <c r="AD1887">
        <v>-1.103033097665</v>
      </c>
      <c r="AE1887">
        <v>-3.7067000000000099</v>
      </c>
      <c r="AF1887">
        <v>1.6222534090413001</v>
      </c>
      <c r="AG1887">
        <v>-1.103033097665</v>
      </c>
      <c r="AH1887">
        <v>5.1832917981557598</v>
      </c>
      <c r="AI1887">
        <v>101.480119474047</v>
      </c>
      <c r="AJ1887">
        <v>72.621057087067499</v>
      </c>
      <c r="AK1887">
        <v>5.5421026697923397</v>
      </c>
      <c r="AL1887">
        <v>68.281422802167995</v>
      </c>
      <c r="AM1887">
        <v>79.2859173857249</v>
      </c>
      <c r="AN1887">
        <v>1.00000001750214</v>
      </c>
    </row>
    <row r="1888" spans="1:40" x14ac:dyDescent="0.25">
      <c r="A1888" t="str">
        <f>"20190304164852506"</f>
        <v>20190304164852506</v>
      </c>
      <c r="B1888" t="str">
        <f>"1551689332498121"</f>
        <v>1551689332498121</v>
      </c>
      <c r="C1888" t="s">
        <v>40</v>
      </c>
      <c r="D1888">
        <v>4.8020990000000001</v>
      </c>
      <c r="E1888">
        <v>0.56837360000000003</v>
      </c>
      <c r="F1888" t="s">
        <v>45</v>
      </c>
      <c r="G1888">
        <v>-199.8775</v>
      </c>
      <c r="H1888" s="1">
        <v>1.8770110000000001E-6</v>
      </c>
      <c r="I1888">
        <v>288.45370000000003</v>
      </c>
      <c r="J1888">
        <v>-195.52099999999999</v>
      </c>
      <c r="K1888">
        <v>1.1029910000000001</v>
      </c>
      <c r="L1888">
        <v>292.16829999999999</v>
      </c>
      <c r="M1888">
        <v>-0.53375410000000001</v>
      </c>
      <c r="N1888">
        <v>-1.4118550000000001E-2</v>
      </c>
      <c r="O1888">
        <v>-0.84552190000000005</v>
      </c>
      <c r="P1888">
        <v>-0.62720229999999999</v>
      </c>
      <c r="Q1888">
        <v>0.36277799999999999</v>
      </c>
      <c r="R1888">
        <v>-0.68920919999999997</v>
      </c>
      <c r="S1888">
        <v>-2.6368870000000002</v>
      </c>
      <c r="T1888">
        <v>-0.64797150000000003</v>
      </c>
      <c r="U1888">
        <v>-2.292297</v>
      </c>
      <c r="V1888">
        <v>0.1697022</v>
      </c>
      <c r="W1888">
        <v>0.3724826</v>
      </c>
      <c r="X1888">
        <v>0.91239130000000002</v>
      </c>
      <c r="Y1888">
        <v>0.27662320000000001</v>
      </c>
      <c r="Z1888">
        <v>0.157717</v>
      </c>
      <c r="AA1888">
        <v>0.94794769999999995</v>
      </c>
      <c r="AB1888">
        <v>23</v>
      </c>
      <c r="AC1888">
        <v>-4.3565000000000103</v>
      </c>
      <c r="AD1888">
        <v>-1.1029891229889901</v>
      </c>
      <c r="AE1888">
        <v>-3.7145999999999599</v>
      </c>
      <c r="AF1888">
        <v>1.64012667640003</v>
      </c>
      <c r="AG1888">
        <v>-1.1029891229889901</v>
      </c>
      <c r="AH1888">
        <v>5.27097905607756</v>
      </c>
      <c r="AI1888">
        <v>101.299330863488</v>
      </c>
      <c r="AJ1888">
        <v>72.715860189435304</v>
      </c>
      <c r="AK1888">
        <v>5.6293712552717103</v>
      </c>
      <c r="AL1888">
        <v>68.131192737276706</v>
      </c>
      <c r="AM1888">
        <v>79.463548766026506</v>
      </c>
      <c r="AN1888">
        <v>1.0000000041516399</v>
      </c>
    </row>
    <row r="1889" spans="1:40" x14ac:dyDescent="0.25">
      <c r="A1889" t="str">
        <f>"20190304164852529"</f>
        <v>20190304164852529</v>
      </c>
      <c r="B1889" t="str">
        <f>"1551689332517645"</f>
        <v>1551689332517645</v>
      </c>
      <c r="C1889" t="s">
        <v>40</v>
      </c>
      <c r="D1889">
        <v>4.960458</v>
      </c>
      <c r="E1889">
        <v>0.56845869999999998</v>
      </c>
      <c r="F1889" t="s">
        <v>45</v>
      </c>
      <c r="G1889">
        <v>-200.14760000000001</v>
      </c>
      <c r="H1889" s="1">
        <v>1.966082E-6</v>
      </c>
      <c r="I1889">
        <v>288.2353</v>
      </c>
      <c r="J1889">
        <v>-195.65950000000001</v>
      </c>
      <c r="K1889">
        <v>1.1029310000000001</v>
      </c>
      <c r="L1889">
        <v>291.97699999999998</v>
      </c>
      <c r="M1889">
        <v>-0.54497589999999996</v>
      </c>
      <c r="N1889">
        <v>-1.3882830000000001E-2</v>
      </c>
      <c r="O1889">
        <v>-0.83833690000000005</v>
      </c>
      <c r="P1889">
        <v>-0.63399079999999997</v>
      </c>
      <c r="Q1889">
        <v>0.36624610000000002</v>
      </c>
      <c r="R1889">
        <v>-0.68111690000000003</v>
      </c>
      <c r="S1889">
        <v>-2.6629179999999999</v>
      </c>
      <c r="T1889">
        <v>-0.63483080000000003</v>
      </c>
      <c r="U1889">
        <v>-2.2636720000000001</v>
      </c>
      <c r="V1889">
        <v>0.16765759999999999</v>
      </c>
      <c r="W1889">
        <v>0.37574750000000001</v>
      </c>
      <c r="X1889">
        <v>0.91143010000000002</v>
      </c>
      <c r="Y1889">
        <v>0.27486440000000001</v>
      </c>
      <c r="Z1889">
        <v>0.1535482</v>
      </c>
      <c r="AA1889">
        <v>0.94914310000000002</v>
      </c>
      <c r="AB1889">
        <v>23</v>
      </c>
      <c r="AC1889">
        <v>-4.4881000000000002</v>
      </c>
      <c r="AD1889">
        <v>-1.10292903391799</v>
      </c>
      <c r="AE1889">
        <v>-3.74170000000003</v>
      </c>
      <c r="AF1889">
        <v>1.6642749878629901</v>
      </c>
      <c r="AG1889">
        <v>-1.10292903391799</v>
      </c>
      <c r="AH1889">
        <v>5.39117336957408</v>
      </c>
      <c r="AI1889">
        <v>101.060596872438</v>
      </c>
      <c r="AJ1889">
        <v>72.844351076772696</v>
      </c>
      <c r="AK1889">
        <v>5.7490011297520596</v>
      </c>
      <c r="AL1889">
        <v>67.9294805178247</v>
      </c>
      <c r="AM1889">
        <v>79.576960460637494</v>
      </c>
      <c r="AN1889">
        <v>1.0000000408900001</v>
      </c>
    </row>
    <row r="1890" spans="1:40" x14ac:dyDescent="0.25">
      <c r="A1890" t="str">
        <f>"20190304164852550"</f>
        <v>20190304164852550</v>
      </c>
      <c r="B1890" t="str">
        <f>"1551689332547897"</f>
        <v>1551689332547897</v>
      </c>
      <c r="C1890" t="s">
        <v>40</v>
      </c>
      <c r="D1890">
        <v>4.8654099999999998</v>
      </c>
      <c r="E1890">
        <v>0.56862809999999997</v>
      </c>
      <c r="F1890" t="s">
        <v>45</v>
      </c>
      <c r="G1890">
        <v>-200.44049999999999</v>
      </c>
      <c r="H1890" s="1">
        <v>2.1152699999999999E-6</v>
      </c>
      <c r="I1890">
        <v>288.0145</v>
      </c>
      <c r="J1890">
        <v>-195.79349999999999</v>
      </c>
      <c r="K1890">
        <v>1.102849</v>
      </c>
      <c r="L1890">
        <v>291.79700000000003</v>
      </c>
      <c r="M1890">
        <v>-0.55560129999999996</v>
      </c>
      <c r="N1890">
        <v>-1.364828E-2</v>
      </c>
      <c r="O1890">
        <v>-0.83133690000000005</v>
      </c>
      <c r="P1890">
        <v>-0.64101960000000002</v>
      </c>
      <c r="Q1890">
        <v>0.3700408</v>
      </c>
      <c r="R1890">
        <v>-0.67243129999999995</v>
      </c>
      <c r="S1890">
        <v>-2.6930390000000002</v>
      </c>
      <c r="T1890">
        <v>-0.62125399999999997</v>
      </c>
      <c r="U1890">
        <v>-2.2319640000000001</v>
      </c>
      <c r="V1890">
        <v>0.16677410000000001</v>
      </c>
      <c r="W1890">
        <v>0.37930459999999999</v>
      </c>
      <c r="X1890">
        <v>0.91011779999999998</v>
      </c>
      <c r="Y1890">
        <v>0.27503549999999999</v>
      </c>
      <c r="Z1890">
        <v>0.1493517</v>
      </c>
      <c r="AA1890">
        <v>0.94976289999999997</v>
      </c>
      <c r="AB1890">
        <v>23</v>
      </c>
      <c r="AC1890">
        <v>-4.6469999999999896</v>
      </c>
      <c r="AD1890">
        <v>-1.1028468847299999</v>
      </c>
      <c r="AE1890">
        <v>-3.7825000000000202</v>
      </c>
      <c r="AF1890">
        <v>1.70409400990743</v>
      </c>
      <c r="AG1890">
        <v>-1.1028468847299999</v>
      </c>
      <c r="AH1890">
        <v>5.5392863294521204</v>
      </c>
      <c r="AI1890">
        <v>100.774235135883</v>
      </c>
      <c r="AJ1890">
        <v>72.900122615963596</v>
      </c>
      <c r="AK1890">
        <v>5.8994830862895302</v>
      </c>
      <c r="AL1890">
        <v>67.709385244962903</v>
      </c>
      <c r="AM1890">
        <v>79.616065382207296</v>
      </c>
      <c r="AN1890">
        <v>0.99999999494440495</v>
      </c>
    </row>
    <row r="1891" spans="1:40" x14ac:dyDescent="0.25">
      <c r="A1891" t="str">
        <f>"20190304164852575"</f>
        <v>20190304164852575</v>
      </c>
      <c r="B1891" t="str">
        <f>"1551689332568394"</f>
        <v>1551689332568394</v>
      </c>
      <c r="C1891" t="s">
        <v>40</v>
      </c>
      <c r="D1891">
        <v>4.9339209999999998</v>
      </c>
      <c r="E1891">
        <v>0.56866779999999995</v>
      </c>
      <c r="F1891" t="s">
        <v>45</v>
      </c>
      <c r="G1891">
        <v>-200.74780000000001</v>
      </c>
      <c r="H1891" s="1">
        <v>2.270579E-6</v>
      </c>
      <c r="I1891">
        <v>287.79689999999999</v>
      </c>
      <c r="J1891">
        <v>-195.94329999999999</v>
      </c>
      <c r="K1891">
        <v>1.1027340000000001</v>
      </c>
      <c r="L1891">
        <v>291.60120000000001</v>
      </c>
      <c r="M1891">
        <v>-0.56725969999999903</v>
      </c>
      <c r="N1891">
        <v>-1.338629E-2</v>
      </c>
      <c r="O1891">
        <v>-0.8234302</v>
      </c>
      <c r="P1891">
        <v>-0.64971040000000002</v>
      </c>
      <c r="Q1891">
        <v>0.3718902</v>
      </c>
      <c r="R1891">
        <v>-0.66300389999999998</v>
      </c>
      <c r="S1891">
        <v>-2.7234039999999999</v>
      </c>
      <c r="T1891">
        <v>-0.60623050000000001</v>
      </c>
      <c r="U1891">
        <v>-2.1988530000000002</v>
      </c>
      <c r="V1891">
        <v>0.16648289999999999</v>
      </c>
      <c r="W1891">
        <v>0.38087870000000001</v>
      </c>
      <c r="X1891">
        <v>0.90951349999999997</v>
      </c>
      <c r="Y1891">
        <v>0.27427570000000001</v>
      </c>
      <c r="Z1891">
        <v>0.14469009999999999</v>
      </c>
      <c r="AA1891">
        <v>0.95070370000000004</v>
      </c>
      <c r="AB1891">
        <v>23</v>
      </c>
      <c r="AC1891">
        <v>-4.8045000000000098</v>
      </c>
      <c r="AD1891">
        <v>-1.102731729421</v>
      </c>
      <c r="AE1891">
        <v>-3.8043000000000098</v>
      </c>
      <c r="AF1891">
        <v>1.74190454229133</v>
      </c>
      <c r="AG1891">
        <v>-1.102731729421</v>
      </c>
      <c r="AH1891">
        <v>5.6747574133732401</v>
      </c>
      <c r="AI1891">
        <v>100.523732430873</v>
      </c>
      <c r="AJ1891">
        <v>72.935783499332899</v>
      </c>
      <c r="AK1891">
        <v>6.0376419571022604</v>
      </c>
      <c r="AL1891">
        <v>67.611877392621693</v>
      </c>
      <c r="AM1891">
        <v>79.627065037121795</v>
      </c>
      <c r="AN1891">
        <v>0.99999997339417401</v>
      </c>
    </row>
    <row r="1892" spans="1:40" x14ac:dyDescent="0.25">
      <c r="A1892" t="str">
        <f>"20190304164852599"</f>
        <v>20190304164852599</v>
      </c>
      <c r="B1892" t="str">
        <f>"1551689332587913"</f>
        <v>1551689332587913</v>
      </c>
      <c r="C1892" t="s">
        <v>40</v>
      </c>
      <c r="D1892">
        <v>4.9260479999999998</v>
      </c>
      <c r="E1892">
        <v>0.56865759999999999</v>
      </c>
      <c r="F1892" t="s">
        <v>45</v>
      </c>
      <c r="G1892">
        <v>-201.00620000000001</v>
      </c>
      <c r="H1892" s="1">
        <v>2.4000490000000002E-6</v>
      </c>
      <c r="I1892">
        <v>287.62650000000002</v>
      </c>
      <c r="J1892">
        <v>-196.09960000000001</v>
      </c>
      <c r="K1892">
        <v>1.102595</v>
      </c>
      <c r="L1892">
        <v>291.40350000000001</v>
      </c>
      <c r="M1892">
        <v>-0.5791695</v>
      </c>
      <c r="N1892">
        <v>-1.312747E-2</v>
      </c>
      <c r="O1892">
        <v>-0.81510139999999998</v>
      </c>
      <c r="P1892">
        <v>-0.65908650000000002</v>
      </c>
      <c r="Q1892">
        <v>0.37263479999999999</v>
      </c>
      <c r="R1892">
        <v>-0.6532599</v>
      </c>
      <c r="S1892">
        <v>-2.754257</v>
      </c>
      <c r="T1892">
        <v>-0.59989380000000003</v>
      </c>
      <c r="U1892">
        <v>-2.1622620000000001</v>
      </c>
      <c r="V1892">
        <v>0.16657189999999999</v>
      </c>
      <c r="W1892">
        <v>0.38133980000000001</v>
      </c>
      <c r="X1892">
        <v>0.909304</v>
      </c>
      <c r="Y1892">
        <v>0.27358840000000001</v>
      </c>
      <c r="Z1892">
        <v>0.14222009999999999</v>
      </c>
      <c r="AA1892">
        <v>0.95127430000000002</v>
      </c>
      <c r="AB1892">
        <v>23</v>
      </c>
      <c r="AC1892">
        <v>-4.9065999999999903</v>
      </c>
      <c r="AD1892">
        <v>-1.102592599951</v>
      </c>
      <c r="AE1892">
        <v>-3.7769999999999802</v>
      </c>
      <c r="AF1892">
        <v>1.7563196243027199</v>
      </c>
      <c r="AG1892">
        <v>-1.102592599951</v>
      </c>
      <c r="AH1892">
        <v>5.7389297670398296</v>
      </c>
      <c r="AI1892">
        <v>100.409984138233</v>
      </c>
      <c r="AJ1892">
        <v>72.983998571454407</v>
      </c>
      <c r="AK1892">
        <v>6.1021048774331499</v>
      </c>
      <c r="AL1892">
        <v>67.583302392289198</v>
      </c>
      <c r="AM1892">
        <v>79.619301091691497</v>
      </c>
      <c r="AN1892">
        <v>1.0000000026748199</v>
      </c>
    </row>
    <row r="1893" spans="1:40" x14ac:dyDescent="0.25">
      <c r="A1893" t="str">
        <f>"20190304164852621"</f>
        <v>20190304164852621</v>
      </c>
      <c r="B1893" t="str">
        <f>"1551689332618170"</f>
        <v>1551689332618170</v>
      </c>
      <c r="C1893" t="s">
        <v>40</v>
      </c>
      <c r="D1893">
        <v>5.1692809999999998</v>
      </c>
      <c r="E1893">
        <v>0.56887049999999995</v>
      </c>
      <c r="F1893" t="s">
        <v>45</v>
      </c>
      <c r="G1893">
        <v>-201.23699999999999</v>
      </c>
      <c r="H1893" s="1">
        <v>2.5142859999999998E-6</v>
      </c>
      <c r="I1893">
        <v>287.49020000000002</v>
      </c>
      <c r="J1893">
        <v>-196.24340000000001</v>
      </c>
      <c r="K1893">
        <v>1.1024670000000001</v>
      </c>
      <c r="L1893">
        <v>291.22669999999999</v>
      </c>
      <c r="M1893">
        <v>-0.58992279999999997</v>
      </c>
      <c r="N1893">
        <v>-1.2906849999999999E-2</v>
      </c>
      <c r="O1893">
        <v>-0.80735639999999997</v>
      </c>
      <c r="P1893">
        <v>-0.66696540000000004</v>
      </c>
      <c r="Q1893">
        <v>0.37272620000000001</v>
      </c>
      <c r="R1893">
        <v>-0.64516070000000003</v>
      </c>
      <c r="S1893">
        <v>-2.7863009999999999</v>
      </c>
      <c r="T1893">
        <v>-0.59800019999999998</v>
      </c>
      <c r="U1893">
        <v>-2.1224059999999998</v>
      </c>
      <c r="V1893">
        <v>0.16567390000000001</v>
      </c>
      <c r="W1893">
        <v>0.38121110000000002</v>
      </c>
      <c r="X1893">
        <v>0.90952200000000005</v>
      </c>
      <c r="Y1893">
        <v>0.27485359999999998</v>
      </c>
      <c r="Z1893">
        <v>0.141020799999999</v>
      </c>
      <c r="AA1893">
        <v>0.95108809999999999</v>
      </c>
      <c r="AB1893">
        <v>23</v>
      </c>
      <c r="AC1893">
        <v>-4.9935999999999803</v>
      </c>
      <c r="AD1893">
        <v>-1.102464485714</v>
      </c>
      <c r="AE1893">
        <v>-3.7364999999999702</v>
      </c>
      <c r="AF1893">
        <v>1.7721465386155699</v>
      </c>
      <c r="AG1893">
        <v>-1.102464485714</v>
      </c>
      <c r="AH1893">
        <v>5.7823421833751603</v>
      </c>
      <c r="AI1893">
        <v>100.33109973149</v>
      </c>
      <c r="AJ1893">
        <v>72.960978119939597</v>
      </c>
      <c r="AK1893">
        <v>6.1474720350911403</v>
      </c>
      <c r="AL1893">
        <v>67.5912789752214</v>
      </c>
      <c r="AM1893">
        <v>79.676478795574596</v>
      </c>
      <c r="AN1893">
        <v>1.00000000619421</v>
      </c>
    </row>
    <row r="1894" spans="1:40" x14ac:dyDescent="0.25">
      <c r="A1894" t="str">
        <f>"20190304164852651"</f>
        <v>20190304164852651</v>
      </c>
      <c r="B1894" t="str">
        <f>"1551689332647449"</f>
        <v>1551689332647449</v>
      </c>
      <c r="C1894" t="s">
        <v>40</v>
      </c>
      <c r="D1894">
        <v>5.1600929999999998</v>
      </c>
      <c r="E1894">
        <v>0.56913190000000002</v>
      </c>
      <c r="F1894" t="s">
        <v>45</v>
      </c>
      <c r="G1894">
        <v>-201.4281</v>
      </c>
      <c r="H1894" s="1">
        <v>2.6082389999999999E-6</v>
      </c>
      <c r="I1894">
        <v>287.38499999999999</v>
      </c>
      <c r="J1894">
        <v>-196.45429999999999</v>
      </c>
      <c r="K1894">
        <v>1.102274</v>
      </c>
      <c r="L1894">
        <v>290.97579999999999</v>
      </c>
      <c r="M1894">
        <v>-0.60533380000000003</v>
      </c>
      <c r="N1894">
        <v>-1.261542E-2</v>
      </c>
      <c r="O1894">
        <v>-0.79587180000000002</v>
      </c>
      <c r="P1894">
        <v>-0.6814559</v>
      </c>
      <c r="Q1894">
        <v>0.36740060000000002</v>
      </c>
      <c r="R1894">
        <v>-0.632957199999999</v>
      </c>
      <c r="S1894">
        <v>-2.8149259999999998</v>
      </c>
      <c r="T1894">
        <v>-0.59855649999999905</v>
      </c>
      <c r="U1894">
        <v>-2.0857540000000001</v>
      </c>
      <c r="V1894">
        <v>0.1670005</v>
      </c>
      <c r="W1894">
        <v>0.37556450000000002</v>
      </c>
      <c r="X1894">
        <v>0.91162609999999999</v>
      </c>
      <c r="Y1894">
        <v>0.26911839999999998</v>
      </c>
      <c r="Z1894">
        <v>0.13960880000000001</v>
      </c>
      <c r="AA1894">
        <v>0.95293470000000002</v>
      </c>
      <c r="AB1894">
        <v>23</v>
      </c>
      <c r="AC1894">
        <v>-4.9738000000000104</v>
      </c>
      <c r="AD1894">
        <v>-1.1022713917610001</v>
      </c>
      <c r="AE1894">
        <v>-3.5908000000000002</v>
      </c>
      <c r="AF1894">
        <v>1.7291880375281501</v>
      </c>
      <c r="AG1894">
        <v>-1.1022713917610001</v>
      </c>
      <c r="AH1894">
        <v>5.6855297658361899</v>
      </c>
      <c r="AI1894">
        <v>100.508038445612</v>
      </c>
      <c r="AJ1894">
        <v>73.083468543927395</v>
      </c>
      <c r="AK1894">
        <v>6.0440336041781304</v>
      </c>
      <c r="AL1894">
        <v>67.940793404094407</v>
      </c>
      <c r="AM1894">
        <v>79.619105076162299</v>
      </c>
      <c r="AN1894">
        <v>1.00000000343085</v>
      </c>
    </row>
    <row r="1895" spans="1:40" x14ac:dyDescent="0.25">
      <c r="A1895" t="str">
        <f>"20190304164852674"</f>
        <v>20190304164852674</v>
      </c>
      <c r="B1895" t="str">
        <f>"1551689332667945"</f>
        <v>1551689332667945</v>
      </c>
      <c r="C1895" t="s">
        <v>40</v>
      </c>
      <c r="D1895">
        <v>5.1875530000000003</v>
      </c>
      <c r="E1895">
        <v>0.56948109999999996</v>
      </c>
      <c r="F1895" t="s">
        <v>45</v>
      </c>
      <c r="G1895">
        <v>-201.53620000000001</v>
      </c>
      <c r="H1895" s="1">
        <v>2.657571E-6</v>
      </c>
      <c r="I1895">
        <v>287.3691</v>
      </c>
      <c r="J1895">
        <v>-196.61</v>
      </c>
      <c r="K1895">
        <v>1.1021459999999901</v>
      </c>
      <c r="L1895">
        <v>290.79680000000002</v>
      </c>
      <c r="M1895">
        <v>-0.61642799999999998</v>
      </c>
      <c r="N1895">
        <v>-1.241916E-2</v>
      </c>
      <c r="O1895">
        <v>-0.7873135</v>
      </c>
      <c r="P1895">
        <v>-0.69142440000000005</v>
      </c>
      <c r="Q1895">
        <v>0.36391849999999998</v>
      </c>
      <c r="R1895">
        <v>-0.62409619999999999</v>
      </c>
      <c r="S1895">
        <v>-2.854492</v>
      </c>
      <c r="T1895">
        <v>-0.61914530000000001</v>
      </c>
      <c r="U1895">
        <v>-2.0258790000000002</v>
      </c>
      <c r="V1895">
        <v>0.16745779999999999</v>
      </c>
      <c r="W1895">
        <v>0.37187720000000002</v>
      </c>
      <c r="X1895">
        <v>0.91305270000000005</v>
      </c>
      <c r="Y1895">
        <v>0.27440900000000001</v>
      </c>
      <c r="Z1895">
        <v>0.1441154</v>
      </c>
      <c r="AA1895">
        <v>0.95075259999999995</v>
      </c>
      <c r="AB1895">
        <v>23</v>
      </c>
      <c r="AC1895">
        <v>-4.9261999999999899</v>
      </c>
      <c r="AD1895">
        <v>-1.1021433424289999</v>
      </c>
      <c r="AE1895">
        <v>-3.42770000000001</v>
      </c>
      <c r="AF1895">
        <v>1.7080621574547901</v>
      </c>
      <c r="AG1895">
        <v>-1.1021433424289999</v>
      </c>
      <c r="AH1895">
        <v>5.5486268545431896</v>
      </c>
      <c r="AI1895">
        <v>100.74923711478201</v>
      </c>
      <c r="AJ1895">
        <v>72.889796997501406</v>
      </c>
      <c r="AK1895">
        <v>5.9092686731902502</v>
      </c>
      <c r="AL1895">
        <v>68.1685642577892</v>
      </c>
      <c r="AM1895">
        <v>79.6072078374943</v>
      </c>
      <c r="AN1895">
        <v>0.99999999981898502</v>
      </c>
    </row>
    <row r="1896" spans="1:40" x14ac:dyDescent="0.25">
      <c r="A1896" t="str">
        <f>"20190304164852698"</f>
        <v>20190304164852698</v>
      </c>
      <c r="B1896" t="str">
        <f>"1551689332687465"</f>
        <v>1551689332687465</v>
      </c>
      <c r="C1896" t="s">
        <v>40</v>
      </c>
      <c r="D1896">
        <v>5.1804839999999999</v>
      </c>
      <c r="E1896">
        <v>0.56984650000000003</v>
      </c>
      <c r="F1896" t="s">
        <v>41</v>
      </c>
      <c r="G1896">
        <v>-197.22909999999999</v>
      </c>
      <c r="H1896">
        <v>0.96652039999999995</v>
      </c>
      <c r="I1896">
        <v>290.37169999999998</v>
      </c>
      <c r="J1896">
        <v>-196.77440000000001</v>
      </c>
      <c r="K1896">
        <v>1.102033</v>
      </c>
      <c r="L1896">
        <v>290.61340000000001</v>
      </c>
      <c r="M1896">
        <v>-0.62789619999999902</v>
      </c>
      <c r="N1896">
        <v>-1.2216390000000001E-2</v>
      </c>
      <c r="O1896">
        <v>-0.77820140000000004</v>
      </c>
      <c r="P1896">
        <v>-0.70048520000000003</v>
      </c>
      <c r="Q1896">
        <v>0.36000280000000001</v>
      </c>
      <c r="R1896">
        <v>-0.61621329999999996</v>
      </c>
      <c r="S1896">
        <v>-2.883499</v>
      </c>
      <c r="T1896">
        <v>-0.6312392</v>
      </c>
      <c r="U1896">
        <v>-1.9804379999999999</v>
      </c>
      <c r="V1896">
        <v>0.165988</v>
      </c>
      <c r="W1896">
        <v>0.36779689999999998</v>
      </c>
      <c r="X1896">
        <v>0.9149718</v>
      </c>
      <c r="Y1896">
        <v>0.27458500000000002</v>
      </c>
      <c r="Z1896">
        <v>0.14608989999999999</v>
      </c>
      <c r="AA1896">
        <v>0.95040040000000003</v>
      </c>
      <c r="AB1896">
        <v>23</v>
      </c>
      <c r="AC1896">
        <v>-0.45469999999997401</v>
      </c>
      <c r="AD1896">
        <v>-0.13551260000000001</v>
      </c>
      <c r="AE1896">
        <v>-0.241700000000037</v>
      </c>
      <c r="AF1896">
        <v>0.18901127606088799</v>
      </c>
      <c r="AG1896">
        <v>-0.13551260000000001</v>
      </c>
      <c r="AH1896">
        <v>0.442955337254196</v>
      </c>
      <c r="AI1896">
        <v>105.715663698019</v>
      </c>
      <c r="AJ1896">
        <v>66.891813017437599</v>
      </c>
      <c r="AK1896">
        <v>0.50029826907446395</v>
      </c>
      <c r="AL1896">
        <v>68.420189257661505</v>
      </c>
      <c r="AM1896">
        <v>79.717614065362298</v>
      </c>
      <c r="AN1896">
        <v>0.99999998529442402</v>
      </c>
    </row>
    <row r="1897" spans="1:40" x14ac:dyDescent="0.25">
      <c r="A1897" t="str">
        <f>"20190304164852719"</f>
        <v>20190304164852719</v>
      </c>
      <c r="B1897" t="str">
        <f>"1551689332707964"</f>
        <v>1551689332707964</v>
      </c>
      <c r="C1897" t="s">
        <v>40</v>
      </c>
      <c r="D1897">
        <v>5.1474330000000004</v>
      </c>
      <c r="E1897">
        <v>0.57021750000000004</v>
      </c>
      <c r="F1897" t="s">
        <v>45</v>
      </c>
      <c r="G1897">
        <v>-201.7671</v>
      </c>
      <c r="H1897" s="1">
        <v>2.7660409999999999E-6</v>
      </c>
      <c r="I1897">
        <v>287.29969999999997</v>
      </c>
      <c r="J1897">
        <v>-196.92949999999999</v>
      </c>
      <c r="K1897">
        <v>1.101928</v>
      </c>
      <c r="L1897">
        <v>290.44540000000001</v>
      </c>
      <c r="M1897">
        <v>-0.63847310000000002</v>
      </c>
      <c r="N1897">
        <v>-1.20261E-2</v>
      </c>
      <c r="O1897">
        <v>-0.76955010000000001</v>
      </c>
      <c r="P1897">
        <v>-0.70848800000000001</v>
      </c>
      <c r="Q1897">
        <v>0.35585229999999901</v>
      </c>
      <c r="R1897">
        <v>-0.60943729999999996</v>
      </c>
      <c r="S1897">
        <v>-2.912598</v>
      </c>
      <c r="T1897">
        <v>-0.64289280000000004</v>
      </c>
      <c r="U1897">
        <v>-1.933136</v>
      </c>
      <c r="V1897">
        <v>0.16386979999999901</v>
      </c>
      <c r="W1897">
        <v>0.36351230000000001</v>
      </c>
      <c r="X1897">
        <v>0.91706350000000003</v>
      </c>
      <c r="Y1897">
        <v>0.27614300000000003</v>
      </c>
      <c r="Z1897">
        <v>0.1480476</v>
      </c>
      <c r="AA1897">
        <v>0.94964570000000004</v>
      </c>
      <c r="AB1897">
        <v>23</v>
      </c>
      <c r="AC1897">
        <v>-4.8376000000000001</v>
      </c>
      <c r="AD1897">
        <v>-1.101925233959</v>
      </c>
      <c r="AE1897">
        <v>-3.1457000000000299</v>
      </c>
      <c r="AF1897">
        <v>1.6541350498064999</v>
      </c>
      <c r="AG1897">
        <v>-1.101925233959</v>
      </c>
      <c r="AH1897">
        <v>5.3159966097566702</v>
      </c>
      <c r="AI1897">
        <v>101.195539981254</v>
      </c>
      <c r="AJ1897">
        <v>72.715853940115096</v>
      </c>
      <c r="AK1897">
        <v>5.6754050022160003</v>
      </c>
      <c r="AL1897">
        <v>68.683943879176894</v>
      </c>
      <c r="AM1897">
        <v>79.868761536357596</v>
      </c>
      <c r="AN1897">
        <v>0.99999998331778905</v>
      </c>
    </row>
    <row r="1898" spans="1:40" x14ac:dyDescent="0.25">
      <c r="A1898" t="str">
        <f>"20190304164852741"</f>
        <v>20190304164852741</v>
      </c>
      <c r="B1898" t="str">
        <f>"1551689332738217"</f>
        <v>1551689332738217</v>
      </c>
      <c r="C1898" t="s">
        <v>40</v>
      </c>
      <c r="D1898">
        <v>5.1941230000000003</v>
      </c>
      <c r="E1898">
        <v>0.63250779999999995</v>
      </c>
      <c r="F1898" t="s">
        <v>45</v>
      </c>
      <c r="G1898">
        <v>-201.86689999999999</v>
      </c>
      <c r="H1898" s="1">
        <v>2.8133260000000001E-6</v>
      </c>
      <c r="I1898">
        <v>287.26519999999999</v>
      </c>
      <c r="J1898">
        <v>-197.0926</v>
      </c>
      <c r="K1898">
        <v>1.10182</v>
      </c>
      <c r="L1898">
        <v>290.27370000000002</v>
      </c>
      <c r="M1898">
        <v>-0.64934099999999995</v>
      </c>
      <c r="N1898">
        <v>-1.1834890000000001E-2</v>
      </c>
      <c r="O1898">
        <v>-0.76040529999999995</v>
      </c>
      <c r="P1898">
        <v>-0.71648140000000005</v>
      </c>
      <c r="Q1898">
        <v>0.35311540000000002</v>
      </c>
      <c r="R1898">
        <v>-0.60163480000000003</v>
      </c>
      <c r="S1898">
        <v>-2.9365540000000001</v>
      </c>
      <c r="T1898">
        <v>-0.65536879999999997</v>
      </c>
      <c r="U1898">
        <v>-1.891418</v>
      </c>
      <c r="V1898">
        <v>0.16191469999999999</v>
      </c>
      <c r="W1898">
        <v>0.3606298</v>
      </c>
      <c r="X1898">
        <v>0.91854760000000002</v>
      </c>
      <c r="Y1898">
        <v>0.27515119999999998</v>
      </c>
      <c r="Z1898">
        <v>0.14992339999999901</v>
      </c>
      <c r="AA1898">
        <v>0.94963929999999996</v>
      </c>
      <c r="AB1898">
        <v>23</v>
      </c>
      <c r="AC1898">
        <v>-4.7742999999999798</v>
      </c>
      <c r="AD1898">
        <v>-1.1018171866740001</v>
      </c>
      <c r="AE1898">
        <v>-3.0085000000000202</v>
      </c>
      <c r="AF1898">
        <v>1.61539566167781</v>
      </c>
      <c r="AG1898">
        <v>-1.1018171866740001</v>
      </c>
      <c r="AH1898">
        <v>5.1903384081033499</v>
      </c>
      <c r="AI1898">
        <v>101.45818101050899</v>
      </c>
      <c r="AJ1898">
        <v>72.712224325606996</v>
      </c>
      <c r="AK1898">
        <v>5.5464508514229696</v>
      </c>
      <c r="AL1898">
        <v>68.861119842005394</v>
      </c>
      <c r="AM1898">
        <v>80.003026317908393</v>
      </c>
      <c r="AN1898">
        <v>0.99999995809494402</v>
      </c>
    </row>
    <row r="1899" spans="1:40" x14ac:dyDescent="0.25">
      <c r="A1899" t="str">
        <f>"20190304164852765"</f>
        <v>20190304164852765</v>
      </c>
      <c r="B1899" t="str">
        <f>"1551689332757737"</f>
        <v>1551689332757737</v>
      </c>
      <c r="C1899" t="s">
        <v>40</v>
      </c>
      <c r="D1899">
        <v>5.2108660000000002</v>
      </c>
      <c r="E1899">
        <v>0.58214350000000004</v>
      </c>
      <c r="F1899" t="s">
        <v>46</v>
      </c>
      <c r="G1899">
        <v>-225.34309999999999</v>
      </c>
      <c r="H1899">
        <v>8.0001359999999994E-2</v>
      </c>
      <c r="I1899">
        <v>278.3895</v>
      </c>
      <c r="J1899">
        <v>-197.2681</v>
      </c>
      <c r="K1899">
        <v>1.1016950000000001</v>
      </c>
      <c r="L1899">
        <v>290.09410000000003</v>
      </c>
      <c r="M1899">
        <v>-0.66076449999999998</v>
      </c>
      <c r="N1899">
        <v>-1.16341E-2</v>
      </c>
      <c r="O1899">
        <v>-0.75050319999999904</v>
      </c>
      <c r="P1899">
        <v>-0.72480089999999997</v>
      </c>
      <c r="Q1899">
        <v>0.35287729999999901</v>
      </c>
      <c r="R1899">
        <v>-0.59172769999999997</v>
      </c>
      <c r="S1899">
        <v>-3.1354679999999999</v>
      </c>
      <c r="T1899">
        <v>-0.11340939999999999</v>
      </c>
      <c r="U1899">
        <v>-1.319</v>
      </c>
      <c r="V1899">
        <v>0.16079839999999901</v>
      </c>
      <c r="W1899">
        <v>0.36020459999999999</v>
      </c>
      <c r="X1899">
        <v>0.91891049999999996</v>
      </c>
      <c r="Y1899">
        <v>0.43520409999999998</v>
      </c>
      <c r="Z1899">
        <v>2.3088170000000002E-2</v>
      </c>
      <c r="AA1899">
        <v>0.90003569999999999</v>
      </c>
      <c r="AB1899">
        <v>23</v>
      </c>
      <c r="AC1899">
        <v>-28.0749999999999</v>
      </c>
      <c r="AD1899">
        <v>-1.0216936400000001</v>
      </c>
      <c r="AE1899">
        <v>-11.704599999999999</v>
      </c>
      <c r="AF1899">
        <v>13.3222641483811</v>
      </c>
      <c r="AG1899">
        <v>-1.0216936400000001</v>
      </c>
      <c r="AH1899">
        <v>27.306343149787601</v>
      </c>
      <c r="AI1899">
        <v>91.925975841240401</v>
      </c>
      <c r="AJ1899">
        <v>63.993100380390601</v>
      </c>
      <c r="AK1899">
        <v>30.4000486208034</v>
      </c>
      <c r="AL1899">
        <v>68.887238109644997</v>
      </c>
      <c r="AM1899">
        <v>80.074416203334906</v>
      </c>
      <c r="AN1899">
        <v>0.99999999315698496</v>
      </c>
    </row>
    <row r="1900" spans="1:40" x14ac:dyDescent="0.25">
      <c r="A1900" t="str">
        <f>"20190304164852790"</f>
        <v>20190304164852790</v>
      </c>
      <c r="B1900" t="str">
        <f>"1551689332787993"</f>
        <v>1551689332787993</v>
      </c>
      <c r="C1900" t="s">
        <v>40</v>
      </c>
      <c r="D1900">
        <v>5.1593280000000004</v>
      </c>
      <c r="E1900">
        <v>0.58185310000000001</v>
      </c>
      <c r="F1900" t="s">
        <v>45</v>
      </c>
      <c r="G1900">
        <v>-202.7593</v>
      </c>
      <c r="H1900" s="1">
        <v>3.2342080000000001E-6</v>
      </c>
      <c r="I1900">
        <v>286.97739999999999</v>
      </c>
      <c r="J1900">
        <v>-197.46100000000001</v>
      </c>
      <c r="K1900">
        <v>1.101566</v>
      </c>
      <c r="L1900">
        <v>289.90280000000001</v>
      </c>
      <c r="M1900">
        <v>-0.67302410000000001</v>
      </c>
      <c r="N1900">
        <v>-1.141465E-2</v>
      </c>
      <c r="O1900">
        <v>-0.73953259999999998</v>
      </c>
      <c r="P1900">
        <v>-0.73404539999999996</v>
      </c>
      <c r="Q1900">
        <v>0.35517189999999998</v>
      </c>
      <c r="R1900">
        <v>-0.57881819999999995</v>
      </c>
      <c r="S1900">
        <v>-3.0307309999999998</v>
      </c>
      <c r="T1900">
        <v>-0.60804669999999905</v>
      </c>
      <c r="U1900">
        <v>-1.7201839999999999</v>
      </c>
      <c r="V1900">
        <v>0.16124920000000001</v>
      </c>
      <c r="W1900">
        <v>0.36224060000000002</v>
      </c>
      <c r="X1900">
        <v>0.91803069999999998</v>
      </c>
      <c r="Y1900">
        <v>0.29967329999999998</v>
      </c>
      <c r="Z1900">
        <v>0.13830110000000001</v>
      </c>
      <c r="AA1900">
        <v>0.94396440000000004</v>
      </c>
      <c r="AB1900">
        <v>23</v>
      </c>
      <c r="AC1900">
        <v>-5.29830000000001</v>
      </c>
      <c r="AD1900">
        <v>-1.101562765792</v>
      </c>
      <c r="AE1900">
        <v>-2.9254000000000202</v>
      </c>
      <c r="AF1900">
        <v>1.8870164806287999</v>
      </c>
      <c r="AG1900">
        <v>-1.101562765792</v>
      </c>
      <c r="AH1900">
        <v>5.5459637905197203</v>
      </c>
      <c r="AI1900">
        <v>100.649411142199</v>
      </c>
      <c r="AJ1900">
        <v>71.209106773480897</v>
      </c>
      <c r="AK1900">
        <v>5.9608712526693504</v>
      </c>
      <c r="AL1900">
        <v>68.762136286824997</v>
      </c>
      <c r="AM1900">
        <v>80.037798002090895</v>
      </c>
      <c r="AN1900">
        <v>0.99999996146574399</v>
      </c>
    </row>
    <row r="1901" spans="1:40" x14ac:dyDescent="0.25">
      <c r="A1901" t="str">
        <f>"20190304164852812"</f>
        <v>20190304164852812</v>
      </c>
      <c r="B1901" t="str">
        <f>"1551689332808490"</f>
        <v>1551689332808490</v>
      </c>
      <c r="C1901" t="s">
        <v>40</v>
      </c>
      <c r="D1901">
        <v>4.6279240000000001</v>
      </c>
      <c r="E1901">
        <v>0.58180589999999999</v>
      </c>
      <c r="F1901" t="s">
        <v>45</v>
      </c>
      <c r="G1901">
        <v>-203.06270000000001</v>
      </c>
      <c r="H1901" s="1">
        <v>3.3807800000000002E-6</v>
      </c>
      <c r="I1901">
        <v>286.83999999999997</v>
      </c>
      <c r="J1901">
        <v>-197.6223</v>
      </c>
      <c r="K1901">
        <v>1.1014569999999999</v>
      </c>
      <c r="L1901">
        <v>289.74770000000001</v>
      </c>
      <c r="M1901">
        <v>-0.68304580000000004</v>
      </c>
      <c r="N1901">
        <v>-1.1234249999999999E-2</v>
      </c>
      <c r="O1901">
        <v>-0.73028909999999903</v>
      </c>
      <c r="P1901">
        <v>-0.74232159999999903</v>
      </c>
      <c r="Q1901">
        <v>0.3583094</v>
      </c>
      <c r="R1901">
        <v>-0.56619180000000002</v>
      </c>
      <c r="S1901">
        <v>-3.0591279999999998</v>
      </c>
      <c r="T1901">
        <v>-0.60156619999999905</v>
      </c>
      <c r="U1901">
        <v>-1.672607</v>
      </c>
      <c r="V1901">
        <v>0.1634804</v>
      </c>
      <c r="W1901">
        <v>0.3651105</v>
      </c>
      <c r="X1901">
        <v>0.91649789999999998</v>
      </c>
      <c r="Y1901">
        <v>0.3019985</v>
      </c>
      <c r="Z1901">
        <v>0.13580320000000001</v>
      </c>
      <c r="AA1901">
        <v>0.94358589999999998</v>
      </c>
      <c r="AB1901">
        <v>23</v>
      </c>
      <c r="AC1901">
        <v>-5.4404000000000101</v>
      </c>
      <c r="AD1901">
        <v>-1.10145361922</v>
      </c>
      <c r="AE1901">
        <v>-2.9077000000000299</v>
      </c>
      <c r="AF1901">
        <v>1.92570251133987</v>
      </c>
      <c r="AG1901">
        <v>-1.10145361922</v>
      </c>
      <c r="AH1901">
        <v>5.6594377756562801</v>
      </c>
      <c r="AI1901">
        <v>100.43957419819</v>
      </c>
      <c r="AJ1901">
        <v>71.208413015304799</v>
      </c>
      <c r="AK1901">
        <v>6.0787141875563497</v>
      </c>
      <c r="AL1901">
        <v>68.585615871807505</v>
      </c>
      <c r="AM1901">
        <v>79.886230175522101</v>
      </c>
      <c r="AN1901">
        <v>0.99999995954940901</v>
      </c>
    </row>
    <row r="1902" spans="1:40" x14ac:dyDescent="0.25">
      <c r="A1902" t="str">
        <f>"20190304164852834"</f>
        <v>20190304164852834</v>
      </c>
      <c r="B1902" t="str">
        <f>"1551689332828010"</f>
        <v>1551689332828010</v>
      </c>
      <c r="C1902" t="s">
        <v>40</v>
      </c>
      <c r="D1902">
        <v>5.1667449999999997</v>
      </c>
      <c r="E1902">
        <v>0.61139140000000003</v>
      </c>
      <c r="F1902" t="s">
        <v>45</v>
      </c>
      <c r="G1902">
        <v>-203.38570000000001</v>
      </c>
      <c r="H1902" s="1">
        <v>3.5354839999999998E-6</v>
      </c>
      <c r="I1902">
        <v>286.70870000000002</v>
      </c>
      <c r="J1902">
        <v>-197.80760000000001</v>
      </c>
      <c r="K1902">
        <v>1.1013219999999999</v>
      </c>
      <c r="L1902">
        <v>289.57440000000003</v>
      </c>
      <c r="M1902">
        <v>-0.69432700000000003</v>
      </c>
      <c r="N1902">
        <v>-1.103545E-2</v>
      </c>
      <c r="O1902">
        <v>-0.71957499999999996</v>
      </c>
      <c r="P1902">
        <v>-0.75198160000000003</v>
      </c>
      <c r="Q1902">
        <v>0.35952509999999999</v>
      </c>
      <c r="R1902">
        <v>-0.55250849999999996</v>
      </c>
      <c r="S1902">
        <v>-3.0851899999999999</v>
      </c>
      <c r="T1902">
        <v>-0.58961149999999996</v>
      </c>
      <c r="U1902">
        <v>-1.62677</v>
      </c>
      <c r="V1902">
        <v>0.16572310000000001</v>
      </c>
      <c r="W1902">
        <v>0.36603849999999999</v>
      </c>
      <c r="X1902">
        <v>0.9157246</v>
      </c>
      <c r="Y1902">
        <v>0.30200320000000003</v>
      </c>
      <c r="Z1902">
        <v>0.13174330000000001</v>
      </c>
      <c r="AA1902">
        <v>0.94415979999999999</v>
      </c>
      <c r="AB1902">
        <v>23</v>
      </c>
      <c r="AC1902">
        <v>-5.5781000000000001</v>
      </c>
      <c r="AD1902">
        <v>-1.1013184645159999</v>
      </c>
      <c r="AE1902">
        <v>-2.8656999999999999</v>
      </c>
      <c r="AF1902">
        <v>1.9636893529977</v>
      </c>
      <c r="AG1902">
        <v>-1.1013184645159999</v>
      </c>
      <c r="AH1902">
        <v>5.7578932034794503</v>
      </c>
      <c r="AI1902">
        <v>100.26127144173699</v>
      </c>
      <c r="AJ1902">
        <v>71.168415063076296</v>
      </c>
      <c r="AK1902">
        <v>6.1824196216396698</v>
      </c>
      <c r="AL1902">
        <v>68.5284908154959</v>
      </c>
      <c r="AM1902">
        <v>79.741934939335593</v>
      </c>
      <c r="AN1902">
        <v>0.99999993620050798</v>
      </c>
    </row>
    <row r="1903" spans="1:40" x14ac:dyDescent="0.25">
      <c r="A1903" t="str">
        <f>"20190304164852854"</f>
        <v>20190304164852854</v>
      </c>
      <c r="B1903" t="str">
        <f>"1551689332847530"</f>
        <v>1551689332847530</v>
      </c>
      <c r="C1903" t="s">
        <v>40</v>
      </c>
      <c r="D1903">
        <v>5.1137280000000001</v>
      </c>
      <c r="E1903">
        <v>0.60894209999999904</v>
      </c>
      <c r="F1903" t="s">
        <v>46</v>
      </c>
      <c r="G1903">
        <v>-210.94470000000001</v>
      </c>
      <c r="H1903" s="1">
        <v>-1.034079E-6</v>
      </c>
      <c r="I1903">
        <v>284.18470000000002</v>
      </c>
      <c r="J1903">
        <v>-197.9605</v>
      </c>
      <c r="K1903">
        <v>1.1011899999999999</v>
      </c>
      <c r="L1903">
        <v>289.4359</v>
      </c>
      <c r="M1903">
        <v>-0.70343630000000001</v>
      </c>
      <c r="N1903">
        <v>-1.088282E-2</v>
      </c>
      <c r="O1903">
        <v>-0.71067519999999995</v>
      </c>
      <c r="P1903">
        <v>-0.7602023</v>
      </c>
      <c r="Q1903">
        <v>0.35953259999999998</v>
      </c>
      <c r="R1903">
        <v>-0.54113679999999997</v>
      </c>
      <c r="S1903">
        <v>-3.162811</v>
      </c>
      <c r="T1903">
        <v>-0.26514910000000003</v>
      </c>
      <c r="U1903">
        <v>-1.297607</v>
      </c>
      <c r="V1903">
        <v>0.16793179999999999</v>
      </c>
      <c r="W1903">
        <v>0.36581039999999998</v>
      </c>
      <c r="X1903">
        <v>0.91541340000000004</v>
      </c>
      <c r="Y1903">
        <v>0.38814520000000002</v>
      </c>
      <c r="Z1903">
        <v>5.9836930000000003E-2</v>
      </c>
      <c r="AA1903">
        <v>0.91965370000000002</v>
      </c>
      <c r="AB1903">
        <v>23</v>
      </c>
      <c r="AC1903">
        <v>-12.9842</v>
      </c>
      <c r="AD1903">
        <v>-1.1011910340790001</v>
      </c>
      <c r="AE1903">
        <v>-5.2511999999999803</v>
      </c>
      <c r="AF1903">
        <v>5.4999920568697798</v>
      </c>
      <c r="AG1903">
        <v>-1.1011910340790001</v>
      </c>
      <c r="AH1903">
        <v>12.7871693179912</v>
      </c>
      <c r="AI1903">
        <v>94.523221893167801</v>
      </c>
      <c r="AJ1903">
        <v>66.726588173325595</v>
      </c>
      <c r="AK1903">
        <v>13.963317424098801</v>
      </c>
      <c r="AL1903">
        <v>68.542535738667198</v>
      </c>
      <c r="AM1903">
        <v>79.604722907628201</v>
      </c>
      <c r="AN1903">
        <v>1.0000000155494699</v>
      </c>
    </row>
    <row r="1904" spans="1:40" x14ac:dyDescent="0.25">
      <c r="A1904" t="str">
        <f>"20190304164852876"</f>
        <v>20190304164852876</v>
      </c>
      <c r="B1904" t="str">
        <f>"1551689332868025"</f>
        <v>1551689332868025</v>
      </c>
      <c r="C1904" t="s">
        <v>40</v>
      </c>
      <c r="D1904">
        <v>5.1103009999999998</v>
      </c>
      <c r="E1904">
        <v>0.60100310000000001</v>
      </c>
      <c r="F1904" t="s">
        <v>46</v>
      </c>
      <c r="G1904">
        <v>-210.06049999999999</v>
      </c>
      <c r="H1904" s="1">
        <v>-1.504579E-6</v>
      </c>
      <c r="I1904">
        <v>284.58539999999999</v>
      </c>
      <c r="J1904">
        <v>-198.14080000000001</v>
      </c>
      <c r="K1904">
        <v>1.10103</v>
      </c>
      <c r="L1904">
        <v>289.27690000000001</v>
      </c>
      <c r="M1904">
        <v>-0.713970199999999</v>
      </c>
      <c r="N1904">
        <v>-1.07175E-2</v>
      </c>
      <c r="O1904">
        <v>-0.70009399999999999</v>
      </c>
      <c r="P1904">
        <v>-0.76967940000000001</v>
      </c>
      <c r="Q1904">
        <v>0.3587497</v>
      </c>
      <c r="R1904">
        <v>-0.52810239999999997</v>
      </c>
      <c r="S1904">
        <v>-3.1766359999999998</v>
      </c>
      <c r="T1904">
        <v>-0.28909639999999998</v>
      </c>
      <c r="U1904">
        <v>-1.2733760000000001</v>
      </c>
      <c r="V1904">
        <v>0.1702197</v>
      </c>
      <c r="W1904">
        <v>0.36477310000000002</v>
      </c>
      <c r="X1904">
        <v>0.91540469999999896</v>
      </c>
      <c r="Y1904">
        <v>0.3813781</v>
      </c>
      <c r="Z1904">
        <v>6.495716E-2</v>
      </c>
      <c r="AA1904">
        <v>0.92213409999999996</v>
      </c>
      <c r="AB1904">
        <v>23</v>
      </c>
      <c r="AC1904">
        <v>-11.919699999999899</v>
      </c>
      <c r="AD1904">
        <v>-1.101031504579</v>
      </c>
      <c r="AE1904">
        <v>-4.6915000000000102</v>
      </c>
      <c r="AF1904">
        <v>4.9589701770859298</v>
      </c>
      <c r="AG1904">
        <v>-1.101031504579</v>
      </c>
      <c r="AH1904">
        <v>11.7089752070336</v>
      </c>
      <c r="AI1904">
        <v>94.948766340808504</v>
      </c>
      <c r="AJ1904">
        <v>67.046432947822794</v>
      </c>
      <c r="AK1904">
        <v>12.763375571933601</v>
      </c>
      <c r="AL1904">
        <v>68.606379603773505</v>
      </c>
      <c r="AM1904">
        <v>79.466149215089104</v>
      </c>
      <c r="AN1904">
        <v>0.99999996276689396</v>
      </c>
    </row>
    <row r="1905" spans="1:40" x14ac:dyDescent="0.25">
      <c r="A1905" t="str">
        <f>"20190304164852899"</f>
        <v>20190304164852899</v>
      </c>
      <c r="B1905" t="str">
        <f>"1551689332887546"</f>
        <v>1551689332887546</v>
      </c>
      <c r="C1905" t="s">
        <v>40</v>
      </c>
      <c r="D1905">
        <v>5.0912230000000003</v>
      </c>
      <c r="E1905">
        <v>0.59652349999999998</v>
      </c>
      <c r="F1905" t="s">
        <v>45</v>
      </c>
      <c r="G1905">
        <v>-207.5658</v>
      </c>
      <c r="H1905" s="1">
        <v>5.4986010000000004E-6</v>
      </c>
      <c r="I1905">
        <v>285.45679999999999</v>
      </c>
      <c r="J1905">
        <v>-198.33199999999999</v>
      </c>
      <c r="K1905">
        <v>1.1008720000000001</v>
      </c>
      <c r="L1905">
        <v>289.11380000000003</v>
      </c>
      <c r="M1905">
        <v>-0.7248734</v>
      </c>
      <c r="N1905">
        <v>-1.055877E-2</v>
      </c>
      <c r="O1905">
        <v>-0.68880149999999996</v>
      </c>
      <c r="P1905">
        <v>-0.77965719999999905</v>
      </c>
      <c r="Q1905">
        <v>0.3572554</v>
      </c>
      <c r="R1905">
        <v>-0.5142989</v>
      </c>
      <c r="S1905">
        <v>-3.185349</v>
      </c>
      <c r="T1905">
        <v>-0.37211480000000002</v>
      </c>
      <c r="U1905">
        <v>-1.2910459999999999</v>
      </c>
      <c r="V1905">
        <v>0.17272000000000001</v>
      </c>
      <c r="W1905">
        <v>0.36302760000000001</v>
      </c>
      <c r="X1905">
        <v>0.91563030000000001</v>
      </c>
      <c r="Y1905">
        <v>0.36146309999999998</v>
      </c>
      <c r="Z1905">
        <v>8.3101179999999997E-2</v>
      </c>
      <c r="AA1905">
        <v>0.92867569999999999</v>
      </c>
      <c r="AB1905">
        <v>24</v>
      </c>
      <c r="AC1905">
        <v>-9.2338000000000005</v>
      </c>
      <c r="AD1905">
        <v>-1.10086650139899</v>
      </c>
      <c r="AE1905">
        <v>-3.6570000000000298</v>
      </c>
      <c r="AF1905">
        <v>3.6645741890991599</v>
      </c>
      <c r="AG1905">
        <v>-1.10086650139899</v>
      </c>
      <c r="AH1905">
        <v>9.1009748473994794</v>
      </c>
      <c r="AI1905">
        <v>96.4021921035216</v>
      </c>
      <c r="AJ1905">
        <v>68.067457866948999</v>
      </c>
      <c r="AK1905">
        <v>9.8726265104232702</v>
      </c>
      <c r="AL1905">
        <v>68.713752782106397</v>
      </c>
      <c r="AM1905">
        <v>79.317530807142504</v>
      </c>
      <c r="AN1905">
        <v>1.0000000415199199</v>
      </c>
    </row>
    <row r="1906" spans="1:40" x14ac:dyDescent="0.25">
      <c r="A1906" t="str">
        <f>"20190304164852920"</f>
        <v>20190304164852920</v>
      </c>
      <c r="B1906" t="str">
        <f>"1551689332917802"</f>
        <v>1551689332917802</v>
      </c>
      <c r="C1906" t="s">
        <v>40</v>
      </c>
      <c r="D1906">
        <v>4.962008</v>
      </c>
      <c r="E1906">
        <v>0.59274009999999999</v>
      </c>
      <c r="F1906" t="s">
        <v>45</v>
      </c>
      <c r="G1906">
        <v>-206.6943</v>
      </c>
      <c r="H1906" s="1">
        <v>5.0837649999999996E-6</v>
      </c>
      <c r="I1906">
        <v>285.78179999999998</v>
      </c>
      <c r="J1906">
        <v>-198.51070000000001</v>
      </c>
      <c r="K1906">
        <v>1.1007469999999999</v>
      </c>
      <c r="L1906">
        <v>288.96589999999998</v>
      </c>
      <c r="M1906">
        <v>-0.73481940000000001</v>
      </c>
      <c r="N1906">
        <v>-1.042333E-2</v>
      </c>
      <c r="O1906">
        <v>-0.67818299999999998</v>
      </c>
      <c r="P1906">
        <v>-0.788412</v>
      </c>
      <c r="Q1906">
        <v>0.35593649999999999</v>
      </c>
      <c r="R1906">
        <v>-0.50171319999999997</v>
      </c>
      <c r="S1906">
        <v>-3.1998289999999998</v>
      </c>
      <c r="T1906">
        <v>-0.42124489999999998</v>
      </c>
      <c r="U1906">
        <v>-1.274994</v>
      </c>
      <c r="V1906">
        <v>0.17456679999999999</v>
      </c>
      <c r="W1906">
        <v>0.36150270000000001</v>
      </c>
      <c r="X1906">
        <v>0.91588329999999996</v>
      </c>
      <c r="Y1906">
        <v>0.35212710000000003</v>
      </c>
      <c r="Z1906">
        <v>9.3165139999999994E-2</v>
      </c>
      <c r="AA1906">
        <v>0.93130380000000001</v>
      </c>
      <c r="AB1906">
        <v>24</v>
      </c>
      <c r="AC1906">
        <v>-8.1835999999999807</v>
      </c>
      <c r="AD1906">
        <v>-1.1007419162349901</v>
      </c>
      <c r="AE1906">
        <v>-3.1840999999999999</v>
      </c>
      <c r="AF1906">
        <v>3.1607486365804802</v>
      </c>
      <c r="AG1906">
        <v>-1.1007419162349901</v>
      </c>
      <c r="AH1906">
        <v>8.0468718275899498</v>
      </c>
      <c r="AI1906">
        <v>97.255944715523</v>
      </c>
      <c r="AJ1906">
        <v>68.555486283547097</v>
      </c>
      <c r="AK1906">
        <v>8.7151655703986997</v>
      </c>
      <c r="AL1906">
        <v>68.807489190261705</v>
      </c>
      <c r="AM1906">
        <v>79.208890506487705</v>
      </c>
      <c r="AN1906">
        <v>0.99999999449420995</v>
      </c>
    </row>
    <row r="1907" spans="1:40" x14ac:dyDescent="0.25">
      <c r="A1907" t="str">
        <f>"20190304164852942"</f>
        <v>20190304164852942</v>
      </c>
      <c r="B1907" t="str">
        <f>"1551689332938297"</f>
        <v>1551689332938297</v>
      </c>
      <c r="C1907" t="s">
        <v>40</v>
      </c>
      <c r="D1907">
        <v>4.9627670000000004</v>
      </c>
      <c r="E1907">
        <v>0.59087060000000002</v>
      </c>
      <c r="F1907" t="s">
        <v>45</v>
      </c>
      <c r="G1907">
        <v>-206.19820000000001</v>
      </c>
      <c r="H1907" s="1">
        <v>4.8479499999999999E-6</v>
      </c>
      <c r="I1907">
        <v>285.9624</v>
      </c>
      <c r="J1907">
        <v>-198.68819999999999</v>
      </c>
      <c r="K1907">
        <v>1.1006339999999999</v>
      </c>
      <c r="L1907">
        <v>288.82319999999999</v>
      </c>
      <c r="M1907">
        <v>-0.74446699999999999</v>
      </c>
      <c r="N1907">
        <v>-1.0301390000000001E-2</v>
      </c>
      <c r="O1907">
        <v>-0.66757999999999995</v>
      </c>
      <c r="P1907">
        <v>-0.79594679999999995</v>
      </c>
      <c r="Q1907">
        <v>0.35492180000000001</v>
      </c>
      <c r="R1907">
        <v>-0.4904076</v>
      </c>
      <c r="S1907">
        <v>-3.2138369999999998</v>
      </c>
      <c r="T1907">
        <v>-0.46017550000000002</v>
      </c>
      <c r="U1907">
        <v>-1.25564599999999</v>
      </c>
      <c r="V1907">
        <v>0.17486309999999999</v>
      </c>
      <c r="W1907">
        <v>0.36033720000000002</v>
      </c>
      <c r="X1907">
        <v>0.91628600000000004</v>
      </c>
      <c r="Y1907">
        <v>0.34391189999999999</v>
      </c>
      <c r="Z1907">
        <v>0.1005624</v>
      </c>
      <c r="AA1907">
        <v>0.93360149999999997</v>
      </c>
      <c r="AB1907">
        <v>24</v>
      </c>
      <c r="AC1907">
        <v>-7.5100000000000096</v>
      </c>
      <c r="AD1907">
        <v>-1.10062915205</v>
      </c>
      <c r="AE1907">
        <v>-2.8607999999999798</v>
      </c>
      <c r="AF1907">
        <v>2.83081069253483</v>
      </c>
      <c r="AG1907">
        <v>-1.10062915205</v>
      </c>
      <c r="AH1907">
        <v>7.3630508155102401</v>
      </c>
      <c r="AI1907">
        <v>97.942844762202597</v>
      </c>
      <c r="AJ1907">
        <v>68.970162435622498</v>
      </c>
      <c r="AK1907">
        <v>7.9648848716787999</v>
      </c>
      <c r="AL1907">
        <v>68.879094320322295</v>
      </c>
      <c r="AM1907">
        <v>79.195644043304895</v>
      </c>
      <c r="AN1907">
        <v>1.00000001762072</v>
      </c>
    </row>
    <row r="1908" spans="1:40" x14ac:dyDescent="0.25">
      <c r="A1908" t="str">
        <f>"20190304164852964"</f>
        <v>20190304164852964</v>
      </c>
      <c r="B1908" t="str">
        <f>"1551689332957818"</f>
        <v>1551689332957818</v>
      </c>
      <c r="C1908" t="s">
        <v>40</v>
      </c>
      <c r="D1908">
        <v>4.9294169999999999</v>
      </c>
      <c r="E1908">
        <v>0.58930799999999905</v>
      </c>
      <c r="F1908" t="s">
        <v>45</v>
      </c>
      <c r="G1908">
        <v>-206.1336</v>
      </c>
      <c r="H1908" s="1">
        <v>4.8153399999999997E-6</v>
      </c>
      <c r="I1908">
        <v>286.00790000000001</v>
      </c>
      <c r="J1908">
        <v>-198.88890000000001</v>
      </c>
      <c r="K1908">
        <v>1.100528</v>
      </c>
      <c r="L1908">
        <v>288.66699999999997</v>
      </c>
      <c r="M1908">
        <v>-0.75508359999999997</v>
      </c>
      <c r="N1908">
        <v>-1.017596E-2</v>
      </c>
      <c r="O1908">
        <v>-0.65554979999999996</v>
      </c>
      <c r="P1908">
        <v>-0.80369119999999905</v>
      </c>
      <c r="Q1908">
        <v>0.35353269999999998</v>
      </c>
      <c r="R1908">
        <v>-0.47863899999999998</v>
      </c>
      <c r="S1908">
        <v>-3.2295530000000001</v>
      </c>
      <c r="T1908">
        <v>-0.47741499999999998</v>
      </c>
      <c r="U1908">
        <v>-1.2211909999999999</v>
      </c>
      <c r="V1908">
        <v>0.1740805</v>
      </c>
      <c r="W1908">
        <v>0.35882530000000001</v>
      </c>
      <c r="X1908">
        <v>0.91702810000000001</v>
      </c>
      <c r="Y1908">
        <v>0.33865260000000003</v>
      </c>
      <c r="Z1908">
        <v>0.10291599999999999</v>
      </c>
      <c r="AA1908">
        <v>0.93526609999999999</v>
      </c>
      <c r="AB1908">
        <v>24</v>
      </c>
      <c r="AC1908">
        <v>-7.2446999999999901</v>
      </c>
      <c r="AD1908">
        <v>-1.1005231846600001</v>
      </c>
      <c r="AE1908">
        <v>-2.65910000000002</v>
      </c>
      <c r="AF1908">
        <v>2.68691867535978</v>
      </c>
      <c r="AG1908">
        <v>-1.1005231846600001</v>
      </c>
      <c r="AH1908">
        <v>7.0701197380151202</v>
      </c>
      <c r="AI1908">
        <v>98.278723995094893</v>
      </c>
      <c r="AJ1908">
        <v>69.191274556226205</v>
      </c>
      <c r="AK1908">
        <v>7.64311954360537</v>
      </c>
      <c r="AL1908">
        <v>68.971930487628995</v>
      </c>
      <c r="AM1908">
        <v>79.251370443895595</v>
      </c>
      <c r="AN1908">
        <v>1.0000000762949699</v>
      </c>
    </row>
    <row r="1909" spans="1:40" x14ac:dyDescent="0.25">
      <c r="A1909" t="str">
        <f>"20190304164852989"</f>
        <v>20190304164852989</v>
      </c>
      <c r="B1909" t="str">
        <f>"1551689332978314"</f>
        <v>1551689332978314</v>
      </c>
      <c r="C1909" t="s">
        <v>40</v>
      </c>
      <c r="D1909">
        <v>5.1172719999999998</v>
      </c>
      <c r="E1909">
        <v>0.58863589999999999</v>
      </c>
      <c r="F1909" t="s">
        <v>45</v>
      </c>
      <c r="G1909">
        <v>-206.1208</v>
      </c>
      <c r="H1909" s="1">
        <v>4.807818E-6</v>
      </c>
      <c r="I1909">
        <v>286.02879999999999</v>
      </c>
      <c r="J1909">
        <v>-199.0977</v>
      </c>
      <c r="K1909">
        <v>1.1004309999999999</v>
      </c>
      <c r="L1909">
        <v>288.50959999999998</v>
      </c>
      <c r="M1909">
        <v>-0.76580570000000003</v>
      </c>
      <c r="N1909">
        <v>-1.0056880000000001E-2</v>
      </c>
      <c r="O1909">
        <v>-0.64299340000000005</v>
      </c>
      <c r="P1909">
        <v>-0.81228129999999998</v>
      </c>
      <c r="Q1909">
        <v>0.35192800000000002</v>
      </c>
      <c r="R1909">
        <v>-0.46512999999999999</v>
      </c>
      <c r="S1909">
        <v>-3.2450100000000002</v>
      </c>
      <c r="T1909">
        <v>-0.49381609999999998</v>
      </c>
      <c r="U1909">
        <v>-1.1837770000000001</v>
      </c>
      <c r="V1909">
        <v>0.17474779999999901</v>
      </c>
      <c r="W1909">
        <v>0.35707100000000003</v>
      </c>
      <c r="X1909">
        <v>0.91758569999999995</v>
      </c>
      <c r="Y1909">
        <v>0.33367960000000002</v>
      </c>
      <c r="Z1909">
        <v>0.1049216</v>
      </c>
      <c r="AA1909">
        <v>0.93682940000000003</v>
      </c>
      <c r="AB1909">
        <v>24</v>
      </c>
      <c r="AC1909">
        <v>-7.0231000000000003</v>
      </c>
      <c r="AD1909">
        <v>-1.100426192182</v>
      </c>
      <c r="AE1909">
        <v>-2.4807999999999799</v>
      </c>
      <c r="AF1909">
        <v>2.5602453673746499</v>
      </c>
      <c r="AG1909">
        <v>-1.100426192182</v>
      </c>
      <c r="AH1909">
        <v>6.8248529815065302</v>
      </c>
      <c r="AI1909">
        <v>98.584842206681898</v>
      </c>
      <c r="AJ1909">
        <v>69.437143273825598</v>
      </c>
      <c r="AK1909">
        <v>7.37186627420642</v>
      </c>
      <c r="AL1909">
        <v>69.079575418345598</v>
      </c>
      <c r="AM1909">
        <v>79.2175356395352</v>
      </c>
      <c r="AN1909">
        <v>1.00000000474516</v>
      </c>
    </row>
    <row r="1910" spans="1:40" x14ac:dyDescent="0.25">
      <c r="A1910" t="str">
        <f>"20190304164853011"</f>
        <v>20190304164853011</v>
      </c>
      <c r="B1910" t="str">
        <f>"1551689333007595"</f>
        <v>1551689333007595</v>
      </c>
      <c r="C1910" t="s">
        <v>40</v>
      </c>
      <c r="D1910">
        <v>4.6021229999999997</v>
      </c>
      <c r="E1910">
        <v>0.5879915</v>
      </c>
      <c r="F1910" t="s">
        <v>45</v>
      </c>
      <c r="G1910">
        <v>-206.18860000000001</v>
      </c>
      <c r="H1910" s="1">
        <v>4.8371569999999999E-6</v>
      </c>
      <c r="I1910">
        <v>286.03739999999999</v>
      </c>
      <c r="J1910">
        <v>-199.29990000000001</v>
      </c>
      <c r="K1910">
        <v>1.1003430000000001</v>
      </c>
      <c r="L1910">
        <v>288.36219999999997</v>
      </c>
      <c r="M1910">
        <v>-0.77588020000000002</v>
      </c>
      <c r="N1910">
        <v>-9.9515479999999993E-3</v>
      </c>
      <c r="O1910">
        <v>-0.63080199999999997</v>
      </c>
      <c r="P1910">
        <v>-0.82013930000000002</v>
      </c>
      <c r="Q1910">
        <v>0.3498154</v>
      </c>
      <c r="R1910">
        <v>-0.45277010000000001</v>
      </c>
      <c r="S1910">
        <v>-3.2614749999999999</v>
      </c>
      <c r="T1910">
        <v>-0.50613960000000002</v>
      </c>
      <c r="U1910">
        <v>-1.1371150000000001</v>
      </c>
      <c r="V1910">
        <v>0.1747071</v>
      </c>
      <c r="W1910">
        <v>0.3548443</v>
      </c>
      <c r="X1910">
        <v>0.91845690000000002</v>
      </c>
      <c r="Y1910">
        <v>0.3318991</v>
      </c>
      <c r="Z1910">
        <v>0.10619869999999999</v>
      </c>
      <c r="AA1910">
        <v>0.93731790000000004</v>
      </c>
      <c r="AB1910">
        <v>24</v>
      </c>
      <c r="AC1910">
        <v>-6.8887</v>
      </c>
      <c r="AD1910">
        <v>-1.100338162843</v>
      </c>
      <c r="AE1910">
        <v>-2.3247999999999802</v>
      </c>
      <c r="AF1910">
        <v>2.48484895428648</v>
      </c>
      <c r="AG1910">
        <v>-1.100338162843</v>
      </c>
      <c r="AH1910">
        <v>6.6591025865458002</v>
      </c>
      <c r="AI1910">
        <v>98.800173058815304</v>
      </c>
      <c r="AJ1910">
        <v>69.536903865348506</v>
      </c>
      <c r="AK1910">
        <v>7.1922781965360798</v>
      </c>
      <c r="AL1910">
        <v>69.216099169555307</v>
      </c>
      <c r="AM1910">
        <v>79.229974172417897</v>
      </c>
      <c r="AN1910">
        <v>1.0000000625952501</v>
      </c>
    </row>
    <row r="1911" spans="1:40" x14ac:dyDescent="0.25">
      <c r="A1911" t="str">
        <f>"20190304164853031"</f>
        <v>20190304164853031</v>
      </c>
      <c r="B1911" t="str">
        <f>"1551689333028090"</f>
        <v>1551689333028090</v>
      </c>
      <c r="C1911" t="s">
        <v>40</v>
      </c>
      <c r="D1911">
        <v>4.5824780000000001</v>
      </c>
      <c r="E1911">
        <v>0.59040599999999999</v>
      </c>
      <c r="F1911" t="s">
        <v>45</v>
      </c>
      <c r="G1911">
        <v>-206.17259999999999</v>
      </c>
      <c r="H1911" s="1">
        <v>4.8276259999999996E-6</v>
      </c>
      <c r="I1911">
        <v>286.065</v>
      </c>
      <c r="J1911">
        <v>-199.48560000000001</v>
      </c>
      <c r="K1911">
        <v>1.1002670000000001</v>
      </c>
      <c r="L1911">
        <v>288.23110000000003</v>
      </c>
      <c r="M1911">
        <v>-0.78485819999999995</v>
      </c>
      <c r="N1911">
        <v>-9.8622569999999993E-3</v>
      </c>
      <c r="O1911">
        <v>-0.61959709999999901</v>
      </c>
      <c r="P1911">
        <v>-0.82692019999999899</v>
      </c>
      <c r="Q1911">
        <v>0.34781489999999998</v>
      </c>
      <c r="R1911">
        <v>-0.44184649999999998</v>
      </c>
      <c r="S1911">
        <v>-3.2770229999999998</v>
      </c>
      <c r="T1911">
        <v>-0.52466269999999904</v>
      </c>
      <c r="U1911">
        <v>-1.095337</v>
      </c>
      <c r="V1911">
        <v>0.1742234</v>
      </c>
      <c r="W1911">
        <v>0.35275970000000001</v>
      </c>
      <c r="X1911">
        <v>0.91935129999999998</v>
      </c>
      <c r="Y1911">
        <v>0.32993889999999998</v>
      </c>
      <c r="Z1911">
        <v>0.10875650000000001</v>
      </c>
      <c r="AA1911">
        <v>0.93771649999999995</v>
      </c>
      <c r="AB1911">
        <v>24</v>
      </c>
      <c r="AC1911">
        <v>-6.6869999999999798</v>
      </c>
      <c r="AD1911">
        <v>-1.100262172374</v>
      </c>
      <c r="AE1911">
        <v>-2.1661000000000201</v>
      </c>
      <c r="AF1911">
        <v>2.3848502286796802</v>
      </c>
      <c r="AG1911">
        <v>-1.100262172374</v>
      </c>
      <c r="AH1911">
        <v>6.4331529452168796</v>
      </c>
      <c r="AI1911">
        <v>99.110683314488995</v>
      </c>
      <c r="AJ1911">
        <v>69.659626976805995</v>
      </c>
      <c r="AK1911">
        <v>6.9486361451541896</v>
      </c>
      <c r="AL1911">
        <v>69.343796235933098</v>
      </c>
      <c r="AM1911">
        <v>79.2693044383402</v>
      </c>
      <c r="AN1911">
        <v>1.00000000593167</v>
      </c>
    </row>
    <row r="1912" spans="1:40" x14ac:dyDescent="0.25">
      <c r="A1912" t="str">
        <f>"20190304164853054"</f>
        <v>20190304164853054</v>
      </c>
      <c r="B1912" t="str">
        <f>"1551689333047610"</f>
        <v>1551689333047610</v>
      </c>
      <c r="C1912" t="s">
        <v>40</v>
      </c>
      <c r="D1912">
        <v>5.0753000000000004</v>
      </c>
      <c r="E1912">
        <v>0.58980100000000002</v>
      </c>
      <c r="F1912" t="s">
        <v>45</v>
      </c>
      <c r="G1912">
        <v>-206.5027</v>
      </c>
      <c r="H1912" s="1">
        <v>4.9761849999999997E-6</v>
      </c>
      <c r="I1912">
        <v>286.04000000000002</v>
      </c>
      <c r="J1912">
        <v>-199.69380000000001</v>
      </c>
      <c r="K1912">
        <v>1.1001829999999999</v>
      </c>
      <c r="L1912">
        <v>288.08850000000001</v>
      </c>
      <c r="M1912">
        <v>-0.79463240000000002</v>
      </c>
      <c r="N1912">
        <v>-9.7698609999999995E-3</v>
      </c>
      <c r="O1912">
        <v>-0.60701229999999995</v>
      </c>
      <c r="P1912">
        <v>-0.8337466</v>
      </c>
      <c r="Q1912">
        <v>0.34745510000000002</v>
      </c>
      <c r="R1912">
        <v>-0.42911759999999899</v>
      </c>
      <c r="S1912">
        <v>-3.2954409999999998</v>
      </c>
      <c r="T1912">
        <v>-0.5167176</v>
      </c>
      <c r="U1912">
        <v>-1.0289919999999999</v>
      </c>
      <c r="V1912">
        <v>0.17379639999999999</v>
      </c>
      <c r="W1912">
        <v>0.35230409999999901</v>
      </c>
      <c r="X1912">
        <v>0.91960679999999995</v>
      </c>
      <c r="Y1912">
        <v>0.33392129999999998</v>
      </c>
      <c r="Z1912">
        <v>0.10599550000000001</v>
      </c>
      <c r="AA1912">
        <v>0.93662239999999997</v>
      </c>
      <c r="AB1912">
        <v>24</v>
      </c>
      <c r="AC1912">
        <v>-6.8088999999999897</v>
      </c>
      <c r="AD1912">
        <v>-1.1001780238150001</v>
      </c>
      <c r="AE1912">
        <v>-2.04849999999999</v>
      </c>
      <c r="AF1912">
        <v>2.4468219737810299</v>
      </c>
      <c r="AG1912">
        <v>-1.1001780238150001</v>
      </c>
      <c r="AH1912">
        <v>6.4987683171908097</v>
      </c>
      <c r="AI1912">
        <v>99.002704786235199</v>
      </c>
      <c r="AJ1912">
        <v>69.368368402194506</v>
      </c>
      <c r="AK1912">
        <v>7.0307410061803797</v>
      </c>
      <c r="AL1912">
        <v>69.371691285923006</v>
      </c>
      <c r="AM1912">
        <v>79.297901065679895</v>
      </c>
      <c r="AN1912">
        <v>1.0000000170679999</v>
      </c>
    </row>
    <row r="1913" spans="1:40" x14ac:dyDescent="0.25">
      <c r="A1913" t="str">
        <f>"20190304164853076"</f>
        <v>20190304164853076</v>
      </c>
      <c r="B1913" t="str">
        <f>"1551689333068106"</f>
        <v>1551689333068106</v>
      </c>
      <c r="C1913" t="s">
        <v>40</v>
      </c>
      <c r="D1913">
        <v>5.0227510000000004</v>
      </c>
      <c r="E1913">
        <v>0.58951089999999995</v>
      </c>
      <c r="F1913" t="s">
        <v>45</v>
      </c>
      <c r="G1913">
        <v>-206.58080000000001</v>
      </c>
      <c r="H1913" s="1">
        <v>5.0107780000000002E-6</v>
      </c>
      <c r="I1913">
        <v>286.04070000000002</v>
      </c>
      <c r="J1913">
        <v>-199.8981</v>
      </c>
      <c r="K1913">
        <v>1.1001129999999999</v>
      </c>
      <c r="L1913">
        <v>287.95339999999999</v>
      </c>
      <c r="M1913">
        <v>-0.8039134</v>
      </c>
      <c r="N1913">
        <v>-9.6857850000000006E-3</v>
      </c>
      <c r="O1913">
        <v>-0.59466770000000002</v>
      </c>
      <c r="P1913">
        <v>-0.84035099999999996</v>
      </c>
      <c r="Q1913">
        <v>0.34801100000000001</v>
      </c>
      <c r="R1913">
        <v>-0.4155702</v>
      </c>
      <c r="S1913">
        <v>-3.311874</v>
      </c>
      <c r="T1913">
        <v>-0.52906350000000002</v>
      </c>
      <c r="U1913">
        <v>-0.98474119999999998</v>
      </c>
      <c r="V1913">
        <v>0.17440029999999901</v>
      </c>
      <c r="W1913">
        <v>0.35274139999999998</v>
      </c>
      <c r="X1913">
        <v>0.91932480000000005</v>
      </c>
      <c r="Y1913">
        <v>0.33187220000000001</v>
      </c>
      <c r="Z1913">
        <v>0.1069136</v>
      </c>
      <c r="AA1913">
        <v>0.93724609999999997</v>
      </c>
      <c r="AB1913">
        <v>24</v>
      </c>
      <c r="AC1913">
        <v>-6.6827000000000103</v>
      </c>
      <c r="AD1913">
        <v>-1.10010798922199</v>
      </c>
      <c r="AE1913">
        <v>-1.9126999999999701</v>
      </c>
      <c r="AF1913">
        <v>2.3769178386286902</v>
      </c>
      <c r="AG1913">
        <v>-1.10010798922199</v>
      </c>
      <c r="AH1913">
        <v>6.3509592889296602</v>
      </c>
      <c r="AI1913">
        <v>99.214788352200699</v>
      </c>
      <c r="AJ1913">
        <v>69.481073596075603</v>
      </c>
      <c r="AK1913">
        <v>6.8698369623436699</v>
      </c>
      <c r="AL1913">
        <v>69.344917168386601</v>
      </c>
      <c r="AM1913">
        <v>79.258359841555702</v>
      </c>
      <c r="AN1913">
        <v>1.0000000239045399</v>
      </c>
    </row>
    <row r="1914" spans="1:40" x14ac:dyDescent="0.25">
      <c r="A1914" t="str">
        <f>"20190304164853099"</f>
        <v>20190304164853099</v>
      </c>
      <c r="B1914" t="str">
        <f>"1551689333087629"</f>
        <v>1551689333087629</v>
      </c>
      <c r="C1914" t="s">
        <v>40</v>
      </c>
      <c r="D1914">
        <v>4.9974189999999998</v>
      </c>
      <c r="E1914">
        <v>0.58926639999999997</v>
      </c>
      <c r="F1914" t="s">
        <v>45</v>
      </c>
      <c r="G1914">
        <v>-206.7449</v>
      </c>
      <c r="H1914" s="1">
        <v>5.0849479999999999E-6</v>
      </c>
      <c r="I1914">
        <v>286.02449999999999</v>
      </c>
      <c r="J1914">
        <v>-200.11060000000001</v>
      </c>
      <c r="K1914">
        <v>1.1000430000000001</v>
      </c>
      <c r="L1914">
        <v>287.8177</v>
      </c>
      <c r="M1914">
        <v>-0.81325709999999996</v>
      </c>
      <c r="N1914">
        <v>-9.6062000000000005E-3</v>
      </c>
      <c r="O1914">
        <v>-0.5818255</v>
      </c>
      <c r="P1914">
        <v>-0.84703119999999998</v>
      </c>
      <c r="Q1914">
        <v>0.34925</v>
      </c>
      <c r="R1914">
        <v>-0.40070329999999998</v>
      </c>
      <c r="S1914">
        <v>-3.327744</v>
      </c>
      <c r="T1914">
        <v>-0.53468660000000001</v>
      </c>
      <c r="U1914">
        <v>-0.9375</v>
      </c>
      <c r="V1914">
        <v>0.17578189999999999</v>
      </c>
      <c r="W1914">
        <v>0.35384280000000001</v>
      </c>
      <c r="X1914">
        <v>0.91863810000000001</v>
      </c>
      <c r="Y1914">
        <v>0.33035890000000001</v>
      </c>
      <c r="Z1914">
        <v>0.10635989999999999</v>
      </c>
      <c r="AA1914">
        <v>0.9378436</v>
      </c>
      <c r="AB1914">
        <v>24</v>
      </c>
      <c r="AC1914">
        <v>-6.6342999999999899</v>
      </c>
      <c r="AD1914">
        <v>-1.1000379150519899</v>
      </c>
      <c r="AE1914">
        <v>-1.7932000000000099</v>
      </c>
      <c r="AF1914">
        <v>2.3417831052853</v>
      </c>
      <c r="AG1914">
        <v>-1.1000379150519899</v>
      </c>
      <c r="AH1914">
        <v>6.2781622276837599</v>
      </c>
      <c r="AI1914">
        <v>99.322961931942004</v>
      </c>
      <c r="AJ1914">
        <v>69.544255526563802</v>
      </c>
      <c r="AK1914">
        <v>6.7903867698288503</v>
      </c>
      <c r="AL1914">
        <v>69.277460662457997</v>
      </c>
      <c r="AM1914">
        <v>79.167367090661102</v>
      </c>
      <c r="AN1914">
        <v>0.99999998112552901</v>
      </c>
    </row>
    <row r="1915" spans="1:40" x14ac:dyDescent="0.25">
      <c r="A1915" t="str">
        <f>"20190304164853120"</f>
        <v>20190304164853120</v>
      </c>
      <c r="B1915" t="str">
        <f>"1551689333117882"</f>
        <v>1551689333117882</v>
      </c>
      <c r="C1915" t="s">
        <v>40</v>
      </c>
      <c r="D1915">
        <v>4.4975750000000003</v>
      </c>
      <c r="E1915">
        <v>0.59083140000000001</v>
      </c>
      <c r="F1915" t="s">
        <v>45</v>
      </c>
      <c r="G1915">
        <v>-206.96299999999999</v>
      </c>
      <c r="H1915" s="1">
        <v>5.1835929999999998E-6</v>
      </c>
      <c r="I1915">
        <v>286.00259999999997</v>
      </c>
      <c r="J1915">
        <v>-200.3228</v>
      </c>
      <c r="K1915">
        <v>1.09998</v>
      </c>
      <c r="L1915">
        <v>287.68669999999997</v>
      </c>
      <c r="M1915">
        <v>-0.82228630000000003</v>
      </c>
      <c r="N1915">
        <v>-9.5350299999999999E-3</v>
      </c>
      <c r="O1915">
        <v>-0.568994</v>
      </c>
      <c r="P1915">
        <v>-0.85319029999999996</v>
      </c>
      <c r="Q1915">
        <v>0.35027649999999999</v>
      </c>
      <c r="R1915">
        <v>-0.3864879</v>
      </c>
      <c r="S1915">
        <v>-3.3441160000000001</v>
      </c>
      <c r="T1915">
        <v>-0.53684229999999999</v>
      </c>
      <c r="U1915">
        <v>-0.88580319999999901</v>
      </c>
      <c r="V1915">
        <v>0.17656350000000001</v>
      </c>
      <c r="W1915">
        <v>0.35475559999999901</v>
      </c>
      <c r="X1915">
        <v>0.91813610000000001</v>
      </c>
      <c r="Y1915">
        <v>0.33032060000000002</v>
      </c>
      <c r="Z1915">
        <v>0.1051648</v>
      </c>
      <c r="AA1915">
        <v>0.93799180000000004</v>
      </c>
      <c r="AB1915">
        <v>24</v>
      </c>
      <c r="AC1915">
        <v>-6.6401999999999903</v>
      </c>
      <c r="AD1915">
        <v>-1.099974816407</v>
      </c>
      <c r="AE1915">
        <v>-1.6840999999999999</v>
      </c>
      <c r="AF1915">
        <v>2.3333698922662101</v>
      </c>
      <c r="AG1915">
        <v>-1.099974816407</v>
      </c>
      <c r="AH1915">
        <v>6.2573488825496701</v>
      </c>
      <c r="AI1915">
        <v>99.353210381153602</v>
      </c>
      <c r="AJ1915">
        <v>69.549478439116598</v>
      </c>
      <c r="AK1915">
        <v>6.7682327596507497</v>
      </c>
      <c r="AL1915">
        <v>69.221534707139995</v>
      </c>
      <c r="AM1915">
        <v>79.114541225262897</v>
      </c>
      <c r="AN1915">
        <v>1.0000000516934</v>
      </c>
    </row>
    <row r="1916" spans="1:40" x14ac:dyDescent="0.25">
      <c r="A1916" t="str">
        <f>"20190304164853143"</f>
        <v>20190304164853143</v>
      </c>
      <c r="B1916" t="str">
        <f>"1551689333138378"</f>
        <v>1551689333138378</v>
      </c>
      <c r="C1916" t="s">
        <v>40</v>
      </c>
      <c r="D1916">
        <v>5.0105709999999997</v>
      </c>
      <c r="E1916">
        <v>0.59205730000000001</v>
      </c>
      <c r="F1916" t="s">
        <v>45</v>
      </c>
      <c r="G1916">
        <v>-207.40479999999999</v>
      </c>
      <c r="H1916" s="1">
        <v>5.38324499999999E-6</v>
      </c>
      <c r="I1916">
        <v>285.9599</v>
      </c>
      <c r="J1916">
        <v>-200.53530000000001</v>
      </c>
      <c r="K1916">
        <v>1.099915</v>
      </c>
      <c r="L1916">
        <v>287.56</v>
      </c>
      <c r="M1916">
        <v>-0.83103309999999997</v>
      </c>
      <c r="N1916">
        <v>-9.4692579999999995E-3</v>
      </c>
      <c r="O1916">
        <v>-0.55614219999999903</v>
      </c>
      <c r="P1916">
        <v>-0.8587494</v>
      </c>
      <c r="Q1916">
        <v>0.351767</v>
      </c>
      <c r="R1916">
        <v>-0.3725716</v>
      </c>
      <c r="S1916">
        <v>-3.359375</v>
      </c>
      <c r="T1916">
        <v>-0.52178170000000001</v>
      </c>
      <c r="U1916">
        <v>-0.81912229999999997</v>
      </c>
      <c r="V1916">
        <v>0.17696129999999999</v>
      </c>
      <c r="W1916">
        <v>0.35614620000000002</v>
      </c>
      <c r="X1916">
        <v>0.91752089999999997</v>
      </c>
      <c r="Y1916">
        <v>0.3347947</v>
      </c>
      <c r="Z1916">
        <v>0.1009823</v>
      </c>
      <c r="AA1916">
        <v>0.93686449999999999</v>
      </c>
      <c r="AB1916">
        <v>24</v>
      </c>
      <c r="AC1916">
        <v>-6.86949999999998</v>
      </c>
      <c r="AD1916">
        <v>-1.099909616755</v>
      </c>
      <c r="AE1916">
        <v>-1.6000999999999901</v>
      </c>
      <c r="AF1916">
        <v>2.4316628528086</v>
      </c>
      <c r="AG1916">
        <v>-1.099909616755</v>
      </c>
      <c r="AH1916">
        <v>6.4423011737135596</v>
      </c>
      <c r="AI1916">
        <v>99.075336478539597</v>
      </c>
      <c r="AJ1916">
        <v>69.320859130505298</v>
      </c>
      <c r="AK1916">
        <v>6.9732366808814499</v>
      </c>
      <c r="AL1916">
        <v>69.136291523257199</v>
      </c>
      <c r="AM1916">
        <v>79.083464883254805</v>
      </c>
      <c r="AN1916">
        <v>1.0000000097044699</v>
      </c>
    </row>
    <row r="1917" spans="1:40" x14ac:dyDescent="0.25">
      <c r="A1917" t="str">
        <f>"20190304164853165"</f>
        <v>20190304164853165</v>
      </c>
      <c r="B1917" t="str">
        <f>"1551689333157897"</f>
        <v>1551689333157897</v>
      </c>
      <c r="C1917" t="s">
        <v>40</v>
      </c>
      <c r="D1917">
        <v>5.0789099999999996</v>
      </c>
      <c r="E1917">
        <v>0.59300969999999997</v>
      </c>
      <c r="F1917" t="s">
        <v>45</v>
      </c>
      <c r="G1917">
        <v>-207.86770000000001</v>
      </c>
      <c r="H1917" s="1">
        <v>5.5921709999999901E-6</v>
      </c>
      <c r="I1917">
        <v>285.91809999999998</v>
      </c>
      <c r="J1917">
        <v>-200.75960000000001</v>
      </c>
      <c r="K1917">
        <v>1.0998479999999999</v>
      </c>
      <c r="L1917">
        <v>287.43090000000001</v>
      </c>
      <c r="M1917">
        <v>-0.83995889999999995</v>
      </c>
      <c r="N1917">
        <v>-9.4062580000000007E-3</v>
      </c>
      <c r="O1917">
        <v>-0.54256879999999996</v>
      </c>
      <c r="P1917">
        <v>-0.86439759999999999</v>
      </c>
      <c r="Q1917">
        <v>0.35252850000000002</v>
      </c>
      <c r="R1917">
        <v>-0.3585257</v>
      </c>
      <c r="S1917">
        <v>-3.3730319999999998</v>
      </c>
      <c r="T1917">
        <v>-0.50598069999999995</v>
      </c>
      <c r="U1917">
        <v>-0.75531009999999998</v>
      </c>
      <c r="V1917">
        <v>0.17691390000000001</v>
      </c>
      <c r="W1917">
        <v>0.3568228</v>
      </c>
      <c r="X1917">
        <v>0.9172671</v>
      </c>
      <c r="Y1917">
        <v>0.33779989999999999</v>
      </c>
      <c r="Z1917">
        <v>9.6518939999999998E-2</v>
      </c>
      <c r="AA1917">
        <v>0.93625599999999998</v>
      </c>
      <c r="AB1917">
        <v>25</v>
      </c>
      <c r="AC1917">
        <v>-7.1081000000000003</v>
      </c>
      <c r="AD1917">
        <v>-1.0998424078289999</v>
      </c>
      <c r="AE1917">
        <v>-1.5128000000000199</v>
      </c>
      <c r="AF1917">
        <v>2.5281521858618401</v>
      </c>
      <c r="AG1917">
        <v>-1.0998424078289999</v>
      </c>
      <c r="AH1917">
        <v>6.6395361334113296</v>
      </c>
      <c r="AI1917">
        <v>98.799968541774703</v>
      </c>
      <c r="AJ1917">
        <v>69.154547178560094</v>
      </c>
      <c r="AK1917">
        <v>7.1892034930033697</v>
      </c>
      <c r="AL1917">
        <v>69.0947986781715</v>
      </c>
      <c r="AM1917">
        <v>79.083371528555105</v>
      </c>
      <c r="AN1917">
        <v>0.99999998567772896</v>
      </c>
    </row>
    <row r="1918" spans="1:40" x14ac:dyDescent="0.25">
      <c r="A1918" t="str">
        <f>"20190304164853189"</f>
        <v>20190304164853189</v>
      </c>
      <c r="B1918" t="str">
        <f>"1551689333178394"</f>
        <v>1551689333178394</v>
      </c>
      <c r="C1918" t="s">
        <v>40</v>
      </c>
      <c r="D1918">
        <v>5.0606519999999904</v>
      </c>
      <c r="E1918">
        <v>0.59230479999999996</v>
      </c>
      <c r="F1918" t="s">
        <v>45</v>
      </c>
      <c r="G1918">
        <v>-208.29570000000001</v>
      </c>
      <c r="H1918" s="1">
        <v>5.7843060000000004E-6</v>
      </c>
      <c r="I1918">
        <v>285.89170000000001</v>
      </c>
      <c r="J1918">
        <v>-200.99369999999999</v>
      </c>
      <c r="K1918">
        <v>1.0997729999999999</v>
      </c>
      <c r="L1918">
        <v>287.30119999999999</v>
      </c>
      <c r="M1918">
        <v>-0.84894599999999898</v>
      </c>
      <c r="N1918">
        <v>-9.3467749999999999E-3</v>
      </c>
      <c r="O1918">
        <v>-0.52839700000000001</v>
      </c>
      <c r="P1918">
        <v>-0.86965149999999902</v>
      </c>
      <c r="Q1918">
        <v>0.35388720000000001</v>
      </c>
      <c r="R1918">
        <v>-0.34419499999999997</v>
      </c>
      <c r="S1918">
        <v>-3.385345</v>
      </c>
      <c r="T1918">
        <v>-0.49406600000000001</v>
      </c>
      <c r="U1918">
        <v>-0.69143679999999996</v>
      </c>
      <c r="V1918">
        <v>0.17647270000000001</v>
      </c>
      <c r="W1918">
        <v>0.3581086</v>
      </c>
      <c r="X1918">
        <v>0.91685090000000002</v>
      </c>
      <c r="Y1918">
        <v>0.34012130000000002</v>
      </c>
      <c r="Z1918">
        <v>9.2771049999999994E-2</v>
      </c>
      <c r="AA1918">
        <v>0.93579429999999997</v>
      </c>
      <c r="AB1918">
        <v>25</v>
      </c>
      <c r="AC1918">
        <v>-7.30200000000002</v>
      </c>
      <c r="AD1918">
        <v>-1.0997672156939999</v>
      </c>
      <c r="AE1918">
        <v>-1.40949999999998</v>
      </c>
      <c r="AF1918">
        <v>2.6049146644572398</v>
      </c>
      <c r="AG1918">
        <v>-1.0997672156939999</v>
      </c>
      <c r="AH1918">
        <v>6.79547179594777</v>
      </c>
      <c r="AI1918">
        <v>98.593287674864797</v>
      </c>
      <c r="AJ1918">
        <v>69.026625600181802</v>
      </c>
      <c r="AK1918">
        <v>7.3602652987063797</v>
      </c>
      <c r="AL1918">
        <v>69.0159154918924</v>
      </c>
      <c r="AM1918">
        <v>79.105119222808895</v>
      </c>
      <c r="AN1918">
        <v>0.99999997803502905</v>
      </c>
    </row>
    <row r="1919" spans="1:40" x14ac:dyDescent="0.25">
      <c r="A1919" t="str">
        <f>"20190304164853213"</f>
        <v>20190304164853213</v>
      </c>
      <c r="B1919" t="str">
        <f>"1551689333207674"</f>
        <v>1551689333207674</v>
      </c>
      <c r="C1919" t="s">
        <v>40</v>
      </c>
      <c r="D1919">
        <v>4.4592989999999997</v>
      </c>
      <c r="E1919">
        <v>0.59386229999999995</v>
      </c>
      <c r="F1919" t="s">
        <v>45</v>
      </c>
      <c r="G1919">
        <v>-208.52959999999999</v>
      </c>
      <c r="H1919" s="1">
        <v>5.8891920000000001E-6</v>
      </c>
      <c r="I1919">
        <v>285.87810000000002</v>
      </c>
      <c r="J1919">
        <v>-201.23140000000001</v>
      </c>
      <c r="K1919">
        <v>1.0997030000000001</v>
      </c>
      <c r="L1919">
        <v>287.17439999999999</v>
      </c>
      <c r="M1919">
        <v>-0.85773999999999995</v>
      </c>
      <c r="N1919">
        <v>-9.2905139999999997E-3</v>
      </c>
      <c r="O1919">
        <v>-0.51399989999999995</v>
      </c>
      <c r="P1919">
        <v>-0.87418430000000003</v>
      </c>
      <c r="Q1919">
        <v>0.35604609999999998</v>
      </c>
      <c r="R1919">
        <v>-0.330202</v>
      </c>
      <c r="S1919">
        <v>-3.397491</v>
      </c>
      <c r="T1919">
        <v>-0.49582169999999998</v>
      </c>
      <c r="U1919">
        <v>-0.64160159999999999</v>
      </c>
      <c r="V1919">
        <v>0.17536779999999999</v>
      </c>
      <c r="W1919">
        <v>0.36021259999999999</v>
      </c>
      <c r="X1919">
        <v>0.91623849999999996</v>
      </c>
      <c r="Y1919">
        <v>0.33824120000000002</v>
      </c>
      <c r="Z1919">
        <v>9.1253479999999998E-2</v>
      </c>
      <c r="AA1919">
        <v>0.93662460000000003</v>
      </c>
      <c r="AB1919">
        <v>25</v>
      </c>
      <c r="AC1919">
        <v>-7.29819999999998</v>
      </c>
      <c r="AD1919">
        <v>-1.099697110808</v>
      </c>
      <c r="AE1919">
        <v>-1.29629999999997</v>
      </c>
      <c r="AF1919">
        <v>2.5826545941082601</v>
      </c>
      <c r="AG1919">
        <v>-1.099697110808</v>
      </c>
      <c r="AH1919">
        <v>6.77738277520133</v>
      </c>
      <c r="AI1919">
        <v>98.621740519939905</v>
      </c>
      <c r="AJ1919">
        <v>69.139676813071702</v>
      </c>
      <c r="AK1919">
        <v>7.3356905448351402</v>
      </c>
      <c r="AL1919">
        <v>68.886746594535197</v>
      </c>
      <c r="AM1919">
        <v>79.164648588011104</v>
      </c>
      <c r="AN1919">
        <v>0.99999998567892401</v>
      </c>
    </row>
    <row r="1920" spans="1:40" x14ac:dyDescent="0.25">
      <c r="A1920" t="str">
        <f>"20190304164853234"</f>
        <v>20190304164853234</v>
      </c>
      <c r="B1920" t="str">
        <f>"1551689333228170"</f>
        <v>1551689333228170</v>
      </c>
      <c r="C1920" t="s">
        <v>40</v>
      </c>
      <c r="D1920">
        <v>4.9399699999999998</v>
      </c>
      <c r="E1920">
        <v>0.59324769999999905</v>
      </c>
      <c r="F1920" t="s">
        <v>45</v>
      </c>
      <c r="G1920">
        <v>-209.20050000000001</v>
      </c>
      <c r="H1920" s="1">
        <v>6.1905929999999997E-6</v>
      </c>
      <c r="I1920">
        <v>285.83359999999999</v>
      </c>
      <c r="J1920">
        <v>-201.44049999999999</v>
      </c>
      <c r="K1920">
        <v>1.0996360000000001</v>
      </c>
      <c r="L1920">
        <v>287.06709999999998</v>
      </c>
      <c r="M1920">
        <v>-0.86520609999999998</v>
      </c>
      <c r="N1920">
        <v>-9.2461399999999999E-3</v>
      </c>
      <c r="O1920">
        <v>-0.50133109999999903</v>
      </c>
      <c r="P1920">
        <v>-0.87804910000000003</v>
      </c>
      <c r="Q1920">
        <v>0.35674289999999997</v>
      </c>
      <c r="R1920">
        <v>-0.3190055</v>
      </c>
      <c r="S1920">
        <v>-3.4067379999999998</v>
      </c>
      <c r="T1920">
        <v>-0.47011320000000001</v>
      </c>
      <c r="U1920">
        <v>-0.57321169999999899</v>
      </c>
      <c r="V1920">
        <v>0.1735187</v>
      </c>
      <c r="W1920">
        <v>0.36089490000000002</v>
      </c>
      <c r="X1920">
        <v>0.91632210000000003</v>
      </c>
      <c r="Y1920">
        <v>0.34393099999999999</v>
      </c>
      <c r="Z1920">
        <v>8.5473579999999993E-2</v>
      </c>
      <c r="AA1920">
        <v>0.93509659999999994</v>
      </c>
      <c r="AB1920">
        <v>25</v>
      </c>
      <c r="AC1920">
        <v>-7.7600000000000096</v>
      </c>
      <c r="AD1920">
        <v>-1.0996298094069901</v>
      </c>
      <c r="AE1920">
        <v>-1.23349999999999</v>
      </c>
      <c r="AF1920">
        <v>2.7689866282313398</v>
      </c>
      <c r="AG1920">
        <v>-1.0996298094069901</v>
      </c>
      <c r="AH1920">
        <v>7.1918495607350001</v>
      </c>
      <c r="AI1920">
        <v>98.120649768424499</v>
      </c>
      <c r="AJ1920">
        <v>68.942430263534604</v>
      </c>
      <c r="AK1920">
        <v>7.78454704972002</v>
      </c>
      <c r="AL1920">
        <v>68.8448355892872</v>
      </c>
      <c r="AM1920">
        <v>79.277190457906599</v>
      </c>
      <c r="AN1920">
        <v>1.0000000295220499</v>
      </c>
    </row>
    <row r="1921" spans="1:40" x14ac:dyDescent="0.25">
      <c r="A1921" t="str">
        <f>"20190304164853256"</f>
        <v>20190304164853256</v>
      </c>
      <c r="B1921" t="str">
        <f>"1551689333247690"</f>
        <v>1551689333247690</v>
      </c>
      <c r="C1921" t="s">
        <v>40</v>
      </c>
      <c r="D1921">
        <v>4.9049110000000002</v>
      </c>
      <c r="E1921">
        <v>0.59264189999999894</v>
      </c>
      <c r="F1921" t="s">
        <v>45</v>
      </c>
      <c r="G1921">
        <v>-209.38480000000001</v>
      </c>
      <c r="H1921" s="1">
        <v>6.2732649999999998E-6</v>
      </c>
      <c r="I1921">
        <v>285.8229</v>
      </c>
      <c r="J1921">
        <v>-201.66890000000001</v>
      </c>
      <c r="K1921">
        <v>1.0995760000000001</v>
      </c>
      <c r="L1921">
        <v>286.95420000000001</v>
      </c>
      <c r="M1921">
        <v>-0.87307420000000002</v>
      </c>
      <c r="N1921">
        <v>-9.2036919999999994E-3</v>
      </c>
      <c r="O1921">
        <v>-0.48750090000000001</v>
      </c>
      <c r="P1921">
        <v>-0.8818492</v>
      </c>
      <c r="Q1921">
        <v>0.35720879999999999</v>
      </c>
      <c r="R1921">
        <v>-0.30780570000000002</v>
      </c>
      <c r="S1921">
        <v>-3.4144130000000001</v>
      </c>
      <c r="T1921">
        <v>-0.47261760000000003</v>
      </c>
      <c r="U1921">
        <v>-0.53475950000000005</v>
      </c>
      <c r="V1921">
        <v>0.1705585</v>
      </c>
      <c r="W1921">
        <v>0.36137859999999999</v>
      </c>
      <c r="X1921">
        <v>0.91668709999999998</v>
      </c>
      <c r="Y1921">
        <v>0.3396825</v>
      </c>
      <c r="Z1921">
        <v>8.4076090000000006E-2</v>
      </c>
      <c r="AA1921">
        <v>0.93677480000000002</v>
      </c>
      <c r="AB1921">
        <v>25</v>
      </c>
      <c r="AC1921">
        <v>-7.7159000000000004</v>
      </c>
      <c r="AD1921">
        <v>-1.099569726735</v>
      </c>
      <c r="AE1921">
        <v>-1.13130000000001</v>
      </c>
      <c r="AF1921">
        <v>2.71984346563065</v>
      </c>
      <c r="AG1921">
        <v>-1.099569726735</v>
      </c>
      <c r="AH1921">
        <v>7.1462957411320502</v>
      </c>
      <c r="AI1921">
        <v>98.183188027168796</v>
      </c>
      <c r="AJ1921">
        <v>69.163432211572299</v>
      </c>
      <c r="AK1921">
        <v>7.72503364919584</v>
      </c>
      <c r="AL1921">
        <v>68.815114535428293</v>
      </c>
      <c r="AM1921">
        <v>79.460087535381803</v>
      </c>
      <c r="AN1921">
        <v>0.99999996688330905</v>
      </c>
    </row>
    <row r="1922" spans="1:40" x14ac:dyDescent="0.25">
      <c r="A1922" t="str">
        <f>"20190304164853277"</f>
        <v>20190304164853277</v>
      </c>
      <c r="B1922" t="str">
        <f>"1551689333268187"</f>
        <v>1551689333268187</v>
      </c>
      <c r="C1922" t="s">
        <v>40</v>
      </c>
      <c r="D1922">
        <v>4.7279099999999996</v>
      </c>
      <c r="E1922">
        <v>0.59214440000000002</v>
      </c>
      <c r="F1922" t="s">
        <v>45</v>
      </c>
      <c r="G1922">
        <v>-209.5933</v>
      </c>
      <c r="H1922" s="1">
        <v>6.3668039999999999E-6</v>
      </c>
      <c r="I1922">
        <v>285.81079999999997</v>
      </c>
      <c r="J1922">
        <v>-201.89150000000001</v>
      </c>
      <c r="K1922">
        <v>1.0995170000000001</v>
      </c>
      <c r="L1922">
        <v>286.84870000000001</v>
      </c>
      <c r="M1922">
        <v>-0.88046000000000002</v>
      </c>
      <c r="N1922">
        <v>-9.1684479999999992E-3</v>
      </c>
      <c r="O1922">
        <v>-0.47403210000000001</v>
      </c>
      <c r="P1922">
        <v>-0.88495590000000002</v>
      </c>
      <c r="Q1922">
        <v>0.35811880000000001</v>
      </c>
      <c r="R1922">
        <v>-0.29766520000000002</v>
      </c>
      <c r="S1922">
        <v>-3.4219360000000001</v>
      </c>
      <c r="T1922">
        <v>-0.4748173</v>
      </c>
      <c r="U1922">
        <v>-0.4937744</v>
      </c>
      <c r="V1922">
        <v>0.16687879999999899</v>
      </c>
      <c r="W1922">
        <v>0.36233389999999999</v>
      </c>
      <c r="X1922">
        <v>0.9169872</v>
      </c>
      <c r="Y1922">
        <v>0.33660889999999999</v>
      </c>
      <c r="Z1922">
        <v>8.271481E-2</v>
      </c>
      <c r="AA1922">
        <v>0.93800470000000002</v>
      </c>
      <c r="AB1922">
        <v>25</v>
      </c>
      <c r="AC1922">
        <v>-7.7017999999999898</v>
      </c>
      <c r="AD1922">
        <v>-1.0995106331960001</v>
      </c>
      <c r="AE1922">
        <v>-1.03790000000003</v>
      </c>
      <c r="AF1922">
        <v>2.6834706930311301</v>
      </c>
      <c r="AG1922">
        <v>-1.0995106331960001</v>
      </c>
      <c r="AH1922">
        <v>7.1306945063610003</v>
      </c>
      <c r="AI1922">
        <v>98.211850936659104</v>
      </c>
      <c r="AJ1922">
        <v>69.377341458611397</v>
      </c>
      <c r="AK1922">
        <v>7.6978401344737604</v>
      </c>
      <c r="AL1922">
        <v>68.756400870077101</v>
      </c>
      <c r="AM1922">
        <v>79.6858481918038</v>
      </c>
      <c r="AN1922">
        <v>0.999999956971244</v>
      </c>
    </row>
    <row r="1923" spans="1:40" x14ac:dyDescent="0.25">
      <c r="A1923" t="str">
        <f>"20190304164853300"</f>
        <v>20190304164853300</v>
      </c>
      <c r="B1923" t="str">
        <f>"1551689333287709"</f>
        <v>1551689333287709</v>
      </c>
      <c r="C1923" t="s">
        <v>40</v>
      </c>
      <c r="D1923">
        <v>4.71699</v>
      </c>
      <c r="E1923">
        <v>0.59167109999999901</v>
      </c>
      <c r="F1923" t="s">
        <v>45</v>
      </c>
      <c r="G1923">
        <v>-209.8587</v>
      </c>
      <c r="H1923" s="1">
        <v>6.4858039999999999E-6</v>
      </c>
      <c r="I1923">
        <v>285.79559999999998</v>
      </c>
      <c r="J1923">
        <v>-202.1293</v>
      </c>
      <c r="K1923">
        <v>1.0994539999999999</v>
      </c>
      <c r="L1923">
        <v>286.74040000000002</v>
      </c>
      <c r="M1923">
        <v>-0.88805299999999998</v>
      </c>
      <c r="N1923">
        <v>-9.1364940000000002E-3</v>
      </c>
      <c r="O1923">
        <v>-0.45965040000000001</v>
      </c>
      <c r="P1923">
        <v>-0.88826530000000004</v>
      </c>
      <c r="Q1923">
        <v>0.35878660000000001</v>
      </c>
      <c r="R1923">
        <v>-0.28680559999999899</v>
      </c>
      <c r="S1923">
        <v>-3.4290919999999998</v>
      </c>
      <c r="T1923">
        <v>-0.47323019999999999</v>
      </c>
      <c r="U1923">
        <v>-0.45324710000000001</v>
      </c>
      <c r="V1923">
        <v>0.16312260000000001</v>
      </c>
      <c r="W1923">
        <v>0.36305290000000001</v>
      </c>
      <c r="X1923">
        <v>0.91737869999999999</v>
      </c>
      <c r="Y1923">
        <v>0.33266509999999999</v>
      </c>
      <c r="Z1923">
        <v>8.0493670000000003E-2</v>
      </c>
      <c r="AA1923">
        <v>0.93960350000000004</v>
      </c>
      <c r="AB1923">
        <v>25</v>
      </c>
      <c r="AC1923">
        <v>-7.7293999999999903</v>
      </c>
      <c r="AD1923">
        <v>-1.0994475141959901</v>
      </c>
      <c r="AE1923">
        <v>-0.94480000000004305</v>
      </c>
      <c r="AF1923">
        <v>2.6608582285117799</v>
      </c>
      <c r="AG1923">
        <v>-1.0994475141959901</v>
      </c>
      <c r="AH1923">
        <v>7.1560430331818798</v>
      </c>
      <c r="AI1923">
        <v>98.194603306833699</v>
      </c>
      <c r="AJ1923">
        <v>69.603167526005606</v>
      </c>
      <c r="AK1923">
        <v>7.7134883964041601</v>
      </c>
      <c r="AL1923">
        <v>68.7121969121483</v>
      </c>
      <c r="AM1923">
        <v>79.917400892449507</v>
      </c>
      <c r="AN1923">
        <v>1.00000003502142</v>
      </c>
    </row>
    <row r="1924" spans="1:40" x14ac:dyDescent="0.25">
      <c r="A1924" t="str">
        <f>"20190304164853320"</f>
        <v>20190304164853320</v>
      </c>
      <c r="B1924" t="str">
        <f>"1551689333317962"</f>
        <v>1551689333317962</v>
      </c>
      <c r="C1924" t="s">
        <v>40</v>
      </c>
      <c r="D1924">
        <v>4.6787380000000001</v>
      </c>
      <c r="E1924">
        <v>0.59092739999999999</v>
      </c>
      <c r="F1924" t="s">
        <v>46</v>
      </c>
      <c r="G1924">
        <v>-210.11590000000001</v>
      </c>
      <c r="H1924" s="1">
        <v>-1.4751240000000001E-6</v>
      </c>
      <c r="I1924">
        <v>285.78359999999998</v>
      </c>
      <c r="J1924">
        <v>-202.3519</v>
      </c>
      <c r="K1924">
        <v>1.0994010000000001</v>
      </c>
      <c r="L1924">
        <v>286.64299999999997</v>
      </c>
      <c r="M1924">
        <v>-0.89488829999999997</v>
      </c>
      <c r="N1924">
        <v>-9.1109150000000007E-3</v>
      </c>
      <c r="O1924">
        <v>-0.44619760000000003</v>
      </c>
      <c r="P1924">
        <v>-0.89154040000000001</v>
      </c>
      <c r="Q1924">
        <v>0.35884139999999998</v>
      </c>
      <c r="R1924">
        <v>-0.27638580000000001</v>
      </c>
      <c r="S1924">
        <v>-3.4355009999999999</v>
      </c>
      <c r="T1924">
        <v>-0.472941</v>
      </c>
      <c r="U1924">
        <v>-0.41159059999999997</v>
      </c>
      <c r="V1924">
        <v>0.16004209999999999</v>
      </c>
      <c r="W1924">
        <v>0.36315199999999997</v>
      </c>
      <c r="X1924">
        <v>0.91788190000000003</v>
      </c>
      <c r="Y1924">
        <v>0.33003379999999999</v>
      </c>
      <c r="Z1924">
        <v>7.8702789999999995E-2</v>
      </c>
      <c r="AA1924">
        <v>0.94068249999999998</v>
      </c>
      <c r="AB1924">
        <v>25</v>
      </c>
      <c r="AC1924">
        <v>-7.7640000000000002</v>
      </c>
      <c r="AD1924">
        <v>-1.0994024751239999</v>
      </c>
      <c r="AE1924">
        <v>-0.85939999999999295</v>
      </c>
      <c r="AF1924">
        <v>2.64296903312637</v>
      </c>
      <c r="AG1924">
        <v>-1.0994024751239999</v>
      </c>
      <c r="AH1924">
        <v>7.1892686244523398</v>
      </c>
      <c r="AI1924">
        <v>98.167930952937695</v>
      </c>
      <c r="AJ1924">
        <v>69.815211006191106</v>
      </c>
      <c r="AK1924">
        <v>7.73818806096806</v>
      </c>
      <c r="AL1924">
        <v>68.706102551929504</v>
      </c>
      <c r="AM1924">
        <v>80.109325189280995</v>
      </c>
      <c r="AN1924">
        <v>1.0000000156120099</v>
      </c>
    </row>
    <row r="1925" spans="1:40" x14ac:dyDescent="0.25">
      <c r="A1925" t="str">
        <f>"20190304164853345"</f>
        <v>20190304164853345</v>
      </c>
      <c r="B1925" t="str">
        <f>"1551689333337482"</f>
        <v>1551689333337482</v>
      </c>
      <c r="C1925" t="s">
        <v>40</v>
      </c>
      <c r="D1925">
        <v>4.7008519999999896</v>
      </c>
      <c r="E1925">
        <v>0.59042159999999999</v>
      </c>
      <c r="F1925" t="s">
        <v>46</v>
      </c>
      <c r="G1925">
        <v>-210.26079999999999</v>
      </c>
      <c r="H1925" s="1">
        <v>-1.3979969999999999E-6</v>
      </c>
      <c r="I1925">
        <v>285.77499999999998</v>
      </c>
      <c r="J1925">
        <v>-202.61099999999999</v>
      </c>
      <c r="K1925">
        <v>1.0993459999999999</v>
      </c>
      <c r="L1925">
        <v>286.53460000000001</v>
      </c>
      <c r="M1925">
        <v>-0.90251230000000005</v>
      </c>
      <c r="N1925">
        <v>-9.0846680000000006E-3</v>
      </c>
      <c r="O1925">
        <v>-0.43056830000000001</v>
      </c>
      <c r="P1925">
        <v>-0.89532389999999995</v>
      </c>
      <c r="Q1925">
        <v>0.35893720000000001</v>
      </c>
      <c r="R1925">
        <v>-0.26374130000000001</v>
      </c>
      <c r="S1925">
        <v>-3.440369</v>
      </c>
      <c r="T1925">
        <v>-0.47823759999999998</v>
      </c>
      <c r="U1925">
        <v>-0.37759399999999999</v>
      </c>
      <c r="V1925">
        <v>0.1570859</v>
      </c>
      <c r="W1925">
        <v>0.36328840000000001</v>
      </c>
      <c r="X1925">
        <v>0.91833849999999995</v>
      </c>
      <c r="Y1925">
        <v>0.32300430000000002</v>
      </c>
      <c r="Z1925">
        <v>7.7269690000000002E-2</v>
      </c>
      <c r="AA1925">
        <v>0.94323780000000002</v>
      </c>
      <c r="AB1925">
        <v>25</v>
      </c>
      <c r="AC1925">
        <v>-7.6497999999999902</v>
      </c>
      <c r="AD1925">
        <v>-1.0993473979970001</v>
      </c>
      <c r="AE1925">
        <v>-0.75960000000003403</v>
      </c>
      <c r="AF1925">
        <v>2.5560475985931399</v>
      </c>
      <c r="AG1925">
        <v>-1.0993473979970001</v>
      </c>
      <c r="AH1925">
        <v>7.08647303932878</v>
      </c>
      <c r="AI1925">
        <v>98.302601637559206</v>
      </c>
      <c r="AJ1925">
        <v>70.1659353021454</v>
      </c>
      <c r="AK1925">
        <v>7.6131494248366298</v>
      </c>
      <c r="AL1925">
        <v>68.697714655892099</v>
      </c>
      <c r="AM1925">
        <v>80.2932455784902</v>
      </c>
      <c r="AN1925">
        <v>1.0000000210677999</v>
      </c>
    </row>
    <row r="1926" spans="1:40" x14ac:dyDescent="0.25">
      <c r="A1926" t="str">
        <f>"20190304164853366"</f>
        <v>20190304164853366</v>
      </c>
      <c r="B1926" t="str">
        <f>"1551689333357978"</f>
        <v>1551689333357978</v>
      </c>
      <c r="C1926" t="s">
        <v>40</v>
      </c>
      <c r="D1926">
        <v>4.5573249999999996</v>
      </c>
      <c r="E1926">
        <v>0.58991610000000005</v>
      </c>
      <c r="F1926" t="s">
        <v>46</v>
      </c>
      <c r="G1926">
        <v>-210.48849999999999</v>
      </c>
      <c r="H1926" s="1">
        <v>-1.27684E-6</v>
      </c>
      <c r="I1926">
        <v>285.77609999999999</v>
      </c>
      <c r="J1926">
        <v>-202.84970000000001</v>
      </c>
      <c r="K1926">
        <v>1.09931</v>
      </c>
      <c r="L1926">
        <v>286.4393</v>
      </c>
      <c r="M1926">
        <v>-0.90921850000000004</v>
      </c>
      <c r="N1926">
        <v>-9.0612590000000003E-3</v>
      </c>
      <c r="O1926">
        <v>-0.41622100000000001</v>
      </c>
      <c r="P1926">
        <v>-0.89824249999999894</v>
      </c>
      <c r="Q1926">
        <v>0.35920289999999999</v>
      </c>
      <c r="R1926">
        <v>-0.25324679999999999</v>
      </c>
      <c r="S1926">
        <v>-3.445786</v>
      </c>
      <c r="T1926">
        <v>-0.48088069999999999</v>
      </c>
      <c r="U1926">
        <v>-0.33181759999999999</v>
      </c>
      <c r="V1926">
        <v>0.15326189999999901</v>
      </c>
      <c r="W1926">
        <v>0.3636278</v>
      </c>
      <c r="X1926">
        <v>0.91885019999999995</v>
      </c>
      <c r="Y1926">
        <v>0.32065880000000002</v>
      </c>
      <c r="Z1926">
        <v>7.584043E-2</v>
      </c>
      <c r="AA1926">
        <v>0.94415369999999998</v>
      </c>
      <c r="AB1926">
        <v>25</v>
      </c>
      <c r="AC1926">
        <v>-7.6387999999999696</v>
      </c>
      <c r="AD1926">
        <v>-1.09931127684</v>
      </c>
      <c r="AE1926">
        <v>-0.663200000000017</v>
      </c>
      <c r="AF1926">
        <v>2.5246450963682898</v>
      </c>
      <c r="AG1926">
        <v>-1.09931127684</v>
      </c>
      <c r="AH1926">
        <v>7.0762156784851804</v>
      </c>
      <c r="AI1926">
        <v>98.324405927681795</v>
      </c>
      <c r="AJ1926">
        <v>70.364667649722307</v>
      </c>
      <c r="AK1926">
        <v>7.5930986082391696</v>
      </c>
      <c r="AL1926">
        <v>68.676841315106699</v>
      </c>
      <c r="AM1926">
        <v>80.530385333790406</v>
      </c>
      <c r="AN1926">
        <v>1.0000000384822401</v>
      </c>
    </row>
    <row r="1927" spans="1:40" x14ac:dyDescent="0.25">
      <c r="A1927" t="str">
        <f>"20190304164853390"</f>
        <v>20190304164853390</v>
      </c>
      <c r="B1927" t="str">
        <f>"1551689333378474"</f>
        <v>1551689333378474</v>
      </c>
      <c r="C1927" t="s">
        <v>40</v>
      </c>
      <c r="D1927">
        <v>4.5633900000000001</v>
      </c>
      <c r="E1927">
        <v>0.58943440000000002</v>
      </c>
      <c r="F1927" t="s">
        <v>46</v>
      </c>
      <c r="G1927">
        <v>-210.7775</v>
      </c>
      <c r="H1927" s="1">
        <v>-1.123042E-6</v>
      </c>
      <c r="I1927">
        <v>285.76990000000001</v>
      </c>
      <c r="J1927">
        <v>-203.10380000000001</v>
      </c>
      <c r="K1927">
        <v>1.099289</v>
      </c>
      <c r="L1927">
        <v>286.34230000000002</v>
      </c>
      <c r="M1927">
        <v>-0.9160277</v>
      </c>
      <c r="N1927">
        <v>-9.032577E-3</v>
      </c>
      <c r="O1927">
        <v>-0.40101330000000002</v>
      </c>
      <c r="P1927">
        <v>-0.90138879999999999</v>
      </c>
      <c r="Q1927">
        <v>0.35966009999999998</v>
      </c>
      <c r="R1927">
        <v>-0.24112810000000001</v>
      </c>
      <c r="S1927">
        <v>-3.4489899999999998</v>
      </c>
      <c r="T1927">
        <v>-0.4782534</v>
      </c>
      <c r="U1927">
        <v>-0.29122920000000002</v>
      </c>
      <c r="V1927">
        <v>0.1502627</v>
      </c>
      <c r="W1927">
        <v>0.36413630000000002</v>
      </c>
      <c r="X1927">
        <v>0.91914410000000002</v>
      </c>
      <c r="Y1927">
        <v>0.31623000000000001</v>
      </c>
      <c r="Z1927">
        <v>7.3325630000000003E-2</v>
      </c>
      <c r="AA1927">
        <v>0.94584460000000004</v>
      </c>
      <c r="AB1927">
        <v>25</v>
      </c>
      <c r="AC1927">
        <v>-7.6736999999999904</v>
      </c>
      <c r="AD1927">
        <v>-1.099290123042</v>
      </c>
      <c r="AE1927">
        <v>-0.57240000000001601</v>
      </c>
      <c r="AF1927">
        <v>2.5019649818404002</v>
      </c>
      <c r="AG1927">
        <v>-1.099290123042</v>
      </c>
      <c r="AH1927">
        <v>7.1139742972687303</v>
      </c>
      <c r="AI1927">
        <v>98.293750741490697</v>
      </c>
      <c r="AJ1927">
        <v>70.623368460993504</v>
      </c>
      <c r="AK1927">
        <v>7.6208200245887898</v>
      </c>
      <c r="AL1927">
        <v>68.645561208179998</v>
      </c>
      <c r="AM1927">
        <v>80.7153548758331</v>
      </c>
      <c r="AN1927">
        <v>1.0000000002768901</v>
      </c>
    </row>
    <row r="1928" spans="1:40" x14ac:dyDescent="0.25">
      <c r="A1928" t="str">
        <f>"20190304164853413"</f>
        <v>20190304164853413</v>
      </c>
      <c r="B1928" t="str">
        <f>"1551689333407754"</f>
        <v>1551689333407754</v>
      </c>
      <c r="C1928" t="s">
        <v>40</v>
      </c>
      <c r="D1928">
        <v>4.6028479999999998</v>
      </c>
      <c r="E1928">
        <v>0.58865140000000005</v>
      </c>
      <c r="F1928" t="s">
        <v>46</v>
      </c>
      <c r="G1928">
        <v>-211.13560000000001</v>
      </c>
      <c r="H1928" s="1">
        <v>-9.3249909999999998E-7</v>
      </c>
      <c r="I1928">
        <v>285.77300000000002</v>
      </c>
      <c r="J1928">
        <v>-203.36279999999999</v>
      </c>
      <c r="K1928">
        <v>1.0992919999999999</v>
      </c>
      <c r="L1928">
        <v>286.24799999999999</v>
      </c>
      <c r="M1928">
        <v>-0.92261579999999999</v>
      </c>
      <c r="N1928">
        <v>-8.9958399999999997E-3</v>
      </c>
      <c r="O1928">
        <v>-0.3856155</v>
      </c>
      <c r="P1928">
        <v>-0.90432380000000001</v>
      </c>
      <c r="Q1928">
        <v>0.3603847</v>
      </c>
      <c r="R1928">
        <v>-0.22873950000000001</v>
      </c>
      <c r="S1928">
        <v>-3.4512480000000001</v>
      </c>
      <c r="T1928">
        <v>-0.47236349999999999</v>
      </c>
      <c r="U1928">
        <v>-0.24459839999999999</v>
      </c>
      <c r="V1928">
        <v>0.1473642</v>
      </c>
      <c r="W1928">
        <v>0.36490939999999999</v>
      </c>
      <c r="X1928">
        <v>0.91930679999999998</v>
      </c>
      <c r="Y1928">
        <v>0.31341140000000001</v>
      </c>
      <c r="Z1928">
        <v>7.0441110000000001E-2</v>
      </c>
      <c r="AA1928">
        <v>0.94700119999999999</v>
      </c>
      <c r="AB1928">
        <v>25</v>
      </c>
      <c r="AC1928">
        <v>-7.7728000000000099</v>
      </c>
      <c r="AD1928">
        <v>-1.0992929324991001</v>
      </c>
      <c r="AE1928">
        <v>-0.47500000000002202</v>
      </c>
      <c r="AF1928">
        <v>2.50917147050427</v>
      </c>
      <c r="AG1928">
        <v>-1.0992929324991001</v>
      </c>
      <c r="AH1928">
        <v>7.2110737439372601</v>
      </c>
      <c r="AI1928">
        <v>98.193022600016306</v>
      </c>
      <c r="AJ1928">
        <v>70.814103383235803</v>
      </c>
      <c r="AK1928">
        <v>7.7138817051038799</v>
      </c>
      <c r="AL1928">
        <v>68.597993655189796</v>
      </c>
      <c r="AM1928">
        <v>80.893005499788401</v>
      </c>
      <c r="AN1928">
        <v>1.00000003508811</v>
      </c>
    </row>
    <row r="1929" spans="1:40" x14ac:dyDescent="0.25">
      <c r="A1929" t="str">
        <f>"20190304164853434"</f>
        <v>20190304164853434</v>
      </c>
      <c r="B1929" t="str">
        <f>"1551689333428250"</f>
        <v>1551689333428250</v>
      </c>
      <c r="C1929" t="s">
        <v>40</v>
      </c>
      <c r="D1929">
        <v>4.6213540000000002</v>
      </c>
      <c r="E1929">
        <v>0.58829980000000004</v>
      </c>
      <c r="F1929" t="s">
        <v>46</v>
      </c>
      <c r="G1929">
        <v>-211.56229999999999</v>
      </c>
      <c r="H1929" s="1">
        <v>-7.0542679999999997E-7</v>
      </c>
      <c r="I1929">
        <v>285.76960000000003</v>
      </c>
      <c r="J1929">
        <v>-203.5984</v>
      </c>
      <c r="K1929">
        <v>1.0993269999999999</v>
      </c>
      <c r="L1929">
        <v>286.16649999999998</v>
      </c>
      <c r="M1929">
        <v>-0.92829110000000004</v>
      </c>
      <c r="N1929">
        <v>-8.9535689999999998E-3</v>
      </c>
      <c r="O1929">
        <v>-0.37174679999999999</v>
      </c>
      <c r="P1929">
        <v>-0.90672010000000003</v>
      </c>
      <c r="Q1929">
        <v>0.36110599999999998</v>
      </c>
      <c r="R1929">
        <v>-0.2178563</v>
      </c>
      <c r="S1929">
        <v>-3.4508510000000001</v>
      </c>
      <c r="T1929">
        <v>-0.46265339999999999</v>
      </c>
      <c r="U1929">
        <v>-0.20135500000000001</v>
      </c>
      <c r="V1929">
        <v>0.14450399999999999</v>
      </c>
      <c r="W1929">
        <v>0.36568079999999997</v>
      </c>
      <c r="X1929">
        <v>0.9194542</v>
      </c>
      <c r="Y1929">
        <v>0.31136730000000001</v>
      </c>
      <c r="Z1929">
        <v>6.7299410000000004E-2</v>
      </c>
      <c r="AA1929">
        <v>0.94790359999999996</v>
      </c>
      <c r="AB1929">
        <v>26</v>
      </c>
      <c r="AC1929">
        <v>-7.96389999999999</v>
      </c>
      <c r="AD1929">
        <v>-1.0993277054268</v>
      </c>
      <c r="AE1929">
        <v>-0.39689999999995901</v>
      </c>
      <c r="AF1929">
        <v>2.5438666394160698</v>
      </c>
      <c r="AG1929">
        <v>-1.0993277054268</v>
      </c>
      <c r="AH1929">
        <v>7.4000094318930003</v>
      </c>
      <c r="AI1929">
        <v>97.997047022259693</v>
      </c>
      <c r="AJ1929">
        <v>71.028806982773105</v>
      </c>
      <c r="AK1929">
        <v>7.9018933474932602</v>
      </c>
      <c r="AL1929">
        <v>68.550512342531107</v>
      </c>
      <c r="AM1929">
        <v>81.068294587534794</v>
      </c>
      <c r="AN1929">
        <v>0.99999993970113799</v>
      </c>
    </row>
    <row r="1930" spans="1:40" x14ac:dyDescent="0.25">
      <c r="A1930" t="str">
        <f>"20190304164853456"</f>
        <v>20190304164853456</v>
      </c>
      <c r="B1930" t="str">
        <f>"1551689333447770"</f>
        <v>1551689333447770</v>
      </c>
      <c r="C1930" t="s">
        <v>40</v>
      </c>
      <c r="D1930">
        <v>4.5821889999999996</v>
      </c>
      <c r="E1930">
        <v>0.58788479999999999</v>
      </c>
      <c r="F1930" t="s">
        <v>46</v>
      </c>
      <c r="G1930">
        <v>-211.9666</v>
      </c>
      <c r="H1930" s="1">
        <v>-4.9026639999999997E-7</v>
      </c>
      <c r="I1930">
        <v>285.77569999999997</v>
      </c>
      <c r="J1930">
        <v>-203.8391</v>
      </c>
      <c r="K1930">
        <v>1.099378</v>
      </c>
      <c r="L1930">
        <v>286.08699999999999</v>
      </c>
      <c r="M1930">
        <v>-0.93378450000000002</v>
      </c>
      <c r="N1930">
        <v>-8.8986410000000005E-3</v>
      </c>
      <c r="O1930">
        <v>-0.35772510000000002</v>
      </c>
      <c r="P1930">
        <v>-0.90886469999999997</v>
      </c>
      <c r="Q1930">
        <v>0.3619231</v>
      </c>
      <c r="R1930">
        <v>-0.20730870000000001</v>
      </c>
      <c r="S1930">
        <v>-3.4504389999999998</v>
      </c>
      <c r="T1930">
        <v>-0.4532813</v>
      </c>
      <c r="U1930">
        <v>-0.16113279999999999</v>
      </c>
      <c r="V1930">
        <v>0.14117579999999999</v>
      </c>
      <c r="W1930">
        <v>0.36655670000000001</v>
      </c>
      <c r="X1930">
        <v>0.91962250000000001</v>
      </c>
      <c r="Y1930">
        <v>0.30843290000000001</v>
      </c>
      <c r="Z1930">
        <v>6.4178910000000006E-2</v>
      </c>
      <c r="AA1930">
        <v>0.94907859999999999</v>
      </c>
      <c r="AB1930">
        <v>26</v>
      </c>
      <c r="AC1930">
        <v>-8.1274999999999906</v>
      </c>
      <c r="AD1930">
        <v>-1.0993784902664001</v>
      </c>
      <c r="AE1930">
        <v>-0.31130000000001601</v>
      </c>
      <c r="AF1930">
        <v>2.56987515045931</v>
      </c>
      <c r="AG1930">
        <v>-1.0993784902664001</v>
      </c>
      <c r="AH1930">
        <v>7.5628240625090601</v>
      </c>
      <c r="AI1930">
        <v>97.836776166880497</v>
      </c>
      <c r="AJ1930">
        <v>71.232052141502507</v>
      </c>
      <c r="AK1930">
        <v>8.0628282354441101</v>
      </c>
      <c r="AL1930">
        <v>68.496583461956902</v>
      </c>
      <c r="AM1930">
        <v>81.272376605429699</v>
      </c>
      <c r="AN1930">
        <v>0.99999998166338899</v>
      </c>
    </row>
    <row r="1931" spans="1:40" x14ac:dyDescent="0.25">
      <c r="A1931" t="str">
        <f>"20190304164853479"</f>
        <v>20190304164853479</v>
      </c>
      <c r="B1931" t="str">
        <f>"1551689333468266"</f>
        <v>1551689333468266</v>
      </c>
      <c r="C1931" t="s">
        <v>40</v>
      </c>
      <c r="D1931">
        <v>4.4842129999999996</v>
      </c>
      <c r="E1931">
        <v>0.58722010000000002</v>
      </c>
      <c r="F1931" t="s">
        <v>46</v>
      </c>
      <c r="G1931">
        <v>-212.38839999999999</v>
      </c>
      <c r="H1931" s="1">
        <v>-2.6581179999999999E-7</v>
      </c>
      <c r="I1931">
        <v>285.78710000000001</v>
      </c>
      <c r="J1931">
        <v>-204.09829999999999</v>
      </c>
      <c r="K1931">
        <v>1.0994459999999999</v>
      </c>
      <c r="L1931">
        <v>286.00580000000002</v>
      </c>
      <c r="M1931">
        <v>-0.93935420000000003</v>
      </c>
      <c r="N1931">
        <v>-8.8268459999999993E-3</v>
      </c>
      <c r="O1931">
        <v>-0.3428348</v>
      </c>
      <c r="P1931">
        <v>-0.91085039999999995</v>
      </c>
      <c r="Q1931">
        <v>0.3630391</v>
      </c>
      <c r="R1931">
        <v>-0.19635240000000001</v>
      </c>
      <c r="S1931">
        <v>-3.449875</v>
      </c>
      <c r="T1931">
        <v>-0.4436311</v>
      </c>
      <c r="U1931">
        <v>-0.12103269999999999</v>
      </c>
      <c r="V1931">
        <v>0.13741249999999999</v>
      </c>
      <c r="W1931">
        <v>0.36773299999999998</v>
      </c>
      <c r="X1931">
        <v>0.91972290000000001</v>
      </c>
      <c r="Y1931">
        <v>0.3046855</v>
      </c>
      <c r="Z1931">
        <v>6.0927769999999999E-2</v>
      </c>
      <c r="AA1931">
        <v>0.95050230000000002</v>
      </c>
      <c r="AB1931">
        <v>26</v>
      </c>
      <c r="AC1931">
        <v>-8.29009999999999</v>
      </c>
      <c r="AD1931">
        <v>-1.0994462658117901</v>
      </c>
      <c r="AE1931">
        <v>-0.218700000000012</v>
      </c>
      <c r="AF1931">
        <v>2.59125625206216</v>
      </c>
      <c r="AG1931">
        <v>-1.0994462658117901</v>
      </c>
      <c r="AH1931">
        <v>7.7268163293068302</v>
      </c>
      <c r="AI1931">
        <v>97.683138491410602</v>
      </c>
      <c r="AJ1931">
        <v>71.460666430447006</v>
      </c>
      <c r="AK1931">
        <v>8.2235686682912501</v>
      </c>
      <c r="AL1931">
        <v>68.424126338034895</v>
      </c>
      <c r="AM1931">
        <v>81.502498891914001</v>
      </c>
      <c r="AN1931">
        <v>0.999999983614829</v>
      </c>
    </row>
    <row r="1932" spans="1:40" x14ac:dyDescent="0.25">
      <c r="A1932" t="str">
        <f>"20190304164853499"</f>
        <v>20190304164853499</v>
      </c>
      <c r="B1932" t="str">
        <f>"1551689333487789"</f>
        <v>1551689333487789</v>
      </c>
      <c r="C1932" t="s">
        <v>40</v>
      </c>
      <c r="D1932">
        <v>4.5946259999999999</v>
      </c>
      <c r="E1932">
        <v>0.58656039999999998</v>
      </c>
      <c r="F1932" t="s">
        <v>46</v>
      </c>
      <c r="G1932">
        <v>-212.8169</v>
      </c>
      <c r="H1932" s="1">
        <v>-3.7755310000000002E-8</v>
      </c>
      <c r="I1932">
        <v>285.8023</v>
      </c>
      <c r="J1932">
        <v>-204.33709999999999</v>
      </c>
      <c r="K1932">
        <v>1.099502</v>
      </c>
      <c r="L1932">
        <v>285.93450000000001</v>
      </c>
      <c r="M1932">
        <v>-0.94419459999999999</v>
      </c>
      <c r="N1932">
        <v>-8.7574260000000004E-3</v>
      </c>
      <c r="O1932">
        <v>-0.3292717</v>
      </c>
      <c r="P1932">
        <v>-0.91254449999999998</v>
      </c>
      <c r="Q1932">
        <v>0.36415419999999998</v>
      </c>
      <c r="R1932">
        <v>-0.18615599999999999</v>
      </c>
      <c r="S1932">
        <v>-3.4496769999999999</v>
      </c>
      <c r="T1932">
        <v>-0.43501590000000001</v>
      </c>
      <c r="U1932">
        <v>-8.0505370000000007E-2</v>
      </c>
      <c r="V1932">
        <v>0.1342536</v>
      </c>
      <c r="W1932">
        <v>0.36888870000000001</v>
      </c>
      <c r="X1932">
        <v>0.91972659999999995</v>
      </c>
      <c r="Y1932">
        <v>0.30243609999999999</v>
      </c>
      <c r="Z1932">
        <v>5.812283E-2</v>
      </c>
      <c r="AA1932">
        <v>0.95139589999999996</v>
      </c>
      <c r="AB1932">
        <v>26</v>
      </c>
      <c r="AC1932">
        <v>-8.4798000000000098</v>
      </c>
      <c r="AD1932">
        <v>-1.09950203775531</v>
      </c>
      <c r="AE1932">
        <v>-0.132200000000011</v>
      </c>
      <c r="AF1932">
        <v>2.62334483367336</v>
      </c>
      <c r="AG1932">
        <v>-1.09950203775531</v>
      </c>
      <c r="AH1932">
        <v>7.9173453281794997</v>
      </c>
      <c r="AI1932">
        <v>97.509694900966593</v>
      </c>
      <c r="AJ1932">
        <v>71.667825344887106</v>
      </c>
      <c r="AK1932">
        <v>8.4127997654190398</v>
      </c>
      <c r="AL1932">
        <v>68.352902246827</v>
      </c>
      <c r="AM1932">
        <v>81.695120224538897</v>
      </c>
      <c r="AN1932">
        <v>0.999999960424104</v>
      </c>
    </row>
    <row r="1933" spans="1:40" x14ac:dyDescent="0.25">
      <c r="A1933" t="str">
        <f>"20190304164853521"</f>
        <v>20190304164853521</v>
      </c>
      <c r="B1933" t="str">
        <f>"1551689333518042"</f>
        <v>1551689333518042</v>
      </c>
      <c r="C1933" t="s">
        <v>40</v>
      </c>
      <c r="D1933">
        <v>4.5625169999999997</v>
      </c>
      <c r="E1933">
        <v>0.58548859999999903</v>
      </c>
      <c r="F1933" t="s">
        <v>46</v>
      </c>
      <c r="G1933">
        <v>-213.18119999999999</v>
      </c>
      <c r="H1933" s="1">
        <v>1.5610659999999999E-7</v>
      </c>
      <c r="I1933">
        <v>285.81740000000002</v>
      </c>
      <c r="J1933">
        <v>-204.59460000000001</v>
      </c>
      <c r="K1933">
        <v>1.0995649999999999</v>
      </c>
      <c r="L1933">
        <v>285.86160000000001</v>
      </c>
      <c r="M1933">
        <v>-0.94910720000000004</v>
      </c>
      <c r="N1933">
        <v>-8.6760710000000005E-3</v>
      </c>
      <c r="O1933">
        <v>-0.3148338</v>
      </c>
      <c r="P1933">
        <v>-0.9142209</v>
      </c>
      <c r="Q1933">
        <v>0.36543100000000001</v>
      </c>
      <c r="R1933">
        <v>-0.17510100000000001</v>
      </c>
      <c r="S1933">
        <v>-3.4493100000000001</v>
      </c>
      <c r="T1933">
        <v>-0.4288189</v>
      </c>
      <c r="U1933">
        <v>-4.5654300000000002E-2</v>
      </c>
      <c r="V1933">
        <v>0.13114719999999999</v>
      </c>
      <c r="W1933">
        <v>0.37019279999999999</v>
      </c>
      <c r="X1933">
        <v>0.91965090000000005</v>
      </c>
      <c r="Y1933">
        <v>0.29777910000000002</v>
      </c>
      <c r="Z1933">
        <v>5.5434339999999999E-2</v>
      </c>
      <c r="AA1933">
        <v>0.95302399999999998</v>
      </c>
      <c r="AB1933">
        <v>26</v>
      </c>
      <c r="AC1933">
        <v>-8.5865999999999705</v>
      </c>
      <c r="AD1933">
        <v>-1.09956484389339</v>
      </c>
      <c r="AE1933">
        <v>-4.4199999999989303E-2</v>
      </c>
      <c r="AF1933">
        <v>2.6185625685332701</v>
      </c>
      <c r="AG1933">
        <v>-1.09956484389339</v>
      </c>
      <c r="AH1933">
        <v>8.0321168158308893</v>
      </c>
      <c r="AI1933">
        <v>97.415590404379401</v>
      </c>
      <c r="AJ1933">
        <v>71.9434352068306</v>
      </c>
      <c r="AK1933">
        <v>8.5194373825038099</v>
      </c>
      <c r="AL1933">
        <v>68.272492610465903</v>
      </c>
      <c r="AM1933">
        <v>81.884032521747201</v>
      </c>
      <c r="AN1933">
        <v>1.00000003755524</v>
      </c>
    </row>
    <row r="1934" spans="1:40" x14ac:dyDescent="0.25">
      <c r="A1934" t="str">
        <f>"20190304164853545"</f>
        <v>20190304164853545</v>
      </c>
      <c r="B1934" t="str">
        <f>"1551689333537562"</f>
        <v>1551689333537562</v>
      </c>
      <c r="C1934" t="s">
        <v>40</v>
      </c>
      <c r="D1934">
        <v>4.4467610000000004</v>
      </c>
      <c r="E1934">
        <v>0.5847559</v>
      </c>
      <c r="F1934" t="s">
        <v>46</v>
      </c>
      <c r="G1934">
        <v>-213.56710000000001</v>
      </c>
      <c r="H1934" s="1">
        <v>3.6143399999999998E-7</v>
      </c>
      <c r="I1934">
        <v>285.83</v>
      </c>
      <c r="J1934">
        <v>-204.86340000000001</v>
      </c>
      <c r="K1934">
        <v>1.0996319999999999</v>
      </c>
      <c r="L1934">
        <v>285.78960000000001</v>
      </c>
      <c r="M1934">
        <v>-0.95390850000000005</v>
      </c>
      <c r="N1934">
        <v>-8.5790869999999905E-3</v>
      </c>
      <c r="O1934">
        <v>-0.2999754</v>
      </c>
      <c r="P1934">
        <v>-0.91597989999999996</v>
      </c>
      <c r="Q1934">
        <v>0.36626049999999999</v>
      </c>
      <c r="R1934">
        <v>-0.16381289999999901</v>
      </c>
      <c r="S1934">
        <v>-3.4480740000000001</v>
      </c>
      <c r="T1934">
        <v>-0.42255680000000001</v>
      </c>
      <c r="U1934">
        <v>-1.2146000000000001E-2</v>
      </c>
      <c r="V1934">
        <v>0.12796759999999999</v>
      </c>
      <c r="W1934">
        <v>0.37103779999999997</v>
      </c>
      <c r="X1934">
        <v>0.91975830000000003</v>
      </c>
      <c r="Y1934">
        <v>0.29239959999999998</v>
      </c>
      <c r="Z1934">
        <v>5.2700200000000003E-2</v>
      </c>
      <c r="AA1934">
        <v>0.954843</v>
      </c>
      <c r="AB1934">
        <v>26</v>
      </c>
      <c r="AC1934">
        <v>-8.7036999999999907</v>
      </c>
      <c r="AD1934">
        <v>-1.0996316385660001</v>
      </c>
      <c r="AE1934">
        <v>4.0399999999976899E-2</v>
      </c>
      <c r="AF1934">
        <v>2.6079045330372801</v>
      </c>
      <c r="AG1934">
        <v>-1.0996316385660001</v>
      </c>
      <c r="AH1934">
        <v>8.1604640850042394</v>
      </c>
      <c r="AI1934">
        <v>97.314260024443698</v>
      </c>
      <c r="AJ1934">
        <v>72.277265597458097</v>
      </c>
      <c r="AK1934">
        <v>8.6373334934235295</v>
      </c>
      <c r="AL1934">
        <v>68.220365648011096</v>
      </c>
      <c r="AM1934">
        <v>82.079185064157301</v>
      </c>
      <c r="AN1934">
        <v>1.0000000430487399</v>
      </c>
    </row>
    <row r="1935" spans="1:40" x14ac:dyDescent="0.25">
      <c r="A1935" t="str">
        <f>"20190304164853566"</f>
        <v>20190304164853566</v>
      </c>
      <c r="B1935" t="str">
        <f>"1551689333558058"</f>
        <v>1551689333558058</v>
      </c>
      <c r="C1935" t="s">
        <v>40</v>
      </c>
      <c r="D1935">
        <v>4.4321469999999996</v>
      </c>
      <c r="E1935">
        <v>0.58410359999999995</v>
      </c>
      <c r="F1935" t="s">
        <v>46</v>
      </c>
      <c r="G1935">
        <v>-213.90620000000001</v>
      </c>
      <c r="H1935" s="1">
        <v>5.4190469999999995E-7</v>
      </c>
      <c r="I1935">
        <v>285.85140000000001</v>
      </c>
      <c r="J1935">
        <v>-205.1182</v>
      </c>
      <c r="K1935">
        <v>1.099702</v>
      </c>
      <c r="L1935">
        <v>285.72519999999997</v>
      </c>
      <c r="M1935">
        <v>-0.95816230000000002</v>
      </c>
      <c r="N1935">
        <v>-8.4688369999999999E-3</v>
      </c>
      <c r="O1935">
        <v>-0.28610000000000002</v>
      </c>
      <c r="P1935">
        <v>-0.91707490000000003</v>
      </c>
      <c r="Q1935">
        <v>0.36737069999999999</v>
      </c>
      <c r="R1935">
        <v>-0.15495880000000001</v>
      </c>
      <c r="S1935">
        <v>-3.4469759999999998</v>
      </c>
      <c r="T1935">
        <v>-0.41916179999999997</v>
      </c>
      <c r="U1935">
        <v>2.3559569999999998E-2</v>
      </c>
      <c r="V1935">
        <v>0.12331490000000001</v>
      </c>
      <c r="W1935">
        <v>0.3721874</v>
      </c>
      <c r="X1935">
        <v>0.91992929999999995</v>
      </c>
      <c r="Y1935">
        <v>0.28859980000000002</v>
      </c>
      <c r="Z1935">
        <v>5.0569240000000001E-2</v>
      </c>
      <c r="AA1935">
        <v>0.95611349999999995</v>
      </c>
      <c r="AB1935">
        <v>26</v>
      </c>
      <c r="AC1935">
        <v>-8.7880000000000091</v>
      </c>
      <c r="AD1935">
        <v>-1.0997014580953</v>
      </c>
      <c r="AE1935">
        <v>0.126200000000039</v>
      </c>
      <c r="AF1935">
        <v>2.59463988411721</v>
      </c>
      <c r="AG1935">
        <v>-1.0997014580953</v>
      </c>
      <c r="AH1935">
        <v>8.2552810449801104</v>
      </c>
      <c r="AI1935">
        <v>97.242482925948295</v>
      </c>
      <c r="AJ1935">
        <v>72.552034740433797</v>
      </c>
      <c r="AK1935">
        <v>8.7230249659620096</v>
      </c>
      <c r="AL1935">
        <v>68.149416031414802</v>
      </c>
      <c r="AM1935">
        <v>82.365114970119706</v>
      </c>
      <c r="AN1935">
        <v>0.99999997113962902</v>
      </c>
    </row>
    <row r="1936" spans="1:40" x14ac:dyDescent="0.25">
      <c r="A1936" t="str">
        <f>"20190304164853591"</f>
        <v>20190304164853591</v>
      </c>
      <c r="B1936" t="str">
        <f>"1551689333588314"</f>
        <v>1551689333588314</v>
      </c>
      <c r="C1936" t="s">
        <v>40</v>
      </c>
      <c r="D1936">
        <v>4.4596689999999999</v>
      </c>
      <c r="E1936">
        <v>0.58293689999999998</v>
      </c>
      <c r="F1936" t="s">
        <v>46</v>
      </c>
      <c r="G1936">
        <v>-214.26419999999999</v>
      </c>
      <c r="H1936" s="1">
        <v>7.3239610000000001E-7</v>
      </c>
      <c r="I1936">
        <v>285.86250000000001</v>
      </c>
      <c r="J1936">
        <v>-205.40350000000001</v>
      </c>
      <c r="K1936">
        <v>1.0997760000000001</v>
      </c>
      <c r="L1936">
        <v>285.65719999999999</v>
      </c>
      <c r="M1936">
        <v>-0.96259600000000001</v>
      </c>
      <c r="N1936">
        <v>-8.3241010000000004E-3</v>
      </c>
      <c r="O1936">
        <v>-0.27081309999999997</v>
      </c>
      <c r="P1936">
        <v>-0.91791979999999995</v>
      </c>
      <c r="Q1936">
        <v>0.3689712</v>
      </c>
      <c r="R1936">
        <v>-0.1458894</v>
      </c>
      <c r="S1936">
        <v>-3.445999</v>
      </c>
      <c r="T1936">
        <v>-0.4143442</v>
      </c>
      <c r="U1936">
        <v>5.1727290000000002E-2</v>
      </c>
      <c r="V1936">
        <v>0.11752170000000001</v>
      </c>
      <c r="W1936">
        <v>0.3738262</v>
      </c>
      <c r="X1936">
        <v>0.92002309999999998</v>
      </c>
      <c r="Y1936">
        <v>0.28141880000000002</v>
      </c>
      <c r="Z1936">
        <v>4.7916189999999997E-2</v>
      </c>
      <c r="AA1936">
        <v>0.95838800000000002</v>
      </c>
      <c r="AB1936">
        <v>26</v>
      </c>
      <c r="AC1936">
        <v>-8.86069999999998</v>
      </c>
      <c r="AD1936">
        <v>-1.0997752676038901</v>
      </c>
      <c r="AE1936">
        <v>0.20530000000002199</v>
      </c>
      <c r="AF1936">
        <v>2.5579199369330001</v>
      </c>
      <c r="AG1936">
        <v>-1.0997752676038901</v>
      </c>
      <c r="AH1936">
        <v>8.3454736374859095</v>
      </c>
      <c r="AI1936">
        <v>97.181174088884902</v>
      </c>
      <c r="AJ1936">
        <v>72.959495366218505</v>
      </c>
      <c r="AK1936">
        <v>8.7976923267959801</v>
      </c>
      <c r="AL1936">
        <v>68.048215242492901</v>
      </c>
      <c r="AM1936">
        <v>82.720586602955805</v>
      </c>
      <c r="AN1936">
        <v>0.99999994115546798</v>
      </c>
    </row>
    <row r="1937" spans="1:40" x14ac:dyDescent="0.25">
      <c r="A1937" t="str">
        <f>"20190304164853613"</f>
        <v>20190304164853613</v>
      </c>
      <c r="B1937" t="str">
        <f>"1551689333607834"</f>
        <v>1551689333607834</v>
      </c>
      <c r="C1937" t="s">
        <v>40</v>
      </c>
      <c r="D1937">
        <v>4.426628</v>
      </c>
      <c r="E1937">
        <v>0.58212249999999999</v>
      </c>
      <c r="F1937" t="s">
        <v>46</v>
      </c>
      <c r="G1937">
        <v>-214.71340000000001</v>
      </c>
      <c r="H1937" s="1">
        <v>9.714694000000001E-7</v>
      </c>
      <c r="I1937">
        <v>285.87169999999998</v>
      </c>
      <c r="J1937">
        <v>-205.6635</v>
      </c>
      <c r="K1937">
        <v>1.09985</v>
      </c>
      <c r="L1937">
        <v>285.59910000000002</v>
      </c>
      <c r="M1937">
        <v>-0.96634520000000002</v>
      </c>
      <c r="N1937">
        <v>-8.1777569999999904E-3</v>
      </c>
      <c r="O1937">
        <v>-0.25711909999999999</v>
      </c>
      <c r="P1937">
        <v>-0.91808650000000003</v>
      </c>
      <c r="Q1937">
        <v>0.37117840000000002</v>
      </c>
      <c r="R1937">
        <v>-0.1390834</v>
      </c>
      <c r="S1937">
        <v>-3.4444270000000001</v>
      </c>
      <c r="T1937">
        <v>-0.40688800000000003</v>
      </c>
      <c r="U1937">
        <v>7.9376219999999997E-2</v>
      </c>
      <c r="V1937">
        <v>0.1109947</v>
      </c>
      <c r="W1937">
        <v>0.37608380000000002</v>
      </c>
      <c r="X1937">
        <v>0.91991369999999895</v>
      </c>
      <c r="Y1937">
        <v>0.27575309999999997</v>
      </c>
      <c r="Z1937">
        <v>4.5275370000000002E-2</v>
      </c>
      <c r="AA1937">
        <v>0.96016159999999995</v>
      </c>
      <c r="AB1937">
        <v>26</v>
      </c>
      <c r="AC1937">
        <v>-9.0498999999999992</v>
      </c>
      <c r="AD1937">
        <v>-1.0998490285306</v>
      </c>
      <c r="AE1937">
        <v>0.27259999999995399</v>
      </c>
      <c r="AF1937">
        <v>2.5527445727579399</v>
      </c>
      <c r="AG1937">
        <v>-1.0998490285306</v>
      </c>
      <c r="AH1937">
        <v>8.5493670616055404</v>
      </c>
      <c r="AI1937">
        <v>97.0273480713537</v>
      </c>
      <c r="AJ1937">
        <v>73.374968361640796</v>
      </c>
      <c r="AK1937">
        <v>8.9898748541551203</v>
      </c>
      <c r="AL1937">
        <v>67.908686597712304</v>
      </c>
      <c r="AM1937">
        <v>83.120079221240502</v>
      </c>
      <c r="AN1937">
        <v>1.0000000317491</v>
      </c>
    </row>
    <row r="1938" spans="1:40" x14ac:dyDescent="0.25">
      <c r="A1938" t="str">
        <f>"20190304164853635"</f>
        <v>20190304164853635</v>
      </c>
      <c r="B1938" t="str">
        <f>"1551689333628330"</f>
        <v>1551689333628330</v>
      </c>
      <c r="C1938" t="s">
        <v>40</v>
      </c>
      <c r="D1938">
        <v>4.4247839999999998</v>
      </c>
      <c r="E1938">
        <v>0.58131119999999903</v>
      </c>
      <c r="F1938" t="s">
        <v>46</v>
      </c>
      <c r="G1938">
        <v>-215.19399999999999</v>
      </c>
      <c r="H1938" s="1">
        <v>1.227206E-6</v>
      </c>
      <c r="I1938">
        <v>285.87790000000001</v>
      </c>
      <c r="J1938">
        <v>-205.922</v>
      </c>
      <c r="K1938">
        <v>1.099933</v>
      </c>
      <c r="L1938">
        <v>285.54469999999998</v>
      </c>
      <c r="M1938">
        <v>-0.96981079999999997</v>
      </c>
      <c r="N1938">
        <v>-8.0238150000000001E-3</v>
      </c>
      <c r="O1938">
        <v>-0.24372659999999999</v>
      </c>
      <c r="P1938">
        <v>-0.91821169999999996</v>
      </c>
      <c r="Q1938">
        <v>0.37314330000000001</v>
      </c>
      <c r="R1938">
        <v>-0.13285749999999999</v>
      </c>
      <c r="S1938">
        <v>-3.4436040000000001</v>
      </c>
      <c r="T1938">
        <v>-0.39740049999999999</v>
      </c>
      <c r="U1938">
        <v>0.10073849999999999</v>
      </c>
      <c r="V1938">
        <v>0.1042448</v>
      </c>
      <c r="W1938">
        <v>0.37809579999999998</v>
      </c>
      <c r="X1938">
        <v>0.91987850000000004</v>
      </c>
      <c r="Y1938">
        <v>0.26870440000000001</v>
      </c>
      <c r="Z1938">
        <v>4.240704E-2</v>
      </c>
      <c r="AA1938">
        <v>0.9622887</v>
      </c>
      <c r="AB1938">
        <v>26</v>
      </c>
      <c r="AC1938">
        <v>-9.2720000000000198</v>
      </c>
      <c r="AD1938">
        <v>-1.0999317727939999</v>
      </c>
      <c r="AE1938">
        <v>0.33320000000003303</v>
      </c>
      <c r="AF1938">
        <v>2.54725598224696</v>
      </c>
      <c r="AG1938">
        <v>-1.0999317727939999</v>
      </c>
      <c r="AH1938">
        <v>8.7876542081820794</v>
      </c>
      <c r="AI1938">
        <v>96.855148791005504</v>
      </c>
      <c r="AJ1938">
        <v>73.8348402256523</v>
      </c>
      <c r="AK1938">
        <v>9.2152715329758497</v>
      </c>
      <c r="AL1938">
        <v>67.784216540905405</v>
      </c>
      <c r="AM1938">
        <v>83.534565817082793</v>
      </c>
      <c r="AN1938">
        <v>0.99999993353346195</v>
      </c>
    </row>
    <row r="1939" spans="1:40" x14ac:dyDescent="0.25">
      <c r="A1939" t="str">
        <f>"20190304164853657"</f>
        <v>20190304164853657</v>
      </c>
      <c r="B1939" t="str">
        <f>"1551689333647850"</f>
        <v>1551689333647850</v>
      </c>
      <c r="C1939" t="s">
        <v>40</v>
      </c>
      <c r="D1939">
        <v>4.3827030000000002</v>
      </c>
      <c r="E1939">
        <v>0.58050100000000004</v>
      </c>
      <c r="F1939" t="s">
        <v>46</v>
      </c>
      <c r="G1939">
        <v>-215.66</v>
      </c>
      <c r="H1939" s="1">
        <v>1.475197E-6</v>
      </c>
      <c r="I1939">
        <v>285.88240000000002</v>
      </c>
      <c r="J1939">
        <v>-206.18879999999999</v>
      </c>
      <c r="K1939">
        <v>1.1000179999999999</v>
      </c>
      <c r="L1939">
        <v>285.49239999999998</v>
      </c>
      <c r="M1939">
        <v>-0.9731185</v>
      </c>
      <c r="N1939">
        <v>-7.8641939999999997E-3</v>
      </c>
      <c r="O1939">
        <v>-0.2301704</v>
      </c>
      <c r="P1939">
        <v>-0.91888709999999996</v>
      </c>
      <c r="Q1939">
        <v>0.37349690000000002</v>
      </c>
      <c r="R1939">
        <v>-0.12707060000000001</v>
      </c>
      <c r="S1939">
        <v>-3.4425050000000001</v>
      </c>
      <c r="T1939">
        <v>-0.38884000000000002</v>
      </c>
      <c r="U1939">
        <v>0.11935419999999999</v>
      </c>
      <c r="V1939">
        <v>9.7057950000000004E-2</v>
      </c>
      <c r="W1939">
        <v>0.37850450000000002</v>
      </c>
      <c r="X1939">
        <v>0.9204966</v>
      </c>
      <c r="Y1939">
        <v>0.26073659999999999</v>
      </c>
      <c r="Z1939">
        <v>3.9645890000000003E-2</v>
      </c>
      <c r="AA1939">
        <v>0.9645956</v>
      </c>
      <c r="AB1939">
        <v>27</v>
      </c>
      <c r="AC1939">
        <v>-9.4712000000000103</v>
      </c>
      <c r="AD1939">
        <v>-1.1000165248030001</v>
      </c>
      <c r="AE1939">
        <v>0.39000000000004298</v>
      </c>
      <c r="AF1939">
        <v>2.52557492888443</v>
      </c>
      <c r="AG1939">
        <v>-1.1000165248030001</v>
      </c>
      <c r="AH1939">
        <v>9.0058397410569597</v>
      </c>
      <c r="AI1939">
        <v>96.707611501517803</v>
      </c>
      <c r="AJ1939">
        <v>74.334513147183202</v>
      </c>
      <c r="AK1939">
        <v>9.4177340436991592</v>
      </c>
      <c r="AL1939">
        <v>67.758920074931495</v>
      </c>
      <c r="AM1939">
        <v>83.980924419978507</v>
      </c>
      <c r="AN1939">
        <v>0.999999946395004</v>
      </c>
    </row>
    <row r="1940" spans="1:40" x14ac:dyDescent="0.25">
      <c r="A1940" t="str">
        <f>"20190304164853680"</f>
        <v>20190304164853680</v>
      </c>
      <c r="B1940" t="str">
        <f>"1551689333668346"</f>
        <v>1551689333668346</v>
      </c>
      <c r="C1940" t="s">
        <v>40</v>
      </c>
      <c r="D1940">
        <v>4.3430669999999996</v>
      </c>
      <c r="E1940">
        <v>0.54640610000000001</v>
      </c>
      <c r="F1940" t="s">
        <v>46</v>
      </c>
      <c r="G1940">
        <v>-215.98410000000001</v>
      </c>
      <c r="H1940" s="1">
        <v>1.6476290000000001E-6</v>
      </c>
      <c r="I1940">
        <v>285.88139999999999</v>
      </c>
      <c r="J1940">
        <v>-206.4631</v>
      </c>
      <c r="K1940">
        <v>1.1001000000000001</v>
      </c>
      <c r="L1940">
        <v>285.44240000000002</v>
      </c>
      <c r="M1940">
        <v>-0.97625399999999996</v>
      </c>
      <c r="N1940">
        <v>-7.7037199999999998E-3</v>
      </c>
      <c r="O1940">
        <v>-0.2164922</v>
      </c>
      <c r="P1940">
        <v>-0.91981259999999998</v>
      </c>
      <c r="Q1940">
        <v>0.37173030000000001</v>
      </c>
      <c r="R1940">
        <v>-0.12554509999999999</v>
      </c>
      <c r="S1940">
        <v>-3.4407649999999999</v>
      </c>
      <c r="T1940">
        <v>-0.38639970000000001</v>
      </c>
      <c r="U1940">
        <v>0.1366272</v>
      </c>
      <c r="V1940">
        <v>8.564244E-2</v>
      </c>
      <c r="W1940">
        <v>0.3768996</v>
      </c>
      <c r="X1940">
        <v>0.9222863</v>
      </c>
      <c r="Y1940">
        <v>0.2522047</v>
      </c>
      <c r="Z1940">
        <v>3.7522800000000002E-2</v>
      </c>
      <c r="AA1940">
        <v>0.96694610000000003</v>
      </c>
      <c r="AB1940">
        <v>27</v>
      </c>
      <c r="AC1940">
        <v>-9.5210000000000097</v>
      </c>
      <c r="AD1940">
        <v>-1.100098352371</v>
      </c>
      <c r="AE1940">
        <v>0.43899999999996397</v>
      </c>
      <c r="AF1940">
        <v>2.45713706910451</v>
      </c>
      <c r="AG1940">
        <v>-1.100098352371</v>
      </c>
      <c r="AH1940">
        <v>9.0791921318675897</v>
      </c>
      <c r="AI1940">
        <v>96.670974752815098</v>
      </c>
      <c r="AJ1940">
        <v>74.856578921584003</v>
      </c>
      <c r="AK1940">
        <v>9.4699244309879997</v>
      </c>
      <c r="AL1940">
        <v>67.858231007697</v>
      </c>
      <c r="AM1940">
        <v>84.694793737482499</v>
      </c>
      <c r="AN1940">
        <v>0.99999997758850101</v>
      </c>
    </row>
    <row r="1941" spans="1:40" x14ac:dyDescent="0.25">
      <c r="A1941" t="str">
        <f>"20190304164853711"</f>
        <v>20190304164853711</v>
      </c>
      <c r="B1941" t="str">
        <f>"1551689333708362"</f>
        <v>1551689333708362</v>
      </c>
      <c r="C1941" t="s">
        <v>40</v>
      </c>
      <c r="D1941">
        <v>4.3018460000000003</v>
      </c>
      <c r="E1941">
        <v>0.5455565</v>
      </c>
      <c r="F1941" t="s">
        <v>41</v>
      </c>
      <c r="G1941">
        <v>-207.38339999999999</v>
      </c>
      <c r="H1941">
        <v>0.99737929999999997</v>
      </c>
      <c r="I1941">
        <v>285.41000000000003</v>
      </c>
      <c r="J1941">
        <v>-206.84620000000001</v>
      </c>
      <c r="K1941">
        <v>1.1001890000000001</v>
      </c>
      <c r="L1941">
        <v>285.3784</v>
      </c>
      <c r="M1941">
        <v>-0.98022290000000001</v>
      </c>
      <c r="N1941">
        <v>-7.49688E-3</v>
      </c>
      <c r="O1941">
        <v>-0.19775519999999999</v>
      </c>
      <c r="P1941">
        <v>-0.92106270000000001</v>
      </c>
      <c r="Q1941">
        <v>0.3699461</v>
      </c>
      <c r="R1941">
        <v>-0.1215878</v>
      </c>
      <c r="S1941">
        <v>-3.3981780000000001</v>
      </c>
      <c r="T1941">
        <v>-0.37872309999999998</v>
      </c>
      <c r="U1941">
        <v>-0.1203308</v>
      </c>
      <c r="V1941">
        <v>7.1886469999999994E-2</v>
      </c>
      <c r="W1941">
        <v>0.37528519999999999</v>
      </c>
      <c r="X1941">
        <v>0.92411759999999998</v>
      </c>
      <c r="Y1941">
        <v>0.1608386</v>
      </c>
      <c r="Z1941">
        <v>2.9886530000000001E-2</v>
      </c>
      <c r="AA1941">
        <v>0.98652819999999997</v>
      </c>
      <c r="AB1941">
        <v>27</v>
      </c>
      <c r="AC1941">
        <v>-0.53719999999998402</v>
      </c>
      <c r="AD1941">
        <v>-0.102809699999999</v>
      </c>
      <c r="AE1941">
        <v>3.1600000000025802E-2</v>
      </c>
      <c r="AF1941">
        <v>0.13238103266634599</v>
      </c>
      <c r="AG1941">
        <v>-0.102809699999999</v>
      </c>
      <c r="AH1941">
        <v>0.50201746301389805</v>
      </c>
      <c r="AI1941">
        <v>101.201019161339</v>
      </c>
      <c r="AJ1941">
        <v>75.227496135868293</v>
      </c>
      <c r="AK1941">
        <v>0.52925996012811005</v>
      </c>
      <c r="AL1941">
        <v>67.958058789286696</v>
      </c>
      <c r="AM1941">
        <v>85.551958404438807</v>
      </c>
      <c r="AN1941">
        <v>0.99999999226892999</v>
      </c>
    </row>
    <row r="1942" spans="1:40" x14ac:dyDescent="0.25">
      <c r="A1942" t="str">
        <f>"20190304164853734"</f>
        <v>20190304164853734</v>
      </c>
      <c r="B1942" t="str">
        <f>"1551689333727547"</f>
        <v>1551689333727547</v>
      </c>
      <c r="C1942" t="s">
        <v>40</v>
      </c>
      <c r="D1942">
        <v>4.2887279999999999</v>
      </c>
      <c r="E1942">
        <v>0.54506659999999996</v>
      </c>
      <c r="F1942" t="s">
        <v>41</v>
      </c>
      <c r="G1942">
        <v>-207.63050000000001</v>
      </c>
      <c r="H1942">
        <v>1.013598</v>
      </c>
      <c r="I1942">
        <v>285.35390000000001</v>
      </c>
      <c r="J1942">
        <v>-207.13800000000001</v>
      </c>
      <c r="K1942">
        <v>1.1002540000000001</v>
      </c>
      <c r="L1942">
        <v>285.33420000000001</v>
      </c>
      <c r="M1942">
        <v>-0.98293920000000001</v>
      </c>
      <c r="N1942">
        <v>-7.3540659999999898E-3</v>
      </c>
      <c r="O1942">
        <v>-0.1837839</v>
      </c>
      <c r="P1942">
        <v>-0.9219233</v>
      </c>
      <c r="Q1942">
        <v>0.3695833</v>
      </c>
      <c r="R1942">
        <v>-0.1160426</v>
      </c>
      <c r="S1942">
        <v>-3.3936000000000002</v>
      </c>
      <c r="T1942">
        <v>-0.37468679999999999</v>
      </c>
      <c r="U1942">
        <v>-0.1061096</v>
      </c>
      <c r="V1942">
        <v>6.4211260000000006E-2</v>
      </c>
      <c r="W1942">
        <v>0.37498769999999998</v>
      </c>
      <c r="X1942">
        <v>0.92480329999999999</v>
      </c>
      <c r="Y1942">
        <v>0.1510417</v>
      </c>
      <c r="Z1942">
        <v>2.7637700000000001E-2</v>
      </c>
      <c r="AA1942">
        <v>0.98814089999999999</v>
      </c>
      <c r="AB1942">
        <v>27</v>
      </c>
      <c r="AC1942">
        <v>-0.49250000000000599</v>
      </c>
      <c r="AD1942">
        <v>-8.6655999999999997E-2</v>
      </c>
      <c r="AE1942">
        <v>1.97000000000002E-2</v>
      </c>
      <c r="AF1942">
        <v>0.106585933577183</v>
      </c>
      <c r="AG1942">
        <v>-8.6655999999999997E-2</v>
      </c>
      <c r="AH1942">
        <v>0.46608362585624802</v>
      </c>
      <c r="AI1942">
        <v>100.27304651732599</v>
      </c>
      <c r="AJ1942">
        <v>77.118861291214401</v>
      </c>
      <c r="AK1942">
        <v>0.48590510376392099</v>
      </c>
      <c r="AL1942">
        <v>67.976447430911193</v>
      </c>
      <c r="AM1942">
        <v>86.028194089685996</v>
      </c>
      <c r="AN1942">
        <v>1.0000000023764799</v>
      </c>
    </row>
    <row r="1943" spans="1:40" x14ac:dyDescent="0.25">
      <c r="A1943" t="str">
        <f>"20190304164853757"</f>
        <v>20190304164853757</v>
      </c>
      <c r="B1943" t="str">
        <f>"1551689333748044"</f>
        <v>1551689333748044</v>
      </c>
      <c r="C1943" t="s">
        <v>40</v>
      </c>
      <c r="D1943">
        <v>4.2231949999999996</v>
      </c>
      <c r="E1943">
        <v>0.54468059999999996</v>
      </c>
      <c r="F1943" t="s">
        <v>41</v>
      </c>
      <c r="G1943">
        <v>-207.87719999999999</v>
      </c>
      <c r="H1943">
        <v>1.018683</v>
      </c>
      <c r="I1943">
        <v>285.31459999999998</v>
      </c>
      <c r="J1943">
        <v>-207.4178</v>
      </c>
      <c r="K1943">
        <v>1.1003419999999999</v>
      </c>
      <c r="L1943">
        <v>285.29570000000001</v>
      </c>
      <c r="M1943">
        <v>-0.98529599999999995</v>
      </c>
      <c r="N1943">
        <v>-7.2236560000000002E-3</v>
      </c>
      <c r="O1943">
        <v>-0.170704299999999</v>
      </c>
      <c r="P1943">
        <v>-0.92254559999999997</v>
      </c>
      <c r="Q1943">
        <v>0.36966270000000001</v>
      </c>
      <c r="R1943">
        <v>-0.11072170000000001</v>
      </c>
      <c r="S1943">
        <v>-3.392639</v>
      </c>
      <c r="T1943">
        <v>-0.37404219999999999</v>
      </c>
      <c r="U1943">
        <v>-9.0423580000000003E-2</v>
      </c>
      <c r="V1943">
        <v>5.7135119999999998E-2</v>
      </c>
      <c r="W1943">
        <v>0.37512830000000003</v>
      </c>
      <c r="X1943">
        <v>0.92521039999999999</v>
      </c>
      <c r="Y1943">
        <v>0.14258319999999999</v>
      </c>
      <c r="Z1943">
        <v>2.5796920000000001E-2</v>
      </c>
      <c r="AA1943">
        <v>0.98944659999999995</v>
      </c>
      <c r="AB1943">
        <v>27</v>
      </c>
      <c r="AC1943">
        <v>-0.45939999999998798</v>
      </c>
      <c r="AD1943">
        <v>-8.1658999999999898E-2</v>
      </c>
      <c r="AE1943">
        <v>1.8899999999973702E-2</v>
      </c>
      <c r="AF1943">
        <v>9.4078717295799794E-2</v>
      </c>
      <c r="AG1943">
        <v>-8.1658999999999898E-2</v>
      </c>
      <c r="AH1943">
        <v>0.43568777748083998</v>
      </c>
      <c r="AI1943">
        <v>100.381638865895</v>
      </c>
      <c r="AJ1943">
        <v>77.815116412979094</v>
      </c>
      <c r="AK1943">
        <v>0.453147698631712</v>
      </c>
      <c r="AL1943">
        <v>67.967756612796705</v>
      </c>
      <c r="AM1943">
        <v>86.466263861444602</v>
      </c>
      <c r="AN1943">
        <v>0.99999997383323103</v>
      </c>
    </row>
    <row r="1944" spans="1:40" x14ac:dyDescent="0.25">
      <c r="A1944" t="str">
        <f>"20190304164853780"</f>
        <v>20190304164853780</v>
      </c>
      <c r="B1944" t="str">
        <f>"1551689333767563"</f>
        <v>1551689333767563</v>
      </c>
      <c r="C1944" t="s">
        <v>40</v>
      </c>
      <c r="D1944">
        <v>4.2238550000000004</v>
      </c>
      <c r="E1944">
        <v>0.5444291</v>
      </c>
      <c r="F1944" t="s">
        <v>41</v>
      </c>
      <c r="G1944">
        <v>-208.3646</v>
      </c>
      <c r="H1944">
        <v>0.99630580000000002</v>
      </c>
      <c r="I1944">
        <v>285.27429999999998</v>
      </c>
      <c r="J1944">
        <v>-207.7011</v>
      </c>
      <c r="K1944">
        <v>1.100465</v>
      </c>
      <c r="L1944">
        <v>285.2602</v>
      </c>
      <c r="M1944">
        <v>-0.98744560000000003</v>
      </c>
      <c r="N1944">
        <v>-7.0956999999999904E-3</v>
      </c>
      <c r="O1944">
        <v>-0.15780069999999999</v>
      </c>
      <c r="P1944">
        <v>-0.92306949999999999</v>
      </c>
      <c r="Q1944">
        <v>0.36975019999999997</v>
      </c>
      <c r="R1944">
        <v>-0.105962</v>
      </c>
      <c r="S1944">
        <v>-3.3919069999999998</v>
      </c>
      <c r="T1944">
        <v>-0.37246699999999999</v>
      </c>
      <c r="U1944">
        <v>-7.6690670000000002E-2</v>
      </c>
      <c r="V1944">
        <v>4.965265E-2</v>
      </c>
      <c r="W1944">
        <v>0.37528689999999998</v>
      </c>
      <c r="X1944">
        <v>0.92557780000000001</v>
      </c>
      <c r="Y1944">
        <v>0.133766</v>
      </c>
      <c r="Z1944">
        <v>2.3889000000000001E-2</v>
      </c>
      <c r="AA1944">
        <v>0.99072499999999997</v>
      </c>
      <c r="AB1944">
        <v>27</v>
      </c>
      <c r="AC1944">
        <v>-0.66349999999999898</v>
      </c>
      <c r="AD1944">
        <v>-0.10415919999999899</v>
      </c>
      <c r="AE1944">
        <v>1.4099999999984901E-2</v>
      </c>
      <c r="AF1944">
        <v>0.11577483882197</v>
      </c>
      <c r="AG1944">
        <v>-0.10415919999999899</v>
      </c>
      <c r="AH1944">
        <v>0.63726381076722305</v>
      </c>
      <c r="AI1944">
        <v>99.135810926045494</v>
      </c>
      <c r="AJ1944">
        <v>79.703100496599902</v>
      </c>
      <c r="AK1944">
        <v>0.65601685707187096</v>
      </c>
      <c r="AL1944">
        <v>67.957952804321707</v>
      </c>
      <c r="AM1944">
        <v>86.929309460977294</v>
      </c>
      <c r="AN1944">
        <v>0.999999953408235</v>
      </c>
    </row>
    <row r="1945" spans="1:40" x14ac:dyDescent="0.25">
      <c r="A1945" t="str">
        <f>"20190304164853802"</f>
        <v>20190304164853802</v>
      </c>
      <c r="B1945" t="str">
        <f>"1551689333797820"</f>
        <v>1551689333797820</v>
      </c>
      <c r="C1945" t="s">
        <v>40</v>
      </c>
      <c r="D1945">
        <v>4.1835279999999999</v>
      </c>
      <c r="E1945">
        <v>0.54388059999999905</v>
      </c>
      <c r="F1945" t="s">
        <v>41</v>
      </c>
      <c r="G1945">
        <v>-208.61510000000001</v>
      </c>
      <c r="H1945">
        <v>1.0006619999999999</v>
      </c>
      <c r="I1945">
        <v>285.24380000000002</v>
      </c>
      <c r="J1945">
        <v>-207.98269999999999</v>
      </c>
      <c r="K1945">
        <v>1.1005969999999901</v>
      </c>
      <c r="L1945">
        <v>285.22829999999999</v>
      </c>
      <c r="M1945">
        <v>-0.98936939999999995</v>
      </c>
      <c r="N1945">
        <v>-6.9781629999999999E-3</v>
      </c>
      <c r="O1945">
        <v>-0.14525679999999999</v>
      </c>
      <c r="P1945">
        <v>-0.92369250000000003</v>
      </c>
      <c r="Q1945">
        <v>0.36983379999999999</v>
      </c>
      <c r="R1945">
        <v>-0.1000764</v>
      </c>
      <c r="S1945">
        <v>-3.3913120000000001</v>
      </c>
      <c r="T1945">
        <v>-0.37025330000000001</v>
      </c>
      <c r="U1945">
        <v>-6.1340329999999998E-2</v>
      </c>
      <c r="V1945">
        <v>4.3654779999999997E-2</v>
      </c>
      <c r="W1945">
        <v>0.37541289999999999</v>
      </c>
      <c r="X1945">
        <v>0.92582909999999996</v>
      </c>
      <c r="Y1945">
        <v>0.1257984</v>
      </c>
      <c r="Z1945">
        <v>2.2035820000000001E-2</v>
      </c>
      <c r="AA1945">
        <v>0.991811</v>
      </c>
      <c r="AB1945">
        <v>28</v>
      </c>
      <c r="AC1945">
        <v>-0.63240000000001795</v>
      </c>
      <c r="AD1945">
        <v>-9.9934999999999594E-2</v>
      </c>
      <c r="AE1945">
        <v>1.55000000000313E-2</v>
      </c>
      <c r="AF1945">
        <v>0.104588040176992</v>
      </c>
      <c r="AG1945">
        <v>-9.9934999999999594E-2</v>
      </c>
      <c r="AH1945">
        <v>0.60826059350578898</v>
      </c>
      <c r="AI1945">
        <v>99.197516188155603</v>
      </c>
      <c r="AJ1945">
        <v>80.243617958912495</v>
      </c>
      <c r="AK1945">
        <v>0.62522524899837395</v>
      </c>
      <c r="AL1945">
        <v>67.950166377672303</v>
      </c>
      <c r="AM1945">
        <v>87.300383583898494</v>
      </c>
      <c r="AN1945">
        <v>1.00000005385503</v>
      </c>
    </row>
    <row r="1946" spans="1:40" x14ac:dyDescent="0.25">
      <c r="A1946" t="str">
        <f>"20190304164853827"</f>
        <v>20190304164853827</v>
      </c>
      <c r="B1946" t="str">
        <f>"1551689333818487"</f>
        <v>1551689333818487</v>
      </c>
      <c r="C1946" t="s">
        <v>40</v>
      </c>
      <c r="D1946">
        <v>4.1486980000000004</v>
      </c>
      <c r="E1946">
        <v>0.5402998</v>
      </c>
      <c r="F1946" t="s">
        <v>41</v>
      </c>
      <c r="G1946">
        <v>-208.86709999999999</v>
      </c>
      <c r="H1946">
        <v>1.0048010000000001</v>
      </c>
      <c r="I1946">
        <v>285.21640000000002</v>
      </c>
      <c r="J1946">
        <v>-208.28880000000001</v>
      </c>
      <c r="K1946">
        <v>1.100751</v>
      </c>
      <c r="L1946">
        <v>285.19729999999998</v>
      </c>
      <c r="M1946">
        <v>-0.99122940000000004</v>
      </c>
      <c r="N1946">
        <v>-6.8626009999999899E-3</v>
      </c>
      <c r="O1946">
        <v>-0.13197509999999901</v>
      </c>
      <c r="P1946">
        <v>-0.92451899999999998</v>
      </c>
      <c r="Q1946">
        <v>0.36970229999999998</v>
      </c>
      <c r="R1946">
        <v>-9.2655029999999999E-2</v>
      </c>
      <c r="S1946">
        <v>-3.3896480000000002</v>
      </c>
      <c r="T1946">
        <v>-0.3667455</v>
      </c>
      <c r="U1946">
        <v>-4.6325680000000001E-2</v>
      </c>
      <c r="V1946">
        <v>3.8508010000000002E-2</v>
      </c>
      <c r="W1946">
        <v>0.37530459999999999</v>
      </c>
      <c r="X1946">
        <v>0.92610130000000002</v>
      </c>
      <c r="Y1946">
        <v>0.11702220000000001</v>
      </c>
      <c r="Z1946">
        <v>2.001174E-2</v>
      </c>
      <c r="AA1946">
        <v>0.99292769999999997</v>
      </c>
      <c r="AB1946">
        <v>28</v>
      </c>
      <c r="AC1946">
        <v>-0.57829999999998405</v>
      </c>
      <c r="AD1946">
        <v>-9.5949999999999896E-2</v>
      </c>
      <c r="AE1946">
        <v>1.9100000000037198E-2</v>
      </c>
      <c r="AF1946">
        <v>9.2706614064729603E-2</v>
      </c>
      <c r="AG1946">
        <v>-9.5949999999999896E-2</v>
      </c>
      <c r="AH1946">
        <v>0.55544661982982502</v>
      </c>
      <c r="AI1946">
        <v>99.669590493926506</v>
      </c>
      <c r="AJ1946">
        <v>80.524412353610103</v>
      </c>
      <c r="AK1946">
        <v>0.57124588950094402</v>
      </c>
      <c r="AL1946">
        <v>67.9568600948067</v>
      </c>
      <c r="AM1946">
        <v>87.618968674718403</v>
      </c>
      <c r="AN1946">
        <v>1.0000000137384999</v>
      </c>
    </row>
    <row r="1947" spans="1:40" x14ac:dyDescent="0.25">
      <c r="A1947" t="str">
        <f>"20190304164853847"</f>
        <v>20190304164853847</v>
      </c>
      <c r="B1947" t="str">
        <f>"1551689333838007"</f>
        <v>1551689333838007</v>
      </c>
      <c r="C1947" t="s">
        <v>40</v>
      </c>
      <c r="D1947">
        <v>4.1324509999999997</v>
      </c>
      <c r="E1947">
        <v>0.54009719999999894</v>
      </c>
      <c r="F1947" t="s">
        <v>41</v>
      </c>
      <c r="G1947">
        <v>-209.1241</v>
      </c>
      <c r="H1947">
        <v>1.018297</v>
      </c>
      <c r="I1947">
        <v>285.18549999999999</v>
      </c>
      <c r="J1947">
        <v>-208.54679999999999</v>
      </c>
      <c r="K1947">
        <v>1.1009040000000001</v>
      </c>
      <c r="L1947">
        <v>285.1739</v>
      </c>
      <c r="M1947">
        <v>-0.99261679999999997</v>
      </c>
      <c r="N1947">
        <v>-6.7692899999999999E-3</v>
      </c>
      <c r="O1947">
        <v>-0.1211033</v>
      </c>
      <c r="P1947">
        <v>-0.9250372</v>
      </c>
      <c r="Q1947">
        <v>0.36976429999999999</v>
      </c>
      <c r="R1947">
        <v>-8.7065610000000002E-2</v>
      </c>
      <c r="S1947">
        <v>-3.373291</v>
      </c>
      <c r="T1947">
        <v>-0.33295370000000002</v>
      </c>
      <c r="U1947">
        <v>-4.7821040000000002E-2</v>
      </c>
      <c r="V1947">
        <v>3.3793959999999998E-2</v>
      </c>
      <c r="W1947">
        <v>0.3753957</v>
      </c>
      <c r="X1947">
        <v>0.92624839999999997</v>
      </c>
      <c r="Y1947">
        <v>0.1059654</v>
      </c>
      <c r="Z1947">
        <v>1.6655690000000001E-2</v>
      </c>
      <c r="AA1947">
        <v>0.99423030000000001</v>
      </c>
      <c r="AB1947">
        <v>28</v>
      </c>
      <c r="AC1947">
        <v>-0.57730000000000803</v>
      </c>
      <c r="AD1947">
        <v>-8.2607000000000097E-2</v>
      </c>
      <c r="AE1947">
        <v>1.15999999999871E-2</v>
      </c>
      <c r="AF1947">
        <v>7.9795969745929396E-2</v>
      </c>
      <c r="AG1947">
        <v>-8.2607000000000097E-2</v>
      </c>
      <c r="AH1947">
        <v>0.56018074583837696</v>
      </c>
      <c r="AI1947">
        <v>98.306000481118801</v>
      </c>
      <c r="AJ1947">
        <v>81.8929381522249</v>
      </c>
      <c r="AK1947">
        <v>0.57183370068992401</v>
      </c>
      <c r="AL1947">
        <v>67.951229097532007</v>
      </c>
      <c r="AM1947">
        <v>87.910503459925394</v>
      </c>
      <c r="AN1947">
        <v>1.00000003090676</v>
      </c>
    </row>
    <row r="1948" spans="1:40" x14ac:dyDescent="0.25">
      <c r="A1948" t="str">
        <f>"20190304164853869"</f>
        <v>20190304164853869</v>
      </c>
      <c r="B1948" t="str">
        <f>"1551689333858503"</f>
        <v>1551689333858503</v>
      </c>
      <c r="C1948" t="s">
        <v>40</v>
      </c>
      <c r="D1948">
        <v>4.1179940000000004</v>
      </c>
      <c r="E1948">
        <v>0.5398655</v>
      </c>
      <c r="F1948" t="s">
        <v>41</v>
      </c>
      <c r="G1948">
        <v>-209.37649999999999</v>
      </c>
      <c r="H1948">
        <v>1.0168820000000001</v>
      </c>
      <c r="I1948">
        <v>285.16590000000002</v>
      </c>
      <c r="J1948">
        <v>-208.82239999999999</v>
      </c>
      <c r="K1948">
        <v>1.1010899999999999</v>
      </c>
      <c r="L1948">
        <v>285.15170000000001</v>
      </c>
      <c r="M1948">
        <v>-0.99392659999999999</v>
      </c>
      <c r="N1948">
        <v>-6.6688269999999996E-3</v>
      </c>
      <c r="O1948">
        <v>-0.109842</v>
      </c>
      <c r="P1948">
        <v>-0.92570189999999997</v>
      </c>
      <c r="Q1948">
        <v>0.36962590000000001</v>
      </c>
      <c r="R1948">
        <v>-8.0328170000000004E-2</v>
      </c>
      <c r="S1948">
        <v>-3.3765260000000001</v>
      </c>
      <c r="T1948">
        <v>-0.34156920000000002</v>
      </c>
      <c r="U1948">
        <v>-3.3172609999999998E-2</v>
      </c>
      <c r="V1948">
        <v>2.9851510000000001E-2</v>
      </c>
      <c r="W1948">
        <v>0.37526130000000002</v>
      </c>
      <c r="X1948">
        <v>0.92643830000000005</v>
      </c>
      <c r="Y1948">
        <v>9.9048700000000003E-2</v>
      </c>
      <c r="Z1948">
        <v>1.566093E-2</v>
      </c>
      <c r="AA1948">
        <v>0.99495940000000005</v>
      </c>
      <c r="AB1948">
        <v>28</v>
      </c>
      <c r="AC1948">
        <v>-0.55410000000000503</v>
      </c>
      <c r="AD1948">
        <v>-8.4207999999999797E-2</v>
      </c>
      <c r="AE1948">
        <v>1.42000000000166E-2</v>
      </c>
      <c r="AF1948">
        <v>7.3287374312085998E-2</v>
      </c>
      <c r="AG1948">
        <v>-8.4207999999999797E-2</v>
      </c>
      <c r="AH1948">
        <v>0.53679767261408995</v>
      </c>
      <c r="AI1948">
        <v>98.834742514701901</v>
      </c>
      <c r="AJ1948">
        <v>82.225645169836298</v>
      </c>
      <c r="AK1948">
        <v>0.54828256202569803</v>
      </c>
      <c r="AL1948">
        <v>67.959537234021695</v>
      </c>
      <c r="AM1948">
        <v>88.154465356481793</v>
      </c>
      <c r="AN1948">
        <v>1.00000003981692</v>
      </c>
    </row>
    <row r="1949" spans="1:40" x14ac:dyDescent="0.25">
      <c r="A1949" t="str">
        <f>"20190304164853889"</f>
        <v>20190304164853889</v>
      </c>
      <c r="B1949" t="str">
        <f>"1551689333878027"</f>
        <v>1551689333878027</v>
      </c>
      <c r="C1949" t="s">
        <v>40</v>
      </c>
      <c r="D1949">
        <v>4.116905</v>
      </c>
      <c r="E1949">
        <v>0.53974809999999995</v>
      </c>
      <c r="F1949" t="s">
        <v>41</v>
      </c>
      <c r="G1949">
        <v>-209.63130000000001</v>
      </c>
      <c r="H1949">
        <v>1.0183500000000001</v>
      </c>
      <c r="I1949">
        <v>285.14789999999999</v>
      </c>
      <c r="J1949">
        <v>-209.0848</v>
      </c>
      <c r="K1949">
        <v>1.1012919999999999</v>
      </c>
      <c r="L1949">
        <v>285.13319999999999</v>
      </c>
      <c r="M1949">
        <v>-0.99501629999999996</v>
      </c>
      <c r="N1949">
        <v>-6.5737620000000004E-3</v>
      </c>
      <c r="O1949">
        <v>-9.9495280000000005E-2</v>
      </c>
      <c r="P1949">
        <v>-0.92603809999999998</v>
      </c>
      <c r="Q1949">
        <v>0.3700406</v>
      </c>
      <c r="R1949">
        <v>-7.4318040000000002E-2</v>
      </c>
      <c r="S1949">
        <v>-3.377243</v>
      </c>
      <c r="T1949">
        <v>-0.345306</v>
      </c>
      <c r="U1949">
        <v>-1.6326899999999998E-2</v>
      </c>
      <c r="V1949">
        <v>2.60161E-2</v>
      </c>
      <c r="W1949">
        <v>0.37567850000000003</v>
      </c>
      <c r="X1949">
        <v>0.92638480000000001</v>
      </c>
      <c r="Y1949">
        <v>9.3713130000000006E-2</v>
      </c>
      <c r="Z1949">
        <v>1.456705E-2</v>
      </c>
      <c r="AA1949">
        <v>0.99549259999999995</v>
      </c>
      <c r="AB1949">
        <v>28</v>
      </c>
      <c r="AC1949">
        <v>-0.54650000000000798</v>
      </c>
      <c r="AD1949">
        <v>-8.2941999999999794E-2</v>
      </c>
      <c r="AE1949">
        <v>1.47000000000048E-2</v>
      </c>
      <c r="AF1949">
        <v>6.7449887432366795E-2</v>
      </c>
      <c r="AG1949">
        <v>-8.2941999999999794E-2</v>
      </c>
      <c r="AH1949">
        <v>0.53012353804863999</v>
      </c>
      <c r="AI1949">
        <v>98.822293795894197</v>
      </c>
      <c r="AJ1949">
        <v>82.748973069579193</v>
      </c>
      <c r="AK1949">
        <v>0.54079555126854295</v>
      </c>
      <c r="AL1949">
        <v>67.9337451742133</v>
      </c>
      <c r="AM1949">
        <v>88.391358491712097</v>
      </c>
      <c r="AN1949">
        <v>0.99999998524625</v>
      </c>
    </row>
    <row r="1950" spans="1:40" x14ac:dyDescent="0.25">
      <c r="A1950" t="str">
        <f>"20190304164853913"</f>
        <v>20190304164853913</v>
      </c>
      <c r="B1950" t="str">
        <f>"1551689333908279"</f>
        <v>1551689333908279</v>
      </c>
      <c r="C1950" t="s">
        <v>40</v>
      </c>
      <c r="D1950">
        <v>4.0530609999999996</v>
      </c>
      <c r="E1950">
        <v>0.53923909999999997</v>
      </c>
      <c r="F1950" t="s">
        <v>41</v>
      </c>
      <c r="G1950">
        <v>-209.88740000000001</v>
      </c>
      <c r="H1950">
        <v>1.0195939999999999</v>
      </c>
      <c r="I1950">
        <v>285.13350000000003</v>
      </c>
      <c r="J1950">
        <v>-209.38480000000001</v>
      </c>
      <c r="K1950">
        <v>1.1015459999999999</v>
      </c>
      <c r="L1950">
        <v>285.11470000000003</v>
      </c>
      <c r="M1950">
        <v>-0.99609020000000004</v>
      </c>
      <c r="N1950">
        <v>-6.4663489999999997E-3</v>
      </c>
      <c r="O1950">
        <v>-8.8106190000000001E-2</v>
      </c>
      <c r="P1950">
        <v>-0.92679940000000005</v>
      </c>
      <c r="Q1950">
        <v>0.36939290000000002</v>
      </c>
      <c r="R1950">
        <v>-6.7764870000000005E-2</v>
      </c>
      <c r="S1950">
        <v>-3.3768159999999998</v>
      </c>
      <c r="T1950">
        <v>-0.34327160000000001</v>
      </c>
      <c r="U1950">
        <v>3.9672850000000001E-4</v>
      </c>
      <c r="V1950">
        <v>2.1730659999999999E-2</v>
      </c>
      <c r="W1950">
        <v>0.37503150000000002</v>
      </c>
      <c r="X1950">
        <v>0.92675730000000001</v>
      </c>
      <c r="Y1950">
        <v>8.7348930000000005E-2</v>
      </c>
      <c r="Z1950">
        <v>1.306735E-2</v>
      </c>
      <c r="AA1950">
        <v>0.99609210000000004</v>
      </c>
      <c r="AB1950">
        <v>28</v>
      </c>
      <c r="AC1950">
        <v>-0.50260000000000105</v>
      </c>
      <c r="AD1950">
        <v>-8.1951999999999803E-2</v>
      </c>
      <c r="AE1950">
        <v>1.87999999999988E-2</v>
      </c>
      <c r="AF1950">
        <v>6.1380321367947903E-2</v>
      </c>
      <c r="AG1950">
        <v>-8.1951999999999803E-2</v>
      </c>
      <c r="AH1950">
        <v>0.48608333672892701</v>
      </c>
      <c r="AI1950">
        <v>99.495858010127606</v>
      </c>
      <c r="AJ1950">
        <v>82.803049560255701</v>
      </c>
      <c r="AK1950">
        <v>0.496750122698284</v>
      </c>
      <c r="AL1950">
        <v>67.973739570210398</v>
      </c>
      <c r="AM1950">
        <v>88.656771310297003</v>
      </c>
      <c r="AN1950">
        <v>0.99999997033978705</v>
      </c>
    </row>
    <row r="1951" spans="1:40" x14ac:dyDescent="0.25">
      <c r="A1951" t="str">
        <f>"20190304164853935"</f>
        <v>20190304164853935</v>
      </c>
      <c r="B1951" t="str">
        <f>"1551689333927799"</f>
        <v>1551689333927799</v>
      </c>
      <c r="C1951" t="s">
        <v>40</v>
      </c>
      <c r="D1951">
        <v>4.0445200000000003</v>
      </c>
      <c r="E1951">
        <v>0.53880229999999996</v>
      </c>
      <c r="F1951" t="s">
        <v>41</v>
      </c>
      <c r="G1951">
        <v>-210.14590000000001</v>
      </c>
      <c r="H1951">
        <v>1.0240260000000001</v>
      </c>
      <c r="I1951">
        <v>285.11900000000003</v>
      </c>
      <c r="J1951">
        <v>-209.67609999999999</v>
      </c>
      <c r="K1951">
        <v>1.1018079999999999</v>
      </c>
      <c r="L1951">
        <v>285.09949999999998</v>
      </c>
      <c r="M1951">
        <v>-0.99697029999999998</v>
      </c>
      <c r="N1951">
        <v>-6.3640179999999999E-3</v>
      </c>
      <c r="O1951">
        <v>-7.7524330000000002E-2</v>
      </c>
      <c r="P1951">
        <v>-0.92740319999999998</v>
      </c>
      <c r="Q1951">
        <v>0.368869</v>
      </c>
      <c r="R1951">
        <v>-6.2124190000000003E-2</v>
      </c>
      <c r="S1951">
        <v>-3.3752589999999998</v>
      </c>
      <c r="T1951">
        <v>-0.3435433</v>
      </c>
      <c r="U1951">
        <v>1.876831E-2</v>
      </c>
      <c r="V1951">
        <v>1.7275530000000001E-2</v>
      </c>
      <c r="W1951">
        <v>0.37451030000000002</v>
      </c>
      <c r="X1951">
        <v>0.92706189999999999</v>
      </c>
      <c r="Y1951">
        <v>8.2265260000000007E-2</v>
      </c>
      <c r="Z1951">
        <v>1.181047E-2</v>
      </c>
      <c r="AA1951">
        <v>0.99654050000000005</v>
      </c>
      <c r="AB1951">
        <v>28</v>
      </c>
      <c r="AC1951">
        <v>-0.46980000000001998</v>
      </c>
      <c r="AD1951">
        <v>-7.7781999999999796E-2</v>
      </c>
      <c r="AE1951">
        <v>1.9500000000050401E-2</v>
      </c>
      <c r="AF1951">
        <v>5.4375038134215403E-2</v>
      </c>
      <c r="AG1951">
        <v>-7.7781999999999796E-2</v>
      </c>
      <c r="AH1951">
        <v>0.45443889652960701</v>
      </c>
      <c r="AI1951">
        <v>99.645165425750903</v>
      </c>
      <c r="AJ1951">
        <v>83.1768192318263</v>
      </c>
      <c r="AK1951">
        <v>0.46424281898069703</v>
      </c>
      <c r="AL1951">
        <v>68.005952400829202</v>
      </c>
      <c r="AM1951">
        <v>88.932433303716095</v>
      </c>
      <c r="AN1951">
        <v>1.0000000875872299</v>
      </c>
    </row>
    <row r="1952" spans="1:40" x14ac:dyDescent="0.25">
      <c r="A1952" t="str">
        <f>"20190304164853957"</f>
        <v>20190304164853957</v>
      </c>
      <c r="B1952" t="str">
        <f>"1551689333948295"</f>
        <v>1551689333948295</v>
      </c>
      <c r="C1952" t="s">
        <v>40</v>
      </c>
      <c r="D1952">
        <v>4.0316219999999996</v>
      </c>
      <c r="E1952">
        <v>0.53499830000000004</v>
      </c>
      <c r="F1952" t="s">
        <v>41</v>
      </c>
      <c r="G1952">
        <v>-210.4049</v>
      </c>
      <c r="H1952">
        <v>1.027231</v>
      </c>
      <c r="I1952">
        <v>285.1071</v>
      </c>
      <c r="J1952">
        <v>-209.9564</v>
      </c>
      <c r="K1952">
        <v>1.1020650000000001</v>
      </c>
      <c r="L1952">
        <v>285.08749999999998</v>
      </c>
      <c r="M1952">
        <v>-0.99767669999999997</v>
      </c>
      <c r="N1952">
        <v>-6.2651629999999998E-3</v>
      </c>
      <c r="O1952">
        <v>-6.7839940000000001E-2</v>
      </c>
      <c r="P1952">
        <v>-0.928064</v>
      </c>
      <c r="Q1952">
        <v>0.36809399999999998</v>
      </c>
      <c r="R1952">
        <v>-5.6607640000000001E-2</v>
      </c>
      <c r="S1952">
        <v>-3.37439</v>
      </c>
      <c r="T1952">
        <v>-0.34500560000000002</v>
      </c>
      <c r="U1952">
        <v>3.4881589999999997E-2</v>
      </c>
      <c r="V1952">
        <v>1.3533160000000001E-2</v>
      </c>
      <c r="W1952">
        <v>0.37372309999999997</v>
      </c>
      <c r="X1952">
        <v>0.92744159999999998</v>
      </c>
      <c r="Y1952">
        <v>7.7410770000000004E-2</v>
      </c>
      <c r="Z1952">
        <v>1.0680429999999999E-2</v>
      </c>
      <c r="AA1952">
        <v>0.99694210000000005</v>
      </c>
      <c r="AB1952">
        <v>28</v>
      </c>
      <c r="AC1952">
        <v>-0.44849999999999501</v>
      </c>
      <c r="AD1952">
        <v>-7.4833999999999998E-2</v>
      </c>
      <c r="AE1952">
        <v>1.9600000000025299E-2</v>
      </c>
      <c r="AF1952">
        <v>4.8630349632016699E-2</v>
      </c>
      <c r="AG1952">
        <v>-7.4833999999999998E-2</v>
      </c>
      <c r="AH1952">
        <v>0.43407529816534601</v>
      </c>
      <c r="AI1952">
        <v>99.721915860915601</v>
      </c>
      <c r="AJ1952">
        <v>83.607690573974395</v>
      </c>
      <c r="AK1952">
        <v>0.44315505518798598</v>
      </c>
      <c r="AL1952">
        <v>68.054585679408206</v>
      </c>
      <c r="AM1952">
        <v>89.164003506890893</v>
      </c>
      <c r="AN1952">
        <v>1.0000000116518699</v>
      </c>
    </row>
    <row r="1953" spans="1:40" x14ac:dyDescent="0.25">
      <c r="A1953" t="str">
        <f>"20190304164853978"</f>
        <v>20190304164853978</v>
      </c>
      <c r="B1953" t="str">
        <f>"1551689333967818"</f>
        <v>1551689333967818</v>
      </c>
      <c r="C1953" t="s">
        <v>40</v>
      </c>
      <c r="D1953">
        <v>4.0208309999999896</v>
      </c>
      <c r="E1953">
        <v>0.53452809999999995</v>
      </c>
      <c r="F1953" t="s">
        <v>41</v>
      </c>
      <c r="G1953">
        <v>-210.91550000000001</v>
      </c>
      <c r="H1953">
        <v>1.0107379999999999</v>
      </c>
      <c r="I1953">
        <v>285.09410000000003</v>
      </c>
      <c r="J1953">
        <v>-210.23929999999999</v>
      </c>
      <c r="K1953">
        <v>1.1023320000000001</v>
      </c>
      <c r="L1953">
        <v>285.07760000000002</v>
      </c>
      <c r="M1953">
        <v>-0.9982666</v>
      </c>
      <c r="N1953">
        <v>-6.1631580000000002E-3</v>
      </c>
      <c r="O1953">
        <v>-5.8530529999999997E-2</v>
      </c>
      <c r="P1953">
        <v>-0.92909679999999994</v>
      </c>
      <c r="Q1953">
        <v>0.36610490000000001</v>
      </c>
      <c r="R1953">
        <v>-5.2407160000000001E-2</v>
      </c>
      <c r="S1953">
        <v>-3.3607480000000001</v>
      </c>
      <c r="T1953">
        <v>-0.319808799999999</v>
      </c>
      <c r="U1953">
        <v>2.2552490000000001E-2</v>
      </c>
      <c r="V1953">
        <v>8.8176069999999999E-3</v>
      </c>
      <c r="W1953">
        <v>0.37173460000000003</v>
      </c>
      <c r="X1953">
        <v>0.92829720000000004</v>
      </c>
      <c r="Y1953">
        <v>6.4686949999999993E-2</v>
      </c>
      <c r="Z1953">
        <v>8.4655809999999998E-3</v>
      </c>
      <c r="AA1953">
        <v>0.99786969999999997</v>
      </c>
      <c r="AB1953">
        <v>29</v>
      </c>
      <c r="AC1953">
        <v>-0.67620000000002201</v>
      </c>
      <c r="AD1953">
        <v>-9.1593999999999898E-2</v>
      </c>
      <c r="AE1953">
        <v>1.6500000000007699E-2</v>
      </c>
      <c r="AF1953">
        <v>5.5041518310185097E-2</v>
      </c>
      <c r="AG1953">
        <v>-9.1593999999999898E-2</v>
      </c>
      <c r="AH1953">
        <v>0.661937065358841</v>
      </c>
      <c r="AI1953">
        <v>97.851386379344106</v>
      </c>
      <c r="AJ1953">
        <v>85.246665489879803</v>
      </c>
      <c r="AK1953">
        <v>0.67050705296049296</v>
      </c>
      <c r="AL1953">
        <v>68.177366229842505</v>
      </c>
      <c r="AM1953">
        <v>89.455781539501601</v>
      </c>
      <c r="AN1953">
        <v>1.0000000272791001</v>
      </c>
    </row>
    <row r="1954" spans="1:40" x14ac:dyDescent="0.25">
      <c r="A1954" t="str">
        <f>"20190304164854003"</f>
        <v>20190304164854003</v>
      </c>
      <c r="B1954" t="str">
        <f>"1551689333998071"</f>
        <v>1551689333998071</v>
      </c>
      <c r="C1954" t="s">
        <v>40</v>
      </c>
      <c r="D1954">
        <v>4.0076479999999997</v>
      </c>
      <c r="E1954">
        <v>0.53341879999999997</v>
      </c>
      <c r="F1954" t="s">
        <v>41</v>
      </c>
      <c r="G1954">
        <v>-211.1754</v>
      </c>
      <c r="H1954">
        <v>1.009269</v>
      </c>
      <c r="I1954">
        <v>285.08670000000001</v>
      </c>
      <c r="J1954">
        <v>-210.5609</v>
      </c>
      <c r="K1954">
        <v>1.102592</v>
      </c>
      <c r="L1954">
        <v>285.06909999999999</v>
      </c>
      <c r="M1954">
        <v>-0.99880789999999997</v>
      </c>
      <c r="N1954">
        <v>-6.0519679999999996E-3</v>
      </c>
      <c r="O1954">
        <v>-4.8437819999999999E-2</v>
      </c>
      <c r="P1954">
        <v>-0.93046150000000005</v>
      </c>
      <c r="Q1954">
        <v>0.36310769999999998</v>
      </c>
      <c r="R1954">
        <v>-4.893438E-2</v>
      </c>
      <c r="S1954">
        <v>-3.362457</v>
      </c>
      <c r="T1954">
        <v>-0.33412059999999999</v>
      </c>
      <c r="U1954">
        <v>3.2684329999999998E-2</v>
      </c>
      <c r="V1954">
        <v>2.6333989999999998E-3</v>
      </c>
      <c r="W1954">
        <v>0.36875000000000002</v>
      </c>
      <c r="X1954">
        <v>0.92952480000000004</v>
      </c>
      <c r="Y1954">
        <v>5.7633469999999999E-2</v>
      </c>
      <c r="Z1954">
        <v>7.5387889999999997E-3</v>
      </c>
      <c r="AA1954">
        <v>0.99830940000000001</v>
      </c>
      <c r="AB1954">
        <v>29</v>
      </c>
      <c r="AC1954">
        <v>-0.61449999999999205</v>
      </c>
      <c r="AD1954">
        <v>-9.3323000000000003E-2</v>
      </c>
      <c r="AE1954">
        <v>1.7600000000015801E-2</v>
      </c>
      <c r="AF1954">
        <v>4.6278436332432102E-2</v>
      </c>
      <c r="AG1954">
        <v>-9.3323000000000003E-2</v>
      </c>
      <c r="AH1954">
        <v>0.59911942030712995</v>
      </c>
      <c r="AI1954">
        <v>98.827758695703295</v>
      </c>
      <c r="AJ1954">
        <v>85.583010410780503</v>
      </c>
      <c r="AK1954">
        <v>0.60810768436809504</v>
      </c>
      <c r="AL1954">
        <v>68.361451121372298</v>
      </c>
      <c r="AM1954">
        <v>89.837678085831399</v>
      </c>
      <c r="AN1954">
        <v>0.99999992555266304</v>
      </c>
    </row>
    <row r="1955" spans="1:40" x14ac:dyDescent="0.25">
      <c r="A1955" t="str">
        <f>"20190304164854025"</f>
        <v>20190304164854025</v>
      </c>
      <c r="B1955" t="str">
        <f>"1551689334018568"</f>
        <v>1551689334018568</v>
      </c>
      <c r="C1955" t="s">
        <v>40</v>
      </c>
      <c r="D1955">
        <v>3.9857179999999999</v>
      </c>
      <c r="E1955">
        <v>0.53278549999999902</v>
      </c>
      <c r="F1955" t="s">
        <v>41</v>
      </c>
      <c r="G1955">
        <v>-211.43950000000001</v>
      </c>
      <c r="H1955">
        <v>1.0141960000000001</v>
      </c>
      <c r="I1955">
        <v>285.07940000000002</v>
      </c>
      <c r="J1955">
        <v>-210.85480000000001</v>
      </c>
      <c r="K1955">
        <v>1.1028180000000001</v>
      </c>
      <c r="L1955">
        <v>285.06369999999998</v>
      </c>
      <c r="M1955">
        <v>-0.99919650000000004</v>
      </c>
      <c r="N1955">
        <v>-5.9535909999999899E-3</v>
      </c>
      <c r="O1955">
        <v>-3.963295E-2</v>
      </c>
      <c r="P1955">
        <v>-0.93165869999999995</v>
      </c>
      <c r="Q1955">
        <v>0.36039589999999999</v>
      </c>
      <c r="R1955">
        <v>-4.6117329999999998E-2</v>
      </c>
      <c r="S1955">
        <v>-3.3580019999999902</v>
      </c>
      <c r="T1955">
        <v>-0.3375765</v>
      </c>
      <c r="U1955">
        <v>3.8696290000000001E-2</v>
      </c>
      <c r="V1955">
        <v>-2.9795669999999998E-3</v>
      </c>
      <c r="W1955">
        <v>0.36604520000000002</v>
      </c>
      <c r="X1955">
        <v>0.93059230000000004</v>
      </c>
      <c r="Y1955">
        <v>5.0697359999999997E-2</v>
      </c>
      <c r="Z1955">
        <v>6.4312409999999999E-3</v>
      </c>
      <c r="AA1955">
        <v>0.99869330000000001</v>
      </c>
      <c r="AB1955">
        <v>29</v>
      </c>
      <c r="AC1955">
        <v>-0.584699999999997</v>
      </c>
      <c r="AD1955">
        <v>-8.8622000000000201E-2</v>
      </c>
      <c r="AE1955">
        <v>1.5700000000038E-2</v>
      </c>
      <c r="AF1955">
        <v>3.7989363100455899E-2</v>
      </c>
      <c r="AG1955">
        <v>-8.8622000000000201E-2</v>
      </c>
      <c r="AH1955">
        <v>0.57052122322017096</v>
      </c>
      <c r="AI1955">
        <v>98.810281198494906</v>
      </c>
      <c r="AJ1955">
        <v>86.190462916400705</v>
      </c>
      <c r="AK1955">
        <v>0.57861171500188202</v>
      </c>
      <c r="AL1955">
        <v>68.528079687268999</v>
      </c>
      <c r="AM1955">
        <v>90.183448789027096</v>
      </c>
      <c r="AN1955">
        <v>0.99999999754091795</v>
      </c>
    </row>
    <row r="1956" spans="1:40" x14ac:dyDescent="0.25">
      <c r="A1956" t="str">
        <f>"20190304164854046"</f>
        <v>20190304164854046</v>
      </c>
      <c r="B1956" t="str">
        <f>"1551689334038087"</f>
        <v>1551689334038087</v>
      </c>
      <c r="C1956" t="s">
        <v>40</v>
      </c>
      <c r="D1956">
        <v>3.9611369999999999</v>
      </c>
      <c r="E1956">
        <v>0.53209640000000002</v>
      </c>
      <c r="F1956" t="s">
        <v>41</v>
      </c>
      <c r="G1956">
        <v>-211.70339999999999</v>
      </c>
      <c r="H1956">
        <v>1.016275</v>
      </c>
      <c r="I1956">
        <v>285.07490000000001</v>
      </c>
      <c r="J1956">
        <v>-211.131</v>
      </c>
      <c r="K1956">
        <v>1.1030409999999999</v>
      </c>
      <c r="L1956">
        <v>285.06049999999999</v>
      </c>
      <c r="M1956">
        <v>-0.99947850000000005</v>
      </c>
      <c r="N1956">
        <v>-5.8601840000000001E-3</v>
      </c>
      <c r="O1956">
        <v>-3.1756390000000002E-2</v>
      </c>
      <c r="P1956">
        <v>-0.9324268</v>
      </c>
      <c r="Q1956">
        <v>0.3586705</v>
      </c>
      <c r="R1956">
        <v>-4.4001899999999997E-2</v>
      </c>
      <c r="S1956">
        <v>-3.3545530000000001</v>
      </c>
      <c r="T1956">
        <v>-0.34199069999999998</v>
      </c>
      <c r="U1956">
        <v>4.4433590000000002E-2</v>
      </c>
      <c r="V1956">
        <v>-8.4258749999999993E-3</v>
      </c>
      <c r="W1956">
        <v>0.36431970000000002</v>
      </c>
      <c r="X1956">
        <v>0.93123579999999995</v>
      </c>
      <c r="Y1956">
        <v>4.4601370000000001E-2</v>
      </c>
      <c r="Z1956">
        <v>5.4416969999999997E-3</v>
      </c>
      <c r="AA1956">
        <v>0.99899009999999999</v>
      </c>
      <c r="AB1956">
        <v>29</v>
      </c>
      <c r="AC1956">
        <v>-0.57240000000001601</v>
      </c>
      <c r="AD1956">
        <v>-8.6765999999999899E-2</v>
      </c>
      <c r="AE1956">
        <v>1.44000000000232E-2</v>
      </c>
      <c r="AF1956">
        <v>3.1839286319637297E-2</v>
      </c>
      <c r="AG1956">
        <v>-8.6765999999999899E-2</v>
      </c>
      <c r="AH1956">
        <v>0.55882187048263898</v>
      </c>
      <c r="AI1956">
        <v>98.811546056792594</v>
      </c>
      <c r="AJ1956">
        <v>86.739056445783802</v>
      </c>
      <c r="AK1956">
        <v>0.56641324299406903</v>
      </c>
      <c r="AL1956">
        <v>68.634277607597099</v>
      </c>
      <c r="AM1956">
        <v>90.518401357170603</v>
      </c>
      <c r="AN1956">
        <v>0.99999997718962197</v>
      </c>
    </row>
    <row r="1957" spans="1:40" x14ac:dyDescent="0.25">
      <c r="A1957" t="str">
        <f>"20190304164854069"</f>
        <v>20190304164854069</v>
      </c>
      <c r="B1957" t="str">
        <f>"1551689334057611"</f>
        <v>1551689334057611</v>
      </c>
      <c r="C1957" t="s">
        <v>40</v>
      </c>
      <c r="D1957">
        <v>3.9247679999999998</v>
      </c>
      <c r="E1957">
        <v>0.53159829999999997</v>
      </c>
      <c r="F1957" t="s">
        <v>41</v>
      </c>
      <c r="G1957">
        <v>-211.96770000000001</v>
      </c>
      <c r="H1957">
        <v>1.0171950000000001</v>
      </c>
      <c r="I1957">
        <v>285.07190000000003</v>
      </c>
      <c r="J1957">
        <v>-211.42619999999999</v>
      </c>
      <c r="K1957">
        <v>1.1032999999999999</v>
      </c>
      <c r="L1957">
        <v>285.0591</v>
      </c>
      <c r="M1957">
        <v>-0.99970040000000004</v>
      </c>
      <c r="N1957">
        <v>-5.7572619999999904E-3</v>
      </c>
      <c r="O1957">
        <v>-2.379276E-2</v>
      </c>
      <c r="P1957">
        <v>-0.933504</v>
      </c>
      <c r="Q1957">
        <v>0.35603580000000001</v>
      </c>
      <c r="R1957">
        <v>-4.2532269999999997E-2</v>
      </c>
      <c r="S1957">
        <v>-3.3518219999999999</v>
      </c>
      <c r="T1957">
        <v>-0.3438542</v>
      </c>
      <c r="U1957">
        <v>4.534912E-2</v>
      </c>
      <c r="V1957">
        <v>-1.464824E-2</v>
      </c>
      <c r="W1957">
        <v>0.36168230000000001</v>
      </c>
      <c r="X1957">
        <v>0.93218630000000002</v>
      </c>
      <c r="Y1957">
        <v>3.6999270000000001E-2</v>
      </c>
      <c r="Z1957">
        <v>4.2972000000000002E-3</v>
      </c>
      <c r="AA1957">
        <v>0.99930609999999997</v>
      </c>
      <c r="AB1957">
        <v>29</v>
      </c>
      <c r="AC1957">
        <v>-0.54150000000001297</v>
      </c>
      <c r="AD1957">
        <v>-8.6104999999999807E-2</v>
      </c>
      <c r="AE1957">
        <v>1.2800000000027E-2</v>
      </c>
      <c r="AF1957">
        <v>2.5047403238447799E-2</v>
      </c>
      <c r="AG1957">
        <v>-8.6104999999999807E-2</v>
      </c>
      <c r="AH1957">
        <v>0.52770663597244905</v>
      </c>
      <c r="AI1957">
        <v>99.256947646741693</v>
      </c>
      <c r="AJ1957">
        <v>87.282516205271094</v>
      </c>
      <c r="AK1957">
        <v>0.53527164793527804</v>
      </c>
      <c r="AL1957">
        <v>68.796451676025995</v>
      </c>
      <c r="AM1957">
        <v>90.900263455420998</v>
      </c>
      <c r="AN1957">
        <v>0.99999997748803804</v>
      </c>
    </row>
    <row r="1958" spans="1:40" x14ac:dyDescent="0.25">
      <c r="A1958" t="str">
        <f>"20190304164854090"</f>
        <v>20190304164854090</v>
      </c>
      <c r="B1958" t="str">
        <f>"1551689334078104"</f>
        <v>1551689334078104</v>
      </c>
      <c r="C1958" t="s">
        <v>40</v>
      </c>
      <c r="D1958">
        <v>3.9097770000000001</v>
      </c>
      <c r="E1958">
        <v>0.53117999999999999</v>
      </c>
      <c r="F1958" t="s">
        <v>41</v>
      </c>
      <c r="G1958">
        <v>-212.23349999999999</v>
      </c>
      <c r="H1958">
        <v>1.019091</v>
      </c>
      <c r="I1958">
        <v>285.07089999999999</v>
      </c>
      <c r="J1958">
        <v>-211.709</v>
      </c>
      <c r="K1958">
        <v>1.1035740000000001</v>
      </c>
      <c r="L1958">
        <v>285.05939999999998</v>
      </c>
      <c r="M1958">
        <v>-0.99984589999999995</v>
      </c>
      <c r="N1958">
        <v>-5.6572840000000003E-3</v>
      </c>
      <c r="O1958">
        <v>-1.661574E-2</v>
      </c>
      <c r="P1958">
        <v>-0.93435170000000001</v>
      </c>
      <c r="Q1958">
        <v>0.35387950000000001</v>
      </c>
      <c r="R1958">
        <v>-4.1906470000000001E-2</v>
      </c>
      <c r="S1958">
        <v>-3.3491209999999998</v>
      </c>
      <c r="T1958">
        <v>-0.34925149999999999</v>
      </c>
      <c r="U1958">
        <v>4.8675540000000003E-2</v>
      </c>
      <c r="V1958">
        <v>-2.1002170000000001E-2</v>
      </c>
      <c r="W1958">
        <v>0.35951719999999998</v>
      </c>
      <c r="X1958">
        <v>0.93290209999999996</v>
      </c>
      <c r="Y1958">
        <v>3.0887359999999999E-2</v>
      </c>
      <c r="Z1958">
        <v>3.3278520000000001E-3</v>
      </c>
      <c r="AA1958">
        <v>0.99951730000000005</v>
      </c>
      <c r="AB1958">
        <v>29</v>
      </c>
      <c r="AC1958">
        <v>-0.52449999999998898</v>
      </c>
      <c r="AD1958">
        <v>-8.4483000000000003E-2</v>
      </c>
      <c r="AE1958">
        <v>1.15000000000122E-2</v>
      </c>
      <c r="AF1958">
        <v>1.9702577168771499E-2</v>
      </c>
      <c r="AG1958">
        <v>-8.4483000000000003E-2</v>
      </c>
      <c r="AH1958">
        <v>0.51098553957238602</v>
      </c>
      <c r="AI1958">
        <v>99.381135874755401</v>
      </c>
      <c r="AJ1958">
        <v>87.791883549050397</v>
      </c>
      <c r="AK1958">
        <v>0.51829700991629701</v>
      </c>
      <c r="AL1958">
        <v>68.929451812353705</v>
      </c>
      <c r="AM1958">
        <v>91.289666376281303</v>
      </c>
      <c r="AN1958">
        <v>1.00000001821247</v>
      </c>
    </row>
    <row r="1959" spans="1:40" x14ac:dyDescent="0.25">
      <c r="A1959" t="str">
        <f>"20190304164854113"</f>
        <v>20190304164854113</v>
      </c>
      <c r="B1959" t="str">
        <f>"1551689334108360"</f>
        <v>1551689334108360</v>
      </c>
      <c r="C1959" t="s">
        <v>40</v>
      </c>
      <c r="D1959">
        <v>3.8842530000000002</v>
      </c>
      <c r="E1959">
        <v>0.53703259999999997</v>
      </c>
      <c r="F1959" t="s">
        <v>41</v>
      </c>
      <c r="G1959">
        <v>-212.5</v>
      </c>
      <c r="H1959">
        <v>1.0202869999999999</v>
      </c>
      <c r="I1959">
        <v>285.07139999999998</v>
      </c>
      <c r="J1959">
        <v>-212.01310000000001</v>
      </c>
      <c r="K1959">
        <v>1.1038939999999999</v>
      </c>
      <c r="L1959">
        <v>285.0616</v>
      </c>
      <c r="M1959">
        <v>-0.99994050000000001</v>
      </c>
      <c r="N1959">
        <v>-5.553639E-3</v>
      </c>
      <c r="O1959">
        <v>-9.3906249999999997E-3</v>
      </c>
      <c r="P1959">
        <v>-0.93429629999999997</v>
      </c>
      <c r="Q1959">
        <v>0.35436459999999997</v>
      </c>
      <c r="R1959">
        <v>-3.8941370000000003E-2</v>
      </c>
      <c r="S1959">
        <v>-3.3464510000000001</v>
      </c>
      <c r="T1959">
        <v>-0.3522478</v>
      </c>
      <c r="U1959">
        <v>5.0231930000000001E-2</v>
      </c>
      <c r="V1959">
        <v>-2.5085679999999999E-2</v>
      </c>
      <c r="W1959">
        <v>0.35993999999999998</v>
      </c>
      <c r="X1959">
        <v>0.93263819999999997</v>
      </c>
      <c r="Y1959">
        <v>2.4210510000000001E-2</v>
      </c>
      <c r="Z1959">
        <v>2.271721E-3</v>
      </c>
      <c r="AA1959">
        <v>0.99970429999999999</v>
      </c>
      <c r="AB1959">
        <v>29</v>
      </c>
      <c r="AC1959">
        <v>-0.48689999999999101</v>
      </c>
      <c r="AD1959">
        <v>-8.3606999999999904E-2</v>
      </c>
      <c r="AE1959">
        <v>9.7999999999842605E-3</v>
      </c>
      <c r="AF1959">
        <v>1.3960471459674899E-2</v>
      </c>
      <c r="AG1959">
        <v>-8.3606999999999904E-2</v>
      </c>
      <c r="AH1959">
        <v>0.47285001638590102</v>
      </c>
      <c r="AI1959">
        <v>100.02284014579899</v>
      </c>
      <c r="AJ1959">
        <v>88.308884892853001</v>
      </c>
      <c r="AK1959">
        <v>0.48038751358514997</v>
      </c>
      <c r="AL1959">
        <v>68.903489917650703</v>
      </c>
      <c r="AM1959">
        <v>91.540744440238001</v>
      </c>
      <c r="AN1959">
        <v>1.0000000535201401</v>
      </c>
    </row>
    <row r="1960" spans="1:40" x14ac:dyDescent="0.25">
      <c r="A1960" t="str">
        <f>"20190304164854136"</f>
        <v>20190304164854136</v>
      </c>
      <c r="B1960" t="str">
        <f>"1551689334127880"</f>
        <v>1551689334127880</v>
      </c>
      <c r="C1960" t="s">
        <v>40</v>
      </c>
      <c r="D1960">
        <v>3.8577080000000001</v>
      </c>
      <c r="E1960">
        <v>0.53842699999999999</v>
      </c>
      <c r="F1960" t="s">
        <v>41</v>
      </c>
      <c r="G1960">
        <v>-212.77289999999999</v>
      </c>
      <c r="H1960">
        <v>1.032813</v>
      </c>
      <c r="I1960">
        <v>285.08580000000001</v>
      </c>
      <c r="J1960">
        <v>-212.32859999999999</v>
      </c>
      <c r="K1960">
        <v>1.1042719999999999</v>
      </c>
      <c r="L1960">
        <v>285.06560000000002</v>
      </c>
      <c r="M1960">
        <v>-0.99998209999999998</v>
      </c>
      <c r="N1960">
        <v>-5.4535209999999898E-3</v>
      </c>
      <c r="O1960">
        <v>-2.494455E-3</v>
      </c>
      <c r="P1960">
        <v>-0.93438580000000004</v>
      </c>
      <c r="Q1960">
        <v>0.35447659999999998</v>
      </c>
      <c r="R1960">
        <v>-3.5632070000000002E-2</v>
      </c>
      <c r="S1960">
        <v>-3.3336640000000002</v>
      </c>
      <c r="T1960">
        <v>-0.3118416</v>
      </c>
      <c r="U1960">
        <v>0.10580440000000001</v>
      </c>
      <c r="V1960">
        <v>-2.8558759999999999E-2</v>
      </c>
      <c r="W1960">
        <v>0.35997509999999999</v>
      </c>
      <c r="X1960">
        <v>0.93252469999999998</v>
      </c>
      <c r="Y1960">
        <v>3.4048500000000002E-2</v>
      </c>
      <c r="Z1960">
        <v>1.90092E-3</v>
      </c>
      <c r="AA1960">
        <v>0.99941840000000004</v>
      </c>
      <c r="AB1960">
        <v>29</v>
      </c>
      <c r="AC1960">
        <v>-0.44429999999999797</v>
      </c>
      <c r="AD1960">
        <v>-7.1458999999999898E-2</v>
      </c>
      <c r="AE1960">
        <v>2.0199999999988401E-2</v>
      </c>
      <c r="AF1960">
        <v>2.0772019678430599E-2</v>
      </c>
      <c r="AG1960">
        <v>-7.1458999999999898E-2</v>
      </c>
      <c r="AH1960">
        <v>0.43306875635861403</v>
      </c>
      <c r="AI1960">
        <v>99.359158054833699</v>
      </c>
      <c r="AJ1960">
        <v>87.253928830721506</v>
      </c>
      <c r="AK1960">
        <v>0.43941599107965801</v>
      </c>
      <c r="AL1960">
        <v>68.901333067943597</v>
      </c>
      <c r="AM1960">
        <v>91.754146717269407</v>
      </c>
      <c r="AN1960">
        <v>0.99999999575141796</v>
      </c>
    </row>
    <row r="1961" spans="1:40" x14ac:dyDescent="0.25">
      <c r="A1961" t="str">
        <f>"20190304164854159"</f>
        <v>20190304164854159</v>
      </c>
      <c r="B1961" t="str">
        <f>"1551689334148375"</f>
        <v>1551689334148375</v>
      </c>
      <c r="C1961" t="s">
        <v>40</v>
      </c>
      <c r="D1961">
        <v>3.8513459999999999</v>
      </c>
      <c r="E1961">
        <v>0.53817349999999997</v>
      </c>
      <c r="F1961" t="s">
        <v>41</v>
      </c>
      <c r="G1961">
        <v>-213.29990000000001</v>
      </c>
      <c r="H1961">
        <v>1.0131030000000001</v>
      </c>
      <c r="I1961">
        <v>285.1019</v>
      </c>
      <c r="J1961">
        <v>-212.6301</v>
      </c>
      <c r="K1961">
        <v>1.10466</v>
      </c>
      <c r="L1961">
        <v>285.07100000000003</v>
      </c>
      <c r="M1961">
        <v>-0.99997959999999997</v>
      </c>
      <c r="N1961">
        <v>-5.3661610000000004E-3</v>
      </c>
      <c r="O1961">
        <v>3.4807890000000002E-3</v>
      </c>
      <c r="P1961">
        <v>-0.93520130000000001</v>
      </c>
      <c r="Q1961">
        <v>0.35230919999999999</v>
      </c>
      <c r="R1961">
        <v>-3.5731829999999999E-2</v>
      </c>
      <c r="S1961">
        <v>-3.3340909999999999</v>
      </c>
      <c r="T1961">
        <v>-0.31289990000000001</v>
      </c>
      <c r="U1961">
        <v>0.1239624</v>
      </c>
      <c r="V1961">
        <v>-3.4612909999999997E-2</v>
      </c>
      <c r="W1961">
        <v>0.35777239999999999</v>
      </c>
      <c r="X1961">
        <v>0.93316710000000003</v>
      </c>
      <c r="Y1961">
        <v>3.3533899999999998E-2</v>
      </c>
      <c r="Z1961">
        <v>1.352582E-3</v>
      </c>
      <c r="AA1961">
        <v>0.99943669999999996</v>
      </c>
      <c r="AB1961">
        <v>30</v>
      </c>
      <c r="AC1961">
        <v>-0.66980000000000905</v>
      </c>
      <c r="AD1961">
        <v>-9.1556999999999805E-2</v>
      </c>
      <c r="AE1961">
        <v>3.0900000000031E-2</v>
      </c>
      <c r="AF1961">
        <v>2.80454312548583E-2</v>
      </c>
      <c r="AG1961">
        <v>-9.1556999999999805E-2</v>
      </c>
      <c r="AH1961">
        <v>0.65764157204164997</v>
      </c>
      <c r="AI1961">
        <v>97.918680192004402</v>
      </c>
      <c r="AJ1961">
        <v>87.558074394008699</v>
      </c>
      <c r="AK1961">
        <v>0.66457630693599301</v>
      </c>
      <c r="AL1961">
        <v>69.036545430577505</v>
      </c>
      <c r="AM1961">
        <v>92.124233614636694</v>
      </c>
      <c r="AN1961">
        <v>0.99999999013141905</v>
      </c>
    </row>
    <row r="1962" spans="1:40" x14ac:dyDescent="0.25">
      <c r="A1962" t="str">
        <f>"20190304164854179"</f>
        <v>20190304164854179</v>
      </c>
      <c r="B1962" t="str">
        <f>"1551689334167899"</f>
        <v>1551689334167899</v>
      </c>
      <c r="C1962" t="s">
        <v>40</v>
      </c>
      <c r="D1962">
        <v>3.853532</v>
      </c>
      <c r="E1962">
        <v>0.53792200000000001</v>
      </c>
      <c r="F1962" t="s">
        <v>41</v>
      </c>
      <c r="G1962">
        <v>-213.57050000000001</v>
      </c>
      <c r="H1962">
        <v>1.014818</v>
      </c>
      <c r="I1962">
        <v>285.10649999999998</v>
      </c>
      <c r="J1962">
        <v>-212.904</v>
      </c>
      <c r="K1962">
        <v>1.10497</v>
      </c>
      <c r="L1962">
        <v>285.07679999999999</v>
      </c>
      <c r="M1962">
        <v>-0.99994989999999995</v>
      </c>
      <c r="N1962">
        <v>-5.2951999999999999E-3</v>
      </c>
      <c r="O1962">
        <v>8.5007709999999903E-3</v>
      </c>
      <c r="P1962">
        <v>-0.93623210000000001</v>
      </c>
      <c r="Q1962">
        <v>0.3495241</v>
      </c>
      <c r="R1962">
        <v>-3.6089450000000002E-2</v>
      </c>
      <c r="S1962">
        <v>-3.3325499999999999</v>
      </c>
      <c r="T1962">
        <v>-0.31827490000000003</v>
      </c>
      <c r="U1962">
        <v>0.12536620000000001</v>
      </c>
      <c r="V1962">
        <v>-3.9988999999999997E-2</v>
      </c>
      <c r="W1962">
        <v>0.35495529999999997</v>
      </c>
      <c r="X1962">
        <v>0.93402759999999996</v>
      </c>
      <c r="Y1962">
        <v>2.899127E-2</v>
      </c>
      <c r="Z1962">
        <v>6.9295019999999997E-4</v>
      </c>
      <c r="AA1962">
        <v>0.99957940000000001</v>
      </c>
      <c r="AB1962">
        <v>30</v>
      </c>
      <c r="AC1962">
        <v>-0.66649999999998499</v>
      </c>
      <c r="AD1962">
        <v>-9.0151999999999996E-2</v>
      </c>
      <c r="AE1962">
        <v>2.9699999999991102E-2</v>
      </c>
      <c r="AF1962">
        <v>2.36021208875439E-2</v>
      </c>
      <c r="AG1962">
        <v>-9.0151999999999996E-2</v>
      </c>
      <c r="AH1962">
        <v>0.65477257323581795</v>
      </c>
      <c r="AI1962">
        <v>97.834423349004396</v>
      </c>
      <c r="AJ1962">
        <v>87.935593627214999</v>
      </c>
      <c r="AK1962">
        <v>0.661370974473665</v>
      </c>
      <c r="AL1962">
        <v>69.209294530075496</v>
      </c>
      <c r="AM1962">
        <v>92.451536275123601</v>
      </c>
      <c r="AN1962">
        <v>0.99999997134042395</v>
      </c>
    </row>
    <row r="1963" spans="1:40" x14ac:dyDescent="0.25">
      <c r="A1963" t="str">
        <f>"20190304164854204"</f>
        <v>20190304164854204</v>
      </c>
      <c r="B1963" t="str">
        <f>"1551689334198151"</f>
        <v>1551689334198151</v>
      </c>
      <c r="C1963" t="s">
        <v>40</v>
      </c>
      <c r="D1963">
        <v>3.8292799999999998</v>
      </c>
      <c r="E1963">
        <v>0.53743660000000004</v>
      </c>
      <c r="F1963" t="s">
        <v>41</v>
      </c>
      <c r="G1963">
        <v>-213.8407</v>
      </c>
      <c r="H1963">
        <v>1.013644</v>
      </c>
      <c r="I1963">
        <v>285.11270000000002</v>
      </c>
      <c r="J1963">
        <v>-213.2287</v>
      </c>
      <c r="K1963">
        <v>1.10534</v>
      </c>
      <c r="L1963">
        <v>285.08510000000001</v>
      </c>
      <c r="M1963">
        <v>-0.9998899</v>
      </c>
      <c r="N1963">
        <v>-5.221369E-3</v>
      </c>
      <c r="O1963">
        <v>1.38922E-2</v>
      </c>
      <c r="P1963">
        <v>-0.9362741</v>
      </c>
      <c r="Q1963">
        <v>0.34992259999999997</v>
      </c>
      <c r="R1963">
        <v>-3.074315E-2</v>
      </c>
      <c r="S1963">
        <v>-3.3304749999999999</v>
      </c>
      <c r="T1963">
        <v>-0.32476250000000001</v>
      </c>
      <c r="U1963">
        <v>0.12695310000000001</v>
      </c>
      <c r="V1963">
        <v>-4.000745E-2</v>
      </c>
      <c r="W1963">
        <v>0.35524509999999998</v>
      </c>
      <c r="X1963">
        <v>0.93391670000000004</v>
      </c>
      <c r="Y1963">
        <v>2.4143410000000001E-2</v>
      </c>
      <c r="Z1963" s="1">
        <v>-4.1349210000000001E-5</v>
      </c>
      <c r="AA1963">
        <v>0.9997085</v>
      </c>
      <c r="AB1963">
        <v>30</v>
      </c>
      <c r="AC1963">
        <v>-0.61199999999999399</v>
      </c>
      <c r="AD1963">
        <v>-9.1696E-2</v>
      </c>
      <c r="AE1963">
        <v>2.7600000000006699E-2</v>
      </c>
      <c r="AF1963">
        <v>1.8676769781066301E-2</v>
      </c>
      <c r="AG1963">
        <v>-9.1696E-2</v>
      </c>
      <c r="AH1963">
        <v>0.59890677155472805</v>
      </c>
      <c r="AI1963">
        <v>98.7005451139173</v>
      </c>
      <c r="AJ1963">
        <v>88.213823170308004</v>
      </c>
      <c r="AK1963">
        <v>0.60617348932427095</v>
      </c>
      <c r="AL1963">
        <v>69.191534130321799</v>
      </c>
      <c r="AM1963">
        <v>92.452956867841905</v>
      </c>
      <c r="AN1963">
        <v>1.0000000398341999</v>
      </c>
    </row>
    <row r="1964" spans="1:40" x14ac:dyDescent="0.25">
      <c r="A1964" t="str">
        <f>"20190304164854226"</f>
        <v>20190304164854226</v>
      </c>
      <c r="B1964" t="str">
        <f>"1551689334217672"</f>
        <v>1551689334217672</v>
      </c>
      <c r="C1964" t="s">
        <v>40</v>
      </c>
      <c r="D1964">
        <v>3.820646</v>
      </c>
      <c r="E1964">
        <v>0.53717209999999904</v>
      </c>
      <c r="F1964" t="s">
        <v>41</v>
      </c>
      <c r="G1964">
        <v>-214.11529999999999</v>
      </c>
      <c r="H1964">
        <v>1.0200100000000001</v>
      </c>
      <c r="I1964">
        <v>285.12150000000003</v>
      </c>
      <c r="J1964">
        <v>-213.55160000000001</v>
      </c>
      <c r="K1964">
        <v>1.105726</v>
      </c>
      <c r="L1964">
        <v>285.09449999999998</v>
      </c>
      <c r="M1964">
        <v>-0.99981310000000001</v>
      </c>
      <c r="N1964">
        <v>-5.1556240000000001E-3</v>
      </c>
      <c r="O1964">
        <v>1.8634769999999998E-2</v>
      </c>
      <c r="P1964">
        <v>-0.93631929999999997</v>
      </c>
      <c r="Q1964">
        <v>0.35003849999999997</v>
      </c>
      <c r="R1964">
        <v>-2.7918100000000001E-2</v>
      </c>
      <c r="S1964">
        <v>-3.3283999999999998</v>
      </c>
      <c r="T1964">
        <v>-0.32037059999999901</v>
      </c>
      <c r="U1964">
        <v>0.1360779</v>
      </c>
      <c r="V1964">
        <v>-4.1956920000000002E-2</v>
      </c>
      <c r="W1964">
        <v>0.35527619999999999</v>
      </c>
      <c r="X1964">
        <v>0.93381930000000002</v>
      </c>
      <c r="Y1964">
        <v>2.219229E-2</v>
      </c>
      <c r="Z1964">
        <v>-5.7019039999999996E-4</v>
      </c>
      <c r="AA1964">
        <v>0.99975349999999996</v>
      </c>
      <c r="AB1964">
        <v>30</v>
      </c>
      <c r="AC1964">
        <v>-0.56369999999998299</v>
      </c>
      <c r="AD1964">
        <v>-8.5715999999999903E-2</v>
      </c>
      <c r="AE1964">
        <v>2.70000000000436E-2</v>
      </c>
      <c r="AF1964">
        <v>1.61189022851927E-2</v>
      </c>
      <c r="AG1964">
        <v>-8.5715999999999903E-2</v>
      </c>
      <c r="AH1964">
        <v>0.55138524500138297</v>
      </c>
      <c r="AI1964">
        <v>98.832516676261207</v>
      </c>
      <c r="AJ1964">
        <v>88.325522620226707</v>
      </c>
      <c r="AK1964">
        <v>0.55824075457826905</v>
      </c>
      <c r="AL1964">
        <v>69.189627520472996</v>
      </c>
      <c r="AM1964">
        <v>92.572594865799701</v>
      </c>
      <c r="AN1964">
        <v>1.0000000232374</v>
      </c>
    </row>
    <row r="1965" spans="1:40" x14ac:dyDescent="0.25">
      <c r="A1965" t="str">
        <f>"20190304164854247"</f>
        <v>20190304164854247</v>
      </c>
      <c r="B1965" t="str">
        <f>"1551689334238167"</f>
        <v>1551689334238167</v>
      </c>
      <c r="C1965" t="s">
        <v>40</v>
      </c>
      <c r="D1965">
        <v>3.7886929999999999</v>
      </c>
      <c r="E1965">
        <v>0.53683890000000001</v>
      </c>
      <c r="F1965" t="s">
        <v>41</v>
      </c>
      <c r="G1965">
        <v>-214.3905</v>
      </c>
      <c r="H1965">
        <v>1.025468</v>
      </c>
      <c r="I1965">
        <v>285.12979999999999</v>
      </c>
      <c r="J1965">
        <v>-213.84180000000001</v>
      </c>
      <c r="K1965">
        <v>1.106117</v>
      </c>
      <c r="L1965">
        <v>285.10359999999997</v>
      </c>
      <c r="M1965">
        <v>-0.99973769999999995</v>
      </c>
      <c r="N1965">
        <v>-5.102128E-3</v>
      </c>
      <c r="O1965">
        <v>2.2323119999999998E-2</v>
      </c>
      <c r="P1965">
        <v>-0.93690739999999995</v>
      </c>
      <c r="Q1965">
        <v>0.3483965</v>
      </c>
      <c r="R1965">
        <v>-2.8712990000000001E-2</v>
      </c>
      <c r="S1965">
        <v>-3.3272089999999999</v>
      </c>
      <c r="T1965">
        <v>-0.3183281</v>
      </c>
      <c r="U1965">
        <v>0.13964840000000001</v>
      </c>
      <c r="V1965">
        <v>-4.6566249999999997E-2</v>
      </c>
      <c r="W1965">
        <v>0.3535837</v>
      </c>
      <c r="X1965">
        <v>0.93424309999999999</v>
      </c>
      <c r="Y1965">
        <v>1.9617450000000002E-2</v>
      </c>
      <c r="Z1965">
        <v>-1.029865E-3</v>
      </c>
      <c r="AA1965">
        <v>0.999807</v>
      </c>
      <c r="AB1965">
        <v>30</v>
      </c>
      <c r="AC1965">
        <v>-0.54869999999999597</v>
      </c>
      <c r="AD1965">
        <v>-8.0648999999999901E-2</v>
      </c>
      <c r="AE1965">
        <v>2.6200000000017099E-2</v>
      </c>
      <c r="AF1965">
        <v>1.3650386575409301E-2</v>
      </c>
      <c r="AG1965">
        <v>-8.0648999999999901E-2</v>
      </c>
      <c r="AH1965">
        <v>0.53756124657545501</v>
      </c>
      <c r="AI1965">
        <v>98.529600608204404</v>
      </c>
      <c r="AJ1965">
        <v>88.5453908655048</v>
      </c>
      <c r="AK1965">
        <v>0.54374873615891295</v>
      </c>
      <c r="AL1965">
        <v>69.293332629056593</v>
      </c>
      <c r="AM1965">
        <v>92.853479328384495</v>
      </c>
      <c r="AN1965">
        <v>1.00000000922118</v>
      </c>
    </row>
    <row r="1966" spans="1:40" x14ac:dyDescent="0.25">
      <c r="A1966" t="str">
        <f>"20190304164854269"</f>
        <v>20190304164854269</v>
      </c>
      <c r="B1966" t="str">
        <f>"1551689334257691"</f>
        <v>1551689334257691</v>
      </c>
      <c r="C1966" t="s">
        <v>40</v>
      </c>
      <c r="D1966">
        <v>3.7804700000000002</v>
      </c>
      <c r="E1966">
        <v>0.53657619999999995</v>
      </c>
      <c r="F1966" t="s">
        <v>41</v>
      </c>
      <c r="G1966">
        <v>-214.66460000000001</v>
      </c>
      <c r="H1966">
        <v>1.0266299999999999</v>
      </c>
      <c r="I1966">
        <v>285.1379</v>
      </c>
      <c r="J1966">
        <v>-214.1326</v>
      </c>
      <c r="K1966">
        <v>1.106544</v>
      </c>
      <c r="L1966">
        <v>285.11340000000001</v>
      </c>
      <c r="M1966">
        <v>-0.99966339999999998</v>
      </c>
      <c r="N1966">
        <v>-5.0548549999999996E-3</v>
      </c>
      <c r="O1966">
        <v>2.544894E-2</v>
      </c>
      <c r="P1966">
        <v>-0.93807149999999995</v>
      </c>
      <c r="Q1966">
        <v>0.34505980000000003</v>
      </c>
      <c r="R1966">
        <v>-3.0913980000000001E-2</v>
      </c>
      <c r="S1966">
        <v>-3.3257289999999999</v>
      </c>
      <c r="T1966">
        <v>-0.32131209999999999</v>
      </c>
      <c r="U1966">
        <v>0.13793949999999999</v>
      </c>
      <c r="V1966">
        <v>-5.2120140000000002E-2</v>
      </c>
      <c r="W1966">
        <v>0.35019729999999999</v>
      </c>
      <c r="X1966">
        <v>0.93522479999999997</v>
      </c>
      <c r="Y1966">
        <v>1.6027779999999998E-2</v>
      </c>
      <c r="Z1966">
        <v>-1.5103619999999999E-3</v>
      </c>
      <c r="AA1966">
        <v>0.99987040000000005</v>
      </c>
      <c r="AB1966">
        <v>30</v>
      </c>
      <c r="AC1966">
        <v>-0.53200000000001002</v>
      </c>
      <c r="AD1966">
        <v>-7.9913999999999999E-2</v>
      </c>
      <c r="AE1966">
        <v>2.4499999999988999E-2</v>
      </c>
      <c r="AF1966">
        <v>1.07118620617359E-2</v>
      </c>
      <c r="AG1966">
        <v>-7.9913999999999999E-2</v>
      </c>
      <c r="AH1966">
        <v>0.52072622771641897</v>
      </c>
      <c r="AI1966">
        <v>98.723090968267499</v>
      </c>
      <c r="AJ1966">
        <v>88.8215344183035</v>
      </c>
      <c r="AK1966">
        <v>0.52693149043931897</v>
      </c>
      <c r="AL1966">
        <v>69.500617569046696</v>
      </c>
      <c r="AM1966">
        <v>93.189797980556193</v>
      </c>
      <c r="AN1966">
        <v>1.00000004222797</v>
      </c>
    </row>
    <row r="1967" spans="1:40" x14ac:dyDescent="0.25">
      <c r="A1967" t="str">
        <f>"20190304164854282"</f>
        <v>20190304164854282</v>
      </c>
      <c r="B1967" t="str">
        <f>"1551689334278184"</f>
        <v>1551689334278184</v>
      </c>
      <c r="C1967" t="s">
        <v>40</v>
      </c>
      <c r="D1967">
        <v>3.7776879999999999</v>
      </c>
      <c r="E1967">
        <v>0.53641830000000001</v>
      </c>
      <c r="F1967" t="s">
        <v>41</v>
      </c>
      <c r="G1967">
        <v>-214.93899999999999</v>
      </c>
      <c r="H1967">
        <v>1.0268090000000001</v>
      </c>
      <c r="I1967">
        <v>285.14609999999999</v>
      </c>
      <c r="J1967">
        <v>-214.309</v>
      </c>
      <c r="K1967">
        <v>1.106819</v>
      </c>
      <c r="L1967">
        <v>285.11950000000002</v>
      </c>
      <c r="M1967">
        <v>-0.99962130000000005</v>
      </c>
      <c r="N1967">
        <v>-5.0297939999999998E-3</v>
      </c>
      <c r="O1967">
        <v>2.7056960000000001E-2</v>
      </c>
      <c r="P1967">
        <v>-0.93815510000000002</v>
      </c>
      <c r="Q1967">
        <v>0.34486159999999999</v>
      </c>
      <c r="R1967">
        <v>-3.05863E-2</v>
      </c>
      <c r="S1967">
        <v>-3.32341</v>
      </c>
      <c r="T1967">
        <v>-0.32868560000000002</v>
      </c>
      <c r="U1967">
        <v>0.1346436</v>
      </c>
      <c r="V1967">
        <v>-5.3539940000000001E-2</v>
      </c>
      <c r="W1967">
        <v>0.34994890000000001</v>
      </c>
      <c r="X1967">
        <v>0.93523750000000005</v>
      </c>
      <c r="Y1967">
        <v>1.348018E-2</v>
      </c>
      <c r="Z1967">
        <v>-1.833271E-3</v>
      </c>
      <c r="AA1967">
        <v>0.9999074</v>
      </c>
      <c r="AB1967">
        <v>30</v>
      </c>
      <c r="AC1967">
        <v>-0.62999999999999501</v>
      </c>
      <c r="AD1967">
        <v>-8.0009999999999901E-2</v>
      </c>
      <c r="AE1967">
        <v>2.6599999999973499E-2</v>
      </c>
      <c r="AF1967">
        <v>9.3929329132445699E-3</v>
      </c>
      <c r="AG1967">
        <v>-8.0009999999999901E-2</v>
      </c>
      <c r="AH1967">
        <v>0.62049885494341295</v>
      </c>
      <c r="AI1967">
        <v>97.346608745403699</v>
      </c>
      <c r="AJ1967">
        <v>89.132739235773897</v>
      </c>
      <c r="AK1967">
        <v>0.62570652567701401</v>
      </c>
      <c r="AL1967">
        <v>69.515809706026801</v>
      </c>
      <c r="AM1967">
        <v>93.276459767877597</v>
      </c>
      <c r="AN1967">
        <v>0.99999996959633097</v>
      </c>
    </row>
    <row r="1968" spans="1:40" x14ac:dyDescent="0.25">
      <c r="A1968" t="str">
        <f>"20190304164854302"</f>
        <v>20190304164854302</v>
      </c>
      <c r="B1968" t="str">
        <f>"1551689334297704"</f>
        <v>1551689334297704</v>
      </c>
      <c r="C1968" t="s">
        <v>40</v>
      </c>
      <c r="D1968">
        <v>3.7653539999999999</v>
      </c>
      <c r="E1968">
        <v>0.53631280000000003</v>
      </c>
      <c r="F1968" t="s">
        <v>41</v>
      </c>
      <c r="G1968">
        <v>-215.21029999999999</v>
      </c>
      <c r="H1968">
        <v>1.0186759999999999</v>
      </c>
      <c r="I1968">
        <v>285.15589999999997</v>
      </c>
      <c r="J1968">
        <v>-214.59620000000001</v>
      </c>
      <c r="K1968">
        <v>1.1072789999999999</v>
      </c>
      <c r="L1968">
        <v>285.12959999999998</v>
      </c>
      <c r="M1968">
        <v>-0.99956049999999996</v>
      </c>
      <c r="N1968">
        <v>-4.99491E-3</v>
      </c>
      <c r="O1968">
        <v>2.9221670000000002E-2</v>
      </c>
      <c r="P1968">
        <v>-0.93854150000000003</v>
      </c>
      <c r="Q1968">
        <v>0.34384749999999997</v>
      </c>
      <c r="R1968">
        <v>-3.0151219999999999E-2</v>
      </c>
      <c r="S1968">
        <v>-3.321564</v>
      </c>
      <c r="T1968">
        <v>-0.32499329999999998</v>
      </c>
      <c r="U1968">
        <v>0.13333130000000001</v>
      </c>
      <c r="V1968">
        <v>-5.5547659999999999E-2</v>
      </c>
      <c r="W1968">
        <v>0.3488521</v>
      </c>
      <c r="X1968">
        <v>0.93553010000000003</v>
      </c>
      <c r="Y1968">
        <v>1.096362E-2</v>
      </c>
      <c r="Z1968">
        <v>-2.1425390000000002E-3</v>
      </c>
      <c r="AA1968">
        <v>0.99993759999999998</v>
      </c>
      <c r="AB1968">
        <v>31</v>
      </c>
      <c r="AC1968">
        <v>-0.614099999999979</v>
      </c>
      <c r="AD1968">
        <v>-8.8603000000000195E-2</v>
      </c>
      <c r="AE1968">
        <v>2.6299999999992E-2</v>
      </c>
      <c r="AF1968">
        <v>8.1736773512318395E-3</v>
      </c>
      <c r="AG1968">
        <v>-8.8603000000000195E-2</v>
      </c>
      <c r="AH1968">
        <v>0.60209539709395499</v>
      </c>
      <c r="AI1968">
        <v>98.370673409258401</v>
      </c>
      <c r="AJ1968">
        <v>89.222235459912696</v>
      </c>
      <c r="AK1968">
        <v>0.60863467516414904</v>
      </c>
      <c r="AL1968">
        <v>69.582878423040498</v>
      </c>
      <c r="AM1968">
        <v>93.397981819967896</v>
      </c>
      <c r="AN1968">
        <v>0.99999994910594603</v>
      </c>
    </row>
    <row r="1969" spans="1:40" x14ac:dyDescent="0.25">
      <c r="A1969" t="str">
        <f>"20190304164854326"</f>
        <v>20190304164854326</v>
      </c>
      <c r="B1969" t="str">
        <f>"1551689334318199"</f>
        <v>1551689334318199</v>
      </c>
      <c r="C1969" t="s">
        <v>40</v>
      </c>
      <c r="D1969">
        <v>3.7684039999999999</v>
      </c>
      <c r="E1969">
        <v>0.53351230000000005</v>
      </c>
      <c r="F1969" t="s">
        <v>41</v>
      </c>
      <c r="G1969">
        <v>-215.48679999999999</v>
      </c>
      <c r="H1969">
        <v>1.0193319999999999</v>
      </c>
      <c r="I1969">
        <v>285.16379999999998</v>
      </c>
      <c r="J1969">
        <v>-214.9178</v>
      </c>
      <c r="K1969">
        <v>1.1077840000000001</v>
      </c>
      <c r="L1969">
        <v>285.14100000000002</v>
      </c>
      <c r="M1969">
        <v>-0.99950700000000003</v>
      </c>
      <c r="N1969">
        <v>-4.9637370000000002E-3</v>
      </c>
      <c r="O1969">
        <v>3.1005660000000001E-2</v>
      </c>
      <c r="P1969">
        <v>-0.93927609999999995</v>
      </c>
      <c r="Q1969">
        <v>0.34172259999999999</v>
      </c>
      <c r="R1969">
        <v>-3.1405339999999997E-2</v>
      </c>
      <c r="S1969">
        <v>-3.3207089999999901</v>
      </c>
      <c r="T1969">
        <v>-0.32802819999999999</v>
      </c>
      <c r="U1969">
        <v>0.12734989999999999</v>
      </c>
      <c r="V1969">
        <v>-5.8942229999999998E-2</v>
      </c>
      <c r="W1969">
        <v>0.34664489999999998</v>
      </c>
      <c r="X1969">
        <v>0.93614269999999999</v>
      </c>
      <c r="Y1969">
        <v>7.4183209999999899E-3</v>
      </c>
      <c r="Z1969">
        <v>-2.51607E-3</v>
      </c>
      <c r="AA1969">
        <v>0.99996929999999995</v>
      </c>
      <c r="AB1969">
        <v>31</v>
      </c>
      <c r="AC1969">
        <v>-0.56899999999998796</v>
      </c>
      <c r="AD1969">
        <v>-8.8452000000000197E-2</v>
      </c>
      <c r="AE1969">
        <v>2.28000000000179E-2</v>
      </c>
      <c r="AF1969">
        <v>5.0253576562952502E-3</v>
      </c>
      <c r="AG1969">
        <v>-8.8452000000000197E-2</v>
      </c>
      <c r="AH1969">
        <v>0.55601858765877898</v>
      </c>
      <c r="AI1969">
        <v>99.038566710976099</v>
      </c>
      <c r="AJ1969">
        <v>89.482168490610206</v>
      </c>
      <c r="AK1969">
        <v>0.56303257485303304</v>
      </c>
      <c r="AL1969">
        <v>69.717761336143695</v>
      </c>
      <c r="AM1969">
        <v>93.602750848378705</v>
      </c>
      <c r="AN1969">
        <v>1.00000001396833</v>
      </c>
    </row>
    <row r="1970" spans="1:40" x14ac:dyDescent="0.25">
      <c r="A1970" t="str">
        <f>"20190304164854339"</f>
        <v>20190304164854339</v>
      </c>
      <c r="B1970" t="str">
        <f>"1551689334327960"</f>
        <v>1551689334327960</v>
      </c>
      <c r="C1970" t="s">
        <v>40</v>
      </c>
      <c r="D1970">
        <v>3.7570290000000002</v>
      </c>
      <c r="E1970">
        <v>0.53330180000000005</v>
      </c>
      <c r="F1970" t="s">
        <v>41</v>
      </c>
      <c r="G1970">
        <v>-215.76990000000001</v>
      </c>
      <c r="H1970">
        <v>1.0316339999999999</v>
      </c>
      <c r="I1970">
        <v>285.16730000000001</v>
      </c>
      <c r="J1970">
        <v>-215.0976</v>
      </c>
      <c r="K1970">
        <v>1.1080509999999999</v>
      </c>
      <c r="L1970">
        <v>285.14729999999997</v>
      </c>
      <c r="M1970">
        <v>-0.99948349999999997</v>
      </c>
      <c r="N1970">
        <v>-4.948961E-3</v>
      </c>
      <c r="O1970">
        <v>3.175567E-2</v>
      </c>
      <c r="P1970">
        <v>-0.93960310000000002</v>
      </c>
      <c r="Q1970">
        <v>0.34068389999999998</v>
      </c>
      <c r="R1970">
        <v>-3.2869290000000002E-2</v>
      </c>
      <c r="S1970">
        <v>-3.304916</v>
      </c>
      <c r="T1970">
        <v>-0.29567690000000002</v>
      </c>
      <c r="U1970">
        <v>0.1010132</v>
      </c>
      <c r="V1970">
        <v>-6.1352740000000003E-2</v>
      </c>
      <c r="W1970">
        <v>0.34556229999999999</v>
      </c>
      <c r="X1970">
        <v>0.936388</v>
      </c>
      <c r="Y1970">
        <v>-1.0887869999999999E-3</v>
      </c>
      <c r="Z1970">
        <v>-2.7284570000000001E-3</v>
      </c>
      <c r="AA1970">
        <v>0.99999570000000004</v>
      </c>
      <c r="AB1970">
        <v>31</v>
      </c>
      <c r="AC1970">
        <v>-0.672300000000007</v>
      </c>
      <c r="AD1970">
        <v>-7.6417000000000096E-2</v>
      </c>
      <c r="AE1970">
        <v>2.0000000000038601E-2</v>
      </c>
      <c r="AF1970">
        <v>-1.34235591473248E-3</v>
      </c>
      <c r="AG1970">
        <v>-7.6417000000000096E-2</v>
      </c>
      <c r="AH1970">
        <v>0.66402460696541699</v>
      </c>
      <c r="AI1970">
        <v>96.5647961622699</v>
      </c>
      <c r="AJ1970">
        <v>90.115825863894599</v>
      </c>
      <c r="AK1970">
        <v>0.66840858646787205</v>
      </c>
      <c r="AL1970">
        <v>69.783875035191002</v>
      </c>
      <c r="AM1970">
        <v>93.748697876768304</v>
      </c>
      <c r="AN1970">
        <v>0.99999997421539799</v>
      </c>
    </row>
    <row r="1971" spans="1:40" x14ac:dyDescent="0.25">
      <c r="A1971" t="str">
        <f>"20190304164854359"</f>
        <v>20190304164854359</v>
      </c>
      <c r="B1971" t="str">
        <f>"1551689334348459"</f>
        <v>1551689334348459</v>
      </c>
      <c r="C1971" t="s">
        <v>40</v>
      </c>
      <c r="D1971">
        <v>3.7437809999999998</v>
      </c>
      <c r="E1971">
        <v>0.53336589999999995</v>
      </c>
      <c r="F1971" t="s">
        <v>41</v>
      </c>
      <c r="G1971">
        <v>-216.04339999999999</v>
      </c>
      <c r="H1971">
        <v>1.022132</v>
      </c>
      <c r="I1971">
        <v>285.1746</v>
      </c>
      <c r="J1971">
        <v>-215.3699</v>
      </c>
      <c r="K1971">
        <v>1.1084339999999999</v>
      </c>
      <c r="L1971">
        <v>285.15690000000001</v>
      </c>
      <c r="M1971">
        <v>-0.99945910000000004</v>
      </c>
      <c r="N1971">
        <v>-4.9298720000000001E-3</v>
      </c>
      <c r="O1971">
        <v>3.2515540000000002E-2</v>
      </c>
      <c r="P1971">
        <v>-0.93991599999999997</v>
      </c>
      <c r="Q1971">
        <v>0.33944439999999998</v>
      </c>
      <c r="R1971">
        <v>-3.6548129999999998E-2</v>
      </c>
      <c r="S1971">
        <v>-3.305069</v>
      </c>
      <c r="T1971">
        <v>-0.30021789999999998</v>
      </c>
      <c r="U1971">
        <v>9.5550540000000003E-2</v>
      </c>
      <c r="V1971">
        <v>-6.607702E-2</v>
      </c>
      <c r="W1971">
        <v>0.3442616</v>
      </c>
      <c r="X1971">
        <v>0.93654570000000004</v>
      </c>
      <c r="Y1971">
        <v>-3.4847329999999998E-3</v>
      </c>
      <c r="Z1971">
        <v>-2.952681E-3</v>
      </c>
      <c r="AA1971">
        <v>0.99998960000000003</v>
      </c>
      <c r="AB1971">
        <v>31</v>
      </c>
      <c r="AC1971">
        <v>-0.67349999999999</v>
      </c>
      <c r="AD1971">
        <v>-8.6301999999999796E-2</v>
      </c>
      <c r="AE1971">
        <v>1.7699999999990699E-2</v>
      </c>
      <c r="AF1971">
        <v>-4.1408956068767896E-3</v>
      </c>
      <c r="AG1971">
        <v>-8.6301999999999796E-2</v>
      </c>
      <c r="AH1971">
        <v>0.66284318973898804</v>
      </c>
      <c r="AI1971">
        <v>97.418021835731494</v>
      </c>
      <c r="AJ1971">
        <v>90.357931949742095</v>
      </c>
      <c r="AK1971">
        <v>0.66845065367892598</v>
      </c>
      <c r="AL1971">
        <v>69.8632731250202</v>
      </c>
      <c r="AM1971">
        <v>94.035757262500994</v>
      </c>
      <c r="AN1971">
        <v>1.00000003499756</v>
      </c>
    </row>
    <row r="1972" spans="1:40" x14ac:dyDescent="0.25">
      <c r="A1972" t="str">
        <f>"20190304164854380"</f>
        <v>20190304164854380</v>
      </c>
      <c r="B1972" t="str">
        <f>"1551689334377737"</f>
        <v>1551689334377737</v>
      </c>
      <c r="C1972" t="s">
        <v>40</v>
      </c>
      <c r="D1972">
        <v>3.7527569999999999</v>
      </c>
      <c r="E1972">
        <v>0.53315049999999997</v>
      </c>
      <c r="F1972" t="s">
        <v>41</v>
      </c>
      <c r="G1972">
        <v>-216.3228</v>
      </c>
      <c r="H1972">
        <v>1.0231170000000001</v>
      </c>
      <c r="I1972">
        <v>285.1823</v>
      </c>
      <c r="J1972">
        <v>-215.679</v>
      </c>
      <c r="K1972">
        <v>1.1088249999999999</v>
      </c>
      <c r="L1972">
        <v>285.16750000000002</v>
      </c>
      <c r="M1972">
        <v>-0.99944679999999997</v>
      </c>
      <c r="N1972">
        <v>-4.9123539999999999E-3</v>
      </c>
      <c r="O1972">
        <v>3.2897719999999998E-2</v>
      </c>
      <c r="P1972">
        <v>-0.93952760000000002</v>
      </c>
      <c r="Q1972">
        <v>0.34032190000000001</v>
      </c>
      <c r="R1972">
        <v>-3.832559E-2</v>
      </c>
      <c r="S1972">
        <v>-3.3020320000000001</v>
      </c>
      <c r="T1972">
        <v>-0.29588100000000001</v>
      </c>
      <c r="U1972">
        <v>8.7310789999999999E-2</v>
      </c>
      <c r="V1972">
        <v>-6.8529400000000004E-2</v>
      </c>
      <c r="W1972">
        <v>0.34506100000000001</v>
      </c>
      <c r="X1972">
        <v>0.93607510000000005</v>
      </c>
      <c r="Y1972">
        <v>-6.3243219999999899E-3</v>
      </c>
      <c r="Z1972">
        <v>-3.077691E-3</v>
      </c>
      <c r="AA1972">
        <v>0.99997530000000001</v>
      </c>
      <c r="AB1972">
        <v>31</v>
      </c>
      <c r="AC1972">
        <v>-0.64379999999999804</v>
      </c>
      <c r="AD1972">
        <v>-8.5707999999999895E-2</v>
      </c>
      <c r="AE1972">
        <v>1.4799999999979699E-2</v>
      </c>
      <c r="AF1972">
        <v>-6.2766327088585499E-3</v>
      </c>
      <c r="AG1972">
        <v>-8.5707999999999895E-2</v>
      </c>
      <c r="AH1972">
        <v>0.632730361489793</v>
      </c>
      <c r="AI1972">
        <v>97.713808403401501</v>
      </c>
      <c r="AJ1972">
        <v>90.568350738481101</v>
      </c>
      <c r="AK1972">
        <v>0.63853971507899698</v>
      </c>
      <c r="AL1972">
        <v>69.814480156769093</v>
      </c>
      <c r="AM1972">
        <v>94.187113979581099</v>
      </c>
      <c r="AN1972">
        <v>0.99999998261268397</v>
      </c>
    </row>
    <row r="1973" spans="1:40" x14ac:dyDescent="0.25">
      <c r="A1973" t="str">
        <f>"20190304164854405"</f>
        <v>20190304164854405</v>
      </c>
      <c r="B1973" t="str">
        <f>"1551689334398231"</f>
        <v>1551689334398231</v>
      </c>
      <c r="C1973" t="s">
        <v>40</v>
      </c>
      <c r="D1973">
        <v>3.7429009999999998</v>
      </c>
      <c r="E1973">
        <v>0.53315040000000002</v>
      </c>
      <c r="F1973" t="s">
        <v>41</v>
      </c>
      <c r="G1973">
        <v>-216.60499999999999</v>
      </c>
      <c r="H1973">
        <v>1.0282209999999901</v>
      </c>
      <c r="I1973">
        <v>285.18959999999998</v>
      </c>
      <c r="J1973">
        <v>-216.0162</v>
      </c>
      <c r="K1973">
        <v>1.109218</v>
      </c>
      <c r="L1973">
        <v>285.17869999999999</v>
      </c>
      <c r="M1973">
        <v>-0.99944880000000003</v>
      </c>
      <c r="N1973">
        <v>-4.897701E-3</v>
      </c>
      <c r="O1973">
        <v>3.2836949999999997E-2</v>
      </c>
      <c r="P1973">
        <v>-0.93896250000000003</v>
      </c>
      <c r="Q1973">
        <v>0.3417248</v>
      </c>
      <c r="R1973">
        <v>-3.9670469999999999E-2</v>
      </c>
      <c r="S1973">
        <v>-3.3003849999999999</v>
      </c>
      <c r="T1973">
        <v>-0.28734270000000001</v>
      </c>
      <c r="U1973">
        <v>7.8521729999999998E-2</v>
      </c>
      <c r="V1973">
        <v>-7.0120290000000002E-2</v>
      </c>
      <c r="W1973">
        <v>0.34638409999999997</v>
      </c>
      <c r="X1973">
        <v>0.93546839999999998</v>
      </c>
      <c r="Y1973">
        <v>-8.9098189999999994E-3</v>
      </c>
      <c r="Z1973">
        <v>-3.100818E-3</v>
      </c>
      <c r="AA1973">
        <v>0.9999555</v>
      </c>
      <c r="AB1973">
        <v>31</v>
      </c>
      <c r="AC1973">
        <v>-0.588799999999992</v>
      </c>
      <c r="AD1973">
        <v>-8.0997000000000194E-2</v>
      </c>
      <c r="AE1973">
        <v>1.08999999999923E-2</v>
      </c>
      <c r="AF1973">
        <v>-8.2837997430220203E-3</v>
      </c>
      <c r="AG1973">
        <v>-8.0997000000000194E-2</v>
      </c>
      <c r="AH1973">
        <v>0.57790807545523504</v>
      </c>
      <c r="AI1973">
        <v>97.977539926624502</v>
      </c>
      <c r="AJ1973">
        <v>90.821227944528999</v>
      </c>
      <c r="AK1973">
        <v>0.58361535194300396</v>
      </c>
      <c r="AL1973">
        <v>69.733689938376202</v>
      </c>
      <c r="AM1973">
        <v>94.286726840761304</v>
      </c>
      <c r="AN1973">
        <v>0.99999996360052601</v>
      </c>
    </row>
    <row r="1974" spans="1:40" x14ac:dyDescent="0.25">
      <c r="A1974" t="str">
        <f>"20190304164854429"</f>
        <v>20190304164854429</v>
      </c>
      <c r="B1974" t="str">
        <f>"1551689334418728"</f>
        <v>1551689334418728</v>
      </c>
      <c r="C1974" t="s">
        <v>40</v>
      </c>
      <c r="D1974">
        <v>3.7366769999999998</v>
      </c>
      <c r="E1974">
        <v>0.53307119999999997</v>
      </c>
      <c r="F1974" t="s">
        <v>41</v>
      </c>
      <c r="G1974">
        <v>-216.89080000000001</v>
      </c>
      <c r="H1974">
        <v>1.035288</v>
      </c>
      <c r="I1974">
        <v>285.19799999999998</v>
      </c>
      <c r="J1974">
        <v>-216.34780000000001</v>
      </c>
      <c r="K1974">
        <v>1.1095630000000001</v>
      </c>
      <c r="L1974">
        <v>285.18950000000001</v>
      </c>
      <c r="M1974">
        <v>-0.99946420000000002</v>
      </c>
      <c r="N1974">
        <v>-4.8874640000000002E-3</v>
      </c>
      <c r="O1974">
        <v>3.2367050000000001E-2</v>
      </c>
      <c r="P1974">
        <v>-0.93874489999999999</v>
      </c>
      <c r="Q1974">
        <v>0.34202369999999999</v>
      </c>
      <c r="R1974">
        <v>-4.2165840000000003E-2</v>
      </c>
      <c r="S1974">
        <v>-3.2996669999999999</v>
      </c>
      <c r="T1974">
        <v>-0.27919709999999998</v>
      </c>
      <c r="U1974">
        <v>7.1960449999999995E-2</v>
      </c>
      <c r="V1974">
        <v>-7.2456259999999995E-2</v>
      </c>
      <c r="W1974">
        <v>0.34661360000000002</v>
      </c>
      <c r="X1974">
        <v>0.93520539999999996</v>
      </c>
      <c r="Y1974">
        <v>-1.042598E-2</v>
      </c>
      <c r="Z1974">
        <v>-3.0407260000000001E-3</v>
      </c>
      <c r="AA1974">
        <v>0.99994110000000003</v>
      </c>
      <c r="AB1974">
        <v>31</v>
      </c>
      <c r="AC1974">
        <v>-0.54300000000000603</v>
      </c>
      <c r="AD1974">
        <v>-7.42749999999998E-2</v>
      </c>
      <c r="AE1974">
        <v>8.4999999999695302E-3</v>
      </c>
      <c r="AF1974">
        <v>-8.9132395728666203E-3</v>
      </c>
      <c r="AG1974">
        <v>-7.42749999999998E-2</v>
      </c>
      <c r="AH1974">
        <v>0.53301997821340197</v>
      </c>
      <c r="AI1974">
        <v>97.931845340699795</v>
      </c>
      <c r="AJ1974">
        <v>90.958019279981698</v>
      </c>
      <c r="AK1974">
        <v>0.53824392113548203</v>
      </c>
      <c r="AL1974">
        <v>69.719673328319502</v>
      </c>
      <c r="AM1974">
        <v>94.430215268609103</v>
      </c>
      <c r="AN1974">
        <v>1.00000001875365</v>
      </c>
    </row>
    <row r="1975" spans="1:40" x14ac:dyDescent="0.25">
      <c r="A1975" t="str">
        <f>"20190304164854449"</f>
        <v>20190304164854449</v>
      </c>
      <c r="B1975" t="str">
        <f>"1551689334438248"</f>
        <v>1551689334438248</v>
      </c>
      <c r="C1975" t="s">
        <v>40</v>
      </c>
      <c r="D1975">
        <v>3.7361019999999998</v>
      </c>
      <c r="E1975">
        <v>0.53301549999999998</v>
      </c>
      <c r="F1975" t="s">
        <v>41</v>
      </c>
      <c r="G1975">
        <v>-217.17760000000001</v>
      </c>
      <c r="H1975">
        <v>1.04057</v>
      </c>
      <c r="I1975">
        <v>285.20569999999998</v>
      </c>
      <c r="J1975">
        <v>-216.64769999999999</v>
      </c>
      <c r="K1975">
        <v>1.109853</v>
      </c>
      <c r="L1975">
        <v>285.19869999999997</v>
      </c>
      <c r="M1975">
        <v>-0.99948820000000005</v>
      </c>
      <c r="N1975">
        <v>-4.8817970000000002E-3</v>
      </c>
      <c r="O1975">
        <v>3.1622209999999998E-2</v>
      </c>
      <c r="P1975">
        <v>-0.93881510000000001</v>
      </c>
      <c r="Q1975">
        <v>0.34141880000000002</v>
      </c>
      <c r="R1975">
        <v>-4.5383039999999999E-2</v>
      </c>
      <c r="S1975">
        <v>-3.2985989999999998</v>
      </c>
      <c r="T1975">
        <v>-0.27441130000000002</v>
      </c>
      <c r="U1975">
        <v>6.4208979999999999E-2</v>
      </c>
      <c r="V1975">
        <v>-7.5218980000000005E-2</v>
      </c>
      <c r="W1975">
        <v>0.34595110000000001</v>
      </c>
      <c r="X1975">
        <v>0.93523259999999997</v>
      </c>
      <c r="Y1975">
        <v>-1.2023809999999999E-2</v>
      </c>
      <c r="Z1975">
        <v>-2.9998339999999998E-3</v>
      </c>
      <c r="AA1975">
        <v>0.99992320000000001</v>
      </c>
      <c r="AB1975">
        <v>31</v>
      </c>
      <c r="AC1975">
        <v>-0.52990000000002602</v>
      </c>
      <c r="AD1975">
        <v>-6.92829999999999E-2</v>
      </c>
      <c r="AE1975">
        <v>7.0000000000049996E-3</v>
      </c>
      <c r="AF1975">
        <v>-9.5962871907445003E-3</v>
      </c>
      <c r="AG1975">
        <v>-6.92829999999999E-2</v>
      </c>
      <c r="AH1975">
        <v>0.52095229275380195</v>
      </c>
      <c r="AI1975">
        <v>97.574212549385706</v>
      </c>
      <c r="AJ1975">
        <v>91.055306956318503</v>
      </c>
      <c r="AK1975">
        <v>0.52562678217751702</v>
      </c>
      <c r="AL1975">
        <v>69.760135533467903</v>
      </c>
      <c r="AM1975">
        <v>94.598292703795806</v>
      </c>
      <c r="AN1975">
        <v>1.0000000373230999</v>
      </c>
    </row>
    <row r="1976" spans="1:40" x14ac:dyDescent="0.25">
      <c r="A1976" t="str">
        <f>"20190304164854463"</f>
        <v>20190304164854463</v>
      </c>
      <c r="B1976" t="str">
        <f>"1551689334457768"</f>
        <v>1551689334457768</v>
      </c>
      <c r="C1976" t="s">
        <v>40</v>
      </c>
      <c r="D1976">
        <v>3.7367309999999998</v>
      </c>
      <c r="E1976">
        <v>0.53286330000000004</v>
      </c>
      <c r="F1976" t="s">
        <v>46</v>
      </c>
      <c r="G1976">
        <v>-229.9727</v>
      </c>
      <c r="H1976" s="1">
        <v>-1.5866979999999999E-6</v>
      </c>
      <c r="I1976">
        <v>285.42579999999998</v>
      </c>
      <c r="J1976">
        <v>-216.84530000000001</v>
      </c>
      <c r="K1976">
        <v>1.1100300000000001</v>
      </c>
      <c r="L1976">
        <v>285.2045</v>
      </c>
      <c r="M1976">
        <v>-0.99950819999999996</v>
      </c>
      <c r="N1976">
        <v>-4.8800299999999996E-3</v>
      </c>
      <c r="O1976">
        <v>3.0977210000000002E-2</v>
      </c>
      <c r="P1976">
        <v>-0.93894710000000003</v>
      </c>
      <c r="Q1976">
        <v>0.34086129999999998</v>
      </c>
      <c r="R1976">
        <v>-4.6817770000000002E-2</v>
      </c>
      <c r="S1976">
        <v>-3.2981410000000002</v>
      </c>
      <c r="T1976">
        <v>-0.2747059</v>
      </c>
      <c r="U1976">
        <v>5.621338E-2</v>
      </c>
      <c r="V1976">
        <v>-7.6203469999999995E-2</v>
      </c>
      <c r="W1976">
        <v>0.34535909999999997</v>
      </c>
      <c r="X1976">
        <v>0.93537159999999997</v>
      </c>
      <c r="Y1976">
        <v>-1.3794229999999999E-2</v>
      </c>
      <c r="Z1976">
        <v>-3.0312160000000002E-3</v>
      </c>
      <c r="AA1976">
        <v>0.99990029999999996</v>
      </c>
      <c r="AB1976">
        <v>32</v>
      </c>
      <c r="AC1976">
        <v>-13.1273999999999</v>
      </c>
      <c r="AD1976">
        <v>-1.110031586698</v>
      </c>
      <c r="AE1976">
        <v>0.22129999999998501</v>
      </c>
      <c r="AF1976">
        <v>-0.184144981808019</v>
      </c>
      <c r="AG1976">
        <v>-1.110031586698</v>
      </c>
      <c r="AH1976">
        <v>13.034781479028201</v>
      </c>
      <c r="AI1976">
        <v>94.867035640375605</v>
      </c>
      <c r="AJ1976">
        <v>90.809375169034297</v>
      </c>
      <c r="AK1976">
        <v>13.0832567697729</v>
      </c>
      <c r="AL1976">
        <v>69.796280917102195</v>
      </c>
      <c r="AM1976">
        <v>94.657524285295494</v>
      </c>
      <c r="AN1976">
        <v>0.99999995343970405</v>
      </c>
    </row>
    <row r="1977" spans="1:40" x14ac:dyDescent="0.25">
      <c r="A1977" t="str">
        <f>"20190304164854482"</f>
        <v>20190304164854482</v>
      </c>
      <c r="B1977" t="str">
        <f>"1551689334478264"</f>
        <v>1551689334478264</v>
      </c>
      <c r="C1977" t="s">
        <v>40</v>
      </c>
      <c r="D1977">
        <v>3.7397269999999998</v>
      </c>
      <c r="E1977">
        <v>0.52552719999999997</v>
      </c>
      <c r="F1977" t="s">
        <v>41</v>
      </c>
      <c r="G1977">
        <v>-217.7397</v>
      </c>
      <c r="H1977">
        <v>1.035487</v>
      </c>
      <c r="I1977">
        <v>285.21839999999997</v>
      </c>
      <c r="J1977">
        <v>-217.11199999999999</v>
      </c>
      <c r="K1977">
        <v>1.1102510000000001</v>
      </c>
      <c r="L1977">
        <v>285.21199999999999</v>
      </c>
      <c r="M1977">
        <v>-0.99953959999999997</v>
      </c>
      <c r="N1977">
        <v>-4.8795710000000001E-3</v>
      </c>
      <c r="O1977">
        <v>2.994753E-2</v>
      </c>
      <c r="P1977">
        <v>-0.93911029999999995</v>
      </c>
      <c r="Q1977">
        <v>0.34000829999999999</v>
      </c>
      <c r="R1977">
        <v>-4.9661690000000001E-2</v>
      </c>
      <c r="S1977">
        <v>-3.2974239999999999</v>
      </c>
      <c r="T1977">
        <v>-0.27494049999999998</v>
      </c>
      <c r="U1977">
        <v>5.1025389999999997E-2</v>
      </c>
      <c r="V1977">
        <v>-7.8277120000000006E-2</v>
      </c>
      <c r="W1977">
        <v>0.34446169999999998</v>
      </c>
      <c r="X1977">
        <v>0.93553129999999995</v>
      </c>
      <c r="Y1977">
        <v>-1.4334080000000001E-2</v>
      </c>
      <c r="Z1977">
        <v>-2.977787E-3</v>
      </c>
      <c r="AA1977">
        <v>0.99989280000000003</v>
      </c>
      <c r="AB1977">
        <v>32</v>
      </c>
      <c r="AC1977">
        <v>-0.62770000000000403</v>
      </c>
      <c r="AD1977">
        <v>-7.4763999999999997E-2</v>
      </c>
      <c r="AE1977">
        <v>6.39999999998508E-3</v>
      </c>
      <c r="AF1977">
        <v>-1.2227705774904099E-2</v>
      </c>
      <c r="AG1977">
        <v>-7.4763999999999997E-2</v>
      </c>
      <c r="AH1977">
        <v>0.61883186126009704</v>
      </c>
      <c r="AI1977">
        <v>96.887455023674903</v>
      </c>
      <c r="AJ1977">
        <v>91.131979170824295</v>
      </c>
      <c r="AK1977">
        <v>0.62345171825503298</v>
      </c>
      <c r="AL1977">
        <v>69.851060422389907</v>
      </c>
      <c r="AM1977">
        <v>94.782871666746104</v>
      </c>
      <c r="AN1977">
        <v>0.99999999178103705</v>
      </c>
    </row>
    <row r="1978" spans="1:40" x14ac:dyDescent="0.25">
      <c r="A1978" t="str">
        <f>"20190304164854504"</f>
        <v>20190304164854504</v>
      </c>
      <c r="B1978" t="str">
        <f>"1551689334497784"</f>
        <v>1551689334497784</v>
      </c>
      <c r="C1978" t="s">
        <v>40</v>
      </c>
      <c r="D1978">
        <v>3.7372830000000001</v>
      </c>
      <c r="E1978">
        <v>0.52502660000000001</v>
      </c>
      <c r="F1978" t="s">
        <v>46</v>
      </c>
      <c r="G1978">
        <v>-231.7011</v>
      </c>
      <c r="H1978" s="1">
        <v>-6.5482699999999996E-7</v>
      </c>
      <c r="I1978">
        <v>285.14940000000001</v>
      </c>
      <c r="J1978">
        <v>-217.43170000000001</v>
      </c>
      <c r="K1978">
        <v>1.11049</v>
      </c>
      <c r="L1978">
        <v>285.22039999999998</v>
      </c>
      <c r="M1978">
        <v>-0.99958219999999998</v>
      </c>
      <c r="N1978">
        <v>-4.881453E-3</v>
      </c>
      <c r="O1978">
        <v>2.8494950000000002E-2</v>
      </c>
      <c r="P1978">
        <v>-0.93910990000000005</v>
      </c>
      <c r="Q1978">
        <v>0.33963300000000002</v>
      </c>
      <c r="R1978">
        <v>-5.217741E-2</v>
      </c>
      <c r="S1978">
        <v>-3.2842560000000001</v>
      </c>
      <c r="T1978">
        <v>-0.24993650000000001</v>
      </c>
      <c r="U1978">
        <v>-1.409912E-2</v>
      </c>
      <c r="V1978">
        <v>-7.9635159999999997E-2</v>
      </c>
      <c r="W1978">
        <v>0.34403860000000003</v>
      </c>
      <c r="X1978">
        <v>0.93557239999999997</v>
      </c>
      <c r="Y1978">
        <v>-3.2613660000000003E-2</v>
      </c>
      <c r="Z1978">
        <v>-3.3451560000000002E-3</v>
      </c>
      <c r="AA1978">
        <v>0.99946239999999997</v>
      </c>
      <c r="AB1978">
        <v>32</v>
      </c>
      <c r="AC1978">
        <v>-14.2693999999999</v>
      </c>
      <c r="AD1978">
        <v>-1.1104906548269999</v>
      </c>
      <c r="AE1978">
        <v>-7.0999999999969504E-2</v>
      </c>
      <c r="AF1978">
        <v>-0.47470681000279003</v>
      </c>
      <c r="AG1978">
        <v>-1.1104906548269999</v>
      </c>
      <c r="AH1978">
        <v>14.1757298915342</v>
      </c>
      <c r="AI1978">
        <v>94.476758797543695</v>
      </c>
      <c r="AJ1978">
        <v>91.917963794531801</v>
      </c>
      <c r="AK1978">
        <v>14.2270817108659</v>
      </c>
      <c r="AL1978">
        <v>69.876880954328598</v>
      </c>
      <c r="AM1978">
        <v>94.865242652194496</v>
      </c>
      <c r="AN1978">
        <v>1.00000001631997</v>
      </c>
    </row>
    <row r="1979" spans="1:40" x14ac:dyDescent="0.25">
      <c r="A1979" t="str">
        <f>"20190304164854518"</f>
        <v>20190304164854518</v>
      </c>
      <c r="B1979" t="str">
        <f>"1551689334507544"</f>
        <v>1551689334507544</v>
      </c>
      <c r="C1979" t="s">
        <v>40</v>
      </c>
      <c r="D1979">
        <v>3.7237040000000001</v>
      </c>
      <c r="E1979">
        <v>0.52495990000000003</v>
      </c>
      <c r="F1979" t="s">
        <v>46</v>
      </c>
      <c r="G1979">
        <v>-232.36699999999999</v>
      </c>
      <c r="H1979" s="1">
        <v>-2.9825369999999999E-7</v>
      </c>
      <c r="I1979">
        <v>285.09769999999997</v>
      </c>
      <c r="J1979">
        <v>-217.61699999999999</v>
      </c>
      <c r="K1979">
        <v>1.1106130000000001</v>
      </c>
      <c r="L1979">
        <v>285.22500000000002</v>
      </c>
      <c r="M1979">
        <v>-0.99960800000000005</v>
      </c>
      <c r="N1979">
        <v>-4.8832830000000004E-3</v>
      </c>
      <c r="O1979">
        <v>2.7575039999999999E-2</v>
      </c>
      <c r="P1979">
        <v>-0.93903919999999996</v>
      </c>
      <c r="Q1979">
        <v>0.33964119999999998</v>
      </c>
      <c r="R1979">
        <v>-5.33813E-2</v>
      </c>
      <c r="S1979">
        <v>-3.2812190000000001</v>
      </c>
      <c r="T1979">
        <v>-0.2439712</v>
      </c>
      <c r="U1979">
        <v>-2.6947019999999999E-2</v>
      </c>
      <c r="V1979">
        <v>-8.0082219999999996E-2</v>
      </c>
      <c r="W1979">
        <v>0.34402250000000001</v>
      </c>
      <c r="X1979">
        <v>0.93554009999999999</v>
      </c>
      <c r="Y1979">
        <v>-3.5612320000000003E-2</v>
      </c>
      <c r="Z1979">
        <v>-3.3220120000000001E-3</v>
      </c>
      <c r="AA1979">
        <v>0.99936009999999997</v>
      </c>
      <c r="AB1979">
        <v>32</v>
      </c>
      <c r="AC1979">
        <v>-14.75</v>
      </c>
      <c r="AD1979">
        <v>-1.11061329825369</v>
      </c>
      <c r="AE1979">
        <v>-0.12730000000004699</v>
      </c>
      <c r="AF1979">
        <v>-0.53097806832977601</v>
      </c>
      <c r="AG1979">
        <v>-1.11061329825369</v>
      </c>
      <c r="AH1979">
        <v>14.657785097442201</v>
      </c>
      <c r="AI1979">
        <v>94.330164881372497</v>
      </c>
      <c r="AJ1979">
        <v>92.074631682596404</v>
      </c>
      <c r="AK1979">
        <v>14.7093869202664</v>
      </c>
      <c r="AL1979">
        <v>69.877862215512806</v>
      </c>
      <c r="AM1979">
        <v>94.892591295429995</v>
      </c>
      <c r="AN1979">
        <v>0.99999996058719298</v>
      </c>
    </row>
    <row r="1980" spans="1:40" x14ac:dyDescent="0.25">
      <c r="A1980" t="str">
        <f>"20190304164854538"</f>
        <v>20190304164854538</v>
      </c>
      <c r="B1980" t="str">
        <f>"1551689334528043"</f>
        <v>1551689334528043</v>
      </c>
      <c r="C1980" t="s">
        <v>40</v>
      </c>
      <c r="D1980">
        <v>3.7403200000000001</v>
      </c>
      <c r="E1980">
        <v>0.52498049999999996</v>
      </c>
      <c r="F1980" t="s">
        <v>46</v>
      </c>
      <c r="G1980">
        <v>-232.7337</v>
      </c>
      <c r="H1980" s="1">
        <v>-1.022654E-7</v>
      </c>
      <c r="I1980">
        <v>285.07940000000002</v>
      </c>
      <c r="J1980">
        <v>-217.91290000000001</v>
      </c>
      <c r="K1980">
        <v>1.110784</v>
      </c>
      <c r="L1980">
        <v>285.23180000000002</v>
      </c>
      <c r="M1980">
        <v>-0.99965059999999994</v>
      </c>
      <c r="N1980">
        <v>-4.8880449999999997E-3</v>
      </c>
      <c r="O1980">
        <v>2.5972990000000001E-2</v>
      </c>
      <c r="P1980">
        <v>-0.9389594</v>
      </c>
      <c r="Q1980">
        <v>0.33957199999999998</v>
      </c>
      <c r="R1980">
        <v>-5.5190410000000002E-2</v>
      </c>
      <c r="S1980">
        <v>-3.2801360000000002</v>
      </c>
      <c r="T1980">
        <v>-0.24098900000000001</v>
      </c>
      <c r="U1980">
        <v>-3.158569E-2</v>
      </c>
      <c r="V1980">
        <v>-8.05337E-2</v>
      </c>
      <c r="W1980">
        <v>0.34392230000000001</v>
      </c>
      <c r="X1980">
        <v>0.93553819999999999</v>
      </c>
      <c r="Y1980">
        <v>-3.5434930000000003E-2</v>
      </c>
      <c r="Z1980">
        <v>-3.1653359999999999E-3</v>
      </c>
      <c r="AA1980">
        <v>0.99936700000000001</v>
      </c>
      <c r="AB1980">
        <v>32</v>
      </c>
      <c r="AC1980">
        <v>-14.820799999999901</v>
      </c>
      <c r="AD1980">
        <v>-1.1107841022653999</v>
      </c>
      <c r="AE1980">
        <v>-0.15240000000000001</v>
      </c>
      <c r="AF1980">
        <v>-0.53429282553350299</v>
      </c>
      <c r="AG1980">
        <v>-1.1107841022653999</v>
      </c>
      <c r="AH1980">
        <v>14.7291147780836</v>
      </c>
      <c r="AI1980">
        <v>94.309926605420003</v>
      </c>
      <c r="AJ1980">
        <v>92.077470897533502</v>
      </c>
      <c r="AK1980">
        <v>14.7805998623609</v>
      </c>
      <c r="AL1980">
        <v>69.883976629369698</v>
      </c>
      <c r="AM1980">
        <v>94.920049211049104</v>
      </c>
      <c r="AN1980">
        <v>0.999999974466109</v>
      </c>
    </row>
    <row r="1981" spans="1:40" x14ac:dyDescent="0.25">
      <c r="A1981" t="str">
        <f>"20190304164854559"</f>
        <v>20190304164854559</v>
      </c>
      <c r="B1981" t="str">
        <f>"1551689334548536"</f>
        <v>1551689334548536</v>
      </c>
      <c r="C1981" t="s">
        <v>40</v>
      </c>
      <c r="D1981">
        <v>3.7208760000000001</v>
      </c>
      <c r="E1981">
        <v>0.52522939999999996</v>
      </c>
      <c r="F1981" t="s">
        <v>46</v>
      </c>
      <c r="G1981">
        <v>-233.07210000000001</v>
      </c>
      <c r="H1981" s="1">
        <v>7.891057E-8</v>
      </c>
      <c r="I1981">
        <v>285.05419999999998</v>
      </c>
      <c r="J1981">
        <v>-218.21379999999999</v>
      </c>
      <c r="K1981">
        <v>1.1109370000000001</v>
      </c>
      <c r="L1981">
        <v>285.23809999999997</v>
      </c>
      <c r="M1981">
        <v>-0.99969479999999999</v>
      </c>
      <c r="N1981">
        <v>-4.8980530000000003E-3</v>
      </c>
      <c r="O1981">
        <v>2.4219069999999999E-2</v>
      </c>
      <c r="P1981">
        <v>-0.93915490000000001</v>
      </c>
      <c r="Q1981">
        <v>0.3387307</v>
      </c>
      <c r="R1981">
        <v>-5.7008389999999999E-2</v>
      </c>
      <c r="S1981">
        <v>-3.2796630000000002</v>
      </c>
      <c r="T1981">
        <v>-0.24031559999999999</v>
      </c>
      <c r="U1981">
        <v>-3.8421629999999998E-2</v>
      </c>
      <c r="V1981">
        <v>-8.0836030000000003E-2</v>
      </c>
      <c r="W1981">
        <v>0.34306150000000002</v>
      </c>
      <c r="X1981">
        <v>0.93582810000000005</v>
      </c>
      <c r="Y1981">
        <v>-3.576973E-2</v>
      </c>
      <c r="Z1981">
        <v>-3.050091E-3</v>
      </c>
      <c r="AA1981">
        <v>0.9993554</v>
      </c>
      <c r="AB1981">
        <v>32</v>
      </c>
      <c r="AC1981">
        <v>-14.8583</v>
      </c>
      <c r="AD1981">
        <v>-1.11093692108943</v>
      </c>
      <c r="AE1981">
        <v>-0.18389999999999401</v>
      </c>
      <c r="AF1981">
        <v>-0.54068238462198104</v>
      </c>
      <c r="AG1981">
        <v>-1.11093692108943</v>
      </c>
      <c r="AH1981">
        <v>14.766947593197401</v>
      </c>
      <c r="AI1981">
        <v>94.299462301263006</v>
      </c>
      <c r="AJ1981">
        <v>92.096911775696199</v>
      </c>
      <c r="AK1981">
        <v>14.8185444461971</v>
      </c>
      <c r="AL1981">
        <v>69.936491486983101</v>
      </c>
      <c r="AM1981">
        <v>94.936906040179394</v>
      </c>
      <c r="AN1981">
        <v>0.99999994463900899</v>
      </c>
    </row>
    <row r="1982" spans="1:40" x14ac:dyDescent="0.25">
      <c r="A1982" t="str">
        <f>"20190304164854571"</f>
        <v>20190304164854571</v>
      </c>
      <c r="B1982" t="str">
        <f>"1551689334568056"</f>
        <v>1551689334568056</v>
      </c>
      <c r="C1982" t="s">
        <v>40</v>
      </c>
      <c r="D1982">
        <v>3.7425259999999998</v>
      </c>
      <c r="E1982">
        <v>0.52546400000000004</v>
      </c>
      <c r="F1982" t="s">
        <v>46</v>
      </c>
      <c r="G1982">
        <v>-233.1885</v>
      </c>
      <c r="H1982" s="1">
        <v>1.4132079999999999E-7</v>
      </c>
      <c r="I1982">
        <v>285.04329999999999</v>
      </c>
      <c r="J1982">
        <v>-218.3948</v>
      </c>
      <c r="K1982">
        <v>1.111016</v>
      </c>
      <c r="L1982">
        <v>285.24160000000001</v>
      </c>
      <c r="M1982">
        <v>-0.99972099999999997</v>
      </c>
      <c r="N1982">
        <v>-4.9064299999999998E-3</v>
      </c>
      <c r="O1982">
        <v>2.3113649999999999E-2</v>
      </c>
      <c r="P1982">
        <v>-0.93941529999999995</v>
      </c>
      <c r="Q1982">
        <v>0.33782200000000001</v>
      </c>
      <c r="R1982">
        <v>-5.8098810000000001E-2</v>
      </c>
      <c r="S1982">
        <v>-3.2795260000000002</v>
      </c>
      <c r="T1982">
        <v>-0.2433004</v>
      </c>
      <c r="U1982">
        <v>-4.2663569999999998E-2</v>
      </c>
      <c r="V1982">
        <v>-8.0959390000000006E-2</v>
      </c>
      <c r="W1982">
        <v>0.34214630000000001</v>
      </c>
      <c r="X1982">
        <v>0.93615250000000005</v>
      </c>
      <c r="Y1982">
        <v>-3.5955729999999998E-2</v>
      </c>
      <c r="Z1982">
        <v>-3.0192029999999998E-3</v>
      </c>
      <c r="AA1982">
        <v>0.99934880000000004</v>
      </c>
      <c r="AB1982">
        <v>32</v>
      </c>
      <c r="AC1982">
        <v>-14.793699999999999</v>
      </c>
      <c r="AD1982">
        <v>-1.1110158586792001</v>
      </c>
      <c r="AE1982">
        <v>-0.19830000000001699</v>
      </c>
      <c r="AF1982">
        <v>-0.53715839106160801</v>
      </c>
      <c r="AG1982">
        <v>-1.1110158586792001</v>
      </c>
      <c r="AH1982">
        <v>14.7022568672134</v>
      </c>
      <c r="AI1982">
        <v>94.3186267899315</v>
      </c>
      <c r="AJ1982">
        <v>92.092415175011496</v>
      </c>
      <c r="AK1982">
        <v>14.7539571764611</v>
      </c>
      <c r="AL1982">
        <v>69.992307848463099</v>
      </c>
      <c r="AM1982">
        <v>94.942697827916803</v>
      </c>
      <c r="AN1982">
        <v>1.0000000083445499</v>
      </c>
    </row>
    <row r="1983" spans="1:40" x14ac:dyDescent="0.25">
      <c r="A1983" t="str">
        <f>"20190304164854593"</f>
        <v>20190304164854593</v>
      </c>
      <c r="B1983" t="str">
        <f>"1551689334587576"</f>
        <v>1551689334587576</v>
      </c>
      <c r="C1983" t="s">
        <v>40</v>
      </c>
      <c r="D1983">
        <v>3.7440790000000002</v>
      </c>
      <c r="E1983">
        <v>0.52558269999999996</v>
      </c>
      <c r="F1983" t="s">
        <v>46</v>
      </c>
      <c r="G1983">
        <v>-233.23259999999999</v>
      </c>
      <c r="H1983" s="1">
        <v>1.64908399999999E-7</v>
      </c>
      <c r="I1983">
        <v>285.03989999999999</v>
      </c>
      <c r="J1983">
        <v>-218.71180000000001</v>
      </c>
      <c r="K1983">
        <v>1.1111420000000001</v>
      </c>
      <c r="L1983">
        <v>285.24720000000002</v>
      </c>
      <c r="M1983">
        <v>-0.99976520000000002</v>
      </c>
      <c r="N1983">
        <v>-4.9266509999999998E-3</v>
      </c>
      <c r="O1983">
        <v>2.110072E-2</v>
      </c>
      <c r="P1983">
        <v>-0.93974500000000005</v>
      </c>
      <c r="Q1983">
        <v>0.33666030000000002</v>
      </c>
      <c r="R1983">
        <v>-5.9492370000000003E-2</v>
      </c>
      <c r="S1983">
        <v>-3.2789920000000001</v>
      </c>
      <c r="T1983">
        <v>-0.24552350000000001</v>
      </c>
      <c r="U1983">
        <v>-4.4555659999999997E-2</v>
      </c>
      <c r="V1983">
        <v>-8.0573770000000003E-2</v>
      </c>
      <c r="W1983">
        <v>0.34098240000000002</v>
      </c>
      <c r="X1983">
        <v>0.93661030000000001</v>
      </c>
      <c r="Y1983">
        <v>-3.4528400000000001E-2</v>
      </c>
      <c r="Z1983">
        <v>-2.8498669999999999E-3</v>
      </c>
      <c r="AA1983">
        <v>0.9993997</v>
      </c>
      <c r="AB1983">
        <v>32</v>
      </c>
      <c r="AC1983">
        <v>-14.5207999999999</v>
      </c>
      <c r="AD1983">
        <v>-1.1111418350916</v>
      </c>
      <c r="AE1983">
        <v>-0.20730000000003199</v>
      </c>
      <c r="AF1983">
        <v>-0.51066734155196103</v>
      </c>
      <c r="AG1983">
        <v>-1.1111418350916</v>
      </c>
      <c r="AH1983">
        <v>14.4287237110942</v>
      </c>
      <c r="AI1983">
        <v>94.400855774814204</v>
      </c>
      <c r="AJ1983">
        <v>92.026989794784299</v>
      </c>
      <c r="AK1983">
        <v>14.480451831434999</v>
      </c>
      <c r="AL1983">
        <v>70.063261345789201</v>
      </c>
      <c r="AM1983">
        <v>94.9168782523722</v>
      </c>
      <c r="AN1983">
        <v>0.99999999179393095</v>
      </c>
    </row>
    <row r="1984" spans="1:40" x14ac:dyDescent="0.25">
      <c r="A1984" t="str">
        <f>"20190304164854606"</f>
        <v>20190304164854606</v>
      </c>
      <c r="B1984" t="str">
        <f>"1551689334598312"</f>
        <v>1551689334598312</v>
      </c>
      <c r="C1984" t="s">
        <v>40</v>
      </c>
      <c r="D1984">
        <v>3.7225280000000001</v>
      </c>
      <c r="E1984">
        <v>0.52556999999999998</v>
      </c>
      <c r="F1984" t="s">
        <v>46</v>
      </c>
      <c r="G1984">
        <v>-233.34780000000001</v>
      </c>
      <c r="H1984" s="1">
        <v>2.26736E-7</v>
      </c>
      <c r="I1984">
        <v>285.02850000000001</v>
      </c>
      <c r="J1984">
        <v>-218.89869999999999</v>
      </c>
      <c r="K1984">
        <v>1.1112120000000001</v>
      </c>
      <c r="L1984">
        <v>285.25</v>
      </c>
      <c r="M1984">
        <v>-0.99979050000000003</v>
      </c>
      <c r="N1984">
        <v>-4.9418750000000001E-3</v>
      </c>
      <c r="O1984">
        <v>1.985835E-2</v>
      </c>
      <c r="P1984">
        <v>-0.93974049999999998</v>
      </c>
      <c r="Q1984">
        <v>0.33650649999999999</v>
      </c>
      <c r="R1984">
        <v>-6.0426699999999903E-2</v>
      </c>
      <c r="S1984">
        <v>-3.2784270000000002</v>
      </c>
      <c r="T1984">
        <v>-0.24889220000000001</v>
      </c>
      <c r="U1984">
        <v>-4.8980709999999997E-2</v>
      </c>
      <c r="V1984">
        <v>-8.0399880000000007E-2</v>
      </c>
      <c r="W1984">
        <v>0.34083000000000002</v>
      </c>
      <c r="X1984">
        <v>0.93668070000000003</v>
      </c>
      <c r="Y1984">
        <v>-3.4635979999999997E-2</v>
      </c>
      <c r="Z1984">
        <v>-2.8058470000000002E-3</v>
      </c>
      <c r="AA1984">
        <v>0.99939599999999995</v>
      </c>
      <c r="AB1984">
        <v>32</v>
      </c>
      <c r="AC1984">
        <v>-14.4491</v>
      </c>
      <c r="AD1984">
        <v>-1.1112117732639999</v>
      </c>
      <c r="AE1984">
        <v>-0.22149999999999101</v>
      </c>
      <c r="AF1984">
        <v>-0.50540665024342701</v>
      </c>
      <c r="AG1984">
        <v>-1.1112117732639999</v>
      </c>
      <c r="AH1984">
        <v>14.356958822094001</v>
      </c>
      <c r="AI1984">
        <v>94.4230735951312</v>
      </c>
      <c r="AJ1984">
        <v>92.016145296858397</v>
      </c>
      <c r="AK1984">
        <v>14.408764489242399</v>
      </c>
      <c r="AL1984">
        <v>70.072549404815604</v>
      </c>
      <c r="AM1984">
        <v>94.905951807513503</v>
      </c>
      <c r="AN1984">
        <v>0.99999998167825199</v>
      </c>
    </row>
    <row r="1985" spans="1:40" x14ac:dyDescent="0.25">
      <c r="A1985" t="str">
        <f>"20190304164854630"</f>
        <v>20190304164854630</v>
      </c>
      <c r="B1985" t="str">
        <f>"1551689334617833"</f>
        <v>1551689334617833</v>
      </c>
      <c r="C1985" t="s">
        <v>40</v>
      </c>
      <c r="D1985">
        <v>3.7182469999999999</v>
      </c>
      <c r="E1985">
        <v>0.52560719999999905</v>
      </c>
      <c r="F1985" t="s">
        <v>46</v>
      </c>
      <c r="G1985">
        <v>-233.55199999999999</v>
      </c>
      <c r="H1985" s="1">
        <v>3.3607239999999999E-7</v>
      </c>
      <c r="I1985">
        <v>285.01249999999999</v>
      </c>
      <c r="J1985">
        <v>-219.2364</v>
      </c>
      <c r="K1985">
        <v>1.111334</v>
      </c>
      <c r="L1985">
        <v>285.25470000000001</v>
      </c>
      <c r="M1985">
        <v>-0.99983370000000005</v>
      </c>
      <c r="N1985">
        <v>-4.9744059999999998E-3</v>
      </c>
      <c r="O1985">
        <v>1.754826E-2</v>
      </c>
      <c r="P1985">
        <v>-0.93978399999999995</v>
      </c>
      <c r="Q1985">
        <v>0.33626240000000002</v>
      </c>
      <c r="R1985">
        <v>-6.1105439999999997E-2</v>
      </c>
      <c r="S1985">
        <v>-3.2779690000000001</v>
      </c>
      <c r="T1985">
        <v>-0.2485802</v>
      </c>
      <c r="U1985">
        <v>-5.3131100000000001E-2</v>
      </c>
      <c r="V1985">
        <v>-7.9012810000000003E-2</v>
      </c>
      <c r="W1985">
        <v>0.34060000000000001</v>
      </c>
      <c r="X1985">
        <v>0.9368824</v>
      </c>
      <c r="Y1985">
        <v>-3.3603290000000001E-2</v>
      </c>
      <c r="Z1985">
        <v>-2.5975099999999999E-3</v>
      </c>
      <c r="AA1985">
        <v>0.99943179999999998</v>
      </c>
      <c r="AB1985">
        <v>33</v>
      </c>
      <c r="AC1985">
        <v>-14.3156</v>
      </c>
      <c r="AD1985">
        <v>-1.1113336639275999</v>
      </c>
      <c r="AE1985">
        <v>-0.24220000000002501</v>
      </c>
      <c r="AF1985">
        <v>-0.49042493733085002</v>
      </c>
      <c r="AG1985">
        <v>-1.1113336639275999</v>
      </c>
      <c r="AH1985">
        <v>14.223451329927901</v>
      </c>
      <c r="AI1985">
        <v>94.465023017016904</v>
      </c>
      <c r="AJ1985">
        <v>91.974777491036704</v>
      </c>
      <c r="AK1985">
        <v>14.275228434829399</v>
      </c>
      <c r="AL1985">
        <v>70.086566642503499</v>
      </c>
      <c r="AM1985">
        <v>94.820682988806496</v>
      </c>
      <c r="AN1985">
        <v>1.00000000778692</v>
      </c>
    </row>
    <row r="1986" spans="1:40" x14ac:dyDescent="0.25">
      <c r="A1986" t="str">
        <f>"20190304164854650"</f>
        <v>20190304164854650</v>
      </c>
      <c r="B1986" t="str">
        <f>"1551689334638329"</f>
        <v>1551689334638329</v>
      </c>
      <c r="C1986" t="s">
        <v>40</v>
      </c>
      <c r="D1986">
        <v>3.728602</v>
      </c>
      <c r="E1986">
        <v>0.52565830000000002</v>
      </c>
      <c r="F1986" t="s">
        <v>46</v>
      </c>
      <c r="G1986">
        <v>-233.87950000000001</v>
      </c>
      <c r="H1986" s="1">
        <v>5.1086229999999999E-7</v>
      </c>
      <c r="I1986">
        <v>285.0018</v>
      </c>
      <c r="J1986">
        <v>-219.53370000000001</v>
      </c>
      <c r="K1986">
        <v>1.1114409999999999</v>
      </c>
      <c r="L1986">
        <v>285.25810000000001</v>
      </c>
      <c r="M1986">
        <v>-0.99986830000000004</v>
      </c>
      <c r="N1986">
        <v>-5.0084999999999999E-3</v>
      </c>
      <c r="O1986">
        <v>1.544006E-2</v>
      </c>
      <c r="P1986">
        <v>-0.93958649999999999</v>
      </c>
      <c r="Q1986">
        <v>0.33662150000000002</v>
      </c>
      <c r="R1986">
        <v>-6.2157360000000002E-2</v>
      </c>
      <c r="S1986">
        <v>-3.2775270000000001</v>
      </c>
      <c r="T1986">
        <v>-0.2487453</v>
      </c>
      <c r="U1986">
        <v>-5.6610109999999998E-2</v>
      </c>
      <c r="V1986">
        <v>-7.8167420000000001E-2</v>
      </c>
      <c r="W1986">
        <v>0.34097470000000002</v>
      </c>
      <c r="X1986">
        <v>0.93681700000000001</v>
      </c>
      <c r="Y1986">
        <v>-3.2566959999999999E-2</v>
      </c>
      <c r="Z1986">
        <v>-2.4084660000000002E-3</v>
      </c>
      <c r="AA1986">
        <v>0.99946670000000004</v>
      </c>
      <c r="AB1986">
        <v>33</v>
      </c>
      <c r="AC1986">
        <v>-14.345799999999899</v>
      </c>
      <c r="AD1986">
        <v>-1.1114404891377001</v>
      </c>
      <c r="AE1986">
        <v>-0.25630000000001002</v>
      </c>
      <c r="AF1986">
        <v>-0.47492247556544698</v>
      </c>
      <c r="AG1986">
        <v>-1.1114404891377001</v>
      </c>
      <c r="AH1986">
        <v>14.254598435441499</v>
      </c>
      <c r="AI1986">
        <v>94.455907287382999</v>
      </c>
      <c r="AJ1986">
        <v>91.908225748345899</v>
      </c>
      <c r="AK1986">
        <v>14.305748071121</v>
      </c>
      <c r="AL1986">
        <v>70.063730642784293</v>
      </c>
      <c r="AM1986">
        <v>94.769675174223906</v>
      </c>
      <c r="AN1986">
        <v>0.99999999153927299</v>
      </c>
    </row>
    <row r="1987" spans="1:40" x14ac:dyDescent="0.25">
      <c r="A1987" t="str">
        <f>"20190304164854664"</f>
        <v>20190304164854664</v>
      </c>
      <c r="B1987" t="str">
        <f>"1551689334657848"</f>
        <v>1551689334657848</v>
      </c>
      <c r="C1987" t="s">
        <v>40</v>
      </c>
      <c r="D1987">
        <v>3.7339380000000002</v>
      </c>
      <c r="E1987">
        <v>0.52573019999999904</v>
      </c>
      <c r="F1987" t="s">
        <v>46</v>
      </c>
      <c r="G1987">
        <v>-234.32599999999999</v>
      </c>
      <c r="H1987" s="1">
        <v>7.4922329999999999E-7</v>
      </c>
      <c r="I1987">
        <v>284.98360000000002</v>
      </c>
      <c r="J1987">
        <v>-219.7406</v>
      </c>
      <c r="K1987">
        <v>1.111504</v>
      </c>
      <c r="L1987">
        <v>285.26</v>
      </c>
      <c r="M1987">
        <v>-0.99989030000000001</v>
      </c>
      <c r="N1987">
        <v>-5.0335040000000003E-3</v>
      </c>
      <c r="O1987">
        <v>1.393962E-2</v>
      </c>
      <c r="P1987">
        <v>-0.93947950000000002</v>
      </c>
      <c r="Q1987">
        <v>0.33672839999999998</v>
      </c>
      <c r="R1987">
        <v>-6.3186049999999994E-2</v>
      </c>
      <c r="S1987">
        <v>-3.2770839999999901</v>
      </c>
      <c r="T1987">
        <v>-0.24622869999999999</v>
      </c>
      <c r="U1987">
        <v>-6.0821529999999999E-2</v>
      </c>
      <c r="V1987">
        <v>-7.7839499999999895E-2</v>
      </c>
      <c r="W1987">
        <v>0.34109489999999998</v>
      </c>
      <c r="X1987">
        <v>0.93680050000000004</v>
      </c>
      <c r="Y1987">
        <v>-3.236054E-2</v>
      </c>
      <c r="Z1987">
        <v>-2.271239E-3</v>
      </c>
      <c r="AA1987">
        <v>0.99947370000000002</v>
      </c>
      <c r="AB1987">
        <v>33</v>
      </c>
      <c r="AC1987">
        <v>-14.5853999999999</v>
      </c>
      <c r="AD1987">
        <v>-1.1115032507767</v>
      </c>
      <c r="AE1987">
        <v>-0.27639999999996601</v>
      </c>
      <c r="AF1987">
        <v>-0.47692192509855702</v>
      </c>
      <c r="AG1987">
        <v>-1.1115032507767</v>
      </c>
      <c r="AH1987">
        <v>14.4959755723554</v>
      </c>
      <c r="AI1987">
        <v>94.382308630612897</v>
      </c>
      <c r="AJ1987">
        <v>91.884368552909294</v>
      </c>
      <c r="AK1987">
        <v>14.5463466820178</v>
      </c>
      <c r="AL1987">
        <v>70.056403580436296</v>
      </c>
      <c r="AM1987">
        <v>94.749840931685299</v>
      </c>
      <c r="AN1987">
        <v>0.99999994768325295</v>
      </c>
    </row>
    <row r="1988" spans="1:40" x14ac:dyDescent="0.25">
      <c r="A1988" t="str">
        <f>"20190304164854684"</f>
        <v>20190304164854684</v>
      </c>
      <c r="B1988" t="str">
        <f>"1551689334678344"</f>
        <v>1551689334678344</v>
      </c>
      <c r="C1988" t="s">
        <v>40</v>
      </c>
      <c r="D1988">
        <v>3.7164259999999998</v>
      </c>
      <c r="E1988">
        <v>0.52583780000000002</v>
      </c>
      <c r="F1988" t="s">
        <v>46</v>
      </c>
      <c r="G1988">
        <v>-234.58320000000001</v>
      </c>
      <c r="H1988" s="1">
        <v>8.8678559999999999E-7</v>
      </c>
      <c r="I1988">
        <v>284.96780000000001</v>
      </c>
      <c r="J1988">
        <v>-220.03319999999999</v>
      </c>
      <c r="K1988">
        <v>1.111583</v>
      </c>
      <c r="L1988">
        <v>285.26220000000001</v>
      </c>
      <c r="M1988">
        <v>-0.99991779999999997</v>
      </c>
      <c r="N1988">
        <v>-5.0690479999999996E-3</v>
      </c>
      <c r="O1988">
        <v>1.178268E-2</v>
      </c>
      <c r="P1988">
        <v>-0.93944749999999999</v>
      </c>
      <c r="Q1988">
        <v>0.33663900000000002</v>
      </c>
      <c r="R1988">
        <v>-6.4132960000000003E-2</v>
      </c>
      <c r="S1988">
        <v>-3.2768549999999999</v>
      </c>
      <c r="T1988">
        <v>-0.24539050000000001</v>
      </c>
      <c r="U1988">
        <v>-6.4514160000000001E-2</v>
      </c>
      <c r="V1988">
        <v>-7.6826480000000003E-2</v>
      </c>
      <c r="W1988">
        <v>0.34103</v>
      </c>
      <c r="X1988">
        <v>0.93690779999999996</v>
      </c>
      <c r="Y1988">
        <v>-3.1340850000000003E-2</v>
      </c>
      <c r="Z1988">
        <v>-2.0727079999999999E-3</v>
      </c>
      <c r="AA1988">
        <v>0.99950660000000002</v>
      </c>
      <c r="AB1988">
        <v>33</v>
      </c>
      <c r="AC1988">
        <v>-14.55</v>
      </c>
      <c r="AD1988">
        <v>-1.1115821132143999</v>
      </c>
      <c r="AE1988">
        <v>-0.294399999999996</v>
      </c>
      <c r="AF1988">
        <v>-0.463117838060144</v>
      </c>
      <c r="AG1988">
        <v>-1.1115821132143999</v>
      </c>
      <c r="AH1988">
        <v>14.461152201739299</v>
      </c>
      <c r="AI1988">
        <v>94.393254922794</v>
      </c>
      <c r="AJ1988">
        <v>91.834268212788999</v>
      </c>
      <c r="AK1988">
        <v>14.5112031178747</v>
      </c>
      <c r="AL1988">
        <v>70.060360288183006</v>
      </c>
      <c r="AM1988">
        <v>94.687768301753394</v>
      </c>
      <c r="AN1988">
        <v>0.99999999731501499</v>
      </c>
    </row>
    <row r="1989" spans="1:40" x14ac:dyDescent="0.25">
      <c r="A1989" t="str">
        <f>"20190304164854705"</f>
        <v>20190304164854705</v>
      </c>
      <c r="B1989" t="str">
        <f>"1551689334697864"</f>
        <v>1551689334697864</v>
      </c>
      <c r="C1989" t="s">
        <v>40</v>
      </c>
      <c r="D1989">
        <v>3.7153119999999999</v>
      </c>
      <c r="E1989">
        <v>0.52591869999999996</v>
      </c>
      <c r="F1989" t="s">
        <v>46</v>
      </c>
      <c r="G1989">
        <v>-234.89230000000001</v>
      </c>
      <c r="H1989" s="1">
        <v>1.0517799999999999E-6</v>
      </c>
      <c r="I1989">
        <v>284.95659999999998</v>
      </c>
      <c r="J1989">
        <v>-220.35550000000001</v>
      </c>
      <c r="K1989">
        <v>1.1116509999999999</v>
      </c>
      <c r="L1989">
        <v>285.2638</v>
      </c>
      <c r="M1989">
        <v>-0.99994309999999997</v>
      </c>
      <c r="N1989">
        <v>-5.1073220000000001E-3</v>
      </c>
      <c r="O1989">
        <v>9.3705860000000002E-3</v>
      </c>
      <c r="P1989">
        <v>-0.93929859999999998</v>
      </c>
      <c r="Q1989">
        <v>0.33668419999999999</v>
      </c>
      <c r="R1989">
        <v>-6.6045290000000006E-2</v>
      </c>
      <c r="S1989">
        <v>-3.2765960000000001</v>
      </c>
      <c r="T1989">
        <v>-0.24511659999999999</v>
      </c>
      <c r="U1989">
        <v>-6.7382810000000001E-2</v>
      </c>
      <c r="V1989">
        <v>-7.6531340000000003E-2</v>
      </c>
      <c r="W1989">
        <v>0.3410994</v>
      </c>
      <c r="X1989">
        <v>0.93690669999999998</v>
      </c>
      <c r="Y1989">
        <v>-2.981665E-2</v>
      </c>
      <c r="Z1989">
        <v>-1.8420209999999999E-3</v>
      </c>
      <c r="AA1989">
        <v>0.99955369999999999</v>
      </c>
      <c r="AB1989">
        <v>33</v>
      </c>
      <c r="AC1989">
        <v>-14.536799999999999</v>
      </c>
      <c r="AD1989">
        <v>-1.11164994822</v>
      </c>
      <c r="AE1989">
        <v>-0.30720000000002301</v>
      </c>
      <c r="AF1989">
        <v>-0.44082984731779801</v>
      </c>
      <c r="AG1989">
        <v>-1.11164994822</v>
      </c>
      <c r="AH1989">
        <v>14.4488257791521</v>
      </c>
      <c r="AI1989">
        <v>94.397462747090302</v>
      </c>
      <c r="AJ1989">
        <v>91.7475369629081</v>
      </c>
      <c r="AK1989">
        <v>14.498229649097</v>
      </c>
      <c r="AL1989">
        <v>70.056130504281199</v>
      </c>
      <c r="AM1989">
        <v>94.669844822683899</v>
      </c>
      <c r="AN1989">
        <v>1.0000000055937199</v>
      </c>
    </row>
    <row r="1990" spans="1:40" x14ac:dyDescent="0.25">
      <c r="A1990" t="str">
        <f>"20190304164854719"</f>
        <v>20190304164854719</v>
      </c>
      <c r="B1990" t="str">
        <f>"1551689334707624"</f>
        <v>1551689334707624</v>
      </c>
      <c r="C1990" t="s">
        <v>40</v>
      </c>
      <c r="D1990">
        <v>3.7225790000000001</v>
      </c>
      <c r="E1990">
        <v>0.52598719999999999</v>
      </c>
      <c r="F1990" t="s">
        <v>46</v>
      </c>
      <c r="G1990">
        <v>-235.23820000000001</v>
      </c>
      <c r="H1990" s="1">
        <v>1.2369730000000001E-6</v>
      </c>
      <c r="I1990">
        <v>284.93110000000001</v>
      </c>
      <c r="J1990">
        <v>-220.55189999999999</v>
      </c>
      <c r="K1990">
        <v>1.111686</v>
      </c>
      <c r="L1990">
        <v>285.26440000000002</v>
      </c>
      <c r="M1990">
        <v>-0.99995579999999995</v>
      </c>
      <c r="N1990">
        <v>-5.1300319999999996E-3</v>
      </c>
      <c r="O1990">
        <v>7.8885099999999996E-3</v>
      </c>
      <c r="P1990">
        <v>-0.93915130000000002</v>
      </c>
      <c r="Q1990">
        <v>0.33683340000000001</v>
      </c>
      <c r="R1990">
        <v>-6.736702E-2</v>
      </c>
      <c r="S1990">
        <v>-3.2764280000000001</v>
      </c>
      <c r="T1990">
        <v>-0.24473020000000001</v>
      </c>
      <c r="U1990">
        <v>-7.3242189999999999E-2</v>
      </c>
      <c r="V1990">
        <v>-7.6490299999999997E-2</v>
      </c>
      <c r="W1990">
        <v>0.34126390000000001</v>
      </c>
      <c r="X1990">
        <v>0.93685010000000002</v>
      </c>
      <c r="Y1990">
        <v>-3.0125929999999999E-2</v>
      </c>
      <c r="Z1990">
        <v>-1.7487410000000001E-3</v>
      </c>
      <c r="AA1990">
        <v>0.99954460000000001</v>
      </c>
      <c r="AB1990">
        <v>33</v>
      </c>
      <c r="AC1990">
        <v>-14.686299999999999</v>
      </c>
      <c r="AD1990">
        <v>-1.1116847630269999</v>
      </c>
      <c r="AE1990">
        <v>-0.33330000000000798</v>
      </c>
      <c r="AF1990">
        <v>-0.44658664021702399</v>
      </c>
      <c r="AG1990">
        <v>-1.1116847630269999</v>
      </c>
      <c r="AH1990">
        <v>14.5996041854723</v>
      </c>
      <c r="AI1990">
        <v>94.352348348492498</v>
      </c>
      <c r="AJ1990">
        <v>91.752071714285506</v>
      </c>
      <c r="AK1990">
        <v>14.648676561793099</v>
      </c>
      <c r="AL1990">
        <v>70.046102821777296</v>
      </c>
      <c r="AM1990">
        <v>94.667632413945299</v>
      </c>
      <c r="AN1990">
        <v>0.99999996265365398</v>
      </c>
    </row>
    <row r="1991" spans="1:40" x14ac:dyDescent="0.25">
      <c r="A1991" t="str">
        <f>"20190304164854738"</f>
        <v>20190304164854738</v>
      </c>
      <c r="B1991" t="str">
        <f>"1551689334728124"</f>
        <v>1551689334728124</v>
      </c>
      <c r="C1991" t="s">
        <v>40</v>
      </c>
      <c r="D1991">
        <v>3.755674</v>
      </c>
      <c r="E1991">
        <v>0.52607090000000001</v>
      </c>
      <c r="F1991" t="s">
        <v>46</v>
      </c>
      <c r="G1991">
        <v>-235.4967</v>
      </c>
      <c r="H1991" s="1">
        <v>1.3752739999999999E-6</v>
      </c>
      <c r="I1991">
        <v>284.91359999999997</v>
      </c>
      <c r="J1991">
        <v>-220.84800000000001</v>
      </c>
      <c r="K1991">
        <v>1.111734</v>
      </c>
      <c r="L1991">
        <v>285.26479999999998</v>
      </c>
      <c r="M1991">
        <v>-0.9999709</v>
      </c>
      <c r="N1991">
        <v>-5.16388E-3</v>
      </c>
      <c r="O1991">
        <v>5.6400060000000004E-3</v>
      </c>
      <c r="P1991">
        <v>-0.93871170000000004</v>
      </c>
      <c r="Q1991">
        <v>0.33768379999999998</v>
      </c>
      <c r="R1991">
        <v>-6.9213699999999906E-2</v>
      </c>
      <c r="S1991">
        <v>-3.2762910000000001</v>
      </c>
      <c r="T1991">
        <v>-0.24371090000000001</v>
      </c>
      <c r="U1991">
        <v>-7.6904299999999995E-2</v>
      </c>
      <c r="V1991">
        <v>-7.6263049999999999E-2</v>
      </c>
      <c r="W1991">
        <v>0.34213779999999999</v>
      </c>
      <c r="X1991">
        <v>0.93654990000000005</v>
      </c>
      <c r="Y1991">
        <v>-2.9005510000000002E-2</v>
      </c>
      <c r="Z1991">
        <v>-1.5420060000000001E-3</v>
      </c>
      <c r="AA1991">
        <v>0.99957810000000002</v>
      </c>
      <c r="AB1991">
        <v>33</v>
      </c>
      <c r="AC1991">
        <v>-14.6487</v>
      </c>
      <c r="AD1991">
        <v>-1.111732624726</v>
      </c>
      <c r="AE1991">
        <v>-0.35120000000000501</v>
      </c>
      <c r="AF1991">
        <v>-0.43133133290425102</v>
      </c>
      <c r="AG1991">
        <v>-1.111732624726</v>
      </c>
      <c r="AH1991">
        <v>14.5626573420142</v>
      </c>
      <c r="AI1991">
        <v>94.363662017703106</v>
      </c>
      <c r="AJ1991">
        <v>91.696547632096795</v>
      </c>
      <c r="AK1991">
        <v>14.6113991461648</v>
      </c>
      <c r="AL1991">
        <v>69.992826408379102</v>
      </c>
      <c r="AM1991">
        <v>94.655311217451796</v>
      </c>
      <c r="AN1991">
        <v>1.0000000210870701</v>
      </c>
    </row>
    <row r="1992" spans="1:40" x14ac:dyDescent="0.25">
      <c r="A1992" t="str">
        <f>"20190304164854753"</f>
        <v>20190304164854753</v>
      </c>
      <c r="B1992" t="str">
        <f>"1551689334747640"</f>
        <v>1551689334747640</v>
      </c>
      <c r="C1992" t="s">
        <v>40</v>
      </c>
      <c r="D1992">
        <v>3.7425510000000002</v>
      </c>
      <c r="E1992">
        <v>0.52614859999999997</v>
      </c>
      <c r="F1992" t="s">
        <v>46</v>
      </c>
      <c r="G1992">
        <v>-236.0188</v>
      </c>
      <c r="H1992" s="1">
        <v>1.654716E-6</v>
      </c>
      <c r="I1992">
        <v>284.87759999999997</v>
      </c>
      <c r="J1992">
        <v>-221.0616</v>
      </c>
      <c r="K1992">
        <v>1.111766</v>
      </c>
      <c r="L1992">
        <v>285.26459999999997</v>
      </c>
      <c r="M1992">
        <v>-0.99997860000000005</v>
      </c>
      <c r="N1992">
        <v>-5.189524E-3</v>
      </c>
      <c r="O1992">
        <v>4.0140870000000004E-3</v>
      </c>
      <c r="P1992">
        <v>-0.93840449999999997</v>
      </c>
      <c r="Q1992">
        <v>0.33826869999999998</v>
      </c>
      <c r="R1992">
        <v>-7.0509429999999998E-2</v>
      </c>
      <c r="S1992">
        <v>-3.2760769999999999</v>
      </c>
      <c r="T1992">
        <v>-0.24007429999999999</v>
      </c>
      <c r="U1992">
        <v>-8.3618159999999997E-2</v>
      </c>
      <c r="V1992">
        <v>-7.6055410000000004E-2</v>
      </c>
      <c r="W1992">
        <v>0.34274209999999999</v>
      </c>
      <c r="X1992">
        <v>0.93634580000000001</v>
      </c>
      <c r="Y1992">
        <v>-2.9434419999999999E-2</v>
      </c>
      <c r="Z1992">
        <v>-1.4262879999999999E-3</v>
      </c>
      <c r="AA1992">
        <v>0.9995657</v>
      </c>
      <c r="AB1992">
        <v>33</v>
      </c>
      <c r="AC1992">
        <v>-14.9572</v>
      </c>
      <c r="AD1992">
        <v>-1.111764345284</v>
      </c>
      <c r="AE1992">
        <v>-0.38700000000000001</v>
      </c>
      <c r="AF1992">
        <v>-0.44458255180017903</v>
      </c>
      <c r="AG1992">
        <v>-1.111764345284</v>
      </c>
      <c r="AH1992">
        <v>14.8734068246294</v>
      </c>
      <c r="AI1992">
        <v>94.272920459150797</v>
      </c>
      <c r="AJ1992">
        <v>91.7121243164775</v>
      </c>
      <c r="AK1992">
        <v>14.9215248609431</v>
      </c>
      <c r="AL1992">
        <v>69.955974360920194</v>
      </c>
      <c r="AM1992">
        <v>94.643699336783996</v>
      </c>
      <c r="AN1992">
        <v>1.00000001484015</v>
      </c>
    </row>
    <row r="1993" spans="1:40" x14ac:dyDescent="0.25">
      <c r="A1993" t="str">
        <f>"20190304164854773"</f>
        <v>20190304164854773</v>
      </c>
      <c r="B1993" t="str">
        <f>"1551689334768136"</f>
        <v>1551689334768136</v>
      </c>
      <c r="C1993" t="s">
        <v>40</v>
      </c>
      <c r="D1993">
        <v>3.7233649999999998</v>
      </c>
      <c r="E1993">
        <v>0.52626010000000001</v>
      </c>
      <c r="F1993" t="s">
        <v>46</v>
      </c>
      <c r="G1993">
        <v>-236.40520000000001</v>
      </c>
      <c r="H1993" s="1">
        <v>1.8614910000000001E-6</v>
      </c>
      <c r="I1993">
        <v>284.851</v>
      </c>
      <c r="J1993">
        <v>-221.3595</v>
      </c>
      <c r="K1993">
        <v>1.1117969999999999</v>
      </c>
      <c r="L1993">
        <v>285.2638</v>
      </c>
      <c r="M1993">
        <v>-0.99998500000000001</v>
      </c>
      <c r="N1993">
        <v>-5.2267340000000002E-3</v>
      </c>
      <c r="O1993">
        <v>1.749535E-3</v>
      </c>
      <c r="P1993">
        <v>-0.93772650000000002</v>
      </c>
      <c r="Q1993">
        <v>0.3399083</v>
      </c>
      <c r="R1993">
        <v>-7.1636329999999998E-2</v>
      </c>
      <c r="S1993">
        <v>-3.2758479999999999</v>
      </c>
      <c r="T1993">
        <v>-0.2373605</v>
      </c>
      <c r="U1993">
        <v>-8.8317870000000007E-2</v>
      </c>
      <c r="V1993">
        <v>-7.5087550000000003E-2</v>
      </c>
      <c r="W1993">
        <v>0.34441470000000002</v>
      </c>
      <c r="X1993">
        <v>0.93581000000000003</v>
      </c>
      <c r="Y1993">
        <v>-2.8615060000000001E-2</v>
      </c>
      <c r="Z1993">
        <v>-1.2274950000000001E-3</v>
      </c>
      <c r="AA1993">
        <v>0.99958970000000003</v>
      </c>
      <c r="AB1993">
        <v>33</v>
      </c>
      <c r="AC1993">
        <v>-15.0457</v>
      </c>
      <c r="AD1993">
        <v>-1.1117951385089999</v>
      </c>
      <c r="AE1993">
        <v>-0.412800000000004</v>
      </c>
      <c r="AF1993">
        <v>-0.43673972019052298</v>
      </c>
      <c r="AG1993">
        <v>-1.1117951385089999</v>
      </c>
      <c r="AH1993">
        <v>14.9633104986621</v>
      </c>
      <c r="AI1993">
        <v>94.247546919508906</v>
      </c>
      <c r="AJ1993">
        <v>91.671838630014705</v>
      </c>
      <c r="AK1993">
        <v>15.0109124004031</v>
      </c>
      <c r="AL1993">
        <v>69.8539288276787</v>
      </c>
      <c r="AM1993">
        <v>94.587472336802605</v>
      </c>
      <c r="AN1993">
        <v>0.99999999092054603</v>
      </c>
    </row>
    <row r="1994" spans="1:40" x14ac:dyDescent="0.25">
      <c r="A1994" t="str">
        <f>"20190304164854796"</f>
        <v>20190304164854796</v>
      </c>
      <c r="B1994" t="str">
        <f>"1551689334787656"</f>
        <v>1551689334787656</v>
      </c>
      <c r="C1994" t="s">
        <v>40</v>
      </c>
      <c r="D1994">
        <v>3.7381229999999999</v>
      </c>
      <c r="E1994">
        <v>0.5263757</v>
      </c>
      <c r="F1994" t="s">
        <v>46</v>
      </c>
      <c r="G1994">
        <v>-237.07939999999999</v>
      </c>
      <c r="H1994" s="1">
        <v>2.2217810000000002E-6</v>
      </c>
      <c r="I1994">
        <v>284.81610000000001</v>
      </c>
      <c r="J1994">
        <v>-221.69409999999999</v>
      </c>
      <c r="K1994">
        <v>1.111823</v>
      </c>
      <c r="L1994">
        <v>285.26220000000001</v>
      </c>
      <c r="M1994">
        <v>-0.99998589999999998</v>
      </c>
      <c r="N1994">
        <v>-5.2679769999999897E-3</v>
      </c>
      <c r="O1994">
        <v>-7.6709009999999895E-4</v>
      </c>
      <c r="P1994">
        <v>-0.93750180000000005</v>
      </c>
      <c r="Q1994">
        <v>0.34052290000000002</v>
      </c>
      <c r="R1994">
        <v>-7.1657960000000007E-2</v>
      </c>
      <c r="S1994">
        <v>-3.276062</v>
      </c>
      <c r="T1994">
        <v>-0.23170109999999999</v>
      </c>
      <c r="U1994">
        <v>-9.3292239999999999E-2</v>
      </c>
      <c r="V1994">
        <v>-7.2765479999999993E-2</v>
      </c>
      <c r="W1994">
        <v>0.34507719999999997</v>
      </c>
      <c r="X1994">
        <v>0.93574939999999995</v>
      </c>
      <c r="Y1994">
        <v>-2.7626149999999999E-2</v>
      </c>
      <c r="Z1994">
        <v>-9.9826220000000005E-4</v>
      </c>
      <c r="AA1994">
        <v>0.9996178</v>
      </c>
      <c r="AB1994">
        <v>33</v>
      </c>
      <c r="AC1994">
        <v>-15.385300000000001</v>
      </c>
      <c r="AD1994">
        <v>-1.1118207782189999</v>
      </c>
      <c r="AE1994">
        <v>-0.446100000000001</v>
      </c>
      <c r="AF1994">
        <v>-0.43204345098714703</v>
      </c>
      <c r="AG1994">
        <v>-1.1118207782189999</v>
      </c>
      <c r="AH1994">
        <v>15.3057742448427</v>
      </c>
      <c r="AI1994">
        <v>94.153054544872603</v>
      </c>
      <c r="AJ1994">
        <v>91.616886176229798</v>
      </c>
      <c r="AK1994">
        <v>15.3521833046805</v>
      </c>
      <c r="AL1994">
        <v>69.813491889992605</v>
      </c>
      <c r="AM1994">
        <v>94.446470165865705</v>
      </c>
      <c r="AN1994">
        <v>1.0000000143199099</v>
      </c>
    </row>
    <row r="1995" spans="1:40" x14ac:dyDescent="0.25">
      <c r="A1995" t="str">
        <f>"20190304164854822"</f>
        <v>20190304164854822</v>
      </c>
      <c r="B1995" t="str">
        <f>"1551689334808152"</f>
        <v>1551689334808152</v>
      </c>
      <c r="C1995" t="s">
        <v>40</v>
      </c>
      <c r="D1995">
        <v>3.7394500000000002</v>
      </c>
      <c r="E1995">
        <v>0.52652049999999995</v>
      </c>
      <c r="F1995" t="s">
        <v>46</v>
      </c>
      <c r="G1995">
        <v>-237.58340000000001</v>
      </c>
      <c r="H1995" s="1">
        <v>2.4904619999999999E-6</v>
      </c>
      <c r="I1995">
        <v>284.8057</v>
      </c>
      <c r="J1995">
        <v>-222.09649999999999</v>
      </c>
      <c r="K1995">
        <v>1.1118170000000001</v>
      </c>
      <c r="L1995">
        <v>285.25900000000001</v>
      </c>
      <c r="M1995">
        <v>-0.99997899999999995</v>
      </c>
      <c r="N1995">
        <v>-5.3148090000000002E-3</v>
      </c>
      <c r="O1995">
        <v>-3.7258130000000001E-3</v>
      </c>
      <c r="P1995">
        <v>-0.93741240000000003</v>
      </c>
      <c r="Q1995">
        <v>0.34082410000000002</v>
      </c>
      <c r="R1995">
        <v>-7.1395230000000004E-2</v>
      </c>
      <c r="S1995">
        <v>-3.2760470000000002</v>
      </c>
      <c r="T1995">
        <v>-0.22923350000000001</v>
      </c>
      <c r="U1995">
        <v>-9.4116210000000006E-2</v>
      </c>
      <c r="V1995">
        <v>-6.9726410000000003E-2</v>
      </c>
      <c r="W1995">
        <v>0.3454392</v>
      </c>
      <c r="X1995">
        <v>0.93584719999999999</v>
      </c>
      <c r="Y1995">
        <v>-2.493443E-2</v>
      </c>
      <c r="Z1995">
        <v>-6.9692840000000001E-4</v>
      </c>
      <c r="AA1995">
        <v>0.99968889999999999</v>
      </c>
      <c r="AB1995">
        <v>34</v>
      </c>
      <c r="AC1995">
        <v>-15.4869</v>
      </c>
      <c r="AD1995">
        <v>-1.1118145095379901</v>
      </c>
      <c r="AE1995">
        <v>-0.45330000000001203</v>
      </c>
      <c r="AF1995">
        <v>-0.39356807623509898</v>
      </c>
      <c r="AG1995">
        <v>-1.1118145095379901</v>
      </c>
      <c r="AH1995">
        <v>15.409132347632299</v>
      </c>
      <c r="AI1995">
        <v>94.1255675733358</v>
      </c>
      <c r="AJ1995">
        <v>91.4630861522229</v>
      </c>
      <c r="AK1995">
        <v>15.4542028924529</v>
      </c>
      <c r="AL1995">
        <v>69.7913914798078</v>
      </c>
      <c r="AM1995">
        <v>94.261017368169206</v>
      </c>
      <c r="AN1995">
        <v>0.99999999744798396</v>
      </c>
    </row>
    <row r="1996" spans="1:40" x14ac:dyDescent="0.25">
      <c r="A1996" t="str">
        <f>"20190304164854841"</f>
        <v>20190304164854841</v>
      </c>
      <c r="B1996" t="str">
        <f>"1551689334838409"</f>
        <v>1551689334838409</v>
      </c>
      <c r="C1996" t="s">
        <v>40</v>
      </c>
      <c r="D1996">
        <v>3.7455669999999999</v>
      </c>
      <c r="E1996">
        <v>0.53018209999999999</v>
      </c>
      <c r="F1996" t="s">
        <v>46</v>
      </c>
      <c r="G1996">
        <v>-238.03100000000001</v>
      </c>
      <c r="H1996" s="1">
        <v>2.7285459999999998E-6</v>
      </c>
      <c r="I1996">
        <v>284.80799999999999</v>
      </c>
      <c r="J1996">
        <v>-222.37639999999999</v>
      </c>
      <c r="K1996">
        <v>1.1118049999999999</v>
      </c>
      <c r="L1996">
        <v>285.25630000000001</v>
      </c>
      <c r="M1996">
        <v>-0.99996929999999995</v>
      </c>
      <c r="N1996">
        <v>-5.3458840000000004E-3</v>
      </c>
      <c r="O1996">
        <v>-5.7453540000000003E-3</v>
      </c>
      <c r="P1996">
        <v>-0.93741379999999996</v>
      </c>
      <c r="Q1996">
        <v>0.34118359999999998</v>
      </c>
      <c r="R1996">
        <v>-6.9639179999999995E-2</v>
      </c>
      <c r="S1996">
        <v>-3.276367</v>
      </c>
      <c r="T1996">
        <v>-0.22860440000000001</v>
      </c>
      <c r="U1996">
        <v>-9.2742920000000006E-2</v>
      </c>
      <c r="V1996">
        <v>-6.6069390000000006E-2</v>
      </c>
      <c r="W1996">
        <v>0.34584999999999999</v>
      </c>
      <c r="X1996">
        <v>0.93596080000000004</v>
      </c>
      <c r="Y1996">
        <v>-2.2504730000000001E-2</v>
      </c>
      <c r="Z1996">
        <v>-4.7463079999999998E-4</v>
      </c>
      <c r="AA1996">
        <v>0.99974660000000004</v>
      </c>
      <c r="AB1996">
        <v>34</v>
      </c>
      <c r="AC1996">
        <v>-15.654599999999901</v>
      </c>
      <c r="AD1996">
        <v>-1.1118022714539999</v>
      </c>
      <c r="AE1996">
        <v>-0.44830000000001702</v>
      </c>
      <c r="AF1996">
        <v>-0.356553141082184</v>
      </c>
      <c r="AG1996">
        <v>-1.1118022714539999</v>
      </c>
      <c r="AH1996">
        <v>15.578404917068299</v>
      </c>
      <c r="AI1996">
        <v>94.081108481577601</v>
      </c>
      <c r="AJ1996">
        <v>91.311137063104496</v>
      </c>
      <c r="AK1996">
        <v>15.6220976246265</v>
      </c>
      <c r="AL1996">
        <v>69.7663085060382</v>
      </c>
      <c r="AM1996">
        <v>94.037806181920899</v>
      </c>
      <c r="AN1996">
        <v>1.0000000029658</v>
      </c>
    </row>
    <row r="1997" spans="1:40" x14ac:dyDescent="0.25">
      <c r="A1997" t="str">
        <f>"20190304164854862"</f>
        <v>20190304164854862</v>
      </c>
      <c r="B1997" t="str">
        <f>"1551689334857929"</f>
        <v>1551689334857929</v>
      </c>
      <c r="C1997" t="s">
        <v>40</v>
      </c>
      <c r="D1997">
        <v>3.7560980000000002</v>
      </c>
      <c r="E1997">
        <v>0.53023109999999996</v>
      </c>
      <c r="F1997" t="s">
        <v>41</v>
      </c>
      <c r="G1997">
        <v>-223.32550000000001</v>
      </c>
      <c r="H1997">
        <v>1.042387</v>
      </c>
      <c r="I1997">
        <v>285.23950000000002</v>
      </c>
      <c r="J1997">
        <v>-222.69399999999999</v>
      </c>
      <c r="K1997">
        <v>1.111785</v>
      </c>
      <c r="L1997">
        <v>285.25240000000002</v>
      </c>
      <c r="M1997">
        <v>-0.9999538</v>
      </c>
      <c r="N1997">
        <v>-5.3805220000000004E-3</v>
      </c>
      <c r="O1997">
        <v>-7.9723910000000005E-3</v>
      </c>
      <c r="P1997">
        <v>-0.93718690000000004</v>
      </c>
      <c r="Q1997">
        <v>0.34224769999999999</v>
      </c>
      <c r="R1997">
        <v>-6.743333E-2</v>
      </c>
      <c r="S1997">
        <v>-3.2833860000000001</v>
      </c>
      <c r="T1997">
        <v>-0.24032709999999999</v>
      </c>
      <c r="U1997">
        <v>-5.8624269999999999E-2</v>
      </c>
      <c r="V1997">
        <v>-6.1760950000000002E-2</v>
      </c>
      <c r="W1997">
        <v>0.34697230000000001</v>
      </c>
      <c r="X1997">
        <v>0.93583970000000005</v>
      </c>
      <c r="Y1997">
        <v>-9.8701290000000001E-3</v>
      </c>
      <c r="Z1997">
        <v>1.5255309999999999E-4</v>
      </c>
      <c r="AA1997">
        <v>0.99995129999999999</v>
      </c>
      <c r="AB1997">
        <v>34</v>
      </c>
      <c r="AC1997">
        <v>-0.63149999999998796</v>
      </c>
      <c r="AD1997">
        <v>-6.9397999999999793E-2</v>
      </c>
      <c r="AE1997">
        <v>-1.29000000000019E-2</v>
      </c>
      <c r="AF1997">
        <v>-7.7711421388808998E-3</v>
      </c>
      <c r="AG1997">
        <v>-6.9397999999999793E-2</v>
      </c>
      <c r="AH1997">
        <v>0.62404947956832102</v>
      </c>
      <c r="AI1997">
        <v>96.345069973307403</v>
      </c>
      <c r="AJ1997">
        <v>90.713454057581004</v>
      </c>
      <c r="AK1997">
        <v>0.62794444499783197</v>
      </c>
      <c r="AL1997">
        <v>69.697762567259005</v>
      </c>
      <c r="AM1997">
        <v>93.775772488613796</v>
      </c>
      <c r="AN1997">
        <v>1.0000000680041301</v>
      </c>
    </row>
    <row r="1998" spans="1:40" x14ac:dyDescent="0.25">
      <c r="A1998" t="str">
        <f>"20190304164854885"</f>
        <v>20190304164854885</v>
      </c>
      <c r="B1998" t="str">
        <f>"1551689334878425"</f>
        <v>1551689334878425</v>
      </c>
      <c r="C1998" t="s">
        <v>40</v>
      </c>
      <c r="D1998">
        <v>3.7602679999999999</v>
      </c>
      <c r="E1998">
        <v>0.52987459999999997</v>
      </c>
      <c r="F1998" t="s">
        <v>41</v>
      </c>
      <c r="G1998">
        <v>-223.6301</v>
      </c>
      <c r="H1998">
        <v>1.044224</v>
      </c>
      <c r="I1998">
        <v>285.23750000000001</v>
      </c>
      <c r="J1998">
        <v>-223.04429999999999</v>
      </c>
      <c r="K1998">
        <v>1.111737</v>
      </c>
      <c r="L1998">
        <v>285.2475</v>
      </c>
      <c r="M1998">
        <v>-0.99993220000000005</v>
      </c>
      <c r="N1998">
        <v>-5.4203890000000003E-3</v>
      </c>
      <c r="O1998">
        <v>-1.0316540000000001E-2</v>
      </c>
      <c r="P1998">
        <v>-0.93685419999999997</v>
      </c>
      <c r="Q1998">
        <v>0.34349750000000001</v>
      </c>
      <c r="R1998">
        <v>-6.5679500000000002E-2</v>
      </c>
      <c r="S1998">
        <v>-3.2838750000000001</v>
      </c>
      <c r="T1998">
        <v>-0.2371267</v>
      </c>
      <c r="U1998">
        <v>-5.2520749999999998E-2</v>
      </c>
      <c r="V1998">
        <v>-5.7774909999999999E-2</v>
      </c>
      <c r="W1998">
        <v>0.34828579999999998</v>
      </c>
      <c r="X1998">
        <v>0.93560620000000005</v>
      </c>
      <c r="Y1998">
        <v>-5.6823359999999996E-3</v>
      </c>
      <c r="Z1998">
        <v>4.6775670000000002E-4</v>
      </c>
      <c r="AA1998">
        <v>0.99998370000000003</v>
      </c>
      <c r="AB1998">
        <v>34</v>
      </c>
      <c r="AC1998">
        <v>-0.58580000000000598</v>
      </c>
      <c r="AD1998">
        <v>-6.7512999999999906E-2</v>
      </c>
      <c r="AE1998">
        <v>-9.9999999999908998E-3</v>
      </c>
      <c r="AF1998">
        <v>-3.9041097709384201E-3</v>
      </c>
      <c r="AG1998">
        <v>-6.7512999999999906E-2</v>
      </c>
      <c r="AH1998">
        <v>0.57819442758540496</v>
      </c>
      <c r="AI1998">
        <v>96.659845437254106</v>
      </c>
      <c r="AJ1998">
        <v>90.386869195750904</v>
      </c>
      <c r="AK1998">
        <v>0.58213576022515301</v>
      </c>
      <c r="AL1998">
        <v>69.617496161026807</v>
      </c>
      <c r="AM1998">
        <v>93.5336026193782</v>
      </c>
      <c r="AN1998">
        <v>0.99999995009279197</v>
      </c>
    </row>
    <row r="1999" spans="1:40" x14ac:dyDescent="0.25">
      <c r="A1999" t="str">
        <f>"20190304164854897"</f>
        <v>20190304164854897</v>
      </c>
      <c r="B1999" t="str">
        <f>"1551689334888185"</f>
        <v>1551689334888185</v>
      </c>
      <c r="C1999" t="s">
        <v>40</v>
      </c>
      <c r="D1999">
        <v>3.7522600000000002</v>
      </c>
      <c r="E1999">
        <v>0.52979430000000005</v>
      </c>
      <c r="F1999" t="s">
        <v>46</v>
      </c>
      <c r="G1999">
        <v>-238.7799</v>
      </c>
      <c r="H1999" s="1">
        <v>3.118529E-6</v>
      </c>
      <c r="I1999">
        <v>285.0027</v>
      </c>
      <c r="J1999">
        <v>-223.24610000000001</v>
      </c>
      <c r="K1999">
        <v>1.111693</v>
      </c>
      <c r="L1999">
        <v>285.24439999999998</v>
      </c>
      <c r="M1999">
        <v>-0.99991779999999997</v>
      </c>
      <c r="N1999">
        <v>-5.4436119999999996E-3</v>
      </c>
      <c r="O1999">
        <v>-1.1609420000000001E-2</v>
      </c>
      <c r="P1999">
        <v>-0.93669769999999997</v>
      </c>
      <c r="Q1999">
        <v>0.3439699</v>
      </c>
      <c r="R1999">
        <v>-6.5438209999999997E-2</v>
      </c>
      <c r="S1999">
        <v>-3.2837070000000002</v>
      </c>
      <c r="T1999">
        <v>-0.2319967</v>
      </c>
      <c r="U1999">
        <v>-5.1086430000000002E-2</v>
      </c>
      <c r="V1999">
        <v>-5.6289939999999997E-2</v>
      </c>
      <c r="W1999">
        <v>0.34879270000000001</v>
      </c>
      <c r="X1999">
        <v>0.93550800000000001</v>
      </c>
      <c r="Y1999">
        <v>-3.96044E-3</v>
      </c>
      <c r="Z1999">
        <v>6.0547260000000001E-4</v>
      </c>
      <c r="AA1999">
        <v>0.99999199999999999</v>
      </c>
      <c r="AB1999">
        <v>34</v>
      </c>
      <c r="AC1999">
        <v>-15.5337999999999</v>
      </c>
      <c r="AD1999">
        <v>-1.1116898814709999</v>
      </c>
      <c r="AE1999">
        <v>-0.24169999999997999</v>
      </c>
      <c r="AF1999">
        <v>-6.1030131441493198E-2</v>
      </c>
      <c r="AG1999">
        <v>-1.1116898814709999</v>
      </c>
      <c r="AH1999">
        <v>15.456415606911801</v>
      </c>
      <c r="AI1999">
        <v>94.1138354550977</v>
      </c>
      <c r="AJ1999">
        <v>90.226232968318101</v>
      </c>
      <c r="AK1999">
        <v>15.496462902323699</v>
      </c>
      <c r="AL1999">
        <v>69.586512285560104</v>
      </c>
      <c r="AM1999">
        <v>93.443361459502697</v>
      </c>
      <c r="AN1999">
        <v>1.0000000614912401</v>
      </c>
    </row>
    <row r="2000" spans="1:40" x14ac:dyDescent="0.25">
      <c r="A2000" t="str">
        <f>"20190304164854918"</f>
        <v>20190304164854918</v>
      </c>
      <c r="B2000" t="str">
        <f>"1551689334907723"</f>
        <v>1551689334907723</v>
      </c>
      <c r="C2000" t="s">
        <v>40</v>
      </c>
      <c r="D2000">
        <v>3.7702369999999998</v>
      </c>
      <c r="E2000">
        <v>0.52960929999999995</v>
      </c>
      <c r="F2000" t="s">
        <v>41</v>
      </c>
      <c r="G2000">
        <v>-224.2379</v>
      </c>
      <c r="H2000">
        <v>1.042044</v>
      </c>
      <c r="I2000">
        <v>285.22890000000001</v>
      </c>
      <c r="J2000">
        <v>-223.5538</v>
      </c>
      <c r="K2000">
        <v>1.111602</v>
      </c>
      <c r="L2000">
        <v>285.23910000000001</v>
      </c>
      <c r="M2000">
        <v>-0.99989470000000003</v>
      </c>
      <c r="N2000">
        <v>-5.4780109999999996E-3</v>
      </c>
      <c r="O2000">
        <v>-1.344893E-2</v>
      </c>
      <c r="P2000">
        <v>-0.9363669</v>
      </c>
      <c r="Q2000">
        <v>0.34490979999999999</v>
      </c>
      <c r="R2000">
        <v>-6.522799E-2</v>
      </c>
      <c r="S2000">
        <v>-3.2838440000000002</v>
      </c>
      <c r="T2000">
        <v>-0.23066229999999999</v>
      </c>
      <c r="U2000">
        <v>-5.1330569999999999E-2</v>
      </c>
      <c r="V2000">
        <v>-5.4288200000000002E-2</v>
      </c>
      <c r="W2000">
        <v>0.34978500000000001</v>
      </c>
      <c r="X2000">
        <v>0.93525570000000002</v>
      </c>
      <c r="Y2000">
        <v>-2.202744E-3</v>
      </c>
      <c r="Z2000">
        <v>7.8651449999999896E-4</v>
      </c>
      <c r="AA2000">
        <v>0.99999729999999998</v>
      </c>
      <c r="AB2000">
        <v>34</v>
      </c>
      <c r="AC2000">
        <v>-0.68410000000000004</v>
      </c>
      <c r="AD2000">
        <v>-6.9557999999999995E-2</v>
      </c>
      <c r="AE2000">
        <v>-1.0199999999997499E-2</v>
      </c>
      <c r="AF2000">
        <v>-9.8831242557076903E-4</v>
      </c>
      <c r="AG2000">
        <v>-6.9557999999999995E-2</v>
      </c>
      <c r="AH2000">
        <v>0.67717592235319402</v>
      </c>
      <c r="AI2000">
        <v>95.864720034964506</v>
      </c>
      <c r="AJ2000">
        <v>90.083620945091596</v>
      </c>
      <c r="AK2000">
        <v>0.68073968735512302</v>
      </c>
      <c r="AL2000">
        <v>69.525834456416206</v>
      </c>
      <c r="AM2000">
        <v>93.322084338260098</v>
      </c>
      <c r="AN2000">
        <v>0.99999998963336501</v>
      </c>
    </row>
    <row r="2001" spans="1:40" x14ac:dyDescent="0.25">
      <c r="A2001" t="str">
        <f>"20190304164854940"</f>
        <v>20190304164854940</v>
      </c>
      <c r="B2001" t="str">
        <f>"1551689334927660"</f>
        <v>1551689334927660</v>
      </c>
      <c r="C2001" t="s">
        <v>40</v>
      </c>
      <c r="D2001">
        <v>3.764948</v>
      </c>
      <c r="E2001">
        <v>0.52958459999999996</v>
      </c>
      <c r="F2001" t="s">
        <v>41</v>
      </c>
      <c r="G2001">
        <v>-224.5453</v>
      </c>
      <c r="H2001">
        <v>1.0430710000000001</v>
      </c>
      <c r="I2001">
        <v>285.22359999999998</v>
      </c>
      <c r="J2001">
        <v>-223.88509999999999</v>
      </c>
      <c r="K2001">
        <v>1.1114660000000001</v>
      </c>
      <c r="L2001">
        <v>285.233</v>
      </c>
      <c r="M2001">
        <v>-0.99986889999999995</v>
      </c>
      <c r="N2001">
        <v>-5.5129439999999997E-3</v>
      </c>
      <c r="O2001">
        <v>-1.522867E-2</v>
      </c>
      <c r="P2001">
        <v>-0.93567909999999999</v>
      </c>
      <c r="Q2001">
        <v>0.34687469999999998</v>
      </c>
      <c r="R2001">
        <v>-6.4675849999999993E-2</v>
      </c>
      <c r="S2001">
        <v>-3.2839510000000001</v>
      </c>
      <c r="T2001">
        <v>-0.22725329999999999</v>
      </c>
      <c r="U2001">
        <v>-5.2154539999999999E-2</v>
      </c>
      <c r="V2001">
        <v>-5.1972480000000001E-2</v>
      </c>
      <c r="W2001">
        <v>0.35180640000000002</v>
      </c>
      <c r="X2001">
        <v>0.93462880000000004</v>
      </c>
      <c r="Y2001">
        <v>-6.799051E-4</v>
      </c>
      <c r="Z2001">
        <v>9.4321960000000001E-4</v>
      </c>
      <c r="AA2001">
        <v>0.99999930000000004</v>
      </c>
      <c r="AB2001">
        <v>34</v>
      </c>
      <c r="AC2001">
        <v>-0.66020000000000301</v>
      </c>
      <c r="AD2001">
        <v>-6.8395000000000206E-2</v>
      </c>
      <c r="AE2001">
        <v>-9.4000000000278305E-3</v>
      </c>
      <c r="AF2001">
        <v>6.4825426377200502E-4</v>
      </c>
      <c r="AG2001">
        <v>-6.8395000000000206E-2</v>
      </c>
      <c r="AH2001">
        <v>0.65325698320328596</v>
      </c>
      <c r="AI2001">
        <v>95.9770009140544</v>
      </c>
      <c r="AJ2001">
        <v>89.943143017022805</v>
      </c>
      <c r="AK2001">
        <v>0.65682797014321004</v>
      </c>
      <c r="AL2001">
        <v>69.402156183639207</v>
      </c>
      <c r="AM2001">
        <v>93.182803812930601</v>
      </c>
      <c r="AN2001">
        <v>0.99999993777387297</v>
      </c>
    </row>
    <row r="2002" spans="1:40" x14ac:dyDescent="0.25">
      <c r="A2002" t="str">
        <f>"20190304164854953"</f>
        <v>20190304164854953</v>
      </c>
      <c r="B2002" t="str">
        <f>"1551689334948152"</f>
        <v>1551689334948152</v>
      </c>
      <c r="C2002" t="s">
        <v>40</v>
      </c>
      <c r="D2002">
        <v>3.7854459999999999</v>
      </c>
      <c r="E2002">
        <v>0.52926249999999997</v>
      </c>
      <c r="F2002" t="s">
        <v>41</v>
      </c>
      <c r="G2002">
        <v>-224.85560000000001</v>
      </c>
      <c r="H2002">
        <v>1.046297</v>
      </c>
      <c r="I2002">
        <v>285.21789999999999</v>
      </c>
      <c r="J2002">
        <v>-224.10040000000001</v>
      </c>
      <c r="K2002">
        <v>1.1113690000000001</v>
      </c>
      <c r="L2002">
        <v>285.22890000000001</v>
      </c>
      <c r="M2002">
        <v>-0.99985219999999997</v>
      </c>
      <c r="N2002">
        <v>-5.5347310000000002E-3</v>
      </c>
      <c r="O2002">
        <v>-1.6279200000000001E-2</v>
      </c>
      <c r="P2002">
        <v>-0.93552150000000001</v>
      </c>
      <c r="Q2002">
        <v>0.34729110000000002</v>
      </c>
      <c r="R2002">
        <v>-6.4718079999999997E-2</v>
      </c>
      <c r="S2002">
        <v>-3.2844540000000002</v>
      </c>
      <c r="T2002">
        <v>-0.2206198</v>
      </c>
      <c r="U2002">
        <v>-5.1513669999999998E-2</v>
      </c>
      <c r="V2002">
        <v>-5.0947060000000002E-2</v>
      </c>
      <c r="W2002">
        <v>0.3522595</v>
      </c>
      <c r="X2002">
        <v>0.93451470000000003</v>
      </c>
      <c r="Y2002">
        <v>5.6510779999999997E-4</v>
      </c>
      <c r="Z2002">
        <v>1.0226339999999999E-3</v>
      </c>
      <c r="AA2002">
        <v>0.99999930000000004</v>
      </c>
      <c r="AB2002">
        <v>34</v>
      </c>
      <c r="AC2002">
        <v>-0.75520000000000198</v>
      </c>
      <c r="AD2002">
        <v>-6.5072000000000005E-2</v>
      </c>
      <c r="AE2002">
        <v>-1.10000000000241E-2</v>
      </c>
      <c r="AF2002">
        <v>1.28615050615134E-3</v>
      </c>
      <c r="AG2002">
        <v>-6.5072000000000005E-2</v>
      </c>
      <c r="AH2002">
        <v>0.74971396165377702</v>
      </c>
      <c r="AI2002">
        <v>94.960592019109498</v>
      </c>
      <c r="AJ2002">
        <v>89.901707948232101</v>
      </c>
      <c r="AK2002">
        <v>0.75253374918718796</v>
      </c>
      <c r="AL2002">
        <v>69.374422239064501</v>
      </c>
      <c r="AM2002">
        <v>93.120512434267397</v>
      </c>
      <c r="AN2002">
        <v>1.0000000413894901</v>
      </c>
    </row>
    <row r="2003" spans="1:40" x14ac:dyDescent="0.25">
      <c r="A2003" t="str">
        <f>"20190304164854974"</f>
        <v>20190304164854974</v>
      </c>
      <c r="B2003" t="str">
        <f>"1551689334967672"</f>
        <v>1551689334967672</v>
      </c>
      <c r="C2003" t="s">
        <v>40</v>
      </c>
      <c r="D2003">
        <v>3.7919839999999998</v>
      </c>
      <c r="E2003">
        <v>0.5289914</v>
      </c>
      <c r="F2003" t="s">
        <v>46</v>
      </c>
      <c r="G2003">
        <v>-240.63890000000001</v>
      </c>
      <c r="H2003" s="1">
        <v>-1.196811E-6</v>
      </c>
      <c r="I2003">
        <v>284.95139999999998</v>
      </c>
      <c r="J2003">
        <v>-224.4109</v>
      </c>
      <c r="K2003">
        <v>1.1111949999999999</v>
      </c>
      <c r="L2003">
        <v>285.22269999999997</v>
      </c>
      <c r="M2003">
        <v>-0.99982990000000005</v>
      </c>
      <c r="N2003">
        <v>-5.5681919999999996E-3</v>
      </c>
      <c r="O2003">
        <v>-1.7579899999999999E-2</v>
      </c>
      <c r="P2003">
        <v>-0.93536540000000001</v>
      </c>
      <c r="Q2003">
        <v>0.34772730000000002</v>
      </c>
      <c r="R2003">
        <v>-6.4632330000000002E-2</v>
      </c>
      <c r="S2003">
        <v>-3.284897</v>
      </c>
      <c r="T2003">
        <v>-0.2207423</v>
      </c>
      <c r="U2003">
        <v>-5.5114749999999997E-2</v>
      </c>
      <c r="V2003">
        <v>-4.9496039999999998E-2</v>
      </c>
      <c r="W2003">
        <v>0.3527535</v>
      </c>
      <c r="X2003">
        <v>0.93440630000000002</v>
      </c>
      <c r="Y2003">
        <v>7.6921029999999998E-4</v>
      </c>
      <c r="Z2003">
        <v>1.110022E-3</v>
      </c>
      <c r="AA2003">
        <v>0.99999910000000003</v>
      </c>
      <c r="AB2003">
        <v>34</v>
      </c>
      <c r="AC2003">
        <v>-16.228000000000002</v>
      </c>
      <c r="AD2003">
        <v>-1.111196196811</v>
      </c>
      <c r="AE2003">
        <v>-0.27129999999999599</v>
      </c>
      <c r="AF2003">
        <v>1.3967512637762899E-2</v>
      </c>
      <c r="AG2003">
        <v>-1.111196196811</v>
      </c>
      <c r="AH2003">
        <v>16.154539116346399</v>
      </c>
      <c r="AI2003">
        <v>93.934912689525902</v>
      </c>
      <c r="AJ2003">
        <v>89.950461024034396</v>
      </c>
      <c r="AK2003">
        <v>16.192717070979299</v>
      </c>
      <c r="AL2003">
        <v>69.344175997428906</v>
      </c>
      <c r="AM2003">
        <v>93.032156608566893</v>
      </c>
      <c r="AN2003">
        <v>1.0000000116088099</v>
      </c>
    </row>
    <row r="2004" spans="1:40" x14ac:dyDescent="0.25">
      <c r="A2004" t="str">
        <f>"20190304164854995"</f>
        <v>20190304164854995</v>
      </c>
      <c r="B2004" t="str">
        <f>"1551689334988168"</f>
        <v>1551689334988168</v>
      </c>
      <c r="C2004" t="s">
        <v>40</v>
      </c>
      <c r="D2004">
        <v>3.7860399999999998</v>
      </c>
      <c r="E2004">
        <v>0.52729769999999998</v>
      </c>
      <c r="F2004" t="s">
        <v>46</v>
      </c>
      <c r="G2004">
        <v>-240.92529999999999</v>
      </c>
      <c r="H2004" s="1">
        <v>-1.0444060000000001E-6</v>
      </c>
      <c r="I2004">
        <v>284.93239999999997</v>
      </c>
      <c r="J2004">
        <v>-224.7508</v>
      </c>
      <c r="K2004">
        <v>1.1109439999999999</v>
      </c>
      <c r="L2004">
        <v>285.21570000000003</v>
      </c>
      <c r="M2004">
        <v>-0.99981050000000005</v>
      </c>
      <c r="N2004">
        <v>-5.6072439999999999E-3</v>
      </c>
      <c r="O2004">
        <v>-1.864381E-2</v>
      </c>
      <c r="P2004">
        <v>-0.93523820000000002</v>
      </c>
      <c r="Q2004">
        <v>0.34795579999999998</v>
      </c>
      <c r="R2004">
        <v>-6.5242159999999993E-2</v>
      </c>
      <c r="S2004">
        <v>-3.285507</v>
      </c>
      <c r="T2004">
        <v>-0.22107089999999999</v>
      </c>
      <c r="U2004">
        <v>-5.7739260000000001E-2</v>
      </c>
      <c r="V2004">
        <v>-4.8893579999999999E-2</v>
      </c>
      <c r="W2004">
        <v>0.35305009999999998</v>
      </c>
      <c r="X2004">
        <v>0.93432599999999999</v>
      </c>
      <c r="Y2004">
        <v>1.0351259999999999E-3</v>
      </c>
      <c r="Z2004">
        <v>1.1861160000000001E-3</v>
      </c>
      <c r="AA2004">
        <v>0.99999870000000002</v>
      </c>
      <c r="AB2004">
        <v>34</v>
      </c>
      <c r="AC2004">
        <v>-16.174499999999899</v>
      </c>
      <c r="AD2004">
        <v>-1.1109450444059901</v>
      </c>
      <c r="AE2004">
        <v>-0.28330000000005301</v>
      </c>
      <c r="AF2004">
        <v>1.8222337592888601E-2</v>
      </c>
      <c r="AG2004">
        <v>-1.1109450444059901</v>
      </c>
      <c r="AH2004">
        <v>16.101035129664801</v>
      </c>
      <c r="AI2004">
        <v>93.9470566413939</v>
      </c>
      <c r="AJ2004">
        <v>89.9351555609461</v>
      </c>
      <c r="AK2004">
        <v>16.139326602804001</v>
      </c>
      <c r="AL2004">
        <v>69.326013569433002</v>
      </c>
      <c r="AM2004">
        <v>92.9955741360492</v>
      </c>
      <c r="AN2004">
        <v>1.0000000147756101</v>
      </c>
    </row>
    <row r="2005" spans="1:40" x14ac:dyDescent="0.25">
      <c r="A2005" t="str">
        <f>"20190304164855021"</f>
        <v>20190304164855021</v>
      </c>
      <c r="B2005" t="str">
        <f>"1551689335007691"</f>
        <v>1551689335007691</v>
      </c>
      <c r="C2005" t="s">
        <v>40</v>
      </c>
      <c r="D2005">
        <v>3.8036919999999999</v>
      </c>
      <c r="E2005">
        <v>0.52652200000000005</v>
      </c>
      <c r="F2005" t="s">
        <v>41</v>
      </c>
      <c r="G2005">
        <v>-225.77850000000001</v>
      </c>
      <c r="H2005">
        <v>1.0377099999999999</v>
      </c>
      <c r="I2005">
        <v>285.19260000000003</v>
      </c>
      <c r="J2005">
        <v>-225.13980000000001</v>
      </c>
      <c r="K2005">
        <v>1.1105860000000001</v>
      </c>
      <c r="L2005">
        <v>285.20769999999999</v>
      </c>
      <c r="M2005">
        <v>-0.9997973</v>
      </c>
      <c r="N2005">
        <v>-5.6584799999999996E-3</v>
      </c>
      <c r="O2005">
        <v>-1.9329570000000001E-2</v>
      </c>
      <c r="P2005">
        <v>-0.93522059999999996</v>
      </c>
      <c r="Q2005">
        <v>0.34783380000000003</v>
      </c>
      <c r="R2005">
        <v>-6.6138399999999903E-2</v>
      </c>
      <c r="S2005">
        <v>-3.2897799999999999</v>
      </c>
      <c r="T2005">
        <v>-0.2344137</v>
      </c>
      <c r="U2005">
        <v>-7.4188229999999994E-2</v>
      </c>
      <c r="V2005">
        <v>-4.8843890000000001E-2</v>
      </c>
      <c r="W2005">
        <v>0.35301719999999998</v>
      </c>
      <c r="X2005">
        <v>0.93434099999999998</v>
      </c>
      <c r="Y2005">
        <v>-3.2488339999999999E-3</v>
      </c>
      <c r="Z2005">
        <v>1.141235E-3</v>
      </c>
      <c r="AA2005">
        <v>0.9999941</v>
      </c>
      <c r="AB2005">
        <v>35</v>
      </c>
      <c r="AC2005">
        <v>-0.63870000000000005</v>
      </c>
      <c r="AD2005">
        <v>-7.2875999999999899E-2</v>
      </c>
      <c r="AE2005">
        <v>-1.50999999999612E-2</v>
      </c>
      <c r="AF2005">
        <v>-2.71584882560639E-3</v>
      </c>
      <c r="AG2005">
        <v>-7.2875999999999899E-2</v>
      </c>
      <c r="AH2005">
        <v>0.63066653124931804</v>
      </c>
      <c r="AI2005">
        <v>96.591457785989704</v>
      </c>
      <c r="AJ2005">
        <v>90.246732157056698</v>
      </c>
      <c r="AK2005">
        <v>0.634868932023682</v>
      </c>
      <c r="AL2005">
        <v>69.328027722401004</v>
      </c>
      <c r="AM2005">
        <v>92.992487348676804</v>
      </c>
      <c r="AN2005">
        <v>0.99999998668358603</v>
      </c>
    </row>
    <row r="2006" spans="1:40" x14ac:dyDescent="0.25">
      <c r="A2006" t="str">
        <f>"20190304164855041"</f>
        <v>20190304164855041</v>
      </c>
      <c r="B2006" t="str">
        <f>"1551689335037944"</f>
        <v>1551689335037944</v>
      </c>
      <c r="C2006" t="s">
        <v>40</v>
      </c>
      <c r="D2006">
        <v>3.8692139999999999</v>
      </c>
      <c r="E2006">
        <v>0.52662010000000004</v>
      </c>
      <c r="F2006" t="s">
        <v>41</v>
      </c>
      <c r="G2006">
        <v>-226.0943</v>
      </c>
      <c r="H2006">
        <v>1.0417259999999999</v>
      </c>
      <c r="I2006">
        <v>285.18349999999998</v>
      </c>
      <c r="J2006">
        <v>-225.45400000000001</v>
      </c>
      <c r="K2006">
        <v>1.1102989999999999</v>
      </c>
      <c r="L2006">
        <v>285.2013</v>
      </c>
      <c r="M2006">
        <v>-0.99979220000000002</v>
      </c>
      <c r="N2006">
        <v>-5.7022219999999998E-3</v>
      </c>
      <c r="O2006">
        <v>-1.9566569999999998E-2</v>
      </c>
      <c r="P2006">
        <v>-0.93524770000000002</v>
      </c>
      <c r="Q2006">
        <v>0.347566599999999</v>
      </c>
      <c r="R2006">
        <v>-6.7148879999999994E-2</v>
      </c>
      <c r="S2006">
        <v>-3.290146</v>
      </c>
      <c r="T2006">
        <v>-0.23730000000000001</v>
      </c>
      <c r="U2006">
        <v>-8.3312990000000003E-2</v>
      </c>
      <c r="V2006">
        <v>-4.938592E-2</v>
      </c>
      <c r="W2006">
        <v>0.35282390000000002</v>
      </c>
      <c r="X2006">
        <v>0.93438549999999998</v>
      </c>
      <c r="Y2006">
        <v>-5.775283E-3</v>
      </c>
      <c r="Z2006">
        <v>1.073126E-3</v>
      </c>
      <c r="AA2006">
        <v>0.99998279999999995</v>
      </c>
      <c r="AB2006">
        <v>35</v>
      </c>
      <c r="AC2006">
        <v>-0.64029999999999598</v>
      </c>
      <c r="AD2006">
        <v>-6.8572999999999995E-2</v>
      </c>
      <c r="AE2006">
        <v>-1.7800000000022399E-2</v>
      </c>
      <c r="AF2006">
        <v>-5.2082236570962E-3</v>
      </c>
      <c r="AG2006">
        <v>-6.8572999999999995E-2</v>
      </c>
      <c r="AH2006">
        <v>0.63326813194228704</v>
      </c>
      <c r="AI2006">
        <v>96.179946275954904</v>
      </c>
      <c r="AJ2006">
        <v>90.4712103631839</v>
      </c>
      <c r="AK2006">
        <v>0.636991294176252</v>
      </c>
      <c r="AL2006">
        <v>69.339864262649897</v>
      </c>
      <c r="AM2006">
        <v>93.0254903616012</v>
      </c>
      <c r="AN2006">
        <v>0.99999996805785196</v>
      </c>
    </row>
    <row r="2007" spans="1:40" x14ac:dyDescent="0.25">
      <c r="A2007" t="str">
        <f>"20190304164855063"</f>
        <v>20190304164855063</v>
      </c>
      <c r="B2007" t="str">
        <f>"1551689335058442"</f>
        <v>1551689335058442</v>
      </c>
      <c r="C2007" t="s">
        <v>40</v>
      </c>
      <c r="D2007">
        <v>3.8355899999999998</v>
      </c>
      <c r="E2007">
        <v>0.53842809999999997</v>
      </c>
      <c r="F2007" t="s">
        <v>41</v>
      </c>
      <c r="G2007">
        <v>-226.4066</v>
      </c>
      <c r="H2007">
        <v>1.0406610000000001</v>
      </c>
      <c r="I2007">
        <v>285.17610000000002</v>
      </c>
      <c r="J2007">
        <v>-225.80179999999999</v>
      </c>
      <c r="K2007">
        <v>1.1099760000000001</v>
      </c>
      <c r="L2007">
        <v>285.19459999999998</v>
      </c>
      <c r="M2007">
        <v>-0.99979439999999997</v>
      </c>
      <c r="N2007">
        <v>-5.7518919999999998E-3</v>
      </c>
      <c r="O2007">
        <v>-1.9450450000000001E-2</v>
      </c>
      <c r="P2007">
        <v>-0.93528710000000004</v>
      </c>
      <c r="Q2007">
        <v>0.34734599999999999</v>
      </c>
      <c r="R2007">
        <v>-6.7743380000000006E-2</v>
      </c>
      <c r="S2007">
        <v>-3.2908780000000002</v>
      </c>
      <c r="T2007">
        <v>-0.24069689999999999</v>
      </c>
      <c r="U2007">
        <v>-8.7188719999999997E-2</v>
      </c>
      <c r="V2007">
        <v>-4.9814600000000001E-2</v>
      </c>
      <c r="W2007">
        <v>0.3526879</v>
      </c>
      <c r="X2007">
        <v>0.93441410000000003</v>
      </c>
      <c r="Y2007">
        <v>-7.0595379999999998E-3</v>
      </c>
      <c r="Z2007">
        <v>1.0304649999999999E-3</v>
      </c>
      <c r="AA2007">
        <v>0.99997449999999999</v>
      </c>
      <c r="AB2007">
        <v>35</v>
      </c>
      <c r="AC2007">
        <v>-0.604800000000011</v>
      </c>
      <c r="AD2007">
        <v>-6.9315000000000002E-2</v>
      </c>
      <c r="AE2007">
        <v>-1.8499999999960399E-2</v>
      </c>
      <c r="AF2007">
        <v>-6.6454679944528399E-3</v>
      </c>
      <c r="AG2007">
        <v>-6.9315000000000002E-2</v>
      </c>
      <c r="AH2007">
        <v>0.597208406392017</v>
      </c>
      <c r="AI2007">
        <v>96.620007044069496</v>
      </c>
      <c r="AJ2007">
        <v>90.637535491185005</v>
      </c>
      <c r="AK2007">
        <v>0.60125419926613199</v>
      </c>
      <c r="AL2007">
        <v>69.348192075043499</v>
      </c>
      <c r="AM2007">
        <v>93.0516095889529</v>
      </c>
      <c r="AN2007">
        <v>0.99999997972918897</v>
      </c>
    </row>
    <row r="2008" spans="1:40" x14ac:dyDescent="0.25">
      <c r="A2008" t="str">
        <f>"20190304164855085"</f>
        <v>20190304164855085</v>
      </c>
      <c r="B2008" t="str">
        <f>"1551689335077961"</f>
        <v>1551689335077961</v>
      </c>
      <c r="C2008" t="s">
        <v>40</v>
      </c>
      <c r="D2008">
        <v>3.8618540000000001</v>
      </c>
      <c r="E2008">
        <v>0.54037100000000005</v>
      </c>
      <c r="F2008" t="s">
        <v>41</v>
      </c>
      <c r="G2008">
        <v>-226.71539999999999</v>
      </c>
      <c r="H2008">
        <v>1.0356129999999999</v>
      </c>
      <c r="I2008">
        <v>285.19470000000001</v>
      </c>
      <c r="J2008">
        <v>-226.15690000000001</v>
      </c>
      <c r="K2008">
        <v>1.1096410000000001</v>
      </c>
      <c r="L2008">
        <v>285.18799999999999</v>
      </c>
      <c r="M2008">
        <v>-0.99980440000000004</v>
      </c>
      <c r="N2008">
        <v>-5.8056409999999899E-3</v>
      </c>
      <c r="O2008">
        <v>-1.8905829999999998E-2</v>
      </c>
      <c r="P2008">
        <v>-0.93555710000000003</v>
      </c>
      <c r="Q2008">
        <v>0.34644150000000001</v>
      </c>
      <c r="R2008">
        <v>-6.8637420000000005E-2</v>
      </c>
      <c r="S2008">
        <v>-3.3075869999999998</v>
      </c>
      <c r="T2008">
        <v>-0.26925060000000001</v>
      </c>
      <c r="U2008">
        <v>4.577637E-4</v>
      </c>
      <c r="V2008">
        <v>-5.0926399999999997E-2</v>
      </c>
      <c r="W2008">
        <v>0.3518752</v>
      </c>
      <c r="X2008">
        <v>0.93466059999999995</v>
      </c>
      <c r="Y2008">
        <v>1.8923519999999999E-2</v>
      </c>
      <c r="Z2008">
        <v>2.250784E-3</v>
      </c>
      <c r="AA2008">
        <v>0.9998184</v>
      </c>
      <c r="AB2008">
        <v>35</v>
      </c>
      <c r="AC2008">
        <v>-0.55849999999998001</v>
      </c>
      <c r="AD2008">
        <v>-7.4027999999999899E-2</v>
      </c>
      <c r="AE2008">
        <v>6.7000000000234598E-3</v>
      </c>
      <c r="AF2008">
        <v>1.6959960863167398E-2</v>
      </c>
      <c r="AG2008">
        <v>-7.4027999999999899E-2</v>
      </c>
      <c r="AH2008">
        <v>0.54863593658374998</v>
      </c>
      <c r="AI2008">
        <v>97.680940255618097</v>
      </c>
      <c r="AJ2008">
        <v>88.229381713043097</v>
      </c>
      <c r="AK2008">
        <v>0.55386747148357496</v>
      </c>
      <c r="AL2008">
        <v>69.3979472966831</v>
      </c>
      <c r="AM2008">
        <v>93.118763554789993</v>
      </c>
      <c r="AN2008">
        <v>1.0000000458921701</v>
      </c>
    </row>
    <row r="2009" spans="1:40" x14ac:dyDescent="0.25">
      <c r="A2009" t="str">
        <f>"20190304164855107"</f>
        <v>20190304164855107</v>
      </c>
      <c r="B2009" t="str">
        <f>"1551689335098456"</f>
        <v>1551689335098456</v>
      </c>
      <c r="C2009" t="s">
        <v>40</v>
      </c>
      <c r="D2009">
        <v>3.881402</v>
      </c>
      <c r="E2009">
        <v>0.54153969999999996</v>
      </c>
      <c r="F2009" t="s">
        <v>41</v>
      </c>
      <c r="G2009">
        <v>-227.0316</v>
      </c>
      <c r="H2009">
        <v>1.038027</v>
      </c>
      <c r="I2009">
        <v>285.19130000000001</v>
      </c>
      <c r="J2009">
        <v>-226.5</v>
      </c>
      <c r="K2009">
        <v>1.109321</v>
      </c>
      <c r="L2009">
        <v>285.1823</v>
      </c>
      <c r="M2009">
        <v>-0.99982099999999996</v>
      </c>
      <c r="N2009">
        <v>-5.8589380000000002E-3</v>
      </c>
      <c r="O2009">
        <v>-1.7996430000000001E-2</v>
      </c>
      <c r="P2009">
        <v>-0.93582270000000001</v>
      </c>
      <c r="Q2009">
        <v>0.34556609999999999</v>
      </c>
      <c r="R2009">
        <v>-6.9428909999999996E-2</v>
      </c>
      <c r="S2009">
        <v>-3.3078159999999999</v>
      </c>
      <c r="T2009">
        <v>-0.27098480000000003</v>
      </c>
      <c r="U2009">
        <v>1.1047360000000001E-2</v>
      </c>
      <c r="V2009">
        <v>-5.2288290000000001E-2</v>
      </c>
      <c r="W2009">
        <v>0.35109220000000002</v>
      </c>
      <c r="X2009">
        <v>0.93487980000000004</v>
      </c>
      <c r="Y2009">
        <v>2.1207739999999999E-2</v>
      </c>
      <c r="Z2009">
        <v>2.2959959999999998E-3</v>
      </c>
      <c r="AA2009">
        <v>0.99977240000000001</v>
      </c>
      <c r="AB2009">
        <v>35</v>
      </c>
      <c r="AC2009">
        <v>-0.53159999999999696</v>
      </c>
      <c r="AD2009">
        <v>-7.1293999999999899E-2</v>
      </c>
      <c r="AE2009">
        <v>9.0000000000145502E-3</v>
      </c>
      <c r="AF2009">
        <v>1.8237677742724299E-2</v>
      </c>
      <c r="AG2009">
        <v>-7.1293999999999899E-2</v>
      </c>
      <c r="AH2009">
        <v>0.52196650407035605</v>
      </c>
      <c r="AI2009">
        <v>97.773061874298605</v>
      </c>
      <c r="AJ2009">
        <v>87.998881087133896</v>
      </c>
      <c r="AK2009">
        <v>0.52712852199143601</v>
      </c>
      <c r="AL2009">
        <v>69.445866916065</v>
      </c>
      <c r="AM2009">
        <v>93.201246023299703</v>
      </c>
      <c r="AN2009">
        <v>1.00000001931</v>
      </c>
    </row>
    <row r="2010" spans="1:40" x14ac:dyDescent="0.25">
      <c r="A2010" t="str">
        <f>"20190304164855129"</f>
        <v>20190304164855129</v>
      </c>
      <c r="B2010" t="str">
        <f>"1551689335117980"</f>
        <v>1551689335117980</v>
      </c>
      <c r="C2010" t="s">
        <v>40</v>
      </c>
      <c r="D2010">
        <v>3.8866350000000001</v>
      </c>
      <c r="E2010">
        <v>0.54219569999999995</v>
      </c>
      <c r="F2010" t="s">
        <v>41</v>
      </c>
      <c r="G2010">
        <v>-227.3484</v>
      </c>
      <c r="H2010">
        <v>1.0396540000000001</v>
      </c>
      <c r="I2010">
        <v>285.1866</v>
      </c>
      <c r="J2010">
        <v>-226.85079999999999</v>
      </c>
      <c r="K2010">
        <v>1.1090180000000001</v>
      </c>
      <c r="L2010">
        <v>285.17689999999999</v>
      </c>
      <c r="M2010">
        <v>-0.99984260000000003</v>
      </c>
      <c r="N2010">
        <v>-5.9143980000000004E-3</v>
      </c>
      <c r="O2010">
        <v>-1.673593E-2</v>
      </c>
      <c r="P2010">
        <v>-0.93590099999999998</v>
      </c>
      <c r="Q2010">
        <v>0.34523290000000001</v>
      </c>
      <c r="R2010">
        <v>-7.0029010000000003E-2</v>
      </c>
      <c r="S2010">
        <v>-3.3072970000000002</v>
      </c>
      <c r="T2010">
        <v>-0.27154250000000002</v>
      </c>
      <c r="U2010">
        <v>1.7059330000000001E-2</v>
      </c>
      <c r="V2010">
        <v>-5.37983E-2</v>
      </c>
      <c r="W2010">
        <v>0.3508542</v>
      </c>
      <c r="X2010">
        <v>0.93488340000000003</v>
      </c>
      <c r="Y2010">
        <v>2.1766270000000001E-2</v>
      </c>
      <c r="Z2010">
        <v>2.2294340000000002E-3</v>
      </c>
      <c r="AA2010">
        <v>0.9997606</v>
      </c>
      <c r="AB2010">
        <v>35</v>
      </c>
      <c r="AC2010">
        <v>-0.49760000000000498</v>
      </c>
      <c r="AD2010">
        <v>-6.9363999999999898E-2</v>
      </c>
      <c r="AE2010">
        <v>9.7000000000093695E-3</v>
      </c>
      <c r="AF2010">
        <v>1.7683104934484599E-2</v>
      </c>
      <c r="AG2010">
        <v>-6.9363999999999898E-2</v>
      </c>
      <c r="AH2010">
        <v>0.48789108428849698</v>
      </c>
      <c r="AI2010">
        <v>98.086336879855395</v>
      </c>
      <c r="AJ2010">
        <v>87.924282646508701</v>
      </c>
      <c r="AK2010">
        <v>0.493114354713315</v>
      </c>
      <c r="AL2010">
        <v>69.460428210801496</v>
      </c>
      <c r="AM2010">
        <v>93.293480049274507</v>
      </c>
      <c r="AN2010">
        <v>0.99999994916804302</v>
      </c>
    </row>
    <row r="2011" spans="1:40" x14ac:dyDescent="0.25">
      <c r="A2011" t="str">
        <f>"20190304164855152"</f>
        <v>20190304164855152</v>
      </c>
      <c r="B2011" t="str">
        <f>"1551689335148232"</f>
        <v>1551689335148232</v>
      </c>
      <c r="C2011" t="s">
        <v>40</v>
      </c>
      <c r="D2011">
        <v>3.9383650000000001</v>
      </c>
      <c r="E2011">
        <v>0.54325429999999997</v>
      </c>
      <c r="F2011" t="s">
        <v>41</v>
      </c>
      <c r="G2011">
        <v>-227.66669999999999</v>
      </c>
      <c r="H2011">
        <v>1.0420229999999999</v>
      </c>
      <c r="I2011">
        <v>285.18220000000002</v>
      </c>
      <c r="J2011">
        <v>-227.18989999999999</v>
      </c>
      <c r="K2011">
        <v>1.1087659999999999</v>
      </c>
      <c r="L2011">
        <v>285.17250000000001</v>
      </c>
      <c r="M2011">
        <v>-0.99986560000000002</v>
      </c>
      <c r="N2011">
        <v>-5.9679479999999998E-3</v>
      </c>
      <c r="O2011">
        <v>-1.527216E-2</v>
      </c>
      <c r="P2011">
        <v>-0.93606820000000002</v>
      </c>
      <c r="Q2011">
        <v>0.34463870000000002</v>
      </c>
      <c r="R2011">
        <v>-7.0716459999999995E-2</v>
      </c>
      <c r="S2011">
        <v>-3.3072050000000002</v>
      </c>
      <c r="T2011">
        <v>-0.27161410000000002</v>
      </c>
      <c r="U2011">
        <v>2.0446780000000001E-2</v>
      </c>
      <c r="V2011">
        <v>-5.5626879999999997E-2</v>
      </c>
      <c r="W2011">
        <v>0.35035050000000001</v>
      </c>
      <c r="X2011">
        <v>0.93496539999999995</v>
      </c>
      <c r="Y2011">
        <v>2.1332520000000001E-2</v>
      </c>
      <c r="Z2011">
        <v>2.0994170000000001E-3</v>
      </c>
      <c r="AA2011">
        <v>0.99977020000000005</v>
      </c>
      <c r="AB2011">
        <v>35</v>
      </c>
      <c r="AC2011">
        <v>-0.476799999999997</v>
      </c>
      <c r="AD2011">
        <v>-6.6742999999999997E-2</v>
      </c>
      <c r="AE2011">
        <v>9.7000000000093695E-3</v>
      </c>
      <c r="AF2011">
        <v>1.6654557680853398E-2</v>
      </c>
      <c r="AG2011">
        <v>-6.6742999999999997E-2</v>
      </c>
      <c r="AH2011">
        <v>0.46744067055363198</v>
      </c>
      <c r="AI2011">
        <v>98.120905420759698</v>
      </c>
      <c r="AJ2011">
        <v>87.959457853288697</v>
      </c>
      <c r="AK2011">
        <v>0.47247516636133802</v>
      </c>
      <c r="AL2011">
        <v>69.491246552043705</v>
      </c>
      <c r="AM2011">
        <v>93.404866913405201</v>
      </c>
      <c r="AN2011">
        <v>1.00000006091297</v>
      </c>
    </row>
    <row r="2012" spans="1:40" x14ac:dyDescent="0.25">
      <c r="A2012" t="str">
        <f>"20190304164855174"</f>
        <v>20190304164855174</v>
      </c>
      <c r="B2012" t="str">
        <f>"1551689335167753"</f>
        <v>1551689335167753</v>
      </c>
      <c r="C2012" t="s">
        <v>40</v>
      </c>
      <c r="D2012">
        <v>3.9441090000000001</v>
      </c>
      <c r="E2012">
        <v>0.54380379999999995</v>
      </c>
      <c r="F2012" t="s">
        <v>41</v>
      </c>
      <c r="G2012">
        <v>-227.98580000000001</v>
      </c>
      <c r="H2012">
        <v>1.04318</v>
      </c>
      <c r="I2012">
        <v>285.17849999999999</v>
      </c>
      <c r="J2012">
        <v>-227.56209999999999</v>
      </c>
      <c r="K2012">
        <v>1.1085309999999999</v>
      </c>
      <c r="L2012">
        <v>285.16829999999999</v>
      </c>
      <c r="M2012">
        <v>-0.99989099999999997</v>
      </c>
      <c r="N2012">
        <v>-6.0235499999999999E-3</v>
      </c>
      <c r="O2012">
        <v>-1.347514E-2</v>
      </c>
      <c r="P2012">
        <v>-0.9358495</v>
      </c>
      <c r="Q2012">
        <v>0.34570800000000002</v>
      </c>
      <c r="R2012">
        <v>-6.8352049999999998E-2</v>
      </c>
      <c r="S2012">
        <v>-3.3070979999999999</v>
      </c>
      <c r="T2012">
        <v>-0.27261049999999998</v>
      </c>
      <c r="U2012">
        <v>2.4505619999999999E-2</v>
      </c>
      <c r="V2012">
        <v>-5.4741669999999999E-2</v>
      </c>
      <c r="W2012">
        <v>0.35149979999999997</v>
      </c>
      <c r="X2012">
        <v>0.93458609999999998</v>
      </c>
      <c r="Y2012">
        <v>2.0769269999999999E-2</v>
      </c>
      <c r="Z2012">
        <v>1.9450660000000001E-3</v>
      </c>
      <c r="AA2012">
        <v>0.99978239999999996</v>
      </c>
      <c r="AB2012">
        <v>35</v>
      </c>
      <c r="AC2012">
        <v>-0.423700000000025</v>
      </c>
      <c r="AD2012">
        <v>-6.5350999999999895E-2</v>
      </c>
      <c r="AE2012">
        <v>1.0199999999997499E-2</v>
      </c>
      <c r="AF2012">
        <v>1.5539138505016301E-2</v>
      </c>
      <c r="AG2012">
        <v>-6.5350999999999895E-2</v>
      </c>
      <c r="AH2012">
        <v>0.41368829233241899</v>
      </c>
      <c r="AI2012">
        <v>98.970699856908894</v>
      </c>
      <c r="AJ2012">
        <v>87.848842491720902</v>
      </c>
      <c r="AK2012">
        <v>0.41910645573576</v>
      </c>
      <c r="AL2012">
        <v>69.420922284995498</v>
      </c>
      <c r="AM2012">
        <v>93.352165348732001</v>
      </c>
      <c r="AN2012">
        <v>0.99999996907381805</v>
      </c>
    </row>
    <row r="2013" spans="1:40" x14ac:dyDescent="0.25">
      <c r="A2013" t="str">
        <f>"20190304164855197"</f>
        <v>20190304164855197</v>
      </c>
      <c r="B2013" t="str">
        <f>"1551689335188248"</f>
        <v>1551689335188248</v>
      </c>
      <c r="C2013" t="s">
        <v>40</v>
      </c>
      <c r="D2013">
        <v>3.975492</v>
      </c>
      <c r="E2013">
        <v>0.54424779999999995</v>
      </c>
      <c r="F2013" t="s">
        <v>41</v>
      </c>
      <c r="G2013">
        <v>-228.30869999999999</v>
      </c>
      <c r="H2013">
        <v>1.04793799999999</v>
      </c>
      <c r="I2013">
        <v>285.1764</v>
      </c>
      <c r="J2013">
        <v>-227.91550000000001</v>
      </c>
      <c r="K2013">
        <v>1.108358</v>
      </c>
      <c r="L2013">
        <v>285.16500000000002</v>
      </c>
      <c r="M2013">
        <v>-0.99991379999999996</v>
      </c>
      <c r="N2013">
        <v>-6.0717790000000002E-3</v>
      </c>
      <c r="O2013">
        <v>-1.1637959999999999E-2</v>
      </c>
      <c r="P2013">
        <v>-0.9355561</v>
      </c>
      <c r="Q2013">
        <v>0.34722890000000001</v>
      </c>
      <c r="R2013">
        <v>-6.4552079999999998E-2</v>
      </c>
      <c r="S2013">
        <v>-3.3074340000000002</v>
      </c>
      <c r="T2013">
        <v>-0.26858349999999998</v>
      </c>
      <c r="U2013">
        <v>3.5217289999999998E-2</v>
      </c>
      <c r="V2013">
        <v>-5.2518250000000002E-2</v>
      </c>
      <c r="W2013">
        <v>0.35307919999999998</v>
      </c>
      <c r="X2013">
        <v>0.93411829999999996</v>
      </c>
      <c r="Y2013">
        <v>2.2172859999999999E-2</v>
      </c>
      <c r="Z2013">
        <v>1.8391519999999999E-3</v>
      </c>
      <c r="AA2013">
        <v>0.99975250000000004</v>
      </c>
      <c r="AB2013">
        <v>35</v>
      </c>
      <c r="AC2013">
        <v>-0.39319999999997801</v>
      </c>
      <c r="AD2013">
        <v>-6.0420000000000099E-2</v>
      </c>
      <c r="AE2013">
        <v>1.13999999999805E-2</v>
      </c>
      <c r="AF2013">
        <v>1.5607150418963101E-2</v>
      </c>
      <c r="AG2013">
        <v>-6.0420000000000099E-2</v>
      </c>
      <c r="AH2013">
        <v>0.38398169955810502</v>
      </c>
      <c r="AI2013">
        <v>98.934983607913097</v>
      </c>
      <c r="AJ2013">
        <v>87.672462254723001</v>
      </c>
      <c r="AK2013">
        <v>0.38901941486220298</v>
      </c>
      <c r="AL2013">
        <v>69.324232109912202</v>
      </c>
      <c r="AM2013">
        <v>93.217911015739205</v>
      </c>
      <c r="AN2013">
        <v>1.00000004322529</v>
      </c>
    </row>
    <row r="2014" spans="1:40" x14ac:dyDescent="0.25">
      <c r="A2014" t="str">
        <f>"20190304164855220"</f>
        <v>20190304164855220</v>
      </c>
      <c r="B2014" t="str">
        <f>"1551689335207772"</f>
        <v>1551689335207772</v>
      </c>
      <c r="C2014" t="s">
        <v>40</v>
      </c>
      <c r="D2014">
        <v>3.9828049999999999</v>
      </c>
      <c r="E2014">
        <v>0.54457319999999998</v>
      </c>
      <c r="F2014" t="s">
        <v>41</v>
      </c>
      <c r="G2014">
        <v>-228.93639999999999</v>
      </c>
      <c r="H2014">
        <v>1.0271980000000001</v>
      </c>
      <c r="I2014">
        <v>285.18040000000002</v>
      </c>
      <c r="J2014">
        <v>-228.2911</v>
      </c>
      <c r="K2014">
        <v>1.108233</v>
      </c>
      <c r="L2014">
        <v>285.16239999999999</v>
      </c>
      <c r="M2014">
        <v>-0.99993509999999997</v>
      </c>
      <c r="N2014">
        <v>-6.1231219999999999E-3</v>
      </c>
      <c r="O2014">
        <v>-9.6133290000000003E-3</v>
      </c>
      <c r="P2014">
        <v>-0.93527910000000003</v>
      </c>
      <c r="Q2014">
        <v>0.34855930000000002</v>
      </c>
      <c r="R2014">
        <v>-6.1316299999999997E-2</v>
      </c>
      <c r="S2014">
        <v>-3.3076629999999998</v>
      </c>
      <c r="T2014">
        <v>-0.26307540000000001</v>
      </c>
      <c r="U2014">
        <v>4.8950199999999902E-2</v>
      </c>
      <c r="V2014">
        <v>-5.1065970000000002E-2</v>
      </c>
      <c r="W2014">
        <v>0.35446630000000001</v>
      </c>
      <c r="X2014">
        <v>0.93367339999999999</v>
      </c>
      <c r="Y2014">
        <v>2.430067E-2</v>
      </c>
      <c r="Z2014">
        <v>1.743912E-3</v>
      </c>
      <c r="AA2014">
        <v>0.99970320000000001</v>
      </c>
      <c r="AB2014">
        <v>36</v>
      </c>
      <c r="AC2014">
        <v>-0.64529999999999099</v>
      </c>
      <c r="AD2014">
        <v>-8.1034999999999899E-2</v>
      </c>
      <c r="AE2014">
        <v>1.80000000000291E-2</v>
      </c>
      <c r="AF2014">
        <v>2.3827309256373899E-2</v>
      </c>
      <c r="AG2014">
        <v>-8.1034999999999899E-2</v>
      </c>
      <c r="AH2014">
        <v>0.63508978245333703</v>
      </c>
      <c r="AI2014">
        <v>97.266370676929995</v>
      </c>
      <c r="AJ2014">
        <v>87.851383723809306</v>
      </c>
      <c r="AK2014">
        <v>0.64068201447209805</v>
      </c>
      <c r="AL2014">
        <v>69.239262490982895</v>
      </c>
      <c r="AM2014">
        <v>93.130593968446505</v>
      </c>
      <c r="AN2014">
        <v>1.00000005449764</v>
      </c>
    </row>
    <row r="2015" spans="1:40" x14ac:dyDescent="0.25">
      <c r="A2015" t="str">
        <f>"20190304164855241"</f>
        <v>20190304164855241</v>
      </c>
      <c r="B2015" t="str">
        <f>"1551689335238024"</f>
        <v>1551689335238024</v>
      </c>
      <c r="C2015" t="s">
        <v>40</v>
      </c>
      <c r="D2015">
        <v>4.0126860000000004</v>
      </c>
      <c r="E2015">
        <v>0.544969699999999</v>
      </c>
      <c r="F2015" t="s">
        <v>41</v>
      </c>
      <c r="G2015">
        <v>-229.2603</v>
      </c>
      <c r="H2015">
        <v>1.032484</v>
      </c>
      <c r="I2015">
        <v>285.18029999999999</v>
      </c>
      <c r="J2015">
        <v>-228.63900000000001</v>
      </c>
      <c r="K2015">
        <v>1.108144</v>
      </c>
      <c r="L2015">
        <v>285.16059999999999</v>
      </c>
      <c r="M2015">
        <v>-0.99995129999999999</v>
      </c>
      <c r="N2015">
        <v>-6.1708259999999999E-3</v>
      </c>
      <c r="O2015">
        <v>-7.714009E-3</v>
      </c>
      <c r="P2015">
        <v>-0.93511500000000003</v>
      </c>
      <c r="Q2015">
        <v>0.34926489999999999</v>
      </c>
      <c r="R2015">
        <v>-5.9784190000000001E-2</v>
      </c>
      <c r="S2015">
        <v>-3.3079990000000001</v>
      </c>
      <c r="T2015">
        <v>-0.25859120000000002</v>
      </c>
      <c r="U2015">
        <v>6.1279300000000002E-2</v>
      </c>
      <c r="V2015">
        <v>-5.1233590000000002E-2</v>
      </c>
      <c r="W2015">
        <v>0.35522629999999999</v>
      </c>
      <c r="X2015">
        <v>0.93337530000000002</v>
      </c>
      <c r="Y2015">
        <v>2.6127729999999998E-2</v>
      </c>
      <c r="Z2015">
        <v>1.654855E-3</v>
      </c>
      <c r="AA2015">
        <v>0.99965720000000002</v>
      </c>
      <c r="AB2015">
        <v>36</v>
      </c>
      <c r="AC2015">
        <v>-0.62129999999998997</v>
      </c>
      <c r="AD2015">
        <v>-7.5660000000000005E-2</v>
      </c>
      <c r="AE2015">
        <v>1.97000000000002E-2</v>
      </c>
      <c r="AF2015">
        <v>2.4134669965278799E-2</v>
      </c>
      <c r="AG2015">
        <v>-7.5660000000000005E-2</v>
      </c>
      <c r="AH2015">
        <v>0.61206201502199797</v>
      </c>
      <c r="AI2015">
        <v>97.041447904419499</v>
      </c>
      <c r="AJ2015">
        <v>87.741897605946505</v>
      </c>
      <c r="AK2015">
        <v>0.61719269934690701</v>
      </c>
      <c r="AL2015">
        <v>69.192686186918493</v>
      </c>
      <c r="AM2015">
        <v>93.1418504650633</v>
      </c>
      <c r="AN2015">
        <v>1.0000000278030301</v>
      </c>
    </row>
    <row r="2016" spans="1:40" x14ac:dyDescent="0.25">
      <c r="A2016" t="str">
        <f>"20190304164855263"</f>
        <v>20190304164855263</v>
      </c>
      <c r="B2016" t="str">
        <f>"1551689335258521"</f>
        <v>1551689335258521</v>
      </c>
      <c r="C2016" t="s">
        <v>40</v>
      </c>
      <c r="D2016">
        <v>4.0319159999999998</v>
      </c>
      <c r="E2016">
        <v>0.54511259999999995</v>
      </c>
      <c r="F2016" t="s">
        <v>41</v>
      </c>
      <c r="G2016">
        <v>-229.5838</v>
      </c>
      <c r="H2016">
        <v>1.034959</v>
      </c>
      <c r="I2016">
        <v>285.18110000000001</v>
      </c>
      <c r="J2016">
        <v>-228.9897</v>
      </c>
      <c r="K2016">
        <v>1.108087</v>
      </c>
      <c r="L2016">
        <v>285.15940000000001</v>
      </c>
      <c r="M2016">
        <v>-0.99996379999999996</v>
      </c>
      <c r="N2016">
        <v>-6.2174279999999997E-3</v>
      </c>
      <c r="O2016">
        <v>-5.8065369999999996E-3</v>
      </c>
      <c r="P2016">
        <v>-0.93521650000000001</v>
      </c>
      <c r="Q2016">
        <v>0.34911130000000001</v>
      </c>
      <c r="R2016">
        <v>-5.9086840000000002E-2</v>
      </c>
      <c r="S2016">
        <v>-3.3085019999999998</v>
      </c>
      <c r="T2016">
        <v>-0.25643840000000001</v>
      </c>
      <c r="U2016">
        <v>7.1411130000000003E-2</v>
      </c>
      <c r="V2016">
        <v>-5.2262820000000001E-2</v>
      </c>
      <c r="W2016">
        <v>0.35512909999999998</v>
      </c>
      <c r="X2016">
        <v>0.93335520000000005</v>
      </c>
      <c r="Y2016">
        <v>2.728094E-2</v>
      </c>
      <c r="Z2016">
        <v>1.553799E-3</v>
      </c>
      <c r="AA2016">
        <v>0.99962660000000003</v>
      </c>
      <c r="AB2016">
        <v>36</v>
      </c>
      <c r="AC2016">
        <v>-0.59409999999999696</v>
      </c>
      <c r="AD2016">
        <v>-7.3127999999999999E-2</v>
      </c>
      <c r="AE2016">
        <v>2.1700000000009802E-2</v>
      </c>
      <c r="AF2016">
        <v>2.47745001486195E-2</v>
      </c>
      <c r="AG2016">
        <v>-7.3127999999999999E-2</v>
      </c>
      <c r="AH2016">
        <v>0.58511063757617898</v>
      </c>
      <c r="AI2016">
        <v>97.1176602396432</v>
      </c>
      <c r="AJ2016">
        <v>87.575455244556494</v>
      </c>
      <c r="AK2016">
        <v>0.59018297031210298</v>
      </c>
      <c r="AL2016">
        <v>69.198643275633202</v>
      </c>
      <c r="AM2016">
        <v>93.204905598888601</v>
      </c>
      <c r="AN2016">
        <v>1.0000000046941</v>
      </c>
    </row>
    <row r="2017" spans="1:40" x14ac:dyDescent="0.25">
      <c r="A2017" t="str">
        <f>"20190304164855286"</f>
        <v>20190304164855286</v>
      </c>
      <c r="B2017" t="str">
        <f>"1551689335278040"</f>
        <v>1551689335278040</v>
      </c>
      <c r="C2017" t="s">
        <v>40</v>
      </c>
      <c r="D2017">
        <v>4.0623329999999997</v>
      </c>
      <c r="E2017">
        <v>0.54521169999999997</v>
      </c>
      <c r="F2017" t="s">
        <v>41</v>
      </c>
      <c r="G2017">
        <v>-229.90770000000001</v>
      </c>
      <c r="H2017">
        <v>1.03667</v>
      </c>
      <c r="I2017">
        <v>285.1807</v>
      </c>
      <c r="J2017">
        <v>-229.36539999999999</v>
      </c>
      <c r="K2017">
        <v>1.108036</v>
      </c>
      <c r="L2017">
        <v>285.15890000000002</v>
      </c>
      <c r="M2017">
        <v>-0.99997320000000001</v>
      </c>
      <c r="N2017">
        <v>-6.2666809999999996E-3</v>
      </c>
      <c r="O2017">
        <v>-3.7971939999999998E-3</v>
      </c>
      <c r="P2017">
        <v>-0.93546899999999999</v>
      </c>
      <c r="Q2017">
        <v>0.34835700000000003</v>
      </c>
      <c r="R2017">
        <v>-5.9542079999999997E-2</v>
      </c>
      <c r="S2017">
        <v>-3.3087309999999999</v>
      </c>
      <c r="T2017">
        <v>-0.25736979999999998</v>
      </c>
      <c r="U2017">
        <v>7.7026369999999997E-2</v>
      </c>
      <c r="V2017">
        <v>-5.4556229999999997E-2</v>
      </c>
      <c r="W2017">
        <v>0.35443770000000002</v>
      </c>
      <c r="X2017">
        <v>0.93348679999999995</v>
      </c>
      <c r="Y2017">
        <v>2.6971789999999999E-2</v>
      </c>
      <c r="Z2017">
        <v>1.4030620000000001E-3</v>
      </c>
      <c r="AA2017">
        <v>0.99963519999999995</v>
      </c>
      <c r="AB2017">
        <v>36</v>
      </c>
      <c r="AC2017">
        <v>-0.542300000000011</v>
      </c>
      <c r="AD2017">
        <v>-7.1365999999999999E-2</v>
      </c>
      <c r="AE2017">
        <v>2.17999999999847E-2</v>
      </c>
      <c r="AF2017">
        <v>2.34535822542386E-2</v>
      </c>
      <c r="AG2017">
        <v>-7.1365999999999999E-2</v>
      </c>
      <c r="AH2017">
        <v>0.53299762656977101</v>
      </c>
      <c r="AI2017">
        <v>97.619003957267694</v>
      </c>
      <c r="AJ2017">
        <v>87.480429745145997</v>
      </c>
      <c r="AK2017">
        <v>0.53826540517254595</v>
      </c>
      <c r="AL2017">
        <v>69.241014518017295</v>
      </c>
      <c r="AM2017">
        <v>93.344760828184405</v>
      </c>
      <c r="AN2017">
        <v>1.00000003559367</v>
      </c>
    </row>
    <row r="2018" spans="1:40" x14ac:dyDescent="0.25">
      <c r="A2018" t="str">
        <f>"20190304164855308"</f>
        <v>20190304164855308</v>
      </c>
      <c r="B2018" t="str">
        <f>"1551689335297561"</f>
        <v>1551689335297561</v>
      </c>
      <c r="C2018" t="s">
        <v>40</v>
      </c>
      <c r="D2018">
        <v>4.0531499999999996</v>
      </c>
      <c r="E2018">
        <v>0.54525610000000002</v>
      </c>
      <c r="F2018" t="s">
        <v>41</v>
      </c>
      <c r="G2018">
        <v>-230.233</v>
      </c>
      <c r="H2018">
        <v>1.0395909999999999</v>
      </c>
      <c r="I2018">
        <v>285.17970000000003</v>
      </c>
      <c r="J2018">
        <v>-229.7098</v>
      </c>
      <c r="K2018">
        <v>1.1080110000000001</v>
      </c>
      <c r="L2018">
        <v>285.15910000000002</v>
      </c>
      <c r="M2018">
        <v>-0.99997809999999998</v>
      </c>
      <c r="N2018">
        <v>-6.3131189999999998E-3</v>
      </c>
      <c r="O2018">
        <v>-1.9965170000000002E-3</v>
      </c>
      <c r="P2018">
        <v>-0.93577489999999997</v>
      </c>
      <c r="Q2018">
        <v>0.34747220000000001</v>
      </c>
      <c r="R2018">
        <v>-5.9905199999999999E-2</v>
      </c>
      <c r="S2018">
        <v>-3.3092649999999999</v>
      </c>
      <c r="T2018">
        <v>-0.26131919999999997</v>
      </c>
      <c r="U2018">
        <v>7.830811E-2</v>
      </c>
      <c r="V2018">
        <v>-5.658034E-2</v>
      </c>
      <c r="W2018">
        <v>0.35360950000000002</v>
      </c>
      <c r="X2018">
        <v>0.93368039999999997</v>
      </c>
      <c r="Y2018">
        <v>2.5561449999999999E-2</v>
      </c>
      <c r="Z2018">
        <v>1.233173E-3</v>
      </c>
      <c r="AA2018">
        <v>0.99967249999999996</v>
      </c>
      <c r="AB2018">
        <v>36</v>
      </c>
      <c r="AC2018">
        <v>-0.523200000000002</v>
      </c>
      <c r="AD2018">
        <v>-6.8420000000000106E-2</v>
      </c>
      <c r="AE2018">
        <v>2.06000000000017E-2</v>
      </c>
      <c r="AF2018">
        <v>2.1281183550007701E-2</v>
      </c>
      <c r="AG2018">
        <v>-6.8420000000000106E-2</v>
      </c>
      <c r="AH2018">
        <v>0.51437493243425603</v>
      </c>
      <c r="AI2018">
        <v>97.570366659512899</v>
      </c>
      <c r="AJ2018">
        <v>87.630858492779396</v>
      </c>
      <c r="AK2018">
        <v>0.51934165660963005</v>
      </c>
      <c r="AL2018">
        <v>69.291753218543306</v>
      </c>
      <c r="AM2018">
        <v>93.467840958208896</v>
      </c>
      <c r="AN2018">
        <v>1.00000005135446</v>
      </c>
    </row>
    <row r="2019" spans="1:40" x14ac:dyDescent="0.25">
      <c r="A2019" t="str">
        <f>"20190304164855330"</f>
        <v>20190304164855330</v>
      </c>
      <c r="B2019" t="str">
        <f>"1551689335318060"</f>
        <v>1551689335318060</v>
      </c>
      <c r="C2019" t="s">
        <v>40</v>
      </c>
      <c r="D2019">
        <v>4.0988319999999998</v>
      </c>
      <c r="E2019">
        <v>0.54526569999999996</v>
      </c>
      <c r="F2019" t="s">
        <v>41</v>
      </c>
      <c r="G2019">
        <v>-230.55770000000001</v>
      </c>
      <c r="H2019">
        <v>1.039582</v>
      </c>
      <c r="I2019">
        <v>285.17860000000002</v>
      </c>
      <c r="J2019">
        <v>-230.06610000000001</v>
      </c>
      <c r="K2019">
        <v>1.107988</v>
      </c>
      <c r="L2019">
        <v>285.15980000000002</v>
      </c>
      <c r="M2019">
        <v>-0.99997990000000003</v>
      </c>
      <c r="N2019">
        <v>-6.3610960000000001E-3</v>
      </c>
      <c r="O2019">
        <v>-1.825277E-4</v>
      </c>
      <c r="P2019">
        <v>-0.93556170000000005</v>
      </c>
      <c r="Q2019">
        <v>0.34788829999999998</v>
      </c>
      <c r="R2019">
        <v>-6.0816299999999997E-2</v>
      </c>
      <c r="S2019">
        <v>-3.3099669999999999</v>
      </c>
      <c r="T2019">
        <v>-0.2671577</v>
      </c>
      <c r="U2019">
        <v>7.6263429999999993E-2</v>
      </c>
      <c r="V2019">
        <v>-5.917331E-2</v>
      </c>
      <c r="W2019">
        <v>0.3540818</v>
      </c>
      <c r="X2019">
        <v>0.93334050000000002</v>
      </c>
      <c r="Y2019">
        <v>2.3135260000000001E-2</v>
      </c>
      <c r="Z2019">
        <v>1.01929E-3</v>
      </c>
      <c r="AA2019">
        <v>0.99973179999999995</v>
      </c>
      <c r="AB2019">
        <v>36</v>
      </c>
      <c r="AC2019">
        <v>-0.49160000000000498</v>
      </c>
      <c r="AD2019">
        <v>-6.8405999999999897E-2</v>
      </c>
      <c r="AE2019">
        <v>1.87999999999988E-2</v>
      </c>
      <c r="AF2019">
        <v>1.8531438473980401E-2</v>
      </c>
      <c r="AG2019">
        <v>-6.8405999999999897E-2</v>
      </c>
      <c r="AH2019">
        <v>0.482272133797714</v>
      </c>
      <c r="AI2019">
        <v>98.067167487792204</v>
      </c>
      <c r="AJ2019">
        <v>87.799476621195296</v>
      </c>
      <c r="AK2019">
        <v>0.48745174744349301</v>
      </c>
      <c r="AL2019">
        <v>69.262818292925601</v>
      </c>
      <c r="AM2019">
        <v>93.627667830611102</v>
      </c>
      <c r="AN2019">
        <v>0.999999945323921</v>
      </c>
    </row>
    <row r="2020" spans="1:40" x14ac:dyDescent="0.25">
      <c r="A2020" t="str">
        <f>"20190304164855352"</f>
        <v>20190304164855352</v>
      </c>
      <c r="B2020" t="str">
        <f>"1551689335347893"</f>
        <v>1551689335347893</v>
      </c>
      <c r="C2020" t="s">
        <v>40</v>
      </c>
      <c r="D2020">
        <v>4.0989300000000002</v>
      </c>
      <c r="E2020">
        <v>0.54524319999999904</v>
      </c>
      <c r="F2020" t="s">
        <v>41</v>
      </c>
      <c r="G2020">
        <v>-230.88499999999999</v>
      </c>
      <c r="H2020">
        <v>1.041947</v>
      </c>
      <c r="I2020">
        <v>285.1773</v>
      </c>
      <c r="J2020">
        <v>-230.4357</v>
      </c>
      <c r="K2020">
        <v>1.1080000000000001</v>
      </c>
      <c r="L2020">
        <v>285.16129999999998</v>
      </c>
      <c r="M2020">
        <v>-0.99997820000000004</v>
      </c>
      <c r="N2020">
        <v>-6.4087859999999996E-3</v>
      </c>
      <c r="O2020">
        <v>1.6397639999999999E-3</v>
      </c>
      <c r="P2020">
        <v>-0.93532369999999998</v>
      </c>
      <c r="Q2020">
        <v>0.3484565</v>
      </c>
      <c r="R2020">
        <v>-6.1221449999999997E-2</v>
      </c>
      <c r="S2020">
        <v>-3.3105319999999998</v>
      </c>
      <c r="T2020">
        <v>-0.26718019999999998</v>
      </c>
      <c r="U2020">
        <v>7.0068359999999996E-2</v>
      </c>
      <c r="V2020">
        <v>-6.127933E-2</v>
      </c>
      <c r="W2020">
        <v>0.35470119999999999</v>
      </c>
      <c r="X2020">
        <v>0.93296939999999995</v>
      </c>
      <c r="Y2020">
        <v>1.9457329999999998E-2</v>
      </c>
      <c r="Z2020">
        <v>7.2465059999999996E-4</v>
      </c>
      <c r="AA2020">
        <v>0.99981039999999999</v>
      </c>
      <c r="AB2020">
        <v>36</v>
      </c>
      <c r="AC2020">
        <v>-0.44929999999999298</v>
      </c>
      <c r="AD2020">
        <v>-6.6052999999999903E-2</v>
      </c>
      <c r="AE2020">
        <v>1.6000000000019499E-2</v>
      </c>
      <c r="AF2020">
        <v>1.49407148400948E-2</v>
      </c>
      <c r="AG2020">
        <v>-6.6052999999999903E-2</v>
      </c>
      <c r="AH2020">
        <v>0.43983165209358399</v>
      </c>
      <c r="AI2020">
        <v>98.535883967562597</v>
      </c>
      <c r="AJ2020">
        <v>88.054458190452294</v>
      </c>
      <c r="AK2020">
        <v>0.44501472554546301</v>
      </c>
      <c r="AL2020">
        <v>69.224867253165201</v>
      </c>
      <c r="AM2020">
        <v>93.757905641916295</v>
      </c>
      <c r="AN2020">
        <v>0.99999999945152396</v>
      </c>
    </row>
    <row r="2021" spans="1:40" x14ac:dyDescent="0.25">
      <c r="A2021" t="str">
        <f>"20190304164855376"</f>
        <v>20190304164855376</v>
      </c>
      <c r="B2021" t="str">
        <f>"1551689335368389"</f>
        <v>1551689335368389</v>
      </c>
      <c r="C2021" t="s">
        <v>40</v>
      </c>
      <c r="D2021">
        <v>4.1211250000000001</v>
      </c>
      <c r="E2021">
        <v>0.54521299999999995</v>
      </c>
      <c r="F2021" t="s">
        <v>41</v>
      </c>
      <c r="G2021">
        <v>-231.21440000000001</v>
      </c>
      <c r="H2021">
        <v>1.045032</v>
      </c>
      <c r="I2021">
        <v>285.17669999999998</v>
      </c>
      <c r="J2021">
        <v>-230.80850000000001</v>
      </c>
      <c r="K2021">
        <v>1.108023</v>
      </c>
      <c r="L2021">
        <v>285.16340000000002</v>
      </c>
      <c r="M2021">
        <v>-0.99997340000000001</v>
      </c>
      <c r="N2021">
        <v>-6.4540020000000003E-3</v>
      </c>
      <c r="O2021">
        <v>3.4086020000000002E-3</v>
      </c>
      <c r="P2021">
        <v>-0.93531229999999999</v>
      </c>
      <c r="Q2021">
        <v>0.348408</v>
      </c>
      <c r="R2021">
        <v>-6.166729E-2</v>
      </c>
      <c r="S2021">
        <v>-3.3115230000000002</v>
      </c>
      <c r="T2021">
        <v>-0.26779910000000001</v>
      </c>
      <c r="U2021">
        <v>6.5917970000000006E-2</v>
      </c>
      <c r="V2021">
        <v>-6.3393240000000003E-2</v>
      </c>
      <c r="W2021">
        <v>0.35470030000000002</v>
      </c>
      <c r="X2021">
        <v>0.93282849999999995</v>
      </c>
      <c r="Y2021">
        <v>1.6445029999999999E-2</v>
      </c>
      <c r="Z2021">
        <v>4.637574E-4</v>
      </c>
      <c r="AA2021">
        <v>0.99986459999999999</v>
      </c>
      <c r="AB2021">
        <v>36</v>
      </c>
      <c r="AC2021">
        <v>-0.40590000000000198</v>
      </c>
      <c r="AD2021">
        <v>-6.2991000000000005E-2</v>
      </c>
      <c r="AE2021">
        <v>1.32999999999583E-2</v>
      </c>
      <c r="AF2021">
        <v>1.1636398233725E-2</v>
      </c>
      <c r="AG2021">
        <v>-6.2991000000000005E-2</v>
      </c>
      <c r="AH2021">
        <v>0.39640637862726802</v>
      </c>
      <c r="AI2021">
        <v>99.025276229757395</v>
      </c>
      <c r="AJ2021">
        <v>88.318581286023402</v>
      </c>
      <c r="AK2021">
        <v>0.40154861332252001</v>
      </c>
      <c r="AL2021">
        <v>69.224922592376203</v>
      </c>
      <c r="AM2021">
        <v>93.887733990460802</v>
      </c>
      <c r="AN2021">
        <v>1.00000000805501</v>
      </c>
    </row>
    <row r="2022" spans="1:40" x14ac:dyDescent="0.25">
      <c r="A2022" t="str">
        <f>"20190304164855397"</f>
        <v>20190304164855397</v>
      </c>
      <c r="B2022" t="str">
        <f>"1551689335387908"</f>
        <v>1551689335387908</v>
      </c>
      <c r="C2022" t="s">
        <v>40</v>
      </c>
      <c r="D2022">
        <v>4.1489520000000004</v>
      </c>
      <c r="E2022">
        <v>0.54522199999999998</v>
      </c>
      <c r="F2022" t="s">
        <v>41</v>
      </c>
      <c r="G2022">
        <v>-231.8562</v>
      </c>
      <c r="H2022">
        <v>1.0227790000000001</v>
      </c>
      <c r="I2022">
        <v>285.1832</v>
      </c>
      <c r="J2022">
        <v>-231.17599999999999</v>
      </c>
      <c r="K2022">
        <v>1.1080620000000001</v>
      </c>
      <c r="L2022">
        <v>285.16609999999997</v>
      </c>
      <c r="M2022">
        <v>-0.99996609999999997</v>
      </c>
      <c r="N2022">
        <v>-6.4951590000000003E-3</v>
      </c>
      <c r="O2022">
        <v>5.0633650000000002E-3</v>
      </c>
      <c r="P2022">
        <v>-0.93518159999999895</v>
      </c>
      <c r="Q2022">
        <v>0.3487825</v>
      </c>
      <c r="R2022">
        <v>-6.1534680000000001E-2</v>
      </c>
      <c r="S2022">
        <v>-3.3119809999999998</v>
      </c>
      <c r="T2022">
        <v>-0.269495599999999</v>
      </c>
      <c r="U2022">
        <v>6.2377929999999998E-2</v>
      </c>
      <c r="V2022">
        <v>-6.4835069999999995E-2</v>
      </c>
      <c r="W2022">
        <v>0.35511179999999998</v>
      </c>
      <c r="X2022">
        <v>0.93257279999999998</v>
      </c>
      <c r="Y2022">
        <v>1.373303E-2</v>
      </c>
      <c r="Z2022">
        <v>2.2399170000000001E-4</v>
      </c>
      <c r="AA2022">
        <v>0.99990559999999995</v>
      </c>
      <c r="AB2022">
        <v>37</v>
      </c>
      <c r="AC2022">
        <v>-0.68020000000001302</v>
      </c>
      <c r="AD2022">
        <v>-8.5282999999999998E-2</v>
      </c>
      <c r="AE2022">
        <v>1.71000000000276E-2</v>
      </c>
      <c r="AF2022">
        <v>1.34443953183629E-2</v>
      </c>
      <c r="AG2022">
        <v>-8.5282999999999998E-2</v>
      </c>
      <c r="AH2022">
        <v>0.66975597236907802</v>
      </c>
      <c r="AI2022">
        <v>97.255227945804407</v>
      </c>
      <c r="AJ2022">
        <v>88.850023438422397</v>
      </c>
      <c r="AK2022">
        <v>0.67529771536599004</v>
      </c>
      <c r="AL2022">
        <v>69.199703546708193</v>
      </c>
      <c r="AM2022">
        <v>93.976963674441905</v>
      </c>
      <c r="AN2022">
        <v>1.00000000205049</v>
      </c>
    </row>
    <row r="2023" spans="1:40" x14ac:dyDescent="0.25">
      <c r="A2023" t="str">
        <f>"20190304164855419"</f>
        <v>20190304164855419</v>
      </c>
      <c r="B2023" t="str">
        <f>"1551689335408405"</f>
        <v>1551689335408405</v>
      </c>
      <c r="C2023" t="s">
        <v>40</v>
      </c>
      <c r="D2023">
        <v>4.1603240000000001</v>
      </c>
      <c r="E2023">
        <v>0.54524609999999996</v>
      </c>
      <c r="F2023" t="s">
        <v>41</v>
      </c>
      <c r="G2023">
        <v>-232.18629999999999</v>
      </c>
      <c r="H2023">
        <v>1.025684</v>
      </c>
      <c r="I2023">
        <v>285.185</v>
      </c>
      <c r="J2023">
        <v>-231.5205</v>
      </c>
      <c r="K2023">
        <v>1.1081019999999999</v>
      </c>
      <c r="L2023">
        <v>285.16910000000001</v>
      </c>
      <c r="M2023">
        <v>-0.99995719999999999</v>
      </c>
      <c r="N2023">
        <v>-6.5312579999999999E-3</v>
      </c>
      <c r="O2023">
        <v>6.549666E-3</v>
      </c>
      <c r="P2023">
        <v>-0.93494480000000002</v>
      </c>
      <c r="Q2023">
        <v>0.34955520000000001</v>
      </c>
      <c r="R2023">
        <v>-6.0742249999999998E-2</v>
      </c>
      <c r="S2023">
        <v>-3.3127589999999998</v>
      </c>
      <c r="T2023">
        <v>-0.27027800000000002</v>
      </c>
      <c r="U2023">
        <v>6.1309809999999999E-2</v>
      </c>
      <c r="V2023">
        <v>-6.5461640000000001E-2</v>
      </c>
      <c r="W2023">
        <v>0.35591220000000001</v>
      </c>
      <c r="X2023">
        <v>0.93222389999999999</v>
      </c>
      <c r="Y2023">
        <v>1.193052E-2</v>
      </c>
      <c r="Z2023" s="1">
        <v>3.4158439999999997E-5</v>
      </c>
      <c r="AA2023">
        <v>0.99992879999999995</v>
      </c>
      <c r="AB2023">
        <v>37</v>
      </c>
      <c r="AC2023">
        <v>-0.66579999999998996</v>
      </c>
      <c r="AD2023">
        <v>-8.2418000000000102E-2</v>
      </c>
      <c r="AE2023">
        <v>1.5899999999987799E-2</v>
      </c>
      <c r="AF2023">
        <v>1.13647502885795E-2</v>
      </c>
      <c r="AG2023">
        <v>-8.2418000000000102E-2</v>
      </c>
      <c r="AH2023">
        <v>0.65584576857757304</v>
      </c>
      <c r="AI2023">
        <v>97.161562993136002</v>
      </c>
      <c r="AJ2023">
        <v>89.007255828730493</v>
      </c>
      <c r="AK2023">
        <v>0.66110177464156705</v>
      </c>
      <c r="AL2023">
        <v>69.1506399455007</v>
      </c>
      <c r="AM2023">
        <v>94.016770038638896</v>
      </c>
      <c r="AN2023">
        <v>1.0000000600757599</v>
      </c>
    </row>
    <row r="2024" spans="1:40" x14ac:dyDescent="0.25">
      <c r="A2024" t="str">
        <f>"20190304164855444"</f>
        <v>20190304164855444</v>
      </c>
      <c r="B2024" t="str">
        <f>"1551689335437685"</f>
        <v>1551689335437685</v>
      </c>
      <c r="C2024" t="s">
        <v>40</v>
      </c>
      <c r="D2024">
        <v>4.1771339999999997</v>
      </c>
      <c r="E2024">
        <v>0.54577290000000001</v>
      </c>
      <c r="F2024" t="s">
        <v>41</v>
      </c>
      <c r="G2024">
        <v>-232.5163</v>
      </c>
      <c r="H2024">
        <v>1.026996</v>
      </c>
      <c r="I2024">
        <v>285.18759999999997</v>
      </c>
      <c r="J2024">
        <v>-231.93219999999999</v>
      </c>
      <c r="K2024">
        <v>1.1081639999999999</v>
      </c>
      <c r="L2024">
        <v>285.17329999999998</v>
      </c>
      <c r="M2024">
        <v>-0.99994479999999997</v>
      </c>
      <c r="N2024">
        <v>-6.5715130000000002E-3</v>
      </c>
      <c r="O2024">
        <v>8.2122359999999995E-3</v>
      </c>
      <c r="P2024">
        <v>-0.93460829999999995</v>
      </c>
      <c r="Q2024">
        <v>0.3506997</v>
      </c>
      <c r="R2024">
        <v>-5.9308149999999997E-2</v>
      </c>
      <c r="S2024">
        <v>-3.3136290000000002</v>
      </c>
      <c r="T2024">
        <v>-0.26986549999999998</v>
      </c>
      <c r="U2024">
        <v>6.1279300000000002E-2</v>
      </c>
      <c r="V2024">
        <v>-6.5630309999999997E-2</v>
      </c>
      <c r="W2024">
        <v>0.3570816</v>
      </c>
      <c r="X2024">
        <v>0.9317647</v>
      </c>
      <c r="Y2024">
        <v>1.0264560000000001E-2</v>
      </c>
      <c r="Z2024">
        <v>-1.6270830000000001E-4</v>
      </c>
      <c r="AA2024">
        <v>0.99994729999999998</v>
      </c>
      <c r="AB2024">
        <v>37</v>
      </c>
      <c r="AC2024">
        <v>-0.58410000000000595</v>
      </c>
      <c r="AD2024">
        <v>-8.1167999999999907E-2</v>
      </c>
      <c r="AE2024">
        <v>1.42999999999915E-2</v>
      </c>
      <c r="AF2024">
        <v>9.3227282590576301E-3</v>
      </c>
      <c r="AG2024">
        <v>-8.1167999999999907E-2</v>
      </c>
      <c r="AH2024">
        <v>0.57313676752016796</v>
      </c>
      <c r="AI2024">
        <v>98.059609154790095</v>
      </c>
      <c r="AJ2024">
        <v>89.068100477148107</v>
      </c>
      <c r="AK2024">
        <v>0.57893083504824505</v>
      </c>
      <c r="AL2024">
        <v>69.0789258028219</v>
      </c>
      <c r="AM2024">
        <v>94.0290638612408</v>
      </c>
      <c r="AN2024">
        <v>1.00000003140767</v>
      </c>
    </row>
    <row r="2025" spans="1:40" x14ac:dyDescent="0.25">
      <c r="A2025" t="str">
        <f>"20190304164855465"</f>
        <v>20190304164855465</v>
      </c>
      <c r="B2025" t="str">
        <f>"1551689335458182"</f>
        <v>1551689335458182</v>
      </c>
      <c r="C2025" t="s">
        <v>40</v>
      </c>
      <c r="D2025">
        <v>4.213012</v>
      </c>
      <c r="E2025">
        <v>0.54566709999999996</v>
      </c>
      <c r="F2025" t="s">
        <v>41</v>
      </c>
      <c r="G2025">
        <v>-232.84520000000001</v>
      </c>
      <c r="H2025">
        <v>1.024553</v>
      </c>
      <c r="I2025">
        <v>285.19139999999999</v>
      </c>
      <c r="J2025">
        <v>-232.29150000000001</v>
      </c>
      <c r="K2025">
        <v>1.1082449999999999</v>
      </c>
      <c r="L2025">
        <v>285.17739999999998</v>
      </c>
      <c r="M2025">
        <v>-0.99993270000000001</v>
      </c>
      <c r="N2025">
        <v>-6.6058389999999996E-3</v>
      </c>
      <c r="O2025">
        <v>9.5343979999999995E-3</v>
      </c>
      <c r="P2025">
        <v>-0.93458160000000001</v>
      </c>
      <c r="Q2025">
        <v>0.35099580000000002</v>
      </c>
      <c r="R2025">
        <v>-5.7961619999999998E-2</v>
      </c>
      <c r="S2025">
        <v>-3.3284760000000002</v>
      </c>
      <c r="T2025">
        <v>-0.30489270000000002</v>
      </c>
      <c r="U2025">
        <v>6.5551760000000001E-2</v>
      </c>
      <c r="V2025">
        <v>-6.5586340000000007E-2</v>
      </c>
      <c r="W2025">
        <v>0.35739559999999998</v>
      </c>
      <c r="X2025">
        <v>0.93164740000000001</v>
      </c>
      <c r="Y2025">
        <v>1.014557E-2</v>
      </c>
      <c r="Z2025">
        <v>-3.1132000000000002E-4</v>
      </c>
      <c r="AA2025">
        <v>0.99994850000000002</v>
      </c>
      <c r="AB2025">
        <v>37</v>
      </c>
      <c r="AC2025">
        <v>-0.55369999999999198</v>
      </c>
      <c r="AD2025">
        <v>-8.36920000000001E-2</v>
      </c>
      <c r="AE2025">
        <v>1.4000000000009999E-2</v>
      </c>
      <c r="AF2025">
        <v>8.5254013539507196E-3</v>
      </c>
      <c r="AG2025">
        <v>-8.36920000000001E-2</v>
      </c>
      <c r="AH2025">
        <v>0.54144609453144499</v>
      </c>
      <c r="AI2025">
        <v>98.785670213671295</v>
      </c>
      <c r="AJ2025">
        <v>89.097917300833302</v>
      </c>
      <c r="AK2025">
        <v>0.54794243001943199</v>
      </c>
      <c r="AL2025">
        <v>69.059663874361704</v>
      </c>
      <c r="AM2025">
        <v>94.026878688090704</v>
      </c>
      <c r="AN2025">
        <v>1.00000003041035</v>
      </c>
    </row>
    <row r="2026" spans="1:40" x14ac:dyDescent="0.25">
      <c r="A2026" t="str">
        <f>"20190304164855487"</f>
        <v>20190304164855487</v>
      </c>
      <c r="B2026" t="str">
        <f>"1551689335477701"</f>
        <v>1551689335477701</v>
      </c>
      <c r="C2026" t="s">
        <v>40</v>
      </c>
      <c r="D2026">
        <v>4.1882799999999998</v>
      </c>
      <c r="E2026">
        <v>0.54173079999999996</v>
      </c>
      <c r="F2026" t="s">
        <v>41</v>
      </c>
      <c r="G2026">
        <v>-233.17760000000001</v>
      </c>
      <c r="H2026">
        <v>1.0275030000000001</v>
      </c>
      <c r="I2026">
        <v>285.19569999999999</v>
      </c>
      <c r="J2026">
        <v>-232.65620000000001</v>
      </c>
      <c r="K2026">
        <v>1.1083620000000001</v>
      </c>
      <c r="L2026">
        <v>285.18189999999998</v>
      </c>
      <c r="M2026">
        <v>-0.99992060000000005</v>
      </c>
      <c r="N2026">
        <v>-6.641999E-3</v>
      </c>
      <c r="O2026">
        <v>1.0708509999999999E-2</v>
      </c>
      <c r="P2026">
        <v>-0.93461530000000004</v>
      </c>
      <c r="Q2026">
        <v>0.35107840000000001</v>
      </c>
      <c r="R2026">
        <v>-5.6904490000000002E-2</v>
      </c>
      <c r="S2026">
        <v>-3.3281399999999999</v>
      </c>
      <c r="T2026">
        <v>-0.30330200000000002</v>
      </c>
      <c r="U2026">
        <v>6.8542480000000003E-2</v>
      </c>
      <c r="V2026">
        <v>-6.5725420000000007E-2</v>
      </c>
      <c r="W2026">
        <v>0.35749360000000002</v>
      </c>
      <c r="X2026">
        <v>0.93159999999999998</v>
      </c>
      <c r="Y2026">
        <v>9.8770190000000008E-3</v>
      </c>
      <c r="Z2026">
        <v>-4.2078809999999999E-4</v>
      </c>
      <c r="AA2026">
        <v>0.99995109999999998</v>
      </c>
      <c r="AB2026">
        <v>37</v>
      </c>
      <c r="AC2026">
        <v>-0.52139999999999898</v>
      </c>
      <c r="AD2026">
        <v>-8.0859E-2</v>
      </c>
      <c r="AE2026">
        <v>1.3800000000003299E-2</v>
      </c>
      <c r="AF2026">
        <v>8.0228540203697105E-3</v>
      </c>
      <c r="AG2026">
        <v>-8.0859E-2</v>
      </c>
      <c r="AH2026">
        <v>0.50927832507971604</v>
      </c>
      <c r="AI2026">
        <v>99.020544825334895</v>
      </c>
      <c r="AJ2026">
        <v>89.097472575792494</v>
      </c>
      <c r="AK2026">
        <v>0.51571984299969797</v>
      </c>
      <c r="AL2026">
        <v>69.053651733663003</v>
      </c>
      <c r="AM2026">
        <v>94.035594401592405</v>
      </c>
      <c r="AN2026">
        <v>1.00000003243756</v>
      </c>
    </row>
    <row r="2027" spans="1:40" x14ac:dyDescent="0.25">
      <c r="A2027" t="str">
        <f>"20190304164855508"</f>
        <v>20190304164855508</v>
      </c>
      <c r="B2027" t="str">
        <f>"1551689335498197"</f>
        <v>1551689335498197</v>
      </c>
      <c r="C2027" t="s">
        <v>40</v>
      </c>
      <c r="D2027">
        <v>4.1910230000000004</v>
      </c>
      <c r="E2027">
        <v>0.53998840000000004</v>
      </c>
      <c r="F2027" t="s">
        <v>41</v>
      </c>
      <c r="G2027">
        <v>-233.51259999999999</v>
      </c>
      <c r="H2027">
        <v>1.034122</v>
      </c>
      <c r="I2027">
        <v>285.19299999999998</v>
      </c>
      <c r="J2027">
        <v>-233.00649999999999</v>
      </c>
      <c r="K2027">
        <v>1.108517</v>
      </c>
      <c r="L2027">
        <v>285.18639999999999</v>
      </c>
      <c r="M2027">
        <v>-0.99991010000000002</v>
      </c>
      <c r="N2027">
        <v>-6.6770739999999999E-3</v>
      </c>
      <c r="O2027">
        <v>1.163256E-2</v>
      </c>
      <c r="P2027">
        <v>-0.93406650000000002</v>
      </c>
      <c r="Q2027">
        <v>0.352666799999999</v>
      </c>
      <c r="R2027">
        <v>-5.6090960000000002E-2</v>
      </c>
      <c r="S2027">
        <v>-3.3206630000000001</v>
      </c>
      <c r="T2027">
        <v>-0.28808080000000003</v>
      </c>
      <c r="U2027">
        <v>4.1870119999999997E-2</v>
      </c>
      <c r="V2027">
        <v>-6.5893690000000005E-2</v>
      </c>
      <c r="W2027">
        <v>0.35908689999999999</v>
      </c>
      <c r="X2027">
        <v>0.93097510000000006</v>
      </c>
      <c r="Y2027">
        <v>1.0083469999999999E-3</v>
      </c>
      <c r="Z2027">
        <v>-8.8263789999999903E-4</v>
      </c>
      <c r="AA2027">
        <v>0.99999910000000003</v>
      </c>
      <c r="AB2027">
        <v>37</v>
      </c>
      <c r="AC2027">
        <v>-0.50610000000000299</v>
      </c>
      <c r="AD2027">
        <v>-7.4394999999999906E-2</v>
      </c>
      <c r="AE2027">
        <v>6.5999999999917201E-3</v>
      </c>
      <c r="AF2027">
        <v>6.9712300037512095E-4</v>
      </c>
      <c r="AG2027">
        <v>-7.4394999999999906E-2</v>
      </c>
      <c r="AH2027">
        <v>0.49543890243083599</v>
      </c>
      <c r="AI2027">
        <v>98.539710727304097</v>
      </c>
      <c r="AJ2027">
        <v>89.919380211834707</v>
      </c>
      <c r="AK2027">
        <v>0.50099382036842399</v>
      </c>
      <c r="AL2027">
        <v>68.955870168686999</v>
      </c>
      <c r="AM2027">
        <v>94.048598752145793</v>
      </c>
      <c r="AN2027">
        <v>1.00000000847671</v>
      </c>
    </row>
    <row r="2028" spans="1:40" x14ac:dyDescent="0.25">
      <c r="A2028" t="str">
        <f>"20190304164855531"</f>
        <v>20190304164855531</v>
      </c>
      <c r="B2028" t="str">
        <f>"1551689335528211"</f>
        <v>1551689335528211</v>
      </c>
      <c r="C2028" t="s">
        <v>40</v>
      </c>
      <c r="D2028">
        <v>4.1862490000000001</v>
      </c>
      <c r="E2028">
        <v>0.53838859999999999</v>
      </c>
      <c r="F2028" t="s">
        <v>41</v>
      </c>
      <c r="G2028">
        <v>-233.8492</v>
      </c>
      <c r="H2028">
        <v>1.038584</v>
      </c>
      <c r="I2028">
        <v>285.19439999999997</v>
      </c>
      <c r="J2028">
        <v>-233.375</v>
      </c>
      <c r="K2028">
        <v>1.1087149999999999</v>
      </c>
      <c r="L2028">
        <v>285.19130000000001</v>
      </c>
      <c r="M2028">
        <v>-0.99990109999999999</v>
      </c>
      <c r="N2028">
        <v>-6.7157450000000004E-3</v>
      </c>
      <c r="O2028">
        <v>1.2364139999999999E-2</v>
      </c>
      <c r="P2028">
        <v>-0.93329450000000003</v>
      </c>
      <c r="Q2028">
        <v>0.35487259999999998</v>
      </c>
      <c r="R2028">
        <v>-5.50193E-2</v>
      </c>
      <c r="S2028">
        <v>-3.3176420000000002</v>
      </c>
      <c r="T2028">
        <v>-0.27546929999999997</v>
      </c>
      <c r="U2028">
        <v>3.1158450000000001E-2</v>
      </c>
      <c r="V2028">
        <v>-6.5657950000000007E-2</v>
      </c>
      <c r="W2028">
        <v>0.36129159999999999</v>
      </c>
      <c r="X2028">
        <v>0.93013840000000003</v>
      </c>
      <c r="Y2028">
        <v>-2.926433E-3</v>
      </c>
      <c r="Z2028">
        <v>-1.073016E-3</v>
      </c>
      <c r="AA2028">
        <v>0.99999519999999997</v>
      </c>
      <c r="AB2028">
        <v>37</v>
      </c>
      <c r="AC2028">
        <v>-0.47419999999999601</v>
      </c>
      <c r="AD2028">
        <v>-7.0130999999999902E-2</v>
      </c>
      <c r="AE2028">
        <v>3.0999999999607999E-3</v>
      </c>
      <c r="AF2028">
        <v>-2.7042968374815001E-3</v>
      </c>
      <c r="AG2028">
        <v>-7.0130999999999902E-2</v>
      </c>
      <c r="AH2028">
        <v>0.46405255905230403</v>
      </c>
      <c r="AI2028">
        <v>98.593778397557699</v>
      </c>
      <c r="AJ2028">
        <v>90.333891147348197</v>
      </c>
      <c r="AK2028">
        <v>0.46932978591324997</v>
      </c>
      <c r="AL2028">
        <v>68.820461526150396</v>
      </c>
      <c r="AM2028">
        <v>94.037779378181099</v>
      </c>
      <c r="AN2028">
        <v>1.0000000148916599</v>
      </c>
    </row>
    <row r="2029" spans="1:40" x14ac:dyDescent="0.25">
      <c r="A2029" t="str">
        <f>"20190304164855553"</f>
        <v>20190304164855553</v>
      </c>
      <c r="B2029" t="str">
        <f>"1551689335547731"</f>
        <v>1551689335547731</v>
      </c>
      <c r="C2029" t="s">
        <v>40</v>
      </c>
      <c r="D2029">
        <v>4.8132510000000002</v>
      </c>
      <c r="E2029">
        <v>0.53764599999999996</v>
      </c>
      <c r="F2029" t="s">
        <v>46</v>
      </c>
      <c r="G2029">
        <v>-247.39580000000001</v>
      </c>
      <c r="H2029" s="1">
        <v>2.398884E-6</v>
      </c>
      <c r="I2029">
        <v>285.28500000000003</v>
      </c>
      <c r="J2029">
        <v>-233.7569</v>
      </c>
      <c r="K2029">
        <v>1.108949</v>
      </c>
      <c r="L2029">
        <v>285.19650000000001</v>
      </c>
      <c r="M2029">
        <v>-0.99989479999999997</v>
      </c>
      <c r="N2029">
        <v>-6.758684E-3</v>
      </c>
      <c r="O2029">
        <v>1.284103E-2</v>
      </c>
      <c r="P2029">
        <v>-0.93251649999999997</v>
      </c>
      <c r="Q2029">
        <v>0.35684270000000001</v>
      </c>
      <c r="R2029">
        <v>-5.5464220000000002E-2</v>
      </c>
      <c r="S2029">
        <v>-3.3153839999999901</v>
      </c>
      <c r="T2029">
        <v>-0.26216790000000001</v>
      </c>
      <c r="U2029">
        <v>2.215576E-2</v>
      </c>
      <c r="V2029">
        <v>-6.673627E-2</v>
      </c>
      <c r="W2029">
        <v>0.36326079999999999</v>
      </c>
      <c r="X2029">
        <v>0.92929430000000002</v>
      </c>
      <c r="Y2029">
        <v>-6.1048069999999899E-3</v>
      </c>
      <c r="Z2029">
        <v>-1.1887860000000001E-3</v>
      </c>
      <c r="AA2029">
        <v>0.99998069999999895</v>
      </c>
      <c r="AB2029">
        <v>37</v>
      </c>
      <c r="AC2029">
        <v>-13.6389</v>
      </c>
      <c r="AD2029">
        <v>-1.1089466011160001</v>
      </c>
      <c r="AE2029">
        <v>8.8500000000010404E-2</v>
      </c>
      <c r="AF2029">
        <v>-8.6079762067080595E-2</v>
      </c>
      <c r="AG2029">
        <v>-1.1089466011160001</v>
      </c>
      <c r="AH2029">
        <v>13.5493419028204</v>
      </c>
      <c r="AI2029">
        <v>94.678853199540001</v>
      </c>
      <c r="AJ2029">
        <v>90.363998543305996</v>
      </c>
      <c r="AK2029">
        <v>13.594919576411201</v>
      </c>
      <c r="AL2029">
        <v>68.699411892149499</v>
      </c>
      <c r="AM2029">
        <v>94.107583162435205</v>
      </c>
      <c r="AN2029">
        <v>1.0000000172813199</v>
      </c>
    </row>
    <row r="2030" spans="1:40" x14ac:dyDescent="0.25">
      <c r="A2030" t="str">
        <f>"20190304164855577"</f>
        <v>20190304164855577</v>
      </c>
      <c r="B2030" t="str">
        <f>"1551689335568227"</f>
        <v>1551689335568227</v>
      </c>
      <c r="C2030" t="s">
        <v>40</v>
      </c>
      <c r="D2030">
        <v>4.191071</v>
      </c>
      <c r="E2030">
        <v>0.53702139999999998</v>
      </c>
      <c r="F2030" t="s">
        <v>46</v>
      </c>
      <c r="G2030">
        <v>-248.43969999999999</v>
      </c>
      <c r="H2030" s="1">
        <v>2.9543779999999999E-6</v>
      </c>
      <c r="I2030">
        <v>285.2758</v>
      </c>
      <c r="J2030">
        <v>-234.14230000000001</v>
      </c>
      <c r="K2030">
        <v>1.109218</v>
      </c>
      <c r="L2030">
        <v>285.20159999999998</v>
      </c>
      <c r="M2030">
        <v>-0.99989280000000003</v>
      </c>
      <c r="N2030">
        <v>-6.8033190000000004E-3</v>
      </c>
      <c r="O2030">
        <v>1.29739E-2</v>
      </c>
      <c r="P2030">
        <v>-0.93254400000000004</v>
      </c>
      <c r="Q2030">
        <v>0.35664170000000001</v>
      </c>
      <c r="R2030">
        <v>-5.6290079999999999E-2</v>
      </c>
      <c r="S2030">
        <v>-3.3139500000000002</v>
      </c>
      <c r="T2030">
        <v>-0.25029370000000001</v>
      </c>
      <c r="U2030">
        <v>1.791382E-2</v>
      </c>
      <c r="V2030">
        <v>-6.7917989999999998E-2</v>
      </c>
      <c r="W2030">
        <v>0.3630601</v>
      </c>
      <c r="X2030">
        <v>0.92928710000000003</v>
      </c>
      <c r="Y2030">
        <v>-7.5150349999999998E-3</v>
      </c>
      <c r="Z2030">
        <v>-1.1992929999999999E-3</v>
      </c>
      <c r="AA2030">
        <v>0.99997100000000005</v>
      </c>
      <c r="AB2030">
        <v>37</v>
      </c>
      <c r="AC2030">
        <v>-14.2973999999999</v>
      </c>
      <c r="AD2030">
        <v>-1.109215045622</v>
      </c>
      <c r="AE2030">
        <v>7.4200000000018904E-2</v>
      </c>
      <c r="AF2030">
        <v>-0.110637656384429</v>
      </c>
      <c r="AG2030">
        <v>-1.109215045622</v>
      </c>
      <c r="AH2030">
        <v>14.211623212893601</v>
      </c>
      <c r="AI2030">
        <v>94.462744634736097</v>
      </c>
      <c r="AJ2030">
        <v>90.446039316759794</v>
      </c>
      <c r="AK2030">
        <v>14.2552738680708</v>
      </c>
      <c r="AL2030">
        <v>68.711753433806294</v>
      </c>
      <c r="AM2030">
        <v>94.180094110575695</v>
      </c>
      <c r="AN2030">
        <v>1.0000000019020301</v>
      </c>
    </row>
    <row r="2031" spans="1:40" x14ac:dyDescent="0.25">
      <c r="A2031" t="str">
        <f>"20190304164855598"</f>
        <v>20190304164855598</v>
      </c>
      <c r="B2031" t="str">
        <f>"1551689335587750"</f>
        <v>1551689335587750</v>
      </c>
      <c r="C2031" t="s">
        <v>40</v>
      </c>
      <c r="D2031">
        <v>4.1848150000000004</v>
      </c>
      <c r="E2031">
        <v>0.53652250000000001</v>
      </c>
      <c r="F2031" t="s">
        <v>41</v>
      </c>
      <c r="G2031">
        <v>-235.17949999999999</v>
      </c>
      <c r="H2031">
        <v>1.0309120000000001</v>
      </c>
      <c r="I2031">
        <v>285.2056</v>
      </c>
      <c r="J2031">
        <v>-234.511</v>
      </c>
      <c r="K2031">
        <v>1.109507</v>
      </c>
      <c r="L2031">
        <v>285.20620000000002</v>
      </c>
      <c r="M2031">
        <v>-0.99989530000000004</v>
      </c>
      <c r="N2031">
        <v>-6.8492869999999999E-3</v>
      </c>
      <c r="O2031">
        <v>1.274805E-2</v>
      </c>
      <c r="P2031">
        <v>-0.93228520000000004</v>
      </c>
      <c r="Q2031">
        <v>0.357076</v>
      </c>
      <c r="R2031">
        <v>-5.7802369999999999E-2</v>
      </c>
      <c r="S2031">
        <v>-3.3134610000000002</v>
      </c>
      <c r="T2031">
        <v>-0.25021169999999998</v>
      </c>
      <c r="U2031">
        <v>1.266479E-2</v>
      </c>
      <c r="V2031">
        <v>-6.9457610000000003E-2</v>
      </c>
      <c r="W2031">
        <v>0.36349100000000001</v>
      </c>
      <c r="X2031">
        <v>0.92900479999999996</v>
      </c>
      <c r="Y2031">
        <v>-8.8688139999999992E-3</v>
      </c>
      <c r="Z2031">
        <v>-1.238851E-3</v>
      </c>
      <c r="AA2031">
        <v>0.99995990000000001</v>
      </c>
      <c r="AB2031">
        <v>37</v>
      </c>
      <c r="AC2031">
        <v>-0.66849999999999399</v>
      </c>
      <c r="AD2031">
        <v>-7.8594999999999901E-2</v>
      </c>
      <c r="AE2031">
        <v>-6.0000000001991696E-4</v>
      </c>
      <c r="AF2031">
        <v>-8.9978496203890306E-3</v>
      </c>
      <c r="AG2031">
        <v>-7.8594999999999901E-2</v>
      </c>
      <c r="AH2031">
        <v>0.659324511912591</v>
      </c>
      <c r="AI2031">
        <v>96.797257631231901</v>
      </c>
      <c r="AJ2031">
        <v>90.781871137972502</v>
      </c>
      <c r="AK2031">
        <v>0.66405342204642503</v>
      </c>
      <c r="AL2031">
        <v>68.685254098962204</v>
      </c>
      <c r="AM2031">
        <v>94.275798621920501</v>
      </c>
      <c r="AN2031">
        <v>0.999999992545476</v>
      </c>
    </row>
    <row r="2032" spans="1:40" x14ac:dyDescent="0.25">
      <c r="A2032" t="str">
        <f>"20190304164855620"</f>
        <v>20190304164855620</v>
      </c>
      <c r="B2032" t="str">
        <f>"1551689335618002"</f>
        <v>1551689335618002</v>
      </c>
      <c r="C2032" t="s">
        <v>40</v>
      </c>
      <c r="D2032">
        <v>4.1809589999999996</v>
      </c>
      <c r="E2032">
        <v>0.53589290000000001</v>
      </c>
      <c r="F2032" t="s">
        <v>41</v>
      </c>
      <c r="G2032">
        <v>-235.51759999999999</v>
      </c>
      <c r="H2032">
        <v>1.0337540000000001</v>
      </c>
      <c r="I2032">
        <v>285.20780000000002</v>
      </c>
      <c r="J2032">
        <v>-234.87219999999999</v>
      </c>
      <c r="K2032">
        <v>1.1097760000000001</v>
      </c>
      <c r="L2032">
        <v>285.21030000000002</v>
      </c>
      <c r="M2032">
        <v>-0.99990120000000005</v>
      </c>
      <c r="N2032">
        <v>-6.8960330000000002E-3</v>
      </c>
      <c r="O2032">
        <v>1.2254320000000001E-2</v>
      </c>
      <c r="P2032">
        <v>-0.93234030000000001</v>
      </c>
      <c r="Q2032">
        <v>0.35676720000000001</v>
      </c>
      <c r="R2032">
        <v>-5.8814070000000003E-2</v>
      </c>
      <c r="S2032">
        <v>-3.3137660000000002</v>
      </c>
      <c r="T2032">
        <v>-0.2495733</v>
      </c>
      <c r="U2032">
        <v>4.7607420000000001E-3</v>
      </c>
      <c r="V2032">
        <v>-7.0239220000000005E-2</v>
      </c>
      <c r="W2032">
        <v>0.36318220000000001</v>
      </c>
      <c r="X2032">
        <v>0.92906679999999997</v>
      </c>
      <c r="Y2032">
        <v>-1.0756150000000001E-2</v>
      </c>
      <c r="Z2032">
        <v>-1.278815E-3</v>
      </c>
      <c r="AA2032">
        <v>0.99994130000000003</v>
      </c>
      <c r="AB2032">
        <v>37</v>
      </c>
      <c r="AC2032">
        <v>-0.64539999999999498</v>
      </c>
      <c r="AD2032">
        <v>-7.6022000000000006E-2</v>
      </c>
      <c r="AE2032">
        <v>-2.4999999999977202E-3</v>
      </c>
      <c r="AF2032">
        <v>-1.0266496480077001E-2</v>
      </c>
      <c r="AG2032">
        <v>-7.6022000000000006E-2</v>
      </c>
      <c r="AH2032">
        <v>0.63648998475917096</v>
      </c>
      <c r="AI2032">
        <v>96.810231333712395</v>
      </c>
      <c r="AJ2032">
        <v>90.924092958651997</v>
      </c>
      <c r="AK2032">
        <v>0.64109612862090004</v>
      </c>
      <c r="AL2032">
        <v>68.704244819737397</v>
      </c>
      <c r="AM2032">
        <v>94.323445502290198</v>
      </c>
      <c r="AN2032">
        <v>0.99999998864264295</v>
      </c>
    </row>
    <row r="2033" spans="1:40" x14ac:dyDescent="0.25">
      <c r="A2033" t="str">
        <f>"20190304164855644"</f>
        <v>20190304164855644</v>
      </c>
      <c r="B2033" t="str">
        <f>"1551689335638285"</f>
        <v>1551689335638285</v>
      </c>
      <c r="C2033" t="s">
        <v>40</v>
      </c>
      <c r="D2033">
        <v>4.2013619999999996</v>
      </c>
      <c r="E2033">
        <v>0.53563050000000001</v>
      </c>
      <c r="F2033" t="s">
        <v>41</v>
      </c>
      <c r="G2033">
        <v>-235.8553</v>
      </c>
      <c r="H2033">
        <v>1.03521</v>
      </c>
      <c r="I2033">
        <v>285.20940000000002</v>
      </c>
      <c r="J2033">
        <v>-235.27340000000001</v>
      </c>
      <c r="K2033">
        <v>1.110061</v>
      </c>
      <c r="L2033">
        <v>285.21449999999999</v>
      </c>
      <c r="M2033">
        <v>-0.99991099999999999</v>
      </c>
      <c r="N2033">
        <v>-6.9465600000000001E-3</v>
      </c>
      <c r="O2033">
        <v>1.140236E-2</v>
      </c>
      <c r="P2033">
        <v>-0.93238480000000001</v>
      </c>
      <c r="Q2033">
        <v>0.35642109999999999</v>
      </c>
      <c r="R2033">
        <v>-6.0189899999999998E-2</v>
      </c>
      <c r="S2033">
        <v>-3.3137050000000001</v>
      </c>
      <c r="T2033">
        <v>-0.25141839999999999</v>
      </c>
      <c r="U2033">
        <v>-3.1433110000000002E-3</v>
      </c>
      <c r="V2033">
        <v>-7.1064180000000005E-2</v>
      </c>
      <c r="W2033">
        <v>0.3628362</v>
      </c>
      <c r="X2033">
        <v>0.9291393</v>
      </c>
      <c r="Y2033">
        <v>-1.2285549999999999E-2</v>
      </c>
      <c r="Z2033">
        <v>-1.292898E-3</v>
      </c>
      <c r="AA2033">
        <v>0.99992369999999997</v>
      </c>
      <c r="AB2033">
        <v>38</v>
      </c>
      <c r="AC2033">
        <v>-0.58189999999998998</v>
      </c>
      <c r="AD2033">
        <v>-7.4851000000000001E-2</v>
      </c>
      <c r="AE2033">
        <v>-5.0999999999703496E-3</v>
      </c>
      <c r="AF2033">
        <v>-1.15438683125599E-2</v>
      </c>
      <c r="AG2033">
        <v>-7.4851000000000001E-2</v>
      </c>
      <c r="AH2033">
        <v>0.57233477275349198</v>
      </c>
      <c r="AI2033">
        <v>97.449461781645894</v>
      </c>
      <c r="AJ2033">
        <v>91.155486779111399</v>
      </c>
      <c r="AK2033">
        <v>0.57732402097904101</v>
      </c>
      <c r="AL2033">
        <v>68.725521439299001</v>
      </c>
      <c r="AM2033">
        <v>94.3736884887998</v>
      </c>
      <c r="AN2033">
        <v>1.000000032257</v>
      </c>
    </row>
    <row r="2034" spans="1:40" x14ac:dyDescent="0.25">
      <c r="A2034" t="str">
        <f>"20190304164855666"</f>
        <v>20190304164855666</v>
      </c>
      <c r="B2034" t="str">
        <f>"1551689335657805"</f>
        <v>1551689335657805</v>
      </c>
      <c r="C2034" t="s">
        <v>40</v>
      </c>
      <c r="D2034">
        <v>4.2088070000000002</v>
      </c>
      <c r="E2034">
        <v>0.53536589999999995</v>
      </c>
      <c r="F2034" t="s">
        <v>41</v>
      </c>
      <c r="G2034">
        <v>-236.19990000000001</v>
      </c>
      <c r="H2034">
        <v>1.0392399999999999</v>
      </c>
      <c r="I2034">
        <v>285.21210000000002</v>
      </c>
      <c r="J2034">
        <v>-235.65719999999999</v>
      </c>
      <c r="K2034">
        <v>1.110314</v>
      </c>
      <c r="L2034">
        <v>285.21800000000002</v>
      </c>
      <c r="M2034">
        <v>-0.99992219999999998</v>
      </c>
      <c r="N2034">
        <v>-6.9941279999999996E-3</v>
      </c>
      <c r="O2034">
        <v>1.0319689999999999E-2</v>
      </c>
      <c r="P2034">
        <v>-0.9322724</v>
      </c>
      <c r="Q2034">
        <v>0.35651569999999999</v>
      </c>
      <c r="R2034">
        <v>-6.1356870000000001E-2</v>
      </c>
      <c r="S2034">
        <v>-3.3138580000000002</v>
      </c>
      <c r="T2034">
        <v>-0.25347500000000001</v>
      </c>
      <c r="U2034">
        <v>-9.2773439999999999E-3</v>
      </c>
      <c r="V2034">
        <v>-7.1439240000000001E-2</v>
      </c>
      <c r="W2034">
        <v>0.36293160000000002</v>
      </c>
      <c r="X2034">
        <v>0.92907320000000004</v>
      </c>
      <c r="Y2034">
        <v>-1.30528E-2</v>
      </c>
      <c r="Z2034">
        <v>-1.2602939999999999E-3</v>
      </c>
      <c r="AA2034">
        <v>0.99991399999999997</v>
      </c>
      <c r="AB2034">
        <v>38</v>
      </c>
      <c r="AC2034">
        <v>-0.54270000000002405</v>
      </c>
      <c r="AD2034">
        <v>-7.1073999999999998E-2</v>
      </c>
      <c r="AE2034">
        <v>-5.8999999999968999E-3</v>
      </c>
      <c r="AF2034">
        <v>-1.1306420026414001E-2</v>
      </c>
      <c r="AG2034">
        <v>-7.1073999999999998E-2</v>
      </c>
      <c r="AH2034">
        <v>0.53346163151200798</v>
      </c>
      <c r="AI2034">
        <v>97.587237778606394</v>
      </c>
      <c r="AJ2034">
        <v>91.214170124147898</v>
      </c>
      <c r="AK2034">
        <v>0.53829421407374101</v>
      </c>
      <c r="AL2034">
        <v>68.719653984101299</v>
      </c>
      <c r="AM2034">
        <v>94.396993092060399</v>
      </c>
      <c r="AN2034">
        <v>0.99999996112428802</v>
      </c>
    </row>
    <row r="2035" spans="1:40" x14ac:dyDescent="0.25">
      <c r="A2035" t="str">
        <f>"20190304164855688"</f>
        <v>20190304164855688</v>
      </c>
      <c r="B2035" t="str">
        <f>"1551689335678301"</f>
        <v>1551689335678301</v>
      </c>
      <c r="C2035" t="s">
        <v>40</v>
      </c>
      <c r="D2035">
        <v>4.2169379999999999</v>
      </c>
      <c r="E2035">
        <v>0.53517930000000002</v>
      </c>
      <c r="F2035" t="s">
        <v>46</v>
      </c>
      <c r="G2035">
        <v>-250.13229999999999</v>
      </c>
      <c r="H2035" s="1">
        <v>-1.4663780000000001E-6</v>
      </c>
      <c r="I2035">
        <v>285.15140000000002</v>
      </c>
      <c r="J2035">
        <v>-236.01060000000001</v>
      </c>
      <c r="K2035">
        <v>1.1105160000000001</v>
      </c>
      <c r="L2035">
        <v>285.22070000000002</v>
      </c>
      <c r="M2035">
        <v>-0.99993370000000004</v>
      </c>
      <c r="N2035">
        <v>-7.0389440000000001E-3</v>
      </c>
      <c r="O2035">
        <v>9.1257219999999993E-3</v>
      </c>
      <c r="P2035">
        <v>-0.93213809999999997</v>
      </c>
      <c r="Q2035">
        <v>0.35666940000000003</v>
      </c>
      <c r="R2035">
        <v>-6.2493380000000001E-2</v>
      </c>
      <c r="S2035">
        <v>-3.3141780000000001</v>
      </c>
      <c r="T2035">
        <v>-0.25421389999999999</v>
      </c>
      <c r="U2035">
        <v>-1.525879E-2</v>
      </c>
      <c r="V2035">
        <v>-7.1648020000000007E-2</v>
      </c>
      <c r="W2035">
        <v>0.36308980000000002</v>
      </c>
      <c r="X2035">
        <v>0.92899540000000003</v>
      </c>
      <c r="Y2035">
        <v>-1.366376E-2</v>
      </c>
      <c r="Z2035">
        <v>-1.2062380000000001E-3</v>
      </c>
      <c r="AA2035">
        <v>0.99990590000000001</v>
      </c>
      <c r="AB2035">
        <v>38</v>
      </c>
      <c r="AC2035">
        <v>-14.121699999999899</v>
      </c>
      <c r="AD2035">
        <v>-1.110517466378</v>
      </c>
      <c r="AE2035">
        <v>-6.9299999999998294E-2</v>
      </c>
      <c r="AF2035">
        <v>-0.19695305148198999</v>
      </c>
      <c r="AG2035">
        <v>-1.110517466378</v>
      </c>
      <c r="AH2035">
        <v>14.033695759302301</v>
      </c>
      <c r="AI2035">
        <v>94.524070118169107</v>
      </c>
      <c r="AJ2035">
        <v>90.804053188655601</v>
      </c>
      <c r="AK2035">
        <v>14.078943717917101</v>
      </c>
      <c r="AL2035">
        <v>68.709928137951493</v>
      </c>
      <c r="AM2035">
        <v>94.410160465881901</v>
      </c>
      <c r="AN2035">
        <v>1.0000000474275501</v>
      </c>
    </row>
    <row r="2036" spans="1:40" x14ac:dyDescent="0.25">
      <c r="A2036" t="str">
        <f>"20190304164855709"</f>
        <v>20190304164855709</v>
      </c>
      <c r="B2036" t="str">
        <f>"1551689335697825"</f>
        <v>1551689335697825</v>
      </c>
      <c r="C2036" t="s">
        <v>40</v>
      </c>
      <c r="D2036">
        <v>4.1859840000000004</v>
      </c>
      <c r="E2036">
        <v>0.534983599999999</v>
      </c>
      <c r="F2036" t="s">
        <v>46</v>
      </c>
      <c r="G2036">
        <v>-250.58179999999999</v>
      </c>
      <c r="H2036" s="1">
        <v>-1.2271920000000001E-6</v>
      </c>
      <c r="I2036">
        <v>285.13690000000003</v>
      </c>
      <c r="J2036">
        <v>-236.37360000000001</v>
      </c>
      <c r="K2036">
        <v>1.110703</v>
      </c>
      <c r="L2036">
        <v>285.22300000000001</v>
      </c>
      <c r="M2036">
        <v>-0.99994499999999997</v>
      </c>
      <c r="N2036">
        <v>-7.0843420000000004E-3</v>
      </c>
      <c r="O2036">
        <v>7.7525919999999896E-3</v>
      </c>
      <c r="P2036">
        <v>-0.93222729999999998</v>
      </c>
      <c r="Q2036">
        <v>0.35619620000000002</v>
      </c>
      <c r="R2036">
        <v>-6.3850850000000001E-2</v>
      </c>
      <c r="S2036">
        <v>-3.3137660000000002</v>
      </c>
      <c r="T2036">
        <v>-0.25255319999999998</v>
      </c>
      <c r="U2036">
        <v>-1.9073489999999999E-2</v>
      </c>
      <c r="V2036">
        <v>-7.1893180000000001E-2</v>
      </c>
      <c r="W2036">
        <v>0.36262680000000003</v>
      </c>
      <c r="X2036">
        <v>0.92915729999999996</v>
      </c>
      <c r="Y2036">
        <v>-1.34471E-2</v>
      </c>
      <c r="Z2036">
        <v>-1.094526E-3</v>
      </c>
      <c r="AA2036">
        <v>0.99990900000000005</v>
      </c>
      <c r="AB2036">
        <v>38</v>
      </c>
      <c r="AC2036">
        <v>-14.2081999999999</v>
      </c>
      <c r="AD2036">
        <v>-1.110704227192</v>
      </c>
      <c r="AE2036">
        <v>-8.6099999999987603E-2</v>
      </c>
      <c r="AF2036">
        <v>-0.19505856132799801</v>
      </c>
      <c r="AG2036">
        <v>-1.110704227192</v>
      </c>
      <c r="AH2036">
        <v>14.1208150698175</v>
      </c>
      <c r="AI2036">
        <v>94.497040189884999</v>
      </c>
      <c r="AJ2036">
        <v>90.791407684319793</v>
      </c>
      <c r="AK2036">
        <v>14.1657731860507</v>
      </c>
      <c r="AL2036">
        <v>68.738396561529797</v>
      </c>
      <c r="AM2036">
        <v>94.424422995086502</v>
      </c>
      <c r="AN2036">
        <v>1.0000000567760099</v>
      </c>
    </row>
    <row r="2037" spans="1:40" x14ac:dyDescent="0.25">
      <c r="A2037" t="str">
        <f>"20190304164855732"</f>
        <v>20190304164855732</v>
      </c>
      <c r="B2037" t="str">
        <f>"1551689335728077"</f>
        <v>1551689335728077</v>
      </c>
      <c r="C2037" t="s">
        <v>40</v>
      </c>
      <c r="D2037">
        <v>4.1505429999999999</v>
      </c>
      <c r="E2037">
        <v>0.53475099999999998</v>
      </c>
      <c r="F2037" t="s">
        <v>46</v>
      </c>
      <c r="G2037">
        <v>-250.81899999999999</v>
      </c>
      <c r="H2037" s="1">
        <v>-1.100948E-6</v>
      </c>
      <c r="I2037">
        <v>285.11180000000002</v>
      </c>
      <c r="J2037">
        <v>-236.76419999999999</v>
      </c>
      <c r="K2037">
        <v>1.1108750000000001</v>
      </c>
      <c r="L2037">
        <v>285.22480000000002</v>
      </c>
      <c r="M2037">
        <v>-0.99995560000000006</v>
      </c>
      <c r="N2037">
        <v>-7.1304360000000004E-3</v>
      </c>
      <c r="O2037">
        <v>6.1609289999999999E-3</v>
      </c>
      <c r="P2037">
        <v>-0.93232349999999997</v>
      </c>
      <c r="Q2037">
        <v>0.35554829999999998</v>
      </c>
      <c r="R2037">
        <v>-6.6017380000000001E-2</v>
      </c>
      <c r="S2037">
        <v>-3.3137050000000001</v>
      </c>
      <c r="T2037">
        <v>-0.25478909999999999</v>
      </c>
      <c r="U2037">
        <v>-2.5512699999999999E-2</v>
      </c>
      <c r="V2037">
        <v>-7.2726319999999997E-2</v>
      </c>
      <c r="W2037">
        <v>0.36199130000000002</v>
      </c>
      <c r="X2037">
        <v>0.92934019999999995</v>
      </c>
      <c r="Y2037">
        <v>-1.380018E-2</v>
      </c>
      <c r="Z2037">
        <v>-1.008171E-3</v>
      </c>
      <c r="AA2037">
        <v>0.99990429999999997</v>
      </c>
      <c r="AB2037">
        <v>38</v>
      </c>
      <c r="AC2037">
        <v>-14.0548</v>
      </c>
      <c r="AD2037">
        <v>-1.1108761009479999</v>
      </c>
      <c r="AE2037">
        <v>-0.112999999999999</v>
      </c>
      <c r="AF2037">
        <v>-0.19835162925569</v>
      </c>
      <c r="AG2037">
        <v>-1.1108761009479999</v>
      </c>
      <c r="AH2037">
        <v>13.966591296071</v>
      </c>
      <c r="AI2037">
        <v>94.547166915184704</v>
      </c>
      <c r="AJ2037">
        <v>90.813652165139999</v>
      </c>
      <c r="AK2037">
        <v>14.0121041072343</v>
      </c>
      <c r="AL2037">
        <v>68.777461255296799</v>
      </c>
      <c r="AM2037">
        <v>94.474611435809294</v>
      </c>
      <c r="AN2037">
        <v>1.0000000131162301</v>
      </c>
    </row>
    <row r="2038" spans="1:40" x14ac:dyDescent="0.25">
      <c r="A2038" t="str">
        <f>"20190304164855745"</f>
        <v>20190304164855745</v>
      </c>
      <c r="B2038" t="str">
        <f>"1551689335737837"</f>
        <v>1551689335737837</v>
      </c>
      <c r="C2038" t="s">
        <v>40</v>
      </c>
      <c r="D2038">
        <v>4.1375520000000003</v>
      </c>
      <c r="E2038">
        <v>0.53467989999999999</v>
      </c>
      <c r="F2038" t="s">
        <v>46</v>
      </c>
      <c r="G2038">
        <v>-251.0652</v>
      </c>
      <c r="H2038" s="1">
        <v>-9.699213E-7</v>
      </c>
      <c r="I2038">
        <v>285.07799999999997</v>
      </c>
      <c r="J2038">
        <v>-236.99420000000001</v>
      </c>
      <c r="K2038">
        <v>1.1109560000000001</v>
      </c>
      <c r="L2038">
        <v>285.22539999999998</v>
      </c>
      <c r="M2038">
        <v>-0.99996110000000005</v>
      </c>
      <c r="N2038">
        <v>-7.1556939999999998E-3</v>
      </c>
      <c r="O2038">
        <v>5.1806409999999997E-3</v>
      </c>
      <c r="P2038">
        <v>-0.93240179999999995</v>
      </c>
      <c r="Q2038">
        <v>0.35512569999999999</v>
      </c>
      <c r="R2038">
        <v>-6.7178440000000006E-2</v>
      </c>
      <c r="S2038">
        <v>-3.313507</v>
      </c>
      <c r="T2038">
        <v>-0.2573858</v>
      </c>
      <c r="U2038">
        <v>-3.3996579999999998E-2</v>
      </c>
      <c r="V2038">
        <v>-7.3044629999999999E-2</v>
      </c>
      <c r="W2038">
        <v>0.36157830000000002</v>
      </c>
      <c r="X2038">
        <v>0.92947599999999997</v>
      </c>
      <c r="Y2038">
        <v>-1.537637E-2</v>
      </c>
      <c r="Z2038">
        <v>-1.01618E-3</v>
      </c>
      <c r="AA2038">
        <v>0.99988129999999997</v>
      </c>
      <c r="AB2038">
        <v>38</v>
      </c>
      <c r="AC2038">
        <v>-14.0709999999999</v>
      </c>
      <c r="AD2038">
        <v>-1.1109569699213</v>
      </c>
      <c r="AE2038">
        <v>-0.147400000000004</v>
      </c>
      <c r="AF2038">
        <v>-0.21893207591960601</v>
      </c>
      <c r="AG2038">
        <v>-1.1109569699213</v>
      </c>
      <c r="AH2038">
        <v>13.982892196529001</v>
      </c>
      <c r="AI2038">
        <v>94.542119139427896</v>
      </c>
      <c r="AJ2038">
        <v>90.897014644546999</v>
      </c>
      <c r="AK2038">
        <v>14.028664612949999</v>
      </c>
      <c r="AL2038">
        <v>68.802843709132901</v>
      </c>
      <c r="AM2038">
        <v>94.493462030226397</v>
      </c>
      <c r="AN2038">
        <v>1.00000000978936</v>
      </c>
    </row>
    <row r="2039" spans="1:40" x14ac:dyDescent="0.25">
      <c r="A2039" t="str">
        <f>"20190304164855758"</f>
        <v>20190304164855758</v>
      </c>
      <c r="B2039" t="str">
        <f>"1551689335748573"</f>
        <v>1551689335748573</v>
      </c>
      <c r="C2039" t="s">
        <v>40</v>
      </c>
      <c r="D2039">
        <v>4.1562720000000004</v>
      </c>
      <c r="E2039">
        <v>0.53464619999999996</v>
      </c>
      <c r="F2039" t="s">
        <v>46</v>
      </c>
      <c r="G2039">
        <v>-251.22790000000001</v>
      </c>
      <c r="H2039" s="1">
        <v>-8.8335259999999903E-7</v>
      </c>
      <c r="I2039">
        <v>285.06180000000001</v>
      </c>
      <c r="J2039">
        <v>-237.2122</v>
      </c>
      <c r="K2039">
        <v>1.111024</v>
      </c>
      <c r="L2039">
        <v>285.226</v>
      </c>
      <c r="M2039">
        <v>-0.9999654</v>
      </c>
      <c r="N2039">
        <v>-7.1787819999999999E-3</v>
      </c>
      <c r="O2039">
        <v>4.2384500000000004E-3</v>
      </c>
      <c r="P2039">
        <v>-0.93248189999999997</v>
      </c>
      <c r="Q2039">
        <v>0.35471940000000002</v>
      </c>
      <c r="R2039">
        <v>-6.8204100000000004E-2</v>
      </c>
      <c r="S2039">
        <v>-3.3132480000000002</v>
      </c>
      <c r="T2039">
        <v>-0.25860270000000002</v>
      </c>
      <c r="U2039">
        <v>-3.8085939999999999E-2</v>
      </c>
      <c r="V2039">
        <v>-7.3253940000000003E-2</v>
      </c>
      <c r="W2039">
        <v>0.36118119999999998</v>
      </c>
      <c r="X2039">
        <v>0.92961389999999999</v>
      </c>
      <c r="Y2039">
        <v>-1.5669789999999999E-2</v>
      </c>
      <c r="Z2039">
        <v>-9.6683439999999999E-4</v>
      </c>
      <c r="AA2039">
        <v>0.99987669999999995</v>
      </c>
      <c r="AB2039">
        <v>38</v>
      </c>
      <c r="AC2039">
        <v>-14.015700000000001</v>
      </c>
      <c r="AD2039">
        <v>-1.1110248833526</v>
      </c>
      <c r="AE2039">
        <v>-0.16419999999999299</v>
      </c>
      <c r="AF2039">
        <v>-0.22220878067005301</v>
      </c>
      <c r="AG2039">
        <v>-1.1110248833526</v>
      </c>
      <c r="AH2039">
        <v>13.927374185840501</v>
      </c>
      <c r="AI2039">
        <v>94.560405179298797</v>
      </c>
      <c r="AJ2039">
        <v>90.914066427228903</v>
      </c>
      <c r="AK2039">
        <v>13.973385586394301</v>
      </c>
      <c r="AL2039">
        <v>68.827244734036398</v>
      </c>
      <c r="AM2039">
        <v>94.505619410714203</v>
      </c>
      <c r="AN2039">
        <v>1.0000000010160801</v>
      </c>
    </row>
    <row r="2040" spans="1:40" x14ac:dyDescent="0.25">
      <c r="A2040" t="str">
        <f>"20190304164855778"</f>
        <v>20190304164855778</v>
      </c>
      <c r="B2040" t="str">
        <f>"1551689335768093"</f>
        <v>1551689335768093</v>
      </c>
      <c r="C2040" t="s">
        <v>40</v>
      </c>
      <c r="D2040">
        <v>4.120126</v>
      </c>
      <c r="E2040">
        <v>0.53452219999999995</v>
      </c>
      <c r="F2040" t="s">
        <v>41</v>
      </c>
      <c r="G2040">
        <v>-238.22399999999999</v>
      </c>
      <c r="H2040">
        <v>1.031628</v>
      </c>
      <c r="I2040">
        <v>285.2133</v>
      </c>
      <c r="J2040">
        <v>-237.56110000000001</v>
      </c>
      <c r="K2040">
        <v>1.111113</v>
      </c>
      <c r="L2040">
        <v>285.22629999999998</v>
      </c>
      <c r="M2040">
        <v>-0.99997040000000004</v>
      </c>
      <c r="N2040">
        <v>-7.2136199999999996E-3</v>
      </c>
      <c r="O2040">
        <v>2.7001429999999999E-3</v>
      </c>
      <c r="P2040">
        <v>-0.93274469999999998</v>
      </c>
      <c r="Q2040">
        <v>0.35374290000000003</v>
      </c>
      <c r="R2040">
        <v>-6.9664519999999994E-2</v>
      </c>
      <c r="S2040">
        <v>-3.313126</v>
      </c>
      <c r="T2040">
        <v>-0.26023030000000003</v>
      </c>
      <c r="U2040">
        <v>-4.214478E-2</v>
      </c>
      <c r="V2040">
        <v>-7.3359770000000005E-2</v>
      </c>
      <c r="W2040">
        <v>0.36022320000000002</v>
      </c>
      <c r="X2040">
        <v>0.92997719999999995</v>
      </c>
      <c r="Y2040">
        <v>-1.536095E-2</v>
      </c>
      <c r="Z2040">
        <v>-8.5011259999999997E-4</v>
      </c>
      <c r="AA2040">
        <v>0.99988160000000004</v>
      </c>
      <c r="AB2040">
        <v>38</v>
      </c>
      <c r="AC2040">
        <v>-0.66290000000000704</v>
      </c>
      <c r="AD2040">
        <v>-7.9485E-2</v>
      </c>
      <c r="AE2040">
        <v>-1.2999999999976799E-2</v>
      </c>
      <c r="AF2040">
        <v>-1.4580379414010599E-2</v>
      </c>
      <c r="AG2040">
        <v>-7.9485E-2</v>
      </c>
      <c r="AH2040">
        <v>0.65347100888411103</v>
      </c>
      <c r="AI2040">
        <v>96.933400077984501</v>
      </c>
      <c r="AJ2040">
        <v>91.278183124890205</v>
      </c>
      <c r="AK2040">
        <v>0.65844879234521703</v>
      </c>
      <c r="AL2040">
        <v>68.886095894817501</v>
      </c>
      <c r="AM2040">
        <v>94.510346421761</v>
      </c>
      <c r="AN2040">
        <v>1.00000000109626</v>
      </c>
    </row>
    <row r="2041" spans="1:40" x14ac:dyDescent="0.25">
      <c r="A2041" t="str">
        <f>"20190304164855800"</f>
        <v>20190304164855800</v>
      </c>
      <c r="B2041" t="str">
        <f>"1551689335788589"</f>
        <v>1551689335788589</v>
      </c>
      <c r="C2041" t="s">
        <v>40</v>
      </c>
      <c r="D2041">
        <v>4.1022080000000001</v>
      </c>
      <c r="E2041">
        <v>0.53442250000000002</v>
      </c>
      <c r="F2041" t="s">
        <v>41</v>
      </c>
      <c r="G2041">
        <v>-238.5652</v>
      </c>
      <c r="H2041">
        <v>1.0311330000000001</v>
      </c>
      <c r="I2041">
        <v>285.21179999999998</v>
      </c>
      <c r="J2041">
        <v>-237.9188</v>
      </c>
      <c r="K2041">
        <v>1.111189</v>
      </c>
      <c r="L2041">
        <v>285.226</v>
      </c>
      <c r="M2041">
        <v>-0.99997320000000001</v>
      </c>
      <c r="N2041">
        <v>-7.2471459999999899E-3</v>
      </c>
      <c r="O2041">
        <v>1.103768E-3</v>
      </c>
      <c r="P2041">
        <v>-0.93336739999999996</v>
      </c>
      <c r="Q2041">
        <v>0.35204200000000002</v>
      </c>
      <c r="R2041">
        <v>-6.9944179999999995E-2</v>
      </c>
      <c r="S2041">
        <v>-3.312805</v>
      </c>
      <c r="T2041">
        <v>-0.26396360000000002</v>
      </c>
      <c r="U2041">
        <v>-4.8156740000000003E-2</v>
      </c>
      <c r="V2041">
        <v>-7.2214509999999996E-2</v>
      </c>
      <c r="W2041">
        <v>0.3585488</v>
      </c>
      <c r="X2041">
        <v>0.93071360000000003</v>
      </c>
      <c r="Y2041">
        <v>-1.5581909999999999E-2</v>
      </c>
      <c r="Z2041">
        <v>-7.5614729999999998E-4</v>
      </c>
      <c r="AA2041">
        <v>0.9998783</v>
      </c>
      <c r="AB2041">
        <v>38</v>
      </c>
      <c r="AC2041">
        <v>-0.64639999999999898</v>
      </c>
      <c r="AD2041">
        <v>-8.0055999999999905E-2</v>
      </c>
      <c r="AE2041">
        <v>-1.42000000000166E-2</v>
      </c>
      <c r="AF2041">
        <v>-1.4688296769916599E-2</v>
      </c>
      <c r="AG2041">
        <v>-8.0055999999999905E-2</v>
      </c>
      <c r="AH2041">
        <v>0.63662374001405297</v>
      </c>
      <c r="AI2041">
        <v>97.165486093946996</v>
      </c>
      <c r="AJ2041">
        <v>91.321703978223894</v>
      </c>
      <c r="AK2041">
        <v>0.64180565247392596</v>
      </c>
      <c r="AL2041">
        <v>68.988900226531996</v>
      </c>
      <c r="AM2041">
        <v>94.436717547485102</v>
      </c>
      <c r="AN2041">
        <v>0.99999999133047002</v>
      </c>
    </row>
    <row r="2042" spans="1:40" x14ac:dyDescent="0.25">
      <c r="A2042" t="str">
        <f>"20190304164855823"</f>
        <v>20190304164855823</v>
      </c>
      <c r="B2042" t="str">
        <f>"1551689335817869"</f>
        <v>1551689335817869</v>
      </c>
      <c r="C2042" t="s">
        <v>40</v>
      </c>
      <c r="D2042">
        <v>4.1111659999999999</v>
      </c>
      <c r="E2042">
        <v>0.53439269999999905</v>
      </c>
      <c r="F2042" t="s">
        <v>41</v>
      </c>
      <c r="G2042">
        <v>-238.90690000000001</v>
      </c>
      <c r="H2042">
        <v>1.030694</v>
      </c>
      <c r="I2042">
        <v>285.21100000000001</v>
      </c>
      <c r="J2042">
        <v>-238.30959999999999</v>
      </c>
      <c r="K2042">
        <v>1.111259</v>
      </c>
      <c r="L2042">
        <v>285.2251</v>
      </c>
      <c r="M2042">
        <v>-0.99997329999999995</v>
      </c>
      <c r="N2042">
        <v>-7.281587E-3</v>
      </c>
      <c r="O2042">
        <v>-6.4858790000000004E-4</v>
      </c>
      <c r="P2042">
        <v>-0.93382419999999999</v>
      </c>
      <c r="Q2042">
        <v>0.35079379999999999</v>
      </c>
      <c r="R2042">
        <v>-7.011539E-2</v>
      </c>
      <c r="S2042">
        <v>-3.3122250000000002</v>
      </c>
      <c r="T2042">
        <v>-0.27008870000000001</v>
      </c>
      <c r="U2042">
        <v>-5.1086430000000002E-2</v>
      </c>
      <c r="V2042">
        <v>-7.0807949999999995E-2</v>
      </c>
      <c r="W2042">
        <v>0.35732930000000002</v>
      </c>
      <c r="X2042">
        <v>0.93129050000000002</v>
      </c>
      <c r="Y2042">
        <v>-1.472179E-2</v>
      </c>
      <c r="Z2042">
        <v>-6.0481719999999997E-4</v>
      </c>
      <c r="AA2042">
        <v>0.99989150000000004</v>
      </c>
      <c r="AB2042">
        <v>38</v>
      </c>
      <c r="AC2042">
        <v>-0.59730000000001804</v>
      </c>
      <c r="AD2042">
        <v>-8.0564999999999998E-2</v>
      </c>
      <c r="AE2042">
        <v>-1.4099999999984901E-2</v>
      </c>
      <c r="AF2042">
        <v>-1.3467701822186999E-2</v>
      </c>
      <c r="AG2042">
        <v>-8.0564999999999998E-2</v>
      </c>
      <c r="AH2042">
        <v>0.58664209880361295</v>
      </c>
      <c r="AI2042">
        <v>97.817620501928005</v>
      </c>
      <c r="AJ2042">
        <v>91.315123748153994</v>
      </c>
      <c r="AK2042">
        <v>0.59230148599009902</v>
      </c>
      <c r="AL2042">
        <v>69.063730386477602</v>
      </c>
      <c r="AM2042">
        <v>94.347951610781806</v>
      </c>
      <c r="AN2042">
        <v>0.99999999490597102</v>
      </c>
    </row>
    <row r="2043" spans="1:40" x14ac:dyDescent="0.25">
      <c r="A2043" t="str">
        <f>"20190304164855846"</f>
        <v>20190304164855846</v>
      </c>
      <c r="B2043" t="str">
        <f>"1551689335838365"</f>
        <v>1551689335838365</v>
      </c>
      <c r="C2043" t="s">
        <v>40</v>
      </c>
      <c r="D2043">
        <v>4.0964099999999997</v>
      </c>
      <c r="E2043">
        <v>0.5343966</v>
      </c>
      <c r="F2043" t="s">
        <v>41</v>
      </c>
      <c r="G2043">
        <v>-239.2517</v>
      </c>
      <c r="H2043">
        <v>1.0331760000000001</v>
      </c>
      <c r="I2043">
        <v>285.21010000000001</v>
      </c>
      <c r="J2043">
        <v>-238.7124</v>
      </c>
      <c r="K2043">
        <v>1.1113170000000001</v>
      </c>
      <c r="L2043">
        <v>285.22340000000003</v>
      </c>
      <c r="M2043">
        <v>-0.99997040000000004</v>
      </c>
      <c r="N2043">
        <v>-7.3148559999999998E-3</v>
      </c>
      <c r="O2043">
        <v>-2.4568020000000001E-3</v>
      </c>
      <c r="P2043">
        <v>-0.93450060000000001</v>
      </c>
      <c r="Q2043">
        <v>0.3488617</v>
      </c>
      <c r="R2043">
        <v>-7.0742700000000006E-2</v>
      </c>
      <c r="S2043">
        <v>-3.3117679999999998</v>
      </c>
      <c r="T2043">
        <v>-0.27456370000000002</v>
      </c>
      <c r="U2043">
        <v>-5.282593E-2</v>
      </c>
      <c r="V2043">
        <v>-6.9792300000000002E-2</v>
      </c>
      <c r="W2043">
        <v>0.35542770000000001</v>
      </c>
      <c r="X2043">
        <v>0.93209450000000005</v>
      </c>
      <c r="Y2043">
        <v>-1.344914E-2</v>
      </c>
      <c r="Z2043">
        <v>-4.2042130000000003E-4</v>
      </c>
      <c r="AA2043">
        <v>0.99990950000000001</v>
      </c>
      <c r="AB2043">
        <v>38</v>
      </c>
      <c r="AC2043">
        <v>-0.539299999999997</v>
      </c>
      <c r="AD2043">
        <v>-7.8141000000000002E-2</v>
      </c>
      <c r="AE2043">
        <v>-1.33000000000151E-2</v>
      </c>
      <c r="AF2043">
        <v>-1.17288837288937E-2</v>
      </c>
      <c r="AG2043">
        <v>-7.8141000000000002E-2</v>
      </c>
      <c r="AH2043">
        <v>0.52824770868419202</v>
      </c>
      <c r="AI2043">
        <v>98.412409584713501</v>
      </c>
      <c r="AJ2043">
        <v>91.271950877131999</v>
      </c>
      <c r="AK2043">
        <v>0.53412472731060201</v>
      </c>
      <c r="AL2043">
        <v>69.180340298689799</v>
      </c>
      <c r="AM2043">
        <v>94.282136753206998</v>
      </c>
      <c r="AN2043">
        <v>0.999999985998415</v>
      </c>
    </row>
    <row r="2044" spans="1:40" x14ac:dyDescent="0.25">
      <c r="A2044" t="str">
        <f>"20190304164855868"</f>
        <v>20190304164855868</v>
      </c>
      <c r="B2044" t="str">
        <f>"1551689335857886"</f>
        <v>1551689335857886</v>
      </c>
      <c r="C2044" t="s">
        <v>40</v>
      </c>
      <c r="D2044">
        <v>4.1160610000000002</v>
      </c>
      <c r="E2044">
        <v>0.53431669999999998</v>
      </c>
      <c r="F2044" t="s">
        <v>41</v>
      </c>
      <c r="G2044">
        <v>-239.5977</v>
      </c>
      <c r="H2044">
        <v>1.0362340000000001</v>
      </c>
      <c r="I2044">
        <v>285.209</v>
      </c>
      <c r="J2044">
        <v>-239.09299999999999</v>
      </c>
      <c r="K2044">
        <v>1.111354</v>
      </c>
      <c r="L2044">
        <v>285.22120000000001</v>
      </c>
      <c r="M2044">
        <v>-0.99996439999999998</v>
      </c>
      <c r="N2044">
        <v>-7.3443459999999999E-3</v>
      </c>
      <c r="O2044">
        <v>-4.163155E-3</v>
      </c>
      <c r="P2044">
        <v>-0.9349364</v>
      </c>
      <c r="Q2044">
        <v>0.3476532</v>
      </c>
      <c r="R2044">
        <v>-7.0932430000000005E-2</v>
      </c>
      <c r="S2044">
        <v>-3.3110810000000002</v>
      </c>
      <c r="T2044">
        <v>-0.28107480000000001</v>
      </c>
      <c r="U2044">
        <v>-5.4443360000000003E-2</v>
      </c>
      <c r="V2044">
        <v>-6.8423609999999996E-2</v>
      </c>
      <c r="W2044">
        <v>0.3542477</v>
      </c>
      <c r="X2044">
        <v>0.93264499999999995</v>
      </c>
      <c r="Y2044">
        <v>-1.2242360000000001E-2</v>
      </c>
      <c r="Z2044">
        <v>-2.4148069999999999E-4</v>
      </c>
      <c r="AA2044">
        <v>0.99992499999999995</v>
      </c>
      <c r="AB2044">
        <v>38</v>
      </c>
      <c r="AC2044">
        <v>-0.50470000000001303</v>
      </c>
      <c r="AD2044">
        <v>-7.5120000000000006E-2</v>
      </c>
      <c r="AE2044">
        <v>-1.2200000000007E-2</v>
      </c>
      <c r="AF2044">
        <v>-9.8799447040641992E-3</v>
      </c>
      <c r="AG2044">
        <v>-7.5120000000000006E-2</v>
      </c>
      <c r="AH2044">
        <v>0.49381306341625703</v>
      </c>
      <c r="AI2044">
        <v>98.647949339841503</v>
      </c>
      <c r="AJ2044">
        <v>91.146190046205305</v>
      </c>
      <c r="AK2044">
        <v>0.49959180268285402</v>
      </c>
      <c r="AL2044">
        <v>69.252654423063504</v>
      </c>
      <c r="AM2044">
        <v>94.195994141058705</v>
      </c>
      <c r="AN2044">
        <v>0.99999995969286004</v>
      </c>
    </row>
    <row r="2045" spans="1:40" x14ac:dyDescent="0.25">
      <c r="A2045" t="str">
        <f>"20190304164855889"</f>
        <v>20190304164855889</v>
      </c>
      <c r="B2045" t="str">
        <f>"1551689335878381"</f>
        <v>1551689335878381</v>
      </c>
      <c r="C2045" t="s">
        <v>40</v>
      </c>
      <c r="D2045">
        <v>4.1161399999999997</v>
      </c>
      <c r="E2045">
        <v>0.51643969999999995</v>
      </c>
      <c r="F2045" t="s">
        <v>41</v>
      </c>
      <c r="G2045">
        <v>-239.9436</v>
      </c>
      <c r="H2045">
        <v>1.038171</v>
      </c>
      <c r="I2045">
        <v>285.20690000000002</v>
      </c>
      <c r="J2045">
        <v>-239.44919999999999</v>
      </c>
      <c r="K2045">
        <v>1.1113869999999999</v>
      </c>
      <c r="L2045">
        <v>285.21839999999997</v>
      </c>
      <c r="M2045">
        <v>-0.99995639999999997</v>
      </c>
      <c r="N2045">
        <v>-7.3704840000000001E-3</v>
      </c>
      <c r="O2045">
        <v>-5.7588500000000003E-3</v>
      </c>
      <c r="P2045">
        <v>-0.93508290000000005</v>
      </c>
      <c r="Q2045">
        <v>0.34714099999999998</v>
      </c>
      <c r="R2045">
        <v>-7.1509669999999997E-2</v>
      </c>
      <c r="S2045">
        <v>-3.3105159999999998</v>
      </c>
      <c r="T2045">
        <v>-0.28494550000000002</v>
      </c>
      <c r="U2045">
        <v>-5.5816650000000002E-2</v>
      </c>
      <c r="V2045">
        <v>-6.7539050000000003E-2</v>
      </c>
      <c r="W2045">
        <v>0.35375899999999999</v>
      </c>
      <c r="X2045">
        <v>0.93289500000000003</v>
      </c>
      <c r="Y2045">
        <v>-1.107289E-2</v>
      </c>
      <c r="Z2045" s="1">
        <v>-6.4165419999999995E-5</v>
      </c>
      <c r="AA2045">
        <v>0.99993869999999896</v>
      </c>
      <c r="AB2045">
        <v>39</v>
      </c>
      <c r="AC2045">
        <v>-0.494400000000013</v>
      </c>
      <c r="AD2045">
        <v>-7.32160000000001E-2</v>
      </c>
      <c r="AE2045">
        <v>-1.14999999999554E-2</v>
      </c>
      <c r="AF2045">
        <v>-8.4669696662378197E-3</v>
      </c>
      <c r="AG2045">
        <v>-7.32160000000001E-2</v>
      </c>
      <c r="AH2045">
        <v>0.483852481356151</v>
      </c>
      <c r="AI2045">
        <v>98.603355467322004</v>
      </c>
      <c r="AJ2045">
        <v>91.002520680049699</v>
      </c>
      <c r="AK2045">
        <v>0.48943385247225502</v>
      </c>
      <c r="AL2045">
        <v>69.282594855582801</v>
      </c>
      <c r="AM2045">
        <v>94.140833490558293</v>
      </c>
      <c r="AN2045">
        <v>1.00000001719045</v>
      </c>
    </row>
    <row r="2046" spans="1:40" x14ac:dyDescent="0.25">
      <c r="A2046" t="str">
        <f>"20190304164855911"</f>
        <v>20190304164855911</v>
      </c>
      <c r="B2046" t="str">
        <f>"1551689335908638"</f>
        <v>1551689335908638</v>
      </c>
      <c r="C2046" t="s">
        <v>40</v>
      </c>
      <c r="D2046">
        <v>4.0905570000000004</v>
      </c>
      <c r="E2046">
        <v>0.51332460000000002</v>
      </c>
      <c r="F2046" t="s">
        <v>46</v>
      </c>
      <c r="G2046">
        <v>-252.7782</v>
      </c>
      <c r="H2046" s="1">
        <v>-5.8374209999999998E-8</v>
      </c>
      <c r="I2046">
        <v>284.41000000000003</v>
      </c>
      <c r="J2046">
        <v>-239.83969999999999</v>
      </c>
      <c r="K2046">
        <v>1.111424</v>
      </c>
      <c r="L2046">
        <v>285.21480000000003</v>
      </c>
      <c r="M2046">
        <v>-0.99994459999999996</v>
      </c>
      <c r="N2046">
        <v>-7.3978849999999999E-3</v>
      </c>
      <c r="O2046">
        <v>-7.5062660000000002E-3</v>
      </c>
      <c r="P2046">
        <v>-0.93501259999999997</v>
      </c>
      <c r="Q2046">
        <v>0.34696359999999998</v>
      </c>
      <c r="R2046">
        <v>-7.3266510000000007E-2</v>
      </c>
      <c r="S2046">
        <v>-3.2949980000000001</v>
      </c>
      <c r="T2046">
        <v>-0.27474179999999998</v>
      </c>
      <c r="U2046">
        <v>-0.1998596</v>
      </c>
      <c r="V2046">
        <v>-6.7691950000000001E-2</v>
      </c>
      <c r="W2046">
        <v>0.3536011</v>
      </c>
      <c r="X2046">
        <v>0.93294379999999999</v>
      </c>
      <c r="Y2046">
        <v>-5.2872219999999998E-2</v>
      </c>
      <c r="Z2046">
        <v>-1.8257830000000001E-3</v>
      </c>
      <c r="AA2046">
        <v>0.99859960000000003</v>
      </c>
      <c r="AB2046">
        <v>39</v>
      </c>
      <c r="AC2046">
        <v>-12.938499999999999</v>
      </c>
      <c r="AD2046">
        <v>-1.1114240583742101</v>
      </c>
      <c r="AE2046">
        <v>-0.80479999999999996</v>
      </c>
      <c r="AF2046">
        <v>-0.70249122346100101</v>
      </c>
      <c r="AG2046">
        <v>-1.1114240583742101</v>
      </c>
      <c r="AH2046">
        <v>12.849725259210899</v>
      </c>
      <c r="AI2046">
        <v>94.936103204705105</v>
      </c>
      <c r="AJ2046">
        <v>93.129230697912107</v>
      </c>
      <c r="AK2046">
        <v>12.916818361879001</v>
      </c>
      <c r="AL2046">
        <v>69.292267411289302</v>
      </c>
      <c r="AM2046">
        <v>94.149958776546796</v>
      </c>
      <c r="AN2046">
        <v>1.0000000359872201</v>
      </c>
    </row>
    <row r="2047" spans="1:40" x14ac:dyDescent="0.25">
      <c r="A2047" t="str">
        <f>"20190304164855934"</f>
        <v>20190304164855934</v>
      </c>
      <c r="B2047" t="str">
        <f>"1551689335928157"</f>
        <v>1551689335928157</v>
      </c>
      <c r="C2047" t="s">
        <v>40</v>
      </c>
      <c r="D2047">
        <v>4.1178910000000002</v>
      </c>
      <c r="E2047">
        <v>0.51277550000000005</v>
      </c>
      <c r="F2047" t="s">
        <v>46</v>
      </c>
      <c r="G2047">
        <v>-253.39840000000001</v>
      </c>
      <c r="H2047" s="1">
        <v>2.7165999999999999E-7</v>
      </c>
      <c r="I2047">
        <v>284.27519999999998</v>
      </c>
      <c r="J2047">
        <v>-240.22130000000001</v>
      </c>
      <c r="K2047">
        <v>1.111448</v>
      </c>
      <c r="L2047">
        <v>285.2106</v>
      </c>
      <c r="M2047">
        <v>-0.99992999999999999</v>
      </c>
      <c r="N2047">
        <v>-7.4234699999999997E-3</v>
      </c>
      <c r="O2047">
        <v>-9.2150730000000007E-3</v>
      </c>
      <c r="P2047">
        <v>-0.93486420000000003</v>
      </c>
      <c r="Q2047">
        <v>0.34706399999999998</v>
      </c>
      <c r="R2047">
        <v>-7.4670200000000006E-2</v>
      </c>
      <c r="S2047">
        <v>-3.2907709999999999</v>
      </c>
      <c r="T2047">
        <v>-0.2697483</v>
      </c>
      <c r="U2047">
        <v>-0.22805790000000001</v>
      </c>
      <c r="V2047">
        <v>-6.7523609999999998E-2</v>
      </c>
      <c r="W2047">
        <v>0.35372189999999998</v>
      </c>
      <c r="X2047">
        <v>0.93291009999999996</v>
      </c>
      <c r="Y2047">
        <v>-5.9748049999999997E-2</v>
      </c>
      <c r="Z2047">
        <v>-1.979326E-3</v>
      </c>
      <c r="AA2047">
        <v>0.99821150000000003</v>
      </c>
      <c r="AB2047">
        <v>39</v>
      </c>
      <c r="AC2047">
        <v>-13.1770999999999</v>
      </c>
      <c r="AD2047">
        <v>-1.1114477283399999</v>
      </c>
      <c r="AE2047">
        <v>-0.935400000000015</v>
      </c>
      <c r="AF2047">
        <v>-0.80820791175963602</v>
      </c>
      <c r="AG2047">
        <v>-1.1114477283399999</v>
      </c>
      <c r="AH2047">
        <v>13.0924823246265</v>
      </c>
      <c r="AI2047">
        <v>94.843147343406898</v>
      </c>
      <c r="AJ2047">
        <v>93.532425331090494</v>
      </c>
      <c r="AK2047">
        <v>13.1644069179785</v>
      </c>
      <c r="AL2047">
        <v>69.284865742534393</v>
      </c>
      <c r="AM2047">
        <v>94.139823377634897</v>
      </c>
      <c r="AN2047">
        <v>0.99999993756452399</v>
      </c>
    </row>
    <row r="2048" spans="1:40" x14ac:dyDescent="0.25">
      <c r="A2048" t="str">
        <f>"20190304164855956"</f>
        <v>20190304164855956</v>
      </c>
      <c r="B2048" t="str">
        <f>"1551689335948653"</f>
        <v>1551689335948653</v>
      </c>
      <c r="C2048" t="s">
        <v>40</v>
      </c>
      <c r="D2048">
        <v>4.1154699999999904</v>
      </c>
      <c r="E2048">
        <v>0.51281509999999997</v>
      </c>
      <c r="F2048" t="s">
        <v>46</v>
      </c>
      <c r="G2048">
        <v>-253.8717</v>
      </c>
      <c r="H2048" s="1">
        <v>5.2354819999999998E-7</v>
      </c>
      <c r="I2048">
        <v>284.22809999999998</v>
      </c>
      <c r="J2048">
        <v>-240.61920000000001</v>
      </c>
      <c r="K2048">
        <v>1.111475</v>
      </c>
      <c r="L2048">
        <v>285.2056</v>
      </c>
      <c r="M2048">
        <v>-0.99991180000000002</v>
      </c>
      <c r="N2048">
        <v>-7.4488000000000002E-3</v>
      </c>
      <c r="O2048">
        <v>-1.0990420000000001E-2</v>
      </c>
      <c r="P2048">
        <v>-0.9349132</v>
      </c>
      <c r="Q2048">
        <v>0.34685290000000002</v>
      </c>
      <c r="R2048">
        <v>-7.5038030000000006E-2</v>
      </c>
      <c r="S2048">
        <v>-3.2895509999999999</v>
      </c>
      <c r="T2048">
        <v>-0.267843</v>
      </c>
      <c r="U2048">
        <v>-0.23678589999999999</v>
      </c>
      <c r="V2048">
        <v>-6.6247760000000003E-2</v>
      </c>
      <c r="W2048">
        <v>0.3535373</v>
      </c>
      <c r="X2048">
        <v>0.9330716</v>
      </c>
      <c r="Y2048">
        <v>-6.0640619999999999E-2</v>
      </c>
      <c r="Z2048">
        <v>-1.8775650000000001E-3</v>
      </c>
      <c r="AA2048">
        <v>0.99815790000000004</v>
      </c>
      <c r="AB2048">
        <v>39</v>
      </c>
      <c r="AC2048">
        <v>-13.2524999999999</v>
      </c>
      <c r="AD2048">
        <v>-1.1114744764518001</v>
      </c>
      <c r="AE2048">
        <v>-0.97750000000002002</v>
      </c>
      <c r="AF2048">
        <v>-0.82600765643806295</v>
      </c>
      <c r="AG2048">
        <v>-1.1114744764518001</v>
      </c>
      <c r="AH2048">
        <v>13.170304133353699</v>
      </c>
      <c r="AI2048">
        <v>94.8144869038655</v>
      </c>
      <c r="AJ2048">
        <v>93.588743679281194</v>
      </c>
      <c r="AK2048">
        <v>13.242906596564501</v>
      </c>
      <c r="AL2048">
        <v>69.296174507732204</v>
      </c>
      <c r="AM2048">
        <v>94.061165578468305</v>
      </c>
      <c r="AN2048">
        <v>0.99999999946143303</v>
      </c>
    </row>
    <row r="2049" spans="1:40" x14ac:dyDescent="0.25">
      <c r="A2049" t="str">
        <f>"20190304164855970"</f>
        <v>20190304164855970</v>
      </c>
      <c r="B2049" t="str">
        <f>"1551689335958413"</f>
        <v>1551689335958413</v>
      </c>
      <c r="C2049" t="s">
        <v>40</v>
      </c>
      <c r="D2049">
        <v>4.1070080000000004</v>
      </c>
      <c r="E2049">
        <v>0.51291309999999901</v>
      </c>
      <c r="F2049" t="s">
        <v>46</v>
      </c>
      <c r="G2049">
        <v>-254.35050000000001</v>
      </c>
      <c r="H2049" s="1">
        <v>7.7833009999999995E-7</v>
      </c>
      <c r="I2049">
        <v>284.20339999999999</v>
      </c>
      <c r="J2049">
        <v>-240.85319999999999</v>
      </c>
      <c r="K2049">
        <v>1.111478</v>
      </c>
      <c r="L2049">
        <v>285.2022</v>
      </c>
      <c r="M2049">
        <v>-0.99990000000000001</v>
      </c>
      <c r="N2049">
        <v>-7.46290199999999E-3</v>
      </c>
      <c r="O2049">
        <v>-1.202255E-2</v>
      </c>
      <c r="P2049">
        <v>-0.93487379999999998</v>
      </c>
      <c r="Q2049">
        <v>0.34691230000000001</v>
      </c>
      <c r="R2049">
        <v>-7.5255299999999997E-2</v>
      </c>
      <c r="S2049">
        <v>-3.2883450000000001</v>
      </c>
      <c r="T2049">
        <v>-0.26617279999999999</v>
      </c>
      <c r="U2049">
        <v>-0.23999019999999999</v>
      </c>
      <c r="V2049">
        <v>-6.5504069999999998E-2</v>
      </c>
      <c r="W2049">
        <v>0.35361219999999999</v>
      </c>
      <c r="X2049">
        <v>0.93309569999999997</v>
      </c>
      <c r="Y2049">
        <v>-6.0608990000000001E-2</v>
      </c>
      <c r="Z2049">
        <v>-1.791923E-3</v>
      </c>
      <c r="AA2049">
        <v>0.99816000000000005</v>
      </c>
      <c r="AB2049">
        <v>39</v>
      </c>
      <c r="AC2049">
        <v>-13.497299999999999</v>
      </c>
      <c r="AD2049">
        <v>-1.1114772216699</v>
      </c>
      <c r="AE2049">
        <v>-0.99880000000001701</v>
      </c>
      <c r="AF2049">
        <v>-0.83084787499231105</v>
      </c>
      <c r="AG2049">
        <v>-1.1114772216699</v>
      </c>
      <c r="AH2049">
        <v>13.4178392337639</v>
      </c>
      <c r="AI2049">
        <v>94.726318512306094</v>
      </c>
      <c r="AJ2049">
        <v>93.543295891019</v>
      </c>
      <c r="AK2049">
        <v>13.4894069368821</v>
      </c>
      <c r="AL2049">
        <v>69.291586251880901</v>
      </c>
      <c r="AM2049">
        <v>94.015622002312497</v>
      </c>
      <c r="AN2049">
        <v>0.99999997826694698</v>
      </c>
    </row>
    <row r="2050" spans="1:40" x14ac:dyDescent="0.25">
      <c r="A2050" t="str">
        <f>"20190304164855988"</f>
        <v>20190304164855988</v>
      </c>
      <c r="B2050" t="str">
        <f>"1551689335977937"</f>
        <v>1551689335977937</v>
      </c>
      <c r="C2050" t="s">
        <v>40</v>
      </c>
      <c r="D2050">
        <v>4.1196060000000001</v>
      </c>
      <c r="E2050">
        <v>0.5129068</v>
      </c>
      <c r="F2050" t="s">
        <v>46</v>
      </c>
      <c r="G2050">
        <v>-254.6163</v>
      </c>
      <c r="H2050" s="1">
        <v>9.1976289999999996E-7</v>
      </c>
      <c r="I2050">
        <v>284.1909</v>
      </c>
      <c r="J2050">
        <v>-241.18559999999999</v>
      </c>
      <c r="K2050">
        <v>1.11147</v>
      </c>
      <c r="L2050">
        <v>285.19709999999998</v>
      </c>
      <c r="M2050">
        <v>-0.99988129999999997</v>
      </c>
      <c r="N2050">
        <v>-7.4823290000000002E-3</v>
      </c>
      <c r="O2050">
        <v>-1.3475600000000001E-2</v>
      </c>
      <c r="P2050">
        <v>-0.93508469999999999</v>
      </c>
      <c r="Q2050">
        <v>0.34634369999999998</v>
      </c>
      <c r="R2050">
        <v>-7.5249990000000003E-2</v>
      </c>
      <c r="S2050">
        <v>-3.288071</v>
      </c>
      <c r="T2050">
        <v>-0.26553690000000002</v>
      </c>
      <c r="U2050">
        <v>-0.24160770000000001</v>
      </c>
      <c r="V2050">
        <v>-6.4135659999999997E-2</v>
      </c>
      <c r="W2050">
        <v>0.35306929999999997</v>
      </c>
      <c r="X2050">
        <v>0.93339629999999996</v>
      </c>
      <c r="Y2050">
        <v>-5.966084E-2</v>
      </c>
      <c r="Z2050">
        <v>-1.6414839999999999E-3</v>
      </c>
      <c r="AA2050">
        <v>0.99821729999999997</v>
      </c>
      <c r="AB2050">
        <v>39</v>
      </c>
      <c r="AC2050">
        <v>-13.4307</v>
      </c>
      <c r="AD2050">
        <v>-1.1114690802370999</v>
      </c>
      <c r="AE2050">
        <v>-1.00619999999997</v>
      </c>
      <c r="AF2050">
        <v>-0.81953555259461197</v>
      </c>
      <c r="AG2050">
        <v>-1.1114690802370999</v>
      </c>
      <c r="AH2050">
        <v>13.3521079886715</v>
      </c>
      <c r="AI2050">
        <v>94.7496024421648</v>
      </c>
      <c r="AJ2050">
        <v>93.512336391302497</v>
      </c>
      <c r="AK2050">
        <v>13.423330055520299</v>
      </c>
      <c r="AL2050">
        <v>69.324837086556997</v>
      </c>
      <c r="AM2050">
        <v>93.930737421696307</v>
      </c>
      <c r="AN2050">
        <v>0.99999998316990701</v>
      </c>
    </row>
    <row r="2051" spans="1:40" x14ac:dyDescent="0.25">
      <c r="A2051" t="str">
        <f>"20190304164856012"</f>
        <v>20190304164856012</v>
      </c>
      <c r="B2051" t="str">
        <f>"1551689336008189"</f>
        <v>1551689336008189</v>
      </c>
      <c r="C2051" t="s">
        <v>40</v>
      </c>
      <c r="D2051">
        <v>4.1374250000000004</v>
      </c>
      <c r="E2051">
        <v>0.51315940000000004</v>
      </c>
      <c r="F2051" t="s">
        <v>46</v>
      </c>
      <c r="G2051">
        <v>-254.85120000000001</v>
      </c>
      <c r="H2051" s="1">
        <v>1.0447759999999999E-6</v>
      </c>
      <c r="I2051">
        <v>284.17959999999999</v>
      </c>
      <c r="J2051">
        <v>-241.57749999999999</v>
      </c>
      <c r="K2051">
        <v>1.1114459999999999</v>
      </c>
      <c r="L2051">
        <v>285.19049999999999</v>
      </c>
      <c r="M2051">
        <v>-0.9998572</v>
      </c>
      <c r="N2051">
        <v>-7.5038700000000002E-3</v>
      </c>
      <c r="O2051">
        <v>-1.5148740000000001E-2</v>
      </c>
      <c r="P2051">
        <v>-0.93502719999999995</v>
      </c>
      <c r="Q2051">
        <v>0.3465337</v>
      </c>
      <c r="R2051">
        <v>-7.5092110000000004E-2</v>
      </c>
      <c r="S2051">
        <v>-3.2876280000000002</v>
      </c>
      <c r="T2051">
        <v>-0.26739410000000002</v>
      </c>
      <c r="U2051">
        <v>-0.24478150000000001</v>
      </c>
      <c r="V2051">
        <v>-6.2401760000000001E-2</v>
      </c>
      <c r="W2051">
        <v>0.35328929999999997</v>
      </c>
      <c r="X2051">
        <v>0.9334306</v>
      </c>
      <c r="Y2051">
        <v>-5.8963340000000003E-2</v>
      </c>
      <c r="Z2051">
        <v>-1.4977320000000001E-3</v>
      </c>
      <c r="AA2051">
        <v>0.99825900000000001</v>
      </c>
      <c r="AB2051">
        <v>39</v>
      </c>
      <c r="AC2051">
        <v>-13.2737</v>
      </c>
      <c r="AD2051">
        <v>-1.111444955224</v>
      </c>
      <c r="AE2051">
        <v>-1.0108999999999899</v>
      </c>
      <c r="AF2051">
        <v>-0.80409338008249698</v>
      </c>
      <c r="AG2051">
        <v>-1.111444955224</v>
      </c>
      <c r="AH2051">
        <v>13.1955083147949</v>
      </c>
      <c r="AI2051">
        <v>94.805731553717493</v>
      </c>
      <c r="AJ2051">
        <v>93.487115251534206</v>
      </c>
      <c r="AK2051">
        <v>13.2666241274187</v>
      </c>
      <c r="AL2051">
        <v>69.311364034344294</v>
      </c>
      <c r="AM2051">
        <v>93.824650051530398</v>
      </c>
      <c r="AN2051">
        <v>0.99999999708097298</v>
      </c>
    </row>
    <row r="2052" spans="1:40" x14ac:dyDescent="0.25">
      <c r="A2052" t="str">
        <f>"20190304164856034"</f>
        <v>20190304164856034</v>
      </c>
      <c r="B2052" t="str">
        <f>"1551689336027709"</f>
        <v>1551689336027709</v>
      </c>
      <c r="C2052" t="s">
        <v>40</v>
      </c>
      <c r="D2052">
        <v>4.156917</v>
      </c>
      <c r="E2052">
        <v>0.51325169999999998</v>
      </c>
      <c r="F2052" t="s">
        <v>46</v>
      </c>
      <c r="G2052">
        <v>-255.31440000000001</v>
      </c>
      <c r="H2052" s="1">
        <v>1.291259E-6</v>
      </c>
      <c r="I2052">
        <v>284.17059999999998</v>
      </c>
      <c r="J2052">
        <v>-241.98179999999999</v>
      </c>
      <c r="K2052">
        <v>1.1114059999999999</v>
      </c>
      <c r="L2052">
        <v>285.18310000000002</v>
      </c>
      <c r="M2052">
        <v>-0.99983040000000001</v>
      </c>
      <c r="N2052">
        <v>-7.5247730000000002E-3</v>
      </c>
      <c r="O2052">
        <v>-1.680632E-2</v>
      </c>
      <c r="P2052">
        <v>-0.93477239999999995</v>
      </c>
      <c r="Q2052">
        <v>0.34725519999999999</v>
      </c>
      <c r="R2052">
        <v>-7.4929300000000004E-2</v>
      </c>
      <c r="S2052">
        <v>-3.2874150000000002</v>
      </c>
      <c r="T2052">
        <v>-0.26598240000000001</v>
      </c>
      <c r="U2052">
        <v>-0.24407960000000001</v>
      </c>
      <c r="V2052">
        <v>-6.0665139999999999E-2</v>
      </c>
      <c r="W2052">
        <v>0.35404170000000001</v>
      </c>
      <c r="X2052">
        <v>0.93325999999999998</v>
      </c>
      <c r="Y2052">
        <v>-5.7113709999999998E-2</v>
      </c>
      <c r="Z2052">
        <v>-1.2898300000000001E-3</v>
      </c>
      <c r="AA2052">
        <v>0.9983668</v>
      </c>
      <c r="AB2052">
        <v>39</v>
      </c>
      <c r="AC2052">
        <v>-13.332599999999999</v>
      </c>
      <c r="AD2052">
        <v>-1.1114047087409999</v>
      </c>
      <c r="AE2052">
        <v>-1.0125000000000399</v>
      </c>
      <c r="AF2052">
        <v>-0.78286981929114896</v>
      </c>
      <c r="AG2052">
        <v>-1.1114047087409999</v>
      </c>
      <c r="AH2052">
        <v>13.2561465634102</v>
      </c>
      <c r="AI2052">
        <v>94.7842133991428</v>
      </c>
      <c r="AJ2052">
        <v>93.379798002501104</v>
      </c>
      <c r="AK2052">
        <v>13.325671738834799</v>
      </c>
      <c r="AL2052">
        <v>69.265276311577196</v>
      </c>
      <c r="AM2052">
        <v>93.719192050073303</v>
      </c>
      <c r="AN2052">
        <v>1.00000000607505</v>
      </c>
    </row>
    <row r="2053" spans="1:40" x14ac:dyDescent="0.25">
      <c r="A2053" t="str">
        <f>"20190304164856057"</f>
        <v>20190304164856057</v>
      </c>
      <c r="B2053" t="str">
        <f>"1551689336048206"</f>
        <v>1551689336048206</v>
      </c>
      <c r="C2053" t="s">
        <v>40</v>
      </c>
      <c r="D2053">
        <v>4.1691960000000003</v>
      </c>
      <c r="E2053">
        <v>0.51339179999999995</v>
      </c>
      <c r="F2053" t="s">
        <v>46</v>
      </c>
      <c r="G2053">
        <v>-255.8468</v>
      </c>
      <c r="H2053" s="1">
        <v>1.5746149999999999E-6</v>
      </c>
      <c r="I2053">
        <v>284.1508</v>
      </c>
      <c r="J2053">
        <v>-242.3871</v>
      </c>
      <c r="K2053">
        <v>1.111353</v>
      </c>
      <c r="L2053">
        <v>285.17500000000001</v>
      </c>
      <c r="M2053">
        <v>-0.99980290000000005</v>
      </c>
      <c r="N2053">
        <v>-7.54420099999999E-3</v>
      </c>
      <c r="O2053">
        <v>-1.8367970000000001E-2</v>
      </c>
      <c r="P2053">
        <v>-0.93470419999999999</v>
      </c>
      <c r="Q2053">
        <v>0.34756809999999899</v>
      </c>
      <c r="R2053">
        <v>-7.4330950000000007E-2</v>
      </c>
      <c r="S2053">
        <v>-3.2876129999999999</v>
      </c>
      <c r="T2053">
        <v>-0.26352979999999998</v>
      </c>
      <c r="U2053">
        <v>-0.24478150000000001</v>
      </c>
      <c r="V2053">
        <v>-5.8558970000000002E-2</v>
      </c>
      <c r="W2053">
        <v>0.3543887</v>
      </c>
      <c r="X2053">
        <v>0.93326279999999995</v>
      </c>
      <c r="Y2053">
        <v>-5.577319E-2</v>
      </c>
      <c r="Z2053">
        <v>-1.1102950000000001E-3</v>
      </c>
      <c r="AA2053">
        <v>0.99844279999999996</v>
      </c>
      <c r="AB2053">
        <v>39</v>
      </c>
      <c r="AC2053">
        <v>-13.4596999999999</v>
      </c>
      <c r="AD2053">
        <v>-1.1113514253849901</v>
      </c>
      <c r="AE2053">
        <v>-1.0242</v>
      </c>
      <c r="AF2053">
        <v>-0.77156288635744097</v>
      </c>
      <c r="AG2053">
        <v>-1.1113514253849901</v>
      </c>
      <c r="AH2053">
        <v>13.385510347903001</v>
      </c>
      <c r="AI2053">
        <v>94.738350178106998</v>
      </c>
      <c r="AJ2053">
        <v>93.298972753527494</v>
      </c>
      <c r="AK2053">
        <v>13.4537094718196</v>
      </c>
      <c r="AL2053">
        <v>69.244015664779496</v>
      </c>
      <c r="AM2053">
        <v>93.590402351824096</v>
      </c>
      <c r="AN2053">
        <v>0.99999997875949498</v>
      </c>
    </row>
    <row r="2054" spans="1:40" x14ac:dyDescent="0.25">
      <c r="A2054" t="str">
        <f>"20190304164856079"</f>
        <v>20190304164856079</v>
      </c>
      <c r="B2054" t="str">
        <f>"1551689336067725"</f>
        <v>1551689336067725</v>
      </c>
      <c r="C2054" t="s">
        <v>40</v>
      </c>
      <c r="D2054">
        <v>4.1911370000000003</v>
      </c>
      <c r="E2054">
        <v>0.51349899999999904</v>
      </c>
      <c r="F2054" t="s">
        <v>46</v>
      </c>
      <c r="G2054">
        <v>-256.32279999999997</v>
      </c>
      <c r="H2054" s="1">
        <v>1.827889E-6</v>
      </c>
      <c r="I2054">
        <v>284.1429</v>
      </c>
      <c r="J2054">
        <v>-242.76849999999999</v>
      </c>
      <c r="K2054">
        <v>1.1112869999999999</v>
      </c>
      <c r="L2054">
        <v>285.1669</v>
      </c>
      <c r="M2054">
        <v>-0.99977669999999996</v>
      </c>
      <c r="N2054">
        <v>-7.5580889999999996E-3</v>
      </c>
      <c r="O2054">
        <v>-1.9738579999999999E-2</v>
      </c>
      <c r="P2054">
        <v>-0.93513389999999996</v>
      </c>
      <c r="Q2054">
        <v>0.3463562</v>
      </c>
      <c r="R2054">
        <v>-7.4580709999999995E-2</v>
      </c>
      <c r="S2054">
        <v>-3.2877200000000002</v>
      </c>
      <c r="T2054">
        <v>-0.26219130000000002</v>
      </c>
      <c r="U2054">
        <v>-0.24349979999999999</v>
      </c>
      <c r="V2054">
        <v>-5.745335E-2</v>
      </c>
      <c r="W2054">
        <v>0.35320770000000001</v>
      </c>
      <c r="X2054">
        <v>0.93377909999999997</v>
      </c>
      <c r="Y2054">
        <v>-5.4025730000000001E-2</v>
      </c>
      <c r="Z2054">
        <v>-9.323752E-4</v>
      </c>
      <c r="AA2054">
        <v>0.99853910000000001</v>
      </c>
      <c r="AB2054">
        <v>39</v>
      </c>
      <c r="AC2054">
        <v>-13.5542999999999</v>
      </c>
      <c r="AD2054">
        <v>-1.111285172111</v>
      </c>
      <c r="AE2054">
        <v>-1.024</v>
      </c>
      <c r="AF2054">
        <v>-0.75122915086530395</v>
      </c>
      <c r="AG2054">
        <v>-1.111285172111</v>
      </c>
      <c r="AH2054">
        <v>13.4817622588651</v>
      </c>
      <c r="AI2054">
        <v>94.704902319699698</v>
      </c>
      <c r="AJ2054">
        <v>93.189330450054499</v>
      </c>
      <c r="AK2054">
        <v>13.5483288111642</v>
      </c>
      <c r="AL2054">
        <v>69.3163613488545</v>
      </c>
      <c r="AM2054">
        <v>93.520843370686904</v>
      </c>
      <c r="AN2054">
        <v>0.99999998718116101</v>
      </c>
    </row>
    <row r="2055" spans="1:40" x14ac:dyDescent="0.25">
      <c r="A2055" t="str">
        <f>"20190304164856100"</f>
        <v>20190304164856100</v>
      </c>
      <c r="B2055" t="str">
        <f>"1551689336097981"</f>
        <v>1551689336097981</v>
      </c>
      <c r="C2055" t="s">
        <v>40</v>
      </c>
      <c r="D2055">
        <v>4.2339469999999997</v>
      </c>
      <c r="E2055">
        <v>0.51349730000000005</v>
      </c>
      <c r="F2055" t="s">
        <v>46</v>
      </c>
      <c r="G2055">
        <v>-256.46429999999998</v>
      </c>
      <c r="H2055" s="1">
        <v>1.9032010000000001E-6</v>
      </c>
      <c r="I2055">
        <v>284.15249999999997</v>
      </c>
      <c r="J2055">
        <v>-243.14830000000001</v>
      </c>
      <c r="K2055">
        <v>1.1112169999999999</v>
      </c>
      <c r="L2055">
        <v>285.15839999999997</v>
      </c>
      <c r="M2055">
        <v>-0.99975049999999999</v>
      </c>
      <c r="N2055">
        <v>-7.568516E-3</v>
      </c>
      <c r="O2055">
        <v>-2.1015679999999998E-2</v>
      </c>
      <c r="P2055">
        <v>-0.93546689999999999</v>
      </c>
      <c r="Q2055">
        <v>0.34527099999999999</v>
      </c>
      <c r="R2055">
        <v>-7.5430049999999998E-2</v>
      </c>
      <c r="S2055">
        <v>-3.2874599999999998</v>
      </c>
      <c r="T2055">
        <v>-0.26674560000000003</v>
      </c>
      <c r="U2055">
        <v>-0.24349979999999999</v>
      </c>
      <c r="V2055">
        <v>-5.703424E-2</v>
      </c>
      <c r="W2055">
        <v>0.35214659999999998</v>
      </c>
      <c r="X2055">
        <v>0.93420550000000002</v>
      </c>
      <c r="Y2055">
        <v>-5.275958E-2</v>
      </c>
      <c r="Z2055">
        <v>-7.9329839999999895E-4</v>
      </c>
      <c r="AA2055">
        <v>0.99860689999999996</v>
      </c>
      <c r="AB2055">
        <v>39</v>
      </c>
      <c r="AC2055">
        <v>-13.315999999999899</v>
      </c>
      <c r="AD2055">
        <v>-1.111215096799</v>
      </c>
      <c r="AE2055">
        <v>-1.00589999999999</v>
      </c>
      <c r="AF2055">
        <v>-0.72083373315454402</v>
      </c>
      <c r="AG2055">
        <v>-1.111215096799</v>
      </c>
      <c r="AH2055">
        <v>13.242503812493901</v>
      </c>
      <c r="AI2055">
        <v>94.789552689361798</v>
      </c>
      <c r="AJ2055">
        <v>93.115725877129407</v>
      </c>
      <c r="AK2055">
        <v>13.308580220524</v>
      </c>
      <c r="AL2055">
        <v>69.381333432304203</v>
      </c>
      <c r="AM2055">
        <v>93.493632095581503</v>
      </c>
      <c r="AN2055">
        <v>1.0000000243270899</v>
      </c>
    </row>
    <row r="2056" spans="1:40" x14ac:dyDescent="0.25">
      <c r="A2056" t="str">
        <f>"20190304164856113"</f>
        <v>20190304164856113</v>
      </c>
      <c r="B2056" t="str">
        <f>"1551689336097981"</f>
        <v>1551689336097981</v>
      </c>
      <c r="C2056" t="s">
        <v>40</v>
      </c>
      <c r="D2056">
        <v>4.2339469999999997</v>
      </c>
      <c r="E2056">
        <v>0.51349730000000005</v>
      </c>
      <c r="F2056" t="s">
        <v>46</v>
      </c>
      <c r="G2056">
        <v>-256.65629999999999</v>
      </c>
      <c r="H2056" s="1">
        <v>2.005328E-6</v>
      </c>
      <c r="I2056">
        <v>284.15010000000001</v>
      </c>
      <c r="J2056">
        <v>-243.38040000000001</v>
      </c>
      <c r="K2056">
        <v>1.111173</v>
      </c>
      <c r="L2056">
        <v>285.15300000000002</v>
      </c>
      <c r="M2056">
        <v>-0.99973480000000003</v>
      </c>
      <c r="N2056">
        <v>-7.5741380000000002E-3</v>
      </c>
      <c r="O2056">
        <v>-2.1756810000000001E-2</v>
      </c>
      <c r="P2056">
        <v>-0.93532599999999999</v>
      </c>
      <c r="Q2056">
        <v>0.34546510000000002</v>
      </c>
      <c r="R2056">
        <v>-7.6286010000000001E-2</v>
      </c>
      <c r="S2056">
        <v>-3.286972</v>
      </c>
      <c r="T2056">
        <v>-0.27039869999999999</v>
      </c>
      <c r="U2056">
        <v>-0.2453613</v>
      </c>
      <c r="V2056">
        <v>-5.7160950000000002E-2</v>
      </c>
      <c r="W2056">
        <v>0.35235100000000003</v>
      </c>
      <c r="X2056">
        <v>0.93412070000000003</v>
      </c>
      <c r="Y2056">
        <v>-5.259204E-2</v>
      </c>
      <c r="Z2056">
        <v>-7.369039E-4</v>
      </c>
      <c r="AA2056">
        <v>0.99861580000000005</v>
      </c>
      <c r="AB2056">
        <v>39</v>
      </c>
      <c r="AC2056">
        <v>-13.275899999999901</v>
      </c>
      <c r="AD2056">
        <v>-1.1111709946720001</v>
      </c>
      <c r="AE2056">
        <v>-1.0029000000000099</v>
      </c>
      <c r="AF2056">
        <v>-0.70887534349828796</v>
      </c>
      <c r="AG2056">
        <v>-1.1111709946720001</v>
      </c>
      <c r="AH2056">
        <v>13.202612884554</v>
      </c>
      <c r="AI2056">
        <v>94.803957712338502</v>
      </c>
      <c r="AJ2056">
        <v>93.073376745060102</v>
      </c>
      <c r="AK2056">
        <v>13.2682399816785</v>
      </c>
      <c r="AL2056">
        <v>69.368820530819605</v>
      </c>
      <c r="AM2056">
        <v>93.501691493801303</v>
      </c>
      <c r="AN2056">
        <v>1.0000000417871899</v>
      </c>
    </row>
    <row r="2057" spans="1:40" x14ac:dyDescent="0.25">
      <c r="A2057" t="str">
        <f>"20190304164856135"</f>
        <v>20190304164856135</v>
      </c>
      <c r="B2057" t="str">
        <f>"1551689336128238"</f>
        <v>1551689336128238</v>
      </c>
      <c r="C2057" t="s">
        <v>40</v>
      </c>
      <c r="D2057">
        <v>4.8207839999999997</v>
      </c>
      <c r="E2057">
        <v>0.53815170000000001</v>
      </c>
      <c r="F2057" t="s">
        <v>46</v>
      </c>
      <c r="G2057">
        <v>-256.92099999999999</v>
      </c>
      <c r="H2057" s="1">
        <v>2.146197E-6</v>
      </c>
      <c r="I2057">
        <v>284.1318</v>
      </c>
      <c r="J2057">
        <v>-243.75479999999999</v>
      </c>
      <c r="K2057">
        <v>1.1110930000000001</v>
      </c>
      <c r="L2057">
        <v>285.14400000000001</v>
      </c>
      <c r="M2057">
        <v>-0.99971010000000005</v>
      </c>
      <c r="N2057">
        <v>-7.5828229999999998E-3</v>
      </c>
      <c r="O2057">
        <v>-2.2857760000000001E-2</v>
      </c>
      <c r="P2057">
        <v>-0.93469979999999997</v>
      </c>
      <c r="Q2057">
        <v>0.34690880000000002</v>
      </c>
      <c r="R2057">
        <v>-7.7402029999999997E-2</v>
      </c>
      <c r="S2057">
        <v>-3.2868499999999998</v>
      </c>
      <c r="T2057">
        <v>-0.26972750000000001</v>
      </c>
      <c r="U2057">
        <v>-0.24789430000000001</v>
      </c>
      <c r="V2057">
        <v>-5.7196789999999997E-2</v>
      </c>
      <c r="W2057">
        <v>0.3538094</v>
      </c>
      <c r="X2057">
        <v>0.93356700000000004</v>
      </c>
      <c r="Y2057">
        <v>-5.2265100000000002E-2</v>
      </c>
      <c r="Z2057">
        <v>-6.4010499999999997E-4</v>
      </c>
      <c r="AA2057">
        <v>0.99863299999999999</v>
      </c>
      <c r="AB2057">
        <v>39</v>
      </c>
      <c r="AC2057">
        <v>-13.1662</v>
      </c>
      <c r="AD2057">
        <v>-1.111090853803</v>
      </c>
      <c r="AE2057">
        <v>-1.0122</v>
      </c>
      <c r="AF2057">
        <v>-0.70597890518342699</v>
      </c>
      <c r="AG2057">
        <v>-1.111090853803</v>
      </c>
      <c r="AH2057">
        <v>13.093200310017</v>
      </c>
      <c r="AI2057">
        <v>94.843504963826902</v>
      </c>
      <c r="AJ2057">
        <v>93.086371481113702</v>
      </c>
      <c r="AK2057">
        <v>13.1592105940364</v>
      </c>
      <c r="AL2057">
        <v>69.279506106961506</v>
      </c>
      <c r="AM2057">
        <v>93.505954566714095</v>
      </c>
      <c r="AN2057">
        <v>0.99999995390183005</v>
      </c>
    </row>
    <row r="2058" spans="1:40" x14ac:dyDescent="0.25">
      <c r="A2058" t="str">
        <f>"20190304164856148"</f>
        <v>20190304164856148</v>
      </c>
      <c r="B2058" t="str">
        <f>"1551689336137997"</f>
        <v>1551689336137997</v>
      </c>
      <c r="C2058" t="s">
        <v>40</v>
      </c>
      <c r="D2058">
        <v>4.2196870000000004</v>
      </c>
      <c r="E2058">
        <v>0.53861029999999999</v>
      </c>
      <c r="F2058" t="s">
        <v>41</v>
      </c>
      <c r="G2058">
        <v>-244.49010000000001</v>
      </c>
      <c r="H2058">
        <v>1.0463480000000001</v>
      </c>
      <c r="I2058">
        <v>285.13130000000001</v>
      </c>
      <c r="J2058">
        <v>-243.99090000000001</v>
      </c>
      <c r="K2058">
        <v>1.1110329999999999</v>
      </c>
      <c r="L2058">
        <v>285.13819999999998</v>
      </c>
      <c r="M2058">
        <v>-0.99969580000000002</v>
      </c>
      <c r="N2058">
        <v>-7.586036E-3</v>
      </c>
      <c r="O2058">
        <v>-2.347258E-2</v>
      </c>
      <c r="P2058">
        <v>-0.93443259999999995</v>
      </c>
      <c r="Q2058">
        <v>0.34742650000000003</v>
      </c>
      <c r="R2058">
        <v>-7.8298580000000007E-2</v>
      </c>
      <c r="S2058">
        <v>-3.3130950000000001</v>
      </c>
      <c r="T2058">
        <v>-0.29189900000000002</v>
      </c>
      <c r="U2058">
        <v>-5.8197020000000002E-2</v>
      </c>
      <c r="V2058">
        <v>-5.7474320000000002E-2</v>
      </c>
      <c r="W2058">
        <v>0.35433550000000003</v>
      </c>
      <c r="X2058">
        <v>0.93335040000000002</v>
      </c>
      <c r="Y2058">
        <v>5.8110849999999997E-3</v>
      </c>
      <c r="Z2058">
        <v>2.1634459999999999E-3</v>
      </c>
      <c r="AA2058">
        <v>0.99998069999999895</v>
      </c>
      <c r="AB2058">
        <v>40</v>
      </c>
      <c r="AC2058">
        <v>-0.49920000000000098</v>
      </c>
      <c r="AD2058">
        <v>-6.4684999999999798E-2</v>
      </c>
      <c r="AE2058">
        <v>-6.89999999997326E-3</v>
      </c>
      <c r="AF2058">
        <v>4.7401754298787898E-3</v>
      </c>
      <c r="AG2058">
        <v>-6.4684999999999798E-2</v>
      </c>
      <c r="AH2058">
        <v>0.49098226212142698</v>
      </c>
      <c r="AI2058">
        <v>97.504926027528597</v>
      </c>
      <c r="AJ2058">
        <v>89.446856578239903</v>
      </c>
      <c r="AK2058">
        <v>0.49524761504320203</v>
      </c>
      <c r="AL2058">
        <v>69.247274844193399</v>
      </c>
      <c r="AM2058">
        <v>93.523738897862899</v>
      </c>
      <c r="AN2058">
        <v>0.99999995659993501</v>
      </c>
    </row>
    <row r="2059" spans="1:40" x14ac:dyDescent="0.25">
      <c r="A2059" t="str">
        <f>"20190304164856169"</f>
        <v>20190304164856169</v>
      </c>
      <c r="B2059" t="str">
        <f>"1551689336158493"</f>
        <v>1551689336158493</v>
      </c>
      <c r="C2059" t="s">
        <v>40</v>
      </c>
      <c r="D2059">
        <v>4.2260010000000001</v>
      </c>
      <c r="E2059">
        <v>0.53947929999999999</v>
      </c>
      <c r="F2059" t="s">
        <v>41</v>
      </c>
      <c r="G2059">
        <v>-244.8355</v>
      </c>
      <c r="H2059">
        <v>1.0364439999999999</v>
      </c>
      <c r="I2059">
        <v>285.12329999999997</v>
      </c>
      <c r="J2059">
        <v>-244.3502</v>
      </c>
      <c r="K2059">
        <v>1.1109260000000001</v>
      </c>
      <c r="L2059">
        <v>285.12909999999999</v>
      </c>
      <c r="M2059">
        <v>-0.99967530000000004</v>
      </c>
      <c r="N2059">
        <v>-7.5890649999999999E-3</v>
      </c>
      <c r="O2059">
        <v>-2.432579E-2</v>
      </c>
      <c r="P2059">
        <v>-0.93391409999999997</v>
      </c>
      <c r="Q2059">
        <v>0.34859649999999998</v>
      </c>
      <c r="R2059">
        <v>-7.9279150000000007E-2</v>
      </c>
      <c r="S2059">
        <v>-3.314438</v>
      </c>
      <c r="T2059">
        <v>-0.2926743</v>
      </c>
      <c r="U2059">
        <v>-5.825806E-2</v>
      </c>
      <c r="V2059">
        <v>-5.7586419999999999E-2</v>
      </c>
      <c r="W2059">
        <v>0.35551820000000001</v>
      </c>
      <c r="X2059">
        <v>0.93289370000000005</v>
      </c>
      <c r="Y2059">
        <v>6.6464719999999996E-3</v>
      </c>
      <c r="Z2059">
        <v>2.2772679999999998E-3</v>
      </c>
      <c r="AA2059">
        <v>0.99997530000000001</v>
      </c>
      <c r="AB2059">
        <v>40</v>
      </c>
      <c r="AC2059">
        <v>-0.48529999999999501</v>
      </c>
      <c r="AD2059">
        <v>-7.4481999999999896E-2</v>
      </c>
      <c r="AE2059">
        <v>-5.8000000000220098E-3</v>
      </c>
      <c r="AF2059">
        <v>5.8691346189844104E-3</v>
      </c>
      <c r="AG2059">
        <v>-7.4481999999999896E-2</v>
      </c>
      <c r="AH2059">
        <v>0.47413094453309301</v>
      </c>
      <c r="AI2059">
        <v>98.927052452068395</v>
      </c>
      <c r="AJ2059">
        <v>89.290787761646698</v>
      </c>
      <c r="AK2059">
        <v>0.47998142425412599</v>
      </c>
      <c r="AL2059">
        <v>69.174793458321901</v>
      </c>
      <c r="AM2059">
        <v>93.532318392825502</v>
      </c>
      <c r="AN2059">
        <v>1.00000002089967</v>
      </c>
    </row>
    <row r="2060" spans="1:40" x14ac:dyDescent="0.25">
      <c r="A2060" t="str">
        <f>"20190304164856189"</f>
        <v>20190304164856189</v>
      </c>
      <c r="B2060" t="str">
        <f>"1551689336178014"</f>
        <v>1551689336178014</v>
      </c>
      <c r="C2060" t="s">
        <v>40</v>
      </c>
      <c r="D2060">
        <v>4.2077619999999998</v>
      </c>
      <c r="E2060">
        <v>0.53974679999999997</v>
      </c>
      <c r="F2060" t="s">
        <v>41</v>
      </c>
      <c r="G2060">
        <v>-245.19220000000001</v>
      </c>
      <c r="H2060">
        <v>1.0385599999999999</v>
      </c>
      <c r="I2060">
        <v>285.11470000000003</v>
      </c>
      <c r="J2060">
        <v>-244.71870000000001</v>
      </c>
      <c r="K2060">
        <v>1.110811</v>
      </c>
      <c r="L2060">
        <v>285.11950000000002</v>
      </c>
      <c r="M2060">
        <v>-0.99965669999999995</v>
      </c>
      <c r="N2060">
        <v>-7.5904559999999998E-3</v>
      </c>
      <c r="O2060">
        <v>-2.5080760000000001E-2</v>
      </c>
      <c r="P2060">
        <v>-0.9335</v>
      </c>
      <c r="Q2060">
        <v>0.34957189999999999</v>
      </c>
      <c r="R2060">
        <v>-7.9858709999999999E-2</v>
      </c>
      <c r="S2060">
        <v>-3.3137819999999998</v>
      </c>
      <c r="T2060">
        <v>-0.2849933</v>
      </c>
      <c r="U2060">
        <v>-5.7434079999999998E-2</v>
      </c>
      <c r="V2060">
        <v>-5.7376870000000003E-2</v>
      </c>
      <c r="W2060">
        <v>0.35650799999999999</v>
      </c>
      <c r="X2060">
        <v>0.93252880000000005</v>
      </c>
      <c r="Y2060">
        <v>7.6462530000000004E-3</v>
      </c>
      <c r="Z2060">
        <v>2.3197640000000002E-3</v>
      </c>
      <c r="AA2060">
        <v>0.99996810000000003</v>
      </c>
      <c r="AB2060">
        <v>40</v>
      </c>
      <c r="AC2060">
        <v>-0.47350000000000098</v>
      </c>
      <c r="AD2060">
        <v>-7.2250999999999996E-2</v>
      </c>
      <c r="AE2060">
        <v>-4.7999999999888097E-3</v>
      </c>
      <c r="AF2060">
        <v>6.9165658376705999E-3</v>
      </c>
      <c r="AG2060">
        <v>-7.2250999999999996E-2</v>
      </c>
      <c r="AH2060">
        <v>0.46269929338633298</v>
      </c>
      <c r="AI2060">
        <v>98.874151487959097</v>
      </c>
      <c r="AJ2060">
        <v>89.143589532905395</v>
      </c>
      <c r="AK2060">
        <v>0.468357429730968</v>
      </c>
      <c r="AL2060">
        <v>69.114105687927704</v>
      </c>
      <c r="AM2060">
        <v>93.520870803386501</v>
      </c>
      <c r="AN2060">
        <v>1.00000001105221</v>
      </c>
    </row>
    <row r="2061" spans="1:40" x14ac:dyDescent="0.25">
      <c r="A2061" t="str">
        <f>"20190304164856212"</f>
        <v>20190304164856212</v>
      </c>
      <c r="B2061" t="str">
        <f>"1551689336208270"</f>
        <v>1551689336208270</v>
      </c>
      <c r="C2061" t="s">
        <v>40</v>
      </c>
      <c r="D2061">
        <v>4.1992409999999998</v>
      </c>
      <c r="E2061">
        <v>0.53984149999999997</v>
      </c>
      <c r="F2061" t="s">
        <v>41</v>
      </c>
      <c r="G2061">
        <v>-245.54920000000001</v>
      </c>
      <c r="H2061">
        <v>1.0397259999999999</v>
      </c>
      <c r="I2061">
        <v>285.10419999999999</v>
      </c>
      <c r="J2061">
        <v>-245.12090000000001</v>
      </c>
      <c r="K2061">
        <v>1.1106739999999999</v>
      </c>
      <c r="L2061">
        <v>285.10890000000001</v>
      </c>
      <c r="M2061">
        <v>-0.9996389</v>
      </c>
      <c r="N2061">
        <v>-7.5918690000000002E-3</v>
      </c>
      <c r="O2061">
        <v>-2.5779940000000001E-2</v>
      </c>
      <c r="P2061">
        <v>-0.93362780000000001</v>
      </c>
      <c r="Q2061">
        <v>0.34912280000000001</v>
      </c>
      <c r="R2061">
        <v>-8.0326620000000001E-2</v>
      </c>
      <c r="S2061">
        <v>-3.3147890000000002</v>
      </c>
      <c r="T2061">
        <v>-0.28380880000000003</v>
      </c>
      <c r="U2061">
        <v>-6.0913090000000003E-2</v>
      </c>
      <c r="V2061">
        <v>-5.7079150000000002E-2</v>
      </c>
      <c r="W2061">
        <v>0.35607889999999998</v>
      </c>
      <c r="X2061">
        <v>0.93271099999999996</v>
      </c>
      <c r="Y2061">
        <v>7.3020169999999896E-3</v>
      </c>
      <c r="Z2061">
        <v>2.3470909999999999E-3</v>
      </c>
      <c r="AA2061">
        <v>0.99997060000000004</v>
      </c>
      <c r="AB2061">
        <v>40</v>
      </c>
      <c r="AC2061">
        <v>-0.42830000000000701</v>
      </c>
      <c r="AD2061">
        <v>-7.0947999999999997E-2</v>
      </c>
      <c r="AE2061">
        <v>-4.7000000000139101E-3</v>
      </c>
      <c r="AF2061">
        <v>6.1740326545157596E-3</v>
      </c>
      <c r="AG2061">
        <v>-7.0947999999999997E-2</v>
      </c>
      <c r="AH2061">
        <v>0.416842042167065</v>
      </c>
      <c r="AI2061">
        <v>99.658341126801801</v>
      </c>
      <c r="AJ2061">
        <v>89.151428807155597</v>
      </c>
      <c r="AK2061">
        <v>0.42288181032201899</v>
      </c>
      <c r="AL2061">
        <v>69.140418079025196</v>
      </c>
      <c r="AM2061">
        <v>93.501964612697606</v>
      </c>
      <c r="AN2061">
        <v>1.0000000109554601</v>
      </c>
    </row>
    <row r="2062" spans="1:40" x14ac:dyDescent="0.25">
      <c r="A2062" t="str">
        <f>"20190304164856235"</f>
        <v>20190304164856235</v>
      </c>
      <c r="B2062" t="str">
        <f>"1551689336227790"</f>
        <v>1551689336227790</v>
      </c>
      <c r="C2062" t="s">
        <v>40</v>
      </c>
      <c r="D2062">
        <v>4.212307</v>
      </c>
      <c r="E2062">
        <v>0.54070890000000005</v>
      </c>
      <c r="F2062" t="s">
        <v>41</v>
      </c>
      <c r="G2062">
        <v>-245.90809999999999</v>
      </c>
      <c r="H2062">
        <v>1.0422670000000001</v>
      </c>
      <c r="I2062">
        <v>285.09460000000001</v>
      </c>
      <c r="J2062">
        <v>-245.53790000000001</v>
      </c>
      <c r="K2062">
        <v>1.11054599999999</v>
      </c>
      <c r="L2062">
        <v>285.09769999999997</v>
      </c>
      <c r="M2062">
        <v>-0.99962329999999999</v>
      </c>
      <c r="N2062">
        <v>-7.5943399999999998E-3</v>
      </c>
      <c r="O2062">
        <v>-2.6379030000000001E-2</v>
      </c>
      <c r="P2062">
        <v>-0.93433310000000003</v>
      </c>
      <c r="Q2062">
        <v>0.3469718</v>
      </c>
      <c r="R2062">
        <v>-8.1439520000000001E-2</v>
      </c>
      <c r="S2062">
        <v>-3.315842</v>
      </c>
      <c r="T2062">
        <v>-0.28840890000000002</v>
      </c>
      <c r="U2062">
        <v>-6.1523439999999999E-2</v>
      </c>
      <c r="V2062">
        <v>-5.7500599999999999E-2</v>
      </c>
      <c r="W2062">
        <v>0.3539525</v>
      </c>
      <c r="X2062">
        <v>0.93349420000000005</v>
      </c>
      <c r="Y2062">
        <v>7.7159309999999997E-3</v>
      </c>
      <c r="Z2062">
        <v>2.453827E-3</v>
      </c>
      <c r="AA2062">
        <v>0.99996719999999895</v>
      </c>
      <c r="AB2062">
        <v>40</v>
      </c>
      <c r="AC2062">
        <v>-0.37019999999998199</v>
      </c>
      <c r="AD2062">
        <v>-6.8278999999999701E-2</v>
      </c>
      <c r="AE2062">
        <v>-3.0999999999607999E-3</v>
      </c>
      <c r="AF2062">
        <v>6.4475619385962199E-3</v>
      </c>
      <c r="AG2062">
        <v>-6.8278999999999701E-2</v>
      </c>
      <c r="AH2062">
        <v>0.35797636373644698</v>
      </c>
      <c r="AI2062">
        <v>100.79695517282801</v>
      </c>
      <c r="AJ2062">
        <v>88.968149336447894</v>
      </c>
      <c r="AK2062">
        <v>0.36448685832265798</v>
      </c>
      <c r="AL2062">
        <v>69.270742039434197</v>
      </c>
      <c r="AM2062">
        <v>93.524804364581001</v>
      </c>
      <c r="AN2062">
        <v>1.0000000563451199</v>
      </c>
    </row>
    <row r="2063" spans="1:40" x14ac:dyDescent="0.25">
      <c r="A2063" t="str">
        <f>"20190304164856259"</f>
        <v>20190304164856259</v>
      </c>
      <c r="B2063" t="str">
        <f>"1551689336248285"</f>
        <v>1551689336248285</v>
      </c>
      <c r="C2063" t="s">
        <v>40</v>
      </c>
      <c r="D2063">
        <v>4.2076859999999998</v>
      </c>
      <c r="E2063">
        <v>0.5409621</v>
      </c>
      <c r="F2063" t="s">
        <v>41</v>
      </c>
      <c r="G2063">
        <v>-246.6001</v>
      </c>
      <c r="H2063">
        <v>0.99757430000000002</v>
      </c>
      <c r="I2063">
        <v>285.07839999999999</v>
      </c>
      <c r="J2063">
        <v>-245.95650000000001</v>
      </c>
      <c r="K2063">
        <v>1.110439</v>
      </c>
      <c r="L2063">
        <v>285.08620000000002</v>
      </c>
      <c r="M2063">
        <v>-0.99961069999999996</v>
      </c>
      <c r="N2063">
        <v>-7.5980090000000002E-3</v>
      </c>
      <c r="O2063">
        <v>-2.6856250000000002E-2</v>
      </c>
      <c r="P2063">
        <v>-0.93456079999999997</v>
      </c>
      <c r="Q2063">
        <v>0.34638609999999997</v>
      </c>
      <c r="R2063">
        <v>-8.13218E-2</v>
      </c>
      <c r="S2063">
        <v>-3.3373870000000001</v>
      </c>
      <c r="T2063">
        <v>-0.35518729999999998</v>
      </c>
      <c r="U2063">
        <v>-6.1553959999999998E-2</v>
      </c>
      <c r="V2063">
        <v>-5.6833410000000001E-2</v>
      </c>
      <c r="W2063">
        <v>0.35338829999999999</v>
      </c>
      <c r="X2063">
        <v>0.93374869999999999</v>
      </c>
      <c r="Y2063">
        <v>8.2379559999999994E-3</v>
      </c>
      <c r="Z2063">
        <v>3.1144559999999998E-3</v>
      </c>
      <c r="AA2063">
        <v>0.99996119999999999</v>
      </c>
      <c r="AB2063">
        <v>40</v>
      </c>
      <c r="AC2063">
        <v>-0.64359999999999196</v>
      </c>
      <c r="AD2063">
        <v>-0.112864699999999</v>
      </c>
      <c r="AE2063">
        <v>-7.8000000000315499E-3</v>
      </c>
      <c r="AF2063">
        <v>9.2049541204176893E-3</v>
      </c>
      <c r="AG2063">
        <v>-0.112864699999999</v>
      </c>
      <c r="AH2063">
        <v>0.62437877385916196</v>
      </c>
      <c r="AI2063">
        <v>100.245233705468</v>
      </c>
      <c r="AJ2063">
        <v>89.155373565867706</v>
      </c>
      <c r="AK2063">
        <v>0.63456443717901501</v>
      </c>
      <c r="AL2063">
        <v>69.305300285170901</v>
      </c>
      <c r="AM2063">
        <v>93.483059491655197</v>
      </c>
      <c r="AN2063">
        <v>0.99999998091040299</v>
      </c>
    </row>
    <row r="2064" spans="1:40" x14ac:dyDescent="0.25">
      <c r="A2064" t="str">
        <f>"20190304164856281"</f>
        <v>20190304164856281</v>
      </c>
      <c r="B2064" t="str">
        <f>"1551689336267806"</f>
        <v>1551689336267806</v>
      </c>
      <c r="C2064" t="s">
        <v>40</v>
      </c>
      <c r="D2064">
        <v>4.2096210000000003</v>
      </c>
      <c r="E2064">
        <v>0.5409948</v>
      </c>
      <c r="F2064" t="s">
        <v>41</v>
      </c>
      <c r="G2064">
        <v>-246.96109999999999</v>
      </c>
      <c r="H2064">
        <v>1.0021439999999999</v>
      </c>
      <c r="I2064">
        <v>285.06880000000001</v>
      </c>
      <c r="J2064">
        <v>-246.3486</v>
      </c>
      <c r="K2064">
        <v>1.1103499999999999</v>
      </c>
      <c r="L2064">
        <v>285.0754</v>
      </c>
      <c r="M2064">
        <v>-0.9996005</v>
      </c>
      <c r="N2064">
        <v>-7.601778E-3</v>
      </c>
      <c r="O2064">
        <v>-2.722755E-2</v>
      </c>
      <c r="P2064">
        <v>-0.93474710000000005</v>
      </c>
      <c r="Q2064">
        <v>0.34592430000000002</v>
      </c>
      <c r="R2064">
        <v>-8.114681E-2</v>
      </c>
      <c r="S2064">
        <v>-3.338425</v>
      </c>
      <c r="T2064">
        <v>-0.35985820000000002</v>
      </c>
      <c r="U2064">
        <v>-5.7617189999999999E-2</v>
      </c>
      <c r="V2064">
        <v>-5.622767E-2</v>
      </c>
      <c r="W2064">
        <v>0.35294490000000001</v>
      </c>
      <c r="X2064">
        <v>0.93395309999999998</v>
      </c>
      <c r="Y2064">
        <v>9.7776400000000006E-3</v>
      </c>
      <c r="Z2064">
        <v>3.2820570000000001E-3</v>
      </c>
      <c r="AA2064">
        <v>0.99994680000000002</v>
      </c>
      <c r="AB2064">
        <v>40</v>
      </c>
      <c r="AC2064">
        <v>-0.61249999999998295</v>
      </c>
      <c r="AD2064">
        <v>-0.108205999999999</v>
      </c>
      <c r="AE2064">
        <v>-6.5999999999917201E-3</v>
      </c>
      <c r="AF2064">
        <v>9.7747680803083499E-3</v>
      </c>
      <c r="AG2064">
        <v>-0.108205999999999</v>
      </c>
      <c r="AH2064">
        <v>0.59391870535138702</v>
      </c>
      <c r="AI2064">
        <v>100.324094377832</v>
      </c>
      <c r="AJ2064">
        <v>89.057105976050195</v>
      </c>
      <c r="AK2064">
        <v>0.60377438923267601</v>
      </c>
      <c r="AL2064">
        <v>69.332455990362902</v>
      </c>
      <c r="AM2064">
        <v>93.445274038463893</v>
      </c>
      <c r="AN2064">
        <v>1.00000002315462</v>
      </c>
    </row>
    <row r="2065" spans="1:40" x14ac:dyDescent="0.25">
      <c r="A2065" t="str">
        <f>"20190304164856301"</f>
        <v>20190304164856301</v>
      </c>
      <c r="B2065" t="str">
        <f>"1551689336298062"</f>
        <v>1551689336298062</v>
      </c>
      <c r="C2065" t="s">
        <v>40</v>
      </c>
      <c r="D2065">
        <v>4.2079490000000002</v>
      </c>
      <c r="E2065">
        <v>0.54116790000000004</v>
      </c>
      <c r="F2065" t="s">
        <v>41</v>
      </c>
      <c r="G2065">
        <v>-247.32259999999999</v>
      </c>
      <c r="H2065">
        <v>1.0062070000000001</v>
      </c>
      <c r="I2065">
        <v>285.05939999999998</v>
      </c>
      <c r="J2065">
        <v>-246.72470000000001</v>
      </c>
      <c r="K2065">
        <v>1.110271</v>
      </c>
      <c r="L2065">
        <v>285.06490000000002</v>
      </c>
      <c r="M2065">
        <v>-0.99959219999999904</v>
      </c>
      <c r="N2065">
        <v>-7.6030809999999898E-3</v>
      </c>
      <c r="O2065">
        <v>-2.753181E-2</v>
      </c>
      <c r="P2065">
        <v>-0.93507589999999996</v>
      </c>
      <c r="Q2065">
        <v>0.34514660000000003</v>
      </c>
      <c r="R2065">
        <v>-8.066835E-2</v>
      </c>
      <c r="S2065">
        <v>-3.3366850000000001</v>
      </c>
      <c r="T2065">
        <v>-0.35692040000000003</v>
      </c>
      <c r="U2065">
        <v>-5.569458E-2</v>
      </c>
      <c r="V2065">
        <v>-5.5393610000000003E-2</v>
      </c>
      <c r="W2065">
        <v>0.35218189999999999</v>
      </c>
      <c r="X2065">
        <v>0.93429090000000004</v>
      </c>
      <c r="Y2065">
        <v>1.064534E-2</v>
      </c>
      <c r="Z2065">
        <v>3.3355120000000001E-3</v>
      </c>
      <c r="AA2065">
        <v>0.99993779999999999</v>
      </c>
      <c r="AB2065">
        <v>40</v>
      </c>
      <c r="AC2065">
        <v>-0.597899999999981</v>
      </c>
      <c r="AD2065">
        <v>-0.104063999999999</v>
      </c>
      <c r="AE2065">
        <v>-5.5000000000404699E-3</v>
      </c>
      <c r="AF2065">
        <v>1.06414903395157E-2</v>
      </c>
      <c r="AG2065">
        <v>-0.104063999999999</v>
      </c>
      <c r="AH2065">
        <v>0.58024871565557201</v>
      </c>
      <c r="AI2065">
        <v>100.16587729456</v>
      </c>
      <c r="AJ2065">
        <v>88.949339955540495</v>
      </c>
      <c r="AK2065">
        <v>0.58960251817015397</v>
      </c>
      <c r="AL2065">
        <v>69.3791722384601</v>
      </c>
      <c r="AM2065">
        <v>93.393064167680507</v>
      </c>
      <c r="AN2065">
        <v>1.0000000142696199</v>
      </c>
    </row>
    <row r="2066" spans="1:40" x14ac:dyDescent="0.25">
      <c r="A2066" t="str">
        <f>"20190304164856325"</f>
        <v>20190304164856325</v>
      </c>
      <c r="B2066" t="str">
        <f>"1551689336318558"</f>
        <v>1551689336318558</v>
      </c>
      <c r="C2066" t="s">
        <v>40</v>
      </c>
      <c r="D2066">
        <v>4.2077799999999996</v>
      </c>
      <c r="E2066">
        <v>0.54124490000000003</v>
      </c>
      <c r="F2066" t="s">
        <v>41</v>
      </c>
      <c r="G2066">
        <v>-247.68369999999999</v>
      </c>
      <c r="H2066">
        <v>1.007701</v>
      </c>
      <c r="I2066">
        <v>285.05079999999998</v>
      </c>
      <c r="J2066">
        <v>-247.14590000000001</v>
      </c>
      <c r="K2066">
        <v>1.1101939999999999</v>
      </c>
      <c r="L2066">
        <v>285.053</v>
      </c>
      <c r="M2066">
        <v>-0.99958380000000002</v>
      </c>
      <c r="N2066">
        <v>-7.6026330000000001E-3</v>
      </c>
      <c r="O2066">
        <v>-2.7831140000000001E-2</v>
      </c>
      <c r="P2066">
        <v>-0.93523840000000003</v>
      </c>
      <c r="Q2066">
        <v>0.3448213</v>
      </c>
      <c r="R2066">
        <v>-8.017254E-2</v>
      </c>
      <c r="S2066">
        <v>-3.335785</v>
      </c>
      <c r="T2066">
        <v>-0.35690519999999998</v>
      </c>
      <c r="U2066">
        <v>-4.9377440000000002E-2</v>
      </c>
      <c r="V2066">
        <v>-5.45567E-2</v>
      </c>
      <c r="W2066">
        <v>0.35186719999999999</v>
      </c>
      <c r="X2066">
        <v>0.93445869999999998</v>
      </c>
      <c r="Y2066">
        <v>1.281855E-2</v>
      </c>
      <c r="Z2066">
        <v>3.4902430000000001E-3</v>
      </c>
      <c r="AA2066">
        <v>0.99991169999999996</v>
      </c>
      <c r="AB2066">
        <v>40</v>
      </c>
      <c r="AC2066">
        <v>-0.53779999999997496</v>
      </c>
      <c r="AD2066">
        <v>-0.102493</v>
      </c>
      <c r="AE2066">
        <v>-2.2000000000161799E-3</v>
      </c>
      <c r="AF2066">
        <v>1.2321365323766899E-2</v>
      </c>
      <c r="AG2066">
        <v>-0.102493</v>
      </c>
      <c r="AH2066">
        <v>0.51880998960550395</v>
      </c>
      <c r="AI2066">
        <v>101.17204428823</v>
      </c>
      <c r="AJ2066">
        <v>88.639522055593503</v>
      </c>
      <c r="AK2066">
        <v>0.52898056335455701</v>
      </c>
      <c r="AL2066">
        <v>69.398436226867204</v>
      </c>
      <c r="AM2066">
        <v>93.341318657315597</v>
      </c>
      <c r="AN2066">
        <v>1.0000000109782099</v>
      </c>
    </row>
    <row r="2067" spans="1:40" x14ac:dyDescent="0.25">
      <c r="A2067" t="str">
        <f>"20190304164856346"</f>
        <v>20190304164856346</v>
      </c>
      <c r="B2067" t="str">
        <f>"1551689336338081"</f>
        <v>1551689336338081</v>
      </c>
      <c r="C2067" t="s">
        <v>40</v>
      </c>
      <c r="D2067">
        <v>4.2216589999999998</v>
      </c>
      <c r="E2067">
        <v>0.5413713</v>
      </c>
      <c r="F2067" t="s">
        <v>41</v>
      </c>
      <c r="G2067">
        <v>-248.04759999999999</v>
      </c>
      <c r="H2067">
        <v>1.013914</v>
      </c>
      <c r="I2067">
        <v>285.04129999999998</v>
      </c>
      <c r="J2067">
        <v>-247.53229999999999</v>
      </c>
      <c r="K2067">
        <v>1.110136</v>
      </c>
      <c r="L2067">
        <v>285.0421</v>
      </c>
      <c r="M2067">
        <v>-0.99957689999999999</v>
      </c>
      <c r="N2067">
        <v>-7.6023530000000001E-3</v>
      </c>
      <c r="O2067">
        <v>-2.8082739999999998E-2</v>
      </c>
      <c r="P2067">
        <v>-0.93518409999999996</v>
      </c>
      <c r="Q2067">
        <v>0.34517219999999998</v>
      </c>
      <c r="R2067">
        <v>-7.9291570000000006E-2</v>
      </c>
      <c r="S2067">
        <v>-3.3353269999999902</v>
      </c>
      <c r="T2067">
        <v>-0.35613210000000001</v>
      </c>
      <c r="U2067">
        <v>-4.3548580000000003E-2</v>
      </c>
      <c r="V2067">
        <v>-5.3400259999999998E-2</v>
      </c>
      <c r="W2067">
        <v>0.35222510000000001</v>
      </c>
      <c r="X2067">
        <v>0.93439070000000002</v>
      </c>
      <c r="Y2067">
        <v>1.4802869999999999E-2</v>
      </c>
      <c r="Z2067">
        <v>3.6210050000000001E-3</v>
      </c>
      <c r="AA2067">
        <v>0.99988390000000005</v>
      </c>
      <c r="AB2067">
        <v>40</v>
      </c>
      <c r="AC2067">
        <v>-0.51529999999999598</v>
      </c>
      <c r="AD2067">
        <v>-9.6222000000000002E-2</v>
      </c>
      <c r="AE2067">
        <v>-8.0000000002655703E-4</v>
      </c>
      <c r="AF2067">
        <v>1.32111208787127E-2</v>
      </c>
      <c r="AG2067">
        <v>-9.6222000000000002E-2</v>
      </c>
      <c r="AH2067">
        <v>0.49776319910516298</v>
      </c>
      <c r="AI2067">
        <v>100.937071092621</v>
      </c>
      <c r="AJ2067">
        <v>88.479671037002106</v>
      </c>
      <c r="AK2067">
        <v>0.50715028283761998</v>
      </c>
      <c r="AL2067">
        <v>69.376528254370896</v>
      </c>
      <c r="AM2067">
        <v>93.270885547691805</v>
      </c>
      <c r="AN2067">
        <v>1.0000000445422801</v>
      </c>
    </row>
    <row r="2068" spans="1:40" x14ac:dyDescent="0.25">
      <c r="A2068" t="str">
        <f>"20190304164856369"</f>
        <v>20190304164856369</v>
      </c>
      <c r="B2068" t="str">
        <f>"1551689336358577"</f>
        <v>1551689336358577</v>
      </c>
      <c r="C2068" t="s">
        <v>40</v>
      </c>
      <c r="D2068">
        <v>4.2115929999999997</v>
      </c>
      <c r="E2068">
        <v>0.54145350000000003</v>
      </c>
      <c r="F2068" t="s">
        <v>41</v>
      </c>
      <c r="G2068">
        <v>-248.4109</v>
      </c>
      <c r="H2068">
        <v>1.0172110000000001</v>
      </c>
      <c r="I2068">
        <v>285.03250000000003</v>
      </c>
      <c r="J2068">
        <v>-247.93889999999999</v>
      </c>
      <c r="K2068">
        <v>1.110087</v>
      </c>
      <c r="L2068">
        <v>285.03039999999999</v>
      </c>
      <c r="M2068">
        <v>-0.99956959999999995</v>
      </c>
      <c r="N2068">
        <v>-7.6031819999999896E-3</v>
      </c>
      <c r="O2068">
        <v>-2.8333690000000002E-2</v>
      </c>
      <c r="P2068">
        <v>-0.93517890000000004</v>
      </c>
      <c r="Q2068">
        <v>0.3452305</v>
      </c>
      <c r="R2068">
        <v>-7.9097260000000003E-2</v>
      </c>
      <c r="S2068">
        <v>-3.3350369999999998</v>
      </c>
      <c r="T2068">
        <v>-0.35279739999999998</v>
      </c>
      <c r="U2068">
        <v>-3.6560059999999998E-2</v>
      </c>
      <c r="V2068">
        <v>-5.2933710000000002E-2</v>
      </c>
      <c r="W2068">
        <v>0.3522903</v>
      </c>
      <c r="X2068">
        <v>0.93439260000000002</v>
      </c>
      <c r="Y2068">
        <v>1.7136829999999999E-2</v>
      </c>
      <c r="Z2068">
        <v>3.7427490000000001E-3</v>
      </c>
      <c r="AA2068">
        <v>0.99984620000000002</v>
      </c>
      <c r="AB2068">
        <v>40</v>
      </c>
      <c r="AC2068">
        <v>-0.47200000000000802</v>
      </c>
      <c r="AD2068">
        <v>-9.2875999999999903E-2</v>
      </c>
      <c r="AE2068">
        <v>2.1000000000412902E-3</v>
      </c>
      <c r="AF2068">
        <v>1.48962886560368E-2</v>
      </c>
      <c r="AG2068">
        <v>-9.2875999999999903E-2</v>
      </c>
      <c r="AH2068">
        <v>0.45416650874016001</v>
      </c>
      <c r="AI2068">
        <v>101.551459047959</v>
      </c>
      <c r="AJ2068">
        <v>88.121418924106393</v>
      </c>
      <c r="AK2068">
        <v>0.46380498968095402</v>
      </c>
      <c r="AL2068">
        <v>69.372535376660593</v>
      </c>
      <c r="AM2068">
        <v>93.242362975861596</v>
      </c>
      <c r="AN2068">
        <v>0.99999998203160601</v>
      </c>
    </row>
    <row r="2069" spans="1:40" x14ac:dyDescent="0.25">
      <c r="A2069" t="str">
        <f>"20190304164856390"</f>
        <v>20190304164856390</v>
      </c>
      <c r="B2069" t="str">
        <f>"1551689336387854"</f>
        <v>1551689336387854</v>
      </c>
      <c r="C2069" t="s">
        <v>40</v>
      </c>
      <c r="D2069">
        <v>4.233142</v>
      </c>
      <c r="E2069">
        <v>0.54147049999999997</v>
      </c>
      <c r="F2069" t="s">
        <v>41</v>
      </c>
      <c r="G2069">
        <v>-248.7757</v>
      </c>
      <c r="H2069">
        <v>1.022049</v>
      </c>
      <c r="I2069">
        <v>285.0222</v>
      </c>
      <c r="J2069">
        <v>-248.3372</v>
      </c>
      <c r="K2069">
        <v>1.110047</v>
      </c>
      <c r="L2069">
        <v>285.0188</v>
      </c>
      <c r="M2069">
        <v>-0.99956299999999998</v>
      </c>
      <c r="N2069">
        <v>-7.6053609999999997E-3</v>
      </c>
      <c r="O2069">
        <v>-2.8569460000000001E-2</v>
      </c>
      <c r="P2069">
        <v>-0.93533129999999998</v>
      </c>
      <c r="Q2069">
        <v>0.34479330000000002</v>
      </c>
      <c r="R2069">
        <v>-7.9202540000000002E-2</v>
      </c>
      <c r="S2069">
        <v>-3.3347169999999999</v>
      </c>
      <c r="T2069">
        <v>-0.35100759999999998</v>
      </c>
      <c r="U2069">
        <v>-3.2836909999999997E-2</v>
      </c>
      <c r="V2069">
        <v>-5.278062E-2</v>
      </c>
      <c r="W2069">
        <v>0.35186139999999999</v>
      </c>
      <c r="X2069">
        <v>0.93456289999999997</v>
      </c>
      <c r="Y2069">
        <v>1.848112E-2</v>
      </c>
      <c r="Z2069">
        <v>3.8220929999999999E-3</v>
      </c>
      <c r="AA2069">
        <v>0.99982190000000004</v>
      </c>
      <c r="AB2069">
        <v>40</v>
      </c>
      <c r="AC2069">
        <v>-0.438500000000004</v>
      </c>
      <c r="AD2069">
        <v>-8.7998000000000007E-2</v>
      </c>
      <c r="AE2069">
        <v>3.3999999999991802E-3</v>
      </c>
      <c r="AF2069">
        <v>1.53101434762295E-2</v>
      </c>
      <c r="AG2069">
        <v>-8.7998000000000007E-2</v>
      </c>
      <c r="AH2069">
        <v>0.42125977990350499</v>
      </c>
      <c r="AI2069">
        <v>101.79142287647799</v>
      </c>
      <c r="AJ2069">
        <v>87.918574882675202</v>
      </c>
      <c r="AK2069">
        <v>0.43062495359838598</v>
      </c>
      <c r="AL2069">
        <v>69.398791576680097</v>
      </c>
      <c r="AM2069">
        <v>93.232417750406597</v>
      </c>
      <c r="AN2069">
        <v>1.0000000263569699</v>
      </c>
    </row>
    <row r="2070" spans="1:40" x14ac:dyDescent="0.25">
      <c r="A2070" t="str">
        <f>"20190304164856414"</f>
        <v>20190304164856414</v>
      </c>
      <c r="B2070" t="str">
        <f>"1551689336408351"</f>
        <v>1551689336408351</v>
      </c>
      <c r="C2070" t="s">
        <v>40</v>
      </c>
      <c r="D2070">
        <v>4.2352790000000002</v>
      </c>
      <c r="E2070">
        <v>0.5414658</v>
      </c>
      <c r="F2070" t="s">
        <v>41</v>
      </c>
      <c r="G2070">
        <v>-249.14060000000001</v>
      </c>
      <c r="H2070">
        <v>1.0256700000000001</v>
      </c>
      <c r="I2070">
        <v>285.01150000000001</v>
      </c>
      <c r="J2070">
        <v>-248.75710000000001</v>
      </c>
      <c r="K2070">
        <v>1.110006</v>
      </c>
      <c r="L2070">
        <v>285.00659999999999</v>
      </c>
      <c r="M2070">
        <v>-0.99955629999999995</v>
      </c>
      <c r="N2070">
        <v>-7.6090719999999997E-3</v>
      </c>
      <c r="O2070">
        <v>-2.8801279999999999E-2</v>
      </c>
      <c r="P2070">
        <v>-0.93539360000000005</v>
      </c>
      <c r="Q2070">
        <v>0.34462930000000003</v>
      </c>
      <c r="R2070">
        <v>-7.918174E-2</v>
      </c>
      <c r="S2070">
        <v>-3.333939</v>
      </c>
      <c r="T2070">
        <v>-0.35008660000000003</v>
      </c>
      <c r="U2070">
        <v>-3.0120850000000001E-2</v>
      </c>
      <c r="V2070">
        <v>-5.2507159999999997E-2</v>
      </c>
      <c r="W2070">
        <v>0.35170649999999998</v>
      </c>
      <c r="X2070">
        <v>0.93463660000000004</v>
      </c>
      <c r="Y2070">
        <v>1.9519140000000001E-2</v>
      </c>
      <c r="Z2070">
        <v>3.8934210000000002E-3</v>
      </c>
      <c r="AA2070">
        <v>0.99980190000000002</v>
      </c>
      <c r="AB2070">
        <v>41</v>
      </c>
      <c r="AC2070">
        <v>-0.38349999999999801</v>
      </c>
      <c r="AD2070">
        <v>-8.4335999999999897E-2</v>
      </c>
      <c r="AE2070">
        <v>4.9000000000205502E-3</v>
      </c>
      <c r="AF2070">
        <v>1.5208212356334599E-2</v>
      </c>
      <c r="AG2070">
        <v>-8.4335999999999897E-2</v>
      </c>
      <c r="AH2070">
        <v>0.36552547649675998</v>
      </c>
      <c r="AI2070">
        <v>102.981380428188</v>
      </c>
      <c r="AJ2070">
        <v>87.617500958469293</v>
      </c>
      <c r="AK2070">
        <v>0.37543671182671901</v>
      </c>
      <c r="AL2070">
        <v>69.4082725576896</v>
      </c>
      <c r="AM2070">
        <v>93.215452571665494</v>
      </c>
      <c r="AN2070">
        <v>1.0000000190265299</v>
      </c>
    </row>
    <row r="2071" spans="1:40" x14ac:dyDescent="0.25">
      <c r="A2071" t="str">
        <f>"20190304164856436"</f>
        <v>20190304164856436</v>
      </c>
      <c r="B2071" t="str">
        <f>"1551689336427873"</f>
        <v>1551689336427873</v>
      </c>
      <c r="C2071" t="s">
        <v>40</v>
      </c>
      <c r="D2071">
        <v>4.2247459999999997</v>
      </c>
      <c r="E2071">
        <v>0.53834009999999999</v>
      </c>
      <c r="F2071" t="s">
        <v>41</v>
      </c>
      <c r="G2071">
        <v>-249.50720000000001</v>
      </c>
      <c r="H2071">
        <v>1.031606</v>
      </c>
      <c r="I2071">
        <v>285.00009999999997</v>
      </c>
      <c r="J2071">
        <v>-249.16890000000001</v>
      </c>
      <c r="K2071">
        <v>1.1099600000000001</v>
      </c>
      <c r="L2071">
        <v>284.99450000000002</v>
      </c>
      <c r="M2071">
        <v>-0.99955070000000001</v>
      </c>
      <c r="N2071">
        <v>-7.6138969999999997E-3</v>
      </c>
      <c r="O2071">
        <v>-2.8997430000000001E-2</v>
      </c>
      <c r="P2071">
        <v>-0.93528630000000001</v>
      </c>
      <c r="Q2071">
        <v>0.34490890000000002</v>
      </c>
      <c r="R2071">
        <v>-7.9230899999999896E-2</v>
      </c>
      <c r="S2071">
        <v>-3.333145</v>
      </c>
      <c r="T2071">
        <v>-0.3484563</v>
      </c>
      <c r="U2071">
        <v>-2.9266360000000002E-2</v>
      </c>
      <c r="V2071">
        <v>-5.2338410000000002E-2</v>
      </c>
      <c r="W2071">
        <v>0.35199570000000002</v>
      </c>
      <c r="X2071">
        <v>0.93453719999999996</v>
      </c>
      <c r="Y2071">
        <v>1.9968199999999998E-2</v>
      </c>
      <c r="Z2071">
        <v>3.9196559999999997E-3</v>
      </c>
      <c r="AA2071">
        <v>0.99979289999999998</v>
      </c>
      <c r="AB2071">
        <v>41</v>
      </c>
      <c r="AC2071">
        <v>-0.33830000000000299</v>
      </c>
      <c r="AD2071">
        <v>-7.8353999999999993E-2</v>
      </c>
      <c r="AE2071">
        <v>5.5999999999585201E-3</v>
      </c>
      <c r="AF2071">
        <v>1.46235140063996E-2</v>
      </c>
      <c r="AG2071">
        <v>-7.8353999999999993E-2</v>
      </c>
      <c r="AH2071">
        <v>0.32079162115069398</v>
      </c>
      <c r="AI2071">
        <v>103.712162529395</v>
      </c>
      <c r="AJ2071">
        <v>87.389938127880797</v>
      </c>
      <c r="AK2071">
        <v>0.33054570134610101</v>
      </c>
      <c r="AL2071">
        <v>69.390570928199097</v>
      </c>
      <c r="AM2071">
        <v>93.205480374534602</v>
      </c>
      <c r="AN2071">
        <v>1.0000000300818199</v>
      </c>
    </row>
    <row r="2072" spans="1:40" x14ac:dyDescent="0.25">
      <c r="A2072" t="str">
        <f>"20190304164856460"</f>
        <v>20190304164856460</v>
      </c>
      <c r="B2072" t="str">
        <f>"1551689336448366"</f>
        <v>1551689336448366</v>
      </c>
      <c r="C2072" t="s">
        <v>40</v>
      </c>
      <c r="D2072">
        <v>4.2334009999999997</v>
      </c>
      <c r="E2072">
        <v>0.53798619999999997</v>
      </c>
      <c r="F2072" t="s">
        <v>41</v>
      </c>
      <c r="G2072">
        <v>-250.22710000000001</v>
      </c>
      <c r="H2072">
        <v>1.0111749999999999</v>
      </c>
      <c r="I2072">
        <v>284.97829999999999</v>
      </c>
      <c r="J2072">
        <v>-249.5926</v>
      </c>
      <c r="K2072">
        <v>1.1099139999999901</v>
      </c>
      <c r="L2072">
        <v>284.9821</v>
      </c>
      <c r="M2072">
        <v>-0.99954609999999999</v>
      </c>
      <c r="N2072">
        <v>-7.6205319999999898E-3</v>
      </c>
      <c r="O2072">
        <v>-2.9150579999999999E-2</v>
      </c>
      <c r="P2072">
        <v>-0.93523540000000005</v>
      </c>
      <c r="Q2072">
        <v>0.34495320000000002</v>
      </c>
      <c r="R2072">
        <v>-7.9636520000000002E-2</v>
      </c>
      <c r="S2072">
        <v>-3.3174739999999998</v>
      </c>
      <c r="T2072">
        <v>-0.3098032</v>
      </c>
      <c r="U2072">
        <v>-5.1361080000000003E-2</v>
      </c>
      <c r="V2072">
        <v>-5.2557329999999999E-2</v>
      </c>
      <c r="W2072">
        <v>0.3520529</v>
      </c>
      <c r="X2072">
        <v>0.93450330000000004</v>
      </c>
      <c r="Y2072">
        <v>1.3503930000000001E-2</v>
      </c>
      <c r="Z2072">
        <v>3.1747020000000002E-3</v>
      </c>
      <c r="AA2072">
        <v>0.99990380000000001</v>
      </c>
      <c r="AB2072">
        <v>41</v>
      </c>
      <c r="AC2072">
        <v>-0.63450000000000195</v>
      </c>
      <c r="AD2072">
        <v>-9.8738999999999896E-2</v>
      </c>
      <c r="AE2072">
        <v>-3.8000000000124601E-3</v>
      </c>
      <c r="AF2072">
        <v>1.43506798588617E-2</v>
      </c>
      <c r="AG2072">
        <v>-9.8738999999999896E-2</v>
      </c>
      <c r="AH2072">
        <v>0.61934323244448697</v>
      </c>
      <c r="AI2072">
        <v>99.055779479568201</v>
      </c>
      <c r="AJ2072">
        <v>88.672648307408394</v>
      </c>
      <c r="AK2072">
        <v>0.62732875887225004</v>
      </c>
      <c r="AL2072">
        <v>69.387068137189203</v>
      </c>
      <c r="AM2072">
        <v>93.218976576922699</v>
      </c>
      <c r="AN2072">
        <v>0.99999996752301401</v>
      </c>
    </row>
    <row r="2073" spans="1:40" x14ac:dyDescent="0.25">
      <c r="A2073" t="str">
        <f>"20190304164856482"</f>
        <v>20190304164856482</v>
      </c>
      <c r="B2073" t="str">
        <f>"1551689336478622"</f>
        <v>1551689336478622</v>
      </c>
      <c r="C2073" t="s">
        <v>40</v>
      </c>
      <c r="D2073">
        <v>4.2408650000000003</v>
      </c>
      <c r="E2073">
        <v>0.5373945</v>
      </c>
      <c r="F2073" t="s">
        <v>41</v>
      </c>
      <c r="G2073">
        <v>-250.59630000000001</v>
      </c>
      <c r="H2073">
        <v>1.0178290000000001</v>
      </c>
      <c r="I2073">
        <v>284.96519999999998</v>
      </c>
      <c r="J2073">
        <v>-249.9982</v>
      </c>
      <c r="K2073">
        <v>1.109861</v>
      </c>
      <c r="L2073">
        <v>284.97019999999998</v>
      </c>
      <c r="M2073">
        <v>-0.99954279999999995</v>
      </c>
      <c r="N2073">
        <v>-7.6283200000000001E-3</v>
      </c>
      <c r="O2073">
        <v>-2.9258470000000002E-2</v>
      </c>
      <c r="P2073">
        <v>-0.9352452</v>
      </c>
      <c r="Q2073">
        <v>0.34479480000000001</v>
      </c>
      <c r="R2073">
        <v>-8.0207589999999995E-2</v>
      </c>
      <c r="S2073">
        <v>-3.3151700000000002</v>
      </c>
      <c r="T2073">
        <v>-0.30419079999999998</v>
      </c>
      <c r="U2073">
        <v>-5.5847170000000002E-2</v>
      </c>
      <c r="V2073">
        <v>-5.2983290000000002E-2</v>
      </c>
      <c r="W2073">
        <v>0.35190779999999999</v>
      </c>
      <c r="X2073">
        <v>0.93453390000000003</v>
      </c>
      <c r="Y2073">
        <v>1.2259809999999999E-2</v>
      </c>
      <c r="Z2073">
        <v>3.0637339999999998E-3</v>
      </c>
      <c r="AA2073">
        <v>0.99992009999999998</v>
      </c>
      <c r="AB2073">
        <v>41</v>
      </c>
      <c r="AC2073">
        <v>-0.59810000000001595</v>
      </c>
      <c r="AD2073">
        <v>-9.2031999999999795E-2</v>
      </c>
      <c r="AE2073">
        <v>-4.9999999999954499E-3</v>
      </c>
      <c r="AF2073">
        <v>1.22129912282028E-2</v>
      </c>
      <c r="AG2073">
        <v>-9.2031999999999795E-2</v>
      </c>
      <c r="AH2073">
        <v>0.58415992514720705</v>
      </c>
      <c r="AI2073">
        <v>98.951200359184298</v>
      </c>
      <c r="AJ2073">
        <v>88.802295578176</v>
      </c>
      <c r="AK2073">
        <v>0.59149122083656602</v>
      </c>
      <c r="AL2073">
        <v>69.395950179757804</v>
      </c>
      <c r="AM2073">
        <v>93.244903774972698</v>
      </c>
      <c r="AN2073">
        <v>0.99999996948463599</v>
      </c>
    </row>
    <row r="2074" spans="1:40" x14ac:dyDescent="0.25">
      <c r="A2074" t="str">
        <f>"20190304164856503"</f>
        <v>20190304164856503</v>
      </c>
      <c r="B2074" t="str">
        <f>"1551689336498142"</f>
        <v>1551689336498142</v>
      </c>
      <c r="C2074" t="s">
        <v>40</v>
      </c>
      <c r="D2074">
        <v>4.2362859999999998</v>
      </c>
      <c r="E2074">
        <v>0.53739669999999995</v>
      </c>
      <c r="F2074" t="s">
        <v>41</v>
      </c>
      <c r="G2074">
        <v>-250.96459999999999</v>
      </c>
      <c r="H2074">
        <v>1.021407</v>
      </c>
      <c r="I2074">
        <v>284.95170000000002</v>
      </c>
      <c r="J2074">
        <v>-250.38829999999999</v>
      </c>
      <c r="K2074">
        <v>1.10982</v>
      </c>
      <c r="L2074">
        <v>284.95870000000002</v>
      </c>
      <c r="M2074">
        <v>-0.9995406</v>
      </c>
      <c r="N2074">
        <v>-7.636945E-3</v>
      </c>
      <c r="O2074">
        <v>-2.9331280000000001E-2</v>
      </c>
      <c r="P2074">
        <v>-0.93520479999999995</v>
      </c>
      <c r="Q2074">
        <v>0.34473680000000001</v>
      </c>
      <c r="R2074">
        <v>-8.0922499999999994E-2</v>
      </c>
      <c r="S2074">
        <v>-3.314133</v>
      </c>
      <c r="T2074">
        <v>-0.30347370000000001</v>
      </c>
      <c r="U2074">
        <v>-6.3812259999999996E-2</v>
      </c>
      <c r="V2074">
        <v>-5.3593399999999999E-2</v>
      </c>
      <c r="W2074">
        <v>0.35186319999999999</v>
      </c>
      <c r="X2074">
        <v>0.93451600000000001</v>
      </c>
      <c r="Y2074">
        <v>9.9359140000000006E-3</v>
      </c>
      <c r="Z2074">
        <v>2.9478780000000001E-3</v>
      </c>
      <c r="AA2074">
        <v>0.99994629999999995</v>
      </c>
      <c r="AB2074">
        <v>41</v>
      </c>
      <c r="AC2074">
        <v>-0.57630000000000303</v>
      </c>
      <c r="AD2074">
        <v>-8.8413000000000005E-2</v>
      </c>
      <c r="AE2074">
        <v>-7.0000000000049996E-3</v>
      </c>
      <c r="AF2074">
        <v>9.6793404973521593E-3</v>
      </c>
      <c r="AG2074">
        <v>-8.8413000000000005E-2</v>
      </c>
      <c r="AH2074">
        <v>0.56300827475731896</v>
      </c>
      <c r="AI2074">
        <v>98.923360622731394</v>
      </c>
      <c r="AJ2074">
        <v>89.015057586689494</v>
      </c>
      <c r="AK2074">
        <v>0.56999023293971995</v>
      </c>
      <c r="AL2074">
        <v>69.398682104801594</v>
      </c>
      <c r="AM2074">
        <v>93.282250798639197</v>
      </c>
      <c r="AN2074">
        <v>1.0000000591468901</v>
      </c>
    </row>
    <row r="2075" spans="1:40" x14ac:dyDescent="0.25">
      <c r="A2075" t="str">
        <f>"20190304164856526"</f>
        <v>20190304164856526</v>
      </c>
      <c r="B2075" t="str">
        <f>"1551689336517662"</f>
        <v>1551689336517662</v>
      </c>
      <c r="C2075" t="s">
        <v>40</v>
      </c>
      <c r="D2075">
        <v>4.2588660000000003</v>
      </c>
      <c r="E2075">
        <v>0.53735889999999997</v>
      </c>
      <c r="F2075" t="s">
        <v>41</v>
      </c>
      <c r="G2075">
        <v>-251.3329</v>
      </c>
      <c r="H2075">
        <v>1.0232680000000001</v>
      </c>
      <c r="I2075">
        <v>284.93920000000003</v>
      </c>
      <c r="J2075">
        <v>-250.8074</v>
      </c>
      <c r="K2075">
        <v>1.1097809999999999</v>
      </c>
      <c r="L2075">
        <v>284.94639999999998</v>
      </c>
      <c r="M2075">
        <v>-0.99953939999999997</v>
      </c>
      <c r="N2075">
        <v>-7.6473080000000002E-3</v>
      </c>
      <c r="O2075">
        <v>-2.9369050000000001E-2</v>
      </c>
      <c r="P2075">
        <v>-0.93498590000000004</v>
      </c>
      <c r="Q2075">
        <v>0.34505760000000002</v>
      </c>
      <c r="R2075">
        <v>-8.2078349999999994E-2</v>
      </c>
      <c r="S2075">
        <v>-3.3138890000000001</v>
      </c>
      <c r="T2075">
        <v>-0.30366209999999999</v>
      </c>
      <c r="U2075">
        <v>-6.8206790000000003E-2</v>
      </c>
      <c r="V2075">
        <v>-5.4683130000000003E-2</v>
      </c>
      <c r="W2075">
        <v>0.3521975</v>
      </c>
      <c r="X2075">
        <v>0.93432689999999996</v>
      </c>
      <c r="Y2075">
        <v>8.6522849999999991E-3</v>
      </c>
      <c r="Z2075">
        <v>2.8893030000000002E-3</v>
      </c>
      <c r="AA2075">
        <v>0.99995840000000003</v>
      </c>
      <c r="AB2075">
        <v>41</v>
      </c>
      <c r="AC2075">
        <v>-0.52549999999999297</v>
      </c>
      <c r="AD2075">
        <v>-8.6512999999999798E-2</v>
      </c>
      <c r="AE2075">
        <v>-7.1999999999547903E-3</v>
      </c>
      <c r="AF2075">
        <v>8.0196763493752404E-3</v>
      </c>
      <c r="AG2075">
        <v>-8.6512999999999798E-2</v>
      </c>
      <c r="AH2075">
        <v>0.51162091149359401</v>
      </c>
      <c r="AI2075">
        <v>99.596534894376703</v>
      </c>
      <c r="AJ2075">
        <v>89.101960124101097</v>
      </c>
      <c r="AK2075">
        <v>0.51894582709111803</v>
      </c>
      <c r="AL2075">
        <v>69.378217788367095</v>
      </c>
      <c r="AM2075">
        <v>93.3495155974895</v>
      </c>
      <c r="AN2075">
        <v>1.0000000398882201</v>
      </c>
    </row>
    <row r="2076" spans="1:40" x14ac:dyDescent="0.25">
      <c r="A2076" t="str">
        <f>"20190304164856547"</f>
        <v>20190304164856547</v>
      </c>
      <c r="B2076" t="str">
        <f>"1551689336538158"</f>
        <v>1551689336538158</v>
      </c>
      <c r="C2076" t="s">
        <v>40</v>
      </c>
      <c r="D2076">
        <v>4.2351619999999999</v>
      </c>
      <c r="E2076">
        <v>0.53738549999999996</v>
      </c>
      <c r="F2076" t="s">
        <v>41</v>
      </c>
      <c r="G2076">
        <v>-251.70330000000001</v>
      </c>
      <c r="H2076">
        <v>1.0282260000000001</v>
      </c>
      <c r="I2076">
        <v>284.92680000000001</v>
      </c>
      <c r="J2076">
        <v>-251.21019999999999</v>
      </c>
      <c r="K2076">
        <v>1.1097399999999999</v>
      </c>
      <c r="L2076">
        <v>284.93459999999999</v>
      </c>
      <c r="M2076">
        <v>-0.99953990000000004</v>
      </c>
      <c r="N2076">
        <v>-7.6581490000000004E-3</v>
      </c>
      <c r="O2076">
        <v>-2.9352690000000001E-2</v>
      </c>
      <c r="P2076">
        <v>-0.93460589999999999</v>
      </c>
      <c r="Q2076">
        <v>0.34575470000000003</v>
      </c>
      <c r="R2076">
        <v>-8.3463029999999994E-2</v>
      </c>
      <c r="S2076">
        <v>-3.3135530000000002</v>
      </c>
      <c r="T2076">
        <v>-0.30182589999999998</v>
      </c>
      <c r="U2076">
        <v>-7.3455809999999996E-2</v>
      </c>
      <c r="V2076">
        <v>-5.6056620000000001E-2</v>
      </c>
      <c r="W2076">
        <v>0.35290739999999998</v>
      </c>
      <c r="X2076">
        <v>0.93397750000000002</v>
      </c>
      <c r="Y2076">
        <v>7.0595149999999997E-3</v>
      </c>
      <c r="Z2076">
        <v>2.790865E-3</v>
      </c>
      <c r="AA2076">
        <v>0.99997119999999995</v>
      </c>
      <c r="AB2076">
        <v>41</v>
      </c>
      <c r="AC2076">
        <v>-0.49310000000002602</v>
      </c>
      <c r="AD2076">
        <v>-8.1513999999999795E-2</v>
      </c>
      <c r="AE2076">
        <v>-7.79999999997471E-3</v>
      </c>
      <c r="AF2076">
        <v>6.5000128168182202E-3</v>
      </c>
      <c r="AG2076">
        <v>-8.1513999999999795E-2</v>
      </c>
      <c r="AH2076">
        <v>0.480002651740909</v>
      </c>
      <c r="AI2076">
        <v>99.637148626040201</v>
      </c>
      <c r="AJ2076">
        <v>89.224169829249306</v>
      </c>
      <c r="AK2076">
        <v>0.48691819440325301</v>
      </c>
      <c r="AL2076">
        <v>69.334751289184396</v>
      </c>
      <c r="AM2076">
        <v>93.434728794366507</v>
      </c>
      <c r="AN2076">
        <v>0.99999997406341601</v>
      </c>
    </row>
    <row r="2077" spans="1:40" x14ac:dyDescent="0.25">
      <c r="A2077" t="str">
        <f>"20190304164856569"</f>
        <v>20190304164856569</v>
      </c>
      <c r="B2077" t="str">
        <f>"1551689336558657"</f>
        <v>1551689336558657</v>
      </c>
      <c r="C2077" t="s">
        <v>40</v>
      </c>
      <c r="D2077">
        <v>4.2547449999999998</v>
      </c>
      <c r="E2077">
        <v>0.53740980000000005</v>
      </c>
      <c r="F2077" t="s">
        <v>41</v>
      </c>
      <c r="G2077">
        <v>-252.0737</v>
      </c>
      <c r="H2077">
        <v>1.031647</v>
      </c>
      <c r="I2077">
        <v>284.9144</v>
      </c>
      <c r="J2077">
        <v>-251.60079999999999</v>
      </c>
      <c r="K2077">
        <v>1.1096900000000001</v>
      </c>
      <c r="L2077">
        <v>284.92320000000001</v>
      </c>
      <c r="M2077">
        <v>-0.99954200000000004</v>
      </c>
      <c r="N2077">
        <v>-7.6693009999999999E-3</v>
      </c>
      <c r="O2077">
        <v>-2.927679E-2</v>
      </c>
      <c r="P2077">
        <v>-0.93436759999999996</v>
      </c>
      <c r="Q2077">
        <v>0.34605279999999999</v>
      </c>
      <c r="R2077">
        <v>-8.4880109999999995E-2</v>
      </c>
      <c r="S2077">
        <v>-3.3138890000000001</v>
      </c>
      <c r="T2077">
        <v>-0.2997879</v>
      </c>
      <c r="U2077">
        <v>-7.76062E-2</v>
      </c>
      <c r="V2077">
        <v>-5.7507349999999999E-2</v>
      </c>
      <c r="W2077">
        <v>0.35322140000000002</v>
      </c>
      <c r="X2077">
        <v>0.93377060000000001</v>
      </c>
      <c r="Y2077">
        <v>5.7421470000000004E-3</v>
      </c>
      <c r="Z2077">
        <v>2.699337E-3</v>
      </c>
      <c r="AA2077">
        <v>0.99997990000000003</v>
      </c>
      <c r="AB2077">
        <v>41</v>
      </c>
      <c r="AC2077">
        <v>-0.47290000000000898</v>
      </c>
      <c r="AD2077">
        <v>-7.8043000000000001E-2</v>
      </c>
      <c r="AE2077">
        <v>-8.8000000000079091E-3</v>
      </c>
      <c r="AF2077">
        <v>4.9153487163394998E-3</v>
      </c>
      <c r="AG2077">
        <v>-7.8043000000000001E-2</v>
      </c>
      <c r="AH2077">
        <v>0.46041967536071199</v>
      </c>
      <c r="AI2077">
        <v>99.619887462308398</v>
      </c>
      <c r="AJ2077">
        <v>89.388344910627296</v>
      </c>
      <c r="AK2077">
        <v>0.46701300620139802</v>
      </c>
      <c r="AL2077">
        <v>69.3155224419354</v>
      </c>
      <c r="AM2077">
        <v>93.524176249514696</v>
      </c>
      <c r="AN2077">
        <v>0.999999993073171</v>
      </c>
    </row>
    <row r="2078" spans="1:40" x14ac:dyDescent="0.25">
      <c r="A2078" t="str">
        <f>"20190304164856591"</f>
        <v>20190304164856591</v>
      </c>
      <c r="B2078" t="str">
        <f>"1551689336587934"</f>
        <v>1551689336587934</v>
      </c>
      <c r="C2078" t="s">
        <v>40</v>
      </c>
      <c r="D2078">
        <v>4.2680879999999997</v>
      </c>
      <c r="E2078">
        <v>0.5374565</v>
      </c>
      <c r="F2078" t="s">
        <v>41</v>
      </c>
      <c r="G2078">
        <v>-252.44399999999999</v>
      </c>
      <c r="H2078">
        <v>1.033469</v>
      </c>
      <c r="I2078">
        <v>284.90190000000001</v>
      </c>
      <c r="J2078">
        <v>-252.01419999999999</v>
      </c>
      <c r="K2078">
        <v>1.109632</v>
      </c>
      <c r="L2078">
        <v>284.91120000000001</v>
      </c>
      <c r="M2078">
        <v>-0.99954609999999999</v>
      </c>
      <c r="N2078">
        <v>-7.6817880000000002E-3</v>
      </c>
      <c r="O2078">
        <v>-2.9131549999999999E-2</v>
      </c>
      <c r="P2078">
        <v>-0.93413290000000004</v>
      </c>
      <c r="Q2078">
        <v>0.346777</v>
      </c>
      <c r="R2078">
        <v>-8.4508239999999998E-2</v>
      </c>
      <c r="S2078">
        <v>-3.3140559999999999</v>
      </c>
      <c r="T2078">
        <v>-0.29973080000000002</v>
      </c>
      <c r="U2078">
        <v>-8.4564210000000001E-2</v>
      </c>
      <c r="V2078">
        <v>-5.7225699999999997E-2</v>
      </c>
      <c r="W2078">
        <v>0.35396369999999999</v>
      </c>
      <c r="X2078">
        <v>0.93350679999999997</v>
      </c>
      <c r="Y2078">
        <v>3.5102430000000001E-3</v>
      </c>
      <c r="Z2078">
        <v>2.5769349999999998E-3</v>
      </c>
      <c r="AA2078">
        <v>0.9999905</v>
      </c>
      <c r="AB2078">
        <v>41</v>
      </c>
      <c r="AC2078">
        <v>-0.42980000000002799</v>
      </c>
      <c r="AD2078">
        <v>-7.6162999999999897E-2</v>
      </c>
      <c r="AE2078">
        <v>-9.2999999999960892E-3</v>
      </c>
      <c r="AF2078">
        <v>3.1269116495588199E-3</v>
      </c>
      <c r="AG2078">
        <v>-7.6162999999999897E-2</v>
      </c>
      <c r="AH2078">
        <v>0.41680614787471298</v>
      </c>
      <c r="AI2078">
        <v>100.355126473146</v>
      </c>
      <c r="AJ2078">
        <v>89.570170736760204</v>
      </c>
      <c r="AK2078">
        <v>0.42371918183110502</v>
      </c>
      <c r="AL2078">
        <v>69.270054981664003</v>
      </c>
      <c r="AM2078">
        <v>93.507947861980497</v>
      </c>
      <c r="AN2078">
        <v>1.00000001365221</v>
      </c>
    </row>
    <row r="2079" spans="1:40" x14ac:dyDescent="0.25">
      <c r="A2079" t="str">
        <f>"20190304164856614"</f>
        <v>20190304164856614</v>
      </c>
      <c r="B2079" t="str">
        <f>"1551689336608430"</f>
        <v>1551689336608430</v>
      </c>
      <c r="C2079" t="s">
        <v>40</v>
      </c>
      <c r="D2079">
        <v>4.2810879999999996</v>
      </c>
      <c r="E2079">
        <v>0.53751400000000005</v>
      </c>
      <c r="F2079" t="s">
        <v>41</v>
      </c>
      <c r="G2079">
        <v>-252.8168</v>
      </c>
      <c r="H2079">
        <v>1.037212</v>
      </c>
      <c r="I2079">
        <v>284.89030000000002</v>
      </c>
      <c r="J2079">
        <v>-252.4436</v>
      </c>
      <c r="K2079">
        <v>1.1095619999999999</v>
      </c>
      <c r="L2079">
        <v>284.89879999999999</v>
      </c>
      <c r="M2079">
        <v>-0.99955229999999995</v>
      </c>
      <c r="N2079">
        <v>-7.6954850000000002E-3</v>
      </c>
      <c r="O2079">
        <v>-2.8916049999999999E-2</v>
      </c>
      <c r="P2079">
        <v>-0.93406840000000002</v>
      </c>
      <c r="Q2079">
        <v>0.34701539999999997</v>
      </c>
      <c r="R2079">
        <v>-8.4241179999999999E-2</v>
      </c>
      <c r="S2079">
        <v>-3.3146819999999999</v>
      </c>
      <c r="T2079">
        <v>-0.29898380000000002</v>
      </c>
      <c r="U2079">
        <v>-8.6517330000000003E-2</v>
      </c>
      <c r="V2079">
        <v>-5.7104849999999999E-2</v>
      </c>
      <c r="W2079">
        <v>0.35422360000000003</v>
      </c>
      <c r="X2079">
        <v>0.93341560000000001</v>
      </c>
      <c r="Y2079">
        <v>2.7155550000000001E-3</v>
      </c>
      <c r="Z2079">
        <v>2.5125379999999999E-3</v>
      </c>
      <c r="AA2079">
        <v>0.99999309999999997</v>
      </c>
      <c r="AB2079">
        <v>41</v>
      </c>
      <c r="AC2079">
        <v>-0.37319999999999698</v>
      </c>
      <c r="AD2079">
        <v>-7.2350000000000095E-2</v>
      </c>
      <c r="AE2079">
        <v>-8.4999999999695302E-3</v>
      </c>
      <c r="AF2079">
        <v>2.2122430215123301E-3</v>
      </c>
      <c r="AG2079">
        <v>-7.2350000000000095E-2</v>
      </c>
      <c r="AH2079">
        <v>0.35977523311956999</v>
      </c>
      <c r="AI2079">
        <v>101.370189232831</v>
      </c>
      <c r="AJ2079">
        <v>89.647695062719905</v>
      </c>
      <c r="AK2079">
        <v>0.36698451586603398</v>
      </c>
      <c r="AL2079">
        <v>69.254131927346094</v>
      </c>
      <c r="AM2079">
        <v>93.500899345270696</v>
      </c>
      <c r="AN2079">
        <v>1.00000000250692</v>
      </c>
    </row>
    <row r="2080" spans="1:40" x14ac:dyDescent="0.25">
      <c r="A2080" t="str">
        <f>"20190304164856637"</f>
        <v>20190304164856637</v>
      </c>
      <c r="B2080" t="str">
        <f>"1551689336627953"</f>
        <v>1551689336627953</v>
      </c>
      <c r="C2080" t="s">
        <v>40</v>
      </c>
      <c r="D2080">
        <v>4.872382</v>
      </c>
      <c r="E2080">
        <v>0.53756419999999905</v>
      </c>
      <c r="F2080" t="s">
        <v>41</v>
      </c>
      <c r="G2080">
        <v>-253.19200000000001</v>
      </c>
      <c r="H2080">
        <v>1.0421400000000001</v>
      </c>
      <c r="I2080">
        <v>284.87909999999999</v>
      </c>
      <c r="J2080">
        <v>-252.86760000000001</v>
      </c>
      <c r="K2080">
        <v>1.1094999999999999</v>
      </c>
      <c r="L2080">
        <v>284.88679999999999</v>
      </c>
      <c r="M2080">
        <v>-0.99955989999999995</v>
      </c>
      <c r="N2080">
        <v>-7.7098309999999899E-3</v>
      </c>
      <c r="O2080">
        <v>-2.8648420000000001E-2</v>
      </c>
      <c r="P2080">
        <v>-0.9341235</v>
      </c>
      <c r="Q2080">
        <v>0.34730129999999998</v>
      </c>
      <c r="R2080">
        <v>-8.2435380000000003E-2</v>
      </c>
      <c r="S2080">
        <v>-3.3147739999999999</v>
      </c>
      <c r="T2080">
        <v>-0.29883920000000003</v>
      </c>
      <c r="U2080">
        <v>-8.8958739999999994E-2</v>
      </c>
      <c r="V2080">
        <v>-5.549598E-2</v>
      </c>
      <c r="W2080">
        <v>0.35453079999999998</v>
      </c>
      <c r="X2080">
        <v>0.933396</v>
      </c>
      <c r="Y2080">
        <v>1.717969E-3</v>
      </c>
      <c r="Z2080">
        <v>2.4399970000000002E-3</v>
      </c>
      <c r="AA2080">
        <v>0.99999550000000004</v>
      </c>
      <c r="AB2080">
        <v>41</v>
      </c>
      <c r="AC2080">
        <v>-0.32439999999999702</v>
      </c>
      <c r="AD2080">
        <v>-6.7359999999999795E-2</v>
      </c>
      <c r="AE2080">
        <v>-7.6999999999998103E-3</v>
      </c>
      <c r="AF2080">
        <v>1.5310091213532799E-3</v>
      </c>
      <c r="AG2080">
        <v>-6.7359999999999795E-2</v>
      </c>
      <c r="AH2080">
        <v>0.31108224813525198</v>
      </c>
      <c r="AI2080">
        <v>102.21773904355599</v>
      </c>
      <c r="AJ2080">
        <v>89.718017812525403</v>
      </c>
      <c r="AK2080">
        <v>0.31829526966923699</v>
      </c>
      <c r="AL2080">
        <v>69.235308891272894</v>
      </c>
      <c r="AM2080">
        <v>93.402571487643101</v>
      </c>
      <c r="AN2080">
        <v>0.99999999238040005</v>
      </c>
    </row>
    <row r="2081" spans="1:40" x14ac:dyDescent="0.25">
      <c r="A2081" t="str">
        <f>"20190304164856659"</f>
        <v>20190304164856659</v>
      </c>
      <c r="B2081" t="str">
        <f>"1551689336648445"</f>
        <v>1551689336648445</v>
      </c>
      <c r="C2081" t="s">
        <v>40</v>
      </c>
      <c r="D2081">
        <v>4.3020709999999998</v>
      </c>
      <c r="E2081">
        <v>0.53879840000000001</v>
      </c>
      <c r="F2081" t="s">
        <v>41</v>
      </c>
      <c r="G2081">
        <v>-253.92009999999999</v>
      </c>
      <c r="H2081">
        <v>1.0146200000000001</v>
      </c>
      <c r="I2081">
        <v>284.8596</v>
      </c>
      <c r="J2081">
        <v>-253.2637</v>
      </c>
      <c r="K2081">
        <v>1.1094550000000001</v>
      </c>
      <c r="L2081">
        <v>284.87569999999999</v>
      </c>
      <c r="M2081">
        <v>-0.99956789999999995</v>
      </c>
      <c r="N2081">
        <v>-7.7235269999999896E-3</v>
      </c>
      <c r="O2081">
        <v>-2.8362539999999999E-2</v>
      </c>
      <c r="P2081">
        <v>-0.93409549999999997</v>
      </c>
      <c r="Q2081">
        <v>0.34785579999999999</v>
      </c>
      <c r="R2081">
        <v>-8.0386849999999996E-2</v>
      </c>
      <c r="S2081">
        <v>-3.3150940000000002</v>
      </c>
      <c r="T2081">
        <v>-0.2988383</v>
      </c>
      <c r="U2081">
        <v>-8.5845950000000004E-2</v>
      </c>
      <c r="V2081">
        <v>-5.3675510000000003E-2</v>
      </c>
      <c r="W2081">
        <v>0.3551028</v>
      </c>
      <c r="X2081">
        <v>0.93328500000000003</v>
      </c>
      <c r="Y2081">
        <v>2.3710350000000001E-3</v>
      </c>
      <c r="Z2081">
        <v>2.4477940000000001E-3</v>
      </c>
      <c r="AA2081">
        <v>0.99999420000000006</v>
      </c>
      <c r="AB2081">
        <v>42</v>
      </c>
      <c r="AC2081">
        <v>-0.65639999999998999</v>
      </c>
      <c r="AD2081">
        <v>-9.4834999999999697E-2</v>
      </c>
      <c r="AE2081">
        <v>-1.60999999999944E-2</v>
      </c>
      <c r="AF2081">
        <v>2.4726214514071399E-3</v>
      </c>
      <c r="AG2081">
        <v>-9.4834999999999697E-2</v>
      </c>
      <c r="AH2081">
        <v>0.64317517087883602</v>
      </c>
      <c r="AI2081">
        <v>98.387659314758494</v>
      </c>
      <c r="AJ2081">
        <v>89.779733295090395</v>
      </c>
      <c r="AK2081">
        <v>0.65013390275916305</v>
      </c>
      <c r="AL2081">
        <v>69.200254572880795</v>
      </c>
      <c r="AM2081">
        <v>93.291594857124693</v>
      </c>
      <c r="AN2081">
        <v>0.99999997508329896</v>
      </c>
    </row>
    <row r="2082" spans="1:40" x14ac:dyDescent="0.25">
      <c r="A2082" t="str">
        <f>"20190304164856682"</f>
        <v>20190304164856682</v>
      </c>
      <c r="B2082" t="str">
        <f>"1551689336677726"</f>
        <v>1551689336677726</v>
      </c>
      <c r="C2082" t="s">
        <v>40</v>
      </c>
      <c r="D2082">
        <v>4.3011369999999998</v>
      </c>
      <c r="E2082">
        <v>0.53836079999999997</v>
      </c>
      <c r="F2082" t="s">
        <v>41</v>
      </c>
      <c r="G2082">
        <v>-254.29939999999999</v>
      </c>
      <c r="H2082">
        <v>1.027752</v>
      </c>
      <c r="I2082">
        <v>284.8544</v>
      </c>
      <c r="J2082">
        <v>-253.70179999999999</v>
      </c>
      <c r="K2082">
        <v>1.10941</v>
      </c>
      <c r="L2082">
        <v>284.86349999999999</v>
      </c>
      <c r="M2082">
        <v>-0.99957759999999996</v>
      </c>
      <c r="N2082">
        <v>-7.7389059999999898E-3</v>
      </c>
      <c r="O2082">
        <v>-2.8017130000000001E-2</v>
      </c>
      <c r="P2082">
        <v>-0.9339828</v>
      </c>
      <c r="Q2082">
        <v>0.34867110000000001</v>
      </c>
      <c r="R2082">
        <v>-7.8133579999999994E-2</v>
      </c>
      <c r="S2082">
        <v>-3.3028559999999998</v>
      </c>
      <c r="T2082">
        <v>-0.26054389999999999</v>
      </c>
      <c r="U2082">
        <v>-6.7993159999999997E-2</v>
      </c>
      <c r="V2082">
        <v>-5.171311E-2</v>
      </c>
      <c r="W2082">
        <v>0.35593540000000001</v>
      </c>
      <c r="X2082">
        <v>0.93307859999999998</v>
      </c>
      <c r="Y2082">
        <v>7.3425269999999997E-3</v>
      </c>
      <c r="Z2082">
        <v>2.3071329999999998E-3</v>
      </c>
      <c r="AA2082">
        <v>0.99997040000000004</v>
      </c>
      <c r="AB2082">
        <v>42</v>
      </c>
      <c r="AC2082">
        <v>-0.59759999999999902</v>
      </c>
      <c r="AD2082">
        <v>-8.1657999999999994E-2</v>
      </c>
      <c r="AE2082">
        <v>-9.0999999999894499E-3</v>
      </c>
      <c r="AF2082">
        <v>7.50697578672113E-3</v>
      </c>
      <c r="AG2082">
        <v>-8.1657999999999994E-2</v>
      </c>
      <c r="AH2082">
        <v>0.58666898042235405</v>
      </c>
      <c r="AI2082">
        <v>97.923403865481305</v>
      </c>
      <c r="AJ2082">
        <v>89.266887169941498</v>
      </c>
      <c r="AK2082">
        <v>0.59237224465640403</v>
      </c>
      <c r="AL2082">
        <v>69.149215445847801</v>
      </c>
      <c r="AM2082">
        <v>93.172203142673794</v>
      </c>
      <c r="AN2082">
        <v>0.99999996424849502</v>
      </c>
    </row>
    <row r="2083" spans="1:40" x14ac:dyDescent="0.25">
      <c r="A2083" t="str">
        <f>"20190304164856704"</f>
        <v>20190304164856704</v>
      </c>
      <c r="B2083" t="str">
        <f>"1551689336698222"</f>
        <v>1551689336698222</v>
      </c>
      <c r="C2083" t="s">
        <v>40</v>
      </c>
      <c r="D2083">
        <v>4.3010789999999997</v>
      </c>
      <c r="E2083">
        <v>0.53844019999999904</v>
      </c>
      <c r="F2083" t="s">
        <v>41</v>
      </c>
      <c r="G2083">
        <v>-254.66839999999999</v>
      </c>
      <c r="H2083">
        <v>1.018065</v>
      </c>
      <c r="I2083">
        <v>284.8433</v>
      </c>
      <c r="J2083">
        <v>-254.11250000000001</v>
      </c>
      <c r="K2083">
        <v>1.1093850000000001</v>
      </c>
      <c r="L2083">
        <v>284.85219999999998</v>
      </c>
      <c r="M2083">
        <v>-0.99958709999999995</v>
      </c>
      <c r="N2083">
        <v>-7.7536169999999904E-3</v>
      </c>
      <c r="O2083">
        <v>-2.7674199999999999E-2</v>
      </c>
      <c r="P2083">
        <v>-0.93397779999999997</v>
      </c>
      <c r="Q2083">
        <v>0.34896369999999999</v>
      </c>
      <c r="R2083">
        <v>-7.6878440000000006E-2</v>
      </c>
      <c r="S2083">
        <v>-3.3235019999999902</v>
      </c>
      <c r="T2083">
        <v>-0.3142257</v>
      </c>
      <c r="U2083">
        <v>-7.0007319999999998E-2</v>
      </c>
      <c r="V2083">
        <v>-5.0753659999999999E-2</v>
      </c>
      <c r="W2083">
        <v>0.35624420000000001</v>
      </c>
      <c r="X2083">
        <v>0.93301350000000005</v>
      </c>
      <c r="Y2083">
        <v>6.4821150000000001E-3</v>
      </c>
      <c r="Z2083">
        <v>2.726708E-3</v>
      </c>
      <c r="AA2083">
        <v>0.99997530000000001</v>
      </c>
      <c r="AB2083">
        <v>42</v>
      </c>
      <c r="AC2083">
        <v>-0.55589999999997897</v>
      </c>
      <c r="AD2083">
        <v>-9.1319999999999998E-2</v>
      </c>
      <c r="AE2083">
        <v>-8.8999999999828001E-3</v>
      </c>
      <c r="AF2083">
        <v>6.31751571131279E-3</v>
      </c>
      <c r="AG2083">
        <v>-9.1319999999999998E-2</v>
      </c>
      <c r="AH2083">
        <v>0.54132882874746802</v>
      </c>
      <c r="AI2083">
        <v>99.574773816506294</v>
      </c>
      <c r="AJ2083">
        <v>89.331366562537198</v>
      </c>
      <c r="AK2083">
        <v>0.54901380150035195</v>
      </c>
      <c r="AL2083">
        <v>69.130282799641805</v>
      </c>
      <c r="AM2083">
        <v>93.113681929098504</v>
      </c>
      <c r="AN2083">
        <v>1.0000000276096399</v>
      </c>
    </row>
    <row r="2084" spans="1:40" x14ac:dyDescent="0.25">
      <c r="A2084" t="str">
        <f>"20190304164856726"</f>
        <v>20190304164856726</v>
      </c>
      <c r="B2084" t="str">
        <f>"1551689336717745"</f>
        <v>1551689336717745</v>
      </c>
      <c r="C2084" t="s">
        <v>40</v>
      </c>
      <c r="D2084">
        <v>4.2960289999999999</v>
      </c>
      <c r="E2084">
        <v>0.53788139999999995</v>
      </c>
      <c r="F2084" t="s">
        <v>41</v>
      </c>
      <c r="G2084">
        <v>-255.0437</v>
      </c>
      <c r="H2084">
        <v>1.0199670000000001</v>
      </c>
      <c r="I2084">
        <v>284.83440000000002</v>
      </c>
      <c r="J2084">
        <v>-254.5334</v>
      </c>
      <c r="K2084">
        <v>1.1093580000000001</v>
      </c>
      <c r="L2084">
        <v>284.84089999999998</v>
      </c>
      <c r="M2084">
        <v>-0.99959690000000001</v>
      </c>
      <c r="N2084">
        <v>-7.768853E-3</v>
      </c>
      <c r="O2084">
        <v>-2.7310930000000001E-2</v>
      </c>
      <c r="P2084">
        <v>-0.93390640000000003</v>
      </c>
      <c r="Q2084">
        <v>0.3495393</v>
      </c>
      <c r="R2084">
        <v>-7.5108419999999995E-2</v>
      </c>
      <c r="S2084">
        <v>-3.3261409999999998</v>
      </c>
      <c r="T2084">
        <v>-0.31939800000000002</v>
      </c>
      <c r="U2084">
        <v>-6.4178470000000001E-2</v>
      </c>
      <c r="V2084">
        <v>-4.9303359999999997E-2</v>
      </c>
      <c r="W2084">
        <v>0.35683490000000001</v>
      </c>
      <c r="X2084">
        <v>0.93286550000000001</v>
      </c>
      <c r="Y2084">
        <v>7.877083E-3</v>
      </c>
      <c r="Z2084">
        <v>2.812134E-3</v>
      </c>
      <c r="AA2084">
        <v>0.99996499999999999</v>
      </c>
      <c r="AB2084">
        <v>42</v>
      </c>
      <c r="AC2084">
        <v>-0.51029999999999998</v>
      </c>
      <c r="AD2084">
        <v>-8.9390999999999998E-2</v>
      </c>
      <c r="AE2084">
        <v>-6.4999999999599796E-3</v>
      </c>
      <c r="AF2084">
        <v>7.2181531166426102E-3</v>
      </c>
      <c r="AG2084">
        <v>-8.9390999999999998E-2</v>
      </c>
      <c r="AH2084">
        <v>0.49509721171033899</v>
      </c>
      <c r="AI2084">
        <v>100.23356425982099</v>
      </c>
      <c r="AJ2084">
        <v>89.1647288626923</v>
      </c>
      <c r="AK2084">
        <v>0.503154152977761</v>
      </c>
      <c r="AL2084">
        <v>69.094056948192502</v>
      </c>
      <c r="AM2084">
        <v>93.025354264288396</v>
      </c>
      <c r="AN2084">
        <v>1.0000000041277699</v>
      </c>
    </row>
    <row r="2085" spans="1:40" x14ac:dyDescent="0.25">
      <c r="A2085" t="str">
        <f>"20190304164856739"</f>
        <v>20190304164856739</v>
      </c>
      <c r="B2085" t="str">
        <f>"1551689336728478"</f>
        <v>1551689336728478</v>
      </c>
      <c r="C2085" t="s">
        <v>40</v>
      </c>
      <c r="D2085">
        <v>4.3239559999999999</v>
      </c>
      <c r="E2085">
        <v>0.53753479999999998</v>
      </c>
      <c r="F2085" t="s">
        <v>41</v>
      </c>
      <c r="G2085">
        <v>-255.4288</v>
      </c>
      <c r="H2085">
        <v>1.0392459999999999</v>
      </c>
      <c r="I2085">
        <v>284.82600000000002</v>
      </c>
      <c r="J2085">
        <v>-254.77289999999999</v>
      </c>
      <c r="K2085">
        <v>1.1093470000000001</v>
      </c>
      <c r="L2085">
        <v>284.83449999999999</v>
      </c>
      <c r="M2085">
        <v>-0.99960249999999995</v>
      </c>
      <c r="N2085">
        <v>-7.7776260000000002E-3</v>
      </c>
      <c r="O2085">
        <v>-2.710152E-2</v>
      </c>
      <c r="P2085">
        <v>-0.93396840000000003</v>
      </c>
      <c r="Q2085">
        <v>0.34948439999999997</v>
      </c>
      <c r="R2085">
        <v>-7.4591229999999994E-2</v>
      </c>
      <c r="S2085">
        <v>-3.3047179999999998</v>
      </c>
      <c r="T2085">
        <v>-0.25871709999999998</v>
      </c>
      <c r="U2085">
        <v>-5.5114749999999997E-2</v>
      </c>
      <c r="V2085">
        <v>-4.8970189999999997E-2</v>
      </c>
      <c r="W2085">
        <v>0.35678989999999999</v>
      </c>
      <c r="X2085">
        <v>0.93290019999999996</v>
      </c>
      <c r="Y2085">
        <v>1.032747E-2</v>
      </c>
      <c r="Z2085">
        <v>2.3513259999999999E-3</v>
      </c>
      <c r="AA2085">
        <v>0.9999439</v>
      </c>
      <c r="AB2085">
        <v>42</v>
      </c>
      <c r="AC2085">
        <v>-0.65590000000000204</v>
      </c>
      <c r="AD2085">
        <v>-7.01009999999999E-2</v>
      </c>
      <c r="AE2085">
        <v>-8.5000000000263701E-3</v>
      </c>
      <c r="AF2085">
        <v>9.1747617174618001E-3</v>
      </c>
      <c r="AG2085">
        <v>-7.01009999999999E-2</v>
      </c>
      <c r="AH2085">
        <v>0.64848317443463799</v>
      </c>
      <c r="AI2085">
        <v>96.169100547526099</v>
      </c>
      <c r="AJ2085">
        <v>89.189431468482397</v>
      </c>
      <c r="AK2085">
        <v>0.65232565025330502</v>
      </c>
      <c r="AL2085">
        <v>69.096815696535799</v>
      </c>
      <c r="AM2085">
        <v>93.004836305377594</v>
      </c>
      <c r="AN2085">
        <v>0.99999994770534095</v>
      </c>
    </row>
    <row r="2086" spans="1:40" x14ac:dyDescent="0.25">
      <c r="A2086" t="str">
        <f>"20190304164856759"</f>
        <v>20190304164856759</v>
      </c>
      <c r="B2086" t="str">
        <f>"1551689336748001"</f>
        <v>1551689336748001</v>
      </c>
      <c r="C2086" t="s">
        <v>40</v>
      </c>
      <c r="D2086">
        <v>4.3029449999999896</v>
      </c>
      <c r="E2086">
        <v>0.53718999999999995</v>
      </c>
      <c r="F2086" t="s">
        <v>41</v>
      </c>
      <c r="G2086">
        <v>-255.7989</v>
      </c>
      <c r="H2086">
        <v>1.0293000000000001</v>
      </c>
      <c r="I2086">
        <v>284.81729999999999</v>
      </c>
      <c r="J2086">
        <v>-255.16079999999999</v>
      </c>
      <c r="K2086">
        <v>1.109334</v>
      </c>
      <c r="L2086">
        <v>284.82420000000002</v>
      </c>
      <c r="M2086">
        <v>-0.99961169999999999</v>
      </c>
      <c r="N2086">
        <v>-7.792045E-3</v>
      </c>
      <c r="O2086">
        <v>-2.676048E-2</v>
      </c>
      <c r="P2086">
        <v>-0.93388190000000004</v>
      </c>
      <c r="Q2086">
        <v>0.35009980000000002</v>
      </c>
      <c r="R2086">
        <v>-7.2769490000000006E-2</v>
      </c>
      <c r="S2086">
        <v>-3.3041529999999999</v>
      </c>
      <c r="T2086">
        <v>-0.25772450000000002</v>
      </c>
      <c r="U2086">
        <v>-5.502319E-2</v>
      </c>
      <c r="V2086">
        <v>-4.745303E-2</v>
      </c>
      <c r="W2086">
        <v>0.35741790000000001</v>
      </c>
      <c r="X2086">
        <v>0.93273819999999996</v>
      </c>
      <c r="Y2086">
        <v>1.0013849999999999E-2</v>
      </c>
      <c r="Z2086">
        <v>2.3044609999999998E-3</v>
      </c>
      <c r="AA2086">
        <v>0.99994720000000004</v>
      </c>
      <c r="AB2086">
        <v>42</v>
      </c>
      <c r="AC2086">
        <v>-0.63810000000000799</v>
      </c>
      <c r="AD2086">
        <v>-8.0033999999999897E-2</v>
      </c>
      <c r="AE2086">
        <v>-6.9000000000300999E-3</v>
      </c>
      <c r="AF2086">
        <v>1.0021217715740599E-2</v>
      </c>
      <c r="AG2086">
        <v>-8.0033999999999897E-2</v>
      </c>
      <c r="AH2086">
        <v>0.62817510538320098</v>
      </c>
      <c r="AI2086">
        <v>97.259859698744705</v>
      </c>
      <c r="AJ2086">
        <v>89.086043405599597</v>
      </c>
      <c r="AK2086">
        <v>0.63333232112667504</v>
      </c>
      <c r="AL2086">
        <v>69.058293999136396</v>
      </c>
      <c r="AM2086">
        <v>92.912410227795604</v>
      </c>
      <c r="AN2086">
        <v>0.99999994751791399</v>
      </c>
    </row>
    <row r="2087" spans="1:40" x14ac:dyDescent="0.25">
      <c r="A2087" t="str">
        <f>"20190304164856783"</f>
        <v>20190304164856783</v>
      </c>
      <c r="B2087" t="str">
        <f>"1551689336778255"</f>
        <v>1551689336778255</v>
      </c>
      <c r="C2087" t="s">
        <v>40</v>
      </c>
      <c r="D2087">
        <v>4.3367440000000004</v>
      </c>
      <c r="E2087">
        <v>0.53679250000000001</v>
      </c>
      <c r="F2087" t="s">
        <v>41</v>
      </c>
      <c r="G2087">
        <v>-256.1687</v>
      </c>
      <c r="H2087">
        <v>1.0156419999999999</v>
      </c>
      <c r="I2087">
        <v>284.80720000000002</v>
      </c>
      <c r="J2087">
        <v>-255.58750000000001</v>
      </c>
      <c r="K2087">
        <v>1.109318</v>
      </c>
      <c r="L2087">
        <v>284.81299999999999</v>
      </c>
      <c r="M2087">
        <v>-0.99962139999999999</v>
      </c>
      <c r="N2087">
        <v>-7.8080629999999996E-3</v>
      </c>
      <c r="O2087">
        <v>-2.6384040000000001E-2</v>
      </c>
      <c r="P2087">
        <v>-0.93382980000000004</v>
      </c>
      <c r="Q2087">
        <v>0.3503928</v>
      </c>
      <c r="R2087">
        <v>-7.2021109999999999E-2</v>
      </c>
      <c r="S2087">
        <v>-3.3238829999999999</v>
      </c>
      <c r="T2087">
        <v>-0.30909009999999998</v>
      </c>
      <c r="U2087">
        <v>-5.6426999999999998E-2</v>
      </c>
      <c r="V2087">
        <v>-4.704233E-2</v>
      </c>
      <c r="W2087">
        <v>0.35772739999999997</v>
      </c>
      <c r="X2087">
        <v>0.93264040000000004</v>
      </c>
      <c r="Y2087">
        <v>9.274338E-3</v>
      </c>
      <c r="Z2087">
        <v>2.7085920000000001E-3</v>
      </c>
      <c r="AA2087">
        <v>0.99995330000000004</v>
      </c>
      <c r="AB2087">
        <v>42</v>
      </c>
      <c r="AC2087">
        <v>-0.58119999999999505</v>
      </c>
      <c r="AD2087">
        <v>-9.3675999999999995E-2</v>
      </c>
      <c r="AE2087">
        <v>-5.7999999999651603E-3</v>
      </c>
      <c r="AF2087">
        <v>9.2954378170771994E-3</v>
      </c>
      <c r="AG2087">
        <v>-9.3675999999999995E-2</v>
      </c>
      <c r="AH2087">
        <v>0.56643725932982603</v>
      </c>
      <c r="AI2087">
        <v>99.3892002543367</v>
      </c>
      <c r="AJ2087">
        <v>89.059840174959703</v>
      </c>
      <c r="AK2087">
        <v>0.57420620590280702</v>
      </c>
      <c r="AL2087">
        <v>69.0393065720436</v>
      </c>
      <c r="AM2087">
        <v>92.887548774715597</v>
      </c>
      <c r="AN2087">
        <v>0.99999999461737399</v>
      </c>
    </row>
    <row r="2088" spans="1:40" x14ac:dyDescent="0.25">
      <c r="A2088" t="str">
        <f>"20190304164856805"</f>
        <v>20190304164856805</v>
      </c>
      <c r="B2088" t="str">
        <f>"1551689336797774"</f>
        <v>1551689336797774</v>
      </c>
      <c r="C2088" t="s">
        <v>40</v>
      </c>
      <c r="D2088">
        <v>4.8532679999999999</v>
      </c>
      <c r="E2088">
        <v>0.53699859999999999</v>
      </c>
      <c r="F2088" t="s">
        <v>41</v>
      </c>
      <c r="G2088">
        <v>-256.548</v>
      </c>
      <c r="H2088">
        <v>1.020521</v>
      </c>
      <c r="I2088">
        <v>284.79660000000001</v>
      </c>
      <c r="J2088">
        <v>-256.01260000000002</v>
      </c>
      <c r="K2088">
        <v>1.109299</v>
      </c>
      <c r="L2088">
        <v>284.80200000000002</v>
      </c>
      <c r="M2088">
        <v>-0.99963120000000005</v>
      </c>
      <c r="N2088">
        <v>-7.8242980000000004E-3</v>
      </c>
      <c r="O2088">
        <v>-2.6004139999999999E-2</v>
      </c>
      <c r="P2088">
        <v>-0.93385019999999996</v>
      </c>
      <c r="Q2088">
        <v>0.35032649999999999</v>
      </c>
      <c r="R2088">
        <v>-7.2079030000000002E-2</v>
      </c>
      <c r="S2088">
        <v>-3.3234859999999999</v>
      </c>
      <c r="T2088">
        <v>-0.30731770000000003</v>
      </c>
      <c r="U2088">
        <v>-5.706787E-2</v>
      </c>
      <c r="V2088">
        <v>-4.7438620000000001E-2</v>
      </c>
      <c r="W2088">
        <v>0.35767890000000002</v>
      </c>
      <c r="X2088">
        <v>0.93263890000000005</v>
      </c>
      <c r="Y2088">
        <v>8.7051769999999997E-3</v>
      </c>
      <c r="Z2088">
        <v>2.6315760000000001E-3</v>
      </c>
      <c r="AA2088">
        <v>0.99995860000000003</v>
      </c>
      <c r="AB2088">
        <v>42</v>
      </c>
      <c r="AC2088">
        <v>-0.535399999999981</v>
      </c>
      <c r="AD2088">
        <v>-8.8777999999999996E-2</v>
      </c>
      <c r="AE2088">
        <v>-5.4000000000087303E-3</v>
      </c>
      <c r="AF2088">
        <v>8.2967724584924098E-3</v>
      </c>
      <c r="AG2088">
        <v>-8.8777999999999996E-2</v>
      </c>
      <c r="AH2088">
        <v>0.52103495474496098</v>
      </c>
      <c r="AI2088">
        <v>99.668436612000605</v>
      </c>
      <c r="AJ2088">
        <v>89.087719799606305</v>
      </c>
      <c r="AK2088">
        <v>0.52860930164282105</v>
      </c>
      <c r="AL2088">
        <v>69.042281721254199</v>
      </c>
      <c r="AM2088">
        <v>92.911836804804693</v>
      </c>
      <c r="AN2088">
        <v>0.99999996798296098</v>
      </c>
    </row>
    <row r="2089" spans="1:40" x14ac:dyDescent="0.25">
      <c r="A2089" t="str">
        <f>"20190304164856829"</f>
        <v>20190304164856829</v>
      </c>
      <c r="B2089" t="str">
        <f>"1551689336818270"</f>
        <v>1551689336818270</v>
      </c>
      <c r="C2089" t="s">
        <v>40</v>
      </c>
      <c r="D2089">
        <v>4.3548970000000002</v>
      </c>
      <c r="E2089">
        <v>0.53612669999999996</v>
      </c>
      <c r="F2089" t="s">
        <v>41</v>
      </c>
      <c r="G2089">
        <v>-256.92770000000002</v>
      </c>
      <c r="H2089">
        <v>1.024532</v>
      </c>
      <c r="I2089">
        <v>284.7867</v>
      </c>
      <c r="J2089">
        <v>-256.4538</v>
      </c>
      <c r="K2089">
        <v>1.10927</v>
      </c>
      <c r="L2089">
        <v>284.79079999999999</v>
      </c>
      <c r="M2089">
        <v>-0.99964180000000002</v>
      </c>
      <c r="N2089">
        <v>-7.8413279999999998E-3</v>
      </c>
      <c r="O2089">
        <v>-2.5592489999999999E-2</v>
      </c>
      <c r="P2089">
        <v>-0.93391270000000004</v>
      </c>
      <c r="Q2089">
        <v>0.350188</v>
      </c>
      <c r="R2089">
        <v>-7.1942640000000002E-2</v>
      </c>
      <c r="S2089">
        <v>-3.3237299999999999</v>
      </c>
      <c r="T2089">
        <v>-0.30798959999999997</v>
      </c>
      <c r="U2089">
        <v>-5.5908199999999998E-2</v>
      </c>
      <c r="V2089">
        <v>-4.7664650000000003E-2</v>
      </c>
      <c r="W2089">
        <v>0.35755959999999998</v>
      </c>
      <c r="X2089">
        <v>0.93267319999999998</v>
      </c>
      <c r="Y2089">
        <v>8.6446409999999998E-3</v>
      </c>
      <c r="Z2089">
        <v>2.5992519999999998E-3</v>
      </c>
      <c r="AA2089">
        <v>0.99995919999999905</v>
      </c>
      <c r="AB2089">
        <v>42</v>
      </c>
      <c r="AC2089">
        <v>-0.47390000000001398</v>
      </c>
      <c r="AD2089">
        <v>-8.4737999999999897E-2</v>
      </c>
      <c r="AE2089">
        <v>-4.0999999999939904E-3</v>
      </c>
      <c r="AF2089">
        <v>7.7812254588181399E-3</v>
      </c>
      <c r="AG2089">
        <v>-8.4737999999999897E-2</v>
      </c>
      <c r="AH2089">
        <v>0.45916977758335598</v>
      </c>
      <c r="AI2089">
        <v>100.454603223135</v>
      </c>
      <c r="AJ2089">
        <v>89.029141877658702</v>
      </c>
      <c r="AK2089">
        <v>0.46698818053521401</v>
      </c>
      <c r="AL2089">
        <v>69.049602789197095</v>
      </c>
      <c r="AM2089">
        <v>92.925579329544405</v>
      </c>
      <c r="AN2089">
        <v>1.0000000422050099</v>
      </c>
    </row>
    <row r="2090" spans="1:40" x14ac:dyDescent="0.25">
      <c r="A2090" t="str">
        <f>"20190304164856849"</f>
        <v>20190304164856849</v>
      </c>
      <c r="B2090" t="str">
        <f>"1551689336837794"</f>
        <v>1551689336837794</v>
      </c>
      <c r="C2090" t="s">
        <v>40</v>
      </c>
      <c r="D2090">
        <v>4.3318789999999998</v>
      </c>
      <c r="E2090">
        <v>0.53619890000000003</v>
      </c>
      <c r="F2090" t="s">
        <v>41</v>
      </c>
      <c r="G2090">
        <v>-257.31639999999999</v>
      </c>
      <c r="H2090">
        <v>1.0416459999999901</v>
      </c>
      <c r="I2090">
        <v>284.77519999999998</v>
      </c>
      <c r="J2090">
        <v>-256.84399999999999</v>
      </c>
      <c r="K2090">
        <v>1.1092340000000001</v>
      </c>
      <c r="L2090">
        <v>284.78109999999998</v>
      </c>
      <c r="M2090">
        <v>-0.99965159999999997</v>
      </c>
      <c r="N2090">
        <v>-7.8564050000000003E-3</v>
      </c>
      <c r="O2090">
        <v>-2.5199989999999999E-2</v>
      </c>
      <c r="P2090">
        <v>-0.93384460000000002</v>
      </c>
      <c r="Q2090">
        <v>0.35045690000000002</v>
      </c>
      <c r="R2090">
        <v>-7.1512339999999994E-2</v>
      </c>
      <c r="S2090">
        <v>-3.30484</v>
      </c>
      <c r="T2090">
        <v>-0.25905470000000003</v>
      </c>
      <c r="U2090">
        <v>-5.9448239999999999E-2</v>
      </c>
      <c r="V2090">
        <v>-4.7578559999999999E-2</v>
      </c>
      <c r="W2090">
        <v>0.35784549999999998</v>
      </c>
      <c r="X2090">
        <v>0.93256790000000001</v>
      </c>
      <c r="Y2090">
        <v>7.1304709999999898E-3</v>
      </c>
      <c r="Z2090">
        <v>2.081238E-3</v>
      </c>
      <c r="AA2090">
        <v>0.99997239999999998</v>
      </c>
      <c r="AB2090">
        <v>42</v>
      </c>
      <c r="AC2090">
        <v>-0.47239999999999299</v>
      </c>
      <c r="AD2090">
        <v>-6.7588000000000203E-2</v>
      </c>
      <c r="AE2090">
        <v>-5.8999999999968999E-3</v>
      </c>
      <c r="AF2090">
        <v>5.8862429268807196E-3</v>
      </c>
      <c r="AG2090">
        <v>-6.7588000000000203E-2</v>
      </c>
      <c r="AH2090">
        <v>0.46292404359188399</v>
      </c>
      <c r="AI2090">
        <v>98.305965173798398</v>
      </c>
      <c r="AJ2090">
        <v>89.2715031603813</v>
      </c>
      <c r="AK2090">
        <v>0.46786905832214998</v>
      </c>
      <c r="AL2090">
        <v>69.032060480296096</v>
      </c>
      <c r="AM2090">
        <v>92.920633591584803</v>
      </c>
      <c r="AN2090">
        <v>1.0000000046761599</v>
      </c>
    </row>
    <row r="2091" spans="1:40" x14ac:dyDescent="0.25">
      <c r="A2091" t="str">
        <f>"20190304164856862"</f>
        <v>20190304164856862</v>
      </c>
      <c r="B2091" t="str">
        <f>"1551689336858286"</f>
        <v>1551689336858286</v>
      </c>
      <c r="C2091" t="s">
        <v>40</v>
      </c>
      <c r="D2091">
        <v>4.3440190000000003</v>
      </c>
      <c r="E2091">
        <v>0.53616370000000002</v>
      </c>
      <c r="F2091" t="s">
        <v>41</v>
      </c>
      <c r="G2091">
        <v>-257.69630000000001</v>
      </c>
      <c r="H2091">
        <v>1.0425739999999999</v>
      </c>
      <c r="I2091">
        <v>284.76569999999998</v>
      </c>
      <c r="J2091">
        <v>-257.09190000000001</v>
      </c>
      <c r="K2091">
        <v>1.1092109999999999</v>
      </c>
      <c r="L2091">
        <v>284.77499999999998</v>
      </c>
      <c r="M2091">
        <v>-0.9996583</v>
      </c>
      <c r="N2091">
        <v>-7.8660899999999992E-3</v>
      </c>
      <c r="O2091">
        <v>-2.4931490000000001E-2</v>
      </c>
      <c r="P2091">
        <v>-0.93367829999999996</v>
      </c>
      <c r="Q2091">
        <v>0.35094509999999901</v>
      </c>
      <c r="R2091">
        <v>-7.1295440000000002E-2</v>
      </c>
      <c r="S2091">
        <v>-3.3049620000000002</v>
      </c>
      <c r="T2091">
        <v>-0.25869049999999999</v>
      </c>
      <c r="U2091">
        <v>-6.0394290000000003E-2</v>
      </c>
      <c r="V2091">
        <v>-4.7596399999999997E-2</v>
      </c>
      <c r="W2091">
        <v>0.35834310000000003</v>
      </c>
      <c r="X2091">
        <v>0.93237590000000004</v>
      </c>
      <c r="Y2091">
        <v>6.5792069999999897E-3</v>
      </c>
      <c r="Z2091">
        <v>2.0352059999999999E-3</v>
      </c>
      <c r="AA2091">
        <v>0.99997630000000004</v>
      </c>
      <c r="AB2091">
        <v>42</v>
      </c>
      <c r="AC2091">
        <v>-0.60439999999999805</v>
      </c>
      <c r="AD2091">
        <v>-6.6637000000000196E-2</v>
      </c>
      <c r="AE2091">
        <v>-9.2999999999960892E-3</v>
      </c>
      <c r="AF2091">
        <v>5.7026448956149396E-3</v>
      </c>
      <c r="AG2091">
        <v>-6.6637000000000196E-2</v>
      </c>
      <c r="AH2091">
        <v>0.59718645368855905</v>
      </c>
      <c r="AI2091">
        <v>96.366718392538303</v>
      </c>
      <c r="AJ2091">
        <v>89.452888538067199</v>
      </c>
      <c r="AK2091">
        <v>0.60091985355529998</v>
      </c>
      <c r="AL2091">
        <v>69.001525209245997</v>
      </c>
      <c r="AM2091">
        <v>92.922327427078898</v>
      </c>
      <c r="AN2091">
        <v>1.00000000675569</v>
      </c>
    </row>
    <row r="2092" spans="1:40" x14ac:dyDescent="0.25">
      <c r="A2092" t="str">
        <f>"20190304164856884"</f>
        <v>20190304164856884</v>
      </c>
      <c r="B2092" t="str">
        <f>"1551689336877806"</f>
        <v>1551689336877806</v>
      </c>
      <c r="C2092" t="s">
        <v>40</v>
      </c>
      <c r="D2092">
        <v>4.3256439999999996</v>
      </c>
      <c r="E2092">
        <v>0.54519890000000004</v>
      </c>
      <c r="F2092" t="s">
        <v>41</v>
      </c>
      <c r="G2092">
        <v>-258.06130000000002</v>
      </c>
      <c r="H2092">
        <v>1.017118</v>
      </c>
      <c r="I2092">
        <v>284.75560000000002</v>
      </c>
      <c r="J2092">
        <v>-257.50569999999999</v>
      </c>
      <c r="K2092">
        <v>1.1091660000000001</v>
      </c>
      <c r="L2092">
        <v>284.76499999999999</v>
      </c>
      <c r="M2092">
        <v>-0.99967010000000001</v>
      </c>
      <c r="N2092">
        <v>-7.8825730000000004E-3</v>
      </c>
      <c r="O2092">
        <v>-2.4446369999999999E-2</v>
      </c>
      <c r="P2092">
        <v>-0.93368039999999997</v>
      </c>
      <c r="Q2092">
        <v>0.35098220000000002</v>
      </c>
      <c r="R2092">
        <v>-7.1082149999999997E-2</v>
      </c>
      <c r="S2092">
        <v>-3.3268740000000001</v>
      </c>
      <c r="T2092">
        <v>-0.31612469999999998</v>
      </c>
      <c r="U2092">
        <v>-6.6711430000000002E-2</v>
      </c>
      <c r="V2092">
        <v>-4.7798420000000001E-2</v>
      </c>
      <c r="W2092">
        <v>0.35840149999999998</v>
      </c>
      <c r="X2092">
        <v>0.93234309999999998</v>
      </c>
      <c r="Y2092">
        <v>4.2865100000000003E-3</v>
      </c>
      <c r="Z2092">
        <v>2.3449679999999998E-3</v>
      </c>
      <c r="AA2092">
        <v>0.99998810000000005</v>
      </c>
      <c r="AB2092">
        <v>42</v>
      </c>
      <c r="AC2092">
        <v>-0.55560000000002596</v>
      </c>
      <c r="AD2092">
        <v>-9.2048000000000102E-2</v>
      </c>
      <c r="AE2092">
        <v>-9.3999999999709802E-3</v>
      </c>
      <c r="AF2092">
        <v>4.0738487878951898E-3</v>
      </c>
      <c r="AG2092">
        <v>-9.2048000000000102E-2</v>
      </c>
      <c r="AH2092">
        <v>0.54082368791000301</v>
      </c>
      <c r="AI2092">
        <v>99.658893638578107</v>
      </c>
      <c r="AJ2092">
        <v>89.568417707002098</v>
      </c>
      <c r="AK2092">
        <v>0.54861616085613396</v>
      </c>
      <c r="AL2092">
        <v>68.997940707415196</v>
      </c>
      <c r="AM2092">
        <v>92.934812492609893</v>
      </c>
      <c r="AN2092">
        <v>0.999999990137178</v>
      </c>
    </row>
    <row r="2093" spans="1:40" x14ac:dyDescent="0.25">
      <c r="A2093" t="str">
        <f>"20190304164856906"</f>
        <v>20190304164856906</v>
      </c>
      <c r="B2093" t="str">
        <f>"1551689336898302"</f>
        <v>1551689336898302</v>
      </c>
      <c r="C2093" t="s">
        <v>40</v>
      </c>
      <c r="D2093">
        <v>4.3152619999999997</v>
      </c>
      <c r="E2093">
        <v>0.54885589999999995</v>
      </c>
      <c r="F2093" t="s">
        <v>41</v>
      </c>
      <c r="G2093">
        <v>-258.44650000000001</v>
      </c>
      <c r="H2093">
        <v>1.026807</v>
      </c>
      <c r="I2093">
        <v>284.7681</v>
      </c>
      <c r="J2093">
        <v>-257.92270000000002</v>
      </c>
      <c r="K2093">
        <v>1.109118</v>
      </c>
      <c r="L2093">
        <v>284.7552</v>
      </c>
      <c r="M2093">
        <v>-0.99968279999999998</v>
      </c>
      <c r="N2093">
        <v>-7.8994129999999992E-3</v>
      </c>
      <c r="O2093">
        <v>-2.391271E-2</v>
      </c>
      <c r="P2093">
        <v>-0.93379590000000001</v>
      </c>
      <c r="Q2093">
        <v>0.35064380000000001</v>
      </c>
      <c r="R2093">
        <v>-7.123256E-2</v>
      </c>
      <c r="S2093">
        <v>-3.323242</v>
      </c>
      <c r="T2093">
        <v>-0.29104970000000002</v>
      </c>
      <c r="U2093">
        <v>9.7961430000000002E-3</v>
      </c>
      <c r="V2093">
        <v>-4.8404889999999999E-2</v>
      </c>
      <c r="W2093">
        <v>0.3580854</v>
      </c>
      <c r="X2093">
        <v>0.93243330000000002</v>
      </c>
      <c r="Y2093">
        <v>2.667317E-2</v>
      </c>
      <c r="Z2093">
        <v>3.1729150000000001E-3</v>
      </c>
      <c r="AA2093">
        <v>0.99963919999999995</v>
      </c>
      <c r="AB2093">
        <v>42</v>
      </c>
      <c r="AC2093">
        <v>-0.52379999999999405</v>
      </c>
      <c r="AD2093">
        <v>-8.2310999999999995E-2</v>
      </c>
      <c r="AE2093">
        <v>1.29000000000019E-2</v>
      </c>
      <c r="AF2093">
        <v>2.4809904828489E-2</v>
      </c>
      <c r="AG2093">
        <v>-8.2310999999999995E-2</v>
      </c>
      <c r="AH2093">
        <v>0.510737415532317</v>
      </c>
      <c r="AI2093">
        <v>99.144530041049904</v>
      </c>
      <c r="AJ2093">
        <v>87.218949949196499</v>
      </c>
      <c r="AK2093">
        <v>0.51792213673797405</v>
      </c>
      <c r="AL2093">
        <v>69.017340154069501</v>
      </c>
      <c r="AM2093">
        <v>92.971696294328893</v>
      </c>
      <c r="AN2093">
        <v>1.0000000230089801</v>
      </c>
    </row>
    <row r="2094" spans="1:40" x14ac:dyDescent="0.25">
      <c r="A2094" t="str">
        <f>"20190304164856928"</f>
        <v>20190304164856928</v>
      </c>
      <c r="B2094" t="str">
        <f>"1551689336917825"</f>
        <v>1551689336917825</v>
      </c>
      <c r="C2094" t="s">
        <v>40</v>
      </c>
      <c r="D2094">
        <v>4.3165239999999896</v>
      </c>
      <c r="E2094">
        <v>0.55037029999999998</v>
      </c>
      <c r="F2094" t="s">
        <v>41</v>
      </c>
      <c r="G2094">
        <v>-258.82929999999999</v>
      </c>
      <c r="H2094">
        <v>1.0300549999999999</v>
      </c>
      <c r="I2094">
        <v>284.76650000000001</v>
      </c>
      <c r="J2094">
        <v>-258.35449999999997</v>
      </c>
      <c r="K2094">
        <v>1.1090719999999901</v>
      </c>
      <c r="L2094">
        <v>284.74529999999999</v>
      </c>
      <c r="M2094">
        <v>-0.99969680000000005</v>
      </c>
      <c r="N2094">
        <v>-7.9168269999999995E-3</v>
      </c>
      <c r="O2094">
        <v>-2.33172E-2</v>
      </c>
      <c r="P2094">
        <v>-0.93397079999999999</v>
      </c>
      <c r="Q2094">
        <v>0.350381</v>
      </c>
      <c r="R2094">
        <v>-7.0228600000000002E-2</v>
      </c>
      <c r="S2094">
        <v>-3.3247379999999902</v>
      </c>
      <c r="T2094">
        <v>-0.29000759999999998</v>
      </c>
      <c r="U2094">
        <v>4.1320799999999998E-2</v>
      </c>
      <c r="V2094">
        <v>-4.7913860000000003E-2</v>
      </c>
      <c r="W2094">
        <v>0.35784500000000002</v>
      </c>
      <c r="X2094">
        <v>0.93255089999999996</v>
      </c>
      <c r="Y2094">
        <v>3.5519759999999997E-2</v>
      </c>
      <c r="Z2094">
        <v>3.5326649999999999E-3</v>
      </c>
      <c r="AA2094">
        <v>0.99936270000000005</v>
      </c>
      <c r="AB2094">
        <v>43</v>
      </c>
      <c r="AC2094">
        <v>-0.47480000000001599</v>
      </c>
      <c r="AD2094">
        <v>-7.9016999999999796E-2</v>
      </c>
      <c r="AE2094">
        <v>2.1200000000021601E-2</v>
      </c>
      <c r="AF2094">
        <v>3.1397722601137497E-2</v>
      </c>
      <c r="AG2094">
        <v>-7.9016999999999796E-2</v>
      </c>
      <c r="AH2094">
        <v>0.46142235905932399</v>
      </c>
      <c r="AI2094">
        <v>99.695455481454701</v>
      </c>
      <c r="AJ2094">
        <v>86.107279722039294</v>
      </c>
      <c r="AK2094">
        <v>0.469190895812578</v>
      </c>
      <c r="AL2094">
        <v>69.032090651925799</v>
      </c>
      <c r="AM2094">
        <v>92.941233658317799</v>
      </c>
      <c r="AN2094">
        <v>0.999999981547954</v>
      </c>
    </row>
    <row r="2095" spans="1:40" x14ac:dyDescent="0.25">
      <c r="A2095" t="str">
        <f>"20190304164856948"</f>
        <v>20190304164856948</v>
      </c>
      <c r="B2095" t="str">
        <f>"1551689336937720"</f>
        <v>1551689336937720</v>
      </c>
      <c r="C2095" t="s">
        <v>40</v>
      </c>
      <c r="D2095">
        <v>4.3142899999999997</v>
      </c>
      <c r="E2095">
        <v>0.55128180000000004</v>
      </c>
      <c r="F2095" t="s">
        <v>41</v>
      </c>
      <c r="G2095">
        <v>-259.2133</v>
      </c>
      <c r="H2095">
        <v>1.034805</v>
      </c>
      <c r="I2095">
        <v>284.76060000000001</v>
      </c>
      <c r="J2095">
        <v>-258.74099999999999</v>
      </c>
      <c r="K2095">
        <v>1.1090390000000001</v>
      </c>
      <c r="L2095">
        <v>284.73669999999998</v>
      </c>
      <c r="M2095">
        <v>-0.99970970000000003</v>
      </c>
      <c r="N2095">
        <v>-7.9323710000000006E-3</v>
      </c>
      <c r="O2095">
        <v>-2.2751560000000001E-2</v>
      </c>
      <c r="P2095">
        <v>-0.93399100000000002</v>
      </c>
      <c r="Q2095">
        <v>0.3505103</v>
      </c>
      <c r="R2095">
        <v>-6.9306649999999997E-2</v>
      </c>
      <c r="S2095">
        <v>-3.3244020000000001</v>
      </c>
      <c r="T2095">
        <v>-0.28768090000000002</v>
      </c>
      <c r="U2095">
        <v>5.8227540000000001E-2</v>
      </c>
      <c r="V2095">
        <v>-4.7488540000000003E-2</v>
      </c>
      <c r="W2095">
        <v>0.35799189999999997</v>
      </c>
      <c r="X2095">
        <v>0.93251629999999996</v>
      </c>
      <c r="Y2095">
        <v>4.0023330000000003E-2</v>
      </c>
      <c r="Z2095">
        <v>3.6722679999999998E-3</v>
      </c>
      <c r="AA2095">
        <v>0.99919199999999997</v>
      </c>
      <c r="AB2095">
        <v>43</v>
      </c>
      <c r="AC2095">
        <v>-0.47230000000001798</v>
      </c>
      <c r="AD2095">
        <v>-7.4233999999999897E-2</v>
      </c>
      <c r="AE2095">
        <v>2.3900000000026001E-2</v>
      </c>
      <c r="AF2095">
        <v>3.3806680742548299E-2</v>
      </c>
      <c r="AG2095">
        <v>-7.4233999999999897E-2</v>
      </c>
      <c r="AH2095">
        <v>0.46029188407947702</v>
      </c>
      <c r="AI2095">
        <v>99.137348100836206</v>
      </c>
      <c r="AJ2095">
        <v>85.799386190328505</v>
      </c>
      <c r="AK2095">
        <v>0.46746357822643603</v>
      </c>
      <c r="AL2095">
        <v>69.023077290298005</v>
      </c>
      <c r="AM2095">
        <v>92.915278236744498</v>
      </c>
      <c r="AN2095">
        <v>1.0000000058313101</v>
      </c>
    </row>
    <row r="2096" spans="1:40" x14ac:dyDescent="0.25">
      <c r="A2096" t="str">
        <f>"20190304164856971"</f>
        <v>20190304164856971</v>
      </c>
      <c r="B2096" t="str">
        <f>"1551689336967972"</f>
        <v>1551689336967972</v>
      </c>
      <c r="C2096" t="s">
        <v>40</v>
      </c>
      <c r="D2096">
        <v>4.3286870000000004</v>
      </c>
      <c r="E2096">
        <v>0.55187019999999998</v>
      </c>
      <c r="F2096" t="s">
        <v>41</v>
      </c>
      <c r="G2096">
        <v>-259.59620000000001</v>
      </c>
      <c r="H2096">
        <v>1.035806</v>
      </c>
      <c r="I2096">
        <v>284.75439999999998</v>
      </c>
      <c r="J2096">
        <v>-259.17009999999999</v>
      </c>
      <c r="K2096">
        <v>1.1090059999999999</v>
      </c>
      <c r="L2096">
        <v>284.72739999999999</v>
      </c>
      <c r="M2096">
        <v>-0.99972430000000001</v>
      </c>
      <c r="N2096">
        <v>-7.9494739999999998E-3</v>
      </c>
      <c r="O2096">
        <v>-2.2096190000000002E-2</v>
      </c>
      <c r="P2096">
        <v>-0.93409940000000002</v>
      </c>
      <c r="Q2096">
        <v>0.35036339999999999</v>
      </c>
      <c r="R2096">
        <v>-6.8586800000000003E-2</v>
      </c>
      <c r="S2096">
        <v>-3.323944</v>
      </c>
      <c r="T2096">
        <v>-0.28467130000000002</v>
      </c>
      <c r="U2096">
        <v>6.8542480000000003E-2</v>
      </c>
      <c r="V2096">
        <v>-4.7350049999999998E-2</v>
      </c>
      <c r="W2096">
        <v>0.3578655</v>
      </c>
      <c r="X2096">
        <v>0.93257190000000001</v>
      </c>
      <c r="Y2096">
        <v>4.246718E-2</v>
      </c>
      <c r="Z2096">
        <v>3.697503E-3</v>
      </c>
      <c r="AA2096">
        <v>0.99909099999999995</v>
      </c>
      <c r="AB2096">
        <v>43</v>
      </c>
      <c r="AC2096">
        <v>-0.42610000000001902</v>
      </c>
      <c r="AD2096">
        <v>-7.3199999999999904E-2</v>
      </c>
      <c r="AE2096">
        <v>2.6999999999986798E-2</v>
      </c>
      <c r="AF2096">
        <v>3.5369247103347497E-2</v>
      </c>
      <c r="AG2096">
        <v>-7.3199999999999904E-2</v>
      </c>
      <c r="AH2096">
        <v>0.41325220601594098</v>
      </c>
      <c r="AI2096">
        <v>100.008853874978</v>
      </c>
      <c r="AJ2096">
        <v>85.108115636855402</v>
      </c>
      <c r="AK2096">
        <v>0.42117289729717799</v>
      </c>
      <c r="AL2096">
        <v>69.030834204267293</v>
      </c>
      <c r="AM2096">
        <v>92.9066180577598</v>
      </c>
      <c r="AN2096">
        <v>1.0000000459974301</v>
      </c>
    </row>
    <row r="2097" spans="1:40" x14ac:dyDescent="0.25">
      <c r="A2097" t="str">
        <f>"20190304164856983"</f>
        <v>20190304164856983</v>
      </c>
      <c r="B2097" t="str">
        <f>"1551689336977733"</f>
        <v>1551689336977733</v>
      </c>
      <c r="C2097" t="s">
        <v>40</v>
      </c>
      <c r="D2097">
        <v>4.3515370000000004</v>
      </c>
      <c r="E2097">
        <v>0.55206509999999998</v>
      </c>
      <c r="F2097" t="s">
        <v>41</v>
      </c>
      <c r="G2097">
        <v>-259.9812</v>
      </c>
      <c r="H2097">
        <v>1.03983</v>
      </c>
      <c r="I2097">
        <v>284.7466</v>
      </c>
      <c r="J2097">
        <v>-259.40710000000001</v>
      </c>
      <c r="K2097">
        <v>1.108994</v>
      </c>
      <c r="L2097">
        <v>284.72250000000003</v>
      </c>
      <c r="M2097">
        <v>-0.99973239999999997</v>
      </c>
      <c r="N2097">
        <v>-7.9588569999999997E-3</v>
      </c>
      <c r="O2097">
        <v>-2.1723449999999998E-2</v>
      </c>
      <c r="P2097">
        <v>-0.93397240000000004</v>
      </c>
      <c r="Q2097">
        <v>0.35064519999999999</v>
      </c>
      <c r="R2097">
        <v>-6.8876160000000006E-2</v>
      </c>
      <c r="S2097">
        <v>-3.3237299999999999</v>
      </c>
      <c r="T2097">
        <v>-0.28369050000000001</v>
      </c>
      <c r="U2097">
        <v>7.7423099999999995E-2</v>
      </c>
      <c r="V2097">
        <v>-4.7976619999999998E-2</v>
      </c>
      <c r="W2097">
        <v>0.35815760000000002</v>
      </c>
      <c r="X2097">
        <v>0.93242769999999997</v>
      </c>
      <c r="Y2097">
        <v>4.4757669999999999E-2</v>
      </c>
      <c r="Z2097">
        <v>3.7628359999999999E-3</v>
      </c>
      <c r="AA2097">
        <v>0.99899079999999996</v>
      </c>
      <c r="AB2097">
        <v>43</v>
      </c>
      <c r="AC2097">
        <v>-0.57409999999998695</v>
      </c>
      <c r="AD2097">
        <v>-6.9164000000000003E-2</v>
      </c>
      <c r="AE2097">
        <v>2.4099999999975801E-2</v>
      </c>
      <c r="AF2097">
        <v>3.6043920578697798E-2</v>
      </c>
      <c r="AG2097">
        <v>-6.9164000000000003E-2</v>
      </c>
      <c r="AH2097">
        <v>0.56525137379849899</v>
      </c>
      <c r="AI2097">
        <v>96.9620180474287</v>
      </c>
      <c r="AJ2097">
        <v>86.351406899473901</v>
      </c>
      <c r="AK2097">
        <v>0.57060664094257896</v>
      </c>
      <c r="AL2097">
        <v>69.012909452701905</v>
      </c>
      <c r="AM2097">
        <v>92.945467900068294</v>
      </c>
      <c r="AN2097">
        <v>1.00000001911583</v>
      </c>
    </row>
    <row r="2098" spans="1:40" x14ac:dyDescent="0.25">
      <c r="A2098" t="str">
        <f>"20190304164856995"</f>
        <v>20190304164856995</v>
      </c>
      <c r="B2098" t="str">
        <f>"1551689336988469"</f>
        <v>1551689336988469</v>
      </c>
      <c r="C2098" t="s">
        <v>40</v>
      </c>
      <c r="D2098">
        <v>4.350733</v>
      </c>
      <c r="E2098">
        <v>0.55228889999999997</v>
      </c>
      <c r="F2098" t="s">
        <v>41</v>
      </c>
      <c r="G2098">
        <v>-260.35930000000002</v>
      </c>
      <c r="H2098">
        <v>1.0282290000000001</v>
      </c>
      <c r="I2098">
        <v>284.74540000000002</v>
      </c>
      <c r="J2098">
        <v>-259.64069999999998</v>
      </c>
      <c r="K2098">
        <v>1.1089800000000001</v>
      </c>
      <c r="L2098">
        <v>284.7176</v>
      </c>
      <c r="M2098">
        <v>-0.99974030000000003</v>
      </c>
      <c r="N2098">
        <v>-7.9680789999999994E-3</v>
      </c>
      <c r="O2098">
        <v>-2.135252E-2</v>
      </c>
      <c r="P2098">
        <v>-0.93398579999999998</v>
      </c>
      <c r="Q2098">
        <v>0.35058600000000001</v>
      </c>
      <c r="R2098">
        <v>-6.8994520000000004E-2</v>
      </c>
      <c r="S2098">
        <v>-3.3238219999999998</v>
      </c>
      <c r="T2098">
        <v>-0.28210879999999999</v>
      </c>
      <c r="U2098">
        <v>7.8857419999999998E-2</v>
      </c>
      <c r="V2098">
        <v>-4.8428859999999997E-2</v>
      </c>
      <c r="W2098">
        <v>0.35810950000000003</v>
      </c>
      <c r="X2098">
        <v>0.9324228</v>
      </c>
      <c r="Y2098">
        <v>4.4820770000000003E-2</v>
      </c>
      <c r="Z2098">
        <v>3.7163019999999999E-3</v>
      </c>
      <c r="AA2098">
        <v>0.99898819999999999</v>
      </c>
      <c r="AB2098">
        <v>43</v>
      </c>
      <c r="AC2098">
        <v>-0.71860000000003699</v>
      </c>
      <c r="AD2098">
        <v>-8.0750999999999795E-2</v>
      </c>
      <c r="AE2098">
        <v>2.78000000000133E-2</v>
      </c>
      <c r="AF2098">
        <v>4.2600924522420897E-2</v>
      </c>
      <c r="AG2098">
        <v>-8.0750999999999795E-2</v>
      </c>
      <c r="AH2098">
        <v>0.70890414401200097</v>
      </c>
      <c r="AI2098">
        <v>96.486927391457399</v>
      </c>
      <c r="AJ2098">
        <v>86.561000051719702</v>
      </c>
      <c r="AK2098">
        <v>0.71475915395925704</v>
      </c>
      <c r="AL2098">
        <v>69.015861255756704</v>
      </c>
      <c r="AM2098">
        <v>92.973198653166705</v>
      </c>
      <c r="AN2098">
        <v>1.00000002321549</v>
      </c>
    </row>
    <row r="2099" spans="1:40" x14ac:dyDescent="0.25">
      <c r="A2099" t="str">
        <f>"20190304164857007"</f>
        <v>20190304164857007</v>
      </c>
      <c r="B2099" t="str">
        <f>"1551689336998228"</f>
        <v>1551689336998228</v>
      </c>
      <c r="C2099" t="s">
        <v>40</v>
      </c>
      <c r="D2099">
        <v>4.3428089999999999</v>
      </c>
      <c r="E2099">
        <v>0.55239110000000002</v>
      </c>
      <c r="F2099" t="s">
        <v>41</v>
      </c>
      <c r="G2099">
        <v>-260.73790000000002</v>
      </c>
      <c r="H2099">
        <v>1.016006</v>
      </c>
      <c r="I2099">
        <v>284.74489999999997</v>
      </c>
      <c r="J2099">
        <v>-259.8734</v>
      </c>
      <c r="K2099">
        <v>1.1089659999999999</v>
      </c>
      <c r="L2099">
        <v>284.71289999999999</v>
      </c>
      <c r="M2099">
        <v>-0.99974819999999998</v>
      </c>
      <c r="N2099">
        <v>-7.9773320000000002E-3</v>
      </c>
      <c r="O2099">
        <v>-2.097719E-2</v>
      </c>
      <c r="P2099">
        <v>-0.93392799999999998</v>
      </c>
      <c r="Q2099">
        <v>0.35068579999999999</v>
      </c>
      <c r="R2099">
        <v>-6.9268350000000006E-2</v>
      </c>
      <c r="S2099">
        <v>-3.3238829999999999</v>
      </c>
      <c r="T2099">
        <v>-0.28185130000000003</v>
      </c>
      <c r="U2099">
        <v>8.1787109999999996E-2</v>
      </c>
      <c r="V2099">
        <v>-4.9044650000000002E-2</v>
      </c>
      <c r="W2099">
        <v>0.35821989999999998</v>
      </c>
      <c r="X2099">
        <v>0.93234819999999996</v>
      </c>
      <c r="Y2099">
        <v>4.5324860000000002E-2</v>
      </c>
      <c r="Z2099">
        <v>3.7074120000000002E-3</v>
      </c>
      <c r="AA2099">
        <v>0.9989654</v>
      </c>
      <c r="AB2099">
        <v>43</v>
      </c>
      <c r="AC2099">
        <v>-0.86450000000002003</v>
      </c>
      <c r="AD2099">
        <v>-9.2959999999999904E-2</v>
      </c>
      <c r="AE2099">
        <v>3.1999999999982202E-2</v>
      </c>
      <c r="AF2099">
        <v>4.9556092481292197E-2</v>
      </c>
      <c r="AG2099">
        <v>-9.2959999999999904E-2</v>
      </c>
      <c r="AH2099">
        <v>0.85377990639582901</v>
      </c>
      <c r="AI2099">
        <v>96.203556624913404</v>
      </c>
      <c r="AJ2099">
        <v>86.678098474351103</v>
      </c>
      <c r="AK2099">
        <v>0.86025432080709996</v>
      </c>
      <c r="AL2099">
        <v>69.009086278216202</v>
      </c>
      <c r="AM2099">
        <v>93.011175263538306</v>
      </c>
      <c r="AN2099">
        <v>1.0000000202464301</v>
      </c>
    </row>
    <row r="2100" spans="1:40" x14ac:dyDescent="0.25">
      <c r="A2100" t="str">
        <f>"20190304164857027"</f>
        <v>20190304164857027</v>
      </c>
      <c r="B2100" t="str">
        <f>"1551689337017748"</f>
        <v>1551689337017748</v>
      </c>
      <c r="C2100" t="s">
        <v>40</v>
      </c>
      <c r="D2100">
        <v>4.3662789999999996</v>
      </c>
      <c r="E2100">
        <v>0.55255279999999996</v>
      </c>
      <c r="F2100" t="s">
        <v>41</v>
      </c>
      <c r="G2100">
        <v>-260.74709999999999</v>
      </c>
      <c r="H2100">
        <v>1.0351459999999999</v>
      </c>
      <c r="I2100">
        <v>284.73500000000001</v>
      </c>
      <c r="J2100">
        <v>-260.26130000000001</v>
      </c>
      <c r="K2100">
        <v>1.1089450000000001</v>
      </c>
      <c r="L2100">
        <v>284.70510000000002</v>
      </c>
      <c r="M2100">
        <v>-0.99976100000000001</v>
      </c>
      <c r="N2100">
        <v>-7.9930250000000008E-3</v>
      </c>
      <c r="O2100">
        <v>-2.0347799999999999E-2</v>
      </c>
      <c r="P2100">
        <v>-0.93380469999999904</v>
      </c>
      <c r="Q2100">
        <v>0.35078749999999997</v>
      </c>
      <c r="R2100">
        <v>-7.0409059999999996E-2</v>
      </c>
      <c r="S2100">
        <v>-3.323944</v>
      </c>
      <c r="T2100">
        <v>-0.2810743</v>
      </c>
      <c r="U2100">
        <v>8.2824709999999996E-2</v>
      </c>
      <c r="V2100">
        <v>-5.0759890000000002E-2</v>
      </c>
      <c r="W2100">
        <v>0.35834050000000001</v>
      </c>
      <c r="X2100">
        <v>0.93220999999999998</v>
      </c>
      <c r="Y2100">
        <v>4.5011549999999997E-2</v>
      </c>
      <c r="Z2100">
        <v>3.6346410000000001E-3</v>
      </c>
      <c r="AA2100">
        <v>0.99897990000000003</v>
      </c>
      <c r="AB2100">
        <v>43</v>
      </c>
      <c r="AC2100">
        <v>-0.48579999999998302</v>
      </c>
      <c r="AD2100">
        <v>-7.3799000000000101E-2</v>
      </c>
      <c r="AE2100">
        <v>2.98999999999978E-2</v>
      </c>
      <c r="AF2100">
        <v>3.88851075959709E-2</v>
      </c>
      <c r="AG2100">
        <v>-7.3799000000000101E-2</v>
      </c>
      <c r="AH2100">
        <v>0.47418926184171201</v>
      </c>
      <c r="AI2100">
        <v>98.816960182448796</v>
      </c>
      <c r="AJ2100">
        <v>85.312043542650798</v>
      </c>
      <c r="AK2100">
        <v>0.48147045604038702</v>
      </c>
      <c r="AL2100">
        <v>69.001684235734601</v>
      </c>
      <c r="AM2100">
        <v>93.116742196491003</v>
      </c>
      <c r="AN2100">
        <v>0.99999998223652997</v>
      </c>
    </row>
    <row r="2101" spans="1:40" x14ac:dyDescent="0.25">
      <c r="A2101" t="str">
        <f>"20190304164857040"</f>
        <v>20190304164857040</v>
      </c>
      <c r="B2101" t="str">
        <f>"1551689337028484"</f>
        <v>1551689337028484</v>
      </c>
      <c r="C2101" t="s">
        <v>40</v>
      </c>
      <c r="D2101">
        <v>4.3929029999999996</v>
      </c>
      <c r="E2101">
        <v>0.55265620000000004</v>
      </c>
      <c r="F2101" t="s">
        <v>41</v>
      </c>
      <c r="G2101">
        <v>-261.13229999999999</v>
      </c>
      <c r="H2101">
        <v>1.03562</v>
      </c>
      <c r="I2101">
        <v>284.7269</v>
      </c>
      <c r="J2101">
        <v>-260.4898</v>
      </c>
      <c r="K2101">
        <v>1.1089359999999999</v>
      </c>
      <c r="L2101">
        <v>284.70069999999998</v>
      </c>
      <c r="M2101">
        <v>-0.99976849999999995</v>
      </c>
      <c r="N2101">
        <v>-8.0023690000000005E-3</v>
      </c>
      <c r="O2101">
        <v>-1.9974990000000001E-2</v>
      </c>
      <c r="P2101">
        <v>-0.93386420000000003</v>
      </c>
      <c r="Q2101">
        <v>0.35054619999999997</v>
      </c>
      <c r="R2101">
        <v>-7.0817350000000001E-2</v>
      </c>
      <c r="S2101">
        <v>-3.3240970000000001</v>
      </c>
      <c r="T2101">
        <v>-0.27992990000000001</v>
      </c>
      <c r="U2101">
        <v>8.2672120000000002E-2</v>
      </c>
      <c r="V2101">
        <v>-5.1507070000000002E-2</v>
      </c>
      <c r="W2101">
        <v>0.35811079999999901</v>
      </c>
      <c r="X2101">
        <v>0.93225729999999996</v>
      </c>
      <c r="Y2101">
        <v>4.4596660000000003E-2</v>
      </c>
      <c r="Z2101">
        <v>3.5723650000000001E-3</v>
      </c>
      <c r="AA2101">
        <v>0.99899870000000002</v>
      </c>
      <c r="AB2101">
        <v>43</v>
      </c>
      <c r="AC2101">
        <v>-0.64249999999998397</v>
      </c>
      <c r="AD2101">
        <v>-7.3316000000000103E-2</v>
      </c>
      <c r="AE2101">
        <v>2.6200000000017099E-2</v>
      </c>
      <c r="AF2101">
        <v>3.8528262027654199E-2</v>
      </c>
      <c r="AG2101">
        <v>-7.3316000000000103E-2</v>
      </c>
      <c r="AH2101">
        <v>0.63361174517174701</v>
      </c>
      <c r="AI2101">
        <v>96.588350422682893</v>
      </c>
      <c r="AJ2101">
        <v>86.520279075296102</v>
      </c>
      <c r="AK2101">
        <v>0.63900196122583097</v>
      </c>
      <c r="AL2101">
        <v>69.015780934500299</v>
      </c>
      <c r="AM2101">
        <v>93.162367714112506</v>
      </c>
      <c r="AN2101">
        <v>0.99999999836995701</v>
      </c>
    </row>
    <row r="2102" spans="1:40" x14ac:dyDescent="0.25">
      <c r="A2102" t="str">
        <f>"20190304164857052"</f>
        <v>20190304164857052</v>
      </c>
      <c r="B2102" t="str">
        <f>"1551689337048005"</f>
        <v>1551689337048005</v>
      </c>
      <c r="C2102" t="s">
        <v>40</v>
      </c>
      <c r="D2102">
        <v>4.3697140000000001</v>
      </c>
      <c r="E2102">
        <v>0.55275419999999997</v>
      </c>
      <c r="F2102" t="s">
        <v>41</v>
      </c>
      <c r="G2102">
        <v>-261.51179999999999</v>
      </c>
      <c r="H2102">
        <v>1.0228379999999999</v>
      </c>
      <c r="I2102">
        <v>284.72649999999999</v>
      </c>
      <c r="J2102">
        <v>-260.73469999999998</v>
      </c>
      <c r="K2102">
        <v>1.1089249999999999</v>
      </c>
      <c r="L2102">
        <v>284.69600000000003</v>
      </c>
      <c r="M2102">
        <v>-0.99977640000000001</v>
      </c>
      <c r="N2102">
        <v>-8.0123720000000002E-3</v>
      </c>
      <c r="O2102">
        <v>-1.957476E-2</v>
      </c>
      <c r="P2102">
        <v>-0.93378899999999998</v>
      </c>
      <c r="Q2102">
        <v>0.35064190000000001</v>
      </c>
      <c r="R2102">
        <v>-7.1336629999999998E-2</v>
      </c>
      <c r="S2102">
        <v>-3.323944</v>
      </c>
      <c r="T2102">
        <v>-0.2801691</v>
      </c>
      <c r="U2102">
        <v>8.3129880000000003E-2</v>
      </c>
      <c r="V2102">
        <v>-5.2392469999999997E-2</v>
      </c>
      <c r="W2102">
        <v>0.3582185</v>
      </c>
      <c r="X2102">
        <v>0.93216659999999996</v>
      </c>
      <c r="Y2102">
        <v>4.4337130000000002E-2</v>
      </c>
      <c r="Z2102">
        <v>3.5331490000000002E-3</v>
      </c>
      <c r="AA2102">
        <v>0.99901039999999997</v>
      </c>
      <c r="AB2102">
        <v>43</v>
      </c>
      <c r="AC2102">
        <v>-0.777100000000018</v>
      </c>
      <c r="AD2102">
        <v>-8.6086999999999997E-2</v>
      </c>
      <c r="AE2102">
        <v>3.05000000000177E-2</v>
      </c>
      <c r="AF2102">
        <v>4.5152916393392598E-2</v>
      </c>
      <c r="AG2102">
        <v>-8.6086999999999997E-2</v>
      </c>
      <c r="AH2102">
        <v>0.76695630500622203</v>
      </c>
      <c r="AI2102">
        <v>96.393379439749197</v>
      </c>
      <c r="AJ2102">
        <v>86.630722267724707</v>
      </c>
      <c r="AK2102">
        <v>0.77309231739593998</v>
      </c>
      <c r="AL2102">
        <v>69.009172131424606</v>
      </c>
      <c r="AM2102">
        <v>93.216927546122903</v>
      </c>
      <c r="AN2102">
        <v>1.0000000174052499</v>
      </c>
    </row>
    <row r="2103" spans="1:40" x14ac:dyDescent="0.25">
      <c r="A2103" t="str">
        <f>"20190304164857072"</f>
        <v>20190304164857072</v>
      </c>
      <c r="B2103" t="str">
        <f>"1551689337068501"</f>
        <v>1551689337068501</v>
      </c>
      <c r="C2103" t="s">
        <v>40</v>
      </c>
      <c r="D2103">
        <v>4.371073</v>
      </c>
      <c r="E2103">
        <v>0.55280509999999905</v>
      </c>
      <c r="F2103" t="s">
        <v>41</v>
      </c>
      <c r="G2103">
        <v>-261.5213</v>
      </c>
      <c r="H2103">
        <v>1.042516</v>
      </c>
      <c r="I2103">
        <v>284.71589999999998</v>
      </c>
      <c r="J2103">
        <v>-261.10989999999998</v>
      </c>
      <c r="K2103">
        <v>1.108911</v>
      </c>
      <c r="L2103">
        <v>284.6891</v>
      </c>
      <c r="M2103">
        <v>-0.99978809999999996</v>
      </c>
      <c r="N2103">
        <v>-8.0274679999999994E-3</v>
      </c>
      <c r="O2103">
        <v>-1.896078E-2</v>
      </c>
      <c r="P2103">
        <v>-0.93367809999999996</v>
      </c>
      <c r="Q2103">
        <v>0.35070750000000001</v>
      </c>
      <c r="R2103">
        <v>-7.2454470000000007E-2</v>
      </c>
      <c r="S2103">
        <v>-3.3244929999999999</v>
      </c>
      <c r="T2103">
        <v>-0.28083609999999998</v>
      </c>
      <c r="U2103">
        <v>8.3160399999999995E-2</v>
      </c>
      <c r="V2103">
        <v>-5.4073360000000001E-2</v>
      </c>
      <c r="W2103">
        <v>0.3583018</v>
      </c>
      <c r="X2103">
        <v>0.93203860000000005</v>
      </c>
      <c r="Y2103">
        <v>4.373179E-2</v>
      </c>
      <c r="Z2103">
        <v>3.4661449999999999E-3</v>
      </c>
      <c r="AA2103">
        <v>0.99903730000000002</v>
      </c>
      <c r="AB2103">
        <v>43</v>
      </c>
      <c r="AC2103">
        <v>-0.41140000000001398</v>
      </c>
      <c r="AD2103">
        <v>-6.6394999999999899E-2</v>
      </c>
      <c r="AE2103">
        <v>2.67999999999801E-2</v>
      </c>
      <c r="AF2103">
        <v>3.3721301446841302E-2</v>
      </c>
      <c r="AG2103">
        <v>-6.6394999999999899E-2</v>
      </c>
      <c r="AH2103">
        <v>0.40043225899329399</v>
      </c>
      <c r="AI2103">
        <v>99.381850678026296</v>
      </c>
      <c r="AJ2103">
        <v>85.186351049787106</v>
      </c>
      <c r="AK2103">
        <v>0.40729769977099201</v>
      </c>
      <c r="AL2103">
        <v>69.004060340526493</v>
      </c>
      <c r="AM2103">
        <v>93.3203627876957</v>
      </c>
      <c r="AN2103">
        <v>1.0000000300174401</v>
      </c>
    </row>
    <row r="2104" spans="1:40" x14ac:dyDescent="0.25">
      <c r="A2104" t="str">
        <f>"20190304164857096"</f>
        <v>20190304164857096</v>
      </c>
      <c r="B2104" t="str">
        <f>"1551689337088020"</f>
        <v>1551689337088020</v>
      </c>
      <c r="C2104" t="s">
        <v>40</v>
      </c>
      <c r="D2104">
        <v>4.3907730000000003</v>
      </c>
      <c r="E2104">
        <v>0.55279339999999999</v>
      </c>
      <c r="F2104" t="s">
        <v>41</v>
      </c>
      <c r="G2104">
        <v>-261.90710000000001</v>
      </c>
      <c r="H2104">
        <v>1.0415270000000001</v>
      </c>
      <c r="I2104">
        <v>284.70870000000002</v>
      </c>
      <c r="J2104">
        <v>-261.58339999999998</v>
      </c>
      <c r="K2104">
        <v>1.108892</v>
      </c>
      <c r="L2104">
        <v>284.68060000000003</v>
      </c>
      <c r="M2104">
        <v>-0.99980239999999998</v>
      </c>
      <c r="N2104">
        <v>-8.0493359999999903E-3</v>
      </c>
      <c r="O2104">
        <v>-1.8186460000000002E-2</v>
      </c>
      <c r="P2104">
        <v>-0.93363929999999995</v>
      </c>
      <c r="Q2104">
        <v>0.35074379999999999</v>
      </c>
      <c r="R2104">
        <v>-7.2777179999999997E-2</v>
      </c>
      <c r="S2104">
        <v>-3.3250120000000001</v>
      </c>
      <c r="T2104">
        <v>-0.28110839999999998</v>
      </c>
      <c r="U2104">
        <v>8.151245E-2</v>
      </c>
      <c r="V2104">
        <v>-5.5105719999999997E-2</v>
      </c>
      <c r="W2104">
        <v>0.35836180000000001</v>
      </c>
      <c r="X2104">
        <v>0.93195499999999998</v>
      </c>
      <c r="Y2104">
        <v>4.2466129999999998E-2</v>
      </c>
      <c r="Z2104">
        <v>3.3514E-3</v>
      </c>
      <c r="AA2104">
        <v>0.99909230000000004</v>
      </c>
      <c r="AB2104">
        <v>43</v>
      </c>
      <c r="AC2104">
        <v>-0.32370000000003002</v>
      </c>
      <c r="AD2104">
        <v>-6.7364999999999897E-2</v>
      </c>
      <c r="AE2104">
        <v>2.80999999999949E-2</v>
      </c>
      <c r="AF2104">
        <v>3.2581945314708399E-2</v>
      </c>
      <c r="AG2104">
        <v>-6.7364999999999897E-2</v>
      </c>
      <c r="AH2104">
        <v>0.30981771164265398</v>
      </c>
      <c r="AI2104">
        <v>102.201870031379</v>
      </c>
      <c r="AJ2104">
        <v>83.996562778553098</v>
      </c>
      <c r="AK2104">
        <v>0.31872659260403902</v>
      </c>
      <c r="AL2104">
        <v>69.000376773257202</v>
      </c>
      <c r="AM2104">
        <v>93.383911535297202</v>
      </c>
      <c r="AN2104">
        <v>0.999999971050478</v>
      </c>
    </row>
    <row r="2105" spans="1:40" x14ac:dyDescent="0.25">
      <c r="A2105" t="str">
        <f>"20190304164857118"</f>
        <v>20190304164857118</v>
      </c>
      <c r="B2105" t="str">
        <f>"1551689337108516"</f>
        <v>1551689337108516</v>
      </c>
      <c r="C2105" t="s">
        <v>40</v>
      </c>
      <c r="D2105">
        <v>4.3724730000000003</v>
      </c>
      <c r="E2105">
        <v>0.55281009999999997</v>
      </c>
      <c r="F2105" t="s">
        <v>41</v>
      </c>
      <c r="G2105">
        <v>-262.66950000000003</v>
      </c>
      <c r="H2105">
        <v>1.016429</v>
      </c>
      <c r="I2105">
        <v>284.70690000000002</v>
      </c>
      <c r="J2105">
        <v>-262.00220000000002</v>
      </c>
      <c r="K2105">
        <v>1.108878</v>
      </c>
      <c r="L2105">
        <v>284.67349999999999</v>
      </c>
      <c r="M2105">
        <v>-0.99981419999999999</v>
      </c>
      <c r="N2105">
        <v>-8.0722529999999997E-3</v>
      </c>
      <c r="O2105">
        <v>-1.750517E-2</v>
      </c>
      <c r="P2105">
        <v>-0.93353299999999995</v>
      </c>
      <c r="Q2105">
        <v>0.35107270000000002</v>
      </c>
      <c r="R2105">
        <v>-7.2553560000000003E-2</v>
      </c>
      <c r="S2105">
        <v>-3.3258670000000001</v>
      </c>
      <c r="T2105">
        <v>-0.28323009999999998</v>
      </c>
      <c r="U2105">
        <v>8.0108639999999995E-2</v>
      </c>
      <c r="V2105">
        <v>-5.5510089999999998E-2</v>
      </c>
      <c r="W2105">
        <v>0.35871350000000002</v>
      </c>
      <c r="X2105">
        <v>0.9317957</v>
      </c>
      <c r="Y2105">
        <v>4.1360769999999998E-2</v>
      </c>
      <c r="Z2105">
        <v>3.271791E-3</v>
      </c>
      <c r="AA2105">
        <v>0.99913890000000005</v>
      </c>
      <c r="AB2105">
        <v>43</v>
      </c>
      <c r="AC2105">
        <v>-0.667300000000011</v>
      </c>
      <c r="AD2105">
        <v>-9.2449000000000003E-2</v>
      </c>
      <c r="AE2105">
        <v>3.3400000000028698E-2</v>
      </c>
      <c r="AF2105">
        <v>4.4229646371958399E-2</v>
      </c>
      <c r="AG2105">
        <v>-9.2449000000000003E-2</v>
      </c>
      <c r="AH2105">
        <v>0.65408992023671397</v>
      </c>
      <c r="AI2105">
        <v>98.026800433495495</v>
      </c>
      <c r="AJ2105">
        <v>86.131540840407595</v>
      </c>
      <c r="AK2105">
        <v>0.66207001364996099</v>
      </c>
      <c r="AL2105">
        <v>68.978791028611695</v>
      </c>
      <c r="AM2105">
        <v>93.409265974655995</v>
      </c>
      <c r="AN2105">
        <v>0.99999998585627303</v>
      </c>
    </row>
    <row r="2106" spans="1:40" x14ac:dyDescent="0.25">
      <c r="A2106" t="str">
        <f>"20190304164857131"</f>
        <v>20190304164857131</v>
      </c>
      <c r="B2106" t="str">
        <f>"1551689337128037"</f>
        <v>1551689337128037</v>
      </c>
      <c r="C2106" t="s">
        <v>40</v>
      </c>
      <c r="D2106">
        <v>4.3884309999999997</v>
      </c>
      <c r="E2106">
        <v>0.55284460000000002</v>
      </c>
      <c r="F2106" t="s">
        <v>41</v>
      </c>
      <c r="G2106">
        <v>-263.05869999999999</v>
      </c>
      <c r="H2106">
        <v>1.0186390000000001</v>
      </c>
      <c r="I2106">
        <v>284.69920000000002</v>
      </c>
      <c r="J2106">
        <v>-262.27159999999998</v>
      </c>
      <c r="K2106">
        <v>1.1088709999999999</v>
      </c>
      <c r="L2106">
        <v>284.66899999999998</v>
      </c>
      <c r="M2106">
        <v>-0.99982179999999998</v>
      </c>
      <c r="N2106">
        <v>-8.0878019999999998E-3</v>
      </c>
      <c r="O2106">
        <v>-1.706935E-2</v>
      </c>
      <c r="P2106">
        <v>-0.93348960000000003</v>
      </c>
      <c r="Q2106">
        <v>0.35121479999999999</v>
      </c>
      <c r="R2106">
        <v>-7.2428489999999998E-2</v>
      </c>
      <c r="S2106">
        <v>-3.3267519999999902</v>
      </c>
      <c r="T2106">
        <v>-0.28429500000000002</v>
      </c>
      <c r="U2106">
        <v>8.0322270000000001E-2</v>
      </c>
      <c r="V2106">
        <v>-5.5786830000000003E-2</v>
      </c>
      <c r="W2106">
        <v>0.3588711</v>
      </c>
      <c r="X2106">
        <v>0.93171850000000001</v>
      </c>
      <c r="Y2106">
        <v>4.0984270000000003E-2</v>
      </c>
      <c r="Z2106">
        <v>3.2319050000000002E-3</v>
      </c>
      <c r="AA2106">
        <v>0.9991546</v>
      </c>
      <c r="AB2106">
        <v>43</v>
      </c>
      <c r="AC2106">
        <v>-0.78710000000000901</v>
      </c>
      <c r="AD2106">
        <v>-9.0232000000000007E-2</v>
      </c>
      <c r="AE2106">
        <v>3.0199999999979299E-2</v>
      </c>
      <c r="AF2106">
        <v>4.3066178327947201E-2</v>
      </c>
      <c r="AG2106">
        <v>-9.0232000000000007E-2</v>
      </c>
      <c r="AH2106">
        <v>0.77628289699462205</v>
      </c>
      <c r="AI2106">
        <v>96.619989503863394</v>
      </c>
      <c r="AJ2106">
        <v>86.824632519706597</v>
      </c>
      <c r="AK2106">
        <v>0.78269511670007097</v>
      </c>
      <c r="AL2106">
        <v>68.969117410618495</v>
      </c>
      <c r="AM2106">
        <v>93.426505351729205</v>
      </c>
      <c r="AN2106">
        <v>1.00000000002945</v>
      </c>
    </row>
    <row r="2107" spans="1:40" x14ac:dyDescent="0.25">
      <c r="A2107" t="str">
        <f>"20190304164857150"</f>
        <v>20190304164857150</v>
      </c>
      <c r="B2107" t="str">
        <f>"1551689337137797"</f>
        <v>1551689337137797</v>
      </c>
      <c r="C2107" t="s">
        <v>40</v>
      </c>
      <c r="D2107">
        <v>4.3841559999999999</v>
      </c>
      <c r="E2107">
        <v>0.55284549999999999</v>
      </c>
      <c r="F2107" t="s">
        <v>41</v>
      </c>
      <c r="G2107">
        <v>-263.0693</v>
      </c>
      <c r="H2107">
        <v>1.0405089999999999</v>
      </c>
      <c r="I2107">
        <v>284.68860000000001</v>
      </c>
      <c r="J2107">
        <v>-262.62509999999997</v>
      </c>
      <c r="K2107">
        <v>1.1088690000000001</v>
      </c>
      <c r="L2107">
        <v>284.66340000000002</v>
      </c>
      <c r="M2107">
        <v>-0.99983109999999997</v>
      </c>
      <c r="N2107">
        <v>-8.1082819999999996E-3</v>
      </c>
      <c r="O2107">
        <v>-1.6501700000000001E-2</v>
      </c>
      <c r="P2107">
        <v>-0.93340089999999998</v>
      </c>
      <c r="Q2107">
        <v>0.35160259999999999</v>
      </c>
      <c r="R2107">
        <v>-7.1685509999999994E-2</v>
      </c>
      <c r="S2107">
        <v>-3.3273619999999999</v>
      </c>
      <c r="T2107">
        <v>-0.2853463</v>
      </c>
      <c r="U2107">
        <v>8.0596920000000002E-2</v>
      </c>
      <c r="V2107">
        <v>-5.5571379999999997E-2</v>
      </c>
      <c r="W2107">
        <v>0.35927700000000001</v>
      </c>
      <c r="X2107">
        <v>0.93157489999999998</v>
      </c>
      <c r="Y2107">
        <v>4.0497180000000001E-2</v>
      </c>
      <c r="Z2107">
        <v>3.1763820000000002E-3</v>
      </c>
      <c r="AA2107">
        <v>0.99917460000000002</v>
      </c>
      <c r="AB2107">
        <v>43</v>
      </c>
      <c r="AC2107">
        <v>-0.44420000000002302</v>
      </c>
      <c r="AD2107">
        <v>-6.8360000000000198E-2</v>
      </c>
      <c r="AE2107">
        <v>2.5199999999983898E-2</v>
      </c>
      <c r="AF2107">
        <v>3.1776692705486997E-2</v>
      </c>
      <c r="AG2107">
        <v>-6.8360000000000198E-2</v>
      </c>
      <c r="AH2107">
        <v>0.43349000563791401</v>
      </c>
      <c r="AI2107">
        <v>98.937969590705407</v>
      </c>
      <c r="AJ2107">
        <v>85.807470320933803</v>
      </c>
      <c r="AK2107">
        <v>0.439995946330484</v>
      </c>
      <c r="AL2107">
        <v>68.944198523325099</v>
      </c>
      <c r="AM2107">
        <v>93.413828366593506</v>
      </c>
      <c r="AN2107">
        <v>0.99999996765705601</v>
      </c>
    </row>
    <row r="2108" spans="1:40" x14ac:dyDescent="0.25">
      <c r="A2108" t="str">
        <f>"20190304164857163"</f>
        <v>20190304164857163</v>
      </c>
      <c r="B2108" t="str">
        <f>"1551689337158292"</f>
        <v>1551689337158292</v>
      </c>
      <c r="C2108" t="s">
        <v>40</v>
      </c>
      <c r="D2108">
        <v>4.3806750000000001</v>
      </c>
      <c r="E2108">
        <v>0.55283919999999998</v>
      </c>
      <c r="F2108" t="s">
        <v>41</v>
      </c>
      <c r="G2108">
        <v>-263.45679999999999</v>
      </c>
      <c r="H2108">
        <v>1.0377069999999999</v>
      </c>
      <c r="I2108">
        <v>284.68400000000003</v>
      </c>
      <c r="J2108">
        <v>-262.87419999999997</v>
      </c>
      <c r="K2108">
        <v>1.10887</v>
      </c>
      <c r="L2108">
        <v>284.65949999999998</v>
      </c>
      <c r="M2108">
        <v>-0.99983730000000004</v>
      </c>
      <c r="N2108">
        <v>-8.123725E-3</v>
      </c>
      <c r="O2108">
        <v>-1.610992E-2</v>
      </c>
      <c r="P2108">
        <v>-0.93337179999999997</v>
      </c>
      <c r="Q2108">
        <v>0.3517651</v>
      </c>
      <c r="R2108">
        <v>-7.1265380000000003E-2</v>
      </c>
      <c r="S2108">
        <v>-3.3276979999999998</v>
      </c>
      <c r="T2108">
        <v>-0.28481859999999998</v>
      </c>
      <c r="U2108">
        <v>8.2580570000000006E-2</v>
      </c>
      <c r="V2108">
        <v>-5.5517579999999997E-2</v>
      </c>
      <c r="W2108">
        <v>0.35945310000000003</v>
      </c>
      <c r="X2108">
        <v>0.93151019999999896</v>
      </c>
      <c r="Y2108">
        <v>4.0699630000000001E-2</v>
      </c>
      <c r="Z2108">
        <v>3.14949E-3</v>
      </c>
      <c r="AA2108">
        <v>0.99916649999999996</v>
      </c>
      <c r="AB2108">
        <v>43</v>
      </c>
      <c r="AC2108">
        <v>-0.582600000000013</v>
      </c>
      <c r="AD2108">
        <v>-7.1163000000000004E-2</v>
      </c>
      <c r="AE2108">
        <v>2.4500000000045902E-2</v>
      </c>
      <c r="AF2108">
        <v>3.3385537334105299E-2</v>
      </c>
      <c r="AG2108">
        <v>-7.1163000000000004E-2</v>
      </c>
      <c r="AH2108">
        <v>0.57358689938850305</v>
      </c>
      <c r="AI2108">
        <v>97.060526703390494</v>
      </c>
      <c r="AJ2108">
        <v>86.668866308690596</v>
      </c>
      <c r="AK2108">
        <v>0.57894792323852695</v>
      </c>
      <c r="AL2108">
        <v>68.933387012211398</v>
      </c>
      <c r="AM2108">
        <v>93.410767488161198</v>
      </c>
      <c r="AN2108">
        <v>0.99999999274635298</v>
      </c>
    </row>
    <row r="2109" spans="1:40" x14ac:dyDescent="0.25">
      <c r="A2109" t="str">
        <f>"20190304164857176"</f>
        <v>20190304164857176</v>
      </c>
      <c r="B2109" t="str">
        <f>"1551689337168053"</f>
        <v>1551689337168053</v>
      </c>
      <c r="C2109" t="s">
        <v>40</v>
      </c>
      <c r="D2109">
        <v>4.3917469999999996</v>
      </c>
      <c r="E2109">
        <v>0.55285810000000002</v>
      </c>
      <c r="F2109" t="s">
        <v>41</v>
      </c>
      <c r="G2109">
        <v>-263.84050000000002</v>
      </c>
      <c r="H2109">
        <v>1.0260069999999999</v>
      </c>
      <c r="I2109">
        <v>284.6841</v>
      </c>
      <c r="J2109">
        <v>-263.13220000000001</v>
      </c>
      <c r="K2109">
        <v>1.1088769999999999</v>
      </c>
      <c r="L2109">
        <v>284.65550000000002</v>
      </c>
      <c r="M2109">
        <v>-0.9998435</v>
      </c>
      <c r="N2109">
        <v>-8.1405350000000008E-3</v>
      </c>
      <c r="O2109">
        <v>-1.5710519999999999E-2</v>
      </c>
      <c r="P2109">
        <v>-0.93347659999999999</v>
      </c>
      <c r="Q2109">
        <v>0.35156779999999999</v>
      </c>
      <c r="R2109">
        <v>-7.0863460000000003E-2</v>
      </c>
      <c r="S2109">
        <v>-3.3281860000000001</v>
      </c>
      <c r="T2109">
        <v>-0.28566720000000001</v>
      </c>
      <c r="U2109">
        <v>8.3251950000000005E-2</v>
      </c>
      <c r="V2109">
        <v>-5.5489299999999998E-2</v>
      </c>
      <c r="W2109">
        <v>0.35927209999999898</v>
      </c>
      <c r="X2109">
        <v>0.93158169999999996</v>
      </c>
      <c r="Y2109">
        <v>4.049912E-2</v>
      </c>
      <c r="Z2109">
        <v>3.1179749999999998E-3</v>
      </c>
      <c r="AA2109">
        <v>0.99917469999999997</v>
      </c>
      <c r="AB2109">
        <v>43</v>
      </c>
      <c r="AC2109">
        <v>-0.70830000000000803</v>
      </c>
      <c r="AD2109">
        <v>-8.2870000000000194E-2</v>
      </c>
      <c r="AE2109">
        <v>2.8599999999983E-2</v>
      </c>
      <c r="AF2109">
        <v>3.9189028265106597E-2</v>
      </c>
      <c r="AG2109">
        <v>-8.2870000000000194E-2</v>
      </c>
      <c r="AH2109">
        <v>0.69822110429032902</v>
      </c>
      <c r="AI2109">
        <v>96.758081459245702</v>
      </c>
      <c r="AJ2109">
        <v>86.787532566687105</v>
      </c>
      <c r="AK2109">
        <v>0.70421298433980195</v>
      </c>
      <c r="AL2109">
        <v>68.944499719660698</v>
      </c>
      <c r="AM2109">
        <v>93.408773151590495</v>
      </c>
      <c r="AN2109">
        <v>0.99999998401389401</v>
      </c>
    </row>
    <row r="2110" spans="1:40" x14ac:dyDescent="0.25">
      <c r="A2110" t="str">
        <f>"20190304164857197"</f>
        <v>20190304164857197</v>
      </c>
      <c r="B2110" t="str">
        <f>"1551689337188549"</f>
        <v>1551689337188549</v>
      </c>
      <c r="C2110" t="s">
        <v>40</v>
      </c>
      <c r="D2110">
        <v>4.3736389999999998</v>
      </c>
      <c r="E2110">
        <v>0.55287299999999995</v>
      </c>
      <c r="F2110" t="s">
        <v>41</v>
      </c>
      <c r="G2110">
        <v>-264.22500000000002</v>
      </c>
      <c r="H2110">
        <v>1.0147109999999999</v>
      </c>
      <c r="I2110">
        <v>284.68360000000001</v>
      </c>
      <c r="J2110">
        <v>-263.5367</v>
      </c>
      <c r="K2110">
        <v>1.108894</v>
      </c>
      <c r="L2110">
        <v>284.64960000000002</v>
      </c>
      <c r="M2110">
        <v>-0.99985239999999997</v>
      </c>
      <c r="N2110">
        <v>-8.1688170000000001E-3</v>
      </c>
      <c r="O2110">
        <v>-1.511564E-2</v>
      </c>
      <c r="P2110">
        <v>-0.93369899999999995</v>
      </c>
      <c r="Q2110">
        <v>0.35109390000000001</v>
      </c>
      <c r="R2110">
        <v>-7.0280229999999999E-2</v>
      </c>
      <c r="S2110">
        <v>-3.3282780000000001</v>
      </c>
      <c r="T2110">
        <v>-0.2868619</v>
      </c>
      <c r="U2110">
        <v>8.5083010000000001E-2</v>
      </c>
      <c r="V2110">
        <v>-5.547291E-2</v>
      </c>
      <c r="W2110">
        <v>0.35882389999999997</v>
      </c>
      <c r="X2110">
        <v>0.93175540000000001</v>
      </c>
      <c r="Y2110">
        <v>4.045356E-2</v>
      </c>
      <c r="Z2110">
        <v>3.0823769999999999E-3</v>
      </c>
      <c r="AA2110">
        <v>0.99917670000000003</v>
      </c>
      <c r="AB2110">
        <v>44</v>
      </c>
      <c r="AC2110">
        <v>-0.688300000000026</v>
      </c>
      <c r="AD2110">
        <v>-9.4182999999999906E-2</v>
      </c>
      <c r="AE2110">
        <v>3.3999999999991801E-2</v>
      </c>
      <c r="AF2110">
        <v>4.3586448283969903E-2</v>
      </c>
      <c r="AG2110">
        <v>-9.4182999999999906E-2</v>
      </c>
      <c r="AH2110">
        <v>0.67509790967489502</v>
      </c>
      <c r="AI2110">
        <v>97.925789447123506</v>
      </c>
      <c r="AJ2110">
        <v>86.305931028708102</v>
      </c>
      <c r="AK2110">
        <v>0.68302811333826097</v>
      </c>
      <c r="AL2110">
        <v>68.972014307939304</v>
      </c>
      <c r="AM2110">
        <v>93.407134880324406</v>
      </c>
      <c r="AN2110">
        <v>0.999999980192118</v>
      </c>
    </row>
    <row r="2111" spans="1:40" x14ac:dyDescent="0.25">
      <c r="A2111" t="str">
        <f>"20190304164857208"</f>
        <v>20190304164857208</v>
      </c>
      <c r="B2111" t="str">
        <f>"1551689337198309"</f>
        <v>1551689337198309</v>
      </c>
      <c r="C2111" t="s">
        <v>40</v>
      </c>
      <c r="D2111">
        <v>4.3736889999999997</v>
      </c>
      <c r="E2111">
        <v>0.55287949999999997</v>
      </c>
      <c r="F2111" t="s">
        <v>41</v>
      </c>
      <c r="G2111">
        <v>-264.6157</v>
      </c>
      <c r="H2111">
        <v>1.01509</v>
      </c>
      <c r="I2111">
        <v>284.67829999999998</v>
      </c>
      <c r="J2111">
        <v>-263.76949999999999</v>
      </c>
      <c r="K2111">
        <v>1.1089100000000001</v>
      </c>
      <c r="L2111">
        <v>284.6463</v>
      </c>
      <c r="M2111">
        <v>-0.99985710000000005</v>
      </c>
      <c r="N2111">
        <v>-8.185421E-3</v>
      </c>
      <c r="O2111">
        <v>-1.479191E-2</v>
      </c>
      <c r="P2111">
        <v>-0.93380320000000006</v>
      </c>
      <c r="Q2111">
        <v>0.35089369999999998</v>
      </c>
      <c r="R2111">
        <v>-6.9894079999999997E-2</v>
      </c>
      <c r="S2111">
        <v>-3.3284609999999999</v>
      </c>
      <c r="T2111">
        <v>-0.28944059999999999</v>
      </c>
      <c r="U2111">
        <v>8.7799070000000007E-2</v>
      </c>
      <c r="V2111">
        <v>-5.5400280000000003E-2</v>
      </c>
      <c r="W2111">
        <v>0.35863779999999901</v>
      </c>
      <c r="X2111">
        <v>0.93183139999999998</v>
      </c>
      <c r="Y2111">
        <v>4.0938710000000003E-2</v>
      </c>
      <c r="Z2111">
        <v>3.1070949999999998E-3</v>
      </c>
      <c r="AA2111">
        <v>0.99915679999999996</v>
      </c>
      <c r="AB2111">
        <v>44</v>
      </c>
      <c r="AC2111">
        <v>-0.84620000000001006</v>
      </c>
      <c r="AD2111">
        <v>-9.3820000000000001E-2</v>
      </c>
      <c r="AE2111">
        <v>3.1999999999982202E-2</v>
      </c>
      <c r="AF2111">
        <v>4.3974047435020397E-2</v>
      </c>
      <c r="AG2111">
        <v>-9.3820000000000001E-2</v>
      </c>
      <c r="AH2111">
        <v>0.83537970776561299</v>
      </c>
      <c r="AI2111">
        <v>96.399149093542206</v>
      </c>
      <c r="AJ2111">
        <v>86.986754619188602</v>
      </c>
      <c r="AK2111">
        <v>0.84178094858126695</v>
      </c>
      <c r="AL2111">
        <v>68.9834380223582</v>
      </c>
      <c r="AM2111">
        <v>93.402407578506498</v>
      </c>
      <c r="AN2111">
        <v>1.00000001031943</v>
      </c>
    </row>
    <row r="2112" spans="1:40" x14ac:dyDescent="0.25">
      <c r="A2112" t="str">
        <f>"20190304164857229"</f>
        <v>20190304164857229</v>
      </c>
      <c r="B2112" t="str">
        <f>"1551689337217833"</f>
        <v>1551689337217833</v>
      </c>
      <c r="C2112" t="s">
        <v>40</v>
      </c>
      <c r="D2112">
        <v>4.3910450000000001</v>
      </c>
      <c r="E2112">
        <v>0.55288300000000001</v>
      </c>
      <c r="F2112" t="s">
        <v>41</v>
      </c>
      <c r="G2112">
        <v>-264.625</v>
      </c>
      <c r="H2112">
        <v>1.0342229999999999</v>
      </c>
      <c r="I2112">
        <v>284.66930000000002</v>
      </c>
      <c r="J2112">
        <v>-264.161</v>
      </c>
      <c r="K2112">
        <v>1.108932</v>
      </c>
      <c r="L2112">
        <v>284.64080000000001</v>
      </c>
      <c r="M2112">
        <v>-0.99986450000000004</v>
      </c>
      <c r="N2112">
        <v>-8.2133380000000006E-3</v>
      </c>
      <c r="O2112">
        <v>-1.427258E-2</v>
      </c>
      <c r="P2112">
        <v>-0.93390070000000003</v>
      </c>
      <c r="Q2112">
        <v>0.35079569999999999</v>
      </c>
      <c r="R2112">
        <v>-6.9079119999999994E-2</v>
      </c>
      <c r="S2112">
        <v>-3.3285520000000002</v>
      </c>
      <c r="T2112">
        <v>-0.29068290000000002</v>
      </c>
      <c r="U2112">
        <v>8.8897710000000005E-2</v>
      </c>
      <c r="V2112">
        <v>-5.5093200000000002E-2</v>
      </c>
      <c r="W2112">
        <v>0.35856169999999998</v>
      </c>
      <c r="X2112">
        <v>0.93187889999999995</v>
      </c>
      <c r="Y2112">
        <v>4.074916E-2</v>
      </c>
      <c r="Z2112">
        <v>3.0702070000000001E-3</v>
      </c>
      <c r="AA2112">
        <v>0.99916470000000002</v>
      </c>
      <c r="AB2112">
        <v>44</v>
      </c>
      <c r="AC2112">
        <v>-0.46399999999999803</v>
      </c>
      <c r="AD2112">
        <v>-7.4709000000000095E-2</v>
      </c>
      <c r="AE2112">
        <v>2.8500000000008099E-2</v>
      </c>
      <c r="AF2112">
        <v>3.42355929795162E-2</v>
      </c>
      <c r="AG2112">
        <v>-7.4709000000000095E-2</v>
      </c>
      <c r="AH2112">
        <v>0.451875353093114</v>
      </c>
      <c r="AI2112">
        <v>99.361493393634206</v>
      </c>
      <c r="AJ2112">
        <v>85.667356756691007</v>
      </c>
      <c r="AK2112">
        <v>0.45928732318744198</v>
      </c>
      <c r="AL2112">
        <v>68.988109070778407</v>
      </c>
      <c r="AM2112">
        <v>93.383420133614294</v>
      </c>
      <c r="AN2112">
        <v>1.00000001882916</v>
      </c>
    </row>
    <row r="2113" spans="1:40" x14ac:dyDescent="0.25">
      <c r="A2113" t="str">
        <f>"20190304164857251"</f>
        <v>20190304164857251</v>
      </c>
      <c r="B2113" t="str">
        <f>"1551689337238325"</f>
        <v>1551689337238325</v>
      </c>
      <c r="C2113" t="s">
        <v>40</v>
      </c>
      <c r="D2113">
        <v>4.3735200000000001</v>
      </c>
      <c r="E2113">
        <v>0.55287249999999999</v>
      </c>
      <c r="F2113" t="s">
        <v>41</v>
      </c>
      <c r="G2113">
        <v>-265.01600000000002</v>
      </c>
      <c r="H2113">
        <v>1.033847</v>
      </c>
      <c r="I2113">
        <v>284.66460000000001</v>
      </c>
      <c r="J2113">
        <v>-264.58139999999997</v>
      </c>
      <c r="K2113">
        <v>1.10897</v>
      </c>
      <c r="L2113">
        <v>284.63510000000002</v>
      </c>
      <c r="M2113">
        <v>-0.99987119999999996</v>
      </c>
      <c r="N2113">
        <v>-8.2445609999999992E-3</v>
      </c>
      <c r="O2113">
        <v>-1.3768259999999999E-2</v>
      </c>
      <c r="P2113">
        <v>-0.93404219999999905</v>
      </c>
      <c r="Q2113">
        <v>0.35069850000000002</v>
      </c>
      <c r="R2113">
        <v>-6.7643220000000004E-2</v>
      </c>
      <c r="S2113">
        <v>-3.3289490000000002</v>
      </c>
      <c r="T2113">
        <v>-0.29238009999999998</v>
      </c>
      <c r="U2113">
        <v>9.2163090000000003E-2</v>
      </c>
      <c r="V2113">
        <v>-5.4161670000000002E-2</v>
      </c>
      <c r="W2113">
        <v>0.35848780000000002</v>
      </c>
      <c r="X2113">
        <v>0.93196190000000001</v>
      </c>
      <c r="Y2113">
        <v>4.1218560000000001E-2</v>
      </c>
      <c r="Z2113">
        <v>3.070031E-3</v>
      </c>
      <c r="AA2113">
        <v>0.99914539999999996</v>
      </c>
      <c r="AB2113">
        <v>44</v>
      </c>
      <c r="AC2113">
        <v>-0.434599999999989</v>
      </c>
      <c r="AD2113">
        <v>-7.5122999999999995E-2</v>
      </c>
      <c r="AE2113">
        <v>2.94999999999845E-2</v>
      </c>
      <c r="AF2113">
        <v>3.4456294222581903E-2</v>
      </c>
      <c r="AG2113">
        <v>-7.5122999999999995E-2</v>
      </c>
      <c r="AH2113">
        <v>0.42161301616142899</v>
      </c>
      <c r="AI2113">
        <v>100.07005275790399</v>
      </c>
      <c r="AJ2113">
        <v>85.327889589411299</v>
      </c>
      <c r="AK2113">
        <v>0.42963733163831402</v>
      </c>
      <c r="AL2113">
        <v>68.992644041398705</v>
      </c>
      <c r="AM2113">
        <v>93.326046376567902</v>
      </c>
      <c r="AN2113">
        <v>0.99999998614881902</v>
      </c>
    </row>
    <row r="2114" spans="1:40" x14ac:dyDescent="0.25">
      <c r="A2114" t="str">
        <f>"20190304164857263"</f>
        <v>20190304164857263</v>
      </c>
      <c r="B2114" t="str">
        <f>"1551689337257844"</f>
        <v>1551689337257844</v>
      </c>
      <c r="C2114" t="s">
        <v>40</v>
      </c>
      <c r="D2114">
        <v>4.3677539999999997</v>
      </c>
      <c r="E2114">
        <v>0.5528805</v>
      </c>
      <c r="F2114" t="s">
        <v>41</v>
      </c>
      <c r="G2114">
        <v>-265.40870000000001</v>
      </c>
      <c r="H2114">
        <v>1.0360240000000001</v>
      </c>
      <c r="I2114">
        <v>284.65929999999997</v>
      </c>
      <c r="J2114">
        <v>-264.8415</v>
      </c>
      <c r="K2114">
        <v>1.109</v>
      </c>
      <c r="L2114">
        <v>284.63170000000002</v>
      </c>
      <c r="M2114">
        <v>-0.99987490000000001</v>
      </c>
      <c r="N2114">
        <v>-8.2649660000000003E-3</v>
      </c>
      <c r="O2114">
        <v>-1.3491049999999999E-2</v>
      </c>
      <c r="P2114">
        <v>-0.93409880000000001</v>
      </c>
      <c r="Q2114">
        <v>0.35063430000000001</v>
      </c>
      <c r="R2114">
        <v>-6.7196500000000006E-2</v>
      </c>
      <c r="S2114">
        <v>-3.3290410000000001</v>
      </c>
      <c r="T2114">
        <v>-0.29358640000000003</v>
      </c>
      <c r="U2114">
        <v>9.6435549999999995E-2</v>
      </c>
      <c r="V2114">
        <v>-5.399967E-2</v>
      </c>
      <c r="W2114">
        <v>0.35843839999999999</v>
      </c>
      <c r="X2114">
        <v>0.93199030000000005</v>
      </c>
      <c r="Y2114">
        <v>4.221693E-2</v>
      </c>
      <c r="Z2114">
        <v>3.1083859999999999E-3</v>
      </c>
      <c r="AA2114">
        <v>0.99910359999999998</v>
      </c>
      <c r="AB2114">
        <v>44</v>
      </c>
      <c r="AC2114">
        <v>-0.56720000000001303</v>
      </c>
      <c r="AD2114">
        <v>-7.2975999999999902E-2</v>
      </c>
      <c r="AE2114">
        <v>2.75999999999498E-2</v>
      </c>
      <c r="AF2114">
        <v>3.4677202186216602E-2</v>
      </c>
      <c r="AG2114">
        <v>-7.2975999999999902E-2</v>
      </c>
      <c r="AH2114">
        <v>0.55756815488067701</v>
      </c>
      <c r="AI2114">
        <v>97.442420125872403</v>
      </c>
      <c r="AJ2114">
        <v>86.4411498627382</v>
      </c>
      <c r="AK2114">
        <v>0.56339173961330602</v>
      </c>
      <c r="AL2114">
        <v>68.995675918664006</v>
      </c>
      <c r="AM2114">
        <v>93.316019431785605</v>
      </c>
      <c r="AN2114">
        <v>0.99999998512437904</v>
      </c>
    </row>
    <row r="2115" spans="1:40" x14ac:dyDescent="0.25">
      <c r="A2115" t="str">
        <f>"20190304164857285"</f>
        <v>20190304164857285</v>
      </c>
      <c r="B2115" t="str">
        <f>"1551689337278341"</f>
        <v>1551689337278341</v>
      </c>
      <c r="C2115" t="s">
        <v>40</v>
      </c>
      <c r="D2115">
        <v>4.4089859999999996</v>
      </c>
      <c r="E2115">
        <v>0.55287410000000003</v>
      </c>
      <c r="F2115" t="s">
        <v>41</v>
      </c>
      <c r="G2115">
        <v>-265.7953</v>
      </c>
      <c r="H2115">
        <v>1.0245789999999999</v>
      </c>
      <c r="I2115">
        <v>284.65969999999999</v>
      </c>
      <c r="J2115">
        <v>-265.26929999999999</v>
      </c>
      <c r="K2115">
        <v>1.1090500000000001</v>
      </c>
      <c r="L2115">
        <v>284.62619999999998</v>
      </c>
      <c r="M2115">
        <v>-0.99987990000000004</v>
      </c>
      <c r="N2115">
        <v>-8.2994130000000003E-3</v>
      </c>
      <c r="O2115">
        <v>-1.309096E-2</v>
      </c>
      <c r="P2115">
        <v>-0.93431609999999998</v>
      </c>
      <c r="Q2115">
        <v>0.35022799999999998</v>
      </c>
      <c r="R2115">
        <v>-6.6289509999999996E-2</v>
      </c>
      <c r="S2115">
        <v>-3.3293149999999998</v>
      </c>
      <c r="T2115">
        <v>-0.29472409999999999</v>
      </c>
      <c r="U2115">
        <v>9.765625E-2</v>
      </c>
      <c r="V2115">
        <v>-5.3512980000000002E-2</v>
      </c>
      <c r="W2115">
        <v>0.35805779999999998</v>
      </c>
      <c r="X2115">
        <v>0.93216469999999996</v>
      </c>
      <c r="Y2115">
        <v>4.2180540000000002E-2</v>
      </c>
      <c r="Z2115">
        <v>3.086358E-3</v>
      </c>
      <c r="AA2115">
        <v>0.99910520000000003</v>
      </c>
      <c r="AB2115">
        <v>44</v>
      </c>
      <c r="AC2115">
        <v>-0.52600000000001002</v>
      </c>
      <c r="AD2115">
        <v>-8.4470999999999893E-2</v>
      </c>
      <c r="AE2115">
        <v>3.3500000000003603E-2</v>
      </c>
      <c r="AF2115">
        <v>3.93719286516519E-2</v>
      </c>
      <c r="AG2115">
        <v>-8.4470999999999893E-2</v>
      </c>
      <c r="AH2115">
        <v>0.51235630219935402</v>
      </c>
      <c r="AI2115">
        <v>99.334970088786605</v>
      </c>
      <c r="AJ2115">
        <v>85.605751995200094</v>
      </c>
      <c r="AK2115">
        <v>0.52076336181623495</v>
      </c>
      <c r="AL2115">
        <v>69.019033917084201</v>
      </c>
      <c r="AM2115">
        <v>93.285585027657106</v>
      </c>
      <c r="AN2115">
        <v>1.0000000275476999</v>
      </c>
    </row>
    <row r="2116" spans="1:40" x14ac:dyDescent="0.25">
      <c r="A2116" t="str">
        <f>"20190304164857299"</f>
        <v>20190304164857299</v>
      </c>
      <c r="B2116" t="str">
        <f>"1551689337288101"</f>
        <v>1551689337288101</v>
      </c>
      <c r="C2116" t="s">
        <v>40</v>
      </c>
      <c r="D2116">
        <v>4.3800150000000002</v>
      </c>
      <c r="E2116">
        <v>0.55282129999999996</v>
      </c>
      <c r="F2116" t="s">
        <v>41</v>
      </c>
      <c r="G2116">
        <v>-266.1893</v>
      </c>
      <c r="H2116">
        <v>1.0269159999999999</v>
      </c>
      <c r="I2116">
        <v>284.65429999999998</v>
      </c>
      <c r="J2116">
        <v>-265.54160000000002</v>
      </c>
      <c r="K2116">
        <v>1.1090869999999999</v>
      </c>
      <c r="L2116">
        <v>284.62270000000001</v>
      </c>
      <c r="M2116">
        <v>-0.99988259999999995</v>
      </c>
      <c r="N2116">
        <v>-8.3213539999999996E-3</v>
      </c>
      <c r="O2116">
        <v>-1.2870589999999999E-2</v>
      </c>
      <c r="P2116">
        <v>-0.9343669</v>
      </c>
      <c r="Q2116">
        <v>0.35018179999999999</v>
      </c>
      <c r="R2116">
        <v>-6.5814289999999998E-2</v>
      </c>
      <c r="S2116">
        <v>-3.329529</v>
      </c>
      <c r="T2116">
        <v>-0.2973768</v>
      </c>
      <c r="U2116">
        <v>0.1007996</v>
      </c>
      <c r="V2116">
        <v>-5.3276730000000001E-2</v>
      </c>
      <c r="W2116">
        <v>0.35802709999999999</v>
      </c>
      <c r="X2116">
        <v>0.93218999999999996</v>
      </c>
      <c r="Y2116">
        <v>4.2894519999999998E-2</v>
      </c>
      <c r="Z2116">
        <v>3.1303640000000001E-3</v>
      </c>
      <c r="AA2116">
        <v>0.99907469999999998</v>
      </c>
      <c r="AB2116">
        <v>44</v>
      </c>
      <c r="AC2116">
        <v>-0.64769999999998595</v>
      </c>
      <c r="AD2116">
        <v>-8.2171000000000202E-2</v>
      </c>
      <c r="AE2116">
        <v>3.1599999999968903E-2</v>
      </c>
      <c r="AF2116">
        <v>3.9302876435303197E-2</v>
      </c>
      <c r="AG2116">
        <v>-8.2171000000000202E-2</v>
      </c>
      <c r="AH2116">
        <v>0.637011310542131</v>
      </c>
      <c r="AI2116">
        <v>97.336456988898803</v>
      </c>
      <c r="AJ2116">
        <v>86.469390802743305</v>
      </c>
      <c r="AK2116">
        <v>0.64349063636986403</v>
      </c>
      <c r="AL2116">
        <v>69.020917297065793</v>
      </c>
      <c r="AM2116">
        <v>93.271022753984695</v>
      </c>
      <c r="AN2116">
        <v>1.00000000519695</v>
      </c>
    </row>
    <row r="2117" spans="1:40" x14ac:dyDescent="0.25">
      <c r="A2117" t="str">
        <f>"20190304164857320"</f>
        <v>20190304164857320</v>
      </c>
      <c r="B2117" t="str">
        <f>"1551689337308596"</f>
        <v>1551689337308596</v>
      </c>
      <c r="C2117" t="s">
        <v>40</v>
      </c>
      <c r="D2117">
        <v>4.3210309999999996</v>
      </c>
      <c r="E2117">
        <v>0.54704280000000005</v>
      </c>
      <c r="F2117" t="s">
        <v>41</v>
      </c>
      <c r="G2117">
        <v>-266.57760000000002</v>
      </c>
      <c r="H2117">
        <v>1.0165219999999999</v>
      </c>
      <c r="I2117">
        <v>284.65440000000001</v>
      </c>
      <c r="J2117">
        <v>-265.95190000000002</v>
      </c>
      <c r="K2117">
        <v>1.1091519999999999</v>
      </c>
      <c r="L2117">
        <v>284.61759999999998</v>
      </c>
      <c r="M2117">
        <v>-0.99988589999999999</v>
      </c>
      <c r="N2117">
        <v>-8.35376E-3</v>
      </c>
      <c r="O2117">
        <v>-1.2594040000000001E-2</v>
      </c>
      <c r="P2117">
        <v>-0.93459809999999999</v>
      </c>
      <c r="Q2117">
        <v>0.34965380000000001</v>
      </c>
      <c r="R2117">
        <v>-6.5337629999999994E-2</v>
      </c>
      <c r="S2117">
        <v>-3.3293759999999999</v>
      </c>
      <c r="T2117">
        <v>-0.29745890000000003</v>
      </c>
      <c r="U2117">
        <v>0.1019592</v>
      </c>
      <c r="V2117">
        <v>-5.3108580000000002E-2</v>
      </c>
      <c r="W2117">
        <v>0.35752299999999998</v>
      </c>
      <c r="X2117">
        <v>0.93239300000000003</v>
      </c>
      <c r="Y2117">
        <v>4.2967680000000001E-2</v>
      </c>
      <c r="Z2117">
        <v>3.1128319999999998E-3</v>
      </c>
      <c r="AA2117">
        <v>0.99907159999999995</v>
      </c>
      <c r="AB2117">
        <v>44</v>
      </c>
      <c r="AC2117">
        <v>-0.62569999999999404</v>
      </c>
      <c r="AD2117">
        <v>-9.2630000000000198E-2</v>
      </c>
      <c r="AE2117">
        <v>3.6800000000027901E-2</v>
      </c>
      <c r="AF2117">
        <v>4.3722505583504399E-2</v>
      </c>
      <c r="AG2117">
        <v>-9.2630000000000198E-2</v>
      </c>
      <c r="AH2117">
        <v>0.61182408311581304</v>
      </c>
      <c r="AI2117">
        <v>98.587610880136594</v>
      </c>
      <c r="AJ2117">
        <v>85.912446608859398</v>
      </c>
      <c r="AK2117">
        <v>0.62033916777437503</v>
      </c>
      <c r="AL2117">
        <v>69.051846477778895</v>
      </c>
      <c r="AM2117">
        <v>93.260012796878101</v>
      </c>
      <c r="AN2117">
        <v>0.999999961623807</v>
      </c>
    </row>
    <row r="2118" spans="1:40" x14ac:dyDescent="0.25">
      <c r="A2118" t="str">
        <f>"20190304164857339"</f>
        <v>20190304164857339</v>
      </c>
      <c r="B2118" t="str">
        <f>"1551689337328117"</f>
        <v>1551689337328117</v>
      </c>
      <c r="C2118" t="s">
        <v>40</v>
      </c>
      <c r="D2118">
        <v>4.3629600000000002</v>
      </c>
      <c r="E2118">
        <v>0.54788389999999998</v>
      </c>
      <c r="F2118" t="s">
        <v>41</v>
      </c>
      <c r="G2118">
        <v>-266.9846</v>
      </c>
      <c r="H2118">
        <v>1.043315</v>
      </c>
      <c r="I2118">
        <v>284.63850000000002</v>
      </c>
      <c r="J2118">
        <v>-266.33600000000001</v>
      </c>
      <c r="K2118">
        <v>1.109205</v>
      </c>
      <c r="L2118">
        <v>284.61290000000002</v>
      </c>
      <c r="M2118">
        <v>-0.99988829999999995</v>
      </c>
      <c r="N2118">
        <v>-8.3829390000000007E-3</v>
      </c>
      <c r="O2118">
        <v>-1.238242E-2</v>
      </c>
      <c r="P2118">
        <v>-0.93469080000000004</v>
      </c>
      <c r="Q2118">
        <v>0.3495259</v>
      </c>
      <c r="R2118">
        <v>-6.4690319999999996E-2</v>
      </c>
      <c r="S2118">
        <v>-3.2931210000000002</v>
      </c>
      <c r="T2118">
        <v>-0.21005869999999999</v>
      </c>
      <c r="U2118">
        <v>6.622314E-2</v>
      </c>
      <c r="V2118">
        <v>-5.2704519999999998E-2</v>
      </c>
      <c r="W2118">
        <v>0.3574156</v>
      </c>
      <c r="X2118">
        <v>0.93245710000000004</v>
      </c>
      <c r="Y2118">
        <v>3.2390830000000002E-2</v>
      </c>
      <c r="Z2118">
        <v>1.85311E-3</v>
      </c>
      <c r="AA2118">
        <v>0.99947359999999996</v>
      </c>
      <c r="AB2118">
        <v>44</v>
      </c>
      <c r="AC2118">
        <v>-0.64859999999998696</v>
      </c>
      <c r="AD2118">
        <v>-6.5890000000000004E-2</v>
      </c>
      <c r="AE2118">
        <v>2.5599999999997101E-2</v>
      </c>
      <c r="AF2118">
        <v>3.32865688482556E-2</v>
      </c>
      <c r="AG2118">
        <v>-6.5890000000000004E-2</v>
      </c>
      <c r="AH2118">
        <v>0.64162194864444</v>
      </c>
      <c r="AI2118">
        <v>95.855494928976</v>
      </c>
      <c r="AJ2118">
        <v>87.030226800909801</v>
      </c>
      <c r="AK2118">
        <v>0.64585463747501104</v>
      </c>
      <c r="AL2118">
        <v>69.058435383317502</v>
      </c>
      <c r="AM2118">
        <v>93.235040969342904</v>
      </c>
      <c r="AN2118">
        <v>0.99999996044609896</v>
      </c>
    </row>
    <row r="2119" spans="1:40" x14ac:dyDescent="0.25">
      <c r="A2119" t="str">
        <f>"20190304164857352"</f>
        <v>20190304164857352</v>
      </c>
      <c r="B2119" t="str">
        <f>"1551689337348395"</f>
        <v>1551689337348395</v>
      </c>
      <c r="C2119" t="s">
        <v>40</v>
      </c>
      <c r="D2119">
        <v>4.3458829999999997</v>
      </c>
      <c r="E2119">
        <v>0.54734819999999995</v>
      </c>
      <c r="F2119" t="s">
        <v>41</v>
      </c>
      <c r="G2119">
        <v>-267.37029999999999</v>
      </c>
      <c r="H2119">
        <v>1.025266</v>
      </c>
      <c r="I2119">
        <v>284.63470000000001</v>
      </c>
      <c r="J2119">
        <v>-266.59690000000001</v>
      </c>
      <c r="K2119">
        <v>1.1092420000000001</v>
      </c>
      <c r="L2119">
        <v>284.60969999999998</v>
      </c>
      <c r="M2119">
        <v>-0.99988969999999999</v>
      </c>
      <c r="N2119">
        <v>-8.4020580000000004E-3</v>
      </c>
      <c r="O2119">
        <v>-1.226024E-2</v>
      </c>
      <c r="P2119">
        <v>-0.93471289999999996</v>
      </c>
      <c r="Q2119">
        <v>0.34948309999999999</v>
      </c>
      <c r="R2119">
        <v>-6.4606449999999996E-2</v>
      </c>
      <c r="S2119">
        <v>-3.3150629999999999</v>
      </c>
      <c r="T2119">
        <v>-0.269063</v>
      </c>
      <c r="U2119">
        <v>6.9946289999999994E-2</v>
      </c>
      <c r="V2119">
        <v>-5.2763409999999997E-2</v>
      </c>
      <c r="W2119">
        <v>0.35738639999999999</v>
      </c>
      <c r="X2119">
        <v>0.93246499999999999</v>
      </c>
      <c r="Y2119">
        <v>3.3198350000000001E-2</v>
      </c>
      <c r="Z2119">
        <v>2.3751369999999998E-3</v>
      </c>
      <c r="AA2119">
        <v>0.99944599999999995</v>
      </c>
      <c r="AB2119">
        <v>44</v>
      </c>
      <c r="AC2119">
        <v>-0.77339999999997999</v>
      </c>
      <c r="AD2119">
        <v>-8.3975999999999995E-2</v>
      </c>
      <c r="AE2119">
        <v>2.5000000000034099E-2</v>
      </c>
      <c r="AF2119">
        <v>3.4079160653721199E-2</v>
      </c>
      <c r="AG2119">
        <v>-8.3975999999999995E-2</v>
      </c>
      <c r="AH2119">
        <v>0.76403700097489002</v>
      </c>
      <c r="AI2119">
        <v>96.266074312183605</v>
      </c>
      <c r="AJ2119">
        <v>87.4460677862089</v>
      </c>
      <c r="AK2119">
        <v>0.76939320027250402</v>
      </c>
      <c r="AL2119">
        <v>69.060227522938405</v>
      </c>
      <c r="AM2119">
        <v>93.238620609181197</v>
      </c>
      <c r="AN2119">
        <v>0.999999996282394</v>
      </c>
    </row>
    <row r="2120" spans="1:40" x14ac:dyDescent="0.25">
      <c r="A2120" t="str">
        <f>"20190304164857365"</f>
        <v>20190304164857365</v>
      </c>
      <c r="B2120" t="str">
        <f>"1551689337358156"</f>
        <v>1551689337358156</v>
      </c>
      <c r="C2120" t="s">
        <v>40</v>
      </c>
      <c r="D2120">
        <v>4.2861200000000004</v>
      </c>
      <c r="E2120">
        <v>0.54689540000000003</v>
      </c>
      <c r="F2120" t="s">
        <v>41</v>
      </c>
      <c r="G2120">
        <v>-267.38229999999999</v>
      </c>
      <c r="H2120">
        <v>1.045974</v>
      </c>
      <c r="I2120">
        <v>284.62549999999999</v>
      </c>
      <c r="J2120">
        <v>-266.8571</v>
      </c>
      <c r="K2120">
        <v>1.1092740000000001</v>
      </c>
      <c r="L2120">
        <v>284.60660000000001</v>
      </c>
      <c r="M2120">
        <v>-0.99989079999999997</v>
      </c>
      <c r="N2120">
        <v>-8.420472E-3</v>
      </c>
      <c r="O2120">
        <v>-1.215544E-2</v>
      </c>
      <c r="P2120">
        <v>-0.93467120000000004</v>
      </c>
      <c r="Q2120">
        <v>0.3495875</v>
      </c>
      <c r="R2120">
        <v>-6.4643119999999998E-2</v>
      </c>
      <c r="S2120">
        <v>-3.3139949999999998</v>
      </c>
      <c r="T2120">
        <v>-0.26700200000000002</v>
      </c>
      <c r="U2120">
        <v>6.674194E-2</v>
      </c>
      <c r="V2120">
        <v>-5.2924930000000002E-2</v>
      </c>
      <c r="W2120">
        <v>0.35750340000000003</v>
      </c>
      <c r="X2120">
        <v>0.93241099999999999</v>
      </c>
      <c r="Y2120">
        <v>3.214065E-2</v>
      </c>
      <c r="Z2120">
        <v>2.3035780000000001E-3</v>
      </c>
      <c r="AA2120">
        <v>0.9994807</v>
      </c>
      <c r="AB2120">
        <v>44</v>
      </c>
      <c r="AC2120">
        <v>-0.52519999999998301</v>
      </c>
      <c r="AD2120">
        <v>-6.3299999999999898E-2</v>
      </c>
      <c r="AE2120">
        <v>1.8899999999973702E-2</v>
      </c>
      <c r="AF2120">
        <v>2.4921317328264501E-2</v>
      </c>
      <c r="AG2120">
        <v>-6.3299999999999898E-2</v>
      </c>
      <c r="AH2120">
        <v>0.51742485053577902</v>
      </c>
      <c r="AI2120">
        <v>96.966717436781195</v>
      </c>
      <c r="AJ2120">
        <v>87.242529602801895</v>
      </c>
      <c r="AK2120">
        <v>0.52187779988168703</v>
      </c>
      <c r="AL2120">
        <v>69.053049813972805</v>
      </c>
      <c r="AM2120">
        <v>93.248701246608604</v>
      </c>
      <c r="AN2120">
        <v>1.00000000107403</v>
      </c>
    </row>
    <row r="2121" spans="1:40" x14ac:dyDescent="0.25">
      <c r="A2121" t="str">
        <f>"20190304164857378"</f>
        <v>20190304164857378</v>
      </c>
      <c r="B2121" t="str">
        <f>"1551689337367916"</f>
        <v>1551689337367916</v>
      </c>
      <c r="C2121" t="s">
        <v>40</v>
      </c>
      <c r="D2121">
        <v>4.3059510000000003</v>
      </c>
      <c r="E2121">
        <v>0.54686029999999997</v>
      </c>
      <c r="F2121" t="s">
        <v>41</v>
      </c>
      <c r="G2121">
        <v>-267.77100000000002</v>
      </c>
      <c r="H2121">
        <v>1.0369409999999999</v>
      </c>
      <c r="I2121">
        <v>284.62450000000001</v>
      </c>
      <c r="J2121">
        <v>-267.09910000000002</v>
      </c>
      <c r="K2121">
        <v>1.109302</v>
      </c>
      <c r="L2121">
        <v>284.6037</v>
      </c>
      <c r="M2121">
        <v>-0.9998918</v>
      </c>
      <c r="N2121">
        <v>-8.4375800000000001E-3</v>
      </c>
      <c r="O2121">
        <v>-1.206514E-2</v>
      </c>
      <c r="P2121">
        <v>-0.93465160000000003</v>
      </c>
      <c r="Q2121">
        <v>0.34963509999999998</v>
      </c>
      <c r="R2121">
        <v>-6.4666959999999996E-2</v>
      </c>
      <c r="S2121">
        <v>-3.3122560000000001</v>
      </c>
      <c r="T2121">
        <v>-0.26240629999999998</v>
      </c>
      <c r="U2121">
        <v>6.3842769999999993E-2</v>
      </c>
      <c r="V2121">
        <v>-5.3055669999999999E-2</v>
      </c>
      <c r="W2121">
        <v>0.35756399999999999</v>
      </c>
      <c r="X2121">
        <v>0.93238030000000005</v>
      </c>
      <c r="Y2121">
        <v>3.1194739999999999E-2</v>
      </c>
      <c r="Z2121">
        <v>2.2180799999999999E-3</v>
      </c>
      <c r="AA2121">
        <v>0.99951089999999998</v>
      </c>
      <c r="AB2121">
        <v>44</v>
      </c>
      <c r="AC2121">
        <v>-0.67189999999993599</v>
      </c>
      <c r="AD2121">
        <v>-7.2361000000000106E-2</v>
      </c>
      <c r="AE2121">
        <v>2.0800000000008301E-2</v>
      </c>
      <c r="AF2121">
        <v>2.8574241059394899E-2</v>
      </c>
      <c r="AG2121">
        <v>-7.2361000000000106E-2</v>
      </c>
      <c r="AH2121">
        <v>0.66390720743696496</v>
      </c>
      <c r="AI2121">
        <v>96.214556704666506</v>
      </c>
      <c r="AJ2121">
        <v>87.535538681672705</v>
      </c>
      <c r="AK2121">
        <v>0.66844998441160097</v>
      </c>
      <c r="AL2121">
        <v>69.0493312798245</v>
      </c>
      <c r="AM2121">
        <v>93.256816233511799</v>
      </c>
      <c r="AN2121">
        <v>0.99999997102161897</v>
      </c>
    </row>
    <row r="2122" spans="1:40" x14ac:dyDescent="0.25">
      <c r="A2122" t="str">
        <f>"20190304164857397"</f>
        <v>20190304164857397</v>
      </c>
      <c r="B2122" t="str">
        <f>"1551689337388411"</f>
        <v>1551689337388411</v>
      </c>
      <c r="C2122" t="s">
        <v>40</v>
      </c>
      <c r="D2122">
        <v>4.3387310000000001</v>
      </c>
      <c r="E2122">
        <v>0.54690490000000003</v>
      </c>
      <c r="F2122" t="s">
        <v>41</v>
      </c>
      <c r="G2122">
        <v>-268.16079999999999</v>
      </c>
      <c r="H2122">
        <v>1.0250699999999999</v>
      </c>
      <c r="I2122">
        <v>284.62419999999997</v>
      </c>
      <c r="J2122">
        <v>-267.4735</v>
      </c>
      <c r="K2122">
        <v>1.1093390000000001</v>
      </c>
      <c r="L2122">
        <v>284.5992</v>
      </c>
      <c r="M2122">
        <v>-0.99989300000000003</v>
      </c>
      <c r="N2122">
        <v>-8.4648969999999903E-3</v>
      </c>
      <c r="O2122">
        <v>-1.1944679999999999E-2</v>
      </c>
      <c r="P2122">
        <v>-0.93450699999999998</v>
      </c>
      <c r="Q2122">
        <v>0.3500105</v>
      </c>
      <c r="R2122">
        <v>-6.4731259999999999E-2</v>
      </c>
      <c r="S2122">
        <v>-3.3124389999999999</v>
      </c>
      <c r="T2122">
        <v>-0.26270320000000003</v>
      </c>
      <c r="U2122">
        <v>6.4270019999999997E-2</v>
      </c>
      <c r="V2122">
        <v>-5.3263539999999998E-2</v>
      </c>
      <c r="W2122">
        <v>0.35795939999999998</v>
      </c>
      <c r="X2122">
        <v>0.93221679999999996</v>
      </c>
      <c r="Y2122">
        <v>3.12021E-2</v>
      </c>
      <c r="Z2122">
        <v>2.2123260000000001E-3</v>
      </c>
      <c r="AA2122">
        <v>0.99951060000000003</v>
      </c>
      <c r="AB2122">
        <v>44</v>
      </c>
      <c r="AC2122">
        <v>-0.68729999999999303</v>
      </c>
      <c r="AD2122">
        <v>-8.4268999999999705E-2</v>
      </c>
      <c r="AE2122">
        <v>2.49999999999772E-2</v>
      </c>
      <c r="AF2122">
        <v>3.2716907295243597E-2</v>
      </c>
      <c r="AG2122">
        <v>-8.4268999999999705E-2</v>
      </c>
      <c r="AH2122">
        <v>0.67679163396444597</v>
      </c>
      <c r="AI2122">
        <v>97.089317008973396</v>
      </c>
      <c r="AJ2122">
        <v>87.232408808257503</v>
      </c>
      <c r="AK2122">
        <v>0.68280200364983501</v>
      </c>
      <c r="AL2122">
        <v>69.025072520212007</v>
      </c>
      <c r="AM2122">
        <v>93.270120877215305</v>
      </c>
      <c r="AN2122">
        <v>1.0000000494719601</v>
      </c>
    </row>
    <row r="2123" spans="1:40" x14ac:dyDescent="0.25">
      <c r="A2123" t="str">
        <f>"20190304164857408"</f>
        <v>20190304164857408</v>
      </c>
      <c r="B2123" t="str">
        <f>"1551689337398171"</f>
        <v>1551689337398171</v>
      </c>
      <c r="C2123" t="s">
        <v>40</v>
      </c>
      <c r="D2123">
        <v>4.299569</v>
      </c>
      <c r="E2123">
        <v>0.54686950000000001</v>
      </c>
      <c r="F2123" t="s">
        <v>41</v>
      </c>
      <c r="G2123">
        <v>-268.55650000000003</v>
      </c>
      <c r="H2123">
        <v>1.024078</v>
      </c>
      <c r="I2123">
        <v>284.6207</v>
      </c>
      <c r="J2123">
        <v>-267.7158</v>
      </c>
      <c r="K2123">
        <v>1.1093580000000001</v>
      </c>
      <c r="L2123">
        <v>284.59629999999999</v>
      </c>
      <c r="M2123">
        <v>-0.99989360000000005</v>
      </c>
      <c r="N2123">
        <v>-8.483562E-3</v>
      </c>
      <c r="O2123">
        <v>-1.1875780000000001E-2</v>
      </c>
      <c r="P2123">
        <v>-0.9344536</v>
      </c>
      <c r="Q2123">
        <v>0.35012169999999998</v>
      </c>
      <c r="R2123">
        <v>-6.4896759999999998E-2</v>
      </c>
      <c r="S2123">
        <v>-3.3125</v>
      </c>
      <c r="T2123">
        <v>-0.26102730000000002</v>
      </c>
      <c r="U2123">
        <v>6.4758300000000005E-2</v>
      </c>
      <c r="V2123">
        <v>-5.3511030000000001E-2</v>
      </c>
      <c r="W2123">
        <v>0.35808489999999998</v>
      </c>
      <c r="X2123">
        <v>0.93215440000000005</v>
      </c>
      <c r="Y2123">
        <v>3.1281799999999998E-2</v>
      </c>
      <c r="Z2123">
        <v>2.1971149999999999E-3</v>
      </c>
      <c r="AA2123">
        <v>0.99950819999999996</v>
      </c>
      <c r="AB2123">
        <v>44</v>
      </c>
      <c r="AC2123">
        <v>-0.84070000000002598</v>
      </c>
      <c r="AD2123">
        <v>-8.5279999999999995E-2</v>
      </c>
      <c r="AE2123">
        <v>2.4400000000014101E-2</v>
      </c>
      <c r="AF2123">
        <v>3.4032706343364097E-2</v>
      </c>
      <c r="AG2123">
        <v>-8.5279999999999995E-2</v>
      </c>
      <c r="AH2123">
        <v>0.83179898361905802</v>
      </c>
      <c r="AI2123">
        <v>95.848923938947905</v>
      </c>
      <c r="AJ2123">
        <v>87.657073997744803</v>
      </c>
      <c r="AK2123">
        <v>0.83685151170966598</v>
      </c>
      <c r="AL2123">
        <v>69.017370895447897</v>
      </c>
      <c r="AM2123">
        <v>93.285501787804506</v>
      </c>
      <c r="AN2123">
        <v>1.0000000256895101</v>
      </c>
    </row>
    <row r="2124" spans="1:40" x14ac:dyDescent="0.25">
      <c r="A2124" t="str">
        <f>"20190304164857420"</f>
        <v>20190304164857420</v>
      </c>
      <c r="B2124" t="str">
        <f>"1551689337407931"</f>
        <v>1551689337407931</v>
      </c>
      <c r="C2124" t="s">
        <v>40</v>
      </c>
      <c r="D2124">
        <v>4.3139440000000002</v>
      </c>
      <c r="E2124">
        <v>0.54685189999999995</v>
      </c>
      <c r="F2124" t="s">
        <v>41</v>
      </c>
      <c r="G2124">
        <v>-268.56580000000002</v>
      </c>
      <c r="H2124">
        <v>1.0424059999999999</v>
      </c>
      <c r="I2124">
        <v>284.613</v>
      </c>
      <c r="J2124">
        <v>-267.93729999999999</v>
      </c>
      <c r="K2124">
        <v>1.109378</v>
      </c>
      <c r="L2124">
        <v>284.59379999999999</v>
      </c>
      <c r="M2124">
        <v>-0.99989410000000001</v>
      </c>
      <c r="N2124">
        <v>-8.5006890000000005E-3</v>
      </c>
      <c r="O2124">
        <v>-1.1815559999999999E-2</v>
      </c>
      <c r="P2124">
        <v>-0.93438940000000004</v>
      </c>
      <c r="Q2124">
        <v>0.35025329999999999</v>
      </c>
      <c r="R2124">
        <v>-6.5108040000000006E-2</v>
      </c>
      <c r="S2124">
        <v>-3.3127140000000002</v>
      </c>
      <c r="T2124">
        <v>-0.26120870000000002</v>
      </c>
      <c r="U2124">
        <v>6.35376E-2</v>
      </c>
      <c r="V2124">
        <v>-5.3793189999999998E-2</v>
      </c>
      <c r="W2124">
        <v>0.3582301</v>
      </c>
      <c r="X2124">
        <v>0.93208239999999998</v>
      </c>
      <c r="Y2124">
        <v>3.085361E-2</v>
      </c>
      <c r="Z2124">
        <v>2.1756409999999999E-3</v>
      </c>
      <c r="AA2124">
        <v>0.99952160000000001</v>
      </c>
      <c r="AB2124">
        <v>44</v>
      </c>
      <c r="AC2124">
        <v>-0.62850000000003003</v>
      </c>
      <c r="AD2124">
        <v>-6.6972000000000004E-2</v>
      </c>
      <c r="AE2124">
        <v>1.9200000000011999E-2</v>
      </c>
      <c r="AF2124">
        <v>2.6326357715670799E-2</v>
      </c>
      <c r="AG2124">
        <v>-6.6972000000000004E-2</v>
      </c>
      <c r="AH2124">
        <v>0.62118248722066804</v>
      </c>
      <c r="AI2124">
        <v>96.148026113353794</v>
      </c>
      <c r="AJ2124">
        <v>87.573197745905404</v>
      </c>
      <c r="AK2124">
        <v>0.62533671595727403</v>
      </c>
      <c r="AL2124">
        <v>69.0084611082181</v>
      </c>
      <c r="AM2124">
        <v>93.303042325555595</v>
      </c>
      <c r="AN2124">
        <v>1.00000005611307</v>
      </c>
    </row>
    <row r="2125" spans="1:40" x14ac:dyDescent="0.25">
      <c r="A2125" t="str">
        <f>"20190304164857434"</f>
        <v>20190304164857434</v>
      </c>
      <c r="B2125" t="str">
        <f>"1551689337428428"</f>
        <v>1551689337428428</v>
      </c>
      <c r="C2125" t="s">
        <v>40</v>
      </c>
      <c r="D2125">
        <v>4.2719139999999998</v>
      </c>
      <c r="E2125">
        <v>0.54680949999999995</v>
      </c>
      <c r="F2125" t="s">
        <v>41</v>
      </c>
      <c r="G2125">
        <v>-268.95569999999998</v>
      </c>
      <c r="H2125">
        <v>1.0293129999999999</v>
      </c>
      <c r="I2125">
        <v>284.61329999999998</v>
      </c>
      <c r="J2125">
        <v>-268.20740000000001</v>
      </c>
      <c r="K2125">
        <v>1.1093930000000001</v>
      </c>
      <c r="L2125">
        <v>284.59059999999999</v>
      </c>
      <c r="M2125">
        <v>-0.99989490000000003</v>
      </c>
      <c r="N2125">
        <v>-8.5216359999999904E-3</v>
      </c>
      <c r="O2125">
        <v>-1.174703E-2</v>
      </c>
      <c r="P2125">
        <v>-0.93429229999999996</v>
      </c>
      <c r="Q2125">
        <v>0.35041480000000003</v>
      </c>
      <c r="R2125">
        <v>-6.5635600000000002E-2</v>
      </c>
      <c r="S2125">
        <v>-3.3127140000000002</v>
      </c>
      <c r="T2125">
        <v>-0.26060709999999998</v>
      </c>
      <c r="U2125">
        <v>6.268311E-2</v>
      </c>
      <c r="V2125">
        <v>-5.4401199999999997E-2</v>
      </c>
      <c r="W2125">
        <v>0.35840820000000001</v>
      </c>
      <c r="X2125">
        <v>0.93197859999999999</v>
      </c>
      <c r="Y2125">
        <v>3.0529250000000001E-2</v>
      </c>
      <c r="Z2125">
        <v>2.1518750000000001E-3</v>
      </c>
      <c r="AA2125">
        <v>0.99953159999999996</v>
      </c>
      <c r="AB2125">
        <v>44</v>
      </c>
      <c r="AC2125">
        <v>-0.74829999999997199</v>
      </c>
      <c r="AD2125">
        <v>-8.0080000000000096E-2</v>
      </c>
      <c r="AE2125">
        <v>2.2699999999986099E-2</v>
      </c>
      <c r="AF2125">
        <v>3.1132835508243799E-2</v>
      </c>
      <c r="AG2125">
        <v>-8.0080000000000096E-2</v>
      </c>
      <c r="AH2125">
        <v>0.73952020022159304</v>
      </c>
      <c r="AI2125">
        <v>96.174846668706493</v>
      </c>
      <c r="AJ2125">
        <v>87.589345903410205</v>
      </c>
      <c r="AK2125">
        <v>0.74449458452198902</v>
      </c>
      <c r="AL2125">
        <v>68.997530156781295</v>
      </c>
      <c r="AM2125">
        <v>93.3406628488395</v>
      </c>
      <c r="AN2125">
        <v>1.0000000196233101</v>
      </c>
    </row>
    <row r="2126" spans="1:40" x14ac:dyDescent="0.25">
      <c r="A2126" t="str">
        <f>"20190304164857451"</f>
        <v>20190304164857451</v>
      </c>
      <c r="B2126" t="str">
        <f>"1551689337448515"</f>
        <v>1551689337448515</v>
      </c>
      <c r="C2126" t="s">
        <v>40</v>
      </c>
      <c r="D2126">
        <v>4.288983</v>
      </c>
      <c r="E2126">
        <v>0.54684750000000004</v>
      </c>
      <c r="F2126" t="s">
        <v>41</v>
      </c>
      <c r="G2126">
        <v>-268.9692</v>
      </c>
      <c r="H2126">
        <v>1.049623</v>
      </c>
      <c r="I2126">
        <v>284.60469999999998</v>
      </c>
      <c r="J2126">
        <v>-268.54910000000001</v>
      </c>
      <c r="K2126">
        <v>1.109415</v>
      </c>
      <c r="L2126">
        <v>284.58670000000001</v>
      </c>
      <c r="M2126">
        <v>-0.99989539999999999</v>
      </c>
      <c r="N2126">
        <v>-8.5474490000000004E-3</v>
      </c>
      <c r="O2126">
        <v>-1.1664600000000001E-2</v>
      </c>
      <c r="P2126">
        <v>-0.93408440000000004</v>
      </c>
      <c r="Q2126">
        <v>0.35080430000000001</v>
      </c>
      <c r="R2126">
        <v>-6.6502080000000005E-2</v>
      </c>
      <c r="S2126">
        <v>-3.312805</v>
      </c>
      <c r="T2126">
        <v>-0.26014350000000003</v>
      </c>
      <c r="U2126">
        <v>6.0363769999999997E-2</v>
      </c>
      <c r="V2126">
        <v>-5.5365070000000002E-2</v>
      </c>
      <c r="W2126">
        <v>0.35881859999999999</v>
      </c>
      <c r="X2126">
        <v>0.93176389999999998</v>
      </c>
      <c r="Y2126">
        <v>2.9750100000000002E-2</v>
      </c>
      <c r="Z2126">
        <v>2.1085180000000002E-3</v>
      </c>
      <c r="AA2126">
        <v>0.99955519999999998</v>
      </c>
      <c r="AB2126">
        <v>44</v>
      </c>
      <c r="AC2126">
        <v>-0.42009999999998998</v>
      </c>
      <c r="AD2126">
        <v>-5.9791999999999998E-2</v>
      </c>
      <c r="AE2126">
        <v>1.7999999999972201E-2</v>
      </c>
      <c r="AF2126">
        <v>2.2445403668376801E-2</v>
      </c>
      <c r="AG2126">
        <v>-5.9791999999999998E-2</v>
      </c>
      <c r="AH2126">
        <v>0.411540047790457</v>
      </c>
      <c r="AI2126">
        <v>98.254472672425905</v>
      </c>
      <c r="AJ2126">
        <v>86.878179819945998</v>
      </c>
      <c r="AK2126">
        <v>0.41646619352020398</v>
      </c>
      <c r="AL2126">
        <v>68.972340561810199</v>
      </c>
      <c r="AM2126">
        <v>93.400495979146399</v>
      </c>
      <c r="AN2126">
        <v>1.0000000220126299</v>
      </c>
    </row>
    <row r="2127" spans="1:40" x14ac:dyDescent="0.25">
      <c r="A2127" t="str">
        <f>"20190304164857463"</f>
        <v>20190304164857463</v>
      </c>
      <c r="B2127" t="str">
        <f>"1551689337458276"</f>
        <v>1551689337458276</v>
      </c>
      <c r="C2127" t="s">
        <v>40</v>
      </c>
      <c r="D2127">
        <v>4.2877519999999896</v>
      </c>
      <c r="E2127">
        <v>0.54682379999999997</v>
      </c>
      <c r="F2127" t="s">
        <v>41</v>
      </c>
      <c r="G2127">
        <v>-269.36279999999999</v>
      </c>
      <c r="H2127">
        <v>1.045582</v>
      </c>
      <c r="I2127">
        <v>284.60109999999997</v>
      </c>
      <c r="J2127">
        <v>-268.78370000000001</v>
      </c>
      <c r="K2127">
        <v>1.1094310000000001</v>
      </c>
      <c r="L2127">
        <v>284.584</v>
      </c>
      <c r="M2127">
        <v>-0.99989600000000001</v>
      </c>
      <c r="N2127">
        <v>-8.5644699999999994E-3</v>
      </c>
      <c r="O2127">
        <v>-1.1609599999999999E-2</v>
      </c>
      <c r="P2127">
        <v>-0.9340659</v>
      </c>
      <c r="Q2127">
        <v>0.35075410000000001</v>
      </c>
      <c r="R2127">
        <v>-6.7029039999999998E-2</v>
      </c>
      <c r="S2127">
        <v>-3.313507</v>
      </c>
      <c r="T2127">
        <v>-0.2602177</v>
      </c>
      <c r="U2127">
        <v>5.7373050000000002E-2</v>
      </c>
      <c r="V2127">
        <v>-5.5955030000000003E-2</v>
      </c>
      <c r="W2127">
        <v>0.35878209999999999</v>
      </c>
      <c r="X2127">
        <v>0.93174270000000003</v>
      </c>
      <c r="Y2127">
        <v>2.8792729999999999E-2</v>
      </c>
      <c r="Z2127">
        <v>2.0632580000000001E-3</v>
      </c>
      <c r="AA2127">
        <v>0.99958320000000001</v>
      </c>
      <c r="AB2127">
        <v>44</v>
      </c>
      <c r="AC2127">
        <v>-0.57909999999998196</v>
      </c>
      <c r="AD2127">
        <v>-6.3849000000000003E-2</v>
      </c>
      <c r="AE2127">
        <v>1.7099999999970798E-2</v>
      </c>
      <c r="AF2127">
        <v>2.3536347523815299E-2</v>
      </c>
      <c r="AG2127">
        <v>-6.3849000000000003E-2</v>
      </c>
      <c r="AH2127">
        <v>0.57191611634426298</v>
      </c>
      <c r="AI2127">
        <v>96.364808530673699</v>
      </c>
      <c r="AJ2127">
        <v>87.643408157625501</v>
      </c>
      <c r="AK2127">
        <v>0.57595025704488201</v>
      </c>
      <c r="AL2127">
        <v>68.974580773326394</v>
      </c>
      <c r="AM2127">
        <v>93.436722655672696</v>
      </c>
      <c r="AN2127">
        <v>1.000000009833</v>
      </c>
    </row>
    <row r="2128" spans="1:40" x14ac:dyDescent="0.25">
      <c r="A2128" t="str">
        <f>"20190304164857486"</f>
        <v>20190304164857486</v>
      </c>
      <c r="B2128" t="str">
        <f>"1551689337477795"</f>
        <v>1551689337477795</v>
      </c>
      <c r="C2128" t="s">
        <v>40</v>
      </c>
      <c r="D2128">
        <v>4.265917</v>
      </c>
      <c r="E2128">
        <v>0.54682430000000004</v>
      </c>
      <c r="F2128" t="s">
        <v>41</v>
      </c>
      <c r="G2128">
        <v>-269.7525</v>
      </c>
      <c r="H2128">
        <v>1.033085</v>
      </c>
      <c r="I2128">
        <v>284.6003</v>
      </c>
      <c r="J2128">
        <v>-269.23649999999998</v>
      </c>
      <c r="K2128">
        <v>1.109459</v>
      </c>
      <c r="L2128">
        <v>284.57889999999998</v>
      </c>
      <c r="M2128">
        <v>-0.99989689999999998</v>
      </c>
      <c r="N2128">
        <v>-8.597482E-3</v>
      </c>
      <c r="O2128">
        <v>-1.150469E-2</v>
      </c>
      <c r="P2128">
        <v>-0.93412569999999995</v>
      </c>
      <c r="Q2128">
        <v>0.35054059999999998</v>
      </c>
      <c r="R2128">
        <v>-6.73092E-2</v>
      </c>
      <c r="S2128">
        <v>-3.3138429999999999</v>
      </c>
      <c r="T2128">
        <v>-0.26121080000000002</v>
      </c>
      <c r="U2128">
        <v>5.5419919999999998E-2</v>
      </c>
      <c r="V2128">
        <v>-5.6352510000000001E-2</v>
      </c>
      <c r="W2128">
        <v>0.35859730000000001</v>
      </c>
      <c r="X2128">
        <v>0.93178989999999995</v>
      </c>
      <c r="Y2128">
        <v>2.8098830000000002E-2</v>
      </c>
      <c r="Z2128">
        <v>2.0332670000000001E-3</v>
      </c>
      <c r="AA2128">
        <v>0.99960309999999997</v>
      </c>
      <c r="AB2128">
        <v>44</v>
      </c>
      <c r="AC2128">
        <v>-0.516000000000019</v>
      </c>
      <c r="AD2128">
        <v>-7.63739999999999E-2</v>
      </c>
      <c r="AE2128">
        <v>2.1400000000028199E-2</v>
      </c>
      <c r="AF2128">
        <v>2.67502005883818E-2</v>
      </c>
      <c r="AG2128">
        <v>-7.63739999999999E-2</v>
      </c>
      <c r="AH2128">
        <v>0.50468232398594604</v>
      </c>
      <c r="AI2128">
        <v>98.593442220593104</v>
      </c>
      <c r="AJ2128">
        <v>86.965931587735398</v>
      </c>
      <c r="AK2128">
        <v>0.51112895559865701</v>
      </c>
      <c r="AL2128">
        <v>68.985924133808695</v>
      </c>
      <c r="AM2128">
        <v>93.460901594009101</v>
      </c>
      <c r="AN2128">
        <v>1.00000002334629</v>
      </c>
    </row>
    <row r="2129" spans="1:40" x14ac:dyDescent="0.25">
      <c r="A2129" t="str">
        <f>"20190304164857509"</f>
        <v>20190304164857509</v>
      </c>
      <c r="B2129" t="str">
        <f>"1551689337498293"</f>
        <v>1551689337498293</v>
      </c>
      <c r="C2129" t="s">
        <v>40</v>
      </c>
      <c r="D2129">
        <v>4.2629330000000003</v>
      </c>
      <c r="E2129">
        <v>0.54683280000000001</v>
      </c>
      <c r="F2129" t="s">
        <v>41</v>
      </c>
      <c r="G2129">
        <v>-270.15260000000001</v>
      </c>
      <c r="H2129">
        <v>1.0368269999999999</v>
      </c>
      <c r="I2129">
        <v>284.59410000000003</v>
      </c>
      <c r="J2129">
        <v>-269.69580000000002</v>
      </c>
      <c r="K2129">
        <v>1.109477</v>
      </c>
      <c r="L2129">
        <v>284.57369999999997</v>
      </c>
      <c r="M2129">
        <v>-0.99989799999999995</v>
      </c>
      <c r="N2129">
        <v>-8.6328719999999998E-3</v>
      </c>
      <c r="O2129">
        <v>-1.139918E-2</v>
      </c>
      <c r="P2129">
        <v>-0.9340463</v>
      </c>
      <c r="Q2129">
        <v>0.35077269999999999</v>
      </c>
      <c r="R2129">
        <v>-6.7206779999999994E-2</v>
      </c>
      <c r="S2129">
        <v>-3.3140869999999998</v>
      </c>
      <c r="T2129">
        <v>-0.262849</v>
      </c>
      <c r="U2129">
        <v>5.4290770000000002E-2</v>
      </c>
      <c r="V2129">
        <v>-5.6367319999999999E-2</v>
      </c>
      <c r="W2129">
        <v>0.35885860000000003</v>
      </c>
      <c r="X2129">
        <v>0.93168839999999997</v>
      </c>
      <c r="Y2129">
        <v>2.7651909999999998E-2</v>
      </c>
      <c r="Z2129">
        <v>2.018719E-3</v>
      </c>
      <c r="AA2129">
        <v>0.99961560000000005</v>
      </c>
      <c r="AB2129">
        <v>44</v>
      </c>
      <c r="AC2129">
        <v>-0.45679999999998699</v>
      </c>
      <c r="AD2129">
        <v>-7.2650000000000103E-2</v>
      </c>
      <c r="AE2129">
        <v>2.0400000000051901E-2</v>
      </c>
      <c r="AF2129">
        <v>2.4975536638790399E-2</v>
      </c>
      <c r="AG2129">
        <v>-7.2650000000000103E-2</v>
      </c>
      <c r="AH2129">
        <v>0.44529680791022302</v>
      </c>
      <c r="AI2129">
        <v>99.251856029417695</v>
      </c>
      <c r="AJ2129">
        <v>86.789792551851207</v>
      </c>
      <c r="AK2129">
        <v>0.45187503478885599</v>
      </c>
      <c r="AL2129">
        <v>68.969885205362104</v>
      </c>
      <c r="AM2129">
        <v>93.462185160736894</v>
      </c>
      <c r="AN2129">
        <v>1.0000000221262499</v>
      </c>
    </row>
    <row r="2130" spans="1:40" x14ac:dyDescent="0.25">
      <c r="A2130" t="str">
        <f>"20190304164857529"</f>
        <v>20190304164857529</v>
      </c>
      <c r="B2130" t="str">
        <f>"1551689337517812"</f>
        <v>1551689337517812</v>
      </c>
      <c r="C2130" t="s">
        <v>40</v>
      </c>
      <c r="D2130">
        <v>4.2985899999999999</v>
      </c>
      <c r="E2130">
        <v>0.54689969999999999</v>
      </c>
      <c r="F2130" t="s">
        <v>41</v>
      </c>
      <c r="G2130">
        <v>-270.5539</v>
      </c>
      <c r="H2130">
        <v>1.041239</v>
      </c>
      <c r="I2130">
        <v>284.58780000000002</v>
      </c>
      <c r="J2130">
        <v>-270.10550000000001</v>
      </c>
      <c r="K2130">
        <v>1.1094919999999999</v>
      </c>
      <c r="L2130">
        <v>284.56900000000002</v>
      </c>
      <c r="M2130">
        <v>-0.99989859999999997</v>
      </c>
      <c r="N2130">
        <v>-8.6653210000000001E-3</v>
      </c>
      <c r="O2130">
        <v>-1.130541E-2</v>
      </c>
      <c r="P2130">
        <v>-0.93390320000000004</v>
      </c>
      <c r="Q2130">
        <v>0.35124429999999901</v>
      </c>
      <c r="R2130">
        <v>-6.6724110000000003E-2</v>
      </c>
      <c r="S2130">
        <v>-3.3147579999999999</v>
      </c>
      <c r="T2130">
        <v>-0.26370969999999999</v>
      </c>
      <c r="U2130">
        <v>5.3955080000000002E-2</v>
      </c>
      <c r="V2130">
        <v>-5.5988410000000002E-2</v>
      </c>
      <c r="W2130">
        <v>0.35935699999999998</v>
      </c>
      <c r="X2130">
        <v>0.93151910000000004</v>
      </c>
      <c r="Y2130">
        <v>2.7453809999999999E-2</v>
      </c>
      <c r="Z2130">
        <v>2.0095550000000001E-3</v>
      </c>
      <c r="AA2130">
        <v>0.99962099999999998</v>
      </c>
      <c r="AB2130">
        <v>45</v>
      </c>
      <c r="AC2130">
        <v>-0.44839999999999203</v>
      </c>
      <c r="AD2130">
        <v>-6.8252999999999897E-2</v>
      </c>
      <c r="AE2130">
        <v>1.87999999999988E-2</v>
      </c>
      <c r="AF2130">
        <v>2.33287722701555E-2</v>
      </c>
      <c r="AG2130">
        <v>-6.8252999999999897E-2</v>
      </c>
      <c r="AH2130">
        <v>0.43802781740801899</v>
      </c>
      <c r="AI2130">
        <v>98.844208622593101</v>
      </c>
      <c r="AJ2130">
        <v>86.951384137255602</v>
      </c>
      <c r="AK2130">
        <v>0.44392687736593001</v>
      </c>
      <c r="AL2130">
        <v>68.939287430677993</v>
      </c>
      <c r="AM2130">
        <v>93.439591369412497</v>
      </c>
      <c r="AN2130">
        <v>0.99999999458406896</v>
      </c>
    </row>
    <row r="2131" spans="1:40" x14ac:dyDescent="0.25">
      <c r="A2131" t="str">
        <f>"20190304164857541"</f>
        <v>20190304164857541</v>
      </c>
      <c r="B2131" t="str">
        <f>"1551689337538519"</f>
        <v>1551689337538519</v>
      </c>
      <c r="C2131" t="s">
        <v>40</v>
      </c>
      <c r="D2131">
        <v>4.2604280000000001</v>
      </c>
      <c r="E2131">
        <v>0.54698290000000005</v>
      </c>
      <c r="F2131" t="s">
        <v>41</v>
      </c>
      <c r="G2131">
        <v>-270.95400000000001</v>
      </c>
      <c r="H2131">
        <v>1.0421419999999999</v>
      </c>
      <c r="I2131">
        <v>284.58350000000002</v>
      </c>
      <c r="J2131">
        <v>-270.3365</v>
      </c>
      <c r="K2131">
        <v>1.1095010000000001</v>
      </c>
      <c r="L2131">
        <v>284.56650000000002</v>
      </c>
      <c r="M2131">
        <v>-0.99989910000000004</v>
      </c>
      <c r="N2131">
        <v>-8.6835049999999993E-3</v>
      </c>
      <c r="O2131">
        <v>-1.125287E-2</v>
      </c>
      <c r="P2131">
        <v>-0.93378559999999999</v>
      </c>
      <c r="Q2131">
        <v>0.35159590000000002</v>
      </c>
      <c r="R2131">
        <v>-6.6520280000000001E-2</v>
      </c>
      <c r="S2131">
        <v>-3.3153380000000001</v>
      </c>
      <c r="T2131">
        <v>-0.26334970000000002</v>
      </c>
      <c r="U2131">
        <v>5.5450439999999997E-2</v>
      </c>
      <c r="V2131">
        <v>-5.5841370000000001E-2</v>
      </c>
      <c r="W2131">
        <v>0.35972320000000002</v>
      </c>
      <c r="X2131">
        <v>0.93138659999999995</v>
      </c>
      <c r="Y2131">
        <v>2.7848319999999999E-2</v>
      </c>
      <c r="Z2131">
        <v>2.0201889999999999E-3</v>
      </c>
      <c r="AA2131">
        <v>0.99961009999999995</v>
      </c>
      <c r="AB2131">
        <v>45</v>
      </c>
      <c r="AC2131">
        <v>-0.61750000000000604</v>
      </c>
      <c r="AD2131">
        <v>-6.7359000000000099E-2</v>
      </c>
      <c r="AE2131">
        <v>1.69999999999959E-2</v>
      </c>
      <c r="AF2131">
        <v>2.3666433858063898E-2</v>
      </c>
      <c r="AG2131">
        <v>-6.7359000000000099E-2</v>
      </c>
      <c r="AH2131">
        <v>0.61001639116177098</v>
      </c>
      <c r="AI2131">
        <v>96.296467082284806</v>
      </c>
      <c r="AJ2131">
        <v>87.7782448407347</v>
      </c>
      <c r="AK2131">
        <v>0.614180211711993</v>
      </c>
      <c r="AL2131">
        <v>68.916802652631603</v>
      </c>
      <c r="AM2131">
        <v>93.431066589900993</v>
      </c>
      <c r="AN2131">
        <v>1.00000001894063</v>
      </c>
    </row>
    <row r="2132" spans="1:40" x14ac:dyDescent="0.25">
      <c r="A2132" t="str">
        <f>"20190304164857553"</f>
        <v>20190304164857553</v>
      </c>
      <c r="B2132" t="str">
        <f>"1551689337548279"</f>
        <v>1551689337548279</v>
      </c>
      <c r="C2132" t="s">
        <v>40</v>
      </c>
      <c r="D2132">
        <v>4.2466679999999997</v>
      </c>
      <c r="E2132">
        <v>0.54699200000000003</v>
      </c>
      <c r="F2132" t="s">
        <v>41</v>
      </c>
      <c r="G2132">
        <v>-271.34719999999999</v>
      </c>
      <c r="H2132">
        <v>1.0295000000000001</v>
      </c>
      <c r="I2132">
        <v>284.584</v>
      </c>
      <c r="J2132">
        <v>-270.59019999999998</v>
      </c>
      <c r="K2132">
        <v>1.1095159999999999</v>
      </c>
      <c r="L2132">
        <v>284.56369999999998</v>
      </c>
      <c r="M2132">
        <v>-0.99989939999999999</v>
      </c>
      <c r="N2132">
        <v>-8.703222E-3</v>
      </c>
      <c r="O2132">
        <v>-1.119474E-2</v>
      </c>
      <c r="P2132">
        <v>-0.93365180000000003</v>
      </c>
      <c r="Q2132">
        <v>0.35198550000000001</v>
      </c>
      <c r="R2132">
        <v>-6.6336300000000001E-2</v>
      </c>
      <c r="S2132">
        <v>-3.3156129999999999</v>
      </c>
      <c r="T2132">
        <v>-0.26245499999999999</v>
      </c>
      <c r="U2132">
        <v>5.7281489999999997E-2</v>
      </c>
      <c r="V2132">
        <v>-5.5719680000000001E-2</v>
      </c>
      <c r="W2132">
        <v>0.36012850000000002</v>
      </c>
      <c r="X2132">
        <v>0.93123719999999999</v>
      </c>
      <c r="Y2132">
        <v>2.8339989999999999E-2</v>
      </c>
      <c r="Z2132">
        <v>2.030788E-3</v>
      </c>
      <c r="AA2132">
        <v>0.99959629999999999</v>
      </c>
      <c r="AB2132">
        <v>45</v>
      </c>
      <c r="AC2132">
        <v>-0.757000000000005</v>
      </c>
      <c r="AD2132">
        <v>-8.0015999999999796E-2</v>
      </c>
      <c r="AE2132">
        <v>2.0300000000020101E-2</v>
      </c>
      <c r="AF2132">
        <v>2.84557654775889E-2</v>
      </c>
      <c r="AG2132">
        <v>-8.0015999999999796E-2</v>
      </c>
      <c r="AH2132">
        <v>0.748369921763682</v>
      </c>
      <c r="AI2132">
        <v>96.098527425440196</v>
      </c>
      <c r="AJ2132">
        <v>87.822453632943507</v>
      </c>
      <c r="AK2132">
        <v>0.75317317440645404</v>
      </c>
      <c r="AL2132">
        <v>68.891911501003904</v>
      </c>
      <c r="AM2132">
        <v>93.424155332355198</v>
      </c>
      <c r="AN2132">
        <v>0.99999997095769499</v>
      </c>
    </row>
    <row r="2133" spans="1:40" x14ac:dyDescent="0.25">
      <c r="A2133" t="str">
        <f>"20190304164857565"</f>
        <v>20190304164857565</v>
      </c>
      <c r="B2133" t="str">
        <f>"1551689337558039"</f>
        <v>1551689337558039</v>
      </c>
      <c r="C2133" t="s">
        <v>40</v>
      </c>
      <c r="D2133">
        <v>4.2819229999999999</v>
      </c>
      <c r="E2133">
        <v>0.54702839999999997</v>
      </c>
      <c r="F2133" t="s">
        <v>41</v>
      </c>
      <c r="G2133">
        <v>-271.36009999999999</v>
      </c>
      <c r="H2133">
        <v>1.04895</v>
      </c>
      <c r="I2133">
        <v>284.57729999999998</v>
      </c>
      <c r="J2133">
        <v>-270.8306</v>
      </c>
      <c r="K2133">
        <v>1.1095219999999999</v>
      </c>
      <c r="L2133">
        <v>284.56099999999998</v>
      </c>
      <c r="M2133">
        <v>-0.99990000000000001</v>
      </c>
      <c r="N2133">
        <v>-8.7210769999999903E-3</v>
      </c>
      <c r="O2133">
        <v>-1.1140870000000001E-2</v>
      </c>
      <c r="P2133">
        <v>-0.93362230000000002</v>
      </c>
      <c r="Q2133">
        <v>0.3520528</v>
      </c>
      <c r="R2133">
        <v>-6.6396810000000001E-2</v>
      </c>
      <c r="S2133">
        <v>-3.315674</v>
      </c>
      <c r="T2133">
        <v>-0.26082519999999998</v>
      </c>
      <c r="U2133">
        <v>5.841064E-2</v>
      </c>
      <c r="V2133">
        <v>-5.5836330000000003E-2</v>
      </c>
      <c r="W2133">
        <v>0.36021170000000002</v>
      </c>
      <c r="X2133">
        <v>0.93119810000000003</v>
      </c>
      <c r="Y2133">
        <v>2.8626820000000001E-2</v>
      </c>
      <c r="Z2133">
        <v>2.027142E-3</v>
      </c>
      <c r="AA2133">
        <v>0.99958809999999998</v>
      </c>
      <c r="AB2133">
        <v>45</v>
      </c>
      <c r="AC2133">
        <v>-0.52949999999998398</v>
      </c>
      <c r="AD2133">
        <v>-6.05719999999998E-2</v>
      </c>
      <c r="AE2133">
        <v>1.6300000000001001E-2</v>
      </c>
      <c r="AF2133">
        <v>2.1911832722616102E-2</v>
      </c>
      <c r="AG2133">
        <v>-6.05719999999998E-2</v>
      </c>
      <c r="AH2133">
        <v>0.52245508010862396</v>
      </c>
      <c r="AI2133">
        <v>96.607432562332207</v>
      </c>
      <c r="AJ2133">
        <v>87.598415145346294</v>
      </c>
      <c r="AK2133">
        <v>0.52641087216030502</v>
      </c>
      <c r="AL2133">
        <v>68.886802918467296</v>
      </c>
      <c r="AM2133">
        <v>93.431450476424899</v>
      </c>
      <c r="AN2133">
        <v>1.0000000330041801</v>
      </c>
    </row>
    <row r="2134" spans="1:40" x14ac:dyDescent="0.25">
      <c r="A2134" t="str">
        <f>"20190304164857578"</f>
        <v>20190304164857578</v>
      </c>
      <c r="B2134" t="str">
        <f>"1551689337567799"</f>
        <v>1551689337567799</v>
      </c>
      <c r="C2134" t="s">
        <v>40</v>
      </c>
      <c r="D2134">
        <v>4.2419500000000001</v>
      </c>
      <c r="E2134">
        <v>0.54701149999999998</v>
      </c>
      <c r="F2134" t="s">
        <v>41</v>
      </c>
      <c r="G2134">
        <v>-271.75130000000001</v>
      </c>
      <c r="H2134">
        <v>1.037113</v>
      </c>
      <c r="I2134">
        <v>284.57749999999999</v>
      </c>
      <c r="J2134">
        <v>-271.07900000000001</v>
      </c>
      <c r="K2134">
        <v>1.109529</v>
      </c>
      <c r="L2134">
        <v>284.55829999999997</v>
      </c>
      <c r="M2134">
        <v>-0.99990049999999997</v>
      </c>
      <c r="N2134">
        <v>-8.7391769999999903E-3</v>
      </c>
      <c r="O2134">
        <v>-1.1085340000000001E-2</v>
      </c>
      <c r="P2134">
        <v>-0.93371199999999999</v>
      </c>
      <c r="Q2134">
        <v>0.35183959999999997</v>
      </c>
      <c r="R2134">
        <v>-6.6263680000000005E-2</v>
      </c>
      <c r="S2134">
        <v>-3.3158259999999999</v>
      </c>
      <c r="T2134">
        <v>-0.26088879999999998</v>
      </c>
      <c r="U2134">
        <v>5.9020999999999997E-2</v>
      </c>
      <c r="V2134">
        <v>-5.5759580000000003E-2</v>
      </c>
      <c r="W2134">
        <v>0.36001549999999999</v>
      </c>
      <c r="X2134">
        <v>0.93127850000000001</v>
      </c>
      <c r="Y2134">
        <v>2.875407E-2</v>
      </c>
      <c r="Z2134">
        <v>2.0292700000000001E-3</v>
      </c>
      <c r="AA2134">
        <v>0.99958440000000004</v>
      </c>
      <c r="AB2134">
        <v>45</v>
      </c>
      <c r="AC2134">
        <v>-0.672300000000007</v>
      </c>
      <c r="AD2134">
        <v>-7.2415999999999994E-2</v>
      </c>
      <c r="AE2134">
        <v>1.9200000000011999E-2</v>
      </c>
      <c r="AF2134">
        <v>2.63463496062111E-2</v>
      </c>
      <c r="AG2134">
        <v>-7.2415999999999994E-2</v>
      </c>
      <c r="AH2134">
        <v>0.66434422384597902</v>
      </c>
      <c r="AI2134">
        <v>96.216045036438004</v>
      </c>
      <c r="AJ2134">
        <v>87.728972473039605</v>
      </c>
      <c r="AK2134">
        <v>0.66879851596059103</v>
      </c>
      <c r="AL2134">
        <v>68.898851352712597</v>
      </c>
      <c r="AM2134">
        <v>93.426449876948098</v>
      </c>
      <c r="AN2134">
        <v>0.99999996778213696</v>
      </c>
    </row>
    <row r="2135" spans="1:40" x14ac:dyDescent="0.25">
      <c r="A2135" t="str">
        <f>"20190304164857597"</f>
        <v>20190304164857597</v>
      </c>
      <c r="B2135" t="str">
        <f>"1551689337588295"</f>
        <v>1551689337588295</v>
      </c>
      <c r="C2135" t="s">
        <v>40</v>
      </c>
      <c r="D2135">
        <v>4.2511900000000002</v>
      </c>
      <c r="E2135">
        <v>0.54701239999999995</v>
      </c>
      <c r="F2135" t="s">
        <v>41</v>
      </c>
      <c r="G2135">
        <v>-272.14640000000003</v>
      </c>
      <c r="H2135">
        <v>1.025115</v>
      </c>
      <c r="I2135">
        <v>284.57749999999999</v>
      </c>
      <c r="J2135">
        <v>-271.46409999999997</v>
      </c>
      <c r="K2135">
        <v>1.1095360000000001</v>
      </c>
      <c r="L2135">
        <v>284.55410000000001</v>
      </c>
      <c r="M2135">
        <v>-0.99990109999999999</v>
      </c>
      <c r="N2135">
        <v>-8.7659019999999904E-3</v>
      </c>
      <c r="O2135">
        <v>-1.100017E-2</v>
      </c>
      <c r="P2135">
        <v>-0.93379219999999996</v>
      </c>
      <c r="Q2135">
        <v>0.35174699999999998</v>
      </c>
      <c r="R2135">
        <v>-6.5620390000000001E-2</v>
      </c>
      <c r="S2135">
        <v>-3.3160099999999999</v>
      </c>
      <c r="T2135">
        <v>-0.26227240000000002</v>
      </c>
      <c r="U2135">
        <v>5.9143069999999999E-2</v>
      </c>
      <c r="V2135">
        <v>-5.5201170000000001E-2</v>
      </c>
      <c r="W2135">
        <v>0.35994660000000001</v>
      </c>
      <c r="X2135">
        <v>0.93133840000000001</v>
      </c>
      <c r="Y2135">
        <v>2.870381E-2</v>
      </c>
      <c r="Z2135">
        <v>2.0316409999999998E-3</v>
      </c>
      <c r="AA2135">
        <v>0.99958590000000003</v>
      </c>
      <c r="AB2135">
        <v>45</v>
      </c>
      <c r="AC2135">
        <v>-0.68230000000005397</v>
      </c>
      <c r="AD2135">
        <v>-8.4420999999999996E-2</v>
      </c>
      <c r="AE2135">
        <v>2.3399999999980901E-2</v>
      </c>
      <c r="AF2135">
        <v>3.0438843796962801E-2</v>
      </c>
      <c r="AG2135">
        <v>-8.4420999999999996E-2</v>
      </c>
      <c r="AH2135">
        <v>0.67172979032497104</v>
      </c>
      <c r="AI2135">
        <v>97.155940031198199</v>
      </c>
      <c r="AJ2135">
        <v>87.4054670902878</v>
      </c>
      <c r="AK2135">
        <v>0.677697823268398</v>
      </c>
      <c r="AL2135">
        <v>68.903082745131499</v>
      </c>
      <c r="AM2135">
        <v>93.391998216192206</v>
      </c>
      <c r="AN2135">
        <v>0.99999996966774396</v>
      </c>
    </row>
    <row r="2136" spans="1:40" x14ac:dyDescent="0.25">
      <c r="A2136" t="str">
        <f>"20190304164857607"</f>
        <v>20190304164857607</v>
      </c>
      <c r="B2136" t="str">
        <f>"1551689337598055"</f>
        <v>1551689337598055</v>
      </c>
      <c r="C2136" t="s">
        <v>40</v>
      </c>
      <c r="D2136">
        <v>4.235754</v>
      </c>
      <c r="E2136">
        <v>0.54699330000000002</v>
      </c>
      <c r="F2136" t="s">
        <v>41</v>
      </c>
      <c r="G2136">
        <v>-272.5471</v>
      </c>
      <c r="H2136">
        <v>1.0235829999999999</v>
      </c>
      <c r="I2136">
        <v>284.57420000000002</v>
      </c>
      <c r="J2136">
        <v>-271.68939999999998</v>
      </c>
      <c r="K2136">
        <v>1.10954</v>
      </c>
      <c r="L2136">
        <v>284.55160000000001</v>
      </c>
      <c r="M2136">
        <v>-0.9999015</v>
      </c>
      <c r="N2136">
        <v>-8.7807010000000001E-3</v>
      </c>
      <c r="O2136">
        <v>-1.0950680000000001E-2</v>
      </c>
      <c r="P2136">
        <v>-0.93390110000000004</v>
      </c>
      <c r="Q2136">
        <v>0.35152489999999997</v>
      </c>
      <c r="R2136">
        <v>-6.5259440000000002E-2</v>
      </c>
      <c r="S2136">
        <v>-3.3161619999999998</v>
      </c>
      <c r="T2136">
        <v>-0.26331280000000001</v>
      </c>
      <c r="U2136">
        <v>6.0760500000000002E-2</v>
      </c>
      <c r="V2136">
        <v>-5.488879E-2</v>
      </c>
      <c r="W2136">
        <v>0.35973919999999998</v>
      </c>
      <c r="X2136">
        <v>0.93143699999999996</v>
      </c>
      <c r="Y2136">
        <v>2.9138509999999999E-2</v>
      </c>
      <c r="Z2136">
        <v>2.055163E-3</v>
      </c>
      <c r="AA2136">
        <v>0.9995733</v>
      </c>
      <c r="AB2136">
        <v>45</v>
      </c>
      <c r="AC2136">
        <v>-0.857700000000022</v>
      </c>
      <c r="AD2136">
        <v>-8.5957000000000006E-2</v>
      </c>
      <c r="AE2136">
        <v>2.2600000000011201E-2</v>
      </c>
      <c r="AF2136">
        <v>3.1673508001734102E-2</v>
      </c>
      <c r="AG2136">
        <v>-8.5957000000000006E-2</v>
      </c>
      <c r="AH2136">
        <v>0.84888112138369298</v>
      </c>
      <c r="AI2136">
        <v>95.778021741636493</v>
      </c>
      <c r="AJ2136">
        <v>87.863167379964906</v>
      </c>
      <c r="AK2136">
        <v>0.85380968324315298</v>
      </c>
      <c r="AL2136">
        <v>68.915819245727107</v>
      </c>
      <c r="AM2136">
        <v>93.372491330160898</v>
      </c>
      <c r="AN2136">
        <v>0.99999997812665098</v>
      </c>
    </row>
    <row r="2137" spans="1:40" x14ac:dyDescent="0.25">
      <c r="A2137" t="str">
        <f>"20190304164857620"</f>
        <v>20190304164857620</v>
      </c>
      <c r="B2137" t="str">
        <f>"1551689337607815"</f>
        <v>1551689337607815</v>
      </c>
      <c r="C2137" t="s">
        <v>40</v>
      </c>
      <c r="D2137">
        <v>4.2775689999999997</v>
      </c>
      <c r="E2137">
        <v>0.54699779999999998</v>
      </c>
      <c r="F2137" t="s">
        <v>41</v>
      </c>
      <c r="G2137">
        <v>-272.55540000000002</v>
      </c>
      <c r="H2137">
        <v>1.0406820000000001</v>
      </c>
      <c r="I2137">
        <v>284.56779999999998</v>
      </c>
      <c r="J2137">
        <v>-271.9298</v>
      </c>
      <c r="K2137">
        <v>1.1095469999999901</v>
      </c>
      <c r="L2137">
        <v>284.54899999999998</v>
      </c>
      <c r="M2137">
        <v>-0.99990199999999996</v>
      </c>
      <c r="N2137">
        <v>-8.7967740000000003E-3</v>
      </c>
      <c r="O2137">
        <v>-1.0898329999999999E-2</v>
      </c>
      <c r="P2137">
        <v>-0.93405559999999999</v>
      </c>
      <c r="Q2137">
        <v>0.35120570000000001</v>
      </c>
      <c r="R2137">
        <v>-6.4768489999999998E-2</v>
      </c>
      <c r="S2137">
        <v>-3.315887</v>
      </c>
      <c r="T2137">
        <v>-0.26379799999999998</v>
      </c>
      <c r="U2137">
        <v>6.1096190000000002E-2</v>
      </c>
      <c r="V2137">
        <v>-5.4448370000000003E-2</v>
      </c>
      <c r="W2137">
        <v>0.35943540000000002</v>
      </c>
      <c r="X2137">
        <v>0.93158010000000002</v>
      </c>
      <c r="Y2137">
        <v>2.918832E-2</v>
      </c>
      <c r="Z2137">
        <v>2.0576050000000001E-3</v>
      </c>
      <c r="AA2137">
        <v>0.99957180000000001</v>
      </c>
      <c r="AB2137">
        <v>45</v>
      </c>
      <c r="AC2137">
        <v>-0.62560000000001903</v>
      </c>
      <c r="AD2137">
        <v>-6.8864999999999899E-2</v>
      </c>
      <c r="AE2137">
        <v>1.8799999999941901E-2</v>
      </c>
      <c r="AF2137">
        <v>2.53107225833126E-2</v>
      </c>
      <c r="AG2137">
        <v>-6.8864999999999899E-2</v>
      </c>
      <c r="AH2137">
        <v>0.61787773103279897</v>
      </c>
      <c r="AI2137">
        <v>96.354317045501205</v>
      </c>
      <c r="AJ2137">
        <v>87.654249122376996</v>
      </c>
      <c r="AK2137">
        <v>0.62221853991096199</v>
      </c>
      <c r="AL2137">
        <v>68.934472996405106</v>
      </c>
      <c r="AM2137">
        <v>93.344979907554801</v>
      </c>
      <c r="AN2137">
        <v>0.99999995724241197</v>
      </c>
    </row>
    <row r="2138" spans="1:40" x14ac:dyDescent="0.25">
      <c r="A2138" t="str">
        <f>"20190304164857633"</f>
        <v>20190304164857633</v>
      </c>
      <c r="B2138" t="str">
        <f>"1551689337628312"</f>
        <v>1551689337628312</v>
      </c>
      <c r="C2138" t="s">
        <v>40</v>
      </c>
      <c r="D2138">
        <v>4.2523869999999997</v>
      </c>
      <c r="E2138">
        <v>0.54699180000000003</v>
      </c>
      <c r="F2138" t="s">
        <v>41</v>
      </c>
      <c r="G2138">
        <v>-272.9511</v>
      </c>
      <c r="H2138">
        <v>1.0278309999999999</v>
      </c>
      <c r="I2138">
        <v>284.56810000000002</v>
      </c>
      <c r="J2138">
        <v>-272.17720000000003</v>
      </c>
      <c r="K2138">
        <v>1.10955</v>
      </c>
      <c r="L2138">
        <v>284.54640000000001</v>
      </c>
      <c r="M2138">
        <v>-0.99990250000000003</v>
      </c>
      <c r="N2138">
        <v>-8.8136869999999902E-3</v>
      </c>
      <c r="O2138">
        <v>-1.0844909999999999E-2</v>
      </c>
      <c r="P2138">
        <v>-0.934141</v>
      </c>
      <c r="Q2138">
        <v>0.35104390000000002</v>
      </c>
      <c r="R2138">
        <v>-6.4413250000000005E-2</v>
      </c>
      <c r="S2138">
        <v>-3.3158569999999998</v>
      </c>
      <c r="T2138">
        <v>-0.26535629999999999</v>
      </c>
      <c r="U2138">
        <v>6.167603E-2</v>
      </c>
      <c r="V2138">
        <v>-5.4144669999999999E-2</v>
      </c>
      <c r="W2138">
        <v>0.35928939999999998</v>
      </c>
      <c r="X2138">
        <v>0.93165419999999999</v>
      </c>
      <c r="Y2138">
        <v>2.9308000000000001E-2</v>
      </c>
      <c r="Z2138">
        <v>2.0711229999999998E-3</v>
      </c>
      <c r="AA2138">
        <v>0.99956829999999997</v>
      </c>
      <c r="AB2138">
        <v>45</v>
      </c>
      <c r="AC2138">
        <v>-0.77389999999996895</v>
      </c>
      <c r="AD2138">
        <v>-8.1719000000000097E-2</v>
      </c>
      <c r="AE2138">
        <v>2.1700000000009802E-2</v>
      </c>
      <c r="AF2138">
        <v>2.9760355908899899E-2</v>
      </c>
      <c r="AG2138">
        <v>-8.1719000000000097E-2</v>
      </c>
      <c r="AH2138">
        <v>0.76509500415321896</v>
      </c>
      <c r="AI2138">
        <v>96.092016741280602</v>
      </c>
      <c r="AJ2138">
        <v>87.772454940092501</v>
      </c>
      <c r="AK2138">
        <v>0.77002210301071194</v>
      </c>
      <c r="AL2138">
        <v>68.943438670707906</v>
      </c>
      <c r="AM2138">
        <v>93.326100449440503</v>
      </c>
      <c r="AN2138">
        <v>1.0000000333097001</v>
      </c>
    </row>
    <row r="2139" spans="1:40" x14ac:dyDescent="0.25">
      <c r="A2139" t="str">
        <f>"20190304164857644"</f>
        <v>20190304164857644</v>
      </c>
      <c r="B2139" t="str">
        <f>"1551689337638071"</f>
        <v>1551689337638071</v>
      </c>
      <c r="C2139" t="s">
        <v>40</v>
      </c>
      <c r="D2139">
        <v>4.251112</v>
      </c>
      <c r="E2139">
        <v>0.54701049999999996</v>
      </c>
      <c r="F2139" t="s">
        <v>41</v>
      </c>
      <c r="G2139">
        <v>-272.96260000000001</v>
      </c>
      <c r="H2139">
        <v>1.0465500000000001</v>
      </c>
      <c r="I2139">
        <v>284.56139999999999</v>
      </c>
      <c r="J2139">
        <v>-272.4264</v>
      </c>
      <c r="K2139">
        <v>1.109553</v>
      </c>
      <c r="L2139">
        <v>284.5437</v>
      </c>
      <c r="M2139">
        <v>-0.99990279999999998</v>
      </c>
      <c r="N2139">
        <v>-8.8328380000000008E-3</v>
      </c>
      <c r="O2139">
        <v>-1.0791129999999999E-2</v>
      </c>
      <c r="P2139">
        <v>-0.93420460000000005</v>
      </c>
      <c r="Q2139">
        <v>0.35092060000000003</v>
      </c>
      <c r="R2139">
        <v>-6.4161819999999994E-2</v>
      </c>
      <c r="S2139">
        <v>-3.3158569999999998</v>
      </c>
      <c r="T2139">
        <v>-0.26604489999999997</v>
      </c>
      <c r="U2139">
        <v>6.2805180000000002E-2</v>
      </c>
      <c r="V2139">
        <v>-5.394533E-2</v>
      </c>
      <c r="W2139">
        <v>0.3591839</v>
      </c>
      <c r="X2139">
        <v>0.93170640000000005</v>
      </c>
      <c r="Y2139">
        <v>2.959295E-2</v>
      </c>
      <c r="Z2139">
        <v>2.0853019999999998E-3</v>
      </c>
      <c r="AA2139">
        <v>0.99955989999999995</v>
      </c>
      <c r="AB2139">
        <v>45</v>
      </c>
      <c r="AC2139">
        <v>-0.536200000000008</v>
      </c>
      <c r="AD2139">
        <v>-6.3002999999999906E-2</v>
      </c>
      <c r="AE2139">
        <v>1.7699999999990699E-2</v>
      </c>
      <c r="AF2139">
        <v>2.3165917489622202E-2</v>
      </c>
      <c r="AG2139">
        <v>-6.3002999999999906E-2</v>
      </c>
      <c r="AH2139">
        <v>0.52868664708084601</v>
      </c>
      <c r="AI2139">
        <v>96.789371809477601</v>
      </c>
      <c r="AJ2139">
        <v>87.491026480070104</v>
      </c>
      <c r="AK2139">
        <v>0.53293114803295505</v>
      </c>
      <c r="AL2139">
        <v>68.949914880549997</v>
      </c>
      <c r="AM2139">
        <v>93.313697108402195</v>
      </c>
      <c r="AN2139">
        <v>0.99999999422448904</v>
      </c>
    </row>
    <row r="2140" spans="1:40" x14ac:dyDescent="0.25">
      <c r="A2140" t="str">
        <f>"20190304164857665"</f>
        <v>20190304164857665</v>
      </c>
      <c r="B2140" t="str">
        <f>"1551689337658567"</f>
        <v>1551689337658567</v>
      </c>
      <c r="C2140" t="s">
        <v>40</v>
      </c>
      <c r="D2140">
        <v>4.2543379999999997</v>
      </c>
      <c r="E2140">
        <v>0.54702289999999998</v>
      </c>
      <c r="F2140" t="s">
        <v>41</v>
      </c>
      <c r="G2140">
        <v>-273.35700000000003</v>
      </c>
      <c r="H2140">
        <v>1.0348200000000001</v>
      </c>
      <c r="I2140">
        <v>284.56180000000001</v>
      </c>
      <c r="J2140">
        <v>-272.8263</v>
      </c>
      <c r="K2140">
        <v>1.1095549999999901</v>
      </c>
      <c r="L2140">
        <v>284.53949999999998</v>
      </c>
      <c r="M2140">
        <v>-0.9999034</v>
      </c>
      <c r="N2140">
        <v>-8.8659120000000001E-3</v>
      </c>
      <c r="O2140">
        <v>-1.070548E-2</v>
      </c>
      <c r="P2140">
        <v>-0.93412220000000001</v>
      </c>
      <c r="Q2140">
        <v>0.35122740000000002</v>
      </c>
      <c r="R2140">
        <v>-6.3679799999999995E-2</v>
      </c>
      <c r="S2140">
        <v>-3.3157350000000001</v>
      </c>
      <c r="T2140">
        <v>-0.26644980000000001</v>
      </c>
      <c r="U2140">
        <v>6.35376E-2</v>
      </c>
      <c r="V2140">
        <v>-5.3547379999999999E-2</v>
      </c>
      <c r="W2140">
        <v>0.35952040000000002</v>
      </c>
      <c r="X2140">
        <v>0.93159959999999997</v>
      </c>
      <c r="Y2140">
        <v>2.9728060000000001E-2</v>
      </c>
      <c r="Z2140">
        <v>2.0885249999999999E-3</v>
      </c>
      <c r="AA2140">
        <v>0.99955579999999999</v>
      </c>
      <c r="AB2140">
        <v>45</v>
      </c>
      <c r="AC2140">
        <v>-0.53070000000002404</v>
      </c>
      <c r="AD2140">
        <v>-7.4734999999999704E-2</v>
      </c>
      <c r="AE2140">
        <v>2.2300000000029699E-2</v>
      </c>
      <c r="AF2140">
        <v>2.7437188988586499E-2</v>
      </c>
      <c r="AG2140">
        <v>-7.4734999999999704E-2</v>
      </c>
      <c r="AH2140">
        <v>0.52013411949218702</v>
      </c>
      <c r="AI2140">
        <v>98.165331119593603</v>
      </c>
      <c r="AJ2140">
        <v>86.980433711273093</v>
      </c>
      <c r="AK2140">
        <v>0.52619162082316295</v>
      </c>
      <c r="AL2140">
        <v>68.929255529592197</v>
      </c>
      <c r="AM2140">
        <v>93.289682390325893</v>
      </c>
      <c r="AN2140">
        <v>1.00000002732059</v>
      </c>
    </row>
    <row r="2141" spans="1:40" x14ac:dyDescent="0.25">
      <c r="A2141" t="str">
        <f>"20190304164857678"</f>
        <v>20190304164857678</v>
      </c>
      <c r="B2141" t="str">
        <f>"1551689337668327"</f>
        <v>1551689337668327</v>
      </c>
      <c r="C2141" t="s">
        <v>40</v>
      </c>
      <c r="D2141">
        <v>4.2459680000000004</v>
      </c>
      <c r="E2141">
        <v>0.54701279999999997</v>
      </c>
      <c r="F2141" t="s">
        <v>41</v>
      </c>
      <c r="G2141">
        <v>-273.76</v>
      </c>
      <c r="H2141">
        <v>1.035023</v>
      </c>
      <c r="I2141">
        <v>284.55829999999997</v>
      </c>
      <c r="J2141">
        <v>-273.0779</v>
      </c>
      <c r="K2141">
        <v>1.109558</v>
      </c>
      <c r="L2141">
        <v>284.53680000000003</v>
      </c>
      <c r="M2141">
        <v>-0.99990369999999995</v>
      </c>
      <c r="N2141">
        <v>-8.8880250000000008E-3</v>
      </c>
      <c r="O2141">
        <v>-1.065195E-2</v>
      </c>
      <c r="P2141">
        <v>-0.93423330000000004</v>
      </c>
      <c r="Q2141">
        <v>0.35097820000000002</v>
      </c>
      <c r="R2141">
        <v>-6.3422619999999999E-2</v>
      </c>
      <c r="S2141">
        <v>-3.3156430000000001</v>
      </c>
      <c r="T2141">
        <v>-0.26476919999999998</v>
      </c>
      <c r="U2141">
        <v>6.6375729999999994E-2</v>
      </c>
      <c r="V2141">
        <v>-5.334096E-2</v>
      </c>
      <c r="W2141">
        <v>0.3592921</v>
      </c>
      <c r="X2141">
        <v>0.93169950000000001</v>
      </c>
      <c r="Y2141">
        <v>3.0529290000000001E-2</v>
      </c>
      <c r="Z2141">
        <v>2.1074689999999998E-3</v>
      </c>
      <c r="AA2141">
        <v>0.99953159999999996</v>
      </c>
      <c r="AB2141">
        <v>45</v>
      </c>
      <c r="AC2141">
        <v>-0.68209999999999105</v>
      </c>
      <c r="AD2141">
        <v>-7.4535000000000004E-2</v>
      </c>
      <c r="AE2141">
        <v>2.1499999999946302E-2</v>
      </c>
      <c r="AF2141">
        <v>2.8425681253503199E-2</v>
      </c>
      <c r="AG2141">
        <v>-7.4535000000000004E-2</v>
      </c>
      <c r="AH2141">
        <v>0.67379477671188104</v>
      </c>
      <c r="AI2141">
        <v>96.306815225120403</v>
      </c>
      <c r="AJ2141">
        <v>87.584269830655202</v>
      </c>
      <c r="AK2141">
        <v>0.67850046919949802</v>
      </c>
      <c r="AL2141">
        <v>68.943272492979503</v>
      </c>
      <c r="AM2141">
        <v>93.276678063900505</v>
      </c>
      <c r="AN2141">
        <v>1.00000001471819</v>
      </c>
    </row>
    <row r="2142" spans="1:40" x14ac:dyDescent="0.25">
      <c r="A2142" t="str">
        <f>"20190304164857688"</f>
        <v>20190304164857688</v>
      </c>
      <c r="B2142" t="str">
        <f>"1551689337678087"</f>
        <v>1551689337678087</v>
      </c>
      <c r="C2142" t="s">
        <v>40</v>
      </c>
      <c r="D2142">
        <v>4.2588299999999997</v>
      </c>
      <c r="E2142">
        <v>0.54702530000000005</v>
      </c>
      <c r="F2142" t="s">
        <v>41</v>
      </c>
      <c r="G2142">
        <v>-274.15769999999998</v>
      </c>
      <c r="H2142">
        <v>1.023153</v>
      </c>
      <c r="I2142">
        <v>284.55900000000003</v>
      </c>
      <c r="J2142">
        <v>-273.31389999999999</v>
      </c>
      <c r="K2142">
        <v>1.109556</v>
      </c>
      <c r="L2142">
        <v>284.53429999999997</v>
      </c>
      <c r="M2142">
        <v>-0.99990420000000002</v>
      </c>
      <c r="N2142">
        <v>-8.9102899999999995E-3</v>
      </c>
      <c r="O2142">
        <v>-1.060175E-2</v>
      </c>
      <c r="P2142">
        <v>-0.93432839999999995</v>
      </c>
      <c r="Q2142">
        <v>0.3507902</v>
      </c>
      <c r="R2142">
        <v>-6.306349E-2</v>
      </c>
      <c r="S2142">
        <v>-3.3155209999999999</v>
      </c>
      <c r="T2142">
        <v>-0.26548329999999998</v>
      </c>
      <c r="U2142">
        <v>6.7504880000000003E-2</v>
      </c>
      <c r="V2142">
        <v>-5.3028289999999999E-2</v>
      </c>
      <c r="W2142">
        <v>0.35912519999999998</v>
      </c>
      <c r="X2142">
        <v>0.93178159999999999</v>
      </c>
      <c r="Y2142">
        <v>3.0818470000000001E-2</v>
      </c>
      <c r="Z2142">
        <v>2.1224830000000001E-3</v>
      </c>
      <c r="AA2142">
        <v>0.99952269999999999</v>
      </c>
      <c r="AB2142">
        <v>45</v>
      </c>
      <c r="AC2142">
        <v>-0.843799999999987</v>
      </c>
      <c r="AD2142">
        <v>-8.6402999999999994E-2</v>
      </c>
      <c r="AE2142">
        <v>2.4700000000052499E-2</v>
      </c>
      <c r="AF2142">
        <v>3.3295905787513798E-2</v>
      </c>
      <c r="AG2142">
        <v>-8.6402999999999994E-2</v>
      </c>
      <c r="AH2142">
        <v>0.83474568096343105</v>
      </c>
      <c r="AI2142">
        <v>95.904874307009905</v>
      </c>
      <c r="AJ2142">
        <v>87.715826325540306</v>
      </c>
      <c r="AK2142">
        <v>0.83986573191094904</v>
      </c>
      <c r="AL2142">
        <v>68.953517161179803</v>
      </c>
      <c r="AM2142">
        <v>93.257226161347404</v>
      </c>
      <c r="AN2142">
        <v>0.99999992945695904</v>
      </c>
    </row>
    <row r="2143" spans="1:40" x14ac:dyDescent="0.25">
      <c r="A2143" t="str">
        <f>"20190304164857710"</f>
        <v>20190304164857710</v>
      </c>
      <c r="B2143" t="str">
        <f>"1551689337698584"</f>
        <v>1551689337698584</v>
      </c>
      <c r="C2143" t="s">
        <v>40</v>
      </c>
      <c r="D2143">
        <v>4.2480079999999996</v>
      </c>
      <c r="E2143">
        <v>0.54702890000000004</v>
      </c>
      <c r="F2143" t="s">
        <v>41</v>
      </c>
      <c r="G2143">
        <v>-274.16649999999998</v>
      </c>
      <c r="H2143">
        <v>1.0411549999999901</v>
      </c>
      <c r="I2143">
        <v>284.55220000000003</v>
      </c>
      <c r="J2143">
        <v>-273.72770000000003</v>
      </c>
      <c r="K2143">
        <v>1.109558</v>
      </c>
      <c r="L2143">
        <v>284.52999999999997</v>
      </c>
      <c r="M2143">
        <v>-0.99990480000000004</v>
      </c>
      <c r="N2143">
        <v>-8.9524159999999995E-3</v>
      </c>
      <c r="O2143">
        <v>-1.05141E-2</v>
      </c>
      <c r="P2143">
        <v>-0.93437959999999998</v>
      </c>
      <c r="Q2143">
        <v>0.35082160000000001</v>
      </c>
      <c r="R2143">
        <v>-6.212235E-2</v>
      </c>
      <c r="S2143">
        <v>-3.3154599999999999</v>
      </c>
      <c r="T2143">
        <v>-0.26621679999999998</v>
      </c>
      <c r="U2143">
        <v>6.8695069999999997E-2</v>
      </c>
      <c r="V2143">
        <v>-5.2171000000000002E-2</v>
      </c>
      <c r="W2143">
        <v>0.35919600000000002</v>
      </c>
      <c r="X2143">
        <v>0.93180280000000004</v>
      </c>
      <c r="Y2143">
        <v>3.1088370000000001E-2</v>
      </c>
      <c r="Z2143">
        <v>2.1342330000000001E-3</v>
      </c>
      <c r="AA2143">
        <v>0.99951429999999997</v>
      </c>
      <c r="AB2143">
        <v>45</v>
      </c>
      <c r="AC2143">
        <v>-0.438799999999957</v>
      </c>
      <c r="AD2143">
        <v>-6.84030000000002E-2</v>
      </c>
      <c r="AE2143">
        <v>2.2200000000054801E-2</v>
      </c>
      <c r="AF2143">
        <v>2.6178026353241401E-2</v>
      </c>
      <c r="AG2143">
        <v>-6.84030000000002E-2</v>
      </c>
      <c r="AH2143">
        <v>0.42816423562308298</v>
      </c>
      <c r="AI2143">
        <v>99.060164244675605</v>
      </c>
      <c r="AJ2143">
        <v>86.5012825466642</v>
      </c>
      <c r="AK2143">
        <v>0.43438332396565399</v>
      </c>
      <c r="AL2143">
        <v>68.949172570422903</v>
      </c>
      <c r="AM2143">
        <v>93.204605609262899</v>
      </c>
      <c r="AN2143">
        <v>1.0000000188724101</v>
      </c>
    </row>
    <row r="2144" spans="1:40" x14ac:dyDescent="0.25">
      <c r="A2144" t="str">
        <f>"20190304164857730"</f>
        <v>20190304164857730</v>
      </c>
      <c r="B2144" t="str">
        <f>"1551689337727863"</f>
        <v>1551689337727863</v>
      </c>
      <c r="C2144" t="s">
        <v>40</v>
      </c>
      <c r="D2144">
        <v>4.2553679999999998</v>
      </c>
      <c r="E2144">
        <v>0.54699059999999999</v>
      </c>
      <c r="F2144" t="s">
        <v>41</v>
      </c>
      <c r="G2144">
        <v>-274.57100000000003</v>
      </c>
      <c r="H2144">
        <v>1.042084</v>
      </c>
      <c r="I2144">
        <v>284.54849999999999</v>
      </c>
      <c r="J2144">
        <v>-274.15629999999999</v>
      </c>
      <c r="K2144">
        <v>1.1095630000000001</v>
      </c>
      <c r="L2144">
        <v>284.5256</v>
      </c>
      <c r="M2144">
        <v>-0.9999053</v>
      </c>
      <c r="N2144">
        <v>-9.0034369999999996E-3</v>
      </c>
      <c r="O2144">
        <v>-1.04235E-2</v>
      </c>
      <c r="P2144">
        <v>-0.93455619999999995</v>
      </c>
      <c r="Q2144">
        <v>0.3504118</v>
      </c>
      <c r="R2144">
        <v>-6.1778119999999999E-2</v>
      </c>
      <c r="S2144">
        <v>-3.3151250000000001</v>
      </c>
      <c r="T2144">
        <v>-0.26529789999999998</v>
      </c>
      <c r="U2144">
        <v>7.2113040000000003E-2</v>
      </c>
      <c r="V2144">
        <v>-5.19108E-2</v>
      </c>
      <c r="W2144">
        <v>0.35883500000000002</v>
      </c>
      <c r="X2144">
        <v>0.93195640000000002</v>
      </c>
      <c r="Y2144">
        <v>3.2027729999999997E-2</v>
      </c>
      <c r="Z2144">
        <v>2.1628289999999998E-3</v>
      </c>
      <c r="AA2144">
        <v>0.9994847</v>
      </c>
      <c r="AB2144">
        <v>45</v>
      </c>
      <c r="AC2144">
        <v>-0.41469999999998203</v>
      </c>
      <c r="AD2144">
        <v>-6.7478999999999803E-2</v>
      </c>
      <c r="AE2144">
        <v>2.2899999999992801E-2</v>
      </c>
      <c r="AF2144">
        <v>2.65214806148272E-2</v>
      </c>
      <c r="AG2144">
        <v>-6.7478999999999803E-2</v>
      </c>
      <c r="AH2144">
        <v>0.40378035906304399</v>
      </c>
      <c r="AI2144">
        <v>99.467455628970995</v>
      </c>
      <c r="AJ2144">
        <v>86.242042870655098</v>
      </c>
      <c r="AK2144">
        <v>0.41023820243863601</v>
      </c>
      <c r="AL2144">
        <v>68.971333603641398</v>
      </c>
      <c r="AM2144">
        <v>93.1881314251183</v>
      </c>
      <c r="AN2144">
        <v>1.0000000099413</v>
      </c>
    </row>
    <row r="2145" spans="1:40" x14ac:dyDescent="0.25">
      <c r="A2145" t="str">
        <f>"20190304164857743"</f>
        <v>20190304164857743</v>
      </c>
      <c r="B2145" t="str">
        <f>"1551689337738599"</f>
        <v>1551689337738599</v>
      </c>
      <c r="C2145" t="s">
        <v>40</v>
      </c>
      <c r="D2145">
        <v>4.2498040000000001</v>
      </c>
      <c r="E2145">
        <v>0.54697200000000001</v>
      </c>
      <c r="F2145" t="s">
        <v>41</v>
      </c>
      <c r="G2145">
        <v>-274.97699999999998</v>
      </c>
      <c r="H2145">
        <v>1.043839</v>
      </c>
      <c r="I2145">
        <v>284.54410000000001</v>
      </c>
      <c r="J2145">
        <v>-274.39600000000002</v>
      </c>
      <c r="K2145">
        <v>1.109567</v>
      </c>
      <c r="L2145">
        <v>284.5231</v>
      </c>
      <c r="M2145">
        <v>-0.99990540000000006</v>
      </c>
      <c r="N2145">
        <v>-9.0360730000000004E-3</v>
      </c>
      <c r="O2145">
        <v>-1.0372859999999999E-2</v>
      </c>
      <c r="P2145">
        <v>-0.93470379999999997</v>
      </c>
      <c r="Q2145">
        <v>0.35004980000000002</v>
      </c>
      <c r="R2145">
        <v>-6.1595999999999998E-2</v>
      </c>
      <c r="S2145">
        <v>-3.314575</v>
      </c>
      <c r="T2145">
        <v>-0.26564260000000001</v>
      </c>
      <c r="U2145">
        <v>7.3516849999999995E-2</v>
      </c>
      <c r="V2145">
        <v>-5.1775630000000003E-2</v>
      </c>
      <c r="W2145">
        <v>0.358504299999999</v>
      </c>
      <c r="X2145">
        <v>0.93209120000000001</v>
      </c>
      <c r="Y2145">
        <v>3.2402189999999997E-2</v>
      </c>
      <c r="Z2145">
        <v>2.1791720000000001E-3</v>
      </c>
      <c r="AA2145">
        <v>0.99947260000000004</v>
      </c>
      <c r="AB2145">
        <v>45</v>
      </c>
      <c r="AC2145">
        <v>-0.58100000000007401</v>
      </c>
      <c r="AD2145">
        <v>-6.5727999999999995E-2</v>
      </c>
      <c r="AE2145">
        <v>2.1000000000015E-2</v>
      </c>
      <c r="AF2145">
        <v>2.6684677659206998E-2</v>
      </c>
      <c r="AG2145">
        <v>-6.5727999999999995E-2</v>
      </c>
      <c r="AH2145">
        <v>0.57342171567422995</v>
      </c>
      <c r="AI2145">
        <v>96.531936521809001</v>
      </c>
      <c r="AJ2145">
        <v>87.335613339625098</v>
      </c>
      <c r="AK2145">
        <v>0.57779296120025003</v>
      </c>
      <c r="AL2145">
        <v>68.991632248530493</v>
      </c>
      <c r="AM2145">
        <v>93.1793880112739</v>
      </c>
      <c r="AN2145">
        <v>1.00000002704891</v>
      </c>
    </row>
    <row r="2146" spans="1:40" x14ac:dyDescent="0.25">
      <c r="A2146" t="str">
        <f>"20190304164857756"</f>
        <v>20190304164857756</v>
      </c>
      <c r="B2146" t="str">
        <f>"1551689337748359"</f>
        <v>1551689337748359</v>
      </c>
      <c r="C2146" t="s">
        <v>40</v>
      </c>
      <c r="D2146">
        <v>4.2611049999999997</v>
      </c>
      <c r="E2146">
        <v>0.54696599999999995</v>
      </c>
      <c r="F2146" t="s">
        <v>41</v>
      </c>
      <c r="G2146">
        <v>-275.37450000000001</v>
      </c>
      <c r="H2146">
        <v>1.030945</v>
      </c>
      <c r="I2146">
        <v>284.54539999999997</v>
      </c>
      <c r="J2146">
        <v>-274.6533</v>
      </c>
      <c r="K2146">
        <v>1.1095699999999999</v>
      </c>
      <c r="L2146">
        <v>284.5204</v>
      </c>
      <c r="M2146">
        <v>-0.99990559999999995</v>
      </c>
      <c r="N2146">
        <v>-9.0730150000000002E-3</v>
      </c>
      <c r="O2146">
        <v>-1.0318549999999999E-2</v>
      </c>
      <c r="P2146">
        <v>-0.93485980000000002</v>
      </c>
      <c r="Q2146">
        <v>0.34961350000000002</v>
      </c>
      <c r="R2146">
        <v>-6.1705459999999997E-2</v>
      </c>
      <c r="S2146">
        <v>-3.3143009999999999</v>
      </c>
      <c r="T2146">
        <v>-0.26649820000000002</v>
      </c>
      <c r="U2146">
        <v>7.4829099999999996E-2</v>
      </c>
      <c r="V2146">
        <v>-5.1934849999999998E-2</v>
      </c>
      <c r="W2146">
        <v>0.35810409999999998</v>
      </c>
      <c r="X2146">
        <v>0.93223610000000001</v>
      </c>
      <c r="Y2146">
        <v>3.2743250000000002E-2</v>
      </c>
      <c r="Z2146">
        <v>2.1977559999999999E-3</v>
      </c>
      <c r="AA2146">
        <v>0.99946140000000006</v>
      </c>
      <c r="AB2146">
        <v>45</v>
      </c>
      <c r="AC2146">
        <v>-0.72120000000001006</v>
      </c>
      <c r="AD2146">
        <v>-7.8625000000000098E-2</v>
      </c>
      <c r="AE2146">
        <v>2.49999999999772E-2</v>
      </c>
      <c r="AF2146">
        <v>3.2060126855830297E-2</v>
      </c>
      <c r="AG2146">
        <v>-7.8625000000000098E-2</v>
      </c>
      <c r="AH2146">
        <v>0.71244615905344399</v>
      </c>
      <c r="AI2146">
        <v>96.2913176034304</v>
      </c>
      <c r="AJ2146">
        <v>87.423424181000996</v>
      </c>
      <c r="AK2146">
        <v>0.71748816848016195</v>
      </c>
      <c r="AL2146">
        <v>69.016191253733197</v>
      </c>
      <c r="AM2146">
        <v>93.188650414186597</v>
      </c>
      <c r="AN2146">
        <v>0.99999996061227003</v>
      </c>
    </row>
    <row r="2147" spans="1:40" x14ac:dyDescent="0.25">
      <c r="A2147" t="str">
        <f>"20190304164857768"</f>
        <v>20190304164857768</v>
      </c>
      <c r="B2147" t="str">
        <f>"1551689337758120"</f>
        <v>1551689337758120</v>
      </c>
      <c r="C2147" t="s">
        <v>40</v>
      </c>
      <c r="D2147">
        <v>4.2697219999999998</v>
      </c>
      <c r="E2147">
        <v>0.54695530000000003</v>
      </c>
      <c r="F2147" t="s">
        <v>41</v>
      </c>
      <c r="G2147">
        <v>-275.77390000000003</v>
      </c>
      <c r="H2147">
        <v>1.019101</v>
      </c>
      <c r="I2147">
        <v>284.54629999999997</v>
      </c>
      <c r="J2147">
        <v>-274.92959999999999</v>
      </c>
      <c r="K2147">
        <v>1.109575</v>
      </c>
      <c r="L2147">
        <v>284.51760000000002</v>
      </c>
      <c r="M2147">
        <v>-0.99990590000000001</v>
      </c>
      <c r="N2147">
        <v>-9.1207630000000005E-3</v>
      </c>
      <c r="O2147">
        <v>-1.02576E-2</v>
      </c>
      <c r="P2147">
        <v>-0.93493570000000004</v>
      </c>
      <c r="Q2147">
        <v>0.34941840000000002</v>
      </c>
      <c r="R2147">
        <v>-6.1663620000000002E-2</v>
      </c>
      <c r="S2147">
        <v>-3.3141780000000001</v>
      </c>
      <c r="T2147">
        <v>-0.26770660000000002</v>
      </c>
      <c r="U2147">
        <v>7.5744629999999993E-2</v>
      </c>
      <c r="V2147">
        <v>-5.1948719999999997E-2</v>
      </c>
      <c r="W2147">
        <v>0.35795399999999999</v>
      </c>
      <c r="X2147">
        <v>0.93229300000000004</v>
      </c>
      <c r="Y2147">
        <v>3.2957170000000001E-2</v>
      </c>
      <c r="Z2147">
        <v>2.2130499999999998E-3</v>
      </c>
      <c r="AA2147">
        <v>0.99945430000000002</v>
      </c>
      <c r="AB2147">
        <v>45</v>
      </c>
      <c r="AC2147">
        <v>-0.84430000000003202</v>
      </c>
      <c r="AD2147">
        <v>-9.0473999999999902E-2</v>
      </c>
      <c r="AE2147">
        <v>2.8699999999957902E-2</v>
      </c>
      <c r="AF2147">
        <v>3.6935699159724902E-2</v>
      </c>
      <c r="AG2147">
        <v>-9.0473999999999902E-2</v>
      </c>
      <c r="AH2147">
        <v>0.83439094902149102</v>
      </c>
      <c r="AI2147">
        <v>96.182464139509804</v>
      </c>
      <c r="AJ2147">
        <v>87.465362005414406</v>
      </c>
      <c r="AK2147">
        <v>0.84009406994538505</v>
      </c>
      <c r="AL2147">
        <v>69.025402495527302</v>
      </c>
      <c r="AM2147">
        <v>93.189305973628606</v>
      </c>
      <c r="AN2147">
        <v>0.99999998673731905</v>
      </c>
    </row>
    <row r="2148" spans="1:40" x14ac:dyDescent="0.25">
      <c r="A2148" t="str">
        <f>"20190304164857788"</f>
        <v>20190304164857788</v>
      </c>
      <c r="B2148" t="str">
        <f>"1551689337778615"</f>
        <v>1551689337778615</v>
      </c>
      <c r="C2148" t="s">
        <v>40</v>
      </c>
      <c r="D2148">
        <v>4.2564409999999997</v>
      </c>
      <c r="E2148">
        <v>0.54693649999999905</v>
      </c>
      <c r="F2148" t="s">
        <v>41</v>
      </c>
      <c r="G2148">
        <v>-275.78429999999997</v>
      </c>
      <c r="H2148">
        <v>1.0404629999999999</v>
      </c>
      <c r="I2148">
        <v>284.5376</v>
      </c>
      <c r="J2148">
        <v>-275.31810000000002</v>
      </c>
      <c r="K2148">
        <v>1.1095900000000001</v>
      </c>
      <c r="L2148">
        <v>284.51369999999997</v>
      </c>
      <c r="M2148">
        <v>-0.99990619999999997</v>
      </c>
      <c r="N2148">
        <v>-9.1945729999999993E-3</v>
      </c>
      <c r="O2148">
        <v>-1.0165260000000001E-2</v>
      </c>
      <c r="P2148">
        <v>-0.93501350000000005</v>
      </c>
      <c r="Q2148">
        <v>0.34911599999999998</v>
      </c>
      <c r="R2148">
        <v>-6.2196109999999999E-2</v>
      </c>
      <c r="S2148">
        <v>-3.3140260000000001</v>
      </c>
      <c r="T2148">
        <v>-0.26815070000000002</v>
      </c>
      <c r="U2148">
        <v>7.6354980000000003E-2</v>
      </c>
      <c r="V2148">
        <v>-5.256363E-2</v>
      </c>
      <c r="W2148">
        <v>0.35772209999999899</v>
      </c>
      <c r="X2148">
        <v>0.9323475</v>
      </c>
      <c r="Y2148">
        <v>3.3049269999999999E-2</v>
      </c>
      <c r="Z2148">
        <v>2.2147069999999998E-3</v>
      </c>
      <c r="AA2148">
        <v>0.99945130000000004</v>
      </c>
      <c r="AB2148">
        <v>45</v>
      </c>
      <c r="AC2148">
        <v>-0.46619999999995798</v>
      </c>
      <c r="AD2148">
        <v>-6.9126999999999897E-2</v>
      </c>
      <c r="AE2148">
        <v>2.3900000000026001E-2</v>
      </c>
      <c r="AF2148">
        <v>2.8023492841818199E-2</v>
      </c>
      <c r="AG2148">
        <v>-6.9126999999999897E-2</v>
      </c>
      <c r="AH2148">
        <v>0.45593493398925899</v>
      </c>
      <c r="AI2148">
        <v>98.605297385892499</v>
      </c>
      <c r="AJ2148">
        <v>86.482808389205701</v>
      </c>
      <c r="AK2148">
        <v>0.46199623625289998</v>
      </c>
      <c r="AL2148">
        <v>69.039630743620293</v>
      </c>
      <c r="AM2148">
        <v>93.226789807328203</v>
      </c>
      <c r="AN2148">
        <v>0.99999994839171702</v>
      </c>
    </row>
    <row r="2149" spans="1:40" x14ac:dyDescent="0.25">
      <c r="A2149" t="str">
        <f>"20190304164857809"</f>
        <v>20190304164857809</v>
      </c>
      <c r="B2149" t="str">
        <f>"1551689337798135"</f>
        <v>1551689337798135</v>
      </c>
      <c r="C2149" t="s">
        <v>40</v>
      </c>
      <c r="D2149">
        <v>4.239941</v>
      </c>
      <c r="E2149">
        <v>0.5468731</v>
      </c>
      <c r="F2149" t="s">
        <v>41</v>
      </c>
      <c r="G2149">
        <v>-276.1891</v>
      </c>
      <c r="H2149">
        <v>1.038964</v>
      </c>
      <c r="I2149">
        <v>284.53370000000001</v>
      </c>
      <c r="J2149">
        <v>-275.75380000000001</v>
      </c>
      <c r="K2149">
        <v>1.1095930000000001</v>
      </c>
      <c r="L2149">
        <v>284.5093</v>
      </c>
      <c r="M2149">
        <v>-0.99990639999999997</v>
      </c>
      <c r="N2149">
        <v>-9.2897009999999992E-3</v>
      </c>
      <c r="O2149">
        <v>-1.0040489999999999E-2</v>
      </c>
      <c r="P2149">
        <v>-0.93496409999999996</v>
      </c>
      <c r="Q2149">
        <v>0.34917209999999899</v>
      </c>
      <c r="R2149">
        <v>-6.2617439999999996E-2</v>
      </c>
      <c r="S2149">
        <v>-3.313904</v>
      </c>
      <c r="T2149">
        <v>-0.26880419999999999</v>
      </c>
      <c r="U2149">
        <v>7.5622560000000005E-2</v>
      </c>
      <c r="V2149">
        <v>-5.3091279999999998E-2</v>
      </c>
      <c r="W2149">
        <v>0.35786810000000002</v>
      </c>
      <c r="X2149">
        <v>0.93226160000000002</v>
      </c>
      <c r="Y2149">
        <v>3.2705459999999999E-2</v>
      </c>
      <c r="Z2149">
        <v>2.196174E-3</v>
      </c>
      <c r="AA2149">
        <v>0.99946259999999998</v>
      </c>
      <c r="AB2149">
        <v>45</v>
      </c>
      <c r="AC2149">
        <v>-0.43529999999998298</v>
      </c>
      <c r="AD2149">
        <v>-7.0628999999999997E-2</v>
      </c>
      <c r="AE2149">
        <v>2.4400000000014101E-2</v>
      </c>
      <c r="AF2149">
        <v>2.8033869356307299E-2</v>
      </c>
      <c r="AG2149">
        <v>-7.0628999999999997E-2</v>
      </c>
      <c r="AH2149">
        <v>0.423908106571041</v>
      </c>
      <c r="AI2149">
        <v>99.439136863201298</v>
      </c>
      <c r="AJ2149">
        <v>86.2164277389913</v>
      </c>
      <c r="AK2149">
        <v>0.43066510920752699</v>
      </c>
      <c r="AL2149">
        <v>69.030673130939604</v>
      </c>
      <c r="AM2149">
        <v>93.259411495613094</v>
      </c>
      <c r="AN2149">
        <v>0.99999997592210399</v>
      </c>
    </row>
    <row r="2150" spans="1:40" x14ac:dyDescent="0.25">
      <c r="A2150" t="str">
        <f>"20190304164857955"</f>
        <v>20190304164857955</v>
      </c>
      <c r="B2150" t="str">
        <f>"1551689337948439"</f>
        <v>1551689337948439</v>
      </c>
      <c r="C2150" t="s">
        <v>40</v>
      </c>
      <c r="D2150">
        <v>4.2233130000000001</v>
      </c>
      <c r="E2150">
        <v>0.53800309999999996</v>
      </c>
      <c r="F2150" t="s">
        <v>41</v>
      </c>
      <c r="G2150">
        <v>-278.96749999999997</v>
      </c>
      <c r="H2150">
        <v>0.88891759999999997</v>
      </c>
      <c r="I2150">
        <v>284.45260000000002</v>
      </c>
      <c r="J2150">
        <v>-278.70209999999997</v>
      </c>
      <c r="K2150">
        <v>1.109294</v>
      </c>
      <c r="L2150">
        <v>284.48410000000001</v>
      </c>
      <c r="M2150">
        <v>-0.99991929999999996</v>
      </c>
      <c r="N2150">
        <v>-1.0330239999999999E-2</v>
      </c>
      <c r="O2150">
        <v>-7.4106240000000002E-3</v>
      </c>
      <c r="P2150">
        <v>-0.93455650000000001</v>
      </c>
      <c r="Q2150">
        <v>0.34965610000000003</v>
      </c>
      <c r="R2150">
        <v>-6.5915760000000004E-2</v>
      </c>
      <c r="S2150">
        <v>-3.6100460000000001</v>
      </c>
      <c r="T2150">
        <v>-1.104166</v>
      </c>
      <c r="U2150">
        <v>-0.1741943</v>
      </c>
      <c r="V2150">
        <v>-5.844833E-2</v>
      </c>
      <c r="W2150">
        <v>0.3593847</v>
      </c>
      <c r="X2150">
        <v>0.93135730000000005</v>
      </c>
      <c r="Y2150">
        <v>-3.9254230000000001E-2</v>
      </c>
      <c r="Z2150">
        <v>-3.9335530000000002E-3</v>
      </c>
      <c r="AA2150">
        <v>0.99922149999999998</v>
      </c>
      <c r="AB2150">
        <v>45</v>
      </c>
      <c r="AC2150">
        <v>-0.26539999999999903</v>
      </c>
      <c r="AD2150">
        <v>-0.2203764</v>
      </c>
      <c r="AE2150">
        <v>-3.1499999999993998E-2</v>
      </c>
      <c r="AF2150">
        <v>-1.7579634903294301E-2</v>
      </c>
      <c r="AG2150">
        <v>-0.2203764</v>
      </c>
      <c r="AH2150">
        <v>0.158119032308873</v>
      </c>
      <c r="AI2150">
        <v>144.17387409344599</v>
      </c>
      <c r="AJ2150">
        <v>96.344076625971496</v>
      </c>
      <c r="AK2150">
        <v>0.27180218839918802</v>
      </c>
      <c r="AL2150">
        <v>68.937586732095795</v>
      </c>
      <c r="AM2150">
        <v>93.590949156456205</v>
      </c>
      <c r="AN2150">
        <v>0.99999999506858395</v>
      </c>
    </row>
    <row r="2151" spans="1:40" x14ac:dyDescent="0.25">
      <c r="A2151" t="str">
        <f>"20190304164857967"</f>
        <v>20190304164857967</v>
      </c>
      <c r="B2151" t="str">
        <f>"1551689337958199"</f>
        <v>1551689337958199</v>
      </c>
      <c r="C2151" t="s">
        <v>40</v>
      </c>
      <c r="D2151">
        <v>4.2794210000000001</v>
      </c>
      <c r="E2151">
        <v>0.53809910000000005</v>
      </c>
      <c r="F2151" t="s">
        <v>41</v>
      </c>
      <c r="G2151">
        <v>-279.43810000000002</v>
      </c>
      <c r="H2151">
        <v>1.028953</v>
      </c>
      <c r="I2151">
        <v>284.48039999999997</v>
      </c>
      <c r="J2151">
        <v>-278.9633</v>
      </c>
      <c r="K2151">
        <v>1.109254</v>
      </c>
      <c r="L2151">
        <v>284.48250000000002</v>
      </c>
      <c r="M2151">
        <v>-0.99992110000000001</v>
      </c>
      <c r="N2151">
        <v>-1.045799E-2</v>
      </c>
      <c r="O2151">
        <v>-6.9779890000000004E-3</v>
      </c>
      <c r="P2151">
        <v>-0.93446839999999998</v>
      </c>
      <c r="Q2151">
        <v>0.3499854</v>
      </c>
      <c r="R2151">
        <v>-6.5413890000000002E-2</v>
      </c>
      <c r="S2151">
        <v>-3.3454899999999999</v>
      </c>
      <c r="T2151">
        <v>-0.36532759999999997</v>
      </c>
      <c r="U2151">
        <v>-1.8096919999999999E-2</v>
      </c>
      <c r="V2151">
        <v>-5.8302369999999999E-2</v>
      </c>
      <c r="W2151">
        <v>0.35983929999999997</v>
      </c>
      <c r="X2151">
        <v>0.93119090000000004</v>
      </c>
      <c r="Y2151">
        <v>1.5252740000000001E-3</v>
      </c>
      <c r="Z2151">
        <v>7.7797679999999896E-4</v>
      </c>
      <c r="AA2151">
        <v>0.99999850000000001</v>
      </c>
      <c r="AB2151">
        <v>46</v>
      </c>
      <c r="AC2151">
        <v>-0.47480000000001599</v>
      </c>
      <c r="AD2151">
        <v>-8.0301000000000095E-2</v>
      </c>
      <c r="AE2151">
        <v>-2.1000000000412902E-3</v>
      </c>
      <c r="AF2151">
        <v>1.1796397913630601E-3</v>
      </c>
      <c r="AG2151">
        <v>-8.0301000000000095E-2</v>
      </c>
      <c r="AH2151">
        <v>0.46159993826948698</v>
      </c>
      <c r="AI2151">
        <v>99.868516239984302</v>
      </c>
      <c r="AJ2151">
        <v>89.853578329084996</v>
      </c>
      <c r="AK2151">
        <v>0.468534038423497</v>
      </c>
      <c r="AL2151">
        <v>68.909672566112107</v>
      </c>
      <c r="AM2151">
        <v>93.582643463952195</v>
      </c>
      <c r="AN2151">
        <v>0.999999990207458</v>
      </c>
    </row>
    <row r="2152" spans="1:40" x14ac:dyDescent="0.25">
      <c r="A2152" t="str">
        <f>"20190304164857979"</f>
        <v>20190304164857979</v>
      </c>
      <c r="B2152" t="str">
        <f>"1551689337967959"</f>
        <v>1551689337967959</v>
      </c>
      <c r="C2152" t="s">
        <v>40</v>
      </c>
      <c r="D2152">
        <v>4.3035940000000004</v>
      </c>
      <c r="E2152">
        <v>0.5377535</v>
      </c>
      <c r="F2152" t="s">
        <v>41</v>
      </c>
      <c r="G2152">
        <v>-279.83769999999998</v>
      </c>
      <c r="H2152">
        <v>1.0129980000000001</v>
      </c>
      <c r="I2152">
        <v>284.4785</v>
      </c>
      <c r="J2152">
        <v>-279.20760000000001</v>
      </c>
      <c r="K2152">
        <v>1.1092219999999999</v>
      </c>
      <c r="L2152">
        <v>284.48110000000003</v>
      </c>
      <c r="M2152">
        <v>-0.99992259999999999</v>
      </c>
      <c r="N2152">
        <v>-1.0580529999999999E-2</v>
      </c>
      <c r="O2152">
        <v>-6.5594579999999998E-3</v>
      </c>
      <c r="P2152">
        <v>-0.93455960000000005</v>
      </c>
      <c r="Q2152">
        <v>0.3498674</v>
      </c>
      <c r="R2152">
        <v>-6.4738400000000001E-2</v>
      </c>
      <c r="S2152">
        <v>-3.3472900000000001</v>
      </c>
      <c r="T2152">
        <v>-0.36862339999999999</v>
      </c>
      <c r="U2152">
        <v>-1.672363E-2</v>
      </c>
      <c r="V2152">
        <v>-5.797414E-2</v>
      </c>
      <c r="W2152">
        <v>0.35984290000000002</v>
      </c>
      <c r="X2152">
        <v>0.93120999999999998</v>
      </c>
      <c r="Y2152">
        <v>1.521257E-3</v>
      </c>
      <c r="Z2152">
        <v>7.4254910000000004E-4</v>
      </c>
      <c r="AA2152">
        <v>0.99999859999999896</v>
      </c>
      <c r="AB2152">
        <v>46</v>
      </c>
      <c r="AC2152">
        <v>-0.63009999999997002</v>
      </c>
      <c r="AD2152">
        <v>-9.6223999999999796E-2</v>
      </c>
      <c r="AE2152">
        <v>-2.6000000000294598E-3</v>
      </c>
      <c r="AF2152">
        <v>1.4984564572643601E-3</v>
      </c>
      <c r="AG2152">
        <v>-9.6223999999999796E-2</v>
      </c>
      <c r="AH2152">
        <v>0.61574395545821903</v>
      </c>
      <c r="AI2152">
        <v>98.881905568757901</v>
      </c>
      <c r="AJ2152">
        <v>89.860566944199604</v>
      </c>
      <c r="AK2152">
        <v>0.62321900021668697</v>
      </c>
      <c r="AL2152">
        <v>68.909451462253301</v>
      </c>
      <c r="AM2152">
        <v>93.562453148037804</v>
      </c>
      <c r="AN2152">
        <v>0.99999998884457397</v>
      </c>
    </row>
    <row r="2153" spans="1:40" x14ac:dyDescent="0.25">
      <c r="A2153" t="str">
        <f>"20190304164857992"</f>
        <v>20190304164857992</v>
      </c>
      <c r="B2153" t="str">
        <f>"1551689337988455"</f>
        <v>1551689337988455</v>
      </c>
      <c r="C2153" t="s">
        <v>40</v>
      </c>
      <c r="D2153">
        <v>4.2801130000000001</v>
      </c>
      <c r="E2153">
        <v>0.53703369999999995</v>
      </c>
      <c r="F2153" t="s">
        <v>41</v>
      </c>
      <c r="G2153">
        <v>-280.23820000000001</v>
      </c>
      <c r="H2153">
        <v>0.99896169999999995</v>
      </c>
      <c r="I2153">
        <v>284.476</v>
      </c>
      <c r="J2153">
        <v>-279.47000000000003</v>
      </c>
      <c r="K2153">
        <v>1.109192</v>
      </c>
      <c r="L2153">
        <v>284.47969999999998</v>
      </c>
      <c r="M2153">
        <v>-0.99992409999999998</v>
      </c>
      <c r="N2153">
        <v>-1.071744E-2</v>
      </c>
      <c r="O2153">
        <v>-6.0873489999999997E-3</v>
      </c>
      <c r="P2153">
        <v>-0.93463300000000005</v>
      </c>
      <c r="Q2153">
        <v>0.3497634</v>
      </c>
      <c r="R2153">
        <v>-6.4239400000000002E-2</v>
      </c>
      <c r="S2153">
        <v>-3.3428040000000001</v>
      </c>
      <c r="T2153">
        <v>-0.35772569999999998</v>
      </c>
      <c r="U2153">
        <v>-1.7181399999999999E-2</v>
      </c>
      <c r="V2153">
        <v>-5.7872170000000001E-2</v>
      </c>
      <c r="W2153">
        <v>0.35987360000000002</v>
      </c>
      <c r="X2153">
        <v>0.93120449999999999</v>
      </c>
      <c r="Y2153">
        <v>9.1407960000000003E-4</v>
      </c>
      <c r="Z2153">
        <v>6.3817349999999997E-4</v>
      </c>
      <c r="AA2153">
        <v>0.99999939999999998</v>
      </c>
      <c r="AB2153">
        <v>46</v>
      </c>
      <c r="AC2153">
        <v>-0.76819999999997801</v>
      </c>
      <c r="AD2153">
        <v>-0.110230299999999</v>
      </c>
      <c r="AE2153">
        <v>-3.69999999998071E-3</v>
      </c>
      <c r="AF2153">
        <v>9.5693564934993202E-4</v>
      </c>
      <c r="AG2153">
        <v>-0.110230299999999</v>
      </c>
      <c r="AH2153">
        <v>0.75271044710832302</v>
      </c>
      <c r="AI2153">
        <v>98.331423011478606</v>
      </c>
      <c r="AJ2153">
        <v>89.927158783772398</v>
      </c>
      <c r="AK2153">
        <v>0.76073954278053502</v>
      </c>
      <c r="AL2153">
        <v>68.907566613950493</v>
      </c>
      <c r="AM2153">
        <v>93.556224237553806</v>
      </c>
      <c r="AN2153">
        <v>1.0000000084288501</v>
      </c>
    </row>
    <row r="2154" spans="1:40" x14ac:dyDescent="0.25">
      <c r="A2154" t="str">
        <f>"20190304164858009"</f>
        <v>20190304164858009</v>
      </c>
      <c r="B2154" t="str">
        <f>"1551689337998215"</f>
        <v>1551689337998215</v>
      </c>
      <c r="C2154" t="s">
        <v>40</v>
      </c>
      <c r="D2154">
        <v>4.3107350000000002</v>
      </c>
      <c r="E2154">
        <v>0.53688539999999996</v>
      </c>
      <c r="F2154" t="s">
        <v>41</v>
      </c>
      <c r="G2154">
        <v>-280.25209999999998</v>
      </c>
      <c r="H2154">
        <v>1.0275970000000001</v>
      </c>
      <c r="I2154">
        <v>284.47489999999999</v>
      </c>
      <c r="J2154">
        <v>-279.81229999999999</v>
      </c>
      <c r="K2154">
        <v>1.109159</v>
      </c>
      <c r="L2154">
        <v>284.47809999999998</v>
      </c>
      <c r="M2154">
        <v>-0.99992570000000003</v>
      </c>
      <c r="N2154">
        <v>-1.0903400000000001E-2</v>
      </c>
      <c r="O2154">
        <v>-5.4419330000000004E-3</v>
      </c>
      <c r="P2154">
        <v>-0.93465949999999998</v>
      </c>
      <c r="Q2154">
        <v>0.35000759999999997</v>
      </c>
      <c r="R2154">
        <v>-6.2501490000000007E-2</v>
      </c>
      <c r="S2154">
        <v>-3.3387449999999999</v>
      </c>
      <c r="T2154">
        <v>-0.34841899999999998</v>
      </c>
      <c r="U2154">
        <v>-2.133179E-2</v>
      </c>
      <c r="V2154">
        <v>-5.6686399999999998E-2</v>
      </c>
      <c r="W2154">
        <v>0.36029670000000003</v>
      </c>
      <c r="X2154">
        <v>0.93111379999999999</v>
      </c>
      <c r="Y2154">
        <v>-9.6470059999999996E-4</v>
      </c>
      <c r="Z2154">
        <v>4.516837E-4</v>
      </c>
      <c r="AA2154">
        <v>0.99999939999999998</v>
      </c>
      <c r="AB2154">
        <v>46</v>
      </c>
      <c r="AC2154">
        <v>-0.43979999999999098</v>
      </c>
      <c r="AD2154">
        <v>-8.1562000000000107E-2</v>
      </c>
      <c r="AE2154">
        <v>-3.19999999999254E-3</v>
      </c>
      <c r="AF2154">
        <v>-7.7963578438416199E-4</v>
      </c>
      <c r="AG2154">
        <v>-8.1562000000000107E-2</v>
      </c>
      <c r="AH2154">
        <v>0.42518833470336698</v>
      </c>
      <c r="AI2154">
        <v>100.858869123134</v>
      </c>
      <c r="AJ2154">
        <v>90.105058832272903</v>
      </c>
      <c r="AK2154">
        <v>0.432941205758679</v>
      </c>
      <c r="AL2154">
        <v>68.881581151324596</v>
      </c>
      <c r="AM2154">
        <v>93.483878892834795</v>
      </c>
      <c r="AN2154">
        <v>0.99999998426314396</v>
      </c>
    </row>
    <row r="2155" spans="1:40" x14ac:dyDescent="0.25">
      <c r="A2155" t="str">
        <f>"20190304164858033"</f>
        <v>20190304164858033</v>
      </c>
      <c r="B2155" t="str">
        <f>"1551689338028472"</f>
        <v>1551689338028472</v>
      </c>
      <c r="C2155" t="s">
        <v>40</v>
      </c>
      <c r="D2155">
        <v>4.885389</v>
      </c>
      <c r="E2155">
        <v>0.53647559999999905</v>
      </c>
      <c r="F2155" t="s">
        <v>41</v>
      </c>
      <c r="G2155">
        <v>-280.65660000000003</v>
      </c>
      <c r="H2155">
        <v>1.022079</v>
      </c>
      <c r="I2155">
        <v>284.47370000000001</v>
      </c>
      <c r="J2155">
        <v>-280.29270000000002</v>
      </c>
      <c r="K2155">
        <v>1.1091329999999999</v>
      </c>
      <c r="L2155">
        <v>284.47629999999998</v>
      </c>
      <c r="M2155">
        <v>-0.99992749999999997</v>
      </c>
      <c r="N2155">
        <v>-1.1174140000000001E-2</v>
      </c>
      <c r="O2155">
        <v>-4.5013859999999996E-3</v>
      </c>
      <c r="P2155">
        <v>-0.93495450000000002</v>
      </c>
      <c r="Q2155">
        <v>0.34952309999999998</v>
      </c>
      <c r="R2155">
        <v>-6.0777909999999997E-2</v>
      </c>
      <c r="S2155">
        <v>-3.3374329999999999</v>
      </c>
      <c r="T2155">
        <v>-0.34424199999999999</v>
      </c>
      <c r="U2155">
        <v>-1.8066410000000001E-2</v>
      </c>
      <c r="V2155">
        <v>-5.5782199999999997E-2</v>
      </c>
      <c r="W2155">
        <v>0.36007479999999997</v>
      </c>
      <c r="X2155">
        <v>0.93125429999999998</v>
      </c>
      <c r="Y2155">
        <v>-9.2507319999999996E-4</v>
      </c>
      <c r="Z2155">
        <v>3.6011659999999999E-4</v>
      </c>
      <c r="AA2155">
        <v>0.99999950000000004</v>
      </c>
      <c r="AB2155">
        <v>45</v>
      </c>
      <c r="AC2155">
        <v>-0.363900000000001</v>
      </c>
      <c r="AD2155">
        <v>-8.7053999999999701E-2</v>
      </c>
      <c r="AE2155">
        <v>-2.5999999999726199E-3</v>
      </c>
      <c r="AF2155">
        <v>-9.0975570603344996E-4</v>
      </c>
      <c r="AG2155">
        <v>-8.7053999999999701E-2</v>
      </c>
      <c r="AH2155">
        <v>0.34421033656847699</v>
      </c>
      <c r="AI2155">
        <v>104.192974206561</v>
      </c>
      <c r="AJ2155">
        <v>90.151433688741506</v>
      </c>
      <c r="AK2155">
        <v>0.35504926752780203</v>
      </c>
      <c r="AL2155">
        <v>68.895211140647007</v>
      </c>
      <c r="AM2155">
        <v>93.427925436702694</v>
      </c>
      <c r="AN2155">
        <v>1.0000000433501799</v>
      </c>
    </row>
    <row r="2156" spans="1:40" x14ac:dyDescent="0.25">
      <c r="A2156" t="str">
        <f>"20190304164858045"</f>
        <v>20190304164858045</v>
      </c>
      <c r="B2156" t="str">
        <f>"1551689338038232"</f>
        <v>1551689338038232</v>
      </c>
      <c r="C2156" t="s">
        <v>40</v>
      </c>
      <c r="D2156">
        <v>4.306616</v>
      </c>
      <c r="E2156">
        <v>0.53646479999999996</v>
      </c>
      <c r="F2156" t="s">
        <v>41</v>
      </c>
      <c r="G2156">
        <v>-281.06830000000002</v>
      </c>
      <c r="H2156">
        <v>1.031129</v>
      </c>
      <c r="I2156">
        <v>284.47300000000001</v>
      </c>
      <c r="J2156">
        <v>-280.5403</v>
      </c>
      <c r="K2156">
        <v>1.1091230000000001</v>
      </c>
      <c r="L2156">
        <v>284.47550000000001</v>
      </c>
      <c r="M2156">
        <v>-0.99992820000000004</v>
      </c>
      <c r="N2156">
        <v>-1.131573E-2</v>
      </c>
      <c r="O2156">
        <v>-4.0017589999999997E-3</v>
      </c>
      <c r="P2156">
        <v>-0.93501829999999997</v>
      </c>
      <c r="Q2156">
        <v>0.34946110000000002</v>
      </c>
      <c r="R2156">
        <v>-6.0150589999999997E-2</v>
      </c>
      <c r="S2156">
        <v>-3.3330989999999998</v>
      </c>
      <c r="T2156">
        <v>-0.33526650000000002</v>
      </c>
      <c r="U2156">
        <v>-1.467896E-2</v>
      </c>
      <c r="V2156">
        <v>-5.5596239999999998E-2</v>
      </c>
      <c r="W2156">
        <v>0.36014810000000003</v>
      </c>
      <c r="X2156">
        <v>0.93123699999999998</v>
      </c>
      <c r="Y2156">
        <v>-4.1551290000000002E-4</v>
      </c>
      <c r="Z2156">
        <v>3.3312259999999997E-4</v>
      </c>
      <c r="AA2156">
        <v>0.99999990000000005</v>
      </c>
      <c r="AB2156">
        <v>45</v>
      </c>
      <c r="AC2156">
        <v>-0.52800000000002001</v>
      </c>
      <c r="AD2156">
        <v>-7.7993999999999605E-2</v>
      </c>
      <c r="AE2156">
        <v>-2.4999999999977202E-3</v>
      </c>
      <c r="AF2156">
        <v>-3.7865438083115001E-4</v>
      </c>
      <c r="AG2156">
        <v>-7.7993999999999605E-2</v>
      </c>
      <c r="AH2156">
        <v>0.51673096514318195</v>
      </c>
      <c r="AI2156">
        <v>98.583280227868599</v>
      </c>
      <c r="AJ2156">
        <v>90.041985666615602</v>
      </c>
      <c r="AK2156">
        <v>0.52258405807386099</v>
      </c>
      <c r="AL2156">
        <v>68.890707774540701</v>
      </c>
      <c r="AM2156">
        <v>93.416588264974905</v>
      </c>
      <c r="AN2156">
        <v>0.99999997300237298</v>
      </c>
    </row>
    <row r="2157" spans="1:40" x14ac:dyDescent="0.25">
      <c r="A2157" t="str">
        <f>"20190304164858056"</f>
        <v>20190304164858056</v>
      </c>
      <c r="B2157" t="str">
        <f>"1551689338047991"</f>
        <v>1551689338047991</v>
      </c>
      <c r="C2157" t="s">
        <v>40</v>
      </c>
      <c r="D2157">
        <v>4.3288890000000002</v>
      </c>
      <c r="E2157">
        <v>0.5362557</v>
      </c>
      <c r="F2157" t="s">
        <v>41</v>
      </c>
      <c r="G2157">
        <v>-281.46769999999998</v>
      </c>
      <c r="H2157">
        <v>1.015919</v>
      </c>
      <c r="I2157">
        <v>284.47230000000002</v>
      </c>
      <c r="J2157">
        <v>-280.78730000000002</v>
      </c>
      <c r="K2157">
        <v>1.109113</v>
      </c>
      <c r="L2157">
        <v>284.47480000000002</v>
      </c>
      <c r="M2157">
        <v>-0.99992840000000005</v>
      </c>
      <c r="N2157">
        <v>-1.1456839999999999E-2</v>
      </c>
      <c r="O2157">
        <v>-3.4996509999999999E-3</v>
      </c>
      <c r="P2157">
        <v>-0.93498650000000005</v>
      </c>
      <c r="Q2157">
        <v>0.34967759999999998</v>
      </c>
      <c r="R2157">
        <v>-5.9380580000000002E-2</v>
      </c>
      <c r="S2157">
        <v>-3.3329770000000001</v>
      </c>
      <c r="T2157">
        <v>-0.33509359999999999</v>
      </c>
      <c r="U2157">
        <v>-1.223755E-2</v>
      </c>
      <c r="V2157">
        <v>-5.5272040000000001E-2</v>
      </c>
      <c r="W2157">
        <v>0.36049809999999999</v>
      </c>
      <c r="X2157">
        <v>0.93112090000000003</v>
      </c>
      <c r="Y2157">
        <v>-1.8456599999999999E-4</v>
      </c>
      <c r="Z2157">
        <v>3.00642E-4</v>
      </c>
      <c r="AA2157">
        <v>0.99999990000000005</v>
      </c>
      <c r="AB2157">
        <v>45</v>
      </c>
      <c r="AC2157">
        <v>-0.68039999999996303</v>
      </c>
      <c r="AD2157">
        <v>-9.3193999999999999E-2</v>
      </c>
      <c r="AE2157">
        <v>-2.4999999999977202E-3</v>
      </c>
      <c r="AF2157">
        <v>-1.16481002495338E-4</v>
      </c>
      <c r="AG2157">
        <v>-9.3193999999999999E-2</v>
      </c>
      <c r="AH2157">
        <v>0.66787499947735096</v>
      </c>
      <c r="AI2157">
        <v>97.943651738775401</v>
      </c>
      <c r="AJ2157">
        <v>90.009992692905101</v>
      </c>
      <c r="AK2157">
        <v>0.67434572003586901</v>
      </c>
      <c r="AL2157">
        <v>68.869210903593199</v>
      </c>
      <c r="AM2157">
        <v>93.397134336096599</v>
      </c>
      <c r="AN2157">
        <v>1.0000000044630899</v>
      </c>
    </row>
    <row r="2158" spans="1:40" x14ac:dyDescent="0.25">
      <c r="A2158" t="str">
        <f>"20190304164858068"</f>
        <v>20190304164858068</v>
      </c>
      <c r="B2158" t="str">
        <f>"1551689338057751"</f>
        <v>1551689338057751</v>
      </c>
      <c r="C2158" t="s">
        <v>40</v>
      </c>
      <c r="D2158">
        <v>4.3243130000000001</v>
      </c>
      <c r="E2158">
        <v>0.53603049999999997</v>
      </c>
      <c r="F2158" t="s">
        <v>41</v>
      </c>
      <c r="G2158">
        <v>-281.86739999999998</v>
      </c>
      <c r="H2158">
        <v>1.0016069999999999</v>
      </c>
      <c r="I2158">
        <v>284.47160000000002</v>
      </c>
      <c r="J2158">
        <v>-281.02879999999999</v>
      </c>
      <c r="K2158">
        <v>1.1091059999999999</v>
      </c>
      <c r="L2158">
        <v>284.4744</v>
      </c>
      <c r="M2158">
        <v>-0.99992829999999999</v>
      </c>
      <c r="N2158">
        <v>-1.1593569999999999E-2</v>
      </c>
      <c r="O2158">
        <v>-3.0016299999999999E-3</v>
      </c>
      <c r="P2158">
        <v>-0.93494809999999995</v>
      </c>
      <c r="Q2158">
        <v>0.34988550000000002</v>
      </c>
      <c r="R2158">
        <v>-5.8756610000000001E-2</v>
      </c>
      <c r="S2158">
        <v>-3.332001</v>
      </c>
      <c r="T2158">
        <v>-0.33170860000000002</v>
      </c>
      <c r="U2158">
        <v>-1.049805E-2</v>
      </c>
      <c r="V2158">
        <v>-5.5093410000000002E-2</v>
      </c>
      <c r="W2158">
        <v>0.36083530000000003</v>
      </c>
      <c r="X2158">
        <v>0.93100090000000002</v>
      </c>
      <c r="Y2158">
        <v>-1.5952809999999999E-4</v>
      </c>
      <c r="Z2158">
        <v>2.5450789999999999E-4</v>
      </c>
      <c r="AA2158">
        <v>0.99999990000000005</v>
      </c>
      <c r="AB2158">
        <v>45</v>
      </c>
      <c r="AC2158">
        <v>-0.83859999999998502</v>
      </c>
      <c r="AD2158">
        <v>-0.107499</v>
      </c>
      <c r="AE2158">
        <v>-2.7999999999792601E-3</v>
      </c>
      <c r="AF2158">
        <v>-2.78081833329864E-4</v>
      </c>
      <c r="AG2158">
        <v>-0.107499</v>
      </c>
      <c r="AH2158">
        <v>0.82504732846957896</v>
      </c>
      <c r="AI2158">
        <v>97.423495450240594</v>
      </c>
      <c r="AJ2158">
        <v>90.0193115161469</v>
      </c>
      <c r="AK2158">
        <v>0.83202115751061001</v>
      </c>
      <c r="AL2158">
        <v>68.848497298753301</v>
      </c>
      <c r="AM2158">
        <v>93.386616394855906</v>
      </c>
      <c r="AN2158">
        <v>1.0000000366761601</v>
      </c>
    </row>
    <row r="2159" spans="1:40" x14ac:dyDescent="0.25">
      <c r="A2159" t="str">
        <f>"20190304164858087"</f>
        <v>20190304164858087</v>
      </c>
      <c r="B2159" t="str">
        <f>"1551689338078247"</f>
        <v>1551689338078247</v>
      </c>
      <c r="C2159" t="s">
        <v>40</v>
      </c>
      <c r="D2159">
        <v>4.3274509999999999</v>
      </c>
      <c r="E2159">
        <v>0.5358098</v>
      </c>
      <c r="F2159" t="s">
        <v>41</v>
      </c>
      <c r="G2159">
        <v>-281.87880000000001</v>
      </c>
      <c r="H2159">
        <v>1.025118</v>
      </c>
      <c r="I2159">
        <v>284.47199999999998</v>
      </c>
      <c r="J2159">
        <v>-281.4033</v>
      </c>
      <c r="K2159">
        <v>1.109111</v>
      </c>
      <c r="L2159">
        <v>284.47390000000001</v>
      </c>
      <c r="M2159">
        <v>-0.99992800000000004</v>
      </c>
      <c r="N2159">
        <v>-1.1799830000000001E-2</v>
      </c>
      <c r="O2159">
        <v>-2.2245400000000001E-3</v>
      </c>
      <c r="P2159">
        <v>-0.93488899999999997</v>
      </c>
      <c r="Q2159">
        <v>0.35015930000000001</v>
      </c>
      <c r="R2159">
        <v>-5.8062019999999999E-2</v>
      </c>
      <c r="S2159">
        <v>-3.3313290000000002</v>
      </c>
      <c r="T2159">
        <v>-0.32926290000000003</v>
      </c>
      <c r="U2159">
        <v>-9.6435549999999998E-3</v>
      </c>
      <c r="V2159">
        <v>-5.5097779999999999E-2</v>
      </c>
      <c r="W2159">
        <v>0.36130400000000001</v>
      </c>
      <c r="X2159">
        <v>0.9308189</v>
      </c>
      <c r="Y2159">
        <v>-6.7482459999999996E-4</v>
      </c>
      <c r="Z2159">
        <v>1.5588010000000001E-4</v>
      </c>
      <c r="AA2159">
        <v>0.99999979999999999</v>
      </c>
      <c r="AB2159">
        <v>45</v>
      </c>
      <c r="AC2159">
        <v>-0.47550000000001003</v>
      </c>
      <c r="AD2159">
        <v>-8.3992999999999901E-2</v>
      </c>
      <c r="AE2159">
        <v>-1.90000000003465E-3</v>
      </c>
      <c r="AF2159">
        <v>-8.1667144644481096E-4</v>
      </c>
      <c r="AG2159">
        <v>-8.3992999999999901E-2</v>
      </c>
      <c r="AH2159">
        <v>0.46111546536375803</v>
      </c>
      <c r="AI2159">
        <v>100.323331329703</v>
      </c>
      <c r="AJ2159">
        <v>90.101475187280997</v>
      </c>
      <c r="AK2159">
        <v>0.46870349198495098</v>
      </c>
      <c r="AL2159">
        <v>68.819701150703395</v>
      </c>
      <c r="AM2159">
        <v>93.387545079877398</v>
      </c>
      <c r="AN2159">
        <v>1.0000000851870601</v>
      </c>
    </row>
    <row r="2160" spans="1:40" x14ac:dyDescent="0.25">
      <c r="A2160" t="str">
        <f>"20190304164858098"</f>
        <v>20190304164858098</v>
      </c>
      <c r="B2160" t="str">
        <f>"1551689338088007"</f>
        <v>1551689338088007</v>
      </c>
      <c r="C2160" t="s">
        <v>40</v>
      </c>
      <c r="D2160">
        <v>4.3298489999999896</v>
      </c>
      <c r="E2160">
        <v>0.53563280000000002</v>
      </c>
      <c r="F2160" t="s">
        <v>41</v>
      </c>
      <c r="G2160">
        <v>-282.28449999999998</v>
      </c>
      <c r="H2160">
        <v>1.0232540000000001</v>
      </c>
      <c r="I2160">
        <v>284.47199999999998</v>
      </c>
      <c r="J2160">
        <v>-281.63819999999998</v>
      </c>
      <c r="K2160">
        <v>1.109108</v>
      </c>
      <c r="L2160">
        <v>284.47359999999998</v>
      </c>
      <c r="M2160">
        <v>-0.99992740000000002</v>
      </c>
      <c r="N2160">
        <v>-1.192563E-2</v>
      </c>
      <c r="O2160">
        <v>-1.7351160000000001E-3</v>
      </c>
      <c r="P2160">
        <v>-0.93483859999999996</v>
      </c>
      <c r="Q2160">
        <v>0.35036810000000002</v>
      </c>
      <c r="R2160">
        <v>-5.7610790000000002E-2</v>
      </c>
      <c r="S2160">
        <v>-3.3300169999999998</v>
      </c>
      <c r="T2160">
        <v>-0.32467309999999999</v>
      </c>
      <c r="U2160">
        <v>-8.8500980000000007E-3</v>
      </c>
      <c r="V2160">
        <v>-5.508851E-2</v>
      </c>
      <c r="W2160">
        <v>0.36163119999999999</v>
      </c>
      <c r="X2160">
        <v>0.93069230000000003</v>
      </c>
      <c r="Y2160">
        <v>-9.2384520000000003E-4</v>
      </c>
      <c r="Z2160" s="1">
        <v>9.7667290000000005E-5</v>
      </c>
      <c r="AA2160">
        <v>0.99999959999999999</v>
      </c>
      <c r="AB2160">
        <v>45</v>
      </c>
      <c r="AC2160">
        <v>-0.64629999999999599</v>
      </c>
      <c r="AD2160">
        <v>-8.5853999999999805E-2</v>
      </c>
      <c r="AE2160">
        <v>-1.59999999999627E-3</v>
      </c>
      <c r="AF2160">
        <v>-4.7021490366469201E-4</v>
      </c>
      <c r="AG2160">
        <v>-8.5853999999999805E-2</v>
      </c>
      <c r="AH2160">
        <v>0.63509482157071495</v>
      </c>
      <c r="AI2160">
        <v>97.698740830498394</v>
      </c>
      <c r="AJ2160">
        <v>90.042420948189601</v>
      </c>
      <c r="AK2160">
        <v>0.64087172102066903</v>
      </c>
      <c r="AL2160">
        <v>68.7995928483206</v>
      </c>
      <c r="AM2160">
        <v>93.387436114823899</v>
      </c>
      <c r="AN2160">
        <v>1.0000000130133699</v>
      </c>
    </row>
    <row r="2161" spans="1:40" x14ac:dyDescent="0.25">
      <c r="A2161" t="str">
        <f>"20190304164858113"</f>
        <v>20190304164858113</v>
      </c>
      <c r="B2161" t="str">
        <f>"1551689338108505"</f>
        <v>1551689338108505</v>
      </c>
      <c r="C2161" t="s">
        <v>40</v>
      </c>
      <c r="D2161">
        <v>4.326746</v>
      </c>
      <c r="E2161">
        <v>0.53543790000000002</v>
      </c>
      <c r="F2161" t="s">
        <v>41</v>
      </c>
      <c r="G2161">
        <v>-282.68329999999997</v>
      </c>
      <c r="H2161">
        <v>1.007592</v>
      </c>
      <c r="I2161">
        <v>284.471</v>
      </c>
      <c r="J2161">
        <v>-281.923</v>
      </c>
      <c r="K2161">
        <v>1.1091059999999999</v>
      </c>
      <c r="L2161">
        <v>284.47359999999998</v>
      </c>
      <c r="M2161">
        <v>-0.9999266</v>
      </c>
      <c r="N2161">
        <v>-1.20737E-2</v>
      </c>
      <c r="O2161">
        <v>-1.141001E-3</v>
      </c>
      <c r="P2161">
        <v>-0.93483329999999998</v>
      </c>
      <c r="Q2161">
        <v>0.35045279999999901</v>
      </c>
      <c r="R2161">
        <v>-5.7182839999999999E-2</v>
      </c>
      <c r="S2161">
        <v>-3.3298030000000001</v>
      </c>
      <c r="T2161">
        <v>-0.32350499999999999</v>
      </c>
      <c r="U2161">
        <v>-8.9111329999999999E-3</v>
      </c>
      <c r="V2161">
        <v>-5.5198289999999997E-2</v>
      </c>
      <c r="W2161">
        <v>0.36185610000000001</v>
      </c>
      <c r="X2161">
        <v>0.93059840000000005</v>
      </c>
      <c r="Y2161">
        <v>-1.5310930000000001E-3</v>
      </c>
      <c r="Z2161" s="1">
        <v>1.3375230000000001E-5</v>
      </c>
      <c r="AA2161">
        <v>0.99999879999999997</v>
      </c>
      <c r="AB2161">
        <v>45</v>
      </c>
      <c r="AC2161">
        <v>-0.760299999999972</v>
      </c>
      <c r="AD2161">
        <v>-0.10151399999999899</v>
      </c>
      <c r="AE2161">
        <v>-2.5999999999726199E-3</v>
      </c>
      <c r="AF2161">
        <v>-1.7020890909639501E-3</v>
      </c>
      <c r="AG2161">
        <v>-0.10151399999999899</v>
      </c>
      <c r="AH2161">
        <v>0.74698599670603305</v>
      </c>
      <c r="AI2161">
        <v>97.738959889182198</v>
      </c>
      <c r="AJ2161">
        <v>90.130554458741003</v>
      </c>
      <c r="AK2161">
        <v>0.75385414277443497</v>
      </c>
      <c r="AL2161">
        <v>68.785771470974495</v>
      </c>
      <c r="AM2161">
        <v>93.394512488299299</v>
      </c>
      <c r="AN2161">
        <v>1.0000000352043401</v>
      </c>
    </row>
    <row r="2162" spans="1:40" x14ac:dyDescent="0.25">
      <c r="A2162" t="str">
        <f>"20190304164858127"</f>
        <v>20190304164858127</v>
      </c>
      <c r="B2162" t="str">
        <f>"1551689338118263"</f>
        <v>1551689338118263</v>
      </c>
      <c r="C2162" t="s">
        <v>40</v>
      </c>
      <c r="D2162">
        <v>4.3213520000000001</v>
      </c>
      <c r="E2162">
        <v>0.53537080000000004</v>
      </c>
      <c r="F2162" t="s">
        <v>41</v>
      </c>
      <c r="G2162">
        <v>-282.6977</v>
      </c>
      <c r="H2162">
        <v>1.0339469999999999</v>
      </c>
      <c r="I2162">
        <v>284.47160000000002</v>
      </c>
      <c r="J2162">
        <v>-282.20299999999997</v>
      </c>
      <c r="K2162">
        <v>1.109103</v>
      </c>
      <c r="L2162">
        <v>284.47359999999998</v>
      </c>
      <c r="M2162">
        <v>-0.99992539999999996</v>
      </c>
      <c r="N2162">
        <v>-1.2213979999999999E-2</v>
      </c>
      <c r="O2162">
        <v>-5.5797780000000003E-4</v>
      </c>
      <c r="P2162">
        <v>-0.93485189999999996</v>
      </c>
      <c r="Q2162">
        <v>0.35046880000000002</v>
      </c>
      <c r="R2162">
        <v>-5.6777939999999999E-2</v>
      </c>
      <c r="S2162">
        <v>-3.3297119999999998</v>
      </c>
      <c r="T2162">
        <v>-0.3231019</v>
      </c>
      <c r="U2162">
        <v>-8.9111329999999999E-3</v>
      </c>
      <c r="V2162">
        <v>-5.5323980000000002E-2</v>
      </c>
      <c r="W2162">
        <v>0.36200510000000002</v>
      </c>
      <c r="X2162">
        <v>0.93053300000000005</v>
      </c>
      <c r="Y2162">
        <v>-2.109063E-3</v>
      </c>
      <c r="Z2162" s="1">
        <v>-6.7786590000000005E-5</v>
      </c>
      <c r="AA2162">
        <v>0.99999780000000005</v>
      </c>
      <c r="AB2162">
        <v>45</v>
      </c>
      <c r="AC2162">
        <v>-0.49470000000002201</v>
      </c>
      <c r="AD2162">
        <v>-7.5156000000000195E-2</v>
      </c>
      <c r="AE2162">
        <v>-1.9999999999527002E-3</v>
      </c>
      <c r="AF2162">
        <v>-1.68505636644529E-3</v>
      </c>
      <c r="AG2162">
        <v>-7.5156000000000195E-2</v>
      </c>
      <c r="AH2162">
        <v>0.48354089983795101</v>
      </c>
      <c r="AI2162">
        <v>98.834649616555396</v>
      </c>
      <c r="AJ2162">
        <v>90.199665069186196</v>
      </c>
      <c r="AK2162">
        <v>0.489349635298784</v>
      </c>
      <c r="AL2162">
        <v>68.776613859693995</v>
      </c>
      <c r="AM2162">
        <v>93.402462426369496</v>
      </c>
      <c r="AN2162">
        <v>1.00000004963902</v>
      </c>
    </row>
    <row r="2163" spans="1:40" x14ac:dyDescent="0.25">
      <c r="A2163" t="str">
        <f>"20190304164858147"</f>
        <v>20190304164858147</v>
      </c>
      <c r="B2163" t="str">
        <f>"1551689338137783"</f>
        <v>1551689338137783</v>
      </c>
      <c r="C2163" t="s">
        <v>40</v>
      </c>
      <c r="D2163">
        <v>4.3179809999999996</v>
      </c>
      <c r="E2163">
        <v>0.53515489999999999</v>
      </c>
      <c r="F2163" t="s">
        <v>41</v>
      </c>
      <c r="G2163">
        <v>-283.09660000000002</v>
      </c>
      <c r="H2163">
        <v>1.0225390000000001</v>
      </c>
      <c r="I2163">
        <v>284.47129999999999</v>
      </c>
      <c r="J2163">
        <v>-282.6019</v>
      </c>
      <c r="K2163">
        <v>1.1091059999999999</v>
      </c>
      <c r="L2163">
        <v>284.47399999999999</v>
      </c>
      <c r="M2163">
        <v>-0.99992300000000001</v>
      </c>
      <c r="N2163">
        <v>-1.240721E-2</v>
      </c>
      <c r="O2163">
        <v>2.6942740000000001E-4</v>
      </c>
      <c r="P2163">
        <v>-0.93498060000000005</v>
      </c>
      <c r="Q2163">
        <v>0.35013040000000001</v>
      </c>
      <c r="R2163">
        <v>-5.6743839999999997E-2</v>
      </c>
      <c r="S2163">
        <v>-3.3294679999999999</v>
      </c>
      <c r="T2163">
        <v>-0.32259139999999997</v>
      </c>
      <c r="U2163">
        <v>-8.9111329999999999E-3</v>
      </c>
      <c r="V2163">
        <v>-5.6047230000000003E-2</v>
      </c>
      <c r="W2163">
        <v>0.36185210000000001</v>
      </c>
      <c r="X2163">
        <v>0.93054910000000002</v>
      </c>
      <c r="Y2163">
        <v>-2.9294379999999999E-3</v>
      </c>
      <c r="Z2163">
        <v>-1.8251389999999999E-4</v>
      </c>
      <c r="AA2163">
        <v>0.99999570000000004</v>
      </c>
      <c r="AB2163">
        <v>45</v>
      </c>
      <c r="AC2163">
        <v>-0.49470000000002201</v>
      </c>
      <c r="AD2163">
        <v>-8.6567000000000005E-2</v>
      </c>
      <c r="AE2163">
        <v>-2.7000000000043599E-3</v>
      </c>
      <c r="AF2163">
        <v>-2.7491173806216298E-3</v>
      </c>
      <c r="AG2163">
        <v>-8.6567000000000005E-2</v>
      </c>
      <c r="AH2163">
        <v>0.480001513737569</v>
      </c>
      <c r="AI2163">
        <v>100.22308541706001</v>
      </c>
      <c r="AJ2163">
        <v>90.328147092399306</v>
      </c>
      <c r="AK2163">
        <v>0.48775286398516399</v>
      </c>
      <c r="AL2163">
        <v>68.786014993716904</v>
      </c>
      <c r="AM2163">
        <v>93.446776750409995</v>
      </c>
      <c r="AN2163">
        <v>0.99999993088794403</v>
      </c>
    </row>
    <row r="2164" spans="1:40" x14ac:dyDescent="0.25">
      <c r="A2164" t="str">
        <f>"20190304164858167"</f>
        <v>20190304164858167</v>
      </c>
      <c r="B2164" t="str">
        <f>"1551689338158279"</f>
        <v>1551689338158279</v>
      </c>
      <c r="C2164" t="s">
        <v>40</v>
      </c>
      <c r="D2164">
        <v>4.9157359999999999</v>
      </c>
      <c r="E2164">
        <v>0.53500499999999995</v>
      </c>
      <c r="F2164" t="s">
        <v>41</v>
      </c>
      <c r="G2164">
        <v>-283.50209999999998</v>
      </c>
      <c r="H2164">
        <v>1.0217830000000001</v>
      </c>
      <c r="I2164">
        <v>284.471</v>
      </c>
      <c r="J2164">
        <v>-283.03300000000002</v>
      </c>
      <c r="K2164">
        <v>1.1091120000000001</v>
      </c>
      <c r="L2164">
        <v>284.47489999999999</v>
      </c>
      <c r="M2164">
        <v>-0.99992000000000003</v>
      </c>
      <c r="N2164">
        <v>-1.2603990000000001E-2</v>
      </c>
      <c r="O2164">
        <v>1.156539E-3</v>
      </c>
      <c r="P2164">
        <v>-0.93503159999999996</v>
      </c>
      <c r="Q2164">
        <v>0.35004259999999998</v>
      </c>
      <c r="R2164">
        <v>-5.6448249999999998E-2</v>
      </c>
      <c r="S2164">
        <v>-3.3288570000000002</v>
      </c>
      <c r="T2164">
        <v>-0.32290400000000002</v>
      </c>
      <c r="U2164">
        <v>-1.153564E-2</v>
      </c>
      <c r="V2164">
        <v>-5.6567149999999997E-2</v>
      </c>
      <c r="W2164">
        <v>0.36195129999999998</v>
      </c>
      <c r="X2164">
        <v>0.93047919999999995</v>
      </c>
      <c r="Y2164">
        <v>-4.5934640000000002E-3</v>
      </c>
      <c r="Z2164">
        <v>-3.4866509999999999E-4</v>
      </c>
      <c r="AA2164">
        <v>0.99998940000000003</v>
      </c>
      <c r="AB2164">
        <v>45</v>
      </c>
      <c r="AC2164">
        <v>-0.46909999999996899</v>
      </c>
      <c r="AD2164">
        <v>-8.7329000000000198E-2</v>
      </c>
      <c r="AE2164">
        <v>-3.8999999999873498E-3</v>
      </c>
      <c r="AF2164">
        <v>-4.29377545278865E-3</v>
      </c>
      <c r="AG2164">
        <v>-8.7329000000000198E-2</v>
      </c>
      <c r="AH2164">
        <v>0.45338352429867301</v>
      </c>
      <c r="AI2164">
        <v>100.90209328229901</v>
      </c>
      <c r="AJ2164">
        <v>90.542604315649996</v>
      </c>
      <c r="AK2164">
        <v>0.46173738299397399</v>
      </c>
      <c r="AL2164">
        <v>68.779920930642405</v>
      </c>
      <c r="AM2164">
        <v>93.478933171087206</v>
      </c>
      <c r="AN2164">
        <v>1.0000000638317199</v>
      </c>
    </row>
    <row r="2165" spans="1:40" x14ac:dyDescent="0.25">
      <c r="A2165" t="str">
        <f>"20190304164858179"</f>
        <v>20190304164858179</v>
      </c>
      <c r="B2165" t="str">
        <f>"1551689338168322"</f>
        <v>1551689338168322</v>
      </c>
      <c r="C2165" t="s">
        <v>40</v>
      </c>
      <c r="D2165">
        <v>4.3496790000000001</v>
      </c>
      <c r="E2165">
        <v>0.53491940000000004</v>
      </c>
      <c r="F2165" t="s">
        <v>41</v>
      </c>
      <c r="G2165">
        <v>-283.90910000000002</v>
      </c>
      <c r="H2165">
        <v>1.024686</v>
      </c>
      <c r="I2165">
        <v>284.4717</v>
      </c>
      <c r="J2165">
        <v>-283.26690000000002</v>
      </c>
      <c r="K2165">
        <v>1.109116</v>
      </c>
      <c r="L2165">
        <v>284.47539999999998</v>
      </c>
      <c r="M2165">
        <v>-0.99991799999999997</v>
      </c>
      <c r="N2165">
        <v>-1.27048E-2</v>
      </c>
      <c r="O2165">
        <v>1.635374E-3</v>
      </c>
      <c r="P2165">
        <v>-0.93492810000000004</v>
      </c>
      <c r="Q2165">
        <v>0.35032799999999997</v>
      </c>
      <c r="R2165">
        <v>-5.6386930000000002E-2</v>
      </c>
      <c r="S2165">
        <v>-3.327728</v>
      </c>
      <c r="T2165">
        <v>-0.32080510000000001</v>
      </c>
      <c r="U2165">
        <v>-1.3153079999999999E-2</v>
      </c>
      <c r="V2165">
        <v>-5.694681E-2</v>
      </c>
      <c r="W2165">
        <v>0.36233029999999999</v>
      </c>
      <c r="X2165">
        <v>0.93030849999999998</v>
      </c>
      <c r="Y2165">
        <v>-5.5531570000000004E-3</v>
      </c>
      <c r="Z2165">
        <v>-4.3897670000000001E-4</v>
      </c>
      <c r="AA2165">
        <v>0.99998450000000005</v>
      </c>
      <c r="AB2165">
        <v>45</v>
      </c>
      <c r="AC2165">
        <v>-0.64220000000000199</v>
      </c>
      <c r="AD2165">
        <v>-8.4429999999999894E-2</v>
      </c>
      <c r="AE2165">
        <v>-3.69999999998071E-3</v>
      </c>
      <c r="AF2165">
        <v>-4.6696085014764398E-3</v>
      </c>
      <c r="AG2165">
        <v>-8.4429999999999894E-2</v>
      </c>
      <c r="AH2165">
        <v>0.63128215214461303</v>
      </c>
      <c r="AI2165">
        <v>97.617536797900499</v>
      </c>
      <c r="AJ2165">
        <v>90.423810460401199</v>
      </c>
      <c r="AK2165">
        <v>0.63692023500583805</v>
      </c>
      <c r="AL2165">
        <v>68.756624140438106</v>
      </c>
      <c r="AM2165">
        <v>93.502865710323704</v>
      </c>
      <c r="AN2165">
        <v>1.00000004531975</v>
      </c>
    </row>
    <row r="2166" spans="1:40" x14ac:dyDescent="0.25">
      <c r="A2166" t="str">
        <f>"20190304164858190"</f>
        <v>20190304164858190</v>
      </c>
      <c r="B2166" t="str">
        <f>"1551689338178081"</f>
        <v>1551689338178081</v>
      </c>
      <c r="C2166" t="s">
        <v>40</v>
      </c>
      <c r="D2166">
        <v>4.349901</v>
      </c>
      <c r="E2166">
        <v>0.53483559999999997</v>
      </c>
      <c r="F2166" t="s">
        <v>41</v>
      </c>
      <c r="G2166">
        <v>-284.30739999999997</v>
      </c>
      <c r="H2166">
        <v>1.0099899999999999</v>
      </c>
      <c r="I2166">
        <v>284.47109999999998</v>
      </c>
      <c r="J2166">
        <v>-283.50029999999998</v>
      </c>
      <c r="K2166">
        <v>1.109118</v>
      </c>
      <c r="L2166">
        <v>284.47609999999997</v>
      </c>
      <c r="M2166">
        <v>-0.99991580000000002</v>
      </c>
      <c r="N2166">
        <v>-1.279982E-2</v>
      </c>
      <c r="O2166">
        <v>2.1112909999999999E-3</v>
      </c>
      <c r="P2166">
        <v>-0.93490989999999996</v>
      </c>
      <c r="Q2166">
        <v>0.35038780000000003</v>
      </c>
      <c r="R2166">
        <v>-5.6318769999999997E-2</v>
      </c>
      <c r="S2166">
        <v>-3.326721</v>
      </c>
      <c r="T2166">
        <v>-0.31695040000000002</v>
      </c>
      <c r="U2166">
        <v>-1.370239E-2</v>
      </c>
      <c r="V2166">
        <v>-5.7318969999999997E-2</v>
      </c>
      <c r="W2166">
        <v>0.36247970000000002</v>
      </c>
      <c r="X2166">
        <v>0.93022740000000004</v>
      </c>
      <c r="Y2166">
        <v>-6.1913059999999997E-3</v>
      </c>
      <c r="Z2166">
        <v>-5.077193E-4</v>
      </c>
      <c r="AA2166">
        <v>0.99998069999999895</v>
      </c>
      <c r="AB2166">
        <v>45</v>
      </c>
      <c r="AC2166">
        <v>-0.80709999999999105</v>
      </c>
      <c r="AD2166">
        <v>-9.9128000000000105E-2</v>
      </c>
      <c r="AE2166">
        <v>-4.9999999999954499E-3</v>
      </c>
      <c r="AF2166">
        <v>-6.6045277146821197E-3</v>
      </c>
      <c r="AG2166">
        <v>-9.9128000000000105E-2</v>
      </c>
      <c r="AH2166">
        <v>0.79509430836913797</v>
      </c>
      <c r="AI2166">
        <v>97.1064111382817</v>
      </c>
      <c r="AJ2166">
        <v>90.475921983966899</v>
      </c>
      <c r="AK2166">
        <v>0.80127706779324004</v>
      </c>
      <c r="AL2166">
        <v>68.747438941328198</v>
      </c>
      <c r="AM2166">
        <v>93.526006760586398</v>
      </c>
      <c r="AN2166">
        <v>1.00000000647235</v>
      </c>
    </row>
    <row r="2167" spans="1:40" x14ac:dyDescent="0.25">
      <c r="A2167" t="str">
        <f>"20190304164858202"</f>
        <v>20190304164858202</v>
      </c>
      <c r="B2167" t="str">
        <f>"1551689338198577"</f>
        <v>1551689338198577</v>
      </c>
      <c r="C2167" t="s">
        <v>40</v>
      </c>
      <c r="D2167">
        <v>4.3608580000000003</v>
      </c>
      <c r="E2167">
        <v>0.53471550000000001</v>
      </c>
      <c r="F2167" t="s">
        <v>41</v>
      </c>
      <c r="G2167">
        <v>-284.31950000000001</v>
      </c>
      <c r="H2167">
        <v>1.0315570000000001</v>
      </c>
      <c r="I2167">
        <v>284.47269999999997</v>
      </c>
      <c r="J2167">
        <v>-283.72480000000002</v>
      </c>
      <c r="K2167">
        <v>1.1091260000000001</v>
      </c>
      <c r="L2167">
        <v>284.4769</v>
      </c>
      <c r="M2167">
        <v>-0.99991379999999996</v>
      </c>
      <c r="N2167">
        <v>-1.288594E-2</v>
      </c>
      <c r="O2167">
        <v>2.565295E-3</v>
      </c>
      <c r="P2167">
        <v>-0.93503820000000004</v>
      </c>
      <c r="Q2167">
        <v>0.35007319999999997</v>
      </c>
      <c r="R2167">
        <v>-5.6145939999999998E-2</v>
      </c>
      <c r="S2167">
        <v>-3.3260190000000001</v>
      </c>
      <c r="T2167">
        <v>-0.31489800000000001</v>
      </c>
      <c r="U2167">
        <v>-1.4068600000000001E-2</v>
      </c>
      <c r="V2167">
        <v>-5.7569399999999903E-2</v>
      </c>
      <c r="W2167">
        <v>0.36224729999999999</v>
      </c>
      <c r="X2167">
        <v>0.93030239999999997</v>
      </c>
      <c r="Y2167">
        <v>-6.7524100000000004E-3</v>
      </c>
      <c r="Z2167">
        <v>-5.7189109999999997E-4</v>
      </c>
      <c r="AA2167">
        <v>0.99997709999999995</v>
      </c>
      <c r="AB2167">
        <v>45</v>
      </c>
      <c r="AC2167">
        <v>-0.59469999999998802</v>
      </c>
      <c r="AD2167">
        <v>-7.7568999999999999E-2</v>
      </c>
      <c r="AE2167">
        <v>-4.20000000002573E-3</v>
      </c>
      <c r="AF2167">
        <v>-5.62991670115311E-3</v>
      </c>
      <c r="AG2167">
        <v>-7.7568999999999999E-2</v>
      </c>
      <c r="AH2167">
        <v>0.58473959815425003</v>
      </c>
      <c r="AI2167">
        <v>97.556142540993207</v>
      </c>
      <c r="AJ2167">
        <v>90.551631016866097</v>
      </c>
      <c r="AK2167">
        <v>0.58988900936757205</v>
      </c>
      <c r="AL2167">
        <v>68.761724151547</v>
      </c>
      <c r="AM2167">
        <v>93.541088198751794</v>
      </c>
      <c r="AN2167">
        <v>0.999999948809703</v>
      </c>
    </row>
    <row r="2168" spans="1:40" x14ac:dyDescent="0.25">
      <c r="A2168" t="str">
        <f>"20190304164858213"</f>
        <v>20190304164858213</v>
      </c>
      <c r="B2168" t="str">
        <f>"1551689338208337"</f>
        <v>1551689338208337</v>
      </c>
      <c r="C2168" t="s">
        <v>40</v>
      </c>
      <c r="D2168">
        <v>4.363264</v>
      </c>
      <c r="E2168">
        <v>0.53468979999999999</v>
      </c>
      <c r="F2168" t="s">
        <v>41</v>
      </c>
      <c r="G2168">
        <v>-284.71519999999998</v>
      </c>
      <c r="H2168">
        <v>1.015568</v>
      </c>
      <c r="I2168">
        <v>284.47289999999998</v>
      </c>
      <c r="J2168">
        <v>-283.96820000000002</v>
      </c>
      <c r="K2168">
        <v>1.1091329999999999</v>
      </c>
      <c r="L2168">
        <v>284.4778</v>
      </c>
      <c r="M2168">
        <v>-0.99991110000000005</v>
      </c>
      <c r="N2168">
        <v>-1.297537E-2</v>
      </c>
      <c r="O2168">
        <v>3.0549100000000001E-3</v>
      </c>
      <c r="P2168">
        <v>-0.93510190000000004</v>
      </c>
      <c r="Q2168">
        <v>0.34998899999999999</v>
      </c>
      <c r="R2168">
        <v>-5.5606759999999998E-2</v>
      </c>
      <c r="S2168">
        <v>-3.3252259999999998</v>
      </c>
      <c r="T2168">
        <v>-0.3142759</v>
      </c>
      <c r="U2168">
        <v>-1.461792E-2</v>
      </c>
      <c r="V2168">
        <v>-5.7486460000000003E-2</v>
      </c>
      <c r="W2168">
        <v>0.36224689999999998</v>
      </c>
      <c r="X2168">
        <v>0.93030769999999996</v>
      </c>
      <c r="Y2168">
        <v>-7.4034690000000002E-3</v>
      </c>
      <c r="Z2168">
        <v>-6.4575669999999996E-4</v>
      </c>
      <c r="AA2168">
        <v>0.99997239999999998</v>
      </c>
      <c r="AB2168">
        <v>45</v>
      </c>
      <c r="AC2168">
        <v>-0.74699999999995703</v>
      </c>
      <c r="AD2168">
        <v>-9.3564999999999898E-2</v>
      </c>
      <c r="AE2168">
        <v>-4.9000000000205502E-3</v>
      </c>
      <c r="AF2168">
        <v>-7.0712534753615596E-3</v>
      </c>
      <c r="AG2168">
        <v>-9.3564999999999898E-2</v>
      </c>
      <c r="AH2168">
        <v>0.73544391590545</v>
      </c>
      <c r="AI2168">
        <v>97.250030066162793</v>
      </c>
      <c r="AJ2168">
        <v>90.550878845893905</v>
      </c>
      <c r="AK2168">
        <v>0.74140553362721495</v>
      </c>
      <c r="AL2168">
        <v>68.761749059417099</v>
      </c>
      <c r="AM2168">
        <v>93.535979427022397</v>
      </c>
      <c r="AN2168">
        <v>0.99999996316111495</v>
      </c>
    </row>
    <row r="2169" spans="1:40" x14ac:dyDescent="0.25">
      <c r="A2169" t="str">
        <f>"20190304164858234"</f>
        <v>20190304164858234</v>
      </c>
      <c r="B2169" t="str">
        <f>"1551689338227857"</f>
        <v>1551689338227857</v>
      </c>
      <c r="C2169" t="s">
        <v>40</v>
      </c>
      <c r="D2169">
        <v>4.3715390000000003</v>
      </c>
      <c r="E2169">
        <v>0.53458209999999995</v>
      </c>
      <c r="F2169" t="s">
        <v>41</v>
      </c>
      <c r="G2169">
        <v>-284.72930000000002</v>
      </c>
      <c r="H2169">
        <v>1.0370999999999999</v>
      </c>
      <c r="I2169">
        <v>284.47500000000002</v>
      </c>
      <c r="J2169">
        <v>-284.37950000000001</v>
      </c>
      <c r="K2169">
        <v>1.1091390000000001</v>
      </c>
      <c r="L2169">
        <v>284.47969999999998</v>
      </c>
      <c r="M2169">
        <v>-0.99990659999999998</v>
      </c>
      <c r="N2169">
        <v>-1.3111920000000001E-2</v>
      </c>
      <c r="O2169">
        <v>3.869169E-3</v>
      </c>
      <c r="P2169">
        <v>-0.93518999999999997</v>
      </c>
      <c r="Q2169">
        <v>0.3498597</v>
      </c>
      <c r="R2169">
        <v>-5.4937470000000002E-2</v>
      </c>
      <c r="S2169">
        <v>-3.3252559999999902</v>
      </c>
      <c r="T2169">
        <v>-0.31486540000000002</v>
      </c>
      <c r="U2169">
        <v>-1.3549800000000001E-2</v>
      </c>
      <c r="V2169">
        <v>-5.7580550000000001E-2</v>
      </c>
      <c r="W2169">
        <v>0.36224509999999899</v>
      </c>
      <c r="X2169">
        <v>0.93030259999999998</v>
      </c>
      <c r="Y2169">
        <v>-7.8911680000000005E-3</v>
      </c>
      <c r="Z2169">
        <v>-7.3954860000000002E-4</v>
      </c>
      <c r="AA2169">
        <v>0.99996859999999999</v>
      </c>
      <c r="AB2169">
        <v>45</v>
      </c>
      <c r="AC2169">
        <v>-0.34980000000001599</v>
      </c>
      <c r="AD2169">
        <v>-7.2038999999999895E-2</v>
      </c>
      <c r="AE2169">
        <v>-4.6999999999570701E-3</v>
      </c>
      <c r="AF2169">
        <v>-5.8072594260635E-3</v>
      </c>
      <c r="AG2169">
        <v>-7.2038999999999895E-2</v>
      </c>
      <c r="AH2169">
        <v>0.33555018011711801</v>
      </c>
      <c r="AI2169">
        <v>102.115097762285</v>
      </c>
      <c r="AJ2169">
        <v>90.991500709273794</v>
      </c>
      <c r="AK2169">
        <v>0.34324519684865501</v>
      </c>
      <c r="AL2169">
        <v>68.761860079208603</v>
      </c>
      <c r="AM2169">
        <v>93.541771529057996</v>
      </c>
      <c r="AN2169">
        <v>0.99999997988953604</v>
      </c>
    </row>
    <row r="2170" spans="1:40" x14ac:dyDescent="0.25">
      <c r="A2170" t="str">
        <f>"20190304164858245"</f>
        <v>20190304164858245</v>
      </c>
      <c r="B2170" t="str">
        <f>"1551689338238594"</f>
        <v>1551689338238594</v>
      </c>
      <c r="C2170" t="s">
        <v>40</v>
      </c>
      <c r="D2170">
        <v>4.3540839999999896</v>
      </c>
      <c r="E2170">
        <v>0.53455039999999998</v>
      </c>
      <c r="F2170" t="s">
        <v>41</v>
      </c>
      <c r="G2170">
        <v>-285.13959999999997</v>
      </c>
      <c r="H2170">
        <v>1.037318</v>
      </c>
      <c r="I2170">
        <v>284.47710000000001</v>
      </c>
      <c r="J2170">
        <v>-284.61009999999999</v>
      </c>
      <c r="K2170">
        <v>1.1091500000000001</v>
      </c>
      <c r="L2170">
        <v>284.48090000000002</v>
      </c>
      <c r="M2170">
        <v>-0.99990389999999996</v>
      </c>
      <c r="N2170">
        <v>-1.3180259999999999E-2</v>
      </c>
      <c r="O2170">
        <v>4.3157630000000002E-3</v>
      </c>
      <c r="P2170">
        <v>-0.93517300000000003</v>
      </c>
      <c r="Q2170">
        <v>0.349968</v>
      </c>
      <c r="R2170">
        <v>-5.4536550000000003E-2</v>
      </c>
      <c r="S2170">
        <v>-3.3247070000000001</v>
      </c>
      <c r="T2170">
        <v>-0.31408609999999998</v>
      </c>
      <c r="U2170">
        <v>-1.1169429999999999E-2</v>
      </c>
      <c r="V2170">
        <v>-5.7601300000000001E-2</v>
      </c>
      <c r="W2170">
        <v>0.36241570000000001</v>
      </c>
      <c r="X2170">
        <v>0.93023489999999998</v>
      </c>
      <c r="Y2170">
        <v>-7.6226649999999998E-3</v>
      </c>
      <c r="Z2170">
        <v>-7.5964890000000001E-4</v>
      </c>
      <c r="AA2170">
        <v>0.99997069999999999</v>
      </c>
      <c r="AB2170">
        <v>45</v>
      </c>
      <c r="AC2170">
        <v>-0.52949999999998398</v>
      </c>
      <c r="AD2170">
        <v>-7.1832000000000104E-2</v>
      </c>
      <c r="AE2170">
        <v>-3.8000000000124601E-3</v>
      </c>
      <c r="AF2170">
        <v>-5.97539601480317E-3</v>
      </c>
      <c r="AG2170">
        <v>-7.1832000000000104E-2</v>
      </c>
      <c r="AH2170">
        <v>0.51991090063471801</v>
      </c>
      <c r="AI2170">
        <v>97.865793784310497</v>
      </c>
      <c r="AJ2170">
        <v>90.658478017714302</v>
      </c>
      <c r="AK2170">
        <v>0.52488368823991605</v>
      </c>
      <c r="AL2170">
        <v>68.751373460469907</v>
      </c>
      <c r="AM2170">
        <v>93.543301804365797</v>
      </c>
      <c r="AN2170">
        <v>1.0000000092730901</v>
      </c>
    </row>
    <row r="2171" spans="1:40" x14ac:dyDescent="0.25">
      <c r="A2171" t="str">
        <f>"20190304164858258"</f>
        <v>20190304164858258</v>
      </c>
      <c r="B2171" t="str">
        <f>"1551689338248353"</f>
        <v>1551689338248353</v>
      </c>
      <c r="C2171" t="s">
        <v>40</v>
      </c>
      <c r="D2171">
        <v>4.382606</v>
      </c>
      <c r="E2171">
        <v>0.53453090000000003</v>
      </c>
      <c r="F2171" t="s">
        <v>41</v>
      </c>
      <c r="G2171">
        <v>-285.52800000000002</v>
      </c>
      <c r="H2171">
        <v>1.0226010000000001</v>
      </c>
      <c r="I2171">
        <v>284.4787</v>
      </c>
      <c r="J2171">
        <v>-284.85359999999997</v>
      </c>
      <c r="K2171">
        <v>1.109162</v>
      </c>
      <c r="L2171">
        <v>284.48230000000001</v>
      </c>
      <c r="M2171">
        <v>-0.99990080000000003</v>
      </c>
      <c r="N2171">
        <v>-1.3250029999999999E-2</v>
      </c>
      <c r="O2171">
        <v>4.7840840000000001E-3</v>
      </c>
      <c r="P2171">
        <v>-0.93542840000000005</v>
      </c>
      <c r="Q2171">
        <v>0.34939779999999998</v>
      </c>
      <c r="R2171">
        <v>-5.3806430000000002E-2</v>
      </c>
      <c r="S2171">
        <v>-3.3247990000000001</v>
      </c>
      <c r="T2171">
        <v>-0.31363999999999997</v>
      </c>
      <c r="U2171">
        <v>-9.0026859999999993E-3</v>
      </c>
      <c r="V2171">
        <v>-5.7317020000000003E-2</v>
      </c>
      <c r="W2171">
        <v>0.3619117</v>
      </c>
      <c r="X2171">
        <v>0.93044870000000002</v>
      </c>
      <c r="Y2171">
        <v>-7.4388099999999997E-3</v>
      </c>
      <c r="Z2171">
        <v>-7.8652319999999998E-4</v>
      </c>
      <c r="AA2171">
        <v>0.99997199999999997</v>
      </c>
      <c r="AB2171">
        <v>45</v>
      </c>
      <c r="AC2171">
        <v>-0.67440000000004796</v>
      </c>
      <c r="AD2171">
        <v>-8.6560999999999805E-2</v>
      </c>
      <c r="AE2171">
        <v>-3.6000000000058199E-3</v>
      </c>
      <c r="AF2171">
        <v>-6.7159895077255399E-3</v>
      </c>
      <c r="AG2171">
        <v>-8.6560999999999805E-2</v>
      </c>
      <c r="AH2171">
        <v>0.66344550654758705</v>
      </c>
      <c r="AI2171">
        <v>97.433122834280994</v>
      </c>
      <c r="AJ2171">
        <v>90.579979376239606</v>
      </c>
      <c r="AK2171">
        <v>0.66910227274629097</v>
      </c>
      <c r="AL2171">
        <v>68.782354574247805</v>
      </c>
      <c r="AM2171">
        <v>93.525050617872907</v>
      </c>
      <c r="AN2171">
        <v>1.0000000513551199</v>
      </c>
    </row>
    <row r="2172" spans="1:40" x14ac:dyDescent="0.25">
      <c r="A2172" t="str">
        <f>"20190304164858268"</f>
        <v>20190304164858268</v>
      </c>
      <c r="B2172" t="str">
        <f>"1551689338258113"</f>
        <v>1551689338258113</v>
      </c>
      <c r="C2172" t="s">
        <v>40</v>
      </c>
      <c r="D2172">
        <v>4.364439</v>
      </c>
      <c r="E2172">
        <v>0.53453090000000003</v>
      </c>
      <c r="F2172" t="s">
        <v>41</v>
      </c>
      <c r="G2172">
        <v>-285.92489999999998</v>
      </c>
      <c r="H2172">
        <v>1.0074639999999999</v>
      </c>
      <c r="I2172">
        <v>284.48039999999997</v>
      </c>
      <c r="J2172">
        <v>-285.09339999999997</v>
      </c>
      <c r="K2172">
        <v>1.109175</v>
      </c>
      <c r="L2172">
        <v>284.48379999999997</v>
      </c>
      <c r="M2172">
        <v>-0.9998977</v>
      </c>
      <c r="N2172">
        <v>-1.331243E-2</v>
      </c>
      <c r="O2172">
        <v>5.2347649999999997E-3</v>
      </c>
      <c r="P2172">
        <v>-0.93548319999999996</v>
      </c>
      <c r="Q2172">
        <v>0.34937449999999998</v>
      </c>
      <c r="R2172">
        <v>-5.2999369999999997E-2</v>
      </c>
      <c r="S2172">
        <v>-3.324646</v>
      </c>
      <c r="T2172">
        <v>-0.31562420000000002</v>
      </c>
      <c r="U2172">
        <v>-5.9814450000000002E-3</v>
      </c>
      <c r="V2172">
        <v>-5.6939549999999998E-2</v>
      </c>
      <c r="W2172">
        <v>0.36194500000000002</v>
      </c>
      <c r="X2172">
        <v>0.93045880000000003</v>
      </c>
      <c r="Y2172">
        <v>-6.9811069999999899E-3</v>
      </c>
      <c r="Z2172">
        <v>-8.0350799999999998E-4</v>
      </c>
      <c r="AA2172">
        <v>0.99997530000000001</v>
      </c>
      <c r="AB2172">
        <v>45</v>
      </c>
      <c r="AC2172">
        <v>-0.83150000000000501</v>
      </c>
      <c r="AD2172">
        <v>-0.101711</v>
      </c>
      <c r="AE2172">
        <v>-3.3999999999991802E-3</v>
      </c>
      <c r="AF2172">
        <v>-7.6387513809389202E-3</v>
      </c>
      <c r="AG2172">
        <v>-0.101711</v>
      </c>
      <c r="AH2172">
        <v>0.81921332835332195</v>
      </c>
      <c r="AI2172">
        <v>97.077144859323894</v>
      </c>
      <c r="AJ2172">
        <v>90.534238782327705</v>
      </c>
      <c r="AK2172">
        <v>0.82553858504335698</v>
      </c>
      <c r="AL2172">
        <v>68.780305325153805</v>
      </c>
      <c r="AM2172">
        <v>93.501855901638294</v>
      </c>
      <c r="AN2172">
        <v>0.99999993693831901</v>
      </c>
    </row>
    <row r="2173" spans="1:40" x14ac:dyDescent="0.25">
      <c r="A2173" t="str">
        <f>"20190304164858281"</f>
        <v>20190304164858281</v>
      </c>
      <c r="B2173" t="str">
        <f>"1551689338278609"</f>
        <v>1551689338278609</v>
      </c>
      <c r="C2173" t="s">
        <v>40</v>
      </c>
      <c r="D2173">
        <v>4.359737</v>
      </c>
      <c r="E2173">
        <v>0.53448890000000004</v>
      </c>
      <c r="F2173" t="s">
        <v>41</v>
      </c>
      <c r="G2173">
        <v>-285.93630000000002</v>
      </c>
      <c r="H2173">
        <v>1.0291220000000001</v>
      </c>
      <c r="I2173">
        <v>284.48309999999998</v>
      </c>
      <c r="J2173">
        <v>-285.32369999999997</v>
      </c>
      <c r="K2173">
        <v>1.1091899999999999</v>
      </c>
      <c r="L2173">
        <v>284.4853</v>
      </c>
      <c r="M2173">
        <v>-0.99989459999999997</v>
      </c>
      <c r="N2173">
        <v>-1.3368959999999999E-2</v>
      </c>
      <c r="O2173">
        <v>5.6617430000000003E-3</v>
      </c>
      <c r="P2173">
        <v>-0.93555770000000005</v>
      </c>
      <c r="Q2173">
        <v>0.34932269999999999</v>
      </c>
      <c r="R2173">
        <v>-5.2014980000000002E-2</v>
      </c>
      <c r="S2173">
        <v>-3.324646</v>
      </c>
      <c r="T2173">
        <v>-0.31569459999999999</v>
      </c>
      <c r="U2173">
        <v>-2.746582E-3</v>
      </c>
      <c r="V2173">
        <v>-5.6363219999999999E-2</v>
      </c>
      <c r="W2173">
        <v>0.36194369999999998</v>
      </c>
      <c r="X2173">
        <v>0.9304945</v>
      </c>
      <c r="Y2173">
        <v>-6.4365129999999996E-3</v>
      </c>
      <c r="Z2173">
        <v>-8.0890129999999999E-4</v>
      </c>
      <c r="AA2173">
        <v>0.99997899999999995</v>
      </c>
      <c r="AB2173">
        <v>45</v>
      </c>
      <c r="AC2173">
        <v>-0.612600000000043</v>
      </c>
      <c r="AD2173">
        <v>-8.0068E-2</v>
      </c>
      <c r="AE2173">
        <v>-2.2000000000161799E-3</v>
      </c>
      <c r="AF2173">
        <v>-5.5734485369119497E-3</v>
      </c>
      <c r="AG2173">
        <v>-8.0068E-2</v>
      </c>
      <c r="AH2173">
        <v>0.60228895701667196</v>
      </c>
      <c r="AI2173">
        <v>97.572151617334796</v>
      </c>
      <c r="AJ2173">
        <v>90.530187313086103</v>
      </c>
      <c r="AK2173">
        <v>0.60761331099378002</v>
      </c>
      <c r="AL2173">
        <v>68.780387398179101</v>
      </c>
      <c r="AM2173">
        <v>93.466365061955798</v>
      </c>
      <c r="AN2173">
        <v>1.00000003453435</v>
      </c>
    </row>
    <row r="2174" spans="1:40" x14ac:dyDescent="0.25">
      <c r="A2174" t="str">
        <f>"20190304164858300"</f>
        <v>20190304164858300</v>
      </c>
      <c r="B2174" t="str">
        <f>"1551689338288369"</f>
        <v>1551689338288369</v>
      </c>
      <c r="C2174" t="s">
        <v>40</v>
      </c>
      <c r="D2174">
        <v>4.38802</v>
      </c>
      <c r="E2174">
        <v>0.53432049999999998</v>
      </c>
      <c r="F2174" t="s">
        <v>41</v>
      </c>
      <c r="G2174">
        <v>-286.33170000000001</v>
      </c>
      <c r="H2174">
        <v>1.0130939999999999</v>
      </c>
      <c r="I2174">
        <v>284.48570000000001</v>
      </c>
      <c r="J2174">
        <v>-285.70659999999998</v>
      </c>
      <c r="K2174">
        <v>1.10921</v>
      </c>
      <c r="L2174">
        <v>284.488</v>
      </c>
      <c r="M2174">
        <v>-0.99988929999999998</v>
      </c>
      <c r="N2174">
        <v>-1.345465E-2</v>
      </c>
      <c r="O2174">
        <v>6.3561759999999998E-3</v>
      </c>
      <c r="P2174">
        <v>-0.93559950000000003</v>
      </c>
      <c r="Q2174">
        <v>0.34947450000000002</v>
      </c>
      <c r="R2174">
        <v>-5.0211169999999999E-2</v>
      </c>
      <c r="S2174">
        <v>-3.325043</v>
      </c>
      <c r="T2174">
        <v>-0.31712289999999999</v>
      </c>
      <c r="U2174" s="1">
        <v>-3.0517579999999999E-5</v>
      </c>
      <c r="V2174">
        <v>-5.5224790000000003E-2</v>
      </c>
      <c r="W2174">
        <v>0.36216989999999999</v>
      </c>
      <c r="X2174">
        <v>0.93047469999999999</v>
      </c>
      <c r="Y2174">
        <v>-6.3119489999999999E-3</v>
      </c>
      <c r="Z2174">
        <v>-8.6237199999999895E-4</v>
      </c>
      <c r="AA2174">
        <v>0.99997970000000003</v>
      </c>
      <c r="AB2174">
        <v>45</v>
      </c>
      <c r="AC2174">
        <v>-0.62510000000003096</v>
      </c>
      <c r="AD2174">
        <v>-9.6115999999999799E-2</v>
      </c>
      <c r="AE2174">
        <v>-2.29999999999108E-3</v>
      </c>
      <c r="AF2174">
        <v>-6.1286641089049803E-3</v>
      </c>
      <c r="AG2174">
        <v>-9.6115999999999799E-2</v>
      </c>
      <c r="AH2174">
        <v>0.61063601698983405</v>
      </c>
      <c r="AI2174">
        <v>98.944697604748299</v>
      </c>
      <c r="AJ2174">
        <v>90.575031259028407</v>
      </c>
      <c r="AK2174">
        <v>0.6181845931637</v>
      </c>
      <c r="AL2174">
        <v>68.766482841745997</v>
      </c>
      <c r="AM2174">
        <v>93.396588772747805</v>
      </c>
      <c r="AN2174">
        <v>0.99999999061832201</v>
      </c>
    </row>
    <row r="2175" spans="1:40" x14ac:dyDescent="0.25">
      <c r="A2175" t="str">
        <f>"20190304164858312"</f>
        <v>20190304164858312</v>
      </c>
      <c r="B2175" t="str">
        <f>"1551689338307888"</f>
        <v>1551689338307888</v>
      </c>
      <c r="C2175" t="s">
        <v>40</v>
      </c>
      <c r="D2175">
        <v>4.3880999999999997</v>
      </c>
      <c r="E2175">
        <v>0.50910149999999998</v>
      </c>
      <c r="F2175" t="s">
        <v>41</v>
      </c>
      <c r="G2175">
        <v>-286.7346</v>
      </c>
      <c r="H2175">
        <v>1.0111079999999999</v>
      </c>
      <c r="I2175">
        <v>284.48910000000001</v>
      </c>
      <c r="J2175">
        <v>-285.96449999999999</v>
      </c>
      <c r="K2175">
        <v>1.1092280000000001</v>
      </c>
      <c r="L2175">
        <v>284.49</v>
      </c>
      <c r="M2175">
        <v>-0.99988569999999999</v>
      </c>
      <c r="N2175">
        <v>-1.3507170000000001E-2</v>
      </c>
      <c r="O2175">
        <v>6.8132059999999996E-3</v>
      </c>
      <c r="P2175">
        <v>-0.93563810000000003</v>
      </c>
      <c r="Q2175">
        <v>0.34949380000000002</v>
      </c>
      <c r="R2175">
        <v>-4.9355389999999999E-2</v>
      </c>
      <c r="S2175">
        <v>-3.3251949999999999</v>
      </c>
      <c r="T2175">
        <v>-0.31737219999999999</v>
      </c>
      <c r="U2175">
        <v>3.2043459999999998E-3</v>
      </c>
      <c r="V2175">
        <v>-5.4808879999999997E-2</v>
      </c>
      <c r="W2175">
        <v>0.3622358</v>
      </c>
      <c r="X2175">
        <v>0.93047369999999996</v>
      </c>
      <c r="Y2175">
        <v>-5.7972800000000001E-3</v>
      </c>
      <c r="Z2175">
        <v>-8.7224079999999999E-4</v>
      </c>
      <c r="AA2175">
        <v>0.99998279999999995</v>
      </c>
      <c r="AB2175">
        <v>45</v>
      </c>
      <c r="AC2175">
        <v>-0.770100000000013</v>
      </c>
      <c r="AD2175">
        <v>-9.8120000000000193E-2</v>
      </c>
      <c r="AE2175">
        <v>-9.0000000000145497E-4</v>
      </c>
      <c r="AF2175">
        <v>-6.0491070106002904E-3</v>
      </c>
      <c r="AG2175">
        <v>-9.8120000000000193E-2</v>
      </c>
      <c r="AH2175">
        <v>0.757774430252938</v>
      </c>
      <c r="AI2175">
        <v>97.377629418925594</v>
      </c>
      <c r="AJ2175">
        <v>90.457366897039606</v>
      </c>
      <c r="AK2175">
        <v>0.764124474965166</v>
      </c>
      <c r="AL2175">
        <v>68.762433255676896</v>
      </c>
      <c r="AM2175">
        <v>93.371071149440198</v>
      </c>
      <c r="AN2175">
        <v>1.0000000472600901</v>
      </c>
    </row>
    <row r="2176" spans="1:40" x14ac:dyDescent="0.25">
      <c r="A2176" t="str">
        <f>"20190304164858327"</f>
        <v>20190304164858327</v>
      </c>
      <c r="B2176" t="str">
        <f>"1551689338318625"</f>
        <v>1551689338318625</v>
      </c>
      <c r="C2176" t="s">
        <v>40</v>
      </c>
      <c r="D2176">
        <v>4.3829699999999896</v>
      </c>
      <c r="E2176">
        <v>0.5075693</v>
      </c>
      <c r="F2176" t="s">
        <v>47</v>
      </c>
      <c r="G2176">
        <v>-299.82010000000002</v>
      </c>
      <c r="H2176" s="1">
        <v>4.0289410000000002E-6</v>
      </c>
      <c r="I2176">
        <v>283.68680000000001</v>
      </c>
      <c r="J2176">
        <v>-286.26069999999999</v>
      </c>
      <c r="K2176">
        <v>1.109246</v>
      </c>
      <c r="L2176">
        <v>284.49239999999998</v>
      </c>
      <c r="M2176">
        <v>-0.99988120000000003</v>
      </c>
      <c r="N2176">
        <v>-1.356134E-2</v>
      </c>
      <c r="O2176">
        <v>7.3243630000000004E-3</v>
      </c>
      <c r="P2176">
        <v>-0.9357027</v>
      </c>
      <c r="Q2176">
        <v>0.34943990000000003</v>
      </c>
      <c r="R2176">
        <v>-4.8499100000000003E-2</v>
      </c>
      <c r="S2176">
        <v>-3.2948300000000001</v>
      </c>
      <c r="T2176">
        <v>-0.26377089999999997</v>
      </c>
      <c r="U2176">
        <v>-0.19097900000000001</v>
      </c>
      <c r="V2176">
        <v>-5.4446080000000001E-2</v>
      </c>
      <c r="W2176">
        <v>0.36222949999999998</v>
      </c>
      <c r="X2176">
        <v>0.93049740000000003</v>
      </c>
      <c r="Y2176">
        <v>-6.4918900000000002E-2</v>
      </c>
      <c r="Z2176">
        <v>-3.5195090000000001E-3</v>
      </c>
      <c r="AA2176">
        <v>0.99788429999999995</v>
      </c>
      <c r="AB2176">
        <v>45</v>
      </c>
      <c r="AC2176">
        <v>-13.5594</v>
      </c>
      <c r="AD2176">
        <v>-1.109241971059</v>
      </c>
      <c r="AE2176">
        <v>-0.80559999999996901</v>
      </c>
      <c r="AF2176">
        <v>-0.89890694683732197</v>
      </c>
      <c r="AG2176">
        <v>-1.109241971059</v>
      </c>
      <c r="AH2176">
        <v>13.4633520835401</v>
      </c>
      <c r="AI2176">
        <v>94.699529828598301</v>
      </c>
      <c r="AJ2176">
        <v>93.819795147752998</v>
      </c>
      <c r="AK2176">
        <v>13.5388441447117</v>
      </c>
      <c r="AL2176">
        <v>68.762819441138603</v>
      </c>
      <c r="AM2176">
        <v>93.3487226502113</v>
      </c>
      <c r="AN2176">
        <v>0.99999999885218804</v>
      </c>
    </row>
    <row r="2177" spans="1:40" x14ac:dyDescent="0.25">
      <c r="A2177" t="str">
        <f>"20190304164858346"</f>
        <v>20190304164858346</v>
      </c>
      <c r="B2177" t="str">
        <f>"1551689338338145"</f>
        <v>1551689338338145</v>
      </c>
      <c r="C2177" t="s">
        <v>40</v>
      </c>
      <c r="D2177">
        <v>4.3584969999999998</v>
      </c>
      <c r="E2177">
        <v>0.50617529999999999</v>
      </c>
      <c r="F2177" t="s">
        <v>47</v>
      </c>
      <c r="G2177">
        <v>-300.99650000000003</v>
      </c>
      <c r="H2177" s="1">
        <v>3.8766579999999998E-6</v>
      </c>
      <c r="I2177">
        <v>283.60039999999998</v>
      </c>
      <c r="J2177">
        <v>-286.65469999999999</v>
      </c>
      <c r="K2177">
        <v>1.1092770000000001</v>
      </c>
      <c r="L2177">
        <v>284.49579999999997</v>
      </c>
      <c r="M2177">
        <v>-0.99987539999999997</v>
      </c>
      <c r="N2177">
        <v>-1.3626579999999999E-2</v>
      </c>
      <c r="O2177">
        <v>7.9851350000000008E-3</v>
      </c>
      <c r="P2177">
        <v>-0.93553719999999996</v>
      </c>
      <c r="Q2177">
        <v>0.34997289999999998</v>
      </c>
      <c r="R2177">
        <v>-4.7846470000000002E-2</v>
      </c>
      <c r="S2177">
        <v>-3.2883</v>
      </c>
      <c r="T2177">
        <v>-0.24752769999999999</v>
      </c>
      <c r="U2177">
        <v>-0.19903560000000001</v>
      </c>
      <c r="V2177">
        <v>-5.4429610000000003E-2</v>
      </c>
      <c r="W2177">
        <v>0.36281740000000001</v>
      </c>
      <c r="X2177">
        <v>0.93026929999999997</v>
      </c>
      <c r="Y2177">
        <v>-6.8145040000000004E-2</v>
      </c>
      <c r="Z2177">
        <v>-3.515509E-3</v>
      </c>
      <c r="AA2177">
        <v>0.99766920000000003</v>
      </c>
      <c r="AB2177">
        <v>45</v>
      </c>
      <c r="AC2177">
        <v>-14.341799999999999</v>
      </c>
      <c r="AD2177">
        <v>-1.1092731233419999</v>
      </c>
      <c r="AE2177">
        <v>-0.89539999999999498</v>
      </c>
      <c r="AF2177">
        <v>-1.0039208188153099</v>
      </c>
      <c r="AG2177">
        <v>-1.1092731233419999</v>
      </c>
      <c r="AH2177">
        <v>14.2492793477694</v>
      </c>
      <c r="AI2177">
        <v>94.440402207287903</v>
      </c>
      <c r="AJ2177">
        <v>94.030065934452907</v>
      </c>
      <c r="AK2177">
        <v>14.3276064226858</v>
      </c>
      <c r="AL2177">
        <v>68.726676857995599</v>
      </c>
      <c r="AM2177">
        <v>93.348530946192895</v>
      </c>
      <c r="AN2177">
        <v>1.0000000093550001</v>
      </c>
    </row>
    <row r="2178" spans="1:40" x14ac:dyDescent="0.25">
      <c r="A2178" t="str">
        <f>"20190304164858367"</f>
        <v>20190304164858367</v>
      </c>
      <c r="B2178" t="str">
        <f>"1551689338358644"</f>
        <v>1551689338358644</v>
      </c>
      <c r="C2178" t="s">
        <v>40</v>
      </c>
      <c r="D2178">
        <v>4.3335210000000002</v>
      </c>
      <c r="E2178">
        <v>0.50523589999999996</v>
      </c>
      <c r="F2178" t="s">
        <v>47</v>
      </c>
      <c r="G2178">
        <v>-302.65690000000001</v>
      </c>
      <c r="H2178" s="1">
        <v>3.5915670000000002E-6</v>
      </c>
      <c r="I2178">
        <v>283.4923</v>
      </c>
      <c r="J2178">
        <v>-287.07229999999998</v>
      </c>
      <c r="K2178">
        <v>1.1093109999999999</v>
      </c>
      <c r="L2178">
        <v>284.49970000000002</v>
      </c>
      <c r="M2178">
        <v>-0.99986900000000001</v>
      </c>
      <c r="N2178">
        <v>-1.368723E-2</v>
      </c>
      <c r="O2178">
        <v>8.65755E-3</v>
      </c>
      <c r="P2178">
        <v>-0.93525630000000004</v>
      </c>
      <c r="Q2178">
        <v>0.35075009999999901</v>
      </c>
      <c r="R2178">
        <v>-4.765022E-2</v>
      </c>
      <c r="S2178">
        <v>-3.2812809999999999</v>
      </c>
      <c r="T2178">
        <v>-0.22745799999999999</v>
      </c>
      <c r="U2178">
        <v>-0.2057495</v>
      </c>
      <c r="V2178">
        <v>-5.4883050000000003E-2</v>
      </c>
      <c r="W2178">
        <v>0.36364380000000002</v>
      </c>
      <c r="X2178">
        <v>0.92991990000000002</v>
      </c>
      <c r="Y2178">
        <v>-7.100339E-2</v>
      </c>
      <c r="Z2178">
        <v>-3.42334E-3</v>
      </c>
      <c r="AA2178">
        <v>0.99747019999999997</v>
      </c>
      <c r="AB2178">
        <v>45</v>
      </c>
      <c r="AC2178">
        <v>-15.5846</v>
      </c>
      <c r="AD2178">
        <v>-1.1093074084329999</v>
      </c>
      <c r="AE2178">
        <v>-1.0074000000000101</v>
      </c>
      <c r="AF2178">
        <v>-1.13656480771351</v>
      </c>
      <c r="AG2178">
        <v>-1.1093074084329999</v>
      </c>
      <c r="AH2178">
        <v>15.4971032225583</v>
      </c>
      <c r="AI2178">
        <v>94.083409942244998</v>
      </c>
      <c r="AJ2178">
        <v>94.194589405247001</v>
      </c>
      <c r="AK2178">
        <v>15.5782717520001</v>
      </c>
      <c r="AL2178">
        <v>68.675856159904598</v>
      </c>
      <c r="AM2178">
        <v>93.377628151360895</v>
      </c>
      <c r="AN2178">
        <v>0.99999999143587603</v>
      </c>
    </row>
    <row r="2179" spans="1:40" x14ac:dyDescent="0.25">
      <c r="A2179" t="str">
        <f>"20190304164858379"</f>
        <v>20190304164858379</v>
      </c>
      <c r="B2179" t="str">
        <f>"1551689338368401"</f>
        <v>1551689338368401</v>
      </c>
      <c r="C2179" t="s">
        <v>40</v>
      </c>
      <c r="D2179">
        <v>4.3164809999999996</v>
      </c>
      <c r="E2179">
        <v>0.50500769999999995</v>
      </c>
      <c r="F2179" t="s">
        <v>47</v>
      </c>
      <c r="G2179">
        <v>-303.63869999999997</v>
      </c>
      <c r="H2179" s="1">
        <v>3.423504E-6</v>
      </c>
      <c r="I2179">
        <v>283.4228</v>
      </c>
      <c r="J2179">
        <v>-287.3073</v>
      </c>
      <c r="K2179">
        <v>1.1093329999999999</v>
      </c>
      <c r="L2179">
        <v>284.50200000000001</v>
      </c>
      <c r="M2179">
        <v>-0.99986520000000001</v>
      </c>
      <c r="N2179">
        <v>-1.371811E-2</v>
      </c>
      <c r="O2179">
        <v>9.0240489999999993E-3</v>
      </c>
      <c r="P2179">
        <v>-0.93509390000000003</v>
      </c>
      <c r="Q2179">
        <v>0.3512169</v>
      </c>
      <c r="R2179">
        <v>-4.739318E-2</v>
      </c>
      <c r="S2179">
        <v>-3.279175</v>
      </c>
      <c r="T2179">
        <v>-0.21957740000000001</v>
      </c>
      <c r="U2179">
        <v>-0.2131653</v>
      </c>
      <c r="V2179">
        <v>-5.4980830000000001E-2</v>
      </c>
      <c r="W2179">
        <v>0.36413410000000002</v>
      </c>
      <c r="X2179">
        <v>0.92972220000000005</v>
      </c>
      <c r="Y2179">
        <v>-7.3661249999999998E-2</v>
      </c>
      <c r="Z2179">
        <v>-3.4467949999999999E-3</v>
      </c>
      <c r="AA2179">
        <v>0.99727739999999998</v>
      </c>
      <c r="AB2179">
        <v>45</v>
      </c>
      <c r="AC2179">
        <v>-16.331399999999899</v>
      </c>
      <c r="AD2179">
        <v>-1.1093295764959901</v>
      </c>
      <c r="AE2179">
        <v>-1.0792000000000099</v>
      </c>
      <c r="AF2179">
        <v>-1.2209364032310801</v>
      </c>
      <c r="AG2179">
        <v>-1.1093295764959901</v>
      </c>
      <c r="AH2179">
        <v>16.246360987524699</v>
      </c>
      <c r="AI2179">
        <v>93.895241346032606</v>
      </c>
      <c r="AJ2179">
        <v>94.297777993639997</v>
      </c>
      <c r="AK2179">
        <v>16.329897217894199</v>
      </c>
      <c r="AL2179">
        <v>68.645695465000898</v>
      </c>
      <c r="AM2179">
        <v>93.384349624012501</v>
      </c>
      <c r="AN2179">
        <v>0.99999995181156798</v>
      </c>
    </row>
    <row r="2180" spans="1:40" x14ac:dyDescent="0.25">
      <c r="A2180" t="str">
        <f>"20190304164858390"</f>
        <v>20190304164858390</v>
      </c>
      <c r="B2180" t="str">
        <f>"1551689338387921"</f>
        <v>1551689338387921</v>
      </c>
      <c r="C2180" t="s">
        <v>40</v>
      </c>
      <c r="D2180">
        <v>4.3011400000000002</v>
      </c>
      <c r="E2180">
        <v>0.50444979999999995</v>
      </c>
      <c r="F2180" t="s">
        <v>47</v>
      </c>
      <c r="G2180">
        <v>-304.11919999999998</v>
      </c>
      <c r="H2180" s="1">
        <v>3.3400959999999999E-6</v>
      </c>
      <c r="I2180">
        <v>283.40190000000001</v>
      </c>
      <c r="J2180">
        <v>-287.54790000000003</v>
      </c>
      <c r="K2180">
        <v>1.1093599999999999</v>
      </c>
      <c r="L2180">
        <v>284.50439999999998</v>
      </c>
      <c r="M2180">
        <v>-0.99986149999999996</v>
      </c>
      <c r="N2180">
        <v>-1.3746889999999999E-2</v>
      </c>
      <c r="O2180">
        <v>9.3879159999999996E-3</v>
      </c>
      <c r="P2180">
        <v>-0.93490050000000002</v>
      </c>
      <c r="Q2180">
        <v>0.35180640000000002</v>
      </c>
      <c r="R2180">
        <v>-4.6835179999999997E-2</v>
      </c>
      <c r="S2180">
        <v>-3.2786249999999999</v>
      </c>
      <c r="T2180">
        <v>-0.21633910000000001</v>
      </c>
      <c r="U2180">
        <v>-0.2145386</v>
      </c>
      <c r="V2180">
        <v>-5.4776140000000001E-2</v>
      </c>
      <c r="W2180">
        <v>0.36474469999999998</v>
      </c>
      <c r="X2180">
        <v>0.92949499999999996</v>
      </c>
      <c r="Y2180">
        <v>-7.4453999999999895E-2</v>
      </c>
      <c r="Z2180">
        <v>-3.4534909999999999E-3</v>
      </c>
      <c r="AA2180">
        <v>0.99721850000000001</v>
      </c>
      <c r="AB2180">
        <v>45</v>
      </c>
      <c r="AC2180">
        <v>-16.571299999999901</v>
      </c>
      <c r="AD2180">
        <v>-1.1093566599039999</v>
      </c>
      <c r="AE2180">
        <v>-1.1024999999999601</v>
      </c>
      <c r="AF2180">
        <v>-1.25244788509809</v>
      </c>
      <c r="AG2180">
        <v>-1.1093566599039999</v>
      </c>
      <c r="AH2180">
        <v>16.4866581046766</v>
      </c>
      <c r="AI2180">
        <v>93.838497041482299</v>
      </c>
      <c r="AJ2180">
        <v>94.344264933739893</v>
      </c>
      <c r="AK2180">
        <v>16.571336499035301</v>
      </c>
      <c r="AL2180">
        <v>68.608128907202001</v>
      </c>
      <c r="AM2180">
        <v>93.372601312249898</v>
      </c>
      <c r="AN2180">
        <v>1.00000003835819</v>
      </c>
    </row>
    <row r="2181" spans="1:40" x14ac:dyDescent="0.25">
      <c r="A2181" t="str">
        <f>"20190304164858403"</f>
        <v>20190304164858403</v>
      </c>
      <c r="B2181" t="str">
        <f>"1551689338398657"</f>
        <v>1551689338398657</v>
      </c>
      <c r="C2181" t="s">
        <v>40</v>
      </c>
      <c r="D2181">
        <v>4.3032459999999997</v>
      </c>
      <c r="E2181">
        <v>0.5042257</v>
      </c>
      <c r="F2181" t="s">
        <v>47</v>
      </c>
      <c r="G2181">
        <v>-304.54969999999997</v>
      </c>
      <c r="H2181" s="1">
        <v>3.2661310000000002E-6</v>
      </c>
      <c r="I2181">
        <v>283.37450000000001</v>
      </c>
      <c r="J2181">
        <v>-287.79750000000001</v>
      </c>
      <c r="K2181">
        <v>1.109386</v>
      </c>
      <c r="L2181">
        <v>284.50700000000001</v>
      </c>
      <c r="M2181">
        <v>-0.99985769999999996</v>
      </c>
      <c r="N2181">
        <v>-1.377424E-2</v>
      </c>
      <c r="O2181">
        <v>9.7511569999999999E-3</v>
      </c>
      <c r="P2181">
        <v>-0.93475090000000005</v>
      </c>
      <c r="Q2181">
        <v>0.35219509999999998</v>
      </c>
      <c r="R2181">
        <v>-4.6903010000000002E-2</v>
      </c>
      <c r="S2181">
        <v>-3.2784420000000001</v>
      </c>
      <c r="T2181">
        <v>-0.21391679999999999</v>
      </c>
      <c r="U2181">
        <v>-0.217865</v>
      </c>
      <c r="V2181">
        <v>-5.519918E-2</v>
      </c>
      <c r="W2181">
        <v>0.3651549</v>
      </c>
      <c r="X2181">
        <v>0.92930889999999999</v>
      </c>
      <c r="Y2181">
        <v>-7.5827519999999995E-2</v>
      </c>
      <c r="Z2181">
        <v>-3.492893E-3</v>
      </c>
      <c r="AA2181">
        <v>0.99711479999999997</v>
      </c>
      <c r="AB2181">
        <v>45</v>
      </c>
      <c r="AC2181">
        <v>-16.752199999999899</v>
      </c>
      <c r="AD2181">
        <v>-1.1093827338690001</v>
      </c>
      <c r="AE2181">
        <v>-1.1324999999999901</v>
      </c>
      <c r="AF2181">
        <v>-1.29018260354097</v>
      </c>
      <c r="AG2181">
        <v>-1.1093827338690001</v>
      </c>
      <c r="AH2181">
        <v>16.667595956311001</v>
      </c>
      <c r="AI2181">
        <v>93.796623734750995</v>
      </c>
      <c r="AJ2181">
        <v>94.426247493244105</v>
      </c>
      <c r="AK2181">
        <v>16.754225024259501</v>
      </c>
      <c r="AL2181">
        <v>68.582885099213598</v>
      </c>
      <c r="AM2181">
        <v>93.399266323105394</v>
      </c>
      <c r="AN2181">
        <v>1.0000000410429399</v>
      </c>
    </row>
    <row r="2182" spans="1:40" x14ac:dyDescent="0.25">
      <c r="A2182" t="str">
        <f>"20190304164858416"</f>
        <v>20190304164858416</v>
      </c>
      <c r="B2182" t="str">
        <f>"1551689338408417"</f>
        <v>1551689338408417</v>
      </c>
      <c r="C2182" t="s">
        <v>40</v>
      </c>
      <c r="D2182">
        <v>4.3030780000000002</v>
      </c>
      <c r="E2182">
        <v>0.50394939999999999</v>
      </c>
      <c r="F2182" t="s">
        <v>47</v>
      </c>
      <c r="G2182">
        <v>-304.86450000000002</v>
      </c>
      <c r="H2182" s="1">
        <v>3.211696E-6</v>
      </c>
      <c r="I2182">
        <v>283.35829999999999</v>
      </c>
      <c r="J2182">
        <v>-288.05770000000001</v>
      </c>
      <c r="K2182">
        <v>1.1094139999999999</v>
      </c>
      <c r="L2182">
        <v>284.50979999999998</v>
      </c>
      <c r="M2182">
        <v>-0.99985360000000001</v>
      </c>
      <c r="N2182">
        <v>-1.380109E-2</v>
      </c>
      <c r="O2182">
        <v>1.012038E-2</v>
      </c>
      <c r="P2182">
        <v>-0.93468669999999998</v>
      </c>
      <c r="Q2182">
        <v>0.3523424</v>
      </c>
      <c r="R2182">
        <v>-4.7069640000000003E-2</v>
      </c>
      <c r="S2182">
        <v>-3.2786559999999998</v>
      </c>
      <c r="T2182">
        <v>-0.21311749999999999</v>
      </c>
      <c r="U2182">
        <v>-0.2206726</v>
      </c>
      <c r="V2182">
        <v>-5.5730040000000002E-2</v>
      </c>
      <c r="W2182">
        <v>0.36532399999999998</v>
      </c>
      <c r="X2182">
        <v>0.92921069999999995</v>
      </c>
      <c r="Y2182">
        <v>-7.7039319999999994E-2</v>
      </c>
      <c r="Z2182">
        <v>-3.5483530000000002E-3</v>
      </c>
      <c r="AA2182">
        <v>0.99702170000000001</v>
      </c>
      <c r="AB2182">
        <v>45</v>
      </c>
      <c r="AC2182">
        <v>-16.806799999999999</v>
      </c>
      <c r="AD2182">
        <v>-1.1094107883040001</v>
      </c>
      <c r="AE2182">
        <v>-1.15149999999999</v>
      </c>
      <c r="AF2182">
        <v>-1.3158417190132099</v>
      </c>
      <c r="AG2182">
        <v>-1.1094107883040001</v>
      </c>
      <c r="AH2182">
        <v>16.721763540014202</v>
      </c>
      <c r="AI2182">
        <v>93.784080606579195</v>
      </c>
      <c r="AJ2182">
        <v>94.499354306127699</v>
      </c>
      <c r="AK2182">
        <v>16.810104330873401</v>
      </c>
      <c r="AL2182">
        <v>68.572476284109499</v>
      </c>
      <c r="AM2182">
        <v>93.432241704516898</v>
      </c>
      <c r="AN2182">
        <v>0.99999999366444503</v>
      </c>
    </row>
    <row r="2183" spans="1:40" x14ac:dyDescent="0.25">
      <c r="A2183" t="str">
        <f>"20190304164858433"</f>
        <v>20190304164858433</v>
      </c>
      <c r="B2183" t="str">
        <f>"1551689338427938"</f>
        <v>1551689338427938</v>
      </c>
      <c r="C2183" t="s">
        <v>40</v>
      </c>
      <c r="D2183">
        <v>4.3015129999999999</v>
      </c>
      <c r="E2183">
        <v>0.50339509999999998</v>
      </c>
      <c r="F2183" t="s">
        <v>47</v>
      </c>
      <c r="G2183">
        <v>-305.11430000000001</v>
      </c>
      <c r="H2183" s="1">
        <v>3.168492E-6</v>
      </c>
      <c r="I2183">
        <v>283.34559999999999</v>
      </c>
      <c r="J2183">
        <v>-288.4205</v>
      </c>
      <c r="K2183">
        <v>1.109459</v>
      </c>
      <c r="L2183">
        <v>284.51389999999998</v>
      </c>
      <c r="M2183">
        <v>-0.99984819999999996</v>
      </c>
      <c r="N2183">
        <v>-1.3833740000000001E-2</v>
      </c>
      <c r="O2183">
        <v>1.059878E-2</v>
      </c>
      <c r="P2183">
        <v>-0.93458039999999998</v>
      </c>
      <c r="Q2183">
        <v>0.35255639999999999</v>
      </c>
      <c r="R2183">
        <v>-4.7577599999999998E-2</v>
      </c>
      <c r="S2183">
        <v>-3.2787480000000002</v>
      </c>
      <c r="T2183">
        <v>-0.21325910000000001</v>
      </c>
      <c r="U2183">
        <v>-0.2237854</v>
      </c>
      <c r="V2183">
        <v>-5.6717690000000001E-2</v>
      </c>
      <c r="W2183">
        <v>0.36556280000000002</v>
      </c>
      <c r="X2183">
        <v>0.92905700000000002</v>
      </c>
      <c r="Y2183">
        <v>-7.8452099999999997E-2</v>
      </c>
      <c r="Z2183">
        <v>-3.6312979999999998E-3</v>
      </c>
      <c r="AA2183">
        <v>0.99691129999999994</v>
      </c>
      <c r="AB2183">
        <v>45</v>
      </c>
      <c r="AC2183">
        <v>-16.6938</v>
      </c>
      <c r="AD2183">
        <v>-1.1094558315080001</v>
      </c>
      <c r="AE2183">
        <v>-1.1682999999999799</v>
      </c>
      <c r="AF2183">
        <v>-1.33929859179363</v>
      </c>
      <c r="AG2183">
        <v>-1.1094558315080001</v>
      </c>
      <c r="AH2183">
        <v>16.607483672249899</v>
      </c>
      <c r="AI2183">
        <v>93.809609942003405</v>
      </c>
      <c r="AJ2183">
        <v>94.6105992481762</v>
      </c>
      <c r="AK2183">
        <v>16.698297125278899</v>
      </c>
      <c r="AL2183">
        <v>68.557777145028794</v>
      </c>
      <c r="AM2183">
        <v>93.493495166428403</v>
      </c>
      <c r="AN2183">
        <v>0.99999998317588701</v>
      </c>
    </row>
    <row r="2184" spans="1:40" x14ac:dyDescent="0.25">
      <c r="A2184" t="str">
        <f>"20190304164858458"</f>
        <v>20190304164858458</v>
      </c>
      <c r="B2184" t="str">
        <f>"1551689338448433"</f>
        <v>1551689338448433</v>
      </c>
      <c r="C2184" t="s">
        <v>40</v>
      </c>
      <c r="D2184">
        <v>4.2866470000000003</v>
      </c>
      <c r="E2184">
        <v>0.50292899999999996</v>
      </c>
      <c r="F2184" t="s">
        <v>47</v>
      </c>
      <c r="G2184">
        <v>-305.51280000000003</v>
      </c>
      <c r="H2184" s="1">
        <v>3.1005059999999898E-6</v>
      </c>
      <c r="I2184">
        <v>283.31470000000002</v>
      </c>
      <c r="J2184">
        <v>-288.88650000000001</v>
      </c>
      <c r="K2184">
        <v>1.1095280000000001</v>
      </c>
      <c r="L2184">
        <v>284.51929999999999</v>
      </c>
      <c r="M2184">
        <v>-0.9998416</v>
      </c>
      <c r="N2184">
        <v>-1.3869879999999999E-2</v>
      </c>
      <c r="O2184">
        <v>1.11538E-2</v>
      </c>
      <c r="P2184">
        <v>-0.93453379999999997</v>
      </c>
      <c r="Q2184">
        <v>0.35266019999999998</v>
      </c>
      <c r="R2184">
        <v>-4.7723210000000002E-2</v>
      </c>
      <c r="S2184">
        <v>-3.2785639999999998</v>
      </c>
      <c r="T2184">
        <v>-0.2128099</v>
      </c>
      <c r="U2184">
        <v>-0.23001099999999999</v>
      </c>
      <c r="V2184">
        <v>-5.7433539999999998E-2</v>
      </c>
      <c r="W2184">
        <v>0.36569239999999997</v>
      </c>
      <c r="X2184">
        <v>0.92896210000000001</v>
      </c>
      <c r="Y2184">
        <v>-8.0886890000000003E-2</v>
      </c>
      <c r="Z2184">
        <v>-3.7495900000000001E-3</v>
      </c>
      <c r="AA2184">
        <v>0.9967163</v>
      </c>
      <c r="AB2184">
        <v>45</v>
      </c>
      <c r="AC2184">
        <v>-16.626300000000001</v>
      </c>
      <c r="AD2184">
        <v>-1.1095248994939999</v>
      </c>
      <c r="AE2184">
        <v>-1.2045999999999699</v>
      </c>
      <c r="AF2184">
        <v>-1.3838587465893999</v>
      </c>
      <c r="AG2184">
        <v>-1.1095248994939999</v>
      </c>
      <c r="AH2184">
        <v>16.538561651673401</v>
      </c>
      <c r="AI2184">
        <v>93.824733144762007</v>
      </c>
      <c r="AJ2184">
        <v>94.783063614759001</v>
      </c>
      <c r="AK2184">
        <v>16.633404102567599</v>
      </c>
      <c r="AL2184">
        <v>68.549801029764794</v>
      </c>
      <c r="AM2184">
        <v>93.537836746558597</v>
      </c>
      <c r="AN2184">
        <v>1.0000000630855399</v>
      </c>
    </row>
    <row r="2185" spans="1:40" x14ac:dyDescent="0.25">
      <c r="A2185" t="str">
        <f>"20190304164858470"</f>
        <v>20190304164858470</v>
      </c>
      <c r="B2185" t="str">
        <f>"1551689338467953"</f>
        <v>1551689338467953</v>
      </c>
      <c r="C2185" t="s">
        <v>40</v>
      </c>
      <c r="D2185">
        <v>4.3067869999999999</v>
      </c>
      <c r="E2185">
        <v>0.50252629999999998</v>
      </c>
      <c r="F2185" t="s">
        <v>47</v>
      </c>
      <c r="G2185">
        <v>-305.94</v>
      </c>
      <c r="H2185" s="1">
        <v>3.0264419999999998E-6</v>
      </c>
      <c r="I2185">
        <v>283.2953</v>
      </c>
      <c r="J2185">
        <v>-289.14679999999998</v>
      </c>
      <c r="K2185">
        <v>1.1095680000000001</v>
      </c>
      <c r="L2185">
        <v>284.5224</v>
      </c>
      <c r="M2185">
        <v>-0.99983840000000002</v>
      </c>
      <c r="N2185">
        <v>-1.388736E-2</v>
      </c>
      <c r="O2185">
        <v>1.1427349999999999E-2</v>
      </c>
      <c r="P2185">
        <v>-0.93446949999999995</v>
      </c>
      <c r="Q2185">
        <v>0.35286260000000003</v>
      </c>
      <c r="R2185">
        <v>-4.7487630000000003E-2</v>
      </c>
      <c r="S2185">
        <v>-3.2785639999999998</v>
      </c>
      <c r="T2185">
        <v>-0.21330859999999999</v>
      </c>
      <c r="U2185">
        <v>-0.235321</v>
      </c>
      <c r="V2185">
        <v>-5.7486860000000001E-2</v>
      </c>
      <c r="W2185">
        <v>0.36590450000000002</v>
      </c>
      <c r="X2185">
        <v>0.92887520000000001</v>
      </c>
      <c r="Y2185">
        <v>-8.2759529999999998E-2</v>
      </c>
      <c r="Z2185">
        <v>-3.845556E-3</v>
      </c>
      <c r="AA2185">
        <v>0.99656210000000001</v>
      </c>
      <c r="AB2185">
        <v>45</v>
      </c>
      <c r="AC2185">
        <v>-16.793199999999999</v>
      </c>
      <c r="AD2185">
        <v>-1.109564973558</v>
      </c>
      <c r="AE2185">
        <v>-1.2271000000000001</v>
      </c>
      <c r="AF2185">
        <v>-1.41280520858361</v>
      </c>
      <c r="AG2185">
        <v>-1.109564973558</v>
      </c>
      <c r="AH2185">
        <v>16.705537972870601</v>
      </c>
      <c r="AI2185">
        <v>93.786469353268402</v>
      </c>
      <c r="AJ2185">
        <v>94.834062402341104</v>
      </c>
      <c r="AK2185">
        <v>16.801849658622999</v>
      </c>
      <c r="AL2185">
        <v>68.536741988129293</v>
      </c>
      <c r="AM2185">
        <v>93.541443282836795</v>
      </c>
      <c r="AN2185">
        <v>0.99999998968397397</v>
      </c>
    </row>
    <row r="2186" spans="1:40" x14ac:dyDescent="0.25">
      <c r="A2186" t="str">
        <f>"20190304164858489"</f>
        <v>20190304164858489</v>
      </c>
      <c r="B2186" t="str">
        <f>"1551689338478689"</f>
        <v>1551689338478689</v>
      </c>
      <c r="C2186" t="s">
        <v>40</v>
      </c>
      <c r="D2186">
        <v>4.3116709999999996</v>
      </c>
      <c r="E2186">
        <v>0.50235459999999998</v>
      </c>
      <c r="F2186" t="s">
        <v>47</v>
      </c>
      <c r="G2186">
        <v>-306.18259999999998</v>
      </c>
      <c r="H2186" s="1">
        <v>2.9842300000000001E-6</v>
      </c>
      <c r="I2186">
        <v>283.28570000000002</v>
      </c>
      <c r="J2186">
        <v>-289.51710000000003</v>
      </c>
      <c r="K2186">
        <v>1.1096299999999999</v>
      </c>
      <c r="L2186">
        <v>284.52690000000001</v>
      </c>
      <c r="M2186">
        <v>-0.99983390000000005</v>
      </c>
      <c r="N2186">
        <v>-1.3909619999999999E-2</v>
      </c>
      <c r="O2186">
        <v>1.17782999999999E-2</v>
      </c>
      <c r="P2186">
        <v>-0.93468399999999996</v>
      </c>
      <c r="Q2186">
        <v>0.3523114</v>
      </c>
      <c r="R2186">
        <v>-4.7357799999999999E-2</v>
      </c>
      <c r="S2186">
        <v>-3.2789000000000001</v>
      </c>
      <c r="T2186">
        <v>-0.2135589</v>
      </c>
      <c r="U2186">
        <v>-0.2380371</v>
      </c>
      <c r="V2186">
        <v>-5.7740399999999997E-2</v>
      </c>
      <c r="W2186">
        <v>0.36536930000000001</v>
      </c>
      <c r="X2186">
        <v>0.92907019999999996</v>
      </c>
      <c r="Y2186">
        <v>-8.3919300000000002E-2</v>
      </c>
      <c r="Z2186">
        <v>-3.9135159999999997E-3</v>
      </c>
      <c r="AA2186">
        <v>0.99646480000000004</v>
      </c>
      <c r="AB2186">
        <v>45</v>
      </c>
      <c r="AC2186">
        <v>-16.665499999999899</v>
      </c>
      <c r="AD2186">
        <v>-1.1096270157699999</v>
      </c>
      <c r="AE2186">
        <v>-1.2411999999999901</v>
      </c>
      <c r="AF2186">
        <v>-1.43111471199707</v>
      </c>
      <c r="AG2186">
        <v>-1.1096270157699999</v>
      </c>
      <c r="AH2186">
        <v>16.5766409153034</v>
      </c>
      <c r="AI2186">
        <v>93.815469638832894</v>
      </c>
      <c r="AJ2186">
        <v>94.934294021202007</v>
      </c>
      <c r="AK2186">
        <v>16.675262680627601</v>
      </c>
      <c r="AL2186">
        <v>68.569689481625105</v>
      </c>
      <c r="AM2186">
        <v>93.556277790093901</v>
      </c>
      <c r="AN2186">
        <v>1.0000000578513399</v>
      </c>
    </row>
    <row r="2187" spans="1:40" x14ac:dyDescent="0.25">
      <c r="A2187" t="str">
        <f>"20190304164858502"</f>
        <v>20190304164858502</v>
      </c>
      <c r="B2187" t="str">
        <f>"1551689338498209"</f>
        <v>1551689338498209</v>
      </c>
      <c r="C2187" t="s">
        <v>40</v>
      </c>
      <c r="D2187">
        <v>4.2897589999999903</v>
      </c>
      <c r="E2187">
        <v>0.50209709999999996</v>
      </c>
      <c r="F2187" t="s">
        <v>47</v>
      </c>
      <c r="G2187">
        <v>-306.37869999999998</v>
      </c>
      <c r="H2187" s="1">
        <v>2.9482969999999999E-6</v>
      </c>
      <c r="I2187">
        <v>283.2989</v>
      </c>
      <c r="J2187">
        <v>-289.77499999999998</v>
      </c>
      <c r="K2187">
        <v>1.1096760000000001</v>
      </c>
      <c r="L2187">
        <v>284.53019999999998</v>
      </c>
      <c r="M2187">
        <v>-0.99983129999999998</v>
      </c>
      <c r="N2187">
        <v>-1.392345E-2</v>
      </c>
      <c r="O2187">
        <v>1.1989919999999999E-2</v>
      </c>
      <c r="P2187">
        <v>-0.93467769999999994</v>
      </c>
      <c r="Q2187">
        <v>0.35233690000000001</v>
      </c>
      <c r="R2187">
        <v>-4.7296020000000001E-2</v>
      </c>
      <c r="S2187">
        <v>-3.2789000000000001</v>
      </c>
      <c r="T2187">
        <v>-0.21577730000000001</v>
      </c>
      <c r="U2187">
        <v>-0.23880000000000001</v>
      </c>
      <c r="V2187">
        <v>-5.7915069999999999E-2</v>
      </c>
      <c r="W2187">
        <v>0.36540080000000003</v>
      </c>
      <c r="X2187">
        <v>0.92904690000000001</v>
      </c>
      <c r="Y2187">
        <v>-8.4354890000000002E-2</v>
      </c>
      <c r="Z2187">
        <v>-3.9784169999999997E-3</v>
      </c>
      <c r="AA2187">
        <v>0.99642779999999997</v>
      </c>
      <c r="AB2187">
        <v>45</v>
      </c>
      <c r="AC2187">
        <v>-16.6037</v>
      </c>
      <c r="AD2187">
        <v>-1.109673051703</v>
      </c>
      <c r="AE2187">
        <v>-1.2312999999999701</v>
      </c>
      <c r="AF2187">
        <v>-1.4239821652648701</v>
      </c>
      <c r="AG2187">
        <v>-1.109673051703</v>
      </c>
      <c r="AH2187">
        <v>16.514381399187702</v>
      </c>
      <c r="AI2187">
        <v>93.830004521322493</v>
      </c>
      <c r="AJ2187">
        <v>94.928241583665994</v>
      </c>
      <c r="AK2187">
        <v>16.612762939574601</v>
      </c>
      <c r="AL2187">
        <v>68.567749779201804</v>
      </c>
      <c r="AM2187">
        <v>93.5670973496469</v>
      </c>
      <c r="AN2187">
        <v>1.00000002118667</v>
      </c>
    </row>
    <row r="2188" spans="1:40" x14ac:dyDescent="0.25">
      <c r="A2188" t="str">
        <f>"20190304164858512"</f>
        <v>20190304164858512</v>
      </c>
      <c r="B2188" t="str">
        <f>"1551689338507969"</f>
        <v>1551689338507969</v>
      </c>
      <c r="C2188" t="s">
        <v>40</v>
      </c>
      <c r="D2188">
        <v>4.3096189999999996</v>
      </c>
      <c r="E2188">
        <v>0.50194759999999905</v>
      </c>
      <c r="F2188" t="s">
        <v>47</v>
      </c>
      <c r="G2188">
        <v>-306.64699999999999</v>
      </c>
      <c r="H2188" s="1">
        <v>2.9012240000000001E-6</v>
      </c>
      <c r="I2188">
        <v>283.29300000000001</v>
      </c>
      <c r="J2188">
        <v>-289.99329999999998</v>
      </c>
      <c r="K2188">
        <v>1.1097159999999999</v>
      </c>
      <c r="L2188">
        <v>284.53289999999998</v>
      </c>
      <c r="M2188">
        <v>-0.99982919999999997</v>
      </c>
      <c r="N2188">
        <v>-1.393431E-2</v>
      </c>
      <c r="O2188">
        <v>1.215041E-2</v>
      </c>
      <c r="P2188">
        <v>-0.93474020000000002</v>
      </c>
      <c r="Q2188">
        <v>0.35220590000000002</v>
      </c>
      <c r="R2188">
        <v>-4.7029179999999997E-2</v>
      </c>
      <c r="S2188">
        <v>-3.278778</v>
      </c>
      <c r="T2188">
        <v>-0.21564559999999999</v>
      </c>
      <c r="U2188">
        <v>-0.24041750000000001</v>
      </c>
      <c r="V2188">
        <v>-5.7835749999999998E-2</v>
      </c>
      <c r="W2188">
        <v>0.36527470000000001</v>
      </c>
      <c r="X2188">
        <v>0.92910139999999997</v>
      </c>
      <c r="Y2188">
        <v>-8.5004750000000004E-2</v>
      </c>
      <c r="Z2188">
        <v>-4.0108210000000004E-3</v>
      </c>
      <c r="AA2188">
        <v>0.99637249999999999</v>
      </c>
      <c r="AB2188">
        <v>45</v>
      </c>
      <c r="AC2188">
        <v>-16.653700000000001</v>
      </c>
      <c r="AD2188">
        <v>-1.109713098776</v>
      </c>
      <c r="AE2188">
        <v>-1.23989999999997</v>
      </c>
      <c r="AF2188">
        <v>-1.4358371398816701</v>
      </c>
      <c r="AG2188">
        <v>-1.109713098776</v>
      </c>
      <c r="AH2188">
        <v>16.5642608911572</v>
      </c>
      <c r="AI2188">
        <v>93.818493910674306</v>
      </c>
      <c r="AJ2188">
        <v>94.954177106040703</v>
      </c>
      <c r="AK2188">
        <v>16.663367916606099</v>
      </c>
      <c r="AL2188">
        <v>68.575510723925802</v>
      </c>
      <c r="AM2188">
        <v>93.562016053230295</v>
      </c>
      <c r="AN2188">
        <v>0.99999999596005595</v>
      </c>
    </row>
    <row r="2189" spans="1:40" x14ac:dyDescent="0.25">
      <c r="A2189" t="str">
        <f>"20190304164858524"</f>
        <v>20190304164858524</v>
      </c>
      <c r="B2189" t="str">
        <f>"1551689338518705"</f>
        <v>1551689338518705</v>
      </c>
      <c r="C2189" t="s">
        <v>40</v>
      </c>
      <c r="D2189">
        <v>4.2979710000000004</v>
      </c>
      <c r="E2189">
        <v>0.50182420000000005</v>
      </c>
      <c r="F2189" t="s">
        <v>47</v>
      </c>
      <c r="G2189">
        <v>-306.82549999999998</v>
      </c>
      <c r="H2189" s="1">
        <v>2.8692150000000002E-6</v>
      </c>
      <c r="I2189">
        <v>283.29700000000003</v>
      </c>
      <c r="J2189">
        <v>-290.22570000000002</v>
      </c>
      <c r="K2189">
        <v>1.1097629999999901</v>
      </c>
      <c r="L2189">
        <v>284.53579999999999</v>
      </c>
      <c r="M2189">
        <v>-0.99982740000000003</v>
      </c>
      <c r="N2189">
        <v>-1.394457E-2</v>
      </c>
      <c r="O2189">
        <v>1.228685E-2</v>
      </c>
      <c r="P2189">
        <v>-0.93477189999999999</v>
      </c>
      <c r="Q2189">
        <v>0.35216769999999997</v>
      </c>
      <c r="R2189">
        <v>-4.6688239999999999E-2</v>
      </c>
      <c r="S2189">
        <v>-3.2788089999999999</v>
      </c>
      <c r="T2189">
        <v>-0.216166</v>
      </c>
      <c r="U2189">
        <v>-0.2407532</v>
      </c>
      <c r="V2189">
        <v>-5.7662930000000001E-2</v>
      </c>
      <c r="W2189">
        <v>0.36524010000000001</v>
      </c>
      <c r="X2189">
        <v>0.92912570000000005</v>
      </c>
      <c r="Y2189">
        <v>-8.523965E-2</v>
      </c>
      <c r="Z2189">
        <v>-4.0361750000000004E-3</v>
      </c>
      <c r="AA2189">
        <v>0.99635229999999997</v>
      </c>
      <c r="AB2189">
        <v>45</v>
      </c>
      <c r="AC2189">
        <v>-16.599799999999899</v>
      </c>
      <c r="AD2189">
        <v>-1.10976013078499</v>
      </c>
      <c r="AE2189">
        <v>-1.2387999999999599</v>
      </c>
      <c r="AF2189">
        <v>-1.4363016281151499</v>
      </c>
      <c r="AG2189">
        <v>-1.10976013078499</v>
      </c>
      <c r="AH2189">
        <v>16.509942852969299</v>
      </c>
      <c r="AI2189">
        <v>93.831078212915799</v>
      </c>
      <c r="AJ2189">
        <v>94.971994774925193</v>
      </c>
      <c r="AK2189">
        <v>16.6094172963147</v>
      </c>
      <c r="AL2189">
        <v>68.577639382807504</v>
      </c>
      <c r="AM2189">
        <v>93.551306969118798</v>
      </c>
      <c r="AN2189">
        <v>0.99999995527234098</v>
      </c>
    </row>
    <row r="2190" spans="1:40" x14ac:dyDescent="0.25">
      <c r="A2190" t="str">
        <f>"20190304164858539"</f>
        <v>20190304164858539</v>
      </c>
      <c r="B2190" t="str">
        <f>"1551689338528465"</f>
        <v>1551689338528465</v>
      </c>
      <c r="C2190" t="s">
        <v>40</v>
      </c>
      <c r="D2190">
        <v>4.3200599999999998</v>
      </c>
      <c r="E2190">
        <v>0.50172340000000004</v>
      </c>
      <c r="F2190" t="s">
        <v>47</v>
      </c>
      <c r="G2190">
        <v>-307.01100000000002</v>
      </c>
      <c r="H2190" s="1">
        <v>2.8361210000000002E-6</v>
      </c>
      <c r="I2190">
        <v>283.29899999999998</v>
      </c>
      <c r="J2190">
        <v>-290.51929999999999</v>
      </c>
      <c r="K2190">
        <v>1.1098250000000001</v>
      </c>
      <c r="L2190">
        <v>284.53949999999998</v>
      </c>
      <c r="M2190">
        <v>-0.99982530000000003</v>
      </c>
      <c r="N2190">
        <v>-1.3956639999999999E-2</v>
      </c>
      <c r="O2190">
        <v>1.2435359999999999E-2</v>
      </c>
      <c r="P2190">
        <v>-0.93485240000000003</v>
      </c>
      <c r="Q2190">
        <v>0.35201729999999998</v>
      </c>
      <c r="R2190">
        <v>-4.6204219999999997E-2</v>
      </c>
      <c r="S2190">
        <v>-3.278931</v>
      </c>
      <c r="T2190">
        <v>-0.21678600000000001</v>
      </c>
      <c r="U2190">
        <v>-0.24160770000000001</v>
      </c>
      <c r="V2190">
        <v>-5.737051E-2</v>
      </c>
      <c r="W2190">
        <v>0.36509360000000002</v>
      </c>
      <c r="X2190">
        <v>0.92920139999999996</v>
      </c>
      <c r="Y2190">
        <v>-8.5640620000000001E-2</v>
      </c>
      <c r="Z2190">
        <v>-4.0704779999999998E-3</v>
      </c>
      <c r="AA2190">
        <v>0.99631780000000003</v>
      </c>
      <c r="AB2190">
        <v>45</v>
      </c>
      <c r="AC2190">
        <v>-16.491699999999899</v>
      </c>
      <c r="AD2190">
        <v>-1.109822163879</v>
      </c>
      <c r="AE2190">
        <v>-1.24049999999994</v>
      </c>
      <c r="AF2190">
        <v>-1.4390239821980799</v>
      </c>
      <c r="AG2190">
        <v>-1.109822163879</v>
      </c>
      <c r="AH2190">
        <v>16.4011386588943</v>
      </c>
      <c r="AI2190">
        <v>93.856384105297394</v>
      </c>
      <c r="AJ2190">
        <v>95.014249482744304</v>
      </c>
      <c r="AK2190">
        <v>16.501510372237298</v>
      </c>
      <c r="AL2190">
        <v>68.586656362618896</v>
      </c>
      <c r="AM2190">
        <v>93.533056212940096</v>
      </c>
      <c r="AN2190">
        <v>0.99999997697028897</v>
      </c>
    </row>
    <row r="2191" spans="1:40" x14ac:dyDescent="0.25">
      <c r="A2191" t="str">
        <f>"20190304164858558"</f>
        <v>20190304164858558</v>
      </c>
      <c r="B2191" t="str">
        <f>"1551689338547985"</f>
        <v>1551689338547985</v>
      </c>
      <c r="C2191" t="s">
        <v>40</v>
      </c>
      <c r="D2191">
        <v>4.3001009999999997</v>
      </c>
      <c r="E2191">
        <v>0.50153110000000001</v>
      </c>
      <c r="F2191" t="s">
        <v>47</v>
      </c>
      <c r="G2191">
        <v>-307.26089999999999</v>
      </c>
      <c r="H2191" s="1">
        <v>2.790823E-6</v>
      </c>
      <c r="I2191">
        <v>283.31009999999998</v>
      </c>
      <c r="J2191">
        <v>-290.90379999999999</v>
      </c>
      <c r="K2191">
        <v>1.1099000000000001</v>
      </c>
      <c r="L2191">
        <v>284.54450000000003</v>
      </c>
      <c r="M2191">
        <v>-0.99982349999999998</v>
      </c>
      <c r="N2191">
        <v>-1.3970359999999999E-2</v>
      </c>
      <c r="O2191">
        <v>1.2577329999999999E-2</v>
      </c>
      <c r="P2191">
        <v>-0.93492319999999995</v>
      </c>
      <c r="Q2191">
        <v>0.35185159999999999</v>
      </c>
      <c r="R2191">
        <v>-4.6039030000000002E-2</v>
      </c>
      <c r="S2191">
        <v>-3.2789609999999998</v>
      </c>
      <c r="T2191">
        <v>-0.217366</v>
      </c>
      <c r="U2191">
        <v>-0.24078369999999999</v>
      </c>
      <c r="V2191">
        <v>-5.7405020000000001E-2</v>
      </c>
      <c r="W2191">
        <v>0.3649307</v>
      </c>
      <c r="X2191">
        <v>0.92926330000000001</v>
      </c>
      <c r="Y2191">
        <v>-8.553123E-2</v>
      </c>
      <c r="Z2191">
        <v>-4.0836509999999998E-3</v>
      </c>
      <c r="AA2191">
        <v>0.99632710000000002</v>
      </c>
      <c r="AB2191">
        <v>45</v>
      </c>
      <c r="AC2191">
        <v>-16.357099999999999</v>
      </c>
      <c r="AD2191">
        <v>-1.1098972091769901</v>
      </c>
      <c r="AE2191">
        <v>-1.2344000000000499</v>
      </c>
      <c r="AF2191">
        <v>-1.4334883533257501</v>
      </c>
      <c r="AG2191">
        <v>-1.1098972091769901</v>
      </c>
      <c r="AH2191">
        <v>16.2658122312057</v>
      </c>
      <c r="AI2191">
        <v>93.888500305498695</v>
      </c>
      <c r="AJ2191">
        <v>95.036402919232202</v>
      </c>
      <c r="AK2191">
        <v>16.366533176421399</v>
      </c>
      <c r="AL2191">
        <v>68.596682442166895</v>
      </c>
      <c r="AM2191">
        <v>93.534941171410097</v>
      </c>
      <c r="AN2191">
        <v>1.00000001642529</v>
      </c>
    </row>
    <row r="2192" spans="1:40" x14ac:dyDescent="0.25">
      <c r="A2192" t="str">
        <f>"20190304164858571"</f>
        <v>20190304164858571</v>
      </c>
      <c r="B2192" t="str">
        <f>"1551689338568481"</f>
        <v>1551689338568481</v>
      </c>
      <c r="C2192" t="s">
        <v>40</v>
      </c>
      <c r="D2192">
        <v>4.3066839999999997</v>
      </c>
      <c r="E2192">
        <v>0.50142370000000003</v>
      </c>
      <c r="F2192" t="s">
        <v>47</v>
      </c>
      <c r="G2192">
        <v>-307.5729</v>
      </c>
      <c r="H2192" s="1">
        <v>2.7349939999999999E-6</v>
      </c>
      <c r="I2192">
        <v>283.31580000000002</v>
      </c>
      <c r="J2192">
        <v>-291.1626</v>
      </c>
      <c r="K2192">
        <v>1.1099490000000001</v>
      </c>
      <c r="L2192">
        <v>284.5478</v>
      </c>
      <c r="M2192">
        <v>-0.99982249999999995</v>
      </c>
      <c r="N2192">
        <v>-1.39783999999999E-2</v>
      </c>
      <c r="O2192">
        <v>1.264623E-2</v>
      </c>
      <c r="P2192">
        <v>-0.93486320000000001</v>
      </c>
      <c r="Q2192">
        <v>0.35202450000000002</v>
      </c>
      <c r="R2192">
        <v>-4.5934089999999997E-2</v>
      </c>
      <c r="S2192">
        <v>-3.279083</v>
      </c>
      <c r="T2192">
        <v>-0.21833569999999999</v>
      </c>
      <c r="U2192">
        <v>-0.2416992</v>
      </c>
      <c r="V2192">
        <v>-5.7404810000000001E-2</v>
      </c>
      <c r="W2192">
        <v>0.36510379999999998</v>
      </c>
      <c r="X2192">
        <v>0.92919529999999995</v>
      </c>
      <c r="Y2192">
        <v>-8.587082E-2</v>
      </c>
      <c r="Z2192">
        <v>-4.1173039999999996E-3</v>
      </c>
      <c r="AA2192">
        <v>0.99629780000000001</v>
      </c>
      <c r="AB2192">
        <v>45</v>
      </c>
      <c r="AC2192">
        <v>-16.410299999999999</v>
      </c>
      <c r="AD2192">
        <v>-1.1099462650059999</v>
      </c>
      <c r="AE2192">
        <v>-1.23199999999997</v>
      </c>
      <c r="AF2192">
        <v>-1.43293151526159</v>
      </c>
      <c r="AG2192">
        <v>-1.1099462650059999</v>
      </c>
      <c r="AH2192">
        <v>16.3191675007774</v>
      </c>
      <c r="AI2192">
        <v>93.876105211846095</v>
      </c>
      <c r="AJ2192">
        <v>95.018080687635205</v>
      </c>
      <c r="AK2192">
        <v>16.419515868534699</v>
      </c>
      <c r="AL2192">
        <v>68.586029157109806</v>
      </c>
      <c r="AM2192">
        <v>93.535186308300794</v>
      </c>
      <c r="AN2192">
        <v>1.0000000012638299</v>
      </c>
    </row>
    <row r="2193" spans="1:40" x14ac:dyDescent="0.25">
      <c r="A2193" t="str">
        <f>"20190304164858583"</f>
        <v>20190304164858583</v>
      </c>
      <c r="B2193" t="str">
        <f>"1551689338578241"</f>
        <v>1551689338578241</v>
      </c>
      <c r="C2193" t="s">
        <v>40</v>
      </c>
      <c r="D2193">
        <v>4.4717479999999998</v>
      </c>
      <c r="E2193">
        <v>0.50138039999999995</v>
      </c>
      <c r="F2193" t="s">
        <v>47</v>
      </c>
      <c r="G2193">
        <v>-307.87580000000003</v>
      </c>
      <c r="H2193" s="1">
        <v>2.681123E-6</v>
      </c>
      <c r="I2193">
        <v>283.31729999999999</v>
      </c>
      <c r="J2193">
        <v>-291.40129999999999</v>
      </c>
      <c r="K2193">
        <v>1.1099870000000001</v>
      </c>
      <c r="L2193">
        <v>284.55079999999998</v>
      </c>
      <c r="M2193">
        <v>-0.99982170000000004</v>
      </c>
      <c r="N2193">
        <v>-1.3986139999999999E-2</v>
      </c>
      <c r="O2193">
        <v>1.2693289999999999E-2</v>
      </c>
      <c r="P2193">
        <v>-0.93488859999999996</v>
      </c>
      <c r="Q2193">
        <v>0.35197099999999998</v>
      </c>
      <c r="R2193">
        <v>-4.5825070000000002E-2</v>
      </c>
      <c r="S2193">
        <v>-3.279175</v>
      </c>
      <c r="T2193">
        <v>-0.21777440000000001</v>
      </c>
      <c r="U2193">
        <v>-0.24142459999999999</v>
      </c>
      <c r="V2193">
        <v>-5.7374590000000003E-2</v>
      </c>
      <c r="W2193">
        <v>0.36505280000000001</v>
      </c>
      <c r="X2193">
        <v>0.92921719999999997</v>
      </c>
      <c r="Y2193">
        <v>-8.5833899999999894E-2</v>
      </c>
      <c r="Z2193">
        <v>-4.1089500000000001E-3</v>
      </c>
      <c r="AA2193">
        <v>0.99630099999999999</v>
      </c>
      <c r="AB2193">
        <v>45</v>
      </c>
      <c r="AC2193">
        <v>-16.474499999999999</v>
      </c>
      <c r="AD2193">
        <v>-1.109984318877</v>
      </c>
      <c r="AE2193">
        <v>-1.23349999999999</v>
      </c>
      <c r="AF2193">
        <v>-1.43605400768903</v>
      </c>
      <c r="AG2193">
        <v>-1.109984318877</v>
      </c>
      <c r="AH2193">
        <v>16.383555063933301</v>
      </c>
      <c r="AI2193">
        <v>93.861101979752306</v>
      </c>
      <c r="AJ2193">
        <v>95.009296429966</v>
      </c>
      <c r="AK2193">
        <v>16.4837857555261</v>
      </c>
      <c r="AL2193">
        <v>68.589167804013897</v>
      </c>
      <c r="AM2193">
        <v>93.533246909053602</v>
      </c>
      <c r="AN2193">
        <v>0.99999999757067404</v>
      </c>
    </row>
    <row r="2194" spans="1:40" x14ac:dyDescent="0.25">
      <c r="A2194" t="str">
        <f>"20190304164858601"</f>
        <v>20190304164858601</v>
      </c>
      <c r="B2194" t="str">
        <f>"1551689338598737"</f>
        <v>1551689338598737</v>
      </c>
      <c r="C2194" t="s">
        <v>40</v>
      </c>
      <c r="D2194">
        <v>4.275442</v>
      </c>
      <c r="E2194">
        <v>0.50133419999999995</v>
      </c>
      <c r="F2194" t="s">
        <v>47</v>
      </c>
      <c r="G2194">
        <v>-308.13619999999997</v>
      </c>
      <c r="H2194" s="1">
        <v>2.6347060000000001E-6</v>
      </c>
      <c r="I2194">
        <v>283.31990000000002</v>
      </c>
      <c r="J2194">
        <v>-291.75959999999998</v>
      </c>
      <c r="K2194">
        <v>1.110044</v>
      </c>
      <c r="L2194">
        <v>284.55549999999999</v>
      </c>
      <c r="M2194">
        <v>-0.99982090000000001</v>
      </c>
      <c r="N2194">
        <v>-1.399838E-2</v>
      </c>
      <c r="O2194">
        <v>1.274074E-2</v>
      </c>
      <c r="P2194">
        <v>-0.93484610000000001</v>
      </c>
      <c r="Q2194">
        <v>0.35208260000000002</v>
      </c>
      <c r="R2194">
        <v>-4.5834899999999998E-2</v>
      </c>
      <c r="S2194">
        <v>-3.2789920000000001</v>
      </c>
      <c r="T2194">
        <v>-0.21748690000000001</v>
      </c>
      <c r="U2194">
        <v>-0.24118039999999999</v>
      </c>
      <c r="V2194">
        <v>-5.7475949999999998E-2</v>
      </c>
      <c r="W2194">
        <v>0.36516729999999997</v>
      </c>
      <c r="X2194">
        <v>0.92916600000000005</v>
      </c>
      <c r="Y2194">
        <v>-8.5812020000000003E-2</v>
      </c>
      <c r="Z2194">
        <v>-4.1062779999999997E-3</v>
      </c>
      <c r="AA2194">
        <v>0.99630289999999999</v>
      </c>
      <c r="AB2194">
        <v>45</v>
      </c>
      <c r="AC2194">
        <v>-16.3765999999999</v>
      </c>
      <c r="AD2194">
        <v>-1.110041365294</v>
      </c>
      <c r="AE2194">
        <v>-1.2355999999999701</v>
      </c>
      <c r="AF2194">
        <v>-1.43760256194012</v>
      </c>
      <c r="AG2194">
        <v>-1.110041365294</v>
      </c>
      <c r="AH2194">
        <v>16.285129269991899</v>
      </c>
      <c r="AI2194">
        <v>93.884354693796894</v>
      </c>
      <c r="AJ2194">
        <v>95.044822888319999</v>
      </c>
      <c r="AK2194">
        <v>16.386101680970601</v>
      </c>
      <c r="AL2194">
        <v>68.582122102255894</v>
      </c>
      <c r="AM2194">
        <v>93.539667555238296</v>
      </c>
      <c r="AN2194">
        <v>1.0000000486868399</v>
      </c>
    </row>
    <row r="2195" spans="1:40" x14ac:dyDescent="0.25">
      <c r="A2195" t="str">
        <f>"20190304164858612"</f>
        <v>20190304164858612</v>
      </c>
      <c r="B2195" t="str">
        <f>"1551689338608497"</f>
        <v>1551689338608497</v>
      </c>
      <c r="C2195" t="s">
        <v>40</v>
      </c>
      <c r="D2195">
        <v>4.2544829999999996</v>
      </c>
      <c r="E2195">
        <v>0.50128600000000001</v>
      </c>
      <c r="F2195" t="s">
        <v>47</v>
      </c>
      <c r="G2195">
        <v>-308.61040000000003</v>
      </c>
      <c r="H2195" s="1">
        <v>2.5504569999999998E-6</v>
      </c>
      <c r="I2195">
        <v>283.32150000000001</v>
      </c>
      <c r="J2195">
        <v>-291.99040000000002</v>
      </c>
      <c r="K2195">
        <v>1.110087</v>
      </c>
      <c r="L2195">
        <v>284.55840000000001</v>
      </c>
      <c r="M2195">
        <v>-0.99982059999999995</v>
      </c>
      <c r="N2195">
        <v>-1.400676E-2</v>
      </c>
      <c r="O2195">
        <v>1.2757569999999999E-2</v>
      </c>
      <c r="P2195">
        <v>-0.93490759999999995</v>
      </c>
      <c r="Q2195">
        <v>0.35189870000000001</v>
      </c>
      <c r="R2195">
        <v>-4.5991850000000001E-2</v>
      </c>
      <c r="S2195">
        <v>-3.2786559999999998</v>
      </c>
      <c r="T2195">
        <v>-0.21598120000000001</v>
      </c>
      <c r="U2195">
        <v>-0.24008180000000001</v>
      </c>
      <c r="V2195">
        <v>-5.7678350000000003E-2</v>
      </c>
      <c r="W2195">
        <v>0.36498789999999998</v>
      </c>
      <c r="X2195">
        <v>0.92922389999999999</v>
      </c>
      <c r="Y2195">
        <v>-8.5508039999999993E-2</v>
      </c>
      <c r="Z2195">
        <v>-4.070242E-3</v>
      </c>
      <c r="AA2195">
        <v>0.99632920000000003</v>
      </c>
      <c r="AB2195">
        <v>45</v>
      </c>
      <c r="AC2195">
        <v>-16.62</v>
      </c>
      <c r="AD2195">
        <v>-1.110084449543</v>
      </c>
      <c r="AE2195">
        <v>-1.2368999999999899</v>
      </c>
      <c r="AF2195">
        <v>-1.4424513233786</v>
      </c>
      <c r="AG2195">
        <v>-1.110084449543</v>
      </c>
      <c r="AH2195">
        <v>16.529530721321699</v>
      </c>
      <c r="AI2195">
        <v>93.827577994924397</v>
      </c>
      <c r="AJ2195">
        <v>94.987288399378997</v>
      </c>
      <c r="AK2195">
        <v>16.629441938097301</v>
      </c>
      <c r="AL2195">
        <v>68.593162123227501</v>
      </c>
      <c r="AM2195">
        <v>93.551879774961705</v>
      </c>
      <c r="AN2195">
        <v>1.0000000077681701</v>
      </c>
    </row>
    <row r="2196" spans="1:40" x14ac:dyDescent="0.25">
      <c r="A2196" t="str">
        <f>"20190304164858624"</f>
        <v>20190304164858624</v>
      </c>
      <c r="B2196" t="str">
        <f>"1551689338618257"</f>
        <v>1551689338618257</v>
      </c>
      <c r="C2196" t="s">
        <v>40</v>
      </c>
      <c r="D2196">
        <v>4.2365820000000003</v>
      </c>
      <c r="E2196">
        <v>0.50125989999999998</v>
      </c>
      <c r="F2196" t="s">
        <v>47</v>
      </c>
      <c r="G2196">
        <v>-308.83260000000001</v>
      </c>
      <c r="H2196" s="1">
        <v>2.5109529999999999E-6</v>
      </c>
      <c r="I2196">
        <v>283.32249999999999</v>
      </c>
      <c r="J2196">
        <v>-292.22949999999997</v>
      </c>
      <c r="K2196">
        <v>1.1101190000000001</v>
      </c>
      <c r="L2196">
        <v>284.56150000000002</v>
      </c>
      <c r="M2196">
        <v>-0.99982040000000005</v>
      </c>
      <c r="N2196">
        <v>-1.401678E-2</v>
      </c>
      <c r="O2196">
        <v>1.276303E-2</v>
      </c>
      <c r="P2196">
        <v>-0.93494549999999998</v>
      </c>
      <c r="Q2196">
        <v>0.35177969999999997</v>
      </c>
      <c r="R2196">
        <v>-4.6133500000000001E-2</v>
      </c>
      <c r="S2196">
        <v>-3.2783809999999902</v>
      </c>
      <c r="T2196">
        <v>-0.216081</v>
      </c>
      <c r="U2196">
        <v>-0.24057010000000001</v>
      </c>
      <c r="V2196">
        <v>-5.7851710000000001E-2</v>
      </c>
      <c r="W2196">
        <v>0.36487429999999998</v>
      </c>
      <c r="X2196">
        <v>0.92925769999999996</v>
      </c>
      <c r="Y2196">
        <v>-8.5666489999999998E-2</v>
      </c>
      <c r="Z2196">
        <v>-4.0791200000000003E-3</v>
      </c>
      <c r="AA2196">
        <v>0.99631550000000002</v>
      </c>
      <c r="AB2196">
        <v>45</v>
      </c>
      <c r="AC2196">
        <v>-16.603100000000001</v>
      </c>
      <c r="AD2196">
        <v>-1.1101164890469899</v>
      </c>
      <c r="AE2196">
        <v>-1.2390000000000301</v>
      </c>
      <c r="AF2196">
        <v>-1.4444042366016301</v>
      </c>
      <c r="AG2196">
        <v>-1.1101164890469899</v>
      </c>
      <c r="AH2196">
        <v>16.512521589041398</v>
      </c>
      <c r="AI2196">
        <v>93.831550255572694</v>
      </c>
      <c r="AJ2196">
        <v>94.999124636126794</v>
      </c>
      <c r="AK2196">
        <v>16.6127069271243</v>
      </c>
      <c r="AL2196">
        <v>68.600152300328105</v>
      </c>
      <c r="AM2196">
        <v>93.562398725409906</v>
      </c>
      <c r="AN2196">
        <v>0.99999997407985097</v>
      </c>
    </row>
    <row r="2197" spans="1:40" x14ac:dyDescent="0.25">
      <c r="A2197" t="str">
        <f>"20190304164858636"</f>
        <v>20190304164858636</v>
      </c>
      <c r="B2197" t="str">
        <f>"1551689338628017"</f>
        <v>1551689338628017</v>
      </c>
      <c r="C2197" t="s">
        <v>40</v>
      </c>
      <c r="D2197">
        <v>4.2511099999999997</v>
      </c>
      <c r="E2197">
        <v>0.5011987</v>
      </c>
      <c r="F2197" t="s">
        <v>47</v>
      </c>
      <c r="G2197">
        <v>-309.10090000000002</v>
      </c>
      <c r="H2197" s="1">
        <v>2.4633030000000001E-6</v>
      </c>
      <c r="I2197">
        <v>283.32319999999999</v>
      </c>
      <c r="J2197">
        <v>-292.4726</v>
      </c>
      <c r="K2197">
        <v>1.1101490000000001</v>
      </c>
      <c r="L2197">
        <v>284.56459999999998</v>
      </c>
      <c r="M2197">
        <v>-0.99982009999999999</v>
      </c>
      <c r="N2197">
        <v>-1.40275E-2</v>
      </c>
      <c r="O2197">
        <v>1.276385E-2</v>
      </c>
      <c r="P2197">
        <v>-0.93496520000000005</v>
      </c>
      <c r="Q2197">
        <v>0.35171599999999997</v>
      </c>
      <c r="R2197">
        <v>-4.6214619999999998E-2</v>
      </c>
      <c r="S2197">
        <v>-3.2780459999999998</v>
      </c>
      <c r="T2197">
        <v>-0.2156912</v>
      </c>
      <c r="U2197">
        <v>-0.2406006</v>
      </c>
      <c r="V2197">
        <v>-5.7960789999999998E-2</v>
      </c>
      <c r="W2197">
        <v>0.36481659999999999</v>
      </c>
      <c r="X2197">
        <v>0.92927360000000003</v>
      </c>
      <c r="Y2197">
        <v>-8.5684689999999994E-2</v>
      </c>
      <c r="Z2197">
        <v>-4.0740000000000004E-3</v>
      </c>
      <c r="AA2197">
        <v>0.99631400000000003</v>
      </c>
      <c r="AB2197">
        <v>45</v>
      </c>
      <c r="AC2197">
        <v>-16.628299999999999</v>
      </c>
      <c r="AD2197">
        <v>-1.110146536697</v>
      </c>
      <c r="AE2197">
        <v>-1.2413999999999901</v>
      </c>
      <c r="AF2197">
        <v>-1.4471463631652199</v>
      </c>
      <c r="AG2197">
        <v>-1.110146536697</v>
      </c>
      <c r="AH2197">
        <v>16.537794397407701</v>
      </c>
      <c r="AI2197">
        <v>93.825804940421605</v>
      </c>
      <c r="AJ2197">
        <v>95.000951813311502</v>
      </c>
      <c r="AK2197">
        <v>16.638067840356101</v>
      </c>
      <c r="AL2197">
        <v>68.603703926600602</v>
      </c>
      <c r="AM2197">
        <v>93.569037408950607</v>
      </c>
      <c r="AN2197">
        <v>1.0000000142349701</v>
      </c>
    </row>
    <row r="2198" spans="1:40" x14ac:dyDescent="0.25">
      <c r="A2198" t="str">
        <f>"20190304164858648"</f>
        <v>20190304164858648</v>
      </c>
      <c r="B2198" t="str">
        <f>"1551689338638752"</f>
        <v>1551689338638752</v>
      </c>
      <c r="C2198" t="s">
        <v>40</v>
      </c>
      <c r="D2198">
        <v>4.2432019999999904</v>
      </c>
      <c r="E2198">
        <v>0.50115940000000003</v>
      </c>
      <c r="F2198" t="s">
        <v>47</v>
      </c>
      <c r="G2198">
        <v>-309.37279999999998</v>
      </c>
      <c r="H2198" s="1">
        <v>2.415148E-6</v>
      </c>
      <c r="I2198">
        <v>283.32240000000002</v>
      </c>
      <c r="J2198">
        <v>-292.71859999999998</v>
      </c>
      <c r="K2198">
        <v>1.110187</v>
      </c>
      <c r="L2198">
        <v>284.56779999999998</v>
      </c>
      <c r="M2198">
        <v>-0.99982020000000005</v>
      </c>
      <c r="N2198">
        <v>-1.403941E-2</v>
      </c>
      <c r="O2198">
        <v>1.2756119999999999E-2</v>
      </c>
      <c r="P2198">
        <v>-0.93502969999999996</v>
      </c>
      <c r="Q2198">
        <v>0.35149770000000002</v>
      </c>
      <c r="R2198">
        <v>-4.6571609999999999E-2</v>
      </c>
      <c r="S2198">
        <v>-3.277771</v>
      </c>
      <c r="T2198">
        <v>-0.2153118</v>
      </c>
      <c r="U2198">
        <v>-0.24093629999999999</v>
      </c>
      <c r="V2198">
        <v>-5.8334589999999999E-2</v>
      </c>
      <c r="W2198">
        <v>0.36460700000000001</v>
      </c>
      <c r="X2198">
        <v>0.92933239999999995</v>
      </c>
      <c r="Y2198">
        <v>-8.5785020000000003E-2</v>
      </c>
      <c r="Z2198">
        <v>-4.0718380000000004E-3</v>
      </c>
      <c r="AA2198">
        <v>0.99630529999999995</v>
      </c>
      <c r="AB2198">
        <v>45</v>
      </c>
      <c r="AC2198">
        <v>-16.654199999999999</v>
      </c>
      <c r="AD2198">
        <v>-1.110184584852</v>
      </c>
      <c r="AE2198">
        <v>-1.2453999999999601</v>
      </c>
      <c r="AF2198">
        <v>-1.451349070122</v>
      </c>
      <c r="AG2198">
        <v>-1.110184584852</v>
      </c>
      <c r="AH2198">
        <v>16.563761909069999</v>
      </c>
      <c r="AI2198">
        <v>93.819916838654905</v>
      </c>
      <c r="AJ2198">
        <v>95.007578491272596</v>
      </c>
      <c r="AK2198">
        <v>16.664247133193498</v>
      </c>
      <c r="AL2198">
        <v>68.616600043266303</v>
      </c>
      <c r="AM2198">
        <v>93.5917680547483</v>
      </c>
      <c r="AN2198">
        <v>0.999999949264612</v>
      </c>
    </row>
    <row r="2199" spans="1:40" x14ac:dyDescent="0.25">
      <c r="A2199" t="str">
        <f>"20190304164858660"</f>
        <v>20190304164858660</v>
      </c>
      <c r="B2199" t="str">
        <f>"1551689338648513"</f>
        <v>1551689338648513</v>
      </c>
      <c r="C2199" t="s">
        <v>40</v>
      </c>
      <c r="D2199">
        <v>4.2099010000000003</v>
      </c>
      <c r="E2199">
        <v>0.50110829999999995</v>
      </c>
      <c r="F2199" t="s">
        <v>47</v>
      </c>
      <c r="G2199">
        <v>-309.59949999999998</v>
      </c>
      <c r="H2199" s="1">
        <v>2.3752219999999999E-6</v>
      </c>
      <c r="I2199">
        <v>283.31889999999999</v>
      </c>
      <c r="J2199">
        <v>-292.93860000000001</v>
      </c>
      <c r="K2199">
        <v>1.1102129999999999</v>
      </c>
      <c r="L2199">
        <v>284.57060000000001</v>
      </c>
      <c r="M2199">
        <v>-0.99982020000000005</v>
      </c>
      <c r="N2199">
        <v>-1.4050740000000001E-2</v>
      </c>
      <c r="O2199">
        <v>1.274661E-2</v>
      </c>
      <c r="P2199">
        <v>-0.93502549999999995</v>
      </c>
      <c r="Q2199">
        <v>0.35144710000000001</v>
      </c>
      <c r="R2199">
        <v>-4.7038419999999997E-2</v>
      </c>
      <c r="S2199">
        <v>-3.2774049999999999</v>
      </c>
      <c r="T2199">
        <v>-0.2155398</v>
      </c>
      <c r="U2199">
        <v>-0.24246219999999999</v>
      </c>
      <c r="V2199">
        <v>-5.881248E-2</v>
      </c>
      <c r="W2199">
        <v>0.364564</v>
      </c>
      <c r="X2199">
        <v>0.92931920000000001</v>
      </c>
      <c r="Y2199">
        <v>-8.6243299999999995E-2</v>
      </c>
      <c r="Z2199">
        <v>-4.0941650000000003E-3</v>
      </c>
      <c r="AA2199">
        <v>0.99626570000000003</v>
      </c>
      <c r="AB2199">
        <v>45</v>
      </c>
      <c r="AC2199">
        <v>-16.660899999999899</v>
      </c>
      <c r="AD2199">
        <v>-1.1102106247779999</v>
      </c>
      <c r="AE2199">
        <v>-1.25170000000002</v>
      </c>
      <c r="AF2199">
        <v>-1.45755354252818</v>
      </c>
      <c r="AG2199">
        <v>-1.1102106247779999</v>
      </c>
      <c r="AH2199">
        <v>16.570424717925899</v>
      </c>
      <c r="AI2199">
        <v>93.818362224254699</v>
      </c>
      <c r="AJ2199">
        <v>95.026864492643796</v>
      </c>
      <c r="AK2199">
        <v>16.6714128163499</v>
      </c>
      <c r="AL2199">
        <v>68.619246938660297</v>
      </c>
      <c r="AM2199">
        <v>93.621165944596697</v>
      </c>
      <c r="AN2199">
        <v>0.99999999669419504</v>
      </c>
    </row>
    <row r="2200" spans="1:40" x14ac:dyDescent="0.25">
      <c r="A2200" t="str">
        <f>"20190304164858671"</f>
        <v>20190304164858671</v>
      </c>
      <c r="B2200" t="str">
        <f>"1551689338668033"</f>
        <v>1551689338668033</v>
      </c>
      <c r="C2200" t="s">
        <v>40</v>
      </c>
      <c r="D2200">
        <v>4.1833929999999997</v>
      </c>
      <c r="E2200">
        <v>0.50098339999999997</v>
      </c>
      <c r="F2200" t="s">
        <v>47</v>
      </c>
      <c r="G2200">
        <v>-309.86630000000002</v>
      </c>
      <c r="H2200" s="1">
        <v>2.3287880000000001E-6</v>
      </c>
      <c r="I2200">
        <v>283.30880000000002</v>
      </c>
      <c r="J2200">
        <v>-293.17630000000003</v>
      </c>
      <c r="K2200">
        <v>1.1102369999999999</v>
      </c>
      <c r="L2200">
        <v>284.57369999999997</v>
      </c>
      <c r="M2200">
        <v>-0.99982009999999999</v>
      </c>
      <c r="N2200">
        <v>-1.406396E-2</v>
      </c>
      <c r="O2200">
        <v>1.2733090000000001E-2</v>
      </c>
      <c r="P2200">
        <v>-0.93504350000000003</v>
      </c>
      <c r="Q2200">
        <v>0.35133309999999901</v>
      </c>
      <c r="R2200">
        <v>-4.7527600000000003E-2</v>
      </c>
      <c r="S2200">
        <v>-3.2769170000000001</v>
      </c>
      <c r="T2200">
        <v>-0.21491769999999999</v>
      </c>
      <c r="U2200">
        <v>-0.2442627</v>
      </c>
      <c r="V2200">
        <v>-5.9309170000000001E-2</v>
      </c>
      <c r="W2200">
        <v>0.36445919999999998</v>
      </c>
      <c r="X2200">
        <v>0.92932870000000001</v>
      </c>
      <c r="Y2200">
        <v>-8.6785000000000001E-2</v>
      </c>
      <c r="Z2200">
        <v>-4.1053369999999997E-3</v>
      </c>
      <c r="AA2200">
        <v>0.99621859999999995</v>
      </c>
      <c r="AB2200">
        <v>45</v>
      </c>
      <c r="AC2200">
        <v>-16.689999999999898</v>
      </c>
      <c r="AD2200">
        <v>-1.1102346712119999</v>
      </c>
      <c r="AE2200">
        <v>-1.26489999999995</v>
      </c>
      <c r="AF2200">
        <v>-1.47086226194589</v>
      </c>
      <c r="AG2200">
        <v>-1.1102346712119999</v>
      </c>
      <c r="AH2200">
        <v>16.599505082220499</v>
      </c>
      <c r="AI2200">
        <v>93.811559336923295</v>
      </c>
      <c r="AJ2200">
        <v>95.063685483540496</v>
      </c>
      <c r="AK2200">
        <v>16.701485736108701</v>
      </c>
      <c r="AL2200">
        <v>68.625694346216505</v>
      </c>
      <c r="AM2200">
        <v>93.651628205826</v>
      </c>
      <c r="AN2200">
        <v>0.99999995937720798</v>
      </c>
    </row>
    <row r="2201" spans="1:40" x14ac:dyDescent="0.25">
      <c r="A2201" t="str">
        <f>"20190304164858684"</f>
        <v>20190304164858684</v>
      </c>
      <c r="B2201" t="str">
        <f>"1551689338677793"</f>
        <v>1551689338677793</v>
      </c>
      <c r="C2201" t="s">
        <v>40</v>
      </c>
      <c r="D2201">
        <v>4.1885539999999999</v>
      </c>
      <c r="E2201">
        <v>0.50090659999999998</v>
      </c>
      <c r="F2201" t="s">
        <v>47</v>
      </c>
      <c r="G2201">
        <v>-310.16820000000001</v>
      </c>
      <c r="H2201" s="1">
        <v>2.4072969999999999E-6</v>
      </c>
      <c r="I2201">
        <v>283.29270000000002</v>
      </c>
      <c r="J2201">
        <v>-293.42349999999999</v>
      </c>
      <c r="K2201">
        <v>1.110258</v>
      </c>
      <c r="L2201">
        <v>284.57679999999999</v>
      </c>
      <c r="M2201">
        <v>-0.99982020000000005</v>
      </c>
      <c r="N2201">
        <v>-1.4078469999999999E-2</v>
      </c>
      <c r="O2201">
        <v>1.271656E-2</v>
      </c>
      <c r="P2201">
        <v>-0.9350503</v>
      </c>
      <c r="Q2201">
        <v>0.35127069999999999</v>
      </c>
      <c r="R2201">
        <v>-4.7855979999999999E-2</v>
      </c>
      <c r="S2201">
        <v>-3.2762449999999999</v>
      </c>
      <c r="T2201">
        <v>-0.2140669</v>
      </c>
      <c r="U2201">
        <v>-0.2469788</v>
      </c>
      <c r="V2201">
        <v>-5.9639709999999999E-2</v>
      </c>
      <c r="W2201">
        <v>0.3644077</v>
      </c>
      <c r="X2201">
        <v>0.92932780000000004</v>
      </c>
      <c r="Y2201">
        <v>-8.7604470000000004E-2</v>
      </c>
      <c r="Z2201">
        <v>-4.123575E-3</v>
      </c>
      <c r="AA2201">
        <v>0.9961468</v>
      </c>
      <c r="AB2201">
        <v>45</v>
      </c>
      <c r="AC2201">
        <v>-16.744700000000002</v>
      </c>
      <c r="AD2201">
        <v>-1.110255592703</v>
      </c>
      <c r="AE2201">
        <v>-1.2840999999999601</v>
      </c>
      <c r="AF2201">
        <v>-1.4904380372797501</v>
      </c>
      <c r="AG2201">
        <v>-1.110255592703</v>
      </c>
      <c r="AH2201">
        <v>16.6542252699249</v>
      </c>
      <c r="AI2201">
        <v>93.798848014656201</v>
      </c>
      <c r="AJ2201">
        <v>95.113952668305402</v>
      </c>
      <c r="AK2201">
        <v>16.757604016251999</v>
      </c>
      <c r="AL2201">
        <v>68.6288641982011</v>
      </c>
      <c r="AM2201">
        <v>93.671927367283899</v>
      </c>
      <c r="AN2201">
        <v>1.0000000133405</v>
      </c>
    </row>
    <row r="2202" spans="1:40" x14ac:dyDescent="0.25">
      <c r="A2202" t="str">
        <f>"20190304164858702"</f>
        <v>20190304164858702</v>
      </c>
      <c r="B2202" t="str">
        <f>"1551689338698289"</f>
        <v>1551689338698289</v>
      </c>
      <c r="C2202" t="s">
        <v>40</v>
      </c>
      <c r="D2202">
        <v>4.1747209999999999</v>
      </c>
      <c r="E2202">
        <v>0.50073859999999903</v>
      </c>
      <c r="F2202" t="s">
        <v>47</v>
      </c>
      <c r="G2202">
        <v>-310.44670000000002</v>
      </c>
      <c r="H2202" s="1">
        <v>2.5318200000000002E-6</v>
      </c>
      <c r="I2202">
        <v>283.28129999999999</v>
      </c>
      <c r="J2202">
        <v>-293.76850000000002</v>
      </c>
      <c r="K2202">
        <v>1.1102879999999999</v>
      </c>
      <c r="L2202">
        <v>284.58120000000002</v>
      </c>
      <c r="M2202">
        <v>-0.99982009999999999</v>
      </c>
      <c r="N2202">
        <v>-1.409996E-2</v>
      </c>
      <c r="O2202">
        <v>1.2691529999999999E-2</v>
      </c>
      <c r="P2202">
        <v>-0.93502870000000005</v>
      </c>
      <c r="Q2202">
        <v>0.3511669</v>
      </c>
      <c r="R2202">
        <v>-4.9022879999999998E-2</v>
      </c>
      <c r="S2202">
        <v>-3.275909</v>
      </c>
      <c r="T2202">
        <v>-0.21365400000000001</v>
      </c>
      <c r="U2202">
        <v>-0.24929809999999999</v>
      </c>
      <c r="V2202">
        <v>-6.0806480000000003E-2</v>
      </c>
      <c r="W2202">
        <v>0.36431970000000002</v>
      </c>
      <c r="X2202">
        <v>0.92928670000000002</v>
      </c>
      <c r="Y2202">
        <v>-8.8287500000000005E-2</v>
      </c>
      <c r="Z2202">
        <v>-4.1432250000000004E-3</v>
      </c>
      <c r="AA2202">
        <v>0.99608640000000004</v>
      </c>
      <c r="AB2202">
        <v>45</v>
      </c>
      <c r="AC2202">
        <v>-16.6782</v>
      </c>
      <c r="AD2202">
        <v>-1.1102854681799901</v>
      </c>
      <c r="AE2202">
        <v>-1.29990000000003</v>
      </c>
      <c r="AF2202">
        <v>-1.50485936525335</v>
      </c>
      <c r="AG2202">
        <v>-1.1102854681799901</v>
      </c>
      <c r="AH2202">
        <v>16.587290952086398</v>
      </c>
      <c r="AI2202">
        <v>93.813816327328496</v>
      </c>
      <c r="AJ2202">
        <v>95.183890108667995</v>
      </c>
      <c r="AK2202">
        <v>16.692380197539499</v>
      </c>
      <c r="AL2202">
        <v>68.634278596474203</v>
      </c>
      <c r="AM2202">
        <v>93.743726421350701</v>
      </c>
      <c r="AN2202">
        <v>1.00000002130748</v>
      </c>
    </row>
    <row r="2203" spans="1:40" x14ac:dyDescent="0.25">
      <c r="A2203" t="str">
        <f>"20190304164858712"</f>
        <v>20190304164858712</v>
      </c>
      <c r="B2203" t="str">
        <f>"1551689338708048"</f>
        <v>1551689338708048</v>
      </c>
      <c r="C2203" t="s">
        <v>40</v>
      </c>
      <c r="D2203">
        <v>4.2286089999999996</v>
      </c>
      <c r="E2203">
        <v>0.50070769999999998</v>
      </c>
      <c r="F2203" t="s">
        <v>47</v>
      </c>
      <c r="G2203">
        <v>-310.81610000000001</v>
      </c>
      <c r="H2203" s="1">
        <v>2.698335E-6</v>
      </c>
      <c r="I2203">
        <v>283.24990000000003</v>
      </c>
      <c r="J2203">
        <v>-293.99200000000002</v>
      </c>
      <c r="K2203">
        <v>1.110304</v>
      </c>
      <c r="L2203">
        <v>284.584</v>
      </c>
      <c r="M2203">
        <v>-0.99982009999999999</v>
      </c>
      <c r="N2203">
        <v>-1.411482E-2</v>
      </c>
      <c r="O2203">
        <v>1.267389E-2</v>
      </c>
      <c r="P2203">
        <v>-0.9350212</v>
      </c>
      <c r="Q2203">
        <v>0.35114069999999997</v>
      </c>
      <c r="R2203">
        <v>-4.9354149999999999E-2</v>
      </c>
      <c r="S2203">
        <v>-3.2751769999999998</v>
      </c>
      <c r="T2203">
        <v>-0.21330789999999999</v>
      </c>
      <c r="U2203">
        <v>-0.25576779999999999</v>
      </c>
      <c r="V2203">
        <v>-6.1134319999999999E-2</v>
      </c>
      <c r="W2203">
        <v>0.36430509999999999</v>
      </c>
      <c r="X2203">
        <v>0.92927090000000001</v>
      </c>
      <c r="Y2203">
        <v>-9.0238280000000004E-2</v>
      </c>
      <c r="Z2203">
        <v>-4.2145910000000002E-3</v>
      </c>
      <c r="AA2203">
        <v>0.99591130000000005</v>
      </c>
      <c r="AB2203">
        <v>45</v>
      </c>
      <c r="AC2203">
        <v>-16.824099999999898</v>
      </c>
      <c r="AD2203">
        <v>-1.1103013016650001</v>
      </c>
      <c r="AE2203">
        <v>-1.3340999999999701</v>
      </c>
      <c r="AF2203">
        <v>-1.54057312424971</v>
      </c>
      <c r="AG2203">
        <v>-1.1103013016650001</v>
      </c>
      <c r="AH2203">
        <v>16.733414918032999</v>
      </c>
      <c r="AI2203">
        <v>93.780204559458397</v>
      </c>
      <c r="AJ2203">
        <v>95.260146185800906</v>
      </c>
      <c r="AK2203">
        <v>16.840822704092901</v>
      </c>
      <c r="AL2203">
        <v>68.635176553324996</v>
      </c>
      <c r="AM2203">
        <v>93.763916784173304</v>
      </c>
      <c r="AN2203">
        <v>1.0000000082773399</v>
      </c>
    </row>
    <row r="2204" spans="1:40" x14ac:dyDescent="0.25">
      <c r="A2204" t="str">
        <f>"20190304164858725"</f>
        <v>20190304164858725</v>
      </c>
      <c r="B2204" t="str">
        <f>"1551689338718785"</f>
        <v>1551689338718785</v>
      </c>
      <c r="C2204" t="s">
        <v>40</v>
      </c>
      <c r="D2204">
        <v>4.3544099999999997</v>
      </c>
      <c r="E2204">
        <v>0.50070769999999998</v>
      </c>
      <c r="F2204" t="s">
        <v>47</v>
      </c>
      <c r="G2204">
        <v>-310.98790000000002</v>
      </c>
      <c r="H2204" s="1">
        <v>2.7748830000000001E-6</v>
      </c>
      <c r="I2204">
        <v>283.2457</v>
      </c>
      <c r="J2204">
        <v>-294.2396</v>
      </c>
      <c r="K2204">
        <v>1.1103229999999999</v>
      </c>
      <c r="L2204">
        <v>284.5872</v>
      </c>
      <c r="M2204">
        <v>-0.99982020000000005</v>
      </c>
      <c r="N2204">
        <v>-1.4133410000000001E-2</v>
      </c>
      <c r="O2204">
        <v>1.265295E-2</v>
      </c>
      <c r="P2204">
        <v>-0.93497940000000002</v>
      </c>
      <c r="Q2204">
        <v>0.35118080000000002</v>
      </c>
      <c r="R2204">
        <v>-4.9859970000000003E-2</v>
      </c>
      <c r="S2204">
        <v>-3.2751769999999998</v>
      </c>
      <c r="T2204">
        <v>-0.2139604</v>
      </c>
      <c r="U2204">
        <v>-0.25790410000000002</v>
      </c>
      <c r="V2204">
        <v>-6.1632279999999998E-2</v>
      </c>
      <c r="W2204">
        <v>0.3643593</v>
      </c>
      <c r="X2204">
        <v>0.92921670000000001</v>
      </c>
      <c r="Y2204">
        <v>-9.0859999999999996E-2</v>
      </c>
      <c r="Z2204">
        <v>-4.2501819999999999E-3</v>
      </c>
      <c r="AA2204">
        <v>0.99585460000000003</v>
      </c>
      <c r="AB2204">
        <v>45</v>
      </c>
      <c r="AC2204">
        <v>-16.7483</v>
      </c>
      <c r="AD2204">
        <v>-1.1103202251169999</v>
      </c>
      <c r="AE2204">
        <v>-1.3414999999999899</v>
      </c>
      <c r="AF2204">
        <v>-1.5465753217693201</v>
      </c>
      <c r="AG2204">
        <v>-1.1103202251169999</v>
      </c>
      <c r="AH2204">
        <v>16.6572421256223</v>
      </c>
      <c r="AI2204">
        <v>93.797234123047204</v>
      </c>
      <c r="AJ2204">
        <v>95.3045346657794</v>
      </c>
      <c r="AK2204">
        <v>16.765691797829799</v>
      </c>
      <c r="AL2204">
        <v>68.6318407695247</v>
      </c>
      <c r="AM2204">
        <v>93.794706653107795</v>
      </c>
      <c r="AN2204">
        <v>0.99999995649668805</v>
      </c>
    </row>
    <row r="2205" spans="1:40" x14ac:dyDescent="0.25">
      <c r="A2205" t="str">
        <f>"20190304164858749"</f>
        <v>20190304164858749</v>
      </c>
      <c r="B2205" t="str">
        <f>"1551689338738305"</f>
        <v>1551689338738305</v>
      </c>
      <c r="C2205" t="s">
        <v>40</v>
      </c>
      <c r="D2205">
        <v>4.1590109999999996</v>
      </c>
      <c r="E2205">
        <v>0.53616319999999995</v>
      </c>
      <c r="F2205" t="s">
        <v>47</v>
      </c>
      <c r="G2205">
        <v>-311.24900000000002</v>
      </c>
      <c r="H2205" s="1">
        <v>2.8916369999999999E-6</v>
      </c>
      <c r="I2205">
        <v>283.23489999999998</v>
      </c>
      <c r="J2205">
        <v>-294.7088</v>
      </c>
      <c r="K2205">
        <v>1.1103609999999999</v>
      </c>
      <c r="L2205">
        <v>284.59309999999999</v>
      </c>
      <c r="M2205">
        <v>-0.99982000000000004</v>
      </c>
      <c r="N2205">
        <v>-1.4175200000000001E-2</v>
      </c>
      <c r="O2205">
        <v>1.26122E-2</v>
      </c>
      <c r="P2205">
        <v>-0.93481270000000005</v>
      </c>
      <c r="Q2205">
        <v>0.3515335</v>
      </c>
      <c r="R2205">
        <v>-5.0492750000000003E-2</v>
      </c>
      <c r="S2205">
        <v>-3.2750240000000002</v>
      </c>
      <c r="T2205">
        <v>-0.2137829</v>
      </c>
      <c r="U2205">
        <v>-0.260376</v>
      </c>
      <c r="V2205">
        <v>-6.2246490000000002E-2</v>
      </c>
      <c r="W2205">
        <v>0.36474509999999899</v>
      </c>
      <c r="X2205">
        <v>0.92902450000000003</v>
      </c>
      <c r="Y2205">
        <v>-9.1568490000000002E-2</v>
      </c>
      <c r="Z2205">
        <v>-4.274534E-3</v>
      </c>
      <c r="AA2205">
        <v>0.99578960000000005</v>
      </c>
      <c r="AB2205">
        <v>45</v>
      </c>
      <c r="AC2205">
        <v>-16.540199999999999</v>
      </c>
      <c r="AD2205">
        <v>-1.1103581083630001</v>
      </c>
      <c r="AE2205">
        <v>-1.3582000000000101</v>
      </c>
      <c r="AF2205">
        <v>-1.55973924828846</v>
      </c>
      <c r="AG2205">
        <v>-1.1103581083630001</v>
      </c>
      <c r="AH2205">
        <v>16.4481246626613</v>
      </c>
      <c r="AI2205">
        <v>93.844791775462099</v>
      </c>
      <c r="AJ2205">
        <v>95.417033468377696</v>
      </c>
      <c r="AK2205">
        <v>16.559181337551198</v>
      </c>
      <c r="AL2205">
        <v>68.608104948273194</v>
      </c>
      <c r="AM2205">
        <v>93.833201992214697</v>
      </c>
      <c r="AN2205">
        <v>1.0000000675457801</v>
      </c>
    </row>
    <row r="2206" spans="1:40" x14ac:dyDescent="0.25">
      <c r="A2206" t="str">
        <f>"20190304164858769"</f>
        <v>20190304164858769</v>
      </c>
      <c r="B2206" t="str">
        <f>"1551689338757825"</f>
        <v>1551689338757825</v>
      </c>
      <c r="C2206" t="s">
        <v>40</v>
      </c>
      <c r="D2206">
        <v>4.1111839999999997</v>
      </c>
      <c r="E2206">
        <v>0.54052270000000002</v>
      </c>
      <c r="F2206" t="s">
        <v>47</v>
      </c>
      <c r="G2206">
        <v>-308.5283</v>
      </c>
      <c r="H2206" s="1">
        <v>2.4481170000000002E-6</v>
      </c>
      <c r="I2206">
        <v>284.65879999999999</v>
      </c>
      <c r="J2206">
        <v>-295.1157</v>
      </c>
      <c r="K2206">
        <v>1.110393</v>
      </c>
      <c r="L2206">
        <v>284.59820000000002</v>
      </c>
      <c r="M2206">
        <v>-0.99981989999999998</v>
      </c>
      <c r="N2206">
        <v>-1.422094E-2</v>
      </c>
      <c r="O2206">
        <v>1.25741E-2</v>
      </c>
      <c r="P2206">
        <v>-0.93471360000000003</v>
      </c>
      <c r="Q2206">
        <v>0.35172320000000001</v>
      </c>
      <c r="R2206">
        <v>-5.1005540000000002E-2</v>
      </c>
      <c r="S2206">
        <v>-3.3100890000000001</v>
      </c>
      <c r="T2206">
        <v>-0.2659569</v>
      </c>
      <c r="U2206">
        <v>1.5747069999999998E-2</v>
      </c>
      <c r="V2206">
        <v>-6.2736150000000004E-2</v>
      </c>
      <c r="W2206">
        <v>0.3649733</v>
      </c>
      <c r="X2206">
        <v>0.92890189999999995</v>
      </c>
      <c r="Y2206">
        <v>-7.7614729999999996E-3</v>
      </c>
      <c r="Z2206">
        <v>-1.1966450000000001E-3</v>
      </c>
      <c r="AA2206">
        <v>0.9999692</v>
      </c>
      <c r="AB2206">
        <v>45</v>
      </c>
      <c r="AC2206">
        <v>-13.4125999999999</v>
      </c>
      <c r="AD2206">
        <v>-1.110390551883</v>
      </c>
      <c r="AE2206">
        <v>6.05999999999653E-2</v>
      </c>
      <c r="AF2206">
        <v>-0.10733756164401199</v>
      </c>
      <c r="AG2206">
        <v>-1.110390551883</v>
      </c>
      <c r="AH2206">
        <v>13.321005082050601</v>
      </c>
      <c r="AI2206">
        <v>94.764798193640203</v>
      </c>
      <c r="AJ2206">
        <v>90.461666077848406</v>
      </c>
      <c r="AK2206">
        <v>13.367634978778799</v>
      </c>
      <c r="AL2206">
        <v>68.594061281776604</v>
      </c>
      <c r="AM2206">
        <v>93.863773140213794</v>
      </c>
      <c r="AN2206">
        <v>1.00000003702666</v>
      </c>
    </row>
    <row r="2207" spans="1:40" x14ac:dyDescent="0.25">
      <c r="A2207" t="str">
        <f>"20190304164858791"</f>
        <v>20190304164858791</v>
      </c>
      <c r="B2207" t="str">
        <f>"1551689338778321"</f>
        <v>1551689338778321</v>
      </c>
      <c r="C2207" t="s">
        <v>40</v>
      </c>
      <c r="D2207">
        <v>4.0630800000000002</v>
      </c>
      <c r="E2207">
        <v>0.54259190000000002</v>
      </c>
      <c r="F2207" t="s">
        <v>41</v>
      </c>
      <c r="G2207">
        <v>-295.97289999999998</v>
      </c>
      <c r="H2207">
        <v>1.040699</v>
      </c>
      <c r="I2207">
        <v>284.6112</v>
      </c>
      <c r="J2207">
        <v>-295.55009999999999</v>
      </c>
      <c r="K2207">
        <v>1.1104270000000001</v>
      </c>
      <c r="L2207">
        <v>284.60359999999997</v>
      </c>
      <c r="M2207">
        <v>-0.99981949999999997</v>
      </c>
      <c r="N2207">
        <v>-1.4280279999999999E-2</v>
      </c>
      <c r="O2207">
        <v>1.253219E-2</v>
      </c>
      <c r="P2207">
        <v>-0.9347046</v>
      </c>
      <c r="Q2207">
        <v>0.35172989999999998</v>
      </c>
      <c r="R2207">
        <v>-5.1125049999999998E-2</v>
      </c>
      <c r="S2207">
        <v>-3.3137210000000001</v>
      </c>
      <c r="T2207">
        <v>-0.26970709999999998</v>
      </c>
      <c r="U2207">
        <v>4.9163819999999997E-2</v>
      </c>
      <c r="V2207">
        <v>-6.2828499999999995E-2</v>
      </c>
      <c r="W2207">
        <v>0.36503279999999999</v>
      </c>
      <c r="X2207">
        <v>0.92887220000000004</v>
      </c>
      <c r="Y2207">
        <v>2.3206910000000002E-3</v>
      </c>
      <c r="Z2207">
        <v>-7.2861349999999998E-4</v>
      </c>
      <c r="AA2207">
        <v>0.99999700000000002</v>
      </c>
      <c r="AB2207">
        <v>45</v>
      </c>
      <c r="AC2207">
        <v>-0.42279999999999501</v>
      </c>
      <c r="AD2207">
        <v>-6.9727999999999998E-2</v>
      </c>
      <c r="AE2207">
        <v>7.6000000000249202E-3</v>
      </c>
      <c r="AF2207">
        <v>2.2393651733820402E-3</v>
      </c>
      <c r="AG2207">
        <v>-6.9727999999999998E-2</v>
      </c>
      <c r="AH2207">
        <v>0.41166889757303798</v>
      </c>
      <c r="AI2207">
        <v>99.613311958303697</v>
      </c>
      <c r="AJ2207">
        <v>89.688329848452994</v>
      </c>
      <c r="AK2207">
        <v>0.41753836945768202</v>
      </c>
      <c r="AL2207">
        <v>68.590397921869695</v>
      </c>
      <c r="AM2207">
        <v>93.869566842595006</v>
      </c>
      <c r="AN2207">
        <v>0.99999996471046404</v>
      </c>
    </row>
    <row r="2208" spans="1:40" x14ac:dyDescent="0.25">
      <c r="A2208" t="str">
        <f>"20190304164858804"</f>
        <v>20190304164858804</v>
      </c>
      <c r="B2208" t="str">
        <f>"1551689338797841"</f>
        <v>1551689338797841</v>
      </c>
      <c r="C2208" t="s">
        <v>40</v>
      </c>
      <c r="D2208">
        <v>4.0904319999999998</v>
      </c>
      <c r="E2208">
        <v>0.5436839</v>
      </c>
      <c r="F2208" t="s">
        <v>47</v>
      </c>
      <c r="G2208">
        <v>-309.29559999999998</v>
      </c>
      <c r="H2208" s="1">
        <v>2.2929009999999999E-6</v>
      </c>
      <c r="I2208">
        <v>284.87729999999999</v>
      </c>
      <c r="J2208">
        <v>-295.80990000000003</v>
      </c>
      <c r="K2208">
        <v>1.110444</v>
      </c>
      <c r="L2208">
        <v>284.6069</v>
      </c>
      <c r="M2208">
        <v>-0.99981929999999997</v>
      </c>
      <c r="N2208">
        <v>-1.432367E-2</v>
      </c>
      <c r="O2208">
        <v>1.2506130000000001E-2</v>
      </c>
      <c r="P2208">
        <v>-0.93467659999999997</v>
      </c>
      <c r="Q2208">
        <v>0.3518348</v>
      </c>
      <c r="R2208">
        <v>-5.0915050000000003E-2</v>
      </c>
      <c r="S2208">
        <v>-3.313965</v>
      </c>
      <c r="T2208">
        <v>-0.26771739999999999</v>
      </c>
      <c r="U2208">
        <v>6.5978999999999996E-2</v>
      </c>
      <c r="V2208">
        <v>-6.2600119999999995E-2</v>
      </c>
      <c r="W2208">
        <v>0.36517670000000002</v>
      </c>
      <c r="X2208">
        <v>0.92883110000000002</v>
      </c>
      <c r="Y2208">
        <v>7.3981259999999997E-3</v>
      </c>
      <c r="Z2208">
        <v>-4.7820950000000001E-4</v>
      </c>
      <c r="AA2208">
        <v>0.99997250000000004</v>
      </c>
      <c r="AB2208">
        <v>44</v>
      </c>
      <c r="AC2208">
        <v>-13.4856999999999</v>
      </c>
      <c r="AD2208">
        <v>-1.110441707099</v>
      </c>
      <c r="AE2208">
        <v>0.27039999999999498</v>
      </c>
      <c r="AF2208">
        <v>0.101022961292675</v>
      </c>
      <c r="AG2208">
        <v>-1.110441707099</v>
      </c>
      <c r="AH2208">
        <v>13.397227340838899</v>
      </c>
      <c r="AI2208">
        <v>94.738049379693905</v>
      </c>
      <c r="AJ2208">
        <v>89.567964365602506</v>
      </c>
      <c r="AK2208">
        <v>13.443548149416999</v>
      </c>
      <c r="AL2208">
        <v>68.581542581794395</v>
      </c>
      <c r="AM2208">
        <v>93.855713655878404</v>
      </c>
      <c r="AN2208">
        <v>1.0000000047870501</v>
      </c>
    </row>
    <row r="2209" spans="1:40" x14ac:dyDescent="0.25">
      <c r="A2209" t="str">
        <f>"20190304164858819"</f>
        <v>20190304164858819</v>
      </c>
      <c r="B2209" t="str">
        <f>"1551689338808578"</f>
        <v>1551689338808578</v>
      </c>
      <c r="C2209" t="s">
        <v>40</v>
      </c>
      <c r="D2209">
        <v>4.0837240000000001</v>
      </c>
      <c r="E2209">
        <v>0.5440218</v>
      </c>
      <c r="F2209" t="s">
        <v>41</v>
      </c>
      <c r="G2209">
        <v>-296.75749999999999</v>
      </c>
      <c r="H2209">
        <v>1.034697</v>
      </c>
      <c r="I2209">
        <v>284.62880000000001</v>
      </c>
      <c r="J2209">
        <v>-296.09910000000002</v>
      </c>
      <c r="K2209">
        <v>1.110463</v>
      </c>
      <c r="L2209">
        <v>284.6105</v>
      </c>
      <c r="M2209">
        <v>-0.99981889999999995</v>
      </c>
      <c r="N2209">
        <v>-1.437719E-2</v>
      </c>
      <c r="O2209">
        <v>1.247702E-2</v>
      </c>
      <c r="P2209">
        <v>-0.934701</v>
      </c>
      <c r="Q2209">
        <v>0.35174749999999999</v>
      </c>
      <c r="R2209">
        <v>-5.1068870000000002E-2</v>
      </c>
      <c r="S2209">
        <v>-3.3135379999999999</v>
      </c>
      <c r="T2209">
        <v>-0.26495800000000003</v>
      </c>
      <c r="U2209">
        <v>7.6019290000000003E-2</v>
      </c>
      <c r="V2209">
        <v>-6.2732679999999999E-2</v>
      </c>
      <c r="W2209">
        <v>0.36513849999999998</v>
      </c>
      <c r="X2209">
        <v>0.92883720000000003</v>
      </c>
      <c r="Y2209">
        <v>1.044661E-2</v>
      </c>
      <c r="Z2209">
        <v>-3.2457150000000001E-4</v>
      </c>
      <c r="AA2209">
        <v>0.99994539999999998</v>
      </c>
      <c r="AB2209">
        <v>44</v>
      </c>
      <c r="AC2209">
        <v>-0.65839999999997101</v>
      </c>
      <c r="AD2209">
        <v>-7.5766E-2</v>
      </c>
      <c r="AE2209">
        <v>1.8300000000010599E-2</v>
      </c>
      <c r="AF2209">
        <v>9.9511804598622303E-3</v>
      </c>
      <c r="AG2209">
        <v>-7.5766E-2</v>
      </c>
      <c r="AH2209">
        <v>0.64997644123265497</v>
      </c>
      <c r="AI2209">
        <v>96.648036122773107</v>
      </c>
      <c r="AJ2209">
        <v>89.1228665172425</v>
      </c>
      <c r="AK2209">
        <v>0.65445312048000104</v>
      </c>
      <c r="AL2209">
        <v>68.583894168224703</v>
      </c>
      <c r="AM2209">
        <v>93.863828387062</v>
      </c>
      <c r="AN2209">
        <v>1.00000002871303</v>
      </c>
    </row>
    <row r="2210" spans="1:40" x14ac:dyDescent="0.25">
      <c r="A2210" t="str">
        <f>"20190304164858836"</f>
        <v>20190304164858836</v>
      </c>
      <c r="B2210" t="str">
        <f>"1551689338828097"</f>
        <v>1551689338828097</v>
      </c>
      <c r="C2210" t="s">
        <v>40</v>
      </c>
      <c r="D2210">
        <v>4.1017400000000004</v>
      </c>
      <c r="E2210">
        <v>0.5445219</v>
      </c>
      <c r="F2210" t="s">
        <v>41</v>
      </c>
      <c r="G2210">
        <v>-297.14929999999998</v>
      </c>
      <c r="H2210">
        <v>1.0263420000000001</v>
      </c>
      <c r="I2210">
        <v>284.63569999999999</v>
      </c>
      <c r="J2210">
        <v>-296.4581</v>
      </c>
      <c r="K2210">
        <v>1.110487</v>
      </c>
      <c r="L2210">
        <v>284.61500000000001</v>
      </c>
      <c r="M2210">
        <v>-0.99981819999999999</v>
      </c>
      <c r="N2210">
        <v>-1.44519E-2</v>
      </c>
      <c r="O2210">
        <v>1.244083E-2</v>
      </c>
      <c r="P2210">
        <v>-0.93462129999999999</v>
      </c>
      <c r="Q2210">
        <v>0.35201739999999998</v>
      </c>
      <c r="R2210">
        <v>-5.066263E-2</v>
      </c>
      <c r="S2210">
        <v>-3.3138429999999999</v>
      </c>
      <c r="T2210">
        <v>-0.26550289999999999</v>
      </c>
      <c r="U2210">
        <v>7.8979489999999999E-2</v>
      </c>
      <c r="V2210">
        <v>-6.2297739999999997E-2</v>
      </c>
      <c r="W2210">
        <v>0.36547580000000002</v>
      </c>
      <c r="X2210">
        <v>0.92873380000000005</v>
      </c>
      <c r="Y2210">
        <v>1.136975E-2</v>
      </c>
      <c r="Z2210">
        <v>-2.7840439999999997E-4</v>
      </c>
      <c r="AA2210">
        <v>0.99993529999999997</v>
      </c>
      <c r="AB2210">
        <v>44</v>
      </c>
      <c r="AC2210">
        <v>-0.69119999999998005</v>
      </c>
      <c r="AD2210">
        <v>-8.41449999999999E-2</v>
      </c>
      <c r="AE2210">
        <v>2.0699999999976602E-2</v>
      </c>
      <c r="AF2210">
        <v>1.19218738946679E-2</v>
      </c>
      <c r="AG2210">
        <v>-8.41449999999999E-2</v>
      </c>
      <c r="AH2210">
        <v>0.68131597144147005</v>
      </c>
      <c r="AI2210">
        <v>97.039517725344695</v>
      </c>
      <c r="AJ2210">
        <v>88.997523348009395</v>
      </c>
      <c r="AK2210">
        <v>0.68659592559480997</v>
      </c>
      <c r="AL2210">
        <v>68.563133273587894</v>
      </c>
      <c r="AM2210">
        <v>93.837545814493595</v>
      </c>
      <c r="AN2210">
        <v>1.0000000200285899</v>
      </c>
    </row>
    <row r="2211" spans="1:40" x14ac:dyDescent="0.25">
      <c r="A2211" t="str">
        <f>"20190304164858848"</f>
        <v>20190304164858848</v>
      </c>
      <c r="B2211" t="str">
        <f>"1551689338838833"</f>
        <v>1551689338838833</v>
      </c>
      <c r="C2211" t="s">
        <v>40</v>
      </c>
      <c r="D2211">
        <v>4.093121</v>
      </c>
      <c r="E2211">
        <v>0.54472619999999905</v>
      </c>
      <c r="F2211" t="s">
        <v>41</v>
      </c>
      <c r="G2211">
        <v>-297.54410000000001</v>
      </c>
      <c r="H2211">
        <v>1.0237909999999999</v>
      </c>
      <c r="I2211">
        <v>284.64319999999998</v>
      </c>
      <c r="J2211">
        <v>-296.69139999999999</v>
      </c>
      <c r="K2211">
        <v>1.1104959999999999</v>
      </c>
      <c r="L2211">
        <v>284.61790000000002</v>
      </c>
      <c r="M2211">
        <v>-0.99981779999999998</v>
      </c>
      <c r="N2211">
        <v>-1.450273E-2</v>
      </c>
      <c r="O2211">
        <v>1.241661E-2</v>
      </c>
      <c r="P2211">
        <v>-0.93458989999999997</v>
      </c>
      <c r="Q2211">
        <v>0.35213410000000001</v>
      </c>
      <c r="R2211">
        <v>-5.043222E-2</v>
      </c>
      <c r="S2211">
        <v>-3.3141780000000001</v>
      </c>
      <c r="T2211">
        <v>-0.26477499999999998</v>
      </c>
      <c r="U2211">
        <v>8.5266110000000006E-2</v>
      </c>
      <c r="V2211">
        <v>-6.2047680000000001E-2</v>
      </c>
      <c r="W2211">
        <v>0.36563869999999998</v>
      </c>
      <c r="X2211">
        <v>0.92868640000000002</v>
      </c>
      <c r="Y2211">
        <v>1.3279859999999999E-2</v>
      </c>
      <c r="Z2211">
        <v>-1.8431E-4</v>
      </c>
      <c r="AA2211">
        <v>0.99991180000000002</v>
      </c>
      <c r="AB2211">
        <v>44</v>
      </c>
      <c r="AC2211">
        <v>-0.85270000000002699</v>
      </c>
      <c r="AD2211">
        <v>-8.6705000000000004E-2</v>
      </c>
      <c r="AE2211">
        <v>2.52999999999588E-2</v>
      </c>
      <c r="AF2211">
        <v>1.45588949967555E-2</v>
      </c>
      <c r="AG2211">
        <v>-8.6705000000000004E-2</v>
      </c>
      <c r="AH2211">
        <v>0.84422729097624805</v>
      </c>
      <c r="AI2211">
        <v>95.863044972551407</v>
      </c>
      <c r="AJ2211">
        <v>89.0120189568283</v>
      </c>
      <c r="AK2211">
        <v>0.84879292956387298</v>
      </c>
      <c r="AL2211">
        <v>68.553105360605002</v>
      </c>
      <c r="AM2211">
        <v>93.822382354411303</v>
      </c>
      <c r="AN2211">
        <v>1.0000000015380099</v>
      </c>
    </row>
    <row r="2212" spans="1:40" x14ac:dyDescent="0.25">
      <c r="A2212" t="str">
        <f>"20190304164858860"</f>
        <v>20190304164858860</v>
      </c>
      <c r="B2212" t="str">
        <f>"1551689338848594"</f>
        <v>1551689338848594</v>
      </c>
      <c r="C2212" t="s">
        <v>40</v>
      </c>
      <c r="D2212">
        <v>4.1106179999999997</v>
      </c>
      <c r="E2212">
        <v>0.54492180000000001</v>
      </c>
      <c r="F2212" t="s">
        <v>41</v>
      </c>
      <c r="G2212">
        <v>-297.55610000000001</v>
      </c>
      <c r="H2212">
        <v>1.041693</v>
      </c>
      <c r="I2212">
        <v>284.64109999999999</v>
      </c>
      <c r="J2212">
        <v>-296.90929999999997</v>
      </c>
      <c r="K2212">
        <v>1.1105080000000001</v>
      </c>
      <c r="L2212">
        <v>284.62049999999999</v>
      </c>
      <c r="M2212">
        <v>-0.99981739999999997</v>
      </c>
      <c r="N2212">
        <v>-1.4550270000000001E-2</v>
      </c>
      <c r="O2212">
        <v>1.2393919999999999E-2</v>
      </c>
      <c r="P2212">
        <v>-0.93457140000000005</v>
      </c>
      <c r="Q2212">
        <v>0.3522421</v>
      </c>
      <c r="R2212">
        <v>-5.002086E-2</v>
      </c>
      <c r="S2212">
        <v>-3.3141479999999999</v>
      </c>
      <c r="T2212">
        <v>-0.26395829999999998</v>
      </c>
      <c r="U2212">
        <v>8.7860110000000005E-2</v>
      </c>
      <c r="V2212">
        <v>-6.1618159999999998E-2</v>
      </c>
      <c r="W2212">
        <v>0.36579050000000002</v>
      </c>
      <c r="X2212">
        <v>0.92865520000000001</v>
      </c>
      <c r="Y2212">
        <v>1.408186E-2</v>
      </c>
      <c r="Z2212">
        <v>-1.427825E-4</v>
      </c>
      <c r="AA2212">
        <v>0.99990080000000003</v>
      </c>
      <c r="AB2212">
        <v>44</v>
      </c>
      <c r="AC2212">
        <v>-0.64680000000004101</v>
      </c>
      <c r="AD2212">
        <v>-6.8815000000000001E-2</v>
      </c>
      <c r="AE2212">
        <v>2.06000000000017E-2</v>
      </c>
      <c r="AF2212">
        <v>1.2440504618124499E-2</v>
      </c>
      <c r="AG2212">
        <v>-6.8815000000000001E-2</v>
      </c>
      <c r="AH2212">
        <v>0.63977111869869396</v>
      </c>
      <c r="AI2212">
        <v>96.138088176744404</v>
      </c>
      <c r="AJ2212">
        <v>88.886010059019398</v>
      </c>
      <c r="AK2212">
        <v>0.64358166125296901</v>
      </c>
      <c r="AL2212">
        <v>68.543760121570301</v>
      </c>
      <c r="AM2212">
        <v>93.796127015932996</v>
      </c>
      <c r="AN2212">
        <v>0.99999998400953705</v>
      </c>
    </row>
    <row r="2213" spans="1:40" x14ac:dyDescent="0.25">
      <c r="A2213" t="str">
        <f>"20190304164858872"</f>
        <v>20190304164858872</v>
      </c>
      <c r="B2213" t="str">
        <f>"1551689338868113"</f>
        <v>1551689338868113</v>
      </c>
      <c r="C2213" t="s">
        <v>40</v>
      </c>
      <c r="D2213">
        <v>4.1003829999999999</v>
      </c>
      <c r="E2213">
        <v>0.54516949999999997</v>
      </c>
      <c r="F2213" t="s">
        <v>41</v>
      </c>
      <c r="G2213">
        <v>-297.94209999999998</v>
      </c>
      <c r="H2213">
        <v>1.028386</v>
      </c>
      <c r="I2213">
        <v>284.64879999999999</v>
      </c>
      <c r="J2213">
        <v>-297.1567</v>
      </c>
      <c r="K2213">
        <v>1.1105210000000001</v>
      </c>
      <c r="L2213">
        <v>284.62360000000001</v>
      </c>
      <c r="M2213">
        <v>-0.99981690000000001</v>
      </c>
      <c r="N2213">
        <v>-1.460436E-2</v>
      </c>
      <c r="O2213">
        <v>1.236831E-2</v>
      </c>
      <c r="P2213">
        <v>-0.93454809999999999</v>
      </c>
      <c r="Q2213">
        <v>0.3523599</v>
      </c>
      <c r="R2213">
        <v>-4.9623140000000003E-2</v>
      </c>
      <c r="S2213">
        <v>-3.3141780000000001</v>
      </c>
      <c r="T2213">
        <v>-0.26355149999999999</v>
      </c>
      <c r="U2213">
        <v>9.0606690000000004E-2</v>
      </c>
      <c r="V2213">
        <v>-6.1198469999999998E-2</v>
      </c>
      <c r="W2213">
        <v>0.3659578</v>
      </c>
      <c r="X2213">
        <v>0.92861709999999997</v>
      </c>
      <c r="Y2213">
        <v>1.4932010000000001E-2</v>
      </c>
      <c r="Z2213" s="1">
        <v>-9.9444059999999996E-5</v>
      </c>
      <c r="AA2213">
        <v>0.99988849999999996</v>
      </c>
      <c r="AB2213">
        <v>44</v>
      </c>
      <c r="AC2213">
        <v>-0.785399999999981</v>
      </c>
      <c r="AD2213">
        <v>-8.2134999999999805E-2</v>
      </c>
      <c r="AE2213">
        <v>2.5199999999983898E-2</v>
      </c>
      <c r="AF2213">
        <v>1.53156398743755E-2</v>
      </c>
      <c r="AG2213">
        <v>-8.2134999999999805E-2</v>
      </c>
      <c r="AH2213">
        <v>0.77716101670121895</v>
      </c>
      <c r="AI2213">
        <v>96.031801066348905</v>
      </c>
      <c r="AJ2213">
        <v>88.871008798355902</v>
      </c>
      <c r="AK2213">
        <v>0.78163928568735197</v>
      </c>
      <c r="AL2213">
        <v>68.533461689322607</v>
      </c>
      <c r="AM2213">
        <v>93.770500136928405</v>
      </c>
      <c r="AN2213">
        <v>1.00000004126179</v>
      </c>
    </row>
    <row r="2214" spans="1:40" x14ac:dyDescent="0.25">
      <c r="A2214" t="str">
        <f>"20190304164858883"</f>
        <v>20190304164858883</v>
      </c>
      <c r="B2214" t="str">
        <f>"1551689338877873"</f>
        <v>1551689338877873</v>
      </c>
      <c r="C2214" t="s">
        <v>40</v>
      </c>
      <c r="D2214">
        <v>4.1018049999999997</v>
      </c>
      <c r="E2214">
        <v>0.54529490000000003</v>
      </c>
      <c r="F2214" t="s">
        <v>47</v>
      </c>
      <c r="G2214">
        <v>-311.14780000000002</v>
      </c>
      <c r="H2214" s="1">
        <v>2.6905130000000001E-6</v>
      </c>
      <c r="I2214">
        <v>285.0222</v>
      </c>
      <c r="J2214">
        <v>-297.39089999999999</v>
      </c>
      <c r="K2214">
        <v>1.1105309999999999</v>
      </c>
      <c r="L2214">
        <v>284.62650000000002</v>
      </c>
      <c r="M2214">
        <v>-0.9998165</v>
      </c>
      <c r="N2214">
        <v>-1.4654729999999999E-2</v>
      </c>
      <c r="O2214">
        <v>1.2343450000000001E-2</v>
      </c>
      <c r="P2214">
        <v>-0.93464559999999997</v>
      </c>
      <c r="Q2214">
        <v>0.35216910000000001</v>
      </c>
      <c r="R2214">
        <v>-4.9138540000000001E-2</v>
      </c>
      <c r="S2214">
        <v>-3.3143009999999999</v>
      </c>
      <c r="T2214">
        <v>-0.26306649999999998</v>
      </c>
      <c r="U2214">
        <v>9.4421389999999994E-2</v>
      </c>
      <c r="V2214">
        <v>-6.0694230000000002E-2</v>
      </c>
      <c r="W2214">
        <v>0.3658149</v>
      </c>
      <c r="X2214">
        <v>0.92870649999999999</v>
      </c>
      <c r="Y2214">
        <v>1.6101399999999998E-2</v>
      </c>
      <c r="Z2214" s="1">
        <v>-4.119053E-5</v>
      </c>
      <c r="AA2214">
        <v>0.99987040000000005</v>
      </c>
      <c r="AB2214">
        <v>44</v>
      </c>
      <c r="AC2214">
        <v>-13.7569</v>
      </c>
      <c r="AD2214">
        <v>-1.110528309487</v>
      </c>
      <c r="AE2214">
        <v>0.39569999999997602</v>
      </c>
      <c r="AF2214">
        <v>0.224383021056698</v>
      </c>
      <c r="AG2214">
        <v>-1.110528309487</v>
      </c>
      <c r="AH2214">
        <v>13.671717697649999</v>
      </c>
      <c r="AI2214">
        <v>94.643212039302696</v>
      </c>
      <c r="AJ2214">
        <v>89.059734390769094</v>
      </c>
      <c r="AK2214">
        <v>13.7185817660043</v>
      </c>
      <c r="AL2214">
        <v>68.542259411703398</v>
      </c>
      <c r="AM2214">
        <v>93.739162954642893</v>
      </c>
      <c r="AN2214">
        <v>1.0000000468797701</v>
      </c>
    </row>
    <row r="2215" spans="1:40" x14ac:dyDescent="0.25">
      <c r="A2215" t="str">
        <f>"20190304164858896"</f>
        <v>20190304164858896</v>
      </c>
      <c r="B2215" t="str">
        <f>"1551689338888609"</f>
        <v>1551689338888609</v>
      </c>
      <c r="C2215" t="s">
        <v>40</v>
      </c>
      <c r="D2215">
        <v>4.1053850000000001</v>
      </c>
      <c r="E2215">
        <v>0.54540040000000001</v>
      </c>
      <c r="F2215" t="s">
        <v>41</v>
      </c>
      <c r="G2215">
        <v>-298.34059999999999</v>
      </c>
      <c r="H2215">
        <v>1.0350060000000001</v>
      </c>
      <c r="I2215">
        <v>284.65440000000001</v>
      </c>
      <c r="J2215">
        <v>-297.63470000000001</v>
      </c>
      <c r="K2215">
        <v>1.1105389999999999</v>
      </c>
      <c r="L2215">
        <v>284.62950000000001</v>
      </c>
      <c r="M2215">
        <v>-0.99981600000000004</v>
      </c>
      <c r="N2215">
        <v>-1.470665E-2</v>
      </c>
      <c r="O2215">
        <v>1.231751E-2</v>
      </c>
      <c r="P2215">
        <v>-0.93452760000000001</v>
      </c>
      <c r="Q2215">
        <v>0.35251779999999999</v>
      </c>
      <c r="R2215">
        <v>-4.887971E-2</v>
      </c>
      <c r="S2215">
        <v>-3.3142089999999902</v>
      </c>
      <c r="T2215">
        <v>-0.26375769999999998</v>
      </c>
      <c r="U2215">
        <v>9.6710210000000005E-2</v>
      </c>
      <c r="V2215">
        <v>-6.0412250000000001E-2</v>
      </c>
      <c r="W2215">
        <v>0.36620989999999998</v>
      </c>
      <c r="X2215">
        <v>0.92856919999999998</v>
      </c>
      <c r="Y2215">
        <v>1.6815130000000001E-2</v>
      </c>
      <c r="Z2215" s="1">
        <v>-5.738984E-6</v>
      </c>
      <c r="AA2215">
        <v>0.99985860000000004</v>
      </c>
      <c r="AB2215">
        <v>44</v>
      </c>
      <c r="AC2215">
        <v>-0.70589999999998498</v>
      </c>
      <c r="AD2215">
        <v>-7.5533000000000003E-2</v>
      </c>
      <c r="AE2215">
        <v>2.4900000000002299E-2</v>
      </c>
      <c r="AF2215">
        <v>1.60190574953534E-2</v>
      </c>
      <c r="AG2215">
        <v>-7.5533000000000003E-2</v>
      </c>
      <c r="AH2215">
        <v>0.69816940814205697</v>
      </c>
      <c r="AI2215">
        <v>96.173042754872895</v>
      </c>
      <c r="AJ2215">
        <v>88.685615030784206</v>
      </c>
      <c r="AK2215">
        <v>0.70242605785767198</v>
      </c>
      <c r="AL2215">
        <v>68.517940016841905</v>
      </c>
      <c r="AM2215">
        <v>93.722388847150697</v>
      </c>
      <c r="AN2215">
        <v>1.0000000449983499</v>
      </c>
    </row>
    <row r="2216" spans="1:40" x14ac:dyDescent="0.25">
      <c r="A2216" t="str">
        <f>"20190304164858907"</f>
        <v>20190304164858907</v>
      </c>
      <c r="B2216" t="str">
        <f>"1551689338898369"</f>
        <v>1551689338898369</v>
      </c>
      <c r="C2216" t="s">
        <v>40</v>
      </c>
      <c r="D2216">
        <v>4.0975830000000002</v>
      </c>
      <c r="E2216">
        <v>0.54549139999999996</v>
      </c>
      <c r="F2216" t="s">
        <v>41</v>
      </c>
      <c r="G2216">
        <v>-298.72980000000001</v>
      </c>
      <c r="H2216">
        <v>1.02389</v>
      </c>
      <c r="I2216">
        <v>284.66230000000002</v>
      </c>
      <c r="J2216">
        <v>-297.85989999999998</v>
      </c>
      <c r="K2216">
        <v>1.110549</v>
      </c>
      <c r="L2216">
        <v>284.63229999999999</v>
      </c>
      <c r="M2216">
        <v>-0.99981569999999997</v>
      </c>
      <c r="N2216">
        <v>-1.4752629999999999E-2</v>
      </c>
      <c r="O2216">
        <v>1.229305E-2</v>
      </c>
      <c r="P2216">
        <v>-0.93461209999999995</v>
      </c>
      <c r="Q2216">
        <v>0.35235339999999998</v>
      </c>
      <c r="R2216">
        <v>-4.8454959999999998E-2</v>
      </c>
      <c r="S2216">
        <v>-3.3143310000000001</v>
      </c>
      <c r="T2216">
        <v>-0.26236589999999999</v>
      </c>
      <c r="U2216">
        <v>9.8632810000000001E-2</v>
      </c>
      <c r="V2216">
        <v>-5.9967649999999997E-2</v>
      </c>
      <c r="W2216">
        <v>0.3660891</v>
      </c>
      <c r="X2216">
        <v>0.92864559999999996</v>
      </c>
      <c r="Y2216">
        <v>1.7415949999999999E-2</v>
      </c>
      <c r="Z2216" s="1">
        <v>2.661522E-5</v>
      </c>
      <c r="AA2216">
        <v>0.99984830000000002</v>
      </c>
      <c r="AB2216">
        <v>44</v>
      </c>
      <c r="AC2216">
        <v>-0.86990000000002898</v>
      </c>
      <c r="AD2216">
        <v>-8.6659E-2</v>
      </c>
      <c r="AE2216">
        <v>3.00000000000295E-2</v>
      </c>
      <c r="AF2216">
        <v>1.91133888059721E-2</v>
      </c>
      <c r="AG2216">
        <v>-8.6659E-2</v>
      </c>
      <c r="AH2216">
        <v>0.86166207131919703</v>
      </c>
      <c r="AI2216">
        <v>95.7416319255953</v>
      </c>
      <c r="AJ2216">
        <v>88.729273358901807</v>
      </c>
      <c r="AK2216">
        <v>0.86621973486104398</v>
      </c>
      <c r="AL2216">
        <v>68.525376829714403</v>
      </c>
      <c r="AM2216">
        <v>93.694767192613099</v>
      </c>
      <c r="AN2216">
        <v>0.99999999929234595</v>
      </c>
    </row>
    <row r="2217" spans="1:40" x14ac:dyDescent="0.25">
      <c r="A2217" t="str">
        <f>"20190304164858926"</f>
        <v>20190304164858926</v>
      </c>
      <c r="B2217" t="str">
        <f>"1551689338917893"</f>
        <v>1551689338917893</v>
      </c>
      <c r="C2217" t="s">
        <v>40</v>
      </c>
      <c r="D2217">
        <v>4.1037879999999998</v>
      </c>
      <c r="E2217">
        <v>0.54564199999999996</v>
      </c>
      <c r="F2217" t="s">
        <v>41</v>
      </c>
      <c r="G2217">
        <v>-298.74040000000002</v>
      </c>
      <c r="H2217">
        <v>1.0407109999999999</v>
      </c>
      <c r="I2217">
        <v>284.6592</v>
      </c>
      <c r="J2217">
        <v>-298.23390000000001</v>
      </c>
      <c r="K2217">
        <v>1.1105640000000001</v>
      </c>
      <c r="L2217">
        <v>284.63679999999999</v>
      </c>
      <c r="M2217">
        <v>-0.99981509999999996</v>
      </c>
      <c r="N2217">
        <v>-1.482548E-2</v>
      </c>
      <c r="O2217">
        <v>1.225118E-2</v>
      </c>
      <c r="P2217">
        <v>-0.93461380000000005</v>
      </c>
      <c r="Q2217">
        <v>0.35241630000000002</v>
      </c>
      <c r="R2217">
        <v>-4.7959540000000002E-2</v>
      </c>
      <c r="S2217">
        <v>-3.3143009999999999</v>
      </c>
      <c r="T2217">
        <v>-0.26303179999999998</v>
      </c>
      <c r="U2217">
        <v>0.1006775</v>
      </c>
      <c r="V2217">
        <v>-5.943698E-2</v>
      </c>
      <c r="W2217">
        <v>0.36621910000000002</v>
      </c>
      <c r="X2217">
        <v>0.92862840000000002</v>
      </c>
      <c r="Y2217">
        <v>1.8071569999999999E-2</v>
      </c>
      <c r="Z2217" s="1">
        <v>6.0965419999999897E-5</v>
      </c>
      <c r="AA2217">
        <v>0.99983670000000002</v>
      </c>
      <c r="AB2217">
        <v>44</v>
      </c>
      <c r="AC2217">
        <v>-0.50650000000001605</v>
      </c>
      <c r="AD2217">
        <v>-6.9852999999999693E-2</v>
      </c>
      <c r="AE2217">
        <v>2.24000000000046E-2</v>
      </c>
      <c r="AF2217">
        <v>1.5890761408507901E-2</v>
      </c>
      <c r="AG2217">
        <v>-6.9852999999999693E-2</v>
      </c>
      <c r="AH2217">
        <v>0.497296308372075</v>
      </c>
      <c r="AI2217">
        <v>97.991743753532702</v>
      </c>
      <c r="AJ2217">
        <v>88.169775547986504</v>
      </c>
      <c r="AK2217">
        <v>0.50242967291715201</v>
      </c>
      <c r="AL2217">
        <v>68.517371277785799</v>
      </c>
      <c r="AM2217">
        <v>93.662228213817301</v>
      </c>
      <c r="AN2217">
        <v>0.99999994454144303</v>
      </c>
    </row>
    <row r="2218" spans="1:40" x14ac:dyDescent="0.25">
      <c r="A2218" t="str">
        <f>"20190304164858949"</f>
        <v>20190304164858949</v>
      </c>
      <c r="B2218" t="str">
        <f>"1551689338938385"</f>
        <v>1551689338938385</v>
      </c>
      <c r="C2218" t="s">
        <v>40</v>
      </c>
      <c r="D2218">
        <v>4.0982219999999998</v>
      </c>
      <c r="E2218">
        <v>0.54572419999999899</v>
      </c>
      <c r="F2218" t="s">
        <v>41</v>
      </c>
      <c r="G2218">
        <v>-299.13350000000003</v>
      </c>
      <c r="H2218">
        <v>1.0392650000000001</v>
      </c>
      <c r="I2218">
        <v>284.66489999999999</v>
      </c>
      <c r="J2218">
        <v>-298.66550000000001</v>
      </c>
      <c r="K2218">
        <v>1.1105780000000001</v>
      </c>
      <c r="L2218">
        <v>284.64210000000003</v>
      </c>
      <c r="M2218">
        <v>-0.99981469999999995</v>
      </c>
      <c r="N2218">
        <v>-1.4902479999999999E-2</v>
      </c>
      <c r="O2218">
        <v>1.2196729999999999E-2</v>
      </c>
      <c r="P2218">
        <v>-0.93467020000000001</v>
      </c>
      <c r="Q2218">
        <v>0.35226829999999998</v>
      </c>
      <c r="R2218">
        <v>-4.7945330000000001E-2</v>
      </c>
      <c r="S2218">
        <v>-3.3142399999999999</v>
      </c>
      <c r="T2218">
        <v>-0.26279619999999998</v>
      </c>
      <c r="U2218">
        <v>0.1026306</v>
      </c>
      <c r="V2218">
        <v>-5.9377800000000001E-2</v>
      </c>
      <c r="W2218">
        <v>0.36614279999999999</v>
      </c>
      <c r="X2218">
        <v>0.92866230000000005</v>
      </c>
      <c r="Y2218">
        <v>1.8712659999999999E-2</v>
      </c>
      <c r="Z2218" s="1">
        <v>9.6487870000000006E-5</v>
      </c>
      <c r="AA2218">
        <v>0.99982490000000002</v>
      </c>
      <c r="AB2218">
        <v>44</v>
      </c>
      <c r="AC2218">
        <v>-0.46800000000001701</v>
      </c>
      <c r="AD2218">
        <v>-7.1313000000000099E-2</v>
      </c>
      <c r="AE2218">
        <v>2.2799999999961001E-2</v>
      </c>
      <c r="AF2218">
        <v>1.67026973104916E-2</v>
      </c>
      <c r="AG2218">
        <v>-7.1313000000000099E-2</v>
      </c>
      <c r="AH2218">
        <v>0.45764240521240201</v>
      </c>
      <c r="AI2218">
        <v>98.851194093115694</v>
      </c>
      <c r="AJ2218">
        <v>87.909788364709399</v>
      </c>
      <c r="AK2218">
        <v>0.463466390491305</v>
      </c>
      <c r="AL2218">
        <v>68.5220698302914</v>
      </c>
      <c r="AM2218">
        <v>93.6584585372444</v>
      </c>
      <c r="AN2218">
        <v>0.99999997028298404</v>
      </c>
    </row>
    <row r="2219" spans="1:40" x14ac:dyDescent="0.25">
      <c r="A2219" t="str">
        <f>"20190304164858969"</f>
        <v>20190304164858969</v>
      </c>
      <c r="B2219" t="str">
        <f>"1551689338957905"</f>
        <v>1551689338957905</v>
      </c>
      <c r="C2219" t="s">
        <v>40</v>
      </c>
      <c r="D2219">
        <v>4.1006269999999896</v>
      </c>
      <c r="E2219">
        <v>0.5457999</v>
      </c>
      <c r="F2219" t="s">
        <v>41</v>
      </c>
      <c r="G2219">
        <v>-299.52969999999999</v>
      </c>
      <c r="H2219">
        <v>1.041752</v>
      </c>
      <c r="I2219">
        <v>284.66930000000002</v>
      </c>
      <c r="J2219">
        <v>-299.07560000000001</v>
      </c>
      <c r="K2219">
        <v>1.110592</v>
      </c>
      <c r="L2219">
        <v>284.64699999999999</v>
      </c>
      <c r="M2219">
        <v>-0.99981450000000005</v>
      </c>
      <c r="N2219">
        <v>-1.4968220000000001E-2</v>
      </c>
      <c r="O2219">
        <v>1.2135770000000001E-2</v>
      </c>
      <c r="P2219">
        <v>-0.93490980000000001</v>
      </c>
      <c r="Q2219">
        <v>0.3515857</v>
      </c>
      <c r="R2219">
        <v>-4.8283230000000003E-2</v>
      </c>
      <c r="S2219">
        <v>-3.314514</v>
      </c>
      <c r="T2219">
        <v>-0.264022599999999</v>
      </c>
      <c r="U2219">
        <v>0.1037598</v>
      </c>
      <c r="V2219">
        <v>-5.966838E-2</v>
      </c>
      <c r="W2219">
        <v>0.36552380000000001</v>
      </c>
      <c r="X2219">
        <v>0.92888749999999998</v>
      </c>
      <c r="Y2219">
        <v>1.9109290000000001E-2</v>
      </c>
      <c r="Z2219">
        <v>1.195584E-4</v>
      </c>
      <c r="AA2219">
        <v>0.99981739999999997</v>
      </c>
      <c r="AB2219">
        <v>44</v>
      </c>
      <c r="AC2219">
        <v>-0.45409999999998202</v>
      </c>
      <c r="AD2219">
        <v>-6.8839999999999998E-2</v>
      </c>
      <c r="AE2219">
        <v>2.2300000000029699E-2</v>
      </c>
      <c r="AF2219">
        <v>1.64106534128006E-2</v>
      </c>
      <c r="AG2219">
        <v>-6.8839999999999998E-2</v>
      </c>
      <c r="AH2219">
        <v>0.444154423829</v>
      </c>
      <c r="AI2219">
        <v>98.804323804676201</v>
      </c>
      <c r="AJ2219">
        <v>87.883993471371696</v>
      </c>
      <c r="AK2219">
        <v>0.449757053699335</v>
      </c>
      <c r="AL2219">
        <v>68.560177654818304</v>
      </c>
      <c r="AM2219">
        <v>93.6754242882608</v>
      </c>
      <c r="AN2219">
        <v>0.99999997579725597</v>
      </c>
    </row>
    <row r="2220" spans="1:40" x14ac:dyDescent="0.25">
      <c r="A2220" t="str">
        <f>"20190304164858982"</f>
        <v>20190304164858982</v>
      </c>
      <c r="B2220" t="str">
        <f>"1551689338978401"</f>
        <v>1551689338978401</v>
      </c>
      <c r="C2220" t="s">
        <v>40</v>
      </c>
      <c r="D2220">
        <v>4.1255649999999999</v>
      </c>
      <c r="E2220">
        <v>0.54596469999999997</v>
      </c>
      <c r="F2220" t="s">
        <v>41</v>
      </c>
      <c r="G2220">
        <v>-299.9239</v>
      </c>
      <c r="H2220">
        <v>1.0424709999999999</v>
      </c>
      <c r="I2220">
        <v>284.6739</v>
      </c>
      <c r="J2220">
        <v>-299.31029999999998</v>
      </c>
      <c r="K2220">
        <v>1.110606</v>
      </c>
      <c r="L2220">
        <v>284.6499</v>
      </c>
      <c r="M2220">
        <v>-0.99981430000000004</v>
      </c>
      <c r="N2220">
        <v>-1.500255E-2</v>
      </c>
      <c r="O2220">
        <v>1.2094509999999999E-2</v>
      </c>
      <c r="P2220">
        <v>-0.93493250000000006</v>
      </c>
      <c r="Q2220">
        <v>0.35154740000000001</v>
      </c>
      <c r="R2220">
        <v>-4.8123359999999997E-2</v>
      </c>
      <c r="S2220">
        <v>-3.3144230000000001</v>
      </c>
      <c r="T2220">
        <v>-0.26648490000000002</v>
      </c>
      <c r="U2220">
        <v>0.103363</v>
      </c>
      <c r="V2220">
        <v>-5.9475430000000003E-2</v>
      </c>
      <c r="W2220">
        <v>0.36551709999999998</v>
      </c>
      <c r="X2220">
        <v>0.92890260000000002</v>
      </c>
      <c r="Y2220">
        <v>1.9031349999999999E-2</v>
      </c>
      <c r="Z2220">
        <v>1.173691E-4</v>
      </c>
      <c r="AA2220">
        <v>0.99981889999999995</v>
      </c>
      <c r="AB2220">
        <v>44</v>
      </c>
      <c r="AC2220">
        <v>-0.61360000000001902</v>
      </c>
      <c r="AD2220">
        <v>-6.8135000000000001E-2</v>
      </c>
      <c r="AE2220">
        <v>2.4000000000000899E-2</v>
      </c>
      <c r="AF2220">
        <v>1.63746236916258E-2</v>
      </c>
      <c r="AG2220">
        <v>-6.8135000000000001E-2</v>
      </c>
      <c r="AH2220">
        <v>0.60638005020271601</v>
      </c>
      <c r="AI2220">
        <v>96.408748117106597</v>
      </c>
      <c r="AJ2220">
        <v>88.453166656073506</v>
      </c>
      <c r="AK2220">
        <v>0.61041565495151795</v>
      </c>
      <c r="AL2220">
        <v>68.560591940498696</v>
      </c>
      <c r="AM2220">
        <v>93.663512075717904</v>
      </c>
      <c r="AN2220">
        <v>1.0000000587264199</v>
      </c>
    </row>
    <row r="2221" spans="1:40" x14ac:dyDescent="0.25">
      <c r="A2221" t="str">
        <f>"20190304164858994"</f>
        <v>20190304164858994</v>
      </c>
      <c r="B2221" t="str">
        <f>"1551689338988162"</f>
        <v>1551689338988162</v>
      </c>
      <c r="C2221" t="s">
        <v>40</v>
      </c>
      <c r="D2221">
        <v>4.0783100000000001</v>
      </c>
      <c r="E2221">
        <v>0.54596469999999997</v>
      </c>
      <c r="F2221" t="s">
        <v>41</v>
      </c>
      <c r="G2221">
        <v>-300.30799999999999</v>
      </c>
      <c r="H2221">
        <v>1.030616</v>
      </c>
      <c r="I2221">
        <v>284.68150000000003</v>
      </c>
      <c r="J2221">
        <v>-299.56950000000001</v>
      </c>
      <c r="K2221">
        <v>1.1106180000000001</v>
      </c>
      <c r="L2221">
        <v>284.65300000000002</v>
      </c>
      <c r="M2221">
        <v>-0.99981450000000005</v>
      </c>
      <c r="N2221">
        <v>-1.5038330000000001E-2</v>
      </c>
      <c r="O2221">
        <v>1.2043669999999999E-2</v>
      </c>
      <c r="P2221">
        <v>-0.93492600000000003</v>
      </c>
      <c r="Q2221">
        <v>0.35159279999999998</v>
      </c>
      <c r="R2221">
        <v>-4.7915149999999997E-2</v>
      </c>
      <c r="S2221">
        <v>-3.314117</v>
      </c>
      <c r="T2221">
        <v>-0.26591179999999998</v>
      </c>
      <c r="U2221">
        <v>0.1041565</v>
      </c>
      <c r="V2221">
        <v>-5.9227229999999999E-2</v>
      </c>
      <c r="W2221">
        <v>0.36559429999999998</v>
      </c>
      <c r="X2221">
        <v>0.92888800000000005</v>
      </c>
      <c r="Y2221">
        <v>1.932306E-2</v>
      </c>
      <c r="Z2221">
        <v>1.357559E-4</v>
      </c>
      <c r="AA2221">
        <v>0.99981330000000002</v>
      </c>
      <c r="AB2221">
        <v>44</v>
      </c>
      <c r="AC2221">
        <v>-0.73849999999998694</v>
      </c>
      <c r="AD2221">
        <v>-8.0002000000000101E-2</v>
      </c>
      <c r="AE2221">
        <v>2.8500000000008099E-2</v>
      </c>
      <c r="AF2221">
        <v>1.9375633229290201E-2</v>
      </c>
      <c r="AG2221">
        <v>-8.0002000000000101E-2</v>
      </c>
      <c r="AH2221">
        <v>0.73023282420227598</v>
      </c>
      <c r="AI2221">
        <v>96.250027304178204</v>
      </c>
      <c r="AJ2221">
        <v>88.480099004799001</v>
      </c>
      <c r="AK2221">
        <v>0.73485761390181403</v>
      </c>
      <c r="AL2221">
        <v>68.555838189352301</v>
      </c>
      <c r="AM2221">
        <v>93.648322247335201</v>
      </c>
      <c r="AN2221">
        <v>0.99999998675498103</v>
      </c>
    </row>
    <row r="2222" spans="1:40" x14ac:dyDescent="0.25">
      <c r="A2222" t="str">
        <f>"20190304164859006"</f>
        <v>20190304164859006</v>
      </c>
      <c r="B2222" t="str">
        <f>"1551689338997923"</f>
        <v>1551689338997923</v>
      </c>
      <c r="C2222" t="s">
        <v>40</v>
      </c>
      <c r="D2222">
        <v>4.0838179999999999</v>
      </c>
      <c r="E2222">
        <v>0.55151309999999998</v>
      </c>
      <c r="F2222" t="s">
        <v>47</v>
      </c>
      <c r="G2222">
        <v>-313.41109999999998</v>
      </c>
      <c r="H2222" s="1">
        <v>3.6884320000000002E-6</v>
      </c>
      <c r="I2222">
        <v>285.08800000000002</v>
      </c>
      <c r="J2222">
        <v>-299.8143</v>
      </c>
      <c r="K2222">
        <v>1.110635</v>
      </c>
      <c r="L2222">
        <v>284.65589999999997</v>
      </c>
      <c r="M2222">
        <v>-0.99981469999999995</v>
      </c>
      <c r="N2222">
        <v>-1.506854E-2</v>
      </c>
      <c r="O2222">
        <v>1.1982909999999999E-2</v>
      </c>
      <c r="P2222">
        <v>-0.93493939999999998</v>
      </c>
      <c r="Q2222">
        <v>0.35158159999999999</v>
      </c>
      <c r="R2222">
        <v>-4.7737349999999998E-2</v>
      </c>
      <c r="S2222">
        <v>-3.3141780000000001</v>
      </c>
      <c r="T2222">
        <v>-0.26592120000000002</v>
      </c>
      <c r="U2222">
        <v>0.1041565</v>
      </c>
      <c r="V2222">
        <v>-5.9002699999999901E-2</v>
      </c>
      <c r="W2222">
        <v>0.3656103</v>
      </c>
      <c r="X2222">
        <v>0.92889600000000005</v>
      </c>
      <c r="Y2222">
        <v>1.938283E-2</v>
      </c>
      <c r="Z2222">
        <v>1.4320390000000001E-4</v>
      </c>
      <c r="AA2222">
        <v>0.99981209999999998</v>
      </c>
      <c r="AB2222">
        <v>44</v>
      </c>
      <c r="AC2222">
        <v>-13.596799999999901</v>
      </c>
      <c r="AD2222">
        <v>-1.110631311568</v>
      </c>
      <c r="AE2222">
        <v>0.43209999999999099</v>
      </c>
      <c r="AF2222">
        <v>0.26733931403141398</v>
      </c>
      <c r="AG2222">
        <v>-1.110631311568</v>
      </c>
      <c r="AH2222">
        <v>13.510945732185</v>
      </c>
      <c r="AI2222">
        <v>94.698365727293705</v>
      </c>
      <c r="AJ2222">
        <v>88.866443834552996</v>
      </c>
      <c r="AK2222">
        <v>13.5591528790374</v>
      </c>
      <c r="AL2222">
        <v>68.554853445262196</v>
      </c>
      <c r="AM2222">
        <v>93.634497409211306</v>
      </c>
      <c r="AN2222">
        <v>0.99999999444469001</v>
      </c>
    </row>
    <row r="2223" spans="1:40" x14ac:dyDescent="0.25">
      <c r="A2223" t="str">
        <f>"20190304164859026"</f>
        <v>20190304164859026</v>
      </c>
      <c r="B2223" t="str">
        <f>"1551689339018417"</f>
        <v>1551689339018417</v>
      </c>
      <c r="C2223" t="s">
        <v>40</v>
      </c>
      <c r="D2223">
        <v>4.0841779999999996</v>
      </c>
      <c r="E2223">
        <v>0.55178130000000003</v>
      </c>
      <c r="F2223" t="s">
        <v>41</v>
      </c>
      <c r="G2223">
        <v>-300.71050000000002</v>
      </c>
      <c r="H2223">
        <v>1.0458959999999999</v>
      </c>
      <c r="I2223">
        <v>284.6968</v>
      </c>
      <c r="J2223">
        <v>-300.19189999999998</v>
      </c>
      <c r="K2223">
        <v>1.11066</v>
      </c>
      <c r="L2223">
        <v>284.66030000000001</v>
      </c>
      <c r="M2223">
        <v>-0.99981549999999997</v>
      </c>
      <c r="N2223">
        <v>-1.511173E-2</v>
      </c>
      <c r="O2223">
        <v>1.187211E-2</v>
      </c>
      <c r="P2223">
        <v>-0.93492560000000002</v>
      </c>
      <c r="Q2223">
        <v>0.35168749999999999</v>
      </c>
      <c r="R2223">
        <v>-4.722813E-2</v>
      </c>
      <c r="S2223">
        <v>-3.3062740000000002</v>
      </c>
      <c r="T2223">
        <v>-0.23895730000000001</v>
      </c>
      <c r="U2223">
        <v>0.15008540000000001</v>
      </c>
      <c r="V2223">
        <v>-5.8407870000000001E-2</v>
      </c>
      <c r="W2223">
        <v>0.36575279999999999</v>
      </c>
      <c r="X2223">
        <v>0.92887750000000002</v>
      </c>
      <c r="Y2223">
        <v>3.3397129999999997E-2</v>
      </c>
      <c r="Z2223">
        <v>7.8030839999999998E-4</v>
      </c>
      <c r="AA2223">
        <v>0.99944189999999999</v>
      </c>
      <c r="AB2223">
        <v>44</v>
      </c>
      <c r="AC2223">
        <v>-0.51860000000004902</v>
      </c>
      <c r="AD2223">
        <v>-6.4764000000000002E-2</v>
      </c>
      <c r="AE2223">
        <v>3.6499999999989499E-2</v>
      </c>
      <c r="AF2223">
        <v>2.9876207804366301E-2</v>
      </c>
      <c r="AG2223">
        <v>-6.4764000000000002E-2</v>
      </c>
      <c r="AH2223">
        <v>0.51106573101862895</v>
      </c>
      <c r="AI2223">
        <v>97.210042009798002</v>
      </c>
      <c r="AJ2223">
        <v>86.654374288389306</v>
      </c>
      <c r="AK2223">
        <v>0.51601855093627702</v>
      </c>
      <c r="AL2223">
        <v>68.546081358490994</v>
      </c>
      <c r="AM2223">
        <v>93.598024783641705</v>
      </c>
      <c r="AN2223">
        <v>0.99999999999601297</v>
      </c>
    </row>
    <row r="2224" spans="1:40" x14ac:dyDescent="0.25">
      <c r="A2224" t="str">
        <f>"20190304164859037"</f>
        <v>20190304164859037</v>
      </c>
      <c r="B2224" t="str">
        <f>"1551689339028178"</f>
        <v>1551689339028178</v>
      </c>
      <c r="C2224" t="s">
        <v>40</v>
      </c>
      <c r="D2224">
        <v>4.0713990000000004</v>
      </c>
      <c r="E2224">
        <v>0.55174889999999999</v>
      </c>
      <c r="F2224" t="s">
        <v>41</v>
      </c>
      <c r="G2224">
        <v>-301.10120000000001</v>
      </c>
      <c r="H2224">
        <v>1.044438</v>
      </c>
      <c r="I2224">
        <v>284.70249999999999</v>
      </c>
      <c r="J2224">
        <v>-300.4153</v>
      </c>
      <c r="K2224">
        <v>1.110679</v>
      </c>
      <c r="L2224">
        <v>284.66289999999998</v>
      </c>
      <c r="M2224">
        <v>-0.99981589999999998</v>
      </c>
      <c r="N2224">
        <v>-1.5135279999999999E-2</v>
      </c>
      <c r="O2224">
        <v>1.17959E-2</v>
      </c>
      <c r="P2224">
        <v>-0.9349421</v>
      </c>
      <c r="Q2224">
        <v>0.35166439999999999</v>
      </c>
      <c r="R2224">
        <v>-4.7070630000000002E-2</v>
      </c>
      <c r="S2224">
        <v>-3.3071589999999902</v>
      </c>
      <c r="T2224">
        <v>-0.24104</v>
      </c>
      <c r="U2224">
        <v>0.1522522</v>
      </c>
      <c r="V2224">
        <v>-5.8192229999999998E-2</v>
      </c>
      <c r="W2224">
        <v>0.36575059999999998</v>
      </c>
      <c r="X2224">
        <v>0.92889200000000005</v>
      </c>
      <c r="Y2224">
        <v>3.4110950000000001E-2</v>
      </c>
      <c r="Z2224">
        <v>8.1968539999999895E-4</v>
      </c>
      <c r="AA2224">
        <v>0.99941769999999996</v>
      </c>
      <c r="AB2224">
        <v>44</v>
      </c>
      <c r="AC2224">
        <v>-0.68590000000000295</v>
      </c>
      <c r="AD2224">
        <v>-6.6241000000000202E-2</v>
      </c>
      <c r="AE2224">
        <v>3.9600000000007102E-2</v>
      </c>
      <c r="AF2224">
        <v>3.1215338120056699E-2</v>
      </c>
      <c r="AG2224">
        <v>-6.6241000000000202E-2</v>
      </c>
      <c r="AH2224">
        <v>0.67999830853640697</v>
      </c>
      <c r="AI2224">
        <v>95.558010022645902</v>
      </c>
      <c r="AJ2224">
        <v>87.371681070220703</v>
      </c>
      <c r="AK2224">
        <v>0.68392979685587896</v>
      </c>
      <c r="AL2224">
        <v>68.546218872547399</v>
      </c>
      <c r="AM2224">
        <v>93.584719881305006</v>
      </c>
      <c r="AN2224">
        <v>1.0000000923483601</v>
      </c>
    </row>
    <row r="2225" spans="1:40" x14ac:dyDescent="0.25">
      <c r="A2225" t="str">
        <f>"20190304164859048"</f>
        <v>20190304164859048</v>
      </c>
      <c r="B2225" t="str">
        <f>"1551689339037938"</f>
        <v>1551689339037938</v>
      </c>
      <c r="C2225" t="s">
        <v>40</v>
      </c>
      <c r="D2225">
        <v>4.0655000000000001</v>
      </c>
      <c r="E2225">
        <v>0.55167409999999995</v>
      </c>
      <c r="F2225" t="s">
        <v>41</v>
      </c>
      <c r="G2225">
        <v>-301.48540000000003</v>
      </c>
      <c r="H2225">
        <v>1.0334890000000001</v>
      </c>
      <c r="I2225">
        <v>284.71249999999998</v>
      </c>
      <c r="J2225">
        <v>-300.64179999999999</v>
      </c>
      <c r="K2225">
        <v>1.1106929999999999</v>
      </c>
      <c r="L2225">
        <v>284.66559999999998</v>
      </c>
      <c r="M2225">
        <v>-0.99981660000000006</v>
      </c>
      <c r="N2225">
        <v>-1.515682E-2</v>
      </c>
      <c r="O2225">
        <v>1.17044E-2</v>
      </c>
      <c r="P2225">
        <v>-0.93488130000000003</v>
      </c>
      <c r="Q2225">
        <v>0.35185680000000003</v>
      </c>
      <c r="R2225">
        <v>-4.6836660000000002E-2</v>
      </c>
      <c r="S2225">
        <v>-3.3061829999999999</v>
      </c>
      <c r="T2225">
        <v>-0.2385978</v>
      </c>
      <c r="U2225">
        <v>0.15252689999999999</v>
      </c>
      <c r="V2225">
        <v>-5.788724E-2</v>
      </c>
      <c r="W2225">
        <v>0.3659596</v>
      </c>
      <c r="X2225">
        <v>0.92882869999999995</v>
      </c>
      <c r="Y2225">
        <v>3.429952E-2</v>
      </c>
      <c r="Z2225">
        <v>8.2997619999999905E-4</v>
      </c>
      <c r="AA2225">
        <v>0.99941120000000006</v>
      </c>
      <c r="AB2225">
        <v>44</v>
      </c>
      <c r="AC2225">
        <v>-0.84360000000003699</v>
      </c>
      <c r="AD2225">
        <v>-7.7203999999999995E-2</v>
      </c>
      <c r="AE2225">
        <v>4.6899999999993697E-2</v>
      </c>
      <c r="AF2225">
        <v>3.6715262125549701E-2</v>
      </c>
      <c r="AG2225">
        <v>-7.7203999999999995E-2</v>
      </c>
      <c r="AH2225">
        <v>0.83710172727700505</v>
      </c>
      <c r="AI2225">
        <v>95.264321094238994</v>
      </c>
      <c r="AJ2225">
        <v>87.488618008850196</v>
      </c>
      <c r="AK2225">
        <v>0.841455744468533</v>
      </c>
      <c r="AL2225">
        <v>68.533351239058703</v>
      </c>
      <c r="AM2225">
        <v>93.566223088464298</v>
      </c>
      <c r="AN2225">
        <v>1.0000000576653301</v>
      </c>
    </row>
    <row r="2226" spans="1:40" x14ac:dyDescent="0.25">
      <c r="A2226" t="str">
        <f>"20190304164859070"</f>
        <v>20190304164859070</v>
      </c>
      <c r="B2226" t="str">
        <f>"1551689339058434"</f>
        <v>1551689339058434</v>
      </c>
      <c r="C2226" t="s">
        <v>40</v>
      </c>
      <c r="D2226">
        <v>4.080298</v>
      </c>
      <c r="E2226">
        <v>0.5516759</v>
      </c>
      <c r="F2226" t="s">
        <v>41</v>
      </c>
      <c r="G2226">
        <v>-301.50420000000003</v>
      </c>
      <c r="H2226">
        <v>1.0487919999999999</v>
      </c>
      <c r="I2226">
        <v>284.70569999999998</v>
      </c>
      <c r="J2226">
        <v>-301.03809999999999</v>
      </c>
      <c r="K2226">
        <v>1.1107309999999999</v>
      </c>
      <c r="L2226">
        <v>284.67009999999999</v>
      </c>
      <c r="M2226">
        <v>-0.99981830000000005</v>
      </c>
      <c r="N2226">
        <v>-1.5191039999999999E-2</v>
      </c>
      <c r="O2226">
        <v>1.1520839999999999E-2</v>
      </c>
      <c r="P2226">
        <v>-0.93490510000000004</v>
      </c>
      <c r="Q2226">
        <v>0.3519005</v>
      </c>
      <c r="R2226">
        <v>-4.6030740000000001E-2</v>
      </c>
      <c r="S2226">
        <v>-3.3059690000000002</v>
      </c>
      <c r="T2226">
        <v>-0.23740790000000001</v>
      </c>
      <c r="U2226">
        <v>0.1528931</v>
      </c>
      <c r="V2226">
        <v>-5.6939440000000001E-2</v>
      </c>
      <c r="W2226">
        <v>0.36603140000000001</v>
      </c>
      <c r="X2226">
        <v>0.92885890000000004</v>
      </c>
      <c r="Y2226">
        <v>3.4595889999999997E-2</v>
      </c>
      <c r="Z2226">
        <v>8.522855E-4</v>
      </c>
      <c r="AA2226">
        <v>0.99940099999999998</v>
      </c>
      <c r="AB2226">
        <v>44</v>
      </c>
      <c r="AC2226">
        <v>-0.46610000000003898</v>
      </c>
      <c r="AD2226">
        <v>-6.1938999999999897E-2</v>
      </c>
      <c r="AE2226">
        <v>3.5599999999988002E-2</v>
      </c>
      <c r="AF2226">
        <v>2.9705619913486799E-2</v>
      </c>
      <c r="AG2226">
        <v>-6.1938999999999897E-2</v>
      </c>
      <c r="AH2226">
        <v>0.45843069747269899</v>
      </c>
      <c r="AI2226">
        <v>97.678778622980701</v>
      </c>
      <c r="AJ2226">
        <v>86.292502907081399</v>
      </c>
      <c r="AK2226">
        <v>0.46354888411121098</v>
      </c>
      <c r="AL2226">
        <v>68.5289287334937</v>
      </c>
      <c r="AM2226">
        <v>93.507865815879299</v>
      </c>
      <c r="AN2226">
        <v>0.99999997086134096</v>
      </c>
    </row>
    <row r="2227" spans="1:40" x14ac:dyDescent="0.25">
      <c r="A2227" t="str">
        <f>"20190304164859082"</f>
        <v>20190304164859082</v>
      </c>
      <c r="B2227" t="str">
        <f>"1551689339077954"</f>
        <v>1551689339077954</v>
      </c>
      <c r="C2227" t="s">
        <v>40</v>
      </c>
      <c r="D2227">
        <v>4.0569759999999997</v>
      </c>
      <c r="E2227">
        <v>0.55156289999999997</v>
      </c>
      <c r="F2227" t="s">
        <v>47</v>
      </c>
      <c r="G2227">
        <v>-316.5625</v>
      </c>
      <c r="H2227" s="1">
        <v>5.0582899999999996E-6</v>
      </c>
      <c r="I2227">
        <v>285.40440000000001</v>
      </c>
      <c r="J2227">
        <v>-301.28579999999999</v>
      </c>
      <c r="K2227">
        <v>1.1107469999999999</v>
      </c>
      <c r="L2227">
        <v>284.6728</v>
      </c>
      <c r="M2227">
        <v>-0.99981960000000003</v>
      </c>
      <c r="N2227">
        <v>-1.5210120000000001E-2</v>
      </c>
      <c r="O2227">
        <v>1.1387359999999999E-2</v>
      </c>
      <c r="P2227">
        <v>-0.93494279999999996</v>
      </c>
      <c r="Q2227">
        <v>0.35184310000000002</v>
      </c>
      <c r="R2227">
        <v>-4.5703319999999999E-2</v>
      </c>
      <c r="S2227">
        <v>-3.3055729999999999</v>
      </c>
      <c r="T2227">
        <v>-0.23650479999999999</v>
      </c>
      <c r="U2227">
        <v>0.15637210000000001</v>
      </c>
      <c r="V2227">
        <v>-5.6507269999999998E-2</v>
      </c>
      <c r="W2227">
        <v>0.36598979999999998</v>
      </c>
      <c r="X2227">
        <v>0.92890170000000005</v>
      </c>
      <c r="Y2227">
        <v>3.5780989999999999E-2</v>
      </c>
      <c r="Z2227">
        <v>9.1015949999999997E-4</v>
      </c>
      <c r="AA2227">
        <v>0.99935929999999995</v>
      </c>
      <c r="AB2227">
        <v>44</v>
      </c>
      <c r="AC2227">
        <v>-15.2767</v>
      </c>
      <c r="AD2227">
        <v>-1.11074194171</v>
      </c>
      <c r="AE2227">
        <v>0.73160000000001402</v>
      </c>
      <c r="AF2227">
        <v>0.55464574791536103</v>
      </c>
      <c r="AG2227">
        <v>-1.11074194171</v>
      </c>
      <c r="AH2227">
        <v>15.2038501583692</v>
      </c>
      <c r="AI2227">
        <v>94.175645124346502</v>
      </c>
      <c r="AJ2227">
        <v>87.9107414291487</v>
      </c>
      <c r="AK2227">
        <v>15.2544563719884</v>
      </c>
      <c r="AL2227">
        <v>68.531490318101206</v>
      </c>
      <c r="AM2227">
        <v>93.481146855809797</v>
      </c>
      <c r="AN2227">
        <v>0.99999998676489099</v>
      </c>
    </row>
    <row r="2228" spans="1:40" x14ac:dyDescent="0.25">
      <c r="A2228" t="str">
        <f>"20190304164859093"</f>
        <v>20190304164859093</v>
      </c>
      <c r="B2228" t="str">
        <f>"1551689339088689"</f>
        <v>1551689339088689</v>
      </c>
      <c r="C2228" t="s">
        <v>40</v>
      </c>
      <c r="D2228">
        <v>4.4737619999999998</v>
      </c>
      <c r="E2228">
        <v>0.55156289999999997</v>
      </c>
      <c r="F2228" t="s">
        <v>41</v>
      </c>
      <c r="G2228">
        <v>-302.27080000000001</v>
      </c>
      <c r="H2228">
        <v>1.0401659999999999</v>
      </c>
      <c r="I2228">
        <v>284.71969999999999</v>
      </c>
      <c r="J2228">
        <v>-301.50959999999998</v>
      </c>
      <c r="K2228">
        <v>1.110768</v>
      </c>
      <c r="L2228">
        <v>284.67529999999999</v>
      </c>
      <c r="M2228">
        <v>-0.99982070000000001</v>
      </c>
      <c r="N2228">
        <v>-1.522633E-2</v>
      </c>
      <c r="O2228">
        <v>1.125727E-2</v>
      </c>
      <c r="P2228">
        <v>-0.93496420000000002</v>
      </c>
      <c r="Q2228">
        <v>0.35185529999999998</v>
      </c>
      <c r="R2228">
        <v>-4.5163769999999999E-2</v>
      </c>
      <c r="S2228">
        <v>-3.3056640000000002</v>
      </c>
      <c r="T2228">
        <v>-0.23708650000000001</v>
      </c>
      <c r="U2228">
        <v>0.15646360000000001</v>
      </c>
      <c r="V2228">
        <v>-5.5864839999999999E-2</v>
      </c>
      <c r="W2228">
        <v>0.36601499999999998</v>
      </c>
      <c r="X2228">
        <v>0.92893060000000005</v>
      </c>
      <c r="Y2228">
        <v>3.593623E-2</v>
      </c>
      <c r="Z2228">
        <v>9.2583629999999997E-4</v>
      </c>
      <c r="AA2228">
        <v>0.99935359999999995</v>
      </c>
      <c r="AB2228">
        <v>44</v>
      </c>
      <c r="AC2228">
        <v>-0.76120000000002996</v>
      </c>
      <c r="AD2228">
        <v>-7.0601999999999998E-2</v>
      </c>
      <c r="AE2228">
        <v>4.4399999999995998E-2</v>
      </c>
      <c r="AF2228">
        <v>3.5522603216219202E-2</v>
      </c>
      <c r="AG2228">
        <v>-7.0601999999999998E-2</v>
      </c>
      <c r="AH2228">
        <v>0.75517707740657003</v>
      </c>
      <c r="AI2228">
        <v>95.3352296773012</v>
      </c>
      <c r="AJ2228">
        <v>87.3068619761126</v>
      </c>
      <c r="AK2228">
        <v>0.75930159751154602</v>
      </c>
      <c r="AL2228">
        <v>68.529938210443802</v>
      </c>
      <c r="AM2228">
        <v>93.441558629654097</v>
      </c>
      <c r="AN2228">
        <v>0.99999996009479197</v>
      </c>
    </row>
    <row r="2229" spans="1:40" x14ac:dyDescent="0.25">
      <c r="A2229" t="str">
        <f>"20190304164859104"</f>
        <v>20190304164859104</v>
      </c>
      <c r="B2229" t="str">
        <f>"1551689339098450"</f>
        <v>1551689339098450</v>
      </c>
      <c r="C2229" t="s">
        <v>40</v>
      </c>
      <c r="D2229">
        <v>4.0744870000000004</v>
      </c>
      <c r="E2229">
        <v>0.55074389999999995</v>
      </c>
      <c r="F2229" t="s">
        <v>47</v>
      </c>
      <c r="G2229">
        <v>-316.99810000000002</v>
      </c>
      <c r="H2229" s="1">
        <v>5.2503310000000002E-6</v>
      </c>
      <c r="I2229">
        <v>285.41739999999999</v>
      </c>
      <c r="J2229">
        <v>-301.7174</v>
      </c>
      <c r="K2229">
        <v>1.110784</v>
      </c>
      <c r="L2229">
        <v>284.67750000000001</v>
      </c>
      <c r="M2229">
        <v>-0.99982210000000005</v>
      </c>
      <c r="N2229">
        <v>-1.5239600000000001E-2</v>
      </c>
      <c r="O2229">
        <v>1.1121199999999999E-2</v>
      </c>
      <c r="P2229">
        <v>-0.93492039999999998</v>
      </c>
      <c r="Q2229">
        <v>0.35199619999999998</v>
      </c>
      <c r="R2229">
        <v>-4.4973560000000003E-2</v>
      </c>
      <c r="S2229">
        <v>-3.3055110000000001</v>
      </c>
      <c r="T2229">
        <v>-0.23705580000000001</v>
      </c>
      <c r="U2229">
        <v>0.1583862</v>
      </c>
      <c r="V2229">
        <v>-5.5564080000000002E-2</v>
      </c>
      <c r="W2229">
        <v>0.36616539999999997</v>
      </c>
      <c r="X2229">
        <v>0.92888939999999998</v>
      </c>
      <c r="Y2229">
        <v>3.6651900000000001E-2</v>
      </c>
      <c r="Z2229">
        <v>9.6492710000000001E-4</v>
      </c>
      <c r="AA2229">
        <v>0.99932759999999998</v>
      </c>
      <c r="AB2229">
        <v>44</v>
      </c>
      <c r="AC2229">
        <v>-15.2807</v>
      </c>
      <c r="AD2229">
        <v>-1.110778749669</v>
      </c>
      <c r="AE2229">
        <v>0.73989999999997702</v>
      </c>
      <c r="AF2229">
        <v>0.56690622168955596</v>
      </c>
      <c r="AG2229">
        <v>-1.110778749669</v>
      </c>
      <c r="AH2229">
        <v>15.2078131199693</v>
      </c>
      <c r="AI2229">
        <v>94.174576644508093</v>
      </c>
      <c r="AJ2229">
        <v>87.8651564932307</v>
      </c>
      <c r="AK2229">
        <v>15.258859458911701</v>
      </c>
      <c r="AL2229">
        <v>68.5206788065761</v>
      </c>
      <c r="AM2229">
        <v>93.423225924793996</v>
      </c>
      <c r="AN2229">
        <v>0.99999999228788305</v>
      </c>
    </row>
    <row r="2230" spans="1:40" x14ac:dyDescent="0.25">
      <c r="A2230" t="str">
        <f>"20190304164859116"</f>
        <v>20190304164859116</v>
      </c>
      <c r="B2230" t="str">
        <f>"1551689339108210"</f>
        <v>1551689339108210</v>
      </c>
      <c r="C2230" t="s">
        <v>40</v>
      </c>
      <c r="D2230">
        <v>4.0733730000000001</v>
      </c>
      <c r="E2230">
        <v>0.5509579</v>
      </c>
      <c r="F2230" t="s">
        <v>46</v>
      </c>
      <c r="G2230">
        <v>-320.32459999999998</v>
      </c>
      <c r="H2230" s="1">
        <v>-1.4053900000000001E-6</v>
      </c>
      <c r="I2230">
        <v>285.5616</v>
      </c>
      <c r="J2230">
        <v>-301.9393</v>
      </c>
      <c r="K2230">
        <v>1.110814</v>
      </c>
      <c r="L2230">
        <v>284.6798</v>
      </c>
      <c r="M2230">
        <v>-0.99982349999999998</v>
      </c>
      <c r="N2230">
        <v>-1.5253350000000001E-2</v>
      </c>
      <c r="O2230">
        <v>1.0972529999999999E-2</v>
      </c>
      <c r="P2230">
        <v>-0.93494650000000001</v>
      </c>
      <c r="Q2230">
        <v>0.35198410000000002</v>
      </c>
      <c r="R2230">
        <v>-4.452677E-2</v>
      </c>
      <c r="S2230">
        <v>-3.290314</v>
      </c>
      <c r="T2230">
        <v>-0.19642039999999999</v>
      </c>
      <c r="U2230">
        <v>0.1563416</v>
      </c>
      <c r="V2230">
        <v>-5.4997169999999998E-2</v>
      </c>
      <c r="W2230">
        <v>0.36616409999999999</v>
      </c>
      <c r="X2230">
        <v>0.92892370000000002</v>
      </c>
      <c r="Y2230">
        <v>3.6427359999999999E-2</v>
      </c>
      <c r="Z2230">
        <v>8.7718520000000001E-4</v>
      </c>
      <c r="AA2230">
        <v>0.99933590000000005</v>
      </c>
      <c r="AB2230">
        <v>44</v>
      </c>
      <c r="AC2230">
        <v>-18.385299999999901</v>
      </c>
      <c r="AD2230">
        <v>-1.1108154053899999</v>
      </c>
      <c r="AE2230">
        <v>0.88179999999999803</v>
      </c>
      <c r="AF2230">
        <v>0.67752262155055198</v>
      </c>
      <c r="AG2230">
        <v>-1.1108154053899999</v>
      </c>
      <c r="AH2230">
        <v>18.3271215791233</v>
      </c>
      <c r="AI2230">
        <v>93.466118918308297</v>
      </c>
      <c r="AJ2230">
        <v>87.882836270496696</v>
      </c>
      <c r="AK2230">
        <v>18.373250478441001</v>
      </c>
      <c r="AL2230">
        <v>68.520759894896599</v>
      </c>
      <c r="AM2230">
        <v>93.388256357606906</v>
      </c>
      <c r="AN2230">
        <v>1.00000003862925</v>
      </c>
    </row>
    <row r="2231" spans="1:40" x14ac:dyDescent="0.25">
      <c r="A2231" t="str">
        <f>"20190304164859127"</f>
        <v>20190304164859127</v>
      </c>
      <c r="B2231" t="str">
        <f>"1551689339117969"</f>
        <v>1551689339117969</v>
      </c>
      <c r="C2231" t="s">
        <v>40</v>
      </c>
      <c r="D2231">
        <v>4.0586140000000004</v>
      </c>
      <c r="E2231">
        <v>0.5509579</v>
      </c>
      <c r="F2231" t="s">
        <v>41</v>
      </c>
      <c r="G2231">
        <v>-303.05459999999999</v>
      </c>
      <c r="H2231">
        <v>1.044411</v>
      </c>
      <c r="I2231">
        <v>284.73410000000001</v>
      </c>
      <c r="J2231">
        <v>-302.17079999999999</v>
      </c>
      <c r="K2231">
        <v>1.110835</v>
      </c>
      <c r="L2231">
        <v>284.6823</v>
      </c>
      <c r="M2231">
        <v>-0.99982519999999997</v>
      </c>
      <c r="N2231">
        <v>-1.526576E-2</v>
      </c>
      <c r="O2231">
        <v>1.0799309999999999E-2</v>
      </c>
      <c r="P2231">
        <v>-0.93495760000000006</v>
      </c>
      <c r="Q2231">
        <v>0.35196139999999998</v>
      </c>
      <c r="R2231">
        <v>-4.4466869999999999E-2</v>
      </c>
      <c r="S2231">
        <v>-3.2901310000000001</v>
      </c>
      <c r="T2231">
        <v>-0.19612260000000001</v>
      </c>
      <c r="U2231">
        <v>0.15914919999999999</v>
      </c>
      <c r="V2231">
        <v>-5.4793269999999998E-2</v>
      </c>
      <c r="W2231">
        <v>0.3661509</v>
      </c>
      <c r="X2231">
        <v>0.92894100000000002</v>
      </c>
      <c r="Y2231">
        <v>3.7451619999999998E-2</v>
      </c>
      <c r="Z2231">
        <v>9.2289420000000002E-4</v>
      </c>
      <c r="AA2231">
        <v>0.99929800000000002</v>
      </c>
      <c r="AB2231">
        <v>44</v>
      </c>
      <c r="AC2231">
        <v>-0.88380000000000702</v>
      </c>
      <c r="AD2231">
        <v>-6.6423999999999997E-2</v>
      </c>
      <c r="AE2231">
        <v>5.1800000000014203E-2</v>
      </c>
      <c r="AF2231">
        <v>4.2014922888637701E-2</v>
      </c>
      <c r="AG2231">
        <v>-6.6423999999999997E-2</v>
      </c>
      <c r="AH2231">
        <v>0.87935776961000001</v>
      </c>
      <c r="AI2231">
        <v>94.3148411110636</v>
      </c>
      <c r="AJ2231">
        <v>87.264539492047405</v>
      </c>
      <c r="AK2231">
        <v>0.88286323317647097</v>
      </c>
      <c r="AL2231">
        <v>68.521573636651496</v>
      </c>
      <c r="AM2231">
        <v>93.375660902964299</v>
      </c>
      <c r="AN2231">
        <v>1.0000000827445401</v>
      </c>
    </row>
    <row r="2232" spans="1:40" x14ac:dyDescent="0.25">
      <c r="A2232" t="str">
        <f>"20190304164859140"</f>
        <v>20190304164859140</v>
      </c>
      <c r="B2232" t="str">
        <f>"1551689339128706"</f>
        <v>1551689339128706</v>
      </c>
      <c r="C2232" t="s">
        <v>40</v>
      </c>
      <c r="D2232">
        <v>4.0511280000000003</v>
      </c>
      <c r="E2232">
        <v>0.55104409999999904</v>
      </c>
      <c r="F2232" t="s">
        <v>46</v>
      </c>
      <c r="G2232">
        <v>-320.80020000000002</v>
      </c>
      <c r="H2232" s="1">
        <v>-1.1533330000000001E-6</v>
      </c>
      <c r="I2232">
        <v>285.58539999999999</v>
      </c>
      <c r="J2232">
        <v>-302.40480000000002</v>
      </c>
      <c r="K2232">
        <v>1.1108579999999999</v>
      </c>
      <c r="L2232">
        <v>284.68470000000002</v>
      </c>
      <c r="M2232">
        <v>-0.99982689999999996</v>
      </c>
      <c r="N2232">
        <v>-1.527766E-2</v>
      </c>
      <c r="O2232">
        <v>1.0619440000000001E-2</v>
      </c>
      <c r="P2232">
        <v>-0.93499889999999997</v>
      </c>
      <c r="Q2232">
        <v>0.3518558</v>
      </c>
      <c r="R2232">
        <v>-4.4439010000000001E-2</v>
      </c>
      <c r="S2232">
        <v>-3.2901609999999999</v>
      </c>
      <c r="T2232">
        <v>-0.19618669999999999</v>
      </c>
      <c r="U2232">
        <v>0.1595154</v>
      </c>
      <c r="V2232">
        <v>-5.4615660000000003E-2</v>
      </c>
      <c r="W2232">
        <v>0.36605409999999999</v>
      </c>
      <c r="X2232">
        <v>0.92898950000000002</v>
      </c>
      <c r="Y2232">
        <v>3.7741049999999998E-2</v>
      </c>
      <c r="Z2232">
        <v>9.4218839999999997E-4</v>
      </c>
      <c r="AA2232">
        <v>0.99928709999999998</v>
      </c>
      <c r="AB2232">
        <v>44</v>
      </c>
      <c r="AC2232">
        <v>-18.395399999999899</v>
      </c>
      <c r="AD2232">
        <v>-1.1108591533329999</v>
      </c>
      <c r="AE2232">
        <v>0.90069999999997197</v>
      </c>
      <c r="AF2232">
        <v>0.70272107109926096</v>
      </c>
      <c r="AG2232">
        <v>-1.1108591533329999</v>
      </c>
      <c r="AH2232">
        <v>18.337218204103699</v>
      </c>
      <c r="AI2232">
        <v>93.464175318859304</v>
      </c>
      <c r="AJ2232">
        <v>87.805378187876897</v>
      </c>
      <c r="AK2232">
        <v>18.384270353408699</v>
      </c>
      <c r="AL2232">
        <v>68.527531390847003</v>
      </c>
      <c r="AM2232">
        <v>93.364568765377697</v>
      </c>
      <c r="AN2232">
        <v>0.99999998277714697</v>
      </c>
    </row>
    <row r="2233" spans="1:40" x14ac:dyDescent="0.25">
      <c r="A2233" t="str">
        <f>"20190304164859160"</f>
        <v>20190304164859160</v>
      </c>
      <c r="B2233" t="str">
        <f>"1551689339148227"</f>
        <v>1551689339148227</v>
      </c>
      <c r="C2233" t="s">
        <v>40</v>
      </c>
      <c r="D2233">
        <v>4.0689279999999997</v>
      </c>
      <c r="E2233">
        <v>0.55089370000000004</v>
      </c>
      <c r="F2233" t="s">
        <v>41</v>
      </c>
      <c r="G2233">
        <v>-303.43880000000001</v>
      </c>
      <c r="H2233">
        <v>1.036578</v>
      </c>
      <c r="I2233">
        <v>284.7337</v>
      </c>
      <c r="J2233">
        <v>-302.80599999999998</v>
      </c>
      <c r="K2233">
        <v>1.1108960000000001</v>
      </c>
      <c r="L2233">
        <v>284.68869999999998</v>
      </c>
      <c r="M2233">
        <v>-0.9998302</v>
      </c>
      <c r="N2233">
        <v>-1.5295400000000001E-2</v>
      </c>
      <c r="O2233">
        <v>1.0290530000000001E-2</v>
      </c>
      <c r="P2233">
        <v>-0.93492050000000004</v>
      </c>
      <c r="Q2233">
        <v>0.3520257</v>
      </c>
      <c r="R2233">
        <v>-4.474264E-2</v>
      </c>
      <c r="S2233">
        <v>-3.3053279999999998</v>
      </c>
      <c r="T2233">
        <v>-0.23737050000000001</v>
      </c>
      <c r="U2233">
        <v>0.15682979999999899</v>
      </c>
      <c r="V2233">
        <v>-5.4638489999999998E-2</v>
      </c>
      <c r="W2233">
        <v>0.36623559999999999</v>
      </c>
      <c r="X2233">
        <v>0.92891659999999998</v>
      </c>
      <c r="Y2233">
        <v>3.7012499999999997E-2</v>
      </c>
      <c r="Z2233">
        <v>1.0298219999999999E-3</v>
      </c>
      <c r="AA2233">
        <v>0.99931420000000004</v>
      </c>
      <c r="AB2233">
        <v>44</v>
      </c>
      <c r="AC2233">
        <v>-0.632800000000031</v>
      </c>
      <c r="AD2233">
        <v>-7.4317999999999801E-2</v>
      </c>
      <c r="AE2233">
        <v>4.5000000000015902E-2</v>
      </c>
      <c r="AF2233">
        <v>3.7964009889642901E-2</v>
      </c>
      <c r="AG2233">
        <v>-7.4317999999999801E-2</v>
      </c>
      <c r="AH2233">
        <v>0.62465714142899398</v>
      </c>
      <c r="AI2233">
        <v>96.772439414384806</v>
      </c>
      <c r="AJ2233">
        <v>86.522083603843896</v>
      </c>
      <c r="AK2233">
        <v>0.63020708938343595</v>
      </c>
      <c r="AL2233">
        <v>68.516355764333397</v>
      </c>
      <c r="AM2233">
        <v>93.366235511435505</v>
      </c>
      <c r="AN2233">
        <v>0.99999996452619899</v>
      </c>
    </row>
    <row r="2234" spans="1:40" x14ac:dyDescent="0.25">
      <c r="A2234" t="str">
        <f>"20190304164859182"</f>
        <v>20190304164859182</v>
      </c>
      <c r="B2234" t="str">
        <f>"1551689339178481"</f>
        <v>1551689339178481</v>
      </c>
      <c r="C2234" t="s">
        <v>40</v>
      </c>
      <c r="D2234">
        <v>4.0827519999999904</v>
      </c>
      <c r="E2234">
        <v>0.55092790000000003</v>
      </c>
      <c r="F2234" t="s">
        <v>41</v>
      </c>
      <c r="G2234">
        <v>-303.82859999999999</v>
      </c>
      <c r="H2234">
        <v>1.038098</v>
      </c>
      <c r="I2234">
        <v>284.73680000000002</v>
      </c>
      <c r="J2234">
        <v>-303.2242</v>
      </c>
      <c r="K2234">
        <v>1.1109290000000001</v>
      </c>
      <c r="L2234">
        <v>284.6927</v>
      </c>
      <c r="M2234">
        <v>-0.99983359999999999</v>
      </c>
      <c r="N2234">
        <v>-1.5310880000000001E-2</v>
      </c>
      <c r="O2234">
        <v>9.9288190000000002E-3</v>
      </c>
      <c r="P2234">
        <v>-0.93480260000000004</v>
      </c>
      <c r="Q2234">
        <v>0.35223939999999998</v>
      </c>
      <c r="R2234">
        <v>-4.5516920000000002E-2</v>
      </c>
      <c r="S2234">
        <v>-3.3048709999999999</v>
      </c>
      <c r="T2234">
        <v>-0.2353507</v>
      </c>
      <c r="U2234">
        <v>0.15527340000000001</v>
      </c>
      <c r="V2234">
        <v>-5.5097489999999999E-2</v>
      </c>
      <c r="W2234">
        <v>0.36645830000000001</v>
      </c>
      <c r="X2234">
        <v>0.92880169999999995</v>
      </c>
      <c r="Y2234">
        <v>3.6912140000000003E-2</v>
      </c>
      <c r="Z2234">
        <v>1.041192E-3</v>
      </c>
      <c r="AA2234">
        <v>0.99931789999999998</v>
      </c>
      <c r="AB2234">
        <v>44</v>
      </c>
      <c r="AC2234">
        <v>-0.60439999999999805</v>
      </c>
      <c r="AD2234">
        <v>-7.2831000000000007E-2</v>
      </c>
      <c r="AE2234">
        <v>4.4100000000014399E-2</v>
      </c>
      <c r="AF2234">
        <v>3.7553730907472799E-2</v>
      </c>
      <c r="AG2234">
        <v>-7.2831000000000007E-2</v>
      </c>
      <c r="AH2234">
        <v>0.596196841184367</v>
      </c>
      <c r="AI2234">
        <v>96.951064992602696</v>
      </c>
      <c r="AJ2234">
        <v>86.395768572103805</v>
      </c>
      <c r="AK2234">
        <v>0.60180172042317104</v>
      </c>
      <c r="AL2234">
        <v>68.5026436258063</v>
      </c>
      <c r="AM2234">
        <v>93.394867238365705</v>
      </c>
      <c r="AN2234">
        <v>1.0000000084830301</v>
      </c>
    </row>
    <row r="2235" spans="1:40" x14ac:dyDescent="0.25">
      <c r="A2235" t="str">
        <f>"20190304164859193"</f>
        <v>20190304164859193</v>
      </c>
      <c r="B2235" t="str">
        <f>"1551689339188242"</f>
        <v>1551689339188242</v>
      </c>
      <c r="C2235" t="s">
        <v>40</v>
      </c>
      <c r="D2235">
        <v>4.0903359999999997</v>
      </c>
      <c r="E2235">
        <v>0.55087889999999995</v>
      </c>
      <c r="F2235" t="s">
        <v>41</v>
      </c>
      <c r="G2235">
        <v>-304.21809999999999</v>
      </c>
      <c r="H2235">
        <v>1.0399989999999999</v>
      </c>
      <c r="I2235">
        <v>284.73860000000002</v>
      </c>
      <c r="J2235">
        <v>-303.44760000000002</v>
      </c>
      <c r="K2235">
        <v>1.1109439999999999</v>
      </c>
      <c r="L2235">
        <v>284.69479999999999</v>
      </c>
      <c r="M2235">
        <v>-0.99983529999999998</v>
      </c>
      <c r="N2235">
        <v>-1.5318180000000001E-2</v>
      </c>
      <c r="O2235">
        <v>9.7303990000000007E-3</v>
      </c>
      <c r="P2235">
        <v>-0.93464959999999997</v>
      </c>
      <c r="Q2235">
        <v>0.35262959999999999</v>
      </c>
      <c r="R2235">
        <v>-4.5636299999999998E-2</v>
      </c>
      <c r="S2235">
        <v>-3.305542</v>
      </c>
      <c r="T2235">
        <v>-0.2358885</v>
      </c>
      <c r="U2235">
        <v>0.1524963</v>
      </c>
      <c r="V2235">
        <v>-5.5041380000000001E-2</v>
      </c>
      <c r="W2235">
        <v>0.36685139999999999</v>
      </c>
      <c r="X2235">
        <v>0.92864979999999997</v>
      </c>
      <c r="Y2235">
        <v>3.626451E-2</v>
      </c>
      <c r="Z2235">
        <v>1.025726E-3</v>
      </c>
      <c r="AA2235">
        <v>0.9993417</v>
      </c>
      <c r="AB2235">
        <v>44</v>
      </c>
      <c r="AC2235">
        <v>-0.77049999999996899</v>
      </c>
      <c r="AD2235">
        <v>-7.0945000000000202E-2</v>
      </c>
      <c r="AE2235">
        <v>4.3800000000032903E-2</v>
      </c>
      <c r="AF2235">
        <v>3.5995582604076502E-2</v>
      </c>
      <c r="AG2235">
        <v>-7.0945000000000202E-2</v>
      </c>
      <c r="AH2235">
        <v>0.76442972374429397</v>
      </c>
      <c r="AI2235">
        <v>95.296468352555493</v>
      </c>
      <c r="AJ2235">
        <v>87.304039059420603</v>
      </c>
      <c r="AK2235">
        <v>0.76855818096991502</v>
      </c>
      <c r="AL2235">
        <v>68.478433962923603</v>
      </c>
      <c r="AM2235">
        <v>93.391971500254002</v>
      </c>
      <c r="AN2235">
        <v>0.99999997711715105</v>
      </c>
    </row>
    <row r="2236" spans="1:40" x14ac:dyDescent="0.25">
      <c r="A2236" t="str">
        <f>"20190304164859204"</f>
        <v>20190304164859204</v>
      </c>
      <c r="B2236" t="str">
        <f>"1551689339198001"</f>
        <v>1551689339198001</v>
      </c>
      <c r="C2236" t="s">
        <v>40</v>
      </c>
      <c r="D2236">
        <v>4.052924</v>
      </c>
      <c r="E2236">
        <v>0.55087430000000004</v>
      </c>
      <c r="F2236" t="s">
        <v>47</v>
      </c>
      <c r="G2236">
        <v>-319.09649999999999</v>
      </c>
      <c r="H2236" s="1">
        <v>6.1813329999999999E-6</v>
      </c>
      <c r="I2236">
        <v>285.41199999999998</v>
      </c>
      <c r="J2236">
        <v>-303.66520000000003</v>
      </c>
      <c r="K2236">
        <v>1.1109549999999999</v>
      </c>
      <c r="L2236">
        <v>284.69670000000002</v>
      </c>
      <c r="M2236">
        <v>-0.99983719999999998</v>
      </c>
      <c r="N2236">
        <v>-1.5324279999999999E-2</v>
      </c>
      <c r="O2236">
        <v>9.5331600000000006E-3</v>
      </c>
      <c r="P2236">
        <v>-0.93449839999999995</v>
      </c>
      <c r="Q2236">
        <v>0.35299819999999998</v>
      </c>
      <c r="R2236">
        <v>-4.5882369999999999E-2</v>
      </c>
      <c r="S2236">
        <v>-3.3056950000000001</v>
      </c>
      <c r="T2236">
        <v>-0.234677</v>
      </c>
      <c r="U2236">
        <v>0.15151979999999901</v>
      </c>
      <c r="V2236">
        <v>-5.5111979999999998E-2</v>
      </c>
      <c r="W2236">
        <v>0.36722169999999998</v>
      </c>
      <c r="X2236">
        <v>0.92849930000000003</v>
      </c>
      <c r="Y2236">
        <v>3.616577E-2</v>
      </c>
      <c r="Z2236">
        <v>1.029503E-3</v>
      </c>
      <c r="AA2236">
        <v>0.99934529999999999</v>
      </c>
      <c r="AB2236">
        <v>44</v>
      </c>
      <c r="AC2236">
        <v>-15.431299999999901</v>
      </c>
      <c r="AD2236">
        <v>-1.110948818667</v>
      </c>
      <c r="AE2236">
        <v>0.71530000000001304</v>
      </c>
      <c r="AF2236">
        <v>0.56521791446370295</v>
      </c>
      <c r="AG2236">
        <v>-1.110948818667</v>
      </c>
      <c r="AH2236">
        <v>15.357988356347599</v>
      </c>
      <c r="AI2236">
        <v>94.134601578049796</v>
      </c>
      <c r="AJ2236">
        <v>87.892302623917502</v>
      </c>
      <c r="AK2236">
        <v>15.4084874313554</v>
      </c>
      <c r="AL2236">
        <v>68.455626616227093</v>
      </c>
      <c r="AM2236">
        <v>93.396861324424293</v>
      </c>
      <c r="AN2236">
        <v>1.00000002869544</v>
      </c>
    </row>
    <row r="2237" spans="1:40" x14ac:dyDescent="0.25">
      <c r="A2237" t="str">
        <f>"20190304164859217"</f>
        <v>20190304164859217</v>
      </c>
      <c r="B2237" t="str">
        <f>"1551689339208737"</f>
        <v>1551689339208737</v>
      </c>
      <c r="C2237" t="s">
        <v>40</v>
      </c>
      <c r="D2237">
        <v>4.0940989999999999</v>
      </c>
      <c r="E2237">
        <v>0.55081269999999904</v>
      </c>
      <c r="F2237" t="s">
        <v>41</v>
      </c>
      <c r="G2237">
        <v>-304.61</v>
      </c>
      <c r="H2237">
        <v>1.0440879999999999</v>
      </c>
      <c r="I2237">
        <v>284.73989999999998</v>
      </c>
      <c r="J2237">
        <v>-303.91149999999999</v>
      </c>
      <c r="K2237">
        <v>1.1109690000000001</v>
      </c>
      <c r="L2237">
        <v>284.69889999999998</v>
      </c>
      <c r="M2237">
        <v>-0.99983929999999999</v>
      </c>
      <c r="N2237">
        <v>-1.5330750000000001E-2</v>
      </c>
      <c r="O2237">
        <v>9.308607E-3</v>
      </c>
      <c r="P2237">
        <v>-0.93437689999999995</v>
      </c>
      <c r="Q2237">
        <v>0.35330929999999999</v>
      </c>
      <c r="R2237">
        <v>-4.5964640000000001E-2</v>
      </c>
      <c r="S2237">
        <v>-3.3061519999999902</v>
      </c>
      <c r="T2237">
        <v>-0.23421910000000001</v>
      </c>
      <c r="U2237">
        <v>0.15020749999999999</v>
      </c>
      <c r="V2237">
        <v>-5.499308E-2</v>
      </c>
      <c r="W2237">
        <v>0.36753570000000002</v>
      </c>
      <c r="X2237">
        <v>0.92838209999999999</v>
      </c>
      <c r="Y2237">
        <v>3.5988569999999998E-2</v>
      </c>
      <c r="Z2237">
        <v>1.033235E-3</v>
      </c>
      <c r="AA2237">
        <v>0.99935169999999995</v>
      </c>
      <c r="AB2237">
        <v>43</v>
      </c>
      <c r="AC2237">
        <v>-0.69850000000002399</v>
      </c>
      <c r="AD2237">
        <v>-6.6881000000000093E-2</v>
      </c>
      <c r="AE2237">
        <v>4.0999999999996803E-2</v>
      </c>
      <c r="AF2237">
        <v>3.4183084884670603E-2</v>
      </c>
      <c r="AG2237">
        <v>-6.6881000000000093E-2</v>
      </c>
      <c r="AH2237">
        <v>0.69252419308283897</v>
      </c>
      <c r="AI2237">
        <v>95.509605470718</v>
      </c>
      <c r="AJ2237">
        <v>87.174166303818495</v>
      </c>
      <c r="AK2237">
        <v>0.69658546457579096</v>
      </c>
      <c r="AL2237">
        <v>68.436283028911404</v>
      </c>
      <c r="AM2237">
        <v>93.389976856432199</v>
      </c>
      <c r="AN2237">
        <v>1.00000002661139</v>
      </c>
    </row>
    <row r="2238" spans="1:40" x14ac:dyDescent="0.25">
      <c r="A2238" t="str">
        <f>"20190304164859228"</f>
        <v>20190304164859228</v>
      </c>
      <c r="B2238" t="str">
        <f>"1551689339218498"</f>
        <v>1551689339218498</v>
      </c>
      <c r="C2238" t="s">
        <v>40</v>
      </c>
      <c r="D2238">
        <v>4.0843990000000003</v>
      </c>
      <c r="E2238">
        <v>0.55084460000000002</v>
      </c>
      <c r="F2238" t="s">
        <v>41</v>
      </c>
      <c r="G2238">
        <v>-304.9914</v>
      </c>
      <c r="H2238">
        <v>1.0347919999999999</v>
      </c>
      <c r="I2238">
        <v>284.74770000000001</v>
      </c>
      <c r="J2238">
        <v>-304.13760000000002</v>
      </c>
      <c r="K2238">
        <v>1.110981</v>
      </c>
      <c r="L2238">
        <v>284.70089999999999</v>
      </c>
      <c r="M2238">
        <v>-0.99984099999999998</v>
      </c>
      <c r="N2238">
        <v>-1.533585E-2</v>
      </c>
      <c r="O2238">
        <v>9.0997869999999998E-3</v>
      </c>
      <c r="P2238">
        <v>-0.93428</v>
      </c>
      <c r="Q2238">
        <v>0.353578</v>
      </c>
      <c r="R2238">
        <v>-4.5865360000000001E-2</v>
      </c>
      <c r="S2238">
        <v>-3.306244</v>
      </c>
      <c r="T2238">
        <v>-0.2333288</v>
      </c>
      <c r="U2238">
        <v>0.1488342</v>
      </c>
      <c r="V2238">
        <v>-5.4706110000000002E-2</v>
      </c>
      <c r="W2238">
        <v>0.3678071</v>
      </c>
      <c r="X2238">
        <v>0.92829159999999999</v>
      </c>
      <c r="Y2238">
        <v>3.5782689999999999E-2</v>
      </c>
      <c r="Z2238">
        <v>1.0337079999999999E-3</v>
      </c>
      <c r="AA2238">
        <v>0.99935909999999994</v>
      </c>
      <c r="AB2238">
        <v>43</v>
      </c>
      <c r="AC2238">
        <v>-0.85379999999997802</v>
      </c>
      <c r="AD2238">
        <v>-7.6189000000000007E-2</v>
      </c>
      <c r="AE2238">
        <v>4.6800000000018799E-2</v>
      </c>
      <c r="AF2238">
        <v>3.87203466415664E-2</v>
      </c>
      <c r="AG2238">
        <v>-7.6189000000000007E-2</v>
      </c>
      <c r="AH2238">
        <v>0.84746250148121005</v>
      </c>
      <c r="AI2238">
        <v>95.131898092487901</v>
      </c>
      <c r="AJ2238">
        <v>87.383989714405402</v>
      </c>
      <c r="AK2238">
        <v>0.85176095260456297</v>
      </c>
      <c r="AL2238">
        <v>68.419562434227302</v>
      </c>
      <c r="AM2238">
        <v>93.372655910328106</v>
      </c>
      <c r="AN2238">
        <v>1.0000000579561401</v>
      </c>
    </row>
    <row r="2239" spans="1:40" x14ac:dyDescent="0.25">
      <c r="A2239" t="str">
        <f>"20190304164859240"</f>
        <v>20190304164859240</v>
      </c>
      <c r="B2239" t="str">
        <f>"1551689339228257"</f>
        <v>1551689339228257</v>
      </c>
      <c r="C2239" t="s">
        <v>40</v>
      </c>
      <c r="D2239">
        <v>4.1060589999999904</v>
      </c>
      <c r="E2239">
        <v>0.55086159999999995</v>
      </c>
      <c r="F2239" t="s">
        <v>46</v>
      </c>
      <c r="G2239">
        <v>-319.99979999999999</v>
      </c>
      <c r="H2239" s="1">
        <v>-1.5717269999999901E-6</v>
      </c>
      <c r="I2239">
        <v>285.41250000000002</v>
      </c>
      <c r="J2239">
        <v>-304.35759999999999</v>
      </c>
      <c r="K2239">
        <v>1.110994</v>
      </c>
      <c r="L2239">
        <v>284.70280000000002</v>
      </c>
      <c r="M2239">
        <v>-0.99984280000000003</v>
      </c>
      <c r="N2239">
        <v>-1.534042E-2</v>
      </c>
      <c r="O2239">
        <v>8.8958739999999998E-3</v>
      </c>
      <c r="P2239">
        <v>-0.93425559999999996</v>
      </c>
      <c r="Q2239">
        <v>0.35367120000000002</v>
      </c>
      <c r="R2239">
        <v>-4.5644249999999997E-2</v>
      </c>
      <c r="S2239">
        <v>-3.305939</v>
      </c>
      <c r="T2239">
        <v>-0.23154710000000001</v>
      </c>
      <c r="U2239">
        <v>0.14831539999999999</v>
      </c>
      <c r="V2239">
        <v>-5.4301950000000002E-2</v>
      </c>
      <c r="W2239">
        <v>0.36790329999999999</v>
      </c>
      <c r="X2239">
        <v>0.92827709999999997</v>
      </c>
      <c r="Y2239">
        <v>3.5834890000000001E-2</v>
      </c>
      <c r="Z2239">
        <v>1.0425250000000001E-3</v>
      </c>
      <c r="AA2239">
        <v>0.99935719999999995</v>
      </c>
      <c r="AB2239">
        <v>43</v>
      </c>
      <c r="AC2239">
        <v>-15.642200000000001</v>
      </c>
      <c r="AD2239">
        <v>-1.1109955717269999</v>
      </c>
      <c r="AE2239">
        <v>0.709699999999997</v>
      </c>
      <c r="AF2239">
        <v>0.56764681779768</v>
      </c>
      <c r="AG2239">
        <v>-1.1109955717269999</v>
      </c>
      <c r="AH2239">
        <v>15.5695140224338</v>
      </c>
      <c r="AI2239">
        <v>94.078842434730802</v>
      </c>
      <c r="AJ2239">
        <v>87.911985716284406</v>
      </c>
      <c r="AK2239">
        <v>15.6194206347391</v>
      </c>
      <c r="AL2239">
        <v>68.413632679634205</v>
      </c>
      <c r="AM2239">
        <v>93.347848324988803</v>
      </c>
      <c r="AN2239">
        <v>0.99999995715455003</v>
      </c>
    </row>
    <row r="2240" spans="1:40" x14ac:dyDescent="0.25">
      <c r="A2240" t="str">
        <f>"20190304164859252"</f>
        <v>20190304164859252</v>
      </c>
      <c r="B2240" t="str">
        <f>"1551689339248753"</f>
        <v>1551689339248753</v>
      </c>
      <c r="C2240" t="s">
        <v>40</v>
      </c>
      <c r="D2240">
        <v>4.0986789999999997</v>
      </c>
      <c r="E2240">
        <v>0.55096679999999998</v>
      </c>
      <c r="F2240" t="s">
        <v>41</v>
      </c>
      <c r="G2240">
        <v>-305.38099999999997</v>
      </c>
      <c r="H2240">
        <v>1.0392269999999999</v>
      </c>
      <c r="I2240">
        <v>284.74900000000002</v>
      </c>
      <c r="J2240">
        <v>-304.5926</v>
      </c>
      <c r="K2240">
        <v>1.111003</v>
      </c>
      <c r="L2240">
        <v>284.7047</v>
      </c>
      <c r="M2240">
        <v>-0.99984470000000003</v>
      </c>
      <c r="N2240">
        <v>-1.5344740000000001E-2</v>
      </c>
      <c r="O2240">
        <v>8.6771880000000006E-3</v>
      </c>
      <c r="P2240">
        <v>-0.93414430000000004</v>
      </c>
      <c r="Q2240">
        <v>0.3539484</v>
      </c>
      <c r="R2240">
        <v>-4.5773479999999998E-2</v>
      </c>
      <c r="S2240">
        <v>-3.306244</v>
      </c>
      <c r="T2240">
        <v>-0.23206309999999999</v>
      </c>
      <c r="U2240">
        <v>0.1485901</v>
      </c>
      <c r="V2240">
        <v>-5.4232660000000002E-2</v>
      </c>
      <c r="W2240">
        <v>0.36818220000000002</v>
      </c>
      <c r="X2240">
        <v>0.92817059999999996</v>
      </c>
      <c r="Y2240">
        <v>3.6130610000000001E-2</v>
      </c>
      <c r="Z2240">
        <v>1.068589E-3</v>
      </c>
      <c r="AA2240">
        <v>0.99934650000000003</v>
      </c>
      <c r="AB2240">
        <v>43</v>
      </c>
      <c r="AC2240">
        <v>-0.78839999999996702</v>
      </c>
      <c r="AD2240">
        <v>-7.1775999999999798E-2</v>
      </c>
      <c r="AE2240">
        <v>4.43000000000211E-2</v>
      </c>
      <c r="AF2240">
        <v>3.7149494931545998E-2</v>
      </c>
      <c r="AG2240">
        <v>-7.1775999999999798E-2</v>
      </c>
      <c r="AH2240">
        <v>0.78229130120976498</v>
      </c>
      <c r="AI2240">
        <v>95.236398885908201</v>
      </c>
      <c r="AJ2240">
        <v>87.281177206967399</v>
      </c>
      <c r="AK2240">
        <v>0.78645505853680897</v>
      </c>
      <c r="AL2240">
        <v>68.396447279306003</v>
      </c>
      <c r="AM2240">
        <v>93.343968903464997</v>
      </c>
      <c r="AN2240">
        <v>0.99999998825593694</v>
      </c>
    </row>
    <row r="2241" spans="1:40" x14ac:dyDescent="0.25">
      <c r="A2241" t="str">
        <f>"20190304164859265"</f>
        <v>20190304164859265</v>
      </c>
      <c r="B2241" t="str">
        <f>"1551689339258513"</f>
        <v>1551689339258513</v>
      </c>
      <c r="C2241" t="s">
        <v>40</v>
      </c>
      <c r="D2241">
        <v>4.0865489999999998</v>
      </c>
      <c r="E2241">
        <v>0.5509944</v>
      </c>
      <c r="F2241" t="s">
        <v>46</v>
      </c>
      <c r="G2241">
        <v>-320.42469999999997</v>
      </c>
      <c r="H2241" s="1">
        <v>-1.3457760000000001E-6</v>
      </c>
      <c r="I2241">
        <v>285.41649999999998</v>
      </c>
      <c r="J2241">
        <v>-304.84269999999998</v>
      </c>
      <c r="K2241">
        <v>1.1110180000000001</v>
      </c>
      <c r="L2241">
        <v>284.70670000000001</v>
      </c>
      <c r="M2241">
        <v>-0.99984660000000003</v>
      </c>
      <c r="N2241">
        <v>-1.534865E-2</v>
      </c>
      <c r="O2241">
        <v>8.4442100000000006E-3</v>
      </c>
      <c r="P2241">
        <v>-0.93394670000000002</v>
      </c>
      <c r="Q2241">
        <v>0.35444310000000001</v>
      </c>
      <c r="R2241">
        <v>-4.5976089999999997E-2</v>
      </c>
      <c r="S2241">
        <v>-3.3066710000000001</v>
      </c>
      <c r="T2241">
        <v>-0.232043</v>
      </c>
      <c r="U2241">
        <v>0.1486816</v>
      </c>
      <c r="V2241">
        <v>-5.4222989999999999E-2</v>
      </c>
      <c r="W2241">
        <v>0.36867689999999997</v>
      </c>
      <c r="X2241">
        <v>0.92797479999999999</v>
      </c>
      <c r="Y2241">
        <v>3.6384220000000002E-2</v>
      </c>
      <c r="Z2241">
        <v>1.092132E-3</v>
      </c>
      <c r="AA2241">
        <v>0.99933729999999998</v>
      </c>
      <c r="AB2241">
        <v>43</v>
      </c>
      <c r="AC2241">
        <v>-15.581999999999899</v>
      </c>
      <c r="AD2241">
        <v>-1.111019345776</v>
      </c>
      <c r="AE2241">
        <v>0.70979999999997201</v>
      </c>
      <c r="AF2241">
        <v>0.57526299076152798</v>
      </c>
      <c r="AG2241">
        <v>-1.111019345776</v>
      </c>
      <c r="AH2241">
        <v>15.5087570563183</v>
      </c>
      <c r="AI2241">
        <v>94.094759738699395</v>
      </c>
      <c r="AJ2241">
        <v>87.875713863710999</v>
      </c>
      <c r="AK2241">
        <v>15.559139980317999</v>
      </c>
      <c r="AL2241">
        <v>68.365958810791895</v>
      </c>
      <c r="AM2241">
        <v>93.344077848441401</v>
      </c>
      <c r="AN2241">
        <v>1.0000000093365899</v>
      </c>
    </row>
    <row r="2242" spans="1:40" x14ac:dyDescent="0.25">
      <c r="A2242" t="str">
        <f>"20190304164859283"</f>
        <v>20190304164859283</v>
      </c>
      <c r="B2242" t="str">
        <f>"1551689339278034"</f>
        <v>1551689339278034</v>
      </c>
      <c r="C2242" t="s">
        <v>40</v>
      </c>
      <c r="D2242">
        <v>4.0693630000000001</v>
      </c>
      <c r="E2242">
        <v>0.55104640000000005</v>
      </c>
      <c r="F2242" t="s">
        <v>41</v>
      </c>
      <c r="G2242">
        <v>-305.77379999999999</v>
      </c>
      <c r="H2242">
        <v>1.046073</v>
      </c>
      <c r="I2242">
        <v>284.74849999999998</v>
      </c>
      <c r="J2242">
        <v>-305.18849999999998</v>
      </c>
      <c r="K2242">
        <v>1.1110359999999999</v>
      </c>
      <c r="L2242">
        <v>284.70940000000002</v>
      </c>
      <c r="M2242">
        <v>-0.99984910000000005</v>
      </c>
      <c r="N2242">
        <v>-1.535327E-2</v>
      </c>
      <c r="O2242">
        <v>8.1213120000000003E-3</v>
      </c>
      <c r="P2242">
        <v>-0.93356099999999997</v>
      </c>
      <c r="Q2242">
        <v>0.35547800000000002</v>
      </c>
      <c r="R2242">
        <v>-4.5816759999999998E-2</v>
      </c>
      <c r="S2242">
        <v>-3.307007</v>
      </c>
      <c r="T2242">
        <v>-0.23074710000000001</v>
      </c>
      <c r="U2242">
        <v>0.14813229999999999</v>
      </c>
      <c r="V2242">
        <v>-5.3768259999999998E-2</v>
      </c>
      <c r="W2242">
        <v>0.36970940000000002</v>
      </c>
      <c r="X2242">
        <v>0.92759040000000004</v>
      </c>
      <c r="Y2242">
        <v>3.6536739999999998E-2</v>
      </c>
      <c r="Z2242">
        <v>1.1124049999999999E-3</v>
      </c>
      <c r="AA2242">
        <v>0.99933170000000004</v>
      </c>
      <c r="AB2242">
        <v>43</v>
      </c>
      <c r="AC2242">
        <v>-0.58530000000001703</v>
      </c>
      <c r="AD2242">
        <v>-6.4963000000000104E-2</v>
      </c>
      <c r="AE2242">
        <v>3.9099999999962103E-2</v>
      </c>
      <c r="AF2242">
        <v>3.3928636192864202E-2</v>
      </c>
      <c r="AG2242">
        <v>-6.4963000000000104E-2</v>
      </c>
      <c r="AH2242">
        <v>0.57850335932360597</v>
      </c>
      <c r="AI2242">
        <v>96.396284338864703</v>
      </c>
      <c r="AJ2242">
        <v>86.643505478354697</v>
      </c>
      <c r="AK2242">
        <v>0.58312732783810195</v>
      </c>
      <c r="AL2242">
        <v>68.302303837800295</v>
      </c>
      <c r="AM2242">
        <v>93.317467418615294</v>
      </c>
      <c r="AN2242">
        <v>1.00000000820197</v>
      </c>
    </row>
    <row r="2243" spans="1:40" x14ac:dyDescent="0.25">
      <c r="A2243" t="str">
        <f>"20190304164859294"</f>
        <v>20190304164859294</v>
      </c>
      <c r="B2243" t="str">
        <f>"1551689339288771"</f>
        <v>1551689339288771</v>
      </c>
      <c r="C2243" t="s">
        <v>40</v>
      </c>
      <c r="D2243">
        <v>4.0534720000000002</v>
      </c>
      <c r="E2243">
        <v>0.55104299999999995</v>
      </c>
      <c r="F2243" t="s">
        <v>41</v>
      </c>
      <c r="G2243">
        <v>-306.15879999999999</v>
      </c>
      <c r="H2243">
        <v>1.0446029999999999</v>
      </c>
      <c r="I2243">
        <v>284.7534</v>
      </c>
      <c r="J2243">
        <v>-305.40809999999999</v>
      </c>
      <c r="K2243">
        <v>1.1110450000000001</v>
      </c>
      <c r="L2243">
        <v>284.71100000000001</v>
      </c>
      <c r="M2243">
        <v>-0.99985069999999998</v>
      </c>
      <c r="N2243">
        <v>-1.5355809999999999E-2</v>
      </c>
      <c r="O2243">
        <v>7.9162190000000004E-3</v>
      </c>
      <c r="P2243">
        <v>-0.93342820000000004</v>
      </c>
      <c r="Q2243">
        <v>0.35580850000000003</v>
      </c>
      <c r="R2243">
        <v>-4.5958260000000001E-2</v>
      </c>
      <c r="S2243">
        <v>-3.3071290000000002</v>
      </c>
      <c r="T2243">
        <v>-0.2266186</v>
      </c>
      <c r="U2243">
        <v>0.149231</v>
      </c>
      <c r="V2243">
        <v>-5.372217E-2</v>
      </c>
      <c r="W2243">
        <v>0.37003999999999998</v>
      </c>
      <c r="X2243">
        <v>0.92746130000000004</v>
      </c>
      <c r="Y2243">
        <v>3.7072510000000003E-2</v>
      </c>
      <c r="Z2243">
        <v>1.1331480000000001E-3</v>
      </c>
      <c r="AA2243">
        <v>0.99931190000000003</v>
      </c>
      <c r="AB2243">
        <v>43</v>
      </c>
      <c r="AC2243">
        <v>-0.75069999999999404</v>
      </c>
      <c r="AD2243">
        <v>-6.6441999999999807E-2</v>
      </c>
      <c r="AE2243">
        <v>4.23999999999864E-2</v>
      </c>
      <c r="AF2243">
        <v>3.6172807938722497E-2</v>
      </c>
      <c r="AG2243">
        <v>-6.6441999999999807E-2</v>
      </c>
      <c r="AH2243">
        <v>0.74519329450737604</v>
      </c>
      <c r="AI2243">
        <v>95.089101785291007</v>
      </c>
      <c r="AJ2243">
        <v>87.220957694329002</v>
      </c>
      <c r="AK2243">
        <v>0.749023402556241</v>
      </c>
      <c r="AL2243">
        <v>68.281917346183306</v>
      </c>
      <c r="AM2243">
        <v>93.315090396462907</v>
      </c>
      <c r="AN2243">
        <v>1.0000000680735901</v>
      </c>
    </row>
    <row r="2244" spans="1:40" x14ac:dyDescent="0.25">
      <c r="A2244" t="str">
        <f>"20190304164859306"</f>
        <v>20190304164859306</v>
      </c>
      <c r="B2244" t="str">
        <f>"1551689339298530"</f>
        <v>1551689339298530</v>
      </c>
      <c r="C2244" t="s">
        <v>40</v>
      </c>
      <c r="D2244">
        <v>4.0331000000000001</v>
      </c>
      <c r="E2244">
        <v>0.55108789999999996</v>
      </c>
      <c r="F2244" t="s">
        <v>46</v>
      </c>
      <c r="G2244">
        <v>-321.68040000000002</v>
      </c>
      <c r="H2244" s="1">
        <v>-6.7867459999999898E-7</v>
      </c>
      <c r="I2244">
        <v>285.44209999999998</v>
      </c>
      <c r="J2244">
        <v>-305.64100000000002</v>
      </c>
      <c r="K2244">
        <v>1.1110519999999999</v>
      </c>
      <c r="L2244">
        <v>284.71269999999998</v>
      </c>
      <c r="M2244">
        <v>-0.99985250000000003</v>
      </c>
      <c r="N2244">
        <v>-1.5357890000000001E-2</v>
      </c>
      <c r="O2244">
        <v>7.6983260000000001E-3</v>
      </c>
      <c r="P2244">
        <v>-0.93329819999999997</v>
      </c>
      <c r="Q2244">
        <v>0.35615980000000003</v>
      </c>
      <c r="R2244">
        <v>-4.587778E-2</v>
      </c>
      <c r="S2244">
        <v>-3.3073429999999999</v>
      </c>
      <c r="T2244">
        <v>-0.22581960000000001</v>
      </c>
      <c r="U2244">
        <v>0.1485901</v>
      </c>
      <c r="V2244">
        <v>-5.3442139999999999E-2</v>
      </c>
      <c r="W2244">
        <v>0.37039080000000002</v>
      </c>
      <c r="X2244">
        <v>0.92733739999999998</v>
      </c>
      <c r="Y2244">
        <v>3.7094340000000003E-2</v>
      </c>
      <c r="Z2244">
        <v>1.143022E-3</v>
      </c>
      <c r="AA2244">
        <v>0.99931110000000001</v>
      </c>
      <c r="AB2244">
        <v>43</v>
      </c>
      <c r="AC2244">
        <v>-16.039400000000001</v>
      </c>
      <c r="AD2244">
        <v>-1.1110526786746</v>
      </c>
      <c r="AE2244">
        <v>0.72939999999999805</v>
      </c>
      <c r="AF2244">
        <v>0.60299985505822296</v>
      </c>
      <c r="AG2244">
        <v>-1.1110526786746</v>
      </c>
      <c r="AH2244">
        <v>15.9680779184985</v>
      </c>
      <c r="AI2244">
        <v>93.977377461469302</v>
      </c>
      <c r="AJ2244">
        <v>87.837376662603901</v>
      </c>
      <c r="AK2244">
        <v>16.018038559425101</v>
      </c>
      <c r="AL2244">
        <v>68.260279745931498</v>
      </c>
      <c r="AM2244">
        <v>93.298288178119606</v>
      </c>
      <c r="AN2244">
        <v>1.00000003024558</v>
      </c>
    </row>
    <row r="2245" spans="1:40" x14ac:dyDescent="0.25">
      <c r="A2245" t="str">
        <f>"20190304164859318"</f>
        <v>20190304164859318</v>
      </c>
      <c r="B2245" t="str">
        <f>"1551689339308290"</f>
        <v>1551689339308290</v>
      </c>
      <c r="C2245" t="s">
        <v>40</v>
      </c>
      <c r="D2245">
        <v>4.0476859999999997</v>
      </c>
      <c r="E2245">
        <v>0.55108539999999995</v>
      </c>
      <c r="F2245" t="s">
        <v>41</v>
      </c>
      <c r="G2245">
        <v>-306.55119999999999</v>
      </c>
      <c r="H2245">
        <v>1.049183</v>
      </c>
      <c r="I2245">
        <v>284.75380000000001</v>
      </c>
      <c r="J2245">
        <v>-305.85840000000002</v>
      </c>
      <c r="K2245">
        <v>1.1110610000000001</v>
      </c>
      <c r="L2245">
        <v>284.71420000000001</v>
      </c>
      <c r="M2245">
        <v>-0.99985400000000002</v>
      </c>
      <c r="N2245">
        <v>-1.5359650000000001E-2</v>
      </c>
      <c r="O2245">
        <v>7.495168E-3</v>
      </c>
      <c r="P2245">
        <v>-0.93327110000000002</v>
      </c>
      <c r="Q2245">
        <v>0.35626039999999998</v>
      </c>
      <c r="R2245">
        <v>-4.5647010000000002E-2</v>
      </c>
      <c r="S2245">
        <v>-3.3075559999999999</v>
      </c>
      <c r="T2245">
        <v>-0.22491620000000001</v>
      </c>
      <c r="U2245">
        <v>0.14920039999999901</v>
      </c>
      <c r="V2245">
        <v>-5.3025500000000003E-2</v>
      </c>
      <c r="W2245">
        <v>0.37049260000000001</v>
      </c>
      <c r="X2245">
        <v>0.92732060000000005</v>
      </c>
      <c r="Y2245">
        <v>3.7477829999999997E-2</v>
      </c>
      <c r="Z2245">
        <v>1.1667069999999999E-3</v>
      </c>
      <c r="AA2245">
        <v>0.99929679999999999</v>
      </c>
      <c r="AB2245">
        <v>43</v>
      </c>
      <c r="AC2245">
        <v>-0.69279999999997699</v>
      </c>
      <c r="AD2245">
        <v>-6.18780000000001E-2</v>
      </c>
      <c r="AE2245">
        <v>3.9600000000007102E-2</v>
      </c>
      <c r="AF2245">
        <v>3.4134210079124802E-2</v>
      </c>
      <c r="AG2245">
        <v>-6.18780000000001E-2</v>
      </c>
      <c r="AH2245">
        <v>0.68760996027710697</v>
      </c>
      <c r="AI2245">
        <v>95.135904071673494</v>
      </c>
      <c r="AJ2245">
        <v>87.1580661467749</v>
      </c>
      <c r="AK2245">
        <v>0.69123186316460505</v>
      </c>
      <c r="AL2245">
        <v>68.2539992026894</v>
      </c>
      <c r="AM2245">
        <v>93.272689680139194</v>
      </c>
      <c r="AN2245">
        <v>0.99999998274468405</v>
      </c>
    </row>
    <row r="2246" spans="1:40" x14ac:dyDescent="0.25">
      <c r="A2246" t="str">
        <f>"20190304164859328"</f>
        <v>20190304164859328</v>
      </c>
      <c r="B2246" t="str">
        <f>"1551689339318050"</f>
        <v>1551689339318050</v>
      </c>
      <c r="C2246" t="s">
        <v>40</v>
      </c>
      <c r="D2246">
        <v>4.0329649999999999</v>
      </c>
      <c r="E2246">
        <v>0.55110409999999999</v>
      </c>
      <c r="F2246" t="s">
        <v>41</v>
      </c>
      <c r="G2246">
        <v>-306.92559999999997</v>
      </c>
      <c r="H2246">
        <v>1.0385139999999999</v>
      </c>
      <c r="I2246">
        <v>284.76260000000002</v>
      </c>
      <c r="J2246">
        <v>-306.08109999999999</v>
      </c>
      <c r="K2246">
        <v>1.1110660000000001</v>
      </c>
      <c r="L2246">
        <v>284.71570000000003</v>
      </c>
      <c r="M2246">
        <v>-0.99985559999999996</v>
      </c>
      <c r="N2246">
        <v>-1.536102E-2</v>
      </c>
      <c r="O2246">
        <v>7.2866600000000004E-3</v>
      </c>
      <c r="P2246">
        <v>-0.93323520000000004</v>
      </c>
      <c r="Q2246">
        <v>0.35635359999999899</v>
      </c>
      <c r="R2246">
        <v>-4.565205E-2</v>
      </c>
      <c r="S2246">
        <v>-3.3077700000000001</v>
      </c>
      <c r="T2246">
        <v>-0.22505030000000001</v>
      </c>
      <c r="U2246">
        <v>0.1495667</v>
      </c>
      <c r="V2246">
        <v>-5.2838969999999999E-2</v>
      </c>
      <c r="W2246">
        <v>0.37058649999999999</v>
      </c>
      <c r="X2246">
        <v>0.9272937</v>
      </c>
      <c r="Y2246">
        <v>3.7792449999999998E-2</v>
      </c>
      <c r="Z2246">
        <v>1.191215E-3</v>
      </c>
      <c r="AA2246">
        <v>0.99928490000000003</v>
      </c>
      <c r="AB2246">
        <v>43</v>
      </c>
      <c r="AC2246">
        <v>-0.84449999999998204</v>
      </c>
      <c r="AD2246">
        <v>-7.2551999999999894E-2</v>
      </c>
      <c r="AE2246">
        <v>4.6899999999993697E-2</v>
      </c>
      <c r="AF2246">
        <v>4.04468355724684E-2</v>
      </c>
      <c r="AG2246">
        <v>-7.2551999999999894E-2</v>
      </c>
      <c r="AH2246">
        <v>0.83864855100697899</v>
      </c>
      <c r="AI2246">
        <v>94.938670893662305</v>
      </c>
      <c r="AJ2246">
        <v>87.238844933182094</v>
      </c>
      <c r="AK2246">
        <v>0.84275211736187905</v>
      </c>
      <c r="AL2246">
        <v>68.248206250354002</v>
      </c>
      <c r="AM2246">
        <v>93.2612964969952</v>
      </c>
      <c r="AN2246">
        <v>0.99999995839629896</v>
      </c>
    </row>
    <row r="2247" spans="1:40" x14ac:dyDescent="0.25">
      <c r="A2247" t="str">
        <f>"20190304164859342"</f>
        <v>20190304164859342</v>
      </c>
      <c r="B2247" t="str">
        <f>"1551689339338545"</f>
        <v>1551689339338545</v>
      </c>
      <c r="C2247" t="s">
        <v>40</v>
      </c>
      <c r="D2247">
        <v>4.0172980000000003</v>
      </c>
      <c r="E2247">
        <v>0.55112119999999998</v>
      </c>
      <c r="F2247" t="s">
        <v>46</v>
      </c>
      <c r="G2247">
        <v>-322.40629999999999</v>
      </c>
      <c r="H2247" s="1">
        <v>-2.9281819999999998E-7</v>
      </c>
      <c r="I2247">
        <v>285.45159999999998</v>
      </c>
      <c r="J2247">
        <v>-306.32510000000002</v>
      </c>
      <c r="K2247">
        <v>1.1110719999999901</v>
      </c>
      <c r="L2247">
        <v>284.71730000000002</v>
      </c>
      <c r="M2247">
        <v>-0.9998572</v>
      </c>
      <c r="N2247">
        <v>-1.5362229999999999E-2</v>
      </c>
      <c r="O2247">
        <v>7.0583669999999899E-3</v>
      </c>
      <c r="P2247">
        <v>-0.93320170000000002</v>
      </c>
      <c r="Q2247">
        <v>0.35645739999999998</v>
      </c>
      <c r="R2247">
        <v>-4.553194E-2</v>
      </c>
      <c r="S2247">
        <v>-3.3078609999999999</v>
      </c>
      <c r="T2247">
        <v>-0.2251282</v>
      </c>
      <c r="U2247">
        <v>0.14910889999999999</v>
      </c>
      <c r="V2247">
        <v>-5.2508520000000003E-2</v>
      </c>
      <c r="W2247">
        <v>0.3706911</v>
      </c>
      <c r="X2247">
        <v>0.9272707</v>
      </c>
      <c r="Y2247">
        <v>3.7880730000000001E-2</v>
      </c>
      <c r="Z2247">
        <v>1.2071849999999999E-3</v>
      </c>
      <c r="AA2247">
        <v>0.99928150000000004</v>
      </c>
      <c r="AB2247">
        <v>43</v>
      </c>
      <c r="AC2247">
        <v>-16.0811999999999</v>
      </c>
      <c r="AD2247">
        <v>-1.11107229281819</v>
      </c>
      <c r="AE2247">
        <v>0.73429999999996198</v>
      </c>
      <c r="AF2247">
        <v>0.61781821771591705</v>
      </c>
      <c r="AG2247">
        <v>-1.11107229281819</v>
      </c>
      <c r="AH2247">
        <v>16.009717610209499</v>
      </c>
      <c r="AI2247">
        <v>93.967010856233898</v>
      </c>
      <c r="AJ2247">
        <v>87.790040953223794</v>
      </c>
      <c r="AK2247">
        <v>16.060113291899999</v>
      </c>
      <c r="AL2247">
        <v>68.241754336985693</v>
      </c>
      <c r="AM2247">
        <v>93.241024483626902</v>
      </c>
      <c r="AN2247">
        <v>0.99999999368514503</v>
      </c>
    </row>
    <row r="2248" spans="1:40" x14ac:dyDescent="0.25">
      <c r="A2248" t="str">
        <f>"20190304164859361"</f>
        <v>20190304164859361</v>
      </c>
      <c r="B2248" t="str">
        <f>"1551689339358066"</f>
        <v>1551689339358066</v>
      </c>
      <c r="C2248" t="s">
        <v>40</v>
      </c>
      <c r="D2248">
        <v>4.0369190000000001</v>
      </c>
      <c r="E2248">
        <v>0.55117299999999902</v>
      </c>
      <c r="F2248" t="s">
        <v>41</v>
      </c>
      <c r="G2248">
        <v>-307.3143</v>
      </c>
      <c r="H2248">
        <v>1.043344</v>
      </c>
      <c r="I2248">
        <v>284.76229999999998</v>
      </c>
      <c r="J2248">
        <v>-306.6884</v>
      </c>
      <c r="K2248">
        <v>1.111081</v>
      </c>
      <c r="L2248">
        <v>284.71960000000001</v>
      </c>
      <c r="M2248">
        <v>-0.99985950000000001</v>
      </c>
      <c r="N2248">
        <v>-1.5363460000000001E-2</v>
      </c>
      <c r="O2248">
        <v>6.7182459999999998E-3</v>
      </c>
      <c r="P2248">
        <v>-0.9331528</v>
      </c>
      <c r="Q2248">
        <v>0.35659249999999998</v>
      </c>
      <c r="R2248">
        <v>-4.5477080000000003E-2</v>
      </c>
      <c r="S2248">
        <v>-3.3086549999999999</v>
      </c>
      <c r="T2248">
        <v>-0.22671559999999999</v>
      </c>
      <c r="U2248">
        <v>0.14929200000000001</v>
      </c>
      <c r="V2248">
        <v>-5.2140249999999999E-2</v>
      </c>
      <c r="W2248">
        <v>0.37082660000000001</v>
      </c>
      <c r="X2248">
        <v>0.92723730000000004</v>
      </c>
      <c r="Y2248">
        <v>3.8262339999999999E-2</v>
      </c>
      <c r="Z2248">
        <v>1.2467400000000001E-3</v>
      </c>
      <c r="AA2248">
        <v>0.99926689999999996</v>
      </c>
      <c r="AB2248">
        <v>43</v>
      </c>
      <c r="AC2248">
        <v>-0.62590000000000101</v>
      </c>
      <c r="AD2248">
        <v>-6.7736999999999895E-2</v>
      </c>
      <c r="AE2248">
        <v>4.2699999999967903E-2</v>
      </c>
      <c r="AF2248">
        <v>3.8050001711363003E-2</v>
      </c>
      <c r="AG2248">
        <v>-6.7736999999999895E-2</v>
      </c>
      <c r="AH2248">
        <v>0.61895695185090205</v>
      </c>
      <c r="AI2248">
        <v>96.233768695770706</v>
      </c>
      <c r="AJ2248">
        <v>86.482203755635297</v>
      </c>
      <c r="AK2248">
        <v>0.62381392421441995</v>
      </c>
      <c r="AL2248">
        <v>68.233394935683705</v>
      </c>
      <c r="AM2248">
        <v>93.218457101332703</v>
      </c>
      <c r="AN2248">
        <v>0.99999999172445597</v>
      </c>
    </row>
    <row r="2249" spans="1:40" x14ac:dyDescent="0.25">
      <c r="A2249" t="str">
        <f>"20190304164859373"</f>
        <v>20190304164859373</v>
      </c>
      <c r="B2249" t="str">
        <f>"1551689339367826"</f>
        <v>1551689339367826</v>
      </c>
      <c r="C2249" t="s">
        <v>40</v>
      </c>
      <c r="D2249">
        <v>4.0284610000000001</v>
      </c>
      <c r="E2249">
        <v>0.55117299999999902</v>
      </c>
      <c r="F2249" t="s">
        <v>41</v>
      </c>
      <c r="G2249">
        <v>-307.69779999999997</v>
      </c>
      <c r="H2249">
        <v>1.042036</v>
      </c>
      <c r="I2249">
        <v>284.76549999999997</v>
      </c>
      <c r="J2249">
        <v>-306.94279999999998</v>
      </c>
      <c r="K2249">
        <v>1.111086</v>
      </c>
      <c r="L2249">
        <v>284.72120000000001</v>
      </c>
      <c r="M2249">
        <v>-0.999861</v>
      </c>
      <c r="N2249">
        <v>-1.5363989999999999E-2</v>
      </c>
      <c r="O2249">
        <v>6.4796080000000004E-3</v>
      </c>
      <c r="P2249">
        <v>-0.93310219999999999</v>
      </c>
      <c r="Q2249">
        <v>0.3567362</v>
      </c>
      <c r="R2249">
        <v>-4.538582E-2</v>
      </c>
      <c r="S2249">
        <v>-3.3087770000000001</v>
      </c>
      <c r="T2249">
        <v>-0.2265781</v>
      </c>
      <c r="U2249">
        <v>0.1493225</v>
      </c>
      <c r="V2249">
        <v>-5.1828880000000001E-2</v>
      </c>
      <c r="W2249">
        <v>0.37097010000000002</v>
      </c>
      <c r="X2249">
        <v>0.92719739999999995</v>
      </c>
      <c r="Y2249">
        <v>3.8507439999999997E-2</v>
      </c>
      <c r="Z2249">
        <v>1.2691239999999999E-3</v>
      </c>
      <c r="AA2249">
        <v>0.99925750000000002</v>
      </c>
      <c r="AB2249">
        <v>43</v>
      </c>
      <c r="AC2249">
        <v>-0.75499999999999501</v>
      </c>
      <c r="AD2249">
        <v>-6.905E-2</v>
      </c>
      <c r="AE2249">
        <v>4.4299999999964201E-2</v>
      </c>
      <c r="AF2249">
        <v>3.90806249618336E-2</v>
      </c>
      <c r="AG2249">
        <v>-6.905E-2</v>
      </c>
      <c r="AH2249">
        <v>0.74902757581766399</v>
      </c>
      <c r="AI2249">
        <v>95.259878981198497</v>
      </c>
      <c r="AJ2249">
        <v>87.013292418077</v>
      </c>
      <c r="AK2249">
        <v>0.75321810060744998</v>
      </c>
      <c r="AL2249">
        <v>68.224542456897694</v>
      </c>
      <c r="AM2249">
        <v>93.199414622874798</v>
      </c>
      <c r="AN2249">
        <v>1.0000000332314101</v>
      </c>
    </row>
    <row r="2250" spans="1:40" x14ac:dyDescent="0.25">
      <c r="A2250" t="str">
        <f>"20190304164859395"</f>
        <v>20190304164859395</v>
      </c>
      <c r="B2250" t="str">
        <f>"1551689339388322"</f>
        <v>1551689339388322</v>
      </c>
      <c r="C2250" t="s">
        <v>40</v>
      </c>
      <c r="D2250">
        <v>4.028454</v>
      </c>
      <c r="E2250">
        <v>0.55202549999999995</v>
      </c>
      <c r="F2250" t="s">
        <v>46</v>
      </c>
      <c r="G2250">
        <v>-323.20659999999998</v>
      </c>
      <c r="H2250" s="1">
        <v>1.328422E-7</v>
      </c>
      <c r="I2250">
        <v>285.45769999999999</v>
      </c>
      <c r="J2250">
        <v>-307.34930000000003</v>
      </c>
      <c r="K2250">
        <v>1.1110880000000001</v>
      </c>
      <c r="L2250">
        <v>284.7235</v>
      </c>
      <c r="M2250">
        <v>-0.99986339999999996</v>
      </c>
      <c r="N2250">
        <v>-1.536419E-2</v>
      </c>
      <c r="O2250">
        <v>6.0973879999999996E-3</v>
      </c>
      <c r="P2250">
        <v>-0.93315630000000005</v>
      </c>
      <c r="Q2250">
        <v>0.35661330000000002</v>
      </c>
      <c r="R2250">
        <v>-4.523543E-2</v>
      </c>
      <c r="S2250">
        <v>-3.3087770000000001</v>
      </c>
      <c r="T2250">
        <v>-0.2260442</v>
      </c>
      <c r="U2250">
        <v>0.14984129999999901</v>
      </c>
      <c r="V2250">
        <v>-5.1324880000000003E-2</v>
      </c>
      <c r="W2250">
        <v>0.37084869999999998</v>
      </c>
      <c r="X2250">
        <v>0.92727389999999998</v>
      </c>
      <c r="Y2250">
        <v>3.9044139999999998E-2</v>
      </c>
      <c r="Z2250">
        <v>1.3097060000000001E-3</v>
      </c>
      <c r="AA2250">
        <v>0.99923660000000003</v>
      </c>
      <c r="AB2250">
        <v>43</v>
      </c>
      <c r="AC2250">
        <v>-15.857299999999899</v>
      </c>
      <c r="AD2250">
        <v>-1.1110878671577999</v>
      </c>
      <c r="AE2250">
        <v>0.73419999999998697</v>
      </c>
      <c r="AF2250">
        <v>0.63437899750440696</v>
      </c>
      <c r="AG2250">
        <v>-1.1110878671577999</v>
      </c>
      <c r="AH2250">
        <v>15.784155652066</v>
      </c>
      <c r="AI2250">
        <v>94.023319914247494</v>
      </c>
      <c r="AJ2250">
        <v>87.698471285133394</v>
      </c>
      <c r="AK2250">
        <v>15.8359250632751</v>
      </c>
      <c r="AL2250">
        <v>68.232030380704998</v>
      </c>
      <c r="AM2250">
        <v>93.168105368647502</v>
      </c>
      <c r="AN2250">
        <v>0.99999994360995503</v>
      </c>
    </row>
    <row r="2251" spans="1:40" x14ac:dyDescent="0.25">
      <c r="A2251" t="str">
        <f>"20190304164859407"</f>
        <v>20190304164859407</v>
      </c>
      <c r="B2251" t="str">
        <f>"1551689339398083"</f>
        <v>1551689339398083</v>
      </c>
      <c r="C2251" t="s">
        <v>40</v>
      </c>
      <c r="D2251">
        <v>4.0007279999999996</v>
      </c>
      <c r="E2251">
        <v>0.55214960000000002</v>
      </c>
      <c r="F2251" t="s">
        <v>46</v>
      </c>
      <c r="G2251">
        <v>-322.18770000000001</v>
      </c>
      <c r="H2251" s="1">
        <v>-4.076145E-7</v>
      </c>
      <c r="I2251">
        <v>285.41789999999997</v>
      </c>
      <c r="J2251">
        <v>-307.58519999999999</v>
      </c>
      <c r="K2251">
        <v>1.1110910000000001</v>
      </c>
      <c r="L2251">
        <v>284.72469999999998</v>
      </c>
      <c r="M2251">
        <v>-0.9998648</v>
      </c>
      <c r="N2251">
        <v>-1.5363969999999999E-2</v>
      </c>
      <c r="O2251">
        <v>5.875351E-3</v>
      </c>
      <c r="P2251">
        <v>-0.93309390000000003</v>
      </c>
      <c r="Q2251">
        <v>0.35677219999999998</v>
      </c>
      <c r="R2251">
        <v>-4.5272270000000003E-2</v>
      </c>
      <c r="S2251">
        <v>-3.3173219999999999</v>
      </c>
      <c r="T2251">
        <v>-0.2483977</v>
      </c>
      <c r="U2251">
        <v>0.15524289999999999</v>
      </c>
      <c r="V2251">
        <v>-5.1155159999999998E-2</v>
      </c>
      <c r="W2251">
        <v>0.37100680000000003</v>
      </c>
      <c r="X2251">
        <v>0.92722009999999999</v>
      </c>
      <c r="Y2251">
        <v>4.0749170000000001E-2</v>
      </c>
      <c r="Z2251">
        <v>1.4874759999999999E-3</v>
      </c>
      <c r="AA2251">
        <v>0.99916830000000001</v>
      </c>
      <c r="AB2251">
        <v>43</v>
      </c>
      <c r="AC2251">
        <v>-14.602499999999999</v>
      </c>
      <c r="AD2251">
        <v>-1.1110914076145</v>
      </c>
      <c r="AE2251">
        <v>0.69319999999999005</v>
      </c>
      <c r="AF2251">
        <v>0.60389467996466495</v>
      </c>
      <c r="AG2251">
        <v>-1.1110914076145</v>
      </c>
      <c r="AH2251">
        <v>14.522431810863701</v>
      </c>
      <c r="AI2251">
        <v>94.371335260680894</v>
      </c>
      <c r="AJ2251">
        <v>87.618808349506295</v>
      </c>
      <c r="AK2251">
        <v>14.577387921083499</v>
      </c>
      <c r="AL2251">
        <v>68.222277464994306</v>
      </c>
      <c r="AM2251">
        <v>93.157833226658695</v>
      </c>
      <c r="AN2251">
        <v>1.00000000494243</v>
      </c>
    </row>
    <row r="2252" spans="1:40" x14ac:dyDescent="0.25">
      <c r="A2252" t="str">
        <f>"20190304164859419"</f>
        <v>20190304164859419</v>
      </c>
      <c r="B2252" t="str">
        <f>"1551689339407842"</f>
        <v>1551689339407842</v>
      </c>
      <c r="C2252" t="s">
        <v>40</v>
      </c>
      <c r="D2252">
        <v>3.9824359999999999</v>
      </c>
      <c r="E2252">
        <v>0.55198780000000003</v>
      </c>
      <c r="F2252" t="s">
        <v>41</v>
      </c>
      <c r="G2252">
        <v>-308.46949999999998</v>
      </c>
      <c r="H2252">
        <v>1.0456030000000001</v>
      </c>
      <c r="I2252">
        <v>284.76659999999998</v>
      </c>
      <c r="J2252">
        <v>-307.81479999999999</v>
      </c>
      <c r="K2252">
        <v>1.1110960000000001</v>
      </c>
      <c r="L2252">
        <v>284.72590000000002</v>
      </c>
      <c r="M2252">
        <v>-0.99986609999999998</v>
      </c>
      <c r="N2252">
        <v>-1.536365E-2</v>
      </c>
      <c r="O2252">
        <v>5.6590390000000003E-3</v>
      </c>
      <c r="P2252">
        <v>-0.93316500000000002</v>
      </c>
      <c r="Q2252">
        <v>0.35658400000000001</v>
      </c>
      <c r="R2252">
        <v>-4.5294859999999999E-2</v>
      </c>
      <c r="S2252">
        <v>-3.3166809999999902</v>
      </c>
      <c r="T2252">
        <v>-0.24570040000000001</v>
      </c>
      <c r="U2252">
        <v>0.15646360000000001</v>
      </c>
      <c r="V2252">
        <v>-5.097666E-2</v>
      </c>
      <c r="W2252">
        <v>0.37081940000000002</v>
      </c>
      <c r="X2252">
        <v>0.92730489999999999</v>
      </c>
      <c r="Y2252">
        <v>4.1341320000000001E-2</v>
      </c>
      <c r="Z2252">
        <v>1.5150490000000001E-3</v>
      </c>
      <c r="AA2252">
        <v>0.99914400000000003</v>
      </c>
      <c r="AB2252">
        <v>43</v>
      </c>
      <c r="AC2252">
        <v>-0.65469999999999096</v>
      </c>
      <c r="AD2252">
        <v>-6.5492999999999801E-2</v>
      </c>
      <c r="AE2252">
        <v>4.0699999999958401E-2</v>
      </c>
      <c r="AF2252">
        <v>3.66288041420368E-2</v>
      </c>
      <c r="AG2252">
        <v>-6.5492999999999801E-2</v>
      </c>
      <c r="AH2252">
        <v>0.64845573121833799</v>
      </c>
      <c r="AI2252">
        <v>95.758108974945102</v>
      </c>
      <c r="AJ2252">
        <v>86.7670143501512</v>
      </c>
      <c r="AK2252">
        <v>0.65278314752433997</v>
      </c>
      <c r="AL2252">
        <v>68.233839608659494</v>
      </c>
      <c r="AM2252">
        <v>93.146549324970906</v>
      </c>
      <c r="AN2252">
        <v>1.0000000124225601</v>
      </c>
    </row>
    <row r="2253" spans="1:40" x14ac:dyDescent="0.25">
      <c r="A2253" t="str">
        <f>"20190304164859432"</f>
        <v>20190304164859432</v>
      </c>
      <c r="B2253" t="str">
        <f>"1551689339428569"</f>
        <v>1551689339428569</v>
      </c>
      <c r="C2253" t="s">
        <v>40</v>
      </c>
      <c r="D2253">
        <v>4.0179410000000004</v>
      </c>
      <c r="E2253">
        <v>0.5519655</v>
      </c>
      <c r="F2253" t="s">
        <v>41</v>
      </c>
      <c r="G2253">
        <v>-308.8449</v>
      </c>
      <c r="H2253">
        <v>1.0339309999999999</v>
      </c>
      <c r="I2253">
        <v>284.77409999999998</v>
      </c>
      <c r="J2253">
        <v>-308.06200000000001</v>
      </c>
      <c r="K2253">
        <v>1.1110979999999999</v>
      </c>
      <c r="L2253">
        <v>284.72719999999998</v>
      </c>
      <c r="M2253">
        <v>-0.99986730000000001</v>
      </c>
      <c r="N2253">
        <v>-1.5363109999999999E-2</v>
      </c>
      <c r="O2253">
        <v>5.4262219999999996E-3</v>
      </c>
      <c r="P2253">
        <v>-0.93312490000000003</v>
      </c>
      <c r="Q2253">
        <v>0.35667919999999997</v>
      </c>
      <c r="R2253">
        <v>-4.5365799999999998E-2</v>
      </c>
      <c r="S2253">
        <v>-3.3173520000000001</v>
      </c>
      <c r="T2253">
        <v>-0.24845890000000001</v>
      </c>
      <c r="U2253">
        <v>0.155365</v>
      </c>
      <c r="V2253">
        <v>-5.0831330000000001E-2</v>
      </c>
      <c r="W2253">
        <v>0.37091380000000002</v>
      </c>
      <c r="X2253">
        <v>0.92727510000000002</v>
      </c>
      <c r="Y2253">
        <v>4.1231759999999999E-2</v>
      </c>
      <c r="Z2253">
        <v>1.5361420000000001E-3</v>
      </c>
      <c r="AA2253">
        <v>0.99914840000000005</v>
      </c>
      <c r="AB2253">
        <v>43</v>
      </c>
      <c r="AC2253">
        <v>-0.78289999999998305</v>
      </c>
      <c r="AD2253">
        <v>-7.7166999999999902E-2</v>
      </c>
      <c r="AE2253">
        <v>4.6899999999993697E-2</v>
      </c>
      <c r="AF2253">
        <v>4.2241700860939202E-2</v>
      </c>
      <c r="AG2253">
        <v>-7.7166999999999902E-2</v>
      </c>
      <c r="AH2253">
        <v>0.77563451130974304</v>
      </c>
      <c r="AI2253">
        <v>95.673243782692396</v>
      </c>
      <c r="AJ2253">
        <v>86.882703688815397</v>
      </c>
      <c r="AK2253">
        <v>0.78060745725065295</v>
      </c>
      <c r="AL2253">
        <v>68.228015063465804</v>
      </c>
      <c r="AM2253">
        <v>93.137697368753393</v>
      </c>
      <c r="AN2253">
        <v>0.99999999111000903</v>
      </c>
    </row>
    <row r="2254" spans="1:40" x14ac:dyDescent="0.25">
      <c r="A2254" t="str">
        <f>"20190304164859450"</f>
        <v>20190304164859450</v>
      </c>
      <c r="B2254" t="str">
        <f>"1551689339438330"</f>
        <v>1551689339438330</v>
      </c>
      <c r="C2254" t="s">
        <v>40</v>
      </c>
      <c r="D2254">
        <v>3.985392</v>
      </c>
      <c r="E2254">
        <v>0.55188630000000005</v>
      </c>
      <c r="F2254" t="s">
        <v>46</v>
      </c>
      <c r="G2254">
        <v>-322.94450000000001</v>
      </c>
      <c r="H2254" s="1">
        <v>-5.0766040000000001E-9</v>
      </c>
      <c r="I2254">
        <v>285.42110000000002</v>
      </c>
      <c r="J2254">
        <v>-308.39350000000002</v>
      </c>
      <c r="K2254">
        <v>1.111097</v>
      </c>
      <c r="L2254">
        <v>284.7287</v>
      </c>
      <c r="M2254">
        <v>-0.99986900000000001</v>
      </c>
      <c r="N2254">
        <v>-1.536205E-2</v>
      </c>
      <c r="O2254">
        <v>5.1136609999999898E-3</v>
      </c>
      <c r="P2254">
        <v>-0.93308170000000001</v>
      </c>
      <c r="Q2254">
        <v>0.35676269999999999</v>
      </c>
      <c r="R2254">
        <v>-4.5597739999999998E-2</v>
      </c>
      <c r="S2254">
        <v>-3.3172000000000001</v>
      </c>
      <c r="T2254">
        <v>-0.24765619999999999</v>
      </c>
      <c r="U2254">
        <v>0.1546631</v>
      </c>
      <c r="V2254">
        <v>-5.0772940000000003E-2</v>
      </c>
      <c r="W2254">
        <v>0.37099569999999998</v>
      </c>
      <c r="X2254">
        <v>0.9272456</v>
      </c>
      <c r="Y2254">
        <v>4.1335120000000003E-2</v>
      </c>
      <c r="Z2254">
        <v>1.5556509999999999E-3</v>
      </c>
      <c r="AA2254">
        <v>0.99914409999999998</v>
      </c>
      <c r="AB2254">
        <v>43</v>
      </c>
      <c r="AC2254">
        <v>-14.550999999999901</v>
      </c>
      <c r="AD2254">
        <v>-1.1110970050766</v>
      </c>
      <c r="AE2254">
        <v>0.69240000000002</v>
      </c>
      <c r="AF2254">
        <v>0.61439902473359898</v>
      </c>
      <c r="AG2254">
        <v>-1.1110970050766</v>
      </c>
      <c r="AH2254">
        <v>14.470170672937201</v>
      </c>
      <c r="AI2254">
        <v>94.386922871315704</v>
      </c>
      <c r="AJ2254">
        <v>87.568699080087697</v>
      </c>
      <c r="AK2254">
        <v>14.5257654538484</v>
      </c>
      <c r="AL2254">
        <v>68.222963397254702</v>
      </c>
      <c r="AM2254">
        <v>93.134199793618706</v>
      </c>
      <c r="AN2254">
        <v>1.00000005178704</v>
      </c>
    </row>
    <row r="2255" spans="1:40" x14ac:dyDescent="0.25">
      <c r="A2255" t="str">
        <f>"20190304164859461"</f>
        <v>20190304164859461</v>
      </c>
      <c r="B2255" t="str">
        <f>"1551689339457850"</f>
        <v>1551689339457850</v>
      </c>
      <c r="C2255" t="s">
        <v>40</v>
      </c>
      <c r="D2255">
        <v>4.0105919999999999</v>
      </c>
      <c r="E2255">
        <v>0.55185600000000001</v>
      </c>
      <c r="F2255" t="s">
        <v>41</v>
      </c>
      <c r="G2255">
        <v>-309.23829999999998</v>
      </c>
      <c r="H2255">
        <v>1.048092</v>
      </c>
      <c r="I2255">
        <v>284.7681</v>
      </c>
      <c r="J2255">
        <v>-308.62540000000001</v>
      </c>
      <c r="K2255">
        <v>1.1111</v>
      </c>
      <c r="L2255">
        <v>284.72969999999998</v>
      </c>
      <c r="M2255">
        <v>-0.99987009999999998</v>
      </c>
      <c r="N2255">
        <v>-1.5361140000000001E-2</v>
      </c>
      <c r="O2255">
        <v>4.8948619999999998E-3</v>
      </c>
      <c r="P2255">
        <v>-0.93303060000000004</v>
      </c>
      <c r="Q2255">
        <v>0.35686279999999998</v>
      </c>
      <c r="R2255">
        <v>-4.585914E-2</v>
      </c>
      <c r="S2255">
        <v>-3.3173219999999999</v>
      </c>
      <c r="T2255">
        <v>-0.24762310000000001</v>
      </c>
      <c r="U2255">
        <v>0.15344240000000001</v>
      </c>
      <c r="V2255">
        <v>-5.0830479999999997E-2</v>
      </c>
      <c r="W2255">
        <v>0.37109399999999998</v>
      </c>
      <c r="X2255">
        <v>0.92720309999999995</v>
      </c>
      <c r="Y2255">
        <v>4.1185340000000001E-2</v>
      </c>
      <c r="Z2255">
        <v>1.5616499999999999E-3</v>
      </c>
      <c r="AA2255">
        <v>0.99915030000000005</v>
      </c>
      <c r="AB2255">
        <v>43</v>
      </c>
      <c r="AC2255">
        <v>-0.61289999999996703</v>
      </c>
      <c r="AD2255">
        <v>-6.3007999999999897E-2</v>
      </c>
      <c r="AE2255">
        <v>3.8400000000024102E-2</v>
      </c>
      <c r="AF2255">
        <v>3.5030355420947602E-2</v>
      </c>
      <c r="AG2255">
        <v>-6.3007999999999897E-2</v>
      </c>
      <c r="AH2255">
        <v>0.60669388465867902</v>
      </c>
      <c r="AI2255">
        <v>95.919390039454498</v>
      </c>
      <c r="AJ2255">
        <v>86.695424899819997</v>
      </c>
      <c r="AK2255">
        <v>0.61096203118291803</v>
      </c>
      <c r="AL2255">
        <v>68.216898029042696</v>
      </c>
      <c r="AM2255">
        <v>93.137888165427896</v>
      </c>
      <c r="AN2255">
        <v>1.00000004159131</v>
      </c>
    </row>
    <row r="2256" spans="1:40" x14ac:dyDescent="0.25">
      <c r="A2256" t="str">
        <f>"20190304164859472"</f>
        <v>20190304164859472</v>
      </c>
      <c r="B2256" t="str">
        <f>"1551689339468586"</f>
        <v>1551689339468586</v>
      </c>
      <c r="C2256" t="s">
        <v>40</v>
      </c>
      <c r="D2256">
        <v>3.9898899999999999</v>
      </c>
      <c r="E2256">
        <v>0.55186559999999996</v>
      </c>
      <c r="F2256" t="s">
        <v>41</v>
      </c>
      <c r="G2256">
        <v>-309.61219999999997</v>
      </c>
      <c r="H2256">
        <v>1.037282</v>
      </c>
      <c r="I2256">
        <v>284.77510000000001</v>
      </c>
      <c r="J2256">
        <v>-308.83460000000002</v>
      </c>
      <c r="K2256">
        <v>1.1111009999999999</v>
      </c>
      <c r="L2256">
        <v>284.73059999999998</v>
      </c>
      <c r="M2256">
        <v>-0.99987099999999995</v>
      </c>
      <c r="N2256">
        <v>-1.5360209999999999E-2</v>
      </c>
      <c r="O2256">
        <v>4.6975819999999996E-3</v>
      </c>
      <c r="P2256">
        <v>-0.93294299999999997</v>
      </c>
      <c r="Q2256">
        <v>0.35705029999999999</v>
      </c>
      <c r="R2256">
        <v>-4.6178160000000003E-2</v>
      </c>
      <c r="S2256">
        <v>-3.3176879999999902</v>
      </c>
      <c r="T2256">
        <v>-0.248197</v>
      </c>
      <c r="U2256">
        <v>0.15237429999999999</v>
      </c>
      <c r="V2256">
        <v>-5.096523E-2</v>
      </c>
      <c r="W2256">
        <v>0.37127949999999998</v>
      </c>
      <c r="X2256">
        <v>0.92712139999999998</v>
      </c>
      <c r="Y2256">
        <v>4.1055969999999997E-2</v>
      </c>
      <c r="Z2256">
        <v>1.5700860000000001E-3</v>
      </c>
      <c r="AA2256">
        <v>0.99915560000000003</v>
      </c>
      <c r="AB2256">
        <v>43</v>
      </c>
      <c r="AC2256">
        <v>-0.777599999999949</v>
      </c>
      <c r="AD2256">
        <v>-7.3818999999999996E-2</v>
      </c>
      <c r="AE2256">
        <v>4.4500000000027698E-2</v>
      </c>
      <c r="AF2256">
        <v>4.0482597696943901E-2</v>
      </c>
      <c r="AG2256">
        <v>-7.3818999999999996E-2</v>
      </c>
      <c r="AH2256">
        <v>0.77087598633414001</v>
      </c>
      <c r="AI2256">
        <v>95.462477011056507</v>
      </c>
      <c r="AJ2256">
        <v>86.993870210796601</v>
      </c>
      <c r="AK2256">
        <v>0.77545978089384304</v>
      </c>
      <c r="AL2256">
        <v>68.205451119188098</v>
      </c>
      <c r="AM2256">
        <v>93.146466610824106</v>
      </c>
      <c r="AN2256">
        <v>1.0000000060635801</v>
      </c>
    </row>
    <row r="2257" spans="1:40" x14ac:dyDescent="0.25">
      <c r="A2257" t="str">
        <f>"20190304164859484"</f>
        <v>20190304164859484</v>
      </c>
      <c r="B2257" t="str">
        <f>"1551689339478346"</f>
        <v>1551689339478346</v>
      </c>
      <c r="C2257" t="s">
        <v>40</v>
      </c>
      <c r="D2257">
        <v>3.9762590000000002</v>
      </c>
      <c r="E2257">
        <v>0.55183119999999997</v>
      </c>
      <c r="F2257" t="s">
        <v>46</v>
      </c>
      <c r="G2257">
        <v>-323.68599999999998</v>
      </c>
      <c r="H2257" s="1">
        <v>3.9010329999999999E-7</v>
      </c>
      <c r="I2257">
        <v>285.4085</v>
      </c>
      <c r="J2257">
        <v>-309.05160000000001</v>
      </c>
      <c r="K2257">
        <v>1.1111089999999999</v>
      </c>
      <c r="L2257">
        <v>284.73149999999998</v>
      </c>
      <c r="M2257">
        <v>-0.99987199999999998</v>
      </c>
      <c r="N2257">
        <v>-1.5359090000000001E-2</v>
      </c>
      <c r="O2257">
        <v>4.4927359999999998E-3</v>
      </c>
      <c r="P2257">
        <v>-0.93285819999999997</v>
      </c>
      <c r="Q2257">
        <v>0.35726729999999901</v>
      </c>
      <c r="R2257">
        <v>-4.6217080000000001E-2</v>
      </c>
      <c r="S2257">
        <v>-3.318146</v>
      </c>
      <c r="T2257">
        <v>-0.24824450000000001</v>
      </c>
      <c r="U2257">
        <v>0.1514587</v>
      </c>
      <c r="V2257">
        <v>-5.081331E-2</v>
      </c>
      <c r="W2257">
        <v>0.37149470000000001</v>
      </c>
      <c r="X2257">
        <v>0.92704350000000002</v>
      </c>
      <c r="Y2257">
        <v>4.0979120000000001E-2</v>
      </c>
      <c r="Z2257">
        <v>1.578821E-3</v>
      </c>
      <c r="AA2257">
        <v>0.99915869999999996</v>
      </c>
      <c r="AB2257">
        <v>43</v>
      </c>
      <c r="AC2257">
        <v>-14.6343999999999</v>
      </c>
      <c r="AD2257">
        <v>-1.1111086098967</v>
      </c>
      <c r="AE2257">
        <v>0.67700000000002003</v>
      </c>
      <c r="AF2257">
        <v>0.60774106262852101</v>
      </c>
      <c r="AG2257">
        <v>-1.1111086098967</v>
      </c>
      <c r="AH2257">
        <v>14.5535789629887</v>
      </c>
      <c r="AI2257">
        <v>94.362051587971905</v>
      </c>
      <c r="AJ2257">
        <v>87.608782084566599</v>
      </c>
      <c r="AK2257">
        <v>14.6085787184838</v>
      </c>
      <c r="AL2257">
        <v>68.192170618361104</v>
      </c>
      <c r="AM2257">
        <v>93.137369295612601</v>
      </c>
      <c r="AN2257">
        <v>0.99999997774674698</v>
      </c>
    </row>
    <row r="2258" spans="1:40" x14ac:dyDescent="0.25">
      <c r="A2258" t="str">
        <f>"20190304164859496"</f>
        <v>20190304164859496</v>
      </c>
      <c r="B2258" t="str">
        <f>"1551689339488106"</f>
        <v>1551689339488106</v>
      </c>
      <c r="C2258" t="s">
        <v>40</v>
      </c>
      <c r="D2258">
        <v>4.0007989999999998</v>
      </c>
      <c r="E2258">
        <v>0.55179979999999995</v>
      </c>
      <c r="F2258" t="s">
        <v>41</v>
      </c>
      <c r="G2258">
        <v>-309.99610000000001</v>
      </c>
      <c r="H2258">
        <v>1.040664</v>
      </c>
      <c r="I2258">
        <v>284.77460000000002</v>
      </c>
      <c r="J2258">
        <v>-309.28719999999998</v>
      </c>
      <c r="K2258">
        <v>1.1111120000000001</v>
      </c>
      <c r="L2258">
        <v>284.73239999999998</v>
      </c>
      <c r="M2258">
        <v>-0.99987300000000001</v>
      </c>
      <c r="N2258">
        <v>-1.5357819999999999E-2</v>
      </c>
      <c r="O2258">
        <v>4.2702499999999997E-3</v>
      </c>
      <c r="P2258">
        <v>-0.93288970000000004</v>
      </c>
      <c r="Q2258">
        <v>0.35714699999999999</v>
      </c>
      <c r="R2258">
        <v>-4.6508899999999999E-2</v>
      </c>
      <c r="S2258">
        <v>-3.3182369999999999</v>
      </c>
      <c r="T2258">
        <v>-0.24766050000000001</v>
      </c>
      <c r="U2258">
        <v>0.15072629999999901</v>
      </c>
      <c r="V2258">
        <v>-5.0897739999999997E-2</v>
      </c>
      <c r="W2258">
        <v>0.37137389999999998</v>
      </c>
      <c r="X2258">
        <v>0.92708729999999995</v>
      </c>
      <c r="Y2258">
        <v>4.0980280000000001E-2</v>
      </c>
      <c r="Z2258">
        <v>1.5891690000000001E-3</v>
      </c>
      <c r="AA2258">
        <v>0.99915869999999996</v>
      </c>
      <c r="AB2258">
        <v>43</v>
      </c>
      <c r="AC2258">
        <v>-0.70890000000002795</v>
      </c>
      <c r="AD2258">
        <v>-7.0447999999999997E-2</v>
      </c>
      <c r="AE2258">
        <v>4.2200000000036597E-2</v>
      </c>
      <c r="AF2258">
        <v>3.8790349351265602E-2</v>
      </c>
      <c r="AG2258">
        <v>-7.0447999999999997E-2</v>
      </c>
      <c r="AH2258">
        <v>0.70216389529564005</v>
      </c>
      <c r="AI2258">
        <v>95.720639782144303</v>
      </c>
      <c r="AJ2258">
        <v>86.837965500285904</v>
      </c>
      <c r="AK2258">
        <v>0.70675437583614498</v>
      </c>
      <c r="AL2258">
        <v>68.199625945374706</v>
      </c>
      <c r="AM2258">
        <v>93.1424236498694</v>
      </c>
      <c r="AN2258">
        <v>1.0000000076797999</v>
      </c>
    </row>
    <row r="2259" spans="1:40" x14ac:dyDescent="0.25">
      <c r="A2259" t="str">
        <f>"20190304164859507"</f>
        <v>20190304164859507</v>
      </c>
      <c r="B2259" t="str">
        <f>"1551689339497866"</f>
        <v>1551689339497866</v>
      </c>
      <c r="C2259" t="s">
        <v>40</v>
      </c>
      <c r="D2259">
        <v>4.0287240000000004</v>
      </c>
      <c r="E2259">
        <v>0.55178579999999999</v>
      </c>
      <c r="F2259" t="s">
        <v>41</v>
      </c>
      <c r="G2259">
        <v>-310.3725</v>
      </c>
      <c r="H2259">
        <v>1.0299469999999999</v>
      </c>
      <c r="I2259">
        <v>284.78129999999999</v>
      </c>
      <c r="J2259">
        <v>-309.51760000000002</v>
      </c>
      <c r="K2259">
        <v>1.1111139999999999</v>
      </c>
      <c r="L2259">
        <v>284.73320000000001</v>
      </c>
      <c r="M2259">
        <v>-0.99987389999999998</v>
      </c>
      <c r="N2259">
        <v>-1.5356389999999999E-2</v>
      </c>
      <c r="O2259">
        <v>4.0525969999999998E-3</v>
      </c>
      <c r="P2259">
        <v>-0.9328805</v>
      </c>
      <c r="Q2259">
        <v>0.35718030000000001</v>
      </c>
      <c r="R2259">
        <v>-4.643746E-2</v>
      </c>
      <c r="S2259">
        <v>-3.3182680000000002</v>
      </c>
      <c r="T2259">
        <v>-0.2482191</v>
      </c>
      <c r="U2259">
        <v>0.14926149999999999</v>
      </c>
      <c r="V2259">
        <v>-5.0623399999999999E-2</v>
      </c>
      <c r="W2259">
        <v>0.37140580000000001</v>
      </c>
      <c r="X2259">
        <v>0.92708959999999996</v>
      </c>
      <c r="Y2259">
        <v>4.0757019999999998E-2</v>
      </c>
      <c r="Z2259">
        <v>1.5947120000000001E-3</v>
      </c>
      <c r="AA2259">
        <v>0.99916780000000005</v>
      </c>
      <c r="AB2259">
        <v>43</v>
      </c>
      <c r="AC2259">
        <v>-0.854899999999986</v>
      </c>
      <c r="AD2259">
        <v>-8.1166999999999906E-2</v>
      </c>
      <c r="AE2259">
        <v>4.8099999999976703E-2</v>
      </c>
      <c r="AF2259">
        <v>4.42371262464957E-2</v>
      </c>
      <c r="AG2259">
        <v>-8.1166999999999906E-2</v>
      </c>
      <c r="AH2259">
        <v>0.84747272868537904</v>
      </c>
      <c r="AI2259">
        <v>95.463443378652002</v>
      </c>
      <c r="AJ2259">
        <v>87.011936462432004</v>
      </c>
      <c r="AK2259">
        <v>0.85249928509822803</v>
      </c>
      <c r="AL2259">
        <v>68.197658652159006</v>
      </c>
      <c r="AM2259">
        <v>93.125511847354602</v>
      </c>
      <c r="AN2259">
        <v>1.00000006166467</v>
      </c>
    </row>
    <row r="2260" spans="1:40" x14ac:dyDescent="0.25">
      <c r="A2260" t="str">
        <f>"20190304164859519"</f>
        <v>20190304164859519</v>
      </c>
      <c r="B2260" t="str">
        <f>"1551689339508602"</f>
        <v>1551689339508602</v>
      </c>
      <c r="C2260" t="s">
        <v>40</v>
      </c>
      <c r="D2260">
        <v>4.003374</v>
      </c>
      <c r="E2260">
        <v>0.55174679999999998</v>
      </c>
      <c r="F2260" t="s">
        <v>41</v>
      </c>
      <c r="G2260">
        <v>-310.38350000000003</v>
      </c>
      <c r="H2260">
        <v>1.046624</v>
      </c>
      <c r="I2260">
        <v>284.77229999999997</v>
      </c>
      <c r="J2260">
        <v>-309.72120000000001</v>
      </c>
      <c r="K2260">
        <v>1.1111169999999999</v>
      </c>
      <c r="L2260">
        <v>284.73390000000001</v>
      </c>
      <c r="M2260">
        <v>-0.99987479999999995</v>
      </c>
      <c r="N2260">
        <v>-1.535508E-2</v>
      </c>
      <c r="O2260">
        <v>3.860095E-3</v>
      </c>
      <c r="P2260">
        <v>-0.93278649999999996</v>
      </c>
      <c r="Q2260">
        <v>0.3574117</v>
      </c>
      <c r="R2260">
        <v>-4.6547289999999998E-2</v>
      </c>
      <c r="S2260">
        <v>-3.3179020000000001</v>
      </c>
      <c r="T2260">
        <v>-0.2471911</v>
      </c>
      <c r="U2260">
        <v>0.1494751</v>
      </c>
      <c r="V2260">
        <v>-5.0553870000000001E-2</v>
      </c>
      <c r="W2260">
        <v>0.37163459999999998</v>
      </c>
      <c r="X2260">
        <v>0.92700170000000004</v>
      </c>
      <c r="Y2260">
        <v>4.1018260000000001E-2</v>
      </c>
      <c r="Z2260">
        <v>1.61286E-3</v>
      </c>
      <c r="AA2260">
        <v>0.99915710000000002</v>
      </c>
      <c r="AB2260">
        <v>43</v>
      </c>
      <c r="AC2260">
        <v>-0.66230000000001599</v>
      </c>
      <c r="AD2260">
        <v>-6.4492999999999898E-2</v>
      </c>
      <c r="AE2260">
        <v>3.8399999999967301E-2</v>
      </c>
      <c r="AF2260">
        <v>3.5507307453624203E-2</v>
      </c>
      <c r="AG2260">
        <v>-6.4492999999999898E-2</v>
      </c>
      <c r="AH2260">
        <v>0.656241451812272</v>
      </c>
      <c r="AI2260">
        <v>95.604649497361905</v>
      </c>
      <c r="AJ2260">
        <v>86.902912749335698</v>
      </c>
      <c r="AK2260">
        <v>0.66035820507379495</v>
      </c>
      <c r="AL2260">
        <v>68.183538723410507</v>
      </c>
      <c r="AM2260">
        <v>93.121522902320905</v>
      </c>
      <c r="AN2260">
        <v>1.00000006074601</v>
      </c>
    </row>
    <row r="2261" spans="1:40" x14ac:dyDescent="0.25">
      <c r="A2261" t="str">
        <f>"20190304164859531"</f>
        <v>20190304164859531</v>
      </c>
      <c r="B2261" t="str">
        <f>"1551689339528122"</f>
        <v>1551689339528122</v>
      </c>
      <c r="C2261" t="s">
        <v>40</v>
      </c>
      <c r="D2261">
        <v>4.0163909999999996</v>
      </c>
      <c r="E2261">
        <v>0.55179880000000003</v>
      </c>
      <c r="F2261" t="s">
        <v>41</v>
      </c>
      <c r="G2261">
        <v>-310.7561</v>
      </c>
      <c r="H2261">
        <v>1.0342929999999999</v>
      </c>
      <c r="I2261">
        <v>284.78030000000001</v>
      </c>
      <c r="J2261">
        <v>-309.95429999999999</v>
      </c>
      <c r="K2261">
        <v>1.1111169999999999</v>
      </c>
      <c r="L2261">
        <v>284.7346</v>
      </c>
      <c r="M2261">
        <v>-0.99987559999999998</v>
      </c>
      <c r="N2261">
        <v>-1.5353479999999999E-2</v>
      </c>
      <c r="O2261">
        <v>3.6398820000000001E-3</v>
      </c>
      <c r="P2261">
        <v>-0.93276700000000001</v>
      </c>
      <c r="Q2261">
        <v>0.35746600000000001</v>
      </c>
      <c r="R2261">
        <v>-4.6517469999999998E-2</v>
      </c>
      <c r="S2261">
        <v>-3.3180239999999999</v>
      </c>
      <c r="T2261">
        <v>-0.24634980000000001</v>
      </c>
      <c r="U2261">
        <v>0.1486816</v>
      </c>
      <c r="V2261">
        <v>-5.0318000000000002E-2</v>
      </c>
      <c r="W2261">
        <v>0.37168770000000001</v>
      </c>
      <c r="X2261">
        <v>0.92699319999999996</v>
      </c>
      <c r="Y2261">
        <v>4.0998699999999999E-2</v>
      </c>
      <c r="Z2261">
        <v>1.620643E-3</v>
      </c>
      <c r="AA2261">
        <v>0.99915790000000004</v>
      </c>
      <c r="AB2261">
        <v>43</v>
      </c>
      <c r="AC2261">
        <v>-0.80180000000001395</v>
      </c>
      <c r="AD2261">
        <v>-7.6823999999999698E-2</v>
      </c>
      <c r="AE2261">
        <v>4.5700000000010697E-2</v>
      </c>
      <c r="AF2261">
        <v>4.2392971719465003E-2</v>
      </c>
      <c r="AG2261">
        <v>-7.6823999999999698E-2</v>
      </c>
      <c r="AH2261">
        <v>0.79468910740556797</v>
      </c>
      <c r="AI2261">
        <v>95.513934337820302</v>
      </c>
      <c r="AJ2261">
        <v>86.946430708205497</v>
      </c>
      <c r="AK2261">
        <v>0.799518522897541</v>
      </c>
      <c r="AL2261">
        <v>68.180260638948198</v>
      </c>
      <c r="AM2261">
        <v>93.107015797739294</v>
      </c>
      <c r="AN2261">
        <v>1.0000000201507599</v>
      </c>
    </row>
    <row r="2262" spans="1:40" x14ac:dyDescent="0.25">
      <c r="A2262" t="str">
        <f>"20190304164859543"</f>
        <v>20190304164859543</v>
      </c>
      <c r="B2262" t="str">
        <f>"1551689339537882"</f>
        <v>1551689339537882</v>
      </c>
      <c r="C2262" t="s">
        <v>40</v>
      </c>
      <c r="D2262">
        <v>4.0259</v>
      </c>
      <c r="E2262">
        <v>0.55180069999999903</v>
      </c>
      <c r="F2262" t="s">
        <v>46</v>
      </c>
      <c r="G2262">
        <v>-324.91030000000001</v>
      </c>
      <c r="H2262" s="1">
        <v>1.0417459999999999E-6</v>
      </c>
      <c r="I2262">
        <v>285.40570000000002</v>
      </c>
      <c r="J2262">
        <v>-310.1764</v>
      </c>
      <c r="K2262">
        <v>1.111119</v>
      </c>
      <c r="L2262">
        <v>284.73520000000002</v>
      </c>
      <c r="M2262">
        <v>-0.9998764</v>
      </c>
      <c r="N2262">
        <v>-1.535187E-2</v>
      </c>
      <c r="O2262">
        <v>3.429863E-3</v>
      </c>
      <c r="P2262">
        <v>-0.93276289999999995</v>
      </c>
      <c r="Q2262">
        <v>0.357489</v>
      </c>
      <c r="R2262">
        <v>-4.642553E-2</v>
      </c>
      <c r="S2262">
        <v>-3.3181150000000001</v>
      </c>
      <c r="T2262">
        <v>-0.2465099</v>
      </c>
      <c r="U2262">
        <v>0.14889530000000001</v>
      </c>
      <c r="V2262">
        <v>-5.0030209999999999E-2</v>
      </c>
      <c r="W2262">
        <v>0.37170989999999998</v>
      </c>
      <c r="X2262">
        <v>0.92699989999999999</v>
      </c>
      <c r="Y2262">
        <v>4.127012E-2</v>
      </c>
      <c r="Z2262">
        <v>1.6458829999999999E-3</v>
      </c>
      <c r="AA2262">
        <v>0.99914669999999906</v>
      </c>
      <c r="AB2262">
        <v>43</v>
      </c>
      <c r="AC2262">
        <v>-14.7339</v>
      </c>
      <c r="AD2262">
        <v>-1.1111179582539901</v>
      </c>
      <c r="AE2262">
        <v>0.67050000000000398</v>
      </c>
      <c r="AF2262">
        <v>0.61645629195939999</v>
      </c>
      <c r="AG2262">
        <v>-1.1111179582539901</v>
      </c>
      <c r="AH2262">
        <v>14.6529538558871</v>
      </c>
      <c r="AI2262">
        <v>94.332561654350101</v>
      </c>
      <c r="AJ2262">
        <v>87.590961648882796</v>
      </c>
      <c r="AK2262">
        <v>14.7079454098731</v>
      </c>
      <c r="AL2262">
        <v>68.178891034672503</v>
      </c>
      <c r="AM2262">
        <v>93.089257690221302</v>
      </c>
      <c r="AN2262">
        <v>1.00000004313533</v>
      </c>
    </row>
    <row r="2263" spans="1:40" x14ac:dyDescent="0.25">
      <c r="A2263" t="str">
        <f>"20190304164859564"</f>
        <v>20190304164859564</v>
      </c>
      <c r="B2263" t="str">
        <f>"1551689339558377"</f>
        <v>1551689339558377</v>
      </c>
      <c r="C2263" t="s">
        <v>40</v>
      </c>
      <c r="D2263">
        <v>4.034929</v>
      </c>
      <c r="E2263">
        <v>0.5518689</v>
      </c>
      <c r="F2263" t="s">
        <v>41</v>
      </c>
      <c r="G2263">
        <v>-311.13959999999997</v>
      </c>
      <c r="H2263">
        <v>1.0395080000000001</v>
      </c>
      <c r="I2263">
        <v>284.77850000000001</v>
      </c>
      <c r="J2263">
        <v>-310.57240000000002</v>
      </c>
      <c r="K2263">
        <v>1.1111200000000001</v>
      </c>
      <c r="L2263">
        <v>284.73630000000003</v>
      </c>
      <c r="M2263">
        <v>-0.99987749999999997</v>
      </c>
      <c r="N2263">
        <v>-1.5348830000000001E-2</v>
      </c>
      <c r="O2263">
        <v>3.0554789999999998E-3</v>
      </c>
      <c r="P2263">
        <v>-0.93257190000000001</v>
      </c>
      <c r="Q2263">
        <v>0.35796359999999999</v>
      </c>
      <c r="R2263">
        <v>-4.6598809999999997E-2</v>
      </c>
      <c r="S2263">
        <v>-3.3182070000000001</v>
      </c>
      <c r="T2263">
        <v>-0.24669849999999999</v>
      </c>
      <c r="U2263">
        <v>0.14877319999999999</v>
      </c>
      <c r="V2263">
        <v>-4.9854339999999997E-2</v>
      </c>
      <c r="W2263">
        <v>0.37217899999999998</v>
      </c>
      <c r="X2263">
        <v>0.92682109999999995</v>
      </c>
      <c r="Y2263">
        <v>4.1604380000000003E-2</v>
      </c>
      <c r="Z2263">
        <v>1.683766E-3</v>
      </c>
      <c r="AA2263">
        <v>0.99913280000000004</v>
      </c>
      <c r="AB2263">
        <v>43</v>
      </c>
      <c r="AC2263">
        <v>-0.56719999999995696</v>
      </c>
      <c r="AD2263">
        <v>-7.1611999999999995E-2</v>
      </c>
      <c r="AE2263">
        <v>4.2199999999979802E-2</v>
      </c>
      <c r="AF2263">
        <v>3.9835040226763603E-2</v>
      </c>
      <c r="AG2263">
        <v>-7.1611999999999995E-2</v>
      </c>
      <c r="AH2263">
        <v>0.55847303248360902</v>
      </c>
      <c r="AI2263">
        <v>97.288742656690204</v>
      </c>
      <c r="AJ2263">
        <v>85.920088180429801</v>
      </c>
      <c r="AK2263">
        <v>0.564453042320888</v>
      </c>
      <c r="AL2263">
        <v>68.149935399517602</v>
      </c>
      <c r="AM2263">
        <v>93.0790117588638</v>
      </c>
      <c r="AN2263">
        <v>1.0000000073315201</v>
      </c>
    </row>
    <row r="2264" spans="1:40" x14ac:dyDescent="0.25">
      <c r="A2264" t="str">
        <f>"20190304164859578"</f>
        <v>20190304164859578</v>
      </c>
      <c r="B2264" t="str">
        <f>"1551689339568137"</f>
        <v>1551689339568137</v>
      </c>
      <c r="C2264" t="s">
        <v>40</v>
      </c>
      <c r="D2264">
        <v>4.0541580000000002</v>
      </c>
      <c r="E2264">
        <v>0.55186869999999999</v>
      </c>
      <c r="F2264" t="s">
        <v>41</v>
      </c>
      <c r="G2264">
        <v>-311.52100000000002</v>
      </c>
      <c r="H2264">
        <v>1.0410619999999999</v>
      </c>
      <c r="I2264">
        <v>284.7792</v>
      </c>
      <c r="J2264">
        <v>-310.84609999999998</v>
      </c>
      <c r="K2264">
        <v>1.1111200000000001</v>
      </c>
      <c r="L2264">
        <v>284.73689999999999</v>
      </c>
      <c r="M2264">
        <v>-0.99987839999999995</v>
      </c>
      <c r="N2264">
        <v>-1.534662E-2</v>
      </c>
      <c r="O2264">
        <v>2.796237E-3</v>
      </c>
      <c r="P2264">
        <v>-0.93258770000000002</v>
      </c>
      <c r="Q2264">
        <v>0.35792459999999998</v>
      </c>
      <c r="R2264">
        <v>-4.6588789999999998E-2</v>
      </c>
      <c r="S2264">
        <v>-3.3185419999999999</v>
      </c>
      <c r="T2264">
        <v>-0.24538960000000001</v>
      </c>
      <c r="U2264">
        <v>0.14889530000000001</v>
      </c>
      <c r="V2264">
        <v>-4.9602420000000001E-2</v>
      </c>
      <c r="W2264">
        <v>0.37213869999999999</v>
      </c>
      <c r="X2264">
        <v>0.92685079999999997</v>
      </c>
      <c r="Y2264">
        <v>4.1895479999999999E-2</v>
      </c>
      <c r="Z2264">
        <v>1.7047500000000001E-3</v>
      </c>
      <c r="AA2264">
        <v>0.99912049999999997</v>
      </c>
      <c r="AB2264">
        <v>43</v>
      </c>
      <c r="AC2264">
        <v>-0.67489999999997896</v>
      </c>
      <c r="AD2264">
        <v>-7.0057999999999898E-2</v>
      </c>
      <c r="AE2264">
        <v>4.2300000000011502E-2</v>
      </c>
      <c r="AF2264">
        <v>3.9983278930886199E-2</v>
      </c>
      <c r="AG2264">
        <v>-7.0057999999999898E-2</v>
      </c>
      <c r="AH2264">
        <v>0.66784743782924705</v>
      </c>
      <c r="AI2264">
        <v>95.977868109164305</v>
      </c>
      <c r="AJ2264">
        <v>86.573855300513202</v>
      </c>
      <c r="AK2264">
        <v>0.67270126071916503</v>
      </c>
      <c r="AL2264">
        <v>68.152423147692005</v>
      </c>
      <c r="AM2264">
        <v>93.063384872263001</v>
      </c>
      <c r="AN2264">
        <v>1.0000000087840899</v>
      </c>
    </row>
    <row r="2265" spans="1:40" x14ac:dyDescent="0.25">
      <c r="A2265" t="str">
        <f>"20190304164859596"</f>
        <v>20190304164859596</v>
      </c>
      <c r="B2265" t="str">
        <f>"1551689339588637"</f>
        <v>1551689339588637</v>
      </c>
      <c r="C2265" t="s">
        <v>40</v>
      </c>
      <c r="D2265">
        <v>4.0655449999999904</v>
      </c>
      <c r="E2265">
        <v>0.55186579999999996</v>
      </c>
      <c r="F2265" t="s">
        <v>41</v>
      </c>
      <c r="G2265">
        <v>-311.89710000000002</v>
      </c>
      <c r="H2265">
        <v>1.033323</v>
      </c>
      <c r="I2265">
        <v>284.78429999999997</v>
      </c>
      <c r="J2265">
        <v>-311.18560000000002</v>
      </c>
      <c r="K2265">
        <v>1.1111120000000001</v>
      </c>
      <c r="L2265">
        <v>284.73759999999999</v>
      </c>
      <c r="M2265">
        <v>-0.99987930000000003</v>
      </c>
      <c r="N2265">
        <v>-1.534375E-2</v>
      </c>
      <c r="O2265">
        <v>2.4750739999999999E-3</v>
      </c>
      <c r="P2265">
        <v>-0.93254400000000004</v>
      </c>
      <c r="Q2265">
        <v>0.35806890000000002</v>
      </c>
      <c r="R2265">
        <v>-4.635421E-2</v>
      </c>
      <c r="S2265">
        <v>-3.3185419999999999</v>
      </c>
      <c r="T2265">
        <v>-0.2457136</v>
      </c>
      <c r="U2265">
        <v>0.14920039999999901</v>
      </c>
      <c r="V2265">
        <v>-4.9067720000000002E-2</v>
      </c>
      <c r="W2265">
        <v>0.37228040000000001</v>
      </c>
      <c r="X2265">
        <v>0.92682240000000005</v>
      </c>
      <c r="Y2265">
        <v>4.2305879999999997E-2</v>
      </c>
      <c r="Z2265">
        <v>1.7435790000000001E-3</v>
      </c>
      <c r="AA2265">
        <v>0.99910319999999997</v>
      </c>
      <c r="AB2265">
        <v>43</v>
      </c>
      <c r="AC2265">
        <v>-0.71150000000000002</v>
      </c>
      <c r="AD2265">
        <v>-7.7789000000000094E-2</v>
      </c>
      <c r="AE2265">
        <v>4.6699999999987002E-2</v>
      </c>
      <c r="AF2265">
        <v>4.4410066386836297E-2</v>
      </c>
      <c r="AG2265">
        <v>-7.7789000000000094E-2</v>
      </c>
      <c r="AH2265">
        <v>0.70324342295829501</v>
      </c>
      <c r="AI2265">
        <v>96.299642269724302</v>
      </c>
      <c r="AJ2265">
        <v>86.386549967142301</v>
      </c>
      <c r="AK2265">
        <v>0.70892502738412499</v>
      </c>
      <c r="AL2265">
        <v>68.143676759968898</v>
      </c>
      <c r="AM2265">
        <v>93.030517025072101</v>
      </c>
      <c r="AN2265">
        <v>1.00000004925595</v>
      </c>
    </row>
    <row r="2266" spans="1:40" x14ac:dyDescent="0.25">
      <c r="A2266" t="str">
        <f>"20190304164859606"</f>
        <v>20190304164859606</v>
      </c>
      <c r="B2266" t="str">
        <f>"1551689339598394"</f>
        <v>1551689339598394</v>
      </c>
      <c r="C2266" t="s">
        <v>40</v>
      </c>
      <c r="D2266">
        <v>4.0815489999999999</v>
      </c>
      <c r="E2266">
        <v>0.55188280000000001</v>
      </c>
      <c r="F2266" t="s">
        <v>41</v>
      </c>
      <c r="G2266">
        <v>-312.27530000000002</v>
      </c>
      <c r="H2266">
        <v>1.0304500000000001</v>
      </c>
      <c r="I2266">
        <v>284.7869</v>
      </c>
      <c r="J2266">
        <v>-311.39389999999997</v>
      </c>
      <c r="K2266">
        <v>1.111111</v>
      </c>
      <c r="L2266">
        <v>284.73790000000002</v>
      </c>
      <c r="M2266">
        <v>-0.99987979999999999</v>
      </c>
      <c r="N2266">
        <v>-1.534193E-2</v>
      </c>
      <c r="O2266">
        <v>2.2777560000000001E-3</v>
      </c>
      <c r="P2266">
        <v>-0.9326776</v>
      </c>
      <c r="Q2266">
        <v>0.35771350000000002</v>
      </c>
      <c r="R2266">
        <v>-4.6410849999999997E-2</v>
      </c>
      <c r="S2266">
        <v>-3.3188170000000001</v>
      </c>
      <c r="T2266">
        <v>-0.24575730000000001</v>
      </c>
      <c r="U2266">
        <v>0.1495667</v>
      </c>
      <c r="V2266">
        <v>-4.8939980000000001E-2</v>
      </c>
      <c r="W2266">
        <v>0.37192589999999998</v>
      </c>
      <c r="X2266">
        <v>0.9269714</v>
      </c>
      <c r="Y2266">
        <v>4.2607989999999998E-2</v>
      </c>
      <c r="Z2266">
        <v>1.7687130000000001E-3</v>
      </c>
      <c r="AA2266">
        <v>0.99909029999999999</v>
      </c>
      <c r="AB2266">
        <v>43</v>
      </c>
      <c r="AC2266">
        <v>-0.88140000000004104</v>
      </c>
      <c r="AD2266">
        <v>-8.0660999999999802E-2</v>
      </c>
      <c r="AE2266">
        <v>4.8999999999978103E-2</v>
      </c>
      <c r="AF2266">
        <v>4.6602928927972402E-2</v>
      </c>
      <c r="AG2266">
        <v>-8.0660999999999802E-2</v>
      </c>
      <c r="AH2266">
        <v>0.87421044430471395</v>
      </c>
      <c r="AI2266">
        <v>95.264166285566205</v>
      </c>
      <c r="AJ2266">
        <v>86.948530972932502</v>
      </c>
      <c r="AK2266">
        <v>0.87915978686306595</v>
      </c>
      <c r="AL2266">
        <v>68.165558041783399</v>
      </c>
      <c r="AM2266">
        <v>93.022157251025305</v>
      </c>
      <c r="AN2266">
        <v>0.99999998657558498</v>
      </c>
    </row>
    <row r="2267" spans="1:40" x14ac:dyDescent="0.25">
      <c r="A2267" t="str">
        <f>"20190304164859617"</f>
        <v>20190304164859617</v>
      </c>
      <c r="B2267" t="str">
        <f>"1551689339608154"</f>
        <v>1551689339608154</v>
      </c>
      <c r="C2267" t="s">
        <v>40</v>
      </c>
      <c r="D2267">
        <v>4.0637259999999999</v>
      </c>
      <c r="E2267">
        <v>0.55186359999999901</v>
      </c>
      <c r="F2267" t="s">
        <v>41</v>
      </c>
      <c r="G2267">
        <v>-312.2842</v>
      </c>
      <c r="H2267">
        <v>1.044807</v>
      </c>
      <c r="I2267">
        <v>284.77820000000003</v>
      </c>
      <c r="J2267">
        <v>-311.59620000000001</v>
      </c>
      <c r="K2267">
        <v>1.1111139999999999</v>
      </c>
      <c r="L2267">
        <v>284.73829999999998</v>
      </c>
      <c r="M2267">
        <v>-0.99988010000000005</v>
      </c>
      <c r="N2267">
        <v>-1.534014E-2</v>
      </c>
      <c r="O2267">
        <v>2.0861579999999998E-3</v>
      </c>
      <c r="P2267">
        <v>-0.93269489999999999</v>
      </c>
      <c r="Q2267">
        <v>0.35767520000000003</v>
      </c>
      <c r="R2267">
        <v>-4.6352930000000001E-2</v>
      </c>
      <c r="S2267">
        <v>-3.3188170000000001</v>
      </c>
      <c r="T2267">
        <v>-0.24726100000000001</v>
      </c>
      <c r="U2267">
        <v>0.1496277</v>
      </c>
      <c r="V2267">
        <v>-4.8703459999999997E-2</v>
      </c>
      <c r="W2267">
        <v>0.37188650000000001</v>
      </c>
      <c r="X2267">
        <v>0.92699969999999998</v>
      </c>
      <c r="Y2267">
        <v>4.2815230000000003E-2</v>
      </c>
      <c r="Z2267">
        <v>1.7978670000000001E-3</v>
      </c>
      <c r="AA2267">
        <v>0.99908140000000001</v>
      </c>
      <c r="AB2267">
        <v>43</v>
      </c>
      <c r="AC2267">
        <v>-0.68799999999998795</v>
      </c>
      <c r="AD2267">
        <v>-6.6306999999999894E-2</v>
      </c>
      <c r="AE2267">
        <v>3.9900000000045503E-2</v>
      </c>
      <c r="AF2267">
        <v>3.81116569756857E-2</v>
      </c>
      <c r="AG2267">
        <v>-6.6306999999999894E-2</v>
      </c>
      <c r="AH2267">
        <v>0.68177040672804801</v>
      </c>
      <c r="AI2267">
        <v>95.546344540711502</v>
      </c>
      <c r="AJ2267">
        <v>86.800437856415599</v>
      </c>
      <c r="AK2267">
        <v>0.68604664865923004</v>
      </c>
      <c r="AL2267">
        <v>68.167990698179196</v>
      </c>
      <c r="AM2267">
        <v>93.007486823982703</v>
      </c>
      <c r="AN2267">
        <v>1.0000000198491501</v>
      </c>
    </row>
    <row r="2268" spans="1:40" x14ac:dyDescent="0.25">
      <c r="A2268" t="str">
        <f>"20190304164859628"</f>
        <v>20190304164859628</v>
      </c>
      <c r="B2268" t="str">
        <f>"1551689339617914"</f>
        <v>1551689339617914</v>
      </c>
      <c r="C2268" t="s">
        <v>40</v>
      </c>
      <c r="D2268">
        <v>4.0585209999999998</v>
      </c>
      <c r="E2268">
        <v>0.55184630000000001</v>
      </c>
      <c r="F2268" t="s">
        <v>41</v>
      </c>
      <c r="G2268">
        <v>-312.65539999999999</v>
      </c>
      <c r="H2268">
        <v>1.0321119999999999</v>
      </c>
      <c r="I2268">
        <v>284.78620000000001</v>
      </c>
      <c r="J2268">
        <v>-311.81349999999998</v>
      </c>
      <c r="K2268">
        <v>1.1111150000000001</v>
      </c>
      <c r="L2268">
        <v>284.73860000000002</v>
      </c>
      <c r="M2268">
        <v>-0.99988060000000001</v>
      </c>
      <c r="N2268">
        <v>-1.533818E-2</v>
      </c>
      <c r="O2268">
        <v>1.8802000000000001E-3</v>
      </c>
      <c r="P2268">
        <v>-0.93256740000000005</v>
      </c>
      <c r="Q2268">
        <v>0.35799930000000002</v>
      </c>
      <c r="R2268">
        <v>-4.6418330000000001E-2</v>
      </c>
      <c r="S2268">
        <v>-3.3188170000000001</v>
      </c>
      <c r="T2268">
        <v>-0.24759329999999999</v>
      </c>
      <c r="U2268">
        <v>0.14974979999999999</v>
      </c>
      <c r="V2268">
        <v>-4.857649E-2</v>
      </c>
      <c r="W2268">
        <v>0.37220730000000002</v>
      </c>
      <c r="X2268">
        <v>0.92687759999999997</v>
      </c>
      <c r="Y2268">
        <v>4.3056190000000001E-2</v>
      </c>
      <c r="Z2268">
        <v>1.8227510000000001E-3</v>
      </c>
      <c r="AA2268">
        <v>0.99907100000000004</v>
      </c>
      <c r="AB2268">
        <v>42</v>
      </c>
      <c r="AC2268">
        <v>-0.84190000000000897</v>
      </c>
      <c r="AD2268">
        <v>-7.9002999999999698E-2</v>
      </c>
      <c r="AE2268">
        <v>4.7599999999988499E-2</v>
      </c>
      <c r="AF2268">
        <v>4.5616382914154797E-2</v>
      </c>
      <c r="AG2268">
        <v>-7.9002999999999698E-2</v>
      </c>
      <c r="AH2268">
        <v>0.83466162127093702</v>
      </c>
      <c r="AI2268">
        <v>95.399083108398003</v>
      </c>
      <c r="AJ2268">
        <v>86.8717518685378</v>
      </c>
      <c r="AK2268">
        <v>0.83963227095068205</v>
      </c>
      <c r="AL2268">
        <v>68.148188650476996</v>
      </c>
      <c r="AM2268">
        <v>93.000055069932003</v>
      </c>
      <c r="AN2268">
        <v>1.00000001746788</v>
      </c>
    </row>
    <row r="2269" spans="1:40" x14ac:dyDescent="0.25">
      <c r="A2269" t="str">
        <f>"20190304164859640"</f>
        <v>20190304164859640</v>
      </c>
      <c r="B2269" t="str">
        <f>"1551689339628651"</f>
        <v>1551689339628651</v>
      </c>
      <c r="C2269" t="s">
        <v>40</v>
      </c>
      <c r="D2269">
        <v>4.0598330000000002</v>
      </c>
      <c r="E2269">
        <v>0.5518227</v>
      </c>
      <c r="F2269" t="s">
        <v>41</v>
      </c>
      <c r="G2269">
        <v>-312.66629999999998</v>
      </c>
      <c r="H2269">
        <v>1.0478019999999999</v>
      </c>
      <c r="I2269">
        <v>284.77719999999999</v>
      </c>
      <c r="J2269">
        <v>-312.02229999999997</v>
      </c>
      <c r="K2269">
        <v>1.1111169999999999</v>
      </c>
      <c r="L2269">
        <v>284.73880000000003</v>
      </c>
      <c r="M2269">
        <v>-0.99988100000000002</v>
      </c>
      <c r="N2269">
        <v>-1.5336270000000001E-2</v>
      </c>
      <c r="O2269">
        <v>1.6821679999999999E-3</v>
      </c>
      <c r="P2269">
        <v>-0.93242999999999998</v>
      </c>
      <c r="Q2269">
        <v>0.35833530000000002</v>
      </c>
      <c r="R2269">
        <v>-4.658619E-2</v>
      </c>
      <c r="S2269">
        <v>-3.3190309999999998</v>
      </c>
      <c r="T2269">
        <v>-0.24647189999999999</v>
      </c>
      <c r="U2269">
        <v>0.15005489999999999</v>
      </c>
      <c r="V2269">
        <v>-4.8559360000000003E-2</v>
      </c>
      <c r="W2269">
        <v>0.37253930000000002</v>
      </c>
      <c r="X2269">
        <v>0.92674509999999999</v>
      </c>
      <c r="Y2269">
        <v>4.3342720000000001E-2</v>
      </c>
      <c r="Z2269">
        <v>1.8404649999999999E-3</v>
      </c>
      <c r="AA2269">
        <v>0.99905849999999996</v>
      </c>
      <c r="AB2269">
        <v>42</v>
      </c>
      <c r="AC2269">
        <v>-0.64400000000000501</v>
      </c>
      <c r="AD2269">
        <v>-6.3314999999999705E-2</v>
      </c>
      <c r="AE2269">
        <v>3.8399999999967301E-2</v>
      </c>
      <c r="AF2269">
        <v>3.696051181789E-2</v>
      </c>
      <c r="AG2269">
        <v>-6.3314999999999705E-2</v>
      </c>
      <c r="AH2269">
        <v>0.63791948228440198</v>
      </c>
      <c r="AI2269">
        <v>95.658747910514407</v>
      </c>
      <c r="AJ2269">
        <v>86.684038488499695</v>
      </c>
      <c r="AK2269">
        <v>0.642118473910259</v>
      </c>
      <c r="AL2269">
        <v>68.127692275344501</v>
      </c>
      <c r="AM2269">
        <v>92.999427057461006</v>
      </c>
      <c r="AN2269">
        <v>1.0000000109310501</v>
      </c>
    </row>
    <row r="2270" spans="1:40" x14ac:dyDescent="0.25">
      <c r="A2270" t="str">
        <f>"20190304164859651"</f>
        <v>20190304164859651</v>
      </c>
      <c r="B2270" t="str">
        <f>"1551689339638410"</f>
        <v>1551689339638410</v>
      </c>
      <c r="C2270" t="s">
        <v>40</v>
      </c>
      <c r="D2270">
        <v>4.057963</v>
      </c>
      <c r="E2270">
        <v>0.55180369999999901</v>
      </c>
      <c r="F2270" t="s">
        <v>41</v>
      </c>
      <c r="G2270">
        <v>-313.03640000000001</v>
      </c>
      <c r="H2270">
        <v>1.0364930000000001</v>
      </c>
      <c r="I2270">
        <v>284.78500000000003</v>
      </c>
      <c r="J2270">
        <v>-312.23430000000002</v>
      </c>
      <c r="K2270">
        <v>1.1111279999999999</v>
      </c>
      <c r="L2270">
        <v>284.73899999999998</v>
      </c>
      <c r="M2270">
        <v>-0.99988129999999997</v>
      </c>
      <c r="N2270">
        <v>-1.53343E-2</v>
      </c>
      <c r="O2270">
        <v>1.4810979999999999E-3</v>
      </c>
      <c r="P2270">
        <v>-0.9322686</v>
      </c>
      <c r="Q2270">
        <v>0.35874339999999999</v>
      </c>
      <c r="R2270">
        <v>-4.6674149999999998E-2</v>
      </c>
      <c r="S2270">
        <v>-3.3188170000000001</v>
      </c>
      <c r="T2270">
        <v>-0.244397</v>
      </c>
      <c r="U2270">
        <v>0.15005489999999999</v>
      </c>
      <c r="V2270">
        <v>-4.845986E-2</v>
      </c>
      <c r="W2270">
        <v>0.37294329999999998</v>
      </c>
      <c r="X2270">
        <v>0.92658779999999996</v>
      </c>
      <c r="Y2270">
        <v>4.354765E-2</v>
      </c>
      <c r="Z2270">
        <v>1.848873E-3</v>
      </c>
      <c r="AA2270">
        <v>0.99904970000000004</v>
      </c>
      <c r="AB2270">
        <v>42</v>
      </c>
      <c r="AC2270">
        <v>-0.80209999999999504</v>
      </c>
      <c r="AD2270">
        <v>-7.4635000000000007E-2</v>
      </c>
      <c r="AE2270">
        <v>4.59999999999922E-2</v>
      </c>
      <c r="AF2270">
        <v>4.4428411666171001E-2</v>
      </c>
      <c r="AG2270">
        <v>-7.4635000000000007E-2</v>
      </c>
      <c r="AH2270">
        <v>0.79530392455644605</v>
      </c>
      <c r="AI2270">
        <v>95.352902110068399</v>
      </c>
      <c r="AJ2270">
        <v>86.802584080625905</v>
      </c>
      <c r="AK2270">
        <v>0.80003287395147904</v>
      </c>
      <c r="AL2270">
        <v>68.102747026229807</v>
      </c>
      <c r="AM2270">
        <v>92.9937995288618</v>
      </c>
      <c r="AN2270">
        <v>1.0000000070774699</v>
      </c>
    </row>
    <row r="2271" spans="1:40" x14ac:dyDescent="0.25">
      <c r="A2271" t="str">
        <f>"20190304164859663"</f>
        <v>20190304164859663</v>
      </c>
      <c r="B2271" t="str">
        <f>"1551689339657930"</f>
        <v>1551689339657930</v>
      </c>
      <c r="C2271" t="s">
        <v>40</v>
      </c>
      <c r="D2271">
        <v>4.1340510000000004</v>
      </c>
      <c r="E2271">
        <v>0.55184119999999903</v>
      </c>
      <c r="F2271" t="s">
        <v>46</v>
      </c>
      <c r="G2271">
        <v>-327.43520000000001</v>
      </c>
      <c r="H2271" s="1">
        <v>2.384531E-6</v>
      </c>
      <c r="I2271">
        <v>285.42500000000001</v>
      </c>
      <c r="J2271">
        <v>-312.4631</v>
      </c>
      <c r="K2271">
        <v>1.11113</v>
      </c>
      <c r="L2271">
        <v>284.73919999999998</v>
      </c>
      <c r="M2271">
        <v>-0.99988169999999998</v>
      </c>
      <c r="N2271">
        <v>-1.5332119999999999E-2</v>
      </c>
      <c r="O2271">
        <v>1.263821E-3</v>
      </c>
      <c r="P2271">
        <v>-0.93202149999999995</v>
      </c>
      <c r="Q2271">
        <v>0.3593943</v>
      </c>
      <c r="R2271">
        <v>-4.6601570000000002E-2</v>
      </c>
      <c r="S2271">
        <v>-3.3188170000000001</v>
      </c>
      <c r="T2271">
        <v>-0.24259230000000001</v>
      </c>
      <c r="U2271">
        <v>0.14978029999999901</v>
      </c>
      <c r="V2271">
        <v>-4.8184350000000001E-2</v>
      </c>
      <c r="W2271">
        <v>0.37358910000000001</v>
      </c>
      <c r="X2271">
        <v>0.926342</v>
      </c>
      <c r="Y2271">
        <v>4.3683310000000003E-2</v>
      </c>
      <c r="Z2271">
        <v>1.8563500000000001E-3</v>
      </c>
      <c r="AA2271">
        <v>0.99904369999999998</v>
      </c>
      <c r="AB2271">
        <v>42</v>
      </c>
      <c r="AC2271">
        <v>-14.972099999999999</v>
      </c>
      <c r="AD2271">
        <v>-1.111127615469</v>
      </c>
      <c r="AE2271">
        <v>0.68580000000002805</v>
      </c>
      <c r="AF2271">
        <v>0.66323001603457099</v>
      </c>
      <c r="AG2271">
        <v>-1.111127615469</v>
      </c>
      <c r="AH2271">
        <v>14.891112285569299</v>
      </c>
      <c r="AI2271">
        <v>94.263110916182796</v>
      </c>
      <c r="AJ2271">
        <v>87.449808787948697</v>
      </c>
      <c r="AK2271">
        <v>14.947230637595</v>
      </c>
      <c r="AL2271">
        <v>68.062863138706803</v>
      </c>
      <c r="AM2271">
        <v>92.977597968938696</v>
      </c>
      <c r="AN2271">
        <v>1.00000002409386</v>
      </c>
    </row>
    <row r="2272" spans="1:40" x14ac:dyDescent="0.25">
      <c r="A2272" t="str">
        <f>"20190304164859674"</f>
        <v>20190304164859674</v>
      </c>
      <c r="B2272" t="str">
        <f>"1551689339668666"</f>
        <v>1551689339668666</v>
      </c>
      <c r="C2272" t="s">
        <v>40</v>
      </c>
      <c r="D2272">
        <v>4.105772</v>
      </c>
      <c r="E2272">
        <v>0.55182469999999995</v>
      </c>
      <c r="F2272" t="s">
        <v>41</v>
      </c>
      <c r="G2272">
        <v>-313.4178</v>
      </c>
      <c r="H2272">
        <v>1.041793</v>
      </c>
      <c r="I2272">
        <v>284.7826</v>
      </c>
      <c r="J2272">
        <v>-312.68639999999999</v>
      </c>
      <c r="K2272">
        <v>1.1111329999999999</v>
      </c>
      <c r="L2272">
        <v>284.73930000000001</v>
      </c>
      <c r="M2272">
        <v>-0.99988200000000005</v>
      </c>
      <c r="N2272">
        <v>-1.532996E-2</v>
      </c>
      <c r="O2272">
        <v>1.0517300000000001E-3</v>
      </c>
      <c r="P2272">
        <v>-0.93186199999999997</v>
      </c>
      <c r="Q2272">
        <v>0.35983169999999998</v>
      </c>
      <c r="R2272">
        <v>-4.6417229999999997E-2</v>
      </c>
      <c r="S2272">
        <v>-3.3193359999999998</v>
      </c>
      <c r="T2272">
        <v>-0.24113039999999999</v>
      </c>
      <c r="U2272">
        <v>0.15039060000000001</v>
      </c>
      <c r="V2272">
        <v>-4.7802520000000001E-2</v>
      </c>
      <c r="W2272">
        <v>0.37402299999999999</v>
      </c>
      <c r="X2272">
        <v>0.92618670000000003</v>
      </c>
      <c r="Y2272">
        <v>4.4071470000000001E-2</v>
      </c>
      <c r="Z2272">
        <v>1.8762200000000001E-3</v>
      </c>
      <c r="AA2272">
        <v>0.99902659999999999</v>
      </c>
      <c r="AB2272">
        <v>42</v>
      </c>
      <c r="AC2272">
        <v>-0.73140000000000704</v>
      </c>
      <c r="AD2272">
        <v>-6.9339999999999902E-2</v>
      </c>
      <c r="AE2272">
        <v>4.3299999999987897E-2</v>
      </c>
      <c r="AF2272">
        <v>4.21531061017556E-2</v>
      </c>
      <c r="AG2272">
        <v>-6.9339999999999902E-2</v>
      </c>
      <c r="AH2272">
        <v>0.72495210756094597</v>
      </c>
      <c r="AI2272">
        <v>95.454431531004602</v>
      </c>
      <c r="AJ2272">
        <v>86.672223364335693</v>
      </c>
      <c r="AK2272">
        <v>0.72947959410190699</v>
      </c>
      <c r="AL2272">
        <v>68.036059883249493</v>
      </c>
      <c r="AM2272">
        <v>92.954538824965695</v>
      </c>
      <c r="AN2272">
        <v>1.00000004435211</v>
      </c>
    </row>
    <row r="2273" spans="1:40" x14ac:dyDescent="0.25">
      <c r="A2273" t="str">
        <f>"20190304164859688"</f>
        <v>20190304164859688</v>
      </c>
      <c r="B2273" t="str">
        <f>"1551689339678426"</f>
        <v>1551689339678426</v>
      </c>
      <c r="C2273" t="s">
        <v>40</v>
      </c>
      <c r="D2273">
        <v>4.1381500000000004</v>
      </c>
      <c r="E2273">
        <v>0.55183090000000001</v>
      </c>
      <c r="F2273" t="s">
        <v>46</v>
      </c>
      <c r="G2273">
        <v>-328.08390000000003</v>
      </c>
      <c r="H2273" s="1">
        <v>2.72912E-6</v>
      </c>
      <c r="I2273">
        <v>285.43860000000001</v>
      </c>
      <c r="J2273">
        <v>-312.91980000000001</v>
      </c>
      <c r="K2273">
        <v>1.11113</v>
      </c>
      <c r="L2273">
        <v>284.73939999999999</v>
      </c>
      <c r="M2273">
        <v>-0.9998823</v>
      </c>
      <c r="N2273">
        <v>-1.532764E-2</v>
      </c>
      <c r="O2273">
        <v>8.3004270000000004E-4</v>
      </c>
      <c r="P2273">
        <v>-0.93179440000000002</v>
      </c>
      <c r="Q2273">
        <v>0.36005559999999998</v>
      </c>
      <c r="R2273">
        <v>-4.603691E-2</v>
      </c>
      <c r="S2273">
        <v>-3.319366</v>
      </c>
      <c r="T2273">
        <v>-0.239536</v>
      </c>
      <c r="U2273">
        <v>0.1507568</v>
      </c>
      <c r="V2273">
        <v>-4.7215439999999997E-2</v>
      </c>
      <c r="W2273">
        <v>0.37424410000000002</v>
      </c>
      <c r="X2273">
        <v>0.92612749999999999</v>
      </c>
      <c r="Y2273">
        <v>4.4402810000000001E-2</v>
      </c>
      <c r="Z2273">
        <v>1.893163E-3</v>
      </c>
      <c r="AA2273">
        <v>0.99901189999999995</v>
      </c>
      <c r="AB2273">
        <v>42</v>
      </c>
      <c r="AC2273">
        <v>-15.164099999999999</v>
      </c>
      <c r="AD2273">
        <v>-1.11112727088</v>
      </c>
      <c r="AE2273">
        <v>0.69920000000001803</v>
      </c>
      <c r="AF2273">
        <v>0.68295243095503899</v>
      </c>
      <c r="AG2273">
        <v>-1.11112727088</v>
      </c>
      <c r="AH2273">
        <v>15.0838615948102</v>
      </c>
      <c r="AI2273">
        <v>94.208691643641302</v>
      </c>
      <c r="AJ2273">
        <v>87.407587881713198</v>
      </c>
      <c r="AK2273">
        <v>15.1401422862017</v>
      </c>
      <c r="AL2273">
        <v>68.022399734838899</v>
      </c>
      <c r="AM2273">
        <v>92.918502403352093</v>
      </c>
      <c r="AN2273">
        <v>1.00000004520772</v>
      </c>
    </row>
    <row r="2274" spans="1:40" x14ac:dyDescent="0.25">
      <c r="A2274" t="str">
        <f>"20190304164859700"</f>
        <v>20190304164859700</v>
      </c>
      <c r="B2274" t="str">
        <f>"1551689339688186"</f>
        <v>1551689339688186</v>
      </c>
      <c r="C2274" t="s">
        <v>40</v>
      </c>
      <c r="D2274">
        <v>4.1543929999999998</v>
      </c>
      <c r="E2274">
        <v>0.55185499999999998</v>
      </c>
      <c r="F2274" t="s">
        <v>41</v>
      </c>
      <c r="G2274">
        <v>-313.80119999999999</v>
      </c>
      <c r="H2274">
        <v>1.047642</v>
      </c>
      <c r="I2274">
        <v>284.77980000000002</v>
      </c>
      <c r="J2274">
        <v>-313.1687</v>
      </c>
      <c r="K2274">
        <v>1.11113</v>
      </c>
      <c r="L2274">
        <v>284.73939999999999</v>
      </c>
      <c r="M2274">
        <v>-0.99988239999999995</v>
      </c>
      <c r="N2274">
        <v>-1.5325139999999999E-2</v>
      </c>
      <c r="O2274">
        <v>5.9381259999999997E-4</v>
      </c>
      <c r="P2274">
        <v>-0.93184860000000003</v>
      </c>
      <c r="Q2274">
        <v>0.35995460000000001</v>
      </c>
      <c r="R2274">
        <v>-4.5728070000000003E-2</v>
      </c>
      <c r="S2274">
        <v>-3.3194889999999999</v>
      </c>
      <c r="T2274">
        <v>-0.2392638</v>
      </c>
      <c r="U2274">
        <v>0.1514587</v>
      </c>
      <c r="V2274">
        <v>-4.6685360000000002E-2</v>
      </c>
      <c r="W2274">
        <v>0.37414239999999999</v>
      </c>
      <c r="X2274">
        <v>0.9261954</v>
      </c>
      <c r="Y2274">
        <v>4.4846490000000003E-2</v>
      </c>
      <c r="Z2274">
        <v>1.9240450000000001E-3</v>
      </c>
      <c r="AA2274">
        <v>0.99899199999999999</v>
      </c>
      <c r="AB2274">
        <v>42</v>
      </c>
      <c r="AC2274">
        <v>-0.63249999999999296</v>
      </c>
      <c r="AD2274">
        <v>-6.3487999999999906E-2</v>
      </c>
      <c r="AE2274">
        <v>4.0400000000033701E-2</v>
      </c>
      <c r="AF2274">
        <v>3.9626729479924003E-2</v>
      </c>
      <c r="AG2274">
        <v>-6.3487999999999906E-2</v>
      </c>
      <c r="AH2274">
        <v>0.62623990227250403</v>
      </c>
      <c r="AI2274">
        <v>95.777373112431704</v>
      </c>
      <c r="AJ2274">
        <v>86.379308770806006</v>
      </c>
      <c r="AK2274">
        <v>0.63069597987584403</v>
      </c>
      <c r="AL2274">
        <v>68.028681897292202</v>
      </c>
      <c r="AM2274">
        <v>92.885581352190698</v>
      </c>
      <c r="AN2274">
        <v>0.99999998864862405</v>
      </c>
    </row>
    <row r="2275" spans="1:40" x14ac:dyDescent="0.25">
      <c r="A2275" t="str">
        <f>"20190304164859717"</f>
        <v>20190304164859717</v>
      </c>
      <c r="B2275" t="str">
        <f>"1551689339708685"</f>
        <v>1551689339708685</v>
      </c>
      <c r="C2275" t="s">
        <v>40</v>
      </c>
      <c r="D2275">
        <v>4.1622209999999997</v>
      </c>
      <c r="E2275">
        <v>0.55184820000000001</v>
      </c>
      <c r="F2275" t="s">
        <v>41</v>
      </c>
      <c r="G2275">
        <v>-314.17140000000001</v>
      </c>
      <c r="H2275">
        <v>1.0385850000000001</v>
      </c>
      <c r="I2275">
        <v>284.78559999999999</v>
      </c>
      <c r="J2275">
        <v>-313.48989999999998</v>
      </c>
      <c r="K2275">
        <v>1.1111329999999999</v>
      </c>
      <c r="L2275">
        <v>284.73930000000001</v>
      </c>
      <c r="M2275">
        <v>-0.99988270000000001</v>
      </c>
      <c r="N2275">
        <v>-1.532185E-2</v>
      </c>
      <c r="O2275">
        <v>2.8880900000000001E-4</v>
      </c>
      <c r="P2275">
        <v>-0.93207410000000002</v>
      </c>
      <c r="Q2275">
        <v>0.35942849999999998</v>
      </c>
      <c r="R2275">
        <v>-4.5269539999999997E-2</v>
      </c>
      <c r="S2275">
        <v>-3.3197019999999902</v>
      </c>
      <c r="T2275">
        <v>-0.2402725</v>
      </c>
      <c r="U2275">
        <v>0.15222169999999999</v>
      </c>
      <c r="V2275">
        <v>-4.5941929999999999E-2</v>
      </c>
      <c r="W2275">
        <v>0.3736179</v>
      </c>
      <c r="X2275">
        <v>0.9264443</v>
      </c>
      <c r="Y2275">
        <v>4.537418E-2</v>
      </c>
      <c r="Z2275">
        <v>1.9709520000000002E-3</v>
      </c>
      <c r="AA2275">
        <v>0.99896810000000003</v>
      </c>
      <c r="AB2275">
        <v>42</v>
      </c>
      <c r="AC2275">
        <v>-0.68150000000002797</v>
      </c>
      <c r="AD2275">
        <v>-7.2547999999999793E-2</v>
      </c>
      <c r="AE2275">
        <v>4.62999999999738E-2</v>
      </c>
      <c r="AF2275">
        <v>4.5588896887977098E-2</v>
      </c>
      <c r="AG2275">
        <v>-7.2547999999999793E-2</v>
      </c>
      <c r="AH2275">
        <v>0.673911446369725</v>
      </c>
      <c r="AI2275">
        <v>96.130445559599494</v>
      </c>
      <c r="AJ2275">
        <v>86.129939903520494</v>
      </c>
      <c r="AK2275">
        <v>0.67933658621599202</v>
      </c>
      <c r="AL2275">
        <v>68.061084077510799</v>
      </c>
      <c r="AM2275">
        <v>92.838944740365605</v>
      </c>
      <c r="AN2275">
        <v>1.00000001856751</v>
      </c>
    </row>
    <row r="2276" spans="1:40" x14ac:dyDescent="0.25">
      <c r="A2276" t="str">
        <f>"20190304164859728"</f>
        <v>20190304164859728</v>
      </c>
      <c r="B2276" t="str">
        <f>"1551689339718442"</f>
        <v>1551689339718442</v>
      </c>
      <c r="C2276" t="s">
        <v>40</v>
      </c>
      <c r="D2276">
        <v>4.2200550000000003</v>
      </c>
      <c r="E2276">
        <v>0.55184820000000001</v>
      </c>
      <c r="F2276" t="s">
        <v>41</v>
      </c>
      <c r="G2276">
        <v>-314.54610000000002</v>
      </c>
      <c r="H2276">
        <v>1.033801</v>
      </c>
      <c r="I2276">
        <v>284.78859999999997</v>
      </c>
      <c r="J2276">
        <v>-313.69529999999997</v>
      </c>
      <c r="K2276">
        <v>1.1111340000000001</v>
      </c>
      <c r="L2276">
        <v>284.73930000000001</v>
      </c>
      <c r="M2276">
        <v>-0.99988270000000001</v>
      </c>
      <c r="N2276">
        <v>-1.531972E-2</v>
      </c>
      <c r="O2276" s="1">
        <v>9.3640210000000006E-5</v>
      </c>
      <c r="P2276">
        <v>-0.93219390000000002</v>
      </c>
      <c r="Q2276">
        <v>0.35913020000000001</v>
      </c>
      <c r="R2276">
        <v>-4.5171009999999998E-2</v>
      </c>
      <c r="S2276">
        <v>-3.3198850000000002</v>
      </c>
      <c r="T2276">
        <v>-0.24322769999999999</v>
      </c>
      <c r="U2276">
        <v>0.15380859999999999</v>
      </c>
      <c r="V2276">
        <v>-4.5661130000000001E-2</v>
      </c>
      <c r="W2276">
        <v>0.37331969999999998</v>
      </c>
      <c r="X2276">
        <v>0.92657829999999997</v>
      </c>
      <c r="Y2276">
        <v>4.6037469999999997E-2</v>
      </c>
      <c r="Z2276">
        <v>2.0312910000000002E-3</v>
      </c>
      <c r="AA2276">
        <v>0.99893770000000004</v>
      </c>
      <c r="AB2276">
        <v>42</v>
      </c>
      <c r="AC2276">
        <v>-0.85080000000004896</v>
      </c>
      <c r="AD2276">
        <v>-7.7333000000000096E-2</v>
      </c>
      <c r="AE2276">
        <v>4.9299999999959702E-2</v>
      </c>
      <c r="AF2276">
        <v>4.8818343596321298E-2</v>
      </c>
      <c r="AG2276">
        <v>-7.7333000000000096E-2</v>
      </c>
      <c r="AH2276">
        <v>0.84385617174533201</v>
      </c>
      <c r="AI2276">
        <v>95.227405266073106</v>
      </c>
      <c r="AJ2276">
        <v>86.689043735923207</v>
      </c>
      <c r="AK2276">
        <v>0.84879730333759595</v>
      </c>
      <c r="AL2276">
        <v>68.079500602074503</v>
      </c>
      <c r="AM2276">
        <v>92.821213658325505</v>
      </c>
      <c r="AN2276">
        <v>0.99999994161592598</v>
      </c>
    </row>
    <row r="2277" spans="1:40" x14ac:dyDescent="0.25">
      <c r="A2277" t="str">
        <f>"20190304164859739"</f>
        <v>20190304164859739</v>
      </c>
      <c r="B2277" t="str">
        <f>"1551689339728202"</f>
        <v>1551689339728202</v>
      </c>
      <c r="C2277" t="s">
        <v>40</v>
      </c>
      <c r="D2277">
        <v>4.89771</v>
      </c>
      <c r="E2277">
        <v>0.55701940000000005</v>
      </c>
      <c r="F2277" t="s">
        <v>41</v>
      </c>
      <c r="G2277">
        <v>-314.55610000000001</v>
      </c>
      <c r="H2277">
        <v>1.04789</v>
      </c>
      <c r="I2277">
        <v>284.77969999999999</v>
      </c>
      <c r="J2277">
        <v>-313.89699999999999</v>
      </c>
      <c r="K2277">
        <v>1.1111329999999999</v>
      </c>
      <c r="L2277">
        <v>284.73910000000001</v>
      </c>
      <c r="M2277">
        <v>-0.99988270000000001</v>
      </c>
      <c r="N2277">
        <v>-1.5317600000000001E-2</v>
      </c>
      <c r="O2277" s="1">
        <v>-9.7833450000000001E-5</v>
      </c>
      <c r="P2277">
        <v>-0.93219640000000004</v>
      </c>
      <c r="Q2277">
        <v>0.35912280000000002</v>
      </c>
      <c r="R2277">
        <v>-4.5176180000000003E-2</v>
      </c>
      <c r="S2277">
        <v>-3.3197329999999998</v>
      </c>
      <c r="T2277">
        <v>-0.24413560000000001</v>
      </c>
      <c r="U2277">
        <v>0.15478520000000001</v>
      </c>
      <c r="V2277">
        <v>-4.5487229999999997E-2</v>
      </c>
      <c r="W2277">
        <v>0.3733108</v>
      </c>
      <c r="X2277">
        <v>0.92659049999999998</v>
      </c>
      <c r="Y2277">
        <v>4.6521180000000002E-2</v>
      </c>
      <c r="Z2277">
        <v>2.070147E-3</v>
      </c>
      <c r="AA2277">
        <v>0.99891509999999994</v>
      </c>
      <c r="AB2277">
        <v>42</v>
      </c>
      <c r="AC2277">
        <v>-0.659100000000023</v>
      </c>
      <c r="AD2277">
        <v>-6.3242999999999897E-2</v>
      </c>
      <c r="AE2277">
        <v>4.0599999999983503E-2</v>
      </c>
      <c r="AF2277">
        <v>4.0294893178420797E-2</v>
      </c>
      <c r="AG2277">
        <v>-6.3242999999999897E-2</v>
      </c>
      <c r="AH2277">
        <v>0.65310555447912</v>
      </c>
      <c r="AI2277">
        <v>95.520518260756901</v>
      </c>
      <c r="AJ2277">
        <v>86.4694764399391</v>
      </c>
      <c r="AK2277">
        <v>0.65739654756983601</v>
      </c>
      <c r="AL2277">
        <v>68.080051575338004</v>
      </c>
      <c r="AM2277">
        <v>92.810449406296101</v>
      </c>
      <c r="AN2277">
        <v>0.99999999808998097</v>
      </c>
    </row>
    <row r="2278" spans="1:40" x14ac:dyDescent="0.25">
      <c r="A2278" t="str">
        <f>"20190304164859752"</f>
        <v>20190304164859752</v>
      </c>
      <c r="B2278" t="str">
        <f>"1551689339748698"</f>
        <v>1551689339748698</v>
      </c>
      <c r="C2278" t="s">
        <v>40</v>
      </c>
      <c r="D2278">
        <v>4.1847139999999996</v>
      </c>
      <c r="E2278">
        <v>0.55706269999999902</v>
      </c>
      <c r="F2278" t="s">
        <v>41</v>
      </c>
      <c r="G2278">
        <v>-314.92930000000001</v>
      </c>
      <c r="H2278">
        <v>1.0453269999999999</v>
      </c>
      <c r="I2278">
        <v>284.80149999999998</v>
      </c>
      <c r="J2278">
        <v>-314.15199999999999</v>
      </c>
      <c r="K2278">
        <v>1.111135</v>
      </c>
      <c r="L2278">
        <v>284.7389</v>
      </c>
      <c r="M2278">
        <v>-0.99988259999999995</v>
      </c>
      <c r="N2278">
        <v>-1.5314899999999999E-2</v>
      </c>
      <c r="O2278">
        <v>-3.400206E-4</v>
      </c>
      <c r="P2278">
        <v>-0.9321509</v>
      </c>
      <c r="Q2278">
        <v>0.35923959999999999</v>
      </c>
      <c r="R2278">
        <v>-4.5185309999999999E-2</v>
      </c>
      <c r="S2278">
        <v>-3.3091129999999902</v>
      </c>
      <c r="T2278">
        <v>-0.21091399999999999</v>
      </c>
      <c r="U2278">
        <v>0.19992070000000001</v>
      </c>
      <c r="V2278">
        <v>-4.5269810000000001E-2</v>
      </c>
      <c r="W2278">
        <v>0.37342500000000001</v>
      </c>
      <c r="X2278">
        <v>0.92655520000000002</v>
      </c>
      <c r="Y2278">
        <v>6.0492419999999998E-2</v>
      </c>
      <c r="Z2278">
        <v>2.4047890000000001E-3</v>
      </c>
      <c r="AA2278">
        <v>0.99816579999999999</v>
      </c>
      <c r="AB2278">
        <v>42</v>
      </c>
      <c r="AC2278">
        <v>-0.77730000000002497</v>
      </c>
      <c r="AD2278">
        <v>-6.5807999999999797E-2</v>
      </c>
      <c r="AE2278">
        <v>6.2599999999974898E-2</v>
      </c>
      <c r="AF2278">
        <v>6.2419801901899601E-2</v>
      </c>
      <c r="AG2278">
        <v>-6.5807999999999797E-2</v>
      </c>
      <c r="AH2278">
        <v>0.77178240786411501</v>
      </c>
      <c r="AI2278">
        <v>94.857896493655701</v>
      </c>
      <c r="AJ2278">
        <v>85.376127114733293</v>
      </c>
      <c r="AK2278">
        <v>0.77709395160559802</v>
      </c>
      <c r="AL2278">
        <v>68.072999815503294</v>
      </c>
      <c r="AM2278">
        <v>92.797143787747302</v>
      </c>
      <c r="AN2278">
        <v>1.0000000624847301</v>
      </c>
    </row>
    <row r="2279" spans="1:40" x14ac:dyDescent="0.25">
      <c r="A2279" t="str">
        <f>"20190304164859767"</f>
        <v>20190304164859767</v>
      </c>
      <c r="B2279" t="str">
        <f>"1551689339758457"</f>
        <v>1551689339758457</v>
      </c>
      <c r="C2279" t="s">
        <v>40</v>
      </c>
      <c r="D2279">
        <v>4.1765109999999996</v>
      </c>
      <c r="E2279">
        <v>0.55865669999999901</v>
      </c>
      <c r="F2279" t="s">
        <v>46</v>
      </c>
      <c r="G2279">
        <v>-331.58539999999999</v>
      </c>
      <c r="H2279" s="1">
        <v>-7.4474100000000001E-7</v>
      </c>
      <c r="I2279">
        <v>285.7971</v>
      </c>
      <c r="J2279">
        <v>-314.4126</v>
      </c>
      <c r="K2279">
        <v>1.111135</v>
      </c>
      <c r="L2279">
        <v>284.73860000000002</v>
      </c>
      <c r="M2279">
        <v>-0.99988259999999995</v>
      </c>
      <c r="N2279">
        <v>-1.531212E-2</v>
      </c>
      <c r="O2279">
        <v>-5.8768980000000002E-4</v>
      </c>
      <c r="P2279">
        <v>-0.93205850000000001</v>
      </c>
      <c r="Q2279">
        <v>0.35946879999999998</v>
      </c>
      <c r="R2279">
        <v>-4.5270060000000001E-2</v>
      </c>
      <c r="S2279">
        <v>-3.3093569999999999</v>
      </c>
      <c r="T2279">
        <v>-0.21092559999999999</v>
      </c>
      <c r="U2279">
        <v>0.20086670000000001</v>
      </c>
      <c r="V2279">
        <v>-4.5124009999999999E-2</v>
      </c>
      <c r="W2279">
        <v>0.37365009999999999</v>
      </c>
      <c r="X2279">
        <v>0.9264715</v>
      </c>
      <c r="Y2279">
        <v>6.1017929999999998E-2</v>
      </c>
      <c r="Z2279">
        <v>2.4373720000000001E-3</v>
      </c>
      <c r="AA2279">
        <v>0.99813370000000001</v>
      </c>
      <c r="AB2279">
        <v>42</v>
      </c>
      <c r="AC2279">
        <v>-17.172799999999899</v>
      </c>
      <c r="AD2279">
        <v>-1.111135744741</v>
      </c>
      <c r="AE2279">
        <v>1.05849999999998</v>
      </c>
      <c r="AF2279">
        <v>1.0641550472855399</v>
      </c>
      <c r="AG2279">
        <v>-1.111135744741</v>
      </c>
      <c r="AH2279">
        <v>17.100852989503899</v>
      </c>
      <c r="AI2279">
        <v>93.710436698439494</v>
      </c>
      <c r="AJ2279">
        <v>86.439179128137397</v>
      </c>
      <c r="AK2279">
        <v>17.1699220026338</v>
      </c>
      <c r="AL2279">
        <v>68.059094835445293</v>
      </c>
      <c r="AM2279">
        <v>92.788400785957506</v>
      </c>
      <c r="AN2279">
        <v>1.0000000069103701</v>
      </c>
    </row>
    <row r="2280" spans="1:40" x14ac:dyDescent="0.25">
      <c r="A2280" t="str">
        <f>"20190304164859787"</f>
        <v>20190304164859787</v>
      </c>
      <c r="B2280" t="str">
        <f>"1551689339777978"</f>
        <v>1551689339777978</v>
      </c>
      <c r="C2280" t="s">
        <v>40</v>
      </c>
      <c r="D2280">
        <v>4.2147209999999999</v>
      </c>
      <c r="E2280">
        <v>0.55786859999999905</v>
      </c>
      <c r="F2280" t="s">
        <v>41</v>
      </c>
      <c r="G2280">
        <v>-315.30029999999999</v>
      </c>
      <c r="H2280">
        <v>1.0361009999999999</v>
      </c>
      <c r="I2280">
        <v>284.7937</v>
      </c>
      <c r="J2280">
        <v>-314.79410000000001</v>
      </c>
      <c r="K2280">
        <v>1.111137</v>
      </c>
      <c r="L2280">
        <v>284.73809999999997</v>
      </c>
      <c r="M2280">
        <v>-0.99988250000000001</v>
      </c>
      <c r="N2280">
        <v>-1.5308E-2</v>
      </c>
      <c r="O2280">
        <v>-9.4941199999999996E-4</v>
      </c>
      <c r="P2280">
        <v>-0.93186720000000001</v>
      </c>
      <c r="Q2280">
        <v>0.35993920000000001</v>
      </c>
      <c r="R2280">
        <v>-4.5467590000000002E-2</v>
      </c>
      <c r="S2280">
        <v>-3.337555</v>
      </c>
      <c r="T2280">
        <v>-0.28228379999999997</v>
      </c>
      <c r="U2280">
        <v>0.20660400000000001</v>
      </c>
      <c r="V2280">
        <v>-4.4984160000000002E-2</v>
      </c>
      <c r="W2280">
        <v>0.37411450000000002</v>
      </c>
      <c r="X2280">
        <v>0.92629090000000003</v>
      </c>
      <c r="Y2280">
        <v>6.246728E-2</v>
      </c>
      <c r="Z2280">
        <v>3.179659E-3</v>
      </c>
      <c r="AA2280">
        <v>0.99804190000000004</v>
      </c>
      <c r="AB2280">
        <v>42</v>
      </c>
      <c r="AC2280">
        <v>-0.506199999999978</v>
      </c>
      <c r="AD2280">
        <v>-7.5036000000000103E-2</v>
      </c>
      <c r="AE2280">
        <v>5.5600000000026698E-2</v>
      </c>
      <c r="AF2280">
        <v>5.4888910930297498E-2</v>
      </c>
      <c r="AG2280">
        <v>-7.5036000000000103E-2</v>
      </c>
      <c r="AH2280">
        <v>0.49539136072606399</v>
      </c>
      <c r="AI2280">
        <v>98.561406063677794</v>
      </c>
      <c r="AJ2280">
        <v>83.677468450815198</v>
      </c>
      <c r="AK2280">
        <v>0.50403947674873095</v>
      </c>
      <c r="AL2280">
        <v>68.030406648263096</v>
      </c>
      <c r="AM2280">
        <v>92.780313571899399</v>
      </c>
      <c r="AN2280">
        <v>1.00000003259198</v>
      </c>
    </row>
    <row r="2281" spans="1:40" x14ac:dyDescent="0.25">
      <c r="A2281" t="str">
        <f>"20190304164859807"</f>
        <v>20190304164859807</v>
      </c>
      <c r="B2281" t="str">
        <f>"1551689339798474"</f>
        <v>1551689339798474</v>
      </c>
      <c r="C2281" t="s">
        <v>40</v>
      </c>
      <c r="D2281">
        <v>4.2480640000000003</v>
      </c>
      <c r="E2281">
        <v>0.55831189999999997</v>
      </c>
      <c r="F2281" t="s">
        <v>41</v>
      </c>
      <c r="G2281">
        <v>-315.67660000000001</v>
      </c>
      <c r="H2281">
        <v>1.037002</v>
      </c>
      <c r="I2281">
        <v>284.791</v>
      </c>
      <c r="J2281">
        <v>-315.18119999999999</v>
      </c>
      <c r="K2281">
        <v>1.1111409999999999</v>
      </c>
      <c r="L2281">
        <v>284.73739999999998</v>
      </c>
      <c r="M2281">
        <v>-0.9998821</v>
      </c>
      <c r="N2281">
        <v>-1.5303789999999999E-2</v>
      </c>
      <c r="O2281">
        <v>-1.3139759999999999E-3</v>
      </c>
      <c r="P2281">
        <v>-0.93162880000000003</v>
      </c>
      <c r="Q2281">
        <v>0.3605274</v>
      </c>
      <c r="R2281">
        <v>-4.5695600000000003E-2</v>
      </c>
      <c r="S2281">
        <v>-3.3374630000000001</v>
      </c>
      <c r="T2281">
        <v>-0.28043040000000002</v>
      </c>
      <c r="U2281">
        <v>0.2003479</v>
      </c>
      <c r="V2281">
        <v>-4.4871210000000002E-2</v>
      </c>
      <c r="W2281">
        <v>0.37469599999999997</v>
      </c>
      <c r="X2281">
        <v>0.92606129999999998</v>
      </c>
      <c r="Y2281">
        <v>6.0977389999999999E-2</v>
      </c>
      <c r="Z2281">
        <v>3.1130789999999999E-3</v>
      </c>
      <c r="AA2281">
        <v>0.99813430000000003</v>
      </c>
      <c r="AB2281">
        <v>42</v>
      </c>
      <c r="AC2281">
        <v>-0.49540000000001699</v>
      </c>
      <c r="AD2281">
        <v>-7.4138999999999899E-2</v>
      </c>
      <c r="AE2281">
        <v>5.3600000000017099E-2</v>
      </c>
      <c r="AF2281">
        <v>5.3076007724710002E-2</v>
      </c>
      <c r="AG2281">
        <v>-7.4138999999999899E-2</v>
      </c>
      <c r="AH2281">
        <v>0.48460131190487998</v>
      </c>
      <c r="AI2281">
        <v>98.647296223847704</v>
      </c>
      <c r="AJ2281">
        <v>83.749587292256606</v>
      </c>
      <c r="AK2281">
        <v>0.493104538021021</v>
      </c>
      <c r="AL2281">
        <v>67.9944755391207</v>
      </c>
      <c r="AM2281">
        <v>92.774029966210406</v>
      </c>
      <c r="AN2281">
        <v>1.00000002463027</v>
      </c>
    </row>
    <row r="2282" spans="1:40" x14ac:dyDescent="0.25">
      <c r="A2282" t="str">
        <f>"20190304164859822"</f>
        <v>20190304164859822</v>
      </c>
      <c r="B2282" t="str">
        <f>"1551689339817993"</f>
        <v>1551689339817993</v>
      </c>
      <c r="C2282" t="s">
        <v>40</v>
      </c>
      <c r="D2282">
        <v>4.2528610000000002</v>
      </c>
      <c r="E2282">
        <v>0.55858030000000003</v>
      </c>
      <c r="F2282" t="s">
        <v>41</v>
      </c>
      <c r="G2282">
        <v>-316.0521</v>
      </c>
      <c r="H2282">
        <v>1.037002</v>
      </c>
      <c r="I2282">
        <v>284.79039999999998</v>
      </c>
      <c r="J2282">
        <v>-315.45060000000001</v>
      </c>
      <c r="K2282">
        <v>1.111148</v>
      </c>
      <c r="L2282">
        <v>284.73680000000002</v>
      </c>
      <c r="M2282">
        <v>-0.99988169999999998</v>
      </c>
      <c r="N2282">
        <v>-1.530084E-2</v>
      </c>
      <c r="O2282">
        <v>-1.5653030000000001E-3</v>
      </c>
      <c r="P2282">
        <v>-0.93151280000000003</v>
      </c>
      <c r="Q2282">
        <v>0.36080119999999999</v>
      </c>
      <c r="R2282">
        <v>-4.5895770000000002E-2</v>
      </c>
      <c r="S2282">
        <v>-3.3402400000000001</v>
      </c>
      <c r="T2282">
        <v>-0.28451659999999901</v>
      </c>
      <c r="U2282">
        <v>0.20260619999999999</v>
      </c>
      <c r="V2282">
        <v>-4.4835470000000002E-2</v>
      </c>
      <c r="W2282">
        <v>0.37496560000000001</v>
      </c>
      <c r="X2282">
        <v>0.9259539</v>
      </c>
      <c r="Y2282">
        <v>6.1840159999999998E-2</v>
      </c>
      <c r="Z2282">
        <v>3.2102110000000001E-3</v>
      </c>
      <c r="AA2282">
        <v>0.99808090000000005</v>
      </c>
      <c r="AB2282">
        <v>42</v>
      </c>
      <c r="AC2282">
        <v>-0.60149999999998705</v>
      </c>
      <c r="AD2282">
        <v>-7.4146000000000004E-2</v>
      </c>
      <c r="AE2282">
        <v>5.3599999999960297E-2</v>
      </c>
      <c r="AF2282">
        <v>5.3731549036437801E-2</v>
      </c>
      <c r="AG2282">
        <v>-7.4146000000000004E-2</v>
      </c>
      <c r="AH2282">
        <v>0.592483420748394</v>
      </c>
      <c r="AI2282">
        <v>97.104309186027606</v>
      </c>
      <c r="AJ2282">
        <v>84.818095513473494</v>
      </c>
      <c r="AK2282">
        <v>0.59951756649790799</v>
      </c>
      <c r="AL2282">
        <v>67.977813803499899</v>
      </c>
      <c r="AM2282">
        <v>92.772144891695703</v>
      </c>
      <c r="AN2282">
        <v>1.00000002273934</v>
      </c>
    </row>
    <row r="2283" spans="1:40" x14ac:dyDescent="0.25">
      <c r="A2283" t="str">
        <f>"20190304164859840"</f>
        <v>20190304164859840</v>
      </c>
      <c r="B2283" t="str">
        <f>"1551689339828731"</f>
        <v>1551689339828731</v>
      </c>
      <c r="C2283" t="s">
        <v>40</v>
      </c>
      <c r="D2283">
        <v>4.2256010000000002</v>
      </c>
      <c r="E2283">
        <v>0.55853889999999995</v>
      </c>
      <c r="F2283" t="s">
        <v>41</v>
      </c>
      <c r="G2283">
        <v>-316.4228</v>
      </c>
      <c r="H2283">
        <v>1.028189</v>
      </c>
      <c r="I2283">
        <v>284.79610000000002</v>
      </c>
      <c r="J2283">
        <v>-315.79610000000002</v>
      </c>
      <c r="K2283">
        <v>1.1111470000000001</v>
      </c>
      <c r="L2283">
        <v>284.73599999999999</v>
      </c>
      <c r="M2283">
        <v>-0.99988129999999997</v>
      </c>
      <c r="N2283">
        <v>-1.529703E-2</v>
      </c>
      <c r="O2283">
        <v>-1.8838100000000001E-3</v>
      </c>
      <c r="P2283">
        <v>-0.93129229999999996</v>
      </c>
      <c r="Q2283">
        <v>0.36133979999999999</v>
      </c>
      <c r="R2283">
        <v>-4.6134250000000002E-2</v>
      </c>
      <c r="S2283">
        <v>-3.3410340000000001</v>
      </c>
      <c r="T2283">
        <v>-0.28514659999999997</v>
      </c>
      <c r="U2283">
        <v>0.20333860000000001</v>
      </c>
      <c r="V2283">
        <v>-4.4773849999999997E-2</v>
      </c>
      <c r="W2283">
        <v>0.3754982</v>
      </c>
      <c r="X2283">
        <v>0.92574100000000004</v>
      </c>
      <c r="Y2283">
        <v>6.235781E-2</v>
      </c>
      <c r="Z2283">
        <v>3.2637719999999999E-3</v>
      </c>
      <c r="AA2283">
        <v>0.99804850000000001</v>
      </c>
      <c r="AB2283">
        <v>42</v>
      </c>
      <c r="AC2283">
        <v>-0.62669999999997095</v>
      </c>
      <c r="AD2283">
        <v>-8.2957999999999796E-2</v>
      </c>
      <c r="AE2283">
        <v>6.0100000000034001E-2</v>
      </c>
      <c r="AF2283">
        <v>6.0234767063685898E-2</v>
      </c>
      <c r="AG2283">
        <v>-8.2957999999999796E-2</v>
      </c>
      <c r="AH2283">
        <v>0.61589200847721903</v>
      </c>
      <c r="AI2283">
        <v>97.6353272814967</v>
      </c>
      <c r="AJ2283">
        <v>84.414187831319296</v>
      </c>
      <c r="AK2283">
        <v>0.62436625712262805</v>
      </c>
      <c r="AL2283">
        <v>67.944891960496506</v>
      </c>
      <c r="AM2283">
        <v>92.768976568765595</v>
      </c>
      <c r="AN2283">
        <v>0.99999999746403101</v>
      </c>
    </row>
    <row r="2284" spans="1:40" x14ac:dyDescent="0.25">
      <c r="A2284" t="str">
        <f>"20190304164859853"</f>
        <v>20190304164859853</v>
      </c>
      <c r="B2284" t="str">
        <f>"1551689339848250"</f>
        <v>1551689339848250</v>
      </c>
      <c r="C2284" t="s">
        <v>40</v>
      </c>
      <c r="D2284">
        <v>4.2134269999999896</v>
      </c>
      <c r="E2284">
        <v>0.55845059999999902</v>
      </c>
      <c r="F2284" t="s">
        <v>41</v>
      </c>
      <c r="G2284">
        <v>-316.79649999999998</v>
      </c>
      <c r="H2284">
        <v>1.0264470000000001</v>
      </c>
      <c r="I2284">
        <v>284.79669999999999</v>
      </c>
      <c r="J2284">
        <v>-316.02370000000002</v>
      </c>
      <c r="K2284">
        <v>1.111143</v>
      </c>
      <c r="L2284">
        <v>284.73540000000003</v>
      </c>
      <c r="M2284">
        <v>-0.99988100000000002</v>
      </c>
      <c r="N2284">
        <v>-1.5294510000000001E-2</v>
      </c>
      <c r="O2284">
        <v>-2.0907650000000001E-3</v>
      </c>
      <c r="P2284">
        <v>-0.93120950000000002</v>
      </c>
      <c r="Q2284">
        <v>0.3615467</v>
      </c>
      <c r="R2284">
        <v>-4.6185810000000001E-2</v>
      </c>
      <c r="S2284">
        <v>-3.3411559999999998</v>
      </c>
      <c r="T2284">
        <v>-0.28308489999999997</v>
      </c>
      <c r="U2284">
        <v>0.20178219999999999</v>
      </c>
      <c r="V2284">
        <v>-4.4629479999999999E-2</v>
      </c>
      <c r="W2284">
        <v>0.37570239999999999</v>
      </c>
      <c r="X2284">
        <v>0.92566510000000002</v>
      </c>
      <c r="Y2284">
        <v>6.2103169999999999E-2</v>
      </c>
      <c r="Z2284">
        <v>3.244959E-3</v>
      </c>
      <c r="AA2284">
        <v>0.99806450000000002</v>
      </c>
      <c r="AB2284">
        <v>42</v>
      </c>
      <c r="AC2284">
        <v>-0.77279999999996096</v>
      </c>
      <c r="AD2284">
        <v>-8.4696000000000105E-2</v>
      </c>
      <c r="AE2284">
        <v>6.1299999999960102E-2</v>
      </c>
      <c r="AF2284">
        <v>6.2173677962343299E-2</v>
      </c>
      <c r="AG2284">
        <v>-8.4696000000000105E-2</v>
      </c>
      <c r="AH2284">
        <v>0.76355614181696496</v>
      </c>
      <c r="AI2284">
        <v>96.308838686903698</v>
      </c>
      <c r="AJ2284">
        <v>85.344877288566806</v>
      </c>
      <c r="AK2284">
        <v>0.77075090681346203</v>
      </c>
      <c r="AL2284">
        <v>67.932267455138799</v>
      </c>
      <c r="AM2284">
        <v>92.760287996574107</v>
      </c>
      <c r="AN2284">
        <v>0.99999998060441997</v>
      </c>
    </row>
    <row r="2285" spans="1:40" x14ac:dyDescent="0.25">
      <c r="A2285" t="str">
        <f>"20190304164859863"</f>
        <v>20190304164859863</v>
      </c>
      <c r="B2285" t="str">
        <f>"1551689339858015"</f>
        <v>1551689339858015</v>
      </c>
      <c r="C2285" t="s">
        <v>40</v>
      </c>
      <c r="D2285">
        <v>4.2696909999999999</v>
      </c>
      <c r="E2285">
        <v>0.55858490000000005</v>
      </c>
      <c r="F2285" t="s">
        <v>41</v>
      </c>
      <c r="G2285">
        <v>-316.80650000000003</v>
      </c>
      <c r="H2285">
        <v>1.044435</v>
      </c>
      <c r="I2285">
        <v>284.7826</v>
      </c>
      <c r="J2285">
        <v>-316.23399999999998</v>
      </c>
      <c r="K2285">
        <v>1.111138</v>
      </c>
      <c r="L2285">
        <v>284.73480000000001</v>
      </c>
      <c r="M2285">
        <v>-0.99988060000000001</v>
      </c>
      <c r="N2285">
        <v>-1.5292160000000001E-2</v>
      </c>
      <c r="O2285">
        <v>-2.2781640000000001E-3</v>
      </c>
      <c r="P2285">
        <v>-0.93119149999999995</v>
      </c>
      <c r="Q2285">
        <v>0.36158420000000002</v>
      </c>
      <c r="R2285">
        <v>-4.6257930000000003E-2</v>
      </c>
      <c r="S2285">
        <v>-3.3422239999999999</v>
      </c>
      <c r="T2285">
        <v>-0.28508060000000002</v>
      </c>
      <c r="U2285">
        <v>0.20031740000000001</v>
      </c>
      <c r="V2285">
        <v>-4.4523300000000002E-2</v>
      </c>
      <c r="W2285">
        <v>0.37573770000000001</v>
      </c>
      <c r="X2285">
        <v>0.92565589999999998</v>
      </c>
      <c r="Y2285">
        <v>6.1832520000000002E-2</v>
      </c>
      <c r="Z2285">
        <v>3.263204E-3</v>
      </c>
      <c r="AA2285">
        <v>0.9980812</v>
      </c>
      <c r="AB2285">
        <v>42</v>
      </c>
      <c r="AC2285">
        <v>-0.57249999999999002</v>
      </c>
      <c r="AD2285">
        <v>-6.6702999999999901E-2</v>
      </c>
      <c r="AE2285">
        <v>4.7799999999995103E-2</v>
      </c>
      <c r="AF2285">
        <v>4.8451106886193002E-2</v>
      </c>
      <c r="AG2285">
        <v>-6.6702999999999901E-2</v>
      </c>
      <c r="AH2285">
        <v>0.56477585105864303</v>
      </c>
      <c r="AI2285">
        <v>96.711305195516601</v>
      </c>
      <c r="AJ2285">
        <v>85.096703158911893</v>
      </c>
      <c r="AK2285">
        <v>0.57076138789034403</v>
      </c>
      <c r="AL2285">
        <v>67.930085332313695</v>
      </c>
      <c r="AM2285">
        <v>92.7537583187667</v>
      </c>
      <c r="AN2285">
        <v>0.99999999432449405</v>
      </c>
    </row>
    <row r="2286" spans="1:40" x14ac:dyDescent="0.25">
      <c r="A2286" t="str">
        <f>"20190304164859875"</f>
        <v>20190304164859875</v>
      </c>
      <c r="B2286" t="str">
        <f>"1551689339868751"</f>
        <v>1551689339868751</v>
      </c>
      <c r="C2286" t="s">
        <v>40</v>
      </c>
      <c r="D2286">
        <v>4.2834089999999998</v>
      </c>
      <c r="E2286">
        <v>0.55847060000000004</v>
      </c>
      <c r="F2286" t="s">
        <v>41</v>
      </c>
      <c r="G2286">
        <v>-317.173</v>
      </c>
      <c r="H2286">
        <v>1.0307930000000001</v>
      </c>
      <c r="I2286">
        <v>284.79109999999997</v>
      </c>
      <c r="J2286">
        <v>-316.45069999999998</v>
      </c>
      <c r="K2286">
        <v>1.111135</v>
      </c>
      <c r="L2286">
        <v>284.73410000000001</v>
      </c>
      <c r="M2286">
        <v>-0.9998802</v>
      </c>
      <c r="N2286">
        <v>-1.528973E-2</v>
      </c>
      <c r="O2286">
        <v>-2.469967E-3</v>
      </c>
      <c r="P2286">
        <v>-0.93112709999999999</v>
      </c>
      <c r="Q2286">
        <v>0.36172880000000002</v>
      </c>
      <c r="R2286">
        <v>-4.6423869999999999E-2</v>
      </c>
      <c r="S2286">
        <v>-3.342743</v>
      </c>
      <c r="T2286">
        <v>-0.28604780000000002</v>
      </c>
      <c r="U2286">
        <v>0.2004089</v>
      </c>
      <c r="V2286">
        <v>-4.4506839999999999E-2</v>
      </c>
      <c r="W2286">
        <v>0.37588009999999999</v>
      </c>
      <c r="X2286">
        <v>0.9255989</v>
      </c>
      <c r="Y2286">
        <v>6.2038990000000002E-2</v>
      </c>
      <c r="Z2286">
        <v>3.2960849999999998E-3</v>
      </c>
      <c r="AA2286">
        <v>0.99806830000000002</v>
      </c>
      <c r="AB2286">
        <v>42</v>
      </c>
      <c r="AC2286">
        <v>-0.72230000000001804</v>
      </c>
      <c r="AD2286">
        <v>-8.03419999999999E-2</v>
      </c>
      <c r="AE2286">
        <v>5.69999999999595E-2</v>
      </c>
      <c r="AF2286">
        <v>5.80700783117334E-2</v>
      </c>
      <c r="AG2286">
        <v>-8.03419999999999E-2</v>
      </c>
      <c r="AH2286">
        <v>0.71338540653489702</v>
      </c>
      <c r="AI2286">
        <v>96.404611873385704</v>
      </c>
      <c r="AJ2286">
        <v>85.346343285192503</v>
      </c>
      <c r="AK2286">
        <v>0.72024003583256202</v>
      </c>
      <c r="AL2286">
        <v>67.9212815378323</v>
      </c>
      <c r="AM2286">
        <v>92.752911094720801</v>
      </c>
      <c r="AN2286">
        <v>1.0000000160319999</v>
      </c>
    </row>
    <row r="2287" spans="1:40" x14ac:dyDescent="0.25">
      <c r="A2287" t="str">
        <f>"20190304164859886"</f>
        <v>20190304164859886</v>
      </c>
      <c r="B2287" t="str">
        <f>"1551689339878511"</f>
        <v>1551689339878511</v>
      </c>
      <c r="C2287" t="s">
        <v>40</v>
      </c>
      <c r="D2287">
        <v>4.2381010000000003</v>
      </c>
      <c r="E2287">
        <v>0.55850319999999998</v>
      </c>
      <c r="F2287" t="s">
        <v>41</v>
      </c>
      <c r="G2287">
        <v>-317.5403</v>
      </c>
      <c r="H2287">
        <v>1.0178290000000001</v>
      </c>
      <c r="I2287">
        <v>284.79919999999998</v>
      </c>
      <c r="J2287">
        <v>-316.6635</v>
      </c>
      <c r="K2287">
        <v>1.1111340000000001</v>
      </c>
      <c r="L2287">
        <v>284.73349999999999</v>
      </c>
      <c r="M2287">
        <v>-0.99987979999999999</v>
      </c>
      <c r="N2287">
        <v>-1.528735E-2</v>
      </c>
      <c r="O2287">
        <v>-2.6529320000000002E-3</v>
      </c>
      <c r="P2287">
        <v>-0.93096610000000002</v>
      </c>
      <c r="Q2287">
        <v>0.36212949999999999</v>
      </c>
      <c r="R2287">
        <v>-4.6525629999999998E-2</v>
      </c>
      <c r="S2287">
        <v>-3.3430789999999999</v>
      </c>
      <c r="T2287">
        <v>-0.28645279999999901</v>
      </c>
      <c r="U2287">
        <v>0.19879150000000001</v>
      </c>
      <c r="V2287">
        <v>-4.4433790000000001E-2</v>
      </c>
      <c r="W2287">
        <v>0.37627680000000002</v>
      </c>
      <c r="X2287">
        <v>0.92544119999999996</v>
      </c>
      <c r="Y2287">
        <v>6.1734650000000002E-2</v>
      </c>
      <c r="Z2287">
        <v>3.2973059999999998E-3</v>
      </c>
      <c r="AA2287">
        <v>0.99808719999999995</v>
      </c>
      <c r="AB2287">
        <v>42</v>
      </c>
      <c r="AC2287">
        <v>-0.87680000000000202</v>
      </c>
      <c r="AD2287">
        <v>-9.3304999999999902E-2</v>
      </c>
      <c r="AE2287">
        <v>6.5699999999992501E-2</v>
      </c>
      <c r="AF2287">
        <v>6.7268618764110805E-2</v>
      </c>
      <c r="AG2287">
        <v>-9.3304999999999902E-2</v>
      </c>
      <c r="AH2287">
        <v>0.86686087187682703</v>
      </c>
      <c r="AI2287">
        <v>96.125134017972997</v>
      </c>
      <c r="AJ2287">
        <v>85.562725824813</v>
      </c>
      <c r="AK2287">
        <v>0.87445906781648897</v>
      </c>
      <c r="AL2287">
        <v>67.896751202151904</v>
      </c>
      <c r="AM2287">
        <v>92.748867241640596</v>
      </c>
      <c r="AN2287">
        <v>1.0000000032847201</v>
      </c>
    </row>
    <row r="2288" spans="1:40" x14ac:dyDescent="0.25">
      <c r="A2288" t="str">
        <f>"20190304164859899"</f>
        <v>20190304164859899</v>
      </c>
      <c r="B2288" t="str">
        <f>"1551689339888271"</f>
        <v>1551689339888271</v>
      </c>
      <c r="C2288" t="s">
        <v>40</v>
      </c>
      <c r="D2288">
        <v>4.2507489999999999</v>
      </c>
      <c r="E2288">
        <v>0.55856790000000001</v>
      </c>
      <c r="F2288" t="s">
        <v>41</v>
      </c>
      <c r="G2288">
        <v>-317.54910000000001</v>
      </c>
      <c r="H2288">
        <v>1.035496</v>
      </c>
      <c r="I2288">
        <v>284.78620000000001</v>
      </c>
      <c r="J2288">
        <v>-316.88310000000001</v>
      </c>
      <c r="K2288">
        <v>1.111132</v>
      </c>
      <c r="L2288">
        <v>284.7328</v>
      </c>
      <c r="M2288">
        <v>-0.99987919999999997</v>
      </c>
      <c r="N2288">
        <v>-1.5284890000000001E-2</v>
      </c>
      <c r="O2288">
        <v>-2.840183E-3</v>
      </c>
      <c r="P2288">
        <v>-0.93093479999999995</v>
      </c>
      <c r="Q2288">
        <v>0.36220920000000001</v>
      </c>
      <c r="R2288">
        <v>-4.6526560000000002E-2</v>
      </c>
      <c r="S2288">
        <v>-3.3435060000000001</v>
      </c>
      <c r="T2288">
        <v>-0.28576240000000003</v>
      </c>
      <c r="U2288">
        <v>0.197937</v>
      </c>
      <c r="V2288">
        <v>-4.42549E-2</v>
      </c>
      <c r="W2288">
        <v>0.37635459999999998</v>
      </c>
      <c r="X2288">
        <v>0.92541810000000002</v>
      </c>
      <c r="Y2288">
        <v>6.1660970000000002E-2</v>
      </c>
      <c r="Z2288">
        <v>3.2994090000000001E-3</v>
      </c>
      <c r="AA2288">
        <v>0.99809170000000003</v>
      </c>
      <c r="AB2288">
        <v>42</v>
      </c>
      <c r="AC2288">
        <v>-0.66599999999999604</v>
      </c>
      <c r="AD2288">
        <v>-7.5635999999999995E-2</v>
      </c>
      <c r="AE2288">
        <v>5.3400000000010502E-2</v>
      </c>
      <c r="AF2288">
        <v>5.4591960170982501E-2</v>
      </c>
      <c r="AG2288">
        <v>-7.5635999999999995E-2</v>
      </c>
      <c r="AH2288">
        <v>0.65742064915355303</v>
      </c>
      <c r="AI2288">
        <v>96.540686552590799</v>
      </c>
      <c r="AJ2288">
        <v>85.253071252450894</v>
      </c>
      <c r="AK2288">
        <v>0.664005268461621</v>
      </c>
      <c r="AL2288">
        <v>67.891939156445403</v>
      </c>
      <c r="AM2288">
        <v>92.737885438153896</v>
      </c>
      <c r="AN2288">
        <v>0.999999970461389</v>
      </c>
    </row>
    <row r="2289" spans="1:40" x14ac:dyDescent="0.25">
      <c r="A2289" t="str">
        <f>"20190304164859909"</f>
        <v>20190304164859909</v>
      </c>
      <c r="B2289" t="str">
        <f>"1551689339898031"</f>
        <v>1551689339898031</v>
      </c>
      <c r="C2289" t="s">
        <v>40</v>
      </c>
      <c r="D2289">
        <v>4.2373260000000004</v>
      </c>
      <c r="E2289">
        <v>0.55858059999999998</v>
      </c>
      <c r="F2289" t="s">
        <v>41</v>
      </c>
      <c r="G2289">
        <v>-317.9162</v>
      </c>
      <c r="H2289">
        <v>1.022772</v>
      </c>
      <c r="I2289">
        <v>284.79430000000002</v>
      </c>
      <c r="J2289">
        <v>-317.09840000000003</v>
      </c>
      <c r="K2289">
        <v>1.111129</v>
      </c>
      <c r="L2289">
        <v>284.73200000000003</v>
      </c>
      <c r="M2289">
        <v>-0.99987879999999996</v>
      </c>
      <c r="N2289">
        <v>-1.5282479999999999E-2</v>
      </c>
      <c r="O2289">
        <v>-3.0200420000000001E-3</v>
      </c>
      <c r="P2289">
        <v>-0.93085410000000002</v>
      </c>
      <c r="Q2289">
        <v>0.36245630000000001</v>
      </c>
      <c r="R2289">
        <v>-4.6220299999999999E-2</v>
      </c>
      <c r="S2289">
        <v>-3.3437809999999999</v>
      </c>
      <c r="T2289">
        <v>-0.2860973</v>
      </c>
      <c r="U2289">
        <v>0.19839480000000001</v>
      </c>
      <c r="V2289">
        <v>-4.3776710000000003E-2</v>
      </c>
      <c r="W2289">
        <v>0.37659930000000003</v>
      </c>
      <c r="X2289">
        <v>0.92534130000000003</v>
      </c>
      <c r="Y2289">
        <v>6.1969509999999998E-2</v>
      </c>
      <c r="Z2289">
        <v>3.3305850000000001E-3</v>
      </c>
      <c r="AA2289">
        <v>0.99807250000000003</v>
      </c>
      <c r="AB2289">
        <v>42</v>
      </c>
      <c r="AC2289">
        <v>-0.81779999999997699</v>
      </c>
      <c r="AD2289">
        <v>-8.8357000000000005E-2</v>
      </c>
      <c r="AE2289">
        <v>6.2299999999993298E-2</v>
      </c>
      <c r="AF2289">
        <v>6.4026713843356106E-2</v>
      </c>
      <c r="AG2289">
        <v>-8.8357000000000005E-2</v>
      </c>
      <c r="AH2289">
        <v>0.80822797694973303</v>
      </c>
      <c r="AI2289">
        <v>96.2195748124267</v>
      </c>
      <c r="AJ2289">
        <v>85.470565941706894</v>
      </c>
      <c r="AK2289">
        <v>0.81556044672288897</v>
      </c>
      <c r="AL2289">
        <v>67.876805588722206</v>
      </c>
      <c r="AM2289">
        <v>92.708570345001206</v>
      </c>
      <c r="AN2289">
        <v>0.99999997729230194</v>
      </c>
    </row>
    <row r="2290" spans="1:40" x14ac:dyDescent="0.25">
      <c r="A2290" t="str">
        <f>"20190304164859921"</f>
        <v>20190304164859921</v>
      </c>
      <c r="B2290" t="str">
        <f>"1551689339918527"</f>
        <v>1551689339918527</v>
      </c>
      <c r="C2290" t="s">
        <v>40</v>
      </c>
      <c r="D2290">
        <v>4.2691600000000003</v>
      </c>
      <c r="E2290">
        <v>0.5585909</v>
      </c>
      <c r="F2290" t="s">
        <v>41</v>
      </c>
      <c r="G2290">
        <v>-317.92509999999999</v>
      </c>
      <c r="H2290">
        <v>1.040554</v>
      </c>
      <c r="I2290">
        <v>284.78129999999999</v>
      </c>
      <c r="J2290">
        <v>-317.30059999999997</v>
      </c>
      <c r="K2290">
        <v>1.1111260000000001</v>
      </c>
      <c r="L2290">
        <v>284.73129999999998</v>
      </c>
      <c r="M2290">
        <v>-0.99987820000000005</v>
      </c>
      <c r="N2290">
        <v>-1.5280210000000001E-2</v>
      </c>
      <c r="O2290">
        <v>-3.186679E-3</v>
      </c>
      <c r="P2290">
        <v>-0.93077710000000002</v>
      </c>
      <c r="Q2290">
        <v>0.36265550000000002</v>
      </c>
      <c r="R2290">
        <v>-4.6205389999999999E-2</v>
      </c>
      <c r="S2290">
        <v>-3.3439329999999998</v>
      </c>
      <c r="T2290">
        <v>-0.28562029999999999</v>
      </c>
      <c r="U2290">
        <v>0.19860839999999999</v>
      </c>
      <c r="V2290">
        <v>-4.3601729999999998E-2</v>
      </c>
      <c r="W2290">
        <v>0.37679620000000003</v>
      </c>
      <c r="X2290">
        <v>0.92526940000000002</v>
      </c>
      <c r="Y2290">
        <v>6.2196189999999998E-2</v>
      </c>
      <c r="Z2290">
        <v>3.3486089999999998E-3</v>
      </c>
      <c r="AA2290">
        <v>0.99805829999999995</v>
      </c>
      <c r="AB2290">
        <v>42</v>
      </c>
      <c r="AC2290">
        <v>-0.62450000000001105</v>
      </c>
      <c r="AD2290">
        <v>-7.0571999999999996E-2</v>
      </c>
      <c r="AE2290">
        <v>5.0000000000011299E-2</v>
      </c>
      <c r="AF2290">
        <v>5.1338627300157903E-2</v>
      </c>
      <c r="AG2290">
        <v>-7.0571999999999996E-2</v>
      </c>
      <c r="AH2290">
        <v>0.61651456723089604</v>
      </c>
      <c r="AI2290">
        <v>96.507854976093995</v>
      </c>
      <c r="AJ2290">
        <v>85.239827350216103</v>
      </c>
      <c r="AK2290">
        <v>0.62266064067432703</v>
      </c>
      <c r="AL2290">
        <v>67.864626866823002</v>
      </c>
      <c r="AM2290">
        <v>92.697969263109002</v>
      </c>
      <c r="AN2290">
        <v>0.999999974884896</v>
      </c>
    </row>
    <row r="2291" spans="1:40" x14ac:dyDescent="0.25">
      <c r="A2291" t="str">
        <f>"20190304164859932"</f>
        <v>20190304164859932</v>
      </c>
      <c r="B2291" t="str">
        <f>"1551689339928288"</f>
        <v>1551689339928288</v>
      </c>
      <c r="C2291" t="s">
        <v>40</v>
      </c>
      <c r="D2291">
        <v>4.2314559999999997</v>
      </c>
      <c r="E2291">
        <v>0.55858580000000002</v>
      </c>
      <c r="F2291" t="s">
        <v>41</v>
      </c>
      <c r="G2291">
        <v>-318.2912</v>
      </c>
      <c r="H2291">
        <v>1.0266489999999999</v>
      </c>
      <c r="I2291">
        <v>284.79050000000001</v>
      </c>
      <c r="J2291">
        <v>-317.51170000000002</v>
      </c>
      <c r="K2291">
        <v>1.1111219999999999</v>
      </c>
      <c r="L2291">
        <v>284.73039999999997</v>
      </c>
      <c r="M2291">
        <v>-0.99987769999999998</v>
      </c>
      <c r="N2291">
        <v>-1.5277840000000001E-2</v>
      </c>
      <c r="O2291">
        <v>-3.358916E-3</v>
      </c>
      <c r="P2291">
        <v>-0.93071190000000004</v>
      </c>
      <c r="Q2291">
        <v>0.3628596</v>
      </c>
      <c r="R2291">
        <v>-4.591783E-2</v>
      </c>
      <c r="S2291">
        <v>-3.3442379999999998</v>
      </c>
      <c r="T2291">
        <v>-0.28552309999999997</v>
      </c>
      <c r="U2291">
        <v>0.1983337</v>
      </c>
      <c r="V2291">
        <v>-4.3148760000000001E-2</v>
      </c>
      <c r="W2291">
        <v>0.3769981</v>
      </c>
      <c r="X2291">
        <v>0.92520840000000004</v>
      </c>
      <c r="Y2291">
        <v>6.2280479999999999E-2</v>
      </c>
      <c r="Z2291">
        <v>3.3635679999999999E-3</v>
      </c>
      <c r="AA2291">
        <v>0.99805299999999997</v>
      </c>
      <c r="AB2291">
        <v>42</v>
      </c>
      <c r="AC2291">
        <v>-0.77949999999998398</v>
      </c>
      <c r="AD2291">
        <v>-8.4473000000000006E-2</v>
      </c>
      <c r="AE2291">
        <v>6.0100000000034001E-2</v>
      </c>
      <c r="AF2291">
        <v>6.1994501117144198E-2</v>
      </c>
      <c r="AG2291">
        <v>-8.4473000000000006E-2</v>
      </c>
      <c r="AH2291">
        <v>0.77030100872852003</v>
      </c>
      <c r="AI2291">
        <v>96.238171315633295</v>
      </c>
      <c r="AJ2291">
        <v>85.398702750806095</v>
      </c>
      <c r="AK2291">
        <v>0.77739478384276495</v>
      </c>
      <c r="AL2291">
        <v>67.8521380402848</v>
      </c>
      <c r="AM2291">
        <v>92.670157130589402</v>
      </c>
      <c r="AN2291">
        <v>0.99999998316185301</v>
      </c>
    </row>
    <row r="2292" spans="1:40" x14ac:dyDescent="0.25">
      <c r="A2292" t="str">
        <f>"20190304164859942"</f>
        <v>20190304164859942</v>
      </c>
      <c r="B2292" t="str">
        <f>"1551689339938047"</f>
        <v>1551689339938047</v>
      </c>
      <c r="C2292" t="s">
        <v>40</v>
      </c>
      <c r="D2292">
        <v>4.2476900000000004</v>
      </c>
      <c r="E2292">
        <v>0.55852250000000003</v>
      </c>
      <c r="F2292" t="s">
        <v>41</v>
      </c>
      <c r="G2292">
        <v>-318.30070000000001</v>
      </c>
      <c r="H2292">
        <v>1.0440370000000001</v>
      </c>
      <c r="I2292">
        <v>284.77780000000001</v>
      </c>
      <c r="J2292">
        <v>-317.71109999999999</v>
      </c>
      <c r="K2292">
        <v>1.1111200000000001</v>
      </c>
      <c r="L2292">
        <v>284.72969999999998</v>
      </c>
      <c r="M2292">
        <v>-0.99987720000000002</v>
      </c>
      <c r="N2292">
        <v>-1.52756E-2</v>
      </c>
      <c r="O2292">
        <v>-3.5188939999999998E-3</v>
      </c>
      <c r="P2292">
        <v>-0.93060520000000002</v>
      </c>
      <c r="Q2292">
        <v>0.36313380000000001</v>
      </c>
      <c r="R2292">
        <v>-4.5913089999999997E-2</v>
      </c>
      <c r="S2292">
        <v>-3.3442080000000001</v>
      </c>
      <c r="T2292">
        <v>-0.2847981</v>
      </c>
      <c r="U2292">
        <v>0.19869999999999999</v>
      </c>
      <c r="V2292">
        <v>-4.2991429999999997E-2</v>
      </c>
      <c r="W2292">
        <v>0.37726920000000003</v>
      </c>
      <c r="X2292">
        <v>0.92510519999999996</v>
      </c>
      <c r="Y2292">
        <v>6.2549380000000002E-2</v>
      </c>
      <c r="Z2292">
        <v>3.3807160000000002E-3</v>
      </c>
      <c r="AA2292">
        <v>0.99803609999999998</v>
      </c>
      <c r="AB2292">
        <v>42</v>
      </c>
      <c r="AC2292">
        <v>-0.589600000000018</v>
      </c>
      <c r="AD2292">
        <v>-6.7083000000000004E-2</v>
      </c>
      <c r="AE2292">
        <v>4.8100000000033498E-2</v>
      </c>
      <c r="AF2292">
        <v>4.95376471560693E-2</v>
      </c>
      <c r="AG2292">
        <v>-6.7083000000000004E-2</v>
      </c>
      <c r="AH2292">
        <v>0.581943480380962</v>
      </c>
      <c r="AI2292">
        <v>96.552205424028401</v>
      </c>
      <c r="AJ2292">
        <v>85.134455061959102</v>
      </c>
      <c r="AK2292">
        <v>0.58788801802100599</v>
      </c>
      <c r="AL2292">
        <v>67.835366474420297</v>
      </c>
      <c r="AM2292">
        <v>92.660731514094195</v>
      </c>
      <c r="AN2292">
        <v>0.99999997169456101</v>
      </c>
    </row>
    <row r="2293" spans="1:40" x14ac:dyDescent="0.25">
      <c r="A2293" t="str">
        <f>"20190304164859956"</f>
        <v>20190304164859956</v>
      </c>
      <c r="B2293" t="str">
        <f>"1551689339948783"</f>
        <v>1551689339948783</v>
      </c>
      <c r="C2293" t="s">
        <v>40</v>
      </c>
      <c r="D2293">
        <v>4.2560310000000001</v>
      </c>
      <c r="E2293">
        <v>0.55829819999999997</v>
      </c>
      <c r="F2293" t="s">
        <v>41</v>
      </c>
      <c r="G2293">
        <v>-318.66539999999998</v>
      </c>
      <c r="H2293">
        <v>1.0300020000000001</v>
      </c>
      <c r="I2293">
        <v>284.78629999999998</v>
      </c>
      <c r="J2293">
        <v>-317.96409999999997</v>
      </c>
      <c r="K2293">
        <v>1.11111</v>
      </c>
      <c r="L2293">
        <v>284.72859999999997</v>
      </c>
      <c r="M2293">
        <v>-0.9998766</v>
      </c>
      <c r="N2293">
        <v>-1.527275E-2</v>
      </c>
      <c r="O2293">
        <v>-3.720452E-3</v>
      </c>
      <c r="P2293">
        <v>-0.93050189999999999</v>
      </c>
      <c r="Q2293">
        <v>0.36340709999999998</v>
      </c>
      <c r="R2293">
        <v>-4.584353E-2</v>
      </c>
      <c r="S2293">
        <v>-3.3444519999999902</v>
      </c>
      <c r="T2293">
        <v>-0.2843214</v>
      </c>
      <c r="U2293">
        <v>0.19851679999999999</v>
      </c>
      <c r="V2293">
        <v>-4.273006E-2</v>
      </c>
      <c r="W2293">
        <v>0.37753910000000002</v>
      </c>
      <c r="X2293">
        <v>0.92500720000000003</v>
      </c>
      <c r="Y2293">
        <v>6.26916E-2</v>
      </c>
      <c r="Z2293">
        <v>3.3966320000000001E-3</v>
      </c>
      <c r="AA2293">
        <v>0.99802709999999994</v>
      </c>
      <c r="AB2293">
        <v>42</v>
      </c>
      <c r="AC2293">
        <v>-0.70130000000000303</v>
      </c>
      <c r="AD2293">
        <v>-8.1107999999999902E-2</v>
      </c>
      <c r="AE2293">
        <v>5.7700000000011097E-2</v>
      </c>
      <c r="AF2293">
        <v>5.9518305501073697E-2</v>
      </c>
      <c r="AG2293">
        <v>-8.1107999999999902E-2</v>
      </c>
      <c r="AH2293">
        <v>0.69188811996490795</v>
      </c>
      <c r="AI2293">
        <v>96.661718731495597</v>
      </c>
      <c r="AJ2293">
        <v>85.083347856510102</v>
      </c>
      <c r="AK2293">
        <v>0.69916386269764597</v>
      </c>
      <c r="AL2293">
        <v>67.818667504276604</v>
      </c>
      <c r="AM2293">
        <v>92.644858191383193</v>
      </c>
      <c r="AN2293">
        <v>0.99999997505412597</v>
      </c>
    </row>
    <row r="2294" spans="1:40" x14ac:dyDescent="0.25">
      <c r="A2294" t="str">
        <f>"20190304164859970"</f>
        <v>20190304164859970</v>
      </c>
      <c r="B2294" t="str">
        <f>"1551689339958543"</f>
        <v>1551689339958543</v>
      </c>
      <c r="C2294" t="s">
        <v>40</v>
      </c>
      <c r="D2294">
        <v>4.2402300000000004</v>
      </c>
      <c r="E2294">
        <v>0.5581604</v>
      </c>
      <c r="F2294" t="s">
        <v>41</v>
      </c>
      <c r="G2294">
        <v>-319.03289999999998</v>
      </c>
      <c r="H2294">
        <v>1.020653</v>
      </c>
      <c r="I2294">
        <v>284.79180000000002</v>
      </c>
      <c r="J2294">
        <v>-318.21429999999998</v>
      </c>
      <c r="K2294">
        <v>1.111108</v>
      </c>
      <c r="L2294">
        <v>284.72750000000002</v>
      </c>
      <c r="M2294">
        <v>-0.99987579999999998</v>
      </c>
      <c r="N2294">
        <v>-1.5269939999999999E-2</v>
      </c>
      <c r="O2294">
        <v>-3.9169030000000002E-3</v>
      </c>
      <c r="P2294">
        <v>-0.93054559999999997</v>
      </c>
      <c r="Q2294">
        <v>0.36329210000000001</v>
      </c>
      <c r="R2294">
        <v>-4.5869210000000001E-2</v>
      </c>
      <c r="S2294">
        <v>-3.3444210000000001</v>
      </c>
      <c r="T2294">
        <v>-0.28328059999999899</v>
      </c>
      <c r="U2294">
        <v>0.19677729999999999</v>
      </c>
      <c r="V2294">
        <v>-4.2568149999999999E-2</v>
      </c>
      <c r="W2294">
        <v>0.37742290000000001</v>
      </c>
      <c r="X2294">
        <v>0.9250621</v>
      </c>
      <c r="Y2294">
        <v>6.2373669999999999E-2</v>
      </c>
      <c r="Z2294">
        <v>3.3835039999999999E-3</v>
      </c>
      <c r="AA2294">
        <v>0.99804709999999996</v>
      </c>
      <c r="AB2294">
        <v>42</v>
      </c>
      <c r="AC2294">
        <v>-0.81860000000000299</v>
      </c>
      <c r="AD2294">
        <v>-9.0454999999999897E-2</v>
      </c>
      <c r="AE2294">
        <v>6.4300000000002897E-2</v>
      </c>
      <c r="AF2294">
        <v>6.6696870876036499E-2</v>
      </c>
      <c r="AG2294">
        <v>-9.0454999999999897E-2</v>
      </c>
      <c r="AH2294">
        <v>0.80853008139416804</v>
      </c>
      <c r="AI2294">
        <v>96.362039184696997</v>
      </c>
      <c r="AJ2294">
        <v>85.284261666629703</v>
      </c>
      <c r="AK2294">
        <v>0.81630354166138097</v>
      </c>
      <c r="AL2294">
        <v>67.825857554709401</v>
      </c>
      <c r="AM2294">
        <v>92.634694463470098</v>
      </c>
      <c r="AN2294">
        <v>0.99999999084762103</v>
      </c>
    </row>
    <row r="2295" spans="1:40" x14ac:dyDescent="0.25">
      <c r="A2295" t="str">
        <f>"20190304164859987"</f>
        <v>20190304164859987</v>
      </c>
      <c r="B2295" t="str">
        <f>"1551689339978063"</f>
        <v>1551689339978063</v>
      </c>
      <c r="C2295" t="s">
        <v>40</v>
      </c>
      <c r="D2295">
        <v>4.2324229999999998</v>
      </c>
      <c r="E2295">
        <v>0.55784080000000003</v>
      </c>
      <c r="F2295" t="s">
        <v>41</v>
      </c>
      <c r="G2295">
        <v>-319.04300000000001</v>
      </c>
      <c r="H2295">
        <v>1.0408470000000001</v>
      </c>
      <c r="I2295">
        <v>284.77640000000002</v>
      </c>
      <c r="J2295">
        <v>-318.5326</v>
      </c>
      <c r="K2295">
        <v>1.1111</v>
      </c>
      <c r="L2295">
        <v>284.726</v>
      </c>
      <c r="M2295">
        <v>-0.99987479999999995</v>
      </c>
      <c r="N2295">
        <v>-1.526634E-2</v>
      </c>
      <c r="O2295">
        <v>-4.1647150000000003E-3</v>
      </c>
      <c r="P2295">
        <v>-0.93061780000000005</v>
      </c>
      <c r="Q2295">
        <v>0.36316939999999998</v>
      </c>
      <c r="R2295">
        <v>-4.5373169999999997E-2</v>
      </c>
      <c r="S2295">
        <v>-3.34436</v>
      </c>
      <c r="T2295">
        <v>-0.28383649999999999</v>
      </c>
      <c r="U2295">
        <v>0.19607540000000001</v>
      </c>
      <c r="V2295">
        <v>-4.1836409999999997E-2</v>
      </c>
      <c r="W2295">
        <v>0.3772993</v>
      </c>
      <c r="X2295">
        <v>0.92514589999999997</v>
      </c>
      <c r="Y2295">
        <v>6.2411580000000001E-2</v>
      </c>
      <c r="Z2295">
        <v>3.4083749999999999E-3</v>
      </c>
      <c r="AA2295">
        <v>0.99804470000000001</v>
      </c>
      <c r="AB2295">
        <v>42</v>
      </c>
      <c r="AC2295">
        <v>-0.51040000000000396</v>
      </c>
      <c r="AD2295">
        <v>-7.0253000000000093E-2</v>
      </c>
      <c r="AE2295">
        <v>5.0400000000024599E-2</v>
      </c>
      <c r="AF2295">
        <v>5.1558114130027199E-2</v>
      </c>
      <c r="AG2295">
        <v>-7.0253000000000093E-2</v>
      </c>
      <c r="AH2295">
        <v>0.50078950734271999</v>
      </c>
      <c r="AI2295">
        <v>97.944145884222905</v>
      </c>
      <c r="AJ2295">
        <v>84.121899475460793</v>
      </c>
      <c r="AK2295">
        <v>0.50831471925000304</v>
      </c>
      <c r="AL2295">
        <v>67.833504713701103</v>
      </c>
      <c r="AM2295">
        <v>92.589232416894404</v>
      </c>
      <c r="AN2295">
        <v>0.99999999163449305</v>
      </c>
    </row>
    <row r="2296" spans="1:40" x14ac:dyDescent="0.25">
      <c r="A2296" t="str">
        <f>"20190304164900008"</f>
        <v>20190304164900008</v>
      </c>
      <c r="B2296" t="str">
        <f>"1551689339998562"</f>
        <v>1551689339998562</v>
      </c>
      <c r="C2296" t="s">
        <v>40</v>
      </c>
      <c r="D2296">
        <v>4.2180569999999999</v>
      </c>
      <c r="E2296">
        <v>0.55750259999999996</v>
      </c>
      <c r="F2296" t="s">
        <v>41</v>
      </c>
      <c r="G2296">
        <v>-319.41269999999997</v>
      </c>
      <c r="H2296">
        <v>1.0367500000000001</v>
      </c>
      <c r="I2296">
        <v>284.77789999999999</v>
      </c>
      <c r="J2296">
        <v>-318.92720000000003</v>
      </c>
      <c r="K2296">
        <v>1.111094</v>
      </c>
      <c r="L2296">
        <v>284.7242</v>
      </c>
      <c r="M2296">
        <v>-0.99987360000000003</v>
      </c>
      <c r="N2296">
        <v>-1.526158E-2</v>
      </c>
      <c r="O2296">
        <v>-4.4694920000000003E-3</v>
      </c>
      <c r="P2296">
        <v>-0.93077480000000001</v>
      </c>
      <c r="Q2296">
        <v>0.36282219999999998</v>
      </c>
      <c r="R2296">
        <v>-4.4927920000000003E-2</v>
      </c>
      <c r="S2296">
        <v>-3.3435359999999998</v>
      </c>
      <c r="T2296">
        <v>-0.28272380000000003</v>
      </c>
      <c r="U2296">
        <v>0.19564819999999999</v>
      </c>
      <c r="V2296">
        <v>-4.1101560000000002E-2</v>
      </c>
      <c r="W2296">
        <v>0.3769518</v>
      </c>
      <c r="X2296">
        <v>0.92532049999999999</v>
      </c>
      <c r="Y2296">
        <v>6.2603420000000007E-2</v>
      </c>
      <c r="Z2296">
        <v>3.4279060000000001E-3</v>
      </c>
      <c r="AA2296">
        <v>0.99803260000000005</v>
      </c>
      <c r="AB2296">
        <v>42</v>
      </c>
      <c r="AC2296">
        <v>-0.48549999999994498</v>
      </c>
      <c r="AD2296">
        <v>-7.4343999999999896E-2</v>
      </c>
      <c r="AE2296">
        <v>5.3699999999991997E-2</v>
      </c>
      <c r="AF2296">
        <v>5.4604735417779202E-2</v>
      </c>
      <c r="AG2296">
        <v>-7.4343999999999896E-2</v>
      </c>
      <c r="AH2296">
        <v>0.47426867270777701</v>
      </c>
      <c r="AI2296">
        <v>98.851364779536297</v>
      </c>
      <c r="AJ2296">
        <v>83.432192185942696</v>
      </c>
      <c r="AK2296">
        <v>0.48315575271132</v>
      </c>
      <c r="AL2296">
        <v>67.855002827852402</v>
      </c>
      <c r="AM2296">
        <v>92.543333863749098</v>
      </c>
      <c r="AN2296">
        <v>1.0000000127389601</v>
      </c>
    </row>
    <row r="2297" spans="1:40" x14ac:dyDescent="0.25">
      <c r="A2297" t="str">
        <f>"20190304164900022"</f>
        <v>20190304164900022</v>
      </c>
      <c r="B2297" t="str">
        <f>"1551689340018079"</f>
        <v>1551689340018079</v>
      </c>
      <c r="C2297" t="s">
        <v>40</v>
      </c>
      <c r="D2297">
        <v>4.2169949999999998</v>
      </c>
      <c r="E2297">
        <v>0.5572511</v>
      </c>
      <c r="F2297" t="s">
        <v>41</v>
      </c>
      <c r="G2297">
        <v>-319.7851</v>
      </c>
      <c r="H2297">
        <v>1.038753</v>
      </c>
      <c r="I2297">
        <v>284.77440000000001</v>
      </c>
      <c r="J2297">
        <v>-319.17919999999998</v>
      </c>
      <c r="K2297">
        <v>1.111094</v>
      </c>
      <c r="L2297">
        <v>284.72289999999998</v>
      </c>
      <c r="M2297">
        <v>-0.99987269999999995</v>
      </c>
      <c r="N2297">
        <v>-1.5258499999999999E-2</v>
      </c>
      <c r="O2297">
        <v>-4.6632339999999996E-3</v>
      </c>
      <c r="P2297">
        <v>-0.93085039999999997</v>
      </c>
      <c r="Q2297">
        <v>0.36268470000000003</v>
      </c>
      <c r="R2297">
        <v>-4.4464900000000002E-2</v>
      </c>
      <c r="S2297">
        <v>-3.3424680000000002</v>
      </c>
      <c r="T2297">
        <v>-0.2820473</v>
      </c>
      <c r="U2297">
        <v>0.19470209999999999</v>
      </c>
      <c r="V2297">
        <v>-4.0455400000000002E-2</v>
      </c>
      <c r="W2297">
        <v>0.37681350000000002</v>
      </c>
      <c r="X2297">
        <v>0.92540529999999999</v>
      </c>
      <c r="Y2297">
        <v>6.2534790000000007E-2</v>
      </c>
      <c r="Z2297">
        <v>3.4315460000000002E-3</v>
      </c>
      <c r="AA2297">
        <v>0.9980369</v>
      </c>
      <c r="AB2297">
        <v>42</v>
      </c>
      <c r="AC2297">
        <v>-0.60590000000001898</v>
      </c>
      <c r="AD2297">
        <v>-7.2340999999999905E-2</v>
      </c>
      <c r="AE2297">
        <v>5.15000000000327E-2</v>
      </c>
      <c r="AF2297">
        <v>5.3567100673173898E-2</v>
      </c>
      <c r="AG2297">
        <v>-7.2340999999999905E-2</v>
      </c>
      <c r="AH2297">
        <v>0.59720118770169595</v>
      </c>
      <c r="AI2297">
        <v>96.879428370842604</v>
      </c>
      <c r="AJ2297">
        <v>84.874462201688502</v>
      </c>
      <c r="AK2297">
        <v>0.60394694563996798</v>
      </c>
      <c r="AL2297">
        <v>67.863557623177002</v>
      </c>
      <c r="AM2297">
        <v>92.503172129703799</v>
      </c>
      <c r="AN2297">
        <v>1.00000001121975</v>
      </c>
    </row>
    <row r="2298" spans="1:40" x14ac:dyDescent="0.25">
      <c r="A2298" t="str">
        <f>"20190304164900037"</f>
        <v>20190304164900037</v>
      </c>
      <c r="B2298" t="str">
        <f>"1551689340027839"</f>
        <v>1551689340027839</v>
      </c>
      <c r="C2298" t="s">
        <v>40</v>
      </c>
      <c r="D2298">
        <v>4.2129430000000001</v>
      </c>
      <c r="E2298">
        <v>0.55712700000000004</v>
      </c>
      <c r="F2298" t="s">
        <v>41</v>
      </c>
      <c r="G2298">
        <v>-320.15109999999999</v>
      </c>
      <c r="H2298">
        <v>1.029021</v>
      </c>
      <c r="I2298">
        <v>284.77949999999998</v>
      </c>
      <c r="J2298">
        <v>-319.46170000000001</v>
      </c>
      <c r="K2298">
        <v>1.1110910000000001</v>
      </c>
      <c r="L2298">
        <v>284.72140000000002</v>
      </c>
      <c r="M2298">
        <v>-0.99987179999999998</v>
      </c>
      <c r="N2298">
        <v>-1.525517E-2</v>
      </c>
      <c r="O2298">
        <v>-4.8803359999999999E-3</v>
      </c>
      <c r="P2298">
        <v>-0.93095640000000002</v>
      </c>
      <c r="Q2298">
        <v>0.36242089999999999</v>
      </c>
      <c r="R2298">
        <v>-4.4399189999999998E-2</v>
      </c>
      <c r="S2298">
        <v>-3.342133</v>
      </c>
      <c r="T2298">
        <v>-0.28229149999999997</v>
      </c>
      <c r="U2298">
        <v>0.19445799999999999</v>
      </c>
      <c r="V2298">
        <v>-4.0184289999999998E-2</v>
      </c>
      <c r="W2298">
        <v>0.37654850000000001</v>
      </c>
      <c r="X2298">
        <v>0.92552500000000004</v>
      </c>
      <c r="Y2298">
        <v>6.2683020000000006E-2</v>
      </c>
      <c r="Z2298">
        <v>3.4567399999999998E-3</v>
      </c>
      <c r="AA2298">
        <v>0.99802749999999996</v>
      </c>
      <c r="AB2298">
        <v>42</v>
      </c>
      <c r="AC2298">
        <v>-0.68939999999997703</v>
      </c>
      <c r="AD2298">
        <v>-8.2070000000000004E-2</v>
      </c>
      <c r="AE2298">
        <v>5.8099999999967601E-2</v>
      </c>
      <c r="AF2298">
        <v>6.06112870876011E-2</v>
      </c>
      <c r="AG2298">
        <v>-8.2070000000000004E-2</v>
      </c>
      <c r="AH2298">
        <v>0.67954571039163003</v>
      </c>
      <c r="AI2298">
        <v>96.859395936764699</v>
      </c>
      <c r="AJ2298">
        <v>84.903057524312501</v>
      </c>
      <c r="AK2298">
        <v>0.68716197910978805</v>
      </c>
      <c r="AL2298">
        <v>67.879948910943398</v>
      </c>
      <c r="AM2298">
        <v>92.486097190581901</v>
      </c>
      <c r="AN2298">
        <v>1.00000003782002</v>
      </c>
    </row>
    <row r="2299" spans="1:40" x14ac:dyDescent="0.25">
      <c r="A2299" t="str">
        <f>"20190304164900052"</f>
        <v>20190304164900052</v>
      </c>
      <c r="B2299" t="str">
        <f>"1551689340048335"</f>
        <v>1551689340048335</v>
      </c>
      <c r="C2299" t="s">
        <v>40</v>
      </c>
      <c r="D2299">
        <v>4.2495770000000004</v>
      </c>
      <c r="E2299">
        <v>0.55697149999999995</v>
      </c>
      <c r="F2299" t="s">
        <v>41</v>
      </c>
      <c r="G2299">
        <v>-320.51799999999997</v>
      </c>
      <c r="H2299">
        <v>1.021787</v>
      </c>
      <c r="I2299">
        <v>284.78289999999998</v>
      </c>
      <c r="J2299">
        <v>-319.7466</v>
      </c>
      <c r="K2299">
        <v>1.111086</v>
      </c>
      <c r="L2299">
        <v>284.71980000000002</v>
      </c>
      <c r="M2299">
        <v>-0.99987079999999995</v>
      </c>
      <c r="N2299">
        <v>-1.525207E-2</v>
      </c>
      <c r="O2299">
        <v>-5.0987599999999999E-3</v>
      </c>
      <c r="P2299">
        <v>-0.93112110000000003</v>
      </c>
      <c r="Q2299">
        <v>0.36209259999999999</v>
      </c>
      <c r="R2299">
        <v>-4.3617169999999997E-2</v>
      </c>
      <c r="S2299">
        <v>-3.3418269999999999</v>
      </c>
      <c r="T2299">
        <v>-0.28276299999999999</v>
      </c>
      <c r="U2299">
        <v>0.19345090000000001</v>
      </c>
      <c r="V2299">
        <v>-3.9195590000000002E-2</v>
      </c>
      <c r="W2299">
        <v>0.37622149999999999</v>
      </c>
      <c r="X2299">
        <v>0.92570030000000003</v>
      </c>
      <c r="Y2299">
        <v>6.2605460000000002E-2</v>
      </c>
      <c r="Z2299">
        <v>3.4732840000000001E-3</v>
      </c>
      <c r="AA2299">
        <v>0.99803229999999998</v>
      </c>
      <c r="AB2299">
        <v>41</v>
      </c>
      <c r="AC2299">
        <v>-0.771399999999971</v>
      </c>
      <c r="AD2299">
        <v>-8.9299000000000003E-2</v>
      </c>
      <c r="AE2299">
        <v>6.3099999999963005E-2</v>
      </c>
      <c r="AF2299">
        <v>6.6152213289647196E-2</v>
      </c>
      <c r="AG2299">
        <v>-8.9299000000000003E-2</v>
      </c>
      <c r="AH2299">
        <v>0.76093871637490995</v>
      </c>
      <c r="AI2299">
        <v>96.668336008677898</v>
      </c>
      <c r="AJ2299">
        <v>85.031482677899803</v>
      </c>
      <c r="AK2299">
        <v>0.76901115518724095</v>
      </c>
      <c r="AL2299">
        <v>67.900170367175704</v>
      </c>
      <c r="AM2299">
        <v>92.424544167832394</v>
      </c>
      <c r="AN2299">
        <v>0.99999997837889298</v>
      </c>
    </row>
    <row r="2300" spans="1:40" x14ac:dyDescent="0.25">
      <c r="A2300" t="str">
        <f>"20190304164900065"</f>
        <v>20190304164900065</v>
      </c>
      <c r="B2300" t="str">
        <f>"1551689340058349"</f>
        <v>1551689340058349</v>
      </c>
      <c r="C2300" t="s">
        <v>40</v>
      </c>
      <c r="D2300">
        <v>4.2312329999999996</v>
      </c>
      <c r="E2300">
        <v>0.55688959999999998</v>
      </c>
      <c r="F2300" t="s">
        <v>41</v>
      </c>
      <c r="G2300">
        <v>-320.53039999999999</v>
      </c>
      <c r="H2300">
        <v>1.044495</v>
      </c>
      <c r="I2300">
        <v>284.76569999999998</v>
      </c>
      <c r="J2300">
        <v>-319.98750000000001</v>
      </c>
      <c r="K2300">
        <v>1.111084</v>
      </c>
      <c r="L2300">
        <v>284.71839999999997</v>
      </c>
      <c r="M2300">
        <v>-0.99986980000000003</v>
      </c>
      <c r="N2300">
        <v>-1.5249540000000001E-2</v>
      </c>
      <c r="O2300">
        <v>-5.2836960000000001E-3</v>
      </c>
      <c r="P2300">
        <v>-0.93125440000000004</v>
      </c>
      <c r="Q2300">
        <v>0.36178290000000002</v>
      </c>
      <c r="R2300">
        <v>-4.3342039999999998E-2</v>
      </c>
      <c r="S2300">
        <v>-3.3415219999999999</v>
      </c>
      <c r="T2300">
        <v>-0.28422500000000001</v>
      </c>
      <c r="U2300">
        <v>0.194519</v>
      </c>
      <c r="V2300">
        <v>-3.874441E-2</v>
      </c>
      <c r="W2300">
        <v>0.37591180000000002</v>
      </c>
      <c r="X2300">
        <v>0.92584509999999998</v>
      </c>
      <c r="Y2300">
        <v>6.3107969999999999E-2</v>
      </c>
      <c r="Z2300">
        <v>3.5273470000000001E-3</v>
      </c>
      <c r="AA2300">
        <v>0.99800040000000001</v>
      </c>
      <c r="AB2300">
        <v>41</v>
      </c>
      <c r="AC2300">
        <v>-0.54289999999997396</v>
      </c>
      <c r="AD2300">
        <v>-6.6588999999999704E-2</v>
      </c>
      <c r="AE2300">
        <v>4.7300000000007003E-2</v>
      </c>
      <c r="AF2300">
        <v>4.94301630312797E-2</v>
      </c>
      <c r="AG2300">
        <v>-6.6588999999999704E-2</v>
      </c>
      <c r="AH2300">
        <v>0.53465961189358402</v>
      </c>
      <c r="AI2300">
        <v>97.069486000267503</v>
      </c>
      <c r="AJ2300">
        <v>84.717925698131495</v>
      </c>
      <c r="AK2300">
        <v>0.54105298865129303</v>
      </c>
      <c r="AL2300">
        <v>67.919320678550704</v>
      </c>
      <c r="AM2300">
        <v>92.396293603709296</v>
      </c>
      <c r="AN2300">
        <v>0.99999997993974798</v>
      </c>
    </row>
    <row r="2301" spans="1:40" x14ac:dyDescent="0.25">
      <c r="A2301" t="str">
        <f>"20190304164900076"</f>
        <v>20190304164900076</v>
      </c>
      <c r="B2301" t="str">
        <f>"1551689340068109"</f>
        <v>1551689340068109</v>
      </c>
      <c r="C2301" t="s">
        <v>40</v>
      </c>
      <c r="D2301">
        <v>4.2010189999999996</v>
      </c>
      <c r="E2301">
        <v>0.55681309999999995</v>
      </c>
      <c r="F2301" t="s">
        <v>41</v>
      </c>
      <c r="G2301">
        <v>-320.89409999999998</v>
      </c>
      <c r="H2301">
        <v>1.033679</v>
      </c>
      <c r="I2301">
        <v>284.7715</v>
      </c>
      <c r="J2301">
        <v>-320.19080000000002</v>
      </c>
      <c r="K2301">
        <v>1.1110819999999999</v>
      </c>
      <c r="L2301">
        <v>284.71719999999999</v>
      </c>
      <c r="M2301">
        <v>-0.99986889999999995</v>
      </c>
      <c r="N2301">
        <v>-1.5247429999999999E-2</v>
      </c>
      <c r="O2301">
        <v>-5.4400339999999998E-3</v>
      </c>
      <c r="P2301">
        <v>-0.93127819999999994</v>
      </c>
      <c r="Q2301">
        <v>0.36178070000000001</v>
      </c>
      <c r="R2301">
        <v>-4.2844599999999997E-2</v>
      </c>
      <c r="S2301">
        <v>-3.3414000000000001</v>
      </c>
      <c r="T2301">
        <v>-0.2854372</v>
      </c>
      <c r="U2301">
        <v>0.19470209999999999</v>
      </c>
      <c r="V2301">
        <v>-3.809945E-2</v>
      </c>
      <c r="W2301">
        <v>0.3759092</v>
      </c>
      <c r="X2301">
        <v>0.9258729</v>
      </c>
      <c r="Y2301">
        <v>6.3317090000000006E-2</v>
      </c>
      <c r="Z2301">
        <v>3.562141E-3</v>
      </c>
      <c r="AA2301">
        <v>0.99798710000000002</v>
      </c>
      <c r="AB2301">
        <v>41</v>
      </c>
      <c r="AC2301">
        <v>-0.70329999999995596</v>
      </c>
      <c r="AD2301">
        <v>-7.7402999999999805E-2</v>
      </c>
      <c r="AE2301">
        <v>5.4300000000011998E-2</v>
      </c>
      <c r="AF2301">
        <v>5.7434068520466501E-2</v>
      </c>
      <c r="AG2301">
        <v>-7.7402999999999805E-2</v>
      </c>
      <c r="AH2301">
        <v>0.69463029910067597</v>
      </c>
      <c r="AI2301">
        <v>96.336820414907805</v>
      </c>
      <c r="AJ2301">
        <v>85.273368649558407</v>
      </c>
      <c r="AK2301">
        <v>0.70128535494797595</v>
      </c>
      <c r="AL2301">
        <v>67.919480994530502</v>
      </c>
      <c r="AM2301">
        <v>92.356378302168594</v>
      </c>
      <c r="AN2301">
        <v>0.99999996084467502</v>
      </c>
    </row>
    <row r="2302" spans="1:40" x14ac:dyDescent="0.25">
      <c r="A2302" t="str">
        <f>"20190304164900087"</f>
        <v>20190304164900087</v>
      </c>
      <c r="B2302" t="str">
        <f>"1551689340077870"</f>
        <v>1551689340077870</v>
      </c>
      <c r="C2302" t="s">
        <v>40</v>
      </c>
      <c r="D2302">
        <v>4.2450799999999997</v>
      </c>
      <c r="E2302">
        <v>0.55675319999999995</v>
      </c>
      <c r="F2302" t="s">
        <v>41</v>
      </c>
      <c r="G2302">
        <v>-321.25709999999998</v>
      </c>
      <c r="H2302">
        <v>1.0201910000000001</v>
      </c>
      <c r="I2302">
        <v>284.77999999999997</v>
      </c>
      <c r="J2302">
        <v>-320.40629999999999</v>
      </c>
      <c r="K2302">
        <v>1.1110819999999999</v>
      </c>
      <c r="L2302">
        <v>284.71589999999998</v>
      </c>
      <c r="M2302">
        <v>-0.99986819999999998</v>
      </c>
      <c r="N2302">
        <v>-1.5245180000000001E-2</v>
      </c>
      <c r="O2302">
        <v>-5.6059119999999898E-3</v>
      </c>
      <c r="P2302">
        <v>-0.93126310000000001</v>
      </c>
      <c r="Q2302">
        <v>0.36185410000000001</v>
      </c>
      <c r="R2302">
        <v>-4.2553779999999999E-2</v>
      </c>
      <c r="S2302">
        <v>-3.3411249999999999</v>
      </c>
      <c r="T2302">
        <v>-0.28500510000000001</v>
      </c>
      <c r="U2302">
        <v>0.1957092</v>
      </c>
      <c r="V2302">
        <v>-3.76528E-2</v>
      </c>
      <c r="W2302">
        <v>0.3759808</v>
      </c>
      <c r="X2302">
        <v>0.92586210000000002</v>
      </c>
      <c r="Y2302">
        <v>6.378557E-2</v>
      </c>
      <c r="Z2302">
        <v>3.5926460000000001E-3</v>
      </c>
      <c r="AA2302">
        <v>0.99795719999999999</v>
      </c>
      <c r="AB2302">
        <v>41</v>
      </c>
      <c r="AC2302">
        <v>-0.85079999999999201</v>
      </c>
      <c r="AD2302">
        <v>-9.0890999999999805E-2</v>
      </c>
      <c r="AE2302">
        <v>6.4099999999996202E-2</v>
      </c>
      <c r="AF2302">
        <v>6.8096283072552902E-2</v>
      </c>
      <c r="AG2302">
        <v>-9.0890999999999805E-2</v>
      </c>
      <c r="AH2302">
        <v>0.84088468404271499</v>
      </c>
      <c r="AI2302">
        <v>96.149159085717201</v>
      </c>
      <c r="AJ2302">
        <v>85.370192742939494</v>
      </c>
      <c r="AK2302">
        <v>0.84851949270886695</v>
      </c>
      <c r="AL2302">
        <v>67.915053871393198</v>
      </c>
      <c r="AM2302">
        <v>92.328811580600799</v>
      </c>
      <c r="AN2302">
        <v>0.99999996176644401</v>
      </c>
    </row>
    <row r="2303" spans="1:40" x14ac:dyDescent="0.25">
      <c r="A2303" t="str">
        <f>"20190304164900099"</f>
        <v>20190304164900099</v>
      </c>
      <c r="B2303" t="str">
        <f>"1551689340088606"</f>
        <v>1551689340088606</v>
      </c>
      <c r="C2303" t="s">
        <v>40</v>
      </c>
      <c r="D2303">
        <v>4.260561</v>
      </c>
      <c r="E2303">
        <v>0.55670739999999996</v>
      </c>
      <c r="F2303" t="s">
        <v>41</v>
      </c>
      <c r="G2303">
        <v>-321.26580000000001</v>
      </c>
      <c r="H2303">
        <v>1.037871</v>
      </c>
      <c r="I2303">
        <v>284.76670000000001</v>
      </c>
      <c r="J2303">
        <v>-320.61180000000002</v>
      </c>
      <c r="K2303">
        <v>1.1110799999999901</v>
      </c>
      <c r="L2303">
        <v>284.71460000000002</v>
      </c>
      <c r="M2303">
        <v>-0.99986730000000001</v>
      </c>
      <c r="N2303">
        <v>-1.524301E-2</v>
      </c>
      <c r="O2303">
        <v>-5.7641649999999999E-3</v>
      </c>
      <c r="P2303">
        <v>-0.93129220000000001</v>
      </c>
      <c r="Q2303">
        <v>0.3618267</v>
      </c>
      <c r="R2303">
        <v>-4.2148320000000003E-2</v>
      </c>
      <c r="S2303">
        <v>-3.3410639999999998</v>
      </c>
      <c r="T2303">
        <v>-0.28482390000000002</v>
      </c>
      <c r="U2303">
        <v>0.1959534</v>
      </c>
      <c r="V2303">
        <v>-3.7098310000000002E-2</v>
      </c>
      <c r="W2303">
        <v>0.37595250000000002</v>
      </c>
      <c r="X2303">
        <v>0.92589600000000005</v>
      </c>
      <c r="Y2303">
        <v>6.4016229999999993E-2</v>
      </c>
      <c r="Z2303">
        <v>3.613238E-3</v>
      </c>
      <c r="AA2303">
        <v>0.99794229999999995</v>
      </c>
      <c r="AB2303">
        <v>41</v>
      </c>
      <c r="AC2303">
        <v>-0.65399999999999603</v>
      </c>
      <c r="AD2303">
        <v>-7.3208999999999802E-2</v>
      </c>
      <c r="AE2303">
        <v>5.2099999999995802E-2</v>
      </c>
      <c r="AF2303">
        <v>5.5182227483857198E-2</v>
      </c>
      <c r="AG2303">
        <v>-7.3208999999999802E-2</v>
      </c>
      <c r="AH2303">
        <v>0.64564940108931201</v>
      </c>
      <c r="AI2303">
        <v>96.445733257459693</v>
      </c>
      <c r="AJ2303">
        <v>85.114927993743294</v>
      </c>
      <c r="AK2303">
        <v>0.65212558992732905</v>
      </c>
      <c r="AL2303">
        <v>67.916804259381394</v>
      </c>
      <c r="AM2303">
        <v>92.294469590614199</v>
      </c>
      <c r="AN2303">
        <v>0.99999998483855301</v>
      </c>
    </row>
    <row r="2304" spans="1:40" x14ac:dyDescent="0.25">
      <c r="A2304" t="str">
        <f>"20190304164900111"</f>
        <v>20190304164900111</v>
      </c>
      <c r="B2304" t="str">
        <f>"1551689340098365"</f>
        <v>1551689340098365</v>
      </c>
      <c r="C2304" t="s">
        <v>40</v>
      </c>
      <c r="D2304">
        <v>4.21305</v>
      </c>
      <c r="E2304">
        <v>0.55665450000000005</v>
      </c>
      <c r="F2304" t="s">
        <v>41</v>
      </c>
      <c r="G2304">
        <v>-321.6284</v>
      </c>
      <c r="H2304">
        <v>1.0244390000000001</v>
      </c>
      <c r="I2304">
        <v>284.77460000000002</v>
      </c>
      <c r="J2304">
        <v>-320.82690000000002</v>
      </c>
      <c r="K2304">
        <v>1.1110789999999999</v>
      </c>
      <c r="L2304">
        <v>284.71319999999997</v>
      </c>
      <c r="M2304">
        <v>-0.99986629999999999</v>
      </c>
      <c r="N2304">
        <v>-1.5240709999999999E-2</v>
      </c>
      <c r="O2304">
        <v>-5.9298090000000003E-3</v>
      </c>
      <c r="P2304">
        <v>-0.93124499999999999</v>
      </c>
      <c r="Q2304">
        <v>0.36201270000000002</v>
      </c>
      <c r="R2304">
        <v>-4.1588420000000001E-2</v>
      </c>
      <c r="S2304">
        <v>-3.3408809999999902</v>
      </c>
      <c r="T2304">
        <v>-0.28474680000000002</v>
      </c>
      <c r="U2304">
        <v>0.1968384</v>
      </c>
      <c r="V2304">
        <v>-3.6383220000000001E-2</v>
      </c>
      <c r="W2304">
        <v>0.37613669999999999</v>
      </c>
      <c r="X2304">
        <v>0.92584960000000005</v>
      </c>
      <c r="Y2304">
        <v>6.4446080000000003E-2</v>
      </c>
      <c r="Z2304">
        <v>3.645583E-3</v>
      </c>
      <c r="AA2304">
        <v>0.99791459999999998</v>
      </c>
      <c r="AB2304">
        <v>41</v>
      </c>
      <c r="AC2304">
        <v>-0.80149999999997501</v>
      </c>
      <c r="AD2304">
        <v>-8.6640000000000203E-2</v>
      </c>
      <c r="AE2304">
        <v>6.14000000000487E-2</v>
      </c>
      <c r="AF2304">
        <v>6.5392558156014302E-2</v>
      </c>
      <c r="AG2304">
        <v>-8.6640000000000203E-2</v>
      </c>
      <c r="AH2304">
        <v>0.79192212720331201</v>
      </c>
      <c r="AI2304">
        <v>96.222584250323493</v>
      </c>
      <c r="AJ2304">
        <v>85.279540228768695</v>
      </c>
      <c r="AK2304">
        <v>0.79932679913562699</v>
      </c>
      <c r="AL2304">
        <v>67.905415167001095</v>
      </c>
      <c r="AM2304">
        <v>92.250401020363299</v>
      </c>
      <c r="AN2304">
        <v>1.0000000188022999</v>
      </c>
    </row>
    <row r="2305" spans="1:40" x14ac:dyDescent="0.25">
      <c r="A2305" t="str">
        <f>"20190304164900122"</f>
        <v>20190304164900122</v>
      </c>
      <c r="B2305" t="str">
        <f>"1551689340117885"</f>
        <v>1551689340117885</v>
      </c>
      <c r="C2305" t="s">
        <v>40</v>
      </c>
      <c r="D2305">
        <v>4.230086</v>
      </c>
      <c r="E2305">
        <v>0.55656629999999996</v>
      </c>
      <c r="F2305" t="s">
        <v>41</v>
      </c>
      <c r="G2305">
        <v>-321.63729999999998</v>
      </c>
      <c r="H2305">
        <v>1.0422549999999999</v>
      </c>
      <c r="I2305">
        <v>284.76139999999998</v>
      </c>
      <c r="J2305">
        <v>-321.03050000000002</v>
      </c>
      <c r="K2305">
        <v>1.111075</v>
      </c>
      <c r="L2305">
        <v>284.71190000000001</v>
      </c>
      <c r="M2305">
        <v>-0.99986540000000002</v>
      </c>
      <c r="N2305">
        <v>-1.52385E-2</v>
      </c>
      <c r="O2305">
        <v>-6.0868729999999996E-3</v>
      </c>
      <c r="P2305">
        <v>-0.93129989999999996</v>
      </c>
      <c r="Q2305">
        <v>0.361898</v>
      </c>
      <c r="R2305">
        <v>-4.1360769999999998E-2</v>
      </c>
      <c r="S2305">
        <v>-3.3406370000000001</v>
      </c>
      <c r="T2305">
        <v>-0.28375260000000002</v>
      </c>
      <c r="U2305">
        <v>0.19799800000000001</v>
      </c>
      <c r="V2305">
        <v>-3.6007579999999997E-2</v>
      </c>
      <c r="W2305">
        <v>0.37602099999999999</v>
      </c>
      <c r="X2305">
        <v>0.92591120000000005</v>
      </c>
      <c r="Y2305">
        <v>6.4951659999999994E-2</v>
      </c>
      <c r="Z2305">
        <v>3.6706389999999998E-3</v>
      </c>
      <c r="AA2305">
        <v>0.99788169999999998</v>
      </c>
      <c r="AB2305">
        <v>41</v>
      </c>
      <c r="AC2305">
        <v>-0.60679999999996403</v>
      </c>
      <c r="AD2305">
        <v>-6.8820000000000103E-2</v>
      </c>
      <c r="AE2305">
        <v>4.94999999999663E-2</v>
      </c>
      <c r="AF2305">
        <v>5.2521909105846497E-2</v>
      </c>
      <c r="AG2305">
        <v>-6.8820000000000103E-2</v>
      </c>
      <c r="AH2305">
        <v>0.59883559078390702</v>
      </c>
      <c r="AI2305">
        <v>96.5309900602808</v>
      </c>
      <c r="AJ2305">
        <v>84.987601079466302</v>
      </c>
      <c r="AK2305">
        <v>0.60506099537619695</v>
      </c>
      <c r="AL2305">
        <v>67.912567772348396</v>
      </c>
      <c r="AM2305">
        <v>92.2270421617593</v>
      </c>
      <c r="AN2305">
        <v>0.99999994427194605</v>
      </c>
    </row>
    <row r="2306" spans="1:40" x14ac:dyDescent="0.25">
      <c r="A2306" t="str">
        <f>"20190304164900133"</f>
        <v>20190304164900133</v>
      </c>
      <c r="B2306" t="str">
        <f>"1551689340128622"</f>
        <v>1551689340128622</v>
      </c>
      <c r="C2306" t="s">
        <v>40</v>
      </c>
      <c r="D2306">
        <v>4.227182</v>
      </c>
      <c r="E2306">
        <v>0.55652480000000004</v>
      </c>
      <c r="F2306" t="s">
        <v>41</v>
      </c>
      <c r="G2306">
        <v>-321.99950000000001</v>
      </c>
      <c r="H2306">
        <v>1.0287770000000001</v>
      </c>
      <c r="I2306">
        <v>284.7697</v>
      </c>
      <c r="J2306">
        <v>-321.23689999999999</v>
      </c>
      <c r="K2306">
        <v>1.1110719999999901</v>
      </c>
      <c r="L2306">
        <v>284.71050000000002</v>
      </c>
      <c r="M2306">
        <v>-0.99986459999999999</v>
      </c>
      <c r="N2306">
        <v>-1.523626E-2</v>
      </c>
      <c r="O2306">
        <v>-6.2462029999999997E-3</v>
      </c>
      <c r="P2306">
        <v>-0.93132479999999995</v>
      </c>
      <c r="Q2306">
        <v>0.36188029999999999</v>
      </c>
      <c r="R2306">
        <v>-4.0952830000000003E-2</v>
      </c>
      <c r="S2306">
        <v>-3.3404539999999998</v>
      </c>
      <c r="T2306">
        <v>-0.28392260000000002</v>
      </c>
      <c r="U2306">
        <v>0.19839480000000001</v>
      </c>
      <c r="V2306">
        <v>-3.5449790000000002E-2</v>
      </c>
      <c r="W2306">
        <v>0.37600240000000001</v>
      </c>
      <c r="X2306">
        <v>0.92594030000000005</v>
      </c>
      <c r="Y2306">
        <v>6.5230070000000001E-2</v>
      </c>
      <c r="Z2306">
        <v>3.6977120000000001E-3</v>
      </c>
      <c r="AA2306">
        <v>0.99786339999999996</v>
      </c>
      <c r="AB2306">
        <v>41</v>
      </c>
      <c r="AC2306">
        <v>-0.76260000000002004</v>
      </c>
      <c r="AD2306">
        <v>-8.2294999999999702E-2</v>
      </c>
      <c r="AE2306">
        <v>5.9199999999975703E-2</v>
      </c>
      <c r="AF2306">
        <v>6.3230815968373794E-2</v>
      </c>
      <c r="AG2306">
        <v>-8.2294999999999702E-2</v>
      </c>
      <c r="AH2306">
        <v>0.75349315731413202</v>
      </c>
      <c r="AI2306">
        <v>96.211363475712005</v>
      </c>
      <c r="AJ2306">
        <v>85.203154146246902</v>
      </c>
      <c r="AK2306">
        <v>0.76060669286579696</v>
      </c>
      <c r="AL2306">
        <v>67.913718374534</v>
      </c>
      <c r="AM2306">
        <v>92.192508358381005</v>
      </c>
      <c r="AN2306">
        <v>0.99999996579044603</v>
      </c>
    </row>
    <row r="2307" spans="1:40" x14ac:dyDescent="0.25">
      <c r="A2307" t="str">
        <f>"20190304164900144"</f>
        <v>20190304164900144</v>
      </c>
      <c r="B2307" t="str">
        <f>"1551689340138381"</f>
        <v>1551689340138381</v>
      </c>
      <c r="C2307" t="s">
        <v>40</v>
      </c>
      <c r="D2307">
        <v>4.2073549999999997</v>
      </c>
      <c r="E2307">
        <v>0.55648790000000004</v>
      </c>
      <c r="F2307" t="s">
        <v>41</v>
      </c>
      <c r="G2307">
        <v>-322.00909999999999</v>
      </c>
      <c r="H2307">
        <v>1.045474</v>
      </c>
      <c r="I2307">
        <v>284.75689999999997</v>
      </c>
      <c r="J2307">
        <v>-321.4348</v>
      </c>
      <c r="K2307">
        <v>1.1110719999999901</v>
      </c>
      <c r="L2307">
        <v>284.70920000000001</v>
      </c>
      <c r="M2307">
        <v>-0.99986359999999996</v>
      </c>
      <c r="N2307">
        <v>-1.5233969999999999E-2</v>
      </c>
      <c r="O2307">
        <v>-6.3985079999999998E-3</v>
      </c>
      <c r="P2307">
        <v>-0.9313167</v>
      </c>
      <c r="Q2307">
        <v>0.36193500000000001</v>
      </c>
      <c r="R2307">
        <v>-4.0650360000000003E-2</v>
      </c>
      <c r="S2307">
        <v>-3.3403019999999999</v>
      </c>
      <c r="T2307">
        <v>-0.28397879999999998</v>
      </c>
      <c r="U2307">
        <v>0.19958500000000001</v>
      </c>
      <c r="V2307">
        <v>-3.5004809999999997E-2</v>
      </c>
      <c r="W2307">
        <v>0.37605499999999997</v>
      </c>
      <c r="X2307">
        <v>0.92593590000000003</v>
      </c>
      <c r="Y2307">
        <v>6.5736409999999995E-2</v>
      </c>
      <c r="Z2307">
        <v>3.734359E-3</v>
      </c>
      <c r="AA2307">
        <v>0.99782999999999999</v>
      </c>
      <c r="AB2307">
        <v>41</v>
      </c>
      <c r="AC2307">
        <v>-0.57429999999999304</v>
      </c>
      <c r="AD2307">
        <v>-6.5597999999999795E-2</v>
      </c>
      <c r="AE2307">
        <v>4.7699999999963397E-2</v>
      </c>
      <c r="AF2307">
        <v>5.0716952705369002E-2</v>
      </c>
      <c r="AG2307">
        <v>-6.5597999999999795E-2</v>
      </c>
      <c r="AH2307">
        <v>0.56664080561673302</v>
      </c>
      <c r="AI2307">
        <v>96.577472362054294</v>
      </c>
      <c r="AJ2307">
        <v>84.885393544982904</v>
      </c>
      <c r="AK2307">
        <v>0.57267539626362396</v>
      </c>
      <c r="AL2307">
        <v>67.910466598568306</v>
      </c>
      <c r="AM2307">
        <v>92.165023747039001</v>
      </c>
      <c r="AN2307">
        <v>0.99999999532847295</v>
      </c>
    </row>
    <row r="2308" spans="1:40" x14ac:dyDescent="0.25">
      <c r="A2308" t="str">
        <f>"20190304164900155"</f>
        <v>20190304164900155</v>
      </c>
      <c r="B2308" t="str">
        <f>"1551689340148141"</f>
        <v>1551689340148141</v>
      </c>
      <c r="C2308" t="s">
        <v>40</v>
      </c>
      <c r="D2308">
        <v>4.1879390000000001</v>
      </c>
      <c r="E2308">
        <v>0.55644859999999996</v>
      </c>
      <c r="F2308" t="s">
        <v>41</v>
      </c>
      <c r="G2308">
        <v>-322.36939999999998</v>
      </c>
      <c r="H2308">
        <v>1.0317889999999901</v>
      </c>
      <c r="I2308">
        <v>284.7654</v>
      </c>
      <c r="J2308">
        <v>-321.65809999999999</v>
      </c>
      <c r="K2308">
        <v>1.1110789999999999</v>
      </c>
      <c r="L2308">
        <v>284.70760000000001</v>
      </c>
      <c r="M2308">
        <v>-0.99986240000000004</v>
      </c>
      <c r="N2308">
        <v>-1.5231359999999999E-2</v>
      </c>
      <c r="O2308">
        <v>-6.5703609999999898E-3</v>
      </c>
      <c r="P2308">
        <v>-0.93126869999999995</v>
      </c>
      <c r="Q2308">
        <v>0.36210379999999998</v>
      </c>
      <c r="R2308">
        <v>-4.024407E-2</v>
      </c>
      <c r="S2308">
        <v>-3.340179</v>
      </c>
      <c r="T2308">
        <v>-0.28336860000000003</v>
      </c>
      <c r="U2308">
        <v>0.2008972</v>
      </c>
      <c r="V2308">
        <v>-3.443802E-2</v>
      </c>
      <c r="W2308">
        <v>0.37622159999999999</v>
      </c>
      <c r="X2308">
        <v>0.92588950000000003</v>
      </c>
      <c r="Y2308">
        <v>6.6299070000000002E-2</v>
      </c>
      <c r="Z2308">
        <v>3.767276E-3</v>
      </c>
      <c r="AA2308">
        <v>0.99779269999999998</v>
      </c>
      <c r="AB2308">
        <v>41</v>
      </c>
      <c r="AC2308">
        <v>-0.71129999999999405</v>
      </c>
      <c r="AD2308">
        <v>-7.9290000000000305E-2</v>
      </c>
      <c r="AE2308">
        <v>5.7799999999986001E-2</v>
      </c>
      <c r="AF2308">
        <v>6.17110016491055E-2</v>
      </c>
      <c r="AG2308">
        <v>-7.9290000000000305E-2</v>
      </c>
      <c r="AH2308">
        <v>0.70223608989667896</v>
      </c>
      <c r="AI2308">
        <v>96.417501026046907</v>
      </c>
      <c r="AJ2308">
        <v>84.977871076567695</v>
      </c>
      <c r="AK2308">
        <v>0.70938753708950397</v>
      </c>
      <c r="AL2308">
        <v>67.900165102013503</v>
      </c>
      <c r="AM2308">
        <v>92.130107369307396</v>
      </c>
      <c r="AN2308">
        <v>1.0000000178691599</v>
      </c>
    </row>
    <row r="2309" spans="1:40" x14ac:dyDescent="0.25">
      <c r="A2309" t="str">
        <f>"20190304164900168"</f>
        <v>20190304164900168</v>
      </c>
      <c r="B2309" t="str">
        <f>"1551689340157901"</f>
        <v>1551689340157901</v>
      </c>
      <c r="C2309" t="s">
        <v>40</v>
      </c>
      <c r="D2309">
        <v>4.2106949999999896</v>
      </c>
      <c r="E2309">
        <v>0.55641689999999999</v>
      </c>
      <c r="F2309" t="s">
        <v>41</v>
      </c>
      <c r="G2309">
        <v>-322.73180000000002</v>
      </c>
      <c r="H2309">
        <v>1.0203089999999999</v>
      </c>
      <c r="I2309">
        <v>284.77280000000002</v>
      </c>
      <c r="J2309">
        <v>-321.88209999999998</v>
      </c>
      <c r="K2309">
        <v>1.1110799999999901</v>
      </c>
      <c r="L2309">
        <v>284.70600000000002</v>
      </c>
      <c r="M2309">
        <v>-0.99986129999999995</v>
      </c>
      <c r="N2309">
        <v>-1.5228749999999999E-2</v>
      </c>
      <c r="O2309">
        <v>-6.7428100000000001E-3</v>
      </c>
      <c r="P2309">
        <v>-0.93127110000000002</v>
      </c>
      <c r="Q2309">
        <v>0.36215849999999999</v>
      </c>
      <c r="R2309">
        <v>-3.9692789999999999E-2</v>
      </c>
      <c r="S2309">
        <v>-3.339966</v>
      </c>
      <c r="T2309">
        <v>-0.28244859999999999</v>
      </c>
      <c r="U2309">
        <v>0.20214840000000001</v>
      </c>
      <c r="V2309">
        <v>-3.3725539999999998E-2</v>
      </c>
      <c r="W2309">
        <v>0.3762741</v>
      </c>
      <c r="X2309">
        <v>0.92589440000000001</v>
      </c>
      <c r="Y2309">
        <v>6.684648E-2</v>
      </c>
      <c r="Z2309">
        <v>3.7957009999999998E-3</v>
      </c>
      <c r="AA2309">
        <v>0.99775610000000003</v>
      </c>
      <c r="AB2309">
        <v>41</v>
      </c>
      <c r="AC2309">
        <v>-0.84970000000004098</v>
      </c>
      <c r="AD2309">
        <v>-9.0770999999999893E-2</v>
      </c>
      <c r="AE2309">
        <v>6.6800000000057397E-2</v>
      </c>
      <c r="AF2309">
        <v>7.1715123021529895E-2</v>
      </c>
      <c r="AG2309">
        <v>-9.0770999999999893E-2</v>
      </c>
      <c r="AH2309">
        <v>0.83970631368243298</v>
      </c>
      <c r="AI2309">
        <v>96.147424735630295</v>
      </c>
      <c r="AJ2309">
        <v>85.118499171763204</v>
      </c>
      <c r="AK2309">
        <v>0.84763737915994097</v>
      </c>
      <c r="AL2309">
        <v>67.896918680845999</v>
      </c>
      <c r="AM2309">
        <v>92.086066400863203</v>
      </c>
      <c r="AN2309">
        <v>1.0000000251652299</v>
      </c>
    </row>
    <row r="2310" spans="1:40" x14ac:dyDescent="0.25">
      <c r="A2310" t="str">
        <f>"20190304164900182"</f>
        <v>20190304164900182</v>
      </c>
      <c r="B2310" t="str">
        <f>"1551689340178397"</f>
        <v>1551689340178397</v>
      </c>
      <c r="C2310" t="s">
        <v>40</v>
      </c>
      <c r="D2310">
        <v>4.185702</v>
      </c>
      <c r="E2310">
        <v>0.55634890000000004</v>
      </c>
      <c r="F2310" t="s">
        <v>41</v>
      </c>
      <c r="G2310">
        <v>-322.74079999999998</v>
      </c>
      <c r="H2310">
        <v>1.0385260000000001</v>
      </c>
      <c r="I2310">
        <v>284.7586</v>
      </c>
      <c r="J2310">
        <v>-322.13580000000002</v>
      </c>
      <c r="K2310">
        <v>1.111081</v>
      </c>
      <c r="L2310">
        <v>284.70409999999998</v>
      </c>
      <c r="M2310">
        <v>-0.99985999999999997</v>
      </c>
      <c r="N2310">
        <v>-1.5225829999999999E-2</v>
      </c>
      <c r="O2310">
        <v>-6.9381429999999999E-3</v>
      </c>
      <c r="P2310">
        <v>-0.93125789999999997</v>
      </c>
      <c r="Q2310">
        <v>0.36223490000000003</v>
      </c>
      <c r="R2310">
        <v>-3.9301339999999997E-2</v>
      </c>
      <c r="S2310">
        <v>-3.3399049999999999</v>
      </c>
      <c r="T2310">
        <v>-0.28239439999999999</v>
      </c>
      <c r="U2310">
        <v>0.20388790000000001</v>
      </c>
      <c r="V2310">
        <v>-3.3151390000000003E-2</v>
      </c>
      <c r="W2310">
        <v>0.37634840000000003</v>
      </c>
      <c r="X2310">
        <v>0.92588490000000001</v>
      </c>
      <c r="Y2310">
        <v>6.755688E-2</v>
      </c>
      <c r="Z2310">
        <v>3.8438740000000002E-3</v>
      </c>
      <c r="AA2310">
        <v>0.99770800000000004</v>
      </c>
      <c r="AB2310">
        <v>41</v>
      </c>
      <c r="AC2310">
        <v>-0.60499999999996101</v>
      </c>
      <c r="AD2310">
        <v>-7.2554999999999897E-2</v>
      </c>
      <c r="AE2310">
        <v>5.4500000000018603E-2</v>
      </c>
      <c r="AF2310">
        <v>5.7871139203122E-2</v>
      </c>
      <c r="AG2310">
        <v>-7.2554999999999897E-2</v>
      </c>
      <c r="AH2310">
        <v>0.59610302727739295</v>
      </c>
      <c r="AI2310">
        <v>96.907492083308199</v>
      </c>
      <c r="AJ2310">
        <v>84.454962743383007</v>
      </c>
      <c r="AK2310">
        <v>0.60328444029905104</v>
      </c>
      <c r="AL2310">
        <v>67.892323045917607</v>
      </c>
      <c r="AM2310">
        <v>92.050604412362006</v>
      </c>
      <c r="AN2310">
        <v>0.99999999044475096</v>
      </c>
    </row>
    <row r="2311" spans="1:40" x14ac:dyDescent="0.25">
      <c r="A2311" t="str">
        <f>"20190304164900199"</f>
        <v>20190304164900199</v>
      </c>
      <c r="B2311" t="str">
        <f>"1551689340188157"</f>
        <v>1551689340188157</v>
      </c>
      <c r="C2311" t="s">
        <v>40</v>
      </c>
      <c r="D2311">
        <v>4.2217779999999996</v>
      </c>
      <c r="E2311">
        <v>0.55632879999999996</v>
      </c>
      <c r="F2311" t="s">
        <v>41</v>
      </c>
      <c r="G2311">
        <v>-323.10390000000001</v>
      </c>
      <c r="H2311">
        <v>1.0294289999999999</v>
      </c>
      <c r="I2311">
        <v>284.7636</v>
      </c>
      <c r="J2311">
        <v>-322.45049999999998</v>
      </c>
      <c r="K2311">
        <v>1.111084</v>
      </c>
      <c r="L2311">
        <v>284.70179999999999</v>
      </c>
      <c r="M2311">
        <v>-0.99985849999999998</v>
      </c>
      <c r="N2311">
        <v>-1.5222279999999999E-2</v>
      </c>
      <c r="O2311">
        <v>-7.1805530000000001E-3</v>
      </c>
      <c r="P2311">
        <v>-0.9313188</v>
      </c>
      <c r="Q2311">
        <v>0.36220000000000002</v>
      </c>
      <c r="R2311">
        <v>-3.8166459999999999E-2</v>
      </c>
      <c r="S2311">
        <v>-3.3396910000000002</v>
      </c>
      <c r="T2311">
        <v>-0.28177400000000002</v>
      </c>
      <c r="U2311">
        <v>0.20498659999999999</v>
      </c>
      <c r="V2311">
        <v>-3.1789400000000002E-2</v>
      </c>
      <c r="W2311">
        <v>0.37631219999999999</v>
      </c>
      <c r="X2311">
        <v>0.92594739999999998</v>
      </c>
      <c r="Y2311">
        <v>6.8127880000000002E-2</v>
      </c>
      <c r="Z2311">
        <v>3.8815479999999999E-3</v>
      </c>
      <c r="AA2311">
        <v>0.99766900000000003</v>
      </c>
      <c r="AB2311">
        <v>41</v>
      </c>
      <c r="AC2311">
        <v>-0.65340000000003295</v>
      </c>
      <c r="AD2311">
        <v>-8.1654999999999797E-2</v>
      </c>
      <c r="AE2311">
        <v>6.1800000000005101E-2</v>
      </c>
      <c r="AF2311">
        <v>6.5477208983769894E-2</v>
      </c>
      <c r="AG2311">
        <v>-8.1654999999999797E-2</v>
      </c>
      <c r="AH2311">
        <v>0.64298663007066004</v>
      </c>
      <c r="AI2311">
        <v>97.200595050509307</v>
      </c>
      <c r="AJ2311">
        <v>84.185446792915897</v>
      </c>
      <c r="AK2311">
        <v>0.65144962228166803</v>
      </c>
      <c r="AL2311">
        <v>67.894562246430098</v>
      </c>
      <c r="AM2311">
        <v>91.966292415746295</v>
      </c>
      <c r="AN2311">
        <v>1.0000000126939701</v>
      </c>
    </row>
    <row r="2312" spans="1:40" x14ac:dyDescent="0.25">
      <c r="A2312" t="str">
        <f>"20190304164900210"</f>
        <v>20190304164900210</v>
      </c>
      <c r="B2312" t="str">
        <f>"1551689340198894"</f>
        <v>1551689340198894</v>
      </c>
      <c r="C2312" t="s">
        <v>40</v>
      </c>
      <c r="D2312">
        <v>4.2128610000000002</v>
      </c>
      <c r="E2312">
        <v>0.55629830000000002</v>
      </c>
      <c r="F2312" t="s">
        <v>41</v>
      </c>
      <c r="G2312">
        <v>-323.46910000000003</v>
      </c>
      <c r="H2312">
        <v>1.0251330000000001</v>
      </c>
      <c r="I2312">
        <v>284.76589999999999</v>
      </c>
      <c r="J2312">
        <v>-322.66640000000001</v>
      </c>
      <c r="K2312">
        <v>1.111084</v>
      </c>
      <c r="L2312">
        <v>284.70010000000002</v>
      </c>
      <c r="M2312">
        <v>-0.99985729999999995</v>
      </c>
      <c r="N2312">
        <v>-1.521988E-2</v>
      </c>
      <c r="O2312">
        <v>-7.3465700000000002E-3</v>
      </c>
      <c r="P2312">
        <v>-0.93135540000000006</v>
      </c>
      <c r="Q2312">
        <v>0.3621221</v>
      </c>
      <c r="R2312">
        <v>-3.8012940000000002E-2</v>
      </c>
      <c r="S2312">
        <v>-3.3394780000000002</v>
      </c>
      <c r="T2312">
        <v>-0.28200920000000002</v>
      </c>
      <c r="U2312">
        <v>0.20916750000000001</v>
      </c>
      <c r="V2312">
        <v>-3.1480090000000002E-2</v>
      </c>
      <c r="W2312">
        <v>0.3762335</v>
      </c>
      <c r="X2312">
        <v>0.92598990000000003</v>
      </c>
      <c r="Y2312">
        <v>6.9534849999999995E-2</v>
      </c>
      <c r="Z2312">
        <v>3.9659300000000003E-3</v>
      </c>
      <c r="AA2312">
        <v>0.9975716</v>
      </c>
      <c r="AB2312">
        <v>41</v>
      </c>
      <c r="AC2312">
        <v>-0.80270000000001496</v>
      </c>
      <c r="AD2312">
        <v>-8.5950999999999805E-2</v>
      </c>
      <c r="AE2312">
        <v>6.5799999999967398E-2</v>
      </c>
      <c r="AF2312">
        <v>7.0888645024201002E-2</v>
      </c>
      <c r="AG2312">
        <v>-8.5950999999999805E-2</v>
      </c>
      <c r="AH2312">
        <v>0.79316153085281005</v>
      </c>
      <c r="AI2312">
        <v>96.1603619302293</v>
      </c>
      <c r="AJ2312">
        <v>84.892771506038201</v>
      </c>
      <c r="AK2312">
        <v>0.80094818085762598</v>
      </c>
      <c r="AL2312">
        <v>67.899428071696093</v>
      </c>
      <c r="AM2312">
        <v>91.947085943378198</v>
      </c>
      <c r="AN2312">
        <v>0.99999996874533303</v>
      </c>
    </row>
    <row r="2313" spans="1:40" x14ac:dyDescent="0.25">
      <c r="A2313" t="str">
        <f>"20190304164900224"</f>
        <v>20190304164900224</v>
      </c>
      <c r="B2313" t="str">
        <f>"1551689340218414"</f>
        <v>1551689340218414</v>
      </c>
      <c r="C2313" t="s">
        <v>40</v>
      </c>
      <c r="D2313">
        <v>4.1831250000000004</v>
      </c>
      <c r="E2313">
        <v>0.55624189999999996</v>
      </c>
      <c r="F2313" t="s">
        <v>41</v>
      </c>
      <c r="G2313">
        <v>-323.4776</v>
      </c>
      <c r="H2313">
        <v>1.0425770000000001</v>
      </c>
      <c r="I2313">
        <v>284.75150000000002</v>
      </c>
      <c r="J2313">
        <v>-322.8947</v>
      </c>
      <c r="K2313">
        <v>1.111081</v>
      </c>
      <c r="L2313">
        <v>284.69819999999999</v>
      </c>
      <c r="M2313">
        <v>-0.99985610000000003</v>
      </c>
      <c r="N2313">
        <v>-1.5217390000000001E-2</v>
      </c>
      <c r="O2313">
        <v>-7.5223599999999996E-3</v>
      </c>
      <c r="P2313">
        <v>-0.93139850000000002</v>
      </c>
      <c r="Q2313">
        <v>0.3620777</v>
      </c>
      <c r="R2313">
        <v>-3.737853E-2</v>
      </c>
      <c r="S2313">
        <v>-3.3394780000000002</v>
      </c>
      <c r="T2313">
        <v>-0.28231859999999998</v>
      </c>
      <c r="U2313">
        <v>0.210144</v>
      </c>
      <c r="V2313">
        <v>-3.0680610000000001E-2</v>
      </c>
      <c r="W2313">
        <v>0.37618800000000002</v>
      </c>
      <c r="X2313">
        <v>0.92603519999999995</v>
      </c>
      <c r="Y2313">
        <v>6.9997809999999994E-2</v>
      </c>
      <c r="Z2313">
        <v>4.0049170000000002E-3</v>
      </c>
      <c r="AA2313">
        <v>0.99753910000000001</v>
      </c>
      <c r="AB2313">
        <v>41</v>
      </c>
      <c r="AC2313">
        <v>-0.58289999999999498</v>
      </c>
      <c r="AD2313">
        <v>-6.8503999999999898E-2</v>
      </c>
      <c r="AE2313">
        <v>5.3300000000035597E-2</v>
      </c>
      <c r="AF2313">
        <v>5.6904359277787302E-2</v>
      </c>
      <c r="AG2313">
        <v>-6.8503999999999898E-2</v>
      </c>
      <c r="AH2313">
        <v>0.57461201541598805</v>
      </c>
      <c r="AI2313">
        <v>96.765804146509197</v>
      </c>
      <c r="AJ2313">
        <v>84.344386299007297</v>
      </c>
      <c r="AK2313">
        <v>0.58147215959256304</v>
      </c>
      <c r="AL2313">
        <v>67.902241334905398</v>
      </c>
      <c r="AM2313">
        <v>91.897580891668895</v>
      </c>
      <c r="AN2313">
        <v>0.999999951406504</v>
      </c>
    </row>
    <row r="2314" spans="1:40" x14ac:dyDescent="0.25">
      <c r="A2314" t="str">
        <f>"20190304164900235"</f>
        <v>20190304164900235</v>
      </c>
      <c r="B2314" t="str">
        <f>"1551689340228174"</f>
        <v>1551689340228174</v>
      </c>
      <c r="C2314" t="s">
        <v>40</v>
      </c>
      <c r="D2314">
        <v>4.197889</v>
      </c>
      <c r="E2314">
        <v>0.55622950000000004</v>
      </c>
      <c r="F2314" t="s">
        <v>41</v>
      </c>
      <c r="G2314">
        <v>-323.83879999999999</v>
      </c>
      <c r="H2314">
        <v>1.031247</v>
      </c>
      <c r="I2314">
        <v>284.75819999999999</v>
      </c>
      <c r="J2314">
        <v>-323.12270000000001</v>
      </c>
      <c r="K2314">
        <v>1.1110789999999999</v>
      </c>
      <c r="L2314">
        <v>284.69639999999998</v>
      </c>
      <c r="M2314">
        <v>-0.99985469999999999</v>
      </c>
      <c r="N2314">
        <v>-1.521493E-2</v>
      </c>
      <c r="O2314">
        <v>-7.697794E-3</v>
      </c>
      <c r="P2314">
        <v>-0.9313766</v>
      </c>
      <c r="Q2314">
        <v>0.36217179999999999</v>
      </c>
      <c r="R2314">
        <v>-3.7003290000000001E-2</v>
      </c>
      <c r="S2314">
        <v>-3.3392330000000001</v>
      </c>
      <c r="T2314">
        <v>-0.28244229999999998</v>
      </c>
      <c r="U2314">
        <v>0.21179200000000001</v>
      </c>
      <c r="V2314">
        <v>-3.014199E-2</v>
      </c>
      <c r="W2314">
        <v>0.37628030000000001</v>
      </c>
      <c r="X2314">
        <v>0.92601540000000004</v>
      </c>
      <c r="Y2314">
        <v>7.0664229999999995E-2</v>
      </c>
      <c r="Z2314">
        <v>4.0519589999999999E-3</v>
      </c>
      <c r="AA2314">
        <v>0.99749200000000005</v>
      </c>
      <c r="AB2314">
        <v>41</v>
      </c>
      <c r="AC2314">
        <v>-0.71609999999998297</v>
      </c>
      <c r="AD2314">
        <v>-7.9832000000000097E-2</v>
      </c>
      <c r="AE2314">
        <v>6.1800000000005101E-2</v>
      </c>
      <c r="AF2314">
        <v>6.6490945787652397E-2</v>
      </c>
      <c r="AG2314">
        <v>-7.9832000000000097E-2</v>
      </c>
      <c r="AH2314">
        <v>0.70688269878120003</v>
      </c>
      <c r="AI2314">
        <v>96.415333574433504</v>
      </c>
      <c r="AJ2314">
        <v>84.626443255298497</v>
      </c>
      <c r="AK2314">
        <v>0.71447697228947105</v>
      </c>
      <c r="AL2314">
        <v>67.8965338080843</v>
      </c>
      <c r="AM2314">
        <v>91.8643310570734</v>
      </c>
      <c r="AN2314">
        <v>0.99999996238320399</v>
      </c>
    </row>
    <row r="2315" spans="1:40" x14ac:dyDescent="0.25">
      <c r="A2315" t="str">
        <f>"20190304164900246"</f>
        <v>20190304164900246</v>
      </c>
      <c r="B2315" t="str">
        <f>"1551689340237933"</f>
        <v>1551689340237933</v>
      </c>
      <c r="C2315" t="s">
        <v>40</v>
      </c>
      <c r="D2315">
        <v>4.2132740000000002</v>
      </c>
      <c r="E2315">
        <v>0.55621699999999996</v>
      </c>
      <c r="F2315" t="s">
        <v>41</v>
      </c>
      <c r="G2315">
        <v>-324.19990000000001</v>
      </c>
      <c r="H2315">
        <v>1.0202290000000001</v>
      </c>
      <c r="I2315">
        <v>284.76560000000001</v>
      </c>
      <c r="J2315">
        <v>-323.3304</v>
      </c>
      <c r="K2315">
        <v>1.1110789999999999</v>
      </c>
      <c r="L2315">
        <v>284.69470000000001</v>
      </c>
      <c r="M2315">
        <v>-0.9998534</v>
      </c>
      <c r="N2315">
        <v>-1.521258E-2</v>
      </c>
      <c r="O2315">
        <v>-7.8578529999999997E-3</v>
      </c>
      <c r="P2315">
        <v>-0.93141390000000002</v>
      </c>
      <c r="Q2315">
        <v>0.36212650000000002</v>
      </c>
      <c r="R2315">
        <v>-3.6502090000000001E-2</v>
      </c>
      <c r="S2315">
        <v>-3.3391109999999999</v>
      </c>
      <c r="T2315">
        <v>-0.28186919999999999</v>
      </c>
      <c r="U2315">
        <v>0.21353150000000001</v>
      </c>
      <c r="V2315">
        <v>-2.9490849999999999E-2</v>
      </c>
      <c r="W2315">
        <v>0.37623400000000001</v>
      </c>
      <c r="X2315">
        <v>0.92605530000000003</v>
      </c>
      <c r="Y2315">
        <v>7.1341710000000003E-2</v>
      </c>
      <c r="Z2315">
        <v>4.0893630000000004E-3</v>
      </c>
      <c r="AA2315">
        <v>0.99744359999999999</v>
      </c>
      <c r="AB2315">
        <v>41</v>
      </c>
      <c r="AC2315">
        <v>-0.86950000000001604</v>
      </c>
      <c r="AD2315">
        <v>-9.0850000000000097E-2</v>
      </c>
      <c r="AE2315">
        <v>7.0899999999994606E-2</v>
      </c>
      <c r="AF2315">
        <v>7.6897050072846695E-2</v>
      </c>
      <c r="AG2315">
        <v>-9.0850000000000097E-2</v>
      </c>
      <c r="AH2315">
        <v>0.85959360418478004</v>
      </c>
      <c r="AI2315">
        <v>96.009342856174101</v>
      </c>
      <c r="AJ2315">
        <v>84.888073104583398</v>
      </c>
      <c r="AK2315">
        <v>0.86779493151624598</v>
      </c>
      <c r="AL2315">
        <v>67.899399643272801</v>
      </c>
      <c r="AM2315">
        <v>91.824005958374897</v>
      </c>
      <c r="AN2315">
        <v>1.0000000758239</v>
      </c>
    </row>
    <row r="2316" spans="1:40" x14ac:dyDescent="0.25">
      <c r="A2316" t="str">
        <f>"20190304164900258"</f>
        <v>20190304164900258</v>
      </c>
      <c r="B2316" t="str">
        <f>"1551689340248670"</f>
        <v>1551689340248670</v>
      </c>
      <c r="C2316" t="s">
        <v>40</v>
      </c>
      <c r="D2316">
        <v>4.1967109999999996</v>
      </c>
      <c r="E2316">
        <v>0.55619099999999999</v>
      </c>
      <c r="F2316" t="s">
        <v>41</v>
      </c>
      <c r="G2316">
        <v>-324.2081</v>
      </c>
      <c r="H2316">
        <v>1.037072</v>
      </c>
      <c r="I2316">
        <v>284.75170000000003</v>
      </c>
      <c r="J2316">
        <v>-323.5324</v>
      </c>
      <c r="K2316">
        <v>1.1110770000000001</v>
      </c>
      <c r="L2316">
        <v>284.69290000000001</v>
      </c>
      <c r="M2316">
        <v>-0.99985239999999997</v>
      </c>
      <c r="N2316">
        <v>-1.521029E-2</v>
      </c>
      <c r="O2316">
        <v>-8.0135019999999901E-3</v>
      </c>
      <c r="P2316">
        <v>-0.93144490000000002</v>
      </c>
      <c r="Q2316">
        <v>0.36207719999999999</v>
      </c>
      <c r="R2316">
        <v>-3.620313E-2</v>
      </c>
      <c r="S2316">
        <v>-3.3389280000000001</v>
      </c>
      <c r="T2316">
        <v>-0.2818292</v>
      </c>
      <c r="U2316">
        <v>0.21560670000000001</v>
      </c>
      <c r="V2316">
        <v>-2.9045930000000001E-2</v>
      </c>
      <c r="W2316">
        <v>0.37618309999999999</v>
      </c>
      <c r="X2316">
        <v>0.92608990000000002</v>
      </c>
      <c r="Y2316">
        <v>7.2114289999999998E-2</v>
      </c>
      <c r="Z2316">
        <v>4.1380719999999996E-3</v>
      </c>
      <c r="AA2316">
        <v>0.99738780000000005</v>
      </c>
      <c r="AB2316">
        <v>41</v>
      </c>
      <c r="AC2316">
        <v>-0.67570000000000596</v>
      </c>
      <c r="AD2316">
        <v>-7.4005000000000098E-2</v>
      </c>
      <c r="AE2316">
        <v>5.8800000000019198E-2</v>
      </c>
      <c r="AF2316">
        <v>6.3457978222026895E-2</v>
      </c>
      <c r="AG2316">
        <v>-7.4005000000000098E-2</v>
      </c>
      <c r="AH2316">
        <v>0.66726312736564797</v>
      </c>
      <c r="AI2316">
        <v>96.300513564470293</v>
      </c>
      <c r="AJ2316">
        <v>84.567402443101201</v>
      </c>
      <c r="AK2316">
        <v>0.67434689601629605</v>
      </c>
      <c r="AL2316">
        <v>67.902544235316697</v>
      </c>
      <c r="AM2316">
        <v>91.796438797867793</v>
      </c>
      <c r="AN2316">
        <v>0.99999994682859095</v>
      </c>
    </row>
    <row r="2317" spans="1:40" x14ac:dyDescent="0.25">
      <c r="A2317" t="str">
        <f>"20190304164900269"</f>
        <v>20190304164900269</v>
      </c>
      <c r="B2317" t="str">
        <f>"1551689340258430"</f>
        <v>1551689340258430</v>
      </c>
      <c r="C2317" t="s">
        <v>40</v>
      </c>
      <c r="D2317">
        <v>4.2032689999999997</v>
      </c>
      <c r="E2317">
        <v>0.55616989999999999</v>
      </c>
      <c r="F2317" t="s">
        <v>41</v>
      </c>
      <c r="G2317">
        <v>-324.56760000000003</v>
      </c>
      <c r="H2317">
        <v>1.023663</v>
      </c>
      <c r="I2317">
        <v>284.76029999999997</v>
      </c>
      <c r="J2317">
        <v>-323.74180000000001</v>
      </c>
      <c r="K2317">
        <v>1.1110770000000001</v>
      </c>
      <c r="L2317">
        <v>284.69110000000001</v>
      </c>
      <c r="M2317">
        <v>-0.99985100000000005</v>
      </c>
      <c r="N2317">
        <v>-1.520789E-2</v>
      </c>
      <c r="O2317">
        <v>-8.1749909999999995E-3</v>
      </c>
      <c r="P2317">
        <v>-0.93153430000000004</v>
      </c>
      <c r="Q2317">
        <v>0.3618884</v>
      </c>
      <c r="R2317">
        <v>-3.5788170000000001E-2</v>
      </c>
      <c r="S2317">
        <v>-3.338867</v>
      </c>
      <c r="T2317">
        <v>-0.28201140000000002</v>
      </c>
      <c r="U2317">
        <v>0.21679689999999999</v>
      </c>
      <c r="V2317">
        <v>-2.8479069999999999E-2</v>
      </c>
      <c r="W2317">
        <v>0.37599399999999999</v>
      </c>
      <c r="X2317">
        <v>0.92618440000000002</v>
      </c>
      <c r="Y2317">
        <v>7.2627659999999997E-2</v>
      </c>
      <c r="Z2317">
        <v>4.1771159999999998E-3</v>
      </c>
      <c r="AA2317">
        <v>0.99735039999999997</v>
      </c>
      <c r="AB2317">
        <v>41</v>
      </c>
      <c r="AC2317">
        <v>-0.82580000000001497</v>
      </c>
      <c r="AD2317">
        <v>-8.7414000000000103E-2</v>
      </c>
      <c r="AE2317">
        <v>6.9199999999966594E-2</v>
      </c>
      <c r="AF2317">
        <v>7.5113595337331904E-2</v>
      </c>
      <c r="AG2317">
        <v>-8.7414000000000103E-2</v>
      </c>
      <c r="AH2317">
        <v>0.81612569442424099</v>
      </c>
      <c r="AI2317">
        <v>96.088021161107406</v>
      </c>
      <c r="AJ2317">
        <v>84.741494414827599</v>
      </c>
      <c r="AK2317">
        <v>0.82422351865252497</v>
      </c>
      <c r="AL2317">
        <v>67.914239593693495</v>
      </c>
      <c r="AM2317">
        <v>91.761222220622798</v>
      </c>
      <c r="AN2317">
        <v>1.00000004413371</v>
      </c>
    </row>
    <row r="2318" spans="1:40" x14ac:dyDescent="0.25">
      <c r="A2318" t="str">
        <f>"20190304164900281"</f>
        <v>20190304164900281</v>
      </c>
      <c r="B2318" t="str">
        <f>"1551689340277949"</f>
        <v>1551689340277949</v>
      </c>
      <c r="C2318" t="s">
        <v>40</v>
      </c>
      <c r="D2318">
        <v>4.1818879999999998</v>
      </c>
      <c r="E2318">
        <v>0.55611250000000001</v>
      </c>
      <c r="F2318" t="s">
        <v>41</v>
      </c>
      <c r="G2318">
        <v>-324.57569999999998</v>
      </c>
      <c r="H2318">
        <v>1.0404100000000001</v>
      </c>
      <c r="I2318">
        <v>284.74560000000002</v>
      </c>
      <c r="J2318">
        <v>-323.95749999999998</v>
      </c>
      <c r="K2318">
        <v>1.111075</v>
      </c>
      <c r="L2318">
        <v>284.68920000000003</v>
      </c>
      <c r="M2318">
        <v>-0.99984969999999995</v>
      </c>
      <c r="N2318">
        <v>-1.5205400000000001E-2</v>
      </c>
      <c r="O2318">
        <v>-8.3414869999999999E-3</v>
      </c>
      <c r="P2318">
        <v>-0.93155900000000003</v>
      </c>
      <c r="Q2318">
        <v>0.3618691</v>
      </c>
      <c r="R2318">
        <v>-3.5338719999999997E-2</v>
      </c>
      <c r="S2318">
        <v>-3.3387150000000001</v>
      </c>
      <c r="T2318">
        <v>-0.28296710000000003</v>
      </c>
      <c r="U2318">
        <v>0.2177124</v>
      </c>
      <c r="V2318">
        <v>-2.787384E-2</v>
      </c>
      <c r="W2318">
        <v>0.37597330000000001</v>
      </c>
      <c r="X2318">
        <v>0.92621120000000001</v>
      </c>
      <c r="Y2318">
        <v>7.3064699999999996E-2</v>
      </c>
      <c r="Z2318">
        <v>4.2231999999999999E-3</v>
      </c>
      <c r="AA2318">
        <v>0.99731829999999999</v>
      </c>
      <c r="AB2318">
        <v>41</v>
      </c>
      <c r="AC2318">
        <v>-0.61820000000000097</v>
      </c>
      <c r="AD2318">
        <v>-7.0664999999999895E-2</v>
      </c>
      <c r="AE2318">
        <v>5.6399999999996397E-2</v>
      </c>
      <c r="AF2318">
        <v>6.0767886624157101E-2</v>
      </c>
      <c r="AG2318">
        <v>-7.0664999999999895E-2</v>
      </c>
      <c r="AH2318">
        <v>0.60980587376213802</v>
      </c>
      <c r="AI2318">
        <v>96.577726747658602</v>
      </c>
      <c r="AJ2318">
        <v>84.309194487077406</v>
      </c>
      <c r="AK2318">
        <v>0.61688692800591105</v>
      </c>
      <c r="AL2318">
        <v>67.915519204551003</v>
      </c>
      <c r="AM2318">
        <v>91.723766149926405</v>
      </c>
      <c r="AN2318">
        <v>1.00000003013733</v>
      </c>
    </row>
    <row r="2319" spans="1:40" x14ac:dyDescent="0.25">
      <c r="A2319" t="str">
        <f>"20190304164900291"</f>
        <v>20190304164900291</v>
      </c>
      <c r="B2319" t="str">
        <f>"1551689340288686"</f>
        <v>1551689340288686</v>
      </c>
      <c r="C2319" t="s">
        <v>40</v>
      </c>
      <c r="D2319">
        <v>4.1827459999999999</v>
      </c>
      <c r="E2319">
        <v>0.55608199999999997</v>
      </c>
      <c r="F2319" t="s">
        <v>41</v>
      </c>
      <c r="G2319">
        <v>-324.93540000000002</v>
      </c>
      <c r="H2319">
        <v>1.028265</v>
      </c>
      <c r="I2319">
        <v>284.75369999999998</v>
      </c>
      <c r="J2319">
        <v>-324.15429999999998</v>
      </c>
      <c r="K2319">
        <v>1.1110770000000001</v>
      </c>
      <c r="L2319">
        <v>284.6875</v>
      </c>
      <c r="M2319">
        <v>-0.99984839999999997</v>
      </c>
      <c r="N2319">
        <v>-1.5203110000000001E-2</v>
      </c>
      <c r="O2319">
        <v>-8.4932029999999995E-3</v>
      </c>
      <c r="P2319">
        <v>-0.93167500000000003</v>
      </c>
      <c r="Q2319">
        <v>0.36158689999999999</v>
      </c>
      <c r="R2319">
        <v>-3.5170119999999999E-2</v>
      </c>
      <c r="S2319">
        <v>-3.3386230000000001</v>
      </c>
      <c r="T2319">
        <v>-0.28298319999999999</v>
      </c>
      <c r="U2319">
        <v>0.21893309999999999</v>
      </c>
      <c r="V2319">
        <v>-2.75619E-2</v>
      </c>
      <c r="W2319">
        <v>0.37569089999999999</v>
      </c>
      <c r="X2319">
        <v>0.92633509999999997</v>
      </c>
      <c r="Y2319">
        <v>7.3578329999999997E-2</v>
      </c>
      <c r="Z2319">
        <v>4.2595640000000004E-3</v>
      </c>
      <c r="AA2319">
        <v>0.99728039999999996</v>
      </c>
      <c r="AB2319">
        <v>41</v>
      </c>
      <c r="AC2319">
        <v>-0.78110000000003699</v>
      </c>
      <c r="AD2319">
        <v>-8.2812000000000094E-2</v>
      </c>
      <c r="AE2319">
        <v>6.6199999999980705E-2</v>
      </c>
      <c r="AF2319">
        <v>7.2028578863367998E-2</v>
      </c>
      <c r="AG2319">
        <v>-8.2812000000000094E-2</v>
      </c>
      <c r="AH2319">
        <v>0.77189514193616604</v>
      </c>
      <c r="AI2319">
        <v>96.097211314297894</v>
      </c>
      <c r="AJ2319">
        <v>84.668942540658506</v>
      </c>
      <c r="AK2319">
        <v>0.77965893418964405</v>
      </c>
      <c r="AL2319">
        <v>67.932979219177696</v>
      </c>
      <c r="AM2319">
        <v>91.704258842796804</v>
      </c>
      <c r="AN2319">
        <v>1.0000000140832099</v>
      </c>
    </row>
    <row r="2320" spans="1:40" x14ac:dyDescent="0.25">
      <c r="A2320" t="str">
        <f>"20190304164900309"</f>
        <v>20190304164900309</v>
      </c>
      <c r="B2320" t="str">
        <f>"1551689340298447"</f>
        <v>1551689340298447</v>
      </c>
      <c r="C2320" t="s">
        <v>40</v>
      </c>
      <c r="D2320">
        <v>4.180542</v>
      </c>
      <c r="E2320">
        <v>0.55605629999999995</v>
      </c>
      <c r="F2320" t="s">
        <v>41</v>
      </c>
      <c r="G2320">
        <v>-324.94349999999997</v>
      </c>
      <c r="H2320">
        <v>1.0440179999999999</v>
      </c>
      <c r="I2320">
        <v>284.73950000000002</v>
      </c>
      <c r="J2320">
        <v>-324.4615</v>
      </c>
      <c r="K2320">
        <v>1.1110719999999901</v>
      </c>
      <c r="L2320">
        <v>284.68459999999999</v>
      </c>
      <c r="M2320">
        <v>-0.99984640000000002</v>
      </c>
      <c r="N2320">
        <v>-1.5199529999999999E-2</v>
      </c>
      <c r="O2320">
        <v>-8.7306080000000008E-3</v>
      </c>
      <c r="P2320">
        <v>-0.93169429999999998</v>
      </c>
      <c r="Q2320">
        <v>0.36157309999999998</v>
      </c>
      <c r="R2320">
        <v>-3.4796319999999999E-2</v>
      </c>
      <c r="S2320">
        <v>-3.33847</v>
      </c>
      <c r="T2320">
        <v>-0.28394849999999999</v>
      </c>
      <c r="U2320">
        <v>0.2188416</v>
      </c>
      <c r="V2320">
        <v>-2.6966210000000001E-2</v>
      </c>
      <c r="W2320">
        <v>0.37567499999999998</v>
      </c>
      <c r="X2320">
        <v>0.92635909999999999</v>
      </c>
      <c r="Y2320">
        <v>7.3787240000000004E-2</v>
      </c>
      <c r="Z2320">
        <v>4.2996459999999998E-3</v>
      </c>
      <c r="AA2320">
        <v>0.9972647</v>
      </c>
      <c r="AB2320">
        <v>41</v>
      </c>
      <c r="AC2320">
        <v>-0.48199999999997001</v>
      </c>
      <c r="AD2320">
        <v>-6.7053999999999697E-2</v>
      </c>
      <c r="AE2320">
        <v>5.4900000000031902E-2</v>
      </c>
      <c r="AF2320">
        <v>5.7998459474433002E-2</v>
      </c>
      <c r="AG2320">
        <v>-6.7053999999999697E-2</v>
      </c>
      <c r="AH2320">
        <v>0.472475403926781</v>
      </c>
      <c r="AI2320">
        <v>98.018115739430996</v>
      </c>
      <c r="AJ2320">
        <v>83.0016994759022</v>
      </c>
      <c r="AK2320">
        <v>0.480721403240154</v>
      </c>
      <c r="AL2320">
        <v>67.933962648412006</v>
      </c>
      <c r="AM2320">
        <v>91.667402874871598</v>
      </c>
      <c r="AN2320">
        <v>1.0000000321297799</v>
      </c>
    </row>
    <row r="2321" spans="1:40" x14ac:dyDescent="0.25">
      <c r="A2321" t="str">
        <f>"20190304164900320"</f>
        <v>20190304164900320</v>
      </c>
      <c r="B2321" t="str">
        <f>"1551689340308205"</f>
        <v>1551689340308205</v>
      </c>
      <c r="C2321" t="s">
        <v>40</v>
      </c>
      <c r="D2321">
        <v>4.1721769999999996</v>
      </c>
      <c r="E2321">
        <v>0.55601509999999998</v>
      </c>
      <c r="F2321" t="s">
        <v>41</v>
      </c>
      <c r="G2321">
        <v>-325.30590000000001</v>
      </c>
      <c r="H2321">
        <v>1.0392300000000001</v>
      </c>
      <c r="I2321">
        <v>284.74009999999998</v>
      </c>
      <c r="J2321">
        <v>-324.66719999999998</v>
      </c>
      <c r="K2321">
        <v>1.1110739999999999</v>
      </c>
      <c r="L2321">
        <v>284.68270000000001</v>
      </c>
      <c r="M2321">
        <v>-0.99984499999999998</v>
      </c>
      <c r="N2321">
        <v>-1.519713E-2</v>
      </c>
      <c r="O2321">
        <v>-8.8895940000000007E-3</v>
      </c>
      <c r="P2321">
        <v>-0.93167869999999997</v>
      </c>
      <c r="Q2321">
        <v>0.36158319999999999</v>
      </c>
      <c r="R2321">
        <v>-3.5107659999999999E-2</v>
      </c>
      <c r="S2321">
        <v>-3.3384089999999902</v>
      </c>
      <c r="T2321">
        <v>-0.28410449999999998</v>
      </c>
      <c r="U2321">
        <v>0.2191467</v>
      </c>
      <c r="V2321">
        <v>-2.7128679999999999E-2</v>
      </c>
      <c r="W2321">
        <v>0.37568249999999997</v>
      </c>
      <c r="X2321">
        <v>0.92635120000000004</v>
      </c>
      <c r="Y2321">
        <v>7.4035970000000006E-2</v>
      </c>
      <c r="Z2321">
        <v>4.3252909999999898E-3</v>
      </c>
      <c r="AA2321">
        <v>0.99724619999999997</v>
      </c>
      <c r="AB2321">
        <v>41</v>
      </c>
      <c r="AC2321">
        <v>-0.63870000000002802</v>
      </c>
      <c r="AD2321">
        <v>-7.1844000000000005E-2</v>
      </c>
      <c r="AE2321">
        <v>5.7399999999972799E-2</v>
      </c>
      <c r="AF2321">
        <v>6.2294287710723498E-2</v>
      </c>
      <c r="AG2321">
        <v>-7.1844000000000005E-2</v>
      </c>
      <c r="AH2321">
        <v>0.63025384077910596</v>
      </c>
      <c r="AI2321">
        <v>96.471932005210206</v>
      </c>
      <c r="AJ2321">
        <v>84.355219618056594</v>
      </c>
      <c r="AK2321">
        <v>0.63738688599170301</v>
      </c>
      <c r="AL2321">
        <v>67.933496498240004</v>
      </c>
      <c r="AM2321">
        <v>91.677457464497905</v>
      </c>
      <c r="AN2321">
        <v>0.99999992591311304</v>
      </c>
    </row>
    <row r="2322" spans="1:40" x14ac:dyDescent="0.25">
      <c r="A2322" t="str">
        <f>"20190304164900332"</f>
        <v>20190304164900332</v>
      </c>
      <c r="B2322" t="str">
        <f>"1551689340328702"</f>
        <v>1551689340328702</v>
      </c>
      <c r="C2322" t="s">
        <v>40</v>
      </c>
      <c r="D2322">
        <v>4.1829970000000003</v>
      </c>
      <c r="E2322">
        <v>0.55599460000000001</v>
      </c>
      <c r="F2322" t="s">
        <v>41</v>
      </c>
      <c r="G2322">
        <v>-325.66430000000003</v>
      </c>
      <c r="H2322">
        <v>1.026267</v>
      </c>
      <c r="I2322">
        <v>284.74810000000002</v>
      </c>
      <c r="J2322">
        <v>-324.88389999999998</v>
      </c>
      <c r="K2322">
        <v>1.1110739999999999</v>
      </c>
      <c r="L2322">
        <v>284.6807</v>
      </c>
      <c r="M2322">
        <v>-0.99984360000000005</v>
      </c>
      <c r="N2322">
        <v>-1.5194589999999999E-2</v>
      </c>
      <c r="O2322">
        <v>-9.0570440000000002E-3</v>
      </c>
      <c r="P2322">
        <v>-0.93159700000000001</v>
      </c>
      <c r="Q2322">
        <v>0.36175879999999999</v>
      </c>
      <c r="R2322">
        <v>-3.5470910000000001E-2</v>
      </c>
      <c r="S2322">
        <v>-3.33847</v>
      </c>
      <c r="T2322">
        <v>-0.28408889999999998</v>
      </c>
      <c r="U2322">
        <v>0.2179565</v>
      </c>
      <c r="V2322">
        <v>-2.733644E-2</v>
      </c>
      <c r="W2322">
        <v>0.37585439999999998</v>
      </c>
      <c r="X2322">
        <v>0.92627539999999997</v>
      </c>
      <c r="Y2322">
        <v>7.3848239999999996E-2</v>
      </c>
      <c r="Z2322">
        <v>4.3272479999999997E-3</v>
      </c>
      <c r="AA2322">
        <v>0.99726009999999998</v>
      </c>
      <c r="AB2322">
        <v>41</v>
      </c>
      <c r="AC2322">
        <v>-0.78040000000004195</v>
      </c>
      <c r="AD2322">
        <v>-8.4806999999999799E-2</v>
      </c>
      <c r="AE2322">
        <v>6.7400000000020499E-2</v>
      </c>
      <c r="AF2322">
        <v>7.3603389213505593E-2</v>
      </c>
      <c r="AG2322">
        <v>-8.4806999999999799E-2</v>
      </c>
      <c r="AH2322">
        <v>0.77072305819699005</v>
      </c>
      <c r="AI2322">
        <v>96.251101809953994</v>
      </c>
      <c r="AJ2322">
        <v>84.544846015856706</v>
      </c>
      <c r="AK2322">
        <v>0.77886052576134301</v>
      </c>
      <c r="AL2322">
        <v>67.922869342635494</v>
      </c>
      <c r="AM2322">
        <v>91.690434781413799</v>
      </c>
      <c r="AN2322">
        <v>0.999999963798196</v>
      </c>
    </row>
    <row r="2323" spans="1:40" x14ac:dyDescent="0.25">
      <c r="A2323" t="str">
        <f>"20190304164900343"</f>
        <v>20190304164900343</v>
      </c>
      <c r="B2323" t="str">
        <f>"1551689340338462"</f>
        <v>1551689340338462</v>
      </c>
      <c r="C2323" t="s">
        <v>40</v>
      </c>
      <c r="D2323">
        <v>4.1764839999999896</v>
      </c>
      <c r="E2323">
        <v>0.55595939999999999</v>
      </c>
      <c r="F2323" t="s">
        <v>41</v>
      </c>
      <c r="G2323">
        <v>-325.67360000000002</v>
      </c>
      <c r="H2323">
        <v>1.0441199999999999</v>
      </c>
      <c r="I2323">
        <v>284.73219999999998</v>
      </c>
      <c r="J2323">
        <v>-325.08510000000001</v>
      </c>
      <c r="K2323">
        <v>1.111076</v>
      </c>
      <c r="L2323">
        <v>284.67869999999999</v>
      </c>
      <c r="M2323">
        <v>-0.99984229999999996</v>
      </c>
      <c r="N2323">
        <v>-1.5192229999999999E-2</v>
      </c>
      <c r="O2323">
        <v>-9.2123399999999994E-3</v>
      </c>
      <c r="P2323">
        <v>-0.93167889999999998</v>
      </c>
      <c r="Q2323">
        <v>0.36150199999999999</v>
      </c>
      <c r="R2323">
        <v>-3.5931860000000003E-2</v>
      </c>
      <c r="S2323">
        <v>-3.3385310000000001</v>
      </c>
      <c r="T2323">
        <v>-0.28327360000000001</v>
      </c>
      <c r="U2323">
        <v>0.2165222</v>
      </c>
      <c r="V2323">
        <v>-2.765138E-2</v>
      </c>
      <c r="W2323">
        <v>0.37559680000000001</v>
      </c>
      <c r="X2323">
        <v>0.92637060000000004</v>
      </c>
      <c r="Y2323">
        <v>7.3577879999999998E-2</v>
      </c>
      <c r="Z2323">
        <v>4.3132800000000001E-3</v>
      </c>
      <c r="AA2323">
        <v>0.9972801</v>
      </c>
      <c r="AB2323">
        <v>41</v>
      </c>
      <c r="AC2323">
        <v>-0.58850000000001002</v>
      </c>
      <c r="AD2323">
        <v>-6.6955999999999793E-2</v>
      </c>
      <c r="AE2323">
        <v>5.34999999999854E-2</v>
      </c>
      <c r="AF2323">
        <v>5.8172967240305899E-2</v>
      </c>
      <c r="AG2323">
        <v>-6.6955999999999793E-2</v>
      </c>
      <c r="AH2323">
        <v>0.58052902857038002</v>
      </c>
      <c r="AI2323">
        <v>96.546705687547501</v>
      </c>
      <c r="AJ2323">
        <v>84.277674577265202</v>
      </c>
      <c r="AK2323">
        <v>0.58726582828086504</v>
      </c>
      <c r="AL2323">
        <v>67.938796986697298</v>
      </c>
      <c r="AM2323">
        <v>91.709722975387095</v>
      </c>
      <c r="AN2323">
        <v>1.00000002176525</v>
      </c>
    </row>
    <row r="2324" spans="1:40" x14ac:dyDescent="0.25">
      <c r="A2324" t="str">
        <f>"20190304164900355"</f>
        <v>20190304164900355</v>
      </c>
      <c r="B2324" t="str">
        <f>"1551689340348222"</f>
        <v>1551689340348222</v>
      </c>
      <c r="C2324" t="s">
        <v>40</v>
      </c>
      <c r="D2324">
        <v>4.1814679999999997</v>
      </c>
      <c r="E2324">
        <v>0.55595939999999999</v>
      </c>
      <c r="F2324" t="s">
        <v>41</v>
      </c>
      <c r="G2324">
        <v>-326.0308</v>
      </c>
      <c r="H2324">
        <v>1.0305959999999901</v>
      </c>
      <c r="I2324">
        <v>284.73970000000003</v>
      </c>
      <c r="J2324">
        <v>-325.3141</v>
      </c>
      <c r="K2324">
        <v>1.111075</v>
      </c>
      <c r="L2324">
        <v>284.67649999999998</v>
      </c>
      <c r="M2324">
        <v>-0.99984059999999997</v>
      </c>
      <c r="N2324">
        <v>-1.518954E-2</v>
      </c>
      <c r="O2324">
        <v>-9.3888530000000008E-3</v>
      </c>
      <c r="P2324">
        <v>-0.93165790000000004</v>
      </c>
      <c r="Q2324">
        <v>0.36151899999999998</v>
      </c>
      <c r="R2324">
        <v>-3.630071E-2</v>
      </c>
      <c r="S2324">
        <v>-3.3385310000000001</v>
      </c>
      <c r="T2324">
        <v>-0.2841727</v>
      </c>
      <c r="U2324">
        <v>0.21490480000000001</v>
      </c>
      <c r="V2324">
        <v>-2.785528E-2</v>
      </c>
      <c r="W2324">
        <v>0.37561090000000003</v>
      </c>
      <c r="X2324">
        <v>0.92635880000000004</v>
      </c>
      <c r="Y2324">
        <v>7.3271649999999994E-2</v>
      </c>
      <c r="Z2324">
        <v>4.3225529999999998E-3</v>
      </c>
      <c r="AA2324">
        <v>0.99730269999999999</v>
      </c>
      <c r="AB2324">
        <v>41</v>
      </c>
      <c r="AC2324">
        <v>-0.716700000000003</v>
      </c>
      <c r="AD2324">
        <v>-8.0479000000000106E-2</v>
      </c>
      <c r="AE2324">
        <v>6.3200000000051604E-2</v>
      </c>
      <c r="AF2324">
        <v>6.9062867029006894E-2</v>
      </c>
      <c r="AG2324">
        <v>-8.0479000000000106E-2</v>
      </c>
      <c r="AH2324">
        <v>0.70722615458225702</v>
      </c>
      <c r="AI2324">
        <v>96.461588414202396</v>
      </c>
      <c r="AJ2324">
        <v>84.422570409377897</v>
      </c>
      <c r="AK2324">
        <v>0.71513312241041704</v>
      </c>
      <c r="AL2324">
        <v>67.937925843944797</v>
      </c>
      <c r="AM2324">
        <v>91.722344753810404</v>
      </c>
      <c r="AN2324">
        <v>1.0000000455800599</v>
      </c>
    </row>
    <row r="2325" spans="1:40" x14ac:dyDescent="0.25">
      <c r="A2325" t="str">
        <f>"20190304164900367"</f>
        <v>20190304164900367</v>
      </c>
      <c r="B2325" t="str">
        <f>"1551689340358711"</f>
        <v>1551689340358711</v>
      </c>
      <c r="C2325" t="s">
        <v>40</v>
      </c>
      <c r="D2325">
        <v>4.1877769999999996</v>
      </c>
      <c r="E2325">
        <v>0.54978479999999996</v>
      </c>
      <c r="F2325" t="s">
        <v>41</v>
      </c>
      <c r="G2325">
        <v>-326.38940000000002</v>
      </c>
      <c r="H2325">
        <v>1.019628</v>
      </c>
      <c r="I2325">
        <v>284.7457</v>
      </c>
      <c r="J2325">
        <v>-325.5197</v>
      </c>
      <c r="K2325">
        <v>1.111076</v>
      </c>
      <c r="L2325">
        <v>284.67439999999999</v>
      </c>
      <c r="M2325">
        <v>-0.99983920000000004</v>
      </c>
      <c r="N2325">
        <v>-1.518711E-2</v>
      </c>
      <c r="O2325">
        <v>-9.5479580000000005E-3</v>
      </c>
      <c r="P2325">
        <v>-0.93152939999999995</v>
      </c>
      <c r="Q2325">
        <v>0.36179610000000001</v>
      </c>
      <c r="R2325">
        <v>-3.6839429999999999E-2</v>
      </c>
      <c r="S2325">
        <v>-3.338654</v>
      </c>
      <c r="T2325">
        <v>-0.2841823</v>
      </c>
      <c r="U2325">
        <v>0.213562</v>
      </c>
      <c r="V2325">
        <v>-2.8246810000000001E-2</v>
      </c>
      <c r="W2325">
        <v>0.37588359999999998</v>
      </c>
      <c r="X2325">
        <v>0.92623630000000001</v>
      </c>
      <c r="Y2325">
        <v>7.3029209999999997E-2</v>
      </c>
      <c r="Z2325">
        <v>4.3214769999999998E-3</v>
      </c>
      <c r="AA2325">
        <v>0.9973204</v>
      </c>
      <c r="AB2325">
        <v>41</v>
      </c>
      <c r="AC2325">
        <v>-0.86970000000002201</v>
      </c>
      <c r="AD2325">
        <v>-9.1447999999999904E-2</v>
      </c>
      <c r="AE2325">
        <v>7.1300000000007899E-2</v>
      </c>
      <c r="AF2325">
        <v>7.8736839532904807E-2</v>
      </c>
      <c r="AG2325">
        <v>-9.1447999999999904E-2</v>
      </c>
      <c r="AH2325">
        <v>0.85953962525201899</v>
      </c>
      <c r="AI2325">
        <v>96.047825866464194</v>
      </c>
      <c r="AJ2325">
        <v>84.766112882164705</v>
      </c>
      <c r="AK2325">
        <v>0.86796923561956496</v>
      </c>
      <c r="AL2325">
        <v>67.921065300439807</v>
      </c>
      <c r="AM2325">
        <v>91.746769752150399</v>
      </c>
      <c r="AN2325">
        <v>1.0000000232309101</v>
      </c>
    </row>
    <row r="2326" spans="1:40" x14ac:dyDescent="0.25">
      <c r="A2326" t="str">
        <f>"20190304164900382"</f>
        <v>20190304164900382</v>
      </c>
      <c r="B2326" t="str">
        <f>"1551689340378232"</f>
        <v>1551689340378232</v>
      </c>
      <c r="C2326" t="s">
        <v>40</v>
      </c>
      <c r="D2326">
        <v>4.1897710000000004</v>
      </c>
      <c r="E2326">
        <v>0.55042419999999903</v>
      </c>
      <c r="F2326" t="s">
        <v>41</v>
      </c>
      <c r="G2326">
        <v>-326.39929999999998</v>
      </c>
      <c r="H2326">
        <v>1.0399240000000001</v>
      </c>
      <c r="I2326">
        <v>284.71800000000002</v>
      </c>
      <c r="J2326">
        <v>-325.77800000000002</v>
      </c>
      <c r="K2326">
        <v>1.111078</v>
      </c>
      <c r="L2326">
        <v>284.67180000000002</v>
      </c>
      <c r="M2326">
        <v>-0.99983719999999998</v>
      </c>
      <c r="N2326">
        <v>-1.5184049999999999E-2</v>
      </c>
      <c r="O2326">
        <v>-9.7472300000000008E-3</v>
      </c>
      <c r="P2326">
        <v>-0.9313555</v>
      </c>
      <c r="Q2326">
        <v>0.36219659999999998</v>
      </c>
      <c r="R2326">
        <v>-3.7287359999999999E-2</v>
      </c>
      <c r="S2326">
        <v>-3.3317570000000001</v>
      </c>
      <c r="T2326">
        <v>-0.26982270000000003</v>
      </c>
      <c r="U2326">
        <v>0.1631775</v>
      </c>
      <c r="V2326">
        <v>-2.8510850000000001E-2</v>
      </c>
      <c r="W2326">
        <v>0.37627850000000002</v>
      </c>
      <c r="X2326">
        <v>0.9260678</v>
      </c>
      <c r="Y2326">
        <v>5.8404379999999999E-2</v>
      </c>
      <c r="Z2326">
        <v>3.4441680000000001E-3</v>
      </c>
      <c r="AA2326">
        <v>0.99828709999999998</v>
      </c>
      <c r="AB2326">
        <v>41</v>
      </c>
      <c r="AC2326">
        <v>-0.62129999999996199</v>
      </c>
      <c r="AD2326">
        <v>-7.1153999999999898E-2</v>
      </c>
      <c r="AE2326">
        <v>4.6199999999998902E-2</v>
      </c>
      <c r="AF2326">
        <v>5.1581641034358999E-2</v>
      </c>
      <c r="AG2326">
        <v>-7.1153999999999898E-2</v>
      </c>
      <c r="AH2326">
        <v>0.61282657195716606</v>
      </c>
      <c r="AI2326">
        <v>96.5997074530449</v>
      </c>
      <c r="AJ2326">
        <v>85.188752107428201</v>
      </c>
      <c r="AK2326">
        <v>0.6190960868109</v>
      </c>
      <c r="AL2326">
        <v>67.896645395437403</v>
      </c>
      <c r="AM2326">
        <v>91.763408201707094</v>
      </c>
      <c r="AN2326">
        <v>0.99999997416340503</v>
      </c>
    </row>
    <row r="2327" spans="1:40" x14ac:dyDescent="0.25">
      <c r="A2327" t="str">
        <f>"20190304164900394"</f>
        <v>20190304164900394</v>
      </c>
      <c r="B2327" t="str">
        <f>"1551689340387991"</f>
        <v>1551689340387991</v>
      </c>
      <c r="C2327" t="s">
        <v>40</v>
      </c>
      <c r="D2327">
        <v>4.1757900000000001</v>
      </c>
      <c r="E2327">
        <v>0.55040599999999995</v>
      </c>
      <c r="F2327" t="s">
        <v>41</v>
      </c>
      <c r="G2327">
        <v>-326.75979999999998</v>
      </c>
      <c r="H2327">
        <v>1.0338620000000001</v>
      </c>
      <c r="I2327">
        <v>284.72109999999998</v>
      </c>
      <c r="J2327">
        <v>-326.0258</v>
      </c>
      <c r="K2327">
        <v>1.111076</v>
      </c>
      <c r="L2327">
        <v>284.66919999999999</v>
      </c>
      <c r="M2327">
        <v>-0.99983540000000004</v>
      </c>
      <c r="N2327">
        <v>-1.5181109999999999E-2</v>
      </c>
      <c r="O2327">
        <v>-9.9386370000000002E-3</v>
      </c>
      <c r="P2327">
        <v>-0.93122899999999997</v>
      </c>
      <c r="Q2327">
        <v>0.36246279999999997</v>
      </c>
      <c r="R2327">
        <v>-3.7862350000000003E-2</v>
      </c>
      <c r="S2327">
        <v>-3.3296199999999998</v>
      </c>
      <c r="T2327">
        <v>-0.26197369999999998</v>
      </c>
      <c r="U2327">
        <v>0.16650390000000001</v>
      </c>
      <c r="V2327">
        <v>-2.8908489999999998E-2</v>
      </c>
      <c r="W2327">
        <v>0.37653959999999997</v>
      </c>
      <c r="X2327">
        <v>0.92594940000000003</v>
      </c>
      <c r="Y2327">
        <v>5.9629910000000001E-2</v>
      </c>
      <c r="Z2327">
        <v>3.4242410000000002E-3</v>
      </c>
      <c r="AA2327">
        <v>0.99821470000000001</v>
      </c>
      <c r="AB2327">
        <v>41</v>
      </c>
      <c r="AC2327">
        <v>-0.73399999999998</v>
      </c>
      <c r="AD2327">
        <v>-7.7213999999999894E-2</v>
      </c>
      <c r="AE2327">
        <v>5.1899999999989101E-2</v>
      </c>
      <c r="AF2327">
        <v>5.8548547282506899E-2</v>
      </c>
      <c r="AG2327">
        <v>-7.7213999999999894E-2</v>
      </c>
      <c r="AH2327">
        <v>0.72545969421558298</v>
      </c>
      <c r="AI2327">
        <v>96.055837089749105</v>
      </c>
      <c r="AJ2327">
        <v>85.385919027462904</v>
      </c>
      <c r="AK2327">
        <v>0.73190279553794502</v>
      </c>
      <c r="AL2327">
        <v>67.880499204147199</v>
      </c>
      <c r="AM2327">
        <v>91.788215029802203</v>
      </c>
      <c r="AN2327">
        <v>1.00000003126129</v>
      </c>
    </row>
    <row r="2328" spans="1:40" x14ac:dyDescent="0.25">
      <c r="A2328" t="str">
        <f>"20190304164900411"</f>
        <v>20190304164900411</v>
      </c>
      <c r="B2328" t="str">
        <f>"1551689340398727"</f>
        <v>1551689340398727</v>
      </c>
      <c r="C2328" t="s">
        <v>40</v>
      </c>
      <c r="D2328">
        <v>4.1804439999999996</v>
      </c>
      <c r="E2328">
        <v>0.55043169999999897</v>
      </c>
      <c r="F2328" t="s">
        <v>46</v>
      </c>
      <c r="G2328">
        <v>-340.23390000000001</v>
      </c>
      <c r="H2328" s="1">
        <v>-1.4122950000000001E-6</v>
      </c>
      <c r="I2328">
        <v>285.36919999999998</v>
      </c>
      <c r="J2328">
        <v>-326.30840000000001</v>
      </c>
      <c r="K2328">
        <v>1.1110850000000001</v>
      </c>
      <c r="L2328">
        <v>284.6662</v>
      </c>
      <c r="M2328">
        <v>-0.99983330000000004</v>
      </c>
      <c r="N2328">
        <v>-1.517781E-2</v>
      </c>
      <c r="O2328">
        <v>-1.0157100000000001E-2</v>
      </c>
      <c r="P2328">
        <v>-0.93097030000000003</v>
      </c>
      <c r="Q2328">
        <v>0.3630449</v>
      </c>
      <c r="R2328">
        <v>-3.8640260000000003E-2</v>
      </c>
      <c r="S2328">
        <v>-3.3295590000000002</v>
      </c>
      <c r="T2328">
        <v>-0.26037090000000002</v>
      </c>
      <c r="U2328">
        <v>0.16403199999999901</v>
      </c>
      <c r="V2328">
        <v>-2.9484730000000001E-2</v>
      </c>
      <c r="W2328">
        <v>0.37711509999999998</v>
      </c>
      <c r="X2328">
        <v>0.92569690000000004</v>
      </c>
      <c r="Y2328">
        <v>5.9113850000000003E-2</v>
      </c>
      <c r="Z2328">
        <v>3.3949039999999998E-3</v>
      </c>
      <c r="AA2328">
        <v>0.99824550000000001</v>
      </c>
      <c r="AB2328">
        <v>41</v>
      </c>
      <c r="AC2328">
        <v>-13.9255</v>
      </c>
      <c r="AD2328">
        <v>-1.1110864122949999</v>
      </c>
      <c r="AE2328">
        <v>0.70299999999997398</v>
      </c>
      <c r="AF2328">
        <v>0.83909451869864204</v>
      </c>
      <c r="AG2328">
        <v>-1.1110864122949999</v>
      </c>
      <c r="AH2328">
        <v>13.8298218811914</v>
      </c>
      <c r="AI2328">
        <v>94.584876225213193</v>
      </c>
      <c r="AJ2328">
        <v>86.527958794199293</v>
      </c>
      <c r="AK2328">
        <v>13.899732583484299</v>
      </c>
      <c r="AL2328">
        <v>67.844899421629705</v>
      </c>
      <c r="AM2328">
        <v>91.824333265474095</v>
      </c>
      <c r="AN2328">
        <v>0.99999994931039504</v>
      </c>
    </row>
    <row r="2329" spans="1:40" x14ac:dyDescent="0.25">
      <c r="A2329" t="str">
        <f>"20190304164900424"</f>
        <v>20190304164900424</v>
      </c>
      <c r="B2329" t="str">
        <f>"1551689340418247"</f>
        <v>1551689340418247</v>
      </c>
      <c r="C2329" t="s">
        <v>40</v>
      </c>
      <c r="D2329">
        <v>4.1895350000000002</v>
      </c>
      <c r="E2329">
        <v>0.55058280000000004</v>
      </c>
      <c r="F2329" t="s">
        <v>41</v>
      </c>
      <c r="G2329">
        <v>-327.13130000000001</v>
      </c>
      <c r="H2329">
        <v>1.0467869999999999</v>
      </c>
      <c r="I2329">
        <v>284.70639999999997</v>
      </c>
      <c r="J2329">
        <v>-326.54649999999998</v>
      </c>
      <c r="K2329">
        <v>1.1110880000000001</v>
      </c>
      <c r="L2329">
        <v>284.66359999999997</v>
      </c>
      <c r="M2329">
        <v>-0.99983149999999998</v>
      </c>
      <c r="N2329">
        <v>-1.5175030000000001E-2</v>
      </c>
      <c r="O2329">
        <v>-1.0340999999999999E-2</v>
      </c>
      <c r="P2329">
        <v>-0.93090689999999998</v>
      </c>
      <c r="Q2329">
        <v>0.36314410000000003</v>
      </c>
      <c r="R2329">
        <v>-3.9231830000000002E-2</v>
      </c>
      <c r="S2329">
        <v>-3.3306879999999999</v>
      </c>
      <c r="T2329">
        <v>-0.2603972</v>
      </c>
      <c r="U2329">
        <v>0.161438</v>
      </c>
      <c r="V2329">
        <v>-2.9905910000000001E-2</v>
      </c>
      <c r="W2329">
        <v>0.37721009999999999</v>
      </c>
      <c r="X2329">
        <v>0.92564480000000005</v>
      </c>
      <c r="Y2329">
        <v>5.8507160000000002E-2</v>
      </c>
      <c r="Z2329">
        <v>3.3774439999999998E-3</v>
      </c>
      <c r="AA2329">
        <v>0.99828130000000004</v>
      </c>
      <c r="AB2329">
        <v>41</v>
      </c>
      <c r="AC2329">
        <v>-0.58480000000002896</v>
      </c>
      <c r="AD2329">
        <v>-6.4300999999999706E-2</v>
      </c>
      <c r="AE2329">
        <v>4.2799999999999699E-2</v>
      </c>
      <c r="AF2329">
        <v>4.8265411045895899E-2</v>
      </c>
      <c r="AG2329">
        <v>-6.4300999999999706E-2</v>
      </c>
      <c r="AH2329">
        <v>0.57738280058420399</v>
      </c>
      <c r="AI2329">
        <v>96.332728412169104</v>
      </c>
      <c r="AJ2329">
        <v>85.221558733527004</v>
      </c>
      <c r="AK2329">
        <v>0.58295374337496797</v>
      </c>
      <c r="AL2329">
        <v>67.839024846554196</v>
      </c>
      <c r="AM2329">
        <v>91.850479373887694</v>
      </c>
      <c r="AN2329">
        <v>1.0000000593809799</v>
      </c>
    </row>
    <row r="2330" spans="1:40" x14ac:dyDescent="0.25">
      <c r="A2330" t="str">
        <f>"20190304164900436"</f>
        <v>20190304164900436</v>
      </c>
      <c r="B2330" t="str">
        <f>"1551689340428007"</f>
        <v>1551689340428007</v>
      </c>
      <c r="C2330" t="s">
        <v>40</v>
      </c>
      <c r="D2330">
        <v>4.1797069999999996</v>
      </c>
      <c r="E2330">
        <v>0.55064799999999903</v>
      </c>
      <c r="F2330" t="s">
        <v>41</v>
      </c>
      <c r="G2330">
        <v>-327.48759999999999</v>
      </c>
      <c r="H2330">
        <v>1.0379259999999999</v>
      </c>
      <c r="I2330">
        <v>284.70940000000002</v>
      </c>
      <c r="J2330">
        <v>-326.77960000000002</v>
      </c>
      <c r="K2330">
        <v>1.1110910000000001</v>
      </c>
      <c r="L2330">
        <v>284.66109999999998</v>
      </c>
      <c r="M2330">
        <v>-0.99982950000000004</v>
      </c>
      <c r="N2330">
        <v>-1.517231E-2</v>
      </c>
      <c r="O2330">
        <v>-1.052048E-2</v>
      </c>
      <c r="P2330">
        <v>-0.9308052</v>
      </c>
      <c r="Q2330">
        <v>0.3633651</v>
      </c>
      <c r="R2330">
        <v>-3.9590309999999997E-2</v>
      </c>
      <c r="S2330">
        <v>-3.3305359999999999</v>
      </c>
      <c r="T2330">
        <v>-0.25904670000000002</v>
      </c>
      <c r="U2330">
        <v>0.16140750000000001</v>
      </c>
      <c r="V2330">
        <v>-3.0097680000000002E-2</v>
      </c>
      <c r="W2330">
        <v>0.37742740000000002</v>
      </c>
      <c r="X2330">
        <v>0.92554990000000004</v>
      </c>
      <c r="Y2330">
        <v>5.8680740000000002E-2</v>
      </c>
      <c r="Z2330">
        <v>3.3808219999999999E-3</v>
      </c>
      <c r="AA2330">
        <v>0.99827100000000002</v>
      </c>
      <c r="AB2330">
        <v>41</v>
      </c>
      <c r="AC2330">
        <v>-0.70799999999996899</v>
      </c>
      <c r="AD2330">
        <v>-7.3164999999999897E-2</v>
      </c>
      <c r="AE2330">
        <v>4.83000000000402E-2</v>
      </c>
      <c r="AF2330">
        <v>5.51603424767593E-2</v>
      </c>
      <c r="AG2330">
        <v>-7.3164999999999897E-2</v>
      </c>
      <c r="AH2330">
        <v>0.70001165106629004</v>
      </c>
      <c r="AI2330">
        <v>95.948565060987505</v>
      </c>
      <c r="AJ2330">
        <v>85.4944497514483</v>
      </c>
      <c r="AK2330">
        <v>0.70598306795255805</v>
      </c>
      <c r="AL2330">
        <v>67.825578527975793</v>
      </c>
      <c r="AM2330">
        <v>91.862527959259594</v>
      </c>
      <c r="AN2330">
        <v>0.99999996500107502</v>
      </c>
    </row>
    <row r="2331" spans="1:40" x14ac:dyDescent="0.25">
      <c r="A2331" t="str">
        <f>"20190304164900448"</f>
        <v>20190304164900448</v>
      </c>
      <c r="B2331" t="str">
        <f>"1551689340438742"</f>
        <v>1551689340438742</v>
      </c>
      <c r="C2331" t="s">
        <v>40</v>
      </c>
      <c r="D2331">
        <v>4.1831659999999999</v>
      </c>
      <c r="E2331">
        <v>0.55073430000000001</v>
      </c>
      <c r="F2331" t="s">
        <v>41</v>
      </c>
      <c r="G2331">
        <v>-327.84519999999998</v>
      </c>
      <c r="H2331">
        <v>1.028268</v>
      </c>
      <c r="I2331">
        <v>284.71300000000002</v>
      </c>
      <c r="J2331">
        <v>-327.01069999999999</v>
      </c>
      <c r="K2331">
        <v>1.1110910000000001</v>
      </c>
      <c r="L2331">
        <v>284.6585</v>
      </c>
      <c r="M2331">
        <v>-0.99982769999999999</v>
      </c>
      <c r="N2331">
        <v>-1.516961E-2</v>
      </c>
      <c r="O2331">
        <v>-1.0697460000000001E-2</v>
      </c>
      <c r="P2331">
        <v>-0.93071090000000001</v>
      </c>
      <c r="Q2331">
        <v>0.36353619999999998</v>
      </c>
      <c r="R2331">
        <v>-4.023653E-2</v>
      </c>
      <c r="S2331">
        <v>-3.3310550000000001</v>
      </c>
      <c r="T2331">
        <v>-0.259127</v>
      </c>
      <c r="U2331">
        <v>0.1611023</v>
      </c>
      <c r="V2331">
        <v>-3.057957E-2</v>
      </c>
      <c r="W2331">
        <v>0.37759429999999999</v>
      </c>
      <c r="X2331">
        <v>0.92546609999999996</v>
      </c>
      <c r="Y2331">
        <v>5.8757980000000001E-2</v>
      </c>
      <c r="Z2331">
        <v>3.3958980000000001E-3</v>
      </c>
      <c r="AA2331">
        <v>0.99826649999999995</v>
      </c>
      <c r="AB2331">
        <v>41</v>
      </c>
      <c r="AC2331">
        <v>-0.83449999999999103</v>
      </c>
      <c r="AD2331">
        <v>-8.2822999999999994E-2</v>
      </c>
      <c r="AE2331">
        <v>5.4499999999961801E-2</v>
      </c>
      <c r="AF2331">
        <v>6.2808880203629805E-2</v>
      </c>
      <c r="AG2331">
        <v>-8.2822999999999994E-2</v>
      </c>
      <c r="AH2331">
        <v>0.82576963248037905</v>
      </c>
      <c r="AI2331">
        <v>95.711107972326701</v>
      </c>
      <c r="AJ2331">
        <v>85.650399573594896</v>
      </c>
      <c r="AK2331">
        <v>0.83228606301452301</v>
      </c>
      <c r="AL2331">
        <v>67.815253341490404</v>
      </c>
      <c r="AM2331">
        <v>91.892498363032701</v>
      </c>
      <c r="AN2331">
        <v>1.00000003387154</v>
      </c>
    </row>
    <row r="2332" spans="1:40" x14ac:dyDescent="0.25">
      <c r="A2332" t="str">
        <f>"20190304164900466"</f>
        <v>20190304164900466</v>
      </c>
      <c r="B2332" t="str">
        <f>"1551689340458207"</f>
        <v>1551689340458207</v>
      </c>
      <c r="C2332" t="s">
        <v>40</v>
      </c>
      <c r="D2332">
        <v>4.1601970000000001</v>
      </c>
      <c r="E2332">
        <v>0.55076150000000001</v>
      </c>
      <c r="F2332" t="s">
        <v>41</v>
      </c>
      <c r="G2332">
        <v>-327.85520000000002</v>
      </c>
      <c r="H2332">
        <v>1.045598</v>
      </c>
      <c r="I2332">
        <v>284.6995</v>
      </c>
      <c r="J2332">
        <v>-327.32900000000001</v>
      </c>
      <c r="K2332">
        <v>1.111092</v>
      </c>
      <c r="L2332">
        <v>284.65480000000002</v>
      </c>
      <c r="M2332">
        <v>-0.99982539999999998</v>
      </c>
      <c r="N2332">
        <v>-1.516589E-2</v>
      </c>
      <c r="O2332">
        <v>-1.0938649999999999E-2</v>
      </c>
      <c r="P2332">
        <v>-0.93070299999999995</v>
      </c>
      <c r="Q2332">
        <v>0.36347200000000002</v>
      </c>
      <c r="R2332">
        <v>-4.0993399999999999E-2</v>
      </c>
      <c r="S2332">
        <v>-3.3312680000000001</v>
      </c>
      <c r="T2332">
        <v>-0.25867679999999998</v>
      </c>
      <c r="U2332">
        <v>0.1603088</v>
      </c>
      <c r="V2332">
        <v>-3.110918E-2</v>
      </c>
      <c r="W2332">
        <v>0.37752629999999998</v>
      </c>
      <c r="X2332">
        <v>0.92547610000000002</v>
      </c>
      <c r="Y2332">
        <v>5.8758810000000002E-2</v>
      </c>
      <c r="Z2332">
        <v>3.405328E-3</v>
      </c>
      <c r="AA2332">
        <v>0.9982664</v>
      </c>
      <c r="AB2332">
        <v>41</v>
      </c>
      <c r="AC2332">
        <v>-0.52620000000001699</v>
      </c>
      <c r="AD2332">
        <v>-6.54939999999999E-2</v>
      </c>
      <c r="AE2332">
        <v>4.4699999999977501E-2</v>
      </c>
      <c r="AF2332">
        <v>4.9689637500952497E-2</v>
      </c>
      <c r="AG2332">
        <v>-6.54939999999999E-2</v>
      </c>
      <c r="AH2332">
        <v>0.51771660731119495</v>
      </c>
      <c r="AI2332">
        <v>97.177296428200094</v>
      </c>
      <c r="AJ2332">
        <v>84.517633007669204</v>
      </c>
      <c r="AK2332">
        <v>0.52420321402752801</v>
      </c>
      <c r="AL2332">
        <v>67.819458915090905</v>
      </c>
      <c r="AM2332">
        <v>91.925229448874902</v>
      </c>
      <c r="AN2332">
        <v>0.99999994997158403</v>
      </c>
    </row>
    <row r="2333" spans="1:40" x14ac:dyDescent="0.25">
      <c r="A2333" t="str">
        <f>"20190304164900479"</f>
        <v>20190304164900479</v>
      </c>
      <c r="B2333" t="str">
        <f>"1551689340467967"</f>
        <v>1551689340467967</v>
      </c>
      <c r="C2333" t="s">
        <v>40</v>
      </c>
      <c r="D2333">
        <v>4.1762439999999996</v>
      </c>
      <c r="E2333">
        <v>0.55081999999999998</v>
      </c>
      <c r="F2333" t="s">
        <v>41</v>
      </c>
      <c r="G2333">
        <v>-328.21379999999999</v>
      </c>
      <c r="H2333">
        <v>1.0419969999999901</v>
      </c>
      <c r="I2333">
        <v>284.69729999999998</v>
      </c>
      <c r="J2333">
        <v>-327.56420000000003</v>
      </c>
      <c r="K2333">
        <v>1.111092</v>
      </c>
      <c r="L2333">
        <v>284.65219999999999</v>
      </c>
      <c r="M2333">
        <v>-0.99982329999999997</v>
      </c>
      <c r="N2333">
        <v>-1.516314E-2</v>
      </c>
      <c r="O2333">
        <v>-1.1113670000000001E-2</v>
      </c>
      <c r="P2333">
        <v>-0.93065549999999997</v>
      </c>
      <c r="Q2333">
        <v>0.36353600000000003</v>
      </c>
      <c r="R2333">
        <v>-4.1496680000000001E-2</v>
      </c>
      <c r="S2333">
        <v>-3.3320919999999998</v>
      </c>
      <c r="T2333">
        <v>-0.26037480000000002</v>
      </c>
      <c r="U2333">
        <v>0.1589661</v>
      </c>
      <c r="V2333">
        <v>-3.1447679999999999E-2</v>
      </c>
      <c r="W2333">
        <v>0.37758770000000003</v>
      </c>
      <c r="X2333">
        <v>0.92543969999999998</v>
      </c>
      <c r="Y2333">
        <v>5.8518090000000002E-2</v>
      </c>
      <c r="Z2333">
        <v>3.4247710000000001E-3</v>
      </c>
      <c r="AA2333">
        <v>0.99828050000000002</v>
      </c>
      <c r="AB2333">
        <v>41</v>
      </c>
      <c r="AC2333">
        <v>-0.64959999999996398</v>
      </c>
      <c r="AD2333">
        <v>-6.9095000000000101E-2</v>
      </c>
      <c r="AE2333">
        <v>4.50999999999908E-2</v>
      </c>
      <c r="AF2333">
        <v>5.1734982256053497E-2</v>
      </c>
      <c r="AG2333">
        <v>-6.9095000000000101E-2</v>
      </c>
      <c r="AH2333">
        <v>0.64183198465949798</v>
      </c>
      <c r="AI2333">
        <v>96.124674388654398</v>
      </c>
      <c r="AJ2333">
        <v>85.391626681040506</v>
      </c>
      <c r="AK2333">
        <v>0.64761016355982504</v>
      </c>
      <c r="AL2333">
        <v>67.815661706118405</v>
      </c>
      <c r="AM2333">
        <v>91.946238399408799</v>
      </c>
      <c r="AN2333">
        <v>1.0000000330523799</v>
      </c>
    </row>
    <row r="2334" spans="1:40" x14ac:dyDescent="0.25">
      <c r="A2334" t="str">
        <f>"20190304164900499"</f>
        <v>20190304164900499</v>
      </c>
      <c r="B2334" t="str">
        <f>"1551689340488464"</f>
        <v>1551689340488464</v>
      </c>
      <c r="C2334" t="s">
        <v>40</v>
      </c>
      <c r="D2334">
        <v>4.1911940000000003</v>
      </c>
      <c r="E2334">
        <v>0.55094519999999902</v>
      </c>
      <c r="F2334" t="s">
        <v>41</v>
      </c>
      <c r="G2334">
        <v>-328.57069999999999</v>
      </c>
      <c r="H2334">
        <v>1.032373</v>
      </c>
      <c r="I2334">
        <v>284.70030000000003</v>
      </c>
      <c r="J2334">
        <v>-327.91140000000001</v>
      </c>
      <c r="K2334">
        <v>1.111089</v>
      </c>
      <c r="L2334">
        <v>284.64800000000002</v>
      </c>
      <c r="M2334">
        <v>-0.99982070000000001</v>
      </c>
      <c r="N2334">
        <v>-1.515907E-2</v>
      </c>
      <c r="O2334">
        <v>-1.136442E-2</v>
      </c>
      <c r="P2334">
        <v>-0.93047809999999997</v>
      </c>
      <c r="Q2334">
        <v>0.36385859999999998</v>
      </c>
      <c r="R2334">
        <v>-4.2636159999999999E-2</v>
      </c>
      <c r="S2334">
        <v>-3.3324889999999998</v>
      </c>
      <c r="T2334">
        <v>-0.260882</v>
      </c>
      <c r="U2334">
        <v>0.1581726</v>
      </c>
      <c r="V2334">
        <v>-3.2348679999999998E-2</v>
      </c>
      <c r="W2334">
        <v>0.37790380000000001</v>
      </c>
      <c r="X2334">
        <v>0.92527959999999998</v>
      </c>
      <c r="Y2334">
        <v>5.8524300000000001E-2</v>
      </c>
      <c r="Z2334">
        <v>3.4465400000000001E-3</v>
      </c>
      <c r="AA2334">
        <v>0.99827999999999995</v>
      </c>
      <c r="AB2334">
        <v>40</v>
      </c>
      <c r="AC2334">
        <v>-0.65929999999997302</v>
      </c>
      <c r="AD2334">
        <v>-7.8715999999999994E-2</v>
      </c>
      <c r="AE2334">
        <v>5.2300000000059299E-2</v>
      </c>
      <c r="AF2334">
        <v>5.8954910751360202E-2</v>
      </c>
      <c r="AG2334">
        <v>-7.8715999999999994E-2</v>
      </c>
      <c r="AH2334">
        <v>0.64946294253803805</v>
      </c>
      <c r="AI2334">
        <v>96.882612218349806</v>
      </c>
      <c r="AJ2334">
        <v>84.813198740851902</v>
      </c>
      <c r="AK2334">
        <v>0.65686680833169497</v>
      </c>
      <c r="AL2334">
        <v>67.796101162630805</v>
      </c>
      <c r="AM2334">
        <v>92.002300984766094</v>
      </c>
      <c r="AN2334">
        <v>1.0000000286641699</v>
      </c>
    </row>
    <row r="2335" spans="1:40" x14ac:dyDescent="0.25">
      <c r="A2335" t="str">
        <f>"20190304164900512"</f>
        <v>20190304164900512</v>
      </c>
      <c r="B2335" t="str">
        <f>"1551689340507984"</f>
        <v>1551689340507984</v>
      </c>
      <c r="C2335" t="s">
        <v>40</v>
      </c>
      <c r="D2335">
        <v>4.1748289999999999</v>
      </c>
      <c r="E2335">
        <v>0.55111269999999901</v>
      </c>
      <c r="F2335" t="s">
        <v>41</v>
      </c>
      <c r="G2335">
        <v>-328.93130000000002</v>
      </c>
      <c r="H2335">
        <v>1.0314299999999901</v>
      </c>
      <c r="I2335">
        <v>284.69630000000001</v>
      </c>
      <c r="J2335">
        <v>-328.15980000000002</v>
      </c>
      <c r="K2335">
        <v>1.111084</v>
      </c>
      <c r="L2335">
        <v>284.64510000000001</v>
      </c>
      <c r="M2335">
        <v>-0.99981869999999995</v>
      </c>
      <c r="N2335">
        <v>-1.515614E-2</v>
      </c>
      <c r="O2335">
        <v>-1.1535419999999999E-2</v>
      </c>
      <c r="P2335">
        <v>-0.93035299999999999</v>
      </c>
      <c r="Q2335">
        <v>0.36409269999999999</v>
      </c>
      <c r="R2335">
        <v>-4.3358399999999998E-2</v>
      </c>
      <c r="S2335">
        <v>-3.333221</v>
      </c>
      <c r="T2335">
        <v>-0.26055650000000002</v>
      </c>
      <c r="U2335">
        <v>0.15695190000000001</v>
      </c>
      <c r="V2335">
        <v>-3.2906119999999997E-2</v>
      </c>
      <c r="W2335">
        <v>0.37813330000000001</v>
      </c>
      <c r="X2335">
        <v>0.92516609999999999</v>
      </c>
      <c r="Y2335">
        <v>5.8320919999999998E-2</v>
      </c>
      <c r="Z2335">
        <v>3.4431399999999999E-3</v>
      </c>
      <c r="AA2335">
        <v>0.99829199999999996</v>
      </c>
      <c r="AB2335">
        <v>40</v>
      </c>
      <c r="AC2335">
        <v>-0.77150000000000296</v>
      </c>
      <c r="AD2335">
        <v>-7.96540000000001E-2</v>
      </c>
      <c r="AE2335">
        <v>5.1199999999994299E-2</v>
      </c>
      <c r="AF2335">
        <v>5.9466081924855599E-2</v>
      </c>
      <c r="AG2335">
        <v>-7.96540000000001E-2</v>
      </c>
      <c r="AH2335">
        <v>0.76276283588485805</v>
      </c>
      <c r="AI2335">
        <v>95.943784228458995</v>
      </c>
      <c r="AJ2335">
        <v>85.542156036684801</v>
      </c>
      <c r="AK2335">
        <v>0.76921266137694599</v>
      </c>
      <c r="AL2335">
        <v>67.781896237511305</v>
      </c>
      <c r="AM2335">
        <v>92.037025949796501</v>
      </c>
      <c r="AN2335">
        <v>0.99999995894577598</v>
      </c>
    </row>
    <row r="2336" spans="1:40" x14ac:dyDescent="0.25">
      <c r="A2336" t="str">
        <f>"20190304164900523"</f>
        <v>20190304164900523</v>
      </c>
      <c r="B2336" t="str">
        <f>"1551689340518720"</f>
        <v>1551689340518720</v>
      </c>
      <c r="C2336" t="s">
        <v>40</v>
      </c>
      <c r="D2336">
        <v>4.1712619999999996</v>
      </c>
      <c r="E2336">
        <v>0.55120000000000002</v>
      </c>
      <c r="F2336" t="s">
        <v>41</v>
      </c>
      <c r="G2336">
        <v>-328.94380000000001</v>
      </c>
      <c r="H2336">
        <v>1.049928</v>
      </c>
      <c r="I2336">
        <v>284.68220000000002</v>
      </c>
      <c r="J2336">
        <v>-328.36360000000002</v>
      </c>
      <c r="K2336">
        <v>1.11107</v>
      </c>
      <c r="L2336">
        <v>284.64260000000002</v>
      </c>
      <c r="M2336">
        <v>-0.99981710000000001</v>
      </c>
      <c r="N2336">
        <v>-1.5153730000000001E-2</v>
      </c>
      <c r="O2336">
        <v>-1.1667189999999999E-2</v>
      </c>
      <c r="P2336">
        <v>-0.93044380000000004</v>
      </c>
      <c r="Q2336">
        <v>0.36377959999999998</v>
      </c>
      <c r="R2336">
        <v>-4.4030390000000003E-2</v>
      </c>
      <c r="S2336">
        <v>-3.333771</v>
      </c>
      <c r="T2336">
        <v>-0.26029679999999999</v>
      </c>
      <c r="U2336">
        <v>0.15686040000000001</v>
      </c>
      <c r="V2336">
        <v>-3.3446289999999997E-2</v>
      </c>
      <c r="W2336">
        <v>0.3778203</v>
      </c>
      <c r="X2336">
        <v>0.92527459999999995</v>
      </c>
      <c r="Y2336">
        <v>5.8417330000000003E-2</v>
      </c>
      <c r="Z2336">
        <v>3.452185E-3</v>
      </c>
      <c r="AA2336">
        <v>0.99828629999999996</v>
      </c>
      <c r="AB2336">
        <v>40</v>
      </c>
      <c r="AC2336">
        <v>-0.58019999999998995</v>
      </c>
      <c r="AD2336">
        <v>-6.1142000000000002E-2</v>
      </c>
      <c r="AE2336">
        <v>3.9600000000007102E-2</v>
      </c>
      <c r="AF2336">
        <v>4.5860459944404498E-2</v>
      </c>
      <c r="AG2336">
        <v>-6.1142000000000002E-2</v>
      </c>
      <c r="AH2336">
        <v>0.57336070210001999</v>
      </c>
      <c r="AI2336">
        <v>96.067667105033195</v>
      </c>
      <c r="AJ2336">
        <v>85.426912437758403</v>
      </c>
      <c r="AK2336">
        <v>0.57843238210091596</v>
      </c>
      <c r="AL2336">
        <v>67.801266833834603</v>
      </c>
      <c r="AM2336">
        <v>92.070193283129498</v>
      </c>
      <c r="AN2336">
        <v>0.99999995940600594</v>
      </c>
    </row>
    <row r="2337" spans="1:40" x14ac:dyDescent="0.25">
      <c r="A2337" t="str">
        <f>"20190304164900536"</f>
        <v>20190304164900536</v>
      </c>
      <c r="B2337" t="str">
        <f>"1551689340528480"</f>
        <v>1551689340528480</v>
      </c>
      <c r="C2337" t="s">
        <v>40</v>
      </c>
      <c r="D2337">
        <v>4.1891259999999999</v>
      </c>
      <c r="E2337">
        <v>0.55128159999999904</v>
      </c>
      <c r="F2337" t="s">
        <v>41</v>
      </c>
      <c r="G2337">
        <v>-329.2953</v>
      </c>
      <c r="H2337">
        <v>1.0380450000000001</v>
      </c>
      <c r="I2337">
        <v>284.68650000000002</v>
      </c>
      <c r="J2337">
        <v>-328.5772</v>
      </c>
      <c r="K2337">
        <v>1.1110610000000001</v>
      </c>
      <c r="L2337">
        <v>284.64</v>
      </c>
      <c r="M2337">
        <v>-0.99981569999999997</v>
      </c>
      <c r="N2337">
        <v>-1.515119E-2</v>
      </c>
      <c r="O2337">
        <v>-1.180192E-2</v>
      </c>
      <c r="P2337">
        <v>-0.93037650000000005</v>
      </c>
      <c r="Q2337">
        <v>0.36386410000000002</v>
      </c>
      <c r="R2337">
        <v>-4.4757289999999998E-2</v>
      </c>
      <c r="S2337">
        <v>-3.3338930000000002</v>
      </c>
      <c r="T2337">
        <v>-0.26150889999999999</v>
      </c>
      <c r="U2337">
        <v>0.15573119999999999</v>
      </c>
      <c r="V2337">
        <v>-3.4039369999999999E-2</v>
      </c>
      <c r="W2337">
        <v>0.3779016</v>
      </c>
      <c r="X2337">
        <v>0.92521980000000004</v>
      </c>
      <c r="Y2337">
        <v>5.8211190000000003E-2</v>
      </c>
      <c r="Z2337">
        <v>3.4657149999999999E-3</v>
      </c>
      <c r="AA2337">
        <v>0.99829829999999997</v>
      </c>
      <c r="AB2337">
        <v>40</v>
      </c>
      <c r="AC2337">
        <v>-0.71809999999999197</v>
      </c>
      <c r="AD2337">
        <v>-7.30159999999999E-2</v>
      </c>
      <c r="AE2337">
        <v>4.6500000000037199E-2</v>
      </c>
      <c r="AF2337">
        <v>5.4412485518342803E-2</v>
      </c>
      <c r="AG2337">
        <v>-7.30159999999999E-2</v>
      </c>
      <c r="AH2337">
        <v>0.71018934383707999</v>
      </c>
      <c r="AI2337">
        <v>95.853035569497294</v>
      </c>
      <c r="AJ2337">
        <v>85.618736144003293</v>
      </c>
      <c r="AK2337">
        <v>0.71600346293577799</v>
      </c>
      <c r="AL2337">
        <v>67.796236361825706</v>
      </c>
      <c r="AM2337">
        <v>92.106994474286296</v>
      </c>
      <c r="AN2337">
        <v>0.99999998815229796</v>
      </c>
    </row>
    <row r="2338" spans="1:40" x14ac:dyDescent="0.25">
      <c r="A2338" t="str">
        <f>"20190304164900547"</f>
        <v>20190304164900547</v>
      </c>
      <c r="B2338" t="str">
        <f>"1551689340538240"</f>
        <v>1551689340538240</v>
      </c>
      <c r="C2338" t="s">
        <v>40</v>
      </c>
      <c r="D2338">
        <v>4.1636170000000003</v>
      </c>
      <c r="E2338">
        <v>0.55136450000000004</v>
      </c>
      <c r="F2338" t="s">
        <v>41</v>
      </c>
      <c r="G2338">
        <v>-329.65019999999998</v>
      </c>
      <c r="H2338">
        <v>1.027002</v>
      </c>
      <c r="I2338">
        <v>284.69</v>
      </c>
      <c r="J2338">
        <v>-328.78230000000002</v>
      </c>
      <c r="K2338">
        <v>1.1110530000000001</v>
      </c>
      <c r="L2338">
        <v>284.63749999999999</v>
      </c>
      <c r="M2338">
        <v>-0.99981430000000004</v>
      </c>
      <c r="N2338">
        <v>-1.5148679999999999E-2</v>
      </c>
      <c r="O2338">
        <v>-1.191356E-2</v>
      </c>
      <c r="P2338">
        <v>-0.93029899999999999</v>
      </c>
      <c r="Q2338">
        <v>0.36399029999999999</v>
      </c>
      <c r="R2338">
        <v>-4.5332709999999998E-2</v>
      </c>
      <c r="S2338">
        <v>-3.3341980000000002</v>
      </c>
      <c r="T2338">
        <v>-0.26137139999999998</v>
      </c>
      <c r="U2338">
        <v>0.15475459999999999</v>
      </c>
      <c r="V2338">
        <v>-3.4498939999999999E-2</v>
      </c>
      <c r="W2338">
        <v>0.37802570000000002</v>
      </c>
      <c r="X2338">
        <v>0.92515210000000003</v>
      </c>
      <c r="Y2338">
        <v>5.802736E-2</v>
      </c>
      <c r="Z2338">
        <v>3.462176E-3</v>
      </c>
      <c r="AA2338">
        <v>0.998309</v>
      </c>
      <c r="AB2338">
        <v>40</v>
      </c>
      <c r="AC2338">
        <v>-0.86789999999996303</v>
      </c>
      <c r="AD2338">
        <v>-8.4051000000000098E-2</v>
      </c>
      <c r="AE2338">
        <v>5.2500000000008998E-2</v>
      </c>
      <c r="AF2338">
        <v>6.2255486484518202E-2</v>
      </c>
      <c r="AG2338">
        <v>-8.4051000000000098E-2</v>
      </c>
      <c r="AH2338">
        <v>0.85918413663981297</v>
      </c>
      <c r="AI2338">
        <v>95.572751145045999</v>
      </c>
      <c r="AJ2338">
        <v>85.855657104694998</v>
      </c>
      <c r="AK2338">
        <v>0.86552740964797004</v>
      </c>
      <c r="AL2338">
        <v>67.7885566989453</v>
      </c>
      <c r="AM2338">
        <v>92.135571241714501</v>
      </c>
      <c r="AN2338">
        <v>1.00000000742801</v>
      </c>
    </row>
    <row r="2339" spans="1:40" x14ac:dyDescent="0.25">
      <c r="A2339" t="str">
        <f>"20190304164900557"</f>
        <v>20190304164900557</v>
      </c>
      <c r="B2339" t="str">
        <f>"1551689340548000"</f>
        <v>1551689340548000</v>
      </c>
      <c r="C2339" t="s">
        <v>40</v>
      </c>
      <c r="D2339">
        <v>4.1751490000000002</v>
      </c>
      <c r="E2339">
        <v>0.55147170000000001</v>
      </c>
      <c r="F2339" t="s">
        <v>41</v>
      </c>
      <c r="G2339">
        <v>-329.65789999999998</v>
      </c>
      <c r="H2339">
        <v>1.0424340000000001</v>
      </c>
      <c r="I2339">
        <v>284.67790000000002</v>
      </c>
      <c r="J2339">
        <v>-328.98</v>
      </c>
      <c r="K2339">
        <v>1.11104</v>
      </c>
      <c r="L2339">
        <v>284.63510000000002</v>
      </c>
      <c r="M2339">
        <v>-0.99981319999999996</v>
      </c>
      <c r="N2339">
        <v>-1.514626E-2</v>
      </c>
      <c r="O2339">
        <v>-1.2015639999999999E-2</v>
      </c>
      <c r="P2339">
        <v>-0.93033069999999896</v>
      </c>
      <c r="Q2339">
        <v>0.36384490000000003</v>
      </c>
      <c r="R2339">
        <v>-4.5846070000000003E-2</v>
      </c>
      <c r="S2339">
        <v>-3.3345340000000001</v>
      </c>
      <c r="T2339">
        <v>-0.26144539999999999</v>
      </c>
      <c r="U2339">
        <v>0.1530762</v>
      </c>
      <c r="V2339">
        <v>-3.4902629999999997E-2</v>
      </c>
      <c r="W2339">
        <v>0.37787939999999998</v>
      </c>
      <c r="X2339">
        <v>0.92519669999999998</v>
      </c>
      <c r="Y2339">
        <v>5.7624380000000003E-2</v>
      </c>
      <c r="Z2339">
        <v>3.4503670000000002E-3</v>
      </c>
      <c r="AA2339">
        <v>0.99833240000000001</v>
      </c>
      <c r="AB2339">
        <v>40</v>
      </c>
      <c r="AC2339">
        <v>-0.67789999999996498</v>
      </c>
      <c r="AD2339">
        <v>-6.8605999999999903E-2</v>
      </c>
      <c r="AE2339">
        <v>4.2799999999999699E-2</v>
      </c>
      <c r="AF2339">
        <v>5.0428794750505698E-2</v>
      </c>
      <c r="AG2339">
        <v>-6.8605999999999903E-2</v>
      </c>
      <c r="AH2339">
        <v>0.67049663283521999</v>
      </c>
      <c r="AI2339">
        <v>95.825898318007702</v>
      </c>
      <c r="AJ2339">
        <v>85.698818913274394</v>
      </c>
      <c r="AK2339">
        <v>0.67588133664080197</v>
      </c>
      <c r="AL2339">
        <v>67.797610103097099</v>
      </c>
      <c r="AM2339">
        <v>92.160433071651696</v>
      </c>
      <c r="AN2339">
        <v>0.999999984108083</v>
      </c>
    </row>
    <row r="2340" spans="1:40" x14ac:dyDescent="0.25">
      <c r="A2340" t="str">
        <f>"20190304164900570"</f>
        <v>20190304164900570</v>
      </c>
      <c r="B2340" t="str">
        <f>"1551689340558735"</f>
        <v>1551689340558735</v>
      </c>
      <c r="C2340" t="s">
        <v>40</v>
      </c>
      <c r="D2340">
        <v>4.1010369999999998</v>
      </c>
      <c r="E2340">
        <v>0.55146490000000004</v>
      </c>
      <c r="F2340" t="s">
        <v>41</v>
      </c>
      <c r="G2340">
        <v>-330.01150000000001</v>
      </c>
      <c r="H2340">
        <v>1.0299100000000001</v>
      </c>
      <c r="I2340">
        <v>284.68259999999998</v>
      </c>
      <c r="J2340">
        <v>-329.19690000000003</v>
      </c>
      <c r="K2340">
        <v>1.111019</v>
      </c>
      <c r="L2340">
        <v>284.63240000000002</v>
      </c>
      <c r="M2340">
        <v>-0.99981209999999998</v>
      </c>
      <c r="N2340">
        <v>-1.514361E-2</v>
      </c>
      <c r="O2340">
        <v>-1.211096E-2</v>
      </c>
      <c r="P2340">
        <v>-0.93036799999999997</v>
      </c>
      <c r="Q2340">
        <v>0.36365920000000002</v>
      </c>
      <c r="R2340">
        <v>-4.6555970000000002E-2</v>
      </c>
      <c r="S2340">
        <v>-3.3348390000000001</v>
      </c>
      <c r="T2340">
        <v>-0.26241609999999999</v>
      </c>
      <c r="U2340">
        <v>0.1530762</v>
      </c>
      <c r="V2340">
        <v>-3.550507E-2</v>
      </c>
      <c r="W2340">
        <v>0.37769360000000002</v>
      </c>
      <c r="X2340">
        <v>0.92524960000000001</v>
      </c>
      <c r="Y2340">
        <v>5.7713239999999999E-2</v>
      </c>
      <c r="Z2340">
        <v>3.4720689999999999E-3</v>
      </c>
      <c r="AA2340">
        <v>0.99832710000000002</v>
      </c>
      <c r="AB2340">
        <v>40</v>
      </c>
      <c r="AC2340">
        <v>-0.814599999999984</v>
      </c>
      <c r="AD2340">
        <v>-8.1108999999999806E-2</v>
      </c>
      <c r="AE2340">
        <v>5.0199999999961102E-2</v>
      </c>
      <c r="AF2340">
        <v>5.9475624688518601E-2</v>
      </c>
      <c r="AG2340">
        <v>-8.1108999999999806E-2</v>
      </c>
      <c r="AH2340">
        <v>0.80597202027284998</v>
      </c>
      <c r="AI2340">
        <v>95.731134750183998</v>
      </c>
      <c r="AJ2340">
        <v>85.779584436579597</v>
      </c>
      <c r="AK2340">
        <v>0.81222344048653705</v>
      </c>
      <c r="AL2340">
        <v>67.809106775772193</v>
      </c>
      <c r="AM2340">
        <v>92.197561639996295</v>
      </c>
      <c r="AN2340">
        <v>0.99999994388840996</v>
      </c>
    </row>
    <row r="2341" spans="1:40" x14ac:dyDescent="0.25">
      <c r="A2341" t="str">
        <f>"20190304164900585"</f>
        <v>20190304164900585</v>
      </c>
      <c r="B2341" t="str">
        <f>"1551689340578256"</f>
        <v>1551689340578256</v>
      </c>
      <c r="C2341" t="s">
        <v>40</v>
      </c>
      <c r="D2341">
        <v>4.1690610000000001</v>
      </c>
      <c r="E2341">
        <v>0.55169060000000003</v>
      </c>
      <c r="F2341" t="s">
        <v>41</v>
      </c>
      <c r="G2341">
        <v>-330.02140000000003</v>
      </c>
      <c r="H2341">
        <v>1.0463100000000001</v>
      </c>
      <c r="I2341">
        <v>284.67</v>
      </c>
      <c r="J2341">
        <v>-329.4522</v>
      </c>
      <c r="K2341">
        <v>1.110994</v>
      </c>
      <c r="L2341">
        <v>284.62920000000003</v>
      </c>
      <c r="M2341">
        <v>-0.99981089999999995</v>
      </c>
      <c r="N2341">
        <v>-1.5140610000000001E-2</v>
      </c>
      <c r="O2341">
        <v>-1.220474E-2</v>
      </c>
      <c r="P2341">
        <v>-0.93031609999999998</v>
      </c>
      <c r="Q2341">
        <v>0.3637436</v>
      </c>
      <c r="R2341">
        <v>-4.6929899999999997E-2</v>
      </c>
      <c r="S2341">
        <v>-3.3344420000000001</v>
      </c>
      <c r="T2341">
        <v>-0.2618605</v>
      </c>
      <c r="U2341">
        <v>0.15118409999999999</v>
      </c>
      <c r="V2341">
        <v>-3.5768929999999997E-2</v>
      </c>
      <c r="W2341">
        <v>0.37777660000000002</v>
      </c>
      <c r="X2341">
        <v>0.92520559999999996</v>
      </c>
      <c r="Y2341">
        <v>5.7249399999999999E-2</v>
      </c>
      <c r="Z2341">
        <v>3.449873E-3</v>
      </c>
      <c r="AA2341">
        <v>0.99835399999999996</v>
      </c>
      <c r="AB2341">
        <v>40</v>
      </c>
      <c r="AC2341">
        <v>-0.56920000000002302</v>
      </c>
      <c r="AD2341">
        <v>-6.4683999999999894E-2</v>
      </c>
      <c r="AE2341">
        <v>4.0799999999990101E-2</v>
      </c>
      <c r="AF2341">
        <v>4.7139048455406597E-2</v>
      </c>
      <c r="AG2341">
        <v>-6.4683999999999894E-2</v>
      </c>
      <c r="AH2341">
        <v>0.56144608049114297</v>
      </c>
      <c r="AI2341">
        <v>96.549208878572699</v>
      </c>
      <c r="AJ2341">
        <v>85.200698829826294</v>
      </c>
      <c r="AK2341">
        <v>0.56712239511779805</v>
      </c>
      <c r="AL2341">
        <v>67.803971770119603</v>
      </c>
      <c r="AM2341">
        <v>92.213982061350507</v>
      </c>
      <c r="AN2341">
        <v>0.99999998906613197</v>
      </c>
    </row>
    <row r="2342" spans="1:40" x14ac:dyDescent="0.25">
      <c r="A2342" t="str">
        <f>"20190304164900600"</f>
        <v>20190304164900600</v>
      </c>
      <c r="B2342" t="str">
        <f>"1551689340588016"</f>
        <v>1551689340588016</v>
      </c>
      <c r="C2342" t="s">
        <v>40</v>
      </c>
      <c r="D2342">
        <v>4.188294</v>
      </c>
      <c r="E2342">
        <v>0.55181459999999904</v>
      </c>
      <c r="F2342" t="s">
        <v>41</v>
      </c>
      <c r="G2342">
        <v>-330.37520000000001</v>
      </c>
      <c r="H2342">
        <v>1.0383370000000001</v>
      </c>
      <c r="I2342">
        <v>284.67129999999997</v>
      </c>
      <c r="J2342">
        <v>-329.73090000000002</v>
      </c>
      <c r="K2342">
        <v>1.1109639999999901</v>
      </c>
      <c r="L2342">
        <v>284.62569999999999</v>
      </c>
      <c r="M2342">
        <v>-0.99980999999999998</v>
      </c>
      <c r="N2342">
        <v>-1.513745E-2</v>
      </c>
      <c r="O2342">
        <v>-1.2288429999999999E-2</v>
      </c>
      <c r="P2342">
        <v>-0.93032119999999996</v>
      </c>
      <c r="Q2342">
        <v>0.36365189999999997</v>
      </c>
      <c r="R2342">
        <v>-4.7543910000000002E-2</v>
      </c>
      <c r="S2342">
        <v>-3.335083</v>
      </c>
      <c r="T2342">
        <v>-0.26270939999999998</v>
      </c>
      <c r="U2342">
        <v>0.15151979999999901</v>
      </c>
      <c r="V2342">
        <v>-3.6277749999999997E-2</v>
      </c>
      <c r="W2342">
        <v>0.37768439999999998</v>
      </c>
      <c r="X2342">
        <v>0.92522349999999998</v>
      </c>
      <c r="Y2342">
        <v>5.7422420000000002E-2</v>
      </c>
      <c r="Z2342">
        <v>3.4729769999999999E-3</v>
      </c>
      <c r="AA2342">
        <v>0.99834389999999995</v>
      </c>
      <c r="AB2342">
        <v>40</v>
      </c>
      <c r="AC2342">
        <v>-0.64429999999998699</v>
      </c>
      <c r="AD2342">
        <v>-7.2626999999999706E-2</v>
      </c>
      <c r="AE2342">
        <v>4.55999999999789E-2</v>
      </c>
      <c r="AF2342">
        <v>5.2846756831156798E-2</v>
      </c>
      <c r="AG2342">
        <v>-7.2626999999999706E-2</v>
      </c>
      <c r="AH2342">
        <v>0.63565434892986095</v>
      </c>
      <c r="AI2342">
        <v>96.495874343878796</v>
      </c>
      <c r="AJ2342">
        <v>85.247497646176598</v>
      </c>
      <c r="AK2342">
        <v>0.64196877817384301</v>
      </c>
      <c r="AL2342">
        <v>67.809678613813702</v>
      </c>
      <c r="AM2342">
        <v>92.245400978015695</v>
      </c>
      <c r="AN2342">
        <v>1.0000000530503299</v>
      </c>
    </row>
    <row r="2343" spans="1:40" x14ac:dyDescent="0.25">
      <c r="A2343" t="str">
        <f>"20190304164900614"</f>
        <v>20190304164900614</v>
      </c>
      <c r="B2343" t="str">
        <f>"1551689340608513"</f>
        <v>1551689340608513</v>
      </c>
      <c r="C2343" t="s">
        <v>40</v>
      </c>
      <c r="D2343">
        <v>4.1695099999999998</v>
      </c>
      <c r="E2343">
        <v>0.55199149999999997</v>
      </c>
      <c r="F2343" t="s">
        <v>41</v>
      </c>
      <c r="G2343">
        <v>-330.7312</v>
      </c>
      <c r="H2343">
        <v>1.0318689999999999</v>
      </c>
      <c r="I2343">
        <v>284.67079999999999</v>
      </c>
      <c r="J2343">
        <v>-329.99720000000002</v>
      </c>
      <c r="K2343">
        <v>1.110938</v>
      </c>
      <c r="L2343">
        <v>284.62240000000003</v>
      </c>
      <c r="M2343">
        <v>-0.99980919999999895</v>
      </c>
      <c r="N2343">
        <v>-1.513451E-2</v>
      </c>
      <c r="O2343">
        <v>-1.235081E-2</v>
      </c>
      <c r="P2343">
        <v>-0.93027879999999996</v>
      </c>
      <c r="Q2343">
        <v>0.36376380000000003</v>
      </c>
      <c r="R2343">
        <v>-4.7513560000000003E-2</v>
      </c>
      <c r="S2343">
        <v>-3.3355410000000001</v>
      </c>
      <c r="T2343">
        <v>-0.26385769999999997</v>
      </c>
      <c r="U2343">
        <v>0.1494751</v>
      </c>
      <c r="V2343">
        <v>-3.6163479999999998E-2</v>
      </c>
      <c r="W2343">
        <v>0.3777952</v>
      </c>
      <c r="X2343">
        <v>0.92518270000000002</v>
      </c>
      <c r="Y2343">
        <v>5.6867760000000003E-2</v>
      </c>
      <c r="Z2343">
        <v>3.4644559999999999E-3</v>
      </c>
      <c r="AA2343">
        <v>0.99837569999999998</v>
      </c>
      <c r="AB2343">
        <v>40</v>
      </c>
      <c r="AC2343">
        <v>-0.73399999999998</v>
      </c>
      <c r="AD2343">
        <v>-7.9068999999999806E-2</v>
      </c>
      <c r="AE2343">
        <v>4.8399999999958199E-2</v>
      </c>
      <c r="AF2343">
        <v>5.6806492415485799E-2</v>
      </c>
      <c r="AG2343">
        <v>-7.9068999999999806E-2</v>
      </c>
      <c r="AH2343">
        <v>0.724969781072902</v>
      </c>
      <c r="AI2343">
        <v>96.205503250795701</v>
      </c>
      <c r="AJ2343">
        <v>85.519626424313302</v>
      </c>
      <c r="AK2343">
        <v>0.73147800227378201</v>
      </c>
      <c r="AL2343">
        <v>67.802821480793696</v>
      </c>
      <c r="AM2343">
        <v>92.238434083122897</v>
      </c>
      <c r="AN2343">
        <v>1.0000000194040199</v>
      </c>
    </row>
    <row r="2344" spans="1:40" x14ac:dyDescent="0.25">
      <c r="A2344" t="str">
        <f>"20190304164900626"</f>
        <v>20190304164900626</v>
      </c>
      <c r="B2344" t="str">
        <f>"1551689340618271"</f>
        <v>1551689340618271</v>
      </c>
      <c r="C2344" t="s">
        <v>40</v>
      </c>
      <c r="D2344">
        <v>4.1728189999999996</v>
      </c>
      <c r="E2344">
        <v>0.55203729999999995</v>
      </c>
      <c r="F2344" t="s">
        <v>46</v>
      </c>
      <c r="G2344">
        <v>-344.01280000000003</v>
      </c>
      <c r="H2344" s="1">
        <v>5.9860459999999898E-7</v>
      </c>
      <c r="I2344">
        <v>285.25259999999997</v>
      </c>
      <c r="J2344">
        <v>-330.1952</v>
      </c>
      <c r="K2344">
        <v>1.1109199999999999</v>
      </c>
      <c r="L2344">
        <v>284.61989999999997</v>
      </c>
      <c r="M2344">
        <v>-0.9998089</v>
      </c>
      <c r="N2344">
        <v>-1.5132339999999999E-2</v>
      </c>
      <c r="O2344">
        <v>-1.238179E-2</v>
      </c>
      <c r="P2344">
        <v>-0.93021849999999995</v>
      </c>
      <c r="Q2344">
        <v>0.36393150000000002</v>
      </c>
      <c r="R2344">
        <v>-4.7411309999999998E-2</v>
      </c>
      <c r="S2344">
        <v>-3.3358759999999998</v>
      </c>
      <c r="T2344">
        <v>-0.26441710000000002</v>
      </c>
      <c r="U2344">
        <v>0.14999390000000001</v>
      </c>
      <c r="V2344">
        <v>-3.601613E-2</v>
      </c>
      <c r="W2344">
        <v>0.37796200000000002</v>
      </c>
      <c r="X2344">
        <v>0.92512030000000001</v>
      </c>
      <c r="Y2344">
        <v>5.7047510000000003E-2</v>
      </c>
      <c r="Z2344">
        <v>3.4813510000000002E-3</v>
      </c>
      <c r="AA2344">
        <v>0.99836539999999996</v>
      </c>
      <c r="AB2344">
        <v>40</v>
      </c>
      <c r="AC2344">
        <v>-13.817600000000001</v>
      </c>
      <c r="AD2344">
        <v>-1.11091940139539</v>
      </c>
      <c r="AE2344">
        <v>0.63269999999999904</v>
      </c>
      <c r="AF2344">
        <v>0.79860631675018601</v>
      </c>
      <c r="AG2344">
        <v>-1.11091940139539</v>
      </c>
      <c r="AH2344">
        <v>13.720204143317</v>
      </c>
      <c r="AI2344">
        <v>94.621329562215195</v>
      </c>
      <c r="AJ2344">
        <v>86.668766659908002</v>
      </c>
      <c r="AK2344">
        <v>13.788252815344</v>
      </c>
      <c r="AL2344">
        <v>67.792498800296002</v>
      </c>
      <c r="AM2344">
        <v>92.229472904628594</v>
      </c>
      <c r="AN2344">
        <v>1.0000000022681299</v>
      </c>
    </row>
    <row r="2345" spans="1:40" x14ac:dyDescent="0.25">
      <c r="A2345" t="str">
        <f>"20190304164900637"</f>
        <v>20190304164900637</v>
      </c>
      <c r="B2345" t="str">
        <f>"1551689340628032"</f>
        <v>1551689340628032</v>
      </c>
      <c r="C2345" t="s">
        <v>40</v>
      </c>
      <c r="D2345">
        <v>4.171443</v>
      </c>
      <c r="E2345">
        <v>0.55209960000000002</v>
      </c>
      <c r="F2345" t="s">
        <v>41</v>
      </c>
      <c r="G2345">
        <v>-331.09379999999999</v>
      </c>
      <c r="H2345">
        <v>1.0395509999999999</v>
      </c>
      <c r="I2345">
        <v>284.66030000000001</v>
      </c>
      <c r="J2345">
        <v>-330.40519999999998</v>
      </c>
      <c r="K2345">
        <v>1.1109039999999999</v>
      </c>
      <c r="L2345">
        <v>284.6173</v>
      </c>
      <c r="M2345">
        <v>-0.99980869999999999</v>
      </c>
      <c r="N2345">
        <v>-1.5130029999999999E-2</v>
      </c>
      <c r="O2345">
        <v>-1.2410239999999999E-2</v>
      </c>
      <c r="P2345">
        <v>-0.93024600000000002</v>
      </c>
      <c r="Q2345">
        <v>0.3638595</v>
      </c>
      <c r="R2345">
        <v>-4.7422359999999997E-2</v>
      </c>
      <c r="S2345">
        <v>-3.3363339999999901</v>
      </c>
      <c r="T2345">
        <v>-0.26507039999999998</v>
      </c>
      <c r="U2345">
        <v>0.14941409999999999</v>
      </c>
      <c r="V2345">
        <v>-3.5981989999999998E-2</v>
      </c>
      <c r="W2345">
        <v>0.3778897</v>
      </c>
      <c r="X2345">
        <v>0.92515119999999895</v>
      </c>
      <c r="Y2345">
        <v>5.689607E-2</v>
      </c>
      <c r="Z2345">
        <v>3.4835299999999999E-3</v>
      </c>
      <c r="AA2345">
        <v>0.99837399999999998</v>
      </c>
      <c r="AB2345">
        <v>40</v>
      </c>
      <c r="AC2345">
        <v>-0.68860000000000798</v>
      </c>
      <c r="AD2345">
        <v>-7.1353E-2</v>
      </c>
      <c r="AE2345">
        <v>4.3000000000006297E-2</v>
      </c>
      <c r="AF2345">
        <v>5.0997908758012703E-2</v>
      </c>
      <c r="AG2345">
        <v>-7.1353E-2</v>
      </c>
      <c r="AH2345">
        <v>0.68073249760975896</v>
      </c>
      <c r="AI2345">
        <v>95.967176434053698</v>
      </c>
      <c r="AJ2345">
        <v>85.715619822753993</v>
      </c>
      <c r="AK2345">
        <v>0.68635906827892301</v>
      </c>
      <c r="AL2345">
        <v>67.796973905994804</v>
      </c>
      <c r="AM2345">
        <v>92.227287378765595</v>
      </c>
      <c r="AN2345">
        <v>1.00000003591594</v>
      </c>
    </row>
    <row r="2346" spans="1:40" x14ac:dyDescent="0.25">
      <c r="A2346" t="str">
        <f>"20190304164900648"</f>
        <v>20190304164900648</v>
      </c>
      <c r="B2346" t="str">
        <f>"1551689340638768"</f>
        <v>1551689340638768</v>
      </c>
      <c r="C2346" t="s">
        <v>40</v>
      </c>
      <c r="D2346">
        <v>4.1287149999999997</v>
      </c>
      <c r="E2346">
        <v>0.55213840000000003</v>
      </c>
      <c r="F2346" t="s">
        <v>41</v>
      </c>
      <c r="G2346">
        <v>-331.44630000000001</v>
      </c>
      <c r="H2346">
        <v>1.0277810000000001</v>
      </c>
      <c r="I2346">
        <v>284.6635</v>
      </c>
      <c r="J2346">
        <v>-330.6069</v>
      </c>
      <c r="K2346">
        <v>1.1108880000000001</v>
      </c>
      <c r="L2346">
        <v>284.61470000000003</v>
      </c>
      <c r="M2346">
        <v>-0.99980849999999999</v>
      </c>
      <c r="N2346">
        <v>-1.51278E-2</v>
      </c>
      <c r="O2346">
        <v>-1.2422290000000001E-2</v>
      </c>
      <c r="P2346">
        <v>-0.93007189999999995</v>
      </c>
      <c r="Q2346">
        <v>0.36431249999999998</v>
      </c>
      <c r="R2346">
        <v>-4.7357049999999998E-2</v>
      </c>
      <c r="S2346">
        <v>-3.3367309999999999</v>
      </c>
      <c r="T2346">
        <v>-0.26637080000000002</v>
      </c>
      <c r="U2346">
        <v>0.1486816</v>
      </c>
      <c r="V2346">
        <v>-3.5891039999999999E-2</v>
      </c>
      <c r="W2346">
        <v>0.37833990000000001</v>
      </c>
      <c r="X2346">
        <v>0.92497070000000003</v>
      </c>
      <c r="Y2346">
        <v>5.6682690000000001E-2</v>
      </c>
      <c r="Z2346">
        <v>3.4896329999999998E-3</v>
      </c>
      <c r="AA2346">
        <v>0.99838610000000005</v>
      </c>
      <c r="AB2346">
        <v>40</v>
      </c>
      <c r="AC2346">
        <v>-0.83940000000001103</v>
      </c>
      <c r="AD2346">
        <v>-8.3106999999999806E-2</v>
      </c>
      <c r="AE2346">
        <v>4.8799999999971498E-2</v>
      </c>
      <c r="AF2346">
        <v>5.8651699091540999E-2</v>
      </c>
      <c r="AG2346">
        <v>-8.3106999999999806E-2</v>
      </c>
      <c r="AH2346">
        <v>0.83061426262360405</v>
      </c>
      <c r="AI2346">
        <v>95.699607672372096</v>
      </c>
      <c r="AJ2346">
        <v>85.960909477197603</v>
      </c>
      <c r="AK2346">
        <v>0.83681948383691396</v>
      </c>
      <c r="AL2346">
        <v>67.769110407320099</v>
      </c>
      <c r="AM2346">
        <v>92.222096320428193</v>
      </c>
      <c r="AN2346">
        <v>1.00000002127139</v>
      </c>
    </row>
    <row r="2347" spans="1:40" x14ac:dyDescent="0.25">
      <c r="A2347" t="str">
        <f>"20190304164900660"</f>
        <v>20190304164900660</v>
      </c>
      <c r="B2347" t="str">
        <f>"1551689340648528"</f>
        <v>1551689340648528</v>
      </c>
      <c r="C2347" t="s">
        <v>40</v>
      </c>
      <c r="D2347">
        <v>4.1784400000000002</v>
      </c>
      <c r="E2347">
        <v>0.55222019999999905</v>
      </c>
      <c r="F2347" t="s">
        <v>41</v>
      </c>
      <c r="G2347">
        <v>-331.4547</v>
      </c>
      <c r="H2347">
        <v>1.043455</v>
      </c>
      <c r="I2347">
        <v>284.65249999999997</v>
      </c>
      <c r="J2347">
        <v>-330.81150000000002</v>
      </c>
      <c r="K2347">
        <v>1.1108739999999999</v>
      </c>
      <c r="L2347">
        <v>284.61219999999997</v>
      </c>
      <c r="M2347">
        <v>-0.99980840000000004</v>
      </c>
      <c r="N2347">
        <v>-1.512552E-2</v>
      </c>
      <c r="O2347">
        <v>-1.24273E-2</v>
      </c>
      <c r="P2347">
        <v>-0.9300908</v>
      </c>
      <c r="Q2347">
        <v>0.3642707</v>
      </c>
      <c r="R2347">
        <v>-4.7309909999999997E-2</v>
      </c>
      <c r="S2347">
        <v>-3.337097</v>
      </c>
      <c r="T2347">
        <v>-0.26536369999999998</v>
      </c>
      <c r="U2347">
        <v>0.14886469999999999</v>
      </c>
      <c r="V2347">
        <v>-3.5822909999999999E-2</v>
      </c>
      <c r="W2347">
        <v>0.37829750000000001</v>
      </c>
      <c r="X2347">
        <v>0.92499070000000005</v>
      </c>
      <c r="Y2347">
        <v>5.6739049999999999E-2</v>
      </c>
      <c r="Z2347">
        <v>3.4799779999999999E-3</v>
      </c>
      <c r="AA2347">
        <v>0.99838300000000002</v>
      </c>
      <c r="AB2347">
        <v>40</v>
      </c>
      <c r="AC2347">
        <v>-0.64319999999997801</v>
      </c>
      <c r="AD2347">
        <v>-6.7418999999999896E-2</v>
      </c>
      <c r="AE2347">
        <v>4.0300000000002001E-2</v>
      </c>
      <c r="AF2347">
        <v>4.7768271094602098E-2</v>
      </c>
      <c r="AG2347">
        <v>-6.7418999999999896E-2</v>
      </c>
      <c r="AH2347">
        <v>0.63569250526765397</v>
      </c>
      <c r="AI2347">
        <v>96.037036468615199</v>
      </c>
      <c r="AJ2347">
        <v>85.702660826593501</v>
      </c>
      <c r="AK2347">
        <v>0.64103985097483096</v>
      </c>
      <c r="AL2347">
        <v>67.771735179475399</v>
      </c>
      <c r="AM2347">
        <v>92.217834545958596</v>
      </c>
      <c r="AN2347">
        <v>1.0000000372368001</v>
      </c>
    </row>
    <row r="2348" spans="1:40" x14ac:dyDescent="0.25">
      <c r="A2348" t="str">
        <f>"20190304164900672"</f>
        <v>20190304164900672</v>
      </c>
      <c r="B2348" t="str">
        <f>"1551689340668340"</f>
        <v>1551689340668340</v>
      </c>
      <c r="C2348" t="s">
        <v>40</v>
      </c>
      <c r="D2348">
        <v>4.2990279999999998</v>
      </c>
      <c r="E2348">
        <v>0.5336687</v>
      </c>
      <c r="F2348" t="s">
        <v>41</v>
      </c>
      <c r="G2348">
        <v>-331.80619999999999</v>
      </c>
      <c r="H2348">
        <v>1.0315799999999999</v>
      </c>
      <c r="I2348">
        <v>284.6567</v>
      </c>
      <c r="J2348">
        <v>-331.0179</v>
      </c>
      <c r="K2348">
        <v>1.1108559999999901</v>
      </c>
      <c r="L2348">
        <v>284.6096</v>
      </c>
      <c r="M2348">
        <v>-0.99980849999999999</v>
      </c>
      <c r="N2348">
        <v>-1.51232E-2</v>
      </c>
      <c r="O2348">
        <v>-1.2423379999999999E-2</v>
      </c>
      <c r="P2348">
        <v>-0.93004070000000005</v>
      </c>
      <c r="Q2348">
        <v>0.36442639999999998</v>
      </c>
      <c r="R2348">
        <v>-4.7094709999999998E-2</v>
      </c>
      <c r="S2348">
        <v>-3.3373409999999999</v>
      </c>
      <c r="T2348">
        <v>-0.26613399999999998</v>
      </c>
      <c r="U2348">
        <v>0.14904790000000001</v>
      </c>
      <c r="V2348">
        <v>-3.5595969999999998E-2</v>
      </c>
      <c r="W2348">
        <v>0.37845200000000001</v>
      </c>
      <c r="X2348">
        <v>0.92493619999999999</v>
      </c>
      <c r="Y2348">
        <v>5.6785099999999998E-2</v>
      </c>
      <c r="Z2348">
        <v>3.4910039999999998E-3</v>
      </c>
      <c r="AA2348">
        <v>0.9983803</v>
      </c>
      <c r="AB2348">
        <v>40</v>
      </c>
      <c r="AC2348">
        <v>-0.78829999999999201</v>
      </c>
      <c r="AD2348">
        <v>-7.9275999999999902E-2</v>
      </c>
      <c r="AE2348">
        <v>4.7100000000000301E-2</v>
      </c>
      <c r="AF2348">
        <v>5.6323237080024499E-2</v>
      </c>
      <c r="AG2348">
        <v>-7.9275999999999902E-2</v>
      </c>
      <c r="AH2348">
        <v>0.77979555339607598</v>
      </c>
      <c r="AI2348">
        <v>95.789910948197701</v>
      </c>
      <c r="AJ2348">
        <v>85.868802465938302</v>
      </c>
      <c r="AK2348">
        <v>0.78583592200119301</v>
      </c>
      <c r="AL2348">
        <v>67.762170681709094</v>
      </c>
      <c r="AM2348">
        <v>92.2039280725038</v>
      </c>
      <c r="AN2348">
        <v>0.99999998172733995</v>
      </c>
    </row>
    <row r="2349" spans="1:40" x14ac:dyDescent="0.25">
      <c r="A2349" t="str">
        <f>"20190304164900684"</f>
        <v>20190304164900684</v>
      </c>
      <c r="B2349" t="str">
        <f>"1551689340678101"</f>
        <v>1551689340678101</v>
      </c>
      <c r="C2349" t="s">
        <v>40</v>
      </c>
      <c r="D2349">
        <v>4.228046</v>
      </c>
      <c r="E2349">
        <v>0.52301600000000004</v>
      </c>
      <c r="F2349" t="s">
        <v>46</v>
      </c>
      <c r="G2349">
        <v>-346.6028</v>
      </c>
      <c r="H2349" s="1">
        <v>1.9769169999999999E-6</v>
      </c>
      <c r="I2349">
        <v>284.62810000000002</v>
      </c>
      <c r="J2349">
        <v>-331.24689999999998</v>
      </c>
      <c r="K2349">
        <v>1.110835</v>
      </c>
      <c r="L2349">
        <v>284.60680000000002</v>
      </c>
      <c r="M2349">
        <v>-0.99980880000000005</v>
      </c>
      <c r="N2349">
        <v>-1.5120639999999999E-2</v>
      </c>
      <c r="O2349">
        <v>-1.2408010000000001E-2</v>
      </c>
      <c r="P2349">
        <v>-0.92998239999999999</v>
      </c>
      <c r="Q2349">
        <v>0.36457529999999999</v>
      </c>
      <c r="R2349">
        <v>-4.7096190000000003E-2</v>
      </c>
      <c r="S2349">
        <v>-3.3185419999999999</v>
      </c>
      <c r="T2349">
        <v>-0.23653660000000001</v>
      </c>
      <c r="U2349">
        <v>3.9367680000000002E-3</v>
      </c>
      <c r="V2349">
        <v>-3.5595410000000001E-2</v>
      </c>
      <c r="W2349">
        <v>0.37859939999999997</v>
      </c>
      <c r="X2349">
        <v>0.92487589999999997</v>
      </c>
      <c r="Y2349">
        <v>1.353444E-2</v>
      </c>
      <c r="Z2349">
        <v>1.2800540000000001E-3</v>
      </c>
      <c r="AA2349">
        <v>0.99990760000000001</v>
      </c>
      <c r="AB2349">
        <v>40</v>
      </c>
      <c r="AC2349">
        <v>-15.3559</v>
      </c>
      <c r="AD2349">
        <v>-1.1108330230829999</v>
      </c>
      <c r="AE2349">
        <v>2.1299999999996499E-2</v>
      </c>
      <c r="AF2349">
        <v>0.21075342297848301</v>
      </c>
      <c r="AG2349">
        <v>-1.1108330230829999</v>
      </c>
      <c r="AH2349">
        <v>15.2745225385375</v>
      </c>
      <c r="AI2349">
        <v>94.159093538687998</v>
      </c>
      <c r="AJ2349">
        <v>89.209499647060895</v>
      </c>
      <c r="AK2349">
        <v>15.3163117554704</v>
      </c>
      <c r="AL2349">
        <v>67.753046417589402</v>
      </c>
      <c r="AM2349">
        <v>92.204036981837206</v>
      </c>
      <c r="AN2349">
        <v>0.99999998464711803</v>
      </c>
    </row>
    <row r="2350" spans="1:40" x14ac:dyDescent="0.25">
      <c r="A2350" t="str">
        <f>"20190304164900700"</f>
        <v>20190304164900700</v>
      </c>
      <c r="B2350" t="str">
        <f>"1551689340688836"</f>
        <v>1551689340688836</v>
      </c>
      <c r="C2350" t="s">
        <v>40</v>
      </c>
      <c r="D2350">
        <v>4.2114909999999997</v>
      </c>
      <c r="E2350">
        <v>0.51588020000000001</v>
      </c>
      <c r="F2350" t="s">
        <v>46</v>
      </c>
      <c r="G2350">
        <v>-347.28120000000001</v>
      </c>
      <c r="H2350" s="1">
        <v>2.33788E-6</v>
      </c>
      <c r="I2350">
        <v>284.21640000000002</v>
      </c>
      <c r="J2350">
        <v>-331.51819999999998</v>
      </c>
      <c r="K2350">
        <v>1.110814</v>
      </c>
      <c r="L2350">
        <v>284.6035</v>
      </c>
      <c r="M2350">
        <v>-0.99980910000000001</v>
      </c>
      <c r="N2350">
        <v>-1.511756E-2</v>
      </c>
      <c r="O2350">
        <v>-1.2381140000000001E-2</v>
      </c>
      <c r="P2350">
        <v>-0.93012430000000001</v>
      </c>
      <c r="Q2350">
        <v>0.36429929999999999</v>
      </c>
      <c r="R2350">
        <v>-4.6420490000000002E-2</v>
      </c>
      <c r="S2350">
        <v>-3.3117369999999999</v>
      </c>
      <c r="T2350">
        <v>-0.22943269999999999</v>
      </c>
      <c r="U2350">
        <v>-8.0627439999999995E-2</v>
      </c>
      <c r="V2350">
        <v>-3.4924450000000003E-2</v>
      </c>
      <c r="W2350">
        <v>0.37832440000000001</v>
      </c>
      <c r="X2350">
        <v>0.925014</v>
      </c>
      <c r="Y2350">
        <v>-1.194126E-2</v>
      </c>
      <c r="Z2350">
        <v>1.6606300000000001E-4</v>
      </c>
      <c r="AA2350">
        <v>0.9999287</v>
      </c>
      <c r="AB2350">
        <v>40</v>
      </c>
      <c r="AC2350">
        <v>-15.763</v>
      </c>
      <c r="AD2350">
        <v>-1.1108116621199999</v>
      </c>
      <c r="AE2350">
        <v>-0.38709999999997502</v>
      </c>
      <c r="AF2350">
        <v>-0.19093650268863799</v>
      </c>
      <c r="AG2350">
        <v>-1.1108116621199999</v>
      </c>
      <c r="AH2350">
        <v>15.688722197597199</v>
      </c>
      <c r="AI2350">
        <v>94.049666772235</v>
      </c>
      <c r="AJ2350">
        <v>90.6972725723422</v>
      </c>
      <c r="AK2350">
        <v>15.7291564773875</v>
      </c>
      <c r="AL2350">
        <v>67.770068943301396</v>
      </c>
      <c r="AM2350">
        <v>92.162208993324001</v>
      </c>
      <c r="AN2350">
        <v>0.99999998451958105</v>
      </c>
    </row>
    <row r="2351" spans="1:40" x14ac:dyDescent="0.25">
      <c r="A2351" t="str">
        <f>"20190304164900711"</f>
        <v>20190304164900711</v>
      </c>
      <c r="B2351" t="str">
        <f>"1551689340698596"</f>
        <v>1551689340698596</v>
      </c>
      <c r="C2351" t="s">
        <v>40</v>
      </c>
      <c r="D2351">
        <v>4.2028639999999999</v>
      </c>
      <c r="E2351">
        <v>0.51131170000000004</v>
      </c>
      <c r="F2351" t="s">
        <v>46</v>
      </c>
      <c r="G2351">
        <v>-348.45690000000002</v>
      </c>
      <c r="H2351" s="1">
        <v>2.9635480000000001E-6</v>
      </c>
      <c r="I2351">
        <v>283.9128</v>
      </c>
      <c r="J2351">
        <v>-331.71280000000002</v>
      </c>
      <c r="K2351">
        <v>1.1107990000000001</v>
      </c>
      <c r="L2351">
        <v>284.601</v>
      </c>
      <c r="M2351">
        <v>-0.99980939999999996</v>
      </c>
      <c r="N2351">
        <v>-1.511527E-2</v>
      </c>
      <c r="O2351">
        <v>-1.2355359999999999E-2</v>
      </c>
      <c r="P2351">
        <v>-0.93026010000000003</v>
      </c>
      <c r="Q2351">
        <v>0.36399949999999998</v>
      </c>
      <c r="R2351">
        <v>-4.6047980000000002E-2</v>
      </c>
      <c r="S2351">
        <v>-3.3034970000000001</v>
      </c>
      <c r="T2351">
        <v>-0.21663760000000001</v>
      </c>
      <c r="U2351">
        <v>-0.13470460000000001</v>
      </c>
      <c r="V2351">
        <v>-3.4561590000000003E-2</v>
      </c>
      <c r="W2351">
        <v>0.37802560000000002</v>
      </c>
      <c r="X2351">
        <v>0.92514980000000002</v>
      </c>
      <c r="Y2351">
        <v>-2.8333750000000001E-2</v>
      </c>
      <c r="Z2351">
        <v>-5.1975470000000001E-4</v>
      </c>
      <c r="AA2351">
        <v>0.9995984</v>
      </c>
      <c r="AB2351">
        <v>40</v>
      </c>
      <c r="AC2351">
        <v>-16.7441</v>
      </c>
      <c r="AD2351">
        <v>-1.110796036452</v>
      </c>
      <c r="AE2351">
        <v>-0.68819999999999404</v>
      </c>
      <c r="AF2351">
        <v>-0.47913932789291103</v>
      </c>
      <c r="AG2351">
        <v>-1.110796036452</v>
      </c>
      <c r="AH2351">
        <v>16.678050311186698</v>
      </c>
      <c r="AI2351">
        <v>93.808834738260202</v>
      </c>
      <c r="AJ2351">
        <v>91.645582781944</v>
      </c>
      <c r="AK2351">
        <v>16.721866059522402</v>
      </c>
      <c r="AL2351">
        <v>67.788562833284303</v>
      </c>
      <c r="AM2351">
        <v>92.139451147691602</v>
      </c>
      <c r="AN2351">
        <v>1.00000000509936</v>
      </c>
    </row>
    <row r="2352" spans="1:40" x14ac:dyDescent="0.25">
      <c r="A2352" t="str">
        <f>"20190304164900722"</f>
        <v>20190304164900722</v>
      </c>
      <c r="B2352" t="str">
        <f>"1551689340718116"</f>
        <v>1551689340718116</v>
      </c>
      <c r="C2352" t="s">
        <v>40</v>
      </c>
      <c r="D2352">
        <v>4.1919129999999996</v>
      </c>
      <c r="E2352">
        <v>0.5060886</v>
      </c>
      <c r="F2352" t="s">
        <v>46</v>
      </c>
      <c r="G2352">
        <v>-348.97559999999999</v>
      </c>
      <c r="H2352" s="1">
        <v>3.239581E-6</v>
      </c>
      <c r="I2352">
        <v>283.7133</v>
      </c>
      <c r="J2352">
        <v>-331.91590000000002</v>
      </c>
      <c r="K2352">
        <v>1.1107849999999999</v>
      </c>
      <c r="L2352">
        <v>284.5985</v>
      </c>
      <c r="M2352">
        <v>-0.99980999999999998</v>
      </c>
      <c r="N2352">
        <v>-1.511289E-2</v>
      </c>
      <c r="O2352">
        <v>-1.2325300000000001E-2</v>
      </c>
      <c r="P2352">
        <v>-0.93028379999999999</v>
      </c>
      <c r="Q2352">
        <v>0.36396679999999998</v>
      </c>
      <c r="R2352">
        <v>-4.583313E-2</v>
      </c>
      <c r="S2352">
        <v>-3.2995909999999999</v>
      </c>
      <c r="T2352">
        <v>-0.2123157</v>
      </c>
      <c r="U2352">
        <v>-0.16967769999999999</v>
      </c>
      <c r="V2352">
        <v>-3.4362259999999999E-2</v>
      </c>
      <c r="W2352">
        <v>0.3779921</v>
      </c>
      <c r="X2352">
        <v>0.92517090000000002</v>
      </c>
      <c r="Y2352">
        <v>-3.8957249999999999E-2</v>
      </c>
      <c r="Z2352">
        <v>-9.4058209999999995E-4</v>
      </c>
      <c r="AA2352">
        <v>0.99924049999999998</v>
      </c>
      <c r="AB2352">
        <v>40</v>
      </c>
      <c r="AC2352">
        <v>-17.0596999999999</v>
      </c>
      <c r="AD2352">
        <v>-1.110781760419</v>
      </c>
      <c r="AE2352">
        <v>-0.88519999999999699</v>
      </c>
      <c r="AF2352">
        <v>-0.67200154421233704</v>
      </c>
      <c r="AG2352">
        <v>-1.110781760419</v>
      </c>
      <c r="AH2352">
        <v>16.9974482632134</v>
      </c>
      <c r="AI2352">
        <v>93.736047293558997</v>
      </c>
      <c r="AJ2352">
        <v>92.264034569689301</v>
      </c>
      <c r="AK2352">
        <v>17.0469548499232</v>
      </c>
      <c r="AL2352">
        <v>67.7906357982001</v>
      </c>
      <c r="AM2352">
        <v>92.127075008623507</v>
      </c>
      <c r="AN2352">
        <v>0.99999999339076295</v>
      </c>
    </row>
    <row r="2353" spans="1:40" x14ac:dyDescent="0.25">
      <c r="A2353" t="str">
        <f>"20190304164900733"</f>
        <v>20190304164900733</v>
      </c>
      <c r="B2353" t="str">
        <f>"1551689340728852"</f>
        <v>1551689340728852</v>
      </c>
      <c r="C2353" t="s">
        <v>40</v>
      </c>
      <c r="D2353">
        <v>4.1995820000000004</v>
      </c>
      <c r="E2353">
        <v>0.50450819999999996</v>
      </c>
      <c r="F2353" t="s">
        <v>46</v>
      </c>
      <c r="G2353">
        <v>-349.80869999999999</v>
      </c>
      <c r="H2353" s="1">
        <v>3.6829159999999999E-6</v>
      </c>
      <c r="I2353">
        <v>283.45690000000002</v>
      </c>
      <c r="J2353">
        <v>-332.12709999999998</v>
      </c>
      <c r="K2353">
        <v>1.1107739999999999</v>
      </c>
      <c r="L2353">
        <v>284.59589999999997</v>
      </c>
      <c r="M2353">
        <v>-0.99981030000000004</v>
      </c>
      <c r="N2353">
        <v>-1.5110399999999901E-2</v>
      </c>
      <c r="O2353">
        <v>-1.2291430000000001E-2</v>
      </c>
      <c r="P2353">
        <v>-0.93038560000000003</v>
      </c>
      <c r="Q2353">
        <v>0.36379030000000001</v>
      </c>
      <c r="R2353">
        <v>-4.5161319999999998E-2</v>
      </c>
      <c r="S2353">
        <v>-3.2944949999999902</v>
      </c>
      <c r="T2353">
        <v>-0.20452139999999999</v>
      </c>
      <c r="U2353">
        <v>-0.21020510000000001</v>
      </c>
      <c r="V2353">
        <v>-3.3708870000000002E-2</v>
      </c>
      <c r="W2353">
        <v>0.37781550000000003</v>
      </c>
      <c r="X2353">
        <v>0.92526710000000001</v>
      </c>
      <c r="Y2353">
        <v>-5.1293869999999998E-2</v>
      </c>
      <c r="Z2353">
        <v>-1.4014100000000001E-3</v>
      </c>
      <c r="AA2353">
        <v>0.99868259999999998</v>
      </c>
      <c r="AB2353">
        <v>40</v>
      </c>
      <c r="AC2353">
        <v>-17.6816</v>
      </c>
      <c r="AD2353">
        <v>-1.110770317084</v>
      </c>
      <c r="AE2353">
        <v>-1.1389999999999501</v>
      </c>
      <c r="AF2353">
        <v>-0.91794931690728299</v>
      </c>
      <c r="AG2353">
        <v>-1.110770317084</v>
      </c>
      <c r="AH2353">
        <v>17.624996977936899</v>
      </c>
      <c r="AI2353">
        <v>93.601282377127404</v>
      </c>
      <c r="AJ2353">
        <v>92.981398727594794</v>
      </c>
      <c r="AK2353">
        <v>17.6838050237502</v>
      </c>
      <c r="AL2353">
        <v>67.801565360263297</v>
      </c>
      <c r="AM2353">
        <v>92.086448537149593</v>
      </c>
      <c r="AN2353">
        <v>1.00000002314966</v>
      </c>
    </row>
    <row r="2354" spans="1:40" x14ac:dyDescent="0.25">
      <c r="A2354" t="str">
        <f>"20190304164900745"</f>
        <v>20190304164900745</v>
      </c>
      <c r="B2354" t="str">
        <f>"1551689340738612"</f>
        <v>1551689340738612</v>
      </c>
      <c r="C2354" t="s">
        <v>40</v>
      </c>
      <c r="D2354">
        <v>4.1637389999999996</v>
      </c>
      <c r="E2354">
        <v>0.50327709999999903</v>
      </c>
      <c r="F2354" t="s">
        <v>46</v>
      </c>
      <c r="G2354">
        <v>-350.10860000000002</v>
      </c>
      <c r="H2354" s="1">
        <v>-1.4790280000000001E-6</v>
      </c>
      <c r="I2354">
        <v>283.39260000000002</v>
      </c>
      <c r="J2354">
        <v>-332.32760000000002</v>
      </c>
      <c r="K2354">
        <v>1.110765</v>
      </c>
      <c r="L2354">
        <v>284.59350000000001</v>
      </c>
      <c r="M2354">
        <v>-0.9998108</v>
      </c>
      <c r="N2354">
        <v>-1.5108079999999999E-2</v>
      </c>
      <c r="O2354">
        <v>-1.225558E-2</v>
      </c>
      <c r="P2354">
        <v>-0.93044959999999999</v>
      </c>
      <c r="Q2354">
        <v>0.36365059999999999</v>
      </c>
      <c r="R2354">
        <v>-4.4966979999999997E-2</v>
      </c>
      <c r="S2354">
        <v>-3.2933650000000001</v>
      </c>
      <c r="T2354">
        <v>-0.20344219999999999</v>
      </c>
      <c r="U2354">
        <v>-0.22039790000000001</v>
      </c>
      <c r="V2354">
        <v>-3.3537539999999998E-2</v>
      </c>
      <c r="W2354">
        <v>0.3776755</v>
      </c>
      <c r="X2354">
        <v>0.92533049999999994</v>
      </c>
      <c r="Y2354">
        <v>-5.4422419999999999E-2</v>
      </c>
      <c r="Z2354">
        <v>-1.5189730000000001E-3</v>
      </c>
      <c r="AA2354">
        <v>0.99851690000000004</v>
      </c>
      <c r="AB2354">
        <v>40</v>
      </c>
      <c r="AC2354">
        <v>-17.780999999999999</v>
      </c>
      <c r="AD2354">
        <v>-1.1107664790279901</v>
      </c>
      <c r="AE2354">
        <v>-1.2008999999999901</v>
      </c>
      <c r="AF2354">
        <v>-0.97906508924053903</v>
      </c>
      <c r="AG2354">
        <v>-1.1107664790279901</v>
      </c>
      <c r="AH2354">
        <v>17.7255254852832</v>
      </c>
      <c r="AI2354">
        <v>93.580296646539296</v>
      </c>
      <c r="AJ2354">
        <v>93.161505934979203</v>
      </c>
      <c r="AK2354">
        <v>17.787260169833001</v>
      </c>
      <c r="AL2354">
        <v>67.810229077851105</v>
      </c>
      <c r="AM2354">
        <v>92.075711070002797</v>
      </c>
      <c r="AN2354">
        <v>1.00000004205987</v>
      </c>
    </row>
    <row r="2355" spans="1:40" x14ac:dyDescent="0.25">
      <c r="A2355" t="str">
        <f>"20190304164900756"</f>
        <v>20190304164900756</v>
      </c>
      <c r="B2355" t="str">
        <f>"1551689340748372"</f>
        <v>1551689340748372</v>
      </c>
      <c r="C2355" t="s">
        <v>40</v>
      </c>
      <c r="D2355">
        <v>4.1652930000000001</v>
      </c>
      <c r="E2355">
        <v>0.50228279999999903</v>
      </c>
      <c r="F2355" t="s">
        <v>46</v>
      </c>
      <c r="G2355">
        <v>-350.52350000000001</v>
      </c>
      <c r="H2355" s="1">
        <v>-1.2582300000000001E-6</v>
      </c>
      <c r="I2355">
        <v>283.32659999999998</v>
      </c>
      <c r="J2355">
        <v>-332.52659999999997</v>
      </c>
      <c r="K2355">
        <v>1.110754</v>
      </c>
      <c r="L2355">
        <v>284.59109999999998</v>
      </c>
      <c r="M2355">
        <v>-0.99981140000000002</v>
      </c>
      <c r="N2355">
        <v>-1.5105789999999999E-2</v>
      </c>
      <c r="O2355">
        <v>-1.2219499999999999E-2</v>
      </c>
      <c r="P2355">
        <v>-0.93044360000000004</v>
      </c>
      <c r="Q2355">
        <v>0.36369889999999999</v>
      </c>
      <c r="R2355">
        <v>-4.4702190000000003E-2</v>
      </c>
      <c r="S2355">
        <v>-3.2917179999999999</v>
      </c>
      <c r="T2355">
        <v>-0.20094290000000001</v>
      </c>
      <c r="U2355">
        <v>-0.229187</v>
      </c>
      <c r="V2355">
        <v>-3.3296840000000001E-2</v>
      </c>
      <c r="W2355">
        <v>0.37772230000000001</v>
      </c>
      <c r="X2355">
        <v>0.92532000000000003</v>
      </c>
      <c r="Y2355">
        <v>-5.7141270000000001E-2</v>
      </c>
      <c r="Z2355">
        <v>-1.6130129999999999E-3</v>
      </c>
      <c r="AA2355">
        <v>0.99836480000000005</v>
      </c>
      <c r="AB2355">
        <v>40</v>
      </c>
      <c r="AC2355">
        <v>-17.9969</v>
      </c>
      <c r="AD2355">
        <v>-1.11075525823</v>
      </c>
      <c r="AE2355">
        <v>-1.26449999999999</v>
      </c>
      <c r="AF2355">
        <v>-1.0405232337218999</v>
      </c>
      <c r="AG2355">
        <v>-1.11075525823</v>
      </c>
      <c r="AH2355">
        <v>17.9429954660169</v>
      </c>
      <c r="AI2355">
        <v>93.5364298707118</v>
      </c>
      <c r="AJ2355">
        <v>93.318893722297204</v>
      </c>
      <c r="AK2355">
        <v>18.007430470145</v>
      </c>
      <c r="AL2355">
        <v>67.807331185187905</v>
      </c>
      <c r="AM2355">
        <v>92.060849881714105</v>
      </c>
      <c r="AN2355">
        <v>0.99999995893563698</v>
      </c>
    </row>
    <row r="2356" spans="1:40" x14ac:dyDescent="0.25">
      <c r="A2356" t="str">
        <f>"20190304164900768"</f>
        <v>20190304164900768</v>
      </c>
      <c r="B2356" t="str">
        <f>"1551689340758640"</f>
        <v>1551689340758640</v>
      </c>
      <c r="C2356" t="s">
        <v>40</v>
      </c>
      <c r="D2356">
        <v>4.1617600000000001</v>
      </c>
      <c r="E2356">
        <v>0.50128229999999996</v>
      </c>
      <c r="F2356" t="s">
        <v>46</v>
      </c>
      <c r="G2356">
        <v>-350.90780000000001</v>
      </c>
      <c r="H2356" s="1">
        <v>-1.053678E-6</v>
      </c>
      <c r="I2356">
        <v>283.27390000000003</v>
      </c>
      <c r="J2356">
        <v>-332.74689999999998</v>
      </c>
      <c r="K2356">
        <v>1.110746</v>
      </c>
      <c r="L2356">
        <v>284.58839999999998</v>
      </c>
      <c r="M2356">
        <v>-0.99981180000000003</v>
      </c>
      <c r="N2356">
        <v>-1.510333E-2</v>
      </c>
      <c r="O2356">
        <v>-1.217617E-2</v>
      </c>
      <c r="P2356">
        <v>-0.93043220000000004</v>
      </c>
      <c r="Q2356">
        <v>0.36374339999999999</v>
      </c>
      <c r="R2356">
        <v>-4.4572140000000003E-2</v>
      </c>
      <c r="S2356">
        <v>-3.2906490000000002</v>
      </c>
      <c r="T2356">
        <v>-0.19884959999999999</v>
      </c>
      <c r="U2356">
        <v>-0.2358093</v>
      </c>
      <c r="V2356">
        <v>-3.3199579999999999E-2</v>
      </c>
      <c r="W2356">
        <v>0.37776520000000002</v>
      </c>
      <c r="X2356">
        <v>0.92530599999999996</v>
      </c>
      <c r="Y2356">
        <v>-5.9203409999999998E-2</v>
      </c>
      <c r="Z2356">
        <v>-1.682556E-3</v>
      </c>
      <c r="AA2356">
        <v>0.99824449999999998</v>
      </c>
      <c r="AB2356">
        <v>40</v>
      </c>
      <c r="AC2356">
        <v>-18.160900000000002</v>
      </c>
      <c r="AD2356">
        <v>-1.110747053678</v>
      </c>
      <c r="AE2356">
        <v>-1.31449999999995</v>
      </c>
      <c r="AF2356">
        <v>-1.08919396115241</v>
      </c>
      <c r="AG2356">
        <v>-1.110747053678</v>
      </c>
      <c r="AH2356">
        <v>18.1081761316496</v>
      </c>
      <c r="AI2356">
        <v>93.5037817395811</v>
      </c>
      <c r="AJ2356">
        <v>93.442153364952205</v>
      </c>
      <c r="AK2356">
        <v>18.174876762088601</v>
      </c>
      <c r="AL2356">
        <v>67.804676911687807</v>
      </c>
      <c r="AM2356">
        <v>92.054866374741593</v>
      </c>
      <c r="AN2356">
        <v>0.999999976039607</v>
      </c>
    </row>
    <row r="2357" spans="1:40" x14ac:dyDescent="0.25">
      <c r="A2357" t="str">
        <f>"20190304164900783"</f>
        <v>20190304164900783</v>
      </c>
      <c r="B2357" t="str">
        <f>"1551689340778160"</f>
        <v>1551689340778160</v>
      </c>
      <c r="C2357" t="s">
        <v>40</v>
      </c>
      <c r="D2357">
        <v>4.1604359999999998</v>
      </c>
      <c r="E2357">
        <v>0.4998398</v>
      </c>
      <c r="F2357" t="s">
        <v>46</v>
      </c>
      <c r="G2357">
        <v>-351.0949</v>
      </c>
      <c r="H2357" s="1">
        <v>-9.5411809999999991E-7</v>
      </c>
      <c r="I2357">
        <v>283.23649999999998</v>
      </c>
      <c r="J2357">
        <v>-332.99619999999999</v>
      </c>
      <c r="K2357">
        <v>1.1107359999999999</v>
      </c>
      <c r="L2357">
        <v>284.58539999999999</v>
      </c>
      <c r="M2357">
        <v>-0.99981249999999999</v>
      </c>
      <c r="N2357">
        <v>-1.5100570000000001E-2</v>
      </c>
      <c r="O2357">
        <v>-1.2126390000000001E-2</v>
      </c>
      <c r="P2357">
        <v>-0.93053560000000002</v>
      </c>
      <c r="Q2357">
        <v>0.36349330000000002</v>
      </c>
      <c r="R2357">
        <v>-4.4456229999999999E-2</v>
      </c>
      <c r="S2357">
        <v>-3.2906490000000002</v>
      </c>
      <c r="T2357">
        <v>-0.19920840000000001</v>
      </c>
      <c r="U2357">
        <v>-0.24246219999999999</v>
      </c>
      <c r="V2357">
        <v>-3.3120730000000001E-2</v>
      </c>
      <c r="W2357">
        <v>0.37751440000000003</v>
      </c>
      <c r="X2357">
        <v>0.92541119999999999</v>
      </c>
      <c r="Y2357">
        <v>-6.1255480000000001E-2</v>
      </c>
      <c r="Z2357">
        <v>-1.764042E-3</v>
      </c>
      <c r="AA2357">
        <v>0.99812049999999997</v>
      </c>
      <c r="AB2357">
        <v>40</v>
      </c>
      <c r="AC2357">
        <v>-18.098700000000001</v>
      </c>
      <c r="AD2357">
        <v>-1.1107369541181</v>
      </c>
      <c r="AE2357">
        <v>-1.34890000000001</v>
      </c>
      <c r="AF2357">
        <v>-1.1250897452424999</v>
      </c>
      <c r="AG2357">
        <v>-1.1107369541181</v>
      </c>
      <c r="AH2357">
        <v>18.046134410431399</v>
      </c>
      <c r="AI2357">
        <v>93.515295652592997</v>
      </c>
      <c r="AJ2357">
        <v>93.567499054564905</v>
      </c>
      <c r="AK2357">
        <v>18.1152568481778</v>
      </c>
      <c r="AL2357">
        <v>67.820196319639805</v>
      </c>
      <c r="AM2357">
        <v>92.049757331857805</v>
      </c>
      <c r="AN2357">
        <v>0.99999999702426601</v>
      </c>
    </row>
    <row r="2358" spans="1:40" x14ac:dyDescent="0.25">
      <c r="A2358" t="str">
        <f>"20190304164900797"</f>
        <v>20190304164900797</v>
      </c>
      <c r="B2358" t="str">
        <f>"1551689340788896"</f>
        <v>1551689340788896</v>
      </c>
      <c r="C2358" t="s">
        <v>40</v>
      </c>
      <c r="D2358">
        <v>4.2119220000000004</v>
      </c>
      <c r="E2358">
        <v>0.49922899999999998</v>
      </c>
      <c r="F2358" t="s">
        <v>46</v>
      </c>
      <c r="G2358">
        <v>-351.26490000000001</v>
      </c>
      <c r="H2358" s="1">
        <v>-8.6370059999999899E-7</v>
      </c>
      <c r="I2358">
        <v>283.18029999999999</v>
      </c>
      <c r="J2358">
        <v>-333.25630000000001</v>
      </c>
      <c r="K2358">
        <v>1.110727</v>
      </c>
      <c r="L2358">
        <v>284.58229999999998</v>
      </c>
      <c r="M2358">
        <v>-0.99981319999999996</v>
      </c>
      <c r="N2358">
        <v>-1.509771E-2</v>
      </c>
      <c r="O2358">
        <v>-1.207306E-2</v>
      </c>
      <c r="P2358">
        <v>-0.93055969999999999</v>
      </c>
      <c r="Q2358">
        <v>0.36343930000000002</v>
      </c>
      <c r="R2358">
        <v>-4.4396369999999998E-2</v>
      </c>
      <c r="S2358">
        <v>-3.2899479999999999</v>
      </c>
      <c r="T2358">
        <v>-0.20002909999999999</v>
      </c>
      <c r="U2358">
        <v>-0.25305179999999999</v>
      </c>
      <c r="V2358">
        <v>-3.3102119999999999E-2</v>
      </c>
      <c r="W2358">
        <v>0.37745869999999998</v>
      </c>
      <c r="X2358">
        <v>0.9254346</v>
      </c>
      <c r="Y2358">
        <v>-6.4510170000000006E-2</v>
      </c>
      <c r="Z2358">
        <v>-1.894431E-3</v>
      </c>
      <c r="AA2358">
        <v>0.99791529999999995</v>
      </c>
      <c r="AB2358">
        <v>40</v>
      </c>
      <c r="AC2358">
        <v>-18.008600000000001</v>
      </c>
      <c r="AD2358">
        <v>-1.1107278637005999</v>
      </c>
      <c r="AE2358">
        <v>-1.4019999999999799</v>
      </c>
      <c r="AF2358">
        <v>-1.17999231632012</v>
      </c>
      <c r="AG2358">
        <v>-1.1107278637005999</v>
      </c>
      <c r="AH2358">
        <v>17.956318885797799</v>
      </c>
      <c r="AI2358">
        <v>93.532048451541399</v>
      </c>
      <c r="AJ2358">
        <v>93.759763396202104</v>
      </c>
      <c r="AK2358">
        <v>18.029295221450901</v>
      </c>
      <c r="AL2358">
        <v>67.823642969176007</v>
      </c>
      <c r="AM2358">
        <v>92.048554832395794</v>
      </c>
      <c r="AN2358">
        <v>1.00000000971567</v>
      </c>
    </row>
    <row r="2359" spans="1:40" x14ac:dyDescent="0.25">
      <c r="A2359" t="str">
        <f>"20190304164900813"</f>
        <v>20190304164900813</v>
      </c>
      <c r="B2359" t="str">
        <f>"1551689340808416"</f>
        <v>1551689340808416</v>
      </c>
      <c r="C2359" t="s">
        <v>40</v>
      </c>
      <c r="D2359">
        <v>4.1732399999999998</v>
      </c>
      <c r="E2359">
        <v>0.49829400000000001</v>
      </c>
      <c r="F2359" t="s">
        <v>46</v>
      </c>
      <c r="G2359">
        <v>-351.5498</v>
      </c>
      <c r="H2359" s="1">
        <v>-7.1206229999999996E-7</v>
      </c>
      <c r="I2359">
        <v>283.15300000000002</v>
      </c>
      <c r="J2359">
        <v>-333.53980000000001</v>
      </c>
      <c r="K2359">
        <v>1.1107209999999901</v>
      </c>
      <c r="L2359">
        <v>284.57889999999998</v>
      </c>
      <c r="M2359">
        <v>-0.99981390000000003</v>
      </c>
      <c r="N2359">
        <v>-1.509461E-2</v>
      </c>
      <c r="O2359">
        <v>-1.2013899999999999E-2</v>
      </c>
      <c r="P2359">
        <v>-0.93052360000000001</v>
      </c>
      <c r="Q2359">
        <v>0.36353079999999999</v>
      </c>
      <c r="R2359">
        <v>-4.4399429999999997E-2</v>
      </c>
      <c r="S2359">
        <v>-3.289612</v>
      </c>
      <c r="T2359">
        <v>-0.1997361</v>
      </c>
      <c r="U2359">
        <v>-0.257019</v>
      </c>
      <c r="V2359">
        <v>-3.3154219999999998E-2</v>
      </c>
      <c r="W2359">
        <v>0.37754749999999998</v>
      </c>
      <c r="X2359">
        <v>0.92539649999999996</v>
      </c>
      <c r="Y2359">
        <v>-6.5770659999999995E-2</v>
      </c>
      <c r="Z2359">
        <v>-1.942989E-3</v>
      </c>
      <c r="AA2359">
        <v>0.99783290000000002</v>
      </c>
      <c r="AB2359">
        <v>40</v>
      </c>
      <c r="AC2359">
        <v>-18.009999999999899</v>
      </c>
      <c r="AD2359">
        <v>-1.1107217120623001</v>
      </c>
      <c r="AE2359">
        <v>-1.42589999999995</v>
      </c>
      <c r="AF2359">
        <v>-1.2048479893928301</v>
      </c>
      <c r="AG2359">
        <v>-1.1107217120623001</v>
      </c>
      <c r="AH2359">
        <v>17.957954949870999</v>
      </c>
      <c r="AI2359">
        <v>93.531387021605696</v>
      </c>
      <c r="AJ2359">
        <v>93.838377018948606</v>
      </c>
      <c r="AK2359">
        <v>18.032567964125001</v>
      </c>
      <c r="AL2359">
        <v>67.818148328256498</v>
      </c>
      <c r="AM2359">
        <v>92.051860737317298</v>
      </c>
      <c r="AN2359">
        <v>0.99999999963615405</v>
      </c>
    </row>
    <row r="2360" spans="1:40" x14ac:dyDescent="0.25">
      <c r="A2360" t="str">
        <f>"20190304164900836"</f>
        <v>20190304164900836</v>
      </c>
      <c r="B2360" t="str">
        <f>"1551689340827936"</f>
        <v>1551689340827936</v>
      </c>
      <c r="C2360" t="s">
        <v>40</v>
      </c>
      <c r="D2360">
        <v>4.1668640000000003</v>
      </c>
      <c r="E2360">
        <v>0.49755189999999999</v>
      </c>
      <c r="F2360" t="s">
        <v>46</v>
      </c>
      <c r="G2360">
        <v>-351.85390000000001</v>
      </c>
      <c r="H2360" s="1">
        <v>-5.5026159999999999E-7</v>
      </c>
      <c r="I2360">
        <v>283.10660000000001</v>
      </c>
      <c r="J2360">
        <v>-333.94839999999999</v>
      </c>
      <c r="K2360">
        <v>1.110714</v>
      </c>
      <c r="L2360">
        <v>284.57409999999999</v>
      </c>
      <c r="M2360">
        <v>-0.99981520000000002</v>
      </c>
      <c r="N2360">
        <v>-1.509014E-2</v>
      </c>
      <c r="O2360">
        <v>-1.19287E-2</v>
      </c>
      <c r="P2360">
        <v>-0.93058030000000003</v>
      </c>
      <c r="Q2360">
        <v>0.3633555</v>
      </c>
      <c r="R2360">
        <v>-4.4649540000000001E-2</v>
      </c>
      <c r="S2360">
        <v>-3.2893370000000002</v>
      </c>
      <c r="T2360">
        <v>-0.19949359999999999</v>
      </c>
      <c r="U2360">
        <v>-0.26443480000000003</v>
      </c>
      <c r="V2360">
        <v>-3.3474539999999997E-2</v>
      </c>
      <c r="W2360">
        <v>0.37736989999999998</v>
      </c>
      <c r="X2360">
        <v>0.92545739999999999</v>
      </c>
      <c r="Y2360">
        <v>-6.8092440000000004E-2</v>
      </c>
      <c r="Z2360">
        <v>-2.0329440000000001E-3</v>
      </c>
      <c r="AA2360">
        <v>0.99767700000000004</v>
      </c>
      <c r="AB2360">
        <v>40</v>
      </c>
      <c r="AC2360">
        <v>-17.9055</v>
      </c>
      <c r="AD2360">
        <v>-1.1107145502616</v>
      </c>
      <c r="AE2360">
        <v>-1.4674999999999701</v>
      </c>
      <c r="AF2360">
        <v>-1.24900787051058</v>
      </c>
      <c r="AG2360">
        <v>-1.1107145502616</v>
      </c>
      <c r="AH2360">
        <v>17.8534917318147</v>
      </c>
      <c r="AI2360">
        <v>93.551281568587697</v>
      </c>
      <c r="AJ2360">
        <v>94.001820706707093</v>
      </c>
      <c r="AK2360">
        <v>17.931560849260599</v>
      </c>
      <c r="AL2360">
        <v>67.829136763396093</v>
      </c>
      <c r="AM2360">
        <v>92.071531421978307</v>
      </c>
      <c r="AN2360">
        <v>0.99999999273449003</v>
      </c>
    </row>
    <row r="2361" spans="1:40" x14ac:dyDescent="0.25">
      <c r="A2361" t="str">
        <f>"20190304164900849"</f>
        <v>20190304164900849</v>
      </c>
      <c r="B2361" t="str">
        <f>"1551689340838672"</f>
        <v>1551689340838672</v>
      </c>
      <c r="C2361" t="s">
        <v>40</v>
      </c>
      <c r="D2361">
        <v>4.1479730000000004</v>
      </c>
      <c r="E2361">
        <v>0.49725009999999997</v>
      </c>
      <c r="F2361" t="s">
        <v>46</v>
      </c>
      <c r="G2361">
        <v>-352.24970000000002</v>
      </c>
      <c r="H2361" s="1">
        <v>-3.3962750000000001E-7</v>
      </c>
      <c r="I2361">
        <v>283.06380000000001</v>
      </c>
      <c r="J2361">
        <v>-334.1771</v>
      </c>
      <c r="K2361">
        <v>1.1107129999999901</v>
      </c>
      <c r="L2361">
        <v>284.57139999999998</v>
      </c>
      <c r="M2361">
        <v>-0.99981580000000003</v>
      </c>
      <c r="N2361">
        <v>-1.5087639999999999E-2</v>
      </c>
      <c r="O2361">
        <v>-1.1880450000000001E-2</v>
      </c>
      <c r="P2361">
        <v>-0.93045339999999999</v>
      </c>
      <c r="Q2361">
        <v>0.36367329999999998</v>
      </c>
      <c r="R2361">
        <v>-4.4702159999999998E-2</v>
      </c>
      <c r="S2361">
        <v>-3.2886660000000001</v>
      </c>
      <c r="T2361">
        <v>-0.19959070000000001</v>
      </c>
      <c r="U2361">
        <v>-0.27139279999999999</v>
      </c>
      <c r="V2361">
        <v>-3.3570080000000002E-2</v>
      </c>
      <c r="W2361">
        <v>0.37768390000000002</v>
      </c>
      <c r="X2361">
        <v>0.92532590000000003</v>
      </c>
      <c r="Y2361">
        <v>-7.0248500000000005E-2</v>
      </c>
      <c r="Z2361">
        <v>-2.1174290000000001E-3</v>
      </c>
      <c r="AA2361">
        <v>0.99752730000000001</v>
      </c>
      <c r="AB2361">
        <v>40</v>
      </c>
      <c r="AC2361">
        <v>-18.072600000000001</v>
      </c>
      <c r="AD2361">
        <v>-1.11071333962749</v>
      </c>
      <c r="AE2361">
        <v>-1.5075999999999601</v>
      </c>
      <c r="AF2361">
        <v>-1.2879274985876299</v>
      </c>
      <c r="AG2361">
        <v>-1.11071333962749</v>
      </c>
      <c r="AH2361">
        <v>18.021637458839098</v>
      </c>
      <c r="AI2361">
        <v>93.517855083769604</v>
      </c>
      <c r="AJ2361">
        <v>94.087728739140999</v>
      </c>
      <c r="AK2361">
        <v>18.101708705596799</v>
      </c>
      <c r="AL2361">
        <v>67.809709479635401</v>
      </c>
      <c r="AM2361">
        <v>92.0777335966484</v>
      </c>
      <c r="AN2361">
        <v>1.0000000499006101</v>
      </c>
    </row>
    <row r="2362" spans="1:40" x14ac:dyDescent="0.25">
      <c r="A2362" t="str">
        <f>"20190304164900860"</f>
        <v>20190304164900860</v>
      </c>
      <c r="B2362" t="str">
        <f>"1551689340858698"</f>
        <v>1551689340858698</v>
      </c>
      <c r="C2362" t="s">
        <v>40</v>
      </c>
      <c r="D2362">
        <v>4.1894920000000004</v>
      </c>
      <c r="E2362">
        <v>0.49674889999999999</v>
      </c>
      <c r="F2362" t="s">
        <v>46</v>
      </c>
      <c r="G2362">
        <v>-352.55650000000003</v>
      </c>
      <c r="H2362" s="1">
        <v>-1.7636749999999999E-7</v>
      </c>
      <c r="I2362">
        <v>283.0419</v>
      </c>
      <c r="J2362">
        <v>-334.38490000000002</v>
      </c>
      <c r="K2362">
        <v>1.110711</v>
      </c>
      <c r="L2362">
        <v>284.56889999999999</v>
      </c>
      <c r="M2362">
        <v>-0.99981620000000004</v>
      </c>
      <c r="N2362">
        <v>-1.5085360000000001E-2</v>
      </c>
      <c r="O2362">
        <v>-1.1836869999999999E-2</v>
      </c>
      <c r="P2362">
        <v>-0.9304017</v>
      </c>
      <c r="Q2362">
        <v>0.36376009999999998</v>
      </c>
      <c r="R2362">
        <v>-4.5074349999999999E-2</v>
      </c>
      <c r="S2362">
        <v>-3.2887569999999999</v>
      </c>
      <c r="T2362">
        <v>-0.19874790000000001</v>
      </c>
      <c r="U2362">
        <v>-0.27368160000000002</v>
      </c>
      <c r="V2362">
        <v>-3.3979599999999999E-2</v>
      </c>
      <c r="W2362">
        <v>0.3777682</v>
      </c>
      <c r="X2362">
        <v>0.92527649999999995</v>
      </c>
      <c r="Y2362">
        <v>-7.0978600000000003E-2</v>
      </c>
      <c r="Z2362">
        <v>-2.1408159999999998E-3</v>
      </c>
      <c r="AA2362">
        <v>0.99747560000000002</v>
      </c>
      <c r="AB2362">
        <v>40</v>
      </c>
      <c r="AC2362">
        <v>-18.171600000000002</v>
      </c>
      <c r="AD2362">
        <v>-1.1107111763674999</v>
      </c>
      <c r="AE2362">
        <v>-1.5269999999999799</v>
      </c>
      <c r="AF2362">
        <v>-1.30692512672963</v>
      </c>
      <c r="AG2362">
        <v>-1.1107111763674999</v>
      </c>
      <c r="AH2362">
        <v>18.121176188239399</v>
      </c>
      <c r="AI2362">
        <v>93.498409542819999</v>
      </c>
      <c r="AJ2362">
        <v>94.125111147297403</v>
      </c>
      <c r="AK2362">
        <v>18.202163581547101</v>
      </c>
      <c r="AL2362">
        <v>67.804492151033102</v>
      </c>
      <c r="AM2362">
        <v>92.103169339537402</v>
      </c>
      <c r="AN2362">
        <v>1.00000001379982</v>
      </c>
    </row>
    <row r="2363" spans="1:40" x14ac:dyDescent="0.25">
      <c r="A2363" t="str">
        <f>"20190304164900872"</f>
        <v>20190304164900872</v>
      </c>
      <c r="B2363" t="str">
        <f>"1551689340868458"</f>
        <v>1551689340868458</v>
      </c>
      <c r="C2363" t="s">
        <v>40</v>
      </c>
      <c r="D2363">
        <v>4.2000310000000001</v>
      </c>
      <c r="E2363">
        <v>0.49651650000000003</v>
      </c>
      <c r="F2363" t="s">
        <v>46</v>
      </c>
      <c r="G2363">
        <v>-352.78230000000002</v>
      </c>
      <c r="H2363" s="1">
        <v>-5.6190629999999998E-8</v>
      </c>
      <c r="I2363">
        <v>283.00760000000002</v>
      </c>
      <c r="J2363">
        <v>-334.5874</v>
      </c>
      <c r="K2363">
        <v>1.1107070000000001</v>
      </c>
      <c r="L2363">
        <v>284.56650000000002</v>
      </c>
      <c r="M2363">
        <v>-0.99981679999999995</v>
      </c>
      <c r="N2363">
        <v>-1.508314E-2</v>
      </c>
      <c r="O2363">
        <v>-1.179436E-2</v>
      </c>
      <c r="P2363">
        <v>-0.93028200000000005</v>
      </c>
      <c r="Q2363">
        <v>0.36402449999999997</v>
      </c>
      <c r="R2363">
        <v>-4.5410150000000003E-2</v>
      </c>
      <c r="S2363">
        <v>-3.288513</v>
      </c>
      <c r="T2363">
        <v>-0.19853850000000001</v>
      </c>
      <c r="U2363">
        <v>-0.27908329999999998</v>
      </c>
      <c r="V2363">
        <v>-3.4353759999999997E-2</v>
      </c>
      <c r="W2363">
        <v>0.3780287</v>
      </c>
      <c r="X2363">
        <v>0.92515630000000004</v>
      </c>
      <c r="Y2363">
        <v>-7.2650399999999907E-2</v>
      </c>
      <c r="Z2363">
        <v>-2.2041389999999999E-3</v>
      </c>
      <c r="AA2363">
        <v>0.99735499999999999</v>
      </c>
      <c r="AB2363">
        <v>40</v>
      </c>
      <c r="AC2363">
        <v>-18.194900000000001</v>
      </c>
      <c r="AD2363">
        <v>-1.11070705619062</v>
      </c>
      <c r="AE2363">
        <v>-1.55889999999999</v>
      </c>
      <c r="AF2363">
        <v>-1.3392157511409</v>
      </c>
      <c r="AG2363">
        <v>-1.11070705619062</v>
      </c>
      <c r="AH2363">
        <v>18.1448984596076</v>
      </c>
      <c r="AI2363">
        <v>93.493407935916395</v>
      </c>
      <c r="AJ2363">
        <v>94.221160808458293</v>
      </c>
      <c r="AK2363">
        <v>18.2281241246116</v>
      </c>
      <c r="AL2363">
        <v>67.788371542223899</v>
      </c>
      <c r="AM2363">
        <v>92.126582857626701</v>
      </c>
      <c r="AN2363">
        <v>1.0000000291397499</v>
      </c>
    </row>
    <row r="2364" spans="1:40" x14ac:dyDescent="0.25">
      <c r="A2364" t="str">
        <f>"20190304164900884"</f>
        <v>20190304164900884</v>
      </c>
      <c r="B2364" t="str">
        <f>"1551689340878218"</f>
        <v>1551689340878218</v>
      </c>
      <c r="C2364" t="s">
        <v>40</v>
      </c>
      <c r="D2364">
        <v>4.1802900000000003</v>
      </c>
      <c r="E2364">
        <v>0.49632029999999999</v>
      </c>
      <c r="F2364" t="s">
        <v>46</v>
      </c>
      <c r="G2364">
        <v>-353.1026</v>
      </c>
      <c r="H2364" s="1">
        <v>1.1426760000000001E-7</v>
      </c>
      <c r="I2364">
        <v>282.98149999999998</v>
      </c>
      <c r="J2364">
        <v>-334.79559999999998</v>
      </c>
      <c r="K2364">
        <v>1.1107039999999999</v>
      </c>
      <c r="L2364">
        <v>284.5641</v>
      </c>
      <c r="M2364">
        <v>-0.99981739999999997</v>
      </c>
      <c r="N2364">
        <v>-1.508085E-2</v>
      </c>
      <c r="O2364">
        <v>-1.17509E-2</v>
      </c>
      <c r="P2364">
        <v>-0.93017510000000003</v>
      </c>
      <c r="Q2364">
        <v>0.36426570000000003</v>
      </c>
      <c r="R2364">
        <v>-4.5665699999999997E-2</v>
      </c>
      <c r="S2364">
        <v>-3.2882389999999999</v>
      </c>
      <c r="T2364">
        <v>-0.19725809999999999</v>
      </c>
      <c r="U2364">
        <v>-0.28149410000000002</v>
      </c>
      <c r="V2364">
        <v>-3.464834E-2</v>
      </c>
      <c r="W2364">
        <v>0.37826660000000001</v>
      </c>
      <c r="X2364">
        <v>0.92504810000000004</v>
      </c>
      <c r="Y2364">
        <v>-7.3426640000000001E-2</v>
      </c>
      <c r="Z2364">
        <v>-2.2256379999999998E-3</v>
      </c>
      <c r="AA2364">
        <v>0.99729809999999997</v>
      </c>
      <c r="AB2364">
        <v>40</v>
      </c>
      <c r="AC2364">
        <v>-18.306999999999999</v>
      </c>
      <c r="AD2364">
        <v>-1.1107038857323901</v>
      </c>
      <c r="AE2364">
        <v>-1.58260000000001</v>
      </c>
      <c r="AF2364">
        <v>-1.36236492504345</v>
      </c>
      <c r="AG2364">
        <v>-1.1107038857323901</v>
      </c>
      <c r="AH2364">
        <v>18.257627554744001</v>
      </c>
      <c r="AI2364">
        <v>93.471673819144399</v>
      </c>
      <c r="AJ2364">
        <v>94.267442050754497</v>
      </c>
      <c r="AK2364">
        <v>18.342046375432599</v>
      </c>
      <c r="AL2364">
        <v>67.773648220400005</v>
      </c>
      <c r="AM2364">
        <v>92.145051767650003</v>
      </c>
      <c r="AN2364">
        <v>1.0000000577269601</v>
      </c>
    </row>
    <row r="2365" spans="1:40" x14ac:dyDescent="0.25">
      <c r="A2365" t="str">
        <f>"20190304164900896"</f>
        <v>20190304164900896</v>
      </c>
      <c r="B2365" t="str">
        <f>"1551689340887978"</f>
        <v>1551689340887978</v>
      </c>
      <c r="C2365" t="s">
        <v>40</v>
      </c>
      <c r="D2365">
        <v>4.1806349999999997</v>
      </c>
      <c r="E2365">
        <v>0.49613879999999999</v>
      </c>
      <c r="F2365" t="s">
        <v>46</v>
      </c>
      <c r="G2365">
        <v>-353.3972</v>
      </c>
      <c r="H2365" s="1">
        <v>2.7100910000000001E-7</v>
      </c>
      <c r="I2365">
        <v>282.959</v>
      </c>
      <c r="J2365">
        <v>-335.01029999999997</v>
      </c>
      <c r="K2365">
        <v>1.1107020000000001</v>
      </c>
      <c r="L2365">
        <v>284.5616</v>
      </c>
      <c r="M2365">
        <v>-0.99981779999999998</v>
      </c>
      <c r="N2365">
        <v>-1.507848E-2</v>
      </c>
      <c r="O2365">
        <v>-1.1706009999999999E-2</v>
      </c>
      <c r="P2365">
        <v>-0.93012430000000001</v>
      </c>
      <c r="Q2365">
        <v>0.36434680000000003</v>
      </c>
      <c r="R2365">
        <v>-4.6047060000000001E-2</v>
      </c>
      <c r="S2365">
        <v>-3.2881469999999999</v>
      </c>
      <c r="T2365">
        <v>-0.1963357</v>
      </c>
      <c r="U2365">
        <v>-0.28372190000000003</v>
      </c>
      <c r="V2365">
        <v>-3.5069250000000003E-2</v>
      </c>
      <c r="W2365">
        <v>0.3783456</v>
      </c>
      <c r="X2365">
        <v>0.92499980000000004</v>
      </c>
      <c r="Y2365">
        <v>-7.4144070000000006E-2</v>
      </c>
      <c r="Z2365">
        <v>-2.24734E-3</v>
      </c>
      <c r="AA2365">
        <v>0.99724500000000005</v>
      </c>
      <c r="AB2365">
        <v>40</v>
      </c>
      <c r="AC2365">
        <v>-18.386900000000001</v>
      </c>
      <c r="AD2365">
        <v>-1.1107017289909</v>
      </c>
      <c r="AE2365">
        <v>-1.60259999999999</v>
      </c>
      <c r="AF2365">
        <v>-1.38222271426239</v>
      </c>
      <c r="AG2365">
        <v>-1.1107017289909</v>
      </c>
      <c r="AH2365">
        <v>18.337990642627101</v>
      </c>
      <c r="AI2365">
        <v>93.456295709705799</v>
      </c>
      <c r="AJ2365">
        <v>94.310508118453896</v>
      </c>
      <c r="AK2365">
        <v>18.423520260028599</v>
      </c>
      <c r="AL2365">
        <v>67.768755637436001</v>
      </c>
      <c r="AM2365">
        <v>92.171198448431099</v>
      </c>
      <c r="AN2365">
        <v>0.99999993766747897</v>
      </c>
    </row>
    <row r="2366" spans="1:40" x14ac:dyDescent="0.25">
      <c r="A2366" t="str">
        <f>"20190304164900907"</f>
        <v>20190304164900907</v>
      </c>
      <c r="B2366" t="str">
        <f>"1551689340898714"</f>
        <v>1551689340898714</v>
      </c>
      <c r="C2366" t="s">
        <v>40</v>
      </c>
      <c r="D2366">
        <v>4.1613369999999996</v>
      </c>
      <c r="E2366">
        <v>0.49592809999999998</v>
      </c>
      <c r="F2366" t="s">
        <v>46</v>
      </c>
      <c r="G2366">
        <v>-353.64030000000002</v>
      </c>
      <c r="H2366" s="1">
        <v>4.004062E-7</v>
      </c>
      <c r="I2366">
        <v>282.9402</v>
      </c>
      <c r="J2366">
        <v>-335.22070000000002</v>
      </c>
      <c r="K2366">
        <v>1.1107020000000001</v>
      </c>
      <c r="L2366">
        <v>284.55919999999998</v>
      </c>
      <c r="M2366">
        <v>-0.9998184</v>
      </c>
      <c r="N2366">
        <v>-1.507614E-2</v>
      </c>
      <c r="O2366">
        <v>-1.1662209999999999E-2</v>
      </c>
      <c r="P2366">
        <v>-0.93013990000000002</v>
      </c>
      <c r="Q2366">
        <v>0.36430570000000001</v>
      </c>
      <c r="R2366">
        <v>-4.6061299999999999E-2</v>
      </c>
      <c r="S2366">
        <v>-3.2879939999999999</v>
      </c>
      <c r="T2366">
        <v>-0.19602620000000001</v>
      </c>
      <c r="U2366">
        <v>-0.28616329999999901</v>
      </c>
      <c r="V2366">
        <v>-3.5122399999999998E-2</v>
      </c>
      <c r="W2366">
        <v>0.37830239999999998</v>
      </c>
      <c r="X2366">
        <v>0.92501549999999999</v>
      </c>
      <c r="Y2366">
        <v>-7.4925309999999995E-2</v>
      </c>
      <c r="Z2366">
        <v>-2.2759579999999998E-3</v>
      </c>
      <c r="AA2366">
        <v>0.99718649999999998</v>
      </c>
      <c r="AB2366">
        <v>40</v>
      </c>
      <c r="AC2366">
        <v>-18.419599999999999</v>
      </c>
      <c r="AD2366">
        <v>-1.1107015995938001</v>
      </c>
      <c r="AE2366">
        <v>-1.61899999999997</v>
      </c>
      <c r="AF2366">
        <v>-1.39900432264135</v>
      </c>
      <c r="AG2366">
        <v>-1.1107015995938001</v>
      </c>
      <c r="AH2366">
        <v>18.370944067281499</v>
      </c>
      <c r="AI2366">
        <v>93.449908683078803</v>
      </c>
      <c r="AJ2366">
        <v>94.354845805632095</v>
      </c>
      <c r="AK2366">
        <v>18.4575853529462</v>
      </c>
      <c r="AL2366">
        <v>67.771430598082404</v>
      </c>
      <c r="AM2366">
        <v>92.174449029756104</v>
      </c>
      <c r="AN2366">
        <v>0.99999998203388396</v>
      </c>
    </row>
    <row r="2367" spans="1:40" x14ac:dyDescent="0.25">
      <c r="A2367" t="str">
        <f>"20190304164900924"</f>
        <v>20190304164900924</v>
      </c>
      <c r="B2367" t="str">
        <f>"1551689340918234"</f>
        <v>1551689340918234</v>
      </c>
      <c r="C2367" t="s">
        <v>40</v>
      </c>
      <c r="D2367">
        <v>4.1348729999999998</v>
      </c>
      <c r="E2367">
        <v>0.49556620000000001</v>
      </c>
      <c r="F2367" t="s">
        <v>46</v>
      </c>
      <c r="G2367">
        <v>-353.87290000000002</v>
      </c>
      <c r="H2367" s="1">
        <v>5.2417559999999905E-7</v>
      </c>
      <c r="I2367">
        <v>282.92700000000002</v>
      </c>
      <c r="J2367">
        <v>-335.49369999999999</v>
      </c>
      <c r="K2367">
        <v>1.1107</v>
      </c>
      <c r="L2367">
        <v>284.55599999999998</v>
      </c>
      <c r="M2367">
        <v>-0.99981909999999896</v>
      </c>
      <c r="N2367">
        <v>-1.5073100000000001E-2</v>
      </c>
      <c r="O2367">
        <v>-1.1605280000000001E-2</v>
      </c>
      <c r="P2367">
        <v>-0.93015230000000004</v>
      </c>
      <c r="Q2367">
        <v>0.36422369999999998</v>
      </c>
      <c r="R2367">
        <v>-4.6452180000000003E-2</v>
      </c>
      <c r="S2367">
        <v>-3.28775</v>
      </c>
      <c r="T2367">
        <v>-0.1957787</v>
      </c>
      <c r="U2367">
        <v>-0.28768919999999998</v>
      </c>
      <c r="V2367">
        <v>-3.5563930000000001E-2</v>
      </c>
      <c r="W2367">
        <v>0.3782181</v>
      </c>
      <c r="X2367">
        <v>0.9250332</v>
      </c>
      <c r="Y2367">
        <v>-7.5446920000000001E-2</v>
      </c>
      <c r="Z2367">
        <v>-2.2959180000000001E-3</v>
      </c>
      <c r="AA2367">
        <v>0.99714720000000001</v>
      </c>
      <c r="AB2367">
        <v>40</v>
      </c>
      <c r="AC2367">
        <v>-18.379200000000001</v>
      </c>
      <c r="AD2367">
        <v>-1.1106994758244</v>
      </c>
      <c r="AE2367">
        <v>-1.62899999999996</v>
      </c>
      <c r="AF2367">
        <v>-1.41045933247626</v>
      </c>
      <c r="AG2367">
        <v>-1.1106994758244</v>
      </c>
      <c r="AH2367">
        <v>18.330446742962</v>
      </c>
      <c r="AI2367">
        <v>93.457297285565602</v>
      </c>
      <c r="AJ2367">
        <v>94.400025867293095</v>
      </c>
      <c r="AK2367">
        <v>18.418152096525102</v>
      </c>
      <c r="AL2367">
        <v>67.7766504345134</v>
      </c>
      <c r="AM2367">
        <v>92.201715594999101</v>
      </c>
      <c r="AN2367">
        <v>1.0000000726934399</v>
      </c>
    </row>
    <row r="2368" spans="1:40" x14ac:dyDescent="0.25">
      <c r="A2368" t="str">
        <f>"20190304164900936"</f>
        <v>20190304164900936</v>
      </c>
      <c r="B2368" t="str">
        <f>"1551689340927995"</f>
        <v>1551689340927995</v>
      </c>
      <c r="C2368" t="s">
        <v>40</v>
      </c>
      <c r="D2368">
        <v>4.1385129999999997</v>
      </c>
      <c r="E2368">
        <v>0.49534610000000001</v>
      </c>
      <c r="F2368" t="s">
        <v>46</v>
      </c>
      <c r="G2368">
        <v>-354.11130000000003</v>
      </c>
      <c r="H2368" s="1">
        <v>6.5104199999999999E-7</v>
      </c>
      <c r="I2368">
        <v>282.90210000000002</v>
      </c>
      <c r="J2368">
        <v>-335.71379999999999</v>
      </c>
      <c r="K2368">
        <v>1.110698</v>
      </c>
      <c r="L2368">
        <v>284.55349999999999</v>
      </c>
      <c r="M2368">
        <v>-0.99981969999999998</v>
      </c>
      <c r="N2368">
        <v>-1.507065E-2</v>
      </c>
      <c r="O2368">
        <v>-1.1559460000000001E-2</v>
      </c>
      <c r="P2368">
        <v>-0.93026070000000005</v>
      </c>
      <c r="Q2368">
        <v>0.36388019999999999</v>
      </c>
      <c r="R2368">
        <v>-4.6973090000000002E-2</v>
      </c>
      <c r="S2368">
        <v>-3.287506</v>
      </c>
      <c r="T2368">
        <v>-0.19612769999999999</v>
      </c>
      <c r="U2368">
        <v>-0.29205320000000001</v>
      </c>
      <c r="V2368">
        <v>-3.6124719999999999E-2</v>
      </c>
      <c r="W2368">
        <v>0.3778746</v>
      </c>
      <c r="X2368">
        <v>0.92515179999999997</v>
      </c>
      <c r="Y2368">
        <v>-7.6808909999999994E-2</v>
      </c>
      <c r="Z2368">
        <v>-2.3514500000000002E-3</v>
      </c>
      <c r="AA2368">
        <v>0.99704309999999996</v>
      </c>
      <c r="AB2368">
        <v>40</v>
      </c>
      <c r="AC2368">
        <v>-18.397500000000001</v>
      </c>
      <c r="AD2368">
        <v>-1.1106973489580001</v>
      </c>
      <c r="AE2368">
        <v>-1.65139999999996</v>
      </c>
      <c r="AF2368">
        <v>-1.43341757576474</v>
      </c>
      <c r="AG2368">
        <v>-1.1106973489580001</v>
      </c>
      <c r="AH2368">
        <v>18.349018018304601</v>
      </c>
      <c r="AI2368">
        <v>93.453488440423101</v>
      </c>
      <c r="AJ2368">
        <v>94.466850385785094</v>
      </c>
      <c r="AK2368">
        <v>18.438405483760299</v>
      </c>
      <c r="AL2368">
        <v>67.797908240693303</v>
      </c>
      <c r="AM2368">
        <v>92.236111974819906</v>
      </c>
      <c r="AN2368">
        <v>1.0000000308817301</v>
      </c>
    </row>
    <row r="2369" spans="1:40" x14ac:dyDescent="0.25">
      <c r="A2369" t="str">
        <f>"20190304164900948"</f>
        <v>20190304164900948</v>
      </c>
      <c r="B2369" t="str">
        <f>"1551689340938730"</f>
        <v>1551689340938730</v>
      </c>
      <c r="C2369" t="s">
        <v>40</v>
      </c>
      <c r="D2369">
        <v>4.137562</v>
      </c>
      <c r="E2369">
        <v>0.4951971</v>
      </c>
      <c r="F2369" t="s">
        <v>46</v>
      </c>
      <c r="G2369">
        <v>-354.22519999999997</v>
      </c>
      <c r="H2369" s="1">
        <v>7.1163609999999902E-7</v>
      </c>
      <c r="I2369">
        <v>282.89089999999999</v>
      </c>
      <c r="J2369">
        <v>-335.92869999999999</v>
      </c>
      <c r="K2369">
        <v>1.110692</v>
      </c>
      <c r="L2369">
        <v>284.55110000000002</v>
      </c>
      <c r="M2369">
        <v>-0.99982020000000005</v>
      </c>
      <c r="N2369">
        <v>-1.506821E-2</v>
      </c>
      <c r="O2369">
        <v>-1.1513270000000001E-2</v>
      </c>
      <c r="P2369">
        <v>-0.93026770000000003</v>
      </c>
      <c r="Q2369">
        <v>0.36383589999999999</v>
      </c>
      <c r="R2369">
        <v>-4.7177579999999997E-2</v>
      </c>
      <c r="S2369">
        <v>-3.28714</v>
      </c>
      <c r="T2369">
        <v>-0.1972315</v>
      </c>
      <c r="U2369">
        <v>-0.29522710000000002</v>
      </c>
      <c r="V2369">
        <v>-3.6370300000000001E-2</v>
      </c>
      <c r="W2369">
        <v>0.37782830000000001</v>
      </c>
      <c r="X2369">
        <v>0.92516109999999896</v>
      </c>
      <c r="Y2369">
        <v>-7.7815910000000002E-2</v>
      </c>
      <c r="Z2369">
        <v>-2.4002350000000001E-3</v>
      </c>
      <c r="AA2369">
        <v>0.99696490000000004</v>
      </c>
      <c r="AB2369">
        <v>39</v>
      </c>
      <c r="AC2369">
        <v>-18.296499999999899</v>
      </c>
      <c r="AD2369">
        <v>-1.1106912883639</v>
      </c>
      <c r="AE2369">
        <v>-1.6602000000000301</v>
      </c>
      <c r="AF2369">
        <v>-1.4441351376844</v>
      </c>
      <c r="AG2369">
        <v>-1.1106912883639</v>
      </c>
      <c r="AH2369">
        <v>18.2477078279402</v>
      </c>
      <c r="AI2369">
        <v>93.472319912894093</v>
      </c>
      <c r="AJ2369">
        <v>94.524992913997195</v>
      </c>
      <c r="AK2369">
        <v>18.3384296603557</v>
      </c>
      <c r="AL2369">
        <v>67.800773702908401</v>
      </c>
      <c r="AM2369">
        <v>92.251275124940307</v>
      </c>
      <c r="AN2369">
        <v>1.0000000419780899</v>
      </c>
    </row>
    <row r="2370" spans="1:40" x14ac:dyDescent="0.25">
      <c r="A2370" t="str">
        <f>"20190304164900960"</f>
        <v>20190304164900960</v>
      </c>
      <c r="B2370" t="str">
        <f>"1551689340948490"</f>
        <v>1551689340948490</v>
      </c>
      <c r="C2370" t="s">
        <v>40</v>
      </c>
      <c r="D2370">
        <v>4.1072419999999896</v>
      </c>
      <c r="E2370">
        <v>0.4950794</v>
      </c>
      <c r="F2370" t="s">
        <v>46</v>
      </c>
      <c r="G2370">
        <v>-354.43950000000001</v>
      </c>
      <c r="H2370" s="1">
        <v>8.2568860000000003E-7</v>
      </c>
      <c r="I2370">
        <v>282.87900000000002</v>
      </c>
      <c r="J2370">
        <v>-336.13619999999997</v>
      </c>
      <c r="K2370">
        <v>1.110689</v>
      </c>
      <c r="L2370">
        <v>284.5487</v>
      </c>
      <c r="M2370">
        <v>-0.99982090000000001</v>
      </c>
      <c r="N2370">
        <v>-1.506586E-2</v>
      </c>
      <c r="O2370">
        <v>-1.1467450000000001E-2</v>
      </c>
      <c r="P2370">
        <v>-0.93032890000000001</v>
      </c>
      <c r="Q2370">
        <v>0.36366169999999998</v>
      </c>
      <c r="R2370">
        <v>-4.7312550000000002E-2</v>
      </c>
      <c r="S2370">
        <v>-3.2869259999999998</v>
      </c>
      <c r="T2370">
        <v>-0.1972237</v>
      </c>
      <c r="U2370">
        <v>-0.29690549999999999</v>
      </c>
      <c r="V2370">
        <v>-3.6545170000000002E-2</v>
      </c>
      <c r="W2370">
        <v>0.37765300000000002</v>
      </c>
      <c r="X2370">
        <v>0.92522570000000004</v>
      </c>
      <c r="Y2370">
        <v>-7.8371090000000004E-2</v>
      </c>
      <c r="Z2370">
        <v>-2.4229849999999999E-3</v>
      </c>
      <c r="AA2370">
        <v>0.99692130000000001</v>
      </c>
      <c r="AB2370">
        <v>39</v>
      </c>
      <c r="AC2370">
        <v>-18.3033</v>
      </c>
      <c r="AD2370">
        <v>-1.1106881743113901</v>
      </c>
      <c r="AE2370">
        <v>-1.66969999999997</v>
      </c>
      <c r="AF2370">
        <v>-1.4543629381852301</v>
      </c>
      <c r="AG2370">
        <v>-1.1106881743113901</v>
      </c>
      <c r="AH2370">
        <v>18.254580547470798</v>
      </c>
      <c r="AI2370">
        <v>93.470861159464803</v>
      </c>
      <c r="AJ2370">
        <v>94.555197355915197</v>
      </c>
      <c r="AK2370">
        <v>18.346076167415799</v>
      </c>
      <c r="AL2370">
        <v>67.811619583770707</v>
      </c>
      <c r="AM2370">
        <v>92.261930360136404</v>
      </c>
      <c r="AN2370">
        <v>0.999999966899908</v>
      </c>
    </row>
    <row r="2371" spans="1:40" x14ac:dyDescent="0.25">
      <c r="A2371" t="str">
        <f>"20190304164900973"</f>
        <v>20190304164900973</v>
      </c>
      <c r="B2371" t="str">
        <f>"1551689340968518"</f>
        <v>1551689340968518</v>
      </c>
      <c r="C2371" t="s">
        <v>40</v>
      </c>
      <c r="D2371">
        <v>4.1266429999999996</v>
      </c>
      <c r="E2371">
        <v>0.49484709999999898</v>
      </c>
      <c r="F2371" t="s">
        <v>46</v>
      </c>
      <c r="G2371">
        <v>-354.55619999999999</v>
      </c>
      <c r="H2371" s="1">
        <v>8.8780959999999903E-7</v>
      </c>
      <c r="I2371">
        <v>282.8784</v>
      </c>
      <c r="J2371">
        <v>-336.36450000000002</v>
      </c>
      <c r="K2371">
        <v>1.1106849999999999</v>
      </c>
      <c r="L2371">
        <v>284.54610000000002</v>
      </c>
      <c r="M2371">
        <v>-0.99982139999999997</v>
      </c>
      <c r="N2371">
        <v>-1.506328E-2</v>
      </c>
      <c r="O2371">
        <v>-1.1414580000000001E-2</v>
      </c>
      <c r="P2371">
        <v>-0.93030270000000004</v>
      </c>
      <c r="Q2371">
        <v>0.3636935</v>
      </c>
      <c r="R2371">
        <v>-4.7580530000000003E-2</v>
      </c>
      <c r="S2371">
        <v>-3.2869869999999999</v>
      </c>
      <c r="T2371">
        <v>-0.19819829999999999</v>
      </c>
      <c r="U2371">
        <v>-0.29806519999999997</v>
      </c>
      <c r="V2371">
        <v>-3.6860570000000002E-2</v>
      </c>
      <c r="W2371">
        <v>0.37768210000000002</v>
      </c>
      <c r="X2371">
        <v>0.92520139999999995</v>
      </c>
      <c r="Y2371">
        <v>-7.8768640000000001E-2</v>
      </c>
      <c r="Z2371">
        <v>-2.4483270000000001E-3</v>
      </c>
      <c r="AA2371">
        <v>0.9968899</v>
      </c>
      <c r="AB2371">
        <v>39</v>
      </c>
      <c r="AC2371">
        <v>-18.191699999999901</v>
      </c>
      <c r="AD2371">
        <v>-1.1106841121903901</v>
      </c>
      <c r="AE2371">
        <v>-1.6677000000000199</v>
      </c>
      <c r="AF2371">
        <v>-1.45454033001939</v>
      </c>
      <c r="AG2371">
        <v>-1.1106841121903901</v>
      </c>
      <c r="AH2371">
        <v>18.142487690715601</v>
      </c>
      <c r="AI2371">
        <v>93.492101246140095</v>
      </c>
      <c r="AJ2371">
        <v>94.583778620423402</v>
      </c>
      <c r="AK2371">
        <v>18.2345596704853</v>
      </c>
      <c r="AL2371">
        <v>67.809820873711999</v>
      </c>
      <c r="AM2371">
        <v>92.281491076698103</v>
      </c>
      <c r="AN2371">
        <v>1.0000000504215401</v>
      </c>
    </row>
    <row r="2372" spans="1:40" x14ac:dyDescent="0.25">
      <c r="A2372" t="str">
        <f>"20190304164900986"</f>
        <v>20190304164900986</v>
      </c>
      <c r="B2372" t="str">
        <f>"1551689340978278"</f>
        <v>1551689340978278</v>
      </c>
      <c r="C2372" t="s">
        <v>40</v>
      </c>
      <c r="D2372">
        <v>4.0916769999999998</v>
      </c>
      <c r="E2372">
        <v>0.49473410000000001</v>
      </c>
      <c r="F2372" t="s">
        <v>46</v>
      </c>
      <c r="G2372">
        <v>-354.79070000000002</v>
      </c>
      <c r="H2372" s="1">
        <v>1.0125700000000001E-6</v>
      </c>
      <c r="I2372">
        <v>282.85879999999997</v>
      </c>
      <c r="J2372">
        <v>-336.584</v>
      </c>
      <c r="K2372">
        <v>1.110679</v>
      </c>
      <c r="L2372">
        <v>284.5437</v>
      </c>
      <c r="M2372">
        <v>-0.99982210000000005</v>
      </c>
      <c r="N2372">
        <v>-1.5060810000000001E-2</v>
      </c>
      <c r="O2372">
        <v>-1.135894E-2</v>
      </c>
      <c r="P2372">
        <v>-0.93033560000000004</v>
      </c>
      <c r="Q2372">
        <v>0.36361149999999998</v>
      </c>
      <c r="R2372">
        <v>-4.7568590000000001E-2</v>
      </c>
      <c r="S2372">
        <v>-3.286835</v>
      </c>
      <c r="T2372">
        <v>-0.19812260000000001</v>
      </c>
      <c r="U2372">
        <v>-0.30099490000000001</v>
      </c>
      <c r="V2372">
        <v>-3.6896350000000001E-2</v>
      </c>
      <c r="W2372">
        <v>0.37759870000000001</v>
      </c>
      <c r="X2372">
        <v>0.925234</v>
      </c>
      <c r="Y2372">
        <v>-7.9707449999999999E-2</v>
      </c>
      <c r="Z2372">
        <v>-2.4853969999999999E-3</v>
      </c>
      <c r="AA2372">
        <v>0.99681520000000001</v>
      </c>
      <c r="AB2372">
        <v>39</v>
      </c>
      <c r="AC2372">
        <v>-18.206700000000001</v>
      </c>
      <c r="AD2372">
        <v>-1.1106779874299999</v>
      </c>
      <c r="AE2372">
        <v>-1.68490000000002</v>
      </c>
      <c r="AF2372">
        <v>-1.4725255925536</v>
      </c>
      <c r="AG2372">
        <v>-1.1106779874299999</v>
      </c>
      <c r="AH2372">
        <v>18.157666665375601</v>
      </c>
      <c r="AI2372">
        <v>93.488912536345296</v>
      </c>
      <c r="AJ2372">
        <v>94.636348548977494</v>
      </c>
      <c r="AK2372">
        <v>18.251103965058601</v>
      </c>
      <c r="AL2372">
        <v>67.814981153887601</v>
      </c>
      <c r="AM2372">
        <v>92.283622962504694</v>
      </c>
      <c r="AN2372">
        <v>1.0000000368205</v>
      </c>
    </row>
    <row r="2373" spans="1:40" x14ac:dyDescent="0.25">
      <c r="A2373" t="str">
        <f>"20190304164901002"</f>
        <v>20190304164901002</v>
      </c>
      <c r="B2373" t="str">
        <f>"1551689340998774"</f>
        <v>1551689340998774</v>
      </c>
      <c r="C2373" t="s">
        <v>40</v>
      </c>
      <c r="D2373">
        <v>4.1607989999999999</v>
      </c>
      <c r="E2373">
        <v>0.51466639999999997</v>
      </c>
      <c r="F2373" t="s">
        <v>46</v>
      </c>
      <c r="G2373">
        <v>-354.97879999999998</v>
      </c>
      <c r="H2373" s="1">
        <v>1.112664E-6</v>
      </c>
      <c r="I2373">
        <v>282.85449999999997</v>
      </c>
      <c r="J2373">
        <v>-336.88060000000002</v>
      </c>
      <c r="K2373">
        <v>1.110671</v>
      </c>
      <c r="L2373">
        <v>284.5403</v>
      </c>
      <c r="M2373">
        <v>-0.99982300000000002</v>
      </c>
      <c r="N2373">
        <v>-1.505745E-2</v>
      </c>
      <c r="O2373">
        <v>-1.1274849999999999E-2</v>
      </c>
      <c r="P2373">
        <v>-0.93030710000000005</v>
      </c>
      <c r="Q2373">
        <v>0.36364649999999998</v>
      </c>
      <c r="R2373">
        <v>-4.785271E-2</v>
      </c>
      <c r="S2373">
        <v>-3.2868040000000001</v>
      </c>
      <c r="T2373">
        <v>-0.19845699999999999</v>
      </c>
      <c r="U2373">
        <v>-0.3018188</v>
      </c>
      <c r="V2373">
        <v>-3.7251850000000003E-2</v>
      </c>
      <c r="W2373">
        <v>0.3776313</v>
      </c>
      <c r="X2373">
        <v>0.92520639999999998</v>
      </c>
      <c r="Y2373">
        <v>-8.0038590000000007E-2</v>
      </c>
      <c r="Z2373">
        <v>-2.5043790000000002E-3</v>
      </c>
      <c r="AA2373">
        <v>0.99678860000000002</v>
      </c>
      <c r="AB2373">
        <v>39</v>
      </c>
      <c r="AC2373">
        <v>-18.098199999999899</v>
      </c>
      <c r="AD2373">
        <v>-1.1106698873359999</v>
      </c>
      <c r="AE2373">
        <v>-1.6858000000000199</v>
      </c>
      <c r="AF2373">
        <v>-1.47610375295507</v>
      </c>
      <c r="AG2373">
        <v>-1.1106698873359999</v>
      </c>
      <c r="AH2373">
        <v>18.0486691119714</v>
      </c>
      <c r="AI2373">
        <v>93.509709471577494</v>
      </c>
      <c r="AJ2373">
        <v>94.675508346493999</v>
      </c>
      <c r="AK2373">
        <v>18.1429580444191</v>
      </c>
      <c r="AL2373">
        <v>67.812962889724503</v>
      </c>
      <c r="AM2373">
        <v>92.305670969473596</v>
      </c>
      <c r="AN2373">
        <v>0.99999999083453595</v>
      </c>
    </row>
    <row r="2374" spans="1:40" x14ac:dyDescent="0.25">
      <c r="A2374" t="str">
        <f>"20190304164901016"</f>
        <v>20190304164901016</v>
      </c>
      <c r="B2374" t="str">
        <f>"1551689341008534"</f>
        <v>1551689341008534</v>
      </c>
      <c r="C2374" t="s">
        <v>40</v>
      </c>
      <c r="D2374">
        <v>4.1149170000000002</v>
      </c>
      <c r="E2374">
        <v>0.52284160000000002</v>
      </c>
      <c r="F2374" t="s">
        <v>46</v>
      </c>
      <c r="G2374">
        <v>-353.77809999999999</v>
      </c>
      <c r="H2374" s="1">
        <v>4.7371869999999998E-7</v>
      </c>
      <c r="I2374">
        <v>283.80090000000001</v>
      </c>
      <c r="J2374">
        <v>-337.1216</v>
      </c>
      <c r="K2374">
        <v>1.1106590000000001</v>
      </c>
      <c r="L2374">
        <v>284.53769999999997</v>
      </c>
      <c r="M2374">
        <v>-0.99982400000000005</v>
      </c>
      <c r="N2374">
        <v>-1.5054700000000001E-2</v>
      </c>
      <c r="O2374">
        <v>-1.1198380000000001E-2</v>
      </c>
      <c r="P2374">
        <v>-0.93033330000000003</v>
      </c>
      <c r="Q2374">
        <v>0.3635428</v>
      </c>
      <c r="R2374">
        <v>-4.8131180000000003E-2</v>
      </c>
      <c r="S2374">
        <v>-3.3021240000000001</v>
      </c>
      <c r="T2374">
        <v>-0.21704850000000001</v>
      </c>
      <c r="U2374">
        <v>-0.14450070000000001</v>
      </c>
      <c r="V2374">
        <v>-3.7592399999999998E-2</v>
      </c>
      <c r="W2374">
        <v>0.37752629999999998</v>
      </c>
      <c r="X2374">
        <v>0.92523549999999999</v>
      </c>
      <c r="Y2374">
        <v>-3.2454789999999997E-2</v>
      </c>
      <c r="Z2374">
        <v>-7.4324289999999995E-4</v>
      </c>
      <c r="AA2374">
        <v>0.9994729</v>
      </c>
      <c r="AB2374">
        <v>39</v>
      </c>
      <c r="AC2374">
        <v>-16.656499999999902</v>
      </c>
      <c r="AD2374">
        <v>-1.1106585262813</v>
      </c>
      <c r="AE2374">
        <v>-0.73679999999995904</v>
      </c>
      <c r="AF2374">
        <v>-0.54777604780622202</v>
      </c>
      <c r="AG2374">
        <v>-1.1106585262813</v>
      </c>
      <c r="AH2374">
        <v>16.590087660248901</v>
      </c>
      <c r="AI2374">
        <v>93.827992135585802</v>
      </c>
      <c r="AJ2374">
        <v>91.891120667136207</v>
      </c>
      <c r="AK2374">
        <v>16.6362444540616</v>
      </c>
      <c r="AL2374">
        <v>67.819460389604799</v>
      </c>
      <c r="AM2374">
        <v>92.3266528573578</v>
      </c>
      <c r="AN2374">
        <v>1.0000000130948401</v>
      </c>
    </row>
    <row r="2375" spans="1:40" x14ac:dyDescent="0.25">
      <c r="A2375" t="str">
        <f>"20190304164901036"</f>
        <v>20190304164901036</v>
      </c>
      <c r="B2375" t="str">
        <f>"1551689341028054"</f>
        <v>1551689341028054</v>
      </c>
      <c r="C2375" t="s">
        <v>40</v>
      </c>
      <c r="D2375">
        <v>4.0153369999999997</v>
      </c>
      <c r="E2375">
        <v>0.52995719999999902</v>
      </c>
      <c r="F2375" t="s">
        <v>46</v>
      </c>
      <c r="G2375">
        <v>-353.43189999999998</v>
      </c>
      <c r="H2375" s="1">
        <v>2.8949679999999998E-7</v>
      </c>
      <c r="I2375">
        <v>284.14319999999998</v>
      </c>
      <c r="J2375">
        <v>-337.47500000000002</v>
      </c>
      <c r="K2375">
        <v>1.110635</v>
      </c>
      <c r="L2375">
        <v>284.53379999999999</v>
      </c>
      <c r="M2375">
        <v>-0.99982559999999998</v>
      </c>
      <c r="N2375">
        <v>-1.50507E-2</v>
      </c>
      <c r="O2375">
        <v>-1.1063770000000001E-2</v>
      </c>
      <c r="P2375">
        <v>-0.93047420000000003</v>
      </c>
      <c r="Q2375">
        <v>0.36307020000000001</v>
      </c>
      <c r="R2375">
        <v>-4.8970180000000002E-2</v>
      </c>
      <c r="S2375">
        <v>-3.3085629999999999</v>
      </c>
      <c r="T2375">
        <v>-0.22529769999999999</v>
      </c>
      <c r="U2375">
        <v>-8.0017089999999999E-2</v>
      </c>
      <c r="V2375">
        <v>-3.8537469999999997E-2</v>
      </c>
      <c r="W2375">
        <v>0.37705420000000001</v>
      </c>
      <c r="X2375">
        <v>0.92538909999999996</v>
      </c>
      <c r="Y2375">
        <v>-1.309302E-2</v>
      </c>
      <c r="Z2375" s="1">
        <v>4.2117519999999999E-5</v>
      </c>
      <c r="AA2375">
        <v>0.99991430000000003</v>
      </c>
      <c r="AB2375">
        <v>39</v>
      </c>
      <c r="AC2375">
        <v>-15.9568999999999</v>
      </c>
      <c r="AD2375">
        <v>-1.1106347105032</v>
      </c>
      <c r="AE2375">
        <v>-0.390600000000006</v>
      </c>
      <c r="AF2375">
        <v>-0.21298146895186401</v>
      </c>
      <c r="AG2375">
        <v>-1.1106347105032</v>
      </c>
      <c r="AH2375">
        <v>15.883344966068099</v>
      </c>
      <c r="AI2375">
        <v>93.999508920990607</v>
      </c>
      <c r="AJ2375">
        <v>90.768239184549003</v>
      </c>
      <c r="AK2375">
        <v>15.923552300834499</v>
      </c>
      <c r="AL2375">
        <v>67.8486679485341</v>
      </c>
      <c r="AM2375">
        <v>92.384682578784094</v>
      </c>
      <c r="AN2375">
        <v>0.99999999636522496</v>
      </c>
    </row>
    <row r="2376" spans="1:40" x14ac:dyDescent="0.25">
      <c r="A2376" t="str">
        <f>"20190304164901048"</f>
        <v>20190304164901048</v>
      </c>
      <c r="B2376" t="str">
        <f>"1551689341038790"</f>
        <v>1551689341038790</v>
      </c>
      <c r="C2376" t="s">
        <v>40</v>
      </c>
      <c r="D2376">
        <v>4.0121390000000003</v>
      </c>
      <c r="E2376">
        <v>0.53199449999999904</v>
      </c>
      <c r="F2376" t="s">
        <v>41</v>
      </c>
      <c r="G2376">
        <v>-338.5367</v>
      </c>
      <c r="H2376">
        <v>1.0359480000000001</v>
      </c>
      <c r="I2376">
        <v>284.52589999999998</v>
      </c>
      <c r="J2376">
        <v>-337.6891</v>
      </c>
      <c r="K2376">
        <v>1.1106259999999999</v>
      </c>
      <c r="L2376">
        <v>284.53149999999999</v>
      </c>
      <c r="M2376">
        <v>-0.99982660000000001</v>
      </c>
      <c r="N2376">
        <v>-1.504832E-2</v>
      </c>
      <c r="O2376">
        <v>-1.096634E-2</v>
      </c>
      <c r="P2376">
        <v>-0.93050940000000004</v>
      </c>
      <c r="Q2376">
        <v>0.36295189999999999</v>
      </c>
      <c r="R2376">
        <v>-4.9176159999999997E-2</v>
      </c>
      <c r="S2376">
        <v>-3.3138429999999999</v>
      </c>
      <c r="T2376">
        <v>-0.23336319999999999</v>
      </c>
      <c r="U2376">
        <v>-2.5970460000000001E-2</v>
      </c>
      <c r="V2376">
        <v>-3.8819689999999997E-2</v>
      </c>
      <c r="W2376">
        <v>0.37693589999999999</v>
      </c>
      <c r="X2376">
        <v>0.92542550000000001</v>
      </c>
      <c r="Y2376">
        <v>3.10487E-3</v>
      </c>
      <c r="Z2376">
        <v>7.3897999999999998E-4</v>
      </c>
      <c r="AA2376">
        <v>0.99999490000000002</v>
      </c>
      <c r="AB2376">
        <v>39</v>
      </c>
      <c r="AC2376">
        <v>-0.84759999999999902</v>
      </c>
      <c r="AD2376">
        <v>-7.4678000000000203E-2</v>
      </c>
      <c r="AE2376">
        <v>-5.6000000000153696E-3</v>
      </c>
      <c r="AF2376">
        <v>3.6679878549319002E-3</v>
      </c>
      <c r="AG2376">
        <v>-7.4678000000000203E-2</v>
      </c>
      <c r="AH2376">
        <v>0.84108179867980803</v>
      </c>
      <c r="AI2376">
        <v>95.073826597592699</v>
      </c>
      <c r="AJ2376">
        <v>89.750132637018396</v>
      </c>
      <c r="AK2376">
        <v>0.84439851367074603</v>
      </c>
      <c r="AL2376">
        <v>67.855986050525502</v>
      </c>
      <c r="AM2376">
        <v>92.4020314794044</v>
      </c>
      <c r="AN2376">
        <v>0.99999999854537802</v>
      </c>
    </row>
    <row r="2377" spans="1:40" x14ac:dyDescent="0.25">
      <c r="A2377" t="str">
        <f>"20190304164901060"</f>
        <v>20190304164901060</v>
      </c>
      <c r="B2377" t="str">
        <f>"1551689341048550"</f>
        <v>1551689341048550</v>
      </c>
      <c r="C2377" t="s">
        <v>40</v>
      </c>
      <c r="D2377">
        <v>3.9986570000000001</v>
      </c>
      <c r="E2377">
        <v>0.53347460000000002</v>
      </c>
      <c r="F2377" t="s">
        <v>46</v>
      </c>
      <c r="G2377">
        <v>-353.49270000000001</v>
      </c>
      <c r="H2377" s="1">
        <v>3.2186139999999999E-7</v>
      </c>
      <c r="I2377">
        <v>284.4821</v>
      </c>
      <c r="J2377">
        <v>-337.88560000000001</v>
      </c>
      <c r="K2377">
        <v>1.1106130000000001</v>
      </c>
      <c r="L2377">
        <v>284.52949999999998</v>
      </c>
      <c r="M2377">
        <v>-0.99982789999999999</v>
      </c>
      <c r="N2377">
        <v>-1.504613E-2</v>
      </c>
      <c r="O2377">
        <v>-1.0870579999999999E-2</v>
      </c>
      <c r="P2377">
        <v>-0.9304576</v>
      </c>
      <c r="Q2377">
        <v>0.36305379999999998</v>
      </c>
      <c r="R2377">
        <v>-4.940547E-2</v>
      </c>
      <c r="S2377">
        <v>-3.314362</v>
      </c>
      <c r="T2377">
        <v>-0.23292170000000001</v>
      </c>
      <c r="U2377">
        <v>-1.037598E-2</v>
      </c>
      <c r="V2377">
        <v>-3.9125519999999997E-2</v>
      </c>
      <c r="W2377">
        <v>0.3770365</v>
      </c>
      <c r="X2377">
        <v>0.92537159999999996</v>
      </c>
      <c r="Y2377">
        <v>7.7017159999999999E-3</v>
      </c>
      <c r="Z2377">
        <v>9.2789649999999995E-4</v>
      </c>
      <c r="AA2377">
        <v>0.99996989999999997</v>
      </c>
      <c r="AB2377">
        <v>39</v>
      </c>
      <c r="AC2377">
        <v>-15.607100000000001</v>
      </c>
      <c r="AD2377">
        <v>-1.1106126781386001</v>
      </c>
      <c r="AE2377">
        <v>-4.7399999999981901E-2</v>
      </c>
      <c r="AF2377">
        <v>0.121664121981107</v>
      </c>
      <c r="AG2377">
        <v>-1.1106126781386001</v>
      </c>
      <c r="AH2377">
        <v>15.528061896313201</v>
      </c>
      <c r="AI2377">
        <v>94.090871221936993</v>
      </c>
      <c r="AJ2377">
        <v>89.551090270300705</v>
      </c>
      <c r="AK2377">
        <v>15.568203779985399</v>
      </c>
      <c r="AL2377">
        <v>67.849762127058796</v>
      </c>
      <c r="AM2377">
        <v>92.421073624600197</v>
      </c>
      <c r="AN2377">
        <v>0.999999963367039</v>
      </c>
    </row>
    <row r="2378" spans="1:40" x14ac:dyDescent="0.25">
      <c r="A2378" t="str">
        <f>"20190304164901070"</f>
        <v>20190304164901070</v>
      </c>
      <c r="B2378" t="str">
        <f>"1551689341058310"</f>
        <v>1551689341058310</v>
      </c>
      <c r="C2378" t="s">
        <v>40</v>
      </c>
      <c r="D2378">
        <v>3.9771239999999999</v>
      </c>
      <c r="E2378">
        <v>0.53455069999999905</v>
      </c>
      <c r="F2378" t="s">
        <v>41</v>
      </c>
      <c r="G2378">
        <v>-338.89</v>
      </c>
      <c r="H2378">
        <v>1.040346</v>
      </c>
      <c r="I2378">
        <v>284.52940000000001</v>
      </c>
      <c r="J2378">
        <v>-338.08300000000003</v>
      </c>
      <c r="K2378">
        <v>1.1106009999999999</v>
      </c>
      <c r="L2378">
        <v>284.5274</v>
      </c>
      <c r="M2378">
        <v>-0.99982879999999996</v>
      </c>
      <c r="N2378">
        <v>-1.5043920000000001E-2</v>
      </c>
      <c r="O2378">
        <v>-1.0764070000000001E-2</v>
      </c>
      <c r="P2378">
        <v>-0.93042400000000003</v>
      </c>
      <c r="Q2378">
        <v>0.36314170000000001</v>
      </c>
      <c r="R2378">
        <v>-4.9390259999999998E-2</v>
      </c>
      <c r="S2378">
        <v>-3.3147280000000001</v>
      </c>
      <c r="T2378">
        <v>-0.2319195</v>
      </c>
      <c r="U2378">
        <v>-3.9672850000000001E-4</v>
      </c>
      <c r="V2378">
        <v>-3.9195510000000003E-2</v>
      </c>
      <c r="W2378">
        <v>0.3771236</v>
      </c>
      <c r="X2378">
        <v>0.92533319999999997</v>
      </c>
      <c r="Y2378">
        <v>1.059791E-2</v>
      </c>
      <c r="Z2378">
        <v>1.040539E-3</v>
      </c>
      <c r="AA2378">
        <v>0.99994329999999998</v>
      </c>
      <c r="AB2378">
        <v>39</v>
      </c>
      <c r="AC2378">
        <v>-0.80699999999995897</v>
      </c>
      <c r="AD2378">
        <v>-7.0254999999999901E-2</v>
      </c>
      <c r="AE2378">
        <v>2.0000000000095402E-3</v>
      </c>
      <c r="AF2378">
        <v>1.06070827904648E-2</v>
      </c>
      <c r="AG2378">
        <v>-7.0254999999999901E-2</v>
      </c>
      <c r="AH2378">
        <v>0.800862072394396</v>
      </c>
      <c r="AI2378">
        <v>95.012956128935002</v>
      </c>
      <c r="AJ2378">
        <v>89.241185760823896</v>
      </c>
      <c r="AK2378">
        <v>0.80400767050456101</v>
      </c>
      <c r="AL2378">
        <v>67.844375099354906</v>
      </c>
      <c r="AM2378">
        <v>92.425499944559803</v>
      </c>
      <c r="AN2378">
        <v>1.0000000143516801</v>
      </c>
    </row>
    <row r="2379" spans="1:40" x14ac:dyDescent="0.25">
      <c r="A2379" t="str">
        <f>"20190304164901082"</f>
        <v>20190304164901082</v>
      </c>
      <c r="B2379" t="str">
        <f>"1551689341078806"</f>
        <v>1551689341078806</v>
      </c>
      <c r="C2379" t="s">
        <v>40</v>
      </c>
      <c r="D2379">
        <v>3.9797449999999999</v>
      </c>
      <c r="E2379">
        <v>0.53588760000000002</v>
      </c>
      <c r="F2379" t="s">
        <v>46</v>
      </c>
      <c r="G2379">
        <v>-353.90609999999998</v>
      </c>
      <c r="H2379" s="1">
        <v>5.4185090000000003E-7</v>
      </c>
      <c r="I2379">
        <v>284.56130000000002</v>
      </c>
      <c r="J2379">
        <v>-338.2758</v>
      </c>
      <c r="K2379">
        <v>1.1105860000000001</v>
      </c>
      <c r="L2379">
        <v>284.52550000000002</v>
      </c>
      <c r="M2379">
        <v>-0.9998302</v>
      </c>
      <c r="N2379">
        <v>-1.5041779999999999E-2</v>
      </c>
      <c r="O2379">
        <v>-1.064766E-2</v>
      </c>
      <c r="P2379">
        <v>-0.93040259999999997</v>
      </c>
      <c r="Q2379">
        <v>0.36319269999999998</v>
      </c>
      <c r="R2379">
        <v>-4.9419589999999999E-2</v>
      </c>
      <c r="S2379">
        <v>-3.3155519999999998</v>
      </c>
      <c r="T2379">
        <v>-0.23271310000000001</v>
      </c>
      <c r="U2379">
        <v>7.1105959999999899E-3</v>
      </c>
      <c r="V2379">
        <v>-3.9318180000000001E-2</v>
      </c>
      <c r="W2379">
        <v>0.37717390000000001</v>
      </c>
      <c r="X2379">
        <v>0.92530749999999995</v>
      </c>
      <c r="Y2379">
        <v>1.273909E-2</v>
      </c>
      <c r="Z2379">
        <v>1.128874E-3</v>
      </c>
      <c r="AA2379">
        <v>0.99991819999999998</v>
      </c>
      <c r="AB2379">
        <v>39</v>
      </c>
      <c r="AC2379">
        <v>-15.630299999999901</v>
      </c>
      <c r="AD2379">
        <v>-1.1105854581490999</v>
      </c>
      <c r="AE2379">
        <v>3.5799999999994697E-2</v>
      </c>
      <c r="AF2379">
        <v>0.20122701052018599</v>
      </c>
      <c r="AG2379">
        <v>-1.1105854581490999</v>
      </c>
      <c r="AH2379">
        <v>15.5505248466054</v>
      </c>
      <c r="AI2379">
        <v>94.084666283388799</v>
      </c>
      <c r="AJ2379">
        <v>89.258622131839104</v>
      </c>
      <c r="AK2379">
        <v>15.591430831534</v>
      </c>
      <c r="AL2379">
        <v>67.841263453614005</v>
      </c>
      <c r="AM2379">
        <v>92.433149408164098</v>
      </c>
      <c r="AN2379">
        <v>1.0000000198379799</v>
      </c>
    </row>
    <row r="2380" spans="1:40" x14ac:dyDescent="0.25">
      <c r="A2380" t="str">
        <f>"20190304164901093"</f>
        <v>20190304164901093</v>
      </c>
      <c r="B2380" t="str">
        <f>"1551689341088566"</f>
        <v>1551689341088566</v>
      </c>
      <c r="C2380" t="s">
        <v>40</v>
      </c>
      <c r="D2380">
        <v>3.9528310000000002</v>
      </c>
      <c r="E2380">
        <v>0.53641329999999998</v>
      </c>
      <c r="F2380" t="s">
        <v>41</v>
      </c>
      <c r="G2380">
        <v>-339.24180000000001</v>
      </c>
      <c r="H2380">
        <v>1.0433030000000001</v>
      </c>
      <c r="I2380">
        <v>284.53039999999999</v>
      </c>
      <c r="J2380">
        <v>-338.47120000000001</v>
      </c>
      <c r="K2380">
        <v>1.1105689999999999</v>
      </c>
      <c r="L2380">
        <v>284.52350000000001</v>
      </c>
      <c r="M2380">
        <v>-0.99983160000000004</v>
      </c>
      <c r="N2380">
        <v>-1.50396E-2</v>
      </c>
      <c r="O2380">
        <v>-1.052144E-2</v>
      </c>
      <c r="P2380">
        <v>-0.93034850000000002</v>
      </c>
      <c r="Q2380">
        <v>0.36332959999999997</v>
      </c>
      <c r="R2380">
        <v>-4.9433890000000001E-2</v>
      </c>
      <c r="S2380">
        <v>-3.3154910000000002</v>
      </c>
      <c r="T2380">
        <v>-0.2310102</v>
      </c>
      <c r="U2380">
        <v>1.6357420000000001E-2</v>
      </c>
      <c r="V2380">
        <v>-3.9433639999999999E-2</v>
      </c>
      <c r="W2380">
        <v>0.37730950000000002</v>
      </c>
      <c r="X2380">
        <v>0.92524729999999999</v>
      </c>
      <c r="Y2380">
        <v>1.5394720000000001E-2</v>
      </c>
      <c r="Z2380">
        <v>1.2257100000000001E-3</v>
      </c>
      <c r="AA2380">
        <v>0.99988069999999896</v>
      </c>
      <c r="AB2380">
        <v>39</v>
      </c>
      <c r="AC2380">
        <v>-0.77060000000000095</v>
      </c>
      <c r="AD2380">
        <v>-6.7266000000000006E-2</v>
      </c>
      <c r="AE2380">
        <v>6.89999999997326E-3</v>
      </c>
      <c r="AF2380">
        <v>1.4894872139894599E-2</v>
      </c>
      <c r="AG2380">
        <v>-6.7266000000000006E-2</v>
      </c>
      <c r="AH2380">
        <v>0.76465878930617304</v>
      </c>
      <c r="AI2380">
        <v>95.026342442160598</v>
      </c>
      <c r="AJ2380">
        <v>88.884070374902805</v>
      </c>
      <c r="AK2380">
        <v>0.76775623477458399</v>
      </c>
      <c r="AL2380">
        <v>67.832874280835696</v>
      </c>
      <c r="AM2380">
        <v>92.440444442376005</v>
      </c>
      <c r="AN2380">
        <v>1.0000000184555899</v>
      </c>
    </row>
    <row r="2381" spans="1:40" x14ac:dyDescent="0.25">
      <c r="A2381" t="str">
        <f>"20190304164901105"</f>
        <v>20190304164901105</v>
      </c>
      <c r="B2381" t="str">
        <f>"1551689341098326"</f>
        <v>1551689341098326</v>
      </c>
      <c r="C2381" t="s">
        <v>40</v>
      </c>
      <c r="D2381">
        <v>3.9608180000000002</v>
      </c>
      <c r="E2381">
        <v>0.53681769999999995</v>
      </c>
      <c r="F2381" t="s">
        <v>46</v>
      </c>
      <c r="G2381">
        <v>-354.46719999999999</v>
      </c>
      <c r="H2381" s="1">
        <v>8.4040969999999996E-7</v>
      </c>
      <c r="I2381">
        <v>284.61810000000003</v>
      </c>
      <c r="J2381">
        <v>-338.68299999999999</v>
      </c>
      <c r="K2381">
        <v>1.110552</v>
      </c>
      <c r="L2381">
        <v>284.5213</v>
      </c>
      <c r="M2381">
        <v>-0.99983319999999998</v>
      </c>
      <c r="N2381">
        <v>-1.503727E-2</v>
      </c>
      <c r="O2381">
        <v>-1.036514E-2</v>
      </c>
      <c r="P2381">
        <v>-0.93036129999999995</v>
      </c>
      <c r="Q2381">
        <v>0.36329499999999998</v>
      </c>
      <c r="R2381">
        <v>-4.9443470000000003E-2</v>
      </c>
      <c r="S2381">
        <v>-3.3155209999999999</v>
      </c>
      <c r="T2381">
        <v>-0.23019020000000001</v>
      </c>
      <c r="U2381">
        <v>1.9622799999999999E-2</v>
      </c>
      <c r="V2381">
        <v>-3.9569239999999999E-2</v>
      </c>
      <c r="W2381">
        <v>0.37727500000000003</v>
      </c>
      <c r="X2381">
        <v>0.92525550000000001</v>
      </c>
      <c r="Y2381">
        <v>1.6221340000000001E-2</v>
      </c>
      <c r="Z2381">
        <v>1.2476060000000001E-3</v>
      </c>
      <c r="AA2381">
        <v>0.99986759999999997</v>
      </c>
      <c r="AB2381">
        <v>39</v>
      </c>
      <c r="AC2381">
        <v>-15.784199999999901</v>
      </c>
      <c r="AD2381">
        <v>-1.1105511595902999</v>
      </c>
      <c r="AE2381">
        <v>9.6800000000030195E-2</v>
      </c>
      <c r="AF2381">
        <v>0.25913598921347097</v>
      </c>
      <c r="AG2381">
        <v>-1.1105511595902999</v>
      </c>
      <c r="AH2381">
        <v>15.7046087446715</v>
      </c>
      <c r="AI2381">
        <v>94.044388009616696</v>
      </c>
      <c r="AJ2381">
        <v>89.054669144675898</v>
      </c>
      <c r="AK2381">
        <v>15.745958565999899</v>
      </c>
      <c r="AL2381">
        <v>67.835007026672699</v>
      </c>
      <c r="AM2381">
        <v>92.448804495678104</v>
      </c>
      <c r="AN2381">
        <v>0.99999994532971204</v>
      </c>
    </row>
    <row r="2382" spans="1:40" x14ac:dyDescent="0.25">
      <c r="A2382" t="str">
        <f>"20190304164901116"</f>
        <v>20190304164901116</v>
      </c>
      <c r="B2382" t="str">
        <f>"1551689341108086"</f>
        <v>1551689341108086</v>
      </c>
      <c r="C2382" t="s">
        <v>40</v>
      </c>
      <c r="D2382">
        <v>3.9563109999999999</v>
      </c>
      <c r="E2382">
        <v>0.53714589999999995</v>
      </c>
      <c r="F2382" t="s">
        <v>46</v>
      </c>
      <c r="G2382">
        <v>-354.62310000000002</v>
      </c>
      <c r="H2382" s="1">
        <v>9.2341460000000005E-7</v>
      </c>
      <c r="I2382">
        <v>284.62830000000002</v>
      </c>
      <c r="J2382">
        <v>-338.88589999999999</v>
      </c>
      <c r="K2382">
        <v>1.1105290000000001</v>
      </c>
      <c r="L2382">
        <v>284.51929999999999</v>
      </c>
      <c r="M2382">
        <v>-0.99983489999999997</v>
      </c>
      <c r="N2382">
        <v>-1.503502E-2</v>
      </c>
      <c r="O2382">
        <v>-1.0209090000000001E-2</v>
      </c>
      <c r="P2382">
        <v>-0.93031249999999999</v>
      </c>
      <c r="Q2382">
        <v>0.36341010000000001</v>
      </c>
      <c r="R2382">
        <v>-4.9515959999999998E-2</v>
      </c>
      <c r="S2382">
        <v>-3.3159179999999999</v>
      </c>
      <c r="T2382">
        <v>-0.2310209</v>
      </c>
      <c r="U2382">
        <v>2.2247309999999999E-2</v>
      </c>
      <c r="V2382">
        <v>-3.97693E-2</v>
      </c>
      <c r="W2382">
        <v>0.37738939999999999</v>
      </c>
      <c r="X2382">
        <v>0.92520029999999998</v>
      </c>
      <c r="Y2382">
        <v>1.6853859999999998E-2</v>
      </c>
      <c r="Z2382">
        <v>1.270326E-3</v>
      </c>
      <c r="AA2382">
        <v>0.99985710000000005</v>
      </c>
      <c r="AB2382">
        <v>39</v>
      </c>
      <c r="AC2382">
        <v>-15.7372</v>
      </c>
      <c r="AD2382">
        <v>-1.1105280765854</v>
      </c>
      <c r="AE2382">
        <v>0.109000000000037</v>
      </c>
      <c r="AF2382">
        <v>0.268338777605234</v>
      </c>
      <c r="AG2382">
        <v>-1.1105280765854</v>
      </c>
      <c r="AH2382">
        <v>15.6573016673784</v>
      </c>
      <c r="AI2382">
        <v>94.056439636446598</v>
      </c>
      <c r="AJ2382">
        <v>89.018146629198895</v>
      </c>
      <c r="AK2382">
        <v>15.6989290657592</v>
      </c>
      <c r="AL2382">
        <v>67.827929891488793</v>
      </c>
      <c r="AM2382">
        <v>92.461316995980596</v>
      </c>
      <c r="AN2382">
        <v>0.99999997578746902</v>
      </c>
    </row>
    <row r="2383" spans="1:40" x14ac:dyDescent="0.25">
      <c r="A2383" t="str">
        <f>"20190304164901128"</f>
        <v>20190304164901128</v>
      </c>
      <c r="B2383" t="str">
        <f>"1551689341118823"</f>
        <v>1551689341118823</v>
      </c>
      <c r="C2383" t="s">
        <v>40</v>
      </c>
      <c r="D2383">
        <v>3.9624139999999999</v>
      </c>
      <c r="E2383">
        <v>0.53743369999999901</v>
      </c>
      <c r="F2383" t="s">
        <v>41</v>
      </c>
      <c r="G2383">
        <v>-339.93490000000003</v>
      </c>
      <c r="H2383">
        <v>1.037755</v>
      </c>
      <c r="I2383">
        <v>284.52730000000003</v>
      </c>
      <c r="J2383">
        <v>-339.0958</v>
      </c>
      <c r="K2383">
        <v>1.110509</v>
      </c>
      <c r="L2383">
        <v>284.51740000000001</v>
      </c>
      <c r="M2383">
        <v>-0.99983679999999997</v>
      </c>
      <c r="N2383">
        <v>-1.503254E-2</v>
      </c>
      <c r="O2383">
        <v>-1.0031109999999999E-2</v>
      </c>
      <c r="P2383">
        <v>-0.93031359999999996</v>
      </c>
      <c r="Q2383">
        <v>0.36342950000000002</v>
      </c>
      <c r="R2383">
        <v>-4.93537E-2</v>
      </c>
      <c r="S2383">
        <v>-3.3159480000000001</v>
      </c>
      <c r="T2383">
        <v>-0.2301298</v>
      </c>
      <c r="U2383">
        <v>2.420044E-2</v>
      </c>
      <c r="V2383">
        <v>-3.9753530000000002E-2</v>
      </c>
      <c r="W2383">
        <v>0.37740790000000002</v>
      </c>
      <c r="X2383">
        <v>0.92519340000000005</v>
      </c>
      <c r="Y2383">
        <v>1.726426E-2</v>
      </c>
      <c r="Z2383">
        <v>1.2729740000000001E-3</v>
      </c>
      <c r="AA2383">
        <v>0.99985020000000002</v>
      </c>
      <c r="AB2383">
        <v>39</v>
      </c>
      <c r="AC2383">
        <v>-0.83910000000003004</v>
      </c>
      <c r="AD2383">
        <v>-7.2753999999999902E-2</v>
      </c>
      <c r="AE2383">
        <v>9.9000000000160002E-3</v>
      </c>
      <c r="AF2383">
        <v>1.8180896516264099E-2</v>
      </c>
      <c r="AG2383">
        <v>-7.2753999999999902E-2</v>
      </c>
      <c r="AH2383">
        <v>0.83269932233338195</v>
      </c>
      <c r="AI2383">
        <v>94.992141308669304</v>
      </c>
      <c r="AJ2383">
        <v>88.749220601265804</v>
      </c>
      <c r="AK2383">
        <v>0.836069285961761</v>
      </c>
      <c r="AL2383">
        <v>67.826784598609805</v>
      </c>
      <c r="AM2383">
        <v>92.460360518680602</v>
      </c>
      <c r="AN2383">
        <v>0.999999946766714</v>
      </c>
    </row>
    <row r="2384" spans="1:40" x14ac:dyDescent="0.25">
      <c r="A2384" t="str">
        <f>"20190304164901140"</f>
        <v>20190304164901140</v>
      </c>
      <c r="B2384" t="str">
        <f>"1551689341128583"</f>
        <v>1551689341128583</v>
      </c>
      <c r="C2384" t="s">
        <v>40</v>
      </c>
      <c r="D2384">
        <v>3.939594</v>
      </c>
      <c r="E2384">
        <v>0.53770589999999996</v>
      </c>
      <c r="F2384" t="s">
        <v>46</v>
      </c>
      <c r="G2384">
        <v>-355.10019999999997</v>
      </c>
      <c r="H2384" s="1">
        <v>1.177287E-6</v>
      </c>
      <c r="I2384">
        <v>284.64640000000003</v>
      </c>
      <c r="J2384">
        <v>-339.2885</v>
      </c>
      <c r="K2384">
        <v>1.1104909999999999</v>
      </c>
      <c r="L2384">
        <v>284.51560000000001</v>
      </c>
      <c r="M2384">
        <v>-0.99983849999999996</v>
      </c>
      <c r="N2384">
        <v>-1.503029E-2</v>
      </c>
      <c r="O2384">
        <v>-9.8618760000000003E-3</v>
      </c>
      <c r="P2384">
        <v>-0.93040769999999995</v>
      </c>
      <c r="Q2384">
        <v>0.36327300000000001</v>
      </c>
      <c r="R2384">
        <v>-4.8728309999999997E-2</v>
      </c>
      <c r="S2384">
        <v>-3.3160099999999999</v>
      </c>
      <c r="T2384">
        <v>-0.2300904</v>
      </c>
      <c r="U2384">
        <v>2.6733400000000001E-2</v>
      </c>
      <c r="V2384">
        <v>-3.9268730000000002E-2</v>
      </c>
      <c r="W2384">
        <v>0.37725199999999998</v>
      </c>
      <c r="X2384">
        <v>0.92527769999999998</v>
      </c>
      <c r="Y2384">
        <v>1.7857129999999999E-2</v>
      </c>
      <c r="Z2384">
        <v>1.2885489999999999E-3</v>
      </c>
      <c r="AA2384">
        <v>0.9998397</v>
      </c>
      <c r="AB2384">
        <v>39</v>
      </c>
      <c r="AC2384">
        <v>-15.811699999999901</v>
      </c>
      <c r="AD2384">
        <v>-1.11048982271299</v>
      </c>
      <c r="AE2384">
        <v>0.13080000000002101</v>
      </c>
      <c r="AF2384">
        <v>0.28533691988938498</v>
      </c>
      <c r="AG2384">
        <v>-1.11048982271299</v>
      </c>
      <c r="AH2384">
        <v>15.732046938337801</v>
      </c>
      <c r="AI2384">
        <v>94.037021286900099</v>
      </c>
      <c r="AJ2384">
        <v>88.9609229505663</v>
      </c>
      <c r="AK2384">
        <v>15.7737727153102</v>
      </c>
      <c r="AL2384">
        <v>67.836430398734706</v>
      </c>
      <c r="AM2384">
        <v>92.430171107477804</v>
      </c>
      <c r="AN2384">
        <v>0.99999996338855002</v>
      </c>
    </row>
    <row r="2385" spans="1:40" x14ac:dyDescent="0.25">
      <c r="A2385" t="str">
        <f>"20190304164901152"</f>
        <v>20190304164901152</v>
      </c>
      <c r="B2385" t="str">
        <f>"1551689341148102"</f>
        <v>1551689341148102</v>
      </c>
      <c r="C2385" t="s">
        <v>40</v>
      </c>
      <c r="D2385">
        <v>3.9333550000000002</v>
      </c>
      <c r="E2385">
        <v>0.53812629999999995</v>
      </c>
      <c r="F2385" t="s">
        <v>41</v>
      </c>
      <c r="G2385">
        <v>-340.28640000000001</v>
      </c>
      <c r="H2385">
        <v>1.041026</v>
      </c>
      <c r="I2385">
        <v>284.52499999999998</v>
      </c>
      <c r="J2385">
        <v>-339.50439999999998</v>
      </c>
      <c r="K2385">
        <v>1.110476</v>
      </c>
      <c r="L2385">
        <v>284.5136</v>
      </c>
      <c r="M2385">
        <v>-0.99984039999999996</v>
      </c>
      <c r="N2385">
        <v>-1.5027820000000001E-2</v>
      </c>
      <c r="O2385">
        <v>-9.6631900000000003E-3</v>
      </c>
      <c r="P2385">
        <v>-0.93047340000000001</v>
      </c>
      <c r="Q2385">
        <v>0.36313649999999997</v>
      </c>
      <c r="R2385">
        <v>-4.84898E-2</v>
      </c>
      <c r="S2385">
        <v>-3.3161010000000002</v>
      </c>
      <c r="T2385">
        <v>-0.23088539999999999</v>
      </c>
      <c r="U2385">
        <v>3.048706E-2</v>
      </c>
      <c r="V2385">
        <v>-3.9198289999999997E-2</v>
      </c>
      <c r="W2385">
        <v>0.37711610000000001</v>
      </c>
      <c r="X2385">
        <v>0.92533620000000005</v>
      </c>
      <c r="Y2385">
        <v>1.878699E-2</v>
      </c>
      <c r="Z2385">
        <v>1.3214979999999999E-3</v>
      </c>
      <c r="AA2385">
        <v>0.99982260000000001</v>
      </c>
      <c r="AB2385">
        <v>39</v>
      </c>
      <c r="AC2385">
        <v>-0.782000000000039</v>
      </c>
      <c r="AD2385">
        <v>-6.9449999999999998E-2</v>
      </c>
      <c r="AE2385">
        <v>1.13999999999805E-2</v>
      </c>
      <c r="AF2385">
        <v>1.88086168897269E-2</v>
      </c>
      <c r="AG2385">
        <v>-6.9449999999999998E-2</v>
      </c>
      <c r="AH2385">
        <v>0.77573610710369501</v>
      </c>
      <c r="AI2385">
        <v>95.114434495964304</v>
      </c>
      <c r="AJ2385">
        <v>88.611069853333802</v>
      </c>
      <c r="AK2385">
        <v>0.77906583446695898</v>
      </c>
      <c r="AL2385">
        <v>67.844840395450902</v>
      </c>
      <c r="AM2385">
        <v>92.425663916490294</v>
      </c>
      <c r="AN2385">
        <v>1.00000007092428</v>
      </c>
    </row>
    <row r="2386" spans="1:40" x14ac:dyDescent="0.25">
      <c r="A2386" t="str">
        <f>"20190304164901163"</f>
        <v>20190304164901163</v>
      </c>
      <c r="B2386" t="str">
        <f>"1551689341158837"</f>
        <v>1551689341158837</v>
      </c>
      <c r="C2386" t="s">
        <v>40</v>
      </c>
      <c r="D2386">
        <v>3.9400550000000001</v>
      </c>
      <c r="E2386">
        <v>0.53832599999999997</v>
      </c>
      <c r="F2386" t="s">
        <v>46</v>
      </c>
      <c r="G2386">
        <v>-355.44</v>
      </c>
      <c r="H2386" s="1">
        <v>1.3581270000000001E-6</v>
      </c>
      <c r="I2386">
        <v>284.67930000000001</v>
      </c>
      <c r="J2386">
        <v>-339.70760000000001</v>
      </c>
      <c r="K2386">
        <v>1.11046</v>
      </c>
      <c r="L2386">
        <v>284.51179999999999</v>
      </c>
      <c r="M2386">
        <v>-0.99984240000000002</v>
      </c>
      <c r="N2386">
        <v>-1.50256E-2</v>
      </c>
      <c r="O2386">
        <v>-9.4680249999999997E-3</v>
      </c>
      <c r="P2386">
        <v>-0.93053010000000003</v>
      </c>
      <c r="Q2386">
        <v>0.36308950000000001</v>
      </c>
      <c r="R2386">
        <v>-4.7751429999999997E-2</v>
      </c>
      <c r="S2386">
        <v>-3.3161320000000001</v>
      </c>
      <c r="T2386">
        <v>-0.23108490000000001</v>
      </c>
      <c r="U2386">
        <v>3.4484859999999999E-2</v>
      </c>
      <c r="V2386">
        <v>-3.8627229999999999E-2</v>
      </c>
      <c r="W2386">
        <v>0.37706879999999998</v>
      </c>
      <c r="X2386">
        <v>0.92537939999999996</v>
      </c>
      <c r="Y2386">
        <v>1.9794180000000001E-2</v>
      </c>
      <c r="Z2386">
        <v>1.354599E-3</v>
      </c>
      <c r="AA2386">
        <v>0.9998032</v>
      </c>
      <c r="AB2386">
        <v>39</v>
      </c>
      <c r="AC2386">
        <v>-15.732399999999901</v>
      </c>
      <c r="AD2386">
        <v>-1.110458641873</v>
      </c>
      <c r="AE2386">
        <v>0.167500000000018</v>
      </c>
      <c r="AF2386">
        <v>0.31489537583435601</v>
      </c>
      <c r="AG2386">
        <v>-1.110458641873</v>
      </c>
      <c r="AH2386">
        <v>15.6521365009568</v>
      </c>
      <c r="AI2386">
        <v>94.057296505524604</v>
      </c>
      <c r="AJ2386">
        <v>88.847458145297395</v>
      </c>
      <c r="AK2386">
        <v>15.6946377638229</v>
      </c>
      <c r="AL2386">
        <v>67.847764578446601</v>
      </c>
      <c r="AM2386">
        <v>92.390255481400501</v>
      </c>
      <c r="AN2386">
        <v>0.99999998838763604</v>
      </c>
    </row>
    <row r="2387" spans="1:40" x14ac:dyDescent="0.25">
      <c r="A2387" t="str">
        <f>"20190304164901181"</f>
        <v>20190304164901181</v>
      </c>
      <c r="B2387" t="str">
        <f>"1551689341168598"</f>
        <v>1551689341168598</v>
      </c>
      <c r="C2387" t="s">
        <v>40</v>
      </c>
      <c r="D2387">
        <v>3.925764</v>
      </c>
      <c r="E2387">
        <v>0.53852480000000003</v>
      </c>
      <c r="F2387" t="s">
        <v>41</v>
      </c>
      <c r="G2387">
        <v>-340.64089999999999</v>
      </c>
      <c r="H2387">
        <v>1.0453349999999999</v>
      </c>
      <c r="I2387">
        <v>284.52289999999999</v>
      </c>
      <c r="J2387">
        <v>-339.99009999999998</v>
      </c>
      <c r="K2387">
        <v>1.1104449999999999</v>
      </c>
      <c r="L2387">
        <v>284.50940000000003</v>
      </c>
      <c r="M2387">
        <v>-0.99984499999999998</v>
      </c>
      <c r="N2387">
        <v>-1.5022570000000001E-2</v>
      </c>
      <c r="O2387">
        <v>-9.1890010000000005E-3</v>
      </c>
      <c r="P2387">
        <v>-0.93062750000000005</v>
      </c>
      <c r="Q2387">
        <v>0.3629329</v>
      </c>
      <c r="R2387">
        <v>-4.7033980000000003E-2</v>
      </c>
      <c r="S2387">
        <v>-3.3162539999999998</v>
      </c>
      <c r="T2387">
        <v>-0.23151910000000001</v>
      </c>
      <c r="U2387">
        <v>3.80249E-2</v>
      </c>
      <c r="V2387">
        <v>-3.8152869999999998E-2</v>
      </c>
      <c r="W2387">
        <v>0.37691160000000001</v>
      </c>
      <c r="X2387">
        <v>0.92546309999999998</v>
      </c>
      <c r="Y2387">
        <v>2.0579750000000001E-2</v>
      </c>
      <c r="Z2387">
        <v>1.3751010000000001E-3</v>
      </c>
      <c r="AA2387">
        <v>0.99978730000000005</v>
      </c>
      <c r="AB2387">
        <v>39</v>
      </c>
      <c r="AC2387">
        <v>-0.65080000000000304</v>
      </c>
      <c r="AD2387">
        <v>-6.5110000000000001E-2</v>
      </c>
      <c r="AE2387">
        <v>1.3499999999964899E-2</v>
      </c>
      <c r="AF2387">
        <v>1.9287338046460701E-2</v>
      </c>
      <c r="AG2387">
        <v>-6.5110000000000001E-2</v>
      </c>
      <c r="AH2387">
        <v>0.64420325198193695</v>
      </c>
      <c r="AI2387">
        <v>95.768751882707605</v>
      </c>
      <c r="AJ2387">
        <v>88.285086196458707</v>
      </c>
      <c r="AK2387">
        <v>0.64777244721662997</v>
      </c>
      <c r="AL2387">
        <v>67.857488598811699</v>
      </c>
      <c r="AM2387">
        <v>92.360722191549499</v>
      </c>
      <c r="AN2387">
        <v>0.99999997258270301</v>
      </c>
    </row>
    <row r="2388" spans="1:40" x14ac:dyDescent="0.25">
      <c r="A2388" t="str">
        <f>"20190304164901194"</f>
        <v>20190304164901194</v>
      </c>
      <c r="B2388" t="str">
        <f>"1551689341189094"</f>
        <v>1551689341189094</v>
      </c>
      <c r="C2388" t="s">
        <v>40</v>
      </c>
      <c r="D2388">
        <v>3.9423430000000002</v>
      </c>
      <c r="E2388">
        <v>0.53881099999999904</v>
      </c>
      <c r="F2388" t="s">
        <v>41</v>
      </c>
      <c r="G2388">
        <v>-340.98239999999998</v>
      </c>
      <c r="H2388">
        <v>1.0411820000000001</v>
      </c>
      <c r="I2388">
        <v>284.52170000000001</v>
      </c>
      <c r="J2388">
        <v>-340.23399999999998</v>
      </c>
      <c r="K2388">
        <v>1.1104350000000001</v>
      </c>
      <c r="L2388">
        <v>284.50740000000002</v>
      </c>
      <c r="M2388">
        <v>-0.99984740000000005</v>
      </c>
      <c r="N2388">
        <v>-1.502E-2</v>
      </c>
      <c r="O2388">
        <v>-8.9415399999999996E-3</v>
      </c>
      <c r="P2388">
        <v>-0.93060509999999996</v>
      </c>
      <c r="Q2388">
        <v>0.36308610000000002</v>
      </c>
      <c r="R2388">
        <v>-4.6295290000000003E-2</v>
      </c>
      <c r="S2388">
        <v>-3.3159480000000001</v>
      </c>
      <c r="T2388">
        <v>-0.23141800000000001</v>
      </c>
      <c r="U2388">
        <v>4.0801999999999998E-2</v>
      </c>
      <c r="V2388">
        <v>-3.7632730000000003E-2</v>
      </c>
      <c r="W2388">
        <v>0.37706210000000001</v>
      </c>
      <c r="X2388">
        <v>0.92542310000000005</v>
      </c>
      <c r="Y2388">
        <v>2.1169239999999999E-2</v>
      </c>
      <c r="Z2388">
        <v>1.386069E-3</v>
      </c>
      <c r="AA2388">
        <v>0.99977490000000002</v>
      </c>
      <c r="AB2388">
        <v>39</v>
      </c>
      <c r="AC2388">
        <v>-0.748399999999946</v>
      </c>
      <c r="AD2388">
        <v>-6.9252999999999995E-2</v>
      </c>
      <c r="AE2388">
        <v>1.42999999999915E-2</v>
      </c>
      <c r="AF2388">
        <v>2.0813873006656599E-2</v>
      </c>
      <c r="AG2388">
        <v>-6.9252999999999995E-2</v>
      </c>
      <c r="AH2388">
        <v>0.74189193304492995</v>
      </c>
      <c r="AI2388">
        <v>95.330820172136001</v>
      </c>
      <c r="AJ2388">
        <v>88.3929811169657</v>
      </c>
      <c r="AK2388">
        <v>0.74540783175096803</v>
      </c>
      <c r="AL2388">
        <v>67.848178900792306</v>
      </c>
      <c r="AM2388">
        <v>92.328674556853102</v>
      </c>
      <c r="AN2388">
        <v>0.99999998181863603</v>
      </c>
    </row>
    <row r="2389" spans="1:40" x14ac:dyDescent="0.25">
      <c r="A2389" t="str">
        <f>"20190304164901207"</f>
        <v>20190304164901207</v>
      </c>
      <c r="B2389" t="str">
        <f>"1551689341198854"</f>
        <v>1551689341198854</v>
      </c>
      <c r="C2389" t="s">
        <v>40</v>
      </c>
      <c r="D2389">
        <v>3.9534660000000001</v>
      </c>
      <c r="E2389">
        <v>0.53895190000000004</v>
      </c>
      <c r="F2389" t="s">
        <v>46</v>
      </c>
      <c r="G2389">
        <v>-356.19479999999999</v>
      </c>
      <c r="H2389" s="1">
        <v>1.7597770000000001E-6</v>
      </c>
      <c r="I2389">
        <v>284.73020000000002</v>
      </c>
      <c r="J2389">
        <v>-340.45949999999999</v>
      </c>
      <c r="K2389">
        <v>1.1104259999999999</v>
      </c>
      <c r="L2389">
        <v>284.50560000000002</v>
      </c>
      <c r="M2389">
        <v>-0.9998494</v>
      </c>
      <c r="N2389">
        <v>-1.5017620000000001E-2</v>
      </c>
      <c r="O2389">
        <v>-8.7089319999999904E-3</v>
      </c>
      <c r="P2389">
        <v>-0.93050129999999998</v>
      </c>
      <c r="Q2389">
        <v>0.36343880000000001</v>
      </c>
      <c r="R2389">
        <v>-4.5604459999999999E-2</v>
      </c>
      <c r="S2389">
        <v>-3.3160400000000001</v>
      </c>
      <c r="T2389">
        <v>-0.23070570000000001</v>
      </c>
      <c r="U2389">
        <v>4.6295169999999997E-2</v>
      </c>
      <c r="V2389">
        <v>-3.7151320000000002E-2</v>
      </c>
      <c r="W2389">
        <v>0.37741150000000001</v>
      </c>
      <c r="X2389">
        <v>0.92530020000000002</v>
      </c>
      <c r="Y2389">
        <v>2.2588810000000001E-2</v>
      </c>
      <c r="Z2389">
        <v>1.4291589999999999E-3</v>
      </c>
      <c r="AA2389">
        <v>0.99974379999999996</v>
      </c>
      <c r="AB2389">
        <v>39</v>
      </c>
      <c r="AC2389">
        <v>-15.735299999999899</v>
      </c>
      <c r="AD2389">
        <v>-1.110424240223</v>
      </c>
      <c r="AE2389">
        <v>0.22460000000000899</v>
      </c>
      <c r="AF2389">
        <v>0.35985288423554002</v>
      </c>
      <c r="AG2389">
        <v>-1.110424240223</v>
      </c>
      <c r="AH2389">
        <v>15.6548021221172</v>
      </c>
      <c r="AI2389">
        <v>94.056232889342795</v>
      </c>
      <c r="AJ2389">
        <v>88.683188644410706</v>
      </c>
      <c r="AK2389">
        <v>15.6982599537087</v>
      </c>
      <c r="AL2389">
        <v>67.826564517719603</v>
      </c>
      <c r="AM2389">
        <v>92.299222589006405</v>
      </c>
      <c r="AN2389">
        <v>1.0000000605150099</v>
      </c>
    </row>
    <row r="2390" spans="1:40" x14ac:dyDescent="0.25">
      <c r="A2390" t="str">
        <f>"20190304164901221"</f>
        <v>20190304164901221</v>
      </c>
      <c r="B2390" t="str">
        <f>"1551689341208614"</f>
        <v>1551689341208614</v>
      </c>
      <c r="C2390" t="s">
        <v>40</v>
      </c>
      <c r="D2390">
        <v>3.923978</v>
      </c>
      <c r="E2390">
        <v>0.53908</v>
      </c>
      <c r="F2390" t="s">
        <v>46</v>
      </c>
      <c r="G2390">
        <v>-356.55250000000001</v>
      </c>
      <c r="H2390" s="1">
        <v>1.9501420000000001E-6</v>
      </c>
      <c r="I2390">
        <v>284.74759999999998</v>
      </c>
      <c r="J2390">
        <v>-340.6927</v>
      </c>
      <c r="K2390">
        <v>1.1104240000000001</v>
      </c>
      <c r="L2390">
        <v>284.50380000000001</v>
      </c>
      <c r="M2390">
        <v>-0.9998515</v>
      </c>
      <c r="N2390">
        <v>-1.501516E-2</v>
      </c>
      <c r="O2390">
        <v>-8.4695640000000006E-3</v>
      </c>
      <c r="P2390">
        <v>-0.93050820000000001</v>
      </c>
      <c r="Q2390">
        <v>0.3634849</v>
      </c>
      <c r="R2390">
        <v>-4.5093899999999999E-2</v>
      </c>
      <c r="S2390">
        <v>-3.3159179999999999</v>
      </c>
      <c r="T2390">
        <v>-0.2287998</v>
      </c>
      <c r="U2390">
        <v>4.9865720000000002E-2</v>
      </c>
      <c r="V2390">
        <v>-3.6858090000000003E-2</v>
      </c>
      <c r="W2390">
        <v>0.37745519999999999</v>
      </c>
      <c r="X2390">
        <v>0.92529399999999995</v>
      </c>
      <c r="Y2390">
        <v>2.342545E-2</v>
      </c>
      <c r="Z2390">
        <v>1.439949E-3</v>
      </c>
      <c r="AA2390">
        <v>0.99972459999999996</v>
      </c>
      <c r="AB2390">
        <v>39</v>
      </c>
      <c r="AC2390">
        <v>-15.8598</v>
      </c>
      <c r="AD2390">
        <v>-1.110422049858</v>
      </c>
      <c r="AE2390">
        <v>0.24379999999996399</v>
      </c>
      <c r="AF2390">
        <v>0.37628781661607802</v>
      </c>
      <c r="AG2390">
        <v>-1.110422049858</v>
      </c>
      <c r="AH2390">
        <v>15.779830133044801</v>
      </c>
      <c r="AI2390">
        <v>94.024111647570294</v>
      </c>
      <c r="AJ2390">
        <v>88.633976510986997</v>
      </c>
      <c r="AK2390">
        <v>15.8233267259921</v>
      </c>
      <c r="AL2390">
        <v>67.823858517104696</v>
      </c>
      <c r="AM2390">
        <v>92.281109672230002</v>
      </c>
      <c r="AN2390">
        <v>0.99999996662074297</v>
      </c>
    </row>
    <row r="2391" spans="1:40" x14ac:dyDescent="0.25">
      <c r="A2391" t="str">
        <f>"20190304164901236"</f>
        <v>20190304164901236</v>
      </c>
      <c r="B2391" t="str">
        <f>"1551689341228134"</f>
        <v>1551689341228134</v>
      </c>
      <c r="C2391" t="s">
        <v>40</v>
      </c>
      <c r="D2391">
        <v>3.888433</v>
      </c>
      <c r="E2391">
        <v>0.53926819999999998</v>
      </c>
      <c r="F2391" t="s">
        <v>41</v>
      </c>
      <c r="G2391">
        <v>-341.67779999999999</v>
      </c>
      <c r="H2391">
        <v>1.042473</v>
      </c>
      <c r="I2391">
        <v>284.51940000000002</v>
      </c>
      <c r="J2391">
        <v>-340.96589999999998</v>
      </c>
      <c r="K2391">
        <v>1.1104210000000001</v>
      </c>
      <c r="L2391">
        <v>284.50170000000003</v>
      </c>
      <c r="M2391">
        <v>-0.99985369999999996</v>
      </c>
      <c r="N2391">
        <v>-1.501224E-2</v>
      </c>
      <c r="O2391">
        <v>-8.1924540000000001E-3</v>
      </c>
      <c r="P2391">
        <v>-0.9306065</v>
      </c>
      <c r="Q2391">
        <v>0.36335079999999997</v>
      </c>
      <c r="R2391">
        <v>-4.4135099999999997E-2</v>
      </c>
      <c r="S2391">
        <v>-3.3159480000000001</v>
      </c>
      <c r="T2391">
        <v>-0.2287641</v>
      </c>
      <c r="U2391">
        <v>5.2215579999999998E-2</v>
      </c>
      <c r="V2391">
        <v>-3.6152959999999998E-2</v>
      </c>
      <c r="W2391">
        <v>0.37731959999999998</v>
      </c>
      <c r="X2391">
        <v>0.92537709999999995</v>
      </c>
      <c r="Y2391">
        <v>2.3855709999999999E-2</v>
      </c>
      <c r="Z2391">
        <v>1.4428240000000001E-3</v>
      </c>
      <c r="AA2391">
        <v>0.9997144</v>
      </c>
      <c r="AB2391">
        <v>39</v>
      </c>
      <c r="AC2391">
        <v>-0.71190000000001397</v>
      </c>
      <c r="AD2391">
        <v>-6.7947999999999897E-2</v>
      </c>
      <c r="AE2391">
        <v>1.7699999999990699E-2</v>
      </c>
      <c r="AF2391">
        <v>2.3319959348339501E-2</v>
      </c>
      <c r="AG2391">
        <v>-6.7947999999999897E-2</v>
      </c>
      <c r="AH2391">
        <v>0.70530972377365198</v>
      </c>
      <c r="AI2391">
        <v>95.499781745541597</v>
      </c>
      <c r="AJ2391">
        <v>88.106294809610105</v>
      </c>
      <c r="AK2391">
        <v>0.70895878417413905</v>
      </c>
      <c r="AL2391">
        <v>67.832247740961705</v>
      </c>
      <c r="AM2391">
        <v>92.237313954032302</v>
      </c>
      <c r="AN2391">
        <v>0.99999994713266405</v>
      </c>
    </row>
    <row r="2392" spans="1:40" x14ac:dyDescent="0.25">
      <c r="A2392" t="str">
        <f>"20190304164901247"</f>
        <v>20190304164901247</v>
      </c>
      <c r="B2392" t="str">
        <f>"1551689341238871"</f>
        <v>1551689341238871</v>
      </c>
      <c r="C2392" t="s">
        <v>40</v>
      </c>
      <c r="D2392">
        <v>3.9205559999999999</v>
      </c>
      <c r="E2392">
        <v>0.53940869999999996</v>
      </c>
      <c r="F2392" t="s">
        <v>41</v>
      </c>
      <c r="G2392">
        <v>-342.0197</v>
      </c>
      <c r="H2392">
        <v>1.037561</v>
      </c>
      <c r="I2392">
        <v>284.51990000000001</v>
      </c>
      <c r="J2392">
        <v>-341.1669</v>
      </c>
      <c r="K2392">
        <v>1.1104229999999999</v>
      </c>
      <c r="L2392">
        <v>284.50020000000001</v>
      </c>
      <c r="M2392">
        <v>-0.99985550000000001</v>
      </c>
      <c r="N2392">
        <v>-1.501007E-2</v>
      </c>
      <c r="O2392">
        <v>-7.9964849999999994E-3</v>
      </c>
      <c r="P2392">
        <v>-0.93075039999999998</v>
      </c>
      <c r="Q2392">
        <v>0.3630737</v>
      </c>
      <c r="R2392">
        <v>-4.3375400000000001E-2</v>
      </c>
      <c r="S2392">
        <v>-3.3159480000000001</v>
      </c>
      <c r="T2392">
        <v>-0.22948160000000001</v>
      </c>
      <c r="U2392">
        <v>5.603027E-2</v>
      </c>
      <c r="V2392">
        <v>-3.557573E-2</v>
      </c>
      <c r="W2392">
        <v>0.37704179999999998</v>
      </c>
      <c r="X2392">
        <v>0.92551269999999997</v>
      </c>
      <c r="Y2392">
        <v>2.4806559999999998E-2</v>
      </c>
      <c r="Z2392">
        <v>1.4765479999999901E-3</v>
      </c>
      <c r="AA2392">
        <v>0.9996912</v>
      </c>
      <c r="AB2392">
        <v>39</v>
      </c>
      <c r="AC2392">
        <v>-0.852800000000002</v>
      </c>
      <c r="AD2392">
        <v>-7.2861999999999899E-2</v>
      </c>
      <c r="AE2392">
        <v>1.97000000000002E-2</v>
      </c>
      <c r="AF2392">
        <v>2.6327458562832001E-2</v>
      </c>
      <c r="AG2392">
        <v>-7.2861999999999899E-2</v>
      </c>
      <c r="AH2392">
        <v>0.84643967944487897</v>
      </c>
      <c r="AI2392">
        <v>94.917558121892498</v>
      </c>
      <c r="AJ2392">
        <v>88.218460060371498</v>
      </c>
      <c r="AK2392">
        <v>0.84997772738885802</v>
      </c>
      <c r="AL2392">
        <v>67.849434059641496</v>
      </c>
      <c r="AM2392">
        <v>92.201305453236898</v>
      </c>
      <c r="AN2392">
        <v>0.99999995468678005</v>
      </c>
    </row>
    <row r="2393" spans="1:40" x14ac:dyDescent="0.25">
      <c r="A2393" t="str">
        <f>"20190304164901260"</f>
        <v>20190304164901260</v>
      </c>
      <c r="B2393" t="str">
        <f>"1551689341248632"</f>
        <v>1551689341248632</v>
      </c>
      <c r="C2393" t="s">
        <v>40</v>
      </c>
      <c r="D2393">
        <v>3.9123730000000001</v>
      </c>
      <c r="E2393">
        <v>0.53969140000000004</v>
      </c>
      <c r="F2393" t="s">
        <v>46</v>
      </c>
      <c r="G2393">
        <v>-357.17110000000002</v>
      </c>
      <c r="H2393" s="1">
        <v>2.2793189999999998E-6</v>
      </c>
      <c r="I2393">
        <v>284.7885</v>
      </c>
      <c r="J2393">
        <v>-341.36279999999999</v>
      </c>
      <c r="K2393">
        <v>1.1104259999999999</v>
      </c>
      <c r="L2393">
        <v>284.49880000000002</v>
      </c>
      <c r="M2393">
        <v>-0.99985690000000005</v>
      </c>
      <c r="N2393">
        <v>-1.5007909999999999E-2</v>
      </c>
      <c r="O2393">
        <v>-7.8091209999999996E-3</v>
      </c>
      <c r="P2393">
        <v>-0.93084619999999996</v>
      </c>
      <c r="Q2393">
        <v>0.3629251</v>
      </c>
      <c r="R2393">
        <v>-4.2558510000000001E-2</v>
      </c>
      <c r="S2393">
        <v>-3.3157649999999999</v>
      </c>
      <c r="T2393">
        <v>-0.23005800000000001</v>
      </c>
      <c r="U2393">
        <v>5.9722900000000002E-2</v>
      </c>
      <c r="V2393">
        <v>-3.4934590000000001E-2</v>
      </c>
      <c r="W2393">
        <v>0.3768917</v>
      </c>
      <c r="X2393">
        <v>0.92559829999999998</v>
      </c>
      <c r="Y2393">
        <v>2.5730280000000001E-2</v>
      </c>
      <c r="Z2393">
        <v>1.5089140000000001E-3</v>
      </c>
      <c r="AA2393">
        <v>0.9996678</v>
      </c>
      <c r="AB2393">
        <v>39</v>
      </c>
      <c r="AC2393">
        <v>-15.808299999999999</v>
      </c>
      <c r="AD2393">
        <v>-1.1104237206809999</v>
      </c>
      <c r="AE2393">
        <v>0.28969999999998203</v>
      </c>
      <c r="AF2393">
        <v>0.41112614198283498</v>
      </c>
      <c r="AG2393">
        <v>-1.1104237206809999</v>
      </c>
      <c r="AH2393">
        <v>15.7279780968833</v>
      </c>
      <c r="AI2393">
        <v>94.037110076521301</v>
      </c>
      <c r="AJ2393">
        <v>88.502640981635693</v>
      </c>
      <c r="AK2393">
        <v>15.772487456330801</v>
      </c>
      <c r="AL2393">
        <v>67.858720111298496</v>
      </c>
      <c r="AM2393">
        <v>92.161472142680395</v>
      </c>
      <c r="AN2393">
        <v>0.99999999603512402</v>
      </c>
    </row>
    <row r="2394" spans="1:40" x14ac:dyDescent="0.25">
      <c r="A2394" t="str">
        <f>"20190304164901272"</f>
        <v>20190304164901272</v>
      </c>
      <c r="B2394" t="str">
        <f>"1551689341268150"</f>
        <v>1551689341268150</v>
      </c>
      <c r="C2394" t="s">
        <v>40</v>
      </c>
      <c r="D2394">
        <v>3.882622</v>
      </c>
      <c r="E2394">
        <v>0.54021229999999998</v>
      </c>
      <c r="F2394" t="s">
        <v>41</v>
      </c>
      <c r="G2394">
        <v>-342.36849999999998</v>
      </c>
      <c r="H2394">
        <v>1.0404439999999999</v>
      </c>
      <c r="I2394">
        <v>284.51819999999998</v>
      </c>
      <c r="J2394">
        <v>-341.58080000000001</v>
      </c>
      <c r="K2394">
        <v>1.110428</v>
      </c>
      <c r="L2394">
        <v>284.4973</v>
      </c>
      <c r="M2394">
        <v>-0.99985840000000004</v>
      </c>
      <c r="N2394">
        <v>-1.500541E-2</v>
      </c>
      <c r="O2394">
        <v>-7.607974E-3</v>
      </c>
      <c r="P2394">
        <v>-0.9306953</v>
      </c>
      <c r="Q2394">
        <v>0.36336950000000001</v>
      </c>
      <c r="R2394">
        <v>-4.2059970000000002E-2</v>
      </c>
      <c r="S2394">
        <v>-3.3157040000000002</v>
      </c>
      <c r="T2394">
        <v>-0.23072790000000001</v>
      </c>
      <c r="U2394">
        <v>6.3659670000000002E-2</v>
      </c>
      <c r="V2394">
        <v>-3.4628659999999999E-2</v>
      </c>
      <c r="W2394">
        <v>0.37733060000000002</v>
      </c>
      <c r="X2394">
        <v>0.925431</v>
      </c>
      <c r="Y2394">
        <v>2.6712920000000001E-2</v>
      </c>
      <c r="Z2394">
        <v>1.5436460000000001E-3</v>
      </c>
      <c r="AA2394">
        <v>0.99964200000000003</v>
      </c>
      <c r="AB2394">
        <v>39</v>
      </c>
      <c r="AC2394">
        <v>-0.78769999999997198</v>
      </c>
      <c r="AD2394">
        <v>-6.9983999999999796E-2</v>
      </c>
      <c r="AE2394">
        <v>2.0899999999983199E-2</v>
      </c>
      <c r="AF2394">
        <v>2.66823989546787E-2</v>
      </c>
      <c r="AG2394">
        <v>-6.9983999999999796E-2</v>
      </c>
      <c r="AH2394">
        <v>0.78135479999480595</v>
      </c>
      <c r="AI2394">
        <v>95.115216736257494</v>
      </c>
      <c r="AJ2394">
        <v>88.044172763972298</v>
      </c>
      <c r="AK2394">
        <v>0.78493632489833198</v>
      </c>
      <c r="AL2394">
        <v>67.831569133592595</v>
      </c>
      <c r="AM2394">
        <v>92.142948340187104</v>
      </c>
      <c r="AN2394">
        <v>1.00000003077537</v>
      </c>
    </row>
    <row r="2395" spans="1:40" x14ac:dyDescent="0.25">
      <c r="A2395" t="str">
        <f>"20190304164901283"</f>
        <v>20190304164901283</v>
      </c>
      <c r="B2395" t="str">
        <f>"1551689341278886"</f>
        <v>1551689341278886</v>
      </c>
      <c r="C2395" t="s">
        <v>40</v>
      </c>
      <c r="D2395">
        <v>3.8798810000000001</v>
      </c>
      <c r="E2395">
        <v>0.54044419999999904</v>
      </c>
      <c r="F2395" t="s">
        <v>46</v>
      </c>
      <c r="G2395">
        <v>-357.62139999999999</v>
      </c>
      <c r="H2395" s="1">
        <v>2.5189409999999998E-6</v>
      </c>
      <c r="I2395">
        <v>284.83019999999999</v>
      </c>
      <c r="J2395">
        <v>-341.7799</v>
      </c>
      <c r="K2395">
        <v>1.11043</v>
      </c>
      <c r="L2395">
        <v>284.49599999999998</v>
      </c>
      <c r="M2395">
        <v>-0.99985990000000002</v>
      </c>
      <c r="N2395">
        <v>-1.500312E-2</v>
      </c>
      <c r="O2395">
        <v>-7.4363210000000001E-3</v>
      </c>
      <c r="P2395">
        <v>-0.93066539999999998</v>
      </c>
      <c r="Q2395">
        <v>0.36351109999999998</v>
      </c>
      <c r="R2395">
        <v>-4.1493290000000002E-2</v>
      </c>
      <c r="S2395">
        <v>-3.3161320000000001</v>
      </c>
      <c r="T2395">
        <v>-0.2295625</v>
      </c>
      <c r="U2395">
        <v>6.8817139999999999E-2</v>
      </c>
      <c r="V2395">
        <v>-3.4229420000000003E-2</v>
      </c>
      <c r="W2395">
        <v>0.3774689</v>
      </c>
      <c r="X2395">
        <v>0.92538949999999998</v>
      </c>
      <c r="Y2395">
        <v>2.8090029999999998E-2</v>
      </c>
      <c r="Z2395">
        <v>1.5847400000000001E-3</v>
      </c>
      <c r="AA2395">
        <v>0.99960420000000005</v>
      </c>
      <c r="AB2395">
        <v>39</v>
      </c>
      <c r="AC2395">
        <v>-15.8414999999999</v>
      </c>
      <c r="AD2395">
        <v>-1.110427481059</v>
      </c>
      <c r="AE2395">
        <v>0.33420000000000899</v>
      </c>
      <c r="AF2395">
        <v>0.44979740422651299</v>
      </c>
      <c r="AG2395">
        <v>-1.110427481059</v>
      </c>
      <c r="AH2395">
        <v>15.7611689003588</v>
      </c>
      <c r="AI2395">
        <v>94.028387013408803</v>
      </c>
      <c r="AJ2395">
        <v>88.365317949065002</v>
      </c>
      <c r="AK2395">
        <v>15.8066382257954</v>
      </c>
      <c r="AL2395">
        <v>67.823013395011202</v>
      </c>
      <c r="AM2395">
        <v>92.118359453448207</v>
      </c>
      <c r="AN2395">
        <v>1.0000000751854901</v>
      </c>
    </row>
    <row r="2396" spans="1:40" x14ac:dyDescent="0.25">
      <c r="A2396" t="str">
        <f>"20190304164901295"</f>
        <v>20190304164901295</v>
      </c>
      <c r="B2396" t="str">
        <f>"1551689341288647"</f>
        <v>1551689341288647</v>
      </c>
      <c r="C2396" t="s">
        <v>40</v>
      </c>
      <c r="D2396">
        <v>3.875864</v>
      </c>
      <c r="E2396">
        <v>0.54065909999999995</v>
      </c>
      <c r="F2396" t="s">
        <v>41</v>
      </c>
      <c r="G2396">
        <v>-342.71890000000002</v>
      </c>
      <c r="H2396">
        <v>1.0456730000000001</v>
      </c>
      <c r="I2396">
        <v>284.51639999999998</v>
      </c>
      <c r="J2396">
        <v>-341.98970000000003</v>
      </c>
      <c r="K2396">
        <v>1.110441</v>
      </c>
      <c r="L2396">
        <v>284.49459999999999</v>
      </c>
      <c r="M2396">
        <v>-0.99986120000000001</v>
      </c>
      <c r="N2396">
        <v>-1.50007E-2</v>
      </c>
      <c r="O2396">
        <v>-7.2613640000000002E-3</v>
      </c>
      <c r="P2396">
        <v>-0.9307377</v>
      </c>
      <c r="Q2396">
        <v>0.36341319999999999</v>
      </c>
      <c r="R2396">
        <v>-4.0723719999999998E-2</v>
      </c>
      <c r="S2396">
        <v>-3.3160099999999999</v>
      </c>
      <c r="T2396">
        <v>-0.22876540000000001</v>
      </c>
      <c r="U2396">
        <v>7.1502689999999994E-2</v>
      </c>
      <c r="V2396">
        <v>-3.363124E-2</v>
      </c>
      <c r="W2396">
        <v>0.37736819999999999</v>
      </c>
      <c r="X2396">
        <v>0.92545239999999995</v>
      </c>
      <c r="Y2396">
        <v>2.8724090000000001E-2</v>
      </c>
      <c r="Z2396">
        <v>1.596795E-3</v>
      </c>
      <c r="AA2396">
        <v>0.99958610000000003</v>
      </c>
      <c r="AB2396">
        <v>39</v>
      </c>
      <c r="AC2396">
        <v>-0.72919999999999097</v>
      </c>
      <c r="AD2396">
        <v>-6.4768000000000103E-2</v>
      </c>
      <c r="AE2396">
        <v>2.17999999999847E-2</v>
      </c>
      <c r="AF2396">
        <v>2.6883112883811001E-2</v>
      </c>
      <c r="AG2396">
        <v>-6.4768000000000103E-2</v>
      </c>
      <c r="AH2396">
        <v>0.72332119525558503</v>
      </c>
      <c r="AI2396">
        <v>95.113250644459796</v>
      </c>
      <c r="AJ2396">
        <v>87.871512280936003</v>
      </c>
      <c r="AK2396">
        <v>0.72671256153192498</v>
      </c>
      <c r="AL2396">
        <v>67.829241684560998</v>
      </c>
      <c r="AM2396">
        <v>92.081231338568301</v>
      </c>
      <c r="AN2396">
        <v>0.999999981670468</v>
      </c>
    </row>
    <row r="2397" spans="1:40" x14ac:dyDescent="0.25">
      <c r="A2397" t="str">
        <f>"20190304164901306"</f>
        <v>20190304164901306</v>
      </c>
      <c r="B2397" t="str">
        <f>"1551689341298406"</f>
        <v>1551689341298406</v>
      </c>
      <c r="C2397" t="s">
        <v>40</v>
      </c>
      <c r="D2397">
        <v>3.884976</v>
      </c>
      <c r="E2397">
        <v>0.54083740000000002</v>
      </c>
      <c r="F2397" t="s">
        <v>41</v>
      </c>
      <c r="G2397">
        <v>-343.05680000000001</v>
      </c>
      <c r="H2397">
        <v>1.036716</v>
      </c>
      <c r="I2397">
        <v>284.51850000000002</v>
      </c>
      <c r="J2397">
        <v>-342.18880000000001</v>
      </c>
      <c r="K2397">
        <v>1.1104560000000001</v>
      </c>
      <c r="L2397">
        <v>284.4932</v>
      </c>
      <c r="M2397">
        <v>-0.99986220000000003</v>
      </c>
      <c r="N2397">
        <v>-1.499843E-2</v>
      </c>
      <c r="O2397">
        <v>-7.1170060000000004E-3</v>
      </c>
      <c r="P2397">
        <v>-0.93077500000000002</v>
      </c>
      <c r="Q2397">
        <v>0.36342580000000002</v>
      </c>
      <c r="R2397">
        <v>-3.9747409999999997E-2</v>
      </c>
      <c r="S2397">
        <v>-3.315979</v>
      </c>
      <c r="T2397">
        <v>-0.22920260000000001</v>
      </c>
      <c r="U2397">
        <v>7.3730470000000006E-2</v>
      </c>
      <c r="V2397">
        <v>-3.2802350000000001E-2</v>
      </c>
      <c r="W2397">
        <v>0.37737710000000002</v>
      </c>
      <c r="X2397">
        <v>0.92547860000000004</v>
      </c>
      <c r="Y2397">
        <v>2.9249549999999999E-2</v>
      </c>
      <c r="Z2397">
        <v>1.6139079999999901E-3</v>
      </c>
      <c r="AA2397">
        <v>0.99957079999999998</v>
      </c>
      <c r="AB2397">
        <v>39</v>
      </c>
      <c r="AC2397">
        <v>-0.867999999999994</v>
      </c>
      <c r="AD2397">
        <v>-7.3739999999999903E-2</v>
      </c>
      <c r="AE2397">
        <v>2.5300000000015602E-2</v>
      </c>
      <c r="AF2397">
        <v>3.12522538790403E-2</v>
      </c>
      <c r="AG2397">
        <v>-7.3739999999999903E-2</v>
      </c>
      <c r="AH2397">
        <v>0.86158500599088195</v>
      </c>
      <c r="AI2397">
        <v>94.888621815701299</v>
      </c>
      <c r="AJ2397">
        <v>87.922622225337904</v>
      </c>
      <c r="AK2397">
        <v>0.86529937797321199</v>
      </c>
      <c r="AL2397">
        <v>67.828692736587996</v>
      </c>
      <c r="AM2397">
        <v>92.029922453012801</v>
      </c>
      <c r="AN2397">
        <v>1.00000005441394</v>
      </c>
    </row>
    <row r="2398" spans="1:40" x14ac:dyDescent="0.25">
      <c r="A2398" t="str">
        <f>"20190304164901318"</f>
        <v>20190304164901318</v>
      </c>
      <c r="B2398" t="str">
        <f>"1551689341308166"</f>
        <v>1551689341308166</v>
      </c>
      <c r="C2398" t="s">
        <v>40</v>
      </c>
      <c r="D2398">
        <v>3.8593510000000002</v>
      </c>
      <c r="E2398">
        <v>0.54098729999999995</v>
      </c>
      <c r="F2398" t="s">
        <v>46</v>
      </c>
      <c r="G2398">
        <v>-358.22770000000003</v>
      </c>
      <c r="H2398" s="1">
        <v>2.8416009999999998E-6</v>
      </c>
      <c r="I2398">
        <v>284.86559999999997</v>
      </c>
      <c r="J2398">
        <v>-342.38589999999999</v>
      </c>
      <c r="K2398">
        <v>1.1104689999999999</v>
      </c>
      <c r="L2398">
        <v>284.49189999999999</v>
      </c>
      <c r="M2398">
        <v>-0.99986319999999995</v>
      </c>
      <c r="N2398">
        <v>-1.4996199999999999E-2</v>
      </c>
      <c r="O2398">
        <v>-6.9810109999999996E-3</v>
      </c>
      <c r="P2398">
        <v>-0.9307936</v>
      </c>
      <c r="Q2398">
        <v>0.36347160000000001</v>
      </c>
      <c r="R2398">
        <v>-3.8885929999999999E-2</v>
      </c>
      <c r="S2398">
        <v>-3.316071</v>
      </c>
      <c r="T2398">
        <v>-0.22958700000000001</v>
      </c>
      <c r="U2398">
        <v>7.6995850000000005E-2</v>
      </c>
      <c r="V2398">
        <v>-3.2081539999999999E-2</v>
      </c>
      <c r="W2398">
        <v>0.3774189</v>
      </c>
      <c r="X2398">
        <v>0.9254867</v>
      </c>
      <c r="Y2398">
        <v>3.0094200000000002E-2</v>
      </c>
      <c r="Z2398">
        <v>1.644527E-3</v>
      </c>
      <c r="AA2398">
        <v>0.99954569999999998</v>
      </c>
      <c r="AB2398">
        <v>39</v>
      </c>
      <c r="AC2398">
        <v>-15.841799999999999</v>
      </c>
      <c r="AD2398">
        <v>-1.1104661583990001</v>
      </c>
      <c r="AE2398">
        <v>0.37369999999998499</v>
      </c>
      <c r="AF2398">
        <v>0.48192841075936699</v>
      </c>
      <c r="AG2398">
        <v>-1.1104661583990001</v>
      </c>
      <c r="AH2398">
        <v>15.7614023136122</v>
      </c>
      <c r="AI2398">
        <v>94.028225732709203</v>
      </c>
      <c r="AJ2398">
        <v>88.248641645426602</v>
      </c>
      <c r="AK2398">
        <v>15.807820626942499</v>
      </c>
      <c r="AL2398">
        <v>67.8261038910602</v>
      </c>
      <c r="AM2398">
        <v>91.985334981468696</v>
      </c>
      <c r="AN2398">
        <v>0.99999994158143402</v>
      </c>
    </row>
    <row r="2399" spans="1:40" x14ac:dyDescent="0.25">
      <c r="A2399" t="str">
        <f>"20190304164901330"</f>
        <v>20190304164901330</v>
      </c>
      <c r="B2399" t="str">
        <f>"1551689341318903"</f>
        <v>1551689341318903</v>
      </c>
      <c r="C2399" t="s">
        <v>40</v>
      </c>
      <c r="D2399">
        <v>3.8835829999999998</v>
      </c>
      <c r="E2399">
        <v>0.54114069999999903</v>
      </c>
      <c r="F2399" t="s">
        <v>41</v>
      </c>
      <c r="G2399">
        <v>-343.40379999999999</v>
      </c>
      <c r="H2399">
        <v>1.0401400000000001</v>
      </c>
      <c r="I2399">
        <v>284.51639999999998</v>
      </c>
      <c r="J2399">
        <v>-342.59100000000001</v>
      </c>
      <c r="K2399">
        <v>1.1104889999999901</v>
      </c>
      <c r="L2399">
        <v>284.49059999999997</v>
      </c>
      <c r="M2399">
        <v>-0.99986419999999998</v>
      </c>
      <c r="N2399">
        <v>-1.4993899999999999E-2</v>
      </c>
      <c r="O2399">
        <v>-6.8577200000000003E-3</v>
      </c>
      <c r="P2399">
        <v>-0.9308495</v>
      </c>
      <c r="Q2399">
        <v>0.36340620000000001</v>
      </c>
      <c r="R2399">
        <v>-3.8146869999999999E-2</v>
      </c>
      <c r="S2399">
        <v>-3.3158569999999998</v>
      </c>
      <c r="T2399">
        <v>-0.22918069999999999</v>
      </c>
      <c r="U2399">
        <v>7.9223630000000003E-2</v>
      </c>
      <c r="V2399">
        <v>-3.1474809999999999E-2</v>
      </c>
      <c r="W2399">
        <v>0.37735010000000002</v>
      </c>
      <c r="X2399">
        <v>0.92553560000000001</v>
      </c>
      <c r="Y2399">
        <v>3.0642519999999999E-2</v>
      </c>
      <c r="Z2399">
        <v>1.658285E-3</v>
      </c>
      <c r="AA2399">
        <v>0.999529</v>
      </c>
      <c r="AB2399">
        <v>39</v>
      </c>
      <c r="AC2399">
        <v>-0.81279999999998098</v>
      </c>
      <c r="AD2399">
        <v>-7.0348999999999703E-2</v>
      </c>
      <c r="AE2399">
        <v>2.5800000000003799E-2</v>
      </c>
      <c r="AF2399">
        <v>3.1140927402287501E-2</v>
      </c>
      <c r="AG2399">
        <v>-7.0348999999999703E-2</v>
      </c>
      <c r="AH2399">
        <v>0.80656789509452798</v>
      </c>
      <c r="AI2399">
        <v>94.981041266464004</v>
      </c>
      <c r="AJ2399">
        <v>87.788954977054402</v>
      </c>
      <c r="AK2399">
        <v>0.81022867670657805</v>
      </c>
      <c r="AL2399">
        <v>67.830360891722194</v>
      </c>
      <c r="AM2399">
        <v>91.947714452511903</v>
      </c>
      <c r="AN2399">
        <v>0.99999995425095201</v>
      </c>
    </row>
    <row r="2400" spans="1:40" x14ac:dyDescent="0.25">
      <c r="A2400" t="str">
        <f>"20190304164901343"</f>
        <v>20190304164901343</v>
      </c>
      <c r="B2400" t="str">
        <f>"1551689341338422"</f>
        <v>1551689341338422</v>
      </c>
      <c r="C2400" t="s">
        <v>40</v>
      </c>
      <c r="D2400">
        <v>3.8306610000000001</v>
      </c>
      <c r="E2400">
        <v>0.54142609999999902</v>
      </c>
      <c r="F2400" t="s">
        <v>46</v>
      </c>
      <c r="G2400">
        <v>-358.6909</v>
      </c>
      <c r="H2400" s="1">
        <v>3.0880720000000002E-6</v>
      </c>
      <c r="I2400">
        <v>284.88940000000002</v>
      </c>
      <c r="J2400">
        <v>-342.80070000000001</v>
      </c>
      <c r="K2400">
        <v>1.1105149999999999</v>
      </c>
      <c r="L2400">
        <v>284.48930000000001</v>
      </c>
      <c r="M2400">
        <v>-0.9998648</v>
      </c>
      <c r="N2400">
        <v>-1.4991539999999999E-2</v>
      </c>
      <c r="O2400">
        <v>-6.7493869999999999E-3</v>
      </c>
      <c r="P2400">
        <v>-0.93087010000000003</v>
      </c>
      <c r="Q2400">
        <v>0.3634288</v>
      </c>
      <c r="R2400">
        <v>-3.7424369999999998E-2</v>
      </c>
      <c r="S2400">
        <v>-3.3155209999999999</v>
      </c>
      <c r="T2400">
        <v>-0.2286878</v>
      </c>
      <c r="U2400">
        <v>8.2122799999999996E-2</v>
      </c>
      <c r="V2400">
        <v>-3.087434E-2</v>
      </c>
      <c r="W2400">
        <v>0.3773686</v>
      </c>
      <c r="X2400">
        <v>0.92554829999999999</v>
      </c>
      <c r="Y2400">
        <v>3.1408459999999999E-2</v>
      </c>
      <c r="Z2400">
        <v>1.6814099999999999E-3</v>
      </c>
      <c r="AA2400">
        <v>0.99950519999999998</v>
      </c>
      <c r="AB2400">
        <v>39</v>
      </c>
      <c r="AC2400">
        <v>-15.890199999999901</v>
      </c>
      <c r="AD2400">
        <v>-1.110511911928</v>
      </c>
      <c r="AE2400">
        <v>0.400100000000008</v>
      </c>
      <c r="AF2400">
        <v>0.50488767483187402</v>
      </c>
      <c r="AG2400">
        <v>-1.110511911928</v>
      </c>
      <c r="AH2400">
        <v>15.8099681434714</v>
      </c>
      <c r="AI2400">
        <v>94.015887334162201</v>
      </c>
      <c r="AJ2400">
        <v>88.170894160321097</v>
      </c>
      <c r="AK2400">
        <v>15.8569619085218</v>
      </c>
      <c r="AL2400">
        <v>67.829216672952995</v>
      </c>
      <c r="AM2400">
        <v>91.910557963721899</v>
      </c>
      <c r="AN2400">
        <v>0.99999997038464195</v>
      </c>
    </row>
    <row r="2401" spans="1:40" x14ac:dyDescent="0.25">
      <c r="A2401" t="str">
        <f>"20190304164901358"</f>
        <v>20190304164901358</v>
      </c>
      <c r="B2401" t="str">
        <f>"1551689341348182"</f>
        <v>1551689341348182</v>
      </c>
      <c r="C2401" t="s">
        <v>40</v>
      </c>
      <c r="D2401">
        <v>3.870886</v>
      </c>
      <c r="E2401">
        <v>0.54154080000000004</v>
      </c>
      <c r="F2401" t="s">
        <v>41</v>
      </c>
      <c r="G2401">
        <v>-343.75279999999998</v>
      </c>
      <c r="H2401">
        <v>1.0450539999999999</v>
      </c>
      <c r="I2401">
        <v>284.51389999999998</v>
      </c>
      <c r="J2401">
        <v>-343.0804</v>
      </c>
      <c r="K2401">
        <v>1.110554</v>
      </c>
      <c r="L2401">
        <v>284.48750000000001</v>
      </c>
      <c r="M2401">
        <v>-0.99986580000000003</v>
      </c>
      <c r="N2401">
        <v>-1.4988380000000001E-2</v>
      </c>
      <c r="O2401">
        <v>-6.6284810000000003E-3</v>
      </c>
      <c r="P2401">
        <v>-0.93097909999999995</v>
      </c>
      <c r="Q2401">
        <v>0.36330630000000003</v>
      </c>
      <c r="R2401">
        <v>-3.5871979999999998E-2</v>
      </c>
      <c r="S2401">
        <v>-3.3152159999999999</v>
      </c>
      <c r="T2401">
        <v>-0.22794800000000001</v>
      </c>
      <c r="U2401">
        <v>8.5571289999999994E-2</v>
      </c>
      <c r="V2401">
        <v>-2.9464560000000001E-2</v>
      </c>
      <c r="W2401">
        <v>0.3772414</v>
      </c>
      <c r="X2401">
        <v>0.92564610000000003</v>
      </c>
      <c r="Y2401">
        <v>3.2327019999999998E-2</v>
      </c>
      <c r="Z2401">
        <v>1.7084540000000001E-3</v>
      </c>
      <c r="AA2401">
        <v>0.99947589999999997</v>
      </c>
      <c r="AB2401">
        <v>39</v>
      </c>
      <c r="AC2401">
        <v>-0.67239999999998101</v>
      </c>
      <c r="AD2401">
        <v>-6.5499999999999794E-2</v>
      </c>
      <c r="AE2401">
        <v>2.6399999999966801E-2</v>
      </c>
      <c r="AF2401">
        <v>3.05672996165871E-2</v>
      </c>
      <c r="AG2401">
        <v>-6.5499999999999794E-2</v>
      </c>
      <c r="AH2401">
        <v>0.66590110542382897</v>
      </c>
      <c r="AI2401">
        <v>95.611839434192007</v>
      </c>
      <c r="AJ2401">
        <v>87.371758866597403</v>
      </c>
      <c r="AK2401">
        <v>0.66981257976431496</v>
      </c>
      <c r="AL2401">
        <v>67.837086303292907</v>
      </c>
      <c r="AM2401">
        <v>91.823186097233105</v>
      </c>
      <c r="AN2401">
        <v>0.99999996830758098</v>
      </c>
    </row>
    <row r="2402" spans="1:40" x14ac:dyDescent="0.25">
      <c r="A2402" t="str">
        <f>"20190304164901371"</f>
        <v>20190304164901371</v>
      </c>
      <c r="B2402" t="str">
        <f>"1551689341358919"</f>
        <v>1551689341358919</v>
      </c>
      <c r="C2402" t="s">
        <v>40</v>
      </c>
      <c r="D2402">
        <v>3.847534</v>
      </c>
      <c r="E2402">
        <v>0.54165620000000003</v>
      </c>
      <c r="F2402" t="s">
        <v>41</v>
      </c>
      <c r="G2402">
        <v>-344.09289999999999</v>
      </c>
      <c r="H2402">
        <v>1.040851</v>
      </c>
      <c r="I2402">
        <v>284.5154</v>
      </c>
      <c r="J2402">
        <v>-343.2885</v>
      </c>
      <c r="K2402">
        <v>1.110581</v>
      </c>
      <c r="L2402">
        <v>284.4862</v>
      </c>
      <c r="M2402">
        <v>-0.99986620000000004</v>
      </c>
      <c r="N2402">
        <v>-1.4986009999999999E-2</v>
      </c>
      <c r="O2402">
        <v>-6.5599029999999997E-3</v>
      </c>
      <c r="P2402">
        <v>-0.93100490000000002</v>
      </c>
      <c r="Q2402">
        <v>0.36332350000000002</v>
      </c>
      <c r="R2402">
        <v>-3.501655E-2</v>
      </c>
      <c r="S2402">
        <v>-3.3150330000000001</v>
      </c>
      <c r="T2402">
        <v>-0.2283345</v>
      </c>
      <c r="U2402">
        <v>9.0301510000000001E-2</v>
      </c>
      <c r="V2402">
        <v>-2.869727E-2</v>
      </c>
      <c r="W2402">
        <v>0.37725429999999999</v>
      </c>
      <c r="X2402">
        <v>0.92566499999999996</v>
      </c>
      <c r="Y2402">
        <v>3.3680870000000002E-2</v>
      </c>
      <c r="Z2402">
        <v>1.7641779999999999E-3</v>
      </c>
      <c r="AA2402">
        <v>0.99943110000000002</v>
      </c>
      <c r="AB2402">
        <v>39</v>
      </c>
      <c r="AC2402">
        <v>-0.80439999999998602</v>
      </c>
      <c r="AD2402">
        <v>-6.973E-2</v>
      </c>
      <c r="AE2402">
        <v>2.9200000000002901E-2</v>
      </c>
      <c r="AF2402">
        <v>3.42199456083657E-2</v>
      </c>
      <c r="AG2402">
        <v>-6.973E-2</v>
      </c>
      <c r="AH2402">
        <v>0.79820099695733104</v>
      </c>
      <c r="AI2402">
        <v>94.988065603808096</v>
      </c>
      <c r="AJ2402">
        <v>87.545156432552503</v>
      </c>
      <c r="AK2402">
        <v>0.80197138921604705</v>
      </c>
      <c r="AL2402">
        <v>67.836289336916295</v>
      </c>
      <c r="AM2402">
        <v>91.775702867545604</v>
      </c>
      <c r="AN2402">
        <v>1.00000001619947</v>
      </c>
    </row>
    <row r="2403" spans="1:40" x14ac:dyDescent="0.25">
      <c r="A2403" t="str">
        <f>"20190304164901382"</f>
        <v>20190304164901382</v>
      </c>
      <c r="B2403" t="str">
        <f>"1551689341378438"</f>
        <v>1551689341378438</v>
      </c>
      <c r="C2403" t="s">
        <v>40</v>
      </c>
      <c r="D2403">
        <v>3.8686150000000001</v>
      </c>
      <c r="E2403">
        <v>0.54181689999999905</v>
      </c>
      <c r="F2403" t="s">
        <v>46</v>
      </c>
      <c r="G2403">
        <v>-359.44499999999999</v>
      </c>
      <c r="H2403" s="1">
        <v>3.4893810000000001E-6</v>
      </c>
      <c r="I2403">
        <v>284.94319999999999</v>
      </c>
      <c r="J2403">
        <v>-343.48250000000002</v>
      </c>
      <c r="K2403">
        <v>1.110606</v>
      </c>
      <c r="L2403">
        <v>284.48500000000001</v>
      </c>
      <c r="M2403">
        <v>-0.9998667</v>
      </c>
      <c r="N2403">
        <v>-1.49838E-2</v>
      </c>
      <c r="O2403">
        <v>-6.5093989999999999E-3</v>
      </c>
      <c r="P2403">
        <v>-0.93106120000000003</v>
      </c>
      <c r="Q2403">
        <v>0.3632647</v>
      </c>
      <c r="R2403">
        <v>-3.4118469999999998E-2</v>
      </c>
      <c r="S2403">
        <v>-3.3147579999999999</v>
      </c>
      <c r="T2403">
        <v>-0.22785169999999999</v>
      </c>
      <c r="U2403">
        <v>9.375E-2</v>
      </c>
      <c r="V2403">
        <v>-2.7867320000000001E-2</v>
      </c>
      <c r="W2403">
        <v>0.37719200000000003</v>
      </c>
      <c r="X2403">
        <v>0.92571570000000003</v>
      </c>
      <c r="Y2403">
        <v>3.4669220000000001E-2</v>
      </c>
      <c r="Z2403">
        <v>1.799501E-3</v>
      </c>
      <c r="AA2403">
        <v>0.99939719999999999</v>
      </c>
      <c r="AB2403">
        <v>39</v>
      </c>
      <c r="AC2403">
        <v>-15.962499999999901</v>
      </c>
      <c r="AD2403">
        <v>-1.1106025106190001</v>
      </c>
      <c r="AE2403">
        <v>0.45819999999997602</v>
      </c>
      <c r="AF2403">
        <v>0.55940250624294796</v>
      </c>
      <c r="AG2403">
        <v>-1.1106025106190001</v>
      </c>
      <c r="AH2403">
        <v>15.882359062404801</v>
      </c>
      <c r="AI2403">
        <v>93.997528412917205</v>
      </c>
      <c r="AJ2403">
        <v>87.982783384990398</v>
      </c>
      <c r="AK2403">
        <v>15.9309666526465</v>
      </c>
      <c r="AL2403">
        <v>67.840142642343906</v>
      </c>
      <c r="AM2403">
        <v>91.724285078401195</v>
      </c>
      <c r="AN2403">
        <v>0.99999997480723501</v>
      </c>
    </row>
    <row r="2404" spans="1:40" x14ac:dyDescent="0.25">
      <c r="A2404" t="str">
        <f>"20190304164901393"</f>
        <v>20190304164901393</v>
      </c>
      <c r="B2404" t="str">
        <f>"1551689341388199"</f>
        <v>1551689341388199</v>
      </c>
      <c r="C2404" t="s">
        <v>40</v>
      </c>
      <c r="D2404">
        <v>3.853704</v>
      </c>
      <c r="E2404">
        <v>0.54187879999999999</v>
      </c>
      <c r="F2404" t="s">
        <v>41</v>
      </c>
      <c r="G2404">
        <v>-344.4402</v>
      </c>
      <c r="H2404">
        <v>1.0447120000000001</v>
      </c>
      <c r="I2404">
        <v>284.51319999999998</v>
      </c>
      <c r="J2404">
        <v>-343.67570000000001</v>
      </c>
      <c r="K2404">
        <v>1.1106279999999999</v>
      </c>
      <c r="L2404">
        <v>284.48379999999997</v>
      </c>
      <c r="M2404">
        <v>-0.9998669</v>
      </c>
      <c r="N2404">
        <v>-1.4981599999999999E-2</v>
      </c>
      <c r="O2404">
        <v>-6.4671080000000001E-3</v>
      </c>
      <c r="P2404">
        <v>-0.93123509999999998</v>
      </c>
      <c r="Q2404">
        <v>0.36290640000000002</v>
      </c>
      <c r="R2404">
        <v>-3.3170430000000001E-2</v>
      </c>
      <c r="S2404">
        <v>-3.3147280000000001</v>
      </c>
      <c r="T2404">
        <v>-0.22813</v>
      </c>
      <c r="U2404">
        <v>9.7290039999999994E-2</v>
      </c>
      <c r="V2404">
        <v>-2.697859E-2</v>
      </c>
      <c r="W2404">
        <v>0.376832</v>
      </c>
      <c r="X2404">
        <v>0.92588870000000001</v>
      </c>
      <c r="Y2404">
        <v>3.5690510000000002E-2</v>
      </c>
      <c r="Z2404">
        <v>1.8419529999999999E-3</v>
      </c>
      <c r="AA2404">
        <v>0.99936119999999995</v>
      </c>
      <c r="AB2404">
        <v>38</v>
      </c>
      <c r="AC2404">
        <v>-0.76449999999999796</v>
      </c>
      <c r="AD2404">
        <v>-6.5916000000000002E-2</v>
      </c>
      <c r="AE2404">
        <v>2.9400000000009599E-2</v>
      </c>
      <c r="AF2404">
        <v>3.4090983294504003E-2</v>
      </c>
      <c r="AG2404">
        <v>-6.5916000000000002E-2</v>
      </c>
      <c r="AH2404">
        <v>0.75866223453445902</v>
      </c>
      <c r="AI2404">
        <v>94.960665182167901</v>
      </c>
      <c r="AJ2404">
        <v>87.427107512592499</v>
      </c>
      <c r="AK2404">
        <v>0.76228308410117895</v>
      </c>
      <c r="AL2404">
        <v>67.862414030727393</v>
      </c>
      <c r="AM2404">
        <v>91.669014973074098</v>
      </c>
      <c r="AN2404">
        <v>1.00000004266503</v>
      </c>
    </row>
    <row r="2405" spans="1:40" x14ac:dyDescent="0.25">
      <c r="A2405" t="str">
        <f>"20190304164901406"</f>
        <v>20190304164901406</v>
      </c>
      <c r="B2405" t="str">
        <f>"1551689341397958"</f>
        <v>1551689341397958</v>
      </c>
      <c r="C2405" t="s">
        <v>40</v>
      </c>
      <c r="D2405">
        <v>3.8537910000000002</v>
      </c>
      <c r="E2405">
        <v>0.54191269999999903</v>
      </c>
      <c r="F2405" t="s">
        <v>46</v>
      </c>
      <c r="G2405">
        <v>-359.70620000000002</v>
      </c>
      <c r="H2405" s="1">
        <v>3.6283839999999998E-6</v>
      </c>
      <c r="I2405">
        <v>284.97070000000002</v>
      </c>
      <c r="J2405">
        <v>-343.89519999999999</v>
      </c>
      <c r="K2405">
        <v>1.1106510000000001</v>
      </c>
      <c r="L2405">
        <v>284.48239999999998</v>
      </c>
      <c r="M2405">
        <v>-0.99986719999999896</v>
      </c>
      <c r="N2405">
        <v>-1.4979080000000001E-2</v>
      </c>
      <c r="O2405">
        <v>-6.4374660000000002E-3</v>
      </c>
      <c r="P2405">
        <v>-0.93134749999999999</v>
      </c>
      <c r="Q2405">
        <v>0.36268339999999999</v>
      </c>
      <c r="R2405">
        <v>-3.2448730000000002E-2</v>
      </c>
      <c r="S2405">
        <v>-3.3146059999999999</v>
      </c>
      <c r="T2405">
        <v>-0.22964119999999999</v>
      </c>
      <c r="U2405">
        <v>0.1006775</v>
      </c>
      <c r="V2405">
        <v>-2.6304810000000001E-2</v>
      </c>
      <c r="W2405">
        <v>0.37660680000000002</v>
      </c>
      <c r="X2405">
        <v>0.92599960000000003</v>
      </c>
      <c r="Y2405">
        <v>3.6678120000000002E-2</v>
      </c>
      <c r="Z2405">
        <v>1.8929800000000001E-3</v>
      </c>
      <c r="AA2405">
        <v>0.99932529999999997</v>
      </c>
      <c r="AB2405">
        <v>38</v>
      </c>
      <c r="AC2405">
        <v>-15.811</v>
      </c>
      <c r="AD2405">
        <v>-1.1106473716159999</v>
      </c>
      <c r="AE2405">
        <v>0.48830000000003698</v>
      </c>
      <c r="AF2405">
        <v>0.58718940134554798</v>
      </c>
      <c r="AG2405">
        <v>-1.1106473716159999</v>
      </c>
      <c r="AH2405">
        <v>15.7299845845737</v>
      </c>
      <c r="AI2405">
        <v>94.035979951718005</v>
      </c>
      <c r="AJ2405">
        <v>87.862180969906504</v>
      </c>
      <c r="AK2405">
        <v>15.7800742713099</v>
      </c>
      <c r="AL2405">
        <v>67.876340896089999</v>
      </c>
      <c r="AM2405">
        <v>91.627159869857806</v>
      </c>
      <c r="AN2405">
        <v>0.99999994201776599</v>
      </c>
    </row>
    <row r="2406" spans="1:40" x14ac:dyDescent="0.25">
      <c r="A2406" t="str">
        <f>"20190304164901421"</f>
        <v>20190304164901421</v>
      </c>
      <c r="B2406" t="str">
        <f>"1551689341408695"</f>
        <v>1551689341408695</v>
      </c>
      <c r="C2406" t="s">
        <v>40</v>
      </c>
      <c r="D2406">
        <v>3.8701660000000002</v>
      </c>
      <c r="E2406">
        <v>0.54195959999999999</v>
      </c>
      <c r="F2406" t="s">
        <v>41</v>
      </c>
      <c r="G2406">
        <v>-344.78719999999998</v>
      </c>
      <c r="H2406">
        <v>1.048643</v>
      </c>
      <c r="I2406">
        <v>284.51060000000001</v>
      </c>
      <c r="J2406">
        <v>-344.1354</v>
      </c>
      <c r="K2406">
        <v>1.11067</v>
      </c>
      <c r="L2406">
        <v>284.48090000000002</v>
      </c>
      <c r="M2406">
        <v>-0.99986730000000001</v>
      </c>
      <c r="N2406">
        <v>-1.49763E-2</v>
      </c>
      <c r="O2406">
        <v>-6.4160659999999998E-3</v>
      </c>
      <c r="P2406">
        <v>-0.93151300000000004</v>
      </c>
      <c r="Q2406">
        <v>0.36232959999999997</v>
      </c>
      <c r="R2406">
        <v>-3.163755E-2</v>
      </c>
      <c r="S2406">
        <v>-3.314575</v>
      </c>
      <c r="T2406">
        <v>-0.23065939999999999</v>
      </c>
      <c r="U2406">
        <v>0.10321039999999999</v>
      </c>
      <c r="V2406">
        <v>-2.5535619999999998E-2</v>
      </c>
      <c r="W2406">
        <v>0.37625120000000001</v>
      </c>
      <c r="X2406">
        <v>0.92616580000000004</v>
      </c>
      <c r="Y2406">
        <v>3.741684E-2</v>
      </c>
      <c r="Z2406">
        <v>1.930574E-3</v>
      </c>
      <c r="AA2406">
        <v>0.99929789999999996</v>
      </c>
      <c r="AB2406">
        <v>38</v>
      </c>
      <c r="AC2406">
        <v>-0.65179999999997995</v>
      </c>
      <c r="AD2406">
        <v>-6.2026999999999999E-2</v>
      </c>
      <c r="AE2406">
        <v>2.9699999999991102E-2</v>
      </c>
      <c r="AF2406">
        <v>3.3578395876722601E-2</v>
      </c>
      <c r="AG2406">
        <v>-6.2026999999999999E-2</v>
      </c>
      <c r="AH2406">
        <v>0.64576016321968399</v>
      </c>
      <c r="AI2406">
        <v>95.479224435741003</v>
      </c>
      <c r="AJ2406">
        <v>87.023400753027403</v>
      </c>
      <c r="AK2406">
        <v>0.64960068180395802</v>
      </c>
      <c r="AL2406">
        <v>67.898335661430394</v>
      </c>
      <c r="AM2406">
        <v>91.579320557565296</v>
      </c>
      <c r="AN2406">
        <v>1.00000006123993</v>
      </c>
    </row>
    <row r="2407" spans="1:40" x14ac:dyDescent="0.25">
      <c r="A2407" t="str">
        <f>"20190304164901437"</f>
        <v>20190304164901437</v>
      </c>
      <c r="B2407" t="str">
        <f>"1551689341428214"</f>
        <v>1551689341428214</v>
      </c>
      <c r="C2407" t="s">
        <v>40</v>
      </c>
      <c r="D2407">
        <v>3.8702529999999999</v>
      </c>
      <c r="E2407">
        <v>0.54201409999999905</v>
      </c>
      <c r="F2407" t="s">
        <v>41</v>
      </c>
      <c r="G2407">
        <v>-345.12349999999998</v>
      </c>
      <c r="H2407">
        <v>1.041396</v>
      </c>
      <c r="I2407">
        <v>284.51249999999999</v>
      </c>
      <c r="J2407">
        <v>-344.43310000000002</v>
      </c>
      <c r="K2407">
        <v>1.1106940000000001</v>
      </c>
      <c r="L2407">
        <v>284.47899999999998</v>
      </c>
      <c r="M2407">
        <v>-0.99986739999999996</v>
      </c>
      <c r="N2407">
        <v>-1.4972859999999999E-2</v>
      </c>
      <c r="O2407">
        <v>-6.4102200000000003E-3</v>
      </c>
      <c r="P2407">
        <v>-0.93166590000000005</v>
      </c>
      <c r="Q2407">
        <v>0.3620313</v>
      </c>
      <c r="R2407">
        <v>-3.0534240000000001E-2</v>
      </c>
      <c r="S2407">
        <v>-3.314575</v>
      </c>
      <c r="T2407">
        <v>-0.23238410000000001</v>
      </c>
      <c r="U2407">
        <v>0.10580440000000001</v>
      </c>
      <c r="V2407">
        <v>-2.4461710000000001E-2</v>
      </c>
      <c r="W2407">
        <v>0.37594939999999999</v>
      </c>
      <c r="X2407">
        <v>0.92631730000000001</v>
      </c>
      <c r="Y2407">
        <v>3.818829E-2</v>
      </c>
      <c r="Z2407">
        <v>1.9760120000000001E-3</v>
      </c>
      <c r="AA2407">
        <v>0.99926859999999995</v>
      </c>
      <c r="AB2407">
        <v>38</v>
      </c>
      <c r="AC2407">
        <v>-0.69039999999995405</v>
      </c>
      <c r="AD2407">
        <v>-6.9297999999999998E-2</v>
      </c>
      <c r="AE2407">
        <v>3.3499999999946697E-2</v>
      </c>
      <c r="AF2407">
        <v>3.7548020224652298E-2</v>
      </c>
      <c r="AG2407">
        <v>-6.9297999999999998E-2</v>
      </c>
      <c r="AH2407">
        <v>0.68330302081453898</v>
      </c>
      <c r="AI2407">
        <v>95.782256874546505</v>
      </c>
      <c r="AJ2407">
        <v>86.854716650325201</v>
      </c>
      <c r="AK2407">
        <v>0.68783361714957303</v>
      </c>
      <c r="AL2407">
        <v>67.916997067875698</v>
      </c>
      <c r="AM2407">
        <v>91.512685864263204</v>
      </c>
      <c r="AN2407">
        <v>1.00000003344788</v>
      </c>
    </row>
    <row r="2408" spans="1:40" x14ac:dyDescent="0.25">
      <c r="A2408" t="str">
        <f>"20190304164901459"</f>
        <v>20190304164901459</v>
      </c>
      <c r="B2408" t="str">
        <f>"1551689341448710"</f>
        <v>1551689341448710</v>
      </c>
      <c r="C2408" t="s">
        <v>40</v>
      </c>
      <c r="D2408">
        <v>3.8787449999999999</v>
      </c>
      <c r="E2408">
        <v>0.54209200000000002</v>
      </c>
      <c r="F2408" t="s">
        <v>41</v>
      </c>
      <c r="G2408">
        <v>-345.46420000000001</v>
      </c>
      <c r="H2408">
        <v>1.0381370000000001</v>
      </c>
      <c r="I2408">
        <v>284.51330000000002</v>
      </c>
      <c r="J2408">
        <v>-344.80770000000001</v>
      </c>
      <c r="K2408">
        <v>1.1107309999999999</v>
      </c>
      <c r="L2408">
        <v>284.47660000000002</v>
      </c>
      <c r="M2408">
        <v>-0.99986730000000001</v>
      </c>
      <c r="N2408">
        <v>-1.4968540000000001E-2</v>
      </c>
      <c r="O2408">
        <v>-6.4322090000000004E-3</v>
      </c>
      <c r="P2408">
        <v>-0.93185709999999999</v>
      </c>
      <c r="Q2408">
        <v>0.361591</v>
      </c>
      <c r="R2408">
        <v>-2.9905399999999999E-2</v>
      </c>
      <c r="S2408">
        <v>-3.314362</v>
      </c>
      <c r="T2408">
        <v>-0.2334194</v>
      </c>
      <c r="U2408">
        <v>0.1094971</v>
      </c>
      <c r="V2408">
        <v>-2.3840429999999999E-2</v>
      </c>
      <c r="W2408">
        <v>0.37550620000000001</v>
      </c>
      <c r="X2408">
        <v>0.92651329999999998</v>
      </c>
      <c r="Y2408">
        <v>3.9319970000000003E-2</v>
      </c>
      <c r="Z2408">
        <v>2.0334789999999999E-3</v>
      </c>
      <c r="AA2408">
        <v>0.99922460000000002</v>
      </c>
      <c r="AB2408">
        <v>38</v>
      </c>
      <c r="AC2408">
        <v>-0.65649999999999398</v>
      </c>
      <c r="AD2408">
        <v>-7.2593999999999798E-2</v>
      </c>
      <c r="AE2408">
        <v>3.6699999999996097E-2</v>
      </c>
      <c r="AF2408">
        <v>4.0429651838648099E-2</v>
      </c>
      <c r="AG2408">
        <v>-7.2593999999999798E-2</v>
      </c>
      <c r="AH2408">
        <v>0.64834745977682195</v>
      </c>
      <c r="AI2408">
        <v>96.376386840174206</v>
      </c>
      <c r="AJ2408">
        <v>86.431769956782105</v>
      </c>
      <c r="AK2408">
        <v>0.65365042200158596</v>
      </c>
      <c r="AL2408">
        <v>67.944399405370802</v>
      </c>
      <c r="AM2408">
        <v>91.4739720121772</v>
      </c>
      <c r="AN2408">
        <v>1.00000008370895</v>
      </c>
    </row>
    <row r="2409" spans="1:40" x14ac:dyDescent="0.25">
      <c r="A2409" t="str">
        <f>"20190304164901472"</f>
        <v>20190304164901472</v>
      </c>
      <c r="B2409" t="str">
        <f>"1551689341468231"</f>
        <v>1551689341468231</v>
      </c>
      <c r="C2409" t="s">
        <v>40</v>
      </c>
      <c r="D2409">
        <v>3.884706</v>
      </c>
      <c r="E2409">
        <v>0.54214219999999902</v>
      </c>
      <c r="F2409" t="s">
        <v>41</v>
      </c>
      <c r="G2409">
        <v>-345.8073</v>
      </c>
      <c r="H2409">
        <v>1.039879</v>
      </c>
      <c r="I2409">
        <v>284.5102</v>
      </c>
      <c r="J2409">
        <v>-345.01130000000001</v>
      </c>
      <c r="K2409">
        <v>1.110752</v>
      </c>
      <c r="L2409">
        <v>284.4753</v>
      </c>
      <c r="M2409">
        <v>-0.99986730000000001</v>
      </c>
      <c r="N2409">
        <v>-1.4966190000000001E-2</v>
      </c>
      <c r="O2409">
        <v>-6.4532139999999997E-3</v>
      </c>
      <c r="P2409">
        <v>-0.93187310000000001</v>
      </c>
      <c r="Q2409">
        <v>0.36158709999999999</v>
      </c>
      <c r="R2409">
        <v>-2.945594E-2</v>
      </c>
      <c r="S2409">
        <v>-3.314117</v>
      </c>
      <c r="T2409">
        <v>-0.2348789</v>
      </c>
      <c r="U2409">
        <v>0.1119385</v>
      </c>
      <c r="V2409">
        <v>-2.3385449999999999E-2</v>
      </c>
      <c r="W2409">
        <v>0.37549949999999999</v>
      </c>
      <c r="X2409">
        <v>0.92652749999999995</v>
      </c>
      <c r="Y2409">
        <v>4.0074810000000002E-2</v>
      </c>
      <c r="Z2409">
        <v>2.0785550000000002E-3</v>
      </c>
      <c r="AA2409">
        <v>0.99919449999999999</v>
      </c>
      <c r="AB2409">
        <v>38</v>
      </c>
      <c r="AC2409">
        <v>-0.79599999999999205</v>
      </c>
      <c r="AD2409">
        <v>-7.0872999999999894E-2</v>
      </c>
      <c r="AE2409">
        <v>3.48999999999932E-2</v>
      </c>
      <c r="AF2409">
        <v>3.9722312315405399E-2</v>
      </c>
      <c r="AG2409">
        <v>-7.0872999999999894E-2</v>
      </c>
      <c r="AH2409">
        <v>0.78951134748052498</v>
      </c>
      <c r="AI2409">
        <v>95.123143345999296</v>
      </c>
      <c r="AJ2409">
        <v>87.119733133190195</v>
      </c>
      <c r="AK2409">
        <v>0.79368067383879004</v>
      </c>
      <c r="AL2409">
        <v>67.944811213215004</v>
      </c>
      <c r="AM2409">
        <v>91.445832066213995</v>
      </c>
      <c r="AN2409">
        <v>0.99999998101410104</v>
      </c>
    </row>
    <row r="2410" spans="1:40" x14ac:dyDescent="0.25">
      <c r="A2410" t="str">
        <f>"20190304164901482"</f>
        <v>20190304164901482</v>
      </c>
      <c r="B2410" t="str">
        <f>"1551689341477992"</f>
        <v>1551689341477992</v>
      </c>
      <c r="C2410" t="s">
        <v>40</v>
      </c>
      <c r="D2410">
        <v>3.8693520000000001</v>
      </c>
      <c r="E2410">
        <v>0.54215380000000002</v>
      </c>
      <c r="F2410" t="s">
        <v>46</v>
      </c>
      <c r="G2410">
        <v>-360.68520000000001</v>
      </c>
      <c r="H2410" s="1">
        <v>-1.172171E-6</v>
      </c>
      <c r="I2410">
        <v>285.01519999999999</v>
      </c>
      <c r="J2410">
        <v>-345.20460000000003</v>
      </c>
      <c r="K2410">
        <v>1.1107659999999999</v>
      </c>
      <c r="L2410">
        <v>284.47399999999999</v>
      </c>
      <c r="M2410">
        <v>-0.99986710000000001</v>
      </c>
      <c r="N2410">
        <v>-1.496396E-2</v>
      </c>
      <c r="O2410">
        <v>-6.4774000000000003E-3</v>
      </c>
      <c r="P2410">
        <v>-0.93174429999999997</v>
      </c>
      <c r="Q2410">
        <v>0.3618828</v>
      </c>
      <c r="R2410">
        <v>-2.9888439999999999E-2</v>
      </c>
      <c r="S2410">
        <v>-3.3140559999999999</v>
      </c>
      <c r="T2410">
        <v>-0.23485539999999999</v>
      </c>
      <c r="U2410">
        <v>0.1141663</v>
      </c>
      <c r="V2410">
        <v>-2.3808320000000001E-2</v>
      </c>
      <c r="W2410">
        <v>0.37578990000000001</v>
      </c>
      <c r="X2410">
        <v>0.92639899999999997</v>
      </c>
      <c r="Y2410">
        <v>4.0768369999999998E-2</v>
      </c>
      <c r="Z2410">
        <v>2.109442E-3</v>
      </c>
      <c r="AA2410">
        <v>0.99916640000000001</v>
      </c>
      <c r="AB2410">
        <v>38</v>
      </c>
      <c r="AC2410">
        <v>-15.4805999999999</v>
      </c>
      <c r="AD2410">
        <v>-1.110767172171</v>
      </c>
      <c r="AE2410">
        <v>0.54120000000000301</v>
      </c>
      <c r="AF2410">
        <v>0.63819226141932295</v>
      </c>
      <c r="AG2410">
        <v>-1.110767172171</v>
      </c>
      <c r="AH2410">
        <v>15.397593330175701</v>
      </c>
      <c r="AI2410">
        <v>94.122586005387902</v>
      </c>
      <c r="AJ2410">
        <v>87.626589744135003</v>
      </c>
      <c r="AK2410">
        <v>15.450792000243201</v>
      </c>
      <c r="AL2410">
        <v>67.926858019190107</v>
      </c>
      <c r="AM2410">
        <v>91.472169170371799</v>
      </c>
      <c r="AN2410">
        <v>0.99999999612211599</v>
      </c>
    </row>
    <row r="2411" spans="1:40" x14ac:dyDescent="0.25">
      <c r="A2411" t="str">
        <f>"20190304164901494"</f>
        <v>20190304164901494</v>
      </c>
      <c r="B2411" t="str">
        <f>"1551689341488727"</f>
        <v>1551689341488727</v>
      </c>
      <c r="C2411" t="s">
        <v>40</v>
      </c>
      <c r="D2411">
        <v>3.8869319999999998</v>
      </c>
      <c r="E2411">
        <v>0.5421743</v>
      </c>
      <c r="F2411" t="s">
        <v>41</v>
      </c>
      <c r="G2411">
        <v>-346.1524</v>
      </c>
      <c r="H2411">
        <v>1.0439689999999999</v>
      </c>
      <c r="I2411">
        <v>284.50670000000002</v>
      </c>
      <c r="J2411">
        <v>-345.4033</v>
      </c>
      <c r="K2411">
        <v>1.1107819999999999</v>
      </c>
      <c r="L2411">
        <v>284.47269999999997</v>
      </c>
      <c r="M2411">
        <v>-0.99986710000000001</v>
      </c>
      <c r="N2411">
        <v>-1.496167E-2</v>
      </c>
      <c r="O2411">
        <v>-6.5047999999999998E-3</v>
      </c>
      <c r="P2411">
        <v>-0.93149559999999998</v>
      </c>
      <c r="Q2411">
        <v>0.36247689999999999</v>
      </c>
      <c r="R2411">
        <v>-3.0446549999999999E-2</v>
      </c>
      <c r="S2411">
        <v>-3.3141479999999999</v>
      </c>
      <c r="T2411">
        <v>-0.2335805</v>
      </c>
      <c r="U2411">
        <v>0.1137085</v>
      </c>
      <c r="V2411">
        <v>-2.435466E-2</v>
      </c>
      <c r="W2411">
        <v>0.37637799999999999</v>
      </c>
      <c r="X2411">
        <v>0.92614600000000002</v>
      </c>
      <c r="Y2411">
        <v>4.0658619999999999E-2</v>
      </c>
      <c r="Z2411">
        <v>2.0958970000000002E-3</v>
      </c>
      <c r="AA2411">
        <v>0.99917089999999997</v>
      </c>
      <c r="AB2411">
        <v>38</v>
      </c>
      <c r="AC2411">
        <v>-0.74909999999999799</v>
      </c>
      <c r="AD2411">
        <v>-6.6812999999999706E-2</v>
      </c>
      <c r="AE2411">
        <v>3.4000000000048602E-2</v>
      </c>
      <c r="AF2411">
        <v>3.8566404190605898E-2</v>
      </c>
      <c r="AG2411">
        <v>-6.6812999999999706E-2</v>
      </c>
      <c r="AH2411">
        <v>0.74296479633444901</v>
      </c>
      <c r="AI2411">
        <v>95.131774285597203</v>
      </c>
      <c r="AJ2411">
        <v>87.028512365551194</v>
      </c>
      <c r="AK2411">
        <v>0.74695919104960695</v>
      </c>
      <c r="AL2411">
        <v>67.890492270649403</v>
      </c>
      <c r="AM2411">
        <v>91.506347497125802</v>
      </c>
      <c r="AN2411">
        <v>0.99999998083185704</v>
      </c>
    </row>
    <row r="2412" spans="1:40" x14ac:dyDescent="0.25">
      <c r="A2412" t="str">
        <f>"20190304164901506"</f>
        <v>20190304164901506</v>
      </c>
      <c r="B2412" t="str">
        <f>"1551689341498486"</f>
        <v>1551689341498486</v>
      </c>
      <c r="C2412" t="s">
        <v>40</v>
      </c>
      <c r="D2412">
        <v>3.8917269999999999</v>
      </c>
      <c r="E2412">
        <v>0.54218440000000001</v>
      </c>
      <c r="F2412" t="s">
        <v>46</v>
      </c>
      <c r="G2412">
        <v>-361.32010000000002</v>
      </c>
      <c r="H2412" s="1">
        <v>-8.3429540000000004E-7</v>
      </c>
      <c r="I2412">
        <v>285.01319999999998</v>
      </c>
      <c r="J2412">
        <v>-345.59730000000002</v>
      </c>
      <c r="K2412">
        <v>1.1107959999999999</v>
      </c>
      <c r="L2412">
        <v>284.47140000000002</v>
      </c>
      <c r="M2412">
        <v>-0.99986679999999994</v>
      </c>
      <c r="N2412">
        <v>-1.4959409999999999E-2</v>
      </c>
      <c r="O2412">
        <v>-6.5352580000000004E-3</v>
      </c>
      <c r="P2412">
        <v>-0.93131149999999996</v>
      </c>
      <c r="Q2412">
        <v>0.36293550000000002</v>
      </c>
      <c r="R2412">
        <v>-3.0605299999999998E-2</v>
      </c>
      <c r="S2412">
        <v>-3.31427</v>
      </c>
      <c r="T2412">
        <v>-0.23129169999999999</v>
      </c>
      <c r="U2412">
        <v>0.1125488</v>
      </c>
      <c r="V2412">
        <v>-2.449641E-2</v>
      </c>
      <c r="W2412">
        <v>0.37683070000000002</v>
      </c>
      <c r="X2412">
        <v>0.92595819999999995</v>
      </c>
      <c r="Y2412">
        <v>4.03419E-2</v>
      </c>
      <c r="Z2412">
        <v>2.0655959999999998E-3</v>
      </c>
      <c r="AA2412">
        <v>0.99918379999999996</v>
      </c>
      <c r="AB2412">
        <v>38</v>
      </c>
      <c r="AC2412">
        <v>-15.722799999999999</v>
      </c>
      <c r="AD2412">
        <v>-1.1107968342954</v>
      </c>
      <c r="AE2412">
        <v>0.54179999999996598</v>
      </c>
      <c r="AF2412">
        <v>0.64135510699502896</v>
      </c>
      <c r="AG2412">
        <v>-1.1107968342954</v>
      </c>
      <c r="AH2412">
        <v>15.640947648313</v>
      </c>
      <c r="AI2412">
        <v>94.058841289462606</v>
      </c>
      <c r="AJ2412">
        <v>87.651909146079205</v>
      </c>
      <c r="AK2412">
        <v>15.693452434618001</v>
      </c>
      <c r="AL2412">
        <v>67.862493899778698</v>
      </c>
      <c r="AM2412">
        <v>91.515417875254599</v>
      </c>
      <c r="AN2412">
        <v>1.0000000193562999</v>
      </c>
    </row>
    <row r="2413" spans="1:40" x14ac:dyDescent="0.25">
      <c r="A2413" t="str">
        <f>"20190304164901518"</f>
        <v>20190304164901518</v>
      </c>
      <c r="B2413" t="str">
        <f>"1551689341508246"</f>
        <v>1551689341508246</v>
      </c>
      <c r="C2413" t="s">
        <v>40</v>
      </c>
      <c r="D2413">
        <v>3.938148</v>
      </c>
      <c r="E2413">
        <v>0.54220639999999998</v>
      </c>
      <c r="F2413" t="s">
        <v>41</v>
      </c>
      <c r="G2413">
        <v>-346.49799999999999</v>
      </c>
      <c r="H2413">
        <v>1.048438</v>
      </c>
      <c r="I2413">
        <v>284.50209999999998</v>
      </c>
      <c r="J2413">
        <v>-345.80500000000001</v>
      </c>
      <c r="K2413">
        <v>1.1108070000000001</v>
      </c>
      <c r="L2413">
        <v>284.4701</v>
      </c>
      <c r="M2413">
        <v>-0.99986660000000005</v>
      </c>
      <c r="N2413">
        <v>-1.495698E-2</v>
      </c>
      <c r="O2413">
        <v>-6.568936E-3</v>
      </c>
      <c r="P2413">
        <v>-0.93119320000000005</v>
      </c>
      <c r="Q2413">
        <v>0.36319829999999997</v>
      </c>
      <c r="R2413">
        <v>-3.108383E-2</v>
      </c>
      <c r="S2413">
        <v>-3.3143919999999998</v>
      </c>
      <c r="T2413">
        <v>-0.2294786</v>
      </c>
      <c r="U2413">
        <v>0.1125183</v>
      </c>
      <c r="V2413">
        <v>-2.4954090000000002E-2</v>
      </c>
      <c r="W2413">
        <v>0.37708960000000002</v>
      </c>
      <c r="X2413">
        <v>0.92584060000000001</v>
      </c>
      <c r="Y2413">
        <v>4.0366899999999997E-2</v>
      </c>
      <c r="Z2413">
        <v>2.0538119999999999E-3</v>
      </c>
      <c r="AA2413">
        <v>0.99918280000000004</v>
      </c>
      <c r="AB2413">
        <v>38</v>
      </c>
      <c r="AC2413">
        <v>-0.69300000000004003</v>
      </c>
      <c r="AD2413">
        <v>-6.2368999999999897E-2</v>
      </c>
      <c r="AE2413">
        <v>3.1999999999982202E-2</v>
      </c>
      <c r="AF2413">
        <v>3.62590273470677E-2</v>
      </c>
      <c r="AG2413">
        <v>-6.2368999999999897E-2</v>
      </c>
      <c r="AH2413">
        <v>0.68722035226144995</v>
      </c>
      <c r="AI2413">
        <v>95.178534816413901</v>
      </c>
      <c r="AJ2413">
        <v>86.979768335589398</v>
      </c>
      <c r="AK2413">
        <v>0.69099668724785202</v>
      </c>
      <c r="AL2413">
        <v>67.846479157023694</v>
      </c>
      <c r="AM2413">
        <v>91.543913679991206</v>
      </c>
      <c r="AN2413">
        <v>1.00000004482212</v>
      </c>
    </row>
    <row r="2414" spans="1:40" x14ac:dyDescent="0.25">
      <c r="A2414" t="str">
        <f>"20190304164901528"</f>
        <v>20190304164901528</v>
      </c>
      <c r="B2414" t="str">
        <f>"1551689341518006"</f>
        <v>1551689341518006</v>
      </c>
      <c r="C2414" t="s">
        <v>40</v>
      </c>
      <c r="D2414">
        <v>3.9269379999999998</v>
      </c>
      <c r="E2414">
        <v>0.54222329999999996</v>
      </c>
      <c r="F2414" t="s">
        <v>41</v>
      </c>
      <c r="G2414">
        <v>-346.83179999999999</v>
      </c>
      <c r="H2414">
        <v>1.0402709999999999</v>
      </c>
      <c r="I2414">
        <v>284.50470000000001</v>
      </c>
      <c r="J2414">
        <v>-346.00259999999997</v>
      </c>
      <c r="K2414">
        <v>1.1108150000000001</v>
      </c>
      <c r="L2414">
        <v>284.46870000000001</v>
      </c>
      <c r="M2414">
        <v>-0.99986640000000004</v>
      </c>
      <c r="N2414">
        <v>-1.495469E-2</v>
      </c>
      <c r="O2414">
        <v>-6.6030510000000004E-3</v>
      </c>
      <c r="P2414">
        <v>-0.93132599999999999</v>
      </c>
      <c r="Q2414">
        <v>0.36281160000000001</v>
      </c>
      <c r="R2414">
        <v>-3.1621679999999999E-2</v>
      </c>
      <c r="S2414">
        <v>-3.3142089999999902</v>
      </c>
      <c r="T2414">
        <v>-0.22783729999999999</v>
      </c>
      <c r="U2414">
        <v>0.1110535</v>
      </c>
      <c r="V2414">
        <v>-2.5467440000000001E-2</v>
      </c>
      <c r="W2414">
        <v>0.37670179999999998</v>
      </c>
      <c r="X2414">
        <v>0.92598440000000004</v>
      </c>
      <c r="Y2414">
        <v>3.9964529999999998E-2</v>
      </c>
      <c r="Z2414">
        <v>2.025696E-3</v>
      </c>
      <c r="AA2414">
        <v>0.99919899999999995</v>
      </c>
      <c r="AB2414">
        <v>38</v>
      </c>
      <c r="AC2414">
        <v>-0.82920000000001404</v>
      </c>
      <c r="AD2414">
        <v>-7.0543999999999898E-2</v>
      </c>
      <c r="AE2414">
        <v>3.6000000000001302E-2</v>
      </c>
      <c r="AF2414">
        <v>4.1177605943285199E-2</v>
      </c>
      <c r="AG2414">
        <v>-7.0543999999999898E-2</v>
      </c>
      <c r="AH2414">
        <v>0.82299875735341299</v>
      </c>
      <c r="AI2414">
        <v>94.893087811371799</v>
      </c>
      <c r="AJ2414">
        <v>87.135673376052395</v>
      </c>
      <c r="AK2414">
        <v>0.82704232405148503</v>
      </c>
      <c r="AL2414">
        <v>67.870465782555399</v>
      </c>
      <c r="AM2414">
        <v>91.5754143124271</v>
      </c>
      <c r="AN2414">
        <v>0.99999997283337605</v>
      </c>
    </row>
    <row r="2415" spans="1:40" x14ac:dyDescent="0.25">
      <c r="A2415" t="str">
        <f>"20190304164901541"</f>
        <v>20190304164901541</v>
      </c>
      <c r="B2415" t="str">
        <f>"1551689341538502"</f>
        <v>1551689341538502</v>
      </c>
      <c r="C2415" t="s">
        <v>40</v>
      </c>
      <c r="D2415">
        <v>3.91242</v>
      </c>
      <c r="E2415">
        <v>0.54220069999999998</v>
      </c>
      <c r="F2415" t="s">
        <v>46</v>
      </c>
      <c r="G2415">
        <v>-362.10090000000002</v>
      </c>
      <c r="H2415" s="1">
        <v>-4.1878990000000001E-7</v>
      </c>
      <c r="I2415">
        <v>284.99970000000002</v>
      </c>
      <c r="J2415">
        <v>-346.19670000000002</v>
      </c>
      <c r="K2415">
        <v>1.110819</v>
      </c>
      <c r="L2415">
        <v>284.4674</v>
      </c>
      <c r="M2415">
        <v>-0.99986620000000004</v>
      </c>
      <c r="N2415">
        <v>-1.4952429999999999E-2</v>
      </c>
      <c r="O2415">
        <v>-6.6372660000000002E-3</v>
      </c>
      <c r="P2415">
        <v>-0.93151059999999997</v>
      </c>
      <c r="Q2415">
        <v>0.3623075</v>
      </c>
      <c r="R2415">
        <v>-3.1960559999999999E-2</v>
      </c>
      <c r="S2415">
        <v>-3.3139949999999998</v>
      </c>
      <c r="T2415">
        <v>-0.22867180000000001</v>
      </c>
      <c r="U2415">
        <v>0.10931399999999999</v>
      </c>
      <c r="V2415">
        <v>-2.578045E-2</v>
      </c>
      <c r="W2415">
        <v>0.37619770000000002</v>
      </c>
      <c r="X2415">
        <v>0.92618069999999997</v>
      </c>
      <c r="Y2415">
        <v>3.9477459999999999E-2</v>
      </c>
      <c r="Z2415">
        <v>2.0138859999999999E-3</v>
      </c>
      <c r="AA2415">
        <v>0.99921839999999995</v>
      </c>
      <c r="AB2415">
        <v>38</v>
      </c>
      <c r="AC2415">
        <v>-15.904199999999999</v>
      </c>
      <c r="AD2415">
        <v>-1.1108194187898901</v>
      </c>
      <c r="AE2415">
        <v>0.53230000000001998</v>
      </c>
      <c r="AF2415">
        <v>0.63476739462100895</v>
      </c>
      <c r="AG2415">
        <v>-1.1108194187898901</v>
      </c>
      <c r="AH2415">
        <v>15.8232131094937</v>
      </c>
      <c r="AI2415">
        <v>94.012466848353995</v>
      </c>
      <c r="AJ2415">
        <v>87.7027420844814</v>
      </c>
      <c r="AK2415">
        <v>15.8748518901717</v>
      </c>
      <c r="AL2415">
        <v>67.901642984026495</v>
      </c>
      <c r="AM2415">
        <v>91.594429324359794</v>
      </c>
      <c r="AN2415">
        <v>1.0000000150699899</v>
      </c>
    </row>
    <row r="2416" spans="1:40" x14ac:dyDescent="0.25">
      <c r="A2416" t="str">
        <f>"20190304164901552"</f>
        <v>20190304164901552</v>
      </c>
      <c r="B2416" t="str">
        <f>"1551689341548262"</f>
        <v>1551689341548262</v>
      </c>
      <c r="C2416" t="s">
        <v>40</v>
      </c>
      <c r="D2416">
        <v>3.9313180000000001</v>
      </c>
      <c r="E2416">
        <v>0.54220880000000005</v>
      </c>
      <c r="F2416" t="s">
        <v>41</v>
      </c>
      <c r="G2416">
        <v>-347.17450000000002</v>
      </c>
      <c r="H2416">
        <v>1.0427379999999999</v>
      </c>
      <c r="I2416">
        <v>284.49939999999998</v>
      </c>
      <c r="J2416">
        <v>-346.39589999999998</v>
      </c>
      <c r="K2416">
        <v>1.1108260000000001</v>
      </c>
      <c r="L2416">
        <v>284.46609999999998</v>
      </c>
      <c r="M2416">
        <v>-0.99986609999999998</v>
      </c>
      <c r="N2416">
        <v>-1.4950099999999999E-2</v>
      </c>
      <c r="O2416">
        <v>-6.6733749999999996E-3</v>
      </c>
      <c r="P2416">
        <v>-0.93182359999999997</v>
      </c>
      <c r="Q2416">
        <v>0.36148809999999998</v>
      </c>
      <c r="R2416">
        <v>-3.2116859999999997E-2</v>
      </c>
      <c r="S2416">
        <v>-3.3140559999999999</v>
      </c>
      <c r="T2416">
        <v>-0.230739</v>
      </c>
      <c r="U2416">
        <v>0.10803219999999999</v>
      </c>
      <c r="V2416">
        <v>-2.590719E-2</v>
      </c>
      <c r="W2416">
        <v>0.37538060000000001</v>
      </c>
      <c r="X2416">
        <v>0.92650860000000002</v>
      </c>
      <c r="Y2416">
        <v>3.9125769999999997E-2</v>
      </c>
      <c r="Z2416">
        <v>2.0173420000000001E-3</v>
      </c>
      <c r="AA2416">
        <v>0.99923220000000001</v>
      </c>
      <c r="AB2416">
        <v>38</v>
      </c>
      <c r="AC2416">
        <v>-0.77860000000003904</v>
      </c>
      <c r="AD2416">
        <v>-6.8088000000000107E-2</v>
      </c>
      <c r="AE2416">
        <v>3.3299999999996999E-2</v>
      </c>
      <c r="AF2416">
        <v>3.8204100575045898E-2</v>
      </c>
      <c r="AG2416">
        <v>-6.8088000000000107E-2</v>
      </c>
      <c r="AH2416">
        <v>0.77246387606479705</v>
      </c>
      <c r="AI2416">
        <v>95.031138749165294</v>
      </c>
      <c r="AJ2416">
        <v>87.168603392900494</v>
      </c>
      <c r="AK2416">
        <v>0.77639936171393098</v>
      </c>
      <c r="AL2416">
        <v>67.952161383793893</v>
      </c>
      <c r="AM2416">
        <v>91.601696906977395</v>
      </c>
      <c r="AN2416">
        <v>0.99999998161200698</v>
      </c>
    </row>
    <row r="2417" spans="1:40" x14ac:dyDescent="0.25">
      <c r="A2417" t="str">
        <f>"20190304164901563"</f>
        <v>20190304164901563</v>
      </c>
      <c r="B2417" t="str">
        <f>"1551689341558022"</f>
        <v>1551689341558022</v>
      </c>
      <c r="C2417" t="s">
        <v>40</v>
      </c>
      <c r="D2417">
        <v>3.9664030000000001</v>
      </c>
      <c r="E2417">
        <v>0.54220990000000002</v>
      </c>
      <c r="F2417" t="s">
        <v>46</v>
      </c>
      <c r="G2417">
        <v>-362.13909999999998</v>
      </c>
      <c r="H2417" s="1">
        <v>-3.984516E-7</v>
      </c>
      <c r="I2417">
        <v>284.97489999999999</v>
      </c>
      <c r="J2417">
        <v>-346.584</v>
      </c>
      <c r="K2417">
        <v>1.1108279999999999</v>
      </c>
      <c r="L2417">
        <v>284.46480000000003</v>
      </c>
      <c r="M2417">
        <v>-0.99986589999999997</v>
      </c>
      <c r="N2417">
        <v>-1.494791E-2</v>
      </c>
      <c r="O2417">
        <v>-6.7077930000000001E-3</v>
      </c>
      <c r="P2417">
        <v>-0.9321275</v>
      </c>
      <c r="Q2417">
        <v>0.360647</v>
      </c>
      <c r="R2417">
        <v>-3.274738E-2</v>
      </c>
      <c r="S2417">
        <v>-3.313904</v>
      </c>
      <c r="T2417">
        <v>-0.2338258</v>
      </c>
      <c r="U2417">
        <v>0.1071167</v>
      </c>
      <c r="V2417">
        <v>-2.650889E-2</v>
      </c>
      <c r="W2417">
        <v>0.37454209999999999</v>
      </c>
      <c r="X2417">
        <v>0.92683090000000001</v>
      </c>
      <c r="Y2417">
        <v>3.8883399999999999E-2</v>
      </c>
      <c r="Z2417">
        <v>2.0333180000000001E-3</v>
      </c>
      <c r="AA2417">
        <v>0.99924170000000001</v>
      </c>
      <c r="AB2417">
        <v>38</v>
      </c>
      <c r="AC2417">
        <v>-15.5550999999999</v>
      </c>
      <c r="AD2417">
        <v>-1.1108283984516001</v>
      </c>
      <c r="AE2417">
        <v>0.51009999999996503</v>
      </c>
      <c r="AF2417">
        <v>0.61132629975665098</v>
      </c>
      <c r="AG2417">
        <v>-1.1108283984516001</v>
      </c>
      <c r="AH2417">
        <v>15.4725068906895</v>
      </c>
      <c r="AI2417">
        <v>94.103239387375496</v>
      </c>
      <c r="AJ2417">
        <v>87.737392663607693</v>
      </c>
      <c r="AK2417">
        <v>15.5243720986716</v>
      </c>
      <c r="AL2417">
        <v>68.003985613669997</v>
      </c>
      <c r="AM2417">
        <v>91.638307002081802</v>
      </c>
      <c r="AN2417">
        <v>1.00000001155812</v>
      </c>
    </row>
    <row r="2418" spans="1:40" x14ac:dyDescent="0.25">
      <c r="A2418" t="str">
        <f>"20190304164901576"</f>
        <v>20190304164901576</v>
      </c>
      <c r="B2418" t="str">
        <f>"1551689341568759"</f>
        <v>1551689341568759</v>
      </c>
      <c r="C2418" t="s">
        <v>40</v>
      </c>
      <c r="D2418">
        <v>3.935959</v>
      </c>
      <c r="E2418">
        <v>0.54220679999999999</v>
      </c>
      <c r="F2418" t="s">
        <v>41</v>
      </c>
      <c r="G2418">
        <v>-347.51620000000003</v>
      </c>
      <c r="H2418">
        <v>1.044219</v>
      </c>
      <c r="I2418">
        <v>284.49459999999999</v>
      </c>
      <c r="J2418">
        <v>-346.80739999999997</v>
      </c>
      <c r="K2418">
        <v>1.1108309999999999</v>
      </c>
      <c r="L2418">
        <v>284.4633</v>
      </c>
      <c r="M2418">
        <v>-0.99986549999999996</v>
      </c>
      <c r="N2418">
        <v>-1.494531E-2</v>
      </c>
      <c r="O2418">
        <v>-6.7486559999999996E-3</v>
      </c>
      <c r="P2418">
        <v>-0.93221690000000001</v>
      </c>
      <c r="Q2418">
        <v>0.36037979999999997</v>
      </c>
      <c r="R2418">
        <v>-3.313837E-2</v>
      </c>
      <c r="S2418">
        <v>-3.3138429999999999</v>
      </c>
      <c r="T2418">
        <v>-0.23681450000000001</v>
      </c>
      <c r="U2418">
        <v>0.10540769999999999</v>
      </c>
      <c r="V2418">
        <v>-2.6866910000000001E-2</v>
      </c>
      <c r="W2418">
        <v>0.37427329999999998</v>
      </c>
      <c r="X2418">
        <v>0.92692920000000001</v>
      </c>
      <c r="Y2418">
        <v>3.8408360000000002E-2</v>
      </c>
      <c r="Z2418">
        <v>2.0386340000000001E-3</v>
      </c>
      <c r="AA2418">
        <v>0.99926009999999998</v>
      </c>
      <c r="AB2418">
        <v>38</v>
      </c>
      <c r="AC2418">
        <v>-0.70880000000005305</v>
      </c>
      <c r="AD2418">
        <v>-6.6611999999999894E-2</v>
      </c>
      <c r="AE2418">
        <v>3.12999999999874E-2</v>
      </c>
      <c r="AF2418">
        <v>3.5767982041984697E-2</v>
      </c>
      <c r="AG2418">
        <v>-6.6611999999999894E-2</v>
      </c>
      <c r="AH2418">
        <v>0.70238126260609302</v>
      </c>
      <c r="AI2418">
        <v>95.410609079614503</v>
      </c>
      <c r="AJ2418">
        <v>87.084794566235999</v>
      </c>
      <c r="AK2418">
        <v>0.70643891819709703</v>
      </c>
      <c r="AL2418">
        <v>68.020595410544999</v>
      </c>
      <c r="AM2418">
        <v>91.660245124668805</v>
      </c>
      <c r="AN2418">
        <v>1.00000003787923</v>
      </c>
    </row>
    <row r="2419" spans="1:40" x14ac:dyDescent="0.25">
      <c r="A2419" t="str">
        <f>"20190304164901588"</f>
        <v>20190304164901588</v>
      </c>
      <c r="B2419" t="str">
        <f>"1551689341578519"</f>
        <v>1551689341578519</v>
      </c>
      <c r="C2419" t="s">
        <v>40</v>
      </c>
      <c r="D2419">
        <v>3.9345530000000002</v>
      </c>
      <c r="E2419">
        <v>0.54223009999999905</v>
      </c>
      <c r="F2419" t="s">
        <v>41</v>
      </c>
      <c r="G2419">
        <v>-347.85059999999999</v>
      </c>
      <c r="H2419">
        <v>1.036011</v>
      </c>
      <c r="I2419">
        <v>284.49619999999999</v>
      </c>
      <c r="J2419">
        <v>-347.00619999999998</v>
      </c>
      <c r="K2419">
        <v>1.1108359999999999</v>
      </c>
      <c r="L2419">
        <v>284.46190000000001</v>
      </c>
      <c r="M2419">
        <v>-0.99986540000000002</v>
      </c>
      <c r="N2419">
        <v>-1.494303E-2</v>
      </c>
      <c r="O2419">
        <v>-6.7859130000000002E-3</v>
      </c>
      <c r="P2419">
        <v>-0.93223929999999999</v>
      </c>
      <c r="Q2419">
        <v>0.36027530000000002</v>
      </c>
      <c r="R2419">
        <v>-3.3640400000000001E-2</v>
      </c>
      <c r="S2419">
        <v>-3.313812</v>
      </c>
      <c r="T2419">
        <v>-0.2377602</v>
      </c>
      <c r="U2419">
        <v>0.1045532</v>
      </c>
      <c r="V2419">
        <v>-2.7337569999999999E-2</v>
      </c>
      <c r="W2419">
        <v>0.37416709999999997</v>
      </c>
      <c r="X2419">
        <v>0.92695830000000001</v>
      </c>
      <c r="Y2419">
        <v>3.8188119999999999E-2</v>
      </c>
      <c r="Z2419">
        <v>2.0385849999999999E-3</v>
      </c>
      <c r="AA2419">
        <v>0.9992685</v>
      </c>
      <c r="AB2419">
        <v>38</v>
      </c>
      <c r="AC2419">
        <v>-0.84440000000000703</v>
      </c>
      <c r="AD2419">
        <v>-7.48250000000001E-2</v>
      </c>
      <c r="AE2419">
        <v>3.4299999999973303E-2</v>
      </c>
      <c r="AF2419">
        <v>3.9718506457970502E-2</v>
      </c>
      <c r="AG2419">
        <v>-7.48250000000001E-2</v>
      </c>
      <c r="AH2419">
        <v>0.83758166093565301</v>
      </c>
      <c r="AI2419">
        <v>95.099242643032497</v>
      </c>
      <c r="AJ2419">
        <v>87.285041684186396</v>
      </c>
      <c r="AK2419">
        <v>0.84185472565994401</v>
      </c>
      <c r="AL2419">
        <v>68.027156705428695</v>
      </c>
      <c r="AM2419">
        <v>91.689259927173794</v>
      </c>
      <c r="AN2419">
        <v>1.0000000256974</v>
      </c>
    </row>
    <row r="2420" spans="1:40" x14ac:dyDescent="0.25">
      <c r="A2420" t="str">
        <f>"20190304164901599"</f>
        <v>20190304164901599</v>
      </c>
      <c r="B2420" t="str">
        <f>"1551689341588278"</f>
        <v>1551689341588278</v>
      </c>
      <c r="C2420" t="s">
        <v>40</v>
      </c>
      <c r="D2420">
        <v>3.938796</v>
      </c>
      <c r="E2420">
        <v>0.54222689999999996</v>
      </c>
      <c r="F2420" t="s">
        <v>41</v>
      </c>
      <c r="G2420">
        <v>-347.86200000000002</v>
      </c>
      <c r="H2420">
        <v>1.0494000000000001</v>
      </c>
      <c r="I2420">
        <v>284.48880000000003</v>
      </c>
      <c r="J2420">
        <v>-347.19639999999998</v>
      </c>
      <c r="K2420">
        <v>1.110835</v>
      </c>
      <c r="L2420">
        <v>284.4606</v>
      </c>
      <c r="M2420">
        <v>-0.99986509999999995</v>
      </c>
      <c r="N2420">
        <v>-1.494083E-2</v>
      </c>
      <c r="O2420">
        <v>-6.8213719999999896E-3</v>
      </c>
      <c r="P2420">
        <v>-0.93210769999999998</v>
      </c>
      <c r="Q2420">
        <v>0.36056080000000001</v>
      </c>
      <c r="R2420">
        <v>-3.4224900000000003E-2</v>
      </c>
      <c r="S2420">
        <v>-3.3137819999999998</v>
      </c>
      <c r="T2420">
        <v>-0.23795820000000001</v>
      </c>
      <c r="U2420">
        <v>0.10385129999999999</v>
      </c>
      <c r="V2420">
        <v>-2.7893729999999999E-2</v>
      </c>
      <c r="W2420">
        <v>0.3744479</v>
      </c>
      <c r="X2420">
        <v>0.92682830000000005</v>
      </c>
      <c r="Y2420">
        <v>3.801268E-2</v>
      </c>
      <c r="Z2420">
        <v>2.034531E-3</v>
      </c>
      <c r="AA2420">
        <v>0.99927520000000003</v>
      </c>
      <c r="AB2420">
        <v>38</v>
      </c>
      <c r="AC2420">
        <v>-0.66559999999998298</v>
      </c>
      <c r="AD2420">
        <v>-6.1434999999999899E-2</v>
      </c>
      <c r="AE2420">
        <v>2.82000000000266E-2</v>
      </c>
      <c r="AF2420">
        <v>3.2464079435930299E-2</v>
      </c>
      <c r="AG2420">
        <v>-6.1434999999999899E-2</v>
      </c>
      <c r="AH2420">
        <v>0.65978130796739498</v>
      </c>
      <c r="AI2420">
        <v>95.313319697765493</v>
      </c>
      <c r="AJ2420">
        <v>87.183072954171905</v>
      </c>
      <c r="AK2420">
        <v>0.66343013951869001</v>
      </c>
      <c r="AL2420">
        <v>68.009806055550598</v>
      </c>
      <c r="AM2420">
        <v>91.723847597090199</v>
      </c>
      <c r="AN2420">
        <v>0.99999999383430604</v>
      </c>
    </row>
    <row r="2421" spans="1:40" x14ac:dyDescent="0.25">
      <c r="A2421" t="str">
        <f>"20190304164901617"</f>
        <v>20190304164901617</v>
      </c>
      <c r="B2421" t="str">
        <f>"1551689341608774"</f>
        <v>1551689341608774</v>
      </c>
      <c r="C2421" t="s">
        <v>40</v>
      </c>
      <c r="D2421">
        <v>4.108708</v>
      </c>
      <c r="E2421">
        <v>0.54359539999999995</v>
      </c>
      <c r="F2421" t="s">
        <v>41</v>
      </c>
      <c r="G2421">
        <v>-348.19189999999998</v>
      </c>
      <c r="H2421">
        <v>1.039542</v>
      </c>
      <c r="I2421">
        <v>284.49169999999998</v>
      </c>
      <c r="J2421">
        <v>-347.49979999999999</v>
      </c>
      <c r="K2421">
        <v>1.1108439999999999</v>
      </c>
      <c r="L2421">
        <v>284.45839999999998</v>
      </c>
      <c r="M2421">
        <v>-0.9998648</v>
      </c>
      <c r="N2421">
        <v>-1.493733E-2</v>
      </c>
      <c r="O2421">
        <v>-6.8777069999999899E-3</v>
      </c>
      <c r="P2421">
        <v>-0.93184020000000001</v>
      </c>
      <c r="Q2421">
        <v>0.3611625</v>
      </c>
      <c r="R2421">
        <v>-3.5147350000000001E-2</v>
      </c>
      <c r="S2421">
        <v>-3.3141780000000001</v>
      </c>
      <c r="T2421">
        <v>-0.23746980000000001</v>
      </c>
      <c r="U2421">
        <v>0.10290530000000001</v>
      </c>
      <c r="V2421">
        <v>-2.8771040000000001E-2</v>
      </c>
      <c r="W2421">
        <v>0.37504209999999999</v>
      </c>
      <c r="X2421">
        <v>0.92656119999999997</v>
      </c>
      <c r="Y2421">
        <v>3.7781420000000003E-2</v>
      </c>
      <c r="Z2421">
        <v>2.0236680000000002E-3</v>
      </c>
      <c r="AA2421">
        <v>0.99928399999999995</v>
      </c>
      <c r="AB2421">
        <v>38</v>
      </c>
      <c r="AC2421">
        <v>-0.69209999999998195</v>
      </c>
      <c r="AD2421">
        <v>-7.1301999999999893E-2</v>
      </c>
      <c r="AE2421">
        <v>3.3299999999996999E-2</v>
      </c>
      <c r="AF2421">
        <v>3.7661005857004499E-2</v>
      </c>
      <c r="AG2421">
        <v>-7.1301999999999893E-2</v>
      </c>
      <c r="AH2421">
        <v>0.68460518025952699</v>
      </c>
      <c r="AI2421">
        <v>95.937036644478894</v>
      </c>
      <c r="AJ2421">
        <v>86.851259670717099</v>
      </c>
      <c r="AK2421">
        <v>0.68933778324152595</v>
      </c>
      <c r="AL2421">
        <v>67.973085182153099</v>
      </c>
      <c r="AM2421">
        <v>91.778543781968395</v>
      </c>
      <c r="AN2421">
        <v>1.0000000034302601</v>
      </c>
    </row>
    <row r="2422" spans="1:40" x14ac:dyDescent="0.25">
      <c r="A2422" t="str">
        <f>"20190304164901631"</f>
        <v>20190304164901631</v>
      </c>
      <c r="B2422" t="str">
        <f>"1551689341628295"</f>
        <v>1551689341628295</v>
      </c>
      <c r="C2422" t="s">
        <v>40</v>
      </c>
      <c r="D2422">
        <v>3.9744429999999999</v>
      </c>
      <c r="E2422">
        <v>0.53678749999999997</v>
      </c>
      <c r="F2422" t="s">
        <v>41</v>
      </c>
      <c r="G2422">
        <v>-348.48009999999999</v>
      </c>
      <c r="H2422">
        <v>0.93543849999999995</v>
      </c>
      <c r="I2422">
        <v>284.4796</v>
      </c>
      <c r="J2422">
        <v>-347.73579999999998</v>
      </c>
      <c r="K2422">
        <v>1.110852</v>
      </c>
      <c r="L2422">
        <v>284.45679999999999</v>
      </c>
      <c r="M2422">
        <v>-0.99986459999999999</v>
      </c>
      <c r="N2422">
        <v>-1.4934599999999999E-2</v>
      </c>
      <c r="O2422">
        <v>-6.9216159999999898E-3</v>
      </c>
      <c r="P2422">
        <v>-0.93162469999999997</v>
      </c>
      <c r="Q2422">
        <v>0.3616839</v>
      </c>
      <c r="R2422">
        <v>-3.5505479999999999E-2</v>
      </c>
      <c r="S2422">
        <v>-3.4624019999999902</v>
      </c>
      <c r="T2422">
        <v>-0.61954719999999996</v>
      </c>
      <c r="U2422">
        <v>7.440186E-2</v>
      </c>
      <c r="V2422">
        <v>-2.9092759999999999E-2</v>
      </c>
      <c r="W2422">
        <v>0.37555749999999999</v>
      </c>
      <c r="X2422">
        <v>0.92634240000000001</v>
      </c>
      <c r="Y2422">
        <v>2.783215E-2</v>
      </c>
      <c r="Z2422">
        <v>3.8058509999999999E-3</v>
      </c>
      <c r="AA2422">
        <v>0.99960539999999998</v>
      </c>
      <c r="AB2422">
        <v>38</v>
      </c>
      <c r="AC2422">
        <v>-0.74430000000000895</v>
      </c>
      <c r="AD2422">
        <v>-0.175413499999999</v>
      </c>
      <c r="AE2422">
        <v>2.28000000000179E-2</v>
      </c>
      <c r="AF2422">
        <v>2.64822592963414E-2</v>
      </c>
      <c r="AG2422">
        <v>-0.175413499999999</v>
      </c>
      <c r="AH2422">
        <v>0.70500300522764603</v>
      </c>
      <c r="AI2422">
        <v>103.96272292664599</v>
      </c>
      <c r="AJ2422">
        <v>87.848791234688605</v>
      </c>
      <c r="AK2422">
        <v>0.72698035972074304</v>
      </c>
      <c r="AL2422">
        <v>67.941226845409204</v>
      </c>
      <c r="AM2422">
        <v>91.798843111869701</v>
      </c>
      <c r="AN2422">
        <v>1.0000000332642101</v>
      </c>
    </row>
    <row r="2423" spans="1:40" x14ac:dyDescent="0.25">
      <c r="A2423" t="str">
        <f>"20190304164901649"</f>
        <v>20190304164901649</v>
      </c>
      <c r="B2423" t="str">
        <f>"1551689341638054"</f>
        <v>1551689341638054</v>
      </c>
      <c r="C2423" t="s">
        <v>40</v>
      </c>
      <c r="D2423">
        <v>3.971679</v>
      </c>
      <c r="E2423">
        <v>0.53595300000000001</v>
      </c>
      <c r="F2423" t="s">
        <v>41</v>
      </c>
      <c r="G2423">
        <v>-348.45409999999998</v>
      </c>
      <c r="H2423">
        <v>0.87382629999999994</v>
      </c>
      <c r="I2423">
        <v>284.44920000000002</v>
      </c>
      <c r="J2423">
        <v>-348.03899999999999</v>
      </c>
      <c r="K2423">
        <v>1.1108640000000001</v>
      </c>
      <c r="L2423">
        <v>284.4547</v>
      </c>
      <c r="M2423">
        <v>-0.99986430000000004</v>
      </c>
      <c r="N2423">
        <v>-1.4931109999999999E-2</v>
      </c>
      <c r="O2423">
        <v>-6.9778009999999996E-3</v>
      </c>
      <c r="P2423">
        <v>-0.93127780000000004</v>
      </c>
      <c r="Q2423">
        <v>0.362514</v>
      </c>
      <c r="R2423">
        <v>-3.6132949999999997E-2</v>
      </c>
      <c r="S2423">
        <v>-3.6916199999999999</v>
      </c>
      <c r="T2423">
        <v>-1.2181230000000001</v>
      </c>
      <c r="U2423">
        <v>-3.924561E-2</v>
      </c>
      <c r="V2423">
        <v>-2.9673540000000002E-2</v>
      </c>
      <c r="W2423">
        <v>0.37637890000000002</v>
      </c>
      <c r="X2423">
        <v>0.92599050000000005</v>
      </c>
      <c r="Y2423">
        <v>-3.7792479999999998E-3</v>
      </c>
      <c r="Z2423">
        <v>1.5048959999999999E-3</v>
      </c>
      <c r="AA2423">
        <v>0.99999170000000004</v>
      </c>
      <c r="AB2423">
        <v>38</v>
      </c>
      <c r="AC2423">
        <v>-0.41509999999999497</v>
      </c>
      <c r="AD2423">
        <v>-0.23703769999999899</v>
      </c>
      <c r="AE2423">
        <v>-5.4999999999836204E-3</v>
      </c>
      <c r="AF2423">
        <v>-1.9630512302864999E-3</v>
      </c>
      <c r="AG2423">
        <v>-0.23703769999999899</v>
      </c>
      <c r="AH2423">
        <v>0.31306178046974198</v>
      </c>
      <c r="AI2423">
        <v>127.13098833178999</v>
      </c>
      <c r="AJ2423">
        <v>90.3592679892067</v>
      </c>
      <c r="AK2423">
        <v>0.39268104510188401</v>
      </c>
      <c r="AL2423">
        <v>67.890437074445103</v>
      </c>
      <c r="AM2423">
        <v>91.835425956476598</v>
      </c>
      <c r="AN2423">
        <v>1.0000000007157901</v>
      </c>
    </row>
    <row r="2424" spans="1:40" x14ac:dyDescent="0.25">
      <c r="A2424" t="str">
        <f>"20190304164901661"</f>
        <v>20190304164901661</v>
      </c>
      <c r="B2424" t="str">
        <f>"1551689341658551"</f>
        <v>1551689341658551</v>
      </c>
      <c r="C2424" t="s">
        <v>40</v>
      </c>
      <c r="D2424">
        <v>3.9732880000000002</v>
      </c>
      <c r="E2424">
        <v>0.53512459999999995</v>
      </c>
      <c r="F2424" t="s">
        <v>41</v>
      </c>
      <c r="G2424">
        <v>-348.78649999999999</v>
      </c>
      <c r="H2424">
        <v>0.85919519999999905</v>
      </c>
      <c r="I2424">
        <v>284.44510000000002</v>
      </c>
      <c r="J2424">
        <v>-348.23910000000001</v>
      </c>
      <c r="K2424">
        <v>1.110868</v>
      </c>
      <c r="L2424">
        <v>284.45319999999998</v>
      </c>
      <c r="M2424">
        <v>-0.99986390000000003</v>
      </c>
      <c r="N2424">
        <v>-1.4928810000000001E-2</v>
      </c>
      <c r="O2424">
        <v>-7.0145379999999998E-3</v>
      </c>
      <c r="P2424">
        <v>-0.93127740000000003</v>
      </c>
      <c r="Q2424">
        <v>0.36252060000000003</v>
      </c>
      <c r="R2424">
        <v>-3.6070919999999999E-2</v>
      </c>
      <c r="S2424">
        <v>-3.7050480000000001</v>
      </c>
      <c r="T2424">
        <v>-1.2473920000000001</v>
      </c>
      <c r="U2424">
        <v>-4.7668460000000003E-2</v>
      </c>
      <c r="V2424">
        <v>-2.9578989999999999E-2</v>
      </c>
      <c r="W2424">
        <v>0.37638329999999998</v>
      </c>
      <c r="X2424">
        <v>0.92599180000000003</v>
      </c>
      <c r="Y2424">
        <v>-5.8643940000000002E-3</v>
      </c>
      <c r="Z2424">
        <v>1.190396E-3</v>
      </c>
      <c r="AA2424">
        <v>0.99998209999999998</v>
      </c>
      <c r="AB2424">
        <v>38</v>
      </c>
      <c r="AC2424">
        <v>-0.54739999999998101</v>
      </c>
      <c r="AD2424">
        <v>-0.25167279999999997</v>
      </c>
      <c r="AE2424">
        <v>-8.0999999999562498E-3</v>
      </c>
      <c r="AF2424">
        <v>-3.51646775049038E-3</v>
      </c>
      <c r="AG2424">
        <v>-0.25167279999999997</v>
      </c>
      <c r="AH2424">
        <v>0.45193454420934498</v>
      </c>
      <c r="AI2424">
        <v>119.111772685049</v>
      </c>
      <c r="AJ2424">
        <v>90.445805034378395</v>
      </c>
      <c r="AK2424">
        <v>0.51729720282927205</v>
      </c>
      <c r="AL2424">
        <v>67.890166329701401</v>
      </c>
      <c r="AM2424">
        <v>91.829579078828402</v>
      </c>
      <c r="AN2424">
        <v>1.00000005941777</v>
      </c>
    </row>
    <row r="2425" spans="1:40" x14ac:dyDescent="0.25">
      <c r="A2425" t="str">
        <f>"20190304164901673"</f>
        <v>20190304164901673</v>
      </c>
      <c r="B2425" t="str">
        <f>"1551689341668310"</f>
        <v>1551689341668310</v>
      </c>
      <c r="C2425" t="s">
        <v>40</v>
      </c>
      <c r="D2425">
        <v>3.9795690000000001</v>
      </c>
      <c r="E2425">
        <v>0.53493769999999996</v>
      </c>
      <c r="F2425" t="s">
        <v>41</v>
      </c>
      <c r="G2425">
        <v>-349.10520000000002</v>
      </c>
      <c r="H2425">
        <v>0.81276660000000001</v>
      </c>
      <c r="I2425">
        <v>284.4402</v>
      </c>
      <c r="J2425">
        <v>-348.44819999999999</v>
      </c>
      <c r="K2425">
        <v>1.1108709999999999</v>
      </c>
      <c r="L2425">
        <v>284.45170000000002</v>
      </c>
      <c r="M2425">
        <v>-0.99986379999999997</v>
      </c>
      <c r="N2425">
        <v>-1.4926409999999999E-2</v>
      </c>
      <c r="O2425">
        <v>-7.0527029999999996E-3</v>
      </c>
      <c r="P2425">
        <v>-0.93144070000000001</v>
      </c>
      <c r="Q2425">
        <v>0.36208279999999998</v>
      </c>
      <c r="R2425">
        <v>-3.626004E-2</v>
      </c>
      <c r="S2425">
        <v>-3.7171940000000001</v>
      </c>
      <c r="T2425">
        <v>-1.2793639999999999</v>
      </c>
      <c r="U2425">
        <v>-5.621338E-2</v>
      </c>
      <c r="V2425">
        <v>-2.9733490000000001E-2</v>
      </c>
      <c r="W2425">
        <v>0.37594539999999999</v>
      </c>
      <c r="X2425">
        <v>0.92616469999999995</v>
      </c>
      <c r="Y2425">
        <v>-7.9600049999999992E-3</v>
      </c>
      <c r="Z2425">
        <v>8.6424759999999897E-4</v>
      </c>
      <c r="AA2425">
        <v>0.99996790000000002</v>
      </c>
      <c r="AB2425">
        <v>38</v>
      </c>
      <c r="AC2425">
        <v>-0.657000000000039</v>
      </c>
      <c r="AD2425">
        <v>-0.29810439999999899</v>
      </c>
      <c r="AE2425">
        <v>-1.15000000000122E-2</v>
      </c>
      <c r="AF2425">
        <v>-5.6937283285463901E-3</v>
      </c>
      <c r="AG2425">
        <v>-0.29810439999999899</v>
      </c>
      <c r="AH2425">
        <v>0.54491427973956796</v>
      </c>
      <c r="AI2425">
        <v>118.680279317612</v>
      </c>
      <c r="AJ2425">
        <v>90.598653299273906</v>
      </c>
      <c r="AK2425">
        <v>0.62115233566793504</v>
      </c>
      <c r="AL2425">
        <v>67.917244497360002</v>
      </c>
      <c r="AM2425">
        <v>91.838785877211393</v>
      </c>
      <c r="AN2425">
        <v>1.0000000378674101</v>
      </c>
    </row>
    <row r="2426" spans="1:40" x14ac:dyDescent="0.25">
      <c r="A2426" t="str">
        <f>"20190304164901685"</f>
        <v>20190304164901685</v>
      </c>
      <c r="B2426" t="str">
        <f>"1551689341678071"</f>
        <v>1551689341678071</v>
      </c>
      <c r="C2426" t="s">
        <v>40</v>
      </c>
      <c r="D2426">
        <v>4.0166639999999996</v>
      </c>
      <c r="E2426">
        <v>0.53490869999999902</v>
      </c>
      <c r="F2426" t="s">
        <v>41</v>
      </c>
      <c r="G2426">
        <v>-349.13150000000002</v>
      </c>
      <c r="H2426">
        <v>0.87415710000000002</v>
      </c>
      <c r="I2426">
        <v>284.44110000000001</v>
      </c>
      <c r="J2426">
        <v>-348.64920000000001</v>
      </c>
      <c r="K2426">
        <v>1.11087</v>
      </c>
      <c r="L2426">
        <v>284.45030000000003</v>
      </c>
      <c r="M2426">
        <v>-0.99986359999999996</v>
      </c>
      <c r="N2426">
        <v>-1.4924120000000001E-2</v>
      </c>
      <c r="O2426">
        <v>-7.0896659999999997E-3</v>
      </c>
      <c r="P2426">
        <v>-0.93162789999999995</v>
      </c>
      <c r="Q2426">
        <v>0.36160029999999999</v>
      </c>
      <c r="R2426">
        <v>-3.6258840000000001E-2</v>
      </c>
      <c r="S2426">
        <v>-3.719452</v>
      </c>
      <c r="T2426">
        <v>-1.2885200000000001</v>
      </c>
      <c r="U2426">
        <v>-5.8471679999999998E-2</v>
      </c>
      <c r="V2426">
        <v>-2.96978E-2</v>
      </c>
      <c r="W2426">
        <v>0.37546380000000001</v>
      </c>
      <c r="X2426">
        <v>0.9263612</v>
      </c>
      <c r="Y2426">
        <v>-8.4895300000000003E-3</v>
      </c>
      <c r="Z2426">
        <v>7.8935759999999996E-4</v>
      </c>
      <c r="AA2426">
        <v>0.99996359999999995</v>
      </c>
      <c r="AB2426">
        <v>38</v>
      </c>
      <c r="AC2426">
        <v>-0.482300000000009</v>
      </c>
      <c r="AD2426">
        <v>-0.2367129</v>
      </c>
      <c r="AE2426">
        <v>-9.2000000000211895E-3</v>
      </c>
      <c r="AF2426">
        <v>-4.6583298103264302E-3</v>
      </c>
      <c r="AG2426">
        <v>-0.2367129</v>
      </c>
      <c r="AH2426">
        <v>0.388744534547249</v>
      </c>
      <c r="AI2426">
        <v>121.336091004625</v>
      </c>
      <c r="AJ2426">
        <v>90.686543063678698</v>
      </c>
      <c r="AK2426">
        <v>0.45516701352733102</v>
      </c>
      <c r="AL2426">
        <v>67.947019724772005</v>
      </c>
      <c r="AM2426">
        <v>91.836190930626501</v>
      </c>
      <c r="AN2426">
        <v>1.00000004865035</v>
      </c>
    </row>
    <row r="2427" spans="1:40" x14ac:dyDescent="0.25">
      <c r="A2427" t="str">
        <f>"20190304164901697"</f>
        <v>20190304164901697</v>
      </c>
      <c r="B2427" t="str">
        <f>"1551689341688807"</f>
        <v>1551689341688807</v>
      </c>
      <c r="C2427" t="s">
        <v>40</v>
      </c>
      <c r="D2427">
        <v>4.0232049999999999</v>
      </c>
      <c r="E2427">
        <v>0.53486319999999998</v>
      </c>
      <c r="F2427" t="s">
        <v>41</v>
      </c>
      <c r="G2427">
        <v>-349.45119999999997</v>
      </c>
      <c r="H2427">
        <v>0.83212419999999998</v>
      </c>
      <c r="I2427">
        <v>284.43810000000002</v>
      </c>
      <c r="J2427">
        <v>-348.84769999999997</v>
      </c>
      <c r="K2427">
        <v>1.1108659999999999</v>
      </c>
      <c r="L2427">
        <v>284.44880000000001</v>
      </c>
      <c r="M2427">
        <v>-0.99986339999999996</v>
      </c>
      <c r="N2427">
        <v>-1.4921830000000001E-2</v>
      </c>
      <c r="O2427">
        <v>-7.1261479999999997E-3</v>
      </c>
      <c r="P2427">
        <v>-0.93171170000000003</v>
      </c>
      <c r="Q2427">
        <v>0.36137550000000002</v>
      </c>
      <c r="R2427">
        <v>-3.6349029999999997E-2</v>
      </c>
      <c r="S2427">
        <v>-3.7196660000000001</v>
      </c>
      <c r="T2427">
        <v>-1.292702</v>
      </c>
      <c r="U2427">
        <v>-5.7708740000000001E-2</v>
      </c>
      <c r="V2427">
        <v>-2.9754619999999999E-2</v>
      </c>
      <c r="W2427">
        <v>0.37523790000000001</v>
      </c>
      <c r="X2427">
        <v>0.92645080000000002</v>
      </c>
      <c r="Y2427">
        <v>-8.2623039999999998E-3</v>
      </c>
      <c r="Z2427">
        <v>8.4416509999999897E-4</v>
      </c>
      <c r="AA2427">
        <v>0.99996549999999995</v>
      </c>
      <c r="AB2427">
        <v>38</v>
      </c>
      <c r="AC2427">
        <v>-0.60349999999999604</v>
      </c>
      <c r="AD2427">
        <v>-0.27874179999999898</v>
      </c>
      <c r="AE2427">
        <v>-1.06999999999857E-2</v>
      </c>
      <c r="AF2427">
        <v>-5.2738983565620897E-3</v>
      </c>
      <c r="AG2427">
        <v>-0.27874179999999898</v>
      </c>
      <c r="AH2427">
        <v>0.49746964020074802</v>
      </c>
      <c r="AI2427">
        <v>119.26137498796101</v>
      </c>
      <c r="AJ2427">
        <v>90.607395453537293</v>
      </c>
      <c r="AK2427">
        <v>0.57026384068479796</v>
      </c>
      <c r="AL2427">
        <v>67.960981615225293</v>
      </c>
      <c r="AM2427">
        <v>91.839523852237505</v>
      </c>
      <c r="AN2427">
        <v>0.99999995191419599</v>
      </c>
    </row>
    <row r="2428" spans="1:40" x14ac:dyDescent="0.25">
      <c r="A2428" t="str">
        <f>"20190304164901708"</f>
        <v>20190304164901708</v>
      </c>
      <c r="B2428" t="str">
        <f>"1551689341698567"</f>
        <v>1551689341698567</v>
      </c>
      <c r="C2428" t="s">
        <v>40</v>
      </c>
      <c r="D2428">
        <v>4.0020879999999996</v>
      </c>
      <c r="E2428">
        <v>0.53485009999999999</v>
      </c>
      <c r="F2428" t="s">
        <v>41</v>
      </c>
      <c r="G2428">
        <v>-349.77109999999999</v>
      </c>
      <c r="H2428">
        <v>0.78924629999999996</v>
      </c>
      <c r="I2428">
        <v>284.4348</v>
      </c>
      <c r="J2428">
        <v>-349.04419999999999</v>
      </c>
      <c r="K2428">
        <v>1.110865</v>
      </c>
      <c r="L2428">
        <v>284.44740000000002</v>
      </c>
      <c r="M2428">
        <v>-0.99986319999999995</v>
      </c>
      <c r="N2428">
        <v>-1.4919429999999999E-2</v>
      </c>
      <c r="O2428">
        <v>-7.1619070000000003E-3</v>
      </c>
      <c r="P2428">
        <v>-0.93186500000000005</v>
      </c>
      <c r="Q2428">
        <v>0.36095709999999998</v>
      </c>
      <c r="R2428">
        <v>-3.6576730000000002E-2</v>
      </c>
      <c r="S2428">
        <v>-3.720215</v>
      </c>
      <c r="T2428">
        <v>-1.295731</v>
      </c>
      <c r="U2428">
        <v>-5.6793209999999997E-2</v>
      </c>
      <c r="V2428">
        <v>-2.9948280000000001E-2</v>
      </c>
      <c r="W2428">
        <v>0.37481920000000002</v>
      </c>
      <c r="X2428">
        <v>0.92661400000000005</v>
      </c>
      <c r="Y2428">
        <v>-7.9961379999999999E-3</v>
      </c>
      <c r="Z2428">
        <v>9.0494160000000002E-4</v>
      </c>
      <c r="AA2428">
        <v>0.99996759999999996</v>
      </c>
      <c r="AB2428">
        <v>38</v>
      </c>
      <c r="AC2428">
        <v>-0.72689999999999999</v>
      </c>
      <c r="AD2428">
        <v>-0.32161869999999898</v>
      </c>
      <c r="AE2428">
        <v>-1.26000000000203E-2</v>
      </c>
      <c r="AF2428">
        <v>-6.1830514096464203E-3</v>
      </c>
      <c r="AG2428">
        <v>-0.32161869999999898</v>
      </c>
      <c r="AH2428">
        <v>0.60798555578934599</v>
      </c>
      <c r="AI2428">
        <v>117.87719908405499</v>
      </c>
      <c r="AJ2428">
        <v>90.582662753481003</v>
      </c>
      <c r="AK2428">
        <v>0.68783955568352095</v>
      </c>
      <c r="AL2428">
        <v>67.986859377410198</v>
      </c>
      <c r="AM2428">
        <v>91.851162347477199</v>
      </c>
      <c r="AN2428">
        <v>0.99999991857979598</v>
      </c>
    </row>
    <row r="2429" spans="1:40" x14ac:dyDescent="0.25">
      <c r="A2429" t="str">
        <f>"20190304164901720"</f>
        <v>20190304164901720</v>
      </c>
      <c r="B2429" t="str">
        <f>"1551689341708327"</f>
        <v>1551689341708327</v>
      </c>
      <c r="C2429" t="s">
        <v>40</v>
      </c>
      <c r="D2429">
        <v>4.0204259999999996</v>
      </c>
      <c r="E2429">
        <v>0.53486820000000002</v>
      </c>
      <c r="F2429" t="s">
        <v>41</v>
      </c>
      <c r="G2429">
        <v>-349.79590000000002</v>
      </c>
      <c r="H2429">
        <v>0.84849920000000001</v>
      </c>
      <c r="I2429">
        <v>284.43599999999998</v>
      </c>
      <c r="J2429">
        <v>-349.22910000000002</v>
      </c>
      <c r="K2429">
        <v>1.110868</v>
      </c>
      <c r="L2429">
        <v>284.44600000000003</v>
      </c>
      <c r="M2429">
        <v>-0.9998629</v>
      </c>
      <c r="N2429">
        <v>-1.49172E-2</v>
      </c>
      <c r="O2429">
        <v>-7.1946780000000004E-3</v>
      </c>
      <c r="P2429">
        <v>-0.93206489999999997</v>
      </c>
      <c r="Q2429">
        <v>0.36041909999999999</v>
      </c>
      <c r="R2429">
        <v>-3.6786470000000002E-2</v>
      </c>
      <c r="S2429">
        <v>-3.7201230000000001</v>
      </c>
      <c r="T2429">
        <v>-1.29844</v>
      </c>
      <c r="U2429">
        <v>-5.654907E-2</v>
      </c>
      <c r="V2429">
        <v>-3.0126759999999999E-2</v>
      </c>
      <c r="W2429">
        <v>0.37428260000000002</v>
      </c>
      <c r="X2429">
        <v>0.92682520000000002</v>
      </c>
      <c r="Y2429">
        <v>-7.905212E-3</v>
      </c>
      <c r="Z2429">
        <v>9.3385219999999995E-4</v>
      </c>
      <c r="AA2429">
        <v>0.99996830000000003</v>
      </c>
      <c r="AB2429">
        <v>38</v>
      </c>
      <c r="AC2429">
        <v>-0.56679999999999997</v>
      </c>
      <c r="AD2429">
        <v>-0.26236880000000001</v>
      </c>
      <c r="AE2429">
        <v>-9.9999999999908998E-3</v>
      </c>
      <c r="AF2429">
        <v>-4.8767252856720799E-3</v>
      </c>
      <c r="AG2429">
        <v>-0.26236880000000001</v>
      </c>
      <c r="AH2429">
        <v>0.46685468940862401</v>
      </c>
      <c r="AI2429">
        <v>119.33432193924099</v>
      </c>
      <c r="AJ2429">
        <v>90.598485183285803</v>
      </c>
      <c r="AK2429">
        <v>0.53555062383100105</v>
      </c>
      <c r="AL2429">
        <v>68.020020354544499</v>
      </c>
      <c r="AM2429">
        <v>91.861762757787801</v>
      </c>
      <c r="AN2429">
        <v>1.0000000188429401</v>
      </c>
    </row>
    <row r="2430" spans="1:40" x14ac:dyDescent="0.25">
      <c r="A2430" t="str">
        <f>"20190304164901731"</f>
        <v>20190304164901731</v>
      </c>
      <c r="B2430" t="str">
        <f>"1551689341728823"</f>
        <v>1551689341728823</v>
      </c>
      <c r="C2430" t="s">
        <v>40</v>
      </c>
      <c r="D2430">
        <v>4.0427670000000004</v>
      </c>
      <c r="E2430">
        <v>0.53490969999999904</v>
      </c>
      <c r="F2430" t="s">
        <v>41</v>
      </c>
      <c r="G2430">
        <v>-350.11349999999999</v>
      </c>
      <c r="H2430">
        <v>0.80170149999999996</v>
      </c>
      <c r="I2430">
        <v>284.43310000000002</v>
      </c>
      <c r="J2430">
        <v>-349.4314</v>
      </c>
      <c r="K2430">
        <v>1.110862</v>
      </c>
      <c r="L2430">
        <v>284.44450000000001</v>
      </c>
      <c r="M2430">
        <v>-0.99986269999999999</v>
      </c>
      <c r="N2430">
        <v>-1.4914820000000001E-2</v>
      </c>
      <c r="O2430">
        <v>-7.2300609999999899E-3</v>
      </c>
      <c r="P2430">
        <v>-0.93219370000000001</v>
      </c>
      <c r="Q2430">
        <v>0.3600506</v>
      </c>
      <c r="R2430">
        <v>-3.7132199999999997E-2</v>
      </c>
      <c r="S2430">
        <v>-3.7192690000000002</v>
      </c>
      <c r="T2430">
        <v>-1.3002</v>
      </c>
      <c r="U2430">
        <v>-5.4962160000000003E-2</v>
      </c>
      <c r="V2430">
        <v>-3.0437909999999999E-2</v>
      </c>
      <c r="W2430">
        <v>0.37391380000000002</v>
      </c>
      <c r="X2430">
        <v>0.92696389999999995</v>
      </c>
      <c r="Y2430">
        <v>-7.4751349999999999E-3</v>
      </c>
      <c r="Z2430">
        <v>1.0233389999999901E-3</v>
      </c>
      <c r="AA2430">
        <v>0.99997150000000001</v>
      </c>
      <c r="AB2430">
        <v>38</v>
      </c>
      <c r="AC2430">
        <v>-0.68209999999999105</v>
      </c>
      <c r="AD2430">
        <v>-0.30916049999999901</v>
      </c>
      <c r="AE2430">
        <v>-1.13999999999805E-2</v>
      </c>
      <c r="AF2430">
        <v>-5.3655678984107103E-3</v>
      </c>
      <c r="AG2430">
        <v>-0.30916049999999901</v>
      </c>
      <c r="AH2430">
        <v>0.56593490652512501</v>
      </c>
      <c r="AI2430">
        <v>118.64593714428401</v>
      </c>
      <c r="AJ2430">
        <v>90.543198839720304</v>
      </c>
      <c r="AK2430">
        <v>0.64489636570748698</v>
      </c>
      <c r="AL2430">
        <v>68.042805838064993</v>
      </c>
      <c r="AM2430">
        <v>91.880696106962901</v>
      </c>
      <c r="AN2430">
        <v>1.0000000340494</v>
      </c>
    </row>
    <row r="2431" spans="1:40" x14ac:dyDescent="0.25">
      <c r="A2431" t="str">
        <f>"20190304164901743"</f>
        <v>20190304164901743</v>
      </c>
      <c r="B2431" t="str">
        <f>"1551689341738583"</f>
        <v>1551689341738583</v>
      </c>
      <c r="C2431" t="s">
        <v>40</v>
      </c>
      <c r="D2431">
        <v>4.0591039999999996</v>
      </c>
      <c r="E2431">
        <v>0.53492680000000004</v>
      </c>
      <c r="F2431" t="s">
        <v>41</v>
      </c>
      <c r="G2431">
        <v>-350.1395</v>
      </c>
      <c r="H2431">
        <v>0.86324439999999902</v>
      </c>
      <c r="I2431">
        <v>284.43439999999998</v>
      </c>
      <c r="J2431">
        <v>-349.61579999999998</v>
      </c>
      <c r="K2431">
        <v>1.110859</v>
      </c>
      <c r="L2431">
        <v>284.44319999999999</v>
      </c>
      <c r="M2431">
        <v>-0.99986260000000005</v>
      </c>
      <c r="N2431">
        <v>-1.4912750000000001E-2</v>
      </c>
      <c r="O2431">
        <v>-7.2594640000000002E-3</v>
      </c>
      <c r="P2431">
        <v>-0.93231050000000004</v>
      </c>
      <c r="Q2431">
        <v>0.35971560000000002</v>
      </c>
      <c r="R2431">
        <v>-3.7446130000000001E-2</v>
      </c>
      <c r="S2431">
        <v>-3.7182309999999998</v>
      </c>
      <c r="T2431">
        <v>-1.3002579999999999</v>
      </c>
      <c r="U2431">
        <v>-5.41687E-2</v>
      </c>
      <c r="V2431">
        <v>-3.0722610000000001E-2</v>
      </c>
      <c r="W2431">
        <v>0.37357889999999999</v>
      </c>
      <c r="X2431">
        <v>0.92708950000000001</v>
      </c>
      <c r="Y2431">
        <v>-7.2519389999999998E-3</v>
      </c>
      <c r="Z2431">
        <v>1.0728980000000001E-3</v>
      </c>
      <c r="AA2431">
        <v>0.99997309999999995</v>
      </c>
      <c r="AB2431">
        <v>38</v>
      </c>
      <c r="AC2431">
        <v>-0.52370000000001904</v>
      </c>
      <c r="AD2431">
        <v>-0.24761459999999999</v>
      </c>
      <c r="AE2431">
        <v>-8.8000000000079091E-3</v>
      </c>
      <c r="AF2431">
        <v>-4.0846681062425899E-3</v>
      </c>
      <c r="AG2431">
        <v>-0.24761459999999999</v>
      </c>
      <c r="AH2431">
        <v>0.42807756833340599</v>
      </c>
      <c r="AI2431">
        <v>120.045415595043</v>
      </c>
      <c r="AJ2431">
        <v>90.546693305478996</v>
      </c>
      <c r="AK2431">
        <v>0.494550380807597</v>
      </c>
      <c r="AL2431">
        <v>68.063492781401806</v>
      </c>
      <c r="AM2431">
        <v>91.898017340534196</v>
      </c>
      <c r="AN2431">
        <v>1.0000000071503301</v>
      </c>
    </row>
    <row r="2432" spans="1:40" x14ac:dyDescent="0.25">
      <c r="A2432" t="str">
        <f>"20190304164901755"</f>
        <v>20190304164901755</v>
      </c>
      <c r="B2432" t="str">
        <f>"1551689341748343"</f>
        <v>1551689341748343</v>
      </c>
      <c r="C2432" t="s">
        <v>40</v>
      </c>
      <c r="D2432">
        <v>4.0934109999999997</v>
      </c>
      <c r="E2432">
        <v>0.53495539999999997</v>
      </c>
      <c r="F2432" t="s">
        <v>41</v>
      </c>
      <c r="G2432">
        <v>-350.45650000000001</v>
      </c>
      <c r="H2432">
        <v>0.81673600000000002</v>
      </c>
      <c r="I2432">
        <v>284.43110000000001</v>
      </c>
      <c r="J2432">
        <v>-349.83069999999998</v>
      </c>
      <c r="K2432">
        <v>1.110854</v>
      </c>
      <c r="L2432">
        <v>284.44159999999999</v>
      </c>
      <c r="M2432">
        <v>-0.99986229999999998</v>
      </c>
      <c r="N2432">
        <v>-1.4910390000000001E-2</v>
      </c>
      <c r="O2432">
        <v>-7.2920659999999998E-3</v>
      </c>
      <c r="P2432">
        <v>-0.93237389999999998</v>
      </c>
      <c r="Q2432">
        <v>0.35952990000000001</v>
      </c>
      <c r="R2432">
        <v>-3.7648920000000002E-2</v>
      </c>
      <c r="S2432">
        <v>-3.7174990000000001</v>
      </c>
      <c r="T2432">
        <v>-1.3006530000000001</v>
      </c>
      <c r="U2432">
        <v>-5.4290770000000002E-2</v>
      </c>
      <c r="V2432">
        <v>-3.089223E-2</v>
      </c>
      <c r="W2432">
        <v>0.3733919</v>
      </c>
      <c r="X2432">
        <v>0.92715919999999996</v>
      </c>
      <c r="Y2432">
        <v>-7.2565040000000004E-3</v>
      </c>
      <c r="Z2432">
        <v>1.083302E-3</v>
      </c>
      <c r="AA2432">
        <v>0.99997309999999995</v>
      </c>
      <c r="AB2432">
        <v>38</v>
      </c>
      <c r="AC2432">
        <v>-0.625800000000026</v>
      </c>
      <c r="AD2432">
        <v>-0.29411799999999999</v>
      </c>
      <c r="AE2432">
        <v>-1.0499999999979E-2</v>
      </c>
      <c r="AF2432">
        <v>-4.8621504341436498E-3</v>
      </c>
      <c r="AG2432">
        <v>-0.29411799999999999</v>
      </c>
      <c r="AH2432">
        <v>0.51265293082375796</v>
      </c>
      <c r="AI2432">
        <v>119.842538980017</v>
      </c>
      <c r="AJ2432">
        <v>90.543393648977002</v>
      </c>
      <c r="AK2432">
        <v>0.59105166095108197</v>
      </c>
      <c r="AL2432">
        <v>68.075043004915202</v>
      </c>
      <c r="AM2432">
        <v>91.908345229013406</v>
      </c>
      <c r="AN2432">
        <v>1.00000001150231</v>
      </c>
    </row>
    <row r="2433" spans="1:40" x14ac:dyDescent="0.25">
      <c r="A2433" t="str">
        <f>"20190304164901768"</f>
        <v>20190304164901768</v>
      </c>
      <c r="B2433" t="str">
        <f>"1551689341758102"</f>
        <v>1551689341758102</v>
      </c>
      <c r="C2433" t="s">
        <v>40</v>
      </c>
      <c r="D2433">
        <v>4.1149570000000004</v>
      </c>
      <c r="E2433">
        <v>0.53518889999999997</v>
      </c>
      <c r="F2433" t="s">
        <v>41</v>
      </c>
      <c r="G2433">
        <v>-350.77760000000001</v>
      </c>
      <c r="H2433">
        <v>0.77927089999999999</v>
      </c>
      <c r="I2433">
        <v>284.42809999999997</v>
      </c>
      <c r="J2433">
        <v>-350.05849999999998</v>
      </c>
      <c r="K2433">
        <v>1.110849</v>
      </c>
      <c r="L2433">
        <v>284.43990000000002</v>
      </c>
      <c r="M2433">
        <v>-0.99986209999999998</v>
      </c>
      <c r="N2433">
        <v>-1.490797E-2</v>
      </c>
      <c r="O2433">
        <v>-7.319603E-3</v>
      </c>
      <c r="P2433">
        <v>-0.93245500000000003</v>
      </c>
      <c r="Q2433">
        <v>0.35929060000000002</v>
      </c>
      <c r="R2433">
        <v>-3.7922959999999999E-2</v>
      </c>
      <c r="S2433">
        <v>-3.717285</v>
      </c>
      <c r="T2433">
        <v>-1.3015939999999999</v>
      </c>
      <c r="U2433">
        <v>-5.4565429999999998E-2</v>
      </c>
      <c r="V2433">
        <v>-3.1135070000000001E-2</v>
      </c>
      <c r="W2433">
        <v>0.3731525</v>
      </c>
      <c r="X2433">
        <v>0.9272475</v>
      </c>
      <c r="Y2433">
        <v>-7.302294E-3</v>
      </c>
      <c r="Z2433">
        <v>1.085073E-3</v>
      </c>
      <c r="AA2433">
        <v>0.9999728</v>
      </c>
      <c r="AB2433">
        <v>38</v>
      </c>
      <c r="AC2433">
        <v>-0.71910000000002505</v>
      </c>
      <c r="AD2433">
        <v>-0.33157809999999999</v>
      </c>
      <c r="AE2433">
        <v>-1.18000000000506E-2</v>
      </c>
      <c r="AF2433">
        <v>-5.3899077815119699E-3</v>
      </c>
      <c r="AG2433">
        <v>-0.33157809999999999</v>
      </c>
      <c r="AH2433">
        <v>0.59309945162454603</v>
      </c>
      <c r="AI2433">
        <v>119.206796056038</v>
      </c>
      <c r="AJ2433">
        <v>90.520672318989597</v>
      </c>
      <c r="AK2433">
        <v>0.67951456718957903</v>
      </c>
      <c r="AL2433">
        <v>68.089829234340399</v>
      </c>
      <c r="AM2433">
        <v>91.923152253903993</v>
      </c>
      <c r="AN2433">
        <v>1.0000000535482001</v>
      </c>
    </row>
    <row r="2434" spans="1:40" x14ac:dyDescent="0.25">
      <c r="A2434" t="str">
        <f>"20190304164901785"</f>
        <v>20190304164901785</v>
      </c>
      <c r="B2434" t="str">
        <f>"1551689341778599"</f>
        <v>1551689341778599</v>
      </c>
      <c r="C2434" t="s">
        <v>40</v>
      </c>
      <c r="D2434">
        <v>4.112984</v>
      </c>
      <c r="E2434">
        <v>0.53548859999999998</v>
      </c>
      <c r="F2434" t="s">
        <v>41</v>
      </c>
      <c r="G2434">
        <v>-350.80669999999998</v>
      </c>
      <c r="H2434">
        <v>0.849307699999999</v>
      </c>
      <c r="I2434">
        <v>284.42959999999999</v>
      </c>
      <c r="J2434">
        <v>-350.32170000000002</v>
      </c>
      <c r="K2434">
        <v>1.110846</v>
      </c>
      <c r="L2434">
        <v>284.43790000000001</v>
      </c>
      <c r="M2434">
        <v>-0.99986200000000003</v>
      </c>
      <c r="N2434">
        <v>-1.4905180000000001E-2</v>
      </c>
      <c r="O2434">
        <v>-7.3466269999999997E-3</v>
      </c>
      <c r="P2434">
        <v>-0.93258319999999995</v>
      </c>
      <c r="Q2434">
        <v>0.35893449999999999</v>
      </c>
      <c r="R2434">
        <v>-3.8142189999999999E-2</v>
      </c>
      <c r="S2434">
        <v>-3.7155149999999999</v>
      </c>
      <c r="T2434">
        <v>-1.2985819999999999</v>
      </c>
      <c r="U2434">
        <v>-5.3283690000000002E-2</v>
      </c>
      <c r="V2434">
        <v>-3.1321630000000003E-2</v>
      </c>
      <c r="W2434">
        <v>0.37279590000000001</v>
      </c>
      <c r="X2434">
        <v>0.9273846</v>
      </c>
      <c r="Y2434">
        <v>-6.9601589999999996E-3</v>
      </c>
      <c r="Z2434">
        <v>1.1524079999999999E-3</v>
      </c>
      <c r="AA2434">
        <v>0.99997510000000001</v>
      </c>
      <c r="AB2434">
        <v>38</v>
      </c>
      <c r="AC2434">
        <v>-0.48499999999995602</v>
      </c>
      <c r="AD2434">
        <v>-0.2615383</v>
      </c>
      <c r="AE2434">
        <v>-8.3000000000197308E-3</v>
      </c>
      <c r="AF2434">
        <v>-3.6695046503960002E-3</v>
      </c>
      <c r="AG2434">
        <v>-0.2615383</v>
      </c>
      <c r="AH2434">
        <v>0.37579928820196801</v>
      </c>
      <c r="AI2434">
        <v>124.834786917221</v>
      </c>
      <c r="AJ2434">
        <v>90.559448764997697</v>
      </c>
      <c r="AK2434">
        <v>0.45786553991797102</v>
      </c>
      <c r="AL2434">
        <v>68.111848922520096</v>
      </c>
      <c r="AM2434">
        <v>91.934381174052106</v>
      </c>
      <c r="AN2434">
        <v>1.0000000119399099</v>
      </c>
    </row>
    <row r="2435" spans="1:40" x14ac:dyDescent="0.25">
      <c r="A2435" t="str">
        <f>"20190304164901798"</f>
        <v>20190304164901798</v>
      </c>
      <c r="B2435" t="str">
        <f>"1551689341788358"</f>
        <v>1551689341788358</v>
      </c>
      <c r="C2435" t="s">
        <v>40</v>
      </c>
      <c r="D2435">
        <v>4.1124839999999896</v>
      </c>
      <c r="E2435">
        <v>0.53563769999999999</v>
      </c>
      <c r="F2435" t="s">
        <v>41</v>
      </c>
      <c r="G2435">
        <v>-351.13350000000003</v>
      </c>
      <c r="H2435">
        <v>0.82762029999999998</v>
      </c>
      <c r="I2435">
        <v>284.42680000000001</v>
      </c>
      <c r="J2435">
        <v>-350.54969999999997</v>
      </c>
      <c r="K2435">
        <v>1.1108389999999999</v>
      </c>
      <c r="L2435">
        <v>284.43619999999999</v>
      </c>
      <c r="M2435">
        <v>-0.99986189999999997</v>
      </c>
      <c r="N2435">
        <v>-1.4902749999999999E-2</v>
      </c>
      <c r="O2435">
        <v>-7.365674E-3</v>
      </c>
      <c r="P2435">
        <v>-0.93260160000000003</v>
      </c>
      <c r="Q2435">
        <v>0.35883710000000002</v>
      </c>
      <c r="R2435">
        <v>-3.8606069999999999E-2</v>
      </c>
      <c r="S2435">
        <v>-3.7134399999999999</v>
      </c>
      <c r="T2435">
        <v>-1.2955369999999999</v>
      </c>
      <c r="U2435">
        <v>-5.1239010000000001E-2</v>
      </c>
      <c r="V2435">
        <v>-3.176122E-2</v>
      </c>
      <c r="W2435">
        <v>0.37269720000000001</v>
      </c>
      <c r="X2435">
        <v>0.92740929999999999</v>
      </c>
      <c r="Y2435">
        <v>-6.4322939999999999E-3</v>
      </c>
      <c r="Z2435">
        <v>1.2498819999999999E-3</v>
      </c>
      <c r="AA2435">
        <v>0.99997849999999999</v>
      </c>
      <c r="AB2435">
        <v>38</v>
      </c>
      <c r="AC2435">
        <v>-0.58380000000005305</v>
      </c>
      <c r="AD2435">
        <v>-0.28321869999999899</v>
      </c>
      <c r="AE2435">
        <v>-9.3999999999709802E-3</v>
      </c>
      <c r="AF2435">
        <v>-4.1279279235173104E-3</v>
      </c>
      <c r="AG2435">
        <v>-0.28321869999999899</v>
      </c>
      <c r="AH2435">
        <v>0.47264488661380799</v>
      </c>
      <c r="AI2435">
        <v>120.929959442577</v>
      </c>
      <c r="AJ2435">
        <v>90.500390127173702</v>
      </c>
      <c r="AK2435">
        <v>0.55102001838482295</v>
      </c>
      <c r="AL2435">
        <v>68.117942795695299</v>
      </c>
      <c r="AM2435">
        <v>91.961456391711593</v>
      </c>
      <c r="AN2435">
        <v>0.99999999385510896</v>
      </c>
    </row>
    <row r="2436" spans="1:40" x14ac:dyDescent="0.25">
      <c r="A2436" t="str">
        <f>"20190304164901812"</f>
        <v>20190304164901812</v>
      </c>
      <c r="B2436" t="str">
        <f>"1551689341808855"</f>
        <v>1551689341808855</v>
      </c>
      <c r="C2436" t="s">
        <v>40</v>
      </c>
      <c r="D2436">
        <v>4.126239</v>
      </c>
      <c r="E2436">
        <v>0.53609039999999997</v>
      </c>
      <c r="F2436" t="s">
        <v>41</v>
      </c>
      <c r="G2436">
        <v>-351.45589999999999</v>
      </c>
      <c r="H2436">
        <v>0.79509410000000003</v>
      </c>
      <c r="I2436">
        <v>284.42419999999998</v>
      </c>
      <c r="J2436">
        <v>-350.78949999999998</v>
      </c>
      <c r="K2436">
        <v>1.1108340000000001</v>
      </c>
      <c r="L2436">
        <v>284.43439999999998</v>
      </c>
      <c r="M2436">
        <v>-0.99986180000000002</v>
      </c>
      <c r="N2436">
        <v>-1.4900160000000001E-2</v>
      </c>
      <c r="O2436">
        <v>-7.3811369999999899E-3</v>
      </c>
      <c r="P2436">
        <v>-0.93264849999999999</v>
      </c>
      <c r="Q2436">
        <v>0.35865580000000002</v>
      </c>
      <c r="R2436">
        <v>-3.9154960000000003E-2</v>
      </c>
      <c r="S2436">
        <v>-3.712402</v>
      </c>
      <c r="T2436">
        <v>-1.293504</v>
      </c>
      <c r="U2436">
        <v>-5.0689699999999997E-2</v>
      </c>
      <c r="V2436">
        <v>-3.2288249999999998E-2</v>
      </c>
      <c r="W2436">
        <v>0.37251499999999999</v>
      </c>
      <c r="X2436">
        <v>0.92746430000000002</v>
      </c>
      <c r="Y2436">
        <v>-6.2827400000000002E-3</v>
      </c>
      <c r="Z2436">
        <v>1.279657E-3</v>
      </c>
      <c r="AA2436">
        <v>0.99997939999999996</v>
      </c>
      <c r="AB2436">
        <v>38</v>
      </c>
      <c r="AC2436">
        <v>-0.66640000000000998</v>
      </c>
      <c r="AD2436">
        <v>-0.31573990000000002</v>
      </c>
      <c r="AE2436">
        <v>-1.0199999999997499E-2</v>
      </c>
      <c r="AF2436">
        <v>-4.3125147877156903E-3</v>
      </c>
      <c r="AG2436">
        <v>-0.31573990000000002</v>
      </c>
      <c r="AH2436">
        <v>0.54429845922225095</v>
      </c>
      <c r="AI2436">
        <v>120.116638325639</v>
      </c>
      <c r="AJ2436">
        <v>90.453948972468794</v>
      </c>
      <c r="AK2436">
        <v>0.62926234191116204</v>
      </c>
      <c r="AL2436">
        <v>68.129192116257698</v>
      </c>
      <c r="AM2436">
        <v>91.993859620856895</v>
      </c>
      <c r="AN2436">
        <v>0.99999999204377599</v>
      </c>
    </row>
    <row r="2437" spans="1:40" x14ac:dyDescent="0.25">
      <c r="A2437" t="str">
        <f>"20190304164901830"</f>
        <v>20190304164901830</v>
      </c>
      <c r="B2437" t="str">
        <f>"1551689341818617"</f>
        <v>1551689341818617</v>
      </c>
      <c r="C2437" t="s">
        <v>40</v>
      </c>
      <c r="D2437">
        <v>4.1511550000000002</v>
      </c>
      <c r="E2437">
        <v>0.53623390000000004</v>
      </c>
      <c r="F2437" t="s">
        <v>41</v>
      </c>
      <c r="G2437">
        <v>-351.4871</v>
      </c>
      <c r="H2437">
        <v>0.86901799999999996</v>
      </c>
      <c r="I2437">
        <v>284.42599999999999</v>
      </c>
      <c r="J2437">
        <v>-351.08620000000002</v>
      </c>
      <c r="K2437">
        <v>1.1108209999999901</v>
      </c>
      <c r="L2437">
        <v>284.43220000000002</v>
      </c>
      <c r="M2437">
        <v>-0.99986180000000002</v>
      </c>
      <c r="N2437">
        <v>-1.4896960000000001E-2</v>
      </c>
      <c r="O2437">
        <v>-7.3950329999999996E-3</v>
      </c>
      <c r="P2437">
        <v>-0.93274190000000001</v>
      </c>
      <c r="Q2437">
        <v>0.35830289999999998</v>
      </c>
      <c r="R2437">
        <v>-4.014728E-2</v>
      </c>
      <c r="S2437">
        <v>-3.7090450000000001</v>
      </c>
      <c r="T2437">
        <v>-1.2856430000000001</v>
      </c>
      <c r="U2437">
        <v>-4.6936039999999998E-2</v>
      </c>
      <c r="V2437">
        <v>-3.3260060000000001E-2</v>
      </c>
      <c r="W2437">
        <v>0.37216139999999998</v>
      </c>
      <c r="X2437">
        <v>0.92757199999999995</v>
      </c>
      <c r="Y2437">
        <v>-5.3279969999999897E-3</v>
      </c>
      <c r="Z2437">
        <v>1.4452379999999999E-3</v>
      </c>
      <c r="AA2437">
        <v>0.99998469999999995</v>
      </c>
      <c r="AB2437">
        <v>38</v>
      </c>
      <c r="AC2437">
        <v>-0.400899999999978</v>
      </c>
      <c r="AD2437">
        <v>-0.24180299999999899</v>
      </c>
      <c r="AE2437">
        <v>-6.2000000000352797E-3</v>
      </c>
      <c r="AF2437">
        <v>-2.3720942167912199E-3</v>
      </c>
      <c r="AG2437">
        <v>-0.24180299999999899</v>
      </c>
      <c r="AH2437">
        <v>0.29400445921491603</v>
      </c>
      <c r="AI2437">
        <v>129.43456057774401</v>
      </c>
      <c r="AJ2437">
        <v>90.462265227570498</v>
      </c>
      <c r="AK2437">
        <v>0.38067432232582799</v>
      </c>
      <c r="AL2437">
        <v>68.151023456426003</v>
      </c>
      <c r="AM2437">
        <v>92.053581792081999</v>
      </c>
      <c r="AN2437">
        <v>1.0000000772125699</v>
      </c>
    </row>
    <row r="2438" spans="1:40" x14ac:dyDescent="0.25">
      <c r="A2438" t="str">
        <f>"20190304164901851"</f>
        <v>20190304164901851</v>
      </c>
      <c r="B2438" t="str">
        <f>"1551689341848870"</f>
        <v>1551689341848870</v>
      </c>
      <c r="C2438" t="s">
        <v>40</v>
      </c>
      <c r="D2438">
        <v>4.1776390000000001</v>
      </c>
      <c r="E2438">
        <v>0.53654939999999995</v>
      </c>
      <c r="F2438" t="s">
        <v>41</v>
      </c>
      <c r="G2438">
        <v>-351.81740000000002</v>
      </c>
      <c r="H2438">
        <v>0.85750210000000004</v>
      </c>
      <c r="I2438">
        <v>284.42309999999998</v>
      </c>
      <c r="J2438">
        <v>-351.44170000000003</v>
      </c>
      <c r="K2438">
        <v>1.1108180000000001</v>
      </c>
      <c r="L2438">
        <v>284.42959999999999</v>
      </c>
      <c r="M2438">
        <v>-0.99986180000000002</v>
      </c>
      <c r="N2438">
        <v>-1.489297E-2</v>
      </c>
      <c r="O2438">
        <v>-7.404529E-3</v>
      </c>
      <c r="P2438">
        <v>-0.93268859999999998</v>
      </c>
      <c r="Q2438">
        <v>0.35840149999999998</v>
      </c>
      <c r="R2438">
        <v>-4.0502749999999997E-2</v>
      </c>
      <c r="S2438">
        <v>-3.707611</v>
      </c>
      <c r="T2438">
        <v>-1.284332</v>
      </c>
      <c r="U2438">
        <v>-4.7424319999999999E-2</v>
      </c>
      <c r="V2438">
        <v>-3.360059E-2</v>
      </c>
      <c r="W2438">
        <v>0.37225560000000002</v>
      </c>
      <c r="X2438">
        <v>0.92752190000000001</v>
      </c>
      <c r="Y2438">
        <v>-5.4481479999999999E-3</v>
      </c>
      <c r="Z2438">
        <v>1.426236E-3</v>
      </c>
      <c r="AA2438">
        <v>0.99998410000000004</v>
      </c>
      <c r="AB2438">
        <v>38</v>
      </c>
      <c r="AC2438">
        <v>-0.37569999999999398</v>
      </c>
      <c r="AD2438">
        <v>-0.25331589999999998</v>
      </c>
      <c r="AE2438">
        <v>-6.5000000000168196E-3</v>
      </c>
      <c r="AF2438">
        <v>-2.55599114634056E-3</v>
      </c>
      <c r="AG2438">
        <v>-0.25331589999999998</v>
      </c>
      <c r="AH2438">
        <v>0.258331801890335</v>
      </c>
      <c r="AI2438">
        <v>134.43692097833701</v>
      </c>
      <c r="AJ2438">
        <v>90.566878431204501</v>
      </c>
      <c r="AK2438">
        <v>0.36181597276993899</v>
      </c>
      <c r="AL2438">
        <v>68.145207823681503</v>
      </c>
      <c r="AM2438">
        <v>92.074700878036793</v>
      </c>
      <c r="AN2438">
        <v>1.00000005317965</v>
      </c>
    </row>
    <row r="2439" spans="1:40" x14ac:dyDescent="0.25">
      <c r="A2439" t="str">
        <f>"20190304164901864"</f>
        <v>20190304164901864</v>
      </c>
      <c r="B2439" t="str">
        <f>"1551689341858631"</f>
        <v>1551689341858631</v>
      </c>
      <c r="C2439" t="s">
        <v>40</v>
      </c>
      <c r="D2439">
        <v>4.1729289999999999</v>
      </c>
      <c r="E2439">
        <v>0.53663159999999999</v>
      </c>
      <c r="F2439" t="s">
        <v>41</v>
      </c>
      <c r="G2439">
        <v>-352.15550000000002</v>
      </c>
      <c r="H2439">
        <v>0.86452870000000004</v>
      </c>
      <c r="I2439">
        <v>284.4212</v>
      </c>
      <c r="J2439">
        <v>-351.6515</v>
      </c>
      <c r="K2439">
        <v>1.1108119999999999</v>
      </c>
      <c r="L2439">
        <v>284.428</v>
      </c>
      <c r="M2439">
        <v>-0.99986180000000002</v>
      </c>
      <c r="N2439">
        <v>-1.4890530000000001E-2</v>
      </c>
      <c r="O2439">
        <v>-7.4052759999999997E-3</v>
      </c>
      <c r="P2439">
        <v>-0.9327434</v>
      </c>
      <c r="Q2439">
        <v>0.35823389999999999</v>
      </c>
      <c r="R2439">
        <v>-4.0721109999999998E-2</v>
      </c>
      <c r="S2439">
        <v>-3.705902</v>
      </c>
      <c r="T2439">
        <v>-1.278737</v>
      </c>
      <c r="U2439">
        <v>-4.5654300000000002E-2</v>
      </c>
      <c r="V2439">
        <v>-3.3814459999999998E-2</v>
      </c>
      <c r="W2439">
        <v>0.372087</v>
      </c>
      <c r="X2439">
        <v>0.92758169999999995</v>
      </c>
      <c r="Y2439">
        <v>-5.0021220000000003E-3</v>
      </c>
      <c r="Z2439">
        <v>1.4988929999999901E-3</v>
      </c>
      <c r="AA2439">
        <v>0.99998640000000005</v>
      </c>
      <c r="AB2439">
        <v>38</v>
      </c>
      <c r="AC2439">
        <v>-0.50400000000001899</v>
      </c>
      <c r="AD2439">
        <v>-0.24628330000000001</v>
      </c>
      <c r="AE2439">
        <v>-6.7999999999983603E-3</v>
      </c>
      <c r="AF2439">
        <v>-2.4760116113375298E-3</v>
      </c>
      <c r="AG2439">
        <v>-0.24628330000000001</v>
      </c>
      <c r="AH2439">
        <v>0.40689370369040401</v>
      </c>
      <c r="AI2439">
        <v>121.185074859498</v>
      </c>
      <c r="AJ2439">
        <v>90.348649445940296</v>
      </c>
      <c r="AK2439">
        <v>0.47563019310729598</v>
      </c>
      <c r="AL2439">
        <v>68.155613898383905</v>
      </c>
      <c r="AM2439">
        <v>92.087760352295305</v>
      </c>
      <c r="AN2439">
        <v>0.99999998172449001</v>
      </c>
    </row>
    <row r="2440" spans="1:40" x14ac:dyDescent="0.25">
      <c r="A2440" t="str">
        <f>"20190304164901877"</f>
        <v>20190304164901877</v>
      </c>
      <c r="B2440" t="str">
        <f>"1551689341868391"</f>
        <v>1551689341868391</v>
      </c>
      <c r="C2440" t="s">
        <v>40</v>
      </c>
      <c r="D2440">
        <v>4.2102969999999997</v>
      </c>
      <c r="E2440">
        <v>0.53671919999999995</v>
      </c>
      <c r="F2440" t="s">
        <v>41</v>
      </c>
      <c r="G2440">
        <v>-352.47390000000001</v>
      </c>
      <c r="H2440">
        <v>0.82709549999999998</v>
      </c>
      <c r="I2440">
        <v>284.41809999999998</v>
      </c>
      <c r="J2440">
        <v>-351.87060000000002</v>
      </c>
      <c r="K2440">
        <v>1.1108070000000001</v>
      </c>
      <c r="L2440">
        <v>284.4264</v>
      </c>
      <c r="M2440">
        <v>-0.99986169999999996</v>
      </c>
      <c r="N2440">
        <v>-1.488797E-2</v>
      </c>
      <c r="O2440">
        <v>-7.4029159999999998E-3</v>
      </c>
      <c r="P2440">
        <v>-0.93275759999999996</v>
      </c>
      <c r="Q2440">
        <v>0.35818139999999998</v>
      </c>
      <c r="R2440">
        <v>-4.0860199999999999E-2</v>
      </c>
      <c r="S2440">
        <v>-3.7051699999999999</v>
      </c>
      <c r="T2440">
        <v>-1.2780279999999999</v>
      </c>
      <c r="U2440">
        <v>-4.5806880000000001E-2</v>
      </c>
      <c r="V2440">
        <v>-3.3951479999999999E-2</v>
      </c>
      <c r="W2440">
        <v>0.372033</v>
      </c>
      <c r="X2440">
        <v>0.92759840000000005</v>
      </c>
      <c r="Y2440">
        <v>-5.0452889999999997E-3</v>
      </c>
      <c r="Z2440">
        <v>1.4900390000000001E-3</v>
      </c>
      <c r="AA2440">
        <v>0.99998620000000005</v>
      </c>
      <c r="AB2440">
        <v>37</v>
      </c>
      <c r="AC2440">
        <v>-0.60329999999998996</v>
      </c>
      <c r="AD2440">
        <v>-0.28371149999999901</v>
      </c>
      <c r="AE2440">
        <v>-8.3000000000197308E-3</v>
      </c>
      <c r="AF2440">
        <v>-3.13903195392834E-3</v>
      </c>
      <c r="AG2440">
        <v>-0.28371149999999901</v>
      </c>
      <c r="AH2440">
        <v>0.494096156742524</v>
      </c>
      <c r="AI2440">
        <v>119.864072854312</v>
      </c>
      <c r="AJ2440">
        <v>90.363999720698502</v>
      </c>
      <c r="AK2440">
        <v>0.56976581229623702</v>
      </c>
      <c r="AL2440">
        <v>68.158948138685602</v>
      </c>
      <c r="AM2440">
        <v>92.096174955010497</v>
      </c>
      <c r="AN2440">
        <v>1.0000000238828699</v>
      </c>
    </row>
    <row r="2441" spans="1:40" x14ac:dyDescent="0.25">
      <c r="A2441" t="str">
        <f>"20190304164901888"</f>
        <v>20190304164901888</v>
      </c>
      <c r="B2441" t="str">
        <f>"1551689341878151"</f>
        <v>1551689341878151</v>
      </c>
      <c r="C2441" t="s">
        <v>40</v>
      </c>
      <c r="D2441">
        <v>4.1894010000000002</v>
      </c>
      <c r="E2441">
        <v>0.536792099999999</v>
      </c>
      <c r="F2441" t="s">
        <v>41</v>
      </c>
      <c r="G2441">
        <v>-352.79399999999998</v>
      </c>
      <c r="H2441">
        <v>0.79254469999999899</v>
      </c>
      <c r="I2441">
        <v>284.4151</v>
      </c>
      <c r="J2441">
        <v>-352.08109999999999</v>
      </c>
      <c r="K2441">
        <v>1.1107959999999999</v>
      </c>
      <c r="L2441">
        <v>284.42489999999998</v>
      </c>
      <c r="M2441">
        <v>-0.99986209999999998</v>
      </c>
      <c r="N2441">
        <v>-1.488564E-2</v>
      </c>
      <c r="O2441">
        <v>-7.3933760000000001E-3</v>
      </c>
      <c r="P2441">
        <v>-0.93286029999999998</v>
      </c>
      <c r="Q2441">
        <v>0.35791309999999998</v>
      </c>
      <c r="R2441">
        <v>-4.0870539999999997E-2</v>
      </c>
      <c r="S2441">
        <v>-3.7044980000000001</v>
      </c>
      <c r="T2441">
        <v>-1.2768520000000001</v>
      </c>
      <c r="U2441">
        <v>-4.6661380000000002E-2</v>
      </c>
      <c r="V2441">
        <v>-3.3964710000000002E-2</v>
      </c>
      <c r="W2441">
        <v>0.37176429999999999</v>
      </c>
      <c r="X2441">
        <v>0.92770560000000002</v>
      </c>
      <c r="Y2441">
        <v>-5.273275E-3</v>
      </c>
      <c r="Z2441">
        <v>1.4459220000000001E-3</v>
      </c>
      <c r="AA2441">
        <v>0.99998500000000001</v>
      </c>
      <c r="AB2441">
        <v>37</v>
      </c>
      <c r="AC2441">
        <v>-0.71290000000004705</v>
      </c>
      <c r="AD2441">
        <v>-0.31825130000000001</v>
      </c>
      <c r="AE2441">
        <v>-9.7999999999842605E-3</v>
      </c>
      <c r="AF2441">
        <v>-3.7760323107278401E-3</v>
      </c>
      <c r="AG2441">
        <v>-0.31825130000000001</v>
      </c>
      <c r="AH2441">
        <v>0.59449841455603603</v>
      </c>
      <c r="AI2441">
        <v>118.16088331439801</v>
      </c>
      <c r="AJ2441">
        <v>90.363916538814095</v>
      </c>
      <c r="AK2441">
        <v>0.67433412584663199</v>
      </c>
      <c r="AL2441">
        <v>68.175532281019699</v>
      </c>
      <c r="AM2441">
        <v>92.096748951038705</v>
      </c>
      <c r="AN2441">
        <v>0.99999998827561698</v>
      </c>
    </row>
    <row r="2442" spans="1:40" x14ac:dyDescent="0.25">
      <c r="A2442" t="str">
        <f>"20190304164901902"</f>
        <v>20190304164901902</v>
      </c>
      <c r="B2442" t="str">
        <f>"1551689341898647"</f>
        <v>1551689341898647</v>
      </c>
      <c r="C2442" t="s">
        <v>40</v>
      </c>
      <c r="D2442">
        <v>4.1679380000000004</v>
      </c>
      <c r="E2442">
        <v>0.53691009999999995</v>
      </c>
      <c r="F2442" t="s">
        <v>41</v>
      </c>
      <c r="G2442">
        <v>-352.82060000000001</v>
      </c>
      <c r="H2442">
        <v>0.85593839999999999</v>
      </c>
      <c r="I2442">
        <v>284.416</v>
      </c>
      <c r="J2442">
        <v>-352.28699999999998</v>
      </c>
      <c r="K2442">
        <v>1.1107880000000001</v>
      </c>
      <c r="L2442">
        <v>284.42329999999998</v>
      </c>
      <c r="M2442">
        <v>-0.99986220000000003</v>
      </c>
      <c r="N2442">
        <v>-1.488338E-2</v>
      </c>
      <c r="O2442">
        <v>-7.3784539999999996E-3</v>
      </c>
      <c r="P2442">
        <v>-0.93296400000000002</v>
      </c>
      <c r="Q2442">
        <v>0.35762349999999998</v>
      </c>
      <c r="R2442">
        <v>-4.103594E-2</v>
      </c>
      <c r="S2442">
        <v>-3.7036440000000002</v>
      </c>
      <c r="T2442">
        <v>-1.276403</v>
      </c>
      <c r="U2442">
        <v>-4.6325680000000001E-2</v>
      </c>
      <c r="V2442">
        <v>-3.4137510000000003E-2</v>
      </c>
      <c r="W2442">
        <v>0.37147530000000001</v>
      </c>
      <c r="X2442">
        <v>0.92781499999999995</v>
      </c>
      <c r="Y2442">
        <v>-5.2038689999999999E-3</v>
      </c>
      <c r="Z2442">
        <v>1.4531360000000001E-3</v>
      </c>
      <c r="AA2442">
        <v>0.99998540000000002</v>
      </c>
      <c r="AB2442">
        <v>37</v>
      </c>
      <c r="AC2442">
        <v>-0.53360000000003505</v>
      </c>
      <c r="AD2442">
        <v>-0.25484959999999901</v>
      </c>
      <c r="AE2442">
        <v>-7.2999999999865299E-3</v>
      </c>
      <c r="AF2442">
        <v>-2.7378257892057001E-3</v>
      </c>
      <c r="AG2442">
        <v>-0.25484959999999901</v>
      </c>
      <c r="AH2442">
        <v>0.43453740004286801</v>
      </c>
      <c r="AI2442">
        <v>120.39048069288501</v>
      </c>
      <c r="AJ2442">
        <v>90.360990301635695</v>
      </c>
      <c r="AK2442">
        <v>0.50376439567145603</v>
      </c>
      <c r="AL2442">
        <v>68.193367679294695</v>
      </c>
      <c r="AM2442">
        <v>92.107158583966793</v>
      </c>
      <c r="AN2442">
        <v>0.99999997116204398</v>
      </c>
    </row>
    <row r="2443" spans="1:40" x14ac:dyDescent="0.25">
      <c r="A2443" t="str">
        <f>"20190304164901917"</f>
        <v>20190304164901917</v>
      </c>
      <c r="B2443" t="str">
        <f>"1551689341908406"</f>
        <v>1551689341908406</v>
      </c>
      <c r="C2443" t="s">
        <v>40</v>
      </c>
      <c r="D2443">
        <v>4.2020460000000002</v>
      </c>
      <c r="E2443">
        <v>0.53694549999999996</v>
      </c>
      <c r="F2443" t="s">
        <v>41</v>
      </c>
      <c r="G2443">
        <v>-353.13810000000001</v>
      </c>
      <c r="H2443">
        <v>0.81751079999999998</v>
      </c>
      <c r="I2443">
        <v>284.41300000000001</v>
      </c>
      <c r="J2443">
        <v>-352.5421</v>
      </c>
      <c r="K2443">
        <v>1.1107769999999999</v>
      </c>
      <c r="L2443">
        <v>284.42140000000001</v>
      </c>
      <c r="M2443">
        <v>-0.99986229999999998</v>
      </c>
      <c r="N2443">
        <v>-1.4880579999999999E-2</v>
      </c>
      <c r="O2443">
        <v>-7.3523779999999997E-3</v>
      </c>
      <c r="P2443">
        <v>-0.93312949999999995</v>
      </c>
      <c r="Q2443">
        <v>0.3572071</v>
      </c>
      <c r="R2443">
        <v>-4.0898289999999997E-2</v>
      </c>
      <c r="S2443">
        <v>-3.7025760000000001</v>
      </c>
      <c r="T2443">
        <v>-1.275836</v>
      </c>
      <c r="U2443">
        <v>-4.5898439999999999E-2</v>
      </c>
      <c r="V2443">
        <v>-3.4013090000000003E-2</v>
      </c>
      <c r="W2443">
        <v>0.37105900000000003</v>
      </c>
      <c r="X2443">
        <v>0.92798610000000004</v>
      </c>
      <c r="Y2443">
        <v>-5.1217399999999996E-3</v>
      </c>
      <c r="Z2443">
        <v>1.458956E-3</v>
      </c>
      <c r="AA2443">
        <v>0.99998580000000004</v>
      </c>
      <c r="AB2443">
        <v>37</v>
      </c>
      <c r="AC2443">
        <v>-0.59600000000000297</v>
      </c>
      <c r="AD2443">
        <v>-0.29326619999999998</v>
      </c>
      <c r="AE2443">
        <v>-8.3999999999946305E-3</v>
      </c>
      <c r="AF2443">
        <v>-3.2343289098344802E-3</v>
      </c>
      <c r="AG2443">
        <v>-0.29326619999999998</v>
      </c>
      <c r="AH2443">
        <v>0.47987996696767199</v>
      </c>
      <c r="AI2443">
        <v>121.42952731987801</v>
      </c>
      <c r="AJ2443">
        <v>90.386160296149697</v>
      </c>
      <c r="AK2443">
        <v>0.56240582113170801</v>
      </c>
      <c r="AL2443">
        <v>68.219055167746703</v>
      </c>
      <c r="AM2443">
        <v>92.099098816866004</v>
      </c>
      <c r="AN2443">
        <v>0.99999993678277699</v>
      </c>
    </row>
    <row r="2444" spans="1:40" x14ac:dyDescent="0.25">
      <c r="A2444" t="str">
        <f>"20190304164901929"</f>
        <v>20190304164901929</v>
      </c>
      <c r="B2444" t="str">
        <f>"1551689341918167"</f>
        <v>1551689341918167</v>
      </c>
      <c r="C2444" t="s">
        <v>40</v>
      </c>
      <c r="D2444">
        <v>4.210737</v>
      </c>
      <c r="E2444">
        <v>0.53699140000000001</v>
      </c>
      <c r="F2444" t="s">
        <v>41</v>
      </c>
      <c r="G2444">
        <v>-353.46170000000001</v>
      </c>
      <c r="H2444">
        <v>0.79354820000000004</v>
      </c>
      <c r="I2444">
        <v>284.41050000000001</v>
      </c>
      <c r="J2444">
        <v>-352.75130000000001</v>
      </c>
      <c r="K2444">
        <v>1.1107640000000001</v>
      </c>
      <c r="L2444">
        <v>284.41989999999998</v>
      </c>
      <c r="M2444">
        <v>-0.99986260000000005</v>
      </c>
      <c r="N2444">
        <v>-1.4878290000000001E-2</v>
      </c>
      <c r="O2444">
        <v>-7.3203189999999996E-3</v>
      </c>
      <c r="P2444">
        <v>-0.93318999999999996</v>
      </c>
      <c r="Q2444">
        <v>0.35707280000000002</v>
      </c>
      <c r="R2444">
        <v>-4.0692029999999997E-2</v>
      </c>
      <c r="S2444">
        <v>-3.7017820000000001</v>
      </c>
      <c r="T2444">
        <v>-1.276994</v>
      </c>
      <c r="U2444">
        <v>-4.5806880000000001E-2</v>
      </c>
      <c r="V2444">
        <v>-3.3825649999999999E-2</v>
      </c>
      <c r="W2444">
        <v>0.37092439999999999</v>
      </c>
      <c r="X2444">
        <v>0.92804679999999995</v>
      </c>
      <c r="Y2444">
        <v>-5.1297820000000003E-3</v>
      </c>
      <c r="Z2444">
        <v>1.4489920000000001E-3</v>
      </c>
      <c r="AA2444">
        <v>0.99998580000000004</v>
      </c>
      <c r="AB2444">
        <v>37</v>
      </c>
      <c r="AC2444">
        <v>-0.71039999999999204</v>
      </c>
      <c r="AD2444">
        <v>-0.31721579999999899</v>
      </c>
      <c r="AE2444">
        <v>-9.3999999999709802E-3</v>
      </c>
      <c r="AF2444">
        <v>-3.50089618084939E-3</v>
      </c>
      <c r="AG2444">
        <v>-0.31721579999999899</v>
      </c>
      <c r="AH2444">
        <v>0.592359751803337</v>
      </c>
      <c r="AI2444">
        <v>118.169170675991</v>
      </c>
      <c r="AJ2444">
        <v>90.338618955252002</v>
      </c>
      <c r="AK2444">
        <v>0.67195847758639005</v>
      </c>
      <c r="AL2444">
        <v>68.227360685752402</v>
      </c>
      <c r="AM2444">
        <v>92.087404907662105</v>
      </c>
      <c r="AN2444">
        <v>0.99999997405176</v>
      </c>
    </row>
    <row r="2445" spans="1:40" x14ac:dyDescent="0.25">
      <c r="A2445" t="str">
        <f>"20190304164901942"</f>
        <v>20190304164901942</v>
      </c>
      <c r="B2445" t="str">
        <f>"1551689341938663"</f>
        <v>1551689341938663</v>
      </c>
      <c r="C2445" t="s">
        <v>40</v>
      </c>
      <c r="D2445">
        <v>4.234375</v>
      </c>
      <c r="E2445">
        <v>0.53707950000000004</v>
      </c>
      <c r="F2445" t="s">
        <v>41</v>
      </c>
      <c r="G2445">
        <v>-353.48809999999997</v>
      </c>
      <c r="H2445">
        <v>0.85657609999999995</v>
      </c>
      <c r="I2445">
        <v>284.41140000000001</v>
      </c>
      <c r="J2445">
        <v>-352.95049999999998</v>
      </c>
      <c r="K2445">
        <v>1.110751</v>
      </c>
      <c r="L2445">
        <v>284.41849999999999</v>
      </c>
      <c r="M2445">
        <v>-0.99986299999999995</v>
      </c>
      <c r="N2445">
        <v>-1.48761E-2</v>
      </c>
      <c r="O2445">
        <v>-7.28205E-3</v>
      </c>
      <c r="P2445">
        <v>-0.9332935</v>
      </c>
      <c r="Q2445">
        <v>0.35682509999999901</v>
      </c>
      <c r="R2445">
        <v>-4.0492500000000001E-2</v>
      </c>
      <c r="S2445">
        <v>-3.7013850000000001</v>
      </c>
      <c r="T2445">
        <v>-1.276905</v>
      </c>
      <c r="U2445">
        <v>-4.4952390000000002E-2</v>
      </c>
      <c r="V2445">
        <v>-3.3649999999999999E-2</v>
      </c>
      <c r="W2445">
        <v>0.37067739999999999</v>
      </c>
      <c r="X2445">
        <v>0.92815190000000003</v>
      </c>
      <c r="Y2445">
        <v>-4.9475680000000003E-3</v>
      </c>
      <c r="Z2445">
        <v>1.468736E-3</v>
      </c>
      <c r="AA2445">
        <v>0.99998670000000001</v>
      </c>
      <c r="AB2445">
        <v>37</v>
      </c>
      <c r="AC2445">
        <v>-0.53759999999999697</v>
      </c>
      <c r="AD2445">
        <v>-0.25417489999999998</v>
      </c>
      <c r="AE2445">
        <v>-7.0999999999799002E-3</v>
      </c>
      <c r="AF2445">
        <v>-2.60282609008336E-3</v>
      </c>
      <c r="AG2445">
        <v>-0.25417489999999998</v>
      </c>
      <c r="AH2445">
        <v>0.43942698295923599</v>
      </c>
      <c r="AI2445">
        <v>120.04566228623</v>
      </c>
      <c r="AJ2445">
        <v>90.339371981057795</v>
      </c>
      <c r="AK2445">
        <v>0.50764921732070201</v>
      </c>
      <c r="AL2445">
        <v>68.242599722090503</v>
      </c>
      <c r="AM2445">
        <v>92.076339998999899</v>
      </c>
      <c r="AN2445">
        <v>1.0000000034221801</v>
      </c>
    </row>
    <row r="2446" spans="1:40" x14ac:dyDescent="0.25">
      <c r="A2446" t="str">
        <f>"20190304164901954"</f>
        <v>20190304164901954</v>
      </c>
      <c r="B2446" t="str">
        <f>"1551689341948423"</f>
        <v>1551689341948423</v>
      </c>
      <c r="C2446" t="s">
        <v>40</v>
      </c>
      <c r="D2446">
        <v>4.2531319999999999</v>
      </c>
      <c r="E2446">
        <v>0.53713159999999904</v>
      </c>
      <c r="F2446" t="s">
        <v>41</v>
      </c>
      <c r="G2446">
        <v>-353.80419999999998</v>
      </c>
      <c r="H2446">
        <v>0.81627209999999994</v>
      </c>
      <c r="I2446">
        <v>284.40870000000001</v>
      </c>
      <c r="J2446">
        <v>-353.16680000000002</v>
      </c>
      <c r="K2446">
        <v>1.1107419999999999</v>
      </c>
      <c r="L2446">
        <v>284.41699999999997</v>
      </c>
      <c r="M2446">
        <v>-0.99986319999999995</v>
      </c>
      <c r="N2446">
        <v>-1.48737E-2</v>
      </c>
      <c r="O2446">
        <v>-7.2328919999999899E-3</v>
      </c>
      <c r="P2446">
        <v>-0.933284</v>
      </c>
      <c r="Q2446">
        <v>0.35687020000000003</v>
      </c>
      <c r="R2446">
        <v>-4.0304819999999998E-2</v>
      </c>
      <c r="S2446">
        <v>-3.7005919999999999</v>
      </c>
      <c r="T2446">
        <v>-1.276457</v>
      </c>
      <c r="U2446">
        <v>-4.2938230000000001E-2</v>
      </c>
      <c r="V2446">
        <v>-3.3494919999999997E-2</v>
      </c>
      <c r="W2446">
        <v>0.37072119999999997</v>
      </c>
      <c r="X2446">
        <v>0.92813999999999997</v>
      </c>
      <c r="Y2446">
        <v>-4.4807359999999999E-3</v>
      </c>
      <c r="Z2446">
        <v>1.5346120000000001E-3</v>
      </c>
      <c r="AA2446">
        <v>0.99998880000000001</v>
      </c>
      <c r="AB2446">
        <v>37</v>
      </c>
      <c r="AC2446">
        <v>-0.637399999999956</v>
      </c>
      <c r="AD2446">
        <v>-0.29446990000000001</v>
      </c>
      <c r="AE2446">
        <v>-8.3000000000197308E-3</v>
      </c>
      <c r="AF2446">
        <v>-3.0402528534457102E-3</v>
      </c>
      <c r="AG2446">
        <v>-0.29446990000000001</v>
      </c>
      <c r="AH2446">
        <v>0.52533874622940502</v>
      </c>
      <c r="AI2446">
        <v>119.271676198008</v>
      </c>
      <c r="AJ2446">
        <v>90.331579792560106</v>
      </c>
      <c r="AK2446">
        <v>0.60224792522125403</v>
      </c>
      <c r="AL2446">
        <v>68.239897315690598</v>
      </c>
      <c r="AM2446">
        <v>92.066805734584605</v>
      </c>
      <c r="AN2446">
        <v>0.99999998869762297</v>
      </c>
    </row>
    <row r="2447" spans="1:40" x14ac:dyDescent="0.25">
      <c r="A2447" t="str">
        <f>"20190304164901966"</f>
        <v>20190304164901966</v>
      </c>
      <c r="B2447" t="str">
        <f>"1551689341958183"</f>
        <v>1551689341958183</v>
      </c>
      <c r="C2447" t="s">
        <v>40</v>
      </c>
      <c r="D2447">
        <v>4.280322</v>
      </c>
      <c r="E2447">
        <v>0.5371783</v>
      </c>
      <c r="F2447" t="s">
        <v>41</v>
      </c>
      <c r="G2447">
        <v>-353.83210000000003</v>
      </c>
      <c r="H2447">
        <v>0.88142430000000005</v>
      </c>
      <c r="I2447">
        <v>284.40949999999998</v>
      </c>
      <c r="J2447">
        <v>-353.37020000000001</v>
      </c>
      <c r="K2447">
        <v>1.1107260000000001</v>
      </c>
      <c r="L2447">
        <v>284.41559999999998</v>
      </c>
      <c r="M2447">
        <v>-0.99986370000000002</v>
      </c>
      <c r="N2447">
        <v>-1.487144E-2</v>
      </c>
      <c r="O2447">
        <v>-7.1696340000000002E-3</v>
      </c>
      <c r="P2447">
        <v>-0.93323889999999998</v>
      </c>
      <c r="Q2447">
        <v>0.35702089999999997</v>
      </c>
      <c r="R2447">
        <v>-4.001445E-2</v>
      </c>
      <c r="S2447">
        <v>-3.7002869999999999</v>
      </c>
      <c r="T2447">
        <v>-1.2754030000000001</v>
      </c>
      <c r="U2447">
        <v>-4.2297359999999999E-2</v>
      </c>
      <c r="V2447">
        <v>-3.3248470000000002E-2</v>
      </c>
      <c r="W2447">
        <v>0.3708709</v>
      </c>
      <c r="X2447">
        <v>0.9280891</v>
      </c>
      <c r="Y2447">
        <v>-4.3746610000000002E-3</v>
      </c>
      <c r="Z2447">
        <v>1.531761E-3</v>
      </c>
      <c r="AA2447">
        <v>0.99998929999999997</v>
      </c>
      <c r="AB2447">
        <v>37</v>
      </c>
      <c r="AC2447">
        <v>-0.46190000000001402</v>
      </c>
      <c r="AD2447">
        <v>-0.2293017</v>
      </c>
      <c r="AE2447">
        <v>-6.1000000000035401E-3</v>
      </c>
      <c r="AF2447">
        <v>-2.2366978285953899E-3</v>
      </c>
      <c r="AG2447">
        <v>-0.2293017</v>
      </c>
      <c r="AH2447">
        <v>0.37061248875775998</v>
      </c>
      <c r="AI2447">
        <v>121.745031510899</v>
      </c>
      <c r="AJ2447">
        <v>90.345783786678695</v>
      </c>
      <c r="AK2447">
        <v>0.435818642629348</v>
      </c>
      <c r="AL2447">
        <v>68.230662752277397</v>
      </c>
      <c r="AM2447">
        <v>92.051723990582204</v>
      </c>
      <c r="AN2447">
        <v>1.0000000313814701</v>
      </c>
    </row>
    <row r="2448" spans="1:40" x14ac:dyDescent="0.25">
      <c r="A2448" t="str">
        <f>"20190304164901978"</f>
        <v>20190304164901978</v>
      </c>
      <c r="B2448" t="str">
        <f>"1551689341968918"</f>
        <v>1551689341968918</v>
      </c>
      <c r="C2448" t="s">
        <v>40</v>
      </c>
      <c r="D2448">
        <v>4.2736749999999999</v>
      </c>
      <c r="E2448">
        <v>0.53721909999999995</v>
      </c>
      <c r="F2448" t="s">
        <v>41</v>
      </c>
      <c r="G2448">
        <v>-354.14800000000002</v>
      </c>
      <c r="H2448">
        <v>0.84291680000000002</v>
      </c>
      <c r="I2448">
        <v>284.4074</v>
      </c>
      <c r="J2448">
        <v>-353.56830000000002</v>
      </c>
      <c r="K2448">
        <v>1.1107100000000001</v>
      </c>
      <c r="L2448">
        <v>284.41419999999999</v>
      </c>
      <c r="M2448">
        <v>-0.99986430000000004</v>
      </c>
      <c r="N2448">
        <v>-1.4869230000000001E-2</v>
      </c>
      <c r="O2448">
        <v>-7.1011240000000003E-3</v>
      </c>
      <c r="P2448">
        <v>-0.93324200000000002</v>
      </c>
      <c r="Q2448">
        <v>0.35704190000000002</v>
      </c>
      <c r="R2448">
        <v>-3.9755310000000002E-2</v>
      </c>
      <c r="S2448">
        <v>-3.7003170000000001</v>
      </c>
      <c r="T2448">
        <v>-1.274057</v>
      </c>
      <c r="U2448">
        <v>-4.006958E-2</v>
      </c>
      <c r="V2448">
        <v>-3.3037539999999997E-2</v>
      </c>
      <c r="W2448">
        <v>0.37089070000000002</v>
      </c>
      <c r="X2448">
        <v>0.92808869999999999</v>
      </c>
      <c r="Y2448">
        <v>-3.8677630000000002E-3</v>
      </c>
      <c r="Z2448">
        <v>1.5968689999999999E-3</v>
      </c>
      <c r="AA2448">
        <v>0.99999119999999997</v>
      </c>
      <c r="AB2448">
        <v>37</v>
      </c>
      <c r="AC2448">
        <v>-0.57970000000000199</v>
      </c>
      <c r="AD2448">
        <v>-0.26779320000000001</v>
      </c>
      <c r="AE2448">
        <v>-6.7999999999983603E-3</v>
      </c>
      <c r="AF2448">
        <v>-2.21107555392428E-3</v>
      </c>
      <c r="AG2448">
        <v>-0.26779320000000001</v>
      </c>
      <c r="AH2448">
        <v>0.47778815992071</v>
      </c>
      <c r="AI2448">
        <v>119.269724139636</v>
      </c>
      <c r="AJ2448">
        <v>90.265147619181306</v>
      </c>
      <c r="AK2448">
        <v>0.54772220384220605</v>
      </c>
      <c r="AL2448">
        <v>68.229440746715099</v>
      </c>
      <c r="AM2448">
        <v>92.038719645068497</v>
      </c>
      <c r="AN2448">
        <v>1.0000000127317099</v>
      </c>
    </row>
    <row r="2449" spans="1:40" x14ac:dyDescent="0.25">
      <c r="A2449" t="str">
        <f>"20190304164901990"</f>
        <v>20190304164901990</v>
      </c>
      <c r="B2449" t="str">
        <f>"1551689341978679"</f>
        <v>1551689341978679</v>
      </c>
      <c r="C2449" t="s">
        <v>40</v>
      </c>
      <c r="D2449">
        <v>4.2702679999999997</v>
      </c>
      <c r="E2449">
        <v>0.53724939999999999</v>
      </c>
      <c r="F2449" t="s">
        <v>41</v>
      </c>
      <c r="G2449">
        <v>-354.46370000000002</v>
      </c>
      <c r="H2449">
        <v>0.80260880000000001</v>
      </c>
      <c r="I2449">
        <v>284.40480000000002</v>
      </c>
      <c r="J2449">
        <v>-353.76119999999997</v>
      </c>
      <c r="K2449">
        <v>1.110695</v>
      </c>
      <c r="L2449">
        <v>284.41289999999998</v>
      </c>
      <c r="M2449">
        <v>-0.99986489999999995</v>
      </c>
      <c r="N2449">
        <v>-1.486707E-2</v>
      </c>
      <c r="O2449">
        <v>-7.0200760000000001E-3</v>
      </c>
      <c r="P2449">
        <v>-0.93336169999999996</v>
      </c>
      <c r="Q2449">
        <v>0.35679229999999901</v>
      </c>
      <c r="R2449">
        <v>-3.9187989999999999E-2</v>
      </c>
      <c r="S2449">
        <v>-3.7000120000000001</v>
      </c>
      <c r="T2449">
        <v>-1.273172</v>
      </c>
      <c r="U2449">
        <v>-3.9154050000000003E-2</v>
      </c>
      <c r="V2449">
        <v>-3.2528090000000003E-2</v>
      </c>
      <c r="W2449">
        <v>0.37064190000000002</v>
      </c>
      <c r="X2449">
        <v>0.92820610000000003</v>
      </c>
      <c r="Y2449">
        <v>-3.7074920000000002E-3</v>
      </c>
      <c r="Z2449">
        <v>1.5979830000000001E-3</v>
      </c>
      <c r="AA2449">
        <v>0.99999179999999999</v>
      </c>
      <c r="AB2449">
        <v>37</v>
      </c>
      <c r="AC2449">
        <v>-0.70250000000004298</v>
      </c>
      <c r="AD2449">
        <v>-0.30808619999999998</v>
      </c>
      <c r="AE2449">
        <v>-8.0999999999562498E-3</v>
      </c>
      <c r="AF2449">
        <v>-2.6567430663613101E-3</v>
      </c>
      <c r="AG2449">
        <v>-0.30808619999999998</v>
      </c>
      <c r="AH2449">
        <v>0.58922728278821501</v>
      </c>
      <c r="AI2449">
        <v>117.60324467744699</v>
      </c>
      <c r="AJ2449">
        <v>90.258336872504401</v>
      </c>
      <c r="AK2449">
        <v>0.66491575082572996</v>
      </c>
      <c r="AL2449">
        <v>68.244790311816203</v>
      </c>
      <c r="AM2449">
        <v>92.007054142485003</v>
      </c>
      <c r="AN2449">
        <v>1.0000000293759299</v>
      </c>
    </row>
    <row r="2450" spans="1:40" x14ac:dyDescent="0.25">
      <c r="A2450" t="str">
        <f>"20190304164902006"</f>
        <v>20190304164902006</v>
      </c>
      <c r="B2450" t="str">
        <f>"1551689341998198"</f>
        <v>1551689341998198</v>
      </c>
      <c r="C2450" t="s">
        <v>40</v>
      </c>
      <c r="D2450">
        <v>4.270969</v>
      </c>
      <c r="E2450">
        <v>0.53731799999999996</v>
      </c>
      <c r="F2450" t="s">
        <v>41</v>
      </c>
      <c r="G2450">
        <v>-354.488</v>
      </c>
      <c r="H2450">
        <v>0.8604503</v>
      </c>
      <c r="I2450">
        <v>284.40550000000002</v>
      </c>
      <c r="J2450">
        <v>-354.03469999999999</v>
      </c>
      <c r="K2450">
        <v>1.11067</v>
      </c>
      <c r="L2450">
        <v>284.41109999999998</v>
      </c>
      <c r="M2450">
        <v>-0.99986589999999997</v>
      </c>
      <c r="N2450">
        <v>-1.486403E-2</v>
      </c>
      <c r="O2450">
        <v>-6.8857120000000004E-3</v>
      </c>
      <c r="P2450">
        <v>-0.93335349999999995</v>
      </c>
      <c r="Q2450">
        <v>0.35688109999999901</v>
      </c>
      <c r="R2450">
        <v>-3.8567230000000001E-2</v>
      </c>
      <c r="S2450">
        <v>-3.6994319999999998</v>
      </c>
      <c r="T2450">
        <v>-1.273665</v>
      </c>
      <c r="U2450">
        <v>-3.8177490000000001E-2</v>
      </c>
      <c r="V2450">
        <v>-3.2008160000000001E-2</v>
      </c>
      <c r="W2450">
        <v>0.37073</v>
      </c>
      <c r="X2450">
        <v>0.92818900000000004</v>
      </c>
      <c r="Y2450">
        <v>-3.580349E-3</v>
      </c>
      <c r="Z2450">
        <v>1.578131E-3</v>
      </c>
      <c r="AA2450">
        <v>0.9999924</v>
      </c>
      <c r="AB2450">
        <v>37</v>
      </c>
      <c r="AC2450">
        <v>-0.45330000000006898</v>
      </c>
      <c r="AD2450">
        <v>-0.25021969999999899</v>
      </c>
      <c r="AE2450">
        <v>-5.5999999999585201E-3</v>
      </c>
      <c r="AF2450">
        <v>-1.8995315971075701E-3</v>
      </c>
      <c r="AG2450">
        <v>-0.25021969999999899</v>
      </c>
      <c r="AH2450">
        <v>0.34747006157228799</v>
      </c>
      <c r="AI2450">
        <v>125.757961269294</v>
      </c>
      <c r="AJ2450">
        <v>90.313218522772999</v>
      </c>
      <c r="AK2450">
        <v>0.42819265544545199</v>
      </c>
      <c r="AL2450">
        <v>68.239355543305905</v>
      </c>
      <c r="AM2450">
        <v>91.975035295582302</v>
      </c>
      <c r="AN2450">
        <v>1.0000000374637901</v>
      </c>
    </row>
    <row r="2451" spans="1:40" x14ac:dyDescent="0.25">
      <c r="A2451" t="str">
        <f>"20190304164902022"</f>
        <v>20190304164902022</v>
      </c>
      <c r="B2451" t="str">
        <f>"1551689342018695"</f>
        <v>1551689342018695</v>
      </c>
      <c r="C2451" t="s">
        <v>40</v>
      </c>
      <c r="D2451">
        <v>4.286181</v>
      </c>
      <c r="E2451">
        <v>0.5373329</v>
      </c>
      <c r="F2451" t="s">
        <v>41</v>
      </c>
      <c r="G2451">
        <v>-354.8125</v>
      </c>
      <c r="H2451">
        <v>0.84314109999999998</v>
      </c>
      <c r="I2451">
        <v>284.40370000000001</v>
      </c>
      <c r="J2451">
        <v>-354.2826</v>
      </c>
      <c r="K2451">
        <v>1.110649</v>
      </c>
      <c r="L2451">
        <v>284.40949999999998</v>
      </c>
      <c r="M2451">
        <v>-0.99986699999999995</v>
      </c>
      <c r="N2451">
        <v>-1.4861279999999999E-2</v>
      </c>
      <c r="O2451">
        <v>-6.7454330000000003E-3</v>
      </c>
      <c r="P2451">
        <v>-0.9331545</v>
      </c>
      <c r="Q2451">
        <v>0.35745539999999998</v>
      </c>
      <c r="R2451">
        <v>-3.8063020000000003E-2</v>
      </c>
      <c r="S2451">
        <v>-3.6991580000000002</v>
      </c>
      <c r="T2451">
        <v>-1.2722800000000001</v>
      </c>
      <c r="U2451">
        <v>-3.7109379999999997E-2</v>
      </c>
      <c r="V2451">
        <v>-3.1614450000000002E-2</v>
      </c>
      <c r="W2451">
        <v>0.37130039999999997</v>
      </c>
      <c r="X2451">
        <v>0.92797450000000004</v>
      </c>
      <c r="Y2451">
        <v>-3.4338039999999999E-3</v>
      </c>
      <c r="Z2451">
        <v>1.557269E-3</v>
      </c>
      <c r="AA2451">
        <v>0.99999289999999996</v>
      </c>
      <c r="AB2451">
        <v>37</v>
      </c>
      <c r="AC2451">
        <v>-0.52989999999999704</v>
      </c>
      <c r="AD2451">
        <v>-0.26750790000000002</v>
      </c>
      <c r="AE2451">
        <v>-5.7999999999651603E-3</v>
      </c>
      <c r="AF2451">
        <v>-1.7732177676342499E-3</v>
      </c>
      <c r="AG2451">
        <v>-0.26750790000000002</v>
      </c>
      <c r="AH2451">
        <v>0.42231324611249799</v>
      </c>
      <c r="AI2451">
        <v>122.351363644119</v>
      </c>
      <c r="AJ2451">
        <v>90.240573314060796</v>
      </c>
      <c r="AK2451">
        <v>0.49991209097774097</v>
      </c>
      <c r="AL2451">
        <v>68.204162834096905</v>
      </c>
      <c r="AM2451">
        <v>91.951211220785098</v>
      </c>
      <c r="AN2451">
        <v>1.0000000665696001</v>
      </c>
    </row>
    <row r="2452" spans="1:40" x14ac:dyDescent="0.25">
      <c r="A2452" t="str">
        <f>"20190304164902041"</f>
        <v>20190304164902041</v>
      </c>
      <c r="B2452" t="str">
        <f>"1551689342028455"</f>
        <v>1551689342028455</v>
      </c>
      <c r="C2452" t="s">
        <v>40</v>
      </c>
      <c r="D2452">
        <v>4.290953</v>
      </c>
      <c r="E2452">
        <v>0.53736079999999997</v>
      </c>
      <c r="F2452" t="s">
        <v>41</v>
      </c>
      <c r="G2452">
        <v>-355.13389999999998</v>
      </c>
      <c r="H2452">
        <v>0.81845069999999998</v>
      </c>
      <c r="I2452">
        <v>284.40140000000002</v>
      </c>
      <c r="J2452">
        <v>-354.5924</v>
      </c>
      <c r="K2452">
        <v>1.1106259999999999</v>
      </c>
      <c r="L2452">
        <v>284.4076</v>
      </c>
      <c r="M2452">
        <v>-0.99986830000000004</v>
      </c>
      <c r="N2452">
        <v>-1.485788E-2</v>
      </c>
      <c r="O2452">
        <v>-6.5444980000000002E-3</v>
      </c>
      <c r="P2452">
        <v>-0.93282319999999996</v>
      </c>
      <c r="Q2452">
        <v>0.35837429999999998</v>
      </c>
      <c r="R2452">
        <v>-3.7536550000000002E-2</v>
      </c>
      <c r="S2452">
        <v>-3.6999209999999998</v>
      </c>
      <c r="T2452">
        <v>-1.2699560000000001</v>
      </c>
      <c r="U2452">
        <v>-3.5705569999999999E-2</v>
      </c>
      <c r="V2452">
        <v>-3.1249470000000001E-2</v>
      </c>
      <c r="W2452">
        <v>0.37221320000000002</v>
      </c>
      <c r="X2452">
        <v>0.92762109999999998</v>
      </c>
      <c r="Y2452">
        <v>-3.2529600000000001E-3</v>
      </c>
      <c r="Z2452">
        <v>1.5214779999999999E-3</v>
      </c>
      <c r="AA2452">
        <v>0.99999360000000004</v>
      </c>
      <c r="AB2452">
        <v>37</v>
      </c>
      <c r="AC2452">
        <v>-0.54149999999998499</v>
      </c>
      <c r="AD2452">
        <v>-0.29217530000000003</v>
      </c>
      <c r="AE2452">
        <v>-6.1999999999784398E-3</v>
      </c>
      <c r="AF2452">
        <v>-2.05688417076566E-3</v>
      </c>
      <c r="AG2452">
        <v>-0.29217530000000003</v>
      </c>
      <c r="AH2452">
        <v>0.41943422546449999</v>
      </c>
      <c r="AI2452">
        <v>124.86050866709201</v>
      </c>
      <c r="AJ2452">
        <v>90.280973344736296</v>
      </c>
      <c r="AK2452">
        <v>0.51117091681118498</v>
      </c>
      <c r="AL2452">
        <v>68.147825192635395</v>
      </c>
      <c r="AM2452">
        <v>91.929436375340202</v>
      </c>
      <c r="AN2452">
        <v>1.0000000503973601</v>
      </c>
    </row>
    <row r="2453" spans="1:40" x14ac:dyDescent="0.25">
      <c r="A2453" t="str">
        <f>"20190304164902064"</f>
        <v>20190304164902064</v>
      </c>
      <c r="B2453" t="str">
        <f>"1551689342058711"</f>
        <v>1551689342058711</v>
      </c>
      <c r="C2453" t="s">
        <v>40</v>
      </c>
      <c r="D2453">
        <v>4.324452</v>
      </c>
      <c r="E2453">
        <v>0.53741680000000003</v>
      </c>
      <c r="F2453" t="s">
        <v>41</v>
      </c>
      <c r="G2453">
        <v>-355.46289999999999</v>
      </c>
      <c r="H2453">
        <v>0.81284239999999996</v>
      </c>
      <c r="I2453">
        <v>284.39960000000002</v>
      </c>
      <c r="J2453">
        <v>-354.97949999999997</v>
      </c>
      <c r="K2453">
        <v>1.1105969999999901</v>
      </c>
      <c r="L2453">
        <v>284.40539999999999</v>
      </c>
      <c r="M2453">
        <v>-0.99987009999999998</v>
      </c>
      <c r="N2453">
        <v>-1.48536E-2</v>
      </c>
      <c r="O2453">
        <v>-6.2567040000000001E-3</v>
      </c>
      <c r="P2453">
        <v>-0.93257389999999996</v>
      </c>
      <c r="Q2453">
        <v>0.35908879999999999</v>
      </c>
      <c r="R2453">
        <v>-3.6896560000000002E-2</v>
      </c>
      <c r="S2453">
        <v>-3.7010190000000001</v>
      </c>
      <c r="T2453">
        <v>-1.266041</v>
      </c>
      <c r="U2453">
        <v>-3.4851069999999998E-2</v>
      </c>
      <c r="V2453">
        <v>-3.0847670000000001E-2</v>
      </c>
      <c r="W2453">
        <v>0.37292199999999998</v>
      </c>
      <c r="X2453">
        <v>0.9273498</v>
      </c>
      <c r="Y2453">
        <v>-3.2888629999999999E-3</v>
      </c>
      <c r="Z2453">
        <v>1.418452E-3</v>
      </c>
      <c r="AA2453">
        <v>0.99999360000000004</v>
      </c>
      <c r="AB2453">
        <v>37</v>
      </c>
      <c r="AC2453">
        <v>-0.48340000000001698</v>
      </c>
      <c r="AD2453">
        <v>-0.29775459999999898</v>
      </c>
      <c r="AE2453">
        <v>-5.7999999999651603E-3</v>
      </c>
      <c r="AF2453">
        <v>-2.0118607730596001E-3</v>
      </c>
      <c r="AG2453">
        <v>-0.29775459999999898</v>
      </c>
      <c r="AH2453">
        <v>0.35047413920787901</v>
      </c>
      <c r="AI2453">
        <v>130.34998159962899</v>
      </c>
      <c r="AJ2453">
        <v>90.3288969206274</v>
      </c>
      <c r="AK2453">
        <v>0.45988473736191099</v>
      </c>
      <c r="AL2453">
        <v>68.104062707376201</v>
      </c>
      <c r="AM2453">
        <v>91.905203226201905</v>
      </c>
      <c r="AN2453">
        <v>1.00000002419423</v>
      </c>
    </row>
    <row r="2454" spans="1:40" x14ac:dyDescent="0.25">
      <c r="A2454" t="str">
        <f>"20190304164902077"</f>
        <v>20190304164902077</v>
      </c>
      <c r="B2454" t="str">
        <f>"1551689342068471"</f>
        <v>1551689342068471</v>
      </c>
      <c r="C2454" t="s">
        <v>40</v>
      </c>
      <c r="D2454">
        <v>4.3113060000000001</v>
      </c>
      <c r="E2454">
        <v>0.53741399999999995</v>
      </c>
      <c r="F2454" t="s">
        <v>41</v>
      </c>
      <c r="G2454">
        <v>-355.80110000000002</v>
      </c>
      <c r="H2454">
        <v>0.83038989999999901</v>
      </c>
      <c r="I2454">
        <v>284.39760000000001</v>
      </c>
      <c r="J2454">
        <v>-355.18990000000002</v>
      </c>
      <c r="K2454">
        <v>1.110581</v>
      </c>
      <c r="L2454">
        <v>284.4042</v>
      </c>
      <c r="M2454">
        <v>-0.99987119999999996</v>
      </c>
      <c r="N2454">
        <v>-1.485127E-2</v>
      </c>
      <c r="O2454">
        <v>-6.0889119999999897E-3</v>
      </c>
      <c r="P2454">
        <v>-0.93260739999999998</v>
      </c>
      <c r="Q2454">
        <v>0.35905959999999998</v>
      </c>
      <c r="R2454">
        <v>-3.632643E-2</v>
      </c>
      <c r="S2454">
        <v>-3.70166</v>
      </c>
      <c r="T2454">
        <v>-1.262483</v>
      </c>
      <c r="U2454">
        <v>-3.4576419999999997E-2</v>
      </c>
      <c r="V2454">
        <v>-3.041868E-2</v>
      </c>
      <c r="W2454">
        <v>0.37289230000000001</v>
      </c>
      <c r="X2454">
        <v>0.92737590000000003</v>
      </c>
      <c r="Y2454">
        <v>-3.3667089999999998E-3</v>
      </c>
      <c r="Z2454">
        <v>1.3474019999999999E-3</v>
      </c>
      <c r="AA2454">
        <v>0.99999340000000003</v>
      </c>
      <c r="AB2454">
        <v>37</v>
      </c>
      <c r="AC2454">
        <v>-0.61119999999999597</v>
      </c>
      <c r="AD2454">
        <v>-0.28019110000000003</v>
      </c>
      <c r="AE2454">
        <v>-6.5999999999917201E-3</v>
      </c>
      <c r="AF2454">
        <v>-2.37819114443362E-3</v>
      </c>
      <c r="AG2454">
        <v>-0.28019110000000003</v>
      </c>
      <c r="AH2454">
        <v>0.50509288787705997</v>
      </c>
      <c r="AI2454">
        <v>119.018257043342</v>
      </c>
      <c r="AJ2454">
        <v>90.269770792275096</v>
      </c>
      <c r="AK2454">
        <v>0.57760846054772896</v>
      </c>
      <c r="AL2454">
        <v>68.105896391017097</v>
      </c>
      <c r="AM2454">
        <v>91.878674376971901</v>
      </c>
      <c r="AN2454">
        <v>1.00000001169652</v>
      </c>
    </row>
    <row r="2455" spans="1:40" x14ac:dyDescent="0.25">
      <c r="A2455" t="str">
        <f>"20190304164902089"</f>
        <v>20190304164902089</v>
      </c>
      <c r="B2455" t="str">
        <f>"1551689342078231"</f>
        <v>1551689342078231</v>
      </c>
      <c r="C2455" t="s">
        <v>40</v>
      </c>
      <c r="D2455">
        <v>4.3371579999999996</v>
      </c>
      <c r="E2455">
        <v>0.53741399999999995</v>
      </c>
      <c r="F2455" t="s">
        <v>41</v>
      </c>
      <c r="G2455">
        <v>-356.11680000000001</v>
      </c>
      <c r="H2455">
        <v>0.79431819999999997</v>
      </c>
      <c r="I2455">
        <v>284.39580000000001</v>
      </c>
      <c r="J2455">
        <v>-355.41239999999999</v>
      </c>
      <c r="K2455">
        <v>1.110562</v>
      </c>
      <c r="L2455">
        <v>284.40300000000002</v>
      </c>
      <c r="M2455">
        <v>-0.99987239999999999</v>
      </c>
      <c r="N2455">
        <v>-1.4848780000000001E-2</v>
      </c>
      <c r="O2455">
        <v>-5.9005330000000003E-3</v>
      </c>
      <c r="P2455">
        <v>-0.93265070000000005</v>
      </c>
      <c r="Q2455">
        <v>0.35900290000000001</v>
      </c>
      <c r="R2455">
        <v>-3.5770080000000003E-2</v>
      </c>
      <c r="S2455">
        <v>-3.701721</v>
      </c>
      <c r="T2455">
        <v>-1.262983</v>
      </c>
      <c r="U2455">
        <v>-3.414917E-2</v>
      </c>
      <c r="V2455">
        <v>-3.0024539999999999E-2</v>
      </c>
      <c r="W2455">
        <v>0.37283440000000001</v>
      </c>
      <c r="X2455">
        <v>0.92741200000000001</v>
      </c>
      <c r="Y2455">
        <v>-3.426372E-3</v>
      </c>
      <c r="Z2455">
        <v>1.2778170000000001E-3</v>
      </c>
      <c r="AA2455">
        <v>0.99999329999999997</v>
      </c>
      <c r="AB2455">
        <v>37</v>
      </c>
      <c r="AC2455">
        <v>-0.70440000000002101</v>
      </c>
      <c r="AD2455">
        <v>-0.31624380000000002</v>
      </c>
      <c r="AE2455">
        <v>-7.2000000000116398E-3</v>
      </c>
      <c r="AF2455">
        <v>-2.5326519774056902E-3</v>
      </c>
      <c r="AG2455">
        <v>-0.31624380000000002</v>
      </c>
      <c r="AH2455">
        <v>0.58627309282429196</v>
      </c>
      <c r="AI2455">
        <v>118.342812764033</v>
      </c>
      <c r="AJ2455">
        <v>90.247511558007801</v>
      </c>
      <c r="AK2455">
        <v>0.66613264049605003</v>
      </c>
      <c r="AL2455">
        <v>68.109471148316103</v>
      </c>
      <c r="AM2455">
        <v>91.854277049324807</v>
      </c>
      <c r="AN2455">
        <v>0.99999999028478503</v>
      </c>
    </row>
    <row r="2456" spans="1:40" x14ac:dyDescent="0.25">
      <c r="A2456" t="str">
        <f>"20190304164902107"</f>
        <v>20190304164902107</v>
      </c>
      <c r="B2456" t="str">
        <f>"1551689342098730"</f>
        <v>1551689342098730</v>
      </c>
      <c r="C2456" t="s">
        <v>40</v>
      </c>
      <c r="D2456">
        <v>4.3095919999999897</v>
      </c>
      <c r="E2456">
        <v>0.54029589999999905</v>
      </c>
      <c r="F2456" t="s">
        <v>41</v>
      </c>
      <c r="G2456">
        <v>-356.1447</v>
      </c>
      <c r="H2456">
        <v>0.86065939999999996</v>
      </c>
      <c r="I2456">
        <v>284.39659999999998</v>
      </c>
      <c r="J2456">
        <v>-355.68920000000003</v>
      </c>
      <c r="K2456">
        <v>1.1105419999999999</v>
      </c>
      <c r="L2456">
        <v>284.40159999999997</v>
      </c>
      <c r="M2456">
        <v>-0.99987380000000003</v>
      </c>
      <c r="N2456">
        <v>-1.484569E-2</v>
      </c>
      <c r="O2456">
        <v>-5.6587290000000004E-3</v>
      </c>
      <c r="P2456">
        <v>-0.93284120000000004</v>
      </c>
      <c r="Q2456">
        <v>0.35859489999999999</v>
      </c>
      <c r="R2456">
        <v>-3.488401E-2</v>
      </c>
      <c r="S2456">
        <v>-3.7016909999999998</v>
      </c>
      <c r="T2456">
        <v>-1.263223</v>
      </c>
      <c r="U2456">
        <v>-3.3142089999999999E-2</v>
      </c>
      <c r="V2456">
        <v>-2.9348679999999999E-2</v>
      </c>
      <c r="W2456">
        <v>0.37242730000000002</v>
      </c>
      <c r="X2456">
        <v>0.92759720000000001</v>
      </c>
      <c r="Y2456">
        <v>-3.3861579999999998E-3</v>
      </c>
      <c r="Z2456">
        <v>1.208338E-3</v>
      </c>
      <c r="AA2456">
        <v>0.99999360000000004</v>
      </c>
      <c r="AB2456">
        <v>37</v>
      </c>
      <c r="AC2456">
        <v>-0.45549999999997198</v>
      </c>
      <c r="AD2456">
        <v>-0.24988259999999901</v>
      </c>
      <c r="AE2456">
        <v>-4.9999999999954499E-3</v>
      </c>
      <c r="AF2456">
        <v>-1.8618326155957199E-3</v>
      </c>
      <c r="AG2456">
        <v>-0.24988259999999901</v>
      </c>
      <c r="AH2456">
        <v>0.35015448291256601</v>
      </c>
      <c r="AI2456">
        <v>125.51261116622899</v>
      </c>
      <c r="AJ2456">
        <v>90.304648807703799</v>
      </c>
      <c r="AK2456">
        <v>0.43017780289923702</v>
      </c>
      <c r="AL2456">
        <v>68.134606790854505</v>
      </c>
      <c r="AM2456">
        <v>91.812203319246507</v>
      </c>
      <c r="AN2456">
        <v>1.0000000021254301</v>
      </c>
    </row>
    <row r="2457" spans="1:40" x14ac:dyDescent="0.25">
      <c r="A2457" t="str">
        <f>"20190304164902119"</f>
        <v>20190304164902119</v>
      </c>
      <c r="B2457" t="str">
        <f>"1551689342108487"</f>
        <v>1551689342108487</v>
      </c>
      <c r="C2457" t="s">
        <v>40</v>
      </c>
      <c r="D2457">
        <v>4.3492519999999999</v>
      </c>
      <c r="E2457">
        <v>0.54531499999999999</v>
      </c>
      <c r="F2457" t="s">
        <v>41</v>
      </c>
      <c r="G2457">
        <v>-356.47910000000002</v>
      </c>
      <c r="H2457">
        <v>0.87117699999999998</v>
      </c>
      <c r="I2457">
        <v>284.40320000000003</v>
      </c>
      <c r="J2457">
        <v>-355.89049999999997</v>
      </c>
      <c r="K2457">
        <v>1.1105309999999999</v>
      </c>
      <c r="L2457">
        <v>284.4006</v>
      </c>
      <c r="M2457">
        <v>-0.99987479999999995</v>
      </c>
      <c r="N2457">
        <v>-1.4843429999999999E-2</v>
      </c>
      <c r="O2457">
        <v>-5.4790209999999997E-3</v>
      </c>
      <c r="P2457">
        <v>-0.93290609999999996</v>
      </c>
      <c r="Q2457">
        <v>0.35847760000000001</v>
      </c>
      <c r="R2457">
        <v>-3.4352960000000002E-2</v>
      </c>
      <c r="S2457">
        <v>-3.6402890000000001</v>
      </c>
      <c r="T2457">
        <v>-1.1030979999999999</v>
      </c>
      <c r="U2457">
        <v>6.4697269999999998E-3</v>
      </c>
      <c r="V2457">
        <v>-2.8975520000000001E-2</v>
      </c>
      <c r="W2457">
        <v>0.3723091</v>
      </c>
      <c r="X2457">
        <v>0.92765640000000005</v>
      </c>
      <c r="Y2457">
        <v>6.7172569999999999E-3</v>
      </c>
      <c r="Z2457">
        <v>2.5905870000000001E-3</v>
      </c>
      <c r="AA2457">
        <v>0.99997409999999998</v>
      </c>
      <c r="AB2457">
        <v>37</v>
      </c>
      <c r="AC2457">
        <v>-0.58860000000004198</v>
      </c>
      <c r="AD2457">
        <v>-0.23935399999999901</v>
      </c>
      <c r="AE2457">
        <v>2.6000000000294598E-3</v>
      </c>
      <c r="AF2457">
        <v>4.99868233977269E-3</v>
      </c>
      <c r="AG2457">
        <v>-0.23935399999999901</v>
      </c>
      <c r="AH2457">
        <v>0.50505984910578805</v>
      </c>
      <c r="AI2457">
        <v>115.35575580788201</v>
      </c>
      <c r="AJ2457">
        <v>89.432950271675494</v>
      </c>
      <c r="AK2457">
        <v>0.55892823807703196</v>
      </c>
      <c r="AL2457">
        <v>68.141904371932895</v>
      </c>
      <c r="AM2457">
        <v>91.789062644031006</v>
      </c>
      <c r="AN2457">
        <v>1.0000000215815199</v>
      </c>
    </row>
    <row r="2458" spans="1:40" x14ac:dyDescent="0.25">
      <c r="A2458" t="str">
        <f>"20190304164902131"</f>
        <v>20190304164902131</v>
      </c>
      <c r="B2458" t="str">
        <f>"1551689342128007"</f>
        <v>1551689342128007</v>
      </c>
      <c r="C2458" t="s">
        <v>40</v>
      </c>
      <c r="D2458">
        <v>4.3420769999999997</v>
      </c>
      <c r="E2458">
        <v>0.54433290000000001</v>
      </c>
      <c r="F2458" t="s">
        <v>41</v>
      </c>
      <c r="G2458">
        <v>-356.86970000000002</v>
      </c>
      <c r="H2458">
        <v>1.0038309999999999</v>
      </c>
      <c r="I2458">
        <v>284.4359</v>
      </c>
      <c r="J2458">
        <v>-356.10599999999999</v>
      </c>
      <c r="K2458">
        <v>1.1105240000000001</v>
      </c>
      <c r="L2458">
        <v>284.39960000000002</v>
      </c>
      <c r="M2458">
        <v>-0.99987579999999998</v>
      </c>
      <c r="N2458">
        <v>-1.484102E-2</v>
      </c>
      <c r="O2458">
        <v>-5.28336E-3</v>
      </c>
      <c r="P2458">
        <v>-0.93292810000000004</v>
      </c>
      <c r="Q2458">
        <v>0.35846679999999997</v>
      </c>
      <c r="R2458">
        <v>-3.3860679999999997E-2</v>
      </c>
      <c r="S2458">
        <v>-3.3609619999999998</v>
      </c>
      <c r="T2458">
        <v>-0.3663788</v>
      </c>
      <c r="U2458">
        <v>0.1201782</v>
      </c>
      <c r="V2458">
        <v>-2.8658070000000001E-2</v>
      </c>
      <c r="W2458">
        <v>0.37229669999999998</v>
      </c>
      <c r="X2458">
        <v>0.92767120000000003</v>
      </c>
      <c r="Y2458">
        <v>4.0717040000000003E-2</v>
      </c>
      <c r="Z2458">
        <v>3.0111780000000002E-3</v>
      </c>
      <c r="AA2458">
        <v>0.9991662</v>
      </c>
      <c r="AB2458">
        <v>37</v>
      </c>
      <c r="AC2458">
        <v>-0.76370000000002802</v>
      </c>
      <c r="AD2458">
        <v>-0.106693</v>
      </c>
      <c r="AE2458">
        <v>3.6299999999982901E-2</v>
      </c>
      <c r="AF2458">
        <v>3.9564379339115698E-2</v>
      </c>
      <c r="AG2458">
        <v>-0.106693</v>
      </c>
      <c r="AH2458">
        <v>0.74891349156499898</v>
      </c>
      <c r="AI2458">
        <v>98.096869450544801</v>
      </c>
      <c r="AJ2458">
        <v>86.9759302928707</v>
      </c>
      <c r="AK2458">
        <v>0.75750917764048697</v>
      </c>
      <c r="AL2458">
        <v>68.142669065328505</v>
      </c>
      <c r="AM2458">
        <v>91.769446349057503</v>
      </c>
      <c r="AN2458">
        <v>0.99999998655822697</v>
      </c>
    </row>
    <row r="2459" spans="1:40" x14ac:dyDescent="0.25">
      <c r="A2459" t="str">
        <f>"20190304164902144"</f>
        <v>20190304164902144</v>
      </c>
      <c r="B2459" t="str">
        <f>"1551689342138743"</f>
        <v>1551689342138743</v>
      </c>
      <c r="C2459" t="s">
        <v>40</v>
      </c>
      <c r="D2459">
        <v>4.3340940000000003</v>
      </c>
      <c r="E2459">
        <v>0.54414449999999903</v>
      </c>
      <c r="F2459" t="s">
        <v>41</v>
      </c>
      <c r="G2459">
        <v>-356.88740000000001</v>
      </c>
      <c r="H2459">
        <v>1.0394460000000001</v>
      </c>
      <c r="I2459">
        <v>284.428</v>
      </c>
      <c r="J2459">
        <v>-356.29820000000001</v>
      </c>
      <c r="K2459">
        <v>1.110519</v>
      </c>
      <c r="L2459">
        <v>284.39870000000002</v>
      </c>
      <c r="M2459">
        <v>-0.99987689999999996</v>
      </c>
      <c r="N2459">
        <v>-1.4838870000000001E-2</v>
      </c>
      <c r="O2459">
        <v>-5.1070530000000003E-3</v>
      </c>
      <c r="P2459">
        <v>-0.93298020000000004</v>
      </c>
      <c r="Q2459">
        <v>0.35835899999999998</v>
      </c>
      <c r="R2459">
        <v>-3.3571320000000002E-2</v>
      </c>
      <c r="S2459">
        <v>-3.3367309999999999</v>
      </c>
      <c r="T2459">
        <v>-0.30366579999999999</v>
      </c>
      <c r="U2459">
        <v>0.1199646</v>
      </c>
      <c r="V2459">
        <v>-2.8527159999999999E-2</v>
      </c>
      <c r="W2459">
        <v>0.3721875</v>
      </c>
      <c r="X2459">
        <v>0.92771910000000002</v>
      </c>
      <c r="Y2459">
        <v>4.0822490000000003E-2</v>
      </c>
      <c r="Z2459">
        <v>2.5449090000000001E-3</v>
      </c>
      <c r="AA2459">
        <v>0.99916320000000003</v>
      </c>
      <c r="AB2459">
        <v>37</v>
      </c>
      <c r="AC2459">
        <v>-0.58920000000000505</v>
      </c>
      <c r="AD2459">
        <v>-7.1073000000000094E-2</v>
      </c>
      <c r="AE2459">
        <v>2.9299999999977899E-2</v>
      </c>
      <c r="AF2459">
        <v>3.1846774957598002E-2</v>
      </c>
      <c r="AG2459">
        <v>-7.1073000000000094E-2</v>
      </c>
      <c r="AH2459">
        <v>0.58061514645052503</v>
      </c>
      <c r="AI2459">
        <v>96.968475952179404</v>
      </c>
      <c r="AJ2459">
        <v>86.860469055931802</v>
      </c>
      <c r="AK2459">
        <v>0.585815275229287</v>
      </c>
      <c r="AL2459">
        <v>68.149411239622395</v>
      </c>
      <c r="AM2459">
        <v>91.761277739518704</v>
      </c>
      <c r="AN2459">
        <v>1.00000003125936</v>
      </c>
    </row>
    <row r="2460" spans="1:40" x14ac:dyDescent="0.25">
      <c r="A2460" t="str">
        <f>"20190304164902156"</f>
        <v>20190304164902156</v>
      </c>
      <c r="B2460" t="str">
        <f>"1551689342148504"</f>
        <v>1551689342148504</v>
      </c>
      <c r="C2460" t="s">
        <v>40</v>
      </c>
      <c r="D2460">
        <v>4.3613369999999998</v>
      </c>
      <c r="E2460">
        <v>0.54424519999999998</v>
      </c>
      <c r="F2460" t="s">
        <v>41</v>
      </c>
      <c r="G2460">
        <v>-357.21289999999999</v>
      </c>
      <c r="H2460">
        <v>1.0315639999999999</v>
      </c>
      <c r="I2460">
        <v>284.43209999999999</v>
      </c>
      <c r="J2460">
        <v>-356.5059</v>
      </c>
      <c r="K2460">
        <v>1.1105119999999999</v>
      </c>
      <c r="L2460">
        <v>284.39780000000002</v>
      </c>
      <c r="M2460">
        <v>-0.99987789999999999</v>
      </c>
      <c r="N2460">
        <v>-1.483654E-2</v>
      </c>
      <c r="O2460">
        <v>-4.915488E-3</v>
      </c>
      <c r="P2460">
        <v>-0.93300550000000004</v>
      </c>
      <c r="Q2460">
        <v>0.35832180000000002</v>
      </c>
      <c r="R2460">
        <v>-3.326146E-2</v>
      </c>
      <c r="S2460">
        <v>-3.3302610000000001</v>
      </c>
      <c r="T2460">
        <v>-0.28745090000000001</v>
      </c>
      <c r="U2460">
        <v>0.121459999999999</v>
      </c>
      <c r="V2460">
        <v>-2.839005E-2</v>
      </c>
      <c r="W2460">
        <v>0.37214900000000001</v>
      </c>
      <c r="X2460">
        <v>0.92773870000000003</v>
      </c>
      <c r="Y2460">
        <v>4.11679E-2</v>
      </c>
      <c r="Z2460">
        <v>2.429559E-3</v>
      </c>
      <c r="AA2460">
        <v>0.99914930000000002</v>
      </c>
      <c r="AB2460">
        <v>37</v>
      </c>
      <c r="AC2460">
        <v>-0.70699999999999297</v>
      </c>
      <c r="AD2460">
        <v>-7.8948000000000199E-2</v>
      </c>
      <c r="AE2460">
        <v>3.4299999999973303E-2</v>
      </c>
      <c r="AF2460">
        <v>3.7311066057605903E-2</v>
      </c>
      <c r="AG2460">
        <v>-7.8948000000000199E-2</v>
      </c>
      <c r="AH2460">
        <v>0.69813795953082503</v>
      </c>
      <c r="AI2460">
        <v>96.442691376814096</v>
      </c>
      <c r="AJ2460">
        <v>86.940812700452099</v>
      </c>
      <c r="AK2460">
        <v>0.70357765235418002</v>
      </c>
      <c r="AL2460">
        <v>68.151786771624302</v>
      </c>
      <c r="AM2460">
        <v>91.752780801244199</v>
      </c>
      <c r="AN2460">
        <v>0.99999998430884596</v>
      </c>
    </row>
    <row r="2461" spans="1:40" x14ac:dyDescent="0.25">
      <c r="A2461" t="str">
        <f>"20190304164902168"</f>
        <v>20190304164902168</v>
      </c>
      <c r="B2461" t="str">
        <f>"1551689342158263"</f>
        <v>1551689342158263</v>
      </c>
      <c r="C2461" t="s">
        <v>40</v>
      </c>
      <c r="D2461">
        <v>4.3351739999999896</v>
      </c>
      <c r="E2461">
        <v>0.54425789999999996</v>
      </c>
      <c r="F2461" t="s">
        <v>41</v>
      </c>
      <c r="G2461">
        <v>-357.53859999999997</v>
      </c>
      <c r="H2461">
        <v>1.0249740000000001</v>
      </c>
      <c r="I2461">
        <v>284.43669999999997</v>
      </c>
      <c r="J2461">
        <v>-356.6979</v>
      </c>
      <c r="K2461">
        <v>1.110509</v>
      </c>
      <c r="L2461">
        <v>284.39710000000002</v>
      </c>
      <c r="M2461">
        <v>-0.99987879999999996</v>
      </c>
      <c r="N2461">
        <v>-1.483437E-2</v>
      </c>
      <c r="O2461">
        <v>-4.7377820000000003E-3</v>
      </c>
      <c r="P2461">
        <v>-0.93298449999999999</v>
      </c>
      <c r="Q2461">
        <v>0.35839159999999998</v>
      </c>
      <c r="R2461">
        <v>-3.3102640000000003E-2</v>
      </c>
      <c r="S2461">
        <v>-3.3257750000000001</v>
      </c>
      <c r="T2461">
        <v>-0.27566420000000003</v>
      </c>
      <c r="U2461">
        <v>0.1245117</v>
      </c>
      <c r="V2461">
        <v>-2.83932E-2</v>
      </c>
      <c r="W2461">
        <v>0.37221670000000001</v>
      </c>
      <c r="X2461">
        <v>0.92771150000000002</v>
      </c>
      <c r="Y2461">
        <v>4.1966259999999998E-2</v>
      </c>
      <c r="Z2461">
        <v>2.3694160000000001E-3</v>
      </c>
      <c r="AA2461">
        <v>0.99911620000000001</v>
      </c>
      <c r="AB2461">
        <v>37</v>
      </c>
      <c r="AC2461">
        <v>-0.84069999999996903</v>
      </c>
      <c r="AD2461">
        <v>-8.5534999999999903E-2</v>
      </c>
      <c r="AE2461">
        <v>3.95999999999503E-2</v>
      </c>
      <c r="AF2461">
        <v>4.3137495252227202E-2</v>
      </c>
      <c r="AG2461">
        <v>-8.5534999999999903E-2</v>
      </c>
      <c r="AH2461">
        <v>0.83191042315256403</v>
      </c>
      <c r="AI2461">
        <v>95.862562757381596</v>
      </c>
      <c r="AJ2461">
        <v>87.031669859548302</v>
      </c>
      <c r="AK2461">
        <v>0.83740792441408995</v>
      </c>
      <c r="AL2461">
        <v>68.147608811119696</v>
      </c>
      <c r="AM2461">
        <v>91.753026522808796</v>
      </c>
      <c r="AN2461">
        <v>1.0000000363986801</v>
      </c>
    </row>
    <row r="2462" spans="1:40" x14ac:dyDescent="0.25">
      <c r="A2462" t="str">
        <f>"20190304164902179"</f>
        <v>20190304164902179</v>
      </c>
      <c r="B2462" t="str">
        <f>"1551689342168023"</f>
        <v>1551689342168023</v>
      </c>
      <c r="C2462" t="s">
        <v>40</v>
      </c>
      <c r="D2462">
        <v>4.3520149999999997</v>
      </c>
      <c r="E2462">
        <v>0.54418959999999905</v>
      </c>
      <c r="F2462" t="s">
        <v>41</v>
      </c>
      <c r="G2462">
        <v>-357.5471</v>
      </c>
      <c r="H2462">
        <v>1.0413399999999999</v>
      </c>
      <c r="I2462">
        <v>284.42939999999999</v>
      </c>
      <c r="J2462">
        <v>-356.89069999999998</v>
      </c>
      <c r="K2462">
        <v>1.1105050000000001</v>
      </c>
      <c r="L2462">
        <v>284.3963</v>
      </c>
      <c r="M2462">
        <v>-0.99987969999999904</v>
      </c>
      <c r="N2462">
        <v>-1.483219E-2</v>
      </c>
      <c r="O2462">
        <v>-4.5594850000000003E-3</v>
      </c>
      <c r="P2462">
        <v>-0.93307209999999996</v>
      </c>
      <c r="Q2462">
        <v>0.35817130000000003</v>
      </c>
      <c r="R2462">
        <v>-3.3014309999999998E-2</v>
      </c>
      <c r="S2462">
        <v>-3.324036</v>
      </c>
      <c r="T2462">
        <v>-0.27098290000000003</v>
      </c>
      <c r="U2462">
        <v>0.12557979999999999</v>
      </c>
      <c r="V2462">
        <v>-2.846713E-2</v>
      </c>
      <c r="W2462">
        <v>0.3719962</v>
      </c>
      <c r="X2462">
        <v>0.9277976</v>
      </c>
      <c r="Y2462">
        <v>4.2133539999999997E-2</v>
      </c>
      <c r="Z2462">
        <v>2.3306099999999999E-3</v>
      </c>
      <c r="AA2462">
        <v>0.99910929999999998</v>
      </c>
      <c r="AB2462">
        <v>37</v>
      </c>
      <c r="AC2462">
        <v>-0.65640000000001897</v>
      </c>
      <c r="AD2462">
        <v>-6.9164999999999893E-2</v>
      </c>
      <c r="AE2462">
        <v>3.3099999999990297E-2</v>
      </c>
      <c r="AF2462">
        <v>3.5697491133563498E-2</v>
      </c>
      <c r="AG2462">
        <v>-6.9164999999999893E-2</v>
      </c>
      <c r="AH2462">
        <v>0.64905414830914798</v>
      </c>
      <c r="AI2462">
        <v>96.073531257507994</v>
      </c>
      <c r="AJ2462">
        <v>86.851946763167007</v>
      </c>
      <c r="AK2462">
        <v>0.65370436401751597</v>
      </c>
      <c r="AL2462">
        <v>68.161218384126599</v>
      </c>
      <c r="AM2462">
        <v>91.757425178208806</v>
      </c>
      <c r="AN2462">
        <v>0.99999996843531802</v>
      </c>
    </row>
    <row r="2463" spans="1:40" x14ac:dyDescent="0.25">
      <c r="A2463" t="str">
        <f>"20190304164902192"</f>
        <v>20190304164902192</v>
      </c>
      <c r="B2463" t="str">
        <f>"1551689342188519"</f>
        <v>1551689342188519</v>
      </c>
      <c r="C2463" t="s">
        <v>40</v>
      </c>
      <c r="D2463">
        <v>4.3504189999999996</v>
      </c>
      <c r="E2463">
        <v>0.54434719999999903</v>
      </c>
      <c r="F2463" t="s">
        <v>41</v>
      </c>
      <c r="G2463">
        <v>-357.87029999999999</v>
      </c>
      <c r="H2463">
        <v>1.0310299999999999</v>
      </c>
      <c r="I2463">
        <v>284.43349999999998</v>
      </c>
      <c r="J2463">
        <v>-357.10059999999999</v>
      </c>
      <c r="K2463">
        <v>1.110501</v>
      </c>
      <c r="L2463">
        <v>284.39550000000003</v>
      </c>
      <c r="M2463">
        <v>-0.99988060000000001</v>
      </c>
      <c r="N2463">
        <v>-1.482983E-2</v>
      </c>
      <c r="O2463">
        <v>-4.3650989999999999E-3</v>
      </c>
      <c r="P2463">
        <v>-0.93312220000000001</v>
      </c>
      <c r="Q2463">
        <v>0.358043099999999</v>
      </c>
      <c r="R2463">
        <v>-3.2989699999999997E-2</v>
      </c>
      <c r="S2463">
        <v>-3.3231510000000002</v>
      </c>
      <c r="T2463">
        <v>-0.26973150000000001</v>
      </c>
      <c r="U2463">
        <v>0.12567139999999999</v>
      </c>
      <c r="V2463">
        <v>-2.8620030000000001E-2</v>
      </c>
      <c r="W2463">
        <v>0.37186659999999999</v>
      </c>
      <c r="X2463">
        <v>0.92784489999999997</v>
      </c>
      <c r="Y2463">
        <v>4.1979280000000001E-2</v>
      </c>
      <c r="Z2463">
        <v>2.3012549999999999E-3</v>
      </c>
      <c r="AA2463">
        <v>0.9991158</v>
      </c>
      <c r="AB2463">
        <v>37</v>
      </c>
      <c r="AC2463">
        <v>-0.76970000000000005</v>
      </c>
      <c r="AD2463">
        <v>-7.9471E-2</v>
      </c>
      <c r="AE2463">
        <v>3.7999999999954001E-2</v>
      </c>
      <c r="AF2463">
        <v>4.0924610953940302E-2</v>
      </c>
      <c r="AG2463">
        <v>-7.9471E-2</v>
      </c>
      <c r="AH2463">
        <v>0.76142935198672301</v>
      </c>
      <c r="AI2463">
        <v>95.949907979515501</v>
      </c>
      <c r="AJ2463">
        <v>86.923478808275703</v>
      </c>
      <c r="AK2463">
        <v>0.76665841265171797</v>
      </c>
      <c r="AL2463">
        <v>68.169218893842299</v>
      </c>
      <c r="AM2463">
        <v>91.7667685152514</v>
      </c>
      <c r="AN2463">
        <v>1.0000000163843801</v>
      </c>
    </row>
    <row r="2464" spans="1:40" x14ac:dyDescent="0.25">
      <c r="A2464" t="str">
        <f>"20190304164902208"</f>
        <v>20190304164902208</v>
      </c>
      <c r="B2464" t="str">
        <f>"1551689342198279"</f>
        <v>1551689342198279</v>
      </c>
      <c r="C2464" t="s">
        <v>40</v>
      </c>
      <c r="D2464">
        <v>4.3571</v>
      </c>
      <c r="E2464">
        <v>0.54443809999999904</v>
      </c>
      <c r="F2464" t="s">
        <v>41</v>
      </c>
      <c r="G2464">
        <v>-357.88139999999999</v>
      </c>
      <c r="H2464">
        <v>1.047323</v>
      </c>
      <c r="I2464">
        <v>284.42559999999997</v>
      </c>
      <c r="J2464">
        <v>-357.3451</v>
      </c>
      <c r="K2464">
        <v>1.110498</v>
      </c>
      <c r="L2464">
        <v>284.3947</v>
      </c>
      <c r="M2464">
        <v>-0.99988160000000004</v>
      </c>
      <c r="N2464">
        <v>-1.4827079999999999E-2</v>
      </c>
      <c r="O2464">
        <v>-4.1392429999999999E-3</v>
      </c>
      <c r="P2464">
        <v>-0.93315300000000001</v>
      </c>
      <c r="Q2464">
        <v>0.35790749999999999</v>
      </c>
      <c r="R2464">
        <v>-3.3581850000000003E-2</v>
      </c>
      <c r="S2464">
        <v>-3.3227229999999999</v>
      </c>
      <c r="T2464">
        <v>-0.26901340000000001</v>
      </c>
      <c r="U2464">
        <v>0.12710569999999999</v>
      </c>
      <c r="V2464">
        <v>-2.9419910000000001E-2</v>
      </c>
      <c r="W2464">
        <v>0.3717298</v>
      </c>
      <c r="X2464">
        <v>0.92787470000000005</v>
      </c>
      <c r="Y2464">
        <v>4.2189619999999997E-2</v>
      </c>
      <c r="Z2464">
        <v>2.2911580000000002E-3</v>
      </c>
      <c r="AA2464">
        <v>0.99910699999999997</v>
      </c>
      <c r="AB2464">
        <v>37</v>
      </c>
      <c r="AC2464">
        <v>-0.53629999999998201</v>
      </c>
      <c r="AD2464">
        <v>-6.3174999999999898E-2</v>
      </c>
      <c r="AE2464">
        <v>3.0899999999974101E-2</v>
      </c>
      <c r="AF2464">
        <v>3.2668042151003697E-2</v>
      </c>
      <c r="AG2464">
        <v>-6.3174999999999898E-2</v>
      </c>
      <c r="AH2464">
        <v>0.52885322261624002</v>
      </c>
      <c r="AI2464">
        <v>96.799240087149997</v>
      </c>
      <c r="AJ2464">
        <v>86.465246651963298</v>
      </c>
      <c r="AK2464">
        <v>0.53361410464357295</v>
      </c>
      <c r="AL2464">
        <v>68.177662245380006</v>
      </c>
      <c r="AM2464">
        <v>91.816055712530897</v>
      </c>
      <c r="AN2464">
        <v>1.00000001710626</v>
      </c>
    </row>
    <row r="2465" spans="1:40" x14ac:dyDescent="0.25">
      <c r="A2465" t="str">
        <f>"20190304164902221"</f>
        <v>20190304164902221</v>
      </c>
      <c r="B2465" t="str">
        <f>"1551689342218775"</f>
        <v>1551689342218775</v>
      </c>
      <c r="C2465" t="s">
        <v>40</v>
      </c>
      <c r="D2465">
        <v>4.356312</v>
      </c>
      <c r="E2465">
        <v>0.54447129999999999</v>
      </c>
      <c r="F2465" t="s">
        <v>41</v>
      </c>
      <c r="G2465">
        <v>-358.20370000000003</v>
      </c>
      <c r="H2465">
        <v>1.0408710000000001</v>
      </c>
      <c r="I2465">
        <v>284.42720000000003</v>
      </c>
      <c r="J2465">
        <v>-357.5668</v>
      </c>
      <c r="K2465">
        <v>1.1104849999999999</v>
      </c>
      <c r="L2465">
        <v>284.39389999999997</v>
      </c>
      <c r="M2465">
        <v>-0.99988250000000001</v>
      </c>
      <c r="N2465">
        <v>-1.482458E-2</v>
      </c>
      <c r="O2465">
        <v>-3.9349789999999999E-3</v>
      </c>
      <c r="P2465">
        <v>-0.93311120000000003</v>
      </c>
      <c r="Q2465">
        <v>0.35799150000000002</v>
      </c>
      <c r="R2465">
        <v>-3.3848400000000001E-2</v>
      </c>
      <c r="S2465">
        <v>-3.3227540000000002</v>
      </c>
      <c r="T2465">
        <v>-0.26942719999999998</v>
      </c>
      <c r="U2465">
        <v>0.12557979999999999</v>
      </c>
      <c r="V2465">
        <v>-2.9873690000000001E-2</v>
      </c>
      <c r="W2465">
        <v>0.37181120000000001</v>
      </c>
      <c r="X2465">
        <v>0.92782759999999997</v>
      </c>
      <c r="Y2465">
        <v>4.152952E-2</v>
      </c>
      <c r="Z2465">
        <v>2.2491189999999999E-3</v>
      </c>
      <c r="AA2465">
        <v>0.99913470000000004</v>
      </c>
      <c r="AB2465">
        <v>37</v>
      </c>
      <c r="AC2465">
        <v>-0.636900000000025</v>
      </c>
      <c r="AD2465">
        <v>-6.9613999999999995E-2</v>
      </c>
      <c r="AE2465">
        <v>3.33000000000538E-2</v>
      </c>
      <c r="AF2465">
        <v>3.5384625662580597E-2</v>
      </c>
      <c r="AG2465">
        <v>-6.9613999999999995E-2</v>
      </c>
      <c r="AH2465">
        <v>0.62926680486240305</v>
      </c>
      <c r="AI2465">
        <v>96.302923451383606</v>
      </c>
      <c r="AJ2465">
        <v>86.781560886548107</v>
      </c>
      <c r="AK2465">
        <v>0.63409375681441504</v>
      </c>
      <c r="AL2465">
        <v>68.172638582992903</v>
      </c>
      <c r="AM2465">
        <v>91.844141360061499</v>
      </c>
      <c r="AN2465">
        <v>1.0000000305607</v>
      </c>
    </row>
    <row r="2466" spans="1:40" x14ac:dyDescent="0.25">
      <c r="A2466" t="str">
        <f>"20190304164902243"</f>
        <v>20190304164902243</v>
      </c>
      <c r="B2466" t="str">
        <f>"1551689342238295"</f>
        <v>1551689342238295</v>
      </c>
      <c r="C2466" t="s">
        <v>40</v>
      </c>
      <c r="D2466">
        <v>4.3540640000000002</v>
      </c>
      <c r="E2466">
        <v>0.54458499999999999</v>
      </c>
      <c r="F2466" t="s">
        <v>41</v>
      </c>
      <c r="G2466">
        <v>-358.52719999999999</v>
      </c>
      <c r="H2466">
        <v>1.0322559999999901</v>
      </c>
      <c r="I2466">
        <v>284.42989999999998</v>
      </c>
      <c r="J2466">
        <v>-357.92079999999999</v>
      </c>
      <c r="K2466">
        <v>1.1104799999999999</v>
      </c>
      <c r="L2466">
        <v>284.39280000000002</v>
      </c>
      <c r="M2466">
        <v>-0.99988370000000004</v>
      </c>
      <c r="N2466">
        <v>-1.482058E-2</v>
      </c>
      <c r="O2466">
        <v>-3.608984E-3</v>
      </c>
      <c r="P2466">
        <v>-0.93303190000000003</v>
      </c>
      <c r="Q2466">
        <v>0.35813499999999998</v>
      </c>
      <c r="R2466">
        <v>-3.4511670000000001E-2</v>
      </c>
      <c r="S2466">
        <v>-3.3234560000000002</v>
      </c>
      <c r="T2466">
        <v>-0.27073920000000001</v>
      </c>
      <c r="U2466">
        <v>0.1243286</v>
      </c>
      <c r="V2466">
        <v>-3.083806E-2</v>
      </c>
      <c r="W2466">
        <v>0.37195109999999998</v>
      </c>
      <c r="X2466">
        <v>0.92773989999999995</v>
      </c>
      <c r="Y2466">
        <v>4.0822190000000001E-2</v>
      </c>
      <c r="Z2466">
        <v>2.2026599999999999E-3</v>
      </c>
      <c r="AA2466">
        <v>0.99916400000000005</v>
      </c>
      <c r="AB2466">
        <v>37</v>
      </c>
      <c r="AC2466">
        <v>-0.60640000000000704</v>
      </c>
      <c r="AD2466">
        <v>-7.8224000000000002E-2</v>
      </c>
      <c r="AE2466">
        <v>3.7099999999952601E-2</v>
      </c>
      <c r="AF2466">
        <v>3.8647773480219597E-2</v>
      </c>
      <c r="AG2466">
        <v>-7.8224000000000002E-2</v>
      </c>
      <c r="AH2466">
        <v>0.59637527439767501</v>
      </c>
      <c r="AI2466">
        <v>97.457118353218206</v>
      </c>
      <c r="AJ2466">
        <v>86.292163044053197</v>
      </c>
      <c r="AK2466">
        <v>0.60272391066215403</v>
      </c>
      <c r="AL2466">
        <v>68.164002087121901</v>
      </c>
      <c r="AM2466">
        <v>91.903809864823103</v>
      </c>
      <c r="AN2466">
        <v>0.99999996439389105</v>
      </c>
    </row>
    <row r="2467" spans="1:40" x14ac:dyDescent="0.25">
      <c r="A2467" t="str">
        <f>"20190304164902264"</f>
        <v>20190304164902264</v>
      </c>
      <c r="B2467" t="str">
        <f>"1551689342258801"</f>
        <v>1551689342258801</v>
      </c>
      <c r="C2467" t="s">
        <v>40</v>
      </c>
      <c r="D2467">
        <v>4.3546909999999999</v>
      </c>
      <c r="E2467">
        <v>0.54463419999999996</v>
      </c>
      <c r="F2467" t="s">
        <v>41</v>
      </c>
      <c r="G2467">
        <v>-358.85579999999999</v>
      </c>
      <c r="H2467">
        <v>1.03426</v>
      </c>
      <c r="I2467">
        <v>284.42720000000003</v>
      </c>
      <c r="J2467">
        <v>-358.28429999999997</v>
      </c>
      <c r="K2467">
        <v>1.1104860000000001</v>
      </c>
      <c r="L2467">
        <v>284.39179999999999</v>
      </c>
      <c r="M2467">
        <v>-0.99988480000000002</v>
      </c>
      <c r="N2467">
        <v>-1.481646E-2</v>
      </c>
      <c r="O2467">
        <v>-3.2746619999999998E-3</v>
      </c>
      <c r="P2467">
        <v>-0.93293559999999998</v>
      </c>
      <c r="Q2467">
        <v>0.35832320000000001</v>
      </c>
      <c r="R2467">
        <v>-3.5150300000000002E-2</v>
      </c>
      <c r="S2467">
        <v>-3.3238219999999998</v>
      </c>
      <c r="T2467">
        <v>-0.27103329999999998</v>
      </c>
      <c r="U2467">
        <v>0.12179570000000001</v>
      </c>
      <c r="V2467">
        <v>-3.1786200000000001E-2</v>
      </c>
      <c r="W2467">
        <v>0.37213469999999998</v>
      </c>
      <c r="X2467">
        <v>0.92763430000000002</v>
      </c>
      <c r="Y2467">
        <v>3.9728310000000003E-2</v>
      </c>
      <c r="Z2467">
        <v>2.1296179999999998E-3</v>
      </c>
      <c r="AA2467">
        <v>0.99920830000000005</v>
      </c>
      <c r="AB2467">
        <v>37</v>
      </c>
      <c r="AC2467">
        <v>-0.571500000000014</v>
      </c>
      <c r="AD2467">
        <v>-7.6226000000000099E-2</v>
      </c>
      <c r="AE2467">
        <v>3.54000000000382E-2</v>
      </c>
      <c r="AF2467">
        <v>3.66224648412996E-2</v>
      </c>
      <c r="AG2467">
        <v>-7.6226000000000099E-2</v>
      </c>
      <c r="AH2467">
        <v>0.56143136023608597</v>
      </c>
      <c r="AI2467">
        <v>97.715618454623396</v>
      </c>
      <c r="AJ2467">
        <v>86.267853433076795</v>
      </c>
      <c r="AK2467">
        <v>0.567764722630416</v>
      </c>
      <c r="AL2467">
        <v>68.152669771138505</v>
      </c>
      <c r="AM2467">
        <v>91.962522100770698</v>
      </c>
      <c r="AN2467">
        <v>0.99999999599550904</v>
      </c>
    </row>
    <row r="2468" spans="1:40" x14ac:dyDescent="0.25">
      <c r="A2468" t="str">
        <f>"20190304164902276"</f>
        <v>20190304164902276</v>
      </c>
      <c r="B2468" t="str">
        <f>"1551689342268551"</f>
        <v>1551689342268551</v>
      </c>
      <c r="C2468" t="s">
        <v>40</v>
      </c>
      <c r="D2468">
        <v>4.3660500000000004</v>
      </c>
      <c r="E2468">
        <v>0.54464159999999995</v>
      </c>
      <c r="F2468" t="s">
        <v>41</v>
      </c>
      <c r="G2468">
        <v>-359.18419999999998</v>
      </c>
      <c r="H2468">
        <v>1.0366820000000001</v>
      </c>
      <c r="I2468">
        <v>284.42410000000001</v>
      </c>
      <c r="J2468">
        <v>-358.47449999999998</v>
      </c>
      <c r="K2468">
        <v>1.110487</v>
      </c>
      <c r="L2468">
        <v>284.39139999999998</v>
      </c>
      <c r="M2468">
        <v>-0.99988549999999998</v>
      </c>
      <c r="N2468">
        <v>-1.4814320000000001E-2</v>
      </c>
      <c r="O2468">
        <v>-3.0998750000000002E-3</v>
      </c>
      <c r="P2468">
        <v>-0.93281619999999998</v>
      </c>
      <c r="Q2468">
        <v>0.35859980000000002</v>
      </c>
      <c r="R2468">
        <v>-3.5499349999999999E-2</v>
      </c>
      <c r="S2468">
        <v>-3.3248600000000001</v>
      </c>
      <c r="T2468">
        <v>-0.27277509999999999</v>
      </c>
      <c r="U2468">
        <v>0.1183777</v>
      </c>
      <c r="V2468">
        <v>-3.229725E-2</v>
      </c>
      <c r="W2468">
        <v>0.37240780000000001</v>
      </c>
      <c r="X2468">
        <v>0.92750699999999997</v>
      </c>
      <c r="Y2468">
        <v>3.8519669999999999E-2</v>
      </c>
      <c r="Z2468">
        <v>2.0709090000000001E-3</v>
      </c>
      <c r="AA2468">
        <v>0.99925569999999997</v>
      </c>
      <c r="AB2468">
        <v>37</v>
      </c>
      <c r="AC2468">
        <v>-0.709699999999997</v>
      </c>
      <c r="AD2468">
        <v>-7.3805000000000107E-2</v>
      </c>
      <c r="AE2468">
        <v>3.2700000000033903E-2</v>
      </c>
      <c r="AF2468">
        <v>3.4527446153317001E-2</v>
      </c>
      <c r="AG2468">
        <v>-7.3805000000000107E-2</v>
      </c>
      <c r="AH2468">
        <v>0.70201904032388096</v>
      </c>
      <c r="AI2468">
        <v>95.9944074737043</v>
      </c>
      <c r="AJ2468">
        <v>87.184287025951093</v>
      </c>
      <c r="AK2468">
        <v>0.70673195452033499</v>
      </c>
      <c r="AL2468">
        <v>68.135809654361793</v>
      </c>
      <c r="AM2468">
        <v>91.994323195355307</v>
      </c>
      <c r="AN2468">
        <v>0.99999995845370004</v>
      </c>
    </row>
    <row r="2469" spans="1:40" x14ac:dyDescent="0.25">
      <c r="A2469" t="str">
        <f>"20190304164902288"</f>
        <v>20190304164902288</v>
      </c>
      <c r="B2469" t="str">
        <f>"1551689342278311"</f>
        <v>1551689342278311</v>
      </c>
      <c r="C2469" t="s">
        <v>40</v>
      </c>
      <c r="D2469">
        <v>4.3924820000000002</v>
      </c>
      <c r="E2469">
        <v>0.54466459999999906</v>
      </c>
      <c r="F2469" t="s">
        <v>41</v>
      </c>
      <c r="G2469">
        <v>-359.50560000000002</v>
      </c>
      <c r="H2469">
        <v>1.025944</v>
      </c>
      <c r="I2469">
        <v>284.42770000000002</v>
      </c>
      <c r="J2469">
        <v>-358.66609999999997</v>
      </c>
      <c r="K2469">
        <v>1.110492</v>
      </c>
      <c r="L2469">
        <v>284.39100000000002</v>
      </c>
      <c r="M2469">
        <v>-0.99988619999999995</v>
      </c>
      <c r="N2469">
        <v>-1.481216E-2</v>
      </c>
      <c r="O2469">
        <v>-2.9239019999999999E-3</v>
      </c>
      <c r="P2469">
        <v>-0.93269029999999997</v>
      </c>
      <c r="Q2469">
        <v>0.3589079</v>
      </c>
      <c r="R2469">
        <v>-3.5697590000000001E-2</v>
      </c>
      <c r="S2469">
        <v>-3.325348</v>
      </c>
      <c r="T2469">
        <v>-0.27276359999999999</v>
      </c>
      <c r="U2469">
        <v>0.116272</v>
      </c>
      <c r="V2469">
        <v>-3.2659590000000002E-2</v>
      </c>
      <c r="W2469">
        <v>0.3727123</v>
      </c>
      <c r="X2469">
        <v>0.92737199999999997</v>
      </c>
      <c r="Y2469">
        <v>3.7710260000000002E-2</v>
      </c>
      <c r="Z2469">
        <v>2.0196039999999999E-3</v>
      </c>
      <c r="AA2469">
        <v>0.99928669999999997</v>
      </c>
      <c r="AB2469">
        <v>37</v>
      </c>
      <c r="AC2469">
        <v>-0.83950000000004299</v>
      </c>
      <c r="AD2469">
        <v>-8.4547999999999998E-2</v>
      </c>
      <c r="AE2469">
        <v>3.6700000000053003E-2</v>
      </c>
      <c r="AF2469">
        <v>3.8762312548698802E-2</v>
      </c>
      <c r="AG2469">
        <v>-8.4547999999999998E-2</v>
      </c>
      <c r="AH2469">
        <v>0.83097659579998595</v>
      </c>
      <c r="AI2469">
        <v>95.803319505502202</v>
      </c>
      <c r="AJ2469">
        <v>87.3292771630191</v>
      </c>
      <c r="AK2469">
        <v>0.83616564384424197</v>
      </c>
      <c r="AL2469">
        <v>68.117009833582699</v>
      </c>
      <c r="AM2469">
        <v>92.016972290001206</v>
      </c>
      <c r="AN2469">
        <v>0.999999966887128</v>
      </c>
    </row>
    <row r="2470" spans="1:40" x14ac:dyDescent="0.25">
      <c r="A2470" t="str">
        <f>"20190304164902300"</f>
        <v>20190304164902300</v>
      </c>
      <c r="B2470" t="str">
        <f>"1551689342288071"</f>
        <v>1551689342288071</v>
      </c>
      <c r="C2470" t="s">
        <v>40</v>
      </c>
      <c r="D2470">
        <v>4.4035929999999999</v>
      </c>
      <c r="E2470">
        <v>0.54467359999999998</v>
      </c>
      <c r="F2470" t="s">
        <v>41</v>
      </c>
      <c r="G2470">
        <v>-359.51369999999997</v>
      </c>
      <c r="H2470">
        <v>1.040913</v>
      </c>
      <c r="I2470">
        <v>284.42059999999998</v>
      </c>
      <c r="J2470">
        <v>-358.85969999999998</v>
      </c>
      <c r="K2470">
        <v>1.110495</v>
      </c>
      <c r="L2470">
        <v>284.39049999999997</v>
      </c>
      <c r="M2470">
        <v>-0.99988670000000002</v>
      </c>
      <c r="N2470">
        <v>-1.4809910000000001E-2</v>
      </c>
      <c r="O2470">
        <v>-2.7466249999999999E-3</v>
      </c>
      <c r="P2470">
        <v>-0.93256099999999997</v>
      </c>
      <c r="Q2470">
        <v>0.35922480000000001</v>
      </c>
      <c r="R2470">
        <v>-3.5885460000000001E-2</v>
      </c>
      <c r="S2470">
        <v>-3.32605</v>
      </c>
      <c r="T2470">
        <v>-0.27317329999999901</v>
      </c>
      <c r="U2470">
        <v>0.115356399999999</v>
      </c>
      <c r="V2470">
        <v>-3.3012409999999999E-2</v>
      </c>
      <c r="W2470">
        <v>0.37302600000000002</v>
      </c>
      <c r="X2470">
        <v>0.92723339999999999</v>
      </c>
      <c r="Y2470">
        <v>3.7252830000000001E-2</v>
      </c>
      <c r="Z2470">
        <v>1.9878169999999998E-3</v>
      </c>
      <c r="AA2470">
        <v>0.99930390000000002</v>
      </c>
      <c r="AB2470">
        <v>37</v>
      </c>
      <c r="AC2470">
        <v>-0.65399999999999603</v>
      </c>
      <c r="AD2470">
        <v>-6.9582000000000005E-2</v>
      </c>
      <c r="AE2470">
        <v>3.0100000000004401E-2</v>
      </c>
      <c r="AF2470">
        <v>3.1540103324892599E-2</v>
      </c>
      <c r="AG2470">
        <v>-6.9582000000000005E-2</v>
      </c>
      <c r="AH2470">
        <v>0.64661082400905601</v>
      </c>
      <c r="AI2470">
        <v>96.134744131741797</v>
      </c>
      <c r="AJ2470">
        <v>87.207464539639901</v>
      </c>
      <c r="AK2470">
        <v>0.651108278681369</v>
      </c>
      <c r="AL2470">
        <v>68.097639907130201</v>
      </c>
      <c r="AM2470">
        <v>92.0390477444315</v>
      </c>
      <c r="AN2470">
        <v>0.99999999698278397</v>
      </c>
    </row>
    <row r="2471" spans="1:40" x14ac:dyDescent="0.25">
      <c r="A2471" t="str">
        <f>"20190304164902312"</f>
        <v>20190304164902312</v>
      </c>
      <c r="B2471" t="str">
        <f>"1551689342308567"</f>
        <v>1551689342308567</v>
      </c>
      <c r="C2471" t="s">
        <v>40</v>
      </c>
      <c r="D2471">
        <v>4.4023269999999997</v>
      </c>
      <c r="E2471">
        <v>0.54469160000000005</v>
      </c>
      <c r="F2471" t="s">
        <v>41</v>
      </c>
      <c r="G2471">
        <v>-359.83440000000002</v>
      </c>
      <c r="H2471">
        <v>1.0305690000000001</v>
      </c>
      <c r="I2471">
        <v>284.42439999999999</v>
      </c>
      <c r="J2471">
        <v>-359.06619999999998</v>
      </c>
      <c r="K2471">
        <v>1.1104989999999999</v>
      </c>
      <c r="L2471">
        <v>284.39010000000002</v>
      </c>
      <c r="M2471">
        <v>-0.99988719999999998</v>
      </c>
      <c r="N2471">
        <v>-1.4807399999999899E-2</v>
      </c>
      <c r="O2471">
        <v>-2.5586290000000002E-3</v>
      </c>
      <c r="P2471">
        <v>-0.93243189999999998</v>
      </c>
      <c r="Q2471">
        <v>0.359541099999999</v>
      </c>
      <c r="R2471">
        <v>-3.6073279999999999E-2</v>
      </c>
      <c r="S2471">
        <v>-3.326416</v>
      </c>
      <c r="T2471">
        <v>-0.2728044</v>
      </c>
      <c r="U2471">
        <v>0.1149292</v>
      </c>
      <c r="V2471">
        <v>-3.3375740000000001E-2</v>
      </c>
      <c r="W2471">
        <v>0.37333830000000001</v>
      </c>
      <c r="X2471">
        <v>0.92709470000000005</v>
      </c>
      <c r="Y2471">
        <v>3.6935049999999997E-2</v>
      </c>
      <c r="Z2471">
        <v>1.9572560000000001E-3</v>
      </c>
      <c r="AA2471">
        <v>0.99931570000000003</v>
      </c>
      <c r="AB2471">
        <v>37</v>
      </c>
      <c r="AC2471">
        <v>-0.76820000000003497</v>
      </c>
      <c r="AD2471">
        <v>-7.9929999999999807E-2</v>
      </c>
      <c r="AE2471">
        <v>3.4299999999973303E-2</v>
      </c>
      <c r="AF2471">
        <v>3.5877996739448997E-2</v>
      </c>
      <c r="AG2471">
        <v>-7.9929999999999807E-2</v>
      </c>
      <c r="AH2471">
        <v>0.75989935534500597</v>
      </c>
      <c r="AI2471">
        <v>95.997943134000707</v>
      </c>
      <c r="AJ2471">
        <v>87.296836295472801</v>
      </c>
      <c r="AK2471">
        <v>0.76493337344097601</v>
      </c>
      <c r="AL2471">
        <v>68.078353294557104</v>
      </c>
      <c r="AM2471">
        <v>92.061778108210703</v>
      </c>
      <c r="AN2471">
        <v>1.0000000045177599</v>
      </c>
    </row>
    <row r="2472" spans="1:40" x14ac:dyDescent="0.25">
      <c r="A2472" t="str">
        <f>"20190304164902325"</f>
        <v>20190304164902325</v>
      </c>
      <c r="B2472" t="str">
        <f>"1551689342318327"</f>
        <v>1551689342318327</v>
      </c>
      <c r="C2472" t="s">
        <v>40</v>
      </c>
      <c r="D2472">
        <v>4.385046</v>
      </c>
      <c r="E2472">
        <v>0.54470069999999904</v>
      </c>
      <c r="F2472" t="s">
        <v>41</v>
      </c>
      <c r="G2472">
        <v>-359.84550000000002</v>
      </c>
      <c r="H2472">
        <v>1.046448</v>
      </c>
      <c r="I2472">
        <v>284.4171</v>
      </c>
      <c r="J2472">
        <v>-359.26639999999998</v>
      </c>
      <c r="K2472">
        <v>1.1105050000000001</v>
      </c>
      <c r="L2472">
        <v>284.3897</v>
      </c>
      <c r="M2472">
        <v>-0.99988770000000005</v>
      </c>
      <c r="N2472">
        <v>-1.480505E-2</v>
      </c>
      <c r="O2472">
        <v>-2.3800840000000002E-3</v>
      </c>
      <c r="P2472">
        <v>-0.93235979999999996</v>
      </c>
      <c r="Q2472">
        <v>0.35970800000000003</v>
      </c>
      <c r="R2472">
        <v>-3.6274309999999997E-2</v>
      </c>
      <c r="S2472">
        <v>-3.3273320000000002</v>
      </c>
      <c r="T2472">
        <v>-0.27355610000000002</v>
      </c>
      <c r="U2472">
        <v>0.1144104</v>
      </c>
      <c r="V2472">
        <v>-3.3745129999999998E-2</v>
      </c>
      <c r="W2472">
        <v>0.37350149999999999</v>
      </c>
      <c r="X2472">
        <v>0.92701560000000005</v>
      </c>
      <c r="Y2472">
        <v>3.659254E-2</v>
      </c>
      <c r="Z2472">
        <v>1.932874E-3</v>
      </c>
      <c r="AA2472">
        <v>0.99932840000000001</v>
      </c>
      <c r="AB2472">
        <v>37</v>
      </c>
      <c r="AC2472">
        <v>-0.57910000000003903</v>
      </c>
      <c r="AD2472">
        <v>-6.4056999999999795E-2</v>
      </c>
      <c r="AE2472">
        <v>2.7400000000000001E-2</v>
      </c>
      <c r="AF2472">
        <v>2.84312825257532E-2</v>
      </c>
      <c r="AG2472">
        <v>-6.4056999999999795E-2</v>
      </c>
      <c r="AH2472">
        <v>0.57204939212255301</v>
      </c>
      <c r="AI2472">
        <v>96.381444031111897</v>
      </c>
      <c r="AJ2472">
        <v>87.154698163021393</v>
      </c>
      <c r="AK2472">
        <v>0.57632642148598501</v>
      </c>
      <c r="AL2472">
        <v>68.068273680159905</v>
      </c>
      <c r="AM2472">
        <v>92.084754777673595</v>
      </c>
      <c r="AN2472">
        <v>1.0000000134721601</v>
      </c>
    </row>
    <row r="2473" spans="1:40" x14ac:dyDescent="0.25">
      <c r="A2473" t="str">
        <f>"20190304164902336"</f>
        <v>20190304164902336</v>
      </c>
      <c r="B2473" t="str">
        <f>"1551689342328088"</f>
        <v>1551689342328088</v>
      </c>
      <c r="C2473" t="s">
        <v>40</v>
      </c>
      <c r="D2473">
        <v>4.3915150000000001</v>
      </c>
      <c r="E2473">
        <v>0.54468660000000002</v>
      </c>
      <c r="F2473" t="s">
        <v>41</v>
      </c>
      <c r="G2473">
        <v>-360.16359999999997</v>
      </c>
      <c r="H2473">
        <v>1.036734</v>
      </c>
      <c r="I2473">
        <v>284.42059999999998</v>
      </c>
      <c r="J2473">
        <v>-359.46390000000002</v>
      </c>
      <c r="K2473">
        <v>1.1105100000000001</v>
      </c>
      <c r="L2473">
        <v>284.3895</v>
      </c>
      <c r="M2473">
        <v>-0.99988809999999995</v>
      </c>
      <c r="N2473">
        <v>-1.480277E-2</v>
      </c>
      <c r="O2473">
        <v>-2.2063230000000001E-3</v>
      </c>
      <c r="P2473">
        <v>-0.93228009999999994</v>
      </c>
      <c r="Q2473">
        <v>0.35989130000000003</v>
      </c>
      <c r="R2473">
        <v>-3.6500030000000003E-2</v>
      </c>
      <c r="S2473">
        <v>-3.3276370000000002</v>
      </c>
      <c r="T2473">
        <v>-0.27367439999999998</v>
      </c>
      <c r="U2473">
        <v>0.1142883</v>
      </c>
      <c r="V2473">
        <v>-3.4135869999999999E-2</v>
      </c>
      <c r="W2473">
        <v>0.3736815</v>
      </c>
      <c r="X2473">
        <v>0.9269288</v>
      </c>
      <c r="Y2473">
        <v>3.6380269999999999E-2</v>
      </c>
      <c r="Z2473">
        <v>1.911434E-3</v>
      </c>
      <c r="AA2473">
        <v>0.99933620000000001</v>
      </c>
      <c r="AB2473">
        <v>36</v>
      </c>
      <c r="AC2473">
        <v>-0.69969999999995003</v>
      </c>
      <c r="AD2473">
        <v>-7.3775999999999994E-2</v>
      </c>
      <c r="AE2473">
        <v>3.1099999999980799E-2</v>
      </c>
      <c r="AF2473">
        <v>3.2285630273815598E-2</v>
      </c>
      <c r="AG2473">
        <v>-7.3775999999999994E-2</v>
      </c>
      <c r="AH2473">
        <v>0.69195207502205602</v>
      </c>
      <c r="AI2473">
        <v>96.079325866066995</v>
      </c>
      <c r="AJ2473">
        <v>87.328587071448993</v>
      </c>
      <c r="AK2473">
        <v>0.696622519177715</v>
      </c>
      <c r="AL2473">
        <v>68.057156491916899</v>
      </c>
      <c r="AM2473">
        <v>92.109070101212296</v>
      </c>
      <c r="AN2473">
        <v>1.0000000606661701</v>
      </c>
    </row>
    <row r="2474" spans="1:40" x14ac:dyDescent="0.25">
      <c r="A2474" t="str">
        <f>"20190304164902353"</f>
        <v>20190304164902353</v>
      </c>
      <c r="B2474" t="str">
        <f>"1551689342348583"</f>
        <v>1551689342348583</v>
      </c>
      <c r="C2474" t="s">
        <v>40</v>
      </c>
      <c r="D2474">
        <v>4.4073539999999998</v>
      </c>
      <c r="E2474">
        <v>0.544713</v>
      </c>
      <c r="F2474" t="s">
        <v>41</v>
      </c>
      <c r="G2474">
        <v>-360.48419999999999</v>
      </c>
      <c r="H2474">
        <v>1.0265569999999999</v>
      </c>
      <c r="I2474">
        <v>284.42430000000002</v>
      </c>
      <c r="J2474">
        <v>-359.7321</v>
      </c>
      <c r="K2474">
        <v>1.1105210000000001</v>
      </c>
      <c r="L2474">
        <v>284.38900000000001</v>
      </c>
      <c r="M2474">
        <v>-0.99988860000000002</v>
      </c>
      <c r="N2474">
        <v>-1.479985E-2</v>
      </c>
      <c r="O2474">
        <v>-1.9809070000000001E-3</v>
      </c>
      <c r="P2474">
        <v>-0.93235999999999997</v>
      </c>
      <c r="Q2474">
        <v>0.35972399999999999</v>
      </c>
      <c r="R2474">
        <v>-3.6108849999999998E-2</v>
      </c>
      <c r="S2474">
        <v>-3.3280940000000001</v>
      </c>
      <c r="T2474">
        <v>-0.27392280000000002</v>
      </c>
      <c r="U2474">
        <v>0.11346440000000001</v>
      </c>
      <c r="V2474">
        <v>-3.3962010000000001E-2</v>
      </c>
      <c r="W2474">
        <v>0.37351210000000001</v>
      </c>
      <c r="X2474">
        <v>0.92700340000000003</v>
      </c>
      <c r="Y2474">
        <v>3.5905319999999998E-2</v>
      </c>
      <c r="Z2474">
        <v>1.874463E-3</v>
      </c>
      <c r="AA2474">
        <v>0.99935339999999995</v>
      </c>
      <c r="AB2474">
        <v>36</v>
      </c>
      <c r="AC2474">
        <v>-0.752099999999984</v>
      </c>
      <c r="AD2474">
        <v>-8.39639999999999E-2</v>
      </c>
      <c r="AE2474">
        <v>3.53000000000065E-2</v>
      </c>
      <c r="AF2474">
        <v>3.6338035500903601E-2</v>
      </c>
      <c r="AG2474">
        <v>-8.39639999999999E-2</v>
      </c>
      <c r="AH2474">
        <v>0.74279126613943602</v>
      </c>
      <c r="AI2474">
        <v>96.4416135217283</v>
      </c>
      <c r="AJ2474">
        <v>87.1992703566861</v>
      </c>
      <c r="AK2474">
        <v>0.74840448366714896</v>
      </c>
      <c r="AL2474">
        <v>68.067618772470396</v>
      </c>
      <c r="AM2474">
        <v>92.098169151048296</v>
      </c>
      <c r="AN2474">
        <v>1.0000000052906</v>
      </c>
    </row>
    <row r="2475" spans="1:40" x14ac:dyDescent="0.25">
      <c r="A2475" t="str">
        <f>"20190304164902365"</f>
        <v>20190304164902365</v>
      </c>
      <c r="B2475" t="str">
        <f>"1551689342358343"</f>
        <v>1551689342358343</v>
      </c>
      <c r="C2475" t="s">
        <v>40</v>
      </c>
      <c r="D2475">
        <v>4.3239000000000001</v>
      </c>
      <c r="E2475">
        <v>0.54463719999999904</v>
      </c>
      <c r="F2475" t="s">
        <v>41</v>
      </c>
      <c r="G2475">
        <v>-360.49779999999998</v>
      </c>
      <c r="H2475">
        <v>1.0470189999999999</v>
      </c>
      <c r="I2475">
        <v>284.41550000000001</v>
      </c>
      <c r="J2475">
        <v>-359.93310000000002</v>
      </c>
      <c r="K2475">
        <v>1.1105320000000001</v>
      </c>
      <c r="L2475">
        <v>284.3888</v>
      </c>
      <c r="M2475">
        <v>-0.99988889999999997</v>
      </c>
      <c r="N2475">
        <v>-1.479776E-2</v>
      </c>
      <c r="O2475">
        <v>-1.822024E-3</v>
      </c>
      <c r="P2475">
        <v>-0.93248180000000003</v>
      </c>
      <c r="Q2475">
        <v>0.35944310000000002</v>
      </c>
      <c r="R2475">
        <v>-3.5756679999999999E-2</v>
      </c>
      <c r="S2475">
        <v>-3.3286129999999998</v>
      </c>
      <c r="T2475">
        <v>-0.27609689999999998</v>
      </c>
      <c r="U2475">
        <v>0.1146851</v>
      </c>
      <c r="V2475">
        <v>-3.3766350000000001E-2</v>
      </c>
      <c r="W2475">
        <v>0.37323000000000001</v>
      </c>
      <c r="X2475">
        <v>0.92712419999999995</v>
      </c>
      <c r="Y2475">
        <v>3.6104709999999998E-2</v>
      </c>
      <c r="Z2475">
        <v>1.8860509999999999E-3</v>
      </c>
      <c r="AA2475">
        <v>0.99934630000000002</v>
      </c>
      <c r="AB2475">
        <v>36</v>
      </c>
      <c r="AC2475">
        <v>-0.56469999999995901</v>
      </c>
      <c r="AD2475">
        <v>-6.3512999999999903E-2</v>
      </c>
      <c r="AE2475">
        <v>2.6700000000005199E-2</v>
      </c>
      <c r="AF2475">
        <v>2.7383339340495701E-2</v>
      </c>
      <c r="AG2475">
        <v>-6.3512999999999903E-2</v>
      </c>
      <c r="AH2475">
        <v>0.55761236049392204</v>
      </c>
      <c r="AI2475">
        <v>96.490327994703506</v>
      </c>
      <c r="AJ2475">
        <v>87.188565979429796</v>
      </c>
      <c r="AK2475">
        <v>0.56188548034100405</v>
      </c>
      <c r="AL2475">
        <v>68.085042734844393</v>
      </c>
      <c r="AM2475">
        <v>92.085820440974103</v>
      </c>
      <c r="AN2475">
        <v>1.00000004075898</v>
      </c>
    </row>
    <row r="2476" spans="1:40" x14ac:dyDescent="0.25">
      <c r="A2476" t="str">
        <f>"20190304164902386"</f>
        <v>20190304164902386</v>
      </c>
      <c r="B2476" t="str">
        <f>"1551689342378490"</f>
        <v>1551689342378490</v>
      </c>
      <c r="C2476" t="s">
        <v>40</v>
      </c>
      <c r="D2476">
        <v>4.4435229999999999</v>
      </c>
      <c r="E2476">
        <v>0.54481049999999998</v>
      </c>
      <c r="F2476" t="s">
        <v>41</v>
      </c>
      <c r="G2476">
        <v>-360.81479999999999</v>
      </c>
      <c r="H2476">
        <v>1.0371729999999999</v>
      </c>
      <c r="I2476">
        <v>284.41989999999998</v>
      </c>
      <c r="J2476">
        <v>-360.27289999999999</v>
      </c>
      <c r="K2476">
        <v>1.1105430000000001</v>
      </c>
      <c r="L2476">
        <v>284.38850000000002</v>
      </c>
      <c r="M2476">
        <v>-0.99988929999999998</v>
      </c>
      <c r="N2476">
        <v>-1.479427E-2</v>
      </c>
      <c r="O2476">
        <v>-1.5714150000000001E-3</v>
      </c>
      <c r="P2476">
        <v>-0.93273799999999996</v>
      </c>
      <c r="Q2476">
        <v>0.35883710000000002</v>
      </c>
      <c r="R2476">
        <v>-3.5155930000000002E-2</v>
      </c>
      <c r="S2476">
        <v>-3.3284910000000001</v>
      </c>
      <c r="T2476">
        <v>-0.27718150000000003</v>
      </c>
      <c r="U2476">
        <v>0.115387</v>
      </c>
      <c r="V2476">
        <v>-3.3417049999999997E-2</v>
      </c>
      <c r="W2476">
        <v>0.37262240000000002</v>
      </c>
      <c r="X2476">
        <v>0.92738120000000002</v>
      </c>
      <c r="Y2476">
        <v>3.606562E-2</v>
      </c>
      <c r="Z2476">
        <v>1.8734540000000001E-3</v>
      </c>
      <c r="AA2476">
        <v>0.99934769999999995</v>
      </c>
      <c r="AB2476">
        <v>36</v>
      </c>
      <c r="AC2476">
        <v>-0.54189999999999805</v>
      </c>
      <c r="AD2476">
        <v>-7.3370000000000102E-2</v>
      </c>
      <c r="AE2476">
        <v>3.1399999999962298E-2</v>
      </c>
      <c r="AF2476">
        <v>3.1672933779312698E-2</v>
      </c>
      <c r="AG2476">
        <v>-7.3370000000000102E-2</v>
      </c>
      <c r="AH2476">
        <v>0.532127906025607</v>
      </c>
      <c r="AI2476">
        <v>97.836768480273406</v>
      </c>
      <c r="AJ2476">
        <v>86.5937006977491</v>
      </c>
      <c r="AK2476">
        <v>0.53809519604377298</v>
      </c>
      <c r="AL2476">
        <v>68.1225618204721</v>
      </c>
      <c r="AM2476">
        <v>92.063690626294402</v>
      </c>
      <c r="AN2476">
        <v>1.0000000211629501</v>
      </c>
    </row>
    <row r="2477" spans="1:40" x14ac:dyDescent="0.25">
      <c r="A2477" t="str">
        <f>"20190304164902398"</f>
        <v>20190304164902398</v>
      </c>
      <c r="B2477" t="str">
        <f>"1551689342388247"</f>
        <v>1551689342388247</v>
      </c>
      <c r="C2477" t="s">
        <v>40</v>
      </c>
      <c r="D2477">
        <v>4.3603690000000004</v>
      </c>
      <c r="E2477">
        <v>0.55938290000000002</v>
      </c>
      <c r="F2477" t="s">
        <v>41</v>
      </c>
      <c r="G2477">
        <v>-361.13990000000001</v>
      </c>
      <c r="H2477">
        <v>1.0375379999999901</v>
      </c>
      <c r="I2477">
        <v>284.41930000000002</v>
      </c>
      <c r="J2477">
        <v>-360.46839999999997</v>
      </c>
      <c r="K2477">
        <v>1.110555</v>
      </c>
      <c r="L2477">
        <v>284.38830000000002</v>
      </c>
      <c r="M2477">
        <v>-0.99988960000000005</v>
      </c>
      <c r="N2477">
        <v>-1.479228E-2</v>
      </c>
      <c r="O2477">
        <v>-1.4404029999999901E-3</v>
      </c>
      <c r="P2477">
        <v>-0.93287989999999998</v>
      </c>
      <c r="Q2477">
        <v>0.3584792</v>
      </c>
      <c r="R2477">
        <v>-3.5042200000000003E-2</v>
      </c>
      <c r="S2477">
        <v>-3.3286440000000002</v>
      </c>
      <c r="T2477">
        <v>-0.28022439999999998</v>
      </c>
      <c r="U2477">
        <v>0.11895749999999999</v>
      </c>
      <c r="V2477">
        <v>-3.3438599999999999E-2</v>
      </c>
      <c r="W2477">
        <v>0.37226359999999997</v>
      </c>
      <c r="X2477">
        <v>0.92752449999999997</v>
      </c>
      <c r="Y2477">
        <v>3.6997099999999998E-2</v>
      </c>
      <c r="Z2477">
        <v>1.928117E-3</v>
      </c>
      <c r="AA2477">
        <v>0.99931349999999997</v>
      </c>
      <c r="AB2477">
        <v>36</v>
      </c>
      <c r="AC2477">
        <v>-0.67150000000003696</v>
      </c>
      <c r="AD2477">
        <v>-7.3017000000000096E-2</v>
      </c>
      <c r="AE2477">
        <v>3.1000000000005901E-2</v>
      </c>
      <c r="AF2477">
        <v>3.1594532252309501E-2</v>
      </c>
      <c r="AG2477">
        <v>-7.3017000000000096E-2</v>
      </c>
      <c r="AH2477">
        <v>0.66362478694744698</v>
      </c>
      <c r="AI2477">
        <v>96.271810133628406</v>
      </c>
      <c r="AJ2477">
        <v>87.274261686996098</v>
      </c>
      <c r="AK2477">
        <v>0.66837680585751003</v>
      </c>
      <c r="AL2477">
        <v>68.144713039165595</v>
      </c>
      <c r="AM2477">
        <v>92.064701544235405</v>
      </c>
      <c r="AN2477">
        <v>1.0000000129775799</v>
      </c>
    </row>
    <row r="2478" spans="1:40" x14ac:dyDescent="0.25">
      <c r="A2478" t="str">
        <f>"20190304164902411"</f>
        <v>20190304164902411</v>
      </c>
      <c r="B2478" t="str">
        <f>"1551689342398007"</f>
        <v>1551689342398007</v>
      </c>
      <c r="C2478" t="s">
        <v>40</v>
      </c>
      <c r="D2478">
        <v>4.7626039999999996</v>
      </c>
      <c r="E2478">
        <v>0.56018509999999999</v>
      </c>
      <c r="F2478" t="s">
        <v>41</v>
      </c>
      <c r="G2478">
        <v>-361.45209999999997</v>
      </c>
      <c r="H2478">
        <v>1.0129170000000001</v>
      </c>
      <c r="I2478">
        <v>284.4563</v>
      </c>
      <c r="J2478">
        <v>-360.67349999999999</v>
      </c>
      <c r="K2478">
        <v>1.110571</v>
      </c>
      <c r="L2478">
        <v>284.38819999999998</v>
      </c>
      <c r="M2478">
        <v>-0.99988980000000005</v>
      </c>
      <c r="N2478">
        <v>-1.479019E-2</v>
      </c>
      <c r="O2478">
        <v>-1.316474E-3</v>
      </c>
      <c r="P2478">
        <v>-0.93290779999999995</v>
      </c>
      <c r="Q2478">
        <v>0.35842030000000002</v>
      </c>
      <c r="R2478">
        <v>-3.490505E-2</v>
      </c>
      <c r="S2478">
        <v>-3.352417</v>
      </c>
      <c r="T2478">
        <v>-0.3328893</v>
      </c>
      <c r="U2478">
        <v>0.23059080000000001</v>
      </c>
      <c r="V2478">
        <v>-3.3432419999999997E-2</v>
      </c>
      <c r="W2478">
        <v>0.37220199999999998</v>
      </c>
      <c r="X2478">
        <v>0.92754939999999997</v>
      </c>
      <c r="Y2478">
        <v>6.9538559999999999E-2</v>
      </c>
      <c r="Z2478">
        <v>4.0671960000000004E-3</v>
      </c>
      <c r="AA2478">
        <v>0.99757099999999999</v>
      </c>
      <c r="AB2478">
        <v>36</v>
      </c>
      <c r="AC2478">
        <v>-0.77859999999998297</v>
      </c>
      <c r="AD2478">
        <v>-9.7653999999999894E-2</v>
      </c>
      <c r="AE2478">
        <v>6.8100000000015301E-2</v>
      </c>
      <c r="AF2478">
        <v>6.8062509423450601E-2</v>
      </c>
      <c r="AG2478">
        <v>-9.7653999999999894E-2</v>
      </c>
      <c r="AH2478">
        <v>0.76654286488711698</v>
      </c>
      <c r="AI2478">
        <v>97.2319593465607</v>
      </c>
      <c r="AJ2478">
        <v>84.925927034725902</v>
      </c>
      <c r="AK2478">
        <v>0.77572983223179304</v>
      </c>
      <c r="AL2478">
        <v>68.148514791636103</v>
      </c>
      <c r="AM2478">
        <v>92.064264915212803</v>
      </c>
      <c r="AN2478">
        <v>0.99999997247570704</v>
      </c>
    </row>
    <row r="2479" spans="1:40" x14ac:dyDescent="0.25">
      <c r="A2479" t="str">
        <f>"20190304164902423"</f>
        <v>20190304164902423</v>
      </c>
      <c r="B2479" t="str">
        <f>"1551689342418503"</f>
        <v>1551689342418503</v>
      </c>
      <c r="C2479" t="s">
        <v>40</v>
      </c>
      <c r="D2479">
        <v>4.4543520000000001</v>
      </c>
      <c r="E2479">
        <v>0.55999919999999903</v>
      </c>
      <c r="F2479" t="s">
        <v>41</v>
      </c>
      <c r="G2479">
        <v>-361.46420000000001</v>
      </c>
      <c r="H2479">
        <v>1.0372380000000001</v>
      </c>
      <c r="I2479">
        <v>284.44499999999999</v>
      </c>
      <c r="J2479">
        <v>-360.86079999999998</v>
      </c>
      <c r="K2479">
        <v>1.110584</v>
      </c>
      <c r="L2479">
        <v>284.38799999999998</v>
      </c>
      <c r="M2479">
        <v>-0.99988999999999995</v>
      </c>
      <c r="N2479">
        <v>-1.4788279999999999E-2</v>
      </c>
      <c r="O2479">
        <v>-1.216745E-3</v>
      </c>
      <c r="P2479">
        <v>-0.93294480000000002</v>
      </c>
      <c r="Q2479">
        <v>0.35834139999999998</v>
      </c>
      <c r="R2479">
        <v>-3.4719239999999998E-2</v>
      </c>
      <c r="S2479">
        <v>-3.3438720000000002</v>
      </c>
      <c r="T2479">
        <v>-0.310293599999999</v>
      </c>
      <c r="U2479">
        <v>0.23913570000000001</v>
      </c>
      <c r="V2479">
        <v>-3.3355750000000003E-2</v>
      </c>
      <c r="W2479">
        <v>0.37212020000000001</v>
      </c>
      <c r="X2479">
        <v>0.92758499999999999</v>
      </c>
      <c r="Y2479">
        <v>7.2184349999999994E-2</v>
      </c>
      <c r="Z2479">
        <v>3.9681059999999999E-3</v>
      </c>
      <c r="AA2479">
        <v>0.99738340000000003</v>
      </c>
      <c r="AB2479">
        <v>36</v>
      </c>
      <c r="AC2479">
        <v>-0.60340000000002103</v>
      </c>
      <c r="AD2479">
        <v>-7.3346000000000106E-2</v>
      </c>
      <c r="AE2479">
        <v>5.7000000000016302E-2</v>
      </c>
      <c r="AF2479">
        <v>5.6900918351643598E-2</v>
      </c>
      <c r="AG2479">
        <v>-7.3346000000000106E-2</v>
      </c>
      <c r="AH2479">
        <v>0.59462205925036504</v>
      </c>
      <c r="AI2479">
        <v>97.000195850524804</v>
      </c>
      <c r="AJ2479">
        <v>84.533863146357405</v>
      </c>
      <c r="AK2479">
        <v>0.60182451227280898</v>
      </c>
      <c r="AL2479">
        <v>68.153564722365601</v>
      </c>
      <c r="AM2479">
        <v>92.059456077710195</v>
      </c>
      <c r="AN2479">
        <v>0.99999999076555102</v>
      </c>
    </row>
    <row r="2480" spans="1:40" x14ac:dyDescent="0.25">
      <c r="A2480" t="str">
        <f>"20190304164902438"</f>
        <v>20190304164902438</v>
      </c>
      <c r="B2480" t="str">
        <f>"1551689342428263"</f>
        <v>1551689342428263</v>
      </c>
      <c r="C2480" t="s">
        <v>40</v>
      </c>
      <c r="D2480">
        <v>4.454313</v>
      </c>
      <c r="E2480">
        <v>0.55987349999999902</v>
      </c>
      <c r="F2480" t="s">
        <v>41</v>
      </c>
      <c r="G2480">
        <v>-361.77800000000002</v>
      </c>
      <c r="H2480">
        <v>1.016348</v>
      </c>
      <c r="I2480">
        <v>284.45190000000002</v>
      </c>
      <c r="J2480">
        <v>-361.09320000000002</v>
      </c>
      <c r="K2480">
        <v>1.1106049999999901</v>
      </c>
      <c r="L2480">
        <v>284.38780000000003</v>
      </c>
      <c r="M2480">
        <v>-0.9998901</v>
      </c>
      <c r="N2480">
        <v>-1.4785909999999999E-2</v>
      </c>
      <c r="O2480">
        <v>-1.1051870000000001E-3</v>
      </c>
      <c r="P2480">
        <v>-0.93295700000000004</v>
      </c>
      <c r="Q2480">
        <v>0.3583363</v>
      </c>
      <c r="R2480">
        <v>-3.4446280000000003E-2</v>
      </c>
      <c r="S2480">
        <v>-3.3568120000000001</v>
      </c>
      <c r="T2480">
        <v>-0.34497139999999998</v>
      </c>
      <c r="U2480">
        <v>0.23376459999999999</v>
      </c>
      <c r="V2480">
        <v>-3.3207269999999997E-2</v>
      </c>
      <c r="W2480">
        <v>0.37211090000000002</v>
      </c>
      <c r="X2480">
        <v>0.92759409999999998</v>
      </c>
      <c r="Y2480">
        <v>7.0147920000000002E-2</v>
      </c>
      <c r="Z2480">
        <v>4.2083529999999997E-3</v>
      </c>
      <c r="AA2480">
        <v>0.99752770000000002</v>
      </c>
      <c r="AB2480">
        <v>36</v>
      </c>
      <c r="AC2480">
        <v>-0.68479999999999497</v>
      </c>
      <c r="AD2480">
        <v>-9.4256999999999799E-2</v>
      </c>
      <c r="AE2480">
        <v>6.4099999999996202E-2</v>
      </c>
      <c r="AF2480">
        <v>6.3661274093843201E-2</v>
      </c>
      <c r="AG2480">
        <v>-9.4256999999999799E-2</v>
      </c>
      <c r="AH2480">
        <v>0.67210612650578305</v>
      </c>
      <c r="AI2480">
        <v>97.948050023845695</v>
      </c>
      <c r="AJ2480">
        <v>84.589139479521904</v>
      </c>
      <c r="AK2480">
        <v>0.68166251558587199</v>
      </c>
      <c r="AL2480">
        <v>68.154139689793297</v>
      </c>
      <c r="AM2480">
        <v>92.050276346361599</v>
      </c>
      <c r="AN2480">
        <v>1.00000002951723</v>
      </c>
    </row>
    <row r="2481" spans="1:40" x14ac:dyDescent="0.25">
      <c r="A2481" t="str">
        <f>"20190304164902451"</f>
        <v>20190304164902451</v>
      </c>
      <c r="B2481" t="str">
        <f>"1551689342438025"</f>
        <v>1551689342438025</v>
      </c>
      <c r="C2481" t="s">
        <v>40</v>
      </c>
      <c r="D2481">
        <v>4.5714009999999998</v>
      </c>
      <c r="E2481">
        <v>0.56009889999999996</v>
      </c>
      <c r="F2481" t="s">
        <v>41</v>
      </c>
      <c r="G2481">
        <v>-362.09629999999999</v>
      </c>
      <c r="H2481">
        <v>1.005536</v>
      </c>
      <c r="I2481">
        <v>284.45760000000001</v>
      </c>
      <c r="J2481">
        <v>-361.31880000000001</v>
      </c>
      <c r="K2481">
        <v>1.1106279999999999</v>
      </c>
      <c r="L2481">
        <v>284.38760000000002</v>
      </c>
      <c r="M2481">
        <v>-0.99989030000000001</v>
      </c>
      <c r="N2481">
        <v>-1.4783630000000001E-2</v>
      </c>
      <c r="O2481">
        <v>-1.02132E-3</v>
      </c>
      <c r="P2481">
        <v>-0.93289860000000002</v>
      </c>
      <c r="Q2481">
        <v>0.35851680000000002</v>
      </c>
      <c r="R2481">
        <v>-3.4151540000000001E-2</v>
      </c>
      <c r="S2481">
        <v>-3.3593440000000001</v>
      </c>
      <c r="T2481">
        <v>-0.35203499999999999</v>
      </c>
      <c r="U2481">
        <v>0.23257449999999999</v>
      </c>
      <c r="V2481">
        <v>-3.3012350000000003E-2</v>
      </c>
      <c r="W2481">
        <v>0.37228660000000002</v>
      </c>
      <c r="X2481">
        <v>0.92753050000000004</v>
      </c>
      <c r="Y2481">
        <v>6.9647990000000007E-2</v>
      </c>
      <c r="Z2481">
        <v>4.2436540000000003E-3</v>
      </c>
      <c r="AA2481">
        <v>0.99756259999999997</v>
      </c>
      <c r="AB2481">
        <v>36</v>
      </c>
      <c r="AC2481">
        <v>-0.77749999999997499</v>
      </c>
      <c r="AD2481">
        <v>-0.105092</v>
      </c>
      <c r="AE2481">
        <v>6.9999999999993096E-2</v>
      </c>
      <c r="AF2481">
        <v>6.9533955875388506E-2</v>
      </c>
      <c r="AG2481">
        <v>-0.105092</v>
      </c>
      <c r="AH2481">
        <v>0.76358948798980597</v>
      </c>
      <c r="AI2481">
        <v>97.804435050771005</v>
      </c>
      <c r="AJ2481">
        <v>84.796884216897993</v>
      </c>
      <c r="AK2481">
        <v>0.77391744110868499</v>
      </c>
      <c r="AL2481">
        <v>68.143292378935001</v>
      </c>
      <c r="AM2481">
        <v>92.0383914605097</v>
      </c>
      <c r="AN2481">
        <v>0.99999997811116603</v>
      </c>
    </row>
    <row r="2482" spans="1:40" x14ac:dyDescent="0.25">
      <c r="A2482" t="str">
        <f>"20190304164902467"</f>
        <v>20190304164902467</v>
      </c>
      <c r="B2482" t="str">
        <f>"1551689342458520"</f>
        <v>1551689342458520</v>
      </c>
      <c r="C2482" t="s">
        <v>40</v>
      </c>
      <c r="D2482">
        <v>4.4818519999999999</v>
      </c>
      <c r="E2482">
        <v>0.56039700000000003</v>
      </c>
      <c r="F2482" t="s">
        <v>41</v>
      </c>
      <c r="G2482">
        <v>-362.10680000000002</v>
      </c>
      <c r="H2482">
        <v>1.026572</v>
      </c>
      <c r="I2482">
        <v>284.44299999999998</v>
      </c>
      <c r="J2482">
        <v>-361.5702</v>
      </c>
      <c r="K2482">
        <v>1.110657</v>
      </c>
      <c r="L2482">
        <v>284.38749999999999</v>
      </c>
      <c r="M2482">
        <v>-0.99989030000000001</v>
      </c>
      <c r="N2482">
        <v>-1.4780959999999999E-2</v>
      </c>
      <c r="O2482">
        <v>-9.4966810000000001E-4</v>
      </c>
      <c r="P2482">
        <v>-0.93300649999999996</v>
      </c>
      <c r="Q2482">
        <v>0.35821789999999998</v>
      </c>
      <c r="R2482">
        <v>-3.433721E-2</v>
      </c>
      <c r="S2482">
        <v>-3.362244</v>
      </c>
      <c r="T2482">
        <v>-0.35882960000000003</v>
      </c>
      <c r="U2482">
        <v>0.2346191</v>
      </c>
      <c r="V2482">
        <v>-3.3290479999999997E-2</v>
      </c>
      <c r="W2482">
        <v>0.37198429999999999</v>
      </c>
      <c r="X2482">
        <v>0.92764190000000002</v>
      </c>
      <c r="Y2482">
        <v>7.0103109999999996E-2</v>
      </c>
      <c r="Z2482">
        <v>4.3331079999999996E-3</v>
      </c>
      <c r="AA2482">
        <v>0.99753029999999998</v>
      </c>
      <c r="AB2482">
        <v>36</v>
      </c>
      <c r="AC2482">
        <v>-0.53660000000002095</v>
      </c>
      <c r="AD2482">
        <v>-8.4084999999999896E-2</v>
      </c>
      <c r="AE2482">
        <v>5.5499999999994998E-2</v>
      </c>
      <c r="AF2482">
        <v>5.4681151316346897E-2</v>
      </c>
      <c r="AG2482">
        <v>-8.4084999999999896E-2</v>
      </c>
      <c r="AH2482">
        <v>0.52382088747998201</v>
      </c>
      <c r="AI2482">
        <v>99.070996572964404</v>
      </c>
      <c r="AJ2482">
        <v>84.040533840561395</v>
      </c>
      <c r="AK2482">
        <v>0.53333726449086305</v>
      </c>
      <c r="AL2482">
        <v>68.161954446432105</v>
      </c>
      <c r="AM2482">
        <v>92.055303658410693</v>
      </c>
      <c r="AN2482">
        <v>1.0000000350703599</v>
      </c>
    </row>
    <row r="2483" spans="1:40" x14ac:dyDescent="0.25">
      <c r="A2483" t="str">
        <f>"20190304164902486"</f>
        <v>20190304164902486</v>
      </c>
      <c r="B2483" t="str">
        <f>"1551689342478099"</f>
        <v>1551689342478099</v>
      </c>
      <c r="C2483" t="s">
        <v>40</v>
      </c>
      <c r="D2483">
        <v>4.4051080000000002</v>
      </c>
      <c r="E2483">
        <v>0.56033149999999998</v>
      </c>
      <c r="F2483" t="s">
        <v>41</v>
      </c>
      <c r="G2483">
        <v>-362.42559999999997</v>
      </c>
      <c r="H2483">
        <v>1.0172110000000001</v>
      </c>
      <c r="I2483">
        <v>284.44779999999997</v>
      </c>
      <c r="J2483">
        <v>-361.89240000000001</v>
      </c>
      <c r="K2483">
        <v>1.1106940000000001</v>
      </c>
      <c r="L2483">
        <v>284.38720000000001</v>
      </c>
      <c r="M2483">
        <v>-0.99989039999999996</v>
      </c>
      <c r="N2483">
        <v>-1.4777480000000001E-2</v>
      </c>
      <c r="O2483">
        <v>-8.8479749999999995E-4</v>
      </c>
      <c r="P2483">
        <v>-0.93304699999999996</v>
      </c>
      <c r="Q2483">
        <v>0.35808780000000001</v>
      </c>
      <c r="R2483">
        <v>-3.459168E-2</v>
      </c>
      <c r="S2483">
        <v>-3.365326</v>
      </c>
      <c r="T2483">
        <v>-0.36783549999999998</v>
      </c>
      <c r="U2483">
        <v>0.23638919999999999</v>
      </c>
      <c r="V2483">
        <v>-3.363613E-2</v>
      </c>
      <c r="W2483">
        <v>0.37184879999999998</v>
      </c>
      <c r="X2483">
        <v>0.9276837</v>
      </c>
      <c r="Y2483">
        <v>7.0473999999999995E-2</v>
      </c>
      <c r="Z2483">
        <v>4.441754E-3</v>
      </c>
      <c r="AA2483">
        <v>0.99750380000000005</v>
      </c>
      <c r="AB2483">
        <v>36</v>
      </c>
      <c r="AC2483">
        <v>-0.53319999999996504</v>
      </c>
      <c r="AD2483">
        <v>-9.34829999999999E-2</v>
      </c>
      <c r="AE2483">
        <v>6.05999999999653E-2</v>
      </c>
      <c r="AF2483">
        <v>5.9273061555872301E-2</v>
      </c>
      <c r="AG2483">
        <v>-9.34829999999999E-2</v>
      </c>
      <c r="AH2483">
        <v>0.51744347814407199</v>
      </c>
      <c r="AI2483">
        <v>100.17563677995</v>
      </c>
      <c r="AJ2483">
        <v>83.4652611798968</v>
      </c>
      <c r="AK2483">
        <v>0.52915037578087398</v>
      </c>
      <c r="AL2483">
        <v>68.170316783203305</v>
      </c>
      <c r="AM2483">
        <v>92.076531489043404</v>
      </c>
      <c r="AN2483">
        <v>0.99999998327425299</v>
      </c>
    </row>
    <row r="2484" spans="1:40" x14ac:dyDescent="0.25">
      <c r="A2484" t="str">
        <f>"20190304164902499"</f>
        <v>20190304164902499</v>
      </c>
      <c r="B2484" t="str">
        <f>"1551689342488835"</f>
        <v>1551689342488835</v>
      </c>
      <c r="C2484" t="s">
        <v>40</v>
      </c>
      <c r="D2484">
        <v>4.3535199999999996</v>
      </c>
      <c r="E2484">
        <v>0.56028040000000001</v>
      </c>
      <c r="F2484" t="s">
        <v>41</v>
      </c>
      <c r="G2484">
        <v>-362.74829999999997</v>
      </c>
      <c r="H2484">
        <v>1.016624</v>
      </c>
      <c r="I2484">
        <v>284.4477</v>
      </c>
      <c r="J2484">
        <v>-362.0915</v>
      </c>
      <c r="K2484">
        <v>1.110714</v>
      </c>
      <c r="L2484">
        <v>284.38709999999998</v>
      </c>
      <c r="M2484">
        <v>-0.99989059999999996</v>
      </c>
      <c r="N2484">
        <v>-1.477534E-2</v>
      </c>
      <c r="O2484">
        <v>-8.5674809999999998E-4</v>
      </c>
      <c r="P2484">
        <v>-0.93308749999999996</v>
      </c>
      <c r="Q2484">
        <v>0.3579695</v>
      </c>
      <c r="R2484">
        <v>-3.4722379999999997E-2</v>
      </c>
      <c r="S2484">
        <v>-3.3660580000000002</v>
      </c>
      <c r="T2484">
        <v>-0.37018909999999999</v>
      </c>
      <c r="U2484">
        <v>0.2358093</v>
      </c>
      <c r="V2484">
        <v>-3.3810409999999999E-2</v>
      </c>
      <c r="W2484">
        <v>0.37172759999999999</v>
      </c>
      <c r="X2484">
        <v>0.92772600000000005</v>
      </c>
      <c r="Y2484">
        <v>7.0255880000000007E-2</v>
      </c>
      <c r="Z2484">
        <v>4.4496520000000001E-3</v>
      </c>
      <c r="AA2484">
        <v>0.99751909999999999</v>
      </c>
      <c r="AB2484">
        <v>36</v>
      </c>
      <c r="AC2484">
        <v>-0.65679999999997496</v>
      </c>
      <c r="AD2484">
        <v>-9.4089999999999993E-2</v>
      </c>
      <c r="AE2484">
        <v>6.0600000000022101E-2</v>
      </c>
      <c r="AF2484">
        <v>5.9942982450638699E-2</v>
      </c>
      <c r="AG2484">
        <v>-9.4089999999999993E-2</v>
      </c>
      <c r="AH2484">
        <v>0.64365031150780005</v>
      </c>
      <c r="AI2484">
        <v>98.281362259364798</v>
      </c>
      <c r="AJ2484">
        <v>84.679405964364193</v>
      </c>
      <c r="AK2484">
        <v>0.65324712992034295</v>
      </c>
      <c r="AL2484">
        <v>68.177798591347198</v>
      </c>
      <c r="AM2484">
        <v>92.087186112317397</v>
      </c>
      <c r="AN2484">
        <v>1.0000000417510599</v>
      </c>
    </row>
    <row r="2485" spans="1:40" x14ac:dyDescent="0.25">
      <c r="A2485" t="str">
        <f>"20190304164902511"</f>
        <v>20190304164902511</v>
      </c>
      <c r="B2485" t="str">
        <f>"1551689342498595"</f>
        <v>1551689342498595</v>
      </c>
      <c r="C2485" t="s">
        <v>40</v>
      </c>
      <c r="D2485">
        <v>4.4802350000000004</v>
      </c>
      <c r="E2485">
        <v>0.56035500000000005</v>
      </c>
      <c r="F2485" t="s">
        <v>41</v>
      </c>
      <c r="G2485">
        <v>-363.06450000000001</v>
      </c>
      <c r="H2485">
        <v>1.0036959999999999</v>
      </c>
      <c r="I2485">
        <v>284.4554</v>
      </c>
      <c r="J2485">
        <v>-362.28559999999999</v>
      </c>
      <c r="K2485">
        <v>1.1107290000000001</v>
      </c>
      <c r="L2485">
        <v>284.38690000000003</v>
      </c>
      <c r="M2485">
        <v>-0.99989059999999996</v>
      </c>
      <c r="N2485">
        <v>-1.477327E-2</v>
      </c>
      <c r="O2485">
        <v>-8.3878239999999997E-4</v>
      </c>
      <c r="P2485">
        <v>-0.93309989999999998</v>
      </c>
      <c r="Q2485">
        <v>0.35790759999999899</v>
      </c>
      <c r="R2485">
        <v>-3.5027240000000001E-2</v>
      </c>
      <c r="S2485">
        <v>-3.3659669999999999</v>
      </c>
      <c r="T2485">
        <v>-0.3704095</v>
      </c>
      <c r="U2485">
        <v>0.23526</v>
      </c>
      <c r="V2485">
        <v>-3.4147120000000003E-2</v>
      </c>
      <c r="W2485">
        <v>0.37166290000000002</v>
      </c>
      <c r="X2485">
        <v>0.92773950000000005</v>
      </c>
      <c r="Y2485">
        <v>7.0078570000000007E-2</v>
      </c>
      <c r="Z2485">
        <v>4.4393059999999996E-3</v>
      </c>
      <c r="AA2485">
        <v>0.99753159999999996</v>
      </c>
      <c r="AB2485">
        <v>36</v>
      </c>
      <c r="AC2485">
        <v>-0.77890000000002102</v>
      </c>
      <c r="AD2485">
        <v>-0.107033</v>
      </c>
      <c r="AE2485">
        <v>6.8499999999971806E-2</v>
      </c>
      <c r="AF2485">
        <v>6.7881404973627005E-2</v>
      </c>
      <c r="AG2485">
        <v>-0.107033</v>
      </c>
      <c r="AH2485">
        <v>0.76451665957340798</v>
      </c>
      <c r="AI2485">
        <v>97.938827928947802</v>
      </c>
      <c r="AJ2485">
        <v>84.926015861648906</v>
      </c>
      <c r="AK2485">
        <v>0.77495139911834199</v>
      </c>
      <c r="AL2485">
        <v>68.181789805594804</v>
      </c>
      <c r="AM2485">
        <v>92.107922607452593</v>
      </c>
      <c r="AN2485">
        <v>0.99999995845047596</v>
      </c>
    </row>
    <row r="2486" spans="1:40" x14ac:dyDescent="0.25">
      <c r="A2486" t="str">
        <f>"20190304164902522"</f>
        <v>20190304164902522</v>
      </c>
      <c r="B2486" t="str">
        <f>"1551689342518116"</f>
        <v>1551689342518116</v>
      </c>
      <c r="C2486" t="s">
        <v>40</v>
      </c>
      <c r="D2486">
        <v>4.3552879999999998</v>
      </c>
      <c r="E2486">
        <v>0.56035029999999997</v>
      </c>
      <c r="F2486" t="s">
        <v>41</v>
      </c>
      <c r="G2486">
        <v>-363.07440000000003</v>
      </c>
      <c r="H2486">
        <v>1.0234620000000001</v>
      </c>
      <c r="I2486">
        <v>284.44220000000001</v>
      </c>
      <c r="J2486">
        <v>-362.47109999999998</v>
      </c>
      <c r="K2486">
        <v>1.110746</v>
      </c>
      <c r="L2486">
        <v>284.38670000000002</v>
      </c>
      <c r="M2486">
        <v>-0.99989070000000002</v>
      </c>
      <c r="N2486">
        <v>-1.4771299999999999E-2</v>
      </c>
      <c r="O2486">
        <v>-8.2947360000000005E-4</v>
      </c>
      <c r="P2486">
        <v>-0.93310559999999998</v>
      </c>
      <c r="Q2486">
        <v>0.35786639999999997</v>
      </c>
      <c r="R2486">
        <v>-3.5298240000000002E-2</v>
      </c>
      <c r="S2486">
        <v>-3.3668520000000002</v>
      </c>
      <c r="T2486">
        <v>-0.37270609999999998</v>
      </c>
      <c r="U2486">
        <v>0.23458860000000001</v>
      </c>
      <c r="V2486">
        <v>-3.4439310000000001E-2</v>
      </c>
      <c r="W2486">
        <v>0.37161919999999998</v>
      </c>
      <c r="X2486">
        <v>0.92774630000000002</v>
      </c>
      <c r="Y2486">
        <v>6.9849339999999996E-2</v>
      </c>
      <c r="Z2486">
        <v>4.4472560000000001E-3</v>
      </c>
      <c r="AA2486">
        <v>0.99754759999999998</v>
      </c>
      <c r="AB2486">
        <v>36</v>
      </c>
      <c r="AC2486">
        <v>-0.60330000000004702</v>
      </c>
      <c r="AD2486">
        <v>-8.7283999999999903E-2</v>
      </c>
      <c r="AE2486">
        <v>5.5499999999994998E-2</v>
      </c>
      <c r="AF2486">
        <v>5.4861748907392698E-2</v>
      </c>
      <c r="AG2486">
        <v>-8.7283999999999903E-2</v>
      </c>
      <c r="AH2486">
        <v>0.59098724736311203</v>
      </c>
      <c r="AI2486">
        <v>98.365927649059401</v>
      </c>
      <c r="AJ2486">
        <v>84.696393562811807</v>
      </c>
      <c r="AK2486">
        <v>0.59991185577133499</v>
      </c>
      <c r="AL2486">
        <v>68.184488819321004</v>
      </c>
      <c r="AM2486">
        <v>92.125927626439093</v>
      </c>
      <c r="AN2486">
        <v>1.0000000465228001</v>
      </c>
    </row>
    <row r="2487" spans="1:40" x14ac:dyDescent="0.25">
      <c r="A2487" t="str">
        <f>"20190304164902535"</f>
        <v>20190304164902535</v>
      </c>
      <c r="B2487" t="str">
        <f>"1551689342528852"</f>
        <v>1551689342528852</v>
      </c>
      <c r="C2487" t="s">
        <v>40</v>
      </c>
      <c r="D2487">
        <v>4.3196219999999999</v>
      </c>
      <c r="E2487">
        <v>0.56034890000000004</v>
      </c>
      <c r="F2487" t="s">
        <v>41</v>
      </c>
      <c r="G2487">
        <v>-363.3895</v>
      </c>
      <c r="H2487">
        <v>1.0089539999999999</v>
      </c>
      <c r="I2487">
        <v>284.45060000000001</v>
      </c>
      <c r="J2487">
        <v>-362.68430000000001</v>
      </c>
      <c r="K2487">
        <v>1.1107590000000001</v>
      </c>
      <c r="L2487">
        <v>284.38659999999999</v>
      </c>
      <c r="M2487">
        <v>-0.99989059999999996</v>
      </c>
      <c r="N2487">
        <v>-1.4769050000000001E-2</v>
      </c>
      <c r="O2487">
        <v>-8.2446780000000001E-4</v>
      </c>
      <c r="P2487">
        <v>-0.93314620000000004</v>
      </c>
      <c r="Q2487">
        <v>0.3577149</v>
      </c>
      <c r="R2487">
        <v>-3.5757770000000001E-2</v>
      </c>
      <c r="S2487">
        <v>-3.3670650000000002</v>
      </c>
      <c r="T2487">
        <v>-0.37321779999999999</v>
      </c>
      <c r="U2487">
        <v>0.23339840000000001</v>
      </c>
      <c r="V2487">
        <v>-3.4916299999999997E-2</v>
      </c>
      <c r="W2487">
        <v>0.37146459999999998</v>
      </c>
      <c r="X2487">
        <v>0.92779029999999996</v>
      </c>
      <c r="Y2487">
        <v>6.9490339999999998E-2</v>
      </c>
      <c r="Z2487">
        <v>4.4294E-3</v>
      </c>
      <c r="AA2487">
        <v>0.99757280000000004</v>
      </c>
      <c r="AB2487">
        <v>36</v>
      </c>
      <c r="AC2487">
        <v>-0.70519999999998995</v>
      </c>
      <c r="AD2487">
        <v>-0.10180499999999899</v>
      </c>
      <c r="AE2487">
        <v>6.4000000000021304E-2</v>
      </c>
      <c r="AF2487">
        <v>6.3273559423343895E-2</v>
      </c>
      <c r="AG2487">
        <v>-0.10180499999999899</v>
      </c>
      <c r="AH2487">
        <v>0.69086642519456698</v>
      </c>
      <c r="AI2487">
        <v>98.348245061765198</v>
      </c>
      <c r="AJ2487">
        <v>84.767118251407993</v>
      </c>
      <c r="AK2487">
        <v>0.70118772009228703</v>
      </c>
      <c r="AL2487">
        <v>68.194027941434996</v>
      </c>
      <c r="AM2487">
        <v>92.155242366620399</v>
      </c>
      <c r="AN2487">
        <v>0.99999996891646903</v>
      </c>
    </row>
    <row r="2488" spans="1:40" x14ac:dyDescent="0.25">
      <c r="A2488" t="str">
        <f>"20190304164902547"</f>
        <v>20190304164902547</v>
      </c>
      <c r="B2488" t="str">
        <f>"1551689342538612"</f>
        <v>1551689342538612</v>
      </c>
      <c r="C2488" t="s">
        <v>40</v>
      </c>
      <c r="D2488">
        <v>4.5137239999999998</v>
      </c>
      <c r="E2488">
        <v>0.56050749999999905</v>
      </c>
      <c r="F2488" t="s">
        <v>41</v>
      </c>
      <c r="G2488">
        <v>-363.7056</v>
      </c>
      <c r="H2488">
        <v>0.99743870000000001</v>
      </c>
      <c r="I2488">
        <v>284.45690000000002</v>
      </c>
      <c r="J2488">
        <v>-362.87299999999999</v>
      </c>
      <c r="K2488">
        <v>1.1107720000000001</v>
      </c>
      <c r="L2488">
        <v>284.38639999999998</v>
      </c>
      <c r="M2488">
        <v>-0.99989070000000002</v>
      </c>
      <c r="N2488">
        <v>-1.476702E-2</v>
      </c>
      <c r="O2488">
        <v>-8.3122000000000003E-4</v>
      </c>
      <c r="P2488">
        <v>-0.93323449999999997</v>
      </c>
      <c r="Q2488">
        <v>0.3574657</v>
      </c>
      <c r="R2488">
        <v>-3.5944869999999997E-2</v>
      </c>
      <c r="S2488">
        <v>-3.367035</v>
      </c>
      <c r="T2488">
        <v>-0.3736525</v>
      </c>
      <c r="U2488">
        <v>0.23138429999999999</v>
      </c>
      <c r="V2488">
        <v>-3.510812E-2</v>
      </c>
      <c r="W2488">
        <v>0.37121399999999999</v>
      </c>
      <c r="X2488">
        <v>0.92788340000000002</v>
      </c>
      <c r="Y2488">
        <v>6.8906690000000007E-2</v>
      </c>
      <c r="Z2488">
        <v>4.3980540000000002E-3</v>
      </c>
      <c r="AA2488">
        <v>0.99761339999999998</v>
      </c>
      <c r="AB2488">
        <v>36</v>
      </c>
      <c r="AC2488">
        <v>-0.83259999999995604</v>
      </c>
      <c r="AD2488">
        <v>-0.113333299999999</v>
      </c>
      <c r="AE2488">
        <v>7.0500000000038199E-2</v>
      </c>
      <c r="AF2488">
        <v>6.9906084604796095E-2</v>
      </c>
      <c r="AG2488">
        <v>-0.113333299999999</v>
      </c>
      <c r="AH2488">
        <v>0.81750178211908098</v>
      </c>
      <c r="AI2488">
        <v>97.864477725675002</v>
      </c>
      <c r="AJ2488">
        <v>85.112422222114503</v>
      </c>
      <c r="AK2488">
        <v>0.82827559502953896</v>
      </c>
      <c r="AL2488">
        <v>68.209492903034601</v>
      </c>
      <c r="AM2488">
        <v>92.166854155785799</v>
      </c>
      <c r="AN2488">
        <v>1.0000000089407399</v>
      </c>
    </row>
    <row r="2489" spans="1:40" x14ac:dyDescent="0.25">
      <c r="A2489" t="str">
        <f>"20190304164902566"</f>
        <v>20190304164902566</v>
      </c>
      <c r="B2489" t="str">
        <f>"1551689342558135"</f>
        <v>1551689342558135</v>
      </c>
      <c r="C2489" t="s">
        <v>40</v>
      </c>
      <c r="D2489">
        <v>4.3420829999999997</v>
      </c>
      <c r="E2489">
        <v>0.56060269999999901</v>
      </c>
      <c r="F2489" t="s">
        <v>41</v>
      </c>
      <c r="G2489">
        <v>-363.71530000000001</v>
      </c>
      <c r="H2489">
        <v>1.0169360000000001</v>
      </c>
      <c r="I2489">
        <v>284.44450000000001</v>
      </c>
      <c r="J2489">
        <v>-363.17860000000002</v>
      </c>
      <c r="K2489">
        <v>1.1107899999999999</v>
      </c>
      <c r="L2489">
        <v>284.38619999999997</v>
      </c>
      <c r="M2489">
        <v>-0.99989070000000002</v>
      </c>
      <c r="N2489">
        <v>-1.476363E-2</v>
      </c>
      <c r="O2489">
        <v>-8.5167429999999996E-4</v>
      </c>
      <c r="P2489">
        <v>-0.93338560000000004</v>
      </c>
      <c r="Q2489">
        <v>0.35699370000000002</v>
      </c>
      <c r="R2489">
        <v>-3.6702739999999998E-2</v>
      </c>
      <c r="S2489">
        <v>-3.3672490000000002</v>
      </c>
      <c r="T2489">
        <v>-0.37517499999999998</v>
      </c>
      <c r="U2489">
        <v>0.23168949999999999</v>
      </c>
      <c r="V2489">
        <v>-3.5863599999999898E-2</v>
      </c>
      <c r="W2489">
        <v>0.37073970000000001</v>
      </c>
      <c r="X2489">
        <v>0.92804410000000004</v>
      </c>
      <c r="Y2489">
        <v>6.9008319999999998E-2</v>
      </c>
      <c r="Z2489">
        <v>4.4218460000000001E-3</v>
      </c>
      <c r="AA2489">
        <v>0.99760629999999995</v>
      </c>
      <c r="AB2489">
        <v>36</v>
      </c>
      <c r="AC2489">
        <v>-0.53669999999999596</v>
      </c>
      <c r="AD2489">
        <v>-9.3853999999999799E-2</v>
      </c>
      <c r="AE2489">
        <v>5.8300000000031098E-2</v>
      </c>
      <c r="AF2489">
        <v>5.70333623312302E-2</v>
      </c>
      <c r="AG2489">
        <v>-9.3853999999999799E-2</v>
      </c>
      <c r="AH2489">
        <v>0.52090642162678602</v>
      </c>
      <c r="AI2489">
        <v>100.154243668399</v>
      </c>
      <c r="AJ2489">
        <v>83.7516487122803</v>
      </c>
      <c r="AK2489">
        <v>0.53235784753005</v>
      </c>
      <c r="AL2489">
        <v>68.238755982226195</v>
      </c>
      <c r="AM2489">
        <v>92.213053184746002</v>
      </c>
      <c r="AN2489">
        <v>0.99999998725292905</v>
      </c>
    </row>
    <row r="2490" spans="1:40" x14ac:dyDescent="0.25">
      <c r="A2490" t="str">
        <f>"20190304164902578"</f>
        <v>20190304164902578</v>
      </c>
      <c r="B2490" t="str">
        <f>"1551689342568867"</f>
        <v>1551689342568867</v>
      </c>
      <c r="C2490" t="s">
        <v>40</v>
      </c>
      <c r="D2490">
        <v>4.3205809999999998</v>
      </c>
      <c r="E2490">
        <v>0.56065559999999903</v>
      </c>
      <c r="F2490" t="s">
        <v>41</v>
      </c>
      <c r="G2490">
        <v>-364.03590000000003</v>
      </c>
      <c r="H2490">
        <v>1.0149999999999999</v>
      </c>
      <c r="I2490">
        <v>284.44450000000001</v>
      </c>
      <c r="J2490">
        <v>-363.36369999999999</v>
      </c>
      <c r="K2490">
        <v>1.1108009999999999</v>
      </c>
      <c r="L2490">
        <v>284.38600000000002</v>
      </c>
      <c r="M2490">
        <v>-0.99989070000000002</v>
      </c>
      <c r="N2490">
        <v>-1.476154E-2</v>
      </c>
      <c r="O2490">
        <v>-8.6949919999999999E-4</v>
      </c>
      <c r="P2490">
        <v>-0.93350259999999996</v>
      </c>
      <c r="Q2490">
        <v>0.35668260000000002</v>
      </c>
      <c r="R2490">
        <v>-3.6752319999999998E-2</v>
      </c>
      <c r="S2490">
        <v>-3.3670040000000001</v>
      </c>
      <c r="T2490">
        <v>-0.37618390000000002</v>
      </c>
      <c r="U2490">
        <v>0.22915650000000001</v>
      </c>
      <c r="V2490">
        <v>-3.5906479999999998E-2</v>
      </c>
      <c r="W2490">
        <v>0.37042750000000002</v>
      </c>
      <c r="X2490">
        <v>0.92816710000000002</v>
      </c>
      <c r="Y2490">
        <v>6.82865E-2</v>
      </c>
      <c r="Z2490">
        <v>4.3888540000000002E-3</v>
      </c>
      <c r="AA2490">
        <v>0.99765610000000005</v>
      </c>
      <c r="AB2490">
        <v>36</v>
      </c>
      <c r="AC2490">
        <v>-0.67220000000003199</v>
      </c>
      <c r="AD2490">
        <v>-9.5800999999999997E-2</v>
      </c>
      <c r="AE2490">
        <v>5.8500000000037702E-2</v>
      </c>
      <c r="AF2490">
        <v>5.7916978050171701E-2</v>
      </c>
      <c r="AG2490">
        <v>-9.5800999999999997E-2</v>
      </c>
      <c r="AH2490">
        <v>0.65886686280639695</v>
      </c>
      <c r="AI2490">
        <v>98.241640405118304</v>
      </c>
      <c r="AJ2490">
        <v>84.976389307721007</v>
      </c>
      <c r="AK2490">
        <v>0.66830962199553001</v>
      </c>
      <c r="AL2490">
        <v>68.258014972351205</v>
      </c>
      <c r="AM2490">
        <v>92.2154032369601</v>
      </c>
      <c r="AN2490">
        <v>0.99999998679232505</v>
      </c>
    </row>
    <row r="2491" spans="1:40" x14ac:dyDescent="0.25">
      <c r="A2491" t="str">
        <f>"20190304164902591"</f>
        <v>20190304164902591</v>
      </c>
      <c r="B2491" t="str">
        <f>"1551689342588388"</f>
        <v>1551689342588388</v>
      </c>
      <c r="C2491" t="s">
        <v>40</v>
      </c>
      <c r="D2491">
        <v>4.2974540000000001</v>
      </c>
      <c r="E2491">
        <v>0.56035990000000002</v>
      </c>
      <c r="F2491" t="s">
        <v>41</v>
      </c>
      <c r="G2491">
        <v>-364.34960000000001</v>
      </c>
      <c r="H2491">
        <v>1.0002040000000001</v>
      </c>
      <c r="I2491">
        <v>284.45319999999998</v>
      </c>
      <c r="J2491">
        <v>-363.57350000000002</v>
      </c>
      <c r="K2491">
        <v>1.110814</v>
      </c>
      <c r="L2491">
        <v>284.38580000000002</v>
      </c>
      <c r="M2491">
        <v>-0.99989070000000002</v>
      </c>
      <c r="N2491">
        <v>-1.475922E-2</v>
      </c>
      <c r="O2491">
        <v>-8.9497489999999997E-4</v>
      </c>
      <c r="P2491">
        <v>-0.93352500000000005</v>
      </c>
      <c r="Q2491">
        <v>0.35660120000000001</v>
      </c>
      <c r="R2491">
        <v>-3.697218E-2</v>
      </c>
      <c r="S2491">
        <v>-3.3670040000000001</v>
      </c>
      <c r="T2491">
        <v>-0.3776622</v>
      </c>
      <c r="U2491">
        <v>0.22921749999999999</v>
      </c>
      <c r="V2491">
        <v>-3.6113140000000002E-2</v>
      </c>
      <c r="W2491">
        <v>0.37034329999999999</v>
      </c>
      <c r="X2491">
        <v>0.92819269999999998</v>
      </c>
      <c r="Y2491">
        <v>6.8325940000000002E-2</v>
      </c>
      <c r="Z2491">
        <v>4.4089649999999999E-3</v>
      </c>
      <c r="AA2491">
        <v>0.99765329999999997</v>
      </c>
      <c r="AB2491">
        <v>36</v>
      </c>
      <c r="AC2491">
        <v>-0.77609999999998502</v>
      </c>
      <c r="AD2491">
        <v>-0.110609999999999</v>
      </c>
      <c r="AE2491">
        <v>6.7399999999963697E-2</v>
      </c>
      <c r="AF2491">
        <v>6.6748980017299397E-2</v>
      </c>
      <c r="AG2491">
        <v>-0.110609999999999</v>
      </c>
      <c r="AH2491">
        <v>0.76070358588631704</v>
      </c>
      <c r="AI2491">
        <v>98.241874646065895</v>
      </c>
      <c r="AJ2491">
        <v>84.985346867578599</v>
      </c>
      <c r="AK2491">
        <v>0.77159571280149797</v>
      </c>
      <c r="AL2491">
        <v>68.263209044201403</v>
      </c>
      <c r="AM2491">
        <v>92.2280797999274</v>
      </c>
      <c r="AN2491">
        <v>1.0000000035344101</v>
      </c>
    </row>
    <row r="2492" spans="1:40" x14ac:dyDescent="0.25">
      <c r="A2492" t="str">
        <f>"20190304164902609"</f>
        <v>20190304164902609</v>
      </c>
      <c r="B2492" t="str">
        <f>"1551689342598147"</f>
        <v>1551689342598147</v>
      </c>
      <c r="C2492" t="s">
        <v>40</v>
      </c>
      <c r="D2492">
        <v>4.2852540000000001</v>
      </c>
      <c r="E2492">
        <v>0.560071599999999</v>
      </c>
      <c r="F2492" t="s">
        <v>41</v>
      </c>
      <c r="G2492">
        <v>-364.36110000000002</v>
      </c>
      <c r="H2492">
        <v>1.0231980000000001</v>
      </c>
      <c r="I2492">
        <v>284.43880000000001</v>
      </c>
      <c r="J2492">
        <v>-363.87290000000002</v>
      </c>
      <c r="K2492">
        <v>1.110835</v>
      </c>
      <c r="L2492">
        <v>284.38549999999998</v>
      </c>
      <c r="M2492">
        <v>-0.99989090000000003</v>
      </c>
      <c r="N2492">
        <v>-1.4755880000000001E-2</v>
      </c>
      <c r="O2492">
        <v>-9.375497E-4</v>
      </c>
      <c r="P2492">
        <v>-0.93366899999999997</v>
      </c>
      <c r="Q2492">
        <v>0.3561916</v>
      </c>
      <c r="R2492">
        <v>-3.7281920000000003E-2</v>
      </c>
      <c r="S2492">
        <v>-3.3655699999999902</v>
      </c>
      <c r="T2492">
        <v>-0.37433329999999998</v>
      </c>
      <c r="U2492">
        <v>0.22622680000000001</v>
      </c>
      <c r="V2492">
        <v>-3.6397520000000003E-2</v>
      </c>
      <c r="W2492">
        <v>0.36993100000000001</v>
      </c>
      <c r="X2492">
        <v>0.928346</v>
      </c>
      <c r="Y2492">
        <v>6.7527710000000005E-2</v>
      </c>
      <c r="Z2492">
        <v>4.3302310000000004E-3</v>
      </c>
      <c r="AA2492">
        <v>0.99770800000000004</v>
      </c>
      <c r="AB2492">
        <v>36</v>
      </c>
      <c r="AC2492">
        <v>-0.48820000000000602</v>
      </c>
      <c r="AD2492">
        <v>-8.7636999999999896E-2</v>
      </c>
      <c r="AE2492">
        <v>5.3300000000035597E-2</v>
      </c>
      <c r="AF2492">
        <v>5.20986851412494E-2</v>
      </c>
      <c r="AG2492">
        <v>-8.7636999999999896E-2</v>
      </c>
      <c r="AH2492">
        <v>0.473084696068443</v>
      </c>
      <c r="AI2492">
        <v>100.433163520401</v>
      </c>
      <c r="AJ2492">
        <v>83.715597378796204</v>
      </c>
      <c r="AK2492">
        <v>0.48394591269750198</v>
      </c>
      <c r="AL2492">
        <v>68.288638288849796</v>
      </c>
      <c r="AM2492">
        <v>92.245236915829693</v>
      </c>
      <c r="AN2492">
        <v>1.0000000099695701</v>
      </c>
    </row>
    <row r="2493" spans="1:40" x14ac:dyDescent="0.25">
      <c r="A2493" t="str">
        <f>"20190304164902622"</f>
        <v>20190304164902622</v>
      </c>
      <c r="B2493" t="str">
        <f>"1551689342618644"</f>
        <v>1551689342618644</v>
      </c>
      <c r="C2493" t="s">
        <v>40</v>
      </c>
      <c r="D2493">
        <v>4.269711</v>
      </c>
      <c r="E2493">
        <v>0.55948560000000003</v>
      </c>
      <c r="F2493" t="s">
        <v>41</v>
      </c>
      <c r="G2493">
        <v>-364.68079999999998</v>
      </c>
      <c r="H2493">
        <v>1.020991</v>
      </c>
      <c r="I2493">
        <v>284.4393</v>
      </c>
      <c r="J2493">
        <v>-364.07670000000002</v>
      </c>
      <c r="K2493">
        <v>1.1108450000000001</v>
      </c>
      <c r="L2493">
        <v>284.38529999999997</v>
      </c>
      <c r="M2493">
        <v>-0.99989079999999997</v>
      </c>
      <c r="N2493">
        <v>-1.47536E-2</v>
      </c>
      <c r="O2493">
        <v>-9.6929000000000004E-4</v>
      </c>
      <c r="P2493">
        <v>-0.93362179999999995</v>
      </c>
      <c r="Q2493">
        <v>0.35634300000000002</v>
      </c>
      <c r="R2493">
        <v>-3.7015369999999999E-2</v>
      </c>
      <c r="S2493">
        <v>-3.3648380000000002</v>
      </c>
      <c r="T2493">
        <v>-0.37436760000000002</v>
      </c>
      <c r="U2493">
        <v>0.22262570000000001</v>
      </c>
      <c r="V2493">
        <v>-3.6110160000000002E-2</v>
      </c>
      <c r="W2493">
        <v>0.37007889999999999</v>
      </c>
      <c r="X2493">
        <v>0.92829819999999996</v>
      </c>
      <c r="Y2493">
        <v>6.6517450000000006E-2</v>
      </c>
      <c r="Z2493">
        <v>4.271052E-3</v>
      </c>
      <c r="AA2493">
        <v>0.99777610000000005</v>
      </c>
      <c r="AB2493">
        <v>36</v>
      </c>
      <c r="AC2493">
        <v>-0.604099999999959</v>
      </c>
      <c r="AD2493">
        <v>-8.98540000000001E-2</v>
      </c>
      <c r="AE2493">
        <v>5.4000000000030399E-2</v>
      </c>
      <c r="AF2493">
        <v>5.3413256575757698E-2</v>
      </c>
      <c r="AG2493">
        <v>-8.98540000000001E-2</v>
      </c>
      <c r="AH2493">
        <v>0.59107429685296797</v>
      </c>
      <c r="AI2493">
        <v>98.6092652948862</v>
      </c>
      <c r="AJ2493">
        <v>84.836411606247495</v>
      </c>
      <c r="AK2493">
        <v>0.60024623421914003</v>
      </c>
      <c r="AL2493">
        <v>68.279515344575103</v>
      </c>
      <c r="AM2493">
        <v>92.227643184854401</v>
      </c>
      <c r="AN2493">
        <v>0.99999994200183595</v>
      </c>
    </row>
    <row r="2494" spans="1:40" x14ac:dyDescent="0.25">
      <c r="A2494" t="str">
        <f>"20190304164902644"</f>
        <v>20190304164902644</v>
      </c>
      <c r="B2494" t="str">
        <f>"1551689342638165"</f>
        <v>1551689342638165</v>
      </c>
      <c r="C2494" t="s">
        <v>40</v>
      </c>
      <c r="D2494">
        <v>4.2290939999999999</v>
      </c>
      <c r="E2494">
        <v>0.55900340000000004</v>
      </c>
      <c r="F2494" t="s">
        <v>41</v>
      </c>
      <c r="G2494">
        <v>-364.99560000000002</v>
      </c>
      <c r="H2494">
        <v>1.00969</v>
      </c>
      <c r="I2494">
        <v>284.44540000000001</v>
      </c>
      <c r="J2494">
        <v>-364.41989999999998</v>
      </c>
      <c r="K2494">
        <v>1.110859</v>
      </c>
      <c r="L2494">
        <v>284.38490000000002</v>
      </c>
      <c r="M2494">
        <v>-0.99989070000000002</v>
      </c>
      <c r="N2494">
        <v>-1.4749770000000001E-2</v>
      </c>
      <c r="O2494">
        <v>-1.0269529999999999E-3</v>
      </c>
      <c r="P2494">
        <v>-0.9336103</v>
      </c>
      <c r="Q2494">
        <v>0.35638599999999998</v>
      </c>
      <c r="R2494">
        <v>-3.6888520000000001E-2</v>
      </c>
      <c r="S2494">
        <v>-3.3633120000000001</v>
      </c>
      <c r="T2494">
        <v>-0.37030020000000002</v>
      </c>
      <c r="U2494">
        <v>0.21942139999999999</v>
      </c>
      <c r="V2494">
        <v>-3.5941359999999999E-2</v>
      </c>
      <c r="W2494">
        <v>0.37011699999999997</v>
      </c>
      <c r="X2494">
        <v>0.92828960000000005</v>
      </c>
      <c r="Y2494">
        <v>6.5672869999999994E-2</v>
      </c>
      <c r="Z2494">
        <v>4.1846409999999898E-3</v>
      </c>
      <c r="AA2494">
        <v>0.99783239999999995</v>
      </c>
      <c r="AB2494">
        <v>36</v>
      </c>
      <c r="AC2494">
        <v>-0.57570000000003996</v>
      </c>
      <c r="AD2494">
        <v>-0.101169</v>
      </c>
      <c r="AE2494">
        <v>6.0499999999990402E-2</v>
      </c>
      <c r="AF2494">
        <v>5.9280556509085799E-2</v>
      </c>
      <c r="AG2494">
        <v>-0.101169</v>
      </c>
      <c r="AH2494">
        <v>0.55857615062482402</v>
      </c>
      <c r="AI2494">
        <v>100.20996676530901</v>
      </c>
      <c r="AJ2494">
        <v>83.941991036957006</v>
      </c>
      <c r="AK2494">
        <v>0.57075096757506505</v>
      </c>
      <c r="AL2494">
        <v>68.277166348292099</v>
      </c>
      <c r="AM2494">
        <v>92.217260816509906</v>
      </c>
      <c r="AN2494">
        <v>0.99999997825790399</v>
      </c>
    </row>
    <row r="2495" spans="1:40" x14ac:dyDescent="0.25">
      <c r="A2495" t="str">
        <f>"20190304164902666"</f>
        <v>20190304164902666</v>
      </c>
      <c r="B2495" t="str">
        <f>"1551689342658659"</f>
        <v>1551689342658659</v>
      </c>
      <c r="C2495" t="s">
        <v>40</v>
      </c>
      <c r="D2495">
        <v>4.150398</v>
      </c>
      <c r="E2495">
        <v>0.55527519999999997</v>
      </c>
      <c r="F2495" t="s">
        <v>41</v>
      </c>
      <c r="G2495">
        <v>-365.31729999999999</v>
      </c>
      <c r="H2495">
        <v>1.0130399999999999</v>
      </c>
      <c r="I2495">
        <v>284.44290000000001</v>
      </c>
      <c r="J2495">
        <v>-364.78410000000002</v>
      </c>
      <c r="K2495">
        <v>1.11087</v>
      </c>
      <c r="L2495">
        <v>284.3845</v>
      </c>
      <c r="M2495">
        <v>-0.99989090000000003</v>
      </c>
      <c r="N2495">
        <v>-1.47457E-2</v>
      </c>
      <c r="O2495">
        <v>-1.093264E-3</v>
      </c>
      <c r="P2495">
        <v>-0.93377840000000001</v>
      </c>
      <c r="Q2495">
        <v>0.35602240000000002</v>
      </c>
      <c r="R2495">
        <v>-3.6142309999999997E-2</v>
      </c>
      <c r="S2495">
        <v>-3.361847</v>
      </c>
      <c r="T2495">
        <v>-0.36672060000000001</v>
      </c>
      <c r="U2495">
        <v>0.2157288</v>
      </c>
      <c r="V2495">
        <v>-3.514167E-2</v>
      </c>
      <c r="W2495">
        <v>0.36975150000000001</v>
      </c>
      <c r="X2495">
        <v>0.92846589999999996</v>
      </c>
      <c r="Y2495">
        <v>6.4689940000000001E-2</v>
      </c>
      <c r="Z2495">
        <v>4.096054E-3</v>
      </c>
      <c r="AA2495">
        <v>0.99789700000000003</v>
      </c>
      <c r="AB2495">
        <v>36</v>
      </c>
      <c r="AC2495">
        <v>-0.53319999999996504</v>
      </c>
      <c r="AD2495">
        <v>-9.783E-2</v>
      </c>
      <c r="AE2495">
        <v>5.8400000000005899E-2</v>
      </c>
      <c r="AF2495">
        <v>5.7084066623278501E-2</v>
      </c>
      <c r="AG2495">
        <v>-9.783E-2</v>
      </c>
      <c r="AH2495">
        <v>0.515972118151653</v>
      </c>
      <c r="AI2495">
        <v>100.6724195963</v>
      </c>
      <c r="AJ2495">
        <v>83.686811946624701</v>
      </c>
      <c r="AK2495">
        <v>0.528258011081852</v>
      </c>
      <c r="AL2495">
        <v>68.299707947844496</v>
      </c>
      <c r="AM2495">
        <v>92.167563428658596</v>
      </c>
      <c r="AN2495">
        <v>1.00000001809272</v>
      </c>
    </row>
    <row r="2496" spans="1:40" x14ac:dyDescent="0.25">
      <c r="A2496" t="str">
        <f>"20190304164902687"</f>
        <v>20190304164902687</v>
      </c>
      <c r="B2496" t="str">
        <f>"1551689342678686"</f>
        <v>1551689342678686</v>
      </c>
      <c r="C2496" t="s">
        <v>40</v>
      </c>
      <c r="D2496">
        <v>4.167135</v>
      </c>
      <c r="E2496">
        <v>0.55442360000000002</v>
      </c>
      <c r="F2496" t="s">
        <v>41</v>
      </c>
      <c r="G2496">
        <v>-365.65570000000002</v>
      </c>
      <c r="H2496">
        <v>1.047091</v>
      </c>
      <c r="I2496">
        <v>284.4375</v>
      </c>
      <c r="J2496">
        <v>-365.11930000000001</v>
      </c>
      <c r="K2496">
        <v>1.110876</v>
      </c>
      <c r="L2496">
        <v>284.38409999999999</v>
      </c>
      <c r="M2496">
        <v>-0.99989059999999996</v>
      </c>
      <c r="N2496">
        <v>-1.474196E-2</v>
      </c>
      <c r="O2496">
        <v>-1.156656E-3</v>
      </c>
      <c r="P2496">
        <v>-0.93388740000000003</v>
      </c>
      <c r="Q2496">
        <v>0.35579129999999998</v>
      </c>
      <c r="R2496">
        <v>-3.5591900000000003E-2</v>
      </c>
      <c r="S2496">
        <v>-3.3129879999999998</v>
      </c>
      <c r="T2496">
        <v>-0.24254310000000001</v>
      </c>
      <c r="U2496">
        <v>0.20086670000000001</v>
      </c>
      <c r="V2496">
        <v>-3.4538579999999999E-2</v>
      </c>
      <c r="W2496">
        <v>0.36951850000000003</v>
      </c>
      <c r="X2496">
        <v>0.92858130000000005</v>
      </c>
      <c r="Y2496">
        <v>6.1474460000000002E-2</v>
      </c>
      <c r="Z2496">
        <v>2.7669690000000002E-3</v>
      </c>
      <c r="AA2496">
        <v>0.99810480000000001</v>
      </c>
      <c r="AB2496">
        <v>36</v>
      </c>
      <c r="AC2496">
        <v>-0.53640000000001398</v>
      </c>
      <c r="AD2496">
        <v>-6.3784999999999897E-2</v>
      </c>
      <c r="AE2496">
        <v>5.3400000000010502E-2</v>
      </c>
      <c r="AF2496">
        <v>5.3274535115687E-2</v>
      </c>
      <c r="AG2496">
        <v>-6.3784999999999897E-2</v>
      </c>
      <c r="AH2496">
        <v>0.52893199293223103</v>
      </c>
      <c r="AI2496">
        <v>96.841925713563</v>
      </c>
      <c r="AJ2496">
        <v>84.2485111335818</v>
      </c>
      <c r="AK2496">
        <v>0.53542110106350405</v>
      </c>
      <c r="AL2496">
        <v>68.314075750856404</v>
      </c>
      <c r="AM2496">
        <v>92.130134467220401</v>
      </c>
      <c r="AN2496">
        <v>1.0000000330301699</v>
      </c>
    </row>
    <row r="2497" spans="1:40" x14ac:dyDescent="0.25">
      <c r="A2497" t="str">
        <f>"20190304164902700"</f>
        <v>20190304164902700</v>
      </c>
      <c r="B2497" t="str">
        <f>"1551689342688447"</f>
        <v>1551689342688447</v>
      </c>
      <c r="C2497" t="s">
        <v>40</v>
      </c>
      <c r="D2497">
        <v>4.1497479999999998</v>
      </c>
      <c r="E2497">
        <v>0.55447760000000001</v>
      </c>
      <c r="F2497" t="s">
        <v>41</v>
      </c>
      <c r="G2497">
        <v>-365.97480000000002</v>
      </c>
      <c r="H2497">
        <v>1.046759</v>
      </c>
      <c r="I2497">
        <v>284.43459999999999</v>
      </c>
      <c r="J2497">
        <v>-365.31380000000001</v>
      </c>
      <c r="K2497">
        <v>1.110876</v>
      </c>
      <c r="L2497">
        <v>284.38389999999998</v>
      </c>
      <c r="M2497">
        <v>-0.99989070000000002</v>
      </c>
      <c r="N2497">
        <v>-1.4739749999999999E-2</v>
      </c>
      <c r="O2497">
        <v>-1.194245E-3</v>
      </c>
      <c r="P2497">
        <v>-0.93391690000000005</v>
      </c>
      <c r="Q2497">
        <v>0.35576000000000002</v>
      </c>
      <c r="R2497">
        <v>-3.5129470000000003E-2</v>
      </c>
      <c r="S2497">
        <v>-3.3145449999999999</v>
      </c>
      <c r="T2497">
        <v>-0.2485764</v>
      </c>
      <c r="U2497">
        <v>0.1955566</v>
      </c>
      <c r="V2497">
        <v>-3.4043589999999999E-2</v>
      </c>
      <c r="W2497">
        <v>0.36948530000000002</v>
      </c>
      <c r="X2497">
        <v>0.92861280000000002</v>
      </c>
      <c r="Y2497">
        <v>5.9886509999999997E-2</v>
      </c>
      <c r="Z2497">
        <v>2.7548199999999998E-3</v>
      </c>
      <c r="AA2497">
        <v>0.99820140000000002</v>
      </c>
      <c r="AB2497">
        <v>36</v>
      </c>
      <c r="AC2497">
        <v>-0.66100000000000103</v>
      </c>
      <c r="AD2497">
        <v>-6.4116999999999896E-2</v>
      </c>
      <c r="AE2497">
        <v>5.0700000000006101E-2</v>
      </c>
      <c r="AF2497">
        <v>5.1012278250137301E-2</v>
      </c>
      <c r="AG2497">
        <v>-6.4116999999999896E-2</v>
      </c>
      <c r="AH2497">
        <v>0.65481386526345897</v>
      </c>
      <c r="AI2497">
        <v>95.575581559735795</v>
      </c>
      <c r="AJ2497">
        <v>85.545456372349705</v>
      </c>
      <c r="AK2497">
        <v>0.65992002573231601</v>
      </c>
      <c r="AL2497">
        <v>68.316123062163001</v>
      </c>
      <c r="AM2497">
        <v>92.099562786600401</v>
      </c>
      <c r="AN2497">
        <v>1.00000004263</v>
      </c>
    </row>
    <row r="2498" spans="1:40" x14ac:dyDescent="0.25">
      <c r="A2498" t="str">
        <f>"20190304164902711"</f>
        <v>20190304164902711</v>
      </c>
      <c r="B2498" t="str">
        <f>"1551689342707966"</f>
        <v>1551689342707966</v>
      </c>
      <c r="C2498" t="s">
        <v>40</v>
      </c>
      <c r="D2498">
        <v>4.1171879999999996</v>
      </c>
      <c r="E2498">
        <v>0.55435040000000002</v>
      </c>
      <c r="F2498" t="s">
        <v>41</v>
      </c>
      <c r="G2498">
        <v>-366.28739999999999</v>
      </c>
      <c r="H2498">
        <v>1.0375810000000001</v>
      </c>
      <c r="I2498">
        <v>284.44200000000001</v>
      </c>
      <c r="J2498">
        <v>-365.50510000000003</v>
      </c>
      <c r="K2498">
        <v>1.1108800000000001</v>
      </c>
      <c r="L2498">
        <v>284.3836</v>
      </c>
      <c r="M2498">
        <v>-0.99989070000000002</v>
      </c>
      <c r="N2498">
        <v>-1.4737510000000001E-2</v>
      </c>
      <c r="O2498">
        <v>-1.2314660000000001E-3</v>
      </c>
      <c r="P2498">
        <v>-0.93397620000000003</v>
      </c>
      <c r="Q2498">
        <v>0.3556204</v>
      </c>
      <c r="R2498">
        <v>-3.4972049999999998E-2</v>
      </c>
      <c r="S2498">
        <v>-3.3147890000000002</v>
      </c>
      <c r="T2498">
        <v>-0.24960450000000001</v>
      </c>
      <c r="U2498">
        <v>0.1972961</v>
      </c>
      <c r="V2498">
        <v>-3.3853460000000002E-2</v>
      </c>
      <c r="W2498">
        <v>0.36934430000000001</v>
      </c>
      <c r="X2498">
        <v>0.92867580000000005</v>
      </c>
      <c r="Y2498">
        <v>6.0437890000000001E-2</v>
      </c>
      <c r="Z2498">
        <v>2.7912039999999998E-3</v>
      </c>
      <c r="AA2498">
        <v>0.9981681</v>
      </c>
      <c r="AB2498">
        <v>36</v>
      </c>
      <c r="AC2498">
        <v>-0.78229999999996302</v>
      </c>
      <c r="AD2498">
        <v>-7.3299000000000003E-2</v>
      </c>
      <c r="AE2498">
        <v>5.8400000000005899E-2</v>
      </c>
      <c r="AF2498">
        <v>5.8849653058504703E-2</v>
      </c>
      <c r="AG2498">
        <v>-7.3299000000000003E-2</v>
      </c>
      <c r="AH2498">
        <v>0.77545740072187996</v>
      </c>
      <c r="AI2498">
        <v>95.384366351597805</v>
      </c>
      <c r="AJ2498">
        <v>85.660128013365494</v>
      </c>
      <c r="AK2498">
        <v>0.781133922832981</v>
      </c>
      <c r="AL2498">
        <v>68.324815861096994</v>
      </c>
      <c r="AM2498">
        <v>92.087705836590501</v>
      </c>
      <c r="AN2498">
        <v>1.00000000510105</v>
      </c>
    </row>
    <row r="2499" spans="1:40" x14ac:dyDescent="0.25">
      <c r="A2499" t="str">
        <f>"20190304164902724"</f>
        <v>20190304164902724</v>
      </c>
      <c r="B2499" t="str">
        <f>"1551689342718702"</f>
        <v>1551689342718702</v>
      </c>
      <c r="C2499" t="s">
        <v>40</v>
      </c>
      <c r="D2499">
        <v>4.1763949999999896</v>
      </c>
      <c r="E2499">
        <v>0.55435040000000002</v>
      </c>
      <c r="F2499" t="s">
        <v>41</v>
      </c>
      <c r="G2499">
        <v>-366.2978</v>
      </c>
      <c r="H2499">
        <v>1.051007</v>
      </c>
      <c r="I2499">
        <v>284.43099999999998</v>
      </c>
      <c r="J2499">
        <v>-365.7</v>
      </c>
      <c r="K2499">
        <v>1.1108739999999999</v>
      </c>
      <c r="L2499">
        <v>284.38330000000002</v>
      </c>
      <c r="M2499">
        <v>-0.99989059999999996</v>
      </c>
      <c r="N2499">
        <v>-1.4735299999999899E-2</v>
      </c>
      <c r="O2499">
        <v>-1.2692789999999999E-3</v>
      </c>
      <c r="P2499">
        <v>-0.93400850000000002</v>
      </c>
      <c r="Q2499">
        <v>0.355581799999999</v>
      </c>
      <c r="R2499">
        <v>-3.4491729999999998E-2</v>
      </c>
      <c r="S2499">
        <v>-3.3148499999999999</v>
      </c>
      <c r="T2499">
        <v>-0.250448</v>
      </c>
      <c r="U2499">
        <v>0.19750980000000001</v>
      </c>
      <c r="V2499">
        <v>-3.3340349999999998E-2</v>
      </c>
      <c r="W2499">
        <v>0.36930360000000001</v>
      </c>
      <c r="X2499">
        <v>0.92871060000000005</v>
      </c>
      <c r="Y2499">
        <v>6.0536960000000001E-2</v>
      </c>
      <c r="Z2499">
        <v>2.8058190000000002E-3</v>
      </c>
      <c r="AA2499">
        <v>0.99816199999999999</v>
      </c>
      <c r="AB2499">
        <v>36</v>
      </c>
      <c r="AC2499">
        <v>-0.59780000000000599</v>
      </c>
      <c r="AD2499">
        <v>-5.9866999999999802E-2</v>
      </c>
      <c r="AE2499">
        <v>4.7699999999963397E-2</v>
      </c>
      <c r="AF2499">
        <v>4.7980659167620003E-2</v>
      </c>
      <c r="AG2499">
        <v>-5.9866999999999802E-2</v>
      </c>
      <c r="AH2499">
        <v>0.59184087167829802</v>
      </c>
      <c r="AI2499">
        <v>95.757282433093806</v>
      </c>
      <c r="AJ2499">
        <v>85.365155813693306</v>
      </c>
      <c r="AK2499">
        <v>0.59679294460649202</v>
      </c>
      <c r="AL2499">
        <v>68.327326304258605</v>
      </c>
      <c r="AM2499">
        <v>92.056013293685993</v>
      </c>
      <c r="AN2499">
        <v>1.0000000532317199</v>
      </c>
    </row>
    <row r="2500" spans="1:40" x14ac:dyDescent="0.25">
      <c r="A2500" t="str">
        <f>"20190304164902737"</f>
        <v>20190304164902737</v>
      </c>
      <c r="B2500" t="str">
        <f>"1551689342728464"</f>
        <v>1551689342728464</v>
      </c>
      <c r="C2500" t="s">
        <v>40</v>
      </c>
      <c r="D2500">
        <v>4.1255249999999997</v>
      </c>
      <c r="E2500">
        <v>0.55482679999999995</v>
      </c>
      <c r="F2500" t="s">
        <v>41</v>
      </c>
      <c r="G2500">
        <v>-366.60840000000002</v>
      </c>
      <c r="H2500">
        <v>1.0422400000000001</v>
      </c>
      <c r="I2500">
        <v>284.43819999999999</v>
      </c>
      <c r="J2500">
        <v>-365.90449999999998</v>
      </c>
      <c r="K2500">
        <v>1.110876</v>
      </c>
      <c r="L2500">
        <v>284.38299999999998</v>
      </c>
      <c r="M2500">
        <v>-0.99989070000000002</v>
      </c>
      <c r="N2500">
        <v>-1.4733019999999999E-2</v>
      </c>
      <c r="O2500">
        <v>-1.309117E-3</v>
      </c>
      <c r="P2500">
        <v>-0.93401429999999996</v>
      </c>
      <c r="Q2500">
        <v>0.35556670000000001</v>
      </c>
      <c r="R2500">
        <v>-3.4494110000000001E-2</v>
      </c>
      <c r="S2500">
        <v>-3.3147280000000001</v>
      </c>
      <c r="T2500">
        <v>-0.25062329999999999</v>
      </c>
      <c r="U2500">
        <v>0.1993713</v>
      </c>
      <c r="V2500">
        <v>-3.3307389999999999E-2</v>
      </c>
      <c r="W2500">
        <v>0.36928630000000001</v>
      </c>
      <c r="X2500">
        <v>0.92871859999999995</v>
      </c>
      <c r="Y2500">
        <v>6.1135099999999998E-2</v>
      </c>
      <c r="Z2500">
        <v>2.836866E-3</v>
      </c>
      <c r="AA2500">
        <v>0.9981255</v>
      </c>
      <c r="AB2500">
        <v>36</v>
      </c>
      <c r="AC2500">
        <v>-0.70390000000003194</v>
      </c>
      <c r="AD2500">
        <v>-6.8635999999999905E-2</v>
      </c>
      <c r="AE2500">
        <v>5.5200000000013398E-2</v>
      </c>
      <c r="AF2500">
        <v>5.5596171295892803E-2</v>
      </c>
      <c r="AG2500">
        <v>-6.8635999999999905E-2</v>
      </c>
      <c r="AH2500">
        <v>0.69723841110666496</v>
      </c>
      <c r="AI2500">
        <v>95.604396308487694</v>
      </c>
      <c r="AJ2500">
        <v>85.441013465206694</v>
      </c>
      <c r="AK2500">
        <v>0.70281095372888802</v>
      </c>
      <c r="AL2500">
        <v>68.328391609897295</v>
      </c>
      <c r="AM2500">
        <v>92.053964799522603</v>
      </c>
      <c r="AN2500">
        <v>0.99999999579113097</v>
      </c>
    </row>
    <row r="2501" spans="1:40" x14ac:dyDescent="0.25">
      <c r="A2501" t="str">
        <f>"20190304164902748"</f>
        <v>20190304164902748</v>
      </c>
      <c r="B2501" t="str">
        <f>"1551689342738223"</f>
        <v>1551689342738223</v>
      </c>
      <c r="C2501" t="s">
        <v>40</v>
      </c>
      <c r="D2501">
        <v>4.1575610000000003</v>
      </c>
      <c r="E2501">
        <v>0.55486259999999998</v>
      </c>
      <c r="F2501" t="s">
        <v>41</v>
      </c>
      <c r="G2501">
        <v>-366.9126</v>
      </c>
      <c r="H2501">
        <v>1.0140940000000001</v>
      </c>
      <c r="I2501">
        <v>284.44229999999999</v>
      </c>
      <c r="J2501">
        <v>-366.1028</v>
      </c>
      <c r="K2501">
        <v>1.1108830000000001</v>
      </c>
      <c r="L2501">
        <v>284.38279999999997</v>
      </c>
      <c r="M2501">
        <v>-0.99989070000000002</v>
      </c>
      <c r="N2501">
        <v>-1.47308E-2</v>
      </c>
      <c r="O2501">
        <v>-1.3480059999999999E-3</v>
      </c>
      <c r="P2501">
        <v>-0.93410579999999999</v>
      </c>
      <c r="Q2501">
        <v>0.35537340000000001</v>
      </c>
      <c r="R2501">
        <v>-3.400918E-2</v>
      </c>
      <c r="S2501">
        <v>-3.341278</v>
      </c>
      <c r="T2501">
        <v>-0.32080189999999997</v>
      </c>
      <c r="U2501">
        <v>0.1957092</v>
      </c>
      <c r="V2501">
        <v>-3.2787530000000002E-2</v>
      </c>
      <c r="W2501">
        <v>0.36909209999999998</v>
      </c>
      <c r="X2501">
        <v>0.92881429999999998</v>
      </c>
      <c r="Y2501">
        <v>5.9499469999999999E-2</v>
      </c>
      <c r="Z2501">
        <v>3.396357E-3</v>
      </c>
      <c r="AA2501">
        <v>0.99822250000000001</v>
      </c>
      <c r="AB2501">
        <v>36</v>
      </c>
      <c r="AC2501">
        <v>-0.80979999999999497</v>
      </c>
      <c r="AD2501">
        <v>-9.6789E-2</v>
      </c>
      <c r="AE2501">
        <v>5.9500000000014097E-2</v>
      </c>
      <c r="AF2501">
        <v>5.9742804402685902E-2</v>
      </c>
      <c r="AG2501">
        <v>-9.6789E-2</v>
      </c>
      <c r="AH2501">
        <v>0.798375076399509</v>
      </c>
      <c r="AI2501">
        <v>96.893290678165798</v>
      </c>
      <c r="AJ2501">
        <v>85.720504230439701</v>
      </c>
      <c r="AK2501">
        <v>0.80643665331805103</v>
      </c>
      <c r="AL2501">
        <v>68.340364412249997</v>
      </c>
      <c r="AM2501">
        <v>92.021725287851396</v>
      </c>
      <c r="AN2501">
        <v>1.0000000021452</v>
      </c>
    </row>
    <row r="2502" spans="1:40" x14ac:dyDescent="0.25">
      <c r="A2502" t="str">
        <f>"20190304164902762"</f>
        <v>20190304164902762</v>
      </c>
      <c r="B2502" t="str">
        <f>"1551689342758718"</f>
        <v>1551689342758718</v>
      </c>
      <c r="C2502" t="s">
        <v>40</v>
      </c>
      <c r="D2502">
        <v>4.0552849999999996</v>
      </c>
      <c r="E2502">
        <v>0.55545290000000003</v>
      </c>
      <c r="F2502" t="s">
        <v>41</v>
      </c>
      <c r="G2502">
        <v>-366.92149999999998</v>
      </c>
      <c r="H2502">
        <v>1.0319130000000001</v>
      </c>
      <c r="I2502">
        <v>284.43119999999999</v>
      </c>
      <c r="J2502">
        <v>-366.298</v>
      </c>
      <c r="K2502">
        <v>1.1108849999999999</v>
      </c>
      <c r="L2502">
        <v>284.38240000000002</v>
      </c>
      <c r="M2502">
        <v>-0.99989070000000002</v>
      </c>
      <c r="N2502">
        <v>-1.472862E-2</v>
      </c>
      <c r="O2502">
        <v>-1.3870130000000001E-3</v>
      </c>
      <c r="P2502">
        <v>-0.93411390000000005</v>
      </c>
      <c r="Q2502">
        <v>0.35536519999999999</v>
      </c>
      <c r="R2502">
        <v>-3.3872010000000001E-2</v>
      </c>
      <c r="S2502">
        <v>-3.341431</v>
      </c>
      <c r="T2502">
        <v>-0.32233319999999999</v>
      </c>
      <c r="U2502">
        <v>0.19717409999999999</v>
      </c>
      <c r="V2502">
        <v>-3.2616729999999997E-2</v>
      </c>
      <c r="W2502">
        <v>0.36908200000000002</v>
      </c>
      <c r="X2502">
        <v>0.92882430000000005</v>
      </c>
      <c r="Y2502">
        <v>5.9966409999999998E-2</v>
      </c>
      <c r="Z2502">
        <v>3.4393599999999998E-3</v>
      </c>
      <c r="AA2502">
        <v>0.99819449999999998</v>
      </c>
      <c r="AB2502">
        <v>36</v>
      </c>
      <c r="AC2502">
        <v>-0.62349999999997796</v>
      </c>
      <c r="AD2502">
        <v>-7.8972000000000195E-2</v>
      </c>
      <c r="AE2502">
        <v>4.8799999999971498E-2</v>
      </c>
      <c r="AF2502">
        <v>4.8885378236652302E-2</v>
      </c>
      <c r="AG2502">
        <v>-7.8972000000000195E-2</v>
      </c>
      <c r="AH2502">
        <v>0.61364718055395095</v>
      </c>
      <c r="AI2502">
        <v>97.310341532533499</v>
      </c>
      <c r="AJ2502">
        <v>85.445227760853896</v>
      </c>
      <c r="AK2502">
        <v>0.62063614073880202</v>
      </c>
      <c r="AL2502">
        <v>68.340986490571197</v>
      </c>
      <c r="AM2502">
        <v>92.011180555504495</v>
      </c>
      <c r="AN2502">
        <v>0.99999997703519095</v>
      </c>
    </row>
    <row r="2503" spans="1:40" x14ac:dyDescent="0.25">
      <c r="A2503" t="str">
        <f>"20190304164902778"</f>
        <v>20190304164902778</v>
      </c>
      <c r="B2503" t="str">
        <f>"1551689342768478"</f>
        <v>1551689342768478</v>
      </c>
      <c r="C2503" t="s">
        <v>40</v>
      </c>
      <c r="D2503">
        <v>4.1276260000000002</v>
      </c>
      <c r="E2503">
        <v>0.55545290000000003</v>
      </c>
      <c r="F2503" t="s">
        <v>41</v>
      </c>
      <c r="G2503">
        <v>-367.23410000000001</v>
      </c>
      <c r="H2503">
        <v>1.021542</v>
      </c>
      <c r="I2503">
        <v>284.43950000000001</v>
      </c>
      <c r="J2503">
        <v>-366.54559999999998</v>
      </c>
      <c r="K2503">
        <v>1.1108880000000001</v>
      </c>
      <c r="L2503">
        <v>284.38209999999998</v>
      </c>
      <c r="M2503">
        <v>-0.99989050000000002</v>
      </c>
      <c r="N2503">
        <v>-1.472586E-2</v>
      </c>
      <c r="O2503">
        <v>-1.4372300000000001E-3</v>
      </c>
      <c r="P2503">
        <v>-0.93414969999999997</v>
      </c>
      <c r="Q2503">
        <v>0.35532979999999997</v>
      </c>
      <c r="R2503">
        <v>-3.3243889999999998E-2</v>
      </c>
      <c r="S2503">
        <v>-3.3402400000000001</v>
      </c>
      <c r="T2503">
        <v>-0.318942</v>
      </c>
      <c r="U2503">
        <v>0.2025757</v>
      </c>
      <c r="V2503">
        <v>-3.1944470000000003E-2</v>
      </c>
      <c r="W2503">
        <v>0.36904480000000001</v>
      </c>
      <c r="X2503">
        <v>0.92886250000000004</v>
      </c>
      <c r="Y2503">
        <v>6.1643070000000001E-2</v>
      </c>
      <c r="Z2503">
        <v>3.5048259999999999E-3</v>
      </c>
      <c r="AA2503">
        <v>0.99809210000000004</v>
      </c>
      <c r="AB2503">
        <v>36</v>
      </c>
      <c r="AC2503">
        <v>-0.68850000000003297</v>
      </c>
      <c r="AD2503">
        <v>-8.9345999999999898E-2</v>
      </c>
      <c r="AE2503">
        <v>5.7400000000029601E-2</v>
      </c>
      <c r="AF2503">
        <v>5.7429148953041201E-2</v>
      </c>
      <c r="AG2503">
        <v>-8.9345999999999898E-2</v>
      </c>
      <c r="AH2503">
        <v>0.67709323051416603</v>
      </c>
      <c r="AI2503">
        <v>97.490461967299296</v>
      </c>
      <c r="AJ2503">
        <v>85.1519360322078</v>
      </c>
      <c r="AK2503">
        <v>0.68537293328054605</v>
      </c>
      <c r="AL2503">
        <v>68.343280967233795</v>
      </c>
      <c r="AM2503">
        <v>91.969680377452804</v>
      </c>
      <c r="AN2503">
        <v>1.0000000287384301</v>
      </c>
    </row>
    <row r="2504" spans="1:40" x14ac:dyDescent="0.25">
      <c r="A2504" t="str">
        <f>"20190304164902791"</f>
        <v>20190304164902791</v>
      </c>
      <c r="B2504" t="str">
        <f>"1551689342788975"</f>
        <v>1551689342788975</v>
      </c>
      <c r="C2504" t="s">
        <v>40</v>
      </c>
      <c r="D2504">
        <v>4.050484</v>
      </c>
      <c r="E2504">
        <v>0.54612479999999997</v>
      </c>
      <c r="F2504" t="s">
        <v>41</v>
      </c>
      <c r="G2504">
        <v>-367.54840000000002</v>
      </c>
      <c r="H2504">
        <v>1.0149820000000001</v>
      </c>
      <c r="I2504">
        <v>284.44310000000002</v>
      </c>
      <c r="J2504">
        <v>-366.78710000000001</v>
      </c>
      <c r="K2504">
        <v>1.1108899999999999</v>
      </c>
      <c r="L2504">
        <v>284.38170000000002</v>
      </c>
      <c r="M2504">
        <v>-0.99989050000000002</v>
      </c>
      <c r="N2504">
        <v>-1.4723170000000001E-2</v>
      </c>
      <c r="O2504">
        <v>-1.4874459999999999E-3</v>
      </c>
      <c r="P2504">
        <v>-0.93413009999999996</v>
      </c>
      <c r="Q2504">
        <v>0.35540579999999999</v>
      </c>
      <c r="R2504">
        <v>-3.2981940000000001E-2</v>
      </c>
      <c r="S2504">
        <v>-3.340179</v>
      </c>
      <c r="T2504">
        <v>-0.3193549</v>
      </c>
      <c r="U2504">
        <v>0.20343020000000001</v>
      </c>
      <c r="V2504">
        <v>-3.1637430000000001E-2</v>
      </c>
      <c r="W2504">
        <v>0.36911739999999998</v>
      </c>
      <c r="X2504">
        <v>0.92884409999999895</v>
      </c>
      <c r="Y2504">
        <v>6.1946139999999997E-2</v>
      </c>
      <c r="Z2504">
        <v>3.5294720000000001E-3</v>
      </c>
      <c r="AA2504">
        <v>0.99807330000000005</v>
      </c>
      <c r="AB2504">
        <v>36</v>
      </c>
      <c r="AC2504">
        <v>-0.76130000000000497</v>
      </c>
      <c r="AD2504">
        <v>-9.5907999999999799E-2</v>
      </c>
      <c r="AE2504">
        <v>6.1399999999991899E-2</v>
      </c>
      <c r="AF2504">
        <v>6.1561729578269497E-2</v>
      </c>
      <c r="AG2504">
        <v>-9.5907999999999799E-2</v>
      </c>
      <c r="AH2504">
        <v>0.74939126457486605</v>
      </c>
      <c r="AI2504">
        <v>97.268914477915203</v>
      </c>
      <c r="AJ2504">
        <v>85.303755222876902</v>
      </c>
      <c r="AK2504">
        <v>0.75800755829594801</v>
      </c>
      <c r="AL2504">
        <v>68.338804008643393</v>
      </c>
      <c r="AM2504">
        <v>91.950801753604395</v>
      </c>
      <c r="AN2504">
        <v>0.99999997203228597</v>
      </c>
    </row>
    <row r="2505" spans="1:40" x14ac:dyDescent="0.25">
      <c r="A2505" t="str">
        <f>"20190304164902811"</f>
        <v>20190304164902811</v>
      </c>
      <c r="B2505" t="str">
        <f>"1551689342798735"</f>
        <v>1551689342798735</v>
      </c>
      <c r="C2505" t="s">
        <v>40</v>
      </c>
      <c r="D2505">
        <v>4.0651140000000003</v>
      </c>
      <c r="E2505">
        <v>0.54559069999999898</v>
      </c>
      <c r="F2505" t="s">
        <v>41</v>
      </c>
      <c r="G2505">
        <v>-367.5652</v>
      </c>
      <c r="H2505">
        <v>1.0448120000000001</v>
      </c>
      <c r="I2505">
        <v>284.4126</v>
      </c>
      <c r="J2505">
        <v>-367.08019999999999</v>
      </c>
      <c r="K2505">
        <v>1.1108979999999999</v>
      </c>
      <c r="L2505">
        <v>284.38119999999998</v>
      </c>
      <c r="M2505">
        <v>-0.99989050000000002</v>
      </c>
      <c r="N2505">
        <v>-1.4719889999999999E-2</v>
      </c>
      <c r="O2505">
        <v>-1.551261E-3</v>
      </c>
      <c r="P2505">
        <v>-0.93421569999999998</v>
      </c>
      <c r="Q2505">
        <v>0.35527439999999999</v>
      </c>
      <c r="R2505">
        <v>-3.19609E-2</v>
      </c>
      <c r="S2505">
        <v>-3.3235779999999999</v>
      </c>
      <c r="T2505">
        <v>-0.28219440000000001</v>
      </c>
      <c r="U2505">
        <v>0.13229369999999999</v>
      </c>
      <c r="V2505">
        <v>-3.0560219999999999E-2</v>
      </c>
      <c r="W2505">
        <v>0.36898409999999998</v>
      </c>
      <c r="X2505">
        <v>0.92893309999999996</v>
      </c>
      <c r="Y2505">
        <v>4.1145880000000003E-2</v>
      </c>
      <c r="Z2505">
        <v>2.1551980000000001E-3</v>
      </c>
      <c r="AA2505">
        <v>0.99915080000000001</v>
      </c>
      <c r="AB2505">
        <v>36</v>
      </c>
      <c r="AC2505">
        <v>-0.48500000000001298</v>
      </c>
      <c r="AD2505">
        <v>-6.6085999999999798E-2</v>
      </c>
      <c r="AE2505">
        <v>3.14000000000191E-2</v>
      </c>
      <c r="AF2505">
        <v>3.1568723804083203E-2</v>
      </c>
      <c r="AG2505">
        <v>-6.6085999999999798E-2</v>
      </c>
      <c r="AH2505">
        <v>0.47614710680997002</v>
      </c>
      <c r="AI2505">
        <v>97.884694014931597</v>
      </c>
      <c r="AJ2505">
        <v>86.206820727014104</v>
      </c>
      <c r="AK2505">
        <v>0.48174683293419202</v>
      </c>
      <c r="AL2505">
        <v>68.3470210929747</v>
      </c>
      <c r="AM2505">
        <v>91.8842480151568</v>
      </c>
      <c r="AN2505">
        <v>0.99999994868743203</v>
      </c>
    </row>
    <row r="2506" spans="1:40" x14ac:dyDescent="0.25">
      <c r="A2506" t="str">
        <f>"20190304164902833"</f>
        <v>20190304164902833</v>
      </c>
      <c r="B2506" t="str">
        <f>"1551689342828991"</f>
        <v>1551689342828991</v>
      </c>
      <c r="C2506" t="s">
        <v>40</v>
      </c>
      <c r="D2506">
        <v>4.0308799999999998</v>
      </c>
      <c r="E2506">
        <v>0.54494919999999902</v>
      </c>
      <c r="F2506" t="s">
        <v>41</v>
      </c>
      <c r="G2506">
        <v>-367.88080000000002</v>
      </c>
      <c r="H2506">
        <v>1.04321</v>
      </c>
      <c r="I2506">
        <v>284.41269999999997</v>
      </c>
      <c r="J2506">
        <v>-367.44159999999999</v>
      </c>
      <c r="K2506">
        <v>1.110905</v>
      </c>
      <c r="L2506">
        <v>284.38049999999998</v>
      </c>
      <c r="M2506">
        <v>-0.99989039999999996</v>
      </c>
      <c r="N2506">
        <v>-1.4715829999999999E-2</v>
      </c>
      <c r="O2506">
        <v>-1.637033E-3</v>
      </c>
      <c r="P2506">
        <v>-0.93429629999999997</v>
      </c>
      <c r="Q2506">
        <v>0.35514040000000002</v>
      </c>
      <c r="R2506">
        <v>-3.1074640000000001E-2</v>
      </c>
      <c r="S2506">
        <v>-3.3225709999999999</v>
      </c>
      <c r="T2506">
        <v>-0.28116229999999998</v>
      </c>
      <c r="U2506">
        <v>0.12960819999999901</v>
      </c>
      <c r="V2506">
        <v>-2.959852E-2</v>
      </c>
      <c r="W2506">
        <v>0.3688476</v>
      </c>
      <c r="X2506">
        <v>0.92901849999999997</v>
      </c>
      <c r="Y2506">
        <v>4.044114E-2</v>
      </c>
      <c r="Z2506">
        <v>2.1199029999999998E-3</v>
      </c>
      <c r="AA2506">
        <v>0.9991797</v>
      </c>
      <c r="AB2506">
        <v>36</v>
      </c>
      <c r="AC2506">
        <v>-0.43920000000002701</v>
      </c>
      <c r="AD2506">
        <v>-6.7695000000000005E-2</v>
      </c>
      <c r="AE2506">
        <v>3.2199999999988897E-2</v>
      </c>
      <c r="AF2506">
        <v>3.2159105737002501E-2</v>
      </c>
      <c r="AG2506">
        <v>-6.7695000000000005E-2</v>
      </c>
      <c r="AH2506">
        <v>0.42900928154122298</v>
      </c>
      <c r="AI2506">
        <v>98.942301345680605</v>
      </c>
      <c r="AJ2506">
        <v>85.713049990446095</v>
      </c>
      <c r="AK2506">
        <v>0.43550635443736102</v>
      </c>
      <c r="AL2506">
        <v>68.355436636911193</v>
      </c>
      <c r="AM2506">
        <v>91.824825686761599</v>
      </c>
      <c r="AN2506">
        <v>0.9999999988771</v>
      </c>
    </row>
    <row r="2507" spans="1:40" x14ac:dyDescent="0.25">
      <c r="A2507" t="str">
        <f>"20190304164902846"</f>
        <v>20190304164902846</v>
      </c>
      <c r="B2507" t="str">
        <f>"1551689342838751"</f>
        <v>1551689342838751</v>
      </c>
      <c r="C2507" t="s">
        <v>40</v>
      </c>
      <c r="D2507">
        <v>4.0465989999999996</v>
      </c>
      <c r="E2507">
        <v>0.54493340000000001</v>
      </c>
      <c r="F2507" t="s">
        <v>41</v>
      </c>
      <c r="G2507">
        <v>-368.20139999999998</v>
      </c>
      <c r="H2507">
        <v>1.0472109999999999</v>
      </c>
      <c r="I2507">
        <v>284.40949999999998</v>
      </c>
      <c r="J2507">
        <v>-367.63589999999999</v>
      </c>
      <c r="K2507">
        <v>1.1109150000000001</v>
      </c>
      <c r="L2507">
        <v>284.3802</v>
      </c>
      <c r="M2507">
        <v>-0.99989039999999996</v>
      </c>
      <c r="N2507">
        <v>-1.471365E-2</v>
      </c>
      <c r="O2507">
        <v>-1.6887009999999999E-3</v>
      </c>
      <c r="P2507">
        <v>-0.93440380000000001</v>
      </c>
      <c r="Q2507">
        <v>0.35491820000000002</v>
      </c>
      <c r="R2507">
        <v>-3.038215E-2</v>
      </c>
      <c r="S2507">
        <v>-3.3210139999999999</v>
      </c>
      <c r="T2507">
        <v>-0.27841519999999997</v>
      </c>
      <c r="U2507">
        <v>0.12680050000000001</v>
      </c>
      <c r="V2507">
        <v>-2.8860569999999999E-2</v>
      </c>
      <c r="W2507">
        <v>0.36862410000000001</v>
      </c>
      <c r="X2507">
        <v>0.92913040000000002</v>
      </c>
      <c r="Y2507">
        <v>3.9673559999999997E-2</v>
      </c>
      <c r="Z2507">
        <v>2.0685550000000001E-3</v>
      </c>
      <c r="AA2507">
        <v>0.9992105</v>
      </c>
      <c r="AB2507">
        <v>35</v>
      </c>
      <c r="AC2507">
        <v>-0.56549999999998501</v>
      </c>
      <c r="AD2507">
        <v>-6.3703999999999705E-2</v>
      </c>
      <c r="AE2507">
        <v>2.9299999999977899E-2</v>
      </c>
      <c r="AF2507">
        <v>2.9876893533022499E-2</v>
      </c>
      <c r="AG2507">
        <v>-6.3703999999999705E-2</v>
      </c>
      <c r="AH2507">
        <v>0.55838269735296298</v>
      </c>
      <c r="AI2507">
        <v>96.499324743208305</v>
      </c>
      <c r="AJ2507">
        <v>86.937245512530694</v>
      </c>
      <c r="AK2507">
        <v>0.56279842313776396</v>
      </c>
      <c r="AL2507">
        <v>68.369212575148794</v>
      </c>
      <c r="AM2507">
        <v>91.779144612367901</v>
      </c>
      <c r="AN2507">
        <v>0.99999997990284695</v>
      </c>
    </row>
    <row r="2508" spans="1:40" x14ac:dyDescent="0.25">
      <c r="A2508" t="str">
        <f>"20190304164902868"</f>
        <v>20190304164902868</v>
      </c>
      <c r="B2508" t="str">
        <f>"1551689342858270"</f>
        <v>1551689342858270</v>
      </c>
      <c r="C2508" t="s">
        <v>40</v>
      </c>
      <c r="D2508">
        <v>4.0277539999999998</v>
      </c>
      <c r="E2508">
        <v>0.5449368</v>
      </c>
      <c r="F2508" t="s">
        <v>41</v>
      </c>
      <c r="G2508">
        <v>-368.51010000000002</v>
      </c>
      <c r="H2508">
        <v>1.0376289999999999</v>
      </c>
      <c r="I2508">
        <v>284.41430000000003</v>
      </c>
      <c r="J2508">
        <v>-367.97680000000003</v>
      </c>
      <c r="K2508">
        <v>1.110922</v>
      </c>
      <c r="L2508">
        <v>284.37950000000001</v>
      </c>
      <c r="M2508">
        <v>-0.99989030000000001</v>
      </c>
      <c r="N2508">
        <v>-1.470985E-2</v>
      </c>
      <c r="O2508">
        <v>-1.7862079999999901E-3</v>
      </c>
      <c r="P2508">
        <v>-0.93462610000000002</v>
      </c>
      <c r="Q2508">
        <v>0.35448600000000002</v>
      </c>
      <c r="R2508">
        <v>-2.8530960000000001E-2</v>
      </c>
      <c r="S2508">
        <v>-3.320557</v>
      </c>
      <c r="T2508">
        <v>-0.2785513</v>
      </c>
      <c r="U2508">
        <v>0.1288147</v>
      </c>
      <c r="V2508">
        <v>-2.6925379999999999E-2</v>
      </c>
      <c r="W2508">
        <v>0.36819200000000002</v>
      </c>
      <c r="X2508">
        <v>0.92935990000000002</v>
      </c>
      <c r="Y2508">
        <v>4.0378120000000003E-2</v>
      </c>
      <c r="Z2508">
        <v>2.1110080000000002E-3</v>
      </c>
      <c r="AA2508">
        <v>0.99918220000000002</v>
      </c>
      <c r="AB2508">
        <v>35</v>
      </c>
      <c r="AC2508">
        <v>-0.533299999999997</v>
      </c>
      <c r="AD2508">
        <v>-7.3292999999999803E-2</v>
      </c>
      <c r="AE2508">
        <v>3.4800000000018302E-2</v>
      </c>
      <c r="AF2508">
        <v>3.5092619513527497E-2</v>
      </c>
      <c r="AG2508">
        <v>-7.3292999999999803E-2</v>
      </c>
      <c r="AH2508">
        <v>0.52339314295833095</v>
      </c>
      <c r="AI2508">
        <v>97.953909730569194</v>
      </c>
      <c r="AJ2508">
        <v>86.164156594860103</v>
      </c>
      <c r="AK2508">
        <v>0.52966379703460997</v>
      </c>
      <c r="AL2508">
        <v>68.395845309324301</v>
      </c>
      <c r="AM2508">
        <v>91.659506952757994</v>
      </c>
      <c r="AN2508">
        <v>1.0000000743400701</v>
      </c>
    </row>
    <row r="2509" spans="1:40" x14ac:dyDescent="0.25">
      <c r="A2509" t="str">
        <f>"20190304164902889"</f>
        <v>20190304164902889</v>
      </c>
      <c r="B2509" t="str">
        <f>"1551689342878767"</f>
        <v>1551689342878767</v>
      </c>
      <c r="C2509" t="s">
        <v>40</v>
      </c>
      <c r="D2509">
        <v>4.0009489999999897</v>
      </c>
      <c r="E2509">
        <v>0.54494209999999998</v>
      </c>
      <c r="F2509" t="s">
        <v>41</v>
      </c>
      <c r="G2509">
        <v>-368.82709999999997</v>
      </c>
      <c r="H2509">
        <v>1.0396890000000001</v>
      </c>
      <c r="I2509">
        <v>284.41379999999998</v>
      </c>
      <c r="J2509">
        <v>-368.31689999999998</v>
      </c>
      <c r="K2509">
        <v>1.1109230000000001</v>
      </c>
      <c r="L2509">
        <v>284.37880000000001</v>
      </c>
      <c r="M2509">
        <v>-0.99988999999999995</v>
      </c>
      <c r="N2509">
        <v>-1.470609E-2</v>
      </c>
      <c r="O2509">
        <v>-1.893512E-3</v>
      </c>
      <c r="P2509">
        <v>-0.93499189999999999</v>
      </c>
      <c r="Q2509">
        <v>0.35365930000000001</v>
      </c>
      <c r="R2509">
        <v>-2.6748580000000001E-2</v>
      </c>
      <c r="S2509">
        <v>-3.3193969999999999</v>
      </c>
      <c r="T2509">
        <v>-0.27820400000000001</v>
      </c>
      <c r="U2509">
        <v>0.13314819999999999</v>
      </c>
      <c r="V2509">
        <v>-2.5050280000000001E-2</v>
      </c>
      <c r="W2509">
        <v>0.36736669999999999</v>
      </c>
      <c r="X2509">
        <v>0.92973879999999998</v>
      </c>
      <c r="Y2509">
        <v>4.1795449999999998E-2</v>
      </c>
      <c r="Z2509">
        <v>2.1863669999999998E-3</v>
      </c>
      <c r="AA2509">
        <v>0.99912380000000001</v>
      </c>
      <c r="AB2509">
        <v>35</v>
      </c>
      <c r="AC2509">
        <v>-0.51019999999999699</v>
      </c>
      <c r="AD2509">
        <v>-7.1234000000000006E-2</v>
      </c>
      <c r="AE2509">
        <v>3.4999999999968098E-2</v>
      </c>
      <c r="AF2509">
        <v>3.5281565679759201E-2</v>
      </c>
      <c r="AG2509">
        <v>-7.1234000000000006E-2</v>
      </c>
      <c r="AH2509">
        <v>0.50042340584912004</v>
      </c>
      <c r="AI2509">
        <v>98.081686552089195</v>
      </c>
      <c r="AJ2509">
        <v>85.967124403233399</v>
      </c>
      <c r="AK2509">
        <v>0.506697796279447</v>
      </c>
      <c r="AL2509">
        <v>68.446694270337105</v>
      </c>
      <c r="AM2509">
        <v>91.543366976696106</v>
      </c>
      <c r="AN2509">
        <v>1.0000000225112</v>
      </c>
    </row>
    <row r="2510" spans="1:40" x14ac:dyDescent="0.25">
      <c r="A2510" t="str">
        <f>"20190304164902902"</f>
        <v>20190304164902902</v>
      </c>
      <c r="B2510" t="str">
        <f>"1551689342898287"</f>
        <v>1551689342898287</v>
      </c>
      <c r="C2510" t="s">
        <v>40</v>
      </c>
      <c r="D2510">
        <v>4.007892</v>
      </c>
      <c r="E2510">
        <v>0.54497309999999999</v>
      </c>
      <c r="F2510" t="s">
        <v>41</v>
      </c>
      <c r="G2510">
        <v>-369.14350000000002</v>
      </c>
      <c r="H2510">
        <v>1.0410010000000001</v>
      </c>
      <c r="I2510">
        <v>284.41359999999997</v>
      </c>
      <c r="J2510">
        <v>-368.51760000000002</v>
      </c>
      <c r="K2510">
        <v>1.1109260000000001</v>
      </c>
      <c r="L2510">
        <v>284.3784</v>
      </c>
      <c r="M2510">
        <v>-0.9998901</v>
      </c>
      <c r="N2510">
        <v>-1.470393E-2</v>
      </c>
      <c r="O2510">
        <v>-1.9617839999999998E-3</v>
      </c>
      <c r="P2510">
        <v>-0.93518539999999994</v>
      </c>
      <c r="Q2510">
        <v>0.35321079999999999</v>
      </c>
      <c r="R2510">
        <v>-2.590512E-2</v>
      </c>
      <c r="S2510">
        <v>-3.318848</v>
      </c>
      <c r="T2510">
        <v>-0.28108379999999999</v>
      </c>
      <c r="U2510">
        <v>0.13833619999999999</v>
      </c>
      <c r="V2510">
        <v>-2.4147350000000001E-2</v>
      </c>
      <c r="W2510">
        <v>0.3669192</v>
      </c>
      <c r="X2510">
        <v>0.92993930000000002</v>
      </c>
      <c r="Y2510">
        <v>4.3418989999999998E-2</v>
      </c>
      <c r="Z2510">
        <v>2.2915990000000001E-3</v>
      </c>
      <c r="AA2510">
        <v>0.99905429999999995</v>
      </c>
      <c r="AB2510">
        <v>35</v>
      </c>
      <c r="AC2510">
        <v>-0.62590000000000101</v>
      </c>
      <c r="AD2510">
        <v>-6.9925000000000001E-2</v>
      </c>
      <c r="AE2510">
        <v>3.51999999999748E-2</v>
      </c>
      <c r="AF2510">
        <v>3.5980285521660903E-2</v>
      </c>
      <c r="AG2510">
        <v>-6.9925000000000001E-2</v>
      </c>
      <c r="AH2510">
        <v>0.618138964604108</v>
      </c>
      <c r="AI2510">
        <v>96.443152380840402</v>
      </c>
      <c r="AJ2510">
        <v>86.668718312232997</v>
      </c>
      <c r="AK2510">
        <v>0.62312106859988203</v>
      </c>
      <c r="AL2510">
        <v>68.474257447489904</v>
      </c>
      <c r="AM2510">
        <v>91.487441610407799</v>
      </c>
      <c r="AN2510">
        <v>0.99999994776257495</v>
      </c>
    </row>
    <row r="2511" spans="1:40" x14ac:dyDescent="0.25">
      <c r="A2511" t="str">
        <f>"20190304164902913"</f>
        <v>20190304164902913</v>
      </c>
      <c r="B2511" t="str">
        <f>"1551689342908047"</f>
        <v>1551689342908047</v>
      </c>
      <c r="C2511" t="s">
        <v>40</v>
      </c>
      <c r="D2511">
        <v>4.0147529999999998</v>
      </c>
      <c r="E2511">
        <v>0.54492119999999999</v>
      </c>
      <c r="F2511" t="s">
        <v>41</v>
      </c>
      <c r="G2511">
        <v>-369.45389999999998</v>
      </c>
      <c r="H2511">
        <v>1.0312650000000001</v>
      </c>
      <c r="I2511">
        <v>284.41820000000001</v>
      </c>
      <c r="J2511">
        <v>-368.71289999999999</v>
      </c>
      <c r="K2511">
        <v>1.11093</v>
      </c>
      <c r="L2511">
        <v>284.37799999999999</v>
      </c>
      <c r="M2511">
        <v>-0.9998899</v>
      </c>
      <c r="N2511">
        <v>-1.4701840000000001E-2</v>
      </c>
      <c r="O2511">
        <v>-2.0305309999999999E-3</v>
      </c>
      <c r="P2511">
        <v>-0.93537320000000002</v>
      </c>
      <c r="Q2511">
        <v>0.35277700000000001</v>
      </c>
      <c r="R2511">
        <v>-2.5008880000000001E-2</v>
      </c>
      <c r="S2511">
        <v>-3.318451</v>
      </c>
      <c r="T2511">
        <v>-0.28242289999999998</v>
      </c>
      <c r="U2511">
        <v>0.1407166</v>
      </c>
      <c r="V2511">
        <v>-2.3191570000000002E-2</v>
      </c>
      <c r="W2511">
        <v>0.36648619999999998</v>
      </c>
      <c r="X2511">
        <v>0.93013440000000003</v>
      </c>
      <c r="Y2511">
        <v>4.4202819999999997E-2</v>
      </c>
      <c r="Z2511">
        <v>2.3451600000000002E-3</v>
      </c>
      <c r="AA2511">
        <v>0.99901980000000001</v>
      </c>
      <c r="AB2511">
        <v>35</v>
      </c>
      <c r="AC2511">
        <v>-0.740999999999985</v>
      </c>
      <c r="AD2511">
        <v>-7.9665000000000097E-2</v>
      </c>
      <c r="AE2511">
        <v>4.0200000000027103E-2</v>
      </c>
      <c r="AF2511">
        <v>4.1229552858619602E-2</v>
      </c>
      <c r="AG2511">
        <v>-7.9665000000000097E-2</v>
      </c>
      <c r="AH2511">
        <v>0.73247541739244204</v>
      </c>
      <c r="AI2511">
        <v>96.197433459819706</v>
      </c>
      <c r="AJ2511">
        <v>86.778336562735106</v>
      </c>
      <c r="AK2511">
        <v>0.73794757628042496</v>
      </c>
      <c r="AL2511">
        <v>68.500925192948401</v>
      </c>
      <c r="AM2511">
        <v>91.428292324449302</v>
      </c>
      <c r="AN2511">
        <v>0.99999999288643204</v>
      </c>
    </row>
    <row r="2512" spans="1:40" x14ac:dyDescent="0.25">
      <c r="A2512" t="str">
        <f>"20190304164902927"</f>
        <v>20190304164902927</v>
      </c>
      <c r="B2512" t="str">
        <f>"1551689342918783"</f>
        <v>1551689342918783</v>
      </c>
      <c r="C2512" t="s">
        <v>40</v>
      </c>
      <c r="D2512">
        <v>4.0501449999999997</v>
      </c>
      <c r="E2512">
        <v>0.54491639999999997</v>
      </c>
      <c r="F2512" t="s">
        <v>41</v>
      </c>
      <c r="G2512">
        <v>-369.464</v>
      </c>
      <c r="H2512">
        <v>1.046619</v>
      </c>
      <c r="I2512">
        <v>284.41030000000001</v>
      </c>
      <c r="J2512">
        <v>-368.91469999999998</v>
      </c>
      <c r="K2512">
        <v>1.110935</v>
      </c>
      <c r="L2512">
        <v>284.3775</v>
      </c>
      <c r="M2512">
        <v>-0.99988980000000005</v>
      </c>
      <c r="N2512">
        <v>-1.4699449999999999E-2</v>
      </c>
      <c r="O2512">
        <v>-2.1070139999999999E-3</v>
      </c>
      <c r="P2512">
        <v>-0.9355502</v>
      </c>
      <c r="Q2512">
        <v>0.35237000000000002</v>
      </c>
      <c r="R2512">
        <v>-2.4105020000000001E-2</v>
      </c>
      <c r="S2512">
        <v>-3.3183289999999999</v>
      </c>
      <c r="T2512">
        <v>-0.284215</v>
      </c>
      <c r="U2512">
        <v>0.14266970000000001</v>
      </c>
      <c r="V2512">
        <v>-2.2220509999999999E-2</v>
      </c>
      <c r="W2512">
        <v>0.3660794</v>
      </c>
      <c r="X2512">
        <v>0.93031830000000004</v>
      </c>
      <c r="Y2512">
        <v>4.486242E-2</v>
      </c>
      <c r="Z2512">
        <v>2.3965879999999998E-3</v>
      </c>
      <c r="AA2512">
        <v>0.9989903</v>
      </c>
      <c r="AB2512">
        <v>35</v>
      </c>
      <c r="AC2512">
        <v>-0.549300000000016</v>
      </c>
      <c r="AD2512">
        <v>-6.4315999999999998E-2</v>
      </c>
      <c r="AE2512">
        <v>3.2800000000008801E-2</v>
      </c>
      <c r="AF2512">
        <v>3.3499804023823597E-2</v>
      </c>
      <c r="AG2512">
        <v>-6.4315999999999998E-2</v>
      </c>
      <c r="AH2512">
        <v>0.54182791179956802</v>
      </c>
      <c r="AI2512">
        <v>96.756659919898993</v>
      </c>
      <c r="AJ2512">
        <v>86.462055156552694</v>
      </c>
      <c r="AK2512">
        <v>0.54665919065786805</v>
      </c>
      <c r="AL2512">
        <v>68.525974270280997</v>
      </c>
      <c r="AM2512">
        <v>91.368240763814498</v>
      </c>
      <c r="AN2512">
        <v>1.0000000087419501</v>
      </c>
    </row>
    <row r="2513" spans="1:40" x14ac:dyDescent="0.25">
      <c r="A2513" t="str">
        <f>"20190304164902939"</f>
        <v>20190304164902939</v>
      </c>
      <c r="B2513" t="str">
        <f>"1551689342928543"</f>
        <v>1551689342928543</v>
      </c>
      <c r="C2513" t="s">
        <v>40</v>
      </c>
      <c r="D2513">
        <v>4.0389400000000002</v>
      </c>
      <c r="E2513">
        <v>0.54486919999999905</v>
      </c>
      <c r="F2513" t="s">
        <v>41</v>
      </c>
      <c r="G2513">
        <v>-369.77179999999998</v>
      </c>
      <c r="H2513">
        <v>1.0372079999999999</v>
      </c>
      <c r="I2513">
        <v>284.4153</v>
      </c>
      <c r="J2513">
        <v>-369.10149999999999</v>
      </c>
      <c r="K2513">
        <v>1.11094</v>
      </c>
      <c r="L2513">
        <v>284.37700000000001</v>
      </c>
      <c r="M2513">
        <v>-0.99988969999999999</v>
      </c>
      <c r="N2513">
        <v>-1.469725E-2</v>
      </c>
      <c r="O2513">
        <v>-2.1791940000000002E-3</v>
      </c>
      <c r="P2513">
        <v>-0.93570299999999995</v>
      </c>
      <c r="Q2513">
        <v>0.35201009999999999</v>
      </c>
      <c r="R2513">
        <v>-2.3431520000000001E-2</v>
      </c>
      <c r="S2513">
        <v>-3.3180239999999999</v>
      </c>
      <c r="T2513">
        <v>-0.28553119999999999</v>
      </c>
      <c r="U2513">
        <v>0.14550779999999999</v>
      </c>
      <c r="V2513">
        <v>-2.1482939999999999E-2</v>
      </c>
      <c r="W2513">
        <v>0.36571939999999997</v>
      </c>
      <c r="X2513">
        <v>0.9304772</v>
      </c>
      <c r="Y2513">
        <v>4.578546E-2</v>
      </c>
      <c r="Z2513">
        <v>2.4579480000000002E-3</v>
      </c>
      <c r="AA2513">
        <v>0.99894830000000001</v>
      </c>
      <c r="AB2513">
        <v>35</v>
      </c>
      <c r="AC2513">
        <v>-0.67029999999999701</v>
      </c>
      <c r="AD2513">
        <v>-7.3732000000000103E-2</v>
      </c>
      <c r="AE2513">
        <v>3.8299999999992403E-2</v>
      </c>
      <c r="AF2513">
        <v>3.9286967936631001E-2</v>
      </c>
      <c r="AG2513">
        <v>-7.3732000000000103E-2</v>
      </c>
      <c r="AH2513">
        <v>0.66222826628428599</v>
      </c>
      <c r="AI2513">
        <v>96.342044007656298</v>
      </c>
      <c r="AJ2513">
        <v>86.604883309686201</v>
      </c>
      <c r="AK2513">
        <v>0.66747745305706396</v>
      </c>
      <c r="AL2513">
        <v>68.548137668976807</v>
      </c>
      <c r="AM2513">
        <v>91.322615054128306</v>
      </c>
      <c r="AN2513">
        <v>1.00000000798362</v>
      </c>
    </row>
    <row r="2514" spans="1:40" x14ac:dyDescent="0.25">
      <c r="A2514" t="str">
        <f>"20190304164902950"</f>
        <v>20190304164902950</v>
      </c>
      <c r="B2514" t="str">
        <f>"1551689342938303"</f>
        <v>1551689342938303</v>
      </c>
      <c r="C2514" t="s">
        <v>40</v>
      </c>
      <c r="D2514">
        <v>4.0169290000000002</v>
      </c>
      <c r="E2514">
        <v>0.54476590000000003</v>
      </c>
      <c r="F2514" t="s">
        <v>41</v>
      </c>
      <c r="G2514">
        <v>-370.08100000000002</v>
      </c>
      <c r="H2514">
        <v>1.026435</v>
      </c>
      <c r="I2514">
        <v>284.42070000000001</v>
      </c>
      <c r="J2514">
        <v>-369.29270000000002</v>
      </c>
      <c r="K2514">
        <v>1.110941</v>
      </c>
      <c r="L2514">
        <v>284.3766</v>
      </c>
      <c r="M2514">
        <v>-0.99988949999999999</v>
      </c>
      <c r="N2514">
        <v>-1.4695069999999999E-2</v>
      </c>
      <c r="O2514">
        <v>-2.255661E-3</v>
      </c>
      <c r="P2514">
        <v>-0.9358822</v>
      </c>
      <c r="Q2514">
        <v>0.35158699999999998</v>
      </c>
      <c r="R2514">
        <v>-2.2609239999999999E-2</v>
      </c>
      <c r="S2514">
        <v>-3.3175659999999998</v>
      </c>
      <c r="T2514">
        <v>-0.28632099999999999</v>
      </c>
      <c r="U2514">
        <v>0.1475525</v>
      </c>
      <c r="V2514">
        <v>-2.0591680000000001E-2</v>
      </c>
      <c r="W2514">
        <v>0.36529729999999999</v>
      </c>
      <c r="X2514">
        <v>0.93066309999999997</v>
      </c>
      <c r="Y2514">
        <v>4.6478039999999998E-2</v>
      </c>
      <c r="Z2514">
        <v>2.5044939999999999E-3</v>
      </c>
      <c r="AA2514">
        <v>0.99891609999999997</v>
      </c>
      <c r="AB2514">
        <v>35</v>
      </c>
      <c r="AC2514">
        <v>-0.78829999999993505</v>
      </c>
      <c r="AD2514">
        <v>-8.4505999999999901E-2</v>
      </c>
      <c r="AE2514">
        <v>4.4100000000014399E-2</v>
      </c>
      <c r="AF2514">
        <v>4.5358587001923197E-2</v>
      </c>
      <c r="AG2514">
        <v>-8.4505999999999901E-2</v>
      </c>
      <c r="AH2514">
        <v>0.77927113807405402</v>
      </c>
      <c r="AI2514">
        <v>96.178727522262804</v>
      </c>
      <c r="AJ2514">
        <v>86.668776166537796</v>
      </c>
      <c r="AK2514">
        <v>0.78515105049031297</v>
      </c>
      <c r="AL2514">
        <v>68.574119134564995</v>
      </c>
      <c r="AM2514">
        <v>91.267509033695603</v>
      </c>
      <c r="AN2514">
        <v>0.99999997018705999</v>
      </c>
    </row>
    <row r="2515" spans="1:40" x14ac:dyDescent="0.25">
      <c r="A2515" t="str">
        <f>"20190304164902967"</f>
        <v>20190304164902967</v>
      </c>
      <c r="B2515" t="str">
        <f>"1551689342958802"</f>
        <v>1551689342958802</v>
      </c>
      <c r="C2515" t="s">
        <v>40</v>
      </c>
      <c r="D2515">
        <v>4.0281570000000002</v>
      </c>
      <c r="E2515">
        <v>0.54461879999999996</v>
      </c>
      <c r="F2515" t="s">
        <v>41</v>
      </c>
      <c r="G2515">
        <v>-370.08920000000001</v>
      </c>
      <c r="H2515">
        <v>1.042054</v>
      </c>
      <c r="I2515">
        <v>284.4128</v>
      </c>
      <c r="J2515">
        <v>-369.54419999999999</v>
      </c>
      <c r="K2515">
        <v>1.1109389999999999</v>
      </c>
      <c r="L2515">
        <v>284.3759</v>
      </c>
      <c r="M2515">
        <v>-0.99988929999999998</v>
      </c>
      <c r="N2515">
        <v>-1.469236E-2</v>
      </c>
      <c r="O2515">
        <v>-2.3591879999999999E-3</v>
      </c>
      <c r="P2515">
        <v>-0.9363456</v>
      </c>
      <c r="Q2515">
        <v>0.35043439999999998</v>
      </c>
      <c r="R2515">
        <v>-2.128621E-2</v>
      </c>
      <c r="S2515">
        <v>-3.316986</v>
      </c>
      <c r="T2515">
        <v>-0.28697440000000002</v>
      </c>
      <c r="U2515">
        <v>0.15008540000000001</v>
      </c>
      <c r="V2515">
        <v>-1.9174630000000002E-2</v>
      </c>
      <c r="W2515">
        <v>0.36414920000000001</v>
      </c>
      <c r="X2515">
        <v>0.93114319999999895</v>
      </c>
      <c r="Y2515">
        <v>4.7345489999999997E-2</v>
      </c>
      <c r="Z2515">
        <v>2.5610260000000001E-3</v>
      </c>
      <c r="AA2515">
        <v>0.99887530000000002</v>
      </c>
      <c r="AB2515">
        <v>35</v>
      </c>
      <c r="AC2515">
        <v>-0.54500000000001503</v>
      </c>
      <c r="AD2515">
        <v>-6.8884999999999794E-2</v>
      </c>
      <c r="AE2515">
        <v>3.6900000000002799E-2</v>
      </c>
      <c r="AF2515">
        <v>3.7588043341223801E-2</v>
      </c>
      <c r="AG2515">
        <v>-6.8884999999999794E-2</v>
      </c>
      <c r="AH2515">
        <v>0.53638152224149704</v>
      </c>
      <c r="AI2515">
        <v>97.300464794864695</v>
      </c>
      <c r="AJ2515">
        <v>85.991433056440201</v>
      </c>
      <c r="AK2515">
        <v>0.54209145135237802</v>
      </c>
      <c r="AL2515">
        <v>68.644767210449899</v>
      </c>
      <c r="AM2515">
        <v>91.179700523088101</v>
      </c>
      <c r="AN2515">
        <v>0.999999982601258</v>
      </c>
    </row>
    <row r="2516" spans="1:40" x14ac:dyDescent="0.25">
      <c r="A2516" t="str">
        <f>"20190304164902979"</f>
        <v>20190304164902979</v>
      </c>
      <c r="B2516" t="str">
        <f>"1551689342968559"</f>
        <v>1551689342968559</v>
      </c>
      <c r="C2516" t="s">
        <v>40</v>
      </c>
      <c r="D2516">
        <v>4.0350720000000004</v>
      </c>
      <c r="E2516">
        <v>0.54461009999999999</v>
      </c>
      <c r="F2516" t="s">
        <v>41</v>
      </c>
      <c r="G2516">
        <v>-370.40010000000001</v>
      </c>
      <c r="H2516">
        <v>1.0363770000000001</v>
      </c>
      <c r="I2516">
        <v>284.41590000000002</v>
      </c>
      <c r="J2516">
        <v>-369.72710000000001</v>
      </c>
      <c r="K2516">
        <v>1.1109340000000001</v>
      </c>
      <c r="L2516">
        <v>284.37540000000001</v>
      </c>
      <c r="M2516">
        <v>-0.99988929999999998</v>
      </c>
      <c r="N2516">
        <v>-1.4690440000000001E-2</v>
      </c>
      <c r="O2516">
        <v>-2.4359899999999999E-3</v>
      </c>
      <c r="P2516">
        <v>-0.93658980000000003</v>
      </c>
      <c r="Q2516">
        <v>0.34980939999999999</v>
      </c>
      <c r="R2516">
        <v>-2.0818570000000002E-2</v>
      </c>
      <c r="S2516">
        <v>-3.3155519999999998</v>
      </c>
      <c r="T2516">
        <v>-0.28895290000000001</v>
      </c>
      <c r="U2516">
        <v>0.1542664</v>
      </c>
      <c r="V2516">
        <v>-1.863648E-2</v>
      </c>
      <c r="W2516">
        <v>0.36352610000000002</v>
      </c>
      <c r="X2516">
        <v>0.93139760000000005</v>
      </c>
      <c r="Y2516">
        <v>4.868956E-2</v>
      </c>
      <c r="Z2516">
        <v>2.651226E-3</v>
      </c>
      <c r="AA2516">
        <v>0.99881050000000005</v>
      </c>
      <c r="AB2516">
        <v>35</v>
      </c>
      <c r="AC2516">
        <v>-0.67300000000000104</v>
      </c>
      <c r="AD2516">
        <v>-7.4556999999999901E-2</v>
      </c>
      <c r="AE2516">
        <v>4.0500000000008599E-2</v>
      </c>
      <c r="AF2516">
        <v>4.1630396189073902E-2</v>
      </c>
      <c r="AG2516">
        <v>-7.4556999999999901E-2</v>
      </c>
      <c r="AH2516">
        <v>0.66477012552732895</v>
      </c>
      <c r="AI2516">
        <v>96.386833225293998</v>
      </c>
      <c r="AJ2516">
        <v>86.416603083878101</v>
      </c>
      <c r="AK2516">
        <v>0.67023216569296296</v>
      </c>
      <c r="AL2516">
        <v>68.683095874295205</v>
      </c>
      <c r="AM2516">
        <v>91.146287236078905</v>
      </c>
      <c r="AN2516">
        <v>1.0000000165268801</v>
      </c>
    </row>
    <row r="2517" spans="1:40" x14ac:dyDescent="0.25">
      <c r="A2517" t="str">
        <f>"20190304164902991"</f>
        <v>20190304164902991</v>
      </c>
      <c r="B2517" t="str">
        <f>"1551689342978319"</f>
        <v>1551689342978319</v>
      </c>
      <c r="C2517" t="s">
        <v>40</v>
      </c>
      <c r="D2517">
        <v>4.0193139999999996</v>
      </c>
      <c r="E2517">
        <v>0.54457650000000002</v>
      </c>
      <c r="F2517" t="s">
        <v>41</v>
      </c>
      <c r="G2517">
        <v>-370.70830000000001</v>
      </c>
      <c r="H2517">
        <v>1.0249870000000001</v>
      </c>
      <c r="I2517">
        <v>284.42169999999999</v>
      </c>
      <c r="J2517">
        <v>-369.92439999999999</v>
      </c>
      <c r="K2517">
        <v>1.1109309999999999</v>
      </c>
      <c r="L2517">
        <v>284.37479999999999</v>
      </c>
      <c r="M2517">
        <v>-0.99988889999999997</v>
      </c>
      <c r="N2517">
        <v>-1.4688400000000001E-2</v>
      </c>
      <c r="O2517">
        <v>-2.519697E-3</v>
      </c>
      <c r="P2517">
        <v>-0.9367896</v>
      </c>
      <c r="Q2517">
        <v>0.34930070000000002</v>
      </c>
      <c r="R2517">
        <v>-2.0355359999999999E-2</v>
      </c>
      <c r="S2517">
        <v>-3.3150019999999998</v>
      </c>
      <c r="T2517">
        <v>-0.2903366</v>
      </c>
      <c r="U2517">
        <v>0.15670780000000001</v>
      </c>
      <c r="V2517">
        <v>-1.8096259999999999E-2</v>
      </c>
      <c r="W2517">
        <v>0.36301870000000003</v>
      </c>
      <c r="X2517">
        <v>0.93160609999999999</v>
      </c>
      <c r="Y2517">
        <v>4.950889E-2</v>
      </c>
      <c r="Z2517">
        <v>2.7105609999999998E-3</v>
      </c>
      <c r="AA2517">
        <v>0.99877000000000005</v>
      </c>
      <c r="AB2517">
        <v>35</v>
      </c>
      <c r="AC2517">
        <v>-0.78390000000001603</v>
      </c>
      <c r="AD2517">
        <v>-8.5943999999999798E-2</v>
      </c>
      <c r="AE2517">
        <v>4.6899999999993697E-2</v>
      </c>
      <c r="AF2517">
        <v>4.8296790832780101E-2</v>
      </c>
      <c r="AG2517">
        <v>-8.5943999999999798E-2</v>
      </c>
      <c r="AH2517">
        <v>0.77450289064439404</v>
      </c>
      <c r="AI2517">
        <v>96.319840136734101</v>
      </c>
      <c r="AJ2517">
        <v>86.431745015876103</v>
      </c>
      <c r="AK2517">
        <v>0.78075199567933695</v>
      </c>
      <c r="AL2517">
        <v>68.714298862497799</v>
      </c>
      <c r="AM2517">
        <v>91.112818974450306</v>
      </c>
      <c r="AN2517">
        <v>0.99999998836644299</v>
      </c>
    </row>
    <row r="2518" spans="1:40" x14ac:dyDescent="0.25">
      <c r="A2518" t="str">
        <f>"20190304164903003"</f>
        <v>20190304164903003</v>
      </c>
      <c r="B2518" t="str">
        <f>"1551689342998814"</f>
        <v>1551689342998814</v>
      </c>
      <c r="C2518" t="s">
        <v>40</v>
      </c>
      <c r="D2518">
        <v>4.0085680000000004</v>
      </c>
      <c r="E2518">
        <v>0.54450480000000001</v>
      </c>
      <c r="F2518" t="s">
        <v>41</v>
      </c>
      <c r="G2518">
        <v>-370.71640000000002</v>
      </c>
      <c r="H2518">
        <v>1.041221</v>
      </c>
      <c r="I2518">
        <v>284.41250000000002</v>
      </c>
      <c r="J2518">
        <v>-370.11169999999998</v>
      </c>
      <c r="K2518">
        <v>1.1109279999999999</v>
      </c>
      <c r="L2518">
        <v>284.37430000000001</v>
      </c>
      <c r="M2518">
        <v>-0.99988880000000002</v>
      </c>
      <c r="N2518">
        <v>-1.468646E-2</v>
      </c>
      <c r="O2518">
        <v>-2.6002970000000001E-3</v>
      </c>
      <c r="P2518">
        <v>-0.93702059999999998</v>
      </c>
      <c r="Q2518">
        <v>0.348692</v>
      </c>
      <c r="R2518">
        <v>-2.016913E-2</v>
      </c>
      <c r="S2518">
        <v>-3.3146059999999999</v>
      </c>
      <c r="T2518">
        <v>-0.29166399999999998</v>
      </c>
      <c r="U2518">
        <v>0.15795899999999999</v>
      </c>
      <c r="V2518">
        <v>-1.7835139999999999E-2</v>
      </c>
      <c r="W2518">
        <v>0.3624117</v>
      </c>
      <c r="X2518">
        <v>0.93184750000000005</v>
      </c>
      <c r="Y2518">
        <v>4.9966940000000001E-2</v>
      </c>
      <c r="Z2518">
        <v>2.7510149999999999E-3</v>
      </c>
      <c r="AA2518">
        <v>0.9987471</v>
      </c>
      <c r="AB2518">
        <v>35</v>
      </c>
      <c r="AC2518">
        <v>-0.60470000000003599</v>
      </c>
      <c r="AD2518">
        <v>-6.9707000000000102E-2</v>
      </c>
      <c r="AE2518">
        <v>3.8200000000017498E-2</v>
      </c>
      <c r="AF2518">
        <v>3.9252904787159697E-2</v>
      </c>
      <c r="AG2518">
        <v>-6.9707000000000102E-2</v>
      </c>
      <c r="AH2518">
        <v>0.59670092685353104</v>
      </c>
      <c r="AI2518">
        <v>96.648888257224897</v>
      </c>
      <c r="AJ2518">
        <v>86.236322240974204</v>
      </c>
      <c r="AK2518">
        <v>0.60203974328203103</v>
      </c>
      <c r="AL2518">
        <v>68.751620220793001</v>
      </c>
      <c r="AM2518">
        <v>91.096481449500402</v>
      </c>
      <c r="AN2518">
        <v>1.0000000478859701</v>
      </c>
    </row>
    <row r="2519" spans="1:40" x14ac:dyDescent="0.25">
      <c r="A2519" t="str">
        <f>"20190304164903017"</f>
        <v>20190304164903017</v>
      </c>
      <c r="B2519" t="str">
        <f>"1551689343008575"</f>
        <v>1551689343008575</v>
      </c>
      <c r="C2519" t="s">
        <v>40</v>
      </c>
      <c r="D2519">
        <v>3.999377</v>
      </c>
      <c r="E2519">
        <v>0.54450480000000001</v>
      </c>
      <c r="F2519" t="s">
        <v>41</v>
      </c>
      <c r="G2519">
        <v>-371.02460000000002</v>
      </c>
      <c r="H2519">
        <v>1.030478</v>
      </c>
      <c r="I2519">
        <v>284.41809999999998</v>
      </c>
      <c r="J2519">
        <v>-370.3329</v>
      </c>
      <c r="K2519">
        <v>1.1109230000000001</v>
      </c>
      <c r="L2519">
        <v>284.37360000000001</v>
      </c>
      <c r="M2519">
        <v>-0.99988849999999996</v>
      </c>
      <c r="N2519">
        <v>-1.468416E-2</v>
      </c>
      <c r="O2519">
        <v>-2.695556E-3</v>
      </c>
      <c r="P2519">
        <v>-0.93714419999999998</v>
      </c>
      <c r="Q2519">
        <v>0.34836420000000001</v>
      </c>
      <c r="R2519">
        <v>-2.0078820000000001E-2</v>
      </c>
      <c r="S2519">
        <v>-3.3137509999999999</v>
      </c>
      <c r="T2519">
        <v>-0.29212389999999999</v>
      </c>
      <c r="U2519">
        <v>0.1587219</v>
      </c>
      <c r="V2519">
        <v>-1.765715E-2</v>
      </c>
      <c r="W2519">
        <v>0.36208370000000001</v>
      </c>
      <c r="X2519">
        <v>0.93197830000000004</v>
      </c>
      <c r="Y2519">
        <v>5.0301209999999999E-2</v>
      </c>
      <c r="Z2519">
        <v>2.7795200000000002E-3</v>
      </c>
      <c r="AA2519">
        <v>0.99873020000000001</v>
      </c>
      <c r="AB2519">
        <v>35</v>
      </c>
      <c r="AC2519">
        <v>-0.69170000000002496</v>
      </c>
      <c r="AD2519">
        <v>-8.0444999999999794E-2</v>
      </c>
      <c r="AE2519">
        <v>4.4499999999970799E-2</v>
      </c>
      <c r="AF2519">
        <v>4.5748323931045498E-2</v>
      </c>
      <c r="AG2519">
        <v>-8.0444999999999794E-2</v>
      </c>
      <c r="AH2519">
        <v>0.68238576025709297</v>
      </c>
      <c r="AI2519">
        <v>96.7085237847012</v>
      </c>
      <c r="AJ2519">
        <v>86.164531069522894</v>
      </c>
      <c r="AK2519">
        <v>0.68863243676808505</v>
      </c>
      <c r="AL2519">
        <v>68.771780810959299</v>
      </c>
      <c r="AM2519">
        <v>91.085389169437406</v>
      </c>
      <c r="AN2519">
        <v>0.99999996621135001</v>
      </c>
    </row>
    <row r="2520" spans="1:40" x14ac:dyDescent="0.25">
      <c r="A2520" t="str">
        <f>"20190304164903030"</f>
        <v>20190304164903030</v>
      </c>
      <c r="B2520" t="str">
        <f>"1551689343018335"</f>
        <v>1551689343018335</v>
      </c>
      <c r="C2520" t="s">
        <v>40</v>
      </c>
      <c r="D2520">
        <v>4.0329680000000003</v>
      </c>
      <c r="E2520">
        <v>0.5421224</v>
      </c>
      <c r="F2520" t="s">
        <v>41</v>
      </c>
      <c r="G2520">
        <v>-371.33370000000002</v>
      </c>
      <c r="H2520">
        <v>1.022397</v>
      </c>
      <c r="I2520">
        <v>284.4221</v>
      </c>
      <c r="J2520">
        <v>-370.53100000000001</v>
      </c>
      <c r="K2520">
        <v>1.110919</v>
      </c>
      <c r="L2520">
        <v>284.37299999999999</v>
      </c>
      <c r="M2520">
        <v>-0.99988840000000001</v>
      </c>
      <c r="N2520">
        <v>-1.468206E-2</v>
      </c>
      <c r="O2520">
        <v>-2.7813909999999998E-3</v>
      </c>
      <c r="P2520">
        <v>-0.93726319999999996</v>
      </c>
      <c r="Q2520">
        <v>0.34801290000000001</v>
      </c>
      <c r="R2520">
        <v>-2.061735E-2</v>
      </c>
      <c r="S2520">
        <v>-3.313599</v>
      </c>
      <c r="T2520">
        <v>-0.29309020000000002</v>
      </c>
      <c r="U2520">
        <v>0.1603088</v>
      </c>
      <c r="V2520">
        <v>-1.8115309999999999E-2</v>
      </c>
      <c r="W2520">
        <v>0.3617321</v>
      </c>
      <c r="X2520">
        <v>0.93210610000000005</v>
      </c>
      <c r="Y2520">
        <v>5.0862070000000002E-2</v>
      </c>
      <c r="Z2520">
        <v>2.822822E-3</v>
      </c>
      <c r="AA2520">
        <v>0.99870170000000003</v>
      </c>
      <c r="AB2520">
        <v>35</v>
      </c>
      <c r="AC2520">
        <v>-0.80270000000001496</v>
      </c>
      <c r="AD2520">
        <v>-8.8521999999999906E-2</v>
      </c>
      <c r="AE2520">
        <v>4.91000000000099E-2</v>
      </c>
      <c r="AF2520">
        <v>5.0718151188396697E-2</v>
      </c>
      <c r="AG2520">
        <v>-8.8521999999999906E-2</v>
      </c>
      <c r="AH2520">
        <v>0.79295257429860999</v>
      </c>
      <c r="AI2520">
        <v>96.357009958173805</v>
      </c>
      <c r="AJ2520">
        <v>86.340281820322801</v>
      </c>
      <c r="AK2520">
        <v>0.79948874940849701</v>
      </c>
      <c r="AL2520">
        <v>68.793392269647597</v>
      </c>
      <c r="AM2520">
        <v>91.113392732351997</v>
      </c>
      <c r="AN2520">
        <v>1.0000000291419999</v>
      </c>
    </row>
    <row r="2521" spans="1:40" x14ac:dyDescent="0.25">
      <c r="A2521" t="str">
        <f>"20190304164903046"</f>
        <v>20190304164903046</v>
      </c>
      <c r="B2521" t="str">
        <f>"1551689343038834"</f>
        <v>1551689343038834</v>
      </c>
      <c r="C2521" t="s">
        <v>40</v>
      </c>
      <c r="D2521">
        <v>4.0000819999999999</v>
      </c>
      <c r="E2521">
        <v>0.54238319999999995</v>
      </c>
      <c r="F2521" t="s">
        <v>41</v>
      </c>
      <c r="G2521">
        <v>-371.346</v>
      </c>
      <c r="H2521">
        <v>1.0444009999999999</v>
      </c>
      <c r="I2521">
        <v>284.40839999999997</v>
      </c>
      <c r="J2521">
        <v>-370.78769999999997</v>
      </c>
      <c r="K2521">
        <v>1.11091299999999</v>
      </c>
      <c r="L2521">
        <v>284.37220000000002</v>
      </c>
      <c r="M2521">
        <v>-0.99988809999999995</v>
      </c>
      <c r="N2521">
        <v>-1.4679340000000001E-2</v>
      </c>
      <c r="O2521">
        <v>-2.8923740000000001E-3</v>
      </c>
      <c r="P2521">
        <v>-0.93773779999999995</v>
      </c>
      <c r="Q2521">
        <v>0.34668640000000001</v>
      </c>
      <c r="R2521">
        <v>-2.1367259999999999E-2</v>
      </c>
      <c r="S2521">
        <v>-3.3040769999999902</v>
      </c>
      <c r="T2521">
        <v>-0.269673</v>
      </c>
      <c r="U2521">
        <v>0.1433411</v>
      </c>
      <c r="V2521">
        <v>-1.8761190000000001E-2</v>
      </c>
      <c r="W2521">
        <v>0.3604097</v>
      </c>
      <c r="X2521">
        <v>0.93260540000000003</v>
      </c>
      <c r="Y2521">
        <v>4.6045200000000001E-2</v>
      </c>
      <c r="Z2521">
        <v>2.4070530000000001E-3</v>
      </c>
      <c r="AA2521">
        <v>0.9989365</v>
      </c>
      <c r="AB2521">
        <v>35</v>
      </c>
      <c r="AC2521">
        <v>-0.55830000000003099</v>
      </c>
      <c r="AD2521">
        <v>-6.6511999999999905E-2</v>
      </c>
      <c r="AE2521">
        <v>3.6199999999951098E-2</v>
      </c>
      <c r="AF2521">
        <v>3.7287835768191002E-2</v>
      </c>
      <c r="AG2521">
        <v>-6.6511999999999905E-2</v>
      </c>
      <c r="AH2521">
        <v>0.55041380074024204</v>
      </c>
      <c r="AI2521">
        <v>96.874607762982507</v>
      </c>
      <c r="AJ2521">
        <v>86.124413547788706</v>
      </c>
      <c r="AK2521">
        <v>0.55567038870682495</v>
      </c>
      <c r="AL2521">
        <v>68.874640396095799</v>
      </c>
      <c r="AM2521">
        <v>91.152461732056594</v>
      </c>
      <c r="AN2521">
        <v>0.99999998310673299</v>
      </c>
    </row>
    <row r="2522" spans="1:40" x14ac:dyDescent="0.25">
      <c r="A2522" t="str">
        <f>"20190304164903069"</f>
        <v>20190304164903069</v>
      </c>
      <c r="B2522" t="str">
        <f>"1551689343058351"</f>
        <v>1551689343058351</v>
      </c>
      <c r="C2522" t="s">
        <v>40</v>
      </c>
      <c r="D2522">
        <v>4.0230449999999998</v>
      </c>
      <c r="E2522">
        <v>0.54262319999999997</v>
      </c>
      <c r="F2522" t="s">
        <v>41</v>
      </c>
      <c r="G2522">
        <v>-371.65480000000002</v>
      </c>
      <c r="H2522">
        <v>1.0390629999999901</v>
      </c>
      <c r="I2522">
        <v>284.41050000000001</v>
      </c>
      <c r="J2522">
        <v>-371.13909999999998</v>
      </c>
      <c r="K2522">
        <v>1.110908</v>
      </c>
      <c r="L2522">
        <v>284.37099999999998</v>
      </c>
      <c r="M2522">
        <v>-0.99988770000000005</v>
      </c>
      <c r="N2522">
        <v>-1.467561E-2</v>
      </c>
      <c r="O2522">
        <v>-3.0442339999999998E-3</v>
      </c>
      <c r="P2522">
        <v>-0.93849680000000002</v>
      </c>
      <c r="Q2522">
        <v>0.34461190000000003</v>
      </c>
      <c r="R2522">
        <v>-2.159554E-2</v>
      </c>
      <c r="S2522">
        <v>-3.303833</v>
      </c>
      <c r="T2522">
        <v>-0.27397500000000002</v>
      </c>
      <c r="U2522">
        <v>0.1453247</v>
      </c>
      <c r="V2522">
        <v>-1.8844840000000002E-2</v>
      </c>
      <c r="W2522">
        <v>0.35834319999999997</v>
      </c>
      <c r="X2522">
        <v>0.93339970000000005</v>
      </c>
      <c r="Y2522">
        <v>4.6789749999999998E-2</v>
      </c>
      <c r="Z2522">
        <v>2.4873130000000001E-3</v>
      </c>
      <c r="AA2522">
        <v>0.9989017</v>
      </c>
      <c r="AB2522">
        <v>35</v>
      </c>
      <c r="AC2522">
        <v>-0.51570000000003802</v>
      </c>
      <c r="AD2522">
        <v>-7.1845000000000103E-2</v>
      </c>
      <c r="AE2522">
        <v>3.9500000000032197E-2</v>
      </c>
      <c r="AF2522">
        <v>4.0292430675756899E-2</v>
      </c>
      <c r="AG2522">
        <v>-7.1845000000000103E-2</v>
      </c>
      <c r="AH2522">
        <v>0.50581729957517196</v>
      </c>
      <c r="AI2522">
        <v>98.058880424884507</v>
      </c>
      <c r="AJ2522">
        <v>85.445545736195001</v>
      </c>
      <c r="AK2522">
        <v>0.51248056016231502</v>
      </c>
      <c r="AL2522">
        <v>69.001518669970693</v>
      </c>
      <c r="AM2522">
        <v>91.156613966097197</v>
      </c>
      <c r="AN2522">
        <v>0.999999988470477</v>
      </c>
    </row>
    <row r="2523" spans="1:40" x14ac:dyDescent="0.25">
      <c r="A2523" t="str">
        <f>"20190304164903090"</f>
        <v>20190304164903090</v>
      </c>
      <c r="B2523" t="str">
        <f>"1551689343078847"</f>
        <v>1551689343078847</v>
      </c>
      <c r="C2523" t="s">
        <v>40</v>
      </c>
      <c r="D2523">
        <v>3.9855990000000001</v>
      </c>
      <c r="E2523">
        <v>0.54276499999999905</v>
      </c>
      <c r="F2523" t="s">
        <v>41</v>
      </c>
      <c r="G2523">
        <v>-371.97309999999999</v>
      </c>
      <c r="H2523">
        <v>1.0465439999999999</v>
      </c>
      <c r="I2523">
        <v>284.40899999999999</v>
      </c>
      <c r="J2523">
        <v>-371.46499999999997</v>
      </c>
      <c r="K2523">
        <v>1.1109020000000001</v>
      </c>
      <c r="L2523">
        <v>284.36989999999997</v>
      </c>
      <c r="M2523">
        <v>-0.99988739999999998</v>
      </c>
      <c r="N2523">
        <v>-1.4672019999999999E-2</v>
      </c>
      <c r="O2523">
        <v>-3.1851190000000001E-3</v>
      </c>
      <c r="P2523">
        <v>-0.93932969999999905</v>
      </c>
      <c r="Q2523">
        <v>0.34239259999999999</v>
      </c>
      <c r="R2523">
        <v>-2.0676960000000001E-2</v>
      </c>
      <c r="S2523">
        <v>-3.2934269999999999</v>
      </c>
      <c r="T2523">
        <v>-0.25424720000000001</v>
      </c>
      <c r="U2523">
        <v>0.1495667</v>
      </c>
      <c r="V2523">
        <v>-1.7791399999999999E-2</v>
      </c>
      <c r="W2523">
        <v>0.35613329999999999</v>
      </c>
      <c r="X2523">
        <v>0.93426580000000004</v>
      </c>
      <c r="Y2523">
        <v>4.8371619999999997E-2</v>
      </c>
      <c r="Z2523">
        <v>2.417804E-3</v>
      </c>
      <c r="AA2523">
        <v>0.99882649999999995</v>
      </c>
      <c r="AB2523">
        <v>35</v>
      </c>
      <c r="AC2523">
        <v>-0.50810000000001299</v>
      </c>
      <c r="AD2523">
        <v>-6.4357999999999901E-2</v>
      </c>
      <c r="AE2523">
        <v>3.9100000000019002E-2</v>
      </c>
      <c r="AF2523">
        <v>4.0079099808571703E-2</v>
      </c>
      <c r="AG2523">
        <v>-6.4357999999999901E-2</v>
      </c>
      <c r="AH2523">
        <v>0.49999823342771599</v>
      </c>
      <c r="AI2523">
        <v>97.311384130544695</v>
      </c>
      <c r="AJ2523">
        <v>85.417056201606897</v>
      </c>
      <c r="AK2523">
        <v>0.50571387150868496</v>
      </c>
      <c r="AL2523">
        <v>69.137082795041906</v>
      </c>
      <c r="AM2523">
        <v>91.090962481659602</v>
      </c>
      <c r="AN2523">
        <v>1.00000002316624</v>
      </c>
    </row>
    <row r="2524" spans="1:40" x14ac:dyDescent="0.25">
      <c r="A2524" t="str">
        <f>"20190304164903104"</f>
        <v>20190304164903104</v>
      </c>
      <c r="B2524" t="str">
        <f>"1551689343098367"</f>
        <v>1551689343098367</v>
      </c>
      <c r="C2524" t="s">
        <v>40</v>
      </c>
      <c r="D2524">
        <v>4.002097</v>
      </c>
      <c r="E2524">
        <v>0.54261479999999995</v>
      </c>
      <c r="F2524" t="s">
        <v>41</v>
      </c>
      <c r="G2524">
        <v>-372.2833</v>
      </c>
      <c r="H2524">
        <v>1.0445230000000001</v>
      </c>
      <c r="I2524">
        <v>284.40750000000003</v>
      </c>
      <c r="J2524">
        <v>-371.68380000000002</v>
      </c>
      <c r="K2524">
        <v>1.1109020000000001</v>
      </c>
      <c r="L2524">
        <v>284.3691</v>
      </c>
      <c r="M2524">
        <v>-0.99988710000000003</v>
      </c>
      <c r="N2524">
        <v>-1.466957E-2</v>
      </c>
      <c r="O2524">
        <v>-3.2791600000000001E-3</v>
      </c>
      <c r="P2524">
        <v>-0.93966320000000003</v>
      </c>
      <c r="Q2524">
        <v>0.34152159999999998</v>
      </c>
      <c r="R2524">
        <v>-1.9903580000000001E-2</v>
      </c>
      <c r="S2524">
        <v>-3.2945859999999998</v>
      </c>
      <c r="T2524">
        <v>-0.26742339999999998</v>
      </c>
      <c r="U2524">
        <v>0.15020749999999999</v>
      </c>
      <c r="V2524">
        <v>-1.6929110000000001E-2</v>
      </c>
      <c r="W2524">
        <v>0.3552651</v>
      </c>
      <c r="X2524">
        <v>0.93461229999999995</v>
      </c>
      <c r="Y2524">
        <v>4.8624970000000003E-2</v>
      </c>
      <c r="Z2524">
        <v>2.5443340000000001E-3</v>
      </c>
      <c r="AA2524">
        <v>0.99881390000000003</v>
      </c>
      <c r="AB2524">
        <v>35</v>
      </c>
      <c r="AC2524">
        <v>-0.59949999999997705</v>
      </c>
      <c r="AD2524">
        <v>-6.6379000000000105E-2</v>
      </c>
      <c r="AE2524">
        <v>3.8400000000024102E-2</v>
      </c>
      <c r="AF2524">
        <v>3.9878951452165801E-2</v>
      </c>
      <c r="AG2524">
        <v>-6.6379000000000105E-2</v>
      </c>
      <c r="AH2524">
        <v>0.59214098159649098</v>
      </c>
      <c r="AI2524">
        <v>96.381816742328496</v>
      </c>
      <c r="AJ2524">
        <v>86.147116018149802</v>
      </c>
      <c r="AK2524">
        <v>0.59718292381478899</v>
      </c>
      <c r="AL2524">
        <v>69.190307789148306</v>
      </c>
      <c r="AM2524">
        <v>91.037714240457802</v>
      </c>
      <c r="AN2524">
        <v>1.0000000186773399</v>
      </c>
    </row>
    <row r="2525" spans="1:40" x14ac:dyDescent="0.25">
      <c r="A2525" t="str">
        <f>"20190304164903116"</f>
        <v>20190304164903116</v>
      </c>
      <c r="B2525" t="str">
        <f>"1551689343109102"</f>
        <v>1551689343109102</v>
      </c>
      <c r="C2525" t="s">
        <v>40</v>
      </c>
      <c r="D2525">
        <v>3.9923510000000002</v>
      </c>
      <c r="E2525">
        <v>0.54267330000000003</v>
      </c>
      <c r="F2525" t="s">
        <v>41</v>
      </c>
      <c r="G2525">
        <v>-372.58929999999998</v>
      </c>
      <c r="H2525">
        <v>1.0357430000000001</v>
      </c>
      <c r="I2525">
        <v>284.41050000000001</v>
      </c>
      <c r="J2525">
        <v>-371.88249999999999</v>
      </c>
      <c r="K2525">
        <v>1.1109059999999999</v>
      </c>
      <c r="L2525">
        <v>284.36829999999998</v>
      </c>
      <c r="M2525">
        <v>-0.99988679999999996</v>
      </c>
      <c r="N2525">
        <v>-1.4667360000000001E-2</v>
      </c>
      <c r="O2525">
        <v>-3.3642609999999999E-3</v>
      </c>
      <c r="P2525">
        <v>-0.9397103</v>
      </c>
      <c r="Q2525">
        <v>0.34142709999999998</v>
      </c>
      <c r="R2525">
        <v>-1.9293319999999999E-2</v>
      </c>
      <c r="S2525">
        <v>-3.295258</v>
      </c>
      <c r="T2525">
        <v>-0.27360499999999999</v>
      </c>
      <c r="U2525">
        <v>0.15029909999999999</v>
      </c>
      <c r="V2525">
        <v>-1.6238969999999998E-2</v>
      </c>
      <c r="W2525">
        <v>0.35516969999999998</v>
      </c>
      <c r="X2525">
        <v>0.93466079999999996</v>
      </c>
      <c r="Y2525">
        <v>4.8719369999999998E-2</v>
      </c>
      <c r="Z2525">
        <v>2.6057480000000002E-3</v>
      </c>
      <c r="AA2525">
        <v>0.99880910000000001</v>
      </c>
      <c r="AB2525">
        <v>35</v>
      </c>
      <c r="AC2525">
        <v>-0.70679999999998699</v>
      </c>
      <c r="AD2525">
        <v>-7.5162999999999799E-2</v>
      </c>
      <c r="AE2525">
        <v>4.2200000000036597E-2</v>
      </c>
      <c r="AF2525">
        <v>4.4081144046782803E-2</v>
      </c>
      <c r="AG2525">
        <v>-7.5162999999999799E-2</v>
      </c>
      <c r="AH2525">
        <v>0.69877974708831003</v>
      </c>
      <c r="AI2525">
        <v>96.127227670120206</v>
      </c>
      <c r="AJ2525">
        <v>86.390391635016798</v>
      </c>
      <c r="AK2525">
        <v>0.70419156397267102</v>
      </c>
      <c r="AL2525">
        <v>69.196155080352</v>
      </c>
      <c r="AM2525">
        <v>90.995367347775499</v>
      </c>
      <c r="AN2525">
        <v>1.0000000155006901</v>
      </c>
    </row>
    <row r="2526" spans="1:40" x14ac:dyDescent="0.25">
      <c r="A2526" t="str">
        <f>"20190304164903128"</f>
        <v>20190304164903128</v>
      </c>
      <c r="B2526" t="str">
        <f>"1551689343118863"</f>
        <v>1551689343118863</v>
      </c>
      <c r="C2526" t="s">
        <v>40</v>
      </c>
      <c r="D2526">
        <v>3.9898120000000001</v>
      </c>
      <c r="E2526">
        <v>0.54267589999999999</v>
      </c>
      <c r="F2526" t="s">
        <v>41</v>
      </c>
      <c r="G2526">
        <v>-372.89640000000003</v>
      </c>
      <c r="H2526">
        <v>1.027112</v>
      </c>
      <c r="I2526">
        <v>284.41559999999998</v>
      </c>
      <c r="J2526">
        <v>-372.07870000000003</v>
      </c>
      <c r="K2526">
        <v>1.1109059999999999</v>
      </c>
      <c r="L2526">
        <v>284.36759999999998</v>
      </c>
      <c r="M2526">
        <v>-0.99988659999999996</v>
      </c>
      <c r="N2526">
        <v>-1.466522E-2</v>
      </c>
      <c r="O2526">
        <v>-3.448998E-3</v>
      </c>
      <c r="P2526">
        <v>-0.93974389999999997</v>
      </c>
      <c r="Q2526">
        <v>0.34135850000000001</v>
      </c>
      <c r="R2526">
        <v>-1.886608E-2</v>
      </c>
      <c r="S2526">
        <v>-3.2945859999999998</v>
      </c>
      <c r="T2526">
        <v>-0.27240989999999998</v>
      </c>
      <c r="U2526">
        <v>0.1526489</v>
      </c>
      <c r="V2526">
        <v>-1.5731789999999999E-2</v>
      </c>
      <c r="W2526">
        <v>0.3550992</v>
      </c>
      <c r="X2526">
        <v>0.93469619999999998</v>
      </c>
      <c r="Y2526">
        <v>4.952235E-2</v>
      </c>
      <c r="Z2526">
        <v>2.6409089999999999E-3</v>
      </c>
      <c r="AA2526">
        <v>0.99876949999999998</v>
      </c>
      <c r="AB2526">
        <v>35</v>
      </c>
      <c r="AC2526">
        <v>-0.81770000000000198</v>
      </c>
      <c r="AD2526">
        <v>-8.3793999999999896E-2</v>
      </c>
      <c r="AE2526">
        <v>4.8000000000001798E-2</v>
      </c>
      <c r="AF2526">
        <v>5.0293931513107001E-2</v>
      </c>
      <c r="AG2526">
        <v>-8.3793999999999896E-2</v>
      </c>
      <c r="AH2526">
        <v>0.80906263399026501</v>
      </c>
      <c r="AI2526">
        <v>95.901687021771593</v>
      </c>
      <c r="AJ2526">
        <v>86.442887511554702</v>
      </c>
      <c r="AK2526">
        <v>0.81494371566526602</v>
      </c>
      <c r="AL2526">
        <v>69.200474860467693</v>
      </c>
      <c r="AM2526">
        <v>90.964249210445104</v>
      </c>
      <c r="AN2526">
        <v>0.99999995867584102</v>
      </c>
    </row>
    <row r="2527" spans="1:40" x14ac:dyDescent="0.25">
      <c r="A2527" t="str">
        <f>"20190304164903141"</f>
        <v>20190304164903141</v>
      </c>
      <c r="B2527" t="str">
        <f>"1551689343128624"</f>
        <v>1551689343128624</v>
      </c>
      <c r="C2527" t="s">
        <v>40</v>
      </c>
      <c r="D2527">
        <v>3.9668600000000001</v>
      </c>
      <c r="E2527">
        <v>0.54263539999999999</v>
      </c>
      <c r="F2527" t="s">
        <v>41</v>
      </c>
      <c r="G2527">
        <v>-372.9049</v>
      </c>
      <c r="H2527">
        <v>1.0430280000000001</v>
      </c>
      <c r="I2527">
        <v>284.40660000000003</v>
      </c>
      <c r="J2527">
        <v>-372.26220000000001</v>
      </c>
      <c r="K2527">
        <v>1.1109059999999999</v>
      </c>
      <c r="L2527">
        <v>284.36689999999999</v>
      </c>
      <c r="M2527">
        <v>-0.99988630000000001</v>
      </c>
      <c r="N2527">
        <v>-1.4663229999999999E-2</v>
      </c>
      <c r="O2527">
        <v>-3.5280139999999999E-3</v>
      </c>
      <c r="P2527">
        <v>-0.93963099999999999</v>
      </c>
      <c r="Q2527">
        <v>0.34168399999999999</v>
      </c>
      <c r="R2527">
        <v>-1.8593309999999998E-2</v>
      </c>
      <c r="S2527">
        <v>-3.2938230000000002</v>
      </c>
      <c r="T2527">
        <v>-0.27076289999999997</v>
      </c>
      <c r="U2527">
        <v>0.1544189</v>
      </c>
      <c r="V2527">
        <v>-1.538569E-2</v>
      </c>
      <c r="W2527">
        <v>0.3554216</v>
      </c>
      <c r="X2527">
        <v>0.93457950000000001</v>
      </c>
      <c r="Y2527">
        <v>5.0147110000000002E-2</v>
      </c>
      <c r="Z2527">
        <v>2.6628820000000001E-3</v>
      </c>
      <c r="AA2527">
        <v>0.99873829999999997</v>
      </c>
      <c r="AB2527">
        <v>35</v>
      </c>
      <c r="AC2527">
        <v>-0.64269999999998995</v>
      </c>
      <c r="AD2527">
        <v>-6.78779999999998E-2</v>
      </c>
      <c r="AE2527">
        <v>3.9700000000038899E-2</v>
      </c>
      <c r="AF2527">
        <v>4.1506238865652398E-2</v>
      </c>
      <c r="AG2527">
        <v>-6.78779999999998E-2</v>
      </c>
      <c r="AH2527">
        <v>0.63549438499404698</v>
      </c>
      <c r="AI2527">
        <v>96.083858326829699</v>
      </c>
      <c r="AJ2527">
        <v>86.263130835342807</v>
      </c>
      <c r="AK2527">
        <v>0.64045554420875594</v>
      </c>
      <c r="AL2527">
        <v>69.180715340344307</v>
      </c>
      <c r="AM2527">
        <v>90.943157299022999</v>
      </c>
      <c r="AN2527">
        <v>1.0000000375117899</v>
      </c>
    </row>
    <row r="2528" spans="1:40" x14ac:dyDescent="0.25">
      <c r="A2528" t="str">
        <f>"20190304164903153"</f>
        <v>20190304164903153</v>
      </c>
      <c r="B2528" t="str">
        <f>"1551689343148143"</f>
        <v>1551689343148143</v>
      </c>
      <c r="C2528" t="s">
        <v>40</v>
      </c>
      <c r="D2528">
        <v>4.0177360000000002</v>
      </c>
      <c r="E2528">
        <v>0.54274699999999998</v>
      </c>
      <c r="F2528" t="s">
        <v>41</v>
      </c>
      <c r="G2528">
        <v>-373.21050000000002</v>
      </c>
      <c r="H2528">
        <v>1.0335049999999999</v>
      </c>
      <c r="I2528">
        <v>284.4119</v>
      </c>
      <c r="J2528">
        <v>-372.45030000000003</v>
      </c>
      <c r="K2528">
        <v>1.110908</v>
      </c>
      <c r="L2528">
        <v>284.36619999999999</v>
      </c>
      <c r="M2528">
        <v>-0.9998861</v>
      </c>
      <c r="N2528">
        <v>-1.4661189999999999E-2</v>
      </c>
      <c r="O2528">
        <v>-3.6088190000000001E-3</v>
      </c>
      <c r="P2528">
        <v>-0.93944879999999997</v>
      </c>
      <c r="Q2528">
        <v>0.34219300000000002</v>
      </c>
      <c r="R2528">
        <v>-1.844664E-2</v>
      </c>
      <c r="S2528">
        <v>-3.2935789999999998</v>
      </c>
      <c r="T2528">
        <v>-0.26882050000000002</v>
      </c>
      <c r="U2528">
        <v>0.1560974</v>
      </c>
      <c r="V2528">
        <v>-1.5163319999999999E-2</v>
      </c>
      <c r="W2528">
        <v>0.35592649999999998</v>
      </c>
      <c r="X2528">
        <v>0.93439099999999997</v>
      </c>
      <c r="Y2528">
        <v>5.0739359999999997E-2</v>
      </c>
      <c r="Z2528">
        <v>2.6800700000000001E-3</v>
      </c>
      <c r="AA2528">
        <v>0.99870829999999999</v>
      </c>
      <c r="AB2528">
        <v>35</v>
      </c>
      <c r="AC2528">
        <v>-0.76019999999999699</v>
      </c>
      <c r="AD2528">
        <v>-7.7403000000000097E-2</v>
      </c>
      <c r="AE2528">
        <v>4.5700000000010697E-2</v>
      </c>
      <c r="AF2528">
        <v>4.7948125194952798E-2</v>
      </c>
      <c r="AG2528">
        <v>-7.7403000000000097E-2</v>
      </c>
      <c r="AH2528">
        <v>0.75225939601800895</v>
      </c>
      <c r="AI2528">
        <v>95.862905330173206</v>
      </c>
      <c r="AJ2528">
        <v>86.352968218321195</v>
      </c>
      <c r="AK2528">
        <v>0.75774959321407098</v>
      </c>
      <c r="AL2528">
        <v>69.1497634266006</v>
      </c>
      <c r="AM2528">
        <v>90.929715703762398</v>
      </c>
      <c r="AN2528">
        <v>1.00000007027833</v>
      </c>
    </row>
    <row r="2529" spans="1:40" x14ac:dyDescent="0.25">
      <c r="A2529" t="str">
        <f>"20190304164903168"</f>
        <v>20190304164903168</v>
      </c>
      <c r="B2529" t="str">
        <f>"1551689343158879"</f>
        <v>1551689343158879</v>
      </c>
      <c r="C2529" t="s">
        <v>40</v>
      </c>
      <c r="D2529">
        <v>4.0002639999999996</v>
      </c>
      <c r="E2529">
        <v>0.54273930000000004</v>
      </c>
      <c r="F2529" t="s">
        <v>41</v>
      </c>
      <c r="G2529">
        <v>-373.221</v>
      </c>
      <c r="H2529">
        <v>1.048573</v>
      </c>
      <c r="I2529">
        <v>284.40320000000003</v>
      </c>
      <c r="J2529">
        <v>-372.68599999999998</v>
      </c>
      <c r="K2529">
        <v>1.110914</v>
      </c>
      <c r="L2529">
        <v>284.36520000000002</v>
      </c>
      <c r="M2529">
        <v>-0.99988569999999999</v>
      </c>
      <c r="N2529">
        <v>-1.4658600000000001E-2</v>
      </c>
      <c r="O2529">
        <v>-3.7100039999999998E-3</v>
      </c>
      <c r="P2529">
        <v>-0.93921290000000002</v>
      </c>
      <c r="Q2529">
        <v>0.34287479999999998</v>
      </c>
      <c r="R2529">
        <v>-1.7772320000000001E-2</v>
      </c>
      <c r="S2529">
        <v>-3.2934570000000001</v>
      </c>
      <c r="T2529">
        <v>-0.26631640000000001</v>
      </c>
      <c r="U2529">
        <v>0.15789790000000001</v>
      </c>
      <c r="V2529">
        <v>-1.4395669999999999E-2</v>
      </c>
      <c r="W2529">
        <v>0.35660199999999997</v>
      </c>
      <c r="X2529">
        <v>0.93414549999999996</v>
      </c>
      <c r="Y2529">
        <v>5.1387769999999999E-2</v>
      </c>
      <c r="Z2529">
        <v>2.6957560000000001E-3</v>
      </c>
      <c r="AA2529">
        <v>0.99867510000000004</v>
      </c>
      <c r="AB2529">
        <v>35</v>
      </c>
      <c r="AC2529">
        <v>-0.53500000000002501</v>
      </c>
      <c r="AD2529">
        <v>-6.2340999999999903E-2</v>
      </c>
      <c r="AE2529">
        <v>3.80000000000109E-2</v>
      </c>
      <c r="AF2529">
        <v>3.9451810913782498E-2</v>
      </c>
      <c r="AG2529">
        <v>-6.2340999999999903E-2</v>
      </c>
      <c r="AH2529">
        <v>0.52772576146579198</v>
      </c>
      <c r="AI2529">
        <v>96.718632711502096</v>
      </c>
      <c r="AJ2529">
        <v>85.724625392333607</v>
      </c>
      <c r="AK2529">
        <v>0.53285769674466299</v>
      </c>
      <c r="AL2529">
        <v>69.108341158206201</v>
      </c>
      <c r="AM2529">
        <v>90.882887998028394</v>
      </c>
      <c r="AN2529">
        <v>1.0000000184444899</v>
      </c>
    </row>
    <row r="2530" spans="1:40" x14ac:dyDescent="0.25">
      <c r="A2530" t="str">
        <f>"20190304164903182"</f>
        <v>20190304164903182</v>
      </c>
      <c r="B2530" t="str">
        <f>"1551689343178399"</f>
        <v>1551689343178399</v>
      </c>
      <c r="C2530" t="s">
        <v>40</v>
      </c>
      <c r="D2530">
        <v>3.974094</v>
      </c>
      <c r="E2530">
        <v>0.54266729999999996</v>
      </c>
      <c r="F2530" t="s">
        <v>41</v>
      </c>
      <c r="G2530">
        <v>-373.52699999999999</v>
      </c>
      <c r="H2530">
        <v>1.043679</v>
      </c>
      <c r="I2530">
        <v>284.40640000000002</v>
      </c>
      <c r="J2530">
        <v>-372.89449999999999</v>
      </c>
      <c r="K2530">
        <v>1.110919</v>
      </c>
      <c r="L2530">
        <v>284.36439999999999</v>
      </c>
      <c r="M2530">
        <v>-0.99988529999999998</v>
      </c>
      <c r="N2530">
        <v>-1.4656290000000001E-2</v>
      </c>
      <c r="O2530">
        <v>-3.7995049999999999E-3</v>
      </c>
      <c r="P2530">
        <v>-0.93919280000000005</v>
      </c>
      <c r="Q2530">
        <v>0.34292159999999999</v>
      </c>
      <c r="R2530">
        <v>-1.793548E-2</v>
      </c>
      <c r="S2530">
        <v>-3.2933650000000001</v>
      </c>
      <c r="T2530">
        <v>-0.26340390000000002</v>
      </c>
      <c r="U2530">
        <v>0.1602478</v>
      </c>
      <c r="V2530">
        <v>-1.4474239999999999E-2</v>
      </c>
      <c r="W2530">
        <v>0.35664639999999997</v>
      </c>
      <c r="X2530">
        <v>0.93412729999999999</v>
      </c>
      <c r="Y2530">
        <v>5.2190359999999998E-2</v>
      </c>
      <c r="Z2530">
        <v>2.713614E-3</v>
      </c>
      <c r="AA2530">
        <v>0.9986334</v>
      </c>
      <c r="AB2530">
        <v>35</v>
      </c>
      <c r="AC2530">
        <v>-0.63249999999999296</v>
      </c>
      <c r="AD2530">
        <v>-6.7239999999999897E-2</v>
      </c>
      <c r="AE2530">
        <v>4.2000000000029999E-2</v>
      </c>
      <c r="AF2530">
        <v>4.3909083974820698E-2</v>
      </c>
      <c r="AG2530">
        <v>-6.7239999999999897E-2</v>
      </c>
      <c r="AH2530">
        <v>0.62530006026593699</v>
      </c>
      <c r="AI2530">
        <v>96.1226053625482</v>
      </c>
      <c r="AJ2530">
        <v>85.983236800996906</v>
      </c>
      <c r="AK2530">
        <v>0.63043587352251096</v>
      </c>
      <c r="AL2530">
        <v>69.105617462371896</v>
      </c>
      <c r="AM2530">
        <v>90.887723228402194</v>
      </c>
      <c r="AN2530">
        <v>0.99999998543091295</v>
      </c>
    </row>
    <row r="2531" spans="1:40" x14ac:dyDescent="0.25">
      <c r="A2531" t="str">
        <f>"20190304164903194"</f>
        <v>20190304164903194</v>
      </c>
      <c r="B2531" t="str">
        <f>"1551689343188158"</f>
        <v>1551689343188158</v>
      </c>
      <c r="C2531" t="s">
        <v>40</v>
      </c>
      <c r="D2531">
        <v>4.0167060000000001</v>
      </c>
      <c r="E2531">
        <v>0.54261870000000001</v>
      </c>
      <c r="F2531" t="s">
        <v>41</v>
      </c>
      <c r="G2531">
        <v>-373.8329</v>
      </c>
      <c r="H2531">
        <v>1.0363420000000001</v>
      </c>
      <c r="I2531">
        <v>284.40989999999999</v>
      </c>
      <c r="J2531">
        <v>-373.10210000000001</v>
      </c>
      <c r="K2531">
        <v>1.1109199999999999</v>
      </c>
      <c r="L2531">
        <v>284.36349999999999</v>
      </c>
      <c r="M2531">
        <v>-0.99988520000000003</v>
      </c>
      <c r="N2531">
        <v>-1.4653970000000001E-2</v>
      </c>
      <c r="O2531">
        <v>-3.8886459999999999E-3</v>
      </c>
      <c r="P2531">
        <v>-0.93933060000000002</v>
      </c>
      <c r="Q2531">
        <v>0.34255350000000001</v>
      </c>
      <c r="R2531">
        <v>-1.776403E-2</v>
      </c>
      <c r="S2531">
        <v>-3.2928470000000001</v>
      </c>
      <c r="T2531">
        <v>-0.26174340000000001</v>
      </c>
      <c r="U2531">
        <v>0.15917970000000001</v>
      </c>
      <c r="V2531">
        <v>-1.421803E-2</v>
      </c>
      <c r="W2531">
        <v>0.35627809999999999</v>
      </c>
      <c r="X2531">
        <v>0.93427179999999999</v>
      </c>
      <c r="Y2531">
        <v>5.1966850000000002E-2</v>
      </c>
      <c r="Z2531">
        <v>2.6942089999999999E-3</v>
      </c>
      <c r="AA2531">
        <v>0.99864520000000001</v>
      </c>
      <c r="AB2531">
        <v>35</v>
      </c>
      <c r="AC2531">
        <v>-0.73079999999998702</v>
      </c>
      <c r="AD2531">
        <v>-7.4578000000000005E-2</v>
      </c>
      <c r="AE2531">
        <v>4.6400000000005499E-2</v>
      </c>
      <c r="AF2531">
        <v>4.8736266770941103E-2</v>
      </c>
      <c r="AG2531">
        <v>-7.4578000000000005E-2</v>
      </c>
      <c r="AH2531">
        <v>0.72311363319268396</v>
      </c>
      <c r="AI2531">
        <v>95.875120673852194</v>
      </c>
      <c r="AJ2531">
        <v>86.144221799389598</v>
      </c>
      <c r="AK2531">
        <v>0.72858110618646399</v>
      </c>
      <c r="AL2531">
        <v>69.128203839977402</v>
      </c>
      <c r="AM2531">
        <v>90.871877147471395</v>
      </c>
      <c r="AN2531">
        <v>1.0000000165959599</v>
      </c>
    </row>
    <row r="2532" spans="1:40" x14ac:dyDescent="0.25">
      <c r="A2532" t="str">
        <f>"20190304164903207"</f>
        <v>20190304164903207</v>
      </c>
      <c r="B2532" t="str">
        <f>"1551689343198894"</f>
        <v>1551689343198894</v>
      </c>
      <c r="C2532" t="s">
        <v>40</v>
      </c>
      <c r="D2532">
        <v>3.9887359999999998</v>
      </c>
      <c r="E2532">
        <v>0.54255100000000001</v>
      </c>
      <c r="F2532" t="s">
        <v>46</v>
      </c>
      <c r="G2532">
        <v>-387.03980000000001</v>
      </c>
      <c r="H2532" s="1">
        <v>2.2094340000000001E-6</v>
      </c>
      <c r="I2532">
        <v>285.03739999999999</v>
      </c>
      <c r="J2532">
        <v>-373.29559999999998</v>
      </c>
      <c r="K2532">
        <v>1.110919</v>
      </c>
      <c r="L2532">
        <v>284.36270000000002</v>
      </c>
      <c r="M2532">
        <v>-0.99988469999999996</v>
      </c>
      <c r="N2532">
        <v>-1.4651809999999999E-2</v>
      </c>
      <c r="O2532">
        <v>-3.9704010000000001E-3</v>
      </c>
      <c r="P2532">
        <v>-0.93940000000000001</v>
      </c>
      <c r="Q2532">
        <v>0.34236220000000001</v>
      </c>
      <c r="R2532">
        <v>-1.7769239999999999E-2</v>
      </c>
      <c r="S2532">
        <v>-3.2924799999999999</v>
      </c>
      <c r="T2532">
        <v>-0.26243030000000001</v>
      </c>
      <c r="U2532">
        <v>0.1592102</v>
      </c>
      <c r="V2532">
        <v>-1.414608E-2</v>
      </c>
      <c r="W2532">
        <v>0.35608600000000001</v>
      </c>
      <c r="X2532">
        <v>0.93434609999999996</v>
      </c>
      <c r="Y2532">
        <v>5.2061540000000003E-2</v>
      </c>
      <c r="Z2532">
        <v>2.7103940000000001E-3</v>
      </c>
      <c r="AA2532">
        <v>0.99864019999999998</v>
      </c>
      <c r="AB2532">
        <v>35</v>
      </c>
      <c r="AC2532">
        <v>-13.744199999999999</v>
      </c>
      <c r="AD2532">
        <v>-1.110916790566</v>
      </c>
      <c r="AE2532">
        <v>0.67469999999997299</v>
      </c>
      <c r="AF2532">
        <v>0.72454830913803703</v>
      </c>
      <c r="AG2532">
        <v>-1.110916790566</v>
      </c>
      <c r="AH2532">
        <v>13.652433247351301</v>
      </c>
      <c r="AI2532">
        <v>94.645476254198996</v>
      </c>
      <c r="AJ2532">
        <v>86.962105552816993</v>
      </c>
      <c r="AK2532">
        <v>13.716706599662301</v>
      </c>
      <c r="AL2532">
        <v>69.139982347990397</v>
      </c>
      <c r="AM2532">
        <v>90.867396738915204</v>
      </c>
      <c r="AN2532">
        <v>0.99999999278028795</v>
      </c>
    </row>
    <row r="2533" spans="1:40" x14ac:dyDescent="0.25">
      <c r="A2533" t="str">
        <f>"20190304164903219"</f>
        <v>20190304164903219</v>
      </c>
      <c r="B2533" t="str">
        <f>"1551689343208655"</f>
        <v>1551689343208655</v>
      </c>
      <c r="C2533" t="s">
        <v>40</v>
      </c>
      <c r="D2533">
        <v>4.007676</v>
      </c>
      <c r="E2533">
        <v>0.54262200000000005</v>
      </c>
      <c r="F2533" t="s">
        <v>41</v>
      </c>
      <c r="G2533">
        <v>-374.14670000000001</v>
      </c>
      <c r="H2533">
        <v>1.0431029999999999</v>
      </c>
      <c r="I2533">
        <v>284.404</v>
      </c>
      <c r="J2533">
        <v>-373.48129999999998</v>
      </c>
      <c r="K2533">
        <v>1.1109119999999999</v>
      </c>
      <c r="L2533">
        <v>284.36180000000002</v>
      </c>
      <c r="M2533">
        <v>-0.99988449999999995</v>
      </c>
      <c r="N2533">
        <v>-1.464972E-2</v>
      </c>
      <c r="O2533">
        <v>-4.0486970000000004E-3</v>
      </c>
      <c r="P2533">
        <v>-0.93946269999999998</v>
      </c>
      <c r="Q2533">
        <v>0.34220909999999999</v>
      </c>
      <c r="R2533">
        <v>-1.7410140000000001E-2</v>
      </c>
      <c r="S2533">
        <v>-3.2921450000000001</v>
      </c>
      <c r="T2533">
        <v>-0.2625287</v>
      </c>
      <c r="U2533">
        <v>0.15859989999999999</v>
      </c>
      <c r="V2533">
        <v>-1.371255E-2</v>
      </c>
      <c r="W2533">
        <v>0.35593219999999998</v>
      </c>
      <c r="X2533">
        <v>0.9344112</v>
      </c>
      <c r="Y2533">
        <v>5.1959959999999999E-2</v>
      </c>
      <c r="Z2533">
        <v>2.711789E-3</v>
      </c>
      <c r="AA2533">
        <v>0.99864549999999996</v>
      </c>
      <c r="AB2533">
        <v>35</v>
      </c>
      <c r="AC2533">
        <v>-0.66540000000003297</v>
      </c>
      <c r="AD2533">
        <v>-6.7808999999999994E-2</v>
      </c>
      <c r="AE2533">
        <v>4.2199999999979802E-2</v>
      </c>
      <c r="AF2533">
        <v>4.4434341365447501E-2</v>
      </c>
      <c r="AG2533">
        <v>-6.7808999999999994E-2</v>
      </c>
      <c r="AH2533">
        <v>0.65841339999180404</v>
      </c>
      <c r="AI2533">
        <v>95.8668232442825</v>
      </c>
      <c r="AJ2533">
        <v>86.139134383496</v>
      </c>
      <c r="AK2533">
        <v>0.66338576745536904</v>
      </c>
      <c r="AL2533">
        <v>69.149413028988803</v>
      </c>
      <c r="AM2533">
        <v>90.840759238047397</v>
      </c>
      <c r="AN2533">
        <v>1.00000002785489</v>
      </c>
    </row>
    <row r="2534" spans="1:40" x14ac:dyDescent="0.25">
      <c r="A2534" t="str">
        <f>"20190304164903236"</f>
        <v>20190304164903236</v>
      </c>
      <c r="B2534" t="str">
        <f>"1551689343228175"</f>
        <v>1551689343228175</v>
      </c>
      <c r="C2534" t="s">
        <v>40</v>
      </c>
      <c r="D2534">
        <v>4.0016759999999998</v>
      </c>
      <c r="E2534">
        <v>0.54259179999999996</v>
      </c>
      <c r="F2534" t="s">
        <v>41</v>
      </c>
      <c r="G2534">
        <v>-374.4511</v>
      </c>
      <c r="H2534">
        <v>1.0338099999999999</v>
      </c>
      <c r="I2534">
        <v>284.40910000000002</v>
      </c>
      <c r="J2534">
        <v>-373.74040000000002</v>
      </c>
      <c r="K2534">
        <v>1.110908</v>
      </c>
      <c r="L2534">
        <v>284.36070000000001</v>
      </c>
      <c r="M2534">
        <v>-0.99988410000000005</v>
      </c>
      <c r="N2534">
        <v>-1.464678E-2</v>
      </c>
      <c r="O2534">
        <v>-4.1567729999999999E-3</v>
      </c>
      <c r="P2534">
        <v>-0.93970260000000005</v>
      </c>
      <c r="Q2534">
        <v>0.3415937</v>
      </c>
      <c r="R2534">
        <v>-1.6518649999999999E-2</v>
      </c>
      <c r="S2534">
        <v>-3.291595</v>
      </c>
      <c r="T2534">
        <v>-0.26169730000000002</v>
      </c>
      <c r="U2534">
        <v>0.16036989999999901</v>
      </c>
      <c r="V2534">
        <v>-1.2718109999999999E-2</v>
      </c>
      <c r="W2534">
        <v>0.35531819999999997</v>
      </c>
      <c r="X2534">
        <v>0.93465889999999996</v>
      </c>
      <c r="Y2534">
        <v>5.2610160000000003E-2</v>
      </c>
      <c r="Z2534">
        <v>2.7421070000000001E-3</v>
      </c>
      <c r="AA2534">
        <v>0.99861140000000004</v>
      </c>
      <c r="AB2534">
        <v>35</v>
      </c>
      <c r="AC2534">
        <v>-0.71069999999997402</v>
      </c>
      <c r="AD2534">
        <v>-7.7097999999999806E-2</v>
      </c>
      <c r="AE2534">
        <v>4.8400000000015098E-2</v>
      </c>
      <c r="AF2534">
        <v>5.0759521798139098E-2</v>
      </c>
      <c r="AG2534">
        <v>-7.7097999999999806E-2</v>
      </c>
      <c r="AH2534">
        <v>0.702266323680386</v>
      </c>
      <c r="AI2534">
        <v>96.248929497495496</v>
      </c>
      <c r="AJ2534">
        <v>85.865873916526397</v>
      </c>
      <c r="AK2534">
        <v>0.70830686854832903</v>
      </c>
      <c r="AL2534">
        <v>69.187052979792199</v>
      </c>
      <c r="AM2534">
        <v>90.779588208322906</v>
      </c>
      <c r="AN2534">
        <v>1.00000001646121</v>
      </c>
    </row>
    <row r="2535" spans="1:40" x14ac:dyDescent="0.25">
      <c r="A2535" t="str">
        <f>"20190304164903250"</f>
        <v>20190304164903250</v>
      </c>
      <c r="B2535" t="str">
        <f>"1551689343238911"</f>
        <v>1551689343238911</v>
      </c>
      <c r="C2535" t="s">
        <v>40</v>
      </c>
      <c r="D2535">
        <v>4.0249779999999999</v>
      </c>
      <c r="E2535">
        <v>0.54253809999999902</v>
      </c>
      <c r="F2535" t="s">
        <v>41</v>
      </c>
      <c r="G2535">
        <v>-374.75830000000002</v>
      </c>
      <c r="H2535">
        <v>1.0296809999999901</v>
      </c>
      <c r="I2535">
        <v>284.41140000000001</v>
      </c>
      <c r="J2535">
        <v>-373.9572</v>
      </c>
      <c r="K2535">
        <v>1.1108990000000001</v>
      </c>
      <c r="L2535">
        <v>284.35969999999998</v>
      </c>
      <c r="M2535">
        <v>-0.99988370000000004</v>
      </c>
      <c r="N2535">
        <v>-1.4644219999999999E-2</v>
      </c>
      <c r="O2535">
        <v>-4.2456530000000003E-3</v>
      </c>
      <c r="P2535">
        <v>-0.93971510000000003</v>
      </c>
      <c r="Q2535">
        <v>0.34158060000000001</v>
      </c>
      <c r="R2535">
        <v>-1.607285E-2</v>
      </c>
      <c r="S2535">
        <v>-3.2908940000000002</v>
      </c>
      <c r="T2535">
        <v>-0.26279849999999999</v>
      </c>
      <c r="U2535">
        <v>0.16259770000000001</v>
      </c>
      <c r="V2535">
        <v>-1.2187369999999999E-2</v>
      </c>
      <c r="W2535">
        <v>0.35530250000000002</v>
      </c>
      <c r="X2535">
        <v>0.9346719</v>
      </c>
      <c r="Y2535">
        <v>5.3378889999999998E-2</v>
      </c>
      <c r="Z2535">
        <v>2.79473E-3</v>
      </c>
      <c r="AA2535">
        <v>0.99857039999999997</v>
      </c>
      <c r="AB2535">
        <v>35</v>
      </c>
      <c r="AC2535">
        <v>-0.80110000000001902</v>
      </c>
      <c r="AD2535">
        <v>-8.1218000000000207E-2</v>
      </c>
      <c r="AE2535">
        <v>5.1700000000039298E-2</v>
      </c>
      <c r="AF2535">
        <v>5.4542796837339501E-2</v>
      </c>
      <c r="AG2535">
        <v>-8.1218000000000207E-2</v>
      </c>
      <c r="AH2535">
        <v>0.79275865550286395</v>
      </c>
      <c r="AI2535">
        <v>95.835834650367701</v>
      </c>
      <c r="AJ2535">
        <v>86.064180395729693</v>
      </c>
      <c r="AK2535">
        <v>0.79877253713779395</v>
      </c>
      <c r="AL2535">
        <v>69.188014514211304</v>
      </c>
      <c r="AM2535">
        <v>90.747048556957196</v>
      </c>
      <c r="AN2535">
        <v>0.99999997957168796</v>
      </c>
    </row>
    <row r="2536" spans="1:40" x14ac:dyDescent="0.25">
      <c r="A2536" t="str">
        <f>"20190304164903270"</f>
        <v>20190304164903270</v>
      </c>
      <c r="B2536" t="str">
        <f>"1551689343258431"</f>
        <v>1551689343258431</v>
      </c>
      <c r="C2536" t="s">
        <v>40</v>
      </c>
      <c r="D2536">
        <v>4.0612700000000004</v>
      </c>
      <c r="E2536">
        <v>0.54245880000000002</v>
      </c>
      <c r="F2536" t="s">
        <v>41</v>
      </c>
      <c r="G2536">
        <v>-374.76830000000001</v>
      </c>
      <c r="H2536">
        <v>1.0462</v>
      </c>
      <c r="I2536">
        <v>284.40050000000002</v>
      </c>
      <c r="J2536">
        <v>-374.24959999999999</v>
      </c>
      <c r="K2536">
        <v>1.1108929999999999</v>
      </c>
      <c r="L2536">
        <v>284.35840000000002</v>
      </c>
      <c r="M2536">
        <v>-0.99988339999999998</v>
      </c>
      <c r="N2536">
        <v>-1.464088E-2</v>
      </c>
      <c r="O2536">
        <v>-4.3640780000000004E-3</v>
      </c>
      <c r="P2536">
        <v>-0.93999869999999996</v>
      </c>
      <c r="Q2536">
        <v>0.3408389</v>
      </c>
      <c r="R2536">
        <v>-1.5212639999999999E-2</v>
      </c>
      <c r="S2536">
        <v>-3.2907709999999999</v>
      </c>
      <c r="T2536">
        <v>-0.2627311</v>
      </c>
      <c r="U2536">
        <v>0.16375729999999999</v>
      </c>
      <c r="V2536">
        <v>-1.1212450000000001E-2</v>
      </c>
      <c r="W2536">
        <v>0.3545625</v>
      </c>
      <c r="X2536">
        <v>0.93496509999999999</v>
      </c>
      <c r="Y2536">
        <v>5.3848100000000003E-2</v>
      </c>
      <c r="Z2536">
        <v>2.8239340000000002E-3</v>
      </c>
      <c r="AA2536">
        <v>0.99854520000000002</v>
      </c>
      <c r="AB2536">
        <v>35</v>
      </c>
      <c r="AC2536">
        <v>-0.51870000000002303</v>
      </c>
      <c r="AD2536">
        <v>-6.4693000000000098E-2</v>
      </c>
      <c r="AE2536">
        <v>4.2100000000004897E-2</v>
      </c>
      <c r="AF2536">
        <v>4.3688345202031E-2</v>
      </c>
      <c r="AG2536">
        <v>-6.4693000000000098E-2</v>
      </c>
      <c r="AH2536">
        <v>0.51062037438528496</v>
      </c>
      <c r="AI2536">
        <v>97.194604479626705</v>
      </c>
      <c r="AJ2536">
        <v>85.109720317495501</v>
      </c>
      <c r="AK2536">
        <v>0.51655302002104297</v>
      </c>
      <c r="AL2536">
        <v>69.2333668520412</v>
      </c>
      <c r="AM2536">
        <v>90.687079409054604</v>
      </c>
      <c r="AN2536">
        <v>1.0000000118296299</v>
      </c>
    </row>
    <row r="2537" spans="1:40" x14ac:dyDescent="0.25">
      <c r="A2537" t="str">
        <f>"20190304164903291"</f>
        <v>20190304164903291</v>
      </c>
      <c r="B2537" t="str">
        <f>"1551689343288687"</f>
        <v>1551689343288687</v>
      </c>
      <c r="C2537" t="s">
        <v>40</v>
      </c>
      <c r="D2537">
        <v>4.0634949999999996</v>
      </c>
      <c r="E2537">
        <v>0.5425529</v>
      </c>
      <c r="F2537" t="s">
        <v>41</v>
      </c>
      <c r="G2537">
        <v>-375.0754</v>
      </c>
      <c r="H2537">
        <v>1.0443119999999999</v>
      </c>
      <c r="I2537">
        <v>284.40019999999998</v>
      </c>
      <c r="J2537">
        <v>-374.58179999999999</v>
      </c>
      <c r="K2537">
        <v>1.1108990000000001</v>
      </c>
      <c r="L2537">
        <v>284.35680000000002</v>
      </c>
      <c r="M2537">
        <v>-0.99988290000000002</v>
      </c>
      <c r="N2537">
        <v>-1.463716E-2</v>
      </c>
      <c r="O2537">
        <v>-4.4946409999999997E-3</v>
      </c>
      <c r="P2537">
        <v>-0.94006060000000002</v>
      </c>
      <c r="Q2537">
        <v>0.3406981</v>
      </c>
      <c r="R2537">
        <v>-1.451969E-2</v>
      </c>
      <c r="S2537">
        <v>-3.2904360000000001</v>
      </c>
      <c r="T2537">
        <v>-0.26542660000000001</v>
      </c>
      <c r="U2537">
        <v>0.16595460000000001</v>
      </c>
      <c r="V2537">
        <v>-1.0393629999999999E-2</v>
      </c>
      <c r="W2537">
        <v>0.3544194</v>
      </c>
      <c r="X2537">
        <v>0.93502879999999999</v>
      </c>
      <c r="Y2537">
        <v>5.4641219999999997E-2</v>
      </c>
      <c r="Z2537">
        <v>2.8959160000000001E-3</v>
      </c>
      <c r="AA2537">
        <v>0.99850179999999999</v>
      </c>
      <c r="AB2537">
        <v>35</v>
      </c>
      <c r="AC2537">
        <v>-0.49360000000001403</v>
      </c>
      <c r="AD2537">
        <v>-6.6586999999999896E-2</v>
      </c>
      <c r="AE2537">
        <v>4.3399999999962802E-2</v>
      </c>
      <c r="AF2537">
        <v>4.4809163072842398E-2</v>
      </c>
      <c r="AG2537">
        <v>-6.6586999999999896E-2</v>
      </c>
      <c r="AH2537">
        <v>0.48464786393687298</v>
      </c>
      <c r="AI2537">
        <v>97.790218286825095</v>
      </c>
      <c r="AJ2537">
        <v>84.717612882247806</v>
      </c>
      <c r="AK2537">
        <v>0.49124865565501802</v>
      </c>
      <c r="AL2537">
        <v>69.242135000190203</v>
      </c>
      <c r="AM2537">
        <v>90.636864455026199</v>
      </c>
      <c r="AN2537">
        <v>0.999999997735188</v>
      </c>
    </row>
    <row r="2538" spans="1:40" x14ac:dyDescent="0.25">
      <c r="A2538" t="str">
        <f>"20190304164903304"</f>
        <v>20190304164903304</v>
      </c>
      <c r="B2538" t="str">
        <f>"1551689343298447"</f>
        <v>1551689343298447</v>
      </c>
      <c r="C2538" t="s">
        <v>40</v>
      </c>
      <c r="D2538">
        <v>4.0654079999999997</v>
      </c>
      <c r="E2538">
        <v>0.54252219999999995</v>
      </c>
      <c r="F2538" t="s">
        <v>41</v>
      </c>
      <c r="G2538">
        <v>-375.38589999999999</v>
      </c>
      <c r="H2538">
        <v>1.0465359999999999</v>
      </c>
      <c r="I2538">
        <v>284.39870000000002</v>
      </c>
      <c r="J2538">
        <v>-374.78739999999999</v>
      </c>
      <c r="K2538">
        <v>1.110895</v>
      </c>
      <c r="L2538">
        <v>284.35579999999999</v>
      </c>
      <c r="M2538">
        <v>-0.99988250000000001</v>
      </c>
      <c r="N2538">
        <v>-1.463484E-2</v>
      </c>
      <c r="O2538">
        <v>-4.5707370000000001E-3</v>
      </c>
      <c r="P2538">
        <v>-0.94003499999999995</v>
      </c>
      <c r="Q2538">
        <v>0.34078350000000002</v>
      </c>
      <c r="R2538">
        <v>-1.416622E-2</v>
      </c>
      <c r="S2538">
        <v>-3.2893979999999998</v>
      </c>
      <c r="T2538">
        <v>-0.26349719999999999</v>
      </c>
      <c r="U2538">
        <v>0.17016600000000001</v>
      </c>
      <c r="V2538">
        <v>-9.9661569999999998E-3</v>
      </c>
      <c r="W2538">
        <v>0.35450229999999999</v>
      </c>
      <c r="X2538">
        <v>0.935002</v>
      </c>
      <c r="Y2538">
        <v>5.6005590000000001E-2</v>
      </c>
      <c r="Z2538">
        <v>2.9475320000000001E-3</v>
      </c>
      <c r="AA2538">
        <v>0.99842609999999998</v>
      </c>
      <c r="AB2538">
        <v>35</v>
      </c>
      <c r="AC2538">
        <v>-0.59850000000000103</v>
      </c>
      <c r="AD2538">
        <v>-6.4358999999999805E-2</v>
      </c>
      <c r="AE2538">
        <v>4.2900000000031399E-2</v>
      </c>
      <c r="AF2538">
        <v>4.5116392958747198E-2</v>
      </c>
      <c r="AG2538">
        <v>-6.4358999999999805E-2</v>
      </c>
      <c r="AH2538">
        <v>0.59149286070187701</v>
      </c>
      <c r="AI2538">
        <v>96.191949086495498</v>
      </c>
      <c r="AJ2538">
        <v>85.638183632906006</v>
      </c>
      <c r="AK2538">
        <v>0.59669202613735195</v>
      </c>
      <c r="AL2538">
        <v>69.2370548153756</v>
      </c>
      <c r="AM2538">
        <v>90.610690790363705</v>
      </c>
      <c r="AN2538">
        <v>0.99999997249731798</v>
      </c>
    </row>
    <row r="2539" spans="1:40" x14ac:dyDescent="0.25">
      <c r="A2539" t="str">
        <f>"20190304164903316"</f>
        <v>20190304164903316</v>
      </c>
      <c r="B2539" t="str">
        <f>"1551689343308207"</f>
        <v>1551689343308207</v>
      </c>
      <c r="C2539" t="s">
        <v>40</v>
      </c>
      <c r="D2539">
        <v>4.0907229999999997</v>
      </c>
      <c r="E2539">
        <v>0.54249729999999996</v>
      </c>
      <c r="F2539" t="s">
        <v>41</v>
      </c>
      <c r="G2539">
        <v>-375.6884</v>
      </c>
      <c r="H2539">
        <v>1.0389349999999999</v>
      </c>
      <c r="I2539">
        <v>284.40289999999999</v>
      </c>
      <c r="J2539">
        <v>-374.98079999999999</v>
      </c>
      <c r="K2539">
        <v>1.1108880000000001</v>
      </c>
      <c r="L2539">
        <v>284.35480000000001</v>
      </c>
      <c r="M2539">
        <v>-0.99988220000000005</v>
      </c>
      <c r="N2539">
        <v>-1.463266E-2</v>
      </c>
      <c r="O2539">
        <v>-4.6396720000000001E-3</v>
      </c>
      <c r="P2539">
        <v>-0.94006160000000005</v>
      </c>
      <c r="Q2539">
        <v>0.34071230000000002</v>
      </c>
      <c r="R2539">
        <v>-1.4121770000000001E-2</v>
      </c>
      <c r="S2539">
        <v>-3.2891849999999998</v>
      </c>
      <c r="T2539">
        <v>-0.2627546</v>
      </c>
      <c r="U2539">
        <v>0.17144779999999901</v>
      </c>
      <c r="V2539">
        <v>-9.8532029999999996E-3</v>
      </c>
      <c r="W2539">
        <v>0.35442970000000001</v>
      </c>
      <c r="X2539">
        <v>0.93503080000000005</v>
      </c>
      <c r="Y2539">
        <v>5.6465069999999999E-2</v>
      </c>
      <c r="Z2539">
        <v>2.9664779999999998E-3</v>
      </c>
      <c r="AA2539">
        <v>0.99840019999999996</v>
      </c>
      <c r="AB2539">
        <v>35</v>
      </c>
      <c r="AC2539">
        <v>-0.707600000000013</v>
      </c>
      <c r="AD2539">
        <v>-7.1952999999999906E-2</v>
      </c>
      <c r="AE2539">
        <v>4.8099999999976703E-2</v>
      </c>
      <c r="AF2539">
        <v>5.0859396225949302E-2</v>
      </c>
      <c r="AG2539">
        <v>-7.1952999999999906E-2</v>
      </c>
      <c r="AH2539">
        <v>0.70016277907670998</v>
      </c>
      <c r="AI2539">
        <v>95.852154975895203</v>
      </c>
      <c r="AJ2539">
        <v>85.845366631650506</v>
      </c>
      <c r="AK2539">
        <v>0.70568536161513995</v>
      </c>
      <c r="AL2539">
        <v>69.241504963123802</v>
      </c>
      <c r="AM2539">
        <v>90.603751289347002</v>
      </c>
      <c r="AN2539">
        <v>1.0000000474000399</v>
      </c>
    </row>
    <row r="2540" spans="1:40" x14ac:dyDescent="0.25">
      <c r="A2540" t="str">
        <f>"20190304164903328"</f>
        <v>20190304164903328</v>
      </c>
      <c r="B2540" t="str">
        <f>"1551689343318943"</f>
        <v>1551689343318943</v>
      </c>
      <c r="C2540" t="s">
        <v>40</v>
      </c>
      <c r="D2540">
        <v>4.0890269999999997</v>
      </c>
      <c r="E2540">
        <v>0.5424833</v>
      </c>
      <c r="F2540" t="s">
        <v>41</v>
      </c>
      <c r="G2540">
        <v>-375.99180000000001</v>
      </c>
      <c r="H2540">
        <v>1.030152</v>
      </c>
      <c r="I2540">
        <v>284.40769999999998</v>
      </c>
      <c r="J2540">
        <v>-375.17660000000001</v>
      </c>
      <c r="K2540">
        <v>1.110884</v>
      </c>
      <c r="L2540">
        <v>284.35390000000001</v>
      </c>
      <c r="M2540">
        <v>-0.99988189999999999</v>
      </c>
      <c r="N2540">
        <v>-1.463046E-2</v>
      </c>
      <c r="O2540">
        <v>-4.7021290000000002E-3</v>
      </c>
      <c r="P2540">
        <v>-0.93997569999999997</v>
      </c>
      <c r="Q2540">
        <v>0.34095310000000001</v>
      </c>
      <c r="R2540">
        <v>-1.402953E-2</v>
      </c>
      <c r="S2540">
        <v>-3.2890929999999998</v>
      </c>
      <c r="T2540">
        <v>-0.26271470000000002</v>
      </c>
      <c r="U2540">
        <v>0.17221069999999999</v>
      </c>
      <c r="V2540">
        <v>-9.6980039999999997E-3</v>
      </c>
      <c r="W2540">
        <v>0.35466730000000002</v>
      </c>
      <c r="X2540">
        <v>0.9349423</v>
      </c>
      <c r="Y2540">
        <v>5.6758650000000001E-2</v>
      </c>
      <c r="Z2540">
        <v>2.9840069999999999E-3</v>
      </c>
      <c r="AA2540">
        <v>0.99838349999999998</v>
      </c>
      <c r="AB2540">
        <v>34</v>
      </c>
      <c r="AC2540">
        <v>-0.81520000000000403</v>
      </c>
      <c r="AD2540">
        <v>-8.0731999999999998E-2</v>
      </c>
      <c r="AE2540">
        <v>5.3799999999966902E-2</v>
      </c>
      <c r="AF2540">
        <v>5.7075643041222597E-2</v>
      </c>
      <c r="AG2540">
        <v>-8.0731999999999998E-2</v>
      </c>
      <c r="AH2540">
        <v>0.80705701132019003</v>
      </c>
      <c r="AI2540">
        <v>95.698303676175897</v>
      </c>
      <c r="AJ2540">
        <v>85.954736968025898</v>
      </c>
      <c r="AK2540">
        <v>0.81309058804886303</v>
      </c>
      <c r="AL2540">
        <v>69.226945186620796</v>
      </c>
      <c r="AM2540">
        <v>90.594298462582699</v>
      </c>
      <c r="AN2540">
        <v>1.00000002465008</v>
      </c>
    </row>
    <row r="2541" spans="1:40" x14ac:dyDescent="0.25">
      <c r="A2541" t="str">
        <f>"20190304164903343"</f>
        <v>20190304164903343</v>
      </c>
      <c r="B2541" t="str">
        <f>"1551689343338463"</f>
        <v>1551689343338463</v>
      </c>
      <c r="C2541" t="s">
        <v>40</v>
      </c>
      <c r="D2541">
        <v>4.0688199999999997</v>
      </c>
      <c r="E2541">
        <v>0.5424696</v>
      </c>
      <c r="F2541" t="s">
        <v>41</v>
      </c>
      <c r="G2541">
        <v>-376.0009</v>
      </c>
      <c r="H2541">
        <v>1.045544</v>
      </c>
      <c r="I2541">
        <v>284.3972</v>
      </c>
      <c r="J2541">
        <v>-375.38389999999998</v>
      </c>
      <c r="K2541">
        <v>1.1108800000000001</v>
      </c>
      <c r="L2541">
        <v>284.3528</v>
      </c>
      <c r="M2541">
        <v>-0.99988169999999998</v>
      </c>
      <c r="N2541">
        <v>-1.462812E-2</v>
      </c>
      <c r="O2541">
        <v>-4.7626489999999999E-3</v>
      </c>
      <c r="P2541">
        <v>-0.93995589999999996</v>
      </c>
      <c r="Q2541">
        <v>0.34101239999999999</v>
      </c>
      <c r="R2541">
        <v>-1.3918089999999999E-2</v>
      </c>
      <c r="S2541">
        <v>-3.2887569999999999</v>
      </c>
      <c r="T2541">
        <v>-0.26078630000000003</v>
      </c>
      <c r="U2541">
        <v>0.173309299999999</v>
      </c>
      <c r="V2541">
        <v>-9.5230249999999992E-3</v>
      </c>
      <c r="W2541">
        <v>0.35472429999999999</v>
      </c>
      <c r="X2541">
        <v>0.93492240000000004</v>
      </c>
      <c r="Y2541">
        <v>5.715841E-2</v>
      </c>
      <c r="Z2541">
        <v>2.9875449999999999E-3</v>
      </c>
      <c r="AA2541">
        <v>0.99836060000000004</v>
      </c>
      <c r="AB2541">
        <v>34</v>
      </c>
      <c r="AC2541">
        <v>-0.61700000000001798</v>
      </c>
      <c r="AD2541">
        <v>-6.5335999999999797E-2</v>
      </c>
      <c r="AE2541">
        <v>4.4399999999995998E-2</v>
      </c>
      <c r="AF2541">
        <v>4.6816104949230997E-2</v>
      </c>
      <c r="AG2541">
        <v>-6.5335999999999797E-2</v>
      </c>
      <c r="AH2541">
        <v>0.60997687925004995</v>
      </c>
      <c r="AI2541">
        <v>96.095977462731994</v>
      </c>
      <c r="AJ2541">
        <v>85.611117584814906</v>
      </c>
      <c r="AK2541">
        <v>0.61524981413914104</v>
      </c>
      <c r="AL2541">
        <v>69.223450718021297</v>
      </c>
      <c r="AM2541">
        <v>90.5835888323315</v>
      </c>
      <c r="AN2541">
        <v>0.99999995551869902</v>
      </c>
    </row>
    <row r="2542" spans="1:40" x14ac:dyDescent="0.25">
      <c r="A2542" t="str">
        <f>"20190304164903357"</f>
        <v>20190304164903357</v>
      </c>
      <c r="B2542" t="str">
        <f>"1551689343348223"</f>
        <v>1551689343348223</v>
      </c>
      <c r="C2542" t="s">
        <v>40</v>
      </c>
      <c r="D2542">
        <v>4.0946699999999998</v>
      </c>
      <c r="E2542">
        <v>0.54247959999999995</v>
      </c>
      <c r="F2542" t="s">
        <v>41</v>
      </c>
      <c r="G2542">
        <v>-376.30349999999999</v>
      </c>
      <c r="H2542">
        <v>1.038646</v>
      </c>
      <c r="I2542">
        <v>284.40170000000001</v>
      </c>
      <c r="J2542">
        <v>-375.61680000000001</v>
      </c>
      <c r="K2542">
        <v>1.1108789999999999</v>
      </c>
      <c r="L2542">
        <v>284.35160000000002</v>
      </c>
      <c r="M2542">
        <v>-0.99988149999999998</v>
      </c>
      <c r="N2542">
        <v>-1.462548E-2</v>
      </c>
      <c r="O2542">
        <v>-4.823356E-3</v>
      </c>
      <c r="P2542">
        <v>-0.9397411</v>
      </c>
      <c r="Q2542">
        <v>0.34159919999999999</v>
      </c>
      <c r="R2542">
        <v>-1.403827E-2</v>
      </c>
      <c r="S2542">
        <v>-3.2880250000000002</v>
      </c>
      <c r="T2542">
        <v>-0.25839790000000001</v>
      </c>
      <c r="U2542">
        <v>0.17440799999999901</v>
      </c>
      <c r="V2542">
        <v>-9.5787119999999996E-3</v>
      </c>
      <c r="W2542">
        <v>0.35530610000000001</v>
      </c>
      <c r="X2542">
        <v>0.93470089999999995</v>
      </c>
      <c r="Y2542">
        <v>5.7565449999999997E-2</v>
      </c>
      <c r="Z2542">
        <v>2.986762E-3</v>
      </c>
      <c r="AA2542">
        <v>0.99833729999999998</v>
      </c>
      <c r="AB2542">
        <v>34</v>
      </c>
      <c r="AC2542">
        <v>-0.686699999999973</v>
      </c>
      <c r="AD2542">
        <v>-7.22330000000002E-2</v>
      </c>
      <c r="AE2542">
        <v>5.0099999999986197E-2</v>
      </c>
      <c r="AF2542">
        <v>5.2830514120663301E-2</v>
      </c>
      <c r="AG2542">
        <v>-7.22330000000002E-2</v>
      </c>
      <c r="AH2542">
        <v>0.67897747105994299</v>
      </c>
      <c r="AI2542">
        <v>96.054406199795395</v>
      </c>
      <c r="AJ2542">
        <v>85.550840693646506</v>
      </c>
      <c r="AK2542">
        <v>0.68484967381039796</v>
      </c>
      <c r="AL2542">
        <v>69.187793739553996</v>
      </c>
      <c r="AM2542">
        <v>90.587140292438306</v>
      </c>
      <c r="AN2542">
        <v>0.99999997444079902</v>
      </c>
    </row>
    <row r="2543" spans="1:40" x14ac:dyDescent="0.25">
      <c r="A2543" t="str">
        <f>"20190304164903370"</f>
        <v>20190304164903370</v>
      </c>
      <c r="B2543" t="str">
        <f>"1551689343358960"</f>
        <v>1551689343358960</v>
      </c>
      <c r="C2543" t="s">
        <v>40</v>
      </c>
      <c r="D2543">
        <v>4.068549</v>
      </c>
      <c r="E2543">
        <v>0.5424696</v>
      </c>
      <c r="F2543" t="s">
        <v>41</v>
      </c>
      <c r="G2543">
        <v>-376.60840000000002</v>
      </c>
      <c r="H2543">
        <v>1.034081</v>
      </c>
      <c r="I2543">
        <v>284.4051</v>
      </c>
      <c r="J2543">
        <v>-375.81229999999999</v>
      </c>
      <c r="K2543">
        <v>1.110873</v>
      </c>
      <c r="L2543">
        <v>284.35059999999999</v>
      </c>
      <c r="M2543">
        <v>-0.99988129999999997</v>
      </c>
      <c r="N2543">
        <v>-1.4623260000000001E-2</v>
      </c>
      <c r="O2543">
        <v>-4.863315E-3</v>
      </c>
      <c r="P2543">
        <v>-0.93965969999999999</v>
      </c>
      <c r="Q2543">
        <v>0.34180349999999998</v>
      </c>
      <c r="R2543">
        <v>-1.4494129999999999E-2</v>
      </c>
      <c r="S2543">
        <v>-3.2876280000000002</v>
      </c>
      <c r="T2543">
        <v>-0.25479669999999999</v>
      </c>
      <c r="U2543">
        <v>0.17623900000000001</v>
      </c>
      <c r="V2543">
        <v>-9.9879410000000002E-3</v>
      </c>
      <c r="W2543">
        <v>0.35550710000000002</v>
      </c>
      <c r="X2543">
        <v>0.93462020000000001</v>
      </c>
      <c r="Y2543">
        <v>5.816959E-2</v>
      </c>
      <c r="Z2543">
        <v>2.9806479999999998E-3</v>
      </c>
      <c r="AA2543">
        <v>0.99830229999999998</v>
      </c>
      <c r="AB2543">
        <v>34</v>
      </c>
      <c r="AC2543">
        <v>-0.79610000000002401</v>
      </c>
      <c r="AD2543">
        <v>-7.6791999999999902E-2</v>
      </c>
      <c r="AE2543">
        <v>5.4500000000018603E-2</v>
      </c>
      <c r="AF2543">
        <v>5.7835826517020503E-2</v>
      </c>
      <c r="AG2543">
        <v>-7.6791999999999902E-2</v>
      </c>
      <c r="AH2543">
        <v>0.78852285600236605</v>
      </c>
      <c r="AI2543">
        <v>95.547523615736296</v>
      </c>
      <c r="AJ2543">
        <v>85.805035424428098</v>
      </c>
      <c r="AK2543">
        <v>0.79436156033070704</v>
      </c>
      <c r="AL2543">
        <v>69.175473169370903</v>
      </c>
      <c r="AM2543">
        <v>90.612275533685704</v>
      </c>
      <c r="AN2543">
        <v>0.99999998768193399</v>
      </c>
    </row>
    <row r="2544" spans="1:40" x14ac:dyDescent="0.25">
      <c r="A2544" t="str">
        <f>"20190304164903384"</f>
        <v>20190304164903384</v>
      </c>
      <c r="B2544" t="str">
        <f>"1551689343378479"</f>
        <v>1551689343378479</v>
      </c>
      <c r="C2544" t="s">
        <v>40</v>
      </c>
      <c r="D2544">
        <v>4.0953889999999999</v>
      </c>
      <c r="E2544">
        <v>0.54245919999999903</v>
      </c>
      <c r="F2544" t="s">
        <v>41</v>
      </c>
      <c r="G2544">
        <v>-376.61849999999998</v>
      </c>
      <c r="H2544">
        <v>1.0488599999999999</v>
      </c>
      <c r="I2544">
        <v>284.39389999999997</v>
      </c>
      <c r="J2544">
        <v>-376.0102</v>
      </c>
      <c r="K2544">
        <v>1.1108690000000001</v>
      </c>
      <c r="L2544">
        <v>284.34960000000001</v>
      </c>
      <c r="M2544">
        <v>-0.99988109999999997</v>
      </c>
      <c r="N2544">
        <v>-1.462103E-2</v>
      </c>
      <c r="O2544">
        <v>-4.8957509999999899E-3</v>
      </c>
      <c r="P2544">
        <v>-0.93959440000000005</v>
      </c>
      <c r="Q2544">
        <v>0.34198000000000001</v>
      </c>
      <c r="R2544">
        <v>-1.4572180000000001E-2</v>
      </c>
      <c r="S2544">
        <v>-3.2874150000000002</v>
      </c>
      <c r="T2544">
        <v>-0.25307289999999999</v>
      </c>
      <c r="U2544">
        <v>0.17526249999999999</v>
      </c>
      <c r="V2544">
        <v>-1.0025559999999999E-2</v>
      </c>
      <c r="W2544">
        <v>0.35568090000000002</v>
      </c>
      <c r="X2544">
        <v>0.93455370000000004</v>
      </c>
      <c r="Y2544">
        <v>5.7913260000000001E-2</v>
      </c>
      <c r="Z2544">
        <v>2.953354E-3</v>
      </c>
      <c r="AA2544">
        <v>0.99831720000000002</v>
      </c>
      <c r="AB2544">
        <v>34</v>
      </c>
      <c r="AC2544">
        <v>-0.60829999999998496</v>
      </c>
      <c r="AD2544">
        <v>-6.2008999999999898E-2</v>
      </c>
      <c r="AE2544">
        <v>4.4299999999964201E-2</v>
      </c>
      <c r="AF2544">
        <v>4.6794181277344402E-2</v>
      </c>
      <c r="AG2544">
        <v>-6.2008999999999898E-2</v>
      </c>
      <c r="AH2544">
        <v>0.60185468849006896</v>
      </c>
      <c r="AI2544">
        <v>95.864844051185401</v>
      </c>
      <c r="AJ2544">
        <v>85.5541990965027</v>
      </c>
      <c r="AK2544">
        <v>0.60684749117047099</v>
      </c>
      <c r="AL2544">
        <v>69.164819423318505</v>
      </c>
      <c r="AM2544">
        <v>90.614625185782501</v>
      </c>
      <c r="AN2544">
        <v>1.0000000163309</v>
      </c>
    </row>
    <row r="2545" spans="1:40" x14ac:dyDescent="0.25">
      <c r="A2545" t="str">
        <f>"20190304164903396"</f>
        <v>20190304164903396</v>
      </c>
      <c r="B2545" t="str">
        <f>"1551689343388239"</f>
        <v>1551689343388239</v>
      </c>
      <c r="C2545" t="s">
        <v>40</v>
      </c>
      <c r="D2545">
        <v>4.114001</v>
      </c>
      <c r="E2545">
        <v>0.54244939999999997</v>
      </c>
      <c r="F2545" t="s">
        <v>41</v>
      </c>
      <c r="G2545">
        <v>-376.91890000000001</v>
      </c>
      <c r="H2545">
        <v>1.0415719999999999</v>
      </c>
      <c r="I2545">
        <v>284.39839999999998</v>
      </c>
      <c r="J2545">
        <v>-376.20699999999999</v>
      </c>
      <c r="K2545">
        <v>1.11086</v>
      </c>
      <c r="L2545">
        <v>284.34870000000001</v>
      </c>
      <c r="M2545">
        <v>-0.99988109999999997</v>
      </c>
      <c r="N2545">
        <v>-1.4618829999999999E-2</v>
      </c>
      <c r="O2545">
        <v>-4.9224619999999998E-3</v>
      </c>
      <c r="P2545">
        <v>-0.93946960000000002</v>
      </c>
      <c r="Q2545">
        <v>0.34230120000000003</v>
      </c>
      <c r="R2545">
        <v>-1.5064569999999999E-2</v>
      </c>
      <c r="S2545">
        <v>-3.2868650000000001</v>
      </c>
      <c r="T2545">
        <v>-0.25087520000000002</v>
      </c>
      <c r="U2545">
        <v>0.17544560000000001</v>
      </c>
      <c r="V2545">
        <v>-1.04832E-2</v>
      </c>
      <c r="W2545">
        <v>0.35599829999999999</v>
      </c>
      <c r="X2545">
        <v>0.93442780000000003</v>
      </c>
      <c r="Y2545">
        <v>5.8007259999999998E-2</v>
      </c>
      <c r="Z2545">
        <v>2.9371110000000001E-3</v>
      </c>
      <c r="AA2545">
        <v>0.99831179999999997</v>
      </c>
      <c r="AB2545">
        <v>34</v>
      </c>
      <c r="AC2545">
        <v>-0.71190000000001397</v>
      </c>
      <c r="AD2545">
        <v>-6.9288000000000002E-2</v>
      </c>
      <c r="AE2545">
        <v>4.9699999999972898E-2</v>
      </c>
      <c r="AF2545">
        <v>5.2707209815804998E-2</v>
      </c>
      <c r="AG2545">
        <v>-6.9288000000000002E-2</v>
      </c>
      <c r="AH2545">
        <v>0.70500076561450598</v>
      </c>
      <c r="AI2545">
        <v>95.597524014925895</v>
      </c>
      <c r="AJ2545">
        <v>85.7244116723394</v>
      </c>
      <c r="AK2545">
        <v>0.71035551411079201</v>
      </c>
      <c r="AL2545">
        <v>69.1453597199787</v>
      </c>
      <c r="AM2545">
        <v>90.642765463762402</v>
      </c>
      <c r="AN2545">
        <v>1.0000000002489799</v>
      </c>
    </row>
    <row r="2546" spans="1:40" x14ac:dyDescent="0.25">
      <c r="A2546" t="str">
        <f>"20190304164903408"</f>
        <v>20190304164903408</v>
      </c>
      <c r="B2546" t="str">
        <f>"1551689343398976"</f>
        <v>1551689343398976</v>
      </c>
      <c r="C2546" t="s">
        <v>40</v>
      </c>
      <c r="D2546">
        <v>4.1168139999999998</v>
      </c>
      <c r="E2546">
        <v>0.54246349999999999</v>
      </c>
      <c r="F2546" t="s">
        <v>41</v>
      </c>
      <c r="G2546">
        <v>-377.22160000000002</v>
      </c>
      <c r="H2546">
        <v>1.03416</v>
      </c>
      <c r="I2546">
        <v>284.40280000000001</v>
      </c>
      <c r="J2546">
        <v>-376.3965</v>
      </c>
      <c r="K2546">
        <v>1.1108499999999999</v>
      </c>
      <c r="L2546">
        <v>284.34769999999997</v>
      </c>
      <c r="M2546">
        <v>-0.99988100000000002</v>
      </c>
      <c r="N2546">
        <v>-1.461671E-2</v>
      </c>
      <c r="O2546">
        <v>-4.939545E-3</v>
      </c>
      <c r="P2546">
        <v>-0.93936629999999999</v>
      </c>
      <c r="Q2546">
        <v>0.3425665</v>
      </c>
      <c r="R2546">
        <v>-1.547508E-2</v>
      </c>
      <c r="S2546">
        <v>-3.2867130000000002</v>
      </c>
      <c r="T2546">
        <v>-0.24876519999999999</v>
      </c>
      <c r="U2546">
        <v>0.17358399999999999</v>
      </c>
      <c r="V2546">
        <v>-1.086924E-2</v>
      </c>
      <c r="W2546">
        <v>0.35626020000000003</v>
      </c>
      <c r="X2546">
        <v>0.93432349999999997</v>
      </c>
      <c r="Y2546">
        <v>5.7467989999999997E-2</v>
      </c>
      <c r="Z2546">
        <v>2.8922520000000001E-3</v>
      </c>
      <c r="AA2546">
        <v>0.99834319999999999</v>
      </c>
      <c r="AB2546">
        <v>34</v>
      </c>
      <c r="AC2546">
        <v>-0.82510000000002004</v>
      </c>
      <c r="AD2546">
        <v>-7.6689999999999897E-2</v>
      </c>
      <c r="AE2546">
        <v>5.51000000000385E-2</v>
      </c>
      <c r="AF2546">
        <v>5.8670774089343E-2</v>
      </c>
      <c r="AG2546">
        <v>-7.6689999999999897E-2</v>
      </c>
      <c r="AH2546">
        <v>0.817784248463852</v>
      </c>
      <c r="AI2546">
        <v>95.343748399756706</v>
      </c>
      <c r="AJ2546">
        <v>85.896426269246206</v>
      </c>
      <c r="AK2546">
        <v>0.82346505260868796</v>
      </c>
      <c r="AL2546">
        <v>69.129299708015495</v>
      </c>
      <c r="AM2546">
        <v>90.6665073578814</v>
      </c>
      <c r="AN2546">
        <v>0.99999993656723096</v>
      </c>
    </row>
    <row r="2547" spans="1:40" x14ac:dyDescent="0.25">
      <c r="A2547" t="str">
        <f>"20190304164903421"</f>
        <v>20190304164903421</v>
      </c>
      <c r="B2547" t="str">
        <f>"1551689343408735"</f>
        <v>1551689343408735</v>
      </c>
      <c r="C2547" t="s">
        <v>40</v>
      </c>
      <c r="D2547">
        <v>4.0837580000000004</v>
      </c>
      <c r="E2547">
        <v>0.54245549999999998</v>
      </c>
      <c r="F2547" t="s">
        <v>41</v>
      </c>
      <c r="G2547">
        <v>-377.23099999999999</v>
      </c>
      <c r="H2547">
        <v>1.048208</v>
      </c>
      <c r="I2547">
        <v>284.392</v>
      </c>
      <c r="J2547">
        <v>-376.58159999999998</v>
      </c>
      <c r="K2547">
        <v>1.110846</v>
      </c>
      <c r="L2547">
        <v>284.3467</v>
      </c>
      <c r="M2547">
        <v>-0.99988089999999996</v>
      </c>
      <c r="N2547">
        <v>-1.461463E-2</v>
      </c>
      <c r="O2547">
        <v>-4.9525970000000004E-3</v>
      </c>
      <c r="P2547">
        <v>-0.93919019999999998</v>
      </c>
      <c r="Q2547">
        <v>0.343026</v>
      </c>
      <c r="R2547">
        <v>-1.596061E-2</v>
      </c>
      <c r="S2547">
        <v>-3.286591</v>
      </c>
      <c r="T2547">
        <v>-0.2471024</v>
      </c>
      <c r="U2547">
        <v>0.1724243</v>
      </c>
      <c r="V2547">
        <v>-1.1335370000000001E-2</v>
      </c>
      <c r="W2547">
        <v>0.35671550000000002</v>
      </c>
      <c r="X2547">
        <v>0.93414430000000004</v>
      </c>
      <c r="Y2547">
        <v>5.7135310000000002E-2</v>
      </c>
      <c r="Z2547">
        <v>2.8612239999999999E-3</v>
      </c>
      <c r="AA2547">
        <v>0.99836239999999998</v>
      </c>
      <c r="AB2547">
        <v>34</v>
      </c>
      <c r="AC2547">
        <v>-0.64940000000001397</v>
      </c>
      <c r="AD2547">
        <v>-6.2637999999999902E-2</v>
      </c>
      <c r="AE2547">
        <v>4.5299999999997398E-2</v>
      </c>
      <c r="AF2547">
        <v>4.8070937198430898E-2</v>
      </c>
      <c r="AG2547">
        <v>-6.2637999999999902E-2</v>
      </c>
      <c r="AH2547">
        <v>0.64321244181687698</v>
      </c>
      <c r="AI2547">
        <v>95.546728315633402</v>
      </c>
      <c r="AJ2547">
        <v>85.725905085031997</v>
      </c>
      <c r="AK2547">
        <v>0.64804056922014097</v>
      </c>
      <c r="AL2547">
        <v>69.101380030284005</v>
      </c>
      <c r="AM2547">
        <v>90.695221269141797</v>
      </c>
      <c r="AN2547">
        <v>1.00000000588788</v>
      </c>
    </row>
    <row r="2548" spans="1:40" x14ac:dyDescent="0.25">
      <c r="A2548" t="str">
        <f>"20190304164903437"</f>
        <v>20190304164903437</v>
      </c>
      <c r="B2548" t="str">
        <f>"1551689343428255"</f>
        <v>1551689343428255</v>
      </c>
      <c r="C2548" t="s">
        <v>40</v>
      </c>
      <c r="D2548">
        <v>4.1372470000000003</v>
      </c>
      <c r="E2548">
        <v>0.54245600000000005</v>
      </c>
      <c r="F2548" t="s">
        <v>41</v>
      </c>
      <c r="G2548">
        <v>-377.53059999999999</v>
      </c>
      <c r="H2548">
        <v>1.040203</v>
      </c>
      <c r="I2548">
        <v>284.39609999999999</v>
      </c>
      <c r="J2548">
        <v>-376.82</v>
      </c>
      <c r="K2548">
        <v>1.1108420000000001</v>
      </c>
      <c r="L2548">
        <v>284.34559999999999</v>
      </c>
      <c r="M2548">
        <v>-0.99988089999999996</v>
      </c>
      <c r="N2548">
        <v>-1.461199E-2</v>
      </c>
      <c r="O2548">
        <v>-4.9633569999999998E-3</v>
      </c>
      <c r="P2548">
        <v>-0.93873050000000002</v>
      </c>
      <c r="Q2548">
        <v>0.34422239999999998</v>
      </c>
      <c r="R2548">
        <v>-1.7210590000000001E-2</v>
      </c>
      <c r="S2548">
        <v>-3.28653</v>
      </c>
      <c r="T2548">
        <v>-0.24466109999999999</v>
      </c>
      <c r="U2548">
        <v>0.17050170000000001</v>
      </c>
      <c r="V2548">
        <v>-1.2568889999999999E-2</v>
      </c>
      <c r="W2548">
        <v>0.35790280000000002</v>
      </c>
      <c r="X2548">
        <v>0.93367420000000001</v>
      </c>
      <c r="Y2548">
        <v>5.6570090000000003E-2</v>
      </c>
      <c r="Z2548">
        <v>2.8119540000000002E-3</v>
      </c>
      <c r="AA2548">
        <v>0.99839469999999997</v>
      </c>
      <c r="AB2548">
        <v>34</v>
      </c>
      <c r="AC2548">
        <v>-0.71059999999999901</v>
      </c>
      <c r="AD2548">
        <v>-7.0639000000000104E-2</v>
      </c>
      <c r="AE2548">
        <v>5.0499999999999497E-2</v>
      </c>
      <c r="AF2548">
        <v>5.3500686398207001E-2</v>
      </c>
      <c r="AG2548">
        <v>-7.0639000000000104E-2</v>
      </c>
      <c r="AH2548">
        <v>0.703424358412854</v>
      </c>
      <c r="AI2548">
        <v>95.718103794811796</v>
      </c>
      <c r="AJ2548">
        <v>85.650601023003006</v>
      </c>
      <c r="AK2548">
        <v>0.70898379373199705</v>
      </c>
      <c r="AL2548">
        <v>69.028543405082601</v>
      </c>
      <c r="AM2548">
        <v>90.7712549556081</v>
      </c>
      <c r="AN2548">
        <v>0.99999995149465404</v>
      </c>
    </row>
    <row r="2549" spans="1:40" x14ac:dyDescent="0.25">
      <c r="A2549" t="str">
        <f>"20190304164903448"</f>
        <v>20190304164903448</v>
      </c>
      <c r="B2549" t="str">
        <f>"1551689343438992"</f>
        <v>1551689343438992</v>
      </c>
      <c r="C2549" t="s">
        <v>40</v>
      </c>
      <c r="D2549">
        <v>4.097766</v>
      </c>
      <c r="E2549">
        <v>0.54245149999999998</v>
      </c>
      <c r="F2549" t="s">
        <v>41</v>
      </c>
      <c r="G2549">
        <v>-377.8347</v>
      </c>
      <c r="H2549">
        <v>1.0369170000000001</v>
      </c>
      <c r="I2549">
        <v>284.39710000000002</v>
      </c>
      <c r="J2549">
        <v>-377.01089999999999</v>
      </c>
      <c r="K2549">
        <v>1.110835</v>
      </c>
      <c r="L2549">
        <v>284.34460000000001</v>
      </c>
      <c r="M2549">
        <v>-0.99988100000000002</v>
      </c>
      <c r="N2549">
        <v>-1.460987E-2</v>
      </c>
      <c r="O2549">
        <v>-4.9645210000000004E-3</v>
      </c>
      <c r="P2549">
        <v>-0.93844159999999999</v>
      </c>
      <c r="Q2549">
        <v>0.34498240000000002</v>
      </c>
      <c r="R2549">
        <v>-1.7737989999999999E-2</v>
      </c>
      <c r="S2549">
        <v>-3.2867130000000002</v>
      </c>
      <c r="T2549">
        <v>-0.23966090000000001</v>
      </c>
      <c r="U2549">
        <v>0.16586300000000001</v>
      </c>
      <c r="V2549">
        <v>-1.3089730000000001E-2</v>
      </c>
      <c r="W2549">
        <v>0.3586569</v>
      </c>
      <c r="X2549">
        <v>0.93337769999999998</v>
      </c>
      <c r="Y2549">
        <v>5.5174760000000003E-2</v>
      </c>
      <c r="Z2549">
        <v>2.7005409999999999E-3</v>
      </c>
      <c r="AA2549">
        <v>0.99847300000000005</v>
      </c>
      <c r="AB2549">
        <v>34</v>
      </c>
      <c r="AC2549">
        <v>-0.82380000000000497</v>
      </c>
      <c r="AD2549">
        <v>-7.39179999999999E-2</v>
      </c>
      <c r="AE2549">
        <v>5.2500000000008998E-2</v>
      </c>
      <c r="AF2549">
        <v>5.6139404236015301E-2</v>
      </c>
      <c r="AG2549">
        <v>-7.39179999999999E-2</v>
      </c>
      <c r="AH2549">
        <v>0.81697818926071797</v>
      </c>
      <c r="AI2549">
        <v>95.157795220826301</v>
      </c>
      <c r="AJ2549">
        <v>86.069047442010799</v>
      </c>
      <c r="AK2549">
        <v>0.82223406956881595</v>
      </c>
      <c r="AL2549">
        <v>68.982265935767899</v>
      </c>
      <c r="AM2549">
        <v>90.803465866190194</v>
      </c>
      <c r="AN2549">
        <v>1.0000000219031799</v>
      </c>
    </row>
    <row r="2550" spans="1:40" x14ac:dyDescent="0.25">
      <c r="A2550" t="str">
        <f>"20190304164903467"</f>
        <v>20190304164903467</v>
      </c>
      <c r="B2550" t="str">
        <f>"1551689343458511"</f>
        <v>1551689343458511</v>
      </c>
      <c r="C2550" t="s">
        <v>40</v>
      </c>
      <c r="D2550">
        <v>4.1163429999999996</v>
      </c>
      <c r="E2550">
        <v>0.54247650000000003</v>
      </c>
      <c r="F2550" t="s">
        <v>41</v>
      </c>
      <c r="G2550">
        <v>-377.84530000000001</v>
      </c>
      <c r="H2550">
        <v>1.0508420000000001</v>
      </c>
      <c r="I2550">
        <v>284.38650000000001</v>
      </c>
      <c r="J2550">
        <v>-377.2851</v>
      </c>
      <c r="K2550">
        <v>1.1108290000000001</v>
      </c>
      <c r="L2550">
        <v>284.34320000000002</v>
      </c>
      <c r="M2550">
        <v>-0.99988100000000002</v>
      </c>
      <c r="N2550">
        <v>-1.460679E-2</v>
      </c>
      <c r="O2550">
        <v>-4.9584759999999999E-3</v>
      </c>
      <c r="P2550">
        <v>-0.93834220000000002</v>
      </c>
      <c r="Q2550">
        <v>0.34523120000000002</v>
      </c>
      <c r="R2550">
        <v>-1.8157690000000001E-2</v>
      </c>
      <c r="S2550">
        <v>-3.286835</v>
      </c>
      <c r="T2550">
        <v>-0.23655899999999999</v>
      </c>
      <c r="U2550">
        <v>0.16384889999999999</v>
      </c>
      <c r="V2550">
        <v>-1.3507190000000001E-2</v>
      </c>
      <c r="W2550">
        <v>0.35890139999999998</v>
      </c>
      <c r="X2550">
        <v>0.93327780000000005</v>
      </c>
      <c r="Y2550">
        <v>5.4562840000000001E-2</v>
      </c>
      <c r="Z2550">
        <v>2.6430109999999998E-3</v>
      </c>
      <c r="AA2550">
        <v>0.99850680000000003</v>
      </c>
      <c r="AB2550">
        <v>34</v>
      </c>
      <c r="AC2550">
        <v>-0.56020000000000802</v>
      </c>
      <c r="AD2550">
        <v>-5.9986999999999999E-2</v>
      </c>
      <c r="AE2550">
        <v>4.3299999999987897E-2</v>
      </c>
      <c r="AF2550">
        <v>4.5558214766022599E-2</v>
      </c>
      <c r="AG2550">
        <v>-5.9986999999999999E-2</v>
      </c>
      <c r="AH2550">
        <v>0.55366750271339304</v>
      </c>
      <c r="AI2550">
        <v>96.162912647796503</v>
      </c>
      <c r="AJ2550">
        <v>85.296046746687693</v>
      </c>
      <c r="AK2550">
        <v>0.55876801506757001</v>
      </c>
      <c r="AL2550">
        <v>68.967258662594602</v>
      </c>
      <c r="AM2550">
        <v>90.829175355878704</v>
      </c>
      <c r="AN2550">
        <v>1.00000005553824</v>
      </c>
    </row>
    <row r="2551" spans="1:40" x14ac:dyDescent="0.25">
      <c r="A2551" t="str">
        <f>"20190304164903480"</f>
        <v>20190304164903480</v>
      </c>
      <c r="B2551" t="str">
        <f>"1551689343479007"</f>
        <v>1551689343479007</v>
      </c>
      <c r="C2551" t="s">
        <v>40</v>
      </c>
      <c r="D2551">
        <v>4.0917409999999999</v>
      </c>
      <c r="E2551">
        <v>0.54246909999999904</v>
      </c>
      <c r="F2551" t="s">
        <v>41</v>
      </c>
      <c r="G2551">
        <v>-378.149</v>
      </c>
      <c r="H2551">
        <v>1.0490349999999999</v>
      </c>
      <c r="I2551">
        <v>284.38600000000002</v>
      </c>
      <c r="J2551">
        <v>-377.49939999999998</v>
      </c>
      <c r="K2551">
        <v>1.1108229999999999</v>
      </c>
      <c r="L2551">
        <v>284.34219999999999</v>
      </c>
      <c r="M2551">
        <v>-0.99988109999999997</v>
      </c>
      <c r="N2551">
        <v>-1.460438E-2</v>
      </c>
      <c r="O2551">
        <v>-4.9462710000000003E-3</v>
      </c>
      <c r="P2551">
        <v>-0.93811560000000005</v>
      </c>
      <c r="Q2551">
        <v>0.3458195</v>
      </c>
      <c r="R2551">
        <v>-1.865692E-2</v>
      </c>
      <c r="S2551">
        <v>-3.286835</v>
      </c>
      <c r="T2551">
        <v>-0.23516790000000001</v>
      </c>
      <c r="U2551">
        <v>0.16244510000000001</v>
      </c>
      <c r="V2551">
        <v>-1.4011579999999999E-2</v>
      </c>
      <c r="W2551">
        <v>0.35948469999999999</v>
      </c>
      <c r="X2551">
        <v>0.93304569999999998</v>
      </c>
      <c r="Y2551">
        <v>5.4128519999999999E-2</v>
      </c>
      <c r="Z2551">
        <v>2.6100030000000001E-3</v>
      </c>
      <c r="AA2551">
        <v>0.99853060000000005</v>
      </c>
      <c r="AB2551">
        <v>34</v>
      </c>
      <c r="AC2551">
        <v>-0.64960000000002005</v>
      </c>
      <c r="AD2551">
        <v>-6.1787999999999899E-2</v>
      </c>
      <c r="AE2551">
        <v>4.3799999999975997E-2</v>
      </c>
      <c r="AF2551">
        <v>4.6593271621270298E-2</v>
      </c>
      <c r="AG2551">
        <v>-6.1787999999999899E-2</v>
      </c>
      <c r="AH2551">
        <v>0.64357911699195502</v>
      </c>
      <c r="AI2551">
        <v>95.469750480606095</v>
      </c>
      <c r="AJ2551">
        <v>85.859175246356202</v>
      </c>
      <c r="AK2551">
        <v>0.64821506441343801</v>
      </c>
      <c r="AL2551">
        <v>68.931445303286793</v>
      </c>
      <c r="AM2551">
        <v>90.860348061523794</v>
      </c>
      <c r="AN2551">
        <v>0.99999992609833499</v>
      </c>
    </row>
    <row r="2552" spans="1:40" x14ac:dyDescent="0.25">
      <c r="A2552" t="str">
        <f>"20190304164903504"</f>
        <v>20190304164903504</v>
      </c>
      <c r="B2552" t="str">
        <f>"1551689343498527"</f>
        <v>1551689343498527</v>
      </c>
      <c r="C2552" t="s">
        <v>40</v>
      </c>
      <c r="D2552">
        <v>4.1093960000000003</v>
      </c>
      <c r="E2552">
        <v>0.54245840000000001</v>
      </c>
      <c r="F2552" t="s">
        <v>41</v>
      </c>
      <c r="G2552">
        <v>-378.44889999999998</v>
      </c>
      <c r="H2552">
        <v>1.0435970000000001</v>
      </c>
      <c r="I2552">
        <v>284.38869999999997</v>
      </c>
      <c r="J2552">
        <v>-377.85079999999999</v>
      </c>
      <c r="K2552">
        <v>1.1108129999999901</v>
      </c>
      <c r="L2552">
        <v>284.34050000000002</v>
      </c>
      <c r="M2552">
        <v>-0.99988140000000003</v>
      </c>
      <c r="N2552">
        <v>-1.4600439999999999E-2</v>
      </c>
      <c r="O2552">
        <v>-4.9104389999999999E-3</v>
      </c>
      <c r="P2552">
        <v>-0.93779330000000005</v>
      </c>
      <c r="Q2552">
        <v>0.34667759999999997</v>
      </c>
      <c r="R2552">
        <v>-1.8932729999999998E-2</v>
      </c>
      <c r="S2552">
        <v>-3.2869259999999998</v>
      </c>
      <c r="T2552">
        <v>-0.23284750000000001</v>
      </c>
      <c r="U2552">
        <v>0.1597595</v>
      </c>
      <c r="V2552">
        <v>-1.4308639999999999E-2</v>
      </c>
      <c r="W2552">
        <v>0.36033490000000001</v>
      </c>
      <c r="X2552">
        <v>0.93271329999999997</v>
      </c>
      <c r="Y2552">
        <v>5.3283270000000001E-2</v>
      </c>
      <c r="Z2552">
        <v>2.5492969999999998E-3</v>
      </c>
      <c r="AA2552">
        <v>0.99857620000000002</v>
      </c>
      <c r="AB2552">
        <v>34</v>
      </c>
      <c r="AC2552">
        <v>-0.59809999999998797</v>
      </c>
      <c r="AD2552">
        <v>-6.7215999999999901E-2</v>
      </c>
      <c r="AE2552">
        <v>4.8199999999951601E-2</v>
      </c>
      <c r="AF2552">
        <v>5.0502937192527103E-2</v>
      </c>
      <c r="AG2552">
        <v>-6.7215999999999901E-2</v>
      </c>
      <c r="AH2552">
        <v>0.59044694954834098</v>
      </c>
      <c r="AI2552">
        <v>96.471119546163493</v>
      </c>
      <c r="AJ2552">
        <v>85.111195904033494</v>
      </c>
      <c r="AK2552">
        <v>0.59640266393772401</v>
      </c>
      <c r="AL2552">
        <v>68.879236056602295</v>
      </c>
      <c r="AM2552">
        <v>90.878898562348397</v>
      </c>
      <c r="AN2552">
        <v>1.00000003866677</v>
      </c>
    </row>
    <row r="2553" spans="1:40" x14ac:dyDescent="0.25">
      <c r="A2553" t="str">
        <f>"20190304164903517"</f>
        <v>20190304164903517</v>
      </c>
      <c r="B2553" t="str">
        <f>"1551689343508287"</f>
        <v>1551689343508287</v>
      </c>
      <c r="C2553" t="s">
        <v>40</v>
      </c>
      <c r="D2553">
        <v>4.1076620000000004</v>
      </c>
      <c r="E2553">
        <v>0.54245350000000003</v>
      </c>
      <c r="F2553" t="s">
        <v>41</v>
      </c>
      <c r="G2553">
        <v>-378.75729999999999</v>
      </c>
      <c r="H2553">
        <v>1.0475190000000001</v>
      </c>
      <c r="I2553">
        <v>284.38409999999999</v>
      </c>
      <c r="J2553">
        <v>-378.04829999999998</v>
      </c>
      <c r="K2553">
        <v>1.1108</v>
      </c>
      <c r="L2553">
        <v>284.33949999999999</v>
      </c>
      <c r="M2553">
        <v>-0.99988160000000004</v>
      </c>
      <c r="N2553">
        <v>-1.459823E-2</v>
      </c>
      <c r="O2553">
        <v>-4.8843879999999999E-3</v>
      </c>
      <c r="P2553">
        <v>-0.93767129999999999</v>
      </c>
      <c r="Q2553">
        <v>0.34702709999999998</v>
      </c>
      <c r="R2553">
        <v>-1.857464E-2</v>
      </c>
      <c r="S2553">
        <v>-3.2870789999999999</v>
      </c>
      <c r="T2553">
        <v>-0.22960900000000001</v>
      </c>
      <c r="U2553">
        <v>0.15811159999999999</v>
      </c>
      <c r="V2553">
        <v>-1.3966849999999999E-2</v>
      </c>
      <c r="W2553">
        <v>0.36068050000000001</v>
      </c>
      <c r="X2553">
        <v>0.93258479999999999</v>
      </c>
      <c r="Y2553">
        <v>5.2761450000000001E-2</v>
      </c>
      <c r="Z2553">
        <v>2.4947509999999999E-3</v>
      </c>
      <c r="AA2553">
        <v>0.99860400000000005</v>
      </c>
      <c r="AB2553">
        <v>34</v>
      </c>
      <c r="AC2553">
        <v>-0.70900000000000296</v>
      </c>
      <c r="AD2553">
        <v>-6.3280999999999907E-2</v>
      </c>
      <c r="AE2553">
        <v>4.4600000000002603E-2</v>
      </c>
      <c r="AF2553">
        <v>4.7684498089599597E-2</v>
      </c>
      <c r="AG2553">
        <v>-6.3280999999999907E-2</v>
      </c>
      <c r="AH2553">
        <v>0.70319393138780995</v>
      </c>
      <c r="AI2553">
        <v>95.130523525773995</v>
      </c>
      <c r="AJ2553">
        <v>86.120637403782894</v>
      </c>
      <c r="AK2553">
        <v>0.70764397931424605</v>
      </c>
      <c r="AL2553">
        <v>68.858005215212799</v>
      </c>
      <c r="AM2553">
        <v>90.858025710893997</v>
      </c>
      <c r="AN2553">
        <v>0.99999995258510499</v>
      </c>
    </row>
    <row r="2554" spans="1:40" x14ac:dyDescent="0.25">
      <c r="A2554" t="str">
        <f>"20190304164903528"</f>
        <v>20190304164903528</v>
      </c>
      <c r="B2554" t="str">
        <f>"1551689343519023"</f>
        <v>1551689343519023</v>
      </c>
      <c r="C2554" t="s">
        <v>40</v>
      </c>
      <c r="D2554">
        <v>4.1248809999999896</v>
      </c>
      <c r="E2554">
        <v>0.54247409999999996</v>
      </c>
      <c r="F2554" t="s">
        <v>41</v>
      </c>
      <c r="G2554">
        <v>-379.05610000000001</v>
      </c>
      <c r="H2554">
        <v>1.040842</v>
      </c>
      <c r="I2554">
        <v>284.3888</v>
      </c>
      <c r="J2554">
        <v>-378.23410000000001</v>
      </c>
      <c r="K2554">
        <v>1.1107929999999999</v>
      </c>
      <c r="L2554">
        <v>284.33859999999999</v>
      </c>
      <c r="M2554">
        <v>-0.99988180000000004</v>
      </c>
      <c r="N2554">
        <v>-1.459615E-2</v>
      </c>
      <c r="O2554">
        <v>-4.8545389999999997E-3</v>
      </c>
      <c r="P2554">
        <v>-0.93753370000000003</v>
      </c>
      <c r="Q2554">
        <v>0.34741450000000001</v>
      </c>
      <c r="R2554">
        <v>-1.828287E-2</v>
      </c>
      <c r="S2554">
        <v>-3.2870789999999999</v>
      </c>
      <c r="T2554">
        <v>-0.22837579999999999</v>
      </c>
      <c r="U2554">
        <v>0.15924070000000001</v>
      </c>
      <c r="V2554">
        <v>-1.3696079999999999E-2</v>
      </c>
      <c r="W2554">
        <v>0.3610643</v>
      </c>
      <c r="X2554">
        <v>0.9324403</v>
      </c>
      <c r="Y2554">
        <v>5.3074620000000003E-2</v>
      </c>
      <c r="Z2554">
        <v>2.494521E-3</v>
      </c>
      <c r="AA2554">
        <v>0.99858740000000001</v>
      </c>
      <c r="AB2554">
        <v>34</v>
      </c>
      <c r="AC2554">
        <v>-0.82200000000000195</v>
      </c>
      <c r="AD2554">
        <v>-6.9950999999999805E-2</v>
      </c>
      <c r="AE2554">
        <v>5.0200000000018001E-2</v>
      </c>
      <c r="AF2554">
        <v>5.38020899309085E-2</v>
      </c>
      <c r="AG2554">
        <v>-6.9950999999999805E-2</v>
      </c>
      <c r="AH2554">
        <v>0.81586027633555103</v>
      </c>
      <c r="AI2554">
        <v>94.889925677051295</v>
      </c>
      <c r="AJ2554">
        <v>86.227079760472293</v>
      </c>
      <c r="AK2554">
        <v>0.82061915514095496</v>
      </c>
      <c r="AL2554">
        <v>68.834426441652099</v>
      </c>
      <c r="AM2554">
        <v>90.841524280134607</v>
      </c>
      <c r="AN2554">
        <v>0.99999996220297205</v>
      </c>
    </row>
    <row r="2555" spans="1:40" x14ac:dyDescent="0.25">
      <c r="A2555" t="str">
        <f>"20190304164903548"</f>
        <v>20190304164903548</v>
      </c>
      <c r="B2555" t="str">
        <f>"1551689343538543"</f>
        <v>1551689343538543</v>
      </c>
      <c r="C2555" t="s">
        <v>40</v>
      </c>
      <c r="D2555">
        <v>4.1005940000000001</v>
      </c>
      <c r="E2555">
        <v>0.5425044</v>
      </c>
      <c r="F2555" t="s">
        <v>46</v>
      </c>
      <c r="G2555">
        <v>-394.29349999999999</v>
      </c>
      <c r="H2555" s="1">
        <v>7.4799890000000001E-7</v>
      </c>
      <c r="I2555">
        <v>285.11970000000002</v>
      </c>
      <c r="J2555">
        <v>-378.51729999999998</v>
      </c>
      <c r="K2555">
        <v>1.1107849999999999</v>
      </c>
      <c r="L2555">
        <v>284.33730000000003</v>
      </c>
      <c r="M2555">
        <v>-0.9998821</v>
      </c>
      <c r="N2555">
        <v>-1.4593E-2</v>
      </c>
      <c r="O2555">
        <v>-4.8045980000000002E-3</v>
      </c>
      <c r="P2555">
        <v>-0.93750149999999999</v>
      </c>
      <c r="Q2555">
        <v>0.3475647</v>
      </c>
      <c r="R2555">
        <v>-1.7023139999999999E-2</v>
      </c>
      <c r="S2555">
        <v>-3.2872919999999999</v>
      </c>
      <c r="T2555">
        <v>-0.22737460000000001</v>
      </c>
      <c r="U2555">
        <v>0.15988160000000001</v>
      </c>
      <c r="V2555">
        <v>-1.2473039999999999E-2</v>
      </c>
      <c r="W2555">
        <v>0.361211</v>
      </c>
      <c r="X2555">
        <v>0.93240069999999997</v>
      </c>
      <c r="Y2555">
        <v>5.3216840000000001E-2</v>
      </c>
      <c r="Z2555">
        <v>2.4880039999999998E-3</v>
      </c>
      <c r="AA2555">
        <v>0.99857989999999996</v>
      </c>
      <c r="AB2555">
        <v>34</v>
      </c>
      <c r="AC2555">
        <v>-15.776199999999999</v>
      </c>
      <c r="AD2555">
        <v>-1.1107842520011</v>
      </c>
      <c r="AE2555">
        <v>0.78239999999999499</v>
      </c>
      <c r="AF2555">
        <v>0.85397421765671899</v>
      </c>
      <c r="AG2555">
        <v>-1.1107842520011</v>
      </c>
      <c r="AH2555">
        <v>15.694644497972901</v>
      </c>
      <c r="AI2555">
        <v>94.042383210826699</v>
      </c>
      <c r="AJ2555">
        <v>86.885503407681597</v>
      </c>
      <c r="AK2555">
        <v>15.7570612595327</v>
      </c>
      <c r="AL2555">
        <v>68.825414001871707</v>
      </c>
      <c r="AM2555">
        <v>90.7664193350451</v>
      </c>
      <c r="AN2555">
        <v>1.0000000143041601</v>
      </c>
    </row>
    <row r="2556" spans="1:40" x14ac:dyDescent="0.25">
      <c r="A2556" t="str">
        <f>"20190304164903560"</f>
        <v>20190304164903560</v>
      </c>
      <c r="B2556" t="str">
        <f>"1551689343548304"</f>
        <v>1551689343548304</v>
      </c>
      <c r="C2556" t="s">
        <v>40</v>
      </c>
      <c r="D2556">
        <v>4.0997760000000003</v>
      </c>
      <c r="E2556">
        <v>0.542516199999999</v>
      </c>
      <c r="F2556" t="s">
        <v>41</v>
      </c>
      <c r="G2556">
        <v>-379.37630000000001</v>
      </c>
      <c r="H2556">
        <v>1.0514049999999999</v>
      </c>
      <c r="I2556">
        <v>284.3802</v>
      </c>
      <c r="J2556">
        <v>-378.7004</v>
      </c>
      <c r="K2556">
        <v>1.1107800000000001</v>
      </c>
      <c r="L2556">
        <v>284.33640000000003</v>
      </c>
      <c r="M2556">
        <v>-0.99988220000000005</v>
      </c>
      <c r="N2556">
        <v>-1.459091E-2</v>
      </c>
      <c r="O2556">
        <v>-4.7695389999999997E-3</v>
      </c>
      <c r="P2556">
        <v>-0.93752259999999998</v>
      </c>
      <c r="Q2556">
        <v>0.34753820000000002</v>
      </c>
      <c r="R2556">
        <v>-1.6394820000000001E-2</v>
      </c>
      <c r="S2556">
        <v>-3.2872309999999998</v>
      </c>
      <c r="T2556">
        <v>-0.22740450000000001</v>
      </c>
      <c r="U2556">
        <v>0.16345209999999999</v>
      </c>
      <c r="V2556">
        <v>-1.1871619999999999E-2</v>
      </c>
      <c r="W2556">
        <v>0.36118349999999999</v>
      </c>
      <c r="X2556">
        <v>0.9324192</v>
      </c>
      <c r="Y2556">
        <v>5.4261740000000003E-2</v>
      </c>
      <c r="Z2556">
        <v>2.530044E-3</v>
      </c>
      <c r="AA2556">
        <v>0.99852350000000001</v>
      </c>
      <c r="AB2556">
        <v>34</v>
      </c>
      <c r="AC2556">
        <v>-0.67590000000001205</v>
      </c>
      <c r="AD2556">
        <v>-5.93749999999999E-2</v>
      </c>
      <c r="AE2556">
        <v>4.3799999999975997E-2</v>
      </c>
      <c r="AF2556">
        <v>4.6664973627851498E-2</v>
      </c>
      <c r="AG2556">
        <v>-5.93749999999999E-2</v>
      </c>
      <c r="AH2556">
        <v>0.67053060931768704</v>
      </c>
      <c r="AI2556">
        <v>95.048154563829101</v>
      </c>
      <c r="AJ2556">
        <v>86.018970724102005</v>
      </c>
      <c r="AK2556">
        <v>0.67476981884242304</v>
      </c>
      <c r="AL2556">
        <v>68.827103619575297</v>
      </c>
      <c r="AM2556">
        <v>90.7294540601401</v>
      </c>
      <c r="AN2556">
        <v>1.0000000102811499</v>
      </c>
    </row>
    <row r="2557" spans="1:40" x14ac:dyDescent="0.25">
      <c r="A2557" t="str">
        <f>"20190304164903573"</f>
        <v>20190304164903573</v>
      </c>
      <c r="B2557" t="str">
        <f>"1551689343568798"</f>
        <v>1551689343568798</v>
      </c>
      <c r="C2557" t="s">
        <v>40</v>
      </c>
      <c r="D2557">
        <v>4.1098910000000002</v>
      </c>
      <c r="E2557">
        <v>0.54254209999999903</v>
      </c>
      <c r="F2557" t="s">
        <v>41</v>
      </c>
      <c r="G2557">
        <v>-379.66579999999999</v>
      </c>
      <c r="H2557">
        <v>1.0439449999999999</v>
      </c>
      <c r="I2557">
        <v>284.38549999999998</v>
      </c>
      <c r="J2557">
        <v>-378.91079999999999</v>
      </c>
      <c r="K2557">
        <v>1.1107739999999999</v>
      </c>
      <c r="L2557">
        <v>284.33539999999999</v>
      </c>
      <c r="M2557">
        <v>-0.99988250000000001</v>
      </c>
      <c r="N2557">
        <v>-1.458838E-2</v>
      </c>
      <c r="O2557">
        <v>-4.726615E-3</v>
      </c>
      <c r="P2557">
        <v>-0.93748790000000004</v>
      </c>
      <c r="Q2557">
        <v>0.34764990000000001</v>
      </c>
      <c r="R2557">
        <v>-1.6004620000000001E-2</v>
      </c>
      <c r="S2557">
        <v>-3.2872620000000001</v>
      </c>
      <c r="T2557">
        <v>-0.227827</v>
      </c>
      <c r="U2557">
        <v>0.16561890000000001</v>
      </c>
      <c r="V2557">
        <v>-1.15163E-2</v>
      </c>
      <c r="W2557">
        <v>0.3612919</v>
      </c>
      <c r="X2557">
        <v>0.93238160000000003</v>
      </c>
      <c r="Y2557">
        <v>5.4872650000000002E-2</v>
      </c>
      <c r="Z2557">
        <v>2.5572759999999998E-3</v>
      </c>
      <c r="AA2557">
        <v>0.99849010000000005</v>
      </c>
      <c r="AB2557">
        <v>34</v>
      </c>
      <c r="AC2557">
        <v>-0.75499999999999501</v>
      </c>
      <c r="AD2557">
        <v>-6.6828999999999805E-2</v>
      </c>
      <c r="AE2557">
        <v>5.0099999999986197E-2</v>
      </c>
      <c r="AF2557">
        <v>5.3253008752721799E-2</v>
      </c>
      <c r="AG2557">
        <v>-6.6828999999999805E-2</v>
      </c>
      <c r="AH2557">
        <v>0.74891276871302603</v>
      </c>
      <c r="AI2557">
        <v>95.086489617590502</v>
      </c>
      <c r="AJ2557">
        <v>85.932709582828906</v>
      </c>
      <c r="AK2557">
        <v>0.75377206987499101</v>
      </c>
      <c r="AL2557">
        <v>68.820441764768901</v>
      </c>
      <c r="AM2557">
        <v>90.707652139438693</v>
      </c>
      <c r="AN2557">
        <v>0.99999995509492901</v>
      </c>
    </row>
    <row r="2558" spans="1:40" x14ac:dyDescent="0.25">
      <c r="A2558" t="str">
        <f>"20190304164903593"</f>
        <v>20190304164903593</v>
      </c>
      <c r="B2558" t="str">
        <f>"1551689343588319"</f>
        <v>1551689343588319</v>
      </c>
      <c r="C2558" t="s">
        <v>40</v>
      </c>
      <c r="D2558">
        <v>4.1077339999999998</v>
      </c>
      <c r="E2558">
        <v>0.54256740000000003</v>
      </c>
      <c r="F2558" t="s">
        <v>46</v>
      </c>
      <c r="G2558">
        <v>-394.91590000000002</v>
      </c>
      <c r="H2558" s="1">
        <v>1.0791810000000001E-6</v>
      </c>
      <c r="I2558">
        <v>285.14769999999999</v>
      </c>
      <c r="J2558">
        <v>-379.19540000000001</v>
      </c>
      <c r="K2558">
        <v>1.1107610000000001</v>
      </c>
      <c r="L2558">
        <v>284.33420000000001</v>
      </c>
      <c r="M2558">
        <v>-0.99988279999999996</v>
      </c>
      <c r="N2558">
        <v>-1.458514E-2</v>
      </c>
      <c r="O2558">
        <v>-4.6637889999999998E-3</v>
      </c>
      <c r="P2558">
        <v>-0.93755750000000004</v>
      </c>
      <c r="Q2558">
        <v>0.34751270000000001</v>
      </c>
      <c r="R2558">
        <v>-1.4858430000000001E-2</v>
      </c>
      <c r="S2558">
        <v>-3.287506</v>
      </c>
      <c r="T2558">
        <v>-0.228158</v>
      </c>
      <c r="U2558">
        <v>0.1668396</v>
      </c>
      <c r="V2558">
        <v>-1.042364E-2</v>
      </c>
      <c r="W2558">
        <v>0.36115320000000001</v>
      </c>
      <c r="X2558">
        <v>0.93244819999999995</v>
      </c>
      <c r="Y2558">
        <v>5.5174790000000001E-2</v>
      </c>
      <c r="Z2558">
        <v>2.5694839999999999E-3</v>
      </c>
      <c r="AA2558">
        <v>0.99847339999999996</v>
      </c>
      <c r="AB2558">
        <v>34</v>
      </c>
      <c r="AC2558">
        <v>-15.720499999999999</v>
      </c>
      <c r="AD2558">
        <v>-1.110759920819</v>
      </c>
      <c r="AE2558">
        <v>0.81349999999997602</v>
      </c>
      <c r="AF2558">
        <v>0.882422418745758</v>
      </c>
      <c r="AG2558">
        <v>-1.110759920819</v>
      </c>
      <c r="AH2558">
        <v>15.638668921722701</v>
      </c>
      <c r="AI2558">
        <v>94.056265515087105</v>
      </c>
      <c r="AJ2558">
        <v>86.770471627417805</v>
      </c>
      <c r="AK2558">
        <v>15.702879435633999</v>
      </c>
      <c r="AL2558">
        <v>68.828964362552696</v>
      </c>
      <c r="AM2558">
        <v>90.640470648485007</v>
      </c>
      <c r="AN2558">
        <v>0.999999965912164</v>
      </c>
    </row>
    <row r="2559" spans="1:40" x14ac:dyDescent="0.25">
      <c r="A2559" t="str">
        <f>"20190304164903605"</f>
        <v>20190304164903605</v>
      </c>
      <c r="B2559" t="str">
        <f>"1551689343598079"</f>
        <v>1551689343598079</v>
      </c>
      <c r="C2559" t="s">
        <v>40</v>
      </c>
      <c r="D2559">
        <v>4.0842869999999998</v>
      </c>
      <c r="E2559">
        <v>0.54258289999999998</v>
      </c>
      <c r="F2559" t="s">
        <v>46</v>
      </c>
      <c r="G2559">
        <v>-395.12279999999998</v>
      </c>
      <c r="H2559" s="1">
        <v>1.1893279999999999E-6</v>
      </c>
      <c r="I2559">
        <v>285.1653</v>
      </c>
      <c r="J2559">
        <v>-379.3904</v>
      </c>
      <c r="K2559">
        <v>1.1107590000000001</v>
      </c>
      <c r="L2559">
        <v>284.33330000000001</v>
      </c>
      <c r="M2559">
        <v>-0.99988310000000002</v>
      </c>
      <c r="N2559">
        <v>-1.458305E-2</v>
      </c>
      <c r="O2559">
        <v>-4.6191409999999898E-3</v>
      </c>
      <c r="P2559">
        <v>-0.93750440000000002</v>
      </c>
      <c r="Q2559">
        <v>0.34767239999999999</v>
      </c>
      <c r="R2559">
        <v>-1.449375E-2</v>
      </c>
      <c r="S2559">
        <v>-3.287506</v>
      </c>
      <c r="T2559">
        <v>-0.22926640000000001</v>
      </c>
      <c r="U2559">
        <v>0.17153929999999901</v>
      </c>
      <c r="V2559">
        <v>-1.00984E-2</v>
      </c>
      <c r="W2559">
        <v>0.36131020000000003</v>
      </c>
      <c r="X2559">
        <v>0.93239099999999997</v>
      </c>
      <c r="Y2559">
        <v>5.6548309999999997E-2</v>
      </c>
      <c r="Z2559">
        <v>2.635587E-3</v>
      </c>
      <c r="AA2559">
        <v>0.99839639999999996</v>
      </c>
      <c r="AB2559">
        <v>34</v>
      </c>
      <c r="AC2559">
        <v>-15.732399999999901</v>
      </c>
      <c r="AD2559">
        <v>-1.110757810672</v>
      </c>
      <c r="AE2559">
        <v>0.83199999999999297</v>
      </c>
      <c r="AF2559">
        <v>0.90019423242576901</v>
      </c>
      <c r="AG2559">
        <v>-1.110757810672</v>
      </c>
      <c r="AH2559">
        <v>15.6505909202303</v>
      </c>
      <c r="AI2559">
        <v>94.052927613522002</v>
      </c>
      <c r="AJ2559">
        <v>86.7080754584251</v>
      </c>
      <c r="AK2559">
        <v>15.715760520014801</v>
      </c>
      <c r="AL2559">
        <v>68.819318458552701</v>
      </c>
      <c r="AM2559">
        <v>90.620526236056705</v>
      </c>
      <c r="AN2559">
        <v>1.0000000075938</v>
      </c>
    </row>
    <row r="2560" spans="1:40" x14ac:dyDescent="0.25">
      <c r="A2560" t="str">
        <f>"20190304164903618"</f>
        <v>20190304164903618</v>
      </c>
      <c r="B2560" t="str">
        <f>"1551689343608816"</f>
        <v>1551689343608816</v>
      </c>
      <c r="C2560" t="s">
        <v>40</v>
      </c>
      <c r="D2560">
        <v>4.1075019999999904</v>
      </c>
      <c r="E2560">
        <v>0.5425951</v>
      </c>
      <c r="F2560" t="s">
        <v>41</v>
      </c>
      <c r="G2560">
        <v>-380.27670000000001</v>
      </c>
      <c r="H2560">
        <v>1.0490549999999901</v>
      </c>
      <c r="I2560">
        <v>284.38029999999998</v>
      </c>
      <c r="J2560">
        <v>-379.5838</v>
      </c>
      <c r="K2560">
        <v>1.1107579999999999</v>
      </c>
      <c r="L2560">
        <v>284.33249999999998</v>
      </c>
      <c r="M2560">
        <v>-0.99988330000000003</v>
      </c>
      <c r="N2560">
        <v>-1.458102E-2</v>
      </c>
      <c r="O2560">
        <v>-4.5739049999999996E-3</v>
      </c>
      <c r="P2560">
        <v>-0.93744830000000001</v>
      </c>
      <c r="Q2560">
        <v>0.34784549999999997</v>
      </c>
      <c r="R2560">
        <v>-1.393834E-2</v>
      </c>
      <c r="S2560">
        <v>-3.287598</v>
      </c>
      <c r="T2560">
        <v>-0.2289988</v>
      </c>
      <c r="U2560">
        <v>0.1731567</v>
      </c>
      <c r="V2560">
        <v>-9.5837709999999996E-3</v>
      </c>
      <c r="W2560">
        <v>0.36148000000000002</v>
      </c>
      <c r="X2560">
        <v>0.93233060000000001</v>
      </c>
      <c r="Y2560">
        <v>5.699071E-2</v>
      </c>
      <c r="Z2560">
        <v>2.6489090000000001E-3</v>
      </c>
      <c r="AA2560">
        <v>0.99837120000000001</v>
      </c>
      <c r="AB2560">
        <v>34</v>
      </c>
      <c r="AC2560">
        <v>-0.69290000000000795</v>
      </c>
      <c r="AD2560">
        <v>-6.1703000000000001E-2</v>
      </c>
      <c r="AE2560">
        <v>4.7799999999995103E-2</v>
      </c>
      <c r="AF2560">
        <v>5.0569976500935601E-2</v>
      </c>
      <c r="AG2560">
        <v>-6.1703000000000001E-2</v>
      </c>
      <c r="AH2560">
        <v>0.68725003678833496</v>
      </c>
      <c r="AI2560">
        <v>95.116640904831698</v>
      </c>
      <c r="AJ2560">
        <v>85.7915844113964</v>
      </c>
      <c r="AK2560">
        <v>0.69186501269963996</v>
      </c>
      <c r="AL2560">
        <v>68.808884112381406</v>
      </c>
      <c r="AM2560">
        <v>90.5889437616962</v>
      </c>
      <c r="AN2560">
        <v>0.99999999338147005</v>
      </c>
    </row>
    <row r="2561" spans="1:40" x14ac:dyDescent="0.25">
      <c r="A2561" t="str">
        <f>"20190304164903637"</f>
        <v>20190304164903637</v>
      </c>
      <c r="B2561" t="str">
        <f>"1551689343628335"</f>
        <v>1551689343628335</v>
      </c>
      <c r="C2561" t="s">
        <v>40</v>
      </c>
      <c r="D2561">
        <v>4.0766349999999996</v>
      </c>
      <c r="E2561">
        <v>0.54259639999999998</v>
      </c>
      <c r="F2561" t="s">
        <v>41</v>
      </c>
      <c r="G2561">
        <v>-380.57310000000001</v>
      </c>
      <c r="H2561">
        <v>1.042017</v>
      </c>
      <c r="I2561">
        <v>284.38560000000001</v>
      </c>
      <c r="J2561">
        <v>-379.86970000000002</v>
      </c>
      <c r="K2561">
        <v>1.1107579999999999</v>
      </c>
      <c r="L2561">
        <v>284.33120000000002</v>
      </c>
      <c r="M2561">
        <v>-0.99988370000000004</v>
      </c>
      <c r="N2561">
        <v>-1.457807E-2</v>
      </c>
      <c r="O2561">
        <v>-4.506248E-3</v>
      </c>
      <c r="P2561">
        <v>-0.93741269999999999</v>
      </c>
      <c r="Q2561">
        <v>0.3479564</v>
      </c>
      <c r="R2561">
        <v>-1.3569700000000001E-2</v>
      </c>
      <c r="S2561">
        <v>-3.287598</v>
      </c>
      <c r="T2561">
        <v>-0.22858870000000001</v>
      </c>
      <c r="U2561">
        <v>0.17550660000000001</v>
      </c>
      <c r="V2561">
        <v>-9.2761549999999995E-3</v>
      </c>
      <c r="W2561">
        <v>0.36158760000000001</v>
      </c>
      <c r="X2561">
        <v>0.93229200000000001</v>
      </c>
      <c r="Y2561">
        <v>5.7633549999999999E-2</v>
      </c>
      <c r="Z2561">
        <v>2.6679859999999998E-3</v>
      </c>
      <c r="AA2561">
        <v>0.99833419999999895</v>
      </c>
      <c r="AB2561">
        <v>34</v>
      </c>
      <c r="AC2561">
        <v>-0.70339999999998704</v>
      </c>
      <c r="AD2561">
        <v>-6.8740999999999899E-2</v>
      </c>
      <c r="AE2561">
        <v>5.4399999999986903E-2</v>
      </c>
      <c r="AF2561">
        <v>5.7028069540999003E-2</v>
      </c>
      <c r="AG2561">
        <v>-6.8740999999999899E-2</v>
      </c>
      <c r="AH2561">
        <v>0.69653497289093402</v>
      </c>
      <c r="AI2561">
        <v>95.617590198647505</v>
      </c>
      <c r="AJ2561">
        <v>85.319408121945301</v>
      </c>
      <c r="AK2561">
        <v>0.70223820335890796</v>
      </c>
      <c r="AL2561">
        <v>68.802272113893807</v>
      </c>
      <c r="AM2561">
        <v>90.570064951524998</v>
      </c>
      <c r="AN2561">
        <v>1.0000000063946699</v>
      </c>
    </row>
    <row r="2562" spans="1:40" x14ac:dyDescent="0.25">
      <c r="A2562" t="str">
        <f>"20190304164903648"</f>
        <v>20190304164903648</v>
      </c>
      <c r="B2562" t="str">
        <f>"1551689343638095"</f>
        <v>1551689343638095</v>
      </c>
      <c r="C2562" t="s">
        <v>40</v>
      </c>
      <c r="D2562">
        <v>4.1104969999999996</v>
      </c>
      <c r="E2562">
        <v>0.54260209999999998</v>
      </c>
      <c r="F2562" t="s">
        <v>41</v>
      </c>
      <c r="G2562">
        <v>-380.87479999999999</v>
      </c>
      <c r="H2562">
        <v>1.040967</v>
      </c>
      <c r="I2562">
        <v>284.3854</v>
      </c>
      <c r="J2562">
        <v>-380.05540000000002</v>
      </c>
      <c r="K2562">
        <v>1.1107610000000001</v>
      </c>
      <c r="L2562">
        <v>284.3304</v>
      </c>
      <c r="M2562">
        <v>-0.99988390000000005</v>
      </c>
      <c r="N2562">
        <v>-1.4576159999999999E-2</v>
      </c>
      <c r="O2562">
        <v>-4.4623450000000004E-3</v>
      </c>
      <c r="P2562">
        <v>-0.93744340000000004</v>
      </c>
      <c r="Q2562">
        <v>0.347885</v>
      </c>
      <c r="R2562">
        <v>-1.3281609999999999E-2</v>
      </c>
      <c r="S2562">
        <v>-3.2876590000000001</v>
      </c>
      <c r="T2562">
        <v>-0.22850509999999999</v>
      </c>
      <c r="U2562">
        <v>0.17590329999999901</v>
      </c>
      <c r="V2562">
        <v>-9.0279230000000002E-3</v>
      </c>
      <c r="W2562">
        <v>0.36151470000000002</v>
      </c>
      <c r="X2562">
        <v>0.93232269999999995</v>
      </c>
      <c r="Y2562">
        <v>5.7708830000000003E-2</v>
      </c>
      <c r="Z2562">
        <v>2.667801E-3</v>
      </c>
      <c r="AA2562">
        <v>0.99832989999999999</v>
      </c>
      <c r="AB2562">
        <v>34</v>
      </c>
      <c r="AC2562">
        <v>-0.81939999999997304</v>
      </c>
      <c r="AD2562">
        <v>-6.9794000000000106E-2</v>
      </c>
      <c r="AE2562">
        <v>5.50000000000068E-2</v>
      </c>
      <c r="AF2562">
        <v>5.8235674474113402E-2</v>
      </c>
      <c r="AG2562">
        <v>-6.9794000000000106E-2</v>
      </c>
      <c r="AH2562">
        <v>0.81327246471522097</v>
      </c>
      <c r="AI2562">
        <v>94.892566018954398</v>
      </c>
      <c r="AJ2562">
        <v>85.904234952840696</v>
      </c>
      <c r="AK2562">
        <v>0.818336543288533</v>
      </c>
      <c r="AL2562">
        <v>68.806751875376193</v>
      </c>
      <c r="AM2562">
        <v>90.554792583585396</v>
      </c>
      <c r="AN2562">
        <v>0.99999999932253603</v>
      </c>
    </row>
    <row r="2563" spans="1:40" x14ac:dyDescent="0.25">
      <c r="A2563" t="str">
        <f>"20190304164903661"</f>
        <v>20190304164903661</v>
      </c>
      <c r="B2563" t="str">
        <f>"1551689343658591"</f>
        <v>1551689343658591</v>
      </c>
      <c r="C2563" t="s">
        <v>40</v>
      </c>
      <c r="D2563">
        <v>4.0735739999999998</v>
      </c>
      <c r="E2563">
        <v>0.54260649999999999</v>
      </c>
      <c r="F2563" t="s">
        <v>46</v>
      </c>
      <c r="G2563">
        <v>-396.00659999999999</v>
      </c>
      <c r="H2563" s="1">
        <v>1.6596E-6</v>
      </c>
      <c r="I2563">
        <v>285.18880000000001</v>
      </c>
      <c r="J2563">
        <v>-380.23439999999999</v>
      </c>
      <c r="K2563">
        <v>1.11076</v>
      </c>
      <c r="L2563">
        <v>284.3297</v>
      </c>
      <c r="M2563">
        <v>-0.99988410000000005</v>
      </c>
      <c r="N2563">
        <v>-1.457431E-2</v>
      </c>
      <c r="O2563">
        <v>-4.4201120000000003E-3</v>
      </c>
      <c r="P2563">
        <v>-0.93741039999999998</v>
      </c>
      <c r="Q2563">
        <v>0.34797489999999998</v>
      </c>
      <c r="R2563">
        <v>-1.324087E-2</v>
      </c>
      <c r="S2563">
        <v>-3.2876280000000002</v>
      </c>
      <c r="T2563">
        <v>-0.22893350000000001</v>
      </c>
      <c r="U2563">
        <v>0.1769104</v>
      </c>
      <c r="V2563">
        <v>-9.0258160000000007E-3</v>
      </c>
      <c r="W2563">
        <v>0.36160229999999999</v>
      </c>
      <c r="X2563">
        <v>0.93228880000000003</v>
      </c>
      <c r="Y2563">
        <v>5.797078E-2</v>
      </c>
      <c r="Z2563">
        <v>2.680782E-3</v>
      </c>
      <c r="AA2563">
        <v>0.9983147</v>
      </c>
      <c r="AB2563">
        <v>34</v>
      </c>
      <c r="AC2563">
        <v>-15.7721999999999</v>
      </c>
      <c r="AD2563">
        <v>-1.1107583404000001</v>
      </c>
      <c r="AE2563">
        <v>0.85910000000001197</v>
      </c>
      <c r="AF2563">
        <v>0.92424349385970805</v>
      </c>
      <c r="AG2563">
        <v>-1.1107583404000001</v>
      </c>
      <c r="AH2563">
        <v>15.6906575628146</v>
      </c>
      <c r="AI2563">
        <v>94.042290669537806</v>
      </c>
      <c r="AJ2563">
        <v>86.628940990083905</v>
      </c>
      <c r="AK2563">
        <v>15.757053813458301</v>
      </c>
      <c r="AL2563">
        <v>68.801369656420704</v>
      </c>
      <c r="AM2563">
        <v>90.554683277758897</v>
      </c>
      <c r="AN2563">
        <v>1.0000000476625901</v>
      </c>
    </row>
    <row r="2564" spans="1:40" x14ac:dyDescent="0.25">
      <c r="A2564" t="str">
        <f>"20190304164903677"</f>
        <v>20190304164903677</v>
      </c>
      <c r="B2564" t="str">
        <f>"1551689343668353"</f>
        <v>1551689343668353</v>
      </c>
      <c r="C2564" t="s">
        <v>40</v>
      </c>
      <c r="D2564">
        <v>4.1198449999999998</v>
      </c>
      <c r="E2564">
        <v>0.54261359999999903</v>
      </c>
      <c r="F2564" t="s">
        <v>41</v>
      </c>
      <c r="G2564">
        <v>-381.17970000000003</v>
      </c>
      <c r="H2564">
        <v>1.045045</v>
      </c>
      <c r="I2564">
        <v>284.38080000000002</v>
      </c>
      <c r="J2564">
        <v>-380.46230000000003</v>
      </c>
      <c r="K2564">
        <v>1.1107590000000001</v>
      </c>
      <c r="L2564">
        <v>284.32870000000003</v>
      </c>
      <c r="M2564">
        <v>-0.99988440000000001</v>
      </c>
      <c r="N2564">
        <v>-1.457195E-2</v>
      </c>
      <c r="O2564">
        <v>-4.3671430000000004E-3</v>
      </c>
      <c r="P2564">
        <v>-0.93729609999999997</v>
      </c>
      <c r="Q2564">
        <v>0.34826829999999998</v>
      </c>
      <c r="R2564">
        <v>-1.3616990000000001E-2</v>
      </c>
      <c r="S2564">
        <v>-3.2877809999999998</v>
      </c>
      <c r="T2564">
        <v>-0.22874990000000001</v>
      </c>
      <c r="U2564">
        <v>0.1773682</v>
      </c>
      <c r="V2564">
        <v>-9.4509959999999997E-3</v>
      </c>
      <c r="W2564">
        <v>0.36189260000000001</v>
      </c>
      <c r="X2564">
        <v>0.93217190000000005</v>
      </c>
      <c r="Y2564">
        <v>5.8054130000000002E-2</v>
      </c>
      <c r="Z2564">
        <v>2.6793450000000001E-3</v>
      </c>
      <c r="AA2564">
        <v>0.99830989999999997</v>
      </c>
      <c r="AB2564">
        <v>34</v>
      </c>
      <c r="AC2564">
        <v>-0.71739999999999704</v>
      </c>
      <c r="AD2564">
        <v>-6.5713999999999995E-2</v>
      </c>
      <c r="AE2564">
        <v>5.2099999999995802E-2</v>
      </c>
      <c r="AF2564">
        <v>5.4775634584837002E-2</v>
      </c>
      <c r="AG2564">
        <v>-6.5713999999999995E-2</v>
      </c>
      <c r="AH2564">
        <v>0.71122927329609897</v>
      </c>
      <c r="AI2564">
        <v>95.263355252789395</v>
      </c>
      <c r="AJ2564">
        <v>85.596033864369005</v>
      </c>
      <c r="AK2564">
        <v>0.71635590256063997</v>
      </c>
      <c r="AL2564">
        <v>68.7835276480658</v>
      </c>
      <c r="AM2564">
        <v>90.580883879834701</v>
      </c>
      <c r="AN2564">
        <v>1.0000000132048801</v>
      </c>
    </row>
    <row r="2565" spans="1:40" x14ac:dyDescent="0.25">
      <c r="A2565" t="str">
        <f>"20190304164903690"</f>
        <v>20190304164903690</v>
      </c>
      <c r="B2565" t="str">
        <f>"1551689343679088"</f>
        <v>1551689343679088</v>
      </c>
      <c r="C2565" t="s">
        <v>40</v>
      </c>
      <c r="D2565">
        <v>4.0969509999999998</v>
      </c>
      <c r="E2565">
        <v>0.54263649999999997</v>
      </c>
      <c r="F2565" t="s">
        <v>41</v>
      </c>
      <c r="G2565">
        <v>-381.47800000000001</v>
      </c>
      <c r="H2565">
        <v>1.04047</v>
      </c>
      <c r="I2565">
        <v>284.38369999999998</v>
      </c>
      <c r="J2565">
        <v>-380.67970000000003</v>
      </c>
      <c r="K2565">
        <v>1.1107499999999999</v>
      </c>
      <c r="L2565">
        <v>284.32780000000002</v>
      </c>
      <c r="M2565">
        <v>-0.99988449999999995</v>
      </c>
      <c r="N2565">
        <v>-1.456969E-2</v>
      </c>
      <c r="O2565">
        <v>-4.3170420000000001E-3</v>
      </c>
      <c r="P2565">
        <v>-0.93733350000000004</v>
      </c>
      <c r="Q2565">
        <v>0.34815839999999998</v>
      </c>
      <c r="R2565">
        <v>-1.384908E-2</v>
      </c>
      <c r="S2565">
        <v>-3.287903</v>
      </c>
      <c r="T2565">
        <v>-0.22775590000000001</v>
      </c>
      <c r="U2565">
        <v>0.17636109999999999</v>
      </c>
      <c r="V2565">
        <v>-9.7283669999999999E-3</v>
      </c>
      <c r="W2565">
        <v>0.36178060000000001</v>
      </c>
      <c r="X2565">
        <v>0.9322125</v>
      </c>
      <c r="Y2565">
        <v>5.7699729999999998E-2</v>
      </c>
      <c r="Z2565">
        <v>2.651587E-3</v>
      </c>
      <c r="AA2565">
        <v>0.99833050000000001</v>
      </c>
      <c r="AB2565">
        <v>34</v>
      </c>
      <c r="AC2565">
        <v>-0.79829999999998302</v>
      </c>
      <c r="AD2565">
        <v>-7.0279999999999898E-2</v>
      </c>
      <c r="AE2565">
        <v>5.5899999999951398E-2</v>
      </c>
      <c r="AF2565">
        <v>5.8891923301398197E-2</v>
      </c>
      <c r="AG2565">
        <v>-7.0279999999999898E-2</v>
      </c>
      <c r="AH2565">
        <v>0.79194318368300398</v>
      </c>
      <c r="AI2565">
        <v>95.057464697675201</v>
      </c>
      <c r="AJ2565">
        <v>85.747094716895106</v>
      </c>
      <c r="AK2565">
        <v>0.79723368168442899</v>
      </c>
      <c r="AL2565">
        <v>68.790410775859598</v>
      </c>
      <c r="AM2565">
        <v>90.597904595280497</v>
      </c>
      <c r="AN2565">
        <v>0.99999999440854803</v>
      </c>
    </row>
    <row r="2566" spans="1:40" x14ac:dyDescent="0.25">
      <c r="A2566" t="str">
        <f>"20190304164903706"</f>
        <v>20190304164903706</v>
      </c>
      <c r="B2566" t="str">
        <f>"1551689343698608"</f>
        <v>1551689343698608</v>
      </c>
      <c r="C2566" t="s">
        <v>40</v>
      </c>
      <c r="D2566">
        <v>4.1299869999999999</v>
      </c>
      <c r="E2566">
        <v>0.54264969999999901</v>
      </c>
      <c r="F2566" t="s">
        <v>46</v>
      </c>
      <c r="G2566">
        <v>-396.70260000000002</v>
      </c>
      <c r="H2566" s="1">
        <v>2.0300130000000002E-6</v>
      </c>
      <c r="I2566">
        <v>285.18680000000001</v>
      </c>
      <c r="J2566">
        <v>-380.90300000000002</v>
      </c>
      <c r="K2566">
        <v>1.110749</v>
      </c>
      <c r="L2566">
        <v>284.32679999999999</v>
      </c>
      <c r="M2566">
        <v>-0.99988480000000002</v>
      </c>
      <c r="N2566">
        <v>-1.456735E-2</v>
      </c>
      <c r="O2566">
        <v>-4.266227E-3</v>
      </c>
      <c r="P2566">
        <v>-0.93735740000000001</v>
      </c>
      <c r="Q2566">
        <v>0.34807519999999997</v>
      </c>
      <c r="R2566">
        <v>-1.431232E-2</v>
      </c>
      <c r="S2566">
        <v>-3.287811</v>
      </c>
      <c r="T2566">
        <v>-0.22791980000000001</v>
      </c>
      <c r="U2566">
        <v>0.1762695</v>
      </c>
      <c r="V2566">
        <v>-1.0238590000000001E-2</v>
      </c>
      <c r="W2566">
        <v>0.36169560000000001</v>
      </c>
      <c r="X2566">
        <v>0.93223999999999996</v>
      </c>
      <c r="Y2566">
        <v>5.7622840000000002E-2</v>
      </c>
      <c r="Z2566">
        <v>2.647244E-3</v>
      </c>
      <c r="AA2566">
        <v>0.99833490000000003</v>
      </c>
      <c r="AB2566">
        <v>34</v>
      </c>
      <c r="AC2566">
        <v>-15.7995999999999</v>
      </c>
      <c r="AD2566">
        <v>-1.1107469699869901</v>
      </c>
      <c r="AE2566">
        <v>0.86000000000001298</v>
      </c>
      <c r="AF2566">
        <v>0.92285635095725005</v>
      </c>
      <c r="AG2566">
        <v>-1.1107469699869901</v>
      </c>
      <c r="AH2566">
        <v>15.7183300228146</v>
      </c>
      <c r="AI2566">
        <v>94.035201731964506</v>
      </c>
      <c r="AJ2566">
        <v>86.639901119152597</v>
      </c>
      <c r="AK2566">
        <v>15.7845279112792</v>
      </c>
      <c r="AL2566">
        <v>68.795634287484802</v>
      </c>
      <c r="AM2566">
        <v>90.629241837097794</v>
      </c>
      <c r="AN2566">
        <v>0.99999997669227303</v>
      </c>
    </row>
    <row r="2567" spans="1:40" x14ac:dyDescent="0.25">
      <c r="A2567" t="str">
        <f>"20190304164903726"</f>
        <v>20190304164903726</v>
      </c>
      <c r="B2567" t="str">
        <f>"1551689343718131"</f>
        <v>1551689343718131</v>
      </c>
      <c r="C2567" t="s">
        <v>40</v>
      </c>
      <c r="D2567">
        <v>4.0855899999999998</v>
      </c>
      <c r="E2567">
        <v>0.54264109999999999</v>
      </c>
      <c r="F2567" t="s">
        <v>41</v>
      </c>
      <c r="G2567">
        <v>-381.7867</v>
      </c>
      <c r="H2567">
        <v>1.0495730000000001</v>
      </c>
      <c r="I2567">
        <v>284.37439999999998</v>
      </c>
      <c r="J2567">
        <v>-381.22</v>
      </c>
      <c r="K2567">
        <v>1.1107560000000001</v>
      </c>
      <c r="L2567">
        <v>284.32560000000001</v>
      </c>
      <c r="M2567">
        <v>-0.99988529999999998</v>
      </c>
      <c r="N2567">
        <v>-1.456402E-2</v>
      </c>
      <c r="O2567">
        <v>-4.1944240000000004E-3</v>
      </c>
      <c r="P2567">
        <v>-0.93719140000000001</v>
      </c>
      <c r="Q2567">
        <v>0.34850130000000001</v>
      </c>
      <c r="R2567">
        <v>-1.481003E-2</v>
      </c>
      <c r="S2567">
        <v>-3.28775</v>
      </c>
      <c r="T2567">
        <v>-0.22791980000000001</v>
      </c>
      <c r="U2567">
        <v>0.17517089999999999</v>
      </c>
      <c r="V2567">
        <v>-1.0803460000000001E-2</v>
      </c>
      <c r="W2567">
        <v>0.36211710000000003</v>
      </c>
      <c r="X2567">
        <v>0.93206999999999995</v>
      </c>
      <c r="Y2567">
        <v>5.7220750000000001E-2</v>
      </c>
      <c r="Z2567">
        <v>2.6264499999999998E-3</v>
      </c>
      <c r="AA2567">
        <v>0.99835810000000003</v>
      </c>
      <c r="AB2567">
        <v>34</v>
      </c>
      <c r="AC2567">
        <v>-0.56669999999996801</v>
      </c>
      <c r="AD2567">
        <v>-6.1182999999999897E-2</v>
      </c>
      <c r="AE2567">
        <v>4.8799999999971498E-2</v>
      </c>
      <c r="AF2567">
        <v>5.0591441728447602E-2</v>
      </c>
      <c r="AG2567">
        <v>-6.1182999999999897E-2</v>
      </c>
      <c r="AH2567">
        <v>0.56001078297724305</v>
      </c>
      <c r="AI2567">
        <v>96.209930758339894</v>
      </c>
      <c r="AJ2567">
        <v>84.837905129370398</v>
      </c>
      <c r="AK2567">
        <v>0.56561022843999897</v>
      </c>
      <c r="AL2567">
        <v>68.769728496238201</v>
      </c>
      <c r="AM2567">
        <v>90.664075599892698</v>
      </c>
      <c r="AN2567">
        <v>0.99999999688019003</v>
      </c>
    </row>
    <row r="2568" spans="1:40" x14ac:dyDescent="0.25">
      <c r="A2568" t="str">
        <f>"20190304164903739"</f>
        <v>20190304164903739</v>
      </c>
      <c r="B2568" t="str">
        <f>"1551689343728863"</f>
        <v>1551689343728863</v>
      </c>
      <c r="C2568" t="s">
        <v>40</v>
      </c>
      <c r="D2568">
        <v>4.1106730000000002</v>
      </c>
      <c r="E2568">
        <v>0.54264579999999996</v>
      </c>
      <c r="F2568" t="s">
        <v>41</v>
      </c>
      <c r="G2568">
        <v>-382.08870000000002</v>
      </c>
      <c r="H2568">
        <v>1.0508850000000001</v>
      </c>
      <c r="I2568">
        <v>284.3716</v>
      </c>
      <c r="J2568">
        <v>-381.41250000000002</v>
      </c>
      <c r="K2568">
        <v>1.1107590000000001</v>
      </c>
      <c r="L2568">
        <v>284.32479999999998</v>
      </c>
      <c r="M2568">
        <v>-0.99988549999999998</v>
      </c>
      <c r="N2568">
        <v>-1.4561940000000001E-2</v>
      </c>
      <c r="O2568">
        <v>-4.1508919999999998E-3</v>
      </c>
      <c r="P2568">
        <v>-0.93723920000000005</v>
      </c>
      <c r="Q2568">
        <v>0.34836519999999999</v>
      </c>
      <c r="R2568">
        <v>-1.4997409999999999E-2</v>
      </c>
      <c r="S2568">
        <v>-3.2881469999999999</v>
      </c>
      <c r="T2568">
        <v>-0.22681950000000001</v>
      </c>
      <c r="U2568">
        <v>0.17288210000000001</v>
      </c>
      <c r="V2568">
        <v>-1.1030760000000001E-2</v>
      </c>
      <c r="W2568">
        <v>0.3619793</v>
      </c>
      <c r="X2568">
        <v>0.93212090000000003</v>
      </c>
      <c r="Y2568">
        <v>5.6481610000000002E-2</v>
      </c>
      <c r="Z2568">
        <v>2.5820190000000001E-3</v>
      </c>
      <c r="AA2568">
        <v>0.99840030000000002</v>
      </c>
      <c r="AB2568">
        <v>34</v>
      </c>
      <c r="AC2568">
        <v>-0.67619999999999403</v>
      </c>
      <c r="AD2568">
        <v>-5.98739999999999E-2</v>
      </c>
      <c r="AE2568">
        <v>4.6800000000018799E-2</v>
      </c>
      <c r="AF2568">
        <v>4.9222652264076301E-2</v>
      </c>
      <c r="AG2568">
        <v>-5.98739999999999E-2</v>
      </c>
      <c r="AH2568">
        <v>0.67076603290195402</v>
      </c>
      <c r="AI2568">
        <v>95.087217302905003</v>
      </c>
      <c r="AJ2568">
        <v>85.803001326320896</v>
      </c>
      <c r="AK2568">
        <v>0.67522946934130101</v>
      </c>
      <c r="AL2568">
        <v>68.778199238430403</v>
      </c>
      <c r="AM2568">
        <v>90.678009142187506</v>
      </c>
      <c r="AN2568">
        <v>1.00000003175573</v>
      </c>
    </row>
    <row r="2569" spans="1:40" x14ac:dyDescent="0.25">
      <c r="A2569" t="str">
        <f>"20190304164903754"</f>
        <v>20190304164903754</v>
      </c>
      <c r="B2569" t="str">
        <f>"1551689343748383"</f>
        <v>1551689343748383</v>
      </c>
      <c r="C2569" t="s">
        <v>40</v>
      </c>
      <c r="D2569">
        <v>4.1072430000000004</v>
      </c>
      <c r="E2569">
        <v>0.54264480000000004</v>
      </c>
      <c r="F2569" t="s">
        <v>41</v>
      </c>
      <c r="G2569">
        <v>-382.38249999999999</v>
      </c>
      <c r="H2569">
        <v>1.043663</v>
      </c>
      <c r="I2569">
        <v>284.37569999999999</v>
      </c>
      <c r="J2569">
        <v>-381.62419999999997</v>
      </c>
      <c r="K2569">
        <v>1.1107549999999999</v>
      </c>
      <c r="L2569">
        <v>284.32389999999998</v>
      </c>
      <c r="M2569">
        <v>-0.99988560000000004</v>
      </c>
      <c r="N2569">
        <v>-1.4559559999999999E-2</v>
      </c>
      <c r="O2569">
        <v>-4.1029489999999998E-3</v>
      </c>
      <c r="P2569">
        <v>-0.93723829999999997</v>
      </c>
      <c r="Q2569">
        <v>0.34836240000000002</v>
      </c>
      <c r="R2569">
        <v>-1.5106410000000001E-2</v>
      </c>
      <c r="S2569">
        <v>-3.288208</v>
      </c>
      <c r="T2569">
        <v>-0.227494</v>
      </c>
      <c r="U2569">
        <v>0.1721191</v>
      </c>
      <c r="V2569">
        <v>-1.118413E-2</v>
      </c>
      <c r="W2569">
        <v>0.36197439999999997</v>
      </c>
      <c r="X2569">
        <v>0.93212090000000003</v>
      </c>
      <c r="Y2569">
        <v>5.6201719999999997E-2</v>
      </c>
      <c r="Z2569">
        <v>2.5742299999999998E-3</v>
      </c>
      <c r="AA2569">
        <v>0.99841610000000003</v>
      </c>
      <c r="AB2569">
        <v>34</v>
      </c>
      <c r="AC2569">
        <v>-0.75830000000001896</v>
      </c>
      <c r="AD2569">
        <v>-6.7091999999999902E-2</v>
      </c>
      <c r="AE2569">
        <v>5.1800000000014203E-2</v>
      </c>
      <c r="AF2569">
        <v>5.4486611403519E-2</v>
      </c>
      <c r="AG2569">
        <v>-6.7091999999999902E-2</v>
      </c>
      <c r="AH2569">
        <v>0.75221991739565996</v>
      </c>
      <c r="AI2569">
        <v>95.083589685827405</v>
      </c>
      <c r="AJ2569">
        <v>85.857049155535904</v>
      </c>
      <c r="AK2569">
        <v>0.75716902433536704</v>
      </c>
      <c r="AL2569">
        <v>68.778498850693595</v>
      </c>
      <c r="AM2569">
        <v>90.687435179148807</v>
      </c>
      <c r="AN2569">
        <v>0.99999996161801197</v>
      </c>
    </row>
    <row r="2570" spans="1:40" x14ac:dyDescent="0.25">
      <c r="A2570" t="str">
        <f>"20190304164903767"</f>
        <v>20190304164903767</v>
      </c>
      <c r="B2570" t="str">
        <f>"1551689343758144"</f>
        <v>1551689343758144</v>
      </c>
      <c r="C2570" t="s">
        <v>40</v>
      </c>
      <c r="D2570">
        <v>4.107831</v>
      </c>
      <c r="E2570">
        <v>0.54265980000000003</v>
      </c>
      <c r="F2570" t="s">
        <v>46</v>
      </c>
      <c r="G2570">
        <v>-397.64659999999998</v>
      </c>
      <c r="H2570" s="1">
        <v>2.5323700000000001E-6</v>
      </c>
      <c r="I2570">
        <v>285.16269999999997</v>
      </c>
      <c r="J2570">
        <v>-381.83629999999999</v>
      </c>
      <c r="K2570">
        <v>1.1107560000000001</v>
      </c>
      <c r="L2570">
        <v>284.32310000000001</v>
      </c>
      <c r="M2570">
        <v>-0.99988580000000005</v>
      </c>
      <c r="N2570">
        <v>-1.4557199999999999E-2</v>
      </c>
      <c r="O2570">
        <v>-4.0551249999999997E-3</v>
      </c>
      <c r="P2570">
        <v>-0.93714430000000004</v>
      </c>
      <c r="Q2570">
        <v>0.34860570000000002</v>
      </c>
      <c r="R2570">
        <v>-1.5331060000000001E-2</v>
      </c>
      <c r="S2570">
        <v>-3.2884220000000002</v>
      </c>
      <c r="T2570">
        <v>-0.22796930000000001</v>
      </c>
      <c r="U2570">
        <v>0.17214969999999999</v>
      </c>
      <c r="V2570">
        <v>-1.1453659999999999E-2</v>
      </c>
      <c r="W2570">
        <v>0.36221439999999999</v>
      </c>
      <c r="X2570">
        <v>0.93202439999999998</v>
      </c>
      <c r="Y2570">
        <v>5.6159380000000002E-2</v>
      </c>
      <c r="Z2570">
        <v>2.5742790000000001E-3</v>
      </c>
      <c r="AA2570">
        <v>0.99841849999999999</v>
      </c>
      <c r="AB2570">
        <v>34</v>
      </c>
      <c r="AC2570">
        <v>-15.8102999999999</v>
      </c>
      <c r="AD2570">
        <v>-1.1107534676299999</v>
      </c>
      <c r="AE2570">
        <v>0.83959999999996104</v>
      </c>
      <c r="AF2570">
        <v>0.89928644230240595</v>
      </c>
      <c r="AG2570">
        <v>-1.1107534676299999</v>
      </c>
      <c r="AH2570">
        <v>15.7293467851893</v>
      </c>
      <c r="AI2570">
        <v>94.032765682055398</v>
      </c>
      <c r="AJ2570">
        <v>86.727817878070397</v>
      </c>
      <c r="AK2570">
        <v>15.7941394086511</v>
      </c>
      <c r="AL2570">
        <v>68.763746998233003</v>
      </c>
      <c r="AM2570">
        <v>90.704073139676296</v>
      </c>
      <c r="AN2570">
        <v>0.99999997004505703</v>
      </c>
    </row>
    <row r="2571" spans="1:40" x14ac:dyDescent="0.25">
      <c r="A2571" t="str">
        <f>"20190304164903783"</f>
        <v>20190304164903783</v>
      </c>
      <c r="B2571" t="str">
        <f>"1551689343778640"</f>
        <v>1551689343778640</v>
      </c>
      <c r="C2571" t="s">
        <v>40</v>
      </c>
      <c r="D2571">
        <v>4.1180640000000004</v>
      </c>
      <c r="E2571">
        <v>0.54267639999999995</v>
      </c>
      <c r="F2571" t="s">
        <v>41</v>
      </c>
      <c r="G2571">
        <v>-382.69490000000002</v>
      </c>
      <c r="H2571">
        <v>1.051498</v>
      </c>
      <c r="I2571">
        <v>284.36860000000001</v>
      </c>
      <c r="J2571">
        <v>-382.07310000000001</v>
      </c>
      <c r="K2571">
        <v>1.1107610000000001</v>
      </c>
      <c r="L2571">
        <v>284.32220000000001</v>
      </c>
      <c r="M2571">
        <v>-0.99988619999999995</v>
      </c>
      <c r="N2571">
        <v>-1.4554610000000001E-2</v>
      </c>
      <c r="O2571">
        <v>-4.0016990000000001E-3</v>
      </c>
      <c r="P2571">
        <v>-0.93695709999999999</v>
      </c>
      <c r="Q2571">
        <v>0.34908149999999999</v>
      </c>
      <c r="R2571">
        <v>-1.5923570000000001E-2</v>
      </c>
      <c r="S2571">
        <v>-3.2886660000000001</v>
      </c>
      <c r="T2571">
        <v>-0.2273356</v>
      </c>
      <c r="U2571">
        <v>0.1722717</v>
      </c>
      <c r="V2571">
        <v>-1.209702E-2</v>
      </c>
      <c r="W2571">
        <v>0.36268539999999999</v>
      </c>
      <c r="X2571">
        <v>0.93183309999999997</v>
      </c>
      <c r="Y2571">
        <v>5.6140160000000001E-2</v>
      </c>
      <c r="Z2571">
        <v>2.564167E-3</v>
      </c>
      <c r="AA2571">
        <v>0.99841959999999996</v>
      </c>
      <c r="AB2571">
        <v>34</v>
      </c>
      <c r="AC2571">
        <v>-0.62180000000000701</v>
      </c>
      <c r="AD2571">
        <v>-5.9263000000000003E-2</v>
      </c>
      <c r="AE2571">
        <v>4.6400000000005499E-2</v>
      </c>
      <c r="AF2571">
        <v>4.8450472638138203E-2</v>
      </c>
      <c r="AG2571">
        <v>-5.9263000000000003E-2</v>
      </c>
      <c r="AH2571">
        <v>0.61604430937645305</v>
      </c>
      <c r="AI2571">
        <v>95.478089353057996</v>
      </c>
      <c r="AJ2571">
        <v>85.503074901832093</v>
      </c>
      <c r="AK2571">
        <v>0.62078188003756296</v>
      </c>
      <c r="AL2571">
        <v>68.734792088654004</v>
      </c>
      <c r="AM2571">
        <v>90.743769734963806</v>
      </c>
      <c r="AN2571">
        <v>0.99999998176082505</v>
      </c>
    </row>
    <row r="2572" spans="1:40" x14ac:dyDescent="0.25">
      <c r="A2572" t="str">
        <f>"20190304164903797"</f>
        <v>20190304164903797</v>
      </c>
      <c r="B2572" t="str">
        <f>"1551689343788401"</f>
        <v>1551689343788401</v>
      </c>
      <c r="C2572" t="s">
        <v>40</v>
      </c>
      <c r="D2572">
        <v>4.0978500000000002</v>
      </c>
      <c r="E2572">
        <v>0.54268090000000002</v>
      </c>
      <c r="F2572" t="s">
        <v>41</v>
      </c>
      <c r="G2572">
        <v>-382.98649999999998</v>
      </c>
      <c r="H2572">
        <v>1.048036</v>
      </c>
      <c r="I2572">
        <v>284.37020000000001</v>
      </c>
      <c r="J2572">
        <v>-382.28160000000003</v>
      </c>
      <c r="K2572">
        <v>1.1107610000000001</v>
      </c>
      <c r="L2572">
        <v>284.32139999999998</v>
      </c>
      <c r="M2572">
        <v>-0.99988630000000001</v>
      </c>
      <c r="N2572">
        <v>-1.455235E-2</v>
      </c>
      <c r="O2572">
        <v>-3.9542379999999997E-3</v>
      </c>
      <c r="P2572">
        <v>-0.93689310000000003</v>
      </c>
      <c r="Q2572">
        <v>0.3492613</v>
      </c>
      <c r="R2572">
        <v>-1.574917E-2</v>
      </c>
      <c r="S2572">
        <v>-3.2889400000000002</v>
      </c>
      <c r="T2572">
        <v>-0.22591420000000001</v>
      </c>
      <c r="U2572">
        <v>0.1724243</v>
      </c>
      <c r="V2572">
        <v>-1.196729E-2</v>
      </c>
      <c r="W2572">
        <v>0.3628615</v>
      </c>
      <c r="X2572">
        <v>0.93176630000000005</v>
      </c>
      <c r="Y2572">
        <v>5.6136650000000003E-2</v>
      </c>
      <c r="Z2572">
        <v>2.5474069999999998E-3</v>
      </c>
      <c r="AA2572">
        <v>0.99841979999999997</v>
      </c>
      <c r="AB2572">
        <v>34</v>
      </c>
      <c r="AC2572">
        <v>-0.70489999999995201</v>
      </c>
      <c r="AD2572">
        <v>-6.27250000000001E-2</v>
      </c>
      <c r="AE2572">
        <v>4.88000000000283E-2</v>
      </c>
      <c r="AF2572">
        <v>5.11839048272471E-2</v>
      </c>
      <c r="AG2572">
        <v>-6.27250000000001E-2</v>
      </c>
      <c r="AH2572">
        <v>0.69919157154693901</v>
      </c>
      <c r="AI2572">
        <v>95.112716340309206</v>
      </c>
      <c r="AJ2572">
        <v>85.813164665726703</v>
      </c>
      <c r="AK2572">
        <v>0.70386296355231204</v>
      </c>
      <c r="AL2572">
        <v>68.723966480463005</v>
      </c>
      <c r="AM2572">
        <v>90.735847078858995</v>
      </c>
      <c r="AN2572">
        <v>1.0000000610139399</v>
      </c>
    </row>
    <row r="2573" spans="1:40" x14ac:dyDescent="0.25">
      <c r="A2573" t="str">
        <f>"20190304164903817"</f>
        <v>20190304164903817</v>
      </c>
      <c r="B2573" t="str">
        <f>"1551689343808290"</f>
        <v>1551689343808290</v>
      </c>
      <c r="C2573" t="s">
        <v>40</v>
      </c>
      <c r="D2573">
        <v>4.0750149999999996</v>
      </c>
      <c r="E2573">
        <v>0.54268380000000005</v>
      </c>
      <c r="F2573" t="s">
        <v>41</v>
      </c>
      <c r="G2573">
        <v>-383.28089999999997</v>
      </c>
      <c r="H2573">
        <v>1.042332</v>
      </c>
      <c r="I2573">
        <v>284.37450000000001</v>
      </c>
      <c r="J2573">
        <v>-382.57839999999999</v>
      </c>
      <c r="K2573">
        <v>1.1107610000000001</v>
      </c>
      <c r="L2573">
        <v>284.32029999999997</v>
      </c>
      <c r="M2573">
        <v>-0.99988659999999996</v>
      </c>
      <c r="N2573">
        <v>-1.454917E-2</v>
      </c>
      <c r="O2573">
        <v>-3.8871040000000002E-3</v>
      </c>
      <c r="P2573">
        <v>-0.93671320000000002</v>
      </c>
      <c r="Q2573">
        <v>0.34974420000000001</v>
      </c>
      <c r="R2573">
        <v>-1.574062E-2</v>
      </c>
      <c r="S2573">
        <v>-3.2890320000000002</v>
      </c>
      <c r="T2573">
        <v>-0.22543289999999999</v>
      </c>
      <c r="U2573">
        <v>0.1734619</v>
      </c>
      <c r="V2573">
        <v>-1.2021759999999999E-2</v>
      </c>
      <c r="W2573">
        <v>0.36333910000000003</v>
      </c>
      <c r="X2573">
        <v>0.93157939999999995</v>
      </c>
      <c r="Y2573">
        <v>5.638232E-2</v>
      </c>
      <c r="Z2573">
        <v>2.5491620000000002E-3</v>
      </c>
      <c r="AA2573">
        <v>0.99840600000000002</v>
      </c>
      <c r="AB2573">
        <v>34</v>
      </c>
      <c r="AC2573">
        <v>-0.70249999999998602</v>
      </c>
      <c r="AD2573">
        <v>-6.8429000000000004E-2</v>
      </c>
      <c r="AE2573">
        <v>5.42000000000371E-2</v>
      </c>
      <c r="AF2573">
        <v>5.6398610497394898E-2</v>
      </c>
      <c r="AG2573">
        <v>-6.8429000000000004E-2</v>
      </c>
      <c r="AH2573">
        <v>0.69572184278103699</v>
      </c>
      <c r="AI2573">
        <v>95.599113974514694</v>
      </c>
      <c r="AJ2573">
        <v>85.365458536253399</v>
      </c>
      <c r="AK2573">
        <v>0.70135027898310398</v>
      </c>
      <c r="AL2573">
        <v>68.694596260805596</v>
      </c>
      <c r="AM2573">
        <v>90.739344256352297</v>
      </c>
      <c r="AN2573">
        <v>1.0000000014033299</v>
      </c>
    </row>
    <row r="2574" spans="1:40" x14ac:dyDescent="0.25">
      <c r="A2574" t="str">
        <f>"20190304164903839"</f>
        <v>20190304164903839</v>
      </c>
      <c r="B2574" t="str">
        <f>"1551689343828787"</f>
        <v>1551689343828787</v>
      </c>
      <c r="C2574" t="s">
        <v>40</v>
      </c>
      <c r="D2574">
        <v>4.0953200000000001</v>
      </c>
      <c r="E2574">
        <v>0.54268760000000005</v>
      </c>
      <c r="F2574" t="s">
        <v>41</v>
      </c>
      <c r="G2574">
        <v>-383.58010000000002</v>
      </c>
      <c r="H2574">
        <v>1.0425390000000001</v>
      </c>
      <c r="I2574">
        <v>284.37329999999997</v>
      </c>
      <c r="J2574">
        <v>-382.90309999999999</v>
      </c>
      <c r="K2574">
        <v>1.1107640000000001</v>
      </c>
      <c r="L2574">
        <v>284.31920000000002</v>
      </c>
      <c r="M2574">
        <v>-0.99988699999999997</v>
      </c>
      <c r="N2574">
        <v>-1.454565E-2</v>
      </c>
      <c r="O2574">
        <v>-3.8132919999999998E-3</v>
      </c>
      <c r="P2574">
        <v>-0.93666059999999995</v>
      </c>
      <c r="Q2574">
        <v>0.34987849999999998</v>
      </c>
      <c r="R2574">
        <v>-1.5885960000000001E-2</v>
      </c>
      <c r="S2574">
        <v>-3.289215</v>
      </c>
      <c r="T2574">
        <v>-0.22403490000000001</v>
      </c>
      <c r="U2574">
        <v>0.17376710000000001</v>
      </c>
      <c r="V2574">
        <v>-1.2236540000000001E-2</v>
      </c>
      <c r="W2574">
        <v>0.3634696</v>
      </c>
      <c r="X2574">
        <v>0.93152570000000001</v>
      </c>
      <c r="Y2574">
        <v>5.640005E-2</v>
      </c>
      <c r="Z2574">
        <v>2.5321509999999998E-3</v>
      </c>
      <c r="AA2574">
        <v>0.99840499999999999</v>
      </c>
      <c r="AB2574">
        <v>33</v>
      </c>
      <c r="AC2574">
        <v>-0.67700000000002003</v>
      </c>
      <c r="AD2574">
        <v>-6.8224999999999897E-2</v>
      </c>
      <c r="AE2574">
        <v>5.4099999999948502E-2</v>
      </c>
      <c r="AF2574">
        <v>5.6115205315297102E-2</v>
      </c>
      <c r="AG2574">
        <v>-6.8224999999999897E-2</v>
      </c>
      <c r="AH2574">
        <v>0.67002733819893501</v>
      </c>
      <c r="AI2574">
        <v>95.793913143706604</v>
      </c>
      <c r="AJ2574">
        <v>85.212615226234604</v>
      </c>
      <c r="AK2574">
        <v>0.67582556982295905</v>
      </c>
      <c r="AL2574">
        <v>68.686570560630798</v>
      </c>
      <c r="AM2574">
        <v>90.752595205682297</v>
      </c>
      <c r="AN2574">
        <v>1.00000000639791</v>
      </c>
    </row>
    <row r="2575" spans="1:40" x14ac:dyDescent="0.25">
      <c r="A2575" t="str">
        <f>"20190304164903854"</f>
        <v>20190304164903854</v>
      </c>
      <c r="B2575" t="str">
        <f>"1551689343848306"</f>
        <v>1551689343848306</v>
      </c>
      <c r="C2575" t="s">
        <v>40</v>
      </c>
      <c r="D2575">
        <v>4.089944</v>
      </c>
      <c r="E2575">
        <v>0.54270050000000003</v>
      </c>
      <c r="F2575" t="s">
        <v>41</v>
      </c>
      <c r="G2575">
        <v>-383.88029999999998</v>
      </c>
      <c r="H2575">
        <v>1.0443279999999999</v>
      </c>
      <c r="I2575">
        <v>284.37110000000001</v>
      </c>
      <c r="J2575">
        <v>-383.1284</v>
      </c>
      <c r="K2575">
        <v>1.11077</v>
      </c>
      <c r="L2575">
        <v>284.31830000000002</v>
      </c>
      <c r="M2575">
        <v>-0.99988730000000003</v>
      </c>
      <c r="N2575">
        <v>-1.4543189999999999E-2</v>
      </c>
      <c r="O2575">
        <v>-3.7621379999999999E-3</v>
      </c>
      <c r="P2575">
        <v>-0.93665949999999998</v>
      </c>
      <c r="Q2575">
        <v>0.3498733</v>
      </c>
      <c r="R2575">
        <v>-1.6061639999999999E-2</v>
      </c>
      <c r="S2575">
        <v>-3.2894290000000002</v>
      </c>
      <c r="T2575">
        <v>-0.22394700000000001</v>
      </c>
      <c r="U2575">
        <v>0.1735535</v>
      </c>
      <c r="V2575">
        <v>-1.246044E-2</v>
      </c>
      <c r="W2575">
        <v>0.36346210000000001</v>
      </c>
      <c r="X2575">
        <v>0.93152559999999995</v>
      </c>
      <c r="Y2575">
        <v>5.6281449999999997E-2</v>
      </c>
      <c r="Z2575">
        <v>2.523473E-3</v>
      </c>
      <c r="AA2575">
        <v>0.99841179999999996</v>
      </c>
      <c r="AB2575">
        <v>33</v>
      </c>
      <c r="AC2575">
        <v>-0.75189999999997703</v>
      </c>
      <c r="AD2575">
        <v>-6.6441999999999807E-2</v>
      </c>
      <c r="AE2575">
        <v>5.2799999999990598E-2</v>
      </c>
      <c r="AF2575">
        <v>5.5199766647326003E-2</v>
      </c>
      <c r="AG2575">
        <v>-6.6441999999999807E-2</v>
      </c>
      <c r="AH2575">
        <v>0.74590026542732901</v>
      </c>
      <c r="AI2575">
        <v>95.076449551188205</v>
      </c>
      <c r="AJ2575">
        <v>85.767585777126499</v>
      </c>
      <c r="AK2575">
        <v>0.75088531718663898</v>
      </c>
      <c r="AL2575">
        <v>68.687030611820603</v>
      </c>
      <c r="AM2575">
        <v>90.766364388517403</v>
      </c>
      <c r="AN2575">
        <v>0.99999995207837999</v>
      </c>
    </row>
    <row r="2576" spans="1:40" x14ac:dyDescent="0.25">
      <c r="A2576" t="str">
        <f>"20190304164903866"</f>
        <v>20190304164903866</v>
      </c>
      <c r="B2576" t="str">
        <f>"1551689343858066"</f>
        <v>1551689343858066</v>
      </c>
      <c r="C2576" t="s">
        <v>40</v>
      </c>
      <c r="D2576">
        <v>4.0987790000000004</v>
      </c>
      <c r="E2576">
        <v>0.54270209999999997</v>
      </c>
      <c r="F2576" t="s">
        <v>46</v>
      </c>
      <c r="G2576">
        <v>-399.4162</v>
      </c>
      <c r="H2576" s="1">
        <v>3.4740410000000002E-6</v>
      </c>
      <c r="I2576">
        <v>285.17540000000002</v>
      </c>
      <c r="J2576">
        <v>-383.31810000000002</v>
      </c>
      <c r="K2576">
        <v>1.1107720000000001</v>
      </c>
      <c r="L2576">
        <v>284.31760000000003</v>
      </c>
      <c r="M2576">
        <v>-0.99988739999999998</v>
      </c>
      <c r="N2576">
        <v>-1.45411E-2</v>
      </c>
      <c r="O2576">
        <v>-3.7188519999999999E-3</v>
      </c>
      <c r="P2576">
        <v>-0.93671289999999996</v>
      </c>
      <c r="Q2576">
        <v>0.3497227</v>
      </c>
      <c r="R2576">
        <v>-1.6225150000000001E-2</v>
      </c>
      <c r="S2576">
        <v>-3.289612</v>
      </c>
      <c r="T2576">
        <v>-0.2243385</v>
      </c>
      <c r="U2576">
        <v>0.17309569999999999</v>
      </c>
      <c r="V2576">
        <v>-1.266424E-2</v>
      </c>
      <c r="W2576">
        <v>0.36331020000000003</v>
      </c>
      <c r="X2576">
        <v>0.93158220000000003</v>
      </c>
      <c r="Y2576">
        <v>5.609683E-2</v>
      </c>
      <c r="Z2576">
        <v>2.5171439999999998E-3</v>
      </c>
      <c r="AA2576">
        <v>0.99842209999999998</v>
      </c>
      <c r="AB2576">
        <v>33</v>
      </c>
      <c r="AC2576">
        <v>-16.098099999999899</v>
      </c>
      <c r="AD2576">
        <v>-1.1107685259590001</v>
      </c>
      <c r="AE2576">
        <v>0.85779999999999701</v>
      </c>
      <c r="AF2576">
        <v>0.91333079280115004</v>
      </c>
      <c r="AG2576">
        <v>-1.1107685259590001</v>
      </c>
      <c r="AH2576">
        <v>16.018749010222699</v>
      </c>
      <c r="AI2576">
        <v>93.960230385323499</v>
      </c>
      <c r="AJ2576">
        <v>86.736736176314807</v>
      </c>
      <c r="AK2576">
        <v>16.083168211140801</v>
      </c>
      <c r="AL2576">
        <v>68.696374424823802</v>
      </c>
      <c r="AM2576">
        <v>90.7788500132786</v>
      </c>
      <c r="AN2576">
        <v>1.0000000398778199</v>
      </c>
    </row>
    <row r="2577" spans="1:40" x14ac:dyDescent="0.25">
      <c r="A2577" t="str">
        <f>"20190304164903881"</f>
        <v>20190304164903881</v>
      </c>
      <c r="B2577" t="str">
        <f>"1551689343868802"</f>
        <v>1551689343868802</v>
      </c>
      <c r="C2577" t="s">
        <v>40</v>
      </c>
      <c r="D2577">
        <v>4.0950980000000001</v>
      </c>
      <c r="E2577">
        <v>0.54272410000000004</v>
      </c>
      <c r="F2577" t="s">
        <v>41</v>
      </c>
      <c r="G2577">
        <v>-384.1866</v>
      </c>
      <c r="H2577">
        <v>1.051374</v>
      </c>
      <c r="I2577">
        <v>284.36329999999998</v>
      </c>
      <c r="J2577">
        <v>-383.53269999999998</v>
      </c>
      <c r="K2577">
        <v>1.110771</v>
      </c>
      <c r="L2577">
        <v>284.31689999999998</v>
      </c>
      <c r="M2577">
        <v>-0.99988759999999999</v>
      </c>
      <c r="N2577">
        <v>-1.453873E-2</v>
      </c>
      <c r="O2577">
        <v>-3.6692420000000001E-3</v>
      </c>
      <c r="P2577">
        <v>-0.93665960000000004</v>
      </c>
      <c r="Q2577">
        <v>0.34985690000000003</v>
      </c>
      <c r="R2577">
        <v>-1.6404530000000001E-2</v>
      </c>
      <c r="S2577">
        <v>-3.2897340000000002</v>
      </c>
      <c r="T2577">
        <v>-0.22503909999999999</v>
      </c>
      <c r="U2577">
        <v>0.17254639999999999</v>
      </c>
      <c r="V2577">
        <v>-1.289008E-2</v>
      </c>
      <c r="W2577">
        <v>0.36344130000000002</v>
      </c>
      <c r="X2577">
        <v>0.93152800000000002</v>
      </c>
      <c r="Y2577">
        <v>5.5878850000000001E-2</v>
      </c>
      <c r="Z2577">
        <v>2.5120580000000002E-3</v>
      </c>
      <c r="AA2577">
        <v>0.99843440000000006</v>
      </c>
      <c r="AB2577">
        <v>33</v>
      </c>
      <c r="AC2577">
        <v>-0.65390000000002102</v>
      </c>
      <c r="AD2577">
        <v>-5.9396999999999901E-2</v>
      </c>
      <c r="AE2577">
        <v>4.6400000000005499E-2</v>
      </c>
      <c r="AF2577">
        <v>4.84018954530398E-2</v>
      </c>
      <c r="AG2577">
        <v>-5.9396999999999901E-2</v>
      </c>
      <c r="AH2577">
        <v>0.64840216605866396</v>
      </c>
      <c r="AI2577">
        <v>95.219541006581196</v>
      </c>
      <c r="AJ2577">
        <v>85.730905087122693</v>
      </c>
      <c r="AK2577">
        <v>0.65291355939512696</v>
      </c>
      <c r="AL2577">
        <v>68.688312566643901</v>
      </c>
      <c r="AM2577">
        <v>90.792783521732503</v>
      </c>
      <c r="AN2577">
        <v>1.0000000737460399</v>
      </c>
    </row>
    <row r="2578" spans="1:40" x14ac:dyDescent="0.25">
      <c r="A2578" t="str">
        <f>"20190304164903896"</f>
        <v>20190304164903896</v>
      </c>
      <c r="B2578" t="str">
        <f>"1551689343888322"</f>
        <v>1551689343888322</v>
      </c>
      <c r="C2578" t="s">
        <v>40</v>
      </c>
      <c r="D2578">
        <v>4.0904870000000004</v>
      </c>
      <c r="E2578">
        <v>0.54275450000000003</v>
      </c>
      <c r="F2578" t="s">
        <v>41</v>
      </c>
      <c r="G2578">
        <v>-384.47859999999997</v>
      </c>
      <c r="H2578">
        <v>1.046179</v>
      </c>
      <c r="I2578">
        <v>284.36649999999997</v>
      </c>
      <c r="J2578">
        <v>-383.75299999999999</v>
      </c>
      <c r="K2578">
        <v>1.1107670000000001</v>
      </c>
      <c r="L2578">
        <v>284.31610000000001</v>
      </c>
      <c r="M2578">
        <v>-0.99988779999999999</v>
      </c>
      <c r="N2578">
        <v>-1.453629E-2</v>
      </c>
      <c r="O2578">
        <v>-3.6171200000000001E-3</v>
      </c>
      <c r="P2578">
        <v>-0.93671139999999997</v>
      </c>
      <c r="Q2578">
        <v>0.34972920000000002</v>
      </c>
      <c r="R2578">
        <v>-1.6167850000000001E-2</v>
      </c>
      <c r="S2578">
        <v>-3.289825</v>
      </c>
      <c r="T2578">
        <v>-0.2247478</v>
      </c>
      <c r="U2578">
        <v>0.17199710000000001</v>
      </c>
      <c r="V2578">
        <v>-1.27011E-2</v>
      </c>
      <c r="W2578">
        <v>0.36331200000000002</v>
      </c>
      <c r="X2578">
        <v>0.93158099999999999</v>
      </c>
      <c r="Y2578">
        <v>5.5660179999999997E-2</v>
      </c>
      <c r="Z2578">
        <v>2.4973109999999999E-3</v>
      </c>
      <c r="AA2578">
        <v>0.99844659999999996</v>
      </c>
      <c r="AB2578">
        <v>33</v>
      </c>
      <c r="AC2578">
        <v>-0.72559999999992897</v>
      </c>
      <c r="AD2578">
        <v>-6.4587999999999798E-2</v>
      </c>
      <c r="AE2578">
        <v>5.0399999999967797E-2</v>
      </c>
      <c r="AF2578">
        <v>5.2609686081530598E-2</v>
      </c>
      <c r="AG2578">
        <v>-6.4587999999999798E-2</v>
      </c>
      <c r="AH2578">
        <v>0.71973757534620897</v>
      </c>
      <c r="AI2578">
        <v>95.114316315109605</v>
      </c>
      <c r="AJ2578">
        <v>85.819362839438895</v>
      </c>
      <c r="AK2578">
        <v>0.72454231496775801</v>
      </c>
      <c r="AL2578">
        <v>68.696263807509595</v>
      </c>
      <c r="AM2578">
        <v>90.781117626697593</v>
      </c>
      <c r="AN2578">
        <v>1.0000000434231</v>
      </c>
    </row>
    <row r="2579" spans="1:40" x14ac:dyDescent="0.25">
      <c r="A2579" t="str">
        <f>"20190304164903916"</f>
        <v>20190304164903916</v>
      </c>
      <c r="B2579" t="str">
        <f>"1551689343908822"</f>
        <v>1551689343908822</v>
      </c>
      <c r="C2579" t="s">
        <v>40</v>
      </c>
      <c r="D2579">
        <v>4.1052059999999999</v>
      </c>
      <c r="E2579">
        <v>0.54278740000000003</v>
      </c>
      <c r="F2579" t="s">
        <v>41</v>
      </c>
      <c r="G2579">
        <v>-384.7722</v>
      </c>
      <c r="H2579">
        <v>1.0408809999999999</v>
      </c>
      <c r="I2579">
        <v>284.37020000000001</v>
      </c>
      <c r="J2579">
        <v>-384.05770000000001</v>
      </c>
      <c r="K2579">
        <v>1.1107720000000001</v>
      </c>
      <c r="L2579">
        <v>284.31509999999997</v>
      </c>
      <c r="M2579">
        <v>-0.9998882</v>
      </c>
      <c r="N2579">
        <v>-1.453291E-2</v>
      </c>
      <c r="O2579">
        <v>-3.5412400000000002E-3</v>
      </c>
      <c r="P2579">
        <v>-0.93675269999999999</v>
      </c>
      <c r="Q2579">
        <v>0.34962720000000003</v>
      </c>
      <c r="R2579">
        <v>-1.5986029999999998E-2</v>
      </c>
      <c r="S2579">
        <v>-3.2900089999999902</v>
      </c>
      <c r="T2579">
        <v>-0.22571189999999999</v>
      </c>
      <c r="U2579">
        <v>0.17358399999999999</v>
      </c>
      <c r="V2579">
        <v>-1.258838E-2</v>
      </c>
      <c r="W2579">
        <v>0.36320760000000002</v>
      </c>
      <c r="X2579">
        <v>0.93162319999999998</v>
      </c>
      <c r="Y2579">
        <v>5.6059489999999997E-2</v>
      </c>
      <c r="Z2579">
        <v>2.5187550000000001E-3</v>
      </c>
      <c r="AA2579">
        <v>0.99842419999999998</v>
      </c>
      <c r="AB2579">
        <v>33</v>
      </c>
      <c r="AC2579">
        <v>-0.71449999999998604</v>
      </c>
      <c r="AD2579">
        <v>-6.9890999999999898E-2</v>
      </c>
      <c r="AE2579">
        <v>5.51000000000385E-2</v>
      </c>
      <c r="AF2579">
        <v>5.70871357551802E-2</v>
      </c>
      <c r="AG2579">
        <v>-6.9890999999999898E-2</v>
      </c>
      <c r="AH2579">
        <v>0.70757010719209401</v>
      </c>
      <c r="AI2579">
        <v>95.622999808472898</v>
      </c>
      <c r="AJ2579">
        <v>85.3873369419683</v>
      </c>
      <c r="AK2579">
        <v>0.71330158386306797</v>
      </c>
      <c r="AL2579">
        <v>68.702683263429094</v>
      </c>
      <c r="AM2579">
        <v>90.7741511301694</v>
      </c>
      <c r="AN2579">
        <v>1.00000000739351</v>
      </c>
    </row>
    <row r="2580" spans="1:40" x14ac:dyDescent="0.25">
      <c r="A2580" t="str">
        <f>"20190304164903929"</f>
        <v>20190304164903929</v>
      </c>
      <c r="B2580" t="str">
        <f>"1551689343918579"</f>
        <v>1551689343918579</v>
      </c>
      <c r="C2580" t="s">
        <v>40</v>
      </c>
      <c r="D2580">
        <v>4.0861260000000001</v>
      </c>
      <c r="E2580">
        <v>0.54279980000000005</v>
      </c>
      <c r="F2580" t="s">
        <v>41</v>
      </c>
      <c r="G2580">
        <v>-385.06979999999999</v>
      </c>
      <c r="H2580">
        <v>1.041167</v>
      </c>
      <c r="I2580">
        <v>284.36959999999999</v>
      </c>
      <c r="J2580">
        <v>-384.25380000000001</v>
      </c>
      <c r="K2580">
        <v>1.110771</v>
      </c>
      <c r="L2580">
        <v>284.31450000000001</v>
      </c>
      <c r="M2580">
        <v>-0.99988849999999996</v>
      </c>
      <c r="N2580">
        <v>-1.453074E-2</v>
      </c>
      <c r="O2580">
        <v>-3.4888430000000002E-3</v>
      </c>
      <c r="P2580">
        <v>-0.93665900000000002</v>
      </c>
      <c r="Q2580">
        <v>0.3498849</v>
      </c>
      <c r="R2580">
        <v>-1.5842729999999999E-2</v>
      </c>
      <c r="S2580">
        <v>-3.2900390000000002</v>
      </c>
      <c r="T2580">
        <v>-0.22648879999999999</v>
      </c>
      <c r="U2580">
        <v>0.17532349999999999</v>
      </c>
      <c r="V2580">
        <v>-1.2491540000000001E-2</v>
      </c>
      <c r="W2580">
        <v>0.36346210000000001</v>
      </c>
      <c r="X2580">
        <v>0.93152520000000005</v>
      </c>
      <c r="Y2580">
        <v>5.6530780000000003E-2</v>
      </c>
      <c r="Z2580">
        <v>2.5428680000000002E-3</v>
      </c>
      <c r="AA2580">
        <v>0.9983976</v>
      </c>
      <c r="AB2580">
        <v>33</v>
      </c>
      <c r="AC2580">
        <v>-0.81599999999997397</v>
      </c>
      <c r="AD2580">
        <v>-6.9603999999999999E-2</v>
      </c>
      <c r="AE2580">
        <v>5.5099999999981698E-2</v>
      </c>
      <c r="AF2580">
        <v>5.7530175398567203E-2</v>
      </c>
      <c r="AG2580">
        <v>-6.9603999999999999E-2</v>
      </c>
      <c r="AH2580">
        <v>0.80993648959528197</v>
      </c>
      <c r="AI2580">
        <v>94.899510042557196</v>
      </c>
      <c r="AJ2580">
        <v>85.937077194807401</v>
      </c>
      <c r="AK2580">
        <v>0.81495494051838102</v>
      </c>
      <c r="AL2580">
        <v>68.687030955913002</v>
      </c>
      <c r="AM2580">
        <v>90.768277257521802</v>
      </c>
      <c r="AN2580">
        <v>0.99999996747150999</v>
      </c>
    </row>
    <row r="2581" spans="1:40" x14ac:dyDescent="0.25">
      <c r="A2581" t="str">
        <f>"20190304164903942"</f>
        <v>20190304164903942</v>
      </c>
      <c r="B2581" t="str">
        <f>"1551689343938099"</f>
        <v>1551689343938099</v>
      </c>
      <c r="C2581" t="s">
        <v>40</v>
      </c>
      <c r="D2581">
        <v>4.089944</v>
      </c>
      <c r="E2581">
        <v>0.54282280000000005</v>
      </c>
      <c r="F2581" t="s">
        <v>47</v>
      </c>
      <c r="G2581">
        <v>-400.44940000000003</v>
      </c>
      <c r="H2581" s="1">
        <v>8.0859649999999994E-6</v>
      </c>
      <c r="I2581">
        <v>285.18259999999998</v>
      </c>
      <c r="J2581">
        <v>-384.4425</v>
      </c>
      <c r="K2581">
        <v>1.11077</v>
      </c>
      <c r="L2581">
        <v>284.31389999999999</v>
      </c>
      <c r="M2581">
        <v>-0.99988869999999996</v>
      </c>
      <c r="N2581">
        <v>-1.4528650000000001E-2</v>
      </c>
      <c r="O2581">
        <v>-3.435366E-3</v>
      </c>
      <c r="P2581">
        <v>-0.93653649999999999</v>
      </c>
      <c r="Q2581">
        <v>0.35023169999999998</v>
      </c>
      <c r="R2581">
        <v>-1.541554E-2</v>
      </c>
      <c r="S2581">
        <v>-3.2901609999999999</v>
      </c>
      <c r="T2581">
        <v>-0.22565279999999999</v>
      </c>
      <c r="U2581">
        <v>0.17636109999999999</v>
      </c>
      <c r="V2581">
        <v>-1.2111800000000001E-2</v>
      </c>
      <c r="W2581">
        <v>0.36380499999999999</v>
      </c>
      <c r="X2581">
        <v>0.93139640000000001</v>
      </c>
      <c r="Y2581">
        <v>5.6789859999999998E-2</v>
      </c>
      <c r="Z2581">
        <v>2.5425500000000002E-3</v>
      </c>
      <c r="AA2581">
        <v>0.99838289999999996</v>
      </c>
      <c r="AB2581">
        <v>33</v>
      </c>
      <c r="AC2581">
        <v>-16.006900000000002</v>
      </c>
      <c r="AD2581">
        <v>-1.110761914035</v>
      </c>
      <c r="AE2581">
        <v>0.86869999999998904</v>
      </c>
      <c r="AF2581">
        <v>0.91927659376733395</v>
      </c>
      <c r="AG2581">
        <v>-1.110761914035</v>
      </c>
      <c r="AH2581">
        <v>15.927350431448501</v>
      </c>
      <c r="AI2581">
        <v>93.982700463622507</v>
      </c>
      <c r="AJ2581">
        <v>86.696732470236896</v>
      </c>
      <c r="AK2581">
        <v>15.9924780209848</v>
      </c>
      <c r="AL2581">
        <v>68.6659414551618</v>
      </c>
      <c r="AM2581">
        <v>90.745027476940294</v>
      </c>
      <c r="AN2581">
        <v>1.0000000138286</v>
      </c>
    </row>
    <row r="2582" spans="1:40" x14ac:dyDescent="0.25">
      <c r="A2582" t="str">
        <f>"20190304164903955"</f>
        <v>20190304164903955</v>
      </c>
      <c r="B2582" t="str">
        <f>"1551689343948835"</f>
        <v>1551689343948835</v>
      </c>
      <c r="C2582" t="s">
        <v>40</v>
      </c>
      <c r="D2582">
        <v>4.113823</v>
      </c>
      <c r="E2582">
        <v>0.54286469999999998</v>
      </c>
      <c r="F2582" t="s">
        <v>41</v>
      </c>
      <c r="G2582">
        <v>-385.37169999999998</v>
      </c>
      <c r="H2582">
        <v>1.0472360000000001</v>
      </c>
      <c r="I2582">
        <v>284.36430000000001</v>
      </c>
      <c r="J2582">
        <v>-384.6397</v>
      </c>
      <c r="K2582">
        <v>1.1107689999999999</v>
      </c>
      <c r="L2582">
        <v>284.31319999999999</v>
      </c>
      <c r="M2582">
        <v>-0.99988889999999997</v>
      </c>
      <c r="N2582">
        <v>-1.452646E-2</v>
      </c>
      <c r="O2582">
        <v>-3.3771080000000002E-3</v>
      </c>
      <c r="P2582">
        <v>-0.93647119999999995</v>
      </c>
      <c r="Q2582">
        <v>0.35042289999999998</v>
      </c>
      <c r="R2582">
        <v>-1.5025190000000001E-2</v>
      </c>
      <c r="S2582">
        <v>-3.2903440000000002</v>
      </c>
      <c r="T2582">
        <v>-0.22501869999999999</v>
      </c>
      <c r="U2582">
        <v>0.17779539999999999</v>
      </c>
      <c r="V2582">
        <v>-1.1772879999999999E-2</v>
      </c>
      <c r="W2582">
        <v>0.36399330000000002</v>
      </c>
      <c r="X2582">
        <v>0.93132720000000002</v>
      </c>
      <c r="Y2582">
        <v>5.7162600000000001E-2</v>
      </c>
      <c r="Z2582">
        <v>2.5485460000000001E-3</v>
      </c>
      <c r="AA2582">
        <v>0.99836159999999996</v>
      </c>
      <c r="AB2582">
        <v>33</v>
      </c>
      <c r="AC2582">
        <v>-0.73199999999997001</v>
      </c>
      <c r="AD2582">
        <v>-6.3533000000000006E-2</v>
      </c>
      <c r="AE2582">
        <v>5.1100000000019401E-2</v>
      </c>
      <c r="AF2582">
        <v>5.3173391666374102E-2</v>
      </c>
      <c r="AG2582">
        <v>-6.3533000000000006E-2</v>
      </c>
      <c r="AH2582">
        <v>0.72637786052326703</v>
      </c>
      <c r="AI2582">
        <v>94.985410251512306</v>
      </c>
      <c r="AJ2582">
        <v>85.813217181130398</v>
      </c>
      <c r="AK2582">
        <v>0.73108730527117205</v>
      </c>
      <c r="AL2582">
        <v>68.654359062597905</v>
      </c>
      <c r="AM2582">
        <v>90.724235704887306</v>
      </c>
      <c r="AN2582">
        <v>1.0000000383041101</v>
      </c>
    </row>
    <row r="2583" spans="1:40" x14ac:dyDescent="0.25">
      <c r="A2583" t="str">
        <f>"20190304164903968"</f>
        <v>20190304164903968</v>
      </c>
      <c r="B2583" t="str">
        <f>"1551689343958594"</f>
        <v>1551689343958594</v>
      </c>
      <c r="C2583" t="s">
        <v>40</v>
      </c>
      <c r="D2583">
        <v>4.0903799999999997</v>
      </c>
      <c r="E2583">
        <v>0.54288080000000005</v>
      </c>
      <c r="F2583" t="s">
        <v>41</v>
      </c>
      <c r="G2583">
        <v>-385.6635</v>
      </c>
      <c r="H2583">
        <v>1.041037</v>
      </c>
      <c r="I2583">
        <v>284.36939999999998</v>
      </c>
      <c r="J2583">
        <v>-384.83100000000002</v>
      </c>
      <c r="K2583">
        <v>1.1107640000000001</v>
      </c>
      <c r="L2583">
        <v>284.31270000000001</v>
      </c>
      <c r="M2583">
        <v>-0.99988909999999998</v>
      </c>
      <c r="N2583">
        <v>-1.452434E-2</v>
      </c>
      <c r="O2583">
        <v>-3.3122640000000001E-3</v>
      </c>
      <c r="P2583">
        <v>-0.93639479999999997</v>
      </c>
      <c r="Q2583">
        <v>0.350639799999999</v>
      </c>
      <c r="R2583">
        <v>-1.4720270000000001E-2</v>
      </c>
      <c r="S2583">
        <v>-3.2902830000000001</v>
      </c>
      <c r="T2583">
        <v>-0.22428989999999999</v>
      </c>
      <c r="U2583">
        <v>0.17926029999999901</v>
      </c>
      <c r="V2583">
        <v>-1.15236E-2</v>
      </c>
      <c r="W2583">
        <v>0.36420740000000001</v>
      </c>
      <c r="X2583">
        <v>0.93124660000000004</v>
      </c>
      <c r="Y2583">
        <v>5.7542040000000003E-2</v>
      </c>
      <c r="Z2583">
        <v>2.553657E-3</v>
      </c>
      <c r="AA2583">
        <v>0.9983398</v>
      </c>
      <c r="AB2583">
        <v>33</v>
      </c>
      <c r="AC2583">
        <v>-0.83250000000003799</v>
      </c>
      <c r="AD2583">
        <v>-6.9726999999999803E-2</v>
      </c>
      <c r="AE2583">
        <v>5.66999999999779E-2</v>
      </c>
      <c r="AF2583">
        <v>5.9045144683430202E-2</v>
      </c>
      <c r="AG2583">
        <v>-6.9726999999999803E-2</v>
      </c>
      <c r="AH2583">
        <v>0.82653615073791797</v>
      </c>
      <c r="AI2583">
        <v>94.809883322757301</v>
      </c>
      <c r="AJ2583">
        <v>85.913910910243203</v>
      </c>
      <c r="AK2583">
        <v>0.83157091827236396</v>
      </c>
      <c r="AL2583">
        <v>68.641187711265303</v>
      </c>
      <c r="AM2583">
        <v>90.708963605752302</v>
      </c>
      <c r="AN2583">
        <v>1.00000002679163</v>
      </c>
    </row>
    <row r="2584" spans="1:40" x14ac:dyDescent="0.25">
      <c r="A2584" t="str">
        <f>"20190304164903984"</f>
        <v>20190304164903984</v>
      </c>
      <c r="B2584" t="str">
        <f>"1551689343978704"</f>
        <v>1551689343978704</v>
      </c>
      <c r="C2584" t="s">
        <v>40</v>
      </c>
      <c r="D2584">
        <v>4.1134849999999998</v>
      </c>
      <c r="E2584">
        <v>0.54290989999999995</v>
      </c>
      <c r="F2584" t="s">
        <v>47</v>
      </c>
      <c r="G2584">
        <v>-401.1669</v>
      </c>
      <c r="H2584" s="1">
        <v>7.762476E-6</v>
      </c>
      <c r="I2584">
        <v>285.20819999999998</v>
      </c>
      <c r="J2584">
        <v>-385.06009999999998</v>
      </c>
      <c r="K2584">
        <v>1.1107530000000001</v>
      </c>
      <c r="L2584">
        <v>284.31200000000001</v>
      </c>
      <c r="M2584">
        <v>-0.99988940000000004</v>
      </c>
      <c r="N2584">
        <v>-1.45218E-2</v>
      </c>
      <c r="O2584">
        <v>-3.2286649999999999E-3</v>
      </c>
      <c r="P2584">
        <v>-0.93627890000000003</v>
      </c>
      <c r="Q2584">
        <v>0.35098449999999998</v>
      </c>
      <c r="R2584">
        <v>-1.3861210000000001E-2</v>
      </c>
      <c r="S2584">
        <v>-3.2904049999999998</v>
      </c>
      <c r="T2584">
        <v>-0.22373080000000001</v>
      </c>
      <c r="U2584">
        <v>0.18038940000000001</v>
      </c>
      <c r="V2584">
        <v>-1.0735649999999999E-2</v>
      </c>
      <c r="W2584">
        <v>0.36454750000000002</v>
      </c>
      <c r="X2584">
        <v>0.93112289999999998</v>
      </c>
      <c r="Y2584">
        <v>5.779832E-2</v>
      </c>
      <c r="Z2584">
        <v>2.5541639999999998E-3</v>
      </c>
      <c r="AA2584">
        <v>0.99832500000000002</v>
      </c>
      <c r="AB2584">
        <v>33</v>
      </c>
      <c r="AC2584">
        <v>-16.1068</v>
      </c>
      <c r="AD2584">
        <v>-1.1107452375239999</v>
      </c>
      <c r="AE2584">
        <v>0.89619999999996403</v>
      </c>
      <c r="AF2584">
        <v>0.94373006712255503</v>
      </c>
      <c r="AG2584">
        <v>-1.1107452375239999</v>
      </c>
      <c r="AH2584">
        <v>16.027834589229698</v>
      </c>
      <c r="AI2584">
        <v>93.957485110319197</v>
      </c>
      <c r="AJ2584">
        <v>86.630275198104002</v>
      </c>
      <c r="AK2584">
        <v>16.0939697726192</v>
      </c>
      <c r="AL2584">
        <v>68.620262135822401</v>
      </c>
      <c r="AM2584">
        <v>90.6605789427567</v>
      </c>
      <c r="AN2584">
        <v>0.99999999442079102</v>
      </c>
    </row>
    <row r="2585" spans="1:40" x14ac:dyDescent="0.25">
      <c r="A2585" t="str">
        <f>"20190304164903997"</f>
        <v>20190304164903997</v>
      </c>
      <c r="B2585" t="str">
        <f>"1551689343988460"</f>
        <v>1551689343988460</v>
      </c>
      <c r="C2585" t="s">
        <v>40</v>
      </c>
      <c r="D2585">
        <v>4.1008129999999996</v>
      </c>
      <c r="E2585">
        <v>0.54291559999999905</v>
      </c>
      <c r="F2585" t="s">
        <v>41</v>
      </c>
      <c r="G2585">
        <v>-385.9667</v>
      </c>
      <c r="H2585">
        <v>1.049329</v>
      </c>
      <c r="I2585">
        <v>284.36259999999999</v>
      </c>
      <c r="J2585">
        <v>-385.2509</v>
      </c>
      <c r="K2585">
        <v>1.110746</v>
      </c>
      <c r="L2585">
        <v>284.31139999999999</v>
      </c>
      <c r="M2585">
        <v>-0.99988969999999999</v>
      </c>
      <c r="N2585">
        <v>-1.451966E-2</v>
      </c>
      <c r="O2585">
        <v>-3.1534179999999998E-3</v>
      </c>
      <c r="P2585">
        <v>-0.93620099999999995</v>
      </c>
      <c r="Q2585">
        <v>0.3512094</v>
      </c>
      <c r="R2585">
        <v>-1.34047E-2</v>
      </c>
      <c r="S2585">
        <v>-3.2904360000000001</v>
      </c>
      <c r="T2585">
        <v>-0.22302369999999999</v>
      </c>
      <c r="U2585">
        <v>0.18289179999999999</v>
      </c>
      <c r="V2585">
        <v>-1.034352E-2</v>
      </c>
      <c r="W2585">
        <v>0.36476950000000002</v>
      </c>
      <c r="X2585">
        <v>0.93104039999999999</v>
      </c>
      <c r="Y2585">
        <v>5.8478809999999999E-2</v>
      </c>
      <c r="Z2585">
        <v>2.5711419999999998E-3</v>
      </c>
      <c r="AA2585">
        <v>0.99828539999999999</v>
      </c>
      <c r="AB2585">
        <v>33</v>
      </c>
      <c r="AC2585">
        <v>-0.71580000000000099</v>
      </c>
      <c r="AD2585">
        <v>-6.1416999999999798E-2</v>
      </c>
      <c r="AE2585">
        <v>5.1199999999994299E-2</v>
      </c>
      <c r="AF2585">
        <v>5.3068499967135002E-2</v>
      </c>
      <c r="AG2585">
        <v>-6.1416999999999798E-2</v>
      </c>
      <c r="AH2585">
        <v>0.71043141922779995</v>
      </c>
      <c r="AI2585">
        <v>94.927292024520497</v>
      </c>
      <c r="AJ2585">
        <v>85.727997951776601</v>
      </c>
      <c r="AK2585">
        <v>0.71505322529430504</v>
      </c>
      <c r="AL2585">
        <v>68.606602001615798</v>
      </c>
      <c r="AM2585">
        <v>90.636509072120205</v>
      </c>
      <c r="AN2585">
        <v>1.0000000014842001</v>
      </c>
    </row>
    <row r="2586" spans="1:40" x14ac:dyDescent="0.25">
      <c r="A2586" t="str">
        <f>"20190304164904009"</f>
        <v>20190304164904009</v>
      </c>
      <c r="B2586" t="str">
        <f>"1551689343998221"</f>
        <v>1551689343998221</v>
      </c>
      <c r="C2586" t="s">
        <v>40</v>
      </c>
      <c r="D2586">
        <v>4.0787110000000002</v>
      </c>
      <c r="E2586">
        <v>0.54290850000000002</v>
      </c>
      <c r="F2586" t="s">
        <v>41</v>
      </c>
      <c r="G2586">
        <v>-386.2568</v>
      </c>
      <c r="H2586">
        <v>1.042832</v>
      </c>
      <c r="I2586">
        <v>284.36860000000001</v>
      </c>
      <c r="J2586">
        <v>-385.44170000000003</v>
      </c>
      <c r="K2586">
        <v>1.1107359999999999</v>
      </c>
      <c r="L2586">
        <v>284.3109</v>
      </c>
      <c r="M2586">
        <v>-0.99988999999999995</v>
      </c>
      <c r="N2586">
        <v>-1.4517540000000001E-2</v>
      </c>
      <c r="O2586">
        <v>-3.0664469999999999E-3</v>
      </c>
      <c r="P2586">
        <v>-0.93620499999999995</v>
      </c>
      <c r="Q2586">
        <v>0.35121570000000002</v>
      </c>
      <c r="R2586">
        <v>-1.2957929999999999E-2</v>
      </c>
      <c r="S2586">
        <v>-3.2905269999999902</v>
      </c>
      <c r="T2586">
        <v>-0.22245880000000001</v>
      </c>
      <c r="U2586">
        <v>0.18515010000000001</v>
      </c>
      <c r="V2586">
        <v>-9.9692449999999998E-3</v>
      </c>
      <c r="W2586">
        <v>0.36477399999999999</v>
      </c>
      <c r="X2586">
        <v>0.9310427</v>
      </c>
      <c r="Y2586">
        <v>5.9072689999999997E-2</v>
      </c>
      <c r="Z2586">
        <v>2.585202E-3</v>
      </c>
      <c r="AA2586">
        <v>0.99825039999999998</v>
      </c>
      <c r="AB2586">
        <v>33</v>
      </c>
      <c r="AC2586">
        <v>-0.81509999999997196</v>
      </c>
      <c r="AD2586">
        <v>-6.7904000000000103E-2</v>
      </c>
      <c r="AE2586">
        <v>5.7700000000011097E-2</v>
      </c>
      <c r="AF2586">
        <v>5.9786593694049497E-2</v>
      </c>
      <c r="AG2586">
        <v>-6.7904000000000103E-2</v>
      </c>
      <c r="AH2586">
        <v>0.80933034556505701</v>
      </c>
      <c r="AI2586">
        <v>94.782995106224007</v>
      </c>
      <c r="AJ2586">
        <v>85.7751383195165</v>
      </c>
      <c r="AK2586">
        <v>0.81437153575870502</v>
      </c>
      <c r="AL2586">
        <v>68.606324677321197</v>
      </c>
      <c r="AM2586">
        <v>90.613477593640098</v>
      </c>
      <c r="AN2586">
        <v>0.99999998307257898</v>
      </c>
    </row>
    <row r="2587" spans="1:40" x14ac:dyDescent="0.25">
      <c r="A2587" t="str">
        <f>"20190304164904024"</f>
        <v>20190304164904024</v>
      </c>
      <c r="B2587" t="str">
        <f>"1551689344018716"</f>
        <v>1551689344018716</v>
      </c>
      <c r="C2587" t="s">
        <v>40</v>
      </c>
      <c r="D2587">
        <v>4.0856409999999999</v>
      </c>
      <c r="E2587">
        <v>0.54292659999999904</v>
      </c>
      <c r="F2587" t="s">
        <v>47</v>
      </c>
      <c r="G2587">
        <v>-401.87079999999997</v>
      </c>
      <c r="H2587" s="1">
        <v>7.442934E-6</v>
      </c>
      <c r="I2587">
        <v>285.2439</v>
      </c>
      <c r="J2587">
        <v>-385.66050000000001</v>
      </c>
      <c r="K2587">
        <v>1.110722</v>
      </c>
      <c r="L2587">
        <v>284.31040000000002</v>
      </c>
      <c r="M2587">
        <v>-0.99989039999999996</v>
      </c>
      <c r="N2587">
        <v>-1.4515119999999999E-2</v>
      </c>
      <c r="O2587">
        <v>-2.9543780000000001E-3</v>
      </c>
      <c r="P2587">
        <v>-0.93625320000000001</v>
      </c>
      <c r="Q2587">
        <v>0.35109570000000001</v>
      </c>
      <c r="R2587">
        <v>-1.27394E-2</v>
      </c>
      <c r="S2587">
        <v>-3.2904659999999999</v>
      </c>
      <c r="T2587">
        <v>-0.2224593</v>
      </c>
      <c r="U2587">
        <v>0.1868591</v>
      </c>
      <c r="V2587">
        <v>-9.8432180000000008E-3</v>
      </c>
      <c r="W2587">
        <v>0.3646527</v>
      </c>
      <c r="X2587">
        <v>0.93109149999999996</v>
      </c>
      <c r="Y2587">
        <v>5.947769E-2</v>
      </c>
      <c r="Z2587">
        <v>2.595829E-3</v>
      </c>
      <c r="AA2587">
        <v>0.99822630000000001</v>
      </c>
      <c r="AB2587">
        <v>33</v>
      </c>
      <c r="AC2587">
        <v>-16.210299999999901</v>
      </c>
      <c r="AD2587">
        <v>-1.110714557066</v>
      </c>
      <c r="AE2587">
        <v>0.93349999999998001</v>
      </c>
      <c r="AF2587">
        <v>0.97682143567932</v>
      </c>
      <c r="AG2587">
        <v>-1.110714557066</v>
      </c>
      <c r="AH2587">
        <v>16.131983935015601</v>
      </c>
      <c r="AI2587">
        <v>93.931517669627894</v>
      </c>
      <c r="AJ2587">
        <v>86.534865549650405</v>
      </c>
      <c r="AK2587">
        <v>16.199653472345702</v>
      </c>
      <c r="AL2587">
        <v>68.613787615149207</v>
      </c>
      <c r="AM2587">
        <v>90.605691105056195</v>
      </c>
      <c r="AN2587">
        <v>0.99999993096506501</v>
      </c>
    </row>
    <row r="2588" spans="1:40" x14ac:dyDescent="0.25">
      <c r="A2588" t="str">
        <f>"20190304164904039"</f>
        <v>20190304164904039</v>
      </c>
      <c r="B2588" t="str">
        <f>"1551689344028476"</f>
        <v>1551689344028476</v>
      </c>
      <c r="C2588" t="s">
        <v>40</v>
      </c>
      <c r="D2588">
        <v>4.1007410000000002</v>
      </c>
      <c r="E2588">
        <v>0.54292969999999996</v>
      </c>
      <c r="F2588" t="s">
        <v>41</v>
      </c>
      <c r="G2588">
        <v>-386.55889999999999</v>
      </c>
      <c r="H2588">
        <v>1.049806</v>
      </c>
      <c r="I2588">
        <v>284.36180000000002</v>
      </c>
      <c r="J2588">
        <v>-385.87520000000001</v>
      </c>
      <c r="K2588">
        <v>1.1107049999999901</v>
      </c>
      <c r="L2588">
        <v>284.3098</v>
      </c>
      <c r="M2588">
        <v>-0.99989059999999996</v>
      </c>
      <c r="N2588">
        <v>-1.451276E-2</v>
      </c>
      <c r="O2588">
        <v>-2.831072E-3</v>
      </c>
      <c r="P2588">
        <v>-0.93642890000000001</v>
      </c>
      <c r="Q2588">
        <v>0.35065790000000002</v>
      </c>
      <c r="R2588">
        <v>-1.181601E-2</v>
      </c>
      <c r="S2588">
        <v>-3.2905269999999902</v>
      </c>
      <c r="T2588">
        <v>-0.2232248</v>
      </c>
      <c r="U2588">
        <v>0.18795780000000001</v>
      </c>
      <c r="V2588">
        <v>-9.0208509999999999E-3</v>
      </c>
      <c r="W2588">
        <v>0.36421579999999998</v>
      </c>
      <c r="X2588">
        <v>0.93127090000000001</v>
      </c>
      <c r="Y2588">
        <v>5.9684290000000001E-2</v>
      </c>
      <c r="Z2588">
        <v>2.6052200000000001E-3</v>
      </c>
      <c r="AA2588">
        <v>0.99821389999999999</v>
      </c>
      <c r="AB2588">
        <v>33</v>
      </c>
      <c r="AC2588">
        <v>-0.68369999999998698</v>
      </c>
      <c r="AD2588">
        <v>-6.0898999999999801E-2</v>
      </c>
      <c r="AE2588">
        <v>5.2000000000020898E-2</v>
      </c>
      <c r="AF2588">
        <v>5.3513468489616599E-2</v>
      </c>
      <c r="AG2588">
        <v>-6.0898999999999801E-2</v>
      </c>
      <c r="AH2588">
        <v>0.67820017258332699</v>
      </c>
      <c r="AI2588">
        <v>95.115299859635897</v>
      </c>
      <c r="AJ2588">
        <v>85.488417003564393</v>
      </c>
      <c r="AK2588">
        <v>0.68302844274806296</v>
      </c>
      <c r="AL2588">
        <v>68.640670487919806</v>
      </c>
      <c r="AM2588">
        <v>90.554984081673695</v>
      </c>
      <c r="AN2588">
        <v>1.0000000069546</v>
      </c>
    </row>
    <row r="2589" spans="1:40" x14ac:dyDescent="0.25">
      <c r="A2589" t="str">
        <f>"20190304164904053"</f>
        <v>20190304164904053</v>
      </c>
      <c r="B2589" t="str">
        <f>"1551689344047996"</f>
        <v>1551689344047996</v>
      </c>
      <c r="C2589" t="s">
        <v>40</v>
      </c>
      <c r="D2589">
        <v>4.1775149999999996</v>
      </c>
      <c r="E2589">
        <v>0.54292669999999998</v>
      </c>
      <c r="F2589" t="s">
        <v>41</v>
      </c>
      <c r="G2589">
        <v>-386.84890000000001</v>
      </c>
      <c r="H2589">
        <v>1.0441549999999999</v>
      </c>
      <c r="I2589">
        <v>284.36660000000001</v>
      </c>
      <c r="J2589">
        <v>-386.09179999999998</v>
      </c>
      <c r="K2589">
        <v>1.110681</v>
      </c>
      <c r="L2589">
        <v>284.30930000000001</v>
      </c>
      <c r="M2589">
        <v>-0.99989110000000003</v>
      </c>
      <c r="N2589">
        <v>-1.451043E-2</v>
      </c>
      <c r="O2589">
        <v>-2.6895970000000002E-3</v>
      </c>
      <c r="P2589">
        <v>-0.93647329999999995</v>
      </c>
      <c r="Q2589">
        <v>0.35054540000000001</v>
      </c>
      <c r="R2589">
        <v>-1.164485E-2</v>
      </c>
      <c r="S2589">
        <v>-3.2903440000000002</v>
      </c>
      <c r="T2589">
        <v>-0.225078</v>
      </c>
      <c r="U2589">
        <v>0.19055179999999999</v>
      </c>
      <c r="V2589">
        <v>-8.9653249999999997E-3</v>
      </c>
      <c r="W2589">
        <v>0.36410169999999997</v>
      </c>
      <c r="X2589">
        <v>0.93131600000000003</v>
      </c>
      <c r="Y2589">
        <v>6.0326350000000001E-2</v>
      </c>
      <c r="Z2589">
        <v>2.64255E-3</v>
      </c>
      <c r="AA2589">
        <v>0.99817520000000004</v>
      </c>
      <c r="AB2589">
        <v>33</v>
      </c>
      <c r="AC2589">
        <v>-0.75710000000003597</v>
      </c>
      <c r="AD2589">
        <v>-6.6526000000000002E-2</v>
      </c>
      <c r="AE2589">
        <v>5.7299999999997901E-2</v>
      </c>
      <c r="AF2589">
        <v>5.8884242249794501E-2</v>
      </c>
      <c r="AG2589">
        <v>-6.6526000000000002E-2</v>
      </c>
      <c r="AH2589">
        <v>0.75117629403307296</v>
      </c>
      <c r="AI2589">
        <v>95.045650910436095</v>
      </c>
      <c r="AJ2589">
        <v>85.517785413808696</v>
      </c>
      <c r="AK2589">
        <v>0.75641185036895997</v>
      </c>
      <c r="AL2589">
        <v>68.6476888247809</v>
      </c>
      <c r="AM2589">
        <v>90.551541493929193</v>
      </c>
      <c r="AN2589">
        <v>0.99999995842562195</v>
      </c>
    </row>
    <row r="2590" spans="1:40" x14ac:dyDescent="0.25">
      <c r="A2590" t="str">
        <f>"20190304164904066"</f>
        <v>20190304164904066</v>
      </c>
      <c r="B2590" t="str">
        <f>"1551689344058733"</f>
        <v>1551689344058733</v>
      </c>
      <c r="C2590" t="s">
        <v>40</v>
      </c>
      <c r="D2590">
        <v>4.2463470000000001</v>
      </c>
      <c r="E2590">
        <v>0.51763199999999998</v>
      </c>
      <c r="F2590" t="s">
        <v>47</v>
      </c>
      <c r="G2590">
        <v>-402.29520000000002</v>
      </c>
      <c r="H2590" s="1">
        <v>7.2536689999999999E-6</v>
      </c>
      <c r="I2590">
        <v>285.24919999999997</v>
      </c>
      <c r="J2590">
        <v>-386.28339999999997</v>
      </c>
      <c r="K2590">
        <v>1.110663</v>
      </c>
      <c r="L2590">
        <v>284.30900000000003</v>
      </c>
      <c r="M2590">
        <v>-0.99989159999999999</v>
      </c>
      <c r="N2590">
        <v>-1.450837E-2</v>
      </c>
      <c r="O2590">
        <v>-2.547307E-3</v>
      </c>
      <c r="P2590">
        <v>-0.93645560000000005</v>
      </c>
      <c r="Q2590">
        <v>0.35060259999999999</v>
      </c>
      <c r="R2590">
        <v>-1.1367220000000001E-2</v>
      </c>
      <c r="S2590">
        <v>-3.290314</v>
      </c>
      <c r="T2590">
        <v>-0.2255373</v>
      </c>
      <c r="U2590">
        <v>0.1908569</v>
      </c>
      <c r="V2590">
        <v>-8.8048050000000006E-3</v>
      </c>
      <c r="W2590">
        <v>0.36415720000000001</v>
      </c>
      <c r="X2590">
        <v>0.93129589999999995</v>
      </c>
      <c r="Y2590">
        <v>6.027681E-2</v>
      </c>
      <c r="Z2590">
        <v>2.6373500000000001E-3</v>
      </c>
      <c r="AA2590">
        <v>0.99817820000000002</v>
      </c>
      <c r="AB2590">
        <v>33</v>
      </c>
      <c r="AC2590">
        <v>-16.011800000000001</v>
      </c>
      <c r="AD2590">
        <v>-1.1106557463310001</v>
      </c>
      <c r="AE2590">
        <v>0.94019999999994697</v>
      </c>
      <c r="AF2590">
        <v>0.97630686931652899</v>
      </c>
      <c r="AG2590">
        <v>-1.1106557463310001</v>
      </c>
      <c r="AH2590">
        <v>15.9329551415333</v>
      </c>
      <c r="AI2590">
        <v>93.980087460186994</v>
      </c>
      <c r="AJ2590">
        <v>86.493531256964999</v>
      </c>
      <c r="AK2590">
        <v>16.001430899517899</v>
      </c>
      <c r="AL2590">
        <v>68.644275937709907</v>
      </c>
      <c r="AM2590">
        <v>90.541678682182095</v>
      </c>
      <c r="AN2590">
        <v>1.0000000221298599</v>
      </c>
    </row>
    <row r="2591" spans="1:40" x14ac:dyDescent="0.25">
      <c r="A2591" t="str">
        <f>"20190304164904082"</f>
        <v>20190304164904082</v>
      </c>
      <c r="B2591" t="str">
        <f>"1551689344078602"</f>
        <v>1551689344078602</v>
      </c>
      <c r="C2591" t="s">
        <v>40</v>
      </c>
      <c r="D2591">
        <v>4.0830580000000003</v>
      </c>
      <c r="E2591">
        <v>0.49879069999999998</v>
      </c>
      <c r="F2591" t="s">
        <v>47</v>
      </c>
      <c r="G2591">
        <v>-404.346</v>
      </c>
      <c r="H2591" s="1">
        <v>6.5484559999999997E-6</v>
      </c>
      <c r="I2591">
        <v>284.26069999999999</v>
      </c>
      <c r="J2591">
        <v>-386.5127</v>
      </c>
      <c r="K2591">
        <v>1.1106419999999999</v>
      </c>
      <c r="L2591">
        <v>284.30849999999998</v>
      </c>
      <c r="M2591">
        <v>-0.99989209999999995</v>
      </c>
      <c r="N2591">
        <v>-1.450591E-2</v>
      </c>
      <c r="O2591">
        <v>-2.3633450000000002E-3</v>
      </c>
      <c r="P2591">
        <v>-0.93649629999999995</v>
      </c>
      <c r="Q2591">
        <v>0.35050479999999901</v>
      </c>
      <c r="R2591">
        <v>-1.1005940000000001E-2</v>
      </c>
      <c r="S2591">
        <v>-3.2789920000000001</v>
      </c>
      <c r="T2591">
        <v>-0.2016232</v>
      </c>
      <c r="U2591">
        <v>-8.7585449999999995E-3</v>
      </c>
      <c r="V2591">
        <v>-8.5968910000000006E-3</v>
      </c>
      <c r="W2591">
        <v>0.36405769999999998</v>
      </c>
      <c r="X2591">
        <v>0.93133670000000002</v>
      </c>
      <c r="Y2591">
        <v>-3.093902E-4</v>
      </c>
      <c r="Z2591" s="1">
        <v>9.9173690000000002E-5</v>
      </c>
      <c r="AA2591">
        <v>0.99999990000000005</v>
      </c>
      <c r="AB2591">
        <v>33</v>
      </c>
      <c r="AC2591">
        <v>-17.833300000000001</v>
      </c>
      <c r="AD2591">
        <v>-1.110635451544</v>
      </c>
      <c r="AE2591">
        <v>-4.7799999999995103E-2</v>
      </c>
      <c r="AF2591">
        <v>-5.6273693703100796E-3</v>
      </c>
      <c r="AG2591">
        <v>-1.110635451544</v>
      </c>
      <c r="AH2591">
        <v>17.764461683969301</v>
      </c>
      <c r="AI2591">
        <v>93.577479850579607</v>
      </c>
      <c r="AJ2591">
        <v>90.018149973223501</v>
      </c>
      <c r="AK2591">
        <v>17.799147218187901</v>
      </c>
      <c r="AL2591">
        <v>68.650396142525906</v>
      </c>
      <c r="AM2591">
        <v>90.528865212899504</v>
      </c>
      <c r="AN2591">
        <v>0.99999998211552199</v>
      </c>
    </row>
    <row r="2592" spans="1:40" x14ac:dyDescent="0.25">
      <c r="A2592" t="str">
        <f>"20190304164904097"</f>
        <v>20190304164904097</v>
      </c>
      <c r="B2592" t="str">
        <f>"1551689344088363"</f>
        <v>1551689344088363</v>
      </c>
      <c r="C2592" t="s">
        <v>40</v>
      </c>
      <c r="D2592">
        <v>4.0590900000000003</v>
      </c>
      <c r="E2592">
        <v>0.49423719999999999</v>
      </c>
      <c r="F2592" t="s">
        <v>47</v>
      </c>
      <c r="G2592">
        <v>-405.30930000000001</v>
      </c>
      <c r="H2592" s="1">
        <v>6.29859299999999E-6</v>
      </c>
      <c r="I2592">
        <v>283.40269999999998</v>
      </c>
      <c r="J2592">
        <v>-386.72410000000002</v>
      </c>
      <c r="K2592">
        <v>1.110625</v>
      </c>
      <c r="L2592">
        <v>284.3082</v>
      </c>
      <c r="M2592">
        <v>-0.99989249999999996</v>
      </c>
      <c r="N2592">
        <v>-1.450365E-2</v>
      </c>
      <c r="O2592">
        <v>-2.1792909999999999E-3</v>
      </c>
      <c r="P2592">
        <v>-0.93665339999999997</v>
      </c>
      <c r="Q2592">
        <v>0.35009439999999997</v>
      </c>
      <c r="R2592">
        <v>-1.06961E-2</v>
      </c>
      <c r="S2592">
        <v>-3.2739560000000001</v>
      </c>
      <c r="T2592">
        <v>-0.19344929999999999</v>
      </c>
      <c r="U2592">
        <v>-0.1577759</v>
      </c>
      <c r="V2592">
        <v>-8.4411309999999993E-3</v>
      </c>
      <c r="W2592">
        <v>0.36364819999999998</v>
      </c>
      <c r="X2592">
        <v>0.9314981</v>
      </c>
      <c r="Y2592">
        <v>-4.5860930000000001E-2</v>
      </c>
      <c r="Z2592">
        <v>-1.589072E-3</v>
      </c>
      <c r="AA2592">
        <v>0.99894649999999996</v>
      </c>
      <c r="AB2592">
        <v>33</v>
      </c>
      <c r="AC2592">
        <v>-18.585199999999901</v>
      </c>
      <c r="AD2592">
        <v>-1.1106187014069999</v>
      </c>
      <c r="AE2592">
        <v>-0.90550000000001696</v>
      </c>
      <c r="AF2592">
        <v>-0.86192036348132195</v>
      </c>
      <c r="AG2592">
        <v>-1.1106187014069999</v>
      </c>
      <c r="AH2592">
        <v>18.521146171799</v>
      </c>
      <c r="AI2592">
        <v>93.427925499374098</v>
      </c>
      <c r="AJ2592">
        <v>92.664456847327003</v>
      </c>
      <c r="AK2592">
        <v>18.574424247605702</v>
      </c>
      <c r="AL2592">
        <v>68.675585457594707</v>
      </c>
      <c r="AM2592">
        <v>90.519193697498494</v>
      </c>
      <c r="AN2592">
        <v>0.99999998817970404</v>
      </c>
    </row>
    <row r="2593" spans="1:40" x14ac:dyDescent="0.25">
      <c r="A2593" t="str">
        <f>"20190304164904117"</f>
        <v>20190304164904117</v>
      </c>
      <c r="B2593" t="str">
        <f>"1551689344108858"</f>
        <v>1551689344108858</v>
      </c>
      <c r="C2593" t="s">
        <v>40</v>
      </c>
      <c r="D2593">
        <v>4.0386860000000002</v>
      </c>
      <c r="E2593">
        <v>0.48864629999999998</v>
      </c>
      <c r="F2593" t="s">
        <v>47</v>
      </c>
      <c r="G2593">
        <v>-405.66809999999998</v>
      </c>
      <c r="H2593" s="1">
        <v>6.1834589999999997E-6</v>
      </c>
      <c r="I2593">
        <v>283.18970000000002</v>
      </c>
      <c r="J2593">
        <v>-387.03660000000002</v>
      </c>
      <c r="K2593">
        <v>1.1105989999999999</v>
      </c>
      <c r="L2593">
        <v>284.30779999999999</v>
      </c>
      <c r="M2593">
        <v>-0.99989320000000004</v>
      </c>
      <c r="N2593">
        <v>-1.4500310000000001E-2</v>
      </c>
      <c r="O2593">
        <v>-1.87626E-3</v>
      </c>
      <c r="P2593">
        <v>-0.93647469999999999</v>
      </c>
      <c r="Q2593">
        <v>0.350582</v>
      </c>
      <c r="R2593">
        <v>-1.038477E-2</v>
      </c>
      <c r="S2593">
        <v>-3.2723689999999999</v>
      </c>
      <c r="T2593">
        <v>-0.19184709999999999</v>
      </c>
      <c r="U2593">
        <v>-0.19320680000000001</v>
      </c>
      <c r="V2593">
        <v>-8.3888009999999995E-3</v>
      </c>
      <c r="W2593">
        <v>0.36413010000000001</v>
      </c>
      <c r="X2593">
        <v>0.93131030000000004</v>
      </c>
      <c r="Y2593">
        <v>-5.6946099999999999E-2</v>
      </c>
      <c r="Z2593">
        <v>-1.9974419999999999E-3</v>
      </c>
      <c r="AA2593">
        <v>0.99837520000000002</v>
      </c>
      <c r="AB2593">
        <v>33</v>
      </c>
      <c r="AC2593">
        <v>-18.6314999999999</v>
      </c>
      <c r="AD2593">
        <v>-1.1105928165409999</v>
      </c>
      <c r="AE2593">
        <v>-1.1180999999999699</v>
      </c>
      <c r="AF2593">
        <v>-1.07931560757899</v>
      </c>
      <c r="AG2593">
        <v>-1.1105928165409999</v>
      </c>
      <c r="AH2593">
        <v>18.5678276510811</v>
      </c>
      <c r="AI2593">
        <v>93.417185457398404</v>
      </c>
      <c r="AJ2593">
        <v>93.326760704149507</v>
      </c>
      <c r="AK2593">
        <v>18.632298899093701</v>
      </c>
      <c r="AL2593">
        <v>68.645942359291197</v>
      </c>
      <c r="AM2593">
        <v>90.516079220898902</v>
      </c>
      <c r="AN2593">
        <v>0.99999998829715797</v>
      </c>
    </row>
    <row r="2594" spans="1:40" x14ac:dyDescent="0.25">
      <c r="A2594" t="str">
        <f>"20190304164904140"</f>
        <v>20190304164904140</v>
      </c>
      <c r="B2594" t="str">
        <f>"1551689344128379"</f>
        <v>1551689344128379</v>
      </c>
      <c r="C2594" t="s">
        <v>40</v>
      </c>
      <c r="D2594">
        <v>4.0234269999999999</v>
      </c>
      <c r="E2594">
        <v>0.48582540000000002</v>
      </c>
      <c r="F2594" t="s">
        <v>47</v>
      </c>
      <c r="G2594">
        <v>-406.3039</v>
      </c>
      <c r="H2594" s="1">
        <v>5.9585529999999998E-6</v>
      </c>
      <c r="I2594">
        <v>282.91370000000001</v>
      </c>
      <c r="J2594">
        <v>-387.35849999999999</v>
      </c>
      <c r="K2594">
        <v>1.110576</v>
      </c>
      <c r="L2594">
        <v>284.30759999999998</v>
      </c>
      <c r="M2594">
        <v>-0.99989380000000005</v>
      </c>
      <c r="N2594">
        <v>-1.449685E-2</v>
      </c>
      <c r="O2594">
        <v>-1.53537799999999E-3</v>
      </c>
      <c r="P2594">
        <v>-0.93623060000000002</v>
      </c>
      <c r="Q2594">
        <v>0.35124329999999998</v>
      </c>
      <c r="R2594">
        <v>-1.0034929999999999E-2</v>
      </c>
      <c r="S2594">
        <v>-3.271515</v>
      </c>
      <c r="T2594">
        <v>-0.18857399999999999</v>
      </c>
      <c r="U2594">
        <v>-0.23672489999999999</v>
      </c>
      <c r="V2594">
        <v>-8.3363229999999997E-3</v>
      </c>
      <c r="W2594">
        <v>0.36478509999999997</v>
      </c>
      <c r="X2594">
        <v>0.93105439999999995</v>
      </c>
      <c r="Y2594">
        <v>-7.0494669999999995E-2</v>
      </c>
      <c r="Z2594">
        <v>-2.4734729999999999E-3</v>
      </c>
      <c r="AA2594">
        <v>0.99750910000000004</v>
      </c>
      <c r="AB2594">
        <v>33</v>
      </c>
      <c r="AC2594">
        <v>-18.945399999999999</v>
      </c>
      <c r="AD2594">
        <v>-1.1105700414469999</v>
      </c>
      <c r="AE2594">
        <v>-1.3938999999999699</v>
      </c>
      <c r="AF2594">
        <v>-1.36015827586631</v>
      </c>
      <c r="AG2594">
        <v>-1.1105700414469999</v>
      </c>
      <c r="AH2594">
        <v>18.882980824294201</v>
      </c>
      <c r="AI2594">
        <v>93.357197360450897</v>
      </c>
      <c r="AJ2594">
        <v>94.119951529485803</v>
      </c>
      <c r="AK2594">
        <v>18.964449930410002</v>
      </c>
      <c r="AL2594">
        <v>68.605641550197106</v>
      </c>
      <c r="AM2594">
        <v>90.512991895556695</v>
      </c>
      <c r="AN2594">
        <v>0.99999997961126497</v>
      </c>
    </row>
    <row r="2595" spans="1:40" x14ac:dyDescent="0.25">
      <c r="A2595" t="str">
        <f>"20190304164904152"</f>
        <v>20190304164904152</v>
      </c>
      <c r="B2595" t="str">
        <f>"1551689344148875"</f>
        <v>1551689344148875</v>
      </c>
      <c r="C2595" t="s">
        <v>40</v>
      </c>
      <c r="D2595">
        <v>4.2189889999999997</v>
      </c>
      <c r="E2595">
        <v>0.4843363</v>
      </c>
      <c r="F2595" t="s">
        <v>47</v>
      </c>
      <c r="G2595">
        <v>-406.8107</v>
      </c>
      <c r="H2595" s="1">
        <v>5.7632229999999997E-6</v>
      </c>
      <c r="I2595">
        <v>282.77120000000002</v>
      </c>
      <c r="J2595">
        <v>-387.5573</v>
      </c>
      <c r="K2595">
        <v>1.1105659999999999</v>
      </c>
      <c r="L2595">
        <v>284.30739999999997</v>
      </c>
      <c r="M2595">
        <v>-0.99989410000000001</v>
      </c>
      <c r="N2595">
        <v>-1.4494689999999999E-2</v>
      </c>
      <c r="O2595">
        <v>-1.314134E-3</v>
      </c>
      <c r="P2595">
        <v>-0.93606730000000005</v>
      </c>
      <c r="Q2595">
        <v>0.35168470000000002</v>
      </c>
      <c r="R2595">
        <v>-9.7903609999999992E-3</v>
      </c>
      <c r="S2595">
        <v>-3.2716370000000001</v>
      </c>
      <c r="T2595">
        <v>-0.1867847</v>
      </c>
      <c r="U2595">
        <v>-0.25839230000000002</v>
      </c>
      <c r="V2595">
        <v>-8.2868419999999905E-3</v>
      </c>
      <c r="W2595">
        <v>0.3652223</v>
      </c>
      <c r="X2595">
        <v>0.93088340000000003</v>
      </c>
      <c r="Y2595">
        <v>-7.7268249999999997E-2</v>
      </c>
      <c r="Z2595">
        <v>-2.7061099999999999E-3</v>
      </c>
      <c r="AA2595">
        <v>0.99700670000000002</v>
      </c>
      <c r="AB2595">
        <v>33</v>
      </c>
      <c r="AC2595">
        <v>-19.253399999999999</v>
      </c>
      <c r="AD2595">
        <v>-1.110560236777</v>
      </c>
      <c r="AE2595">
        <v>-1.53619999999995</v>
      </c>
      <c r="AF2595">
        <v>-1.50591579010965</v>
      </c>
      <c r="AG2595">
        <v>-1.110560236777</v>
      </c>
      <c r="AH2595">
        <v>19.1919522314628</v>
      </c>
      <c r="AI2595">
        <v>93.301654765056895</v>
      </c>
      <c r="AJ2595">
        <v>94.486578077824205</v>
      </c>
      <c r="AK2595">
        <v>19.282949900395401</v>
      </c>
      <c r="AL2595">
        <v>68.578734864483593</v>
      </c>
      <c r="AM2595">
        <v>90.510040817534204</v>
      </c>
      <c r="AN2595">
        <v>0.99999995228159</v>
      </c>
    </row>
    <row r="2596" spans="1:40" x14ac:dyDescent="0.25">
      <c r="A2596" t="str">
        <f>"20190304164904165"</f>
        <v>20190304164904165</v>
      </c>
      <c r="B2596" t="str">
        <f>"1551689344158634"</f>
        <v>1551689344158634</v>
      </c>
      <c r="C2596" t="s">
        <v>40</v>
      </c>
      <c r="D2596">
        <v>4.0013160000000001</v>
      </c>
      <c r="E2596">
        <v>0.48393700000000001</v>
      </c>
      <c r="F2596" t="s">
        <v>47</v>
      </c>
      <c r="G2596">
        <v>-407.27229999999997</v>
      </c>
      <c r="H2596" s="1">
        <v>5.577233E-6</v>
      </c>
      <c r="I2596">
        <v>282.68079999999998</v>
      </c>
      <c r="J2596">
        <v>-387.74470000000002</v>
      </c>
      <c r="K2596">
        <v>1.1105579999999999</v>
      </c>
      <c r="L2596">
        <v>284.30739999999997</v>
      </c>
      <c r="M2596">
        <v>-0.99989459999999997</v>
      </c>
      <c r="N2596">
        <v>-1.4492710000000001E-2</v>
      </c>
      <c r="O2596">
        <v>-1.0967500000000001E-3</v>
      </c>
      <c r="P2596">
        <v>-0.93601860000000003</v>
      </c>
      <c r="Q2596">
        <v>0.35181990000000002</v>
      </c>
      <c r="R2596">
        <v>-9.5981940000000009E-3</v>
      </c>
      <c r="S2596">
        <v>-3.2713009999999998</v>
      </c>
      <c r="T2596">
        <v>-0.18427460000000001</v>
      </c>
      <c r="U2596">
        <v>-0.26989750000000001</v>
      </c>
      <c r="V2596">
        <v>-8.2890480000000002E-3</v>
      </c>
      <c r="W2596">
        <v>0.36535509999999999</v>
      </c>
      <c r="X2596">
        <v>0.93083130000000003</v>
      </c>
      <c r="Y2596">
        <v>-8.0972459999999996E-2</v>
      </c>
      <c r="Z2596">
        <v>-2.8175499999999998E-3</v>
      </c>
      <c r="AA2596">
        <v>0.99671240000000005</v>
      </c>
      <c r="AB2596">
        <v>33</v>
      </c>
      <c r="AC2596">
        <v>-19.5275999999999</v>
      </c>
      <c r="AD2596">
        <v>-1.1105524227669901</v>
      </c>
      <c r="AE2596">
        <v>-1.6265999999999901</v>
      </c>
      <c r="AF2596">
        <v>-1.6000405286589501</v>
      </c>
      <c r="AG2596">
        <v>-1.1105524227669901</v>
      </c>
      <c r="AH2596">
        <v>19.466844632709499</v>
      </c>
      <c r="AI2596">
        <v>93.254143939784001</v>
      </c>
      <c r="AJ2596">
        <v>94.698756239773601</v>
      </c>
      <c r="AK2596">
        <v>19.564035788433699</v>
      </c>
      <c r="AL2596">
        <v>68.570561829061901</v>
      </c>
      <c r="AM2596">
        <v>90.510205139675904</v>
      </c>
      <c r="AN2596">
        <v>0.99999998323622297</v>
      </c>
    </row>
    <row r="2597" spans="1:40" x14ac:dyDescent="0.25">
      <c r="A2597" t="str">
        <f>"20190304164904178"</f>
        <v>20190304164904178</v>
      </c>
      <c r="B2597" t="str">
        <f>"1551689344168394"</f>
        <v>1551689344168394</v>
      </c>
      <c r="C2597" t="s">
        <v>40</v>
      </c>
      <c r="D2597">
        <v>4.0084470000000003</v>
      </c>
      <c r="E2597">
        <v>0.48368339999999999</v>
      </c>
      <c r="F2597" t="s">
        <v>47</v>
      </c>
      <c r="G2597">
        <v>-407.59640000000002</v>
      </c>
      <c r="H2597" s="1">
        <v>5.4396200000000001E-6</v>
      </c>
      <c r="I2597">
        <v>282.65109999999999</v>
      </c>
      <c r="J2597">
        <v>-387.91849999999999</v>
      </c>
      <c r="K2597">
        <v>1.1105499999999999</v>
      </c>
      <c r="L2597">
        <v>284.30739999999997</v>
      </c>
      <c r="M2597">
        <v>-0.99989470000000003</v>
      </c>
      <c r="N2597">
        <v>-1.4490919999999999E-2</v>
      </c>
      <c r="O2597">
        <v>-8.9155210000000003E-4</v>
      </c>
      <c r="P2597">
        <v>-0.935971</v>
      </c>
      <c r="Q2597">
        <v>0.35194769999999997</v>
      </c>
      <c r="R2597">
        <v>-9.5653720000000008E-3</v>
      </c>
      <c r="S2597">
        <v>-3.2710569999999999</v>
      </c>
      <c r="T2597">
        <v>-0.1829904</v>
      </c>
      <c r="U2597">
        <v>-0.27291870000000001</v>
      </c>
      <c r="V2597">
        <v>-8.4390679999999992E-3</v>
      </c>
      <c r="W2597">
        <v>0.36548069999999999</v>
      </c>
      <c r="X2597">
        <v>0.93078059999999996</v>
      </c>
      <c r="Y2597">
        <v>-8.2096929999999999E-2</v>
      </c>
      <c r="Z2597">
        <v>-2.8501960000000002E-3</v>
      </c>
      <c r="AA2597">
        <v>0.99662030000000001</v>
      </c>
      <c r="AB2597">
        <v>33</v>
      </c>
      <c r="AC2597">
        <v>-19.677900000000001</v>
      </c>
      <c r="AD2597">
        <v>-1.1105445603799999</v>
      </c>
      <c r="AE2597">
        <v>-1.6562999999999799</v>
      </c>
      <c r="AF2597">
        <v>-1.63358719484725</v>
      </c>
      <c r="AG2597">
        <v>-1.1105445603799999</v>
      </c>
      <c r="AH2597">
        <v>19.617326649968799</v>
      </c>
      <c r="AI2597">
        <v>93.228926196091194</v>
      </c>
      <c r="AJ2597">
        <v>94.760189967836894</v>
      </c>
      <c r="AK2597">
        <v>19.716526601694699</v>
      </c>
      <c r="AL2597">
        <v>68.562829917479405</v>
      </c>
      <c r="AM2597">
        <v>90.519466919337404</v>
      </c>
      <c r="AN2597">
        <v>0.99999994263877701</v>
      </c>
    </row>
    <row r="2598" spans="1:40" x14ac:dyDescent="0.25">
      <c r="A2598" t="str">
        <f>"20190304164904189"</f>
        <v>20190304164904189</v>
      </c>
      <c r="B2598" t="str">
        <f>"1551689344178155"</f>
        <v>1551689344178155</v>
      </c>
      <c r="C2598" t="s">
        <v>40</v>
      </c>
      <c r="D2598">
        <v>4.0303199999999997</v>
      </c>
      <c r="E2598">
        <v>0.48326330000000001</v>
      </c>
      <c r="F2598" t="s">
        <v>47</v>
      </c>
      <c r="G2598">
        <v>-407.85410000000002</v>
      </c>
      <c r="H2598" s="1">
        <v>5.3301009999999901E-6</v>
      </c>
      <c r="I2598">
        <v>282.62830000000002</v>
      </c>
      <c r="J2598">
        <v>-388.09210000000002</v>
      </c>
      <c r="K2598">
        <v>1.11054599999999</v>
      </c>
      <c r="L2598">
        <v>284.3075</v>
      </c>
      <c r="M2598">
        <v>-0.99989490000000003</v>
      </c>
      <c r="N2598">
        <v>-1.4489220000000001E-2</v>
      </c>
      <c r="O2598">
        <v>-6.8101329999999995E-4</v>
      </c>
      <c r="P2598">
        <v>-0.93591500000000005</v>
      </c>
      <c r="Q2598">
        <v>0.35209819999999997</v>
      </c>
      <c r="R2598">
        <v>-9.4907489999999997E-3</v>
      </c>
      <c r="S2598">
        <v>-3.270966</v>
      </c>
      <c r="T2598">
        <v>-0.1822144</v>
      </c>
      <c r="U2598">
        <v>-0.2755127</v>
      </c>
      <c r="V2598">
        <v>-8.5548140000000009E-3</v>
      </c>
      <c r="W2598">
        <v>0.36562889999999998</v>
      </c>
      <c r="X2598">
        <v>0.93072140000000003</v>
      </c>
      <c r="Y2598">
        <v>-8.3092990000000005E-2</v>
      </c>
      <c r="Z2598">
        <v>-2.884204E-3</v>
      </c>
      <c r="AA2598">
        <v>0.99653760000000002</v>
      </c>
      <c r="AB2598">
        <v>33</v>
      </c>
      <c r="AC2598">
        <v>-19.762</v>
      </c>
      <c r="AD2598">
        <v>-1.1105406698989999</v>
      </c>
      <c r="AE2598">
        <v>-1.67919999999998</v>
      </c>
      <c r="AF2598">
        <v>-1.6605336990260799</v>
      </c>
      <c r="AG2598">
        <v>-1.1105406698989999</v>
      </c>
      <c r="AH2598">
        <v>19.7013688714697</v>
      </c>
      <c r="AI2598">
        <v>93.214899685906801</v>
      </c>
      <c r="AJ2598">
        <v>94.817798890596606</v>
      </c>
      <c r="AK2598">
        <v>19.802388950700301</v>
      </c>
      <c r="AL2598">
        <v>68.553708615739097</v>
      </c>
      <c r="AM2598">
        <v>90.526624759865697</v>
      </c>
      <c r="AN2598">
        <v>1.00000000088787</v>
      </c>
    </row>
    <row r="2599" spans="1:40" x14ac:dyDescent="0.25">
      <c r="A2599" t="str">
        <f>"20190304164904202"</f>
        <v>20190304164904202</v>
      </c>
      <c r="B2599" t="str">
        <f>"1551689344198650"</f>
        <v>1551689344198650</v>
      </c>
      <c r="C2599" t="s">
        <v>40</v>
      </c>
      <c r="D2599">
        <v>4.1320610000000002</v>
      </c>
      <c r="E2599">
        <v>0.48305130000000002</v>
      </c>
      <c r="F2599" t="s">
        <v>47</v>
      </c>
      <c r="G2599">
        <v>-408.02589999999998</v>
      </c>
      <c r="H2599" s="1">
        <v>5.2579359999999901E-6</v>
      </c>
      <c r="I2599">
        <v>282.6087</v>
      </c>
      <c r="J2599">
        <v>-388.28039999999999</v>
      </c>
      <c r="K2599">
        <v>1.1105389999999999</v>
      </c>
      <c r="L2599">
        <v>284.30759999999998</v>
      </c>
      <c r="M2599">
        <v>-0.99989499999999998</v>
      </c>
      <c r="N2599">
        <v>-1.448728E-2</v>
      </c>
      <c r="O2599">
        <v>-4.4997819999999998E-4</v>
      </c>
      <c r="P2599">
        <v>-0.93592649999999999</v>
      </c>
      <c r="Q2599">
        <v>0.35207909999999998</v>
      </c>
      <c r="R2599">
        <v>-9.0471519999999993E-3</v>
      </c>
      <c r="S2599">
        <v>-3.2711489999999999</v>
      </c>
      <c r="T2599">
        <v>-0.18223990000000001</v>
      </c>
      <c r="U2599">
        <v>-0.27877809999999997</v>
      </c>
      <c r="V2599">
        <v>-8.3205629999999996E-3</v>
      </c>
      <c r="W2599">
        <v>0.36560799999999999</v>
      </c>
      <c r="X2599">
        <v>0.93073170000000005</v>
      </c>
      <c r="Y2599">
        <v>-8.4303669999999997E-2</v>
      </c>
      <c r="Z2599">
        <v>-2.9361729999999998E-3</v>
      </c>
      <c r="AA2599">
        <v>0.99643579999999998</v>
      </c>
      <c r="AB2599">
        <v>33</v>
      </c>
      <c r="AC2599">
        <v>-19.7455</v>
      </c>
      <c r="AD2599">
        <v>-1.110533742064</v>
      </c>
      <c r="AE2599">
        <v>-1.6988999999999801</v>
      </c>
      <c r="AF2599">
        <v>-1.6847238862590601</v>
      </c>
      <c r="AG2599">
        <v>-1.110533742064</v>
      </c>
      <c r="AH2599">
        <v>19.684454156831901</v>
      </c>
      <c r="AI2599">
        <v>93.217284060551407</v>
      </c>
      <c r="AJ2599">
        <v>94.891825204558799</v>
      </c>
      <c r="AK2599">
        <v>19.787605090500801</v>
      </c>
      <c r="AL2599">
        <v>68.554994464055099</v>
      </c>
      <c r="AM2599">
        <v>90.512199641941095</v>
      </c>
      <c r="AN2599">
        <v>0.99999996940876301</v>
      </c>
    </row>
    <row r="2600" spans="1:40" x14ac:dyDescent="0.25">
      <c r="A2600" t="str">
        <f>"20190304164904217"</f>
        <v>20190304164904217</v>
      </c>
      <c r="B2600" t="str">
        <f>"1551689344208410"</f>
        <v>1551689344208410</v>
      </c>
      <c r="C2600" t="s">
        <v>40</v>
      </c>
      <c r="D2600">
        <v>4.0236850000000004</v>
      </c>
      <c r="E2600">
        <v>0.4829639</v>
      </c>
      <c r="F2600" t="s">
        <v>47</v>
      </c>
      <c r="G2600">
        <v>-408.12029999999999</v>
      </c>
      <c r="H2600" s="1">
        <v>5.2153270000000004E-6</v>
      </c>
      <c r="I2600">
        <v>282.61239999999998</v>
      </c>
      <c r="J2600">
        <v>-388.5025</v>
      </c>
      <c r="K2600">
        <v>1.110535</v>
      </c>
      <c r="L2600">
        <v>284.30770000000001</v>
      </c>
      <c r="M2600">
        <v>-0.99989510000000004</v>
      </c>
      <c r="N2600">
        <v>-1.448492E-2</v>
      </c>
      <c r="O2600">
        <v>-1.7459720000000001E-4</v>
      </c>
      <c r="P2600">
        <v>-0.93592980000000003</v>
      </c>
      <c r="Q2600">
        <v>0.35207100000000002</v>
      </c>
      <c r="R2600">
        <v>-9.021467E-3</v>
      </c>
      <c r="S2600">
        <v>-3.271576</v>
      </c>
      <c r="T2600">
        <v>-0.1831255</v>
      </c>
      <c r="U2600">
        <v>-0.27954099999999998</v>
      </c>
      <c r="V2600">
        <v>-8.545604E-3</v>
      </c>
      <c r="W2600">
        <v>0.3655988</v>
      </c>
      <c r="X2600">
        <v>0.93073329999999999</v>
      </c>
      <c r="Y2600">
        <v>-8.4795179999999998E-2</v>
      </c>
      <c r="Z2600">
        <v>-2.975686E-3</v>
      </c>
      <c r="AA2600">
        <v>0.996394</v>
      </c>
      <c r="AB2600">
        <v>33</v>
      </c>
      <c r="AC2600">
        <v>-19.6177999999999</v>
      </c>
      <c r="AD2600">
        <v>-1.110529784673</v>
      </c>
      <c r="AE2600">
        <v>-1.69530000000003</v>
      </c>
      <c r="AF2600">
        <v>-1.68651004610993</v>
      </c>
      <c r="AG2600">
        <v>-1.110529784673</v>
      </c>
      <c r="AH2600">
        <v>19.5558934463618</v>
      </c>
      <c r="AI2600">
        <v>93.238197916357905</v>
      </c>
      <c r="AJ2600">
        <v>94.929021125539805</v>
      </c>
      <c r="AK2600">
        <v>19.6598718465745</v>
      </c>
      <c r="AL2600">
        <v>68.555561318547404</v>
      </c>
      <c r="AM2600">
        <v>90.526051108873105</v>
      </c>
      <c r="AN2600">
        <v>0.99999999281902696</v>
      </c>
    </row>
    <row r="2601" spans="1:40" x14ac:dyDescent="0.25">
      <c r="A2601" t="str">
        <f>"20190304164904229"</f>
        <v>20190304164904229</v>
      </c>
      <c r="B2601" t="str">
        <f>"1551689344218170"</f>
        <v>1551689344218170</v>
      </c>
      <c r="C2601" t="s">
        <v>40</v>
      </c>
      <c r="D2601">
        <v>4.0173730000000001</v>
      </c>
      <c r="E2601">
        <v>0.48290660000000002</v>
      </c>
      <c r="F2601" t="s">
        <v>47</v>
      </c>
      <c r="G2601">
        <v>-408.40929999999997</v>
      </c>
      <c r="H2601" s="1">
        <v>5.0895250000000002E-6</v>
      </c>
      <c r="I2601">
        <v>282.60090000000002</v>
      </c>
      <c r="J2601">
        <v>-388.68049999999999</v>
      </c>
      <c r="K2601">
        <v>1.11053</v>
      </c>
      <c r="L2601">
        <v>284.30790000000002</v>
      </c>
      <c r="M2601">
        <v>-0.99989519999999998</v>
      </c>
      <c r="N2601">
        <v>-1.448319E-2</v>
      </c>
      <c r="O2601" s="1">
        <v>4.7926619999999998E-5</v>
      </c>
      <c r="P2601">
        <v>-0.93603990000000004</v>
      </c>
      <c r="Q2601">
        <v>0.35178989999999999</v>
      </c>
      <c r="R2601">
        <v>-8.5522180000000003E-3</v>
      </c>
      <c r="S2601">
        <v>-3.2713009999999998</v>
      </c>
      <c r="T2601">
        <v>-0.18249399999999999</v>
      </c>
      <c r="U2601">
        <v>-0.28048709999999999</v>
      </c>
      <c r="V2601">
        <v>-8.2811880000000001E-3</v>
      </c>
      <c r="W2601">
        <v>0.3653169</v>
      </c>
      <c r="X2601">
        <v>0.93084639999999996</v>
      </c>
      <c r="Y2601">
        <v>-8.5309899999999994E-2</v>
      </c>
      <c r="Z2601">
        <v>-2.9948919999999999E-3</v>
      </c>
      <c r="AA2601">
        <v>0.99634999999999996</v>
      </c>
      <c r="AB2601">
        <v>33</v>
      </c>
      <c r="AC2601">
        <v>-19.7287999999999</v>
      </c>
      <c r="AD2601">
        <v>-1.1105249104749999</v>
      </c>
      <c r="AE2601">
        <v>-1.7069999999999901</v>
      </c>
      <c r="AF2601">
        <v>-1.7025910387352701</v>
      </c>
      <c r="AG2601">
        <v>-1.1105249104749999</v>
      </c>
      <c r="AH2601">
        <v>19.666866506384899</v>
      </c>
      <c r="AI2601">
        <v>93.2198591551265</v>
      </c>
      <c r="AJ2601">
        <v>94.947848052196207</v>
      </c>
      <c r="AK2601">
        <v>19.771639284640301</v>
      </c>
      <c r="AL2601">
        <v>68.572913835128205</v>
      </c>
      <c r="AM2601">
        <v>90.509713100556098</v>
      </c>
      <c r="AN2601">
        <v>1.00000001794663</v>
      </c>
    </row>
    <row r="2602" spans="1:40" x14ac:dyDescent="0.25">
      <c r="A2602" t="str">
        <f>"20190304164904242"</f>
        <v>20190304164904242</v>
      </c>
      <c r="B2602" t="str">
        <f>"1551689344238666"</f>
        <v>1551689344238666</v>
      </c>
      <c r="C2602" t="s">
        <v>40</v>
      </c>
      <c r="D2602">
        <v>4.0085069999999998</v>
      </c>
      <c r="E2602">
        <v>0.48267969999999999</v>
      </c>
      <c r="F2602" t="s">
        <v>47</v>
      </c>
      <c r="G2602">
        <v>-408.50080000000003</v>
      </c>
      <c r="H2602" s="1">
        <v>5.0464499999999998E-6</v>
      </c>
      <c r="I2602">
        <v>282.61290000000002</v>
      </c>
      <c r="J2602">
        <v>-388.85890000000001</v>
      </c>
      <c r="K2602">
        <v>1.110528</v>
      </c>
      <c r="L2602">
        <v>284.3082</v>
      </c>
      <c r="M2602">
        <v>-0.99989519999999998</v>
      </c>
      <c r="N2602">
        <v>-1.4481300000000001E-2</v>
      </c>
      <c r="O2602">
        <v>2.7168960000000002E-4</v>
      </c>
      <c r="P2602">
        <v>-0.93601659999999998</v>
      </c>
      <c r="Q2602">
        <v>0.35185830000000001</v>
      </c>
      <c r="R2602">
        <v>-8.2904290000000002E-3</v>
      </c>
      <c r="S2602">
        <v>-3.2713320000000001</v>
      </c>
      <c r="T2602">
        <v>-0.18329119999999999</v>
      </c>
      <c r="U2602">
        <v>-0.27975460000000002</v>
      </c>
      <c r="V2602">
        <v>-8.2254800000000003E-3</v>
      </c>
      <c r="W2602">
        <v>0.36538350000000003</v>
      </c>
      <c r="X2602">
        <v>0.9308208</v>
      </c>
      <c r="Y2602">
        <v>-8.5309129999999997E-2</v>
      </c>
      <c r="Z2602">
        <v>-3.014418E-3</v>
      </c>
      <c r="AA2602">
        <v>0.99634999999999996</v>
      </c>
      <c r="AB2602">
        <v>33</v>
      </c>
      <c r="AC2602">
        <v>-19.6419</v>
      </c>
      <c r="AD2602">
        <v>-1.1105229535500001</v>
      </c>
      <c r="AE2602">
        <v>-1.6952999999999701</v>
      </c>
      <c r="AF2602">
        <v>-1.6952580080220601</v>
      </c>
      <c r="AG2602">
        <v>-1.1105229535500001</v>
      </c>
      <c r="AH2602">
        <v>19.579314220084299</v>
      </c>
      <c r="AI2602">
        <v>93.234217634873403</v>
      </c>
      <c r="AJ2602">
        <v>94.948564046490205</v>
      </c>
      <c r="AK2602">
        <v>19.683919992545199</v>
      </c>
      <c r="AL2602">
        <v>68.568815525270395</v>
      </c>
      <c r="AM2602">
        <v>90.506298335438402</v>
      </c>
      <c r="AN2602">
        <v>1.00000006115305</v>
      </c>
    </row>
    <row r="2603" spans="1:40" x14ac:dyDescent="0.25">
      <c r="A2603" t="str">
        <f>"20190304164904255"</f>
        <v>20190304164904255</v>
      </c>
      <c r="B2603" t="str">
        <f>"1551689344248427"</f>
        <v>1551689344248427</v>
      </c>
      <c r="C2603" t="s">
        <v>40</v>
      </c>
      <c r="D2603">
        <v>3.9987539999999999</v>
      </c>
      <c r="E2603">
        <v>0.48254279999999999</v>
      </c>
      <c r="F2603" t="s">
        <v>47</v>
      </c>
      <c r="G2603">
        <v>-408.73</v>
      </c>
      <c r="H2603" s="1">
        <v>4.9464949999999996E-6</v>
      </c>
      <c r="I2603">
        <v>282.60480000000001</v>
      </c>
      <c r="J2603">
        <v>-389.05160000000001</v>
      </c>
      <c r="K2603">
        <v>1.1105229999999999</v>
      </c>
      <c r="L2603">
        <v>284.30840000000001</v>
      </c>
      <c r="M2603">
        <v>-0.99989510000000004</v>
      </c>
      <c r="N2603">
        <v>-1.447912E-2</v>
      </c>
      <c r="O2603">
        <v>5.1392419999999998E-4</v>
      </c>
      <c r="P2603">
        <v>-0.936006</v>
      </c>
      <c r="Q2603">
        <v>0.3518947</v>
      </c>
      <c r="R2603">
        <v>-7.9552979999999995E-3</v>
      </c>
      <c r="S2603">
        <v>-3.2713009999999998</v>
      </c>
      <c r="T2603">
        <v>-0.18282100000000001</v>
      </c>
      <c r="U2603">
        <v>-0.28042600000000001</v>
      </c>
      <c r="V2603">
        <v>-8.1135110000000003E-3</v>
      </c>
      <c r="W2603">
        <v>0.36541760000000001</v>
      </c>
      <c r="X2603">
        <v>0.93080830000000003</v>
      </c>
      <c r="Y2603">
        <v>-8.5753960000000004E-2</v>
      </c>
      <c r="Z2603">
        <v>-3.0338159999999999E-3</v>
      </c>
      <c r="AA2603">
        <v>0.99631170000000002</v>
      </c>
      <c r="AB2603">
        <v>33</v>
      </c>
      <c r="AC2603">
        <v>-19.6784</v>
      </c>
      <c r="AD2603">
        <v>-1.1105180535050001</v>
      </c>
      <c r="AE2603">
        <v>-1.70359999999999</v>
      </c>
      <c r="AF2603">
        <v>-1.7083140053083099</v>
      </c>
      <c r="AG2603">
        <v>-1.1105180535050001</v>
      </c>
      <c r="AH2603">
        <v>19.615516511664399</v>
      </c>
      <c r="AI2603">
        <v>93.228106574015598</v>
      </c>
      <c r="AJ2603">
        <v>94.977327138784503</v>
      </c>
      <c r="AK2603">
        <v>19.7210566427682</v>
      </c>
      <c r="AL2603">
        <v>68.566714580644003</v>
      </c>
      <c r="AM2603">
        <v>90.499413428437705</v>
      </c>
      <c r="AN2603">
        <v>0.99999997139969798</v>
      </c>
    </row>
    <row r="2604" spans="1:40" x14ac:dyDescent="0.25">
      <c r="A2604" t="str">
        <f>"20190304164904266"</f>
        <v>20190304164904266</v>
      </c>
      <c r="B2604" t="str">
        <f>"1551689344258187"</f>
        <v>1551689344258187</v>
      </c>
      <c r="C2604" t="s">
        <v>40</v>
      </c>
      <c r="D2604">
        <v>4.0018820000000002</v>
      </c>
      <c r="E2604">
        <v>0.48221249999999999</v>
      </c>
      <c r="F2604" t="s">
        <v>47</v>
      </c>
      <c r="G2604">
        <v>-408.98680000000002</v>
      </c>
      <c r="H2604" s="1">
        <v>4.832978E-6</v>
      </c>
      <c r="I2604">
        <v>282.60300000000001</v>
      </c>
      <c r="J2604">
        <v>-389.22519999999997</v>
      </c>
      <c r="K2604">
        <v>1.1105210000000001</v>
      </c>
      <c r="L2604">
        <v>284.30869999999999</v>
      </c>
      <c r="M2604">
        <v>-0.99989499999999998</v>
      </c>
      <c r="N2604">
        <v>-1.4477200000000001E-2</v>
      </c>
      <c r="O2604">
        <v>7.3241140000000001E-4</v>
      </c>
      <c r="P2604">
        <v>-0.93593490000000001</v>
      </c>
      <c r="Q2604">
        <v>0.35209439999999997</v>
      </c>
      <c r="R2604">
        <v>-7.4574630000000001E-3</v>
      </c>
      <c r="S2604">
        <v>-3.27121</v>
      </c>
      <c r="T2604">
        <v>-0.18222669999999999</v>
      </c>
      <c r="U2604">
        <v>-0.27984619999999999</v>
      </c>
      <c r="V2604">
        <v>-7.8181480000000005E-3</v>
      </c>
      <c r="W2604">
        <v>0.36561379999999999</v>
      </c>
      <c r="X2604">
        <v>0.93073380000000006</v>
      </c>
      <c r="Y2604">
        <v>-8.5799440000000005E-2</v>
      </c>
      <c r="Z2604">
        <v>-3.0365380000000001E-3</v>
      </c>
      <c r="AA2604">
        <v>0.99630779999999997</v>
      </c>
      <c r="AB2604">
        <v>33</v>
      </c>
      <c r="AC2604">
        <v>-19.761600000000001</v>
      </c>
      <c r="AD2604">
        <v>-1.1105161670219901</v>
      </c>
      <c r="AE2604">
        <v>-1.70569999999997</v>
      </c>
      <c r="AF2604">
        <v>-1.7147994704082199</v>
      </c>
      <c r="AG2604">
        <v>-1.1105161670219901</v>
      </c>
      <c r="AH2604">
        <v>19.698598082818201</v>
      </c>
      <c r="AI2604">
        <v>93.214525305431096</v>
      </c>
      <c r="AJ2604">
        <v>94.975161787918296</v>
      </c>
      <c r="AK2604">
        <v>19.804255850936102</v>
      </c>
      <c r="AL2604">
        <v>68.554637901042398</v>
      </c>
      <c r="AM2604">
        <v>90.481272248613706</v>
      </c>
      <c r="AN2604">
        <v>0.99999999032551401</v>
      </c>
    </row>
    <row r="2605" spans="1:40" x14ac:dyDescent="0.25">
      <c r="A2605" t="str">
        <f>"20190304164904281"</f>
        <v>20190304164904281</v>
      </c>
      <c r="B2605" t="str">
        <f>"1551689344268923"</f>
        <v>1551689344268923</v>
      </c>
      <c r="C2605" t="s">
        <v>40</v>
      </c>
      <c r="D2605">
        <v>4.007727</v>
      </c>
      <c r="E2605">
        <v>0.4819387</v>
      </c>
      <c r="F2605" t="s">
        <v>47</v>
      </c>
      <c r="G2605">
        <v>-409.33800000000002</v>
      </c>
      <c r="H2605" s="1">
        <v>4.6814209999999997E-6</v>
      </c>
      <c r="I2605">
        <v>282.58280000000002</v>
      </c>
      <c r="J2605">
        <v>-389.41410000000002</v>
      </c>
      <c r="K2605">
        <v>1.11052</v>
      </c>
      <c r="L2605">
        <v>284.3091</v>
      </c>
      <c r="M2605">
        <v>-0.99989470000000003</v>
      </c>
      <c r="N2605">
        <v>-1.447522E-2</v>
      </c>
      <c r="O2605">
        <v>9.7032680000000004E-4</v>
      </c>
      <c r="P2605">
        <v>-0.93593800000000005</v>
      </c>
      <c r="Q2605">
        <v>0.35209400000000002</v>
      </c>
      <c r="R2605">
        <v>-7.0508760000000002E-3</v>
      </c>
      <c r="S2605">
        <v>-3.2710569999999999</v>
      </c>
      <c r="T2605">
        <v>-0.18060889999999999</v>
      </c>
      <c r="U2605">
        <v>-0.28070070000000003</v>
      </c>
      <c r="V2605">
        <v>-7.632649E-3</v>
      </c>
      <c r="W2605">
        <v>0.3656121</v>
      </c>
      <c r="X2605">
        <v>0.93073609999999896</v>
      </c>
      <c r="Y2605">
        <v>-8.6300310000000005E-2</v>
      </c>
      <c r="Z2605">
        <v>-3.04214E-3</v>
      </c>
      <c r="AA2605">
        <v>0.9962645</v>
      </c>
      <c r="AB2605">
        <v>33</v>
      </c>
      <c r="AC2605">
        <v>-19.9239</v>
      </c>
      <c r="AD2605">
        <v>-1.110515318579</v>
      </c>
      <c r="AE2605">
        <v>-1.72629999999998</v>
      </c>
      <c r="AF2605">
        <v>-1.74026769080653</v>
      </c>
      <c r="AG2605">
        <v>-1.110515318579</v>
      </c>
      <c r="AH2605">
        <v>19.860972895032599</v>
      </c>
      <c r="AI2605">
        <v>93.188139370289207</v>
      </c>
      <c r="AJ2605">
        <v>95.0076087632537</v>
      </c>
      <c r="AK2605">
        <v>19.967974865911799</v>
      </c>
      <c r="AL2605">
        <v>68.554744486623306</v>
      </c>
      <c r="AM2605">
        <v>90.469852594369897</v>
      </c>
      <c r="AN2605">
        <v>1.00000007642018</v>
      </c>
    </row>
    <row r="2606" spans="1:40" x14ac:dyDescent="0.25">
      <c r="A2606" t="str">
        <f>"20190304164904296"</f>
        <v>20190304164904296</v>
      </c>
      <c r="B2606" t="str">
        <f>"1551689344288443"</f>
        <v>1551689344288443</v>
      </c>
      <c r="C2606" t="s">
        <v>40</v>
      </c>
      <c r="D2606">
        <v>4.0331060000000001</v>
      </c>
      <c r="E2606">
        <v>0.48142879999999899</v>
      </c>
      <c r="F2606" t="s">
        <v>47</v>
      </c>
      <c r="G2606">
        <v>-409.51560000000001</v>
      </c>
      <c r="H2606" s="1">
        <v>4.60339E-6</v>
      </c>
      <c r="I2606">
        <v>282.57929999999999</v>
      </c>
      <c r="J2606">
        <v>-389.64359999999999</v>
      </c>
      <c r="K2606">
        <v>1.110514</v>
      </c>
      <c r="L2606">
        <v>284.30959999999999</v>
      </c>
      <c r="M2606">
        <v>-0.99989450000000002</v>
      </c>
      <c r="N2606">
        <v>-1.4473E-2</v>
      </c>
      <c r="O2606">
        <v>1.2593179999999999E-3</v>
      </c>
      <c r="P2606">
        <v>-0.93587520000000002</v>
      </c>
      <c r="Q2606">
        <v>0.35227170000000002</v>
      </c>
      <c r="R2606">
        <v>-6.5308419999999898E-3</v>
      </c>
      <c r="S2606">
        <v>-3.27121</v>
      </c>
      <c r="T2606">
        <v>-0.1807193</v>
      </c>
      <c r="U2606">
        <v>-0.28149410000000002</v>
      </c>
      <c r="V2606">
        <v>-7.3813519999999999E-3</v>
      </c>
      <c r="W2606">
        <v>0.36578650000000001</v>
      </c>
      <c r="X2606">
        <v>0.93066950000000004</v>
      </c>
      <c r="Y2606">
        <v>-8.6822759999999999E-2</v>
      </c>
      <c r="Z2606">
        <v>-3.0733359999999999E-3</v>
      </c>
      <c r="AA2606">
        <v>0.99621899999999997</v>
      </c>
      <c r="AB2606">
        <v>33</v>
      </c>
      <c r="AC2606">
        <v>-19.872</v>
      </c>
      <c r="AD2606">
        <v>-1.1105093966099999</v>
      </c>
      <c r="AE2606">
        <v>-1.73029999999999</v>
      </c>
      <c r="AF2606">
        <v>-1.74990272371972</v>
      </c>
      <c r="AG2606">
        <v>-1.1105093966099999</v>
      </c>
      <c r="AH2606">
        <v>19.808410335611001</v>
      </c>
      <c r="AI2606">
        <v>93.196364504039806</v>
      </c>
      <c r="AJ2606">
        <v>95.048483532595398</v>
      </c>
      <c r="AK2606">
        <v>19.916538622119599</v>
      </c>
      <c r="AL2606">
        <v>68.544006349394394</v>
      </c>
      <c r="AM2606">
        <v>90.454416362832006</v>
      </c>
      <c r="AN2606">
        <v>0.99999998308492299</v>
      </c>
    </row>
    <row r="2607" spans="1:40" x14ac:dyDescent="0.25">
      <c r="A2607" t="str">
        <f>"20190304164904310"</f>
        <v>20190304164904310</v>
      </c>
      <c r="B2607" t="str">
        <f>"1551689344298203"</f>
        <v>1551689344298203</v>
      </c>
      <c r="C2607" t="s">
        <v>40</v>
      </c>
      <c r="D2607">
        <v>4.0467180000000003</v>
      </c>
      <c r="E2607">
        <v>0.48129650000000002</v>
      </c>
      <c r="F2607" t="s">
        <v>47</v>
      </c>
      <c r="G2607">
        <v>-409.74770000000001</v>
      </c>
      <c r="H2607" s="1">
        <v>4.5040469999999998E-6</v>
      </c>
      <c r="I2607">
        <v>282.56200000000001</v>
      </c>
      <c r="J2607">
        <v>-389.85050000000001</v>
      </c>
      <c r="K2607">
        <v>1.1105100000000001</v>
      </c>
      <c r="L2607">
        <v>284.31009999999998</v>
      </c>
      <c r="M2607">
        <v>-0.99989419999999996</v>
      </c>
      <c r="N2607">
        <v>-1.4471029999999999E-2</v>
      </c>
      <c r="O2607">
        <v>1.5193279999999999E-3</v>
      </c>
      <c r="P2607">
        <v>-0.93576349999999997</v>
      </c>
      <c r="Q2607">
        <v>0.35258410000000001</v>
      </c>
      <c r="R2607">
        <v>-5.5916809999999898E-3</v>
      </c>
      <c r="S2607">
        <v>-3.2716059999999998</v>
      </c>
      <c r="T2607">
        <v>-0.1807165</v>
      </c>
      <c r="U2607">
        <v>-0.28439330000000002</v>
      </c>
      <c r="V2607">
        <v>-6.6841899999999996E-3</v>
      </c>
      <c r="W2607">
        <v>0.3660949</v>
      </c>
      <c r="X2607">
        <v>0.93055350000000003</v>
      </c>
      <c r="Y2607">
        <v>-8.7945389999999998E-2</v>
      </c>
      <c r="Z2607">
        <v>-3.1224909999999998E-3</v>
      </c>
      <c r="AA2607">
        <v>0.99612040000000002</v>
      </c>
      <c r="AB2607">
        <v>33</v>
      </c>
      <c r="AC2607">
        <v>-19.897200000000002</v>
      </c>
      <c r="AD2607">
        <v>-1.1105054959530001</v>
      </c>
      <c r="AE2607">
        <v>-1.74809999999996</v>
      </c>
      <c r="AF2607">
        <v>-1.77285139371742</v>
      </c>
      <c r="AG2607">
        <v>-1.1105054959530001</v>
      </c>
      <c r="AH2607">
        <v>19.833213650226899</v>
      </c>
      <c r="AI2607">
        <v>93.192070269918403</v>
      </c>
      <c r="AJ2607">
        <v>95.107979652560601</v>
      </c>
      <c r="AK2607">
        <v>19.943234146353799</v>
      </c>
      <c r="AL2607">
        <v>68.525019407596801</v>
      </c>
      <c r="AM2607">
        <v>90.411549996868004</v>
      </c>
      <c r="AN2607">
        <v>0.99999998528210798</v>
      </c>
    </row>
    <row r="2608" spans="1:40" x14ac:dyDescent="0.25">
      <c r="A2608" t="str">
        <f>"20190304164904329"</f>
        <v>20190304164904329</v>
      </c>
      <c r="B2608" t="str">
        <f>"1551689344318699"</f>
        <v>1551689344318699</v>
      </c>
      <c r="C2608" t="s">
        <v>40</v>
      </c>
      <c r="D2608">
        <v>4.0203150000000001</v>
      </c>
      <c r="E2608">
        <v>0.48086329999999999</v>
      </c>
      <c r="F2608" t="s">
        <v>47</v>
      </c>
      <c r="G2608">
        <v>-410.05239999999998</v>
      </c>
      <c r="H2608" s="1">
        <v>2.3944459999999999E-6</v>
      </c>
      <c r="I2608">
        <v>282.56420000000003</v>
      </c>
      <c r="J2608">
        <v>-390.13279999999997</v>
      </c>
      <c r="K2608">
        <v>1.1105119999999999</v>
      </c>
      <c r="L2608">
        <v>284.3109</v>
      </c>
      <c r="M2608">
        <v>-0.99989349999999999</v>
      </c>
      <c r="N2608">
        <v>-1.446832E-2</v>
      </c>
      <c r="O2608">
        <v>1.8738699999999999E-3</v>
      </c>
      <c r="P2608">
        <v>-0.93566510000000003</v>
      </c>
      <c r="Q2608">
        <v>0.35285529999999998</v>
      </c>
      <c r="R2608">
        <v>-4.9120650000000002E-3</v>
      </c>
      <c r="S2608">
        <v>-3.2720639999999999</v>
      </c>
      <c r="T2608">
        <v>-0.17986659999999999</v>
      </c>
      <c r="U2608">
        <v>-0.28277590000000002</v>
      </c>
      <c r="V2608">
        <v>-6.3351519999999897E-3</v>
      </c>
      <c r="W2608">
        <v>0.36636150000000001</v>
      </c>
      <c r="X2608">
        <v>0.93045100000000003</v>
      </c>
      <c r="Y2608">
        <v>-8.7799279999999993E-2</v>
      </c>
      <c r="Z2608">
        <v>-3.1195469999999999E-3</v>
      </c>
      <c r="AA2608">
        <v>0.9961333</v>
      </c>
      <c r="AB2608">
        <v>33</v>
      </c>
      <c r="AC2608">
        <v>-19.919599999999999</v>
      </c>
      <c r="AD2608">
        <v>-1.110509605554</v>
      </c>
      <c r="AE2608">
        <v>-1.7466999999999699</v>
      </c>
      <c r="AF2608">
        <v>-1.7785420235281399</v>
      </c>
      <c r="AG2608">
        <v>-1.110509605554</v>
      </c>
      <c r="AH2608">
        <v>19.855052615921402</v>
      </c>
      <c r="AI2608">
        <v>93.188525087071298</v>
      </c>
      <c r="AJ2608">
        <v>95.118682122987494</v>
      </c>
      <c r="AK2608">
        <v>19.9654591155448</v>
      </c>
      <c r="AL2608">
        <v>68.508603610730304</v>
      </c>
      <c r="AM2608">
        <v>90.390103147107496</v>
      </c>
      <c r="AN2608">
        <v>0.99999997311705602</v>
      </c>
    </row>
    <row r="2609" spans="1:40" x14ac:dyDescent="0.25">
      <c r="A2609" t="str">
        <f>"20190304164904342"</f>
        <v>20190304164904342</v>
      </c>
      <c r="B2609" t="str">
        <f>"1551689344328459"</f>
        <v>1551689344328459</v>
      </c>
      <c r="C2609" t="s">
        <v>40</v>
      </c>
      <c r="D2609">
        <v>4.0073869999999996</v>
      </c>
      <c r="E2609">
        <v>0.48060900000000001</v>
      </c>
      <c r="F2609" t="s">
        <v>47</v>
      </c>
      <c r="G2609">
        <v>-410.46100000000001</v>
      </c>
      <c r="H2609" s="1">
        <v>2.468204E-6</v>
      </c>
      <c r="I2609">
        <v>282.54969999999997</v>
      </c>
      <c r="J2609">
        <v>-390.31439999999998</v>
      </c>
      <c r="K2609">
        <v>1.1105130000000001</v>
      </c>
      <c r="L2609">
        <v>284.31150000000002</v>
      </c>
      <c r="M2609">
        <v>-0.99989309999999998</v>
      </c>
      <c r="N2609">
        <v>-1.446656E-2</v>
      </c>
      <c r="O2609">
        <v>2.1014459999999999E-3</v>
      </c>
      <c r="P2609">
        <v>-0.93574780000000002</v>
      </c>
      <c r="Q2609">
        <v>0.35263749999999999</v>
      </c>
      <c r="R2609">
        <v>-4.7574679999999999E-3</v>
      </c>
      <c r="S2609">
        <v>-3.2722169999999999</v>
      </c>
      <c r="T2609">
        <v>-0.17875750000000001</v>
      </c>
      <c r="U2609">
        <v>-0.28350829999999999</v>
      </c>
      <c r="V2609">
        <v>-6.3938650000000003E-3</v>
      </c>
      <c r="W2609">
        <v>0.3661432</v>
      </c>
      <c r="X2609">
        <v>0.93053660000000005</v>
      </c>
      <c r="Y2609">
        <v>-8.8244160000000002E-2</v>
      </c>
      <c r="Z2609">
        <v>-3.1283449999999998E-3</v>
      </c>
      <c r="AA2609">
        <v>0.99609400000000003</v>
      </c>
      <c r="AB2609">
        <v>33</v>
      </c>
      <c r="AC2609">
        <v>-20.146599999999999</v>
      </c>
      <c r="AD2609">
        <v>-1.11051053179599</v>
      </c>
      <c r="AE2609">
        <v>-1.76180000000005</v>
      </c>
      <c r="AF2609">
        <v>-1.79871383765591</v>
      </c>
      <c r="AG2609">
        <v>-1.11051053179599</v>
      </c>
      <c r="AH2609">
        <v>20.0822982535386</v>
      </c>
      <c r="AI2609">
        <v>93.152523010847403</v>
      </c>
      <c r="AJ2609">
        <v>95.118161318088596</v>
      </c>
      <c r="AK2609">
        <v>20.193249076240399</v>
      </c>
      <c r="AL2609">
        <v>68.522046867616297</v>
      </c>
      <c r="AM2609">
        <v>90.393682219593202</v>
      </c>
      <c r="AN2609">
        <v>1.0000000441777099</v>
      </c>
    </row>
    <row r="2610" spans="1:40" x14ac:dyDescent="0.25">
      <c r="A2610" t="str">
        <f>"20190304164904355"</f>
        <v>20190304164904355</v>
      </c>
      <c r="B2610" t="str">
        <f>"1551689344348955"</f>
        <v>1551689344348955</v>
      </c>
      <c r="C2610" t="s">
        <v>40</v>
      </c>
      <c r="D2610">
        <v>3.9953400000000001</v>
      </c>
      <c r="E2610">
        <v>0.48025269999999998</v>
      </c>
      <c r="F2610" t="s">
        <v>47</v>
      </c>
      <c r="G2610">
        <v>-410.57530000000003</v>
      </c>
      <c r="H2610" s="1">
        <v>2.4889960000000001E-6</v>
      </c>
      <c r="I2610">
        <v>282.54360000000003</v>
      </c>
      <c r="J2610">
        <v>-390.50810000000001</v>
      </c>
      <c r="K2610">
        <v>1.110511</v>
      </c>
      <c r="L2610">
        <v>284.31209999999999</v>
      </c>
      <c r="M2610">
        <v>-0.99989269999999997</v>
      </c>
      <c r="N2610">
        <v>-1.4464660000000001E-2</v>
      </c>
      <c r="O2610">
        <v>2.3441E-3</v>
      </c>
      <c r="P2610">
        <v>-0.93577949999999999</v>
      </c>
      <c r="Q2610">
        <v>0.35255560000000002</v>
      </c>
      <c r="R2610">
        <v>-4.6531890000000003E-3</v>
      </c>
      <c r="S2610">
        <v>-3.2721559999999998</v>
      </c>
      <c r="T2610">
        <v>-0.17934890000000001</v>
      </c>
      <c r="U2610">
        <v>-0.28552250000000001</v>
      </c>
      <c r="V2610">
        <v>-6.5165550000000003E-3</v>
      </c>
      <c r="W2610">
        <v>0.36606030000000001</v>
      </c>
      <c r="X2610">
        <v>0.93056830000000001</v>
      </c>
      <c r="Y2610">
        <v>-8.9093240000000004E-2</v>
      </c>
      <c r="Z2610">
        <v>-3.1757170000000002E-3</v>
      </c>
      <c r="AA2610">
        <v>0.99601819999999996</v>
      </c>
      <c r="AB2610">
        <v>32</v>
      </c>
      <c r="AC2610">
        <v>-20.0672</v>
      </c>
      <c r="AD2610">
        <v>-1.1105085110040001</v>
      </c>
      <c r="AE2610">
        <v>-1.76849999999996</v>
      </c>
      <c r="AF2610">
        <v>-1.81003913278147</v>
      </c>
      <c r="AG2610">
        <v>-1.1105085110040001</v>
      </c>
      <c r="AH2610">
        <v>20.0022150163534</v>
      </c>
      <c r="AI2610">
        <v>93.164852600785906</v>
      </c>
      <c r="AJ2610">
        <v>95.1707226328421</v>
      </c>
      <c r="AK2610">
        <v>20.1146234460317</v>
      </c>
      <c r="AL2610">
        <v>68.527149708719406</v>
      </c>
      <c r="AM2610">
        <v>90.401222559831297</v>
      </c>
      <c r="AN2610">
        <v>0.99999998484502395</v>
      </c>
    </row>
    <row r="2611" spans="1:40" x14ac:dyDescent="0.25">
      <c r="A2611" t="str">
        <f>"20190304164904367"</f>
        <v>20190304164904367</v>
      </c>
      <c r="B2611" t="str">
        <f>"1551689344358715"</f>
        <v>1551689344358715</v>
      </c>
      <c r="C2611" t="s">
        <v>40</v>
      </c>
      <c r="D2611">
        <v>3.9814050000000001</v>
      </c>
      <c r="E2611">
        <v>0.4801358</v>
      </c>
      <c r="F2611" t="s">
        <v>47</v>
      </c>
      <c r="G2611">
        <v>-410.77229999999997</v>
      </c>
      <c r="H2611" s="1">
        <v>2.5252820000000001E-6</v>
      </c>
      <c r="I2611">
        <v>282.5283</v>
      </c>
      <c r="J2611">
        <v>-390.68430000000001</v>
      </c>
      <c r="K2611">
        <v>1.1105119999999999</v>
      </c>
      <c r="L2611">
        <v>284.31270000000001</v>
      </c>
      <c r="M2611">
        <v>-0.99989209999999995</v>
      </c>
      <c r="N2611">
        <v>-1.4462930000000001E-2</v>
      </c>
      <c r="O2611">
        <v>2.5646380000000002E-3</v>
      </c>
      <c r="P2611">
        <v>-0.93586840000000004</v>
      </c>
      <c r="Q2611">
        <v>0.35232370000000002</v>
      </c>
      <c r="R2611">
        <v>-4.2528039999999998E-3</v>
      </c>
      <c r="S2611">
        <v>-3.2720030000000002</v>
      </c>
      <c r="T2611">
        <v>-0.17931059999999999</v>
      </c>
      <c r="U2611">
        <v>-0.28802489999999997</v>
      </c>
      <c r="V2611">
        <v>-6.3228219999999996E-3</v>
      </c>
      <c r="W2611">
        <v>0.36582819999999999</v>
      </c>
      <c r="X2611">
        <v>0.93066090000000001</v>
      </c>
      <c r="Y2611">
        <v>-9.0070869999999997E-2</v>
      </c>
      <c r="Z2611">
        <v>-3.217831E-3</v>
      </c>
      <c r="AA2611">
        <v>0.99593010000000004</v>
      </c>
      <c r="AB2611">
        <v>32</v>
      </c>
      <c r="AC2611">
        <v>-20.087999999999901</v>
      </c>
      <c r="AD2611">
        <v>-1.110509474718</v>
      </c>
      <c r="AE2611">
        <v>-1.7844</v>
      </c>
      <c r="AF2611">
        <v>-1.8303679282976899</v>
      </c>
      <c r="AG2611">
        <v>-1.110509474718</v>
      </c>
      <c r="AH2611">
        <v>20.022644456863599</v>
      </c>
      <c r="AI2611">
        <v>93.161370056017901</v>
      </c>
      <c r="AJ2611">
        <v>95.223170454593898</v>
      </c>
      <c r="AK2611">
        <v>20.136776531817301</v>
      </c>
      <c r="AL2611">
        <v>68.541439126160398</v>
      </c>
      <c r="AM2611">
        <v>90.389256109897502</v>
      </c>
      <c r="AN2611">
        <v>0.99999998039104598</v>
      </c>
    </row>
    <row r="2612" spans="1:40" x14ac:dyDescent="0.25">
      <c r="A2612" t="str">
        <f>"20190304164904386"</f>
        <v>20190304164904386</v>
      </c>
      <c r="B2612" t="str">
        <f>"1551689344378234"</f>
        <v>1551689344378234</v>
      </c>
      <c r="C2612" t="s">
        <v>40</v>
      </c>
      <c r="D2612">
        <v>3.972531</v>
      </c>
      <c r="E2612">
        <v>0.4798019</v>
      </c>
      <c r="F2612" t="s">
        <v>47</v>
      </c>
      <c r="G2612">
        <v>-410.89</v>
      </c>
      <c r="H2612" s="1">
        <v>2.5458849999999999E-6</v>
      </c>
      <c r="I2612">
        <v>282.53140000000002</v>
      </c>
      <c r="J2612">
        <v>-390.94589999999999</v>
      </c>
      <c r="K2612">
        <v>1.1105179999999999</v>
      </c>
      <c r="L2612">
        <v>284.31380000000001</v>
      </c>
      <c r="M2612">
        <v>-0.99989130000000004</v>
      </c>
      <c r="N2612">
        <v>-1.446035E-2</v>
      </c>
      <c r="O2612">
        <v>2.8917470000000001E-3</v>
      </c>
      <c r="P2612">
        <v>-0.9358706</v>
      </c>
      <c r="Q2612">
        <v>0.35232010000000002</v>
      </c>
      <c r="R2612">
        <v>-4.1380690000000003E-3</v>
      </c>
      <c r="S2612">
        <v>-3.271973</v>
      </c>
      <c r="T2612">
        <v>-0.17982860000000001</v>
      </c>
      <c r="U2612">
        <v>-0.28845209999999999</v>
      </c>
      <c r="V2612">
        <v>-6.5141060000000004E-3</v>
      </c>
      <c r="W2612">
        <v>0.36582239999999999</v>
      </c>
      <c r="X2612">
        <v>0.93066190000000004</v>
      </c>
      <c r="Y2612">
        <v>-9.0524530000000006E-2</v>
      </c>
      <c r="Z2612">
        <v>-3.2541779999999999E-3</v>
      </c>
      <c r="AA2612">
        <v>0.99588889999999997</v>
      </c>
      <c r="AB2612">
        <v>32</v>
      </c>
      <c r="AC2612">
        <v>-19.944099999999899</v>
      </c>
      <c r="AD2612">
        <v>-1.110515454115</v>
      </c>
      <c r="AE2612">
        <v>-1.78239999999999</v>
      </c>
      <c r="AF2612">
        <v>-1.83442943276319</v>
      </c>
      <c r="AG2612">
        <v>-1.110515454115</v>
      </c>
      <c r="AH2612">
        <v>19.877720880923601</v>
      </c>
      <c r="AI2612">
        <v>93.184136635957799</v>
      </c>
      <c r="AJ2612">
        <v>95.272646668310401</v>
      </c>
      <c r="AK2612">
        <v>19.993052876875101</v>
      </c>
      <c r="AL2612">
        <v>68.541797017063601</v>
      </c>
      <c r="AM2612">
        <v>90.401031444570805</v>
      </c>
      <c r="AN2612">
        <v>1.0000000170151699</v>
      </c>
    </row>
    <row r="2613" spans="1:40" x14ac:dyDescent="0.25">
      <c r="A2613" t="str">
        <f>"20190304164904398"</f>
        <v>20190304164904398</v>
      </c>
      <c r="B2613" t="str">
        <f>"1551689344388971"</f>
        <v>1551689344388971</v>
      </c>
      <c r="C2613" t="s">
        <v>40</v>
      </c>
      <c r="D2613">
        <v>4.0323669999999998</v>
      </c>
      <c r="E2613">
        <v>0.47984670000000001</v>
      </c>
      <c r="F2613" t="s">
        <v>47</v>
      </c>
      <c r="G2613">
        <v>-411.21620000000001</v>
      </c>
      <c r="H2613" s="1">
        <v>2.605513E-6</v>
      </c>
      <c r="I2613">
        <v>282.51130000000001</v>
      </c>
      <c r="J2613">
        <v>-391.13139999999999</v>
      </c>
      <c r="K2613">
        <v>1.1105210000000001</v>
      </c>
      <c r="L2613">
        <v>284.31450000000001</v>
      </c>
      <c r="M2613">
        <v>-0.99989059999999996</v>
      </c>
      <c r="N2613">
        <v>-1.4458510000000001E-2</v>
      </c>
      <c r="O2613">
        <v>3.1237259999999998E-3</v>
      </c>
      <c r="P2613">
        <v>-0.93577719999999998</v>
      </c>
      <c r="Q2613">
        <v>0.35256680000000001</v>
      </c>
      <c r="R2613">
        <v>-4.1874629999999998E-3</v>
      </c>
      <c r="S2613">
        <v>-3.2717290000000001</v>
      </c>
      <c r="T2613">
        <v>-0.17924279999999901</v>
      </c>
      <c r="U2613">
        <v>-0.29092410000000002</v>
      </c>
      <c r="V2613">
        <v>-6.7805549999999997E-3</v>
      </c>
      <c r="W2613">
        <v>0.366066</v>
      </c>
      <c r="X2613">
        <v>0.93056419999999995</v>
      </c>
      <c r="Y2613">
        <v>-9.1507580000000005E-2</v>
      </c>
      <c r="Z2613">
        <v>-3.2889550000000001E-3</v>
      </c>
      <c r="AA2613">
        <v>0.99579890000000004</v>
      </c>
      <c r="AB2613">
        <v>32</v>
      </c>
      <c r="AC2613">
        <v>-20.084800000000001</v>
      </c>
      <c r="AD2613">
        <v>-1.1105183944869901</v>
      </c>
      <c r="AE2613">
        <v>-1.8031999999999999</v>
      </c>
      <c r="AF2613">
        <v>-1.8602954461553201</v>
      </c>
      <c r="AG2613">
        <v>-1.1105183944869901</v>
      </c>
      <c r="AH2613">
        <v>20.018358948232802</v>
      </c>
      <c r="AI2613">
        <v>93.161634019162904</v>
      </c>
      <c r="AJ2613">
        <v>95.309218075726506</v>
      </c>
      <c r="AK2613">
        <v>20.135258757507302</v>
      </c>
      <c r="AL2613">
        <v>68.526799359975996</v>
      </c>
      <c r="AM2613">
        <v>90.417478244889594</v>
      </c>
      <c r="AN2613">
        <v>1.0000000113018701</v>
      </c>
    </row>
    <row r="2614" spans="1:40" x14ac:dyDescent="0.25">
      <c r="A2614" t="str">
        <f>"20190304164904411"</f>
        <v>20190304164904411</v>
      </c>
      <c r="B2614" t="str">
        <f>"1551689344398731"</f>
        <v>1551689344398731</v>
      </c>
      <c r="C2614" t="s">
        <v>40</v>
      </c>
      <c r="D2614">
        <v>4.1797760000000004</v>
      </c>
      <c r="E2614">
        <v>0.47984670000000001</v>
      </c>
      <c r="F2614" t="s">
        <v>47</v>
      </c>
      <c r="G2614">
        <v>-411.48869999999999</v>
      </c>
      <c r="H2614" s="1">
        <v>2.6546590000000001E-6</v>
      </c>
      <c r="I2614">
        <v>282.50209999999998</v>
      </c>
      <c r="J2614">
        <v>-391.31700000000001</v>
      </c>
      <c r="K2614">
        <v>1.1105240000000001</v>
      </c>
      <c r="L2614">
        <v>284.31540000000001</v>
      </c>
      <c r="M2614">
        <v>-0.99988999999999995</v>
      </c>
      <c r="N2614">
        <v>-1.445668E-2</v>
      </c>
      <c r="O2614">
        <v>3.355823E-3</v>
      </c>
      <c r="P2614">
        <v>-0.93569469999999999</v>
      </c>
      <c r="Q2614">
        <v>0.3527844</v>
      </c>
      <c r="R2614">
        <v>-4.3388289999999998E-3</v>
      </c>
      <c r="S2614">
        <v>-3.2717900000000002</v>
      </c>
      <c r="T2614">
        <v>-0.17848</v>
      </c>
      <c r="U2614">
        <v>-0.2912903</v>
      </c>
      <c r="V2614">
        <v>-7.148644E-3</v>
      </c>
      <c r="W2614">
        <v>0.36628080000000002</v>
      </c>
      <c r="X2614">
        <v>0.93047690000000005</v>
      </c>
      <c r="Y2614">
        <v>-9.1848189999999996E-2</v>
      </c>
      <c r="Z2614">
        <v>-3.2984799999999999E-3</v>
      </c>
      <c r="AA2614">
        <v>0.99576750000000003</v>
      </c>
      <c r="AB2614">
        <v>32</v>
      </c>
      <c r="AC2614">
        <v>-20.171700000000001</v>
      </c>
      <c r="AD2614">
        <v>-1.1105213453409899</v>
      </c>
      <c r="AE2614">
        <v>-1.8133000000000199</v>
      </c>
      <c r="AF2614">
        <v>-1.8753511057104999</v>
      </c>
      <c r="AG2614">
        <v>-1.1105213453409899</v>
      </c>
      <c r="AH2614">
        <v>20.1050530949232</v>
      </c>
      <c r="AI2614">
        <v>93.147935745604997</v>
      </c>
      <c r="AJ2614">
        <v>95.328993171924594</v>
      </c>
      <c r="AK2614">
        <v>20.2228425147858</v>
      </c>
      <c r="AL2614">
        <v>68.513573278075796</v>
      </c>
      <c r="AM2614">
        <v>90.440181881030298</v>
      </c>
      <c r="AN2614">
        <v>0.99999999449664401</v>
      </c>
    </row>
    <row r="2615" spans="1:40" x14ac:dyDescent="0.25">
      <c r="A2615" t="str">
        <f>"20190304164904425"</f>
        <v>20190304164904425</v>
      </c>
      <c r="B2615" t="str">
        <f>"1551689344418251"</f>
        <v>1551689344418251</v>
      </c>
      <c r="C2615" t="s">
        <v>40</v>
      </c>
      <c r="D2615">
        <v>4.0324749999999998</v>
      </c>
      <c r="E2615">
        <v>0.52673749999999997</v>
      </c>
      <c r="F2615" t="s">
        <v>47</v>
      </c>
      <c r="G2615">
        <v>-411.74189999999999</v>
      </c>
      <c r="H2615" s="1">
        <v>2.6997830000000001E-6</v>
      </c>
      <c r="I2615">
        <v>282.49970000000002</v>
      </c>
      <c r="J2615">
        <v>-391.5111</v>
      </c>
      <c r="K2615">
        <v>1.1105290000000001</v>
      </c>
      <c r="L2615">
        <v>284.31619999999998</v>
      </c>
      <c r="M2615">
        <v>-0.99988909999999998</v>
      </c>
      <c r="N2615">
        <v>-1.445464E-2</v>
      </c>
      <c r="O2615">
        <v>3.5988259999999998E-3</v>
      </c>
      <c r="P2615">
        <v>-0.93550440000000001</v>
      </c>
      <c r="Q2615">
        <v>0.35328870000000001</v>
      </c>
      <c r="R2615">
        <v>-4.2902959999999999E-3</v>
      </c>
      <c r="S2615">
        <v>-3.2719119999999999</v>
      </c>
      <c r="T2615">
        <v>-0.177897</v>
      </c>
      <c r="U2615">
        <v>-0.29086299999999998</v>
      </c>
      <c r="V2615">
        <v>-7.3272329999999998E-3</v>
      </c>
      <c r="W2615">
        <v>0.36678080000000002</v>
      </c>
      <c r="X2615">
        <v>0.93027850000000001</v>
      </c>
      <c r="Y2615">
        <v>-9.195855E-2</v>
      </c>
      <c r="Z2615">
        <v>-3.3030220000000001E-3</v>
      </c>
      <c r="AA2615">
        <v>0.99575729999999996</v>
      </c>
      <c r="AB2615">
        <v>32</v>
      </c>
      <c r="AC2615">
        <v>-20.230799999999899</v>
      </c>
      <c r="AD2615">
        <v>-1.1105263002170001</v>
      </c>
      <c r="AE2615">
        <v>-1.81649999999996</v>
      </c>
      <c r="AF2615">
        <v>-1.8836724313114399</v>
      </c>
      <c r="AG2615">
        <v>-1.1105263002170001</v>
      </c>
      <c r="AH2615">
        <v>20.163858683573402</v>
      </c>
      <c r="AI2615">
        <v>93.138746737844002</v>
      </c>
      <c r="AJ2615">
        <v>95.336982305863998</v>
      </c>
      <c r="AK2615">
        <v>20.2820779877969</v>
      </c>
      <c r="AL2615">
        <v>68.482781880804893</v>
      </c>
      <c r="AM2615">
        <v>90.4512743712976</v>
      </c>
      <c r="AN2615">
        <v>0.99999996557716198</v>
      </c>
    </row>
    <row r="2616" spans="1:40" x14ac:dyDescent="0.25">
      <c r="A2616" t="str">
        <f>"20190304164904437"</f>
        <v>20190304164904437</v>
      </c>
      <c r="B2616" t="str">
        <f>"1551689344428987"</f>
        <v>1551689344428987</v>
      </c>
      <c r="C2616" t="s">
        <v>40</v>
      </c>
      <c r="D2616">
        <v>4.0257420000000002</v>
      </c>
      <c r="E2616">
        <v>0.5316398</v>
      </c>
      <c r="F2616" t="s">
        <v>47</v>
      </c>
      <c r="G2616">
        <v>-409.66430000000003</v>
      </c>
      <c r="H2616" s="1">
        <v>4.0836549999999998E-6</v>
      </c>
      <c r="I2616">
        <v>284.77550000000002</v>
      </c>
      <c r="J2616">
        <v>-391.70400000000001</v>
      </c>
      <c r="K2616">
        <v>1.1105339999999999</v>
      </c>
      <c r="L2616">
        <v>284.31720000000001</v>
      </c>
      <c r="M2616">
        <v>-0.99988829999999995</v>
      </c>
      <c r="N2616">
        <v>-1.445259E-2</v>
      </c>
      <c r="O2616">
        <v>3.8401009999999998E-3</v>
      </c>
      <c r="P2616">
        <v>-0.93542150000000002</v>
      </c>
      <c r="Q2616">
        <v>0.35350619999999999</v>
      </c>
      <c r="R2616">
        <v>-4.4915210000000001E-3</v>
      </c>
      <c r="S2616">
        <v>-3.2830810000000001</v>
      </c>
      <c r="T2616">
        <v>-0.20084360000000001</v>
      </c>
      <c r="U2616">
        <v>8.306885E-2</v>
      </c>
      <c r="V2616">
        <v>-7.7541490000000001E-3</v>
      </c>
      <c r="W2616">
        <v>0.36699549999999997</v>
      </c>
      <c r="X2616">
        <v>0.93019039999999997</v>
      </c>
      <c r="Y2616">
        <v>2.1409250000000001E-2</v>
      </c>
      <c r="Z2616">
        <v>6.2985949999999895E-4</v>
      </c>
      <c r="AA2616">
        <v>0.99977059999999995</v>
      </c>
      <c r="AB2616">
        <v>32</v>
      </c>
      <c r="AC2616">
        <v>-17.9603</v>
      </c>
      <c r="AD2616">
        <v>-1.110529916345</v>
      </c>
      <c r="AE2616">
        <v>0.45830000000000798</v>
      </c>
      <c r="AF2616">
        <v>0.38783821828904202</v>
      </c>
      <c r="AG2616">
        <v>-1.110529916345</v>
      </c>
      <c r="AH2616">
        <v>17.893560507229498</v>
      </c>
      <c r="AI2616">
        <v>93.550567048195902</v>
      </c>
      <c r="AJ2616">
        <v>88.758323466680395</v>
      </c>
      <c r="AK2616">
        <v>17.9321834366188</v>
      </c>
      <c r="AL2616">
        <v>68.469559157579198</v>
      </c>
      <c r="AM2616">
        <v>90.477611595201296</v>
      </c>
      <c r="AN2616">
        <v>1.0000000020495601</v>
      </c>
    </row>
    <row r="2617" spans="1:40" x14ac:dyDescent="0.25">
      <c r="A2617" t="str">
        <f>"20190304164904452"</f>
        <v>20190304164904452</v>
      </c>
      <c r="B2617" t="str">
        <f>"1551689344448507"</f>
        <v>1551689344448507</v>
      </c>
      <c r="C2617" t="s">
        <v>40</v>
      </c>
      <c r="D2617">
        <v>3.9701949999999999</v>
      </c>
      <c r="E2617">
        <v>0.53685719999999904</v>
      </c>
      <c r="F2617" t="s">
        <v>41</v>
      </c>
      <c r="G2617">
        <v>-392.69170000000003</v>
      </c>
      <c r="H2617">
        <v>1.049091</v>
      </c>
      <c r="I2617">
        <v>284.35410000000002</v>
      </c>
      <c r="J2617">
        <v>-391.9169</v>
      </c>
      <c r="K2617">
        <v>1.1105320000000001</v>
      </c>
      <c r="L2617">
        <v>284.31819999999999</v>
      </c>
      <c r="M2617">
        <v>-0.99988719999999998</v>
      </c>
      <c r="N2617">
        <v>-1.4450319999999999E-2</v>
      </c>
      <c r="O2617">
        <v>4.1064689999999997E-3</v>
      </c>
      <c r="P2617">
        <v>-0.93536039999999998</v>
      </c>
      <c r="Q2617">
        <v>0.35367100000000001</v>
      </c>
      <c r="R2617">
        <v>-4.2445360000000001E-3</v>
      </c>
      <c r="S2617">
        <v>-3.2849729999999999</v>
      </c>
      <c r="T2617">
        <v>-0.20454990000000001</v>
      </c>
      <c r="U2617">
        <v>0.1216431</v>
      </c>
      <c r="V2617">
        <v>-7.7558330000000002E-3</v>
      </c>
      <c r="W2617">
        <v>0.36715740000000002</v>
      </c>
      <c r="X2617">
        <v>0.93012649999999997</v>
      </c>
      <c r="Y2617">
        <v>3.2826809999999998E-2</v>
      </c>
      <c r="Z2617">
        <v>1.0621700000000001E-3</v>
      </c>
      <c r="AA2617">
        <v>0.99946049999999997</v>
      </c>
      <c r="AB2617">
        <v>32</v>
      </c>
      <c r="AC2617">
        <v>-0.77480000000002702</v>
      </c>
      <c r="AD2617">
        <v>-6.1441000000000003E-2</v>
      </c>
      <c r="AE2617">
        <v>3.5900000000026397E-2</v>
      </c>
      <c r="AF2617">
        <v>3.2513653444164702E-2</v>
      </c>
      <c r="AG2617">
        <v>-6.1441000000000003E-2</v>
      </c>
      <c r="AH2617">
        <v>0.77010855889997398</v>
      </c>
      <c r="AI2617">
        <v>94.557481801323803</v>
      </c>
      <c r="AJ2617">
        <v>87.582432483950996</v>
      </c>
      <c r="AK2617">
        <v>0.77323950146916398</v>
      </c>
      <c r="AL2617">
        <v>68.459586935877894</v>
      </c>
      <c r="AM2617">
        <v>90.477748132922699</v>
      </c>
      <c r="AN2617">
        <v>1.0000000076612601</v>
      </c>
    </row>
    <row r="2618" spans="1:40" x14ac:dyDescent="0.25">
      <c r="A2618" t="str">
        <f>"20190304164904475"</f>
        <v>20190304164904475</v>
      </c>
      <c r="B2618" t="str">
        <f>"1551689344469003"</f>
        <v>1551689344469003</v>
      </c>
      <c r="C2618" t="s">
        <v>40</v>
      </c>
      <c r="D2618">
        <v>3.9559069999999998</v>
      </c>
      <c r="E2618">
        <v>0.53925840000000003</v>
      </c>
      <c r="F2618" t="s">
        <v>47</v>
      </c>
      <c r="G2618">
        <v>-409.39940000000001</v>
      </c>
      <c r="H2618" s="1">
        <v>4.1159569999999999E-6</v>
      </c>
      <c r="I2618">
        <v>285.18759999999997</v>
      </c>
      <c r="J2618">
        <v>-392.24610000000001</v>
      </c>
      <c r="K2618">
        <v>1.110533</v>
      </c>
      <c r="L2618">
        <v>284.32</v>
      </c>
      <c r="M2618">
        <v>-0.99988540000000004</v>
      </c>
      <c r="N2618">
        <v>-1.4446870000000001E-2</v>
      </c>
      <c r="O2618">
        <v>4.5183879999999999E-3</v>
      </c>
      <c r="P2618">
        <v>-0.93547919999999996</v>
      </c>
      <c r="Q2618">
        <v>0.35335809999999901</v>
      </c>
      <c r="R2618">
        <v>-4.1226520000000001E-3</v>
      </c>
      <c r="S2618">
        <v>-3.2870180000000002</v>
      </c>
      <c r="T2618">
        <v>-0.2087984</v>
      </c>
      <c r="U2618">
        <v>0.16345209999999999</v>
      </c>
      <c r="V2618">
        <v>-8.0207939999999995E-3</v>
      </c>
      <c r="W2618">
        <v>0.36684329999999998</v>
      </c>
      <c r="X2618">
        <v>0.93024810000000002</v>
      </c>
      <c r="Y2618">
        <v>4.5045599999999998E-2</v>
      </c>
      <c r="Z2618">
        <v>1.533027E-3</v>
      </c>
      <c r="AA2618">
        <v>0.99898370000000003</v>
      </c>
      <c r="AB2618">
        <v>32</v>
      </c>
      <c r="AC2618">
        <v>-17.153300000000002</v>
      </c>
      <c r="AD2618">
        <v>-1.1105288840430001</v>
      </c>
      <c r="AE2618">
        <v>0.86759999999998105</v>
      </c>
      <c r="AF2618">
        <v>0.78678841541949296</v>
      </c>
      <c r="AG2618">
        <v>-1.1105288840430001</v>
      </c>
      <c r="AH2618">
        <v>17.085614654260201</v>
      </c>
      <c r="AI2618">
        <v>93.714947733594499</v>
      </c>
      <c r="AJ2618">
        <v>87.363405885077597</v>
      </c>
      <c r="AK2618">
        <v>17.139735660937301</v>
      </c>
      <c r="AL2618">
        <v>68.478931859427206</v>
      </c>
      <c r="AM2618">
        <v>90.494003972521796</v>
      </c>
      <c r="AN2618">
        <v>0.999999933722443</v>
      </c>
    </row>
    <row r="2619" spans="1:40" x14ac:dyDescent="0.25">
      <c r="A2619" t="str">
        <f>"20190304164904489"</f>
        <v>20190304164904489</v>
      </c>
      <c r="B2619" t="str">
        <f>"1551689344478763"</f>
        <v>1551689344478763</v>
      </c>
      <c r="C2619" t="s">
        <v>40</v>
      </c>
      <c r="D2619">
        <v>3.9434550000000002</v>
      </c>
      <c r="E2619">
        <v>0.53992050000000003</v>
      </c>
      <c r="F2619" t="s">
        <v>41</v>
      </c>
      <c r="G2619">
        <v>-393.26310000000001</v>
      </c>
      <c r="H2619">
        <v>1.045051</v>
      </c>
      <c r="I2619">
        <v>284.3766</v>
      </c>
      <c r="J2619">
        <v>-392.45260000000002</v>
      </c>
      <c r="K2619">
        <v>1.110533</v>
      </c>
      <c r="L2619">
        <v>284.32119999999998</v>
      </c>
      <c r="M2619">
        <v>-0.99988429999999995</v>
      </c>
      <c r="N2619">
        <v>-1.4444719999999999E-2</v>
      </c>
      <c r="O2619">
        <v>4.777066E-3</v>
      </c>
      <c r="P2619">
        <v>-0.93544919999999998</v>
      </c>
      <c r="Q2619">
        <v>0.35343829999999998</v>
      </c>
      <c r="R2619">
        <v>-4.0221420000000003E-3</v>
      </c>
      <c r="S2619">
        <v>-3.2876889999999999</v>
      </c>
      <c r="T2619">
        <v>-0.21175649999999999</v>
      </c>
      <c r="U2619">
        <v>0.18212890000000001</v>
      </c>
      <c r="V2619">
        <v>-8.162463E-3</v>
      </c>
      <c r="W2619">
        <v>0.366921</v>
      </c>
      <c r="X2619">
        <v>0.9302163</v>
      </c>
      <c r="Y2619">
        <v>5.0419869999999999E-2</v>
      </c>
      <c r="Z2619">
        <v>1.7475139999999999E-3</v>
      </c>
      <c r="AA2619">
        <v>0.99872660000000002</v>
      </c>
      <c r="AB2619">
        <v>32</v>
      </c>
      <c r="AC2619">
        <v>-0.81049999999999001</v>
      </c>
      <c r="AD2619">
        <v>-6.5481999999999999E-2</v>
      </c>
      <c r="AE2619">
        <v>5.54000000000201E-2</v>
      </c>
      <c r="AF2619">
        <v>5.1194540517052703E-2</v>
      </c>
      <c r="AG2619">
        <v>-6.5481999999999999E-2</v>
      </c>
      <c r="AH2619">
        <v>0.80552194361696405</v>
      </c>
      <c r="AI2619">
        <v>94.638117752995001</v>
      </c>
      <c r="AJ2619">
        <v>86.363486562088994</v>
      </c>
      <c r="AK2619">
        <v>0.80979897193760597</v>
      </c>
      <c r="AL2619">
        <v>68.474147885412805</v>
      </c>
      <c r="AM2619">
        <v>90.502746165255104</v>
      </c>
      <c r="AN2619">
        <v>1.00000000541445</v>
      </c>
    </row>
    <row r="2620" spans="1:40" x14ac:dyDescent="0.25">
      <c r="A2620" t="str">
        <f>"20190304164904509"</f>
        <v>20190304164904509</v>
      </c>
      <c r="B2620" t="str">
        <f>"1551689344498283"</f>
        <v>1551689344498283</v>
      </c>
      <c r="C2620" t="s">
        <v>40</v>
      </c>
      <c r="D2620">
        <v>3.9337949999999999</v>
      </c>
      <c r="E2620">
        <v>0.54071689999999994</v>
      </c>
      <c r="F2620" t="s">
        <v>47</v>
      </c>
      <c r="G2620">
        <v>-409.65879999999999</v>
      </c>
      <c r="H2620" s="1">
        <v>3.9774490000000001E-6</v>
      </c>
      <c r="I2620">
        <v>285.30110000000002</v>
      </c>
      <c r="J2620">
        <v>-392.71980000000002</v>
      </c>
      <c r="K2620">
        <v>1.110533</v>
      </c>
      <c r="L2620">
        <v>284.3229</v>
      </c>
      <c r="M2620">
        <v>-0.99988259999999995</v>
      </c>
      <c r="N2620">
        <v>-1.4441789999999999E-2</v>
      </c>
      <c r="O2620">
        <v>5.1113840000000001E-3</v>
      </c>
      <c r="P2620">
        <v>-0.9354346</v>
      </c>
      <c r="Q2620">
        <v>0.35347909999999999</v>
      </c>
      <c r="R2620">
        <v>-3.832621E-3</v>
      </c>
      <c r="S2620">
        <v>-3.2880250000000002</v>
      </c>
      <c r="T2620">
        <v>-0.21221590000000001</v>
      </c>
      <c r="U2620">
        <v>0.1872559</v>
      </c>
      <c r="V2620">
        <v>-8.2856470000000002E-3</v>
      </c>
      <c r="W2620">
        <v>0.36695870000000003</v>
      </c>
      <c r="X2620">
        <v>0.93020029999999998</v>
      </c>
      <c r="Y2620">
        <v>5.1629580000000001E-2</v>
      </c>
      <c r="Z2620">
        <v>1.781099E-3</v>
      </c>
      <c r="AA2620">
        <v>0.99866469999999896</v>
      </c>
      <c r="AB2620">
        <v>32</v>
      </c>
      <c r="AC2620">
        <v>-16.938999999999901</v>
      </c>
      <c r="AD2620">
        <v>-1.1105290225510001</v>
      </c>
      <c r="AE2620">
        <v>0.97820000000001495</v>
      </c>
      <c r="AF2620">
        <v>0.88779324163754103</v>
      </c>
      <c r="AG2620">
        <v>-1.1105290225510001</v>
      </c>
      <c r="AH2620">
        <v>16.871503476983001</v>
      </c>
      <c r="AI2620">
        <v>93.760746030390806</v>
      </c>
      <c r="AJ2620">
        <v>86.987824207756802</v>
      </c>
      <c r="AK2620">
        <v>16.931304767314099</v>
      </c>
      <c r="AL2620">
        <v>68.471825033081601</v>
      </c>
      <c r="AM2620">
        <v>90.510341749959807</v>
      </c>
      <c r="AN2620">
        <v>0.99999996878599295</v>
      </c>
    </row>
    <row r="2621" spans="1:40" x14ac:dyDescent="0.25">
      <c r="A2621" t="str">
        <f>"20190304164904531"</f>
        <v>20190304164904531</v>
      </c>
      <c r="B2621" t="str">
        <f>"1551689344518779"</f>
        <v>1551689344518779</v>
      </c>
      <c r="C2621" t="s">
        <v>40</v>
      </c>
      <c r="D2621">
        <v>3.9589319999999999</v>
      </c>
      <c r="E2621">
        <v>0.54147849999999997</v>
      </c>
      <c r="F2621" t="s">
        <v>47</v>
      </c>
      <c r="G2621">
        <v>-409.82139999999998</v>
      </c>
      <c r="H2621" s="1">
        <v>3.8990250000000003E-6</v>
      </c>
      <c r="I2621">
        <v>285.33190000000002</v>
      </c>
      <c r="J2621">
        <v>-393.03719999999998</v>
      </c>
      <c r="K2621">
        <v>1.110535</v>
      </c>
      <c r="L2621">
        <v>284.32490000000001</v>
      </c>
      <c r="M2621">
        <v>-0.99988060000000001</v>
      </c>
      <c r="N2621">
        <v>-1.443821E-2</v>
      </c>
      <c r="O2621">
        <v>5.5087019999999999E-3</v>
      </c>
      <c r="P2621">
        <v>-0.93522209999999995</v>
      </c>
      <c r="Q2621">
        <v>0.35404429999999998</v>
      </c>
      <c r="R2621">
        <v>-3.519444E-3</v>
      </c>
      <c r="S2621">
        <v>-3.2885740000000001</v>
      </c>
      <c r="T2621">
        <v>-0.21355089999999999</v>
      </c>
      <c r="U2621">
        <v>0.1940308</v>
      </c>
      <c r="V2621">
        <v>-8.3431059999999994E-3</v>
      </c>
      <c r="W2621">
        <v>0.3675175</v>
      </c>
      <c r="X2621">
        <v>0.92997909999999995</v>
      </c>
      <c r="Y2621">
        <v>5.3268650000000001E-2</v>
      </c>
      <c r="Z2621">
        <v>1.8340349999999999E-3</v>
      </c>
      <c r="AA2621">
        <v>0.99857850000000004</v>
      </c>
      <c r="AB2621">
        <v>32</v>
      </c>
      <c r="AC2621">
        <v>-16.784199999999998</v>
      </c>
      <c r="AD2621">
        <v>-1.1105311009750001</v>
      </c>
      <c r="AE2621">
        <v>1.0069999999999999</v>
      </c>
      <c r="AF2621">
        <v>0.91054400284596504</v>
      </c>
      <c r="AG2621">
        <v>-1.1105311009750001</v>
      </c>
      <c r="AH2621">
        <v>16.716573077657198</v>
      </c>
      <c r="AI2621">
        <v>93.795133045666205</v>
      </c>
      <c r="AJ2621">
        <v>86.882206383504098</v>
      </c>
      <c r="AK2621">
        <v>16.778146058727899</v>
      </c>
      <c r="AL2621">
        <v>68.437401946973395</v>
      </c>
      <c r="AM2621">
        <v>90.514002882444501</v>
      </c>
      <c r="AN2621">
        <v>0.99999992333039001</v>
      </c>
    </row>
    <row r="2622" spans="1:40" x14ac:dyDescent="0.25">
      <c r="A2622" t="str">
        <f>"20190304164904544"</f>
        <v>20190304164904544</v>
      </c>
      <c r="B2622" t="str">
        <f>"1551689344538299"</f>
        <v>1551689344538299</v>
      </c>
      <c r="C2622" t="s">
        <v>40</v>
      </c>
      <c r="D2622">
        <v>3.9701949999999999</v>
      </c>
      <c r="E2622">
        <v>0.54201069999999996</v>
      </c>
      <c r="F2622" t="s">
        <v>47</v>
      </c>
      <c r="G2622">
        <v>-410.30130000000003</v>
      </c>
      <c r="H2622" s="1">
        <v>2.1927760000000002E-6</v>
      </c>
      <c r="I2622">
        <v>285.37599999999998</v>
      </c>
      <c r="J2622">
        <v>-393.23340000000002</v>
      </c>
      <c r="K2622">
        <v>1.1105370000000001</v>
      </c>
      <c r="L2622">
        <v>284.32619999999997</v>
      </c>
      <c r="M2622">
        <v>-0.99987919999999997</v>
      </c>
      <c r="N2622">
        <v>-1.4435979999999999E-2</v>
      </c>
      <c r="O2622">
        <v>5.7546250000000002E-3</v>
      </c>
      <c r="P2622">
        <v>-0.9352106</v>
      </c>
      <c r="Q2622">
        <v>0.35407729999999998</v>
      </c>
      <c r="R2622">
        <v>-3.233105E-3</v>
      </c>
      <c r="S2622">
        <v>-3.2886660000000001</v>
      </c>
      <c r="T2622">
        <v>-0.21154770000000001</v>
      </c>
      <c r="U2622">
        <v>0.20022580000000001</v>
      </c>
      <c r="V2622">
        <v>-8.2871209999999997E-3</v>
      </c>
      <c r="W2622">
        <v>0.36754809999999999</v>
      </c>
      <c r="X2622">
        <v>0.92996760000000001</v>
      </c>
      <c r="Y2622">
        <v>5.4894079999999998E-2</v>
      </c>
      <c r="Z2622">
        <v>1.8727349999999999E-3</v>
      </c>
      <c r="AA2622">
        <v>0.99849049999999995</v>
      </c>
      <c r="AB2622">
        <v>32</v>
      </c>
      <c r="AC2622">
        <v>-17.067900000000002</v>
      </c>
      <c r="AD2622">
        <v>-1.110534807224</v>
      </c>
      <c r="AE2622">
        <v>1.0498000000000001</v>
      </c>
      <c r="AF2622">
        <v>0.94755660581148904</v>
      </c>
      <c r="AG2622">
        <v>-1.110534807224</v>
      </c>
      <c r="AH2622">
        <v>17.0019519180149</v>
      </c>
      <c r="AI2622">
        <v>93.731367328298703</v>
      </c>
      <c r="AJ2622">
        <v>86.810078724509793</v>
      </c>
      <c r="AK2622">
        <v>17.064510543867499</v>
      </c>
      <c r="AL2622">
        <v>68.435518706151697</v>
      </c>
      <c r="AM2622">
        <v>90.510560249524801</v>
      </c>
      <c r="AN2622">
        <v>1.0000000096189099</v>
      </c>
    </row>
    <row r="2623" spans="1:40" x14ac:dyDescent="0.25">
      <c r="A2623" t="str">
        <f>"20190304164904557"</f>
        <v>20190304164904557</v>
      </c>
      <c r="B2623" t="str">
        <f>"1551689344549035"</f>
        <v>1551689344549035</v>
      </c>
      <c r="C2623" t="s">
        <v>40</v>
      </c>
      <c r="D2623">
        <v>3.9716870000000002</v>
      </c>
      <c r="E2623">
        <v>0.54223469999999996</v>
      </c>
      <c r="F2623" t="s">
        <v>41</v>
      </c>
      <c r="G2623">
        <v>-394.1395</v>
      </c>
      <c r="H2623">
        <v>1.0518350000000001</v>
      </c>
      <c r="I2623">
        <v>284.38310000000001</v>
      </c>
      <c r="J2623">
        <v>-393.4196</v>
      </c>
      <c r="K2623">
        <v>1.110538</v>
      </c>
      <c r="L2623">
        <v>284.32749999999999</v>
      </c>
      <c r="M2623">
        <v>-0.99987800000000004</v>
      </c>
      <c r="N2623">
        <v>-1.443386E-2</v>
      </c>
      <c r="O2623">
        <v>5.9877339999999998E-3</v>
      </c>
      <c r="P2623">
        <v>-0.93521259999999995</v>
      </c>
      <c r="Q2623">
        <v>0.35407620000000001</v>
      </c>
      <c r="R2623">
        <v>-2.7583460000000001E-3</v>
      </c>
      <c r="S2623">
        <v>-3.289307</v>
      </c>
      <c r="T2623">
        <v>-0.21327670000000001</v>
      </c>
      <c r="U2623">
        <v>0.20498659999999999</v>
      </c>
      <c r="V2623">
        <v>-8.0312679999999994E-3</v>
      </c>
      <c r="W2623">
        <v>0.3675446</v>
      </c>
      <c r="X2623">
        <v>0.9299712</v>
      </c>
      <c r="Y2623">
        <v>5.6084559999999999E-2</v>
      </c>
      <c r="Z2623">
        <v>1.919114E-3</v>
      </c>
      <c r="AA2623">
        <v>0.99842419999999998</v>
      </c>
      <c r="AB2623">
        <v>32</v>
      </c>
      <c r="AC2623">
        <v>-0.71989999999999499</v>
      </c>
      <c r="AD2623">
        <v>-5.8702999999999901E-2</v>
      </c>
      <c r="AE2623">
        <v>5.5600000000026698E-2</v>
      </c>
      <c r="AF2623">
        <v>5.0951203501081101E-2</v>
      </c>
      <c r="AG2623">
        <v>-5.8702999999999901E-2</v>
      </c>
      <c r="AH2623">
        <v>0.71549073850981804</v>
      </c>
      <c r="AI2623">
        <v>94.678576725654295</v>
      </c>
      <c r="AJ2623">
        <v>85.926754783298193</v>
      </c>
      <c r="AK2623">
        <v>0.71970067683762295</v>
      </c>
      <c r="AL2623">
        <v>68.435733743746098</v>
      </c>
      <c r="AM2623">
        <v>90.494796313421006</v>
      </c>
      <c r="AN2623">
        <v>0.99999998354214303</v>
      </c>
    </row>
    <row r="2624" spans="1:40" x14ac:dyDescent="0.25">
      <c r="A2624" t="str">
        <f>"20190304164904575"</f>
        <v>20190304164904575</v>
      </c>
      <c r="B2624" t="str">
        <f>"1551689344568564"</f>
        <v>1551689344568564</v>
      </c>
      <c r="C2624" t="s">
        <v>40</v>
      </c>
      <c r="D2624">
        <v>3.940213</v>
      </c>
      <c r="E2624">
        <v>0.54255929999999997</v>
      </c>
      <c r="F2624" t="s">
        <v>41</v>
      </c>
      <c r="G2624">
        <v>-394.41230000000002</v>
      </c>
      <c r="H2624">
        <v>1.0461860000000001</v>
      </c>
      <c r="I2624">
        <v>284.39080000000001</v>
      </c>
      <c r="J2624">
        <v>-393.68369999999999</v>
      </c>
      <c r="K2624">
        <v>1.1105389999999999</v>
      </c>
      <c r="L2624">
        <v>284.3295</v>
      </c>
      <c r="M2624">
        <v>-0.99987590000000004</v>
      </c>
      <c r="N2624">
        <v>-1.443083E-2</v>
      </c>
      <c r="O2624">
        <v>6.3186539999999999E-3</v>
      </c>
      <c r="P2624">
        <v>-0.93487500000000001</v>
      </c>
      <c r="Q2624">
        <v>0.3549698</v>
      </c>
      <c r="R2624">
        <v>-2.237106E-3</v>
      </c>
      <c r="S2624">
        <v>-3.2891849999999998</v>
      </c>
      <c r="T2624">
        <v>-0.21338489999999999</v>
      </c>
      <c r="U2624">
        <v>0.20852660000000001</v>
      </c>
      <c r="V2624">
        <v>-7.8172390000000001E-3</v>
      </c>
      <c r="W2624">
        <v>0.36843090000000001</v>
      </c>
      <c r="X2624">
        <v>0.92962230000000001</v>
      </c>
      <c r="Y2624">
        <v>5.6825130000000001E-2</v>
      </c>
      <c r="Z2624">
        <v>1.9324240000000001E-3</v>
      </c>
      <c r="AA2624">
        <v>0.99838229999999994</v>
      </c>
      <c r="AB2624">
        <v>32</v>
      </c>
      <c r="AC2624">
        <v>-0.728600000000028</v>
      </c>
      <c r="AD2624">
        <v>-6.4352999999999799E-2</v>
      </c>
      <c r="AE2624">
        <v>6.1300000000017001E-2</v>
      </c>
      <c r="AF2624">
        <v>5.6258726656747901E-2</v>
      </c>
      <c r="AG2624">
        <v>-6.4352999999999799E-2</v>
      </c>
      <c r="AH2624">
        <v>0.72336936885710201</v>
      </c>
      <c r="AI2624">
        <v>95.068586327618604</v>
      </c>
      <c r="AJ2624">
        <v>85.552877745120895</v>
      </c>
      <c r="AK2624">
        <v>0.72840208452115296</v>
      </c>
      <c r="AL2624">
        <v>68.381121331811499</v>
      </c>
      <c r="AM2624">
        <v>90.481791632364505</v>
      </c>
      <c r="AN2624">
        <v>1.00000002897884</v>
      </c>
    </row>
    <row r="2625" spans="1:40" x14ac:dyDescent="0.25">
      <c r="A2625" t="str">
        <f>"20190304164904588"</f>
        <v>20190304164904588</v>
      </c>
      <c r="B2625" t="str">
        <f>"1551689344578316"</f>
        <v>1551689344578316</v>
      </c>
      <c r="C2625" t="s">
        <v>40</v>
      </c>
      <c r="D2625">
        <v>3.9297789999999999</v>
      </c>
      <c r="E2625">
        <v>0.54283419999999905</v>
      </c>
      <c r="F2625" t="s">
        <v>41</v>
      </c>
      <c r="G2625">
        <v>-394.69810000000001</v>
      </c>
      <c r="H2625">
        <v>1.04575</v>
      </c>
      <c r="I2625">
        <v>284.39530000000002</v>
      </c>
      <c r="J2625">
        <v>-393.86860000000001</v>
      </c>
      <c r="K2625">
        <v>1.1105430000000001</v>
      </c>
      <c r="L2625">
        <v>284.33080000000001</v>
      </c>
      <c r="M2625">
        <v>-0.9998745</v>
      </c>
      <c r="N2625">
        <v>-1.4428710000000001E-2</v>
      </c>
      <c r="O2625">
        <v>6.5507450000000002E-3</v>
      </c>
      <c r="P2625">
        <v>-0.9347953</v>
      </c>
      <c r="Q2625">
        <v>0.35518159999999999</v>
      </c>
      <c r="R2625">
        <v>-2.0579830000000002E-3</v>
      </c>
      <c r="S2625">
        <v>-3.2892760000000001</v>
      </c>
      <c r="T2625">
        <v>-0.2101218</v>
      </c>
      <c r="U2625">
        <v>0.2128601</v>
      </c>
      <c r="V2625">
        <v>-7.8546650000000003E-3</v>
      </c>
      <c r="W2625">
        <v>0.3686392</v>
      </c>
      <c r="X2625">
        <v>0.92953940000000002</v>
      </c>
      <c r="Y2625">
        <v>5.7902889999999999E-2</v>
      </c>
      <c r="Z2625">
        <v>1.9411210000000001E-3</v>
      </c>
      <c r="AA2625">
        <v>0.99832030000000005</v>
      </c>
      <c r="AB2625">
        <v>32</v>
      </c>
      <c r="AC2625">
        <v>-0.82949999999999502</v>
      </c>
      <c r="AD2625">
        <v>-6.4793000000000101E-2</v>
      </c>
      <c r="AE2625">
        <v>6.4500000000009494E-2</v>
      </c>
      <c r="AF2625">
        <v>5.8708163175903202E-2</v>
      </c>
      <c r="AG2625">
        <v>-6.4793000000000101E-2</v>
      </c>
      <c r="AH2625">
        <v>0.82490202658613399</v>
      </c>
      <c r="AI2625">
        <v>94.479865445014696</v>
      </c>
      <c r="AJ2625">
        <v>85.929131220968003</v>
      </c>
      <c r="AK2625">
        <v>0.82952283557380102</v>
      </c>
      <c r="AL2625">
        <v>68.368282907940099</v>
      </c>
      <c r="AM2625">
        <v>90.484141331701906</v>
      </c>
      <c r="AN2625">
        <v>1.0000000258456301</v>
      </c>
    </row>
    <row r="2626" spans="1:40" x14ac:dyDescent="0.25">
      <c r="A2626" t="str">
        <f>"20190304164904600"</f>
        <v>20190304164904600</v>
      </c>
      <c r="B2626" t="str">
        <f>"1551689344588075"</f>
        <v>1551689344588075</v>
      </c>
      <c r="C2626" t="s">
        <v>40</v>
      </c>
      <c r="D2626">
        <v>3.9466209999999999</v>
      </c>
      <c r="E2626">
        <v>0.54308409999999996</v>
      </c>
      <c r="F2626" t="s">
        <v>47</v>
      </c>
      <c r="G2626">
        <v>-411.21159999999998</v>
      </c>
      <c r="H2626" s="1">
        <v>2.3464469999999999E-6</v>
      </c>
      <c r="I2626">
        <v>285.46539999999999</v>
      </c>
      <c r="J2626">
        <v>-394.04399999999998</v>
      </c>
      <c r="K2626">
        <v>1.11054599999999</v>
      </c>
      <c r="L2626">
        <v>284.3322</v>
      </c>
      <c r="M2626">
        <v>-0.99987300000000001</v>
      </c>
      <c r="N2626">
        <v>-1.4426700000000001E-2</v>
      </c>
      <c r="O2626">
        <v>6.7707969999999899E-3</v>
      </c>
      <c r="P2626">
        <v>-0.93467929999999999</v>
      </c>
      <c r="Q2626">
        <v>0.35548790000000002</v>
      </c>
      <c r="R2626">
        <v>-1.76253E-3</v>
      </c>
      <c r="S2626">
        <v>-3.2897949999999998</v>
      </c>
      <c r="T2626">
        <v>-0.21065819999999999</v>
      </c>
      <c r="U2626">
        <v>0.21521000000000001</v>
      </c>
      <c r="V2626">
        <v>-7.7645689999999998E-3</v>
      </c>
      <c r="W2626">
        <v>0.36894149999999998</v>
      </c>
      <c r="X2626">
        <v>0.92942020000000003</v>
      </c>
      <c r="Y2626">
        <v>5.8381620000000002E-2</v>
      </c>
      <c r="Z2626">
        <v>1.952306E-3</v>
      </c>
      <c r="AA2626">
        <v>0.99829239999999997</v>
      </c>
      <c r="AB2626">
        <v>32</v>
      </c>
      <c r="AC2626">
        <v>-17.167599999999901</v>
      </c>
      <c r="AD2626">
        <v>-1.11054365355299</v>
      </c>
      <c r="AE2626">
        <v>1.13319999999998</v>
      </c>
      <c r="AF2626">
        <v>1.0127042258605099</v>
      </c>
      <c r="AG2626">
        <v>-1.11054365355299</v>
      </c>
      <c r="AH2626">
        <v>17.103618856985999</v>
      </c>
      <c r="AI2626">
        <v>93.708542201678995</v>
      </c>
      <c r="AJ2626">
        <v>86.611476553582804</v>
      </c>
      <c r="AK2626">
        <v>17.169526931764</v>
      </c>
      <c r="AL2626">
        <v>68.349648654464104</v>
      </c>
      <c r="AM2626">
        <v>90.4786496830353</v>
      </c>
      <c r="AN2626">
        <v>1.0000000135610201</v>
      </c>
    </row>
    <row r="2627" spans="1:40" x14ac:dyDescent="0.25">
      <c r="A2627" t="str">
        <f>"20190304164904620"</f>
        <v>20190304164904620</v>
      </c>
      <c r="B2627" t="str">
        <f>"1551689344608570"</f>
        <v>1551689344608570</v>
      </c>
      <c r="C2627" t="s">
        <v>40</v>
      </c>
      <c r="D2627">
        <v>3.929144</v>
      </c>
      <c r="E2627">
        <v>0.54333199999999904</v>
      </c>
      <c r="F2627" t="s">
        <v>41</v>
      </c>
      <c r="G2627">
        <v>-394.98809999999997</v>
      </c>
      <c r="H2627">
        <v>1.0501259999999999</v>
      </c>
      <c r="I2627">
        <v>284.39490000000001</v>
      </c>
      <c r="J2627">
        <v>-394.31479999999999</v>
      </c>
      <c r="K2627">
        <v>1.11054599999999</v>
      </c>
      <c r="L2627">
        <v>284.33440000000002</v>
      </c>
      <c r="M2627">
        <v>-0.99987079999999995</v>
      </c>
      <c r="N2627">
        <v>-1.442362E-2</v>
      </c>
      <c r="O2627">
        <v>7.108975E-3</v>
      </c>
      <c r="P2627">
        <v>-0.93454150000000002</v>
      </c>
      <c r="Q2627">
        <v>0.35585309999999998</v>
      </c>
      <c r="R2627">
        <v>-9.5169250000000003E-4</v>
      </c>
      <c r="S2627">
        <v>-3.2901609999999999</v>
      </c>
      <c r="T2627">
        <v>-0.2105725</v>
      </c>
      <c r="U2627">
        <v>0.21783449999999999</v>
      </c>
      <c r="V2627">
        <v>-7.2697459999999997E-3</v>
      </c>
      <c r="W2627">
        <v>0.3693014</v>
      </c>
      <c r="X2627">
        <v>0.92928120000000003</v>
      </c>
      <c r="Y2627">
        <v>5.8829069999999997E-2</v>
      </c>
      <c r="Z2627">
        <v>1.9522229999999999E-3</v>
      </c>
      <c r="AA2627">
        <v>0.99826619999999999</v>
      </c>
      <c r="AB2627">
        <v>32</v>
      </c>
      <c r="AC2627">
        <v>-0.67329999999998302</v>
      </c>
      <c r="AD2627">
        <v>-6.0419999999999703E-2</v>
      </c>
      <c r="AE2627">
        <v>6.0499999999990402E-2</v>
      </c>
      <c r="AF2627">
        <v>5.5269989921740301E-2</v>
      </c>
      <c r="AG2627">
        <v>-6.0419999999999703E-2</v>
      </c>
      <c r="AH2627">
        <v>0.66837398064162601</v>
      </c>
      <c r="AI2627">
        <v>95.147935871810006</v>
      </c>
      <c r="AJ2627">
        <v>85.272783660475</v>
      </c>
      <c r="AK2627">
        <v>0.67337146225889499</v>
      </c>
      <c r="AL2627">
        <v>68.327459842495202</v>
      </c>
      <c r="AM2627">
        <v>90.448214455710897</v>
      </c>
      <c r="AN2627">
        <v>0.99999996096115096</v>
      </c>
    </row>
    <row r="2628" spans="1:40" x14ac:dyDescent="0.25">
      <c r="A2628" t="str">
        <f>"20190304164904633"</f>
        <v>20190304164904633</v>
      </c>
      <c r="B2628" t="str">
        <f>"1551689344628091"</f>
        <v>1551689344628091</v>
      </c>
      <c r="C2628" t="s">
        <v>40</v>
      </c>
      <c r="D2628">
        <v>3.922412</v>
      </c>
      <c r="E2628">
        <v>0.54356689999999996</v>
      </c>
      <c r="F2628" t="s">
        <v>41</v>
      </c>
      <c r="G2628">
        <v>-395.27280000000002</v>
      </c>
      <c r="H2628">
        <v>1.049177</v>
      </c>
      <c r="I2628">
        <v>284.39909999999998</v>
      </c>
      <c r="J2628">
        <v>-394.51769999999999</v>
      </c>
      <c r="K2628">
        <v>1.1105499999999999</v>
      </c>
      <c r="L2628">
        <v>284.33609999999999</v>
      </c>
      <c r="M2628">
        <v>-0.99986889999999995</v>
      </c>
      <c r="N2628">
        <v>-1.4421369999999999E-2</v>
      </c>
      <c r="O2628">
        <v>7.3604159999999998E-3</v>
      </c>
      <c r="P2628">
        <v>-0.93448290000000001</v>
      </c>
      <c r="Q2628">
        <v>0.35600759999999998</v>
      </c>
      <c r="R2628">
        <v>-7.1197749999999998E-4</v>
      </c>
      <c r="S2628">
        <v>-3.2906490000000002</v>
      </c>
      <c r="T2628">
        <v>-0.21085019999999999</v>
      </c>
      <c r="U2628">
        <v>0.22183230000000001</v>
      </c>
      <c r="V2628">
        <v>-7.2661690000000003E-3</v>
      </c>
      <c r="W2628">
        <v>0.36945339999999999</v>
      </c>
      <c r="X2628">
        <v>0.92922090000000002</v>
      </c>
      <c r="Y2628">
        <v>5.9773300000000001E-2</v>
      </c>
      <c r="Z2628">
        <v>1.9783180000000002E-3</v>
      </c>
      <c r="AA2628">
        <v>0.99821000000000004</v>
      </c>
      <c r="AB2628">
        <v>32</v>
      </c>
      <c r="AC2628">
        <v>-0.75510000000002697</v>
      </c>
      <c r="AD2628">
        <v>-6.13729999999999E-2</v>
      </c>
      <c r="AE2628">
        <v>6.2999999999988093E-2</v>
      </c>
      <c r="AF2628">
        <v>5.7065489992247101E-2</v>
      </c>
      <c r="AG2628">
        <v>-6.13729999999999E-2</v>
      </c>
      <c r="AH2628">
        <v>0.75061890396261799</v>
      </c>
      <c r="AI2628">
        <v>94.660897833559005</v>
      </c>
      <c r="AJ2628">
        <v>85.652475171908193</v>
      </c>
      <c r="AK2628">
        <v>0.75528263204121004</v>
      </c>
      <c r="AL2628">
        <v>68.318090058040795</v>
      </c>
      <c r="AM2628">
        <v>90.448022996137396</v>
      </c>
      <c r="AN2628">
        <v>1.00000004649015</v>
      </c>
    </row>
    <row r="2629" spans="1:40" x14ac:dyDescent="0.25">
      <c r="A2629" t="str">
        <f>"20190304164904646"</f>
        <v>20190304164904646</v>
      </c>
      <c r="B2629" t="str">
        <f>"1551689344638827"</f>
        <v>1551689344638827</v>
      </c>
      <c r="C2629" t="s">
        <v>40</v>
      </c>
      <c r="D2629">
        <v>3.925611</v>
      </c>
      <c r="E2629">
        <v>0.54364309999999905</v>
      </c>
      <c r="F2629" t="s">
        <v>47</v>
      </c>
      <c r="G2629">
        <v>-411.80840000000001</v>
      </c>
      <c r="H2629" s="1">
        <v>2.4478749999999998E-6</v>
      </c>
      <c r="I2629">
        <v>285.51600000000002</v>
      </c>
      <c r="J2629">
        <v>-394.69709999999998</v>
      </c>
      <c r="K2629">
        <v>1.110555</v>
      </c>
      <c r="L2629">
        <v>284.33760000000001</v>
      </c>
      <c r="M2629">
        <v>-0.99986730000000001</v>
      </c>
      <c r="N2629">
        <v>-1.4419329999999999E-2</v>
      </c>
      <c r="O2629">
        <v>7.5791840000000001E-3</v>
      </c>
      <c r="P2629">
        <v>-0.93436160000000001</v>
      </c>
      <c r="Q2629">
        <v>0.35632599999999998</v>
      </c>
      <c r="R2629">
        <v>-5.2657720000000004E-4</v>
      </c>
      <c r="S2629">
        <v>-3.2910159999999999</v>
      </c>
      <c r="T2629">
        <v>-0.21137610000000001</v>
      </c>
      <c r="U2629">
        <v>0.2245789</v>
      </c>
      <c r="V2629">
        <v>-7.2864569999999997E-3</v>
      </c>
      <c r="W2629">
        <v>0.36976799999999999</v>
      </c>
      <c r="X2629">
        <v>0.92909560000000002</v>
      </c>
      <c r="Y2629">
        <v>6.0374869999999997E-2</v>
      </c>
      <c r="Z2629">
        <v>1.9943930000000001E-3</v>
      </c>
      <c r="AA2629">
        <v>0.9981738</v>
      </c>
      <c r="AB2629">
        <v>32</v>
      </c>
      <c r="AC2629">
        <v>-17.1113</v>
      </c>
      <c r="AD2629">
        <v>-1.1105525521249999</v>
      </c>
      <c r="AE2629">
        <v>1.1783999999999499</v>
      </c>
      <c r="AF2629">
        <v>1.0442849628367901</v>
      </c>
      <c r="AG2629">
        <v>-1.1105525521249999</v>
      </c>
      <c r="AH2629">
        <v>17.048268374807702</v>
      </c>
      <c r="AI2629">
        <v>93.720123420549697</v>
      </c>
      <c r="AJ2629">
        <v>86.494749269017703</v>
      </c>
      <c r="AK2629">
        <v>17.1162879338397</v>
      </c>
      <c r="AL2629">
        <v>68.298691185205698</v>
      </c>
      <c r="AM2629">
        <v>90.449334465566395</v>
      </c>
      <c r="AN2629">
        <v>1.0000000501094799</v>
      </c>
    </row>
    <row r="2630" spans="1:40" x14ac:dyDescent="0.25">
      <c r="A2630" t="str">
        <f>"20190304164904659"</f>
        <v>20190304164904659</v>
      </c>
      <c r="B2630" t="str">
        <f>"1551689344648587"</f>
        <v>1551689344648587</v>
      </c>
      <c r="C2630" t="s">
        <v>40</v>
      </c>
      <c r="D2630">
        <v>3.9125580000000002</v>
      </c>
      <c r="E2630">
        <v>0.54370669999999899</v>
      </c>
      <c r="F2630" t="s">
        <v>47</v>
      </c>
      <c r="G2630">
        <v>-412.01330000000002</v>
      </c>
      <c r="H2630" s="1">
        <v>2.483222E-6</v>
      </c>
      <c r="I2630">
        <v>285.52749999999997</v>
      </c>
      <c r="J2630">
        <v>-394.87619999999998</v>
      </c>
      <c r="K2630">
        <v>1.110555</v>
      </c>
      <c r="L2630">
        <v>284.33920000000001</v>
      </c>
      <c r="M2630">
        <v>-0.99986580000000003</v>
      </c>
      <c r="N2630">
        <v>-1.4417320000000001E-2</v>
      </c>
      <c r="O2630">
        <v>7.7957969999999897E-3</v>
      </c>
      <c r="P2630">
        <v>-0.93426100000000001</v>
      </c>
      <c r="Q2630">
        <v>0.35658990000000002</v>
      </c>
      <c r="R2630">
        <v>-4.7962930000000002E-4</v>
      </c>
      <c r="S2630">
        <v>-3.291382</v>
      </c>
      <c r="T2630">
        <v>-0.21108769999999999</v>
      </c>
      <c r="U2630">
        <v>0.2261658</v>
      </c>
      <c r="V2630">
        <v>-7.4442290000000001E-3</v>
      </c>
      <c r="W2630">
        <v>0.37002839999999998</v>
      </c>
      <c r="X2630">
        <v>0.9289906</v>
      </c>
      <c r="Y2630">
        <v>6.0630110000000001E-2</v>
      </c>
      <c r="Z2630">
        <v>1.9914329999999999E-3</v>
      </c>
      <c r="AA2630">
        <v>0.99815830000000005</v>
      </c>
      <c r="AB2630">
        <v>32</v>
      </c>
      <c r="AC2630">
        <v>-17.1371</v>
      </c>
      <c r="AD2630">
        <v>-1.1105525167779999</v>
      </c>
      <c r="AE2630">
        <v>1.1882999999999599</v>
      </c>
      <c r="AF2630">
        <v>1.05026312503597</v>
      </c>
      <c r="AG2630">
        <v>-1.1105525167779999</v>
      </c>
      <c r="AH2630">
        <v>17.074481693030201</v>
      </c>
      <c r="AI2630">
        <v>93.714370040398904</v>
      </c>
      <c r="AJ2630">
        <v>86.480131899198398</v>
      </c>
      <c r="AK2630">
        <v>17.142762455624101</v>
      </c>
      <c r="AL2630">
        <v>68.282630842582194</v>
      </c>
      <c r="AM2630">
        <v>90.459115274655602</v>
      </c>
      <c r="AN2630">
        <v>0.999999984120162</v>
      </c>
    </row>
    <row r="2631" spans="1:40" x14ac:dyDescent="0.25">
      <c r="A2631" t="str">
        <f>"20190304164904672"</f>
        <v>20190304164904672</v>
      </c>
      <c r="B2631" t="str">
        <f>"1551689344668107"</f>
        <v>1551689344668107</v>
      </c>
      <c r="C2631" t="s">
        <v>40</v>
      </c>
      <c r="D2631">
        <v>3.904398</v>
      </c>
      <c r="E2631">
        <v>0.54386840000000003</v>
      </c>
      <c r="F2631" t="s">
        <v>41</v>
      </c>
      <c r="G2631">
        <v>-395.84230000000002</v>
      </c>
      <c r="H2631">
        <v>1.0484709999999999</v>
      </c>
      <c r="I2631">
        <v>284.40600000000001</v>
      </c>
      <c r="J2631">
        <v>-395.06900000000002</v>
      </c>
      <c r="K2631">
        <v>1.110562</v>
      </c>
      <c r="L2631">
        <v>284.34100000000001</v>
      </c>
      <c r="M2631">
        <v>-0.99986399999999998</v>
      </c>
      <c r="N2631">
        <v>-1.4415209999999999E-2</v>
      </c>
      <c r="O2631">
        <v>8.0249050000000006E-3</v>
      </c>
      <c r="P2631">
        <v>-0.93419280000000005</v>
      </c>
      <c r="Q2631">
        <v>0.35676869999999999</v>
      </c>
      <c r="R2631">
        <v>-2.869759E-4</v>
      </c>
      <c r="S2631">
        <v>-3.2919309999999999</v>
      </c>
      <c r="T2631">
        <v>-0.21157229999999999</v>
      </c>
      <c r="U2631">
        <v>0.227356</v>
      </c>
      <c r="V2631">
        <v>-7.4689159999999999E-3</v>
      </c>
      <c r="W2631">
        <v>0.37020429999999999</v>
      </c>
      <c r="X2631">
        <v>0.92892030000000003</v>
      </c>
      <c r="Y2631">
        <v>6.074864E-2</v>
      </c>
      <c r="Z2631">
        <v>1.9876659999999999E-3</v>
      </c>
      <c r="AA2631">
        <v>0.99815109999999996</v>
      </c>
      <c r="AB2631">
        <v>32</v>
      </c>
      <c r="AC2631">
        <v>-0.77330000000000598</v>
      </c>
      <c r="AD2631">
        <v>-6.2091000000000098E-2</v>
      </c>
      <c r="AE2631">
        <v>6.4999999999997699E-2</v>
      </c>
      <c r="AF2631">
        <v>5.84176240477823E-2</v>
      </c>
      <c r="AG2631">
        <v>-6.2091000000000098E-2</v>
      </c>
      <c r="AH2631">
        <v>0.76887456866636605</v>
      </c>
      <c r="AI2631">
        <v>94.603729939054503</v>
      </c>
      <c r="AJ2631">
        <v>85.655123576017402</v>
      </c>
      <c r="AK2631">
        <v>0.77358646150400001</v>
      </c>
      <c r="AL2631">
        <v>68.271781683899306</v>
      </c>
      <c r="AM2631">
        <v>90.460672614069907</v>
      </c>
      <c r="AN2631">
        <v>0.99999996609839603</v>
      </c>
    </row>
    <row r="2632" spans="1:40" x14ac:dyDescent="0.25">
      <c r="A2632" t="str">
        <f>"20190304164904687"</f>
        <v>20190304164904687</v>
      </c>
      <c r="B2632" t="str">
        <f>"1551689344678843"</f>
        <v>1551689344678843</v>
      </c>
      <c r="C2632" t="s">
        <v>40</v>
      </c>
      <c r="D2632">
        <v>3.8977029999999999</v>
      </c>
      <c r="E2632">
        <v>0.54393259999999999</v>
      </c>
      <c r="F2632" t="s">
        <v>47</v>
      </c>
      <c r="G2632">
        <v>-412.25889999999998</v>
      </c>
      <c r="H2632" s="1">
        <v>2.5257350000000001E-6</v>
      </c>
      <c r="I2632">
        <v>285.5394</v>
      </c>
      <c r="J2632">
        <v>-395.27190000000002</v>
      </c>
      <c r="K2632">
        <v>1.1105670000000001</v>
      </c>
      <c r="L2632">
        <v>284.34280000000001</v>
      </c>
      <c r="M2632">
        <v>-0.99986200000000003</v>
      </c>
      <c r="N2632">
        <v>-1.4412980000000001E-2</v>
      </c>
      <c r="O2632">
        <v>8.2619229999999991E-3</v>
      </c>
      <c r="P2632">
        <v>-0.93403130000000001</v>
      </c>
      <c r="Q2632">
        <v>0.35719099999999998</v>
      </c>
      <c r="R2632">
        <v>-1.9115399999999999E-4</v>
      </c>
      <c r="S2632">
        <v>-3.2926639999999998</v>
      </c>
      <c r="T2632">
        <v>-0.212724</v>
      </c>
      <c r="U2632">
        <v>0.22955320000000001</v>
      </c>
      <c r="V2632">
        <v>-7.5977759999999997E-3</v>
      </c>
      <c r="W2632">
        <v>0.37062240000000002</v>
      </c>
      <c r="X2632">
        <v>0.92875249999999998</v>
      </c>
      <c r="Y2632">
        <v>6.1157620000000003E-2</v>
      </c>
      <c r="Z2632">
        <v>1.9992959999999998E-3</v>
      </c>
      <c r="AA2632">
        <v>0.99812610000000002</v>
      </c>
      <c r="AB2632">
        <v>32</v>
      </c>
      <c r="AC2632">
        <v>-16.986999999999899</v>
      </c>
      <c r="AD2632">
        <v>-1.1105644742649901</v>
      </c>
      <c r="AE2632">
        <v>1.1965999999999799</v>
      </c>
      <c r="AF2632">
        <v>1.0517262011456301</v>
      </c>
      <c r="AG2632">
        <v>-1.1105644742649901</v>
      </c>
      <c r="AH2632">
        <v>16.924326680093898</v>
      </c>
      <c r="AI2632">
        <v>93.747125718500001</v>
      </c>
      <c r="AJ2632">
        <v>86.444048606705294</v>
      </c>
      <c r="AK2632">
        <v>16.993302063701801</v>
      </c>
      <c r="AL2632">
        <v>68.245991390903797</v>
      </c>
      <c r="AM2632">
        <v>90.468704835728801</v>
      </c>
      <c r="AN2632">
        <v>0.99999994791907598</v>
      </c>
    </row>
    <row r="2633" spans="1:40" x14ac:dyDescent="0.25">
      <c r="A2633" t="str">
        <f>"20190304164904703"</f>
        <v>20190304164904703</v>
      </c>
      <c r="B2633" t="str">
        <f>"1551689344698363"</f>
        <v>1551689344698363</v>
      </c>
      <c r="C2633" t="s">
        <v>40</v>
      </c>
      <c r="D2633">
        <v>3.896916</v>
      </c>
      <c r="E2633">
        <v>0.54408219999999996</v>
      </c>
      <c r="F2633" t="s">
        <v>47</v>
      </c>
      <c r="G2633">
        <v>-412.54640000000001</v>
      </c>
      <c r="H2633" s="1">
        <v>2.5756439999999999E-6</v>
      </c>
      <c r="I2633">
        <v>285.55200000000002</v>
      </c>
      <c r="J2633">
        <v>-395.49669999999998</v>
      </c>
      <c r="K2633">
        <v>1.110576</v>
      </c>
      <c r="L2633">
        <v>284.34500000000003</v>
      </c>
      <c r="M2633">
        <v>-0.99985999999999997</v>
      </c>
      <c r="N2633">
        <v>-1.441052E-2</v>
      </c>
      <c r="O2633">
        <v>8.5201419999999996E-3</v>
      </c>
      <c r="P2633">
        <v>-0.93400289999999997</v>
      </c>
      <c r="Q2633">
        <v>0.35726550000000001</v>
      </c>
      <c r="R2633">
        <v>-3.0108169999999999E-4</v>
      </c>
      <c r="S2633">
        <v>-3.2928769999999998</v>
      </c>
      <c r="T2633">
        <v>-0.21169640000000001</v>
      </c>
      <c r="U2633">
        <v>0.23049929999999999</v>
      </c>
      <c r="V2633">
        <v>-7.9544799999999999E-3</v>
      </c>
      <c r="W2633">
        <v>0.37069410000000003</v>
      </c>
      <c r="X2633">
        <v>0.92872100000000002</v>
      </c>
      <c r="Y2633">
        <v>6.1182229999999997E-2</v>
      </c>
      <c r="Z2633">
        <v>1.9802790000000002E-3</v>
      </c>
      <c r="AA2633">
        <v>0.99812469999999998</v>
      </c>
      <c r="AB2633">
        <v>32</v>
      </c>
      <c r="AC2633">
        <v>-17.049700000000001</v>
      </c>
      <c r="AD2633">
        <v>-1.1105734243559999</v>
      </c>
      <c r="AE2633">
        <v>1.2069999999999901</v>
      </c>
      <c r="AF2633">
        <v>1.0572119911584901</v>
      </c>
      <c r="AG2633">
        <v>-1.1105734243559999</v>
      </c>
      <c r="AH2633">
        <v>16.987648708882901</v>
      </c>
      <c r="AI2633">
        <v>93.733206702177</v>
      </c>
      <c r="AJ2633">
        <v>86.438838309418003</v>
      </c>
      <c r="AK2633">
        <v>17.056707747438999</v>
      </c>
      <c r="AL2633">
        <v>68.241570384780701</v>
      </c>
      <c r="AM2633">
        <v>90.490725404149302</v>
      </c>
      <c r="AN2633">
        <v>1.0000000426839299</v>
      </c>
    </row>
    <row r="2634" spans="1:40" x14ac:dyDescent="0.25">
      <c r="A2634" t="str">
        <f>"20190304164904721"</f>
        <v>20190304164904721</v>
      </c>
      <c r="B2634" t="str">
        <f>"1551689344718858"</f>
        <v>1551689344718858</v>
      </c>
      <c r="C2634" t="s">
        <v>40</v>
      </c>
      <c r="D2634">
        <v>3.8685170000000002</v>
      </c>
      <c r="E2634">
        <v>0.54416390000000003</v>
      </c>
      <c r="F2634" t="s">
        <v>41</v>
      </c>
      <c r="G2634">
        <v>-396.41370000000001</v>
      </c>
      <c r="H2634">
        <v>1.0512159999999999</v>
      </c>
      <c r="I2634">
        <v>284.40940000000001</v>
      </c>
      <c r="J2634">
        <v>-395.75099999999998</v>
      </c>
      <c r="K2634">
        <v>1.110584</v>
      </c>
      <c r="L2634">
        <v>284.34739999999999</v>
      </c>
      <c r="M2634">
        <v>-0.99985749999999995</v>
      </c>
      <c r="N2634">
        <v>-1.440776E-2</v>
      </c>
      <c r="O2634">
        <v>8.8065399999999999E-3</v>
      </c>
      <c r="P2634">
        <v>-0.93389420000000001</v>
      </c>
      <c r="Q2634">
        <v>0.35754970000000003</v>
      </c>
      <c r="R2634">
        <v>-4.7299080000000001E-4</v>
      </c>
      <c r="S2634">
        <v>-3.2935789999999998</v>
      </c>
      <c r="T2634">
        <v>-0.21313979999999999</v>
      </c>
      <c r="U2634">
        <v>0.2312012</v>
      </c>
      <c r="V2634">
        <v>-8.3998609999999998E-3</v>
      </c>
      <c r="W2634">
        <v>0.37097400000000003</v>
      </c>
      <c r="X2634">
        <v>0.92860529999999997</v>
      </c>
      <c r="Y2634">
        <v>6.1092130000000001E-2</v>
      </c>
      <c r="Z2634">
        <v>1.9715689999999998E-3</v>
      </c>
      <c r="AA2634">
        <v>0.99813019999999997</v>
      </c>
      <c r="AB2634">
        <v>32</v>
      </c>
      <c r="AC2634">
        <v>-0.66270000000002904</v>
      </c>
      <c r="AD2634">
        <v>-5.9367999999999997E-2</v>
      </c>
      <c r="AE2634">
        <v>6.2000000000011803E-2</v>
      </c>
      <c r="AF2634">
        <v>5.5717615302830703E-2</v>
      </c>
      <c r="AG2634">
        <v>-5.9367999999999997E-2</v>
      </c>
      <c r="AH2634">
        <v>0.65798552981188896</v>
      </c>
      <c r="AI2634">
        <v>95.137373637741504</v>
      </c>
      <c r="AJ2634">
        <v>85.159792523133305</v>
      </c>
      <c r="AK2634">
        <v>0.66300374774269999</v>
      </c>
      <c r="AL2634">
        <v>68.224301868536003</v>
      </c>
      <c r="AM2634">
        <v>90.518264819021596</v>
      </c>
      <c r="AN2634">
        <v>1.00000003476445</v>
      </c>
    </row>
    <row r="2635" spans="1:40" x14ac:dyDescent="0.25">
      <c r="A2635" t="str">
        <f>"20190304164904743"</f>
        <v>20190304164904743</v>
      </c>
      <c r="B2635" t="str">
        <f>"1551689344738379"</f>
        <v>1551689344738379</v>
      </c>
      <c r="C2635" t="s">
        <v>40</v>
      </c>
      <c r="D2635">
        <v>3.8977940000000002</v>
      </c>
      <c r="E2635">
        <v>0.54427519999999996</v>
      </c>
      <c r="F2635" t="s">
        <v>41</v>
      </c>
      <c r="G2635">
        <v>-396.69569999999999</v>
      </c>
      <c r="H2635">
        <v>1.049215</v>
      </c>
      <c r="I2635">
        <v>284.41390000000001</v>
      </c>
      <c r="J2635">
        <v>-396.07049999999998</v>
      </c>
      <c r="K2635">
        <v>1.1105929999999999</v>
      </c>
      <c r="L2635">
        <v>284.35059999999999</v>
      </c>
      <c r="M2635">
        <v>-0.99985440000000003</v>
      </c>
      <c r="N2635">
        <v>-1.440437E-2</v>
      </c>
      <c r="O2635">
        <v>9.1570039999999998E-3</v>
      </c>
      <c r="P2635">
        <v>-0.93382969999999998</v>
      </c>
      <c r="Q2635">
        <v>0.35771789999999998</v>
      </c>
      <c r="R2635">
        <v>-4.9902499999999995E-4</v>
      </c>
      <c r="S2635">
        <v>-3.294403</v>
      </c>
      <c r="T2635">
        <v>-0.21418860000000001</v>
      </c>
      <c r="U2635">
        <v>0.23059080000000001</v>
      </c>
      <c r="V2635">
        <v>-8.7596740000000003E-3</v>
      </c>
      <c r="W2635">
        <v>0.37113829999999998</v>
      </c>
      <c r="X2635">
        <v>0.92853629999999998</v>
      </c>
      <c r="Y2635">
        <v>6.0541480000000002E-2</v>
      </c>
      <c r="Z2635">
        <v>1.938461E-3</v>
      </c>
      <c r="AA2635">
        <v>0.99816380000000005</v>
      </c>
      <c r="AB2635">
        <v>32</v>
      </c>
      <c r="AC2635">
        <v>-0.62520000000000597</v>
      </c>
      <c r="AD2635">
        <v>-6.1377999999999898E-2</v>
      </c>
      <c r="AE2635">
        <v>6.3300000000026502E-2</v>
      </c>
      <c r="AF2635">
        <v>5.7027736135761599E-2</v>
      </c>
      <c r="AG2635">
        <v>-6.1377999999999898E-2</v>
      </c>
      <c r="AH2635">
        <v>0.61984007258684504</v>
      </c>
      <c r="AI2635">
        <v>95.631494825161298</v>
      </c>
      <c r="AJ2635">
        <v>84.743360539924893</v>
      </c>
      <c r="AK2635">
        <v>0.62547672791018805</v>
      </c>
      <c r="AL2635">
        <v>68.214164015417396</v>
      </c>
      <c r="AM2635">
        <v>90.540503868120297</v>
      </c>
      <c r="AN2635">
        <v>1.00000001501658</v>
      </c>
    </row>
    <row r="2636" spans="1:40" x14ac:dyDescent="0.25">
      <c r="A2636" t="str">
        <f>"20190304164904755"</f>
        <v>20190304164904755</v>
      </c>
      <c r="B2636" t="str">
        <f>"1551689344748139"</f>
        <v>1551689344748139</v>
      </c>
      <c r="C2636" t="s">
        <v>40</v>
      </c>
      <c r="D2636">
        <v>3.8838680000000001</v>
      </c>
      <c r="E2636">
        <v>0.54431399999999996</v>
      </c>
      <c r="F2636" t="s">
        <v>41</v>
      </c>
      <c r="G2636">
        <v>-396.9812</v>
      </c>
      <c r="H2636">
        <v>1.051123</v>
      </c>
      <c r="I2636">
        <v>284.41449999999998</v>
      </c>
      <c r="J2636">
        <v>-396.24439999999998</v>
      </c>
      <c r="K2636">
        <v>1.110598</v>
      </c>
      <c r="L2636">
        <v>284.35239999999999</v>
      </c>
      <c r="M2636">
        <v>-0.99985270000000004</v>
      </c>
      <c r="N2636">
        <v>-1.440259E-2</v>
      </c>
      <c r="O2636">
        <v>9.3454090000000007E-3</v>
      </c>
      <c r="P2636">
        <v>-0.93381890000000001</v>
      </c>
      <c r="Q2636">
        <v>0.3577457</v>
      </c>
      <c r="R2636">
        <v>-4.8137830000000002E-4</v>
      </c>
      <c r="S2636">
        <v>-3.295166</v>
      </c>
      <c r="T2636">
        <v>-0.2152683</v>
      </c>
      <c r="U2636">
        <v>0.23068240000000001</v>
      </c>
      <c r="V2636">
        <v>-8.9216230000000001E-3</v>
      </c>
      <c r="W2636">
        <v>0.37116440000000001</v>
      </c>
      <c r="X2636">
        <v>0.92852429999999997</v>
      </c>
      <c r="Y2636">
        <v>6.0364389999999997E-2</v>
      </c>
      <c r="Z2636">
        <v>1.928347E-3</v>
      </c>
      <c r="AA2636">
        <v>0.99817449999999996</v>
      </c>
      <c r="AB2636">
        <v>32</v>
      </c>
      <c r="AC2636">
        <v>-0.736800000000016</v>
      </c>
      <c r="AD2636">
        <v>-5.9474999999999903E-2</v>
      </c>
      <c r="AE2636">
        <v>6.2099999999986701E-2</v>
      </c>
      <c r="AF2636">
        <v>5.4855965705264402E-2</v>
      </c>
      <c r="AG2636">
        <v>-5.9474999999999903E-2</v>
      </c>
      <c r="AH2636">
        <v>0.73260834788307905</v>
      </c>
      <c r="AI2636">
        <v>94.628337984499794</v>
      </c>
      <c r="AJ2636">
        <v>85.717819664898499</v>
      </c>
      <c r="AK2636">
        <v>0.73706271374044596</v>
      </c>
      <c r="AL2636">
        <v>68.212553024951006</v>
      </c>
      <c r="AM2636">
        <v>90.550503217348904</v>
      </c>
      <c r="AN2636">
        <v>0.99999999143740204</v>
      </c>
    </row>
    <row r="2637" spans="1:40" x14ac:dyDescent="0.25">
      <c r="A2637" t="str">
        <f>"20190304164904777"</f>
        <v>20190304164904777</v>
      </c>
      <c r="B2637" t="str">
        <f>"1551689344768635"</f>
        <v>1551689344768635</v>
      </c>
      <c r="C2637" t="s">
        <v>40</v>
      </c>
      <c r="D2637">
        <v>3.8761199999999998</v>
      </c>
      <c r="E2637">
        <v>0.54439219999999999</v>
      </c>
      <c r="F2637" t="s">
        <v>41</v>
      </c>
      <c r="G2637">
        <v>-397.25790000000001</v>
      </c>
      <c r="H2637">
        <v>1.044284</v>
      </c>
      <c r="I2637">
        <v>284.4237</v>
      </c>
      <c r="J2637">
        <v>-396.5498</v>
      </c>
      <c r="K2637">
        <v>1.110608</v>
      </c>
      <c r="L2637">
        <v>284.35559999999998</v>
      </c>
      <c r="M2637">
        <v>-0.99984960000000001</v>
      </c>
      <c r="N2637">
        <v>-1.439929E-2</v>
      </c>
      <c r="O2637">
        <v>9.6681289999999993E-3</v>
      </c>
      <c r="P2637">
        <v>-0.93373139999999999</v>
      </c>
      <c r="Q2637">
        <v>0.35797449999999997</v>
      </c>
      <c r="R2637">
        <v>-4.227627E-4</v>
      </c>
      <c r="S2637">
        <v>-3.2953800000000002</v>
      </c>
      <c r="T2637">
        <v>-0.21571100000000001</v>
      </c>
      <c r="U2637">
        <v>0.23114009999999999</v>
      </c>
      <c r="V2637">
        <v>-9.1686790000000008E-3</v>
      </c>
      <c r="W2637">
        <v>0.37138890000000002</v>
      </c>
      <c r="X2637">
        <v>0.92843220000000004</v>
      </c>
      <c r="Y2637">
        <v>6.0176090000000002E-2</v>
      </c>
      <c r="Z2637">
        <v>1.9069709999999999E-3</v>
      </c>
      <c r="AA2637">
        <v>0.99818589999999996</v>
      </c>
      <c r="AB2637">
        <v>32</v>
      </c>
      <c r="AC2637">
        <v>-0.70810000000000095</v>
      </c>
      <c r="AD2637">
        <v>-6.6323999999999994E-2</v>
      </c>
      <c r="AE2637">
        <v>6.8100000000015301E-2</v>
      </c>
      <c r="AF2637">
        <v>6.0722265295399598E-2</v>
      </c>
      <c r="AG2637">
        <v>-6.6323999999999994E-2</v>
      </c>
      <c r="AH2637">
        <v>0.70261773340585498</v>
      </c>
      <c r="AI2637">
        <v>95.372580374276296</v>
      </c>
      <c r="AJ2637">
        <v>85.060605232016997</v>
      </c>
      <c r="AK2637">
        <v>0.70834860469615202</v>
      </c>
      <c r="AL2637">
        <v>68.198701617840698</v>
      </c>
      <c r="AM2637">
        <v>90.565802795322497</v>
      </c>
      <c r="AN2637">
        <v>1.00000006485732</v>
      </c>
    </row>
    <row r="2638" spans="1:40" x14ac:dyDescent="0.25">
      <c r="A2638" t="str">
        <f>"20190304164904799"</f>
        <v>20190304164904799</v>
      </c>
      <c r="B2638" t="str">
        <f>"1551689344788156"</f>
        <v>1551689344788156</v>
      </c>
      <c r="C2638" t="s">
        <v>40</v>
      </c>
      <c r="D2638">
        <v>3.8696359999999999</v>
      </c>
      <c r="E2638">
        <v>0.54444130000000002</v>
      </c>
      <c r="F2638" t="s">
        <v>41</v>
      </c>
      <c r="G2638">
        <v>-397.54199999999997</v>
      </c>
      <c r="H2638">
        <v>1.0453749999999999</v>
      </c>
      <c r="I2638">
        <v>284.42540000000002</v>
      </c>
      <c r="J2638">
        <v>-396.86239999999998</v>
      </c>
      <c r="K2638">
        <v>1.110616</v>
      </c>
      <c r="L2638">
        <v>284.35890000000001</v>
      </c>
      <c r="M2638">
        <v>-0.99984649999999997</v>
      </c>
      <c r="N2638">
        <v>-1.439589E-2</v>
      </c>
      <c r="O2638">
        <v>9.9919280000000006E-3</v>
      </c>
      <c r="P2638">
        <v>-0.93362860000000003</v>
      </c>
      <c r="Q2638">
        <v>0.35824289999999998</v>
      </c>
      <c r="R2638" s="1">
        <v>-3.679283E-5</v>
      </c>
      <c r="S2638">
        <v>-3.296173</v>
      </c>
      <c r="T2638">
        <v>-0.2167994</v>
      </c>
      <c r="U2638">
        <v>0.2312012</v>
      </c>
      <c r="V2638">
        <v>-9.0892869999999997E-3</v>
      </c>
      <c r="W2638">
        <v>0.37165280000000001</v>
      </c>
      <c r="X2638">
        <v>0.92832729999999997</v>
      </c>
      <c r="Y2638">
        <v>5.9854520000000001E-2</v>
      </c>
      <c r="Z2638">
        <v>1.883769E-3</v>
      </c>
      <c r="AA2638">
        <v>0.99820529999999996</v>
      </c>
      <c r="AB2638">
        <v>32</v>
      </c>
      <c r="AC2638">
        <v>-0.67959999999999299</v>
      </c>
      <c r="AD2638">
        <v>-6.5241000000000104E-2</v>
      </c>
      <c r="AE2638">
        <v>6.6500000000019099E-2</v>
      </c>
      <c r="AF2638">
        <v>5.9165375166672897E-2</v>
      </c>
      <c r="AG2638">
        <v>-6.5241000000000104E-2</v>
      </c>
      <c r="AH2638">
        <v>0.67407733376686396</v>
      </c>
      <c r="AI2638">
        <v>95.507147483032398</v>
      </c>
      <c r="AJ2638">
        <v>84.983867845513302</v>
      </c>
      <c r="AK2638">
        <v>0.67980672370745099</v>
      </c>
      <c r="AL2638">
        <v>68.182414036295199</v>
      </c>
      <c r="AM2638">
        <v>90.560967175573893</v>
      </c>
      <c r="AN2638">
        <v>0.99999999740564904</v>
      </c>
    </row>
    <row r="2639" spans="1:40" x14ac:dyDescent="0.25">
      <c r="A2639" t="str">
        <f>"20190304164904821"</f>
        <v>20190304164904821</v>
      </c>
      <c r="B2639" t="str">
        <f>"1551689344818411"</f>
        <v>1551689344818411</v>
      </c>
      <c r="C2639" t="s">
        <v>40</v>
      </c>
      <c r="D2639">
        <v>3.8649230000000001</v>
      </c>
      <c r="E2639">
        <v>0.54444820000000005</v>
      </c>
      <c r="F2639" t="s">
        <v>41</v>
      </c>
      <c r="G2639">
        <v>-397.8261</v>
      </c>
      <c r="H2639">
        <v>1.0471220000000001</v>
      </c>
      <c r="I2639">
        <v>284.42720000000003</v>
      </c>
      <c r="J2639">
        <v>-397.17700000000002</v>
      </c>
      <c r="K2639">
        <v>1.1106320000000001</v>
      </c>
      <c r="L2639">
        <v>284.36250000000001</v>
      </c>
      <c r="M2639">
        <v>-0.99984340000000005</v>
      </c>
      <c r="N2639">
        <v>-1.4392439999999999E-2</v>
      </c>
      <c r="O2639">
        <v>1.031083E-2</v>
      </c>
      <c r="P2639">
        <v>-0.93342409999999998</v>
      </c>
      <c r="Q2639">
        <v>0.35877550000000002</v>
      </c>
      <c r="R2639">
        <v>3.7854350000000002E-4</v>
      </c>
      <c r="S2639">
        <v>-3.2966609999999998</v>
      </c>
      <c r="T2639">
        <v>-0.21728690000000001</v>
      </c>
      <c r="U2639">
        <v>0.23233029999999999</v>
      </c>
      <c r="V2639">
        <v>-8.9752540000000002E-3</v>
      </c>
      <c r="W2639">
        <v>0.37217860000000003</v>
      </c>
      <c r="X2639">
        <v>0.92811779999999999</v>
      </c>
      <c r="Y2639">
        <v>5.98659E-2</v>
      </c>
      <c r="Z2639">
        <v>1.8704349999999999E-3</v>
      </c>
      <c r="AA2639">
        <v>0.9982046</v>
      </c>
      <c r="AB2639">
        <v>32</v>
      </c>
      <c r="AC2639">
        <v>-0.64910000000003198</v>
      </c>
      <c r="AD2639">
        <v>-6.3510000000000094E-2</v>
      </c>
      <c r="AE2639">
        <v>6.4700000000016106E-2</v>
      </c>
      <c r="AF2639">
        <v>5.7458453056685198E-2</v>
      </c>
      <c r="AG2639">
        <v>-6.3510000000000094E-2</v>
      </c>
      <c r="AH2639">
        <v>0.64363161494425603</v>
      </c>
      <c r="AI2639">
        <v>95.613207701429999</v>
      </c>
      <c r="AJ2639">
        <v>84.898599156146503</v>
      </c>
      <c r="AK2639">
        <v>0.64930474330888599</v>
      </c>
      <c r="AL2639">
        <v>68.149961257612205</v>
      </c>
      <c r="AM2639">
        <v>90.554054824815694</v>
      </c>
      <c r="AN2639">
        <v>1.00000005807958</v>
      </c>
    </row>
    <row r="2640" spans="1:40" x14ac:dyDescent="0.25">
      <c r="A2640" t="str">
        <f>"20190304164904843"</f>
        <v>20190304164904843</v>
      </c>
      <c r="B2640" t="str">
        <f>"1551689344838910"</f>
        <v>1551689344838910</v>
      </c>
      <c r="C2640" t="s">
        <v>40</v>
      </c>
      <c r="D2640">
        <v>3.8444609999999999</v>
      </c>
      <c r="E2640">
        <v>0.54446430000000001</v>
      </c>
      <c r="F2640" t="s">
        <v>41</v>
      </c>
      <c r="G2640">
        <v>-398.11020000000002</v>
      </c>
      <c r="H2640">
        <v>1.049059</v>
      </c>
      <c r="I2640">
        <v>284.42880000000002</v>
      </c>
      <c r="J2640">
        <v>-397.49369999999999</v>
      </c>
      <c r="K2640">
        <v>1.1106469999999999</v>
      </c>
      <c r="L2640">
        <v>284.36610000000002</v>
      </c>
      <c r="M2640">
        <v>-0.99984010000000001</v>
      </c>
      <c r="N2640">
        <v>-1.4388969999999999E-2</v>
      </c>
      <c r="O2640">
        <v>1.0622970000000001E-2</v>
      </c>
      <c r="P2640">
        <v>-0.93313650000000004</v>
      </c>
      <c r="Q2640">
        <v>0.35952109999999998</v>
      </c>
      <c r="R2640">
        <v>1.0084530000000001E-3</v>
      </c>
      <c r="S2640">
        <v>-3.2975460000000001</v>
      </c>
      <c r="T2640">
        <v>-0.21770419999999999</v>
      </c>
      <c r="U2640">
        <v>0.23385619999999999</v>
      </c>
      <c r="V2640">
        <v>-8.6405719999999991E-3</v>
      </c>
      <c r="W2640">
        <v>0.37291669999999999</v>
      </c>
      <c r="X2640">
        <v>0.9278246</v>
      </c>
      <c r="Y2640">
        <v>5.9994770000000003E-2</v>
      </c>
      <c r="Z2640">
        <v>1.86151E-3</v>
      </c>
      <c r="AA2640">
        <v>0.998197</v>
      </c>
      <c r="AB2640">
        <v>32</v>
      </c>
      <c r="AC2640">
        <v>-0.61650000000003002</v>
      </c>
      <c r="AD2640">
        <v>-6.15879999999999E-2</v>
      </c>
      <c r="AE2640">
        <v>6.2700000000006598E-2</v>
      </c>
      <c r="AF2640">
        <v>5.5597545381805301E-2</v>
      </c>
      <c r="AG2640">
        <v>-6.15879999999999E-2</v>
      </c>
      <c r="AH2640">
        <v>0.61109510571916903</v>
      </c>
      <c r="AI2640">
        <v>95.731494816341197</v>
      </c>
      <c r="AJ2640">
        <v>84.801531151448899</v>
      </c>
      <c r="AK2640">
        <v>0.61670203261413403</v>
      </c>
      <c r="AL2640">
        <v>68.104389575876596</v>
      </c>
      <c r="AM2640">
        <v>90.533564207103595</v>
      </c>
      <c r="AN2640">
        <v>1.00000000649426</v>
      </c>
    </row>
    <row r="2641" spans="1:40" x14ac:dyDescent="0.25">
      <c r="A2641" t="str">
        <f>"20190304164904856"</f>
        <v>20190304164904856</v>
      </c>
      <c r="B2641" t="str">
        <f>"1551689344848667"</f>
        <v>1551689344848667</v>
      </c>
      <c r="C2641" t="s">
        <v>40</v>
      </c>
      <c r="D2641">
        <v>3.8687309999999999</v>
      </c>
      <c r="E2641">
        <v>0.54449049999999999</v>
      </c>
      <c r="F2641" t="s">
        <v>41</v>
      </c>
      <c r="G2641">
        <v>-398.39440000000002</v>
      </c>
      <c r="H2641">
        <v>1.051523</v>
      </c>
      <c r="I2641">
        <v>284.43079999999998</v>
      </c>
      <c r="J2641">
        <v>-397.6696</v>
      </c>
      <c r="K2641">
        <v>1.1106549999999999</v>
      </c>
      <c r="L2641">
        <v>284.36810000000003</v>
      </c>
      <c r="M2641">
        <v>-0.99983829999999996</v>
      </c>
      <c r="N2641">
        <v>-1.438705E-2</v>
      </c>
      <c r="O2641">
        <v>1.079191E-2</v>
      </c>
      <c r="P2641">
        <v>-0.93295620000000001</v>
      </c>
      <c r="Q2641">
        <v>0.35998819999999998</v>
      </c>
      <c r="R2641">
        <v>1.1913010000000001E-3</v>
      </c>
      <c r="S2641">
        <v>-3.298187</v>
      </c>
      <c r="T2641">
        <v>-0.2167037</v>
      </c>
      <c r="U2641">
        <v>0.23529050000000001</v>
      </c>
      <c r="V2641">
        <v>-8.6184980000000005E-3</v>
      </c>
      <c r="W2641">
        <v>0.37337900000000002</v>
      </c>
      <c r="X2641">
        <v>0.92763890000000004</v>
      </c>
      <c r="Y2641">
        <v>6.0245109999999998E-2</v>
      </c>
      <c r="Z2641">
        <v>1.8566800000000001E-3</v>
      </c>
      <c r="AA2641">
        <v>0.99818189999999996</v>
      </c>
      <c r="AB2641">
        <v>32</v>
      </c>
      <c r="AC2641">
        <v>-0.72480000000001599</v>
      </c>
      <c r="AD2641">
        <v>-5.91319999999999E-2</v>
      </c>
      <c r="AE2641">
        <v>6.2699999999949796E-2</v>
      </c>
      <c r="AF2641">
        <v>5.4513419804050701E-2</v>
      </c>
      <c r="AG2641">
        <v>-5.91319999999999E-2</v>
      </c>
      <c r="AH2641">
        <v>0.72067338331021102</v>
      </c>
      <c r="AI2641">
        <v>94.6773678645378</v>
      </c>
      <c r="AJ2641">
        <v>85.674251020896307</v>
      </c>
      <c r="AK2641">
        <v>0.72514717938810103</v>
      </c>
      <c r="AL2641">
        <v>68.0758404577156</v>
      </c>
      <c r="AM2641">
        <v>90.532307726319999</v>
      </c>
      <c r="AN2641">
        <v>1.0000000424709901</v>
      </c>
    </row>
    <row r="2642" spans="1:40" x14ac:dyDescent="0.25">
      <c r="A2642" t="str">
        <f>"20190304164904869"</f>
        <v>20190304164904869</v>
      </c>
      <c r="B2642" t="str">
        <f>"1551689344858427"</f>
        <v>1551689344858427</v>
      </c>
      <c r="C2642" t="s">
        <v>40</v>
      </c>
      <c r="D2642">
        <v>3.882803</v>
      </c>
      <c r="E2642">
        <v>0.54452739999999999</v>
      </c>
      <c r="F2642" t="s">
        <v>41</v>
      </c>
      <c r="G2642">
        <v>-398.67</v>
      </c>
      <c r="H2642">
        <v>1.045272</v>
      </c>
      <c r="I2642">
        <v>284.44</v>
      </c>
      <c r="J2642">
        <v>-397.85919999999999</v>
      </c>
      <c r="K2642">
        <v>1.1106670000000001</v>
      </c>
      <c r="L2642">
        <v>284.37040000000002</v>
      </c>
      <c r="M2642">
        <v>-0.99983650000000002</v>
      </c>
      <c r="N2642">
        <v>-1.4384950000000001E-2</v>
      </c>
      <c r="O2642">
        <v>1.096547E-2</v>
      </c>
      <c r="P2642">
        <v>-0.93286919999999995</v>
      </c>
      <c r="Q2642">
        <v>0.36021170000000002</v>
      </c>
      <c r="R2642">
        <v>1.7338939999999999E-3</v>
      </c>
      <c r="S2642">
        <v>-3.2985229999999999</v>
      </c>
      <c r="T2642">
        <v>-0.21564330000000001</v>
      </c>
      <c r="U2642">
        <v>0.23577880000000001</v>
      </c>
      <c r="V2642">
        <v>-8.2443800000000008E-3</v>
      </c>
      <c r="W2642">
        <v>0.37359880000000001</v>
      </c>
      <c r="X2642">
        <v>0.92755370000000004</v>
      </c>
      <c r="Y2642">
        <v>6.0213210000000003E-2</v>
      </c>
      <c r="Z2642">
        <v>1.840174E-3</v>
      </c>
      <c r="AA2642">
        <v>0.99818379999999995</v>
      </c>
      <c r="AB2642">
        <v>32</v>
      </c>
      <c r="AC2642">
        <v>-0.81080000000002805</v>
      </c>
      <c r="AD2642">
        <v>-6.5394999999999995E-2</v>
      </c>
      <c r="AE2642">
        <v>6.95999999999799E-2</v>
      </c>
      <c r="AF2642">
        <v>6.0314602992710603E-2</v>
      </c>
      <c r="AG2642">
        <v>-6.5394999999999995E-2</v>
      </c>
      <c r="AH2642">
        <v>0.80630768151606602</v>
      </c>
      <c r="AI2642">
        <v>94.623921254298693</v>
      </c>
      <c r="AJ2642">
        <v>85.7220448589471</v>
      </c>
      <c r="AK2642">
        <v>0.811200613061271</v>
      </c>
      <c r="AL2642">
        <v>68.062262271387098</v>
      </c>
      <c r="AM2642">
        <v>90.509248941548094</v>
      </c>
      <c r="AN2642">
        <v>0.99999994977335505</v>
      </c>
    </row>
    <row r="2643" spans="1:40" x14ac:dyDescent="0.25">
      <c r="A2643" t="str">
        <f>"20190304164904882"</f>
        <v>20190304164904882</v>
      </c>
      <c r="B2643" t="str">
        <f>"1551689344878923"</f>
        <v>1551689344878923</v>
      </c>
      <c r="C2643" t="s">
        <v>40</v>
      </c>
      <c r="D2643">
        <v>3.8475429999999999</v>
      </c>
      <c r="E2643">
        <v>0.54455390000000004</v>
      </c>
      <c r="F2643" t="s">
        <v>47</v>
      </c>
      <c r="G2643">
        <v>-414.86090000000002</v>
      </c>
      <c r="H2643" s="1">
        <v>2.9824020000000001E-6</v>
      </c>
      <c r="I2643">
        <v>285.59539999999998</v>
      </c>
      <c r="J2643">
        <v>-398.03730000000002</v>
      </c>
      <c r="K2643">
        <v>1.110679</v>
      </c>
      <c r="L2643">
        <v>284.3725</v>
      </c>
      <c r="M2643">
        <v>-0.99983480000000002</v>
      </c>
      <c r="N2643">
        <v>-1.438299E-2</v>
      </c>
      <c r="O2643">
        <v>1.112226E-2</v>
      </c>
      <c r="P2643">
        <v>-0.93273099999999998</v>
      </c>
      <c r="Q2643">
        <v>0.3605661</v>
      </c>
      <c r="R2643">
        <v>2.2357269999999999E-3</v>
      </c>
      <c r="S2643">
        <v>-3.2986149999999999</v>
      </c>
      <c r="T2643">
        <v>-0.21548709999999999</v>
      </c>
      <c r="U2643">
        <v>0.23767089999999999</v>
      </c>
      <c r="V2643">
        <v>-7.8955350000000004E-3</v>
      </c>
      <c r="W2643">
        <v>0.37394909999999998</v>
      </c>
      <c r="X2643">
        <v>0.92741560000000001</v>
      </c>
      <c r="Y2643">
        <v>6.0623660000000003E-2</v>
      </c>
      <c r="Z2643">
        <v>1.8475060000000001E-3</v>
      </c>
      <c r="AA2643">
        <v>0.99815900000000002</v>
      </c>
      <c r="AB2643">
        <v>32</v>
      </c>
      <c r="AC2643">
        <v>-16.823599999999999</v>
      </c>
      <c r="AD2643">
        <v>-1.1106760175979999</v>
      </c>
      <c r="AE2643">
        <v>1.2228999999999799</v>
      </c>
      <c r="AF2643">
        <v>1.03121761375636</v>
      </c>
      <c r="AG2643">
        <v>-1.1106760175979999</v>
      </c>
      <c r="AH2643">
        <v>16.763482397348099</v>
      </c>
      <c r="AI2643">
        <v>93.783499765334199</v>
      </c>
      <c r="AJ2643">
        <v>86.479844960760701</v>
      </c>
      <c r="AK2643">
        <v>16.831855306804101</v>
      </c>
      <c r="AL2643">
        <v>68.040623895711406</v>
      </c>
      <c r="AM2643">
        <v>90.487774740417393</v>
      </c>
      <c r="AN2643">
        <v>0.999999981993553</v>
      </c>
    </row>
    <row r="2644" spans="1:40" x14ac:dyDescent="0.25">
      <c r="A2644" t="str">
        <f>"20190304164904896"</f>
        <v>20190304164904896</v>
      </c>
      <c r="B2644" t="str">
        <f>"1551689344888683"</f>
        <v>1551689344888683</v>
      </c>
      <c r="C2644" t="s">
        <v>40</v>
      </c>
      <c r="D2644">
        <v>3.848757</v>
      </c>
      <c r="E2644">
        <v>0.5445778</v>
      </c>
      <c r="F2644" t="s">
        <v>41</v>
      </c>
      <c r="G2644">
        <v>-398.95639999999997</v>
      </c>
      <c r="H2644">
        <v>1.050651</v>
      </c>
      <c r="I2644">
        <v>284.43939999999998</v>
      </c>
      <c r="J2644">
        <v>-398.22449999999998</v>
      </c>
      <c r="K2644">
        <v>1.110692</v>
      </c>
      <c r="L2644">
        <v>284.37470000000002</v>
      </c>
      <c r="M2644">
        <v>-0.99983299999999997</v>
      </c>
      <c r="N2644">
        <v>-1.438092E-2</v>
      </c>
      <c r="O2644">
        <v>1.128118E-2</v>
      </c>
      <c r="P2644">
        <v>-0.93265350000000002</v>
      </c>
      <c r="Q2644">
        <v>0.36076229999999998</v>
      </c>
      <c r="R2644">
        <v>2.8711000000000001E-3</v>
      </c>
      <c r="S2644">
        <v>-3.2991329999999999</v>
      </c>
      <c r="T2644">
        <v>-0.21559800000000001</v>
      </c>
      <c r="U2644">
        <v>0.23937990000000001</v>
      </c>
      <c r="V2644">
        <v>-7.4173059999999898E-3</v>
      </c>
      <c r="W2644">
        <v>0.37414199999999997</v>
      </c>
      <c r="X2644">
        <v>0.92734179999999999</v>
      </c>
      <c r="Y2644">
        <v>6.096737E-2</v>
      </c>
      <c r="Z2644">
        <v>1.8534549999999999E-3</v>
      </c>
      <c r="AA2644">
        <v>0.99813799999999997</v>
      </c>
      <c r="AB2644">
        <v>31</v>
      </c>
      <c r="AC2644">
        <v>-0.731899999999996</v>
      </c>
      <c r="AD2644">
        <v>-6.0040999999999997E-2</v>
      </c>
      <c r="AE2644">
        <v>6.4699999999959304E-2</v>
      </c>
      <c r="AF2644">
        <v>5.6063967605007502E-2</v>
      </c>
      <c r="AG2644">
        <v>-6.0040999999999997E-2</v>
      </c>
      <c r="AH2644">
        <v>0.72772403132971897</v>
      </c>
      <c r="AI2644">
        <v>94.702643739603403</v>
      </c>
      <c r="AJ2644">
        <v>85.594626441711398</v>
      </c>
      <c r="AK2644">
        <v>0.73234578985571597</v>
      </c>
      <c r="AL2644">
        <v>68.028707642860297</v>
      </c>
      <c r="AM2644">
        <v>90.458268210004903</v>
      </c>
      <c r="AN2644">
        <v>1.0000000333097601</v>
      </c>
    </row>
    <row r="2645" spans="1:40" x14ac:dyDescent="0.25">
      <c r="A2645" t="str">
        <f>"20190304164904910"</f>
        <v>20190304164904910</v>
      </c>
      <c r="B2645" t="str">
        <f>"1551689344898444"</f>
        <v>1551689344898444</v>
      </c>
      <c r="C2645" t="s">
        <v>40</v>
      </c>
      <c r="D2645">
        <v>3.860776</v>
      </c>
      <c r="E2645">
        <v>0.54460649999999999</v>
      </c>
      <c r="F2645" t="s">
        <v>41</v>
      </c>
      <c r="G2645">
        <v>-399.23180000000002</v>
      </c>
      <c r="H2645">
        <v>1.0449310000000001</v>
      </c>
      <c r="I2645">
        <v>284.44839999999999</v>
      </c>
      <c r="J2645">
        <v>-398.42689999999999</v>
      </c>
      <c r="K2645">
        <v>1.110708</v>
      </c>
      <c r="L2645">
        <v>284.37720000000002</v>
      </c>
      <c r="M2645">
        <v>-0.99983140000000004</v>
      </c>
      <c r="N2645">
        <v>-1.437868E-2</v>
      </c>
      <c r="O2645">
        <v>1.1435610000000001E-2</v>
      </c>
      <c r="P2645">
        <v>-0.93258059999999998</v>
      </c>
      <c r="Q2645">
        <v>0.36094900000000002</v>
      </c>
      <c r="R2645">
        <v>3.1499660000000001E-3</v>
      </c>
      <c r="S2645">
        <v>-3.2992249999999999</v>
      </c>
      <c r="T2645">
        <v>-0.21543570000000001</v>
      </c>
      <c r="U2645">
        <v>0.24084469999999999</v>
      </c>
      <c r="V2645">
        <v>-7.2946809999999999E-3</v>
      </c>
      <c r="W2645">
        <v>0.37432460000000001</v>
      </c>
      <c r="X2645">
        <v>0.92726900000000001</v>
      </c>
      <c r="Y2645">
        <v>6.1251689999999998E-2</v>
      </c>
      <c r="Z2645">
        <v>1.8558400000000001E-3</v>
      </c>
      <c r="AA2645">
        <v>0.99812060000000002</v>
      </c>
      <c r="AB2645">
        <v>31</v>
      </c>
      <c r="AC2645">
        <v>-0.80490000000003104</v>
      </c>
      <c r="AD2645">
        <v>-6.5776999999999905E-2</v>
      </c>
      <c r="AE2645">
        <v>7.1199999999976102E-2</v>
      </c>
      <c r="AF2645">
        <v>6.1581803698700401E-2</v>
      </c>
      <c r="AG2645">
        <v>-6.5776999999999905E-2</v>
      </c>
      <c r="AH2645">
        <v>0.80035814498914204</v>
      </c>
      <c r="AI2645">
        <v>94.684479578402403</v>
      </c>
      <c r="AJ2645">
        <v>85.600170745361297</v>
      </c>
      <c r="AK2645">
        <v>0.805414236605143</v>
      </c>
      <c r="AL2645">
        <v>68.017423889693504</v>
      </c>
      <c r="AM2645">
        <v>90.450727687972602</v>
      </c>
      <c r="AN2645">
        <v>0.99999995844852496</v>
      </c>
    </row>
    <row r="2646" spans="1:40" x14ac:dyDescent="0.25">
      <c r="A2646" t="str">
        <f>"20190304164904924"</f>
        <v>20190304164904924</v>
      </c>
      <c r="B2646" t="str">
        <f>"1551689344918940"</f>
        <v>1551689344918940</v>
      </c>
      <c r="C2646" t="s">
        <v>40</v>
      </c>
      <c r="D2646">
        <v>3.8461310000000002</v>
      </c>
      <c r="E2646">
        <v>0.54460659999999905</v>
      </c>
      <c r="F2646" t="s">
        <v>47</v>
      </c>
      <c r="G2646">
        <v>-415.44490000000002</v>
      </c>
      <c r="H2646" s="1">
        <v>3.0831569999999998E-6</v>
      </c>
      <c r="I2646">
        <v>285.62790000000001</v>
      </c>
      <c r="J2646">
        <v>-398.63099999999997</v>
      </c>
      <c r="K2646">
        <v>1.110717</v>
      </c>
      <c r="L2646">
        <v>284.37970000000001</v>
      </c>
      <c r="M2646">
        <v>-0.99982969999999904</v>
      </c>
      <c r="N2646">
        <v>-1.4376409999999999E-2</v>
      </c>
      <c r="O2646">
        <v>1.1579529999999999E-2</v>
      </c>
      <c r="P2646">
        <v>-0.93238840000000001</v>
      </c>
      <c r="Q2646">
        <v>0.36144009999999999</v>
      </c>
      <c r="R2646">
        <v>3.6289540000000002E-3</v>
      </c>
      <c r="S2646">
        <v>-3.2993769999999998</v>
      </c>
      <c r="T2646">
        <v>-0.2153379</v>
      </c>
      <c r="U2646">
        <v>0.24249270000000001</v>
      </c>
      <c r="V2646">
        <v>-6.9620330000000003E-3</v>
      </c>
      <c r="W2646">
        <v>0.37481049999999999</v>
      </c>
      <c r="X2646">
        <v>0.92707530000000005</v>
      </c>
      <c r="Y2646">
        <v>6.1599950000000001E-2</v>
      </c>
      <c r="Z2646">
        <v>1.8616469999999999E-3</v>
      </c>
      <c r="AA2646">
        <v>0.99809919999999996</v>
      </c>
      <c r="AB2646">
        <v>31</v>
      </c>
      <c r="AC2646">
        <v>-16.8139</v>
      </c>
      <c r="AD2646">
        <v>-1.110713916843</v>
      </c>
      <c r="AE2646">
        <v>1.24819999999999</v>
      </c>
      <c r="AF2646">
        <v>1.0488472314203801</v>
      </c>
      <c r="AG2646">
        <v>-1.110713916843</v>
      </c>
      <c r="AH2646">
        <v>16.754514464190098</v>
      </c>
      <c r="AI2646">
        <v>93.785394599274994</v>
      </c>
      <c r="AJ2646">
        <v>86.417908555198096</v>
      </c>
      <c r="AK2646">
        <v>16.824016192654</v>
      </c>
      <c r="AL2646">
        <v>67.987398848277905</v>
      </c>
      <c r="AM2646">
        <v>90.4302645204708</v>
      </c>
      <c r="AN2646">
        <v>0.99999999634191605</v>
      </c>
    </row>
    <row r="2647" spans="1:40" x14ac:dyDescent="0.25">
      <c r="A2647" t="str">
        <f>"20190304164904945"</f>
        <v>20190304164904945</v>
      </c>
      <c r="B2647" t="str">
        <f>"1551689344938462"</f>
        <v>1551689344938462</v>
      </c>
      <c r="C2647" t="s">
        <v>40</v>
      </c>
      <c r="D2647">
        <v>3.8220369999999999</v>
      </c>
      <c r="E2647">
        <v>0.54460220000000004</v>
      </c>
      <c r="F2647" t="s">
        <v>41</v>
      </c>
      <c r="G2647">
        <v>-399.5292</v>
      </c>
      <c r="H2647">
        <v>1.05243</v>
      </c>
      <c r="I2647">
        <v>284.44659999999999</v>
      </c>
      <c r="J2647">
        <v>-398.91660000000002</v>
      </c>
      <c r="K2647">
        <v>1.1107450000000001</v>
      </c>
      <c r="L2647">
        <v>284.38319999999999</v>
      </c>
      <c r="M2647">
        <v>-0.99982769999999999</v>
      </c>
      <c r="N2647">
        <v>-1.437336E-2</v>
      </c>
      <c r="O2647">
        <v>1.175645E-2</v>
      </c>
      <c r="P2647">
        <v>-0.93226710000000002</v>
      </c>
      <c r="Q2647">
        <v>0.36174279999999998</v>
      </c>
      <c r="R2647">
        <v>4.5769290000000004E-3</v>
      </c>
      <c r="S2647">
        <v>-3.2996829999999999</v>
      </c>
      <c r="T2647">
        <v>-0.21428510000000001</v>
      </c>
      <c r="U2647">
        <v>0.24404909999999999</v>
      </c>
      <c r="V2647">
        <v>-6.2004369999999996E-3</v>
      </c>
      <c r="W2647">
        <v>0.37510830000000001</v>
      </c>
      <c r="X2647">
        <v>0.92696020000000001</v>
      </c>
      <c r="Y2647">
        <v>6.1885599999999999E-2</v>
      </c>
      <c r="Z2647">
        <v>1.857668E-3</v>
      </c>
      <c r="AA2647">
        <v>0.99808149999999995</v>
      </c>
      <c r="AB2647">
        <v>31</v>
      </c>
      <c r="AC2647">
        <v>-0.61259999999998604</v>
      </c>
      <c r="AD2647">
        <v>-5.8315000000000103E-2</v>
      </c>
      <c r="AE2647">
        <v>6.34000000000014E-2</v>
      </c>
      <c r="AF2647">
        <v>5.5693546696554297E-2</v>
      </c>
      <c r="AG2647">
        <v>-5.8315000000000103E-2</v>
      </c>
      <c r="AH2647">
        <v>0.60785331742138804</v>
      </c>
      <c r="AI2647">
        <v>95.457235930181199</v>
      </c>
      <c r="AJ2647">
        <v>84.764986110848497</v>
      </c>
      <c r="AK2647">
        <v>0.61317865738202904</v>
      </c>
      <c r="AL2647">
        <v>67.968992182509396</v>
      </c>
      <c r="AM2647">
        <v>90.383245767145496</v>
      </c>
      <c r="AN2647">
        <v>0.99999994726595898</v>
      </c>
    </row>
    <row r="2648" spans="1:40" x14ac:dyDescent="0.25">
      <c r="A2648" t="str">
        <f>"20190304164904957"</f>
        <v>20190304164904957</v>
      </c>
      <c r="B2648" t="str">
        <f>"1551689344948219"</f>
        <v>1551689344948219</v>
      </c>
      <c r="C2648" t="s">
        <v>40</v>
      </c>
      <c r="D2648">
        <v>3.794435</v>
      </c>
      <c r="E2648">
        <v>0.54460220000000004</v>
      </c>
      <c r="F2648" t="s">
        <v>47</v>
      </c>
      <c r="G2648">
        <v>-416.01</v>
      </c>
      <c r="H2648" s="1">
        <v>3.1807880000000002E-6</v>
      </c>
      <c r="I2648">
        <v>285.65769999999998</v>
      </c>
      <c r="J2648">
        <v>-399.10270000000003</v>
      </c>
      <c r="K2648">
        <v>1.1107629999999999</v>
      </c>
      <c r="L2648">
        <v>284.38549999999998</v>
      </c>
      <c r="M2648">
        <v>-0.99982660000000001</v>
      </c>
      <c r="N2648">
        <v>-1.4371449999999999E-2</v>
      </c>
      <c r="O2648">
        <v>1.185636E-2</v>
      </c>
      <c r="P2648">
        <v>-0.93218520000000005</v>
      </c>
      <c r="Q2648">
        <v>0.36195169999999999</v>
      </c>
      <c r="R2648">
        <v>4.6944320000000001E-3</v>
      </c>
      <c r="S2648">
        <v>-3.2999879999999999</v>
      </c>
      <c r="T2648">
        <v>-0.21443470000000001</v>
      </c>
      <c r="U2648">
        <v>0.24606320000000001</v>
      </c>
      <c r="V2648">
        <v>-6.1910389999999997E-3</v>
      </c>
      <c r="W2648">
        <v>0.37531389999999998</v>
      </c>
      <c r="X2648">
        <v>0.92687710000000001</v>
      </c>
      <c r="Y2648">
        <v>6.2383609999999999E-2</v>
      </c>
      <c r="Z2648">
        <v>1.873006E-3</v>
      </c>
      <c r="AA2648">
        <v>0.99805049999999995</v>
      </c>
      <c r="AB2648">
        <v>31</v>
      </c>
      <c r="AC2648">
        <v>-16.9072999999999</v>
      </c>
      <c r="AD2648">
        <v>-1.1107598192119901</v>
      </c>
      <c r="AE2648">
        <v>1.27219999999999</v>
      </c>
      <c r="AF2648">
        <v>1.06705127995593</v>
      </c>
      <c r="AG2648">
        <v>-1.1107598192119901</v>
      </c>
      <c r="AH2648">
        <v>16.848884474763501</v>
      </c>
      <c r="AI2648">
        <v>93.764237179605004</v>
      </c>
      <c r="AJ2648">
        <v>86.376258927046706</v>
      </c>
      <c r="AK2648">
        <v>16.919139867438901</v>
      </c>
      <c r="AL2648">
        <v>67.956285029444203</v>
      </c>
      <c r="AM2648">
        <v>90.382699206114395</v>
      </c>
      <c r="AN2648">
        <v>1.0000000055007501</v>
      </c>
    </row>
    <row r="2649" spans="1:40" x14ac:dyDescent="0.25">
      <c r="A2649" t="str">
        <f>"20190304164904970"</f>
        <v>20190304164904970</v>
      </c>
      <c r="B2649" t="str">
        <f>"1551689344968715"</f>
        <v>1551689344968715</v>
      </c>
      <c r="C2649" t="s">
        <v>40</v>
      </c>
      <c r="D2649">
        <v>3.838117</v>
      </c>
      <c r="E2649">
        <v>0.54458490000000004</v>
      </c>
      <c r="F2649" t="s">
        <v>41</v>
      </c>
      <c r="G2649">
        <v>-400.07490000000001</v>
      </c>
      <c r="H2649">
        <v>1.0477510000000001</v>
      </c>
      <c r="I2649">
        <v>284.45850000000002</v>
      </c>
      <c r="J2649">
        <v>-399.28829999999999</v>
      </c>
      <c r="K2649">
        <v>1.1107819999999999</v>
      </c>
      <c r="L2649">
        <v>284.38780000000003</v>
      </c>
      <c r="M2649">
        <v>-0.99982550000000003</v>
      </c>
      <c r="N2649">
        <v>-1.4369470000000001E-2</v>
      </c>
      <c r="O2649">
        <v>1.194016E-2</v>
      </c>
      <c r="P2649">
        <v>-0.93209339999999996</v>
      </c>
      <c r="Q2649">
        <v>0.36218479999999997</v>
      </c>
      <c r="R2649">
        <v>4.9208009999999998E-3</v>
      </c>
      <c r="S2649">
        <v>-3.3001710000000002</v>
      </c>
      <c r="T2649">
        <v>-0.2140676</v>
      </c>
      <c r="U2649">
        <v>0.2463989</v>
      </c>
      <c r="V2649">
        <v>-6.0578400000000001E-3</v>
      </c>
      <c r="W2649">
        <v>0.37554369999999998</v>
      </c>
      <c r="X2649">
        <v>0.92678490000000002</v>
      </c>
      <c r="Y2649">
        <v>6.2397340000000003E-2</v>
      </c>
      <c r="Z2649">
        <v>1.867028E-3</v>
      </c>
      <c r="AA2649">
        <v>0.99804959999999998</v>
      </c>
      <c r="AB2649">
        <v>31</v>
      </c>
      <c r="AC2649">
        <v>-0.78660000000002095</v>
      </c>
      <c r="AD2649">
        <v>-6.3030999999999796E-2</v>
      </c>
      <c r="AE2649">
        <v>7.0699999999987995E-2</v>
      </c>
      <c r="AF2649">
        <v>6.0913868126900798E-2</v>
      </c>
      <c r="AG2649">
        <v>-6.3030999999999796E-2</v>
      </c>
      <c r="AH2649">
        <v>0.78240463543046002</v>
      </c>
      <c r="AI2649">
        <v>94.592000398698303</v>
      </c>
      <c r="AJ2649">
        <v>85.548235089559498</v>
      </c>
      <c r="AK2649">
        <v>0.78729944737326796</v>
      </c>
      <c r="AL2649">
        <v>67.942079421733396</v>
      </c>
      <c r="AM2649">
        <v>90.374502996348895</v>
      </c>
      <c r="AN2649">
        <v>1.00000000945158</v>
      </c>
    </row>
    <row r="2650" spans="1:40" x14ac:dyDescent="0.25">
      <c r="A2650" t="str">
        <f>"20190304164904984"</f>
        <v>20190304164904984</v>
      </c>
      <c r="B2650" t="str">
        <f>"1551689344978475"</f>
        <v>1551689344978475</v>
      </c>
      <c r="C2650" t="s">
        <v>40</v>
      </c>
      <c r="D2650">
        <v>3.8300610000000002</v>
      </c>
      <c r="E2650">
        <v>0.54456949999999904</v>
      </c>
      <c r="F2650" t="s">
        <v>47</v>
      </c>
      <c r="G2650">
        <v>-416.45979999999997</v>
      </c>
      <c r="H2650" s="1">
        <v>3.259083E-6</v>
      </c>
      <c r="I2650">
        <v>285.6748</v>
      </c>
      <c r="J2650">
        <v>-399.46359999999999</v>
      </c>
      <c r="K2650">
        <v>1.1108009999999999</v>
      </c>
      <c r="L2650">
        <v>284.39</v>
      </c>
      <c r="M2650">
        <v>-0.99982479999999996</v>
      </c>
      <c r="N2650">
        <v>-1.436752E-2</v>
      </c>
      <c r="O2650">
        <v>1.2005439999999999E-2</v>
      </c>
      <c r="P2650">
        <v>-0.93204430000000005</v>
      </c>
      <c r="Q2650">
        <v>0.3623091</v>
      </c>
      <c r="R2650">
        <v>5.066292E-3</v>
      </c>
      <c r="S2650">
        <v>-3.3002009999999999</v>
      </c>
      <c r="T2650">
        <v>-0.21348049999999999</v>
      </c>
      <c r="U2650">
        <v>0.24734500000000001</v>
      </c>
      <c r="V2650">
        <v>-5.9890189999999999E-3</v>
      </c>
      <c r="W2650">
        <v>0.37566519999999998</v>
      </c>
      <c r="X2650">
        <v>0.92673609999999995</v>
      </c>
      <c r="Y2650">
        <v>6.261622E-2</v>
      </c>
      <c r="Z2650">
        <v>1.868874E-3</v>
      </c>
      <c r="AA2650">
        <v>0.99803589999999998</v>
      </c>
      <c r="AB2650">
        <v>31</v>
      </c>
      <c r="AC2650">
        <v>-16.996199999999899</v>
      </c>
      <c r="AD2650">
        <v>-1.110797740917</v>
      </c>
      <c r="AE2650">
        <v>1.2848000000000099</v>
      </c>
      <c r="AF2650">
        <v>1.0760693190057999</v>
      </c>
      <c r="AG2650">
        <v>-1.110797740917</v>
      </c>
      <c r="AH2650">
        <v>16.9384618428519</v>
      </c>
      <c r="AI2650">
        <v>93.744468054878695</v>
      </c>
      <c r="AJ2650">
        <v>86.364989374998999</v>
      </c>
      <c r="AK2650">
        <v>17.008917849242501</v>
      </c>
      <c r="AL2650">
        <v>67.934567893971106</v>
      </c>
      <c r="AM2650">
        <v>90.370268013981303</v>
      </c>
      <c r="AN2650">
        <v>1.0000000049414099</v>
      </c>
    </row>
    <row r="2651" spans="1:40" x14ac:dyDescent="0.25">
      <c r="A2651" t="str">
        <f>"20190304164904997"</f>
        <v>20190304164904997</v>
      </c>
      <c r="B2651" t="str">
        <f>"1551689344988235"</f>
        <v>1551689344988235</v>
      </c>
      <c r="C2651" t="s">
        <v>40</v>
      </c>
      <c r="D2651">
        <v>3.8320810000000001</v>
      </c>
      <c r="E2651">
        <v>0.54455719999999996</v>
      </c>
      <c r="F2651" t="s">
        <v>41</v>
      </c>
      <c r="G2651">
        <v>-400.3657</v>
      </c>
      <c r="H2651">
        <v>1.0524579999999999</v>
      </c>
      <c r="I2651">
        <v>284.45769999999999</v>
      </c>
      <c r="J2651">
        <v>-399.64</v>
      </c>
      <c r="K2651">
        <v>1.110819</v>
      </c>
      <c r="L2651">
        <v>284.3922</v>
      </c>
      <c r="M2651">
        <v>-0.99982420000000005</v>
      </c>
      <c r="N2651">
        <v>-1.436554E-2</v>
      </c>
      <c r="O2651">
        <v>1.206278E-2</v>
      </c>
      <c r="P2651">
        <v>-0.93196570000000001</v>
      </c>
      <c r="Q2651">
        <v>0.36250749999999998</v>
      </c>
      <c r="R2651">
        <v>5.3491719999999897E-3</v>
      </c>
      <c r="S2651">
        <v>-3.3003230000000001</v>
      </c>
      <c r="T2651">
        <v>-0.21333859999999999</v>
      </c>
      <c r="U2651">
        <v>0.24789430000000001</v>
      </c>
      <c r="V2651">
        <v>-5.7746489999999998E-3</v>
      </c>
      <c r="W2651">
        <v>0.37586009999999997</v>
      </c>
      <c r="X2651">
        <v>0.92665839999999999</v>
      </c>
      <c r="Y2651">
        <v>6.2721410000000005E-2</v>
      </c>
      <c r="Z2651">
        <v>1.8691840000000001E-3</v>
      </c>
      <c r="AA2651">
        <v>0.99802939999999996</v>
      </c>
      <c r="AB2651">
        <v>31</v>
      </c>
      <c r="AC2651">
        <v>-0.725700000000017</v>
      </c>
      <c r="AD2651">
        <v>-5.83610000000001E-2</v>
      </c>
      <c r="AE2651">
        <v>6.5499999999985903E-2</v>
      </c>
      <c r="AF2651">
        <v>5.63786934604108E-2</v>
      </c>
      <c r="AG2651">
        <v>-5.83610000000001E-2</v>
      </c>
      <c r="AH2651">
        <v>0.72180687465267701</v>
      </c>
      <c r="AI2651">
        <v>94.608563618924194</v>
      </c>
      <c r="AJ2651">
        <v>85.533824673302803</v>
      </c>
      <c r="AK2651">
        <v>0.72635372078152705</v>
      </c>
      <c r="AL2651">
        <v>67.922517195198196</v>
      </c>
      <c r="AM2651">
        <v>90.357044983416202</v>
      </c>
      <c r="AN2651">
        <v>0.99999997581682099</v>
      </c>
    </row>
    <row r="2652" spans="1:40" x14ac:dyDescent="0.25">
      <c r="A2652" t="str">
        <f>"20190304164905010"</f>
        <v>20190304164905010</v>
      </c>
      <c r="B2652" t="str">
        <f>"1551689344998971"</f>
        <v>1551689344998971</v>
      </c>
      <c r="C2652" t="s">
        <v>40</v>
      </c>
      <c r="D2652">
        <v>3.8300179999999999</v>
      </c>
      <c r="E2652">
        <v>0.54453769999999901</v>
      </c>
      <c r="F2652" t="s">
        <v>41</v>
      </c>
      <c r="G2652">
        <v>-400.63260000000002</v>
      </c>
      <c r="H2652">
        <v>1.046835</v>
      </c>
      <c r="I2652">
        <v>284.46730000000002</v>
      </c>
      <c r="J2652">
        <v>-399.83210000000003</v>
      </c>
      <c r="K2652">
        <v>1.1108370000000001</v>
      </c>
      <c r="L2652">
        <v>284.39460000000003</v>
      </c>
      <c r="M2652">
        <v>-0.99982360000000003</v>
      </c>
      <c r="N2652">
        <v>-1.436334E-2</v>
      </c>
      <c r="O2652">
        <v>1.210585E-2</v>
      </c>
      <c r="P2652">
        <v>-0.93190470000000003</v>
      </c>
      <c r="Q2652">
        <v>0.3626626</v>
      </c>
      <c r="R2652">
        <v>5.4638389999999998E-3</v>
      </c>
      <c r="S2652">
        <v>-3.3004150000000001</v>
      </c>
      <c r="T2652">
        <v>-0.2129596</v>
      </c>
      <c r="U2652">
        <v>0.24874879999999999</v>
      </c>
      <c r="V2652">
        <v>-5.71727E-3</v>
      </c>
      <c r="W2652">
        <v>0.3760117</v>
      </c>
      <c r="X2652">
        <v>0.92659729999999996</v>
      </c>
      <c r="Y2652">
        <v>6.2933269999999999E-2</v>
      </c>
      <c r="Z2652">
        <v>1.873027E-3</v>
      </c>
      <c r="AA2652">
        <v>0.99801600000000001</v>
      </c>
      <c r="AB2652">
        <v>31</v>
      </c>
      <c r="AC2652">
        <v>-0.80049999999999899</v>
      </c>
      <c r="AD2652">
        <v>-6.40020000000001E-2</v>
      </c>
      <c r="AE2652">
        <v>7.2699999999997503E-2</v>
      </c>
      <c r="AF2652">
        <v>6.2606010034001194E-2</v>
      </c>
      <c r="AG2652">
        <v>-6.40020000000001E-2</v>
      </c>
      <c r="AH2652">
        <v>0.79627305256487901</v>
      </c>
      <c r="AI2652">
        <v>94.581303115931902</v>
      </c>
      <c r="AJ2652">
        <v>85.504436509867602</v>
      </c>
      <c r="AK2652">
        <v>0.80129054826409096</v>
      </c>
      <c r="AL2652">
        <v>67.913144609335305</v>
      </c>
      <c r="AM2652">
        <v>90.353520654959794</v>
      </c>
      <c r="AN2652">
        <v>1.00000002104021</v>
      </c>
    </row>
    <row r="2653" spans="1:40" x14ac:dyDescent="0.25">
      <c r="A2653" t="str">
        <f>"20190304164905025"</f>
        <v>20190304164905025</v>
      </c>
      <c r="B2653" t="str">
        <f>"1551689345018492"</f>
        <v>1551689345018492</v>
      </c>
      <c r="C2653" t="s">
        <v>40</v>
      </c>
      <c r="D2653">
        <v>3.80186</v>
      </c>
      <c r="E2653">
        <v>0.54452250000000002</v>
      </c>
      <c r="F2653" t="s">
        <v>47</v>
      </c>
      <c r="G2653">
        <v>-417.06060000000002</v>
      </c>
      <c r="H2653" s="1">
        <v>3.3640540000000001E-6</v>
      </c>
      <c r="I2653">
        <v>285.69310000000002</v>
      </c>
      <c r="J2653">
        <v>-400.02850000000001</v>
      </c>
      <c r="K2653">
        <v>1.110857</v>
      </c>
      <c r="L2653">
        <v>284.39699999999999</v>
      </c>
      <c r="M2653">
        <v>-0.99982320000000002</v>
      </c>
      <c r="N2653">
        <v>-1.436109E-2</v>
      </c>
      <c r="O2653">
        <v>1.2138029999999999E-2</v>
      </c>
      <c r="P2653">
        <v>-0.93173950000000005</v>
      </c>
      <c r="Q2653">
        <v>0.36308319999999999</v>
      </c>
      <c r="R2653">
        <v>5.679496E-3</v>
      </c>
      <c r="S2653">
        <v>-3.3005680000000002</v>
      </c>
      <c r="T2653">
        <v>-0.21280879999999999</v>
      </c>
      <c r="U2653">
        <v>0.24877929999999901</v>
      </c>
      <c r="V2653">
        <v>-5.5470340000000002E-3</v>
      </c>
      <c r="W2653">
        <v>0.37642779999999998</v>
      </c>
      <c r="X2653">
        <v>0.92642930000000001</v>
      </c>
      <c r="Y2653">
        <v>6.2907160000000004E-2</v>
      </c>
      <c r="Z2653">
        <v>1.8693550000000001E-3</v>
      </c>
      <c r="AA2653">
        <v>0.99801759999999995</v>
      </c>
      <c r="AB2653">
        <v>31</v>
      </c>
      <c r="AC2653">
        <v>-17.0321</v>
      </c>
      <c r="AD2653">
        <v>-1.110853635946</v>
      </c>
      <c r="AE2653">
        <v>1.29610000000002</v>
      </c>
      <c r="AF2653">
        <v>1.0846596730448901</v>
      </c>
      <c r="AG2653">
        <v>-1.110853635946</v>
      </c>
      <c r="AH2653">
        <v>16.974787080920098</v>
      </c>
      <c r="AI2653">
        <v>93.736577770520796</v>
      </c>
      <c r="AJ2653">
        <v>86.343868897500897</v>
      </c>
      <c r="AK2653">
        <v>17.045641051289198</v>
      </c>
      <c r="AL2653">
        <v>67.887411790970901</v>
      </c>
      <c r="AM2653">
        <v>90.343056765431896</v>
      </c>
      <c r="AN2653">
        <v>0.99999995304876199</v>
      </c>
    </row>
    <row r="2654" spans="1:40" x14ac:dyDescent="0.25">
      <c r="A2654" t="str">
        <f>"20190304164905037"</f>
        <v>20190304164905037</v>
      </c>
      <c r="B2654" t="str">
        <f>"1551689345028252"</f>
        <v>1551689345028252</v>
      </c>
      <c r="C2654" t="s">
        <v>40</v>
      </c>
      <c r="D2654">
        <v>3.829602</v>
      </c>
      <c r="E2654">
        <v>0.54450710000000002</v>
      </c>
      <c r="F2654" t="s">
        <v>47</v>
      </c>
      <c r="G2654">
        <v>-417.36399999999998</v>
      </c>
      <c r="H2654" s="1">
        <v>3.4168329999999999E-6</v>
      </c>
      <c r="I2654">
        <v>285.70499999999998</v>
      </c>
      <c r="J2654">
        <v>-400.20580000000001</v>
      </c>
      <c r="K2654">
        <v>1.1108750000000001</v>
      </c>
      <c r="L2654">
        <v>284.39909999999998</v>
      </c>
      <c r="M2654">
        <v>-0.99982300000000002</v>
      </c>
      <c r="N2654">
        <v>-1.435906E-2</v>
      </c>
      <c r="O2654">
        <v>1.2159700000000001E-2</v>
      </c>
      <c r="P2654">
        <v>-0.93179020000000001</v>
      </c>
      <c r="Q2654">
        <v>0.36295179999999999</v>
      </c>
      <c r="R2654">
        <v>5.7401550000000003E-3</v>
      </c>
      <c r="S2654">
        <v>-3.3006899999999999</v>
      </c>
      <c r="T2654">
        <v>-0.2115071</v>
      </c>
      <c r="U2654">
        <v>0.249054</v>
      </c>
      <c r="V2654">
        <v>-5.521733E-3</v>
      </c>
      <c r="W2654">
        <v>0.37629489999999999</v>
      </c>
      <c r="X2654">
        <v>0.92648350000000002</v>
      </c>
      <c r="Y2654">
        <v>6.2966759999999997E-2</v>
      </c>
      <c r="Z2654">
        <v>1.862889E-3</v>
      </c>
      <c r="AA2654">
        <v>0.99801390000000001</v>
      </c>
      <c r="AB2654">
        <v>31</v>
      </c>
      <c r="AC2654">
        <v>-17.158200000000001</v>
      </c>
      <c r="AD2654">
        <v>-1.110871583167</v>
      </c>
      <c r="AE2654">
        <v>1.3059000000000001</v>
      </c>
      <c r="AF2654">
        <v>1.09258999238326</v>
      </c>
      <c r="AG2654">
        <v>-1.110871583167</v>
      </c>
      <c r="AH2654">
        <v>17.1015414820206</v>
      </c>
      <c r="AI2654">
        <v>93.7090224164848</v>
      </c>
      <c r="AJ2654">
        <v>86.344433030134596</v>
      </c>
      <c r="AK2654">
        <v>17.172376353522399</v>
      </c>
      <c r="AL2654">
        <v>67.895632004831498</v>
      </c>
      <c r="AM2654">
        <v>90.341472083110105</v>
      </c>
      <c r="AN2654">
        <v>1.0000000085367899</v>
      </c>
    </row>
    <row r="2655" spans="1:40" x14ac:dyDescent="0.25">
      <c r="A2655" t="str">
        <f>"20190304164905055"</f>
        <v>20190304164905055</v>
      </c>
      <c r="B2655" t="str">
        <f>"1551689345048750"</f>
        <v>1551689345048750</v>
      </c>
      <c r="C2655" t="s">
        <v>40</v>
      </c>
      <c r="D2655">
        <v>3.832265</v>
      </c>
      <c r="E2655">
        <v>0.54449360000000002</v>
      </c>
      <c r="F2655" t="s">
        <v>41</v>
      </c>
      <c r="G2655">
        <v>-401.19069999999999</v>
      </c>
      <c r="H2655">
        <v>1.047528</v>
      </c>
      <c r="I2655">
        <v>284.4735</v>
      </c>
      <c r="J2655">
        <v>-400.46230000000003</v>
      </c>
      <c r="K2655">
        <v>1.110892</v>
      </c>
      <c r="L2655">
        <v>284.40230000000003</v>
      </c>
      <c r="M2655">
        <v>-0.99982289999999996</v>
      </c>
      <c r="N2655">
        <v>-1.435617E-2</v>
      </c>
      <c r="O2655">
        <v>1.2176029999999999E-2</v>
      </c>
      <c r="P2655">
        <v>-0.93176899999999996</v>
      </c>
      <c r="Q2655">
        <v>0.36300779999999999</v>
      </c>
      <c r="R2655">
        <v>5.6682010000000003E-3</v>
      </c>
      <c r="S2655">
        <v>-3.3008419999999998</v>
      </c>
      <c r="T2655">
        <v>-0.2124065</v>
      </c>
      <c r="U2655">
        <v>0.2485657</v>
      </c>
      <c r="V2655">
        <v>-5.6254169999999997E-3</v>
      </c>
      <c r="W2655">
        <v>0.37634790000000001</v>
      </c>
      <c r="X2655">
        <v>0.92646130000000004</v>
      </c>
      <c r="Y2655">
        <v>6.2799599999999997E-2</v>
      </c>
      <c r="Z2655">
        <v>1.860574E-3</v>
      </c>
      <c r="AA2655">
        <v>0.99802440000000003</v>
      </c>
      <c r="AB2655">
        <v>31</v>
      </c>
      <c r="AC2655">
        <v>-0.72839999999996496</v>
      </c>
      <c r="AD2655">
        <v>-6.3363999999999907E-2</v>
      </c>
      <c r="AE2655">
        <v>7.1199999999976102E-2</v>
      </c>
      <c r="AF2655">
        <v>6.1861091679545101E-2</v>
      </c>
      <c r="AG2655">
        <v>-6.3363999999999907E-2</v>
      </c>
      <c r="AH2655">
        <v>0.72378767927327903</v>
      </c>
      <c r="AI2655">
        <v>94.985121276198797</v>
      </c>
      <c r="AJ2655">
        <v>85.114884123519701</v>
      </c>
      <c r="AK2655">
        <v>0.72918474739093697</v>
      </c>
      <c r="AL2655">
        <v>67.892353346454598</v>
      </c>
      <c r="AM2655">
        <v>90.3478922337423</v>
      </c>
      <c r="AN2655">
        <v>0.99999996377426104</v>
      </c>
    </row>
    <row r="2656" spans="1:40" x14ac:dyDescent="0.25">
      <c r="A2656" t="str">
        <f>"20190304164905069"</f>
        <v>20190304164905069</v>
      </c>
      <c r="B2656" t="str">
        <f>"1551689345058507"</f>
        <v>1551689345058507</v>
      </c>
      <c r="C2656" t="s">
        <v>40</v>
      </c>
      <c r="D2656">
        <v>3.8062619999999998</v>
      </c>
      <c r="E2656">
        <v>0.54448209999999997</v>
      </c>
      <c r="F2656" t="s">
        <v>41</v>
      </c>
      <c r="G2656">
        <v>-401.46769999999998</v>
      </c>
      <c r="H2656">
        <v>1.0462659999999999</v>
      </c>
      <c r="I2656">
        <v>284.47789999999998</v>
      </c>
      <c r="J2656">
        <v>-400.65629999999999</v>
      </c>
      <c r="K2656">
        <v>1.1109020000000001</v>
      </c>
      <c r="L2656">
        <v>284.40469999999999</v>
      </c>
      <c r="M2656">
        <v>-0.99982280000000001</v>
      </c>
      <c r="N2656">
        <v>-1.435401E-2</v>
      </c>
      <c r="O2656">
        <v>1.217938E-2</v>
      </c>
      <c r="P2656">
        <v>-0.93170339999999996</v>
      </c>
      <c r="Q2656">
        <v>0.36317880000000002</v>
      </c>
      <c r="R2656">
        <v>5.488504E-3</v>
      </c>
      <c r="S2656">
        <v>-3.3007810000000002</v>
      </c>
      <c r="T2656">
        <v>-0.21214250000000001</v>
      </c>
      <c r="U2656">
        <v>0.24819949999999999</v>
      </c>
      <c r="V2656">
        <v>-5.8171639999999997E-3</v>
      </c>
      <c r="W2656">
        <v>0.37651580000000001</v>
      </c>
      <c r="X2656">
        <v>0.92639199999999999</v>
      </c>
      <c r="Y2656">
        <v>6.2688140000000003E-2</v>
      </c>
      <c r="Z2656">
        <v>1.854432E-3</v>
      </c>
      <c r="AA2656">
        <v>0.99803140000000001</v>
      </c>
      <c r="AB2656">
        <v>31</v>
      </c>
      <c r="AC2656">
        <v>-0.81139999999999102</v>
      </c>
      <c r="AD2656">
        <v>-6.4636000000000096E-2</v>
      </c>
      <c r="AE2656">
        <v>7.3199999999985693E-2</v>
      </c>
      <c r="AF2656">
        <v>6.29151851134543E-2</v>
      </c>
      <c r="AG2656">
        <v>-6.4636000000000096E-2</v>
      </c>
      <c r="AH2656">
        <v>0.80715084638068801</v>
      </c>
      <c r="AI2656">
        <v>94.564643526427005</v>
      </c>
      <c r="AJ2656">
        <v>85.542963880794403</v>
      </c>
      <c r="AK2656">
        <v>0.81217524083594295</v>
      </c>
      <c r="AL2656">
        <v>67.881971896709302</v>
      </c>
      <c r="AM2656">
        <v>90.359777033174794</v>
      </c>
      <c r="AN2656">
        <v>1.00000006235531</v>
      </c>
    </row>
    <row r="2657" spans="1:40" x14ac:dyDescent="0.25">
      <c r="A2657" t="str">
        <f>"20190304164905082"</f>
        <v>20190304164905082</v>
      </c>
      <c r="B2657" t="str">
        <f>"1551689345079003"</f>
        <v>1551689345079003</v>
      </c>
      <c r="C2657" t="s">
        <v>40</v>
      </c>
      <c r="D2657">
        <v>3.8248530000000001</v>
      </c>
      <c r="E2657">
        <v>0.5444698</v>
      </c>
      <c r="F2657" t="s">
        <v>47</v>
      </c>
      <c r="G2657">
        <v>-417.9898</v>
      </c>
      <c r="H2657" s="1">
        <v>3.5274650000000002E-6</v>
      </c>
      <c r="I2657">
        <v>285.70920000000001</v>
      </c>
      <c r="J2657">
        <v>-400.83330000000001</v>
      </c>
      <c r="K2657">
        <v>1.1109119999999999</v>
      </c>
      <c r="L2657">
        <v>284.40690000000001</v>
      </c>
      <c r="M2657">
        <v>-0.99982289999999996</v>
      </c>
      <c r="N2657">
        <v>-1.435205E-2</v>
      </c>
      <c r="O2657">
        <v>1.217944E-2</v>
      </c>
      <c r="P2657">
        <v>-0.93164440000000004</v>
      </c>
      <c r="Q2657">
        <v>0.36333310000000002</v>
      </c>
      <c r="R2657">
        <v>5.2901669999999897E-3</v>
      </c>
      <c r="S2657">
        <v>-3.3008730000000002</v>
      </c>
      <c r="T2657">
        <v>-0.21155170000000001</v>
      </c>
      <c r="U2657">
        <v>0.2484131</v>
      </c>
      <c r="V2657">
        <v>-6.0221739999999999E-3</v>
      </c>
      <c r="W2657">
        <v>0.37666690000000003</v>
      </c>
      <c r="X2657">
        <v>0.92632919999999996</v>
      </c>
      <c r="Y2657">
        <v>6.2750769999999997E-2</v>
      </c>
      <c r="Z2657">
        <v>1.853344E-3</v>
      </c>
      <c r="AA2657">
        <v>0.99802749999999996</v>
      </c>
      <c r="AB2657">
        <v>31</v>
      </c>
      <c r="AC2657">
        <v>-17.156499999999902</v>
      </c>
      <c r="AD2657">
        <v>-1.110908472535</v>
      </c>
      <c r="AE2657">
        <v>1.3023</v>
      </c>
      <c r="AF2657">
        <v>1.08868687132048</v>
      </c>
      <c r="AG2657">
        <v>-1.110908472535</v>
      </c>
      <c r="AH2657">
        <v>17.0998056112462</v>
      </c>
      <c r="AI2657">
        <v>93.709572828575105</v>
      </c>
      <c r="AJ2657">
        <v>86.357088023874596</v>
      </c>
      <c r="AK2657">
        <v>17.1704021117894</v>
      </c>
      <c r="AL2657">
        <v>67.872625119279107</v>
      </c>
      <c r="AM2657">
        <v>90.372481287172306</v>
      </c>
      <c r="AN2657">
        <v>1.00000000345396</v>
      </c>
    </row>
    <row r="2658" spans="1:40" x14ac:dyDescent="0.25">
      <c r="A2658" t="str">
        <f>"20190304164905100"</f>
        <v>20190304164905100</v>
      </c>
      <c r="B2658" t="str">
        <f>"1551689345088763"</f>
        <v>1551689345088763</v>
      </c>
      <c r="C2658" t="s">
        <v>40</v>
      </c>
      <c r="D2658">
        <v>3.85453</v>
      </c>
      <c r="E2658">
        <v>0.5444698</v>
      </c>
      <c r="F2658" t="s">
        <v>41</v>
      </c>
      <c r="G2658">
        <v>-401.75110000000001</v>
      </c>
      <c r="H2658">
        <v>1.052114</v>
      </c>
      <c r="I2658">
        <v>284.47609999999997</v>
      </c>
      <c r="J2658">
        <v>-401.07870000000003</v>
      </c>
      <c r="K2658">
        <v>1.110922</v>
      </c>
      <c r="L2658">
        <v>284.40980000000002</v>
      </c>
      <c r="M2658">
        <v>-0.99982309999999996</v>
      </c>
      <c r="N2658">
        <v>-1.434934E-2</v>
      </c>
      <c r="O2658">
        <v>1.2175439999999999E-2</v>
      </c>
      <c r="P2658">
        <v>-0.93151980000000001</v>
      </c>
      <c r="Q2658">
        <v>0.36366039999999999</v>
      </c>
      <c r="R2658">
        <v>4.7220359999999998E-3</v>
      </c>
      <c r="S2658">
        <v>-3.3012700000000001</v>
      </c>
      <c r="T2658">
        <v>-0.2116729</v>
      </c>
      <c r="U2658">
        <v>0.24795529999999999</v>
      </c>
      <c r="V2658">
        <v>-6.5923630000000004E-3</v>
      </c>
      <c r="W2658">
        <v>0.3769902</v>
      </c>
      <c r="X2658">
        <v>0.92619379999999996</v>
      </c>
      <c r="Y2658">
        <v>6.2608419999999998E-2</v>
      </c>
      <c r="Z2658">
        <v>1.848407E-3</v>
      </c>
      <c r="AA2658">
        <v>0.99803640000000005</v>
      </c>
      <c r="AB2658">
        <v>31</v>
      </c>
      <c r="AC2658">
        <v>-0.67239999999998101</v>
      </c>
      <c r="AD2658">
        <v>-5.8807999999999902E-2</v>
      </c>
      <c r="AE2658">
        <v>6.6299999999955603E-2</v>
      </c>
      <c r="AF2658">
        <v>5.7670589608753098E-2</v>
      </c>
      <c r="AG2658">
        <v>-5.8807999999999902E-2</v>
      </c>
      <c r="AH2658">
        <v>0.66809625246737603</v>
      </c>
      <c r="AI2658">
        <v>95.011852930561403</v>
      </c>
      <c r="AJ2658">
        <v>85.0664132101669</v>
      </c>
      <c r="AK2658">
        <v>0.67315442532213499</v>
      </c>
      <c r="AL2658">
        <v>67.85262742271</v>
      </c>
      <c r="AM2658">
        <v>90.407806874302693</v>
      </c>
      <c r="AN2658">
        <v>1.0000000126522</v>
      </c>
    </row>
    <row r="2659" spans="1:40" x14ac:dyDescent="0.25">
      <c r="A2659" t="str">
        <f>"20190304164905117"</f>
        <v>20190304164905117</v>
      </c>
      <c r="B2659" t="str">
        <f>"1551689345108283"</f>
        <v>1551689345108283</v>
      </c>
      <c r="C2659" t="s">
        <v>40</v>
      </c>
      <c r="D2659">
        <v>3.901411</v>
      </c>
      <c r="E2659">
        <v>0.54513310000000004</v>
      </c>
      <c r="F2659" t="s">
        <v>41</v>
      </c>
      <c r="G2659">
        <v>-402.02710000000002</v>
      </c>
      <c r="H2659">
        <v>1.0505180000000001</v>
      </c>
      <c r="I2659">
        <v>284.48110000000003</v>
      </c>
      <c r="J2659">
        <v>-401.30869999999999</v>
      </c>
      <c r="K2659">
        <v>1.1109340000000001</v>
      </c>
      <c r="L2659">
        <v>284.41269999999997</v>
      </c>
      <c r="M2659">
        <v>-0.99982309999999996</v>
      </c>
      <c r="N2659">
        <v>-1.4346799999999899E-2</v>
      </c>
      <c r="O2659">
        <v>1.216953E-2</v>
      </c>
      <c r="P2659">
        <v>-0.93140020000000001</v>
      </c>
      <c r="Q2659">
        <v>0.3639694</v>
      </c>
      <c r="R2659">
        <v>4.5235249999999996E-3</v>
      </c>
      <c r="S2659">
        <v>-3.3014220000000001</v>
      </c>
      <c r="T2659">
        <v>-0.2102878</v>
      </c>
      <c r="U2659">
        <v>0.24758910000000001</v>
      </c>
      <c r="V2659">
        <v>-6.7884290000000003E-3</v>
      </c>
      <c r="W2659">
        <v>0.37729449999999998</v>
      </c>
      <c r="X2659">
        <v>0.92606849999999996</v>
      </c>
      <c r="Y2659">
        <v>6.2502660000000002E-2</v>
      </c>
      <c r="Z2659">
        <v>1.8364189999999999E-3</v>
      </c>
      <c r="AA2659">
        <v>0.99804309999999996</v>
      </c>
      <c r="AB2659">
        <v>31</v>
      </c>
      <c r="AC2659">
        <v>-0.71840000000003001</v>
      </c>
      <c r="AD2659">
        <v>-6.0415999999999997E-2</v>
      </c>
      <c r="AE2659">
        <v>6.8400000000053696E-2</v>
      </c>
      <c r="AF2659">
        <v>5.9236261184410499E-2</v>
      </c>
      <c r="AG2659">
        <v>-6.0415999999999997E-2</v>
      </c>
      <c r="AH2659">
        <v>0.71417367497764905</v>
      </c>
      <c r="AI2659">
        <v>94.818992072984997</v>
      </c>
      <c r="AJ2659">
        <v>85.258525093911103</v>
      </c>
      <c r="AK2659">
        <v>0.71916831529634895</v>
      </c>
      <c r="AL2659">
        <v>67.833802917889699</v>
      </c>
      <c r="AM2659">
        <v>90.419992003631293</v>
      </c>
      <c r="AN2659">
        <v>1.00000004459539</v>
      </c>
    </row>
    <row r="2660" spans="1:40" x14ac:dyDescent="0.25">
      <c r="A2660" t="str">
        <f>"20190304164905133"</f>
        <v>20190304164905133</v>
      </c>
      <c r="B2660" t="str">
        <f>"1551689345128780"</f>
        <v>1551689345128780</v>
      </c>
      <c r="C2660" t="s">
        <v>40</v>
      </c>
      <c r="D2660">
        <v>3.9111099999999999</v>
      </c>
      <c r="E2660">
        <v>0.56929659999999904</v>
      </c>
      <c r="F2660" t="s">
        <v>41</v>
      </c>
      <c r="G2660">
        <v>-402.30110000000002</v>
      </c>
      <c r="H2660">
        <v>1.047269</v>
      </c>
      <c r="I2660">
        <v>284.48869999999999</v>
      </c>
      <c r="J2660">
        <v>-401.5487</v>
      </c>
      <c r="K2660">
        <v>1.110943</v>
      </c>
      <c r="L2660">
        <v>284.41550000000001</v>
      </c>
      <c r="M2660">
        <v>-0.99982329999999997</v>
      </c>
      <c r="N2660">
        <v>-1.4344259999999999E-2</v>
      </c>
      <c r="O2660">
        <v>1.2162569999999999E-2</v>
      </c>
      <c r="P2660">
        <v>-0.93138770000000004</v>
      </c>
      <c r="Q2660">
        <v>0.36401080000000002</v>
      </c>
      <c r="R2660">
        <v>3.6522600000000001E-3</v>
      </c>
      <c r="S2660">
        <v>-3.3025509999999998</v>
      </c>
      <c r="T2660">
        <v>-0.21195459999999999</v>
      </c>
      <c r="U2660">
        <v>0.2522278</v>
      </c>
      <c r="V2660">
        <v>-7.6564509999999999E-3</v>
      </c>
      <c r="W2660">
        <v>0.37733369999999999</v>
      </c>
      <c r="X2660">
        <v>0.92604569999999997</v>
      </c>
      <c r="Y2660">
        <v>6.3872689999999996E-2</v>
      </c>
      <c r="Z2660">
        <v>1.899495E-3</v>
      </c>
      <c r="AA2660">
        <v>0.99795630000000002</v>
      </c>
      <c r="AB2660">
        <v>31</v>
      </c>
      <c r="AC2660">
        <v>-0.75240000000002205</v>
      </c>
      <c r="AD2660">
        <v>-6.3673999999999994E-2</v>
      </c>
      <c r="AE2660">
        <v>7.3199999999985693E-2</v>
      </c>
      <c r="AF2660">
        <v>6.3591363645949098E-2</v>
      </c>
      <c r="AG2660">
        <v>-6.3673999999999994E-2</v>
      </c>
      <c r="AH2660">
        <v>0.747928383501831</v>
      </c>
      <c r="AI2660">
        <v>94.848665115596205</v>
      </c>
      <c r="AJ2660">
        <v>85.140209818582093</v>
      </c>
      <c r="AK2660">
        <v>0.75332271083116398</v>
      </c>
      <c r="AL2660">
        <v>67.831376397254999</v>
      </c>
      <c r="AM2660">
        <v>90.473704842994294</v>
      </c>
      <c r="AN2660">
        <v>0.99999999044304699</v>
      </c>
    </row>
    <row r="2661" spans="1:40" x14ac:dyDescent="0.25">
      <c r="A2661" t="str">
        <f>"20190304164905156"</f>
        <v>20190304164905156</v>
      </c>
      <c r="B2661" t="str">
        <f>"1551689345148299"</f>
        <v>1551689345148299</v>
      </c>
      <c r="C2661" t="s">
        <v>40</v>
      </c>
      <c r="D2661">
        <v>3.887051</v>
      </c>
      <c r="E2661">
        <v>0.56982279999999996</v>
      </c>
      <c r="F2661" t="s">
        <v>41</v>
      </c>
      <c r="G2661">
        <v>-402.30340000000001</v>
      </c>
      <c r="H2661">
        <v>1.0492790000000001</v>
      </c>
      <c r="I2661">
        <v>284.51519999999999</v>
      </c>
      <c r="J2661">
        <v>-401.85410000000002</v>
      </c>
      <c r="K2661">
        <v>1.1109500000000001</v>
      </c>
      <c r="L2661">
        <v>284.41930000000002</v>
      </c>
      <c r="M2661">
        <v>-0.99982329999999997</v>
      </c>
      <c r="N2661">
        <v>-1.434095E-2</v>
      </c>
      <c r="O2661">
        <v>1.21557E-2</v>
      </c>
      <c r="P2661">
        <v>-0.93119909999999995</v>
      </c>
      <c r="Q2661">
        <v>0.3644983</v>
      </c>
      <c r="R2661">
        <v>3.0416549999999999E-3</v>
      </c>
      <c r="S2661">
        <v>-3.3255309999999998</v>
      </c>
      <c r="T2661">
        <v>-0.27186189999999999</v>
      </c>
      <c r="U2661">
        <v>0.43838500000000002</v>
      </c>
      <c r="V2661">
        <v>-8.2609780000000004E-3</v>
      </c>
      <c r="W2661">
        <v>0.37781500000000001</v>
      </c>
      <c r="X2661">
        <v>0.92584429999999995</v>
      </c>
      <c r="Y2661">
        <v>0.1182015</v>
      </c>
      <c r="Z2661">
        <v>4.8414369999999997E-3</v>
      </c>
      <c r="AA2661">
        <v>0.99297780000000002</v>
      </c>
      <c r="AB2661">
        <v>31</v>
      </c>
      <c r="AC2661">
        <v>-0.44929999999999298</v>
      </c>
      <c r="AD2661">
        <v>-6.1670999999999997E-2</v>
      </c>
      <c r="AE2661">
        <v>9.5899999999971897E-2</v>
      </c>
      <c r="AF2661">
        <v>8.8830127393691005E-2</v>
      </c>
      <c r="AG2661">
        <v>-6.1670999999999997E-2</v>
      </c>
      <c r="AH2661">
        <v>0.44245977636296402</v>
      </c>
      <c r="AI2661">
        <v>97.781573172666</v>
      </c>
      <c r="AJ2661">
        <v>78.647966818624298</v>
      </c>
      <c r="AK2661">
        <v>0.45548299361550598</v>
      </c>
      <c r="AL2661">
        <v>67.801596763541696</v>
      </c>
      <c r="AM2661">
        <v>90.511216209654606</v>
      </c>
      <c r="AN2661">
        <v>1.0000000429125</v>
      </c>
    </row>
    <row r="2662" spans="1:40" x14ac:dyDescent="0.25">
      <c r="A2662" t="str">
        <f>"20190304164905168"</f>
        <v>20190304164905168</v>
      </c>
      <c r="B2662" t="str">
        <f>"1551689345159036"</f>
        <v>1551689345159036</v>
      </c>
      <c r="C2662" t="s">
        <v>40</v>
      </c>
      <c r="D2662">
        <v>3.9040300000000001</v>
      </c>
      <c r="E2662">
        <v>0.569874199999999</v>
      </c>
      <c r="F2662" t="s">
        <v>41</v>
      </c>
      <c r="G2662">
        <v>-402.84429999999998</v>
      </c>
      <c r="H2662">
        <v>1.029841</v>
      </c>
      <c r="I2662">
        <v>284.55110000000002</v>
      </c>
      <c r="J2662">
        <v>-402.03219999999999</v>
      </c>
      <c r="K2662">
        <v>1.1109530000000001</v>
      </c>
      <c r="L2662">
        <v>284.42140000000001</v>
      </c>
      <c r="M2662">
        <v>-0.99982340000000003</v>
      </c>
      <c r="N2662">
        <v>-1.433896E-2</v>
      </c>
      <c r="O2662">
        <v>1.215283E-2</v>
      </c>
      <c r="P2662">
        <v>-0.93131739999999996</v>
      </c>
      <c r="Q2662">
        <v>0.36419839999999998</v>
      </c>
      <c r="R2662">
        <v>2.7458029999999998E-3</v>
      </c>
      <c r="S2662">
        <v>-3.3269959999999998</v>
      </c>
      <c r="T2662">
        <v>-0.27261160000000001</v>
      </c>
      <c r="U2662">
        <v>0.44143680000000002</v>
      </c>
      <c r="V2662">
        <v>-8.556124E-3</v>
      </c>
      <c r="W2662">
        <v>0.3775152</v>
      </c>
      <c r="X2662">
        <v>0.92596389999999995</v>
      </c>
      <c r="Y2662">
        <v>0.1190379</v>
      </c>
      <c r="Z2662">
        <v>4.890218E-3</v>
      </c>
      <c r="AA2662">
        <v>0.99287769999999997</v>
      </c>
      <c r="AB2662">
        <v>31</v>
      </c>
      <c r="AC2662">
        <v>-0.81209999999998606</v>
      </c>
      <c r="AD2662">
        <v>-8.1112000000000004E-2</v>
      </c>
      <c r="AE2662">
        <v>0.129700000000013</v>
      </c>
      <c r="AF2662">
        <v>0.118665741523917</v>
      </c>
      <c r="AG2662">
        <v>-8.1112000000000004E-2</v>
      </c>
      <c r="AH2662">
        <v>0.80577799023045904</v>
      </c>
      <c r="AI2662">
        <v>95.687266207565202</v>
      </c>
      <c r="AJ2662">
        <v>81.622353184063698</v>
      </c>
      <c r="AK2662">
        <v>0.81849794397741704</v>
      </c>
      <c r="AL2662">
        <v>67.820147795961702</v>
      </c>
      <c r="AM2662">
        <v>90.529411397839596</v>
      </c>
      <c r="AN2662">
        <v>1.0000000387960699</v>
      </c>
    </row>
    <row r="2663" spans="1:40" x14ac:dyDescent="0.25">
      <c r="A2663" t="str">
        <f>"20190304164905182"</f>
        <v>20190304164905182</v>
      </c>
      <c r="B2663" t="str">
        <f>"1551689345178555"</f>
        <v>1551689345178555</v>
      </c>
      <c r="C2663" t="s">
        <v>40</v>
      </c>
      <c r="D2663">
        <v>3.9446509999999999</v>
      </c>
      <c r="E2663">
        <v>0.57008149999999902</v>
      </c>
      <c r="F2663" t="s">
        <v>41</v>
      </c>
      <c r="G2663">
        <v>-402.85129999999998</v>
      </c>
      <c r="H2663">
        <v>1.0428980000000001</v>
      </c>
      <c r="I2663">
        <v>284.53019999999998</v>
      </c>
      <c r="J2663">
        <v>-402.2174</v>
      </c>
      <c r="K2663">
        <v>1.1109500000000001</v>
      </c>
      <c r="L2663">
        <v>284.4237</v>
      </c>
      <c r="M2663">
        <v>-0.99982340000000003</v>
      </c>
      <c r="N2663">
        <v>-1.433689E-2</v>
      </c>
      <c r="O2663">
        <v>1.21508E-2</v>
      </c>
      <c r="P2663">
        <v>-0.93128719999999998</v>
      </c>
      <c r="Q2663">
        <v>0.3642784</v>
      </c>
      <c r="R2663">
        <v>2.3771600000000001E-3</v>
      </c>
      <c r="S2663">
        <v>-3.328125</v>
      </c>
      <c r="T2663">
        <v>-0.27659679999999998</v>
      </c>
      <c r="U2663">
        <v>0.44024659999999899</v>
      </c>
      <c r="V2663">
        <v>-8.9236179999999995E-3</v>
      </c>
      <c r="W2663">
        <v>0.3775925</v>
      </c>
      <c r="X2663">
        <v>0.92592890000000005</v>
      </c>
      <c r="Y2663">
        <v>0.1186373</v>
      </c>
      <c r="Z2663">
        <v>4.9257779999999996E-3</v>
      </c>
      <c r="AA2663">
        <v>0.99292550000000002</v>
      </c>
      <c r="AB2663">
        <v>31</v>
      </c>
      <c r="AC2663">
        <v>-0.63389999999998203</v>
      </c>
      <c r="AD2663">
        <v>-6.8052000000000196E-2</v>
      </c>
      <c r="AE2663">
        <v>0.106499999999982</v>
      </c>
      <c r="AF2663">
        <v>9.7693939844928704E-2</v>
      </c>
      <c r="AG2663">
        <v>-6.8052000000000196E-2</v>
      </c>
      <c r="AH2663">
        <v>0.628107182933206</v>
      </c>
      <c r="AI2663">
        <v>96.110659961282707</v>
      </c>
      <c r="AJ2663">
        <v>81.159220546633705</v>
      </c>
      <c r="AK2663">
        <v>0.63929165006177902</v>
      </c>
      <c r="AL2663">
        <v>67.8153645686114</v>
      </c>
      <c r="AM2663">
        <v>90.552169632790296</v>
      </c>
      <c r="AN2663">
        <v>1.00000002743483</v>
      </c>
    </row>
    <row r="2664" spans="1:40" x14ac:dyDescent="0.25">
      <c r="A2664" t="str">
        <f>"20190304164905194"</f>
        <v>20190304164905194</v>
      </c>
      <c r="B2664" t="str">
        <f>"1551689345188316"</f>
        <v>1551689345188316</v>
      </c>
      <c r="C2664" t="s">
        <v>40</v>
      </c>
      <c r="D2664">
        <v>3.9551949999999998</v>
      </c>
      <c r="E2664">
        <v>0.57010899999999998</v>
      </c>
      <c r="F2664" t="s">
        <v>41</v>
      </c>
      <c r="G2664">
        <v>-403.1234</v>
      </c>
      <c r="H2664">
        <v>1.035642</v>
      </c>
      <c r="I2664">
        <v>284.54379999999998</v>
      </c>
      <c r="J2664">
        <v>-402.39479999999998</v>
      </c>
      <c r="K2664">
        <v>1.110951</v>
      </c>
      <c r="L2664">
        <v>284.42579999999998</v>
      </c>
      <c r="M2664">
        <v>-0.99982349999999998</v>
      </c>
      <c r="N2664">
        <v>-1.4334919999999999E-2</v>
      </c>
      <c r="O2664">
        <v>1.214931E-2</v>
      </c>
      <c r="P2664">
        <v>-0.93125630000000004</v>
      </c>
      <c r="Q2664">
        <v>0.3643573</v>
      </c>
      <c r="R2664">
        <v>2.3325500000000001E-3</v>
      </c>
      <c r="S2664">
        <v>-3.328522</v>
      </c>
      <c r="T2664">
        <v>-0.27679009999999998</v>
      </c>
      <c r="U2664">
        <v>0.44058229999999998</v>
      </c>
      <c r="V2664">
        <v>-8.967025E-3</v>
      </c>
      <c r="W2664">
        <v>0.37766929999999999</v>
      </c>
      <c r="X2664">
        <v>0.92589710000000003</v>
      </c>
      <c r="Y2664">
        <v>0.11872099999999999</v>
      </c>
      <c r="Z2664">
        <v>4.9320379999999997E-3</v>
      </c>
      <c r="AA2664">
        <v>0.9929154</v>
      </c>
      <c r="AB2664">
        <v>31</v>
      </c>
      <c r="AC2664">
        <v>-0.728600000000028</v>
      </c>
      <c r="AD2664">
        <v>-7.5309000000000001E-2</v>
      </c>
      <c r="AE2664">
        <v>0.117999999999994</v>
      </c>
      <c r="AF2664">
        <v>0.108013915354136</v>
      </c>
      <c r="AG2664">
        <v>-7.5309000000000001E-2</v>
      </c>
      <c r="AH2664">
        <v>0.72245883177515302</v>
      </c>
      <c r="AI2664">
        <v>95.886056484761198</v>
      </c>
      <c r="AJ2664">
        <v>81.496763678978397</v>
      </c>
      <c r="AK2664">
        <v>0.73436041219625203</v>
      </c>
      <c r="AL2664">
        <v>67.810611128325505</v>
      </c>
      <c r="AM2664">
        <v>90.554874429781506</v>
      </c>
      <c r="AN2664">
        <v>0.99999997374412497</v>
      </c>
    </row>
    <row r="2665" spans="1:40" x14ac:dyDescent="0.25">
      <c r="A2665" t="str">
        <f>"20190304164905206"</f>
        <v>20190304164905206</v>
      </c>
      <c r="B2665" t="str">
        <f>"1551689345199051"</f>
        <v>1551689345199051</v>
      </c>
      <c r="C2665" t="s">
        <v>40</v>
      </c>
      <c r="D2665">
        <v>3.9754909999999999</v>
      </c>
      <c r="E2665">
        <v>0.57010780000000005</v>
      </c>
      <c r="F2665" t="s">
        <v>41</v>
      </c>
      <c r="G2665">
        <v>-403.13310000000001</v>
      </c>
      <c r="H2665">
        <v>1.0493410000000001</v>
      </c>
      <c r="I2665">
        <v>284.52370000000002</v>
      </c>
      <c r="J2665">
        <v>-402.55790000000002</v>
      </c>
      <c r="K2665">
        <v>1.1109519999999999</v>
      </c>
      <c r="L2665">
        <v>284.42779999999999</v>
      </c>
      <c r="M2665">
        <v>-0.99982360000000003</v>
      </c>
      <c r="N2665">
        <v>-1.4333129999999999E-2</v>
      </c>
      <c r="O2665">
        <v>1.2148839999999999E-2</v>
      </c>
      <c r="P2665">
        <v>-0.93127669999999996</v>
      </c>
      <c r="Q2665">
        <v>0.36430620000000002</v>
      </c>
      <c r="R2665">
        <v>2.230667E-3</v>
      </c>
      <c r="S2665">
        <v>-3.329132</v>
      </c>
      <c r="T2665">
        <v>-0.27800429999999998</v>
      </c>
      <c r="U2665">
        <v>0.44042969999999998</v>
      </c>
      <c r="V2665">
        <v>-9.0692269999999992E-3</v>
      </c>
      <c r="W2665">
        <v>0.37761679999999997</v>
      </c>
      <c r="X2665">
        <v>0.92591760000000001</v>
      </c>
      <c r="Y2665">
        <v>0.11865000000000001</v>
      </c>
      <c r="Z2665">
        <v>4.9448499999999998E-3</v>
      </c>
      <c r="AA2665">
        <v>0.99292389999999997</v>
      </c>
      <c r="AB2665">
        <v>31</v>
      </c>
      <c r="AC2665">
        <v>-0.57519999999999505</v>
      </c>
      <c r="AD2665">
        <v>-6.1610999999999798E-2</v>
      </c>
      <c r="AE2665">
        <v>9.5900000000028698E-2</v>
      </c>
      <c r="AF2665">
        <v>8.7922731512100102E-2</v>
      </c>
      <c r="AG2665">
        <v>-6.1610999999999798E-2</v>
      </c>
      <c r="AH2665">
        <v>0.56996040679411297</v>
      </c>
      <c r="AI2665">
        <v>96.097969467495801</v>
      </c>
      <c r="AJ2665">
        <v>81.230613028573103</v>
      </c>
      <c r="AK2665">
        <v>0.57998378197192701</v>
      </c>
      <c r="AL2665">
        <v>67.813861498000193</v>
      </c>
      <c r="AM2665">
        <v>90.561185805229997</v>
      </c>
      <c r="AN2665">
        <v>1.00000005025518</v>
      </c>
    </row>
    <row r="2666" spans="1:40" x14ac:dyDescent="0.25">
      <c r="A2666" t="str">
        <f>"20190304164905218"</f>
        <v>20190304164905218</v>
      </c>
      <c r="B2666" t="str">
        <f>"1551689345208812"</f>
        <v>1551689345208812</v>
      </c>
      <c r="C2666" t="s">
        <v>40</v>
      </c>
      <c r="D2666">
        <v>3.971368</v>
      </c>
      <c r="E2666">
        <v>0.57013919999999996</v>
      </c>
      <c r="F2666" t="s">
        <v>41</v>
      </c>
      <c r="G2666">
        <v>-403.40159999999997</v>
      </c>
      <c r="H2666">
        <v>1.040303</v>
      </c>
      <c r="I2666">
        <v>284.53980000000001</v>
      </c>
      <c r="J2666">
        <v>-402.72449999999998</v>
      </c>
      <c r="K2666">
        <v>1.110957</v>
      </c>
      <c r="L2666">
        <v>284.4298</v>
      </c>
      <c r="M2666">
        <v>-0.99982349999999998</v>
      </c>
      <c r="N2666">
        <v>-1.433131E-2</v>
      </c>
      <c r="O2666">
        <v>1.214867E-2</v>
      </c>
      <c r="P2666">
        <v>-0.93124989999999996</v>
      </c>
      <c r="Q2666">
        <v>0.36437389999999997</v>
      </c>
      <c r="R2666">
        <v>2.3038030000000001E-3</v>
      </c>
      <c r="S2666">
        <v>-3.3294980000000001</v>
      </c>
      <c r="T2666">
        <v>-0.27909709999999899</v>
      </c>
      <c r="U2666">
        <v>0.44015500000000002</v>
      </c>
      <c r="V2666">
        <v>-8.9961160000000002E-3</v>
      </c>
      <c r="W2666">
        <v>0.37768210000000002</v>
      </c>
      <c r="X2666">
        <v>0.92589160000000004</v>
      </c>
      <c r="Y2666">
        <v>0.1185527</v>
      </c>
      <c r="Z2666">
        <v>4.9549169999999997E-3</v>
      </c>
      <c r="AA2666">
        <v>0.99293540000000002</v>
      </c>
      <c r="AB2666">
        <v>31</v>
      </c>
      <c r="AC2666">
        <v>-0.67709999999999504</v>
      </c>
      <c r="AD2666">
        <v>-7.0653999999999995E-2</v>
      </c>
      <c r="AE2666">
        <v>0.110000000000013</v>
      </c>
      <c r="AF2666">
        <v>0.100696926822072</v>
      </c>
      <c r="AG2666">
        <v>-7.0653999999999995E-2</v>
      </c>
      <c r="AH2666">
        <v>0.67126538595969298</v>
      </c>
      <c r="AI2666">
        <v>95.942533229850994</v>
      </c>
      <c r="AJ2666">
        <v>81.468640126636501</v>
      </c>
      <c r="AK2666">
        <v>0.68244346078999496</v>
      </c>
      <c r="AL2666">
        <v>67.809819154471001</v>
      </c>
      <c r="AM2666">
        <v>90.556677757851205</v>
      </c>
      <c r="AN2666">
        <v>0.99999997685702702</v>
      </c>
    </row>
    <row r="2667" spans="1:40" x14ac:dyDescent="0.25">
      <c r="A2667" t="str">
        <f>"20190304164905232"</f>
        <v>20190304164905232</v>
      </c>
      <c r="B2667" t="str">
        <f>"1551689345228332"</f>
        <v>1551689345228332</v>
      </c>
      <c r="C2667" t="s">
        <v>40</v>
      </c>
      <c r="D2667">
        <v>3.936382</v>
      </c>
      <c r="E2667">
        <v>0.57022289999999998</v>
      </c>
      <c r="F2667" t="s">
        <v>41</v>
      </c>
      <c r="G2667">
        <v>-403.6728</v>
      </c>
      <c r="H2667">
        <v>1.03135</v>
      </c>
      <c r="I2667">
        <v>284.55549999999999</v>
      </c>
      <c r="J2667">
        <v>-402.90170000000001</v>
      </c>
      <c r="K2667">
        <v>1.1109599999999999</v>
      </c>
      <c r="L2667">
        <v>284.43200000000002</v>
      </c>
      <c r="M2667">
        <v>-0.99982360000000003</v>
      </c>
      <c r="N2667">
        <v>-1.4329389999999999E-2</v>
      </c>
      <c r="O2667">
        <v>1.21485E-2</v>
      </c>
      <c r="P2667">
        <v>-0.93115970000000003</v>
      </c>
      <c r="Q2667">
        <v>0.36460550000000003</v>
      </c>
      <c r="R2667">
        <v>2.1845229999999998E-3</v>
      </c>
      <c r="S2667">
        <v>-3.329742</v>
      </c>
      <c r="T2667">
        <v>-0.27954859999999998</v>
      </c>
      <c r="U2667">
        <v>0.44088749999999999</v>
      </c>
      <c r="V2667">
        <v>-9.1144050000000008E-3</v>
      </c>
      <c r="W2667">
        <v>0.37791039999999998</v>
      </c>
      <c r="X2667">
        <v>0.92579730000000005</v>
      </c>
      <c r="Y2667">
        <v>0.118756</v>
      </c>
      <c r="Z2667">
        <v>4.970744E-3</v>
      </c>
      <c r="AA2667">
        <v>0.99291099999999999</v>
      </c>
      <c r="AB2667">
        <v>31</v>
      </c>
      <c r="AC2667">
        <v>-0.77109999999998902</v>
      </c>
      <c r="AD2667">
        <v>-7.9609999999999903E-2</v>
      </c>
      <c r="AE2667">
        <v>0.123499999999978</v>
      </c>
      <c r="AF2667">
        <v>0.112948414640388</v>
      </c>
      <c r="AG2667">
        <v>-7.9609999999999903E-2</v>
      </c>
      <c r="AH2667">
        <v>0.76459760734458304</v>
      </c>
      <c r="AI2667">
        <v>95.880859917962994</v>
      </c>
      <c r="AJ2667">
        <v>81.596885922915106</v>
      </c>
      <c r="AK2667">
        <v>0.77698429689848802</v>
      </c>
      <c r="AL2667">
        <v>67.795691858595205</v>
      </c>
      <c r="AM2667">
        <v>90.564054430404795</v>
      </c>
      <c r="AN2667">
        <v>0.99999999174697696</v>
      </c>
    </row>
    <row r="2668" spans="1:40" x14ac:dyDescent="0.25">
      <c r="A2668" t="str">
        <f>"20190304164905245"</f>
        <v>20190304164905245</v>
      </c>
      <c r="B2668" t="str">
        <f>"1551689345239069"</f>
        <v>1551689345239069</v>
      </c>
      <c r="C2668" t="s">
        <v>40</v>
      </c>
      <c r="D2668">
        <v>3.930107</v>
      </c>
      <c r="E2668">
        <v>0.57023880000000005</v>
      </c>
      <c r="F2668" t="s">
        <v>41</v>
      </c>
      <c r="G2668">
        <v>-403.68150000000003</v>
      </c>
      <c r="H2668">
        <v>1.0458590000000001</v>
      </c>
      <c r="I2668">
        <v>284.53550000000001</v>
      </c>
      <c r="J2668">
        <v>-403.0958</v>
      </c>
      <c r="K2668">
        <v>1.110962</v>
      </c>
      <c r="L2668">
        <v>284.43439999999998</v>
      </c>
      <c r="M2668">
        <v>-0.99982360000000003</v>
      </c>
      <c r="N2668">
        <v>-1.4327299999999999E-2</v>
      </c>
      <c r="O2668">
        <v>1.214869E-2</v>
      </c>
      <c r="P2668">
        <v>-0.9310524</v>
      </c>
      <c r="Q2668">
        <v>0.36487540000000002</v>
      </c>
      <c r="R2668">
        <v>2.7769919999999998E-3</v>
      </c>
      <c r="S2668">
        <v>-3.3295590000000002</v>
      </c>
      <c r="T2668">
        <v>-0.27794089999999999</v>
      </c>
      <c r="U2668">
        <v>0.44161990000000001</v>
      </c>
      <c r="V2668">
        <v>-8.5209680000000003E-3</v>
      </c>
      <c r="W2668">
        <v>0.3781775</v>
      </c>
      <c r="X2668">
        <v>0.92569389999999996</v>
      </c>
      <c r="Y2668">
        <v>0.1189814</v>
      </c>
      <c r="Z2668">
        <v>4.9591169999999999E-3</v>
      </c>
      <c r="AA2668">
        <v>0.99288410000000005</v>
      </c>
      <c r="AB2668">
        <v>31</v>
      </c>
      <c r="AC2668">
        <v>-0.58570000000003097</v>
      </c>
      <c r="AD2668">
        <v>-6.5102999999999897E-2</v>
      </c>
      <c r="AE2668">
        <v>0.10110000000003</v>
      </c>
      <c r="AF2668">
        <v>9.2862180586198301E-2</v>
      </c>
      <c r="AG2668">
        <v>-6.5102999999999897E-2</v>
      </c>
      <c r="AH2668">
        <v>0.57992729193734305</v>
      </c>
      <c r="AI2668">
        <v>96.325328311001201</v>
      </c>
      <c r="AJ2668">
        <v>80.902612573964902</v>
      </c>
      <c r="AK2668">
        <v>0.59091238701351001</v>
      </c>
      <c r="AL2668">
        <v>67.779161875359094</v>
      </c>
      <c r="AM2668">
        <v>90.527390010291498</v>
      </c>
      <c r="AN2668">
        <v>1.0000000124495501</v>
      </c>
    </row>
    <row r="2669" spans="1:40" x14ac:dyDescent="0.25">
      <c r="A2669" t="str">
        <f>"20190304164905258"</f>
        <v>20190304164905258</v>
      </c>
      <c r="B2669" t="str">
        <f>"1551689345248828"</f>
        <v>1551689345248828</v>
      </c>
      <c r="C2669" t="s">
        <v>40</v>
      </c>
      <c r="D2669">
        <v>3.9685790000000001</v>
      </c>
      <c r="E2669">
        <v>0.57024069999999905</v>
      </c>
      <c r="F2669" t="s">
        <v>41</v>
      </c>
      <c r="G2669">
        <v>-403.95209999999997</v>
      </c>
      <c r="H2669">
        <v>1.0396209999999999</v>
      </c>
      <c r="I2669">
        <v>284.54880000000003</v>
      </c>
      <c r="J2669">
        <v>-403.27109999999999</v>
      </c>
      <c r="K2669">
        <v>1.1109629999999999</v>
      </c>
      <c r="L2669">
        <v>284.43650000000002</v>
      </c>
      <c r="M2669">
        <v>-0.99982360000000003</v>
      </c>
      <c r="N2669">
        <v>-1.432541E-2</v>
      </c>
      <c r="O2669">
        <v>1.21487E-2</v>
      </c>
      <c r="P2669">
        <v>-0.9310948</v>
      </c>
      <c r="Q2669">
        <v>0.36476649999999999</v>
      </c>
      <c r="R2669">
        <v>2.8447120000000001E-3</v>
      </c>
      <c r="S2669">
        <v>-3.32959</v>
      </c>
      <c r="T2669">
        <v>-0.27750249999999999</v>
      </c>
      <c r="U2669">
        <v>0.44369510000000001</v>
      </c>
      <c r="V2669">
        <v>-8.4538389999999995E-3</v>
      </c>
      <c r="W2669">
        <v>0.3780676</v>
      </c>
      <c r="X2669">
        <v>0.92573939999999999</v>
      </c>
      <c r="Y2669">
        <v>0.1195871</v>
      </c>
      <c r="Z2669">
        <v>4.9820910000000001E-3</v>
      </c>
      <c r="AA2669">
        <v>0.9928112</v>
      </c>
      <c r="AB2669">
        <v>31</v>
      </c>
      <c r="AC2669">
        <v>-0.68099999999998295</v>
      </c>
      <c r="AD2669">
        <v>-7.1342000000000003E-2</v>
      </c>
      <c r="AE2669">
        <v>0.11230000000000399</v>
      </c>
      <c r="AF2669">
        <v>0.102917995523423</v>
      </c>
      <c r="AG2669">
        <v>-7.1342000000000003E-2</v>
      </c>
      <c r="AH2669">
        <v>0.67510122143460705</v>
      </c>
      <c r="AI2669">
        <v>95.964000299444507</v>
      </c>
      <c r="AJ2669">
        <v>81.332096589557594</v>
      </c>
      <c r="AK2669">
        <v>0.68661739997545801</v>
      </c>
      <c r="AL2669">
        <v>67.785963553223198</v>
      </c>
      <c r="AM2669">
        <v>90.523209697776807</v>
      </c>
      <c r="AN2669">
        <v>1.00000000713797</v>
      </c>
    </row>
    <row r="2670" spans="1:40" x14ac:dyDescent="0.25">
      <c r="A2670" t="str">
        <f>"20190304164905279"</f>
        <v>20190304164905279</v>
      </c>
      <c r="B2670" t="str">
        <f>"1551689345268347"</f>
        <v>1551689345268347</v>
      </c>
      <c r="C2670" t="s">
        <v>40</v>
      </c>
      <c r="D2670">
        <v>3.9831490000000001</v>
      </c>
      <c r="E2670">
        <v>0.57032530000000004</v>
      </c>
      <c r="F2670" t="s">
        <v>41</v>
      </c>
      <c r="G2670">
        <v>-404.22309999999999</v>
      </c>
      <c r="H2670">
        <v>1.0314749999999999</v>
      </c>
      <c r="I2670">
        <v>284.56349999999998</v>
      </c>
      <c r="J2670">
        <v>-403.54790000000003</v>
      </c>
      <c r="K2670">
        <v>1.110965</v>
      </c>
      <c r="L2670">
        <v>284.43979999999999</v>
      </c>
      <c r="M2670">
        <v>-0.99982369999999998</v>
      </c>
      <c r="N2670">
        <v>-1.4322440000000001E-2</v>
      </c>
      <c r="O2670">
        <v>1.2148900000000001E-2</v>
      </c>
      <c r="P2670">
        <v>-0.93105119999999997</v>
      </c>
      <c r="Q2670">
        <v>0.36486839999999998</v>
      </c>
      <c r="R2670">
        <v>3.8473510000000002E-3</v>
      </c>
      <c r="S2670">
        <v>-3.3295590000000002</v>
      </c>
      <c r="T2670">
        <v>-0.27808179999999999</v>
      </c>
      <c r="U2670">
        <v>0.44351200000000002</v>
      </c>
      <c r="V2670">
        <v>-7.4510309999999899E-3</v>
      </c>
      <c r="W2670">
        <v>0.378166</v>
      </c>
      <c r="X2670">
        <v>0.92570779999999997</v>
      </c>
      <c r="Y2670">
        <v>0.119533</v>
      </c>
      <c r="Z2670">
        <v>4.9874890000000003E-3</v>
      </c>
      <c r="AA2670">
        <v>0.99281770000000003</v>
      </c>
      <c r="AB2670">
        <v>31</v>
      </c>
      <c r="AC2670">
        <v>-0.67519999999996105</v>
      </c>
      <c r="AD2670">
        <v>-7.9490000000000005E-2</v>
      </c>
      <c r="AE2670">
        <v>0.123699999999985</v>
      </c>
      <c r="AF2670">
        <v>0.11395892302968499</v>
      </c>
      <c r="AG2670">
        <v>-7.9490000000000005E-2</v>
      </c>
      <c r="AH2670">
        <v>0.66769940828823804</v>
      </c>
      <c r="AI2670">
        <v>96.693252621940303</v>
      </c>
      <c r="AJ2670">
        <v>80.314426689016003</v>
      </c>
      <c r="AK2670">
        <v>0.68200278303431405</v>
      </c>
      <c r="AL2670">
        <v>67.779873020962398</v>
      </c>
      <c r="AM2670">
        <v>90.461164322348594</v>
      </c>
      <c r="AN2670">
        <v>0.99999998619990105</v>
      </c>
    </row>
    <row r="2671" spans="1:40" x14ac:dyDescent="0.25">
      <c r="A2671" t="str">
        <f>"20190304164905292"</f>
        <v>20190304164905292</v>
      </c>
      <c r="B2671" t="str">
        <f>"1551689345288844"</f>
        <v>1551689345288844</v>
      </c>
      <c r="C2671" t="s">
        <v>40</v>
      </c>
      <c r="D2671">
        <v>3.986262</v>
      </c>
      <c r="E2671">
        <v>0.5704243</v>
      </c>
      <c r="F2671" t="s">
        <v>41</v>
      </c>
      <c r="G2671">
        <v>-404.49779999999998</v>
      </c>
      <c r="H2671">
        <v>1.031604</v>
      </c>
      <c r="I2671">
        <v>284.56799999999998</v>
      </c>
      <c r="J2671">
        <v>-403.7373</v>
      </c>
      <c r="K2671">
        <v>1.110965</v>
      </c>
      <c r="L2671">
        <v>284.44209999999998</v>
      </c>
      <c r="M2671">
        <v>-0.99982369999999998</v>
      </c>
      <c r="N2671">
        <v>-1.43204E-2</v>
      </c>
      <c r="O2671">
        <v>1.214909E-2</v>
      </c>
      <c r="P2671">
        <v>-0.93098000000000003</v>
      </c>
      <c r="Q2671">
        <v>0.36504769999999997</v>
      </c>
      <c r="R2671">
        <v>4.097074E-3</v>
      </c>
      <c r="S2671">
        <v>-3.3294069999999998</v>
      </c>
      <c r="T2671">
        <v>-0.27828320000000001</v>
      </c>
      <c r="U2671">
        <v>0.44812010000000002</v>
      </c>
      <c r="V2671">
        <v>-7.2001950000000004E-3</v>
      </c>
      <c r="W2671">
        <v>0.37834250000000003</v>
      </c>
      <c r="X2671">
        <v>0.92563770000000001</v>
      </c>
      <c r="Y2671">
        <v>0.12088260000000001</v>
      </c>
      <c r="Z2671">
        <v>5.0558479999999999E-3</v>
      </c>
      <c r="AA2671">
        <v>0.99265389999999998</v>
      </c>
      <c r="AB2671">
        <v>31</v>
      </c>
      <c r="AC2671">
        <v>-0.76049999999997897</v>
      </c>
      <c r="AD2671">
        <v>-7.9360999999999696E-2</v>
      </c>
      <c r="AE2671">
        <v>0.12590000000000101</v>
      </c>
      <c r="AF2671">
        <v>0.11542694183024001</v>
      </c>
      <c r="AG2671">
        <v>-7.9360999999999696E-2</v>
      </c>
      <c r="AH2671">
        <v>0.75398197465138395</v>
      </c>
      <c r="AI2671">
        <v>95.939892207954202</v>
      </c>
      <c r="AJ2671">
        <v>81.296177024472001</v>
      </c>
      <c r="AK2671">
        <v>0.76688354091118804</v>
      </c>
      <c r="AL2671">
        <v>67.768949466652103</v>
      </c>
      <c r="AM2671">
        <v>90.445673793237106</v>
      </c>
      <c r="AN2671">
        <v>1.00000002088778</v>
      </c>
    </row>
    <row r="2672" spans="1:40" x14ac:dyDescent="0.25">
      <c r="A2672" t="str">
        <f>"20190304164905304"</f>
        <v>20190304164905304</v>
      </c>
      <c r="B2672" t="str">
        <f>"1551689345298604"</f>
        <v>1551689345298604</v>
      </c>
      <c r="C2672" t="s">
        <v>40</v>
      </c>
      <c r="D2672">
        <v>3.9944359999999999</v>
      </c>
      <c r="E2672">
        <v>0.57039329999999999</v>
      </c>
      <c r="F2672" t="s">
        <v>41</v>
      </c>
      <c r="G2672">
        <v>-404.50709999999998</v>
      </c>
      <c r="H2672">
        <v>1.0466599999999999</v>
      </c>
      <c r="I2672">
        <v>284.54649999999998</v>
      </c>
      <c r="J2672">
        <v>-403.89589999999998</v>
      </c>
      <c r="K2672">
        <v>1.1109659999999999</v>
      </c>
      <c r="L2672">
        <v>284.44400000000002</v>
      </c>
      <c r="M2672">
        <v>-0.99982369999999998</v>
      </c>
      <c r="N2672">
        <v>-1.431867E-2</v>
      </c>
      <c r="O2672">
        <v>1.2149220000000001E-2</v>
      </c>
      <c r="P2672">
        <v>-0.93100320000000003</v>
      </c>
      <c r="Q2672">
        <v>0.3649869</v>
      </c>
      <c r="R2672">
        <v>4.1850280000000004E-3</v>
      </c>
      <c r="S2672">
        <v>-3.3295590000000002</v>
      </c>
      <c r="T2672">
        <v>-0.2782655</v>
      </c>
      <c r="U2672">
        <v>0.45016479999999998</v>
      </c>
      <c r="V2672">
        <v>-7.1134340000000001E-3</v>
      </c>
      <c r="W2672">
        <v>0.37828030000000001</v>
      </c>
      <c r="X2672">
        <v>0.92566380000000004</v>
      </c>
      <c r="Y2672">
        <v>0.12147289999999999</v>
      </c>
      <c r="Z2672">
        <v>5.0839099999999996E-3</v>
      </c>
      <c r="AA2672">
        <v>0.99258170000000001</v>
      </c>
      <c r="AB2672">
        <v>31</v>
      </c>
      <c r="AC2672">
        <v>-0.61119999999999597</v>
      </c>
      <c r="AD2672">
        <v>-6.4305999999999697E-2</v>
      </c>
      <c r="AE2672">
        <v>0.102499999999963</v>
      </c>
      <c r="AF2672">
        <v>9.40534054616389E-2</v>
      </c>
      <c r="AG2672">
        <v>-6.4305999999999697E-2</v>
      </c>
      <c r="AH2672">
        <v>0.60587688802103101</v>
      </c>
      <c r="AI2672">
        <v>95.987342724325401</v>
      </c>
      <c r="AJ2672">
        <v>81.176109011743904</v>
      </c>
      <c r="AK2672">
        <v>0.61649664082862599</v>
      </c>
      <c r="AL2672">
        <v>67.772799574621999</v>
      </c>
      <c r="AM2672">
        <v>90.440291305983905</v>
      </c>
      <c r="AN2672">
        <v>1.0000000284709001</v>
      </c>
    </row>
    <row r="2673" spans="1:40" x14ac:dyDescent="0.25">
      <c r="A2673" t="str">
        <f>"20190304164905318"</f>
        <v>20190304164905318</v>
      </c>
      <c r="B2673" t="str">
        <f>"1551689345308363"</f>
        <v>1551689345308363</v>
      </c>
      <c r="C2673" t="s">
        <v>40</v>
      </c>
      <c r="D2673">
        <v>4.0030669999999997</v>
      </c>
      <c r="E2673">
        <v>0.57039790000000001</v>
      </c>
      <c r="F2673" t="s">
        <v>41</v>
      </c>
      <c r="G2673">
        <v>-404.7749</v>
      </c>
      <c r="H2673">
        <v>1.0374490000000001</v>
      </c>
      <c r="I2673">
        <v>284.56299999999999</v>
      </c>
      <c r="J2673">
        <v>-404.08620000000002</v>
      </c>
      <c r="K2673">
        <v>1.1109599999999999</v>
      </c>
      <c r="L2673">
        <v>284.44639999999998</v>
      </c>
      <c r="M2673">
        <v>-0.99982380000000004</v>
      </c>
      <c r="N2673">
        <v>-1.431663E-2</v>
      </c>
      <c r="O2673">
        <v>1.214924E-2</v>
      </c>
      <c r="P2673">
        <v>-0.93101540000000005</v>
      </c>
      <c r="Q2673">
        <v>0.36495460000000002</v>
      </c>
      <c r="R2673">
        <v>4.3494850000000002E-3</v>
      </c>
      <c r="S2673">
        <v>-3.3294679999999999</v>
      </c>
      <c r="T2673">
        <v>-0.2784219</v>
      </c>
      <c r="U2673">
        <v>0.45095829999999998</v>
      </c>
      <c r="V2673">
        <v>-6.9488989999999997E-3</v>
      </c>
      <c r="W2673">
        <v>0.37824629999999998</v>
      </c>
      <c r="X2673">
        <v>0.92567889999999997</v>
      </c>
      <c r="Y2673">
        <v>0.12170739999999899</v>
      </c>
      <c r="Z2673">
        <v>5.0975100000000004E-3</v>
      </c>
      <c r="AA2673">
        <v>0.99255289999999996</v>
      </c>
      <c r="AB2673">
        <v>31</v>
      </c>
      <c r="AC2673">
        <v>-0.68869999999998199</v>
      </c>
      <c r="AD2673">
        <v>-7.3510999999999799E-2</v>
      </c>
      <c r="AE2673">
        <v>0.11660000000000501</v>
      </c>
      <c r="AF2673">
        <v>0.107037835910678</v>
      </c>
      <c r="AG2673">
        <v>-7.3510999999999799E-2</v>
      </c>
      <c r="AH2673">
        <v>0.68250667162724699</v>
      </c>
      <c r="AI2673">
        <v>96.073802693857402</v>
      </c>
      <c r="AJ2673">
        <v>81.086878375718399</v>
      </c>
      <c r="AK2673">
        <v>0.69474910741442797</v>
      </c>
      <c r="AL2673">
        <v>67.774903052644206</v>
      </c>
      <c r="AM2673">
        <v>90.430100660684701</v>
      </c>
      <c r="AN2673">
        <v>0.99999998828310599</v>
      </c>
    </row>
    <row r="2674" spans="1:40" x14ac:dyDescent="0.25">
      <c r="A2674" t="str">
        <f>"20190304164905336"</f>
        <v>20190304164905336</v>
      </c>
      <c r="B2674" t="str">
        <f>"1551689345328859"</f>
        <v>1551689345328859</v>
      </c>
      <c r="C2674" t="s">
        <v>40</v>
      </c>
      <c r="D2674">
        <v>3.9938690000000001</v>
      </c>
      <c r="E2674">
        <v>0.57041750000000002</v>
      </c>
      <c r="F2674" t="s">
        <v>41</v>
      </c>
      <c r="G2674">
        <v>-405.0455</v>
      </c>
      <c r="H2674">
        <v>1.0306040000000001</v>
      </c>
      <c r="I2674">
        <v>284.57690000000002</v>
      </c>
      <c r="J2674">
        <v>-404.3304</v>
      </c>
      <c r="K2674">
        <v>1.1109599999999999</v>
      </c>
      <c r="L2674">
        <v>284.44929999999999</v>
      </c>
      <c r="M2674">
        <v>-0.99982389999999999</v>
      </c>
      <c r="N2674">
        <v>-1.431411E-2</v>
      </c>
      <c r="O2674">
        <v>1.2149429999999999E-2</v>
      </c>
      <c r="P2674">
        <v>-0.93109730000000002</v>
      </c>
      <c r="Q2674">
        <v>0.36473939999999999</v>
      </c>
      <c r="R2674">
        <v>4.8272009999999997E-3</v>
      </c>
      <c r="S2674">
        <v>-3.3295590000000002</v>
      </c>
      <c r="T2674">
        <v>-0.27905960000000002</v>
      </c>
      <c r="U2674">
        <v>0.45193480000000003</v>
      </c>
      <c r="V2674">
        <v>-6.4723599999999999E-3</v>
      </c>
      <c r="W2674">
        <v>0.37802999999999998</v>
      </c>
      <c r="X2674">
        <v>0.92577069999999995</v>
      </c>
      <c r="Y2674">
        <v>0.1219865</v>
      </c>
      <c r="Z2674">
        <v>5.1200129999999996E-3</v>
      </c>
      <c r="AA2674">
        <v>0.99251849999999997</v>
      </c>
      <c r="AB2674">
        <v>31</v>
      </c>
      <c r="AC2674">
        <v>-0.71510000000000595</v>
      </c>
      <c r="AD2674">
        <v>-8.0355999999999803E-2</v>
      </c>
      <c r="AE2674">
        <v>0.127600000000029</v>
      </c>
      <c r="AF2674">
        <v>0.117464172421228</v>
      </c>
      <c r="AG2674">
        <v>-8.0355999999999803E-2</v>
      </c>
      <c r="AH2674">
        <v>0.70793432598067296</v>
      </c>
      <c r="AI2674">
        <v>96.389179326953297</v>
      </c>
      <c r="AJ2674">
        <v>80.579015289911098</v>
      </c>
      <c r="AK2674">
        <v>0.72209828170430801</v>
      </c>
      <c r="AL2674">
        <v>67.788289953269299</v>
      </c>
      <c r="AM2674">
        <v>90.400566651808603</v>
      </c>
      <c r="AN2674">
        <v>0.99999998066122897</v>
      </c>
    </row>
    <row r="2675" spans="1:40" x14ac:dyDescent="0.25">
      <c r="A2675" t="str">
        <f>"20190304164905357"</f>
        <v>20190304164905357</v>
      </c>
      <c r="B2675" t="str">
        <f>"1551689345348379"</f>
        <v>1551689345348379</v>
      </c>
      <c r="C2675" t="s">
        <v>40</v>
      </c>
      <c r="D2675">
        <v>4.0399219999999998</v>
      </c>
      <c r="E2675">
        <v>0.57034219999999902</v>
      </c>
      <c r="F2675" t="s">
        <v>41</v>
      </c>
      <c r="G2675">
        <v>-405.31790000000001</v>
      </c>
      <c r="H2675">
        <v>1.027936</v>
      </c>
      <c r="I2675">
        <v>284.58390000000003</v>
      </c>
      <c r="J2675">
        <v>-404.61869999999999</v>
      </c>
      <c r="K2675">
        <v>1.1109639999999901</v>
      </c>
      <c r="L2675">
        <v>284.45280000000002</v>
      </c>
      <c r="M2675">
        <v>-0.99982389999999999</v>
      </c>
      <c r="N2675">
        <v>-1.4311010000000001E-2</v>
      </c>
      <c r="O2675">
        <v>1.214981E-2</v>
      </c>
      <c r="P2675">
        <v>-0.93113299999999999</v>
      </c>
      <c r="Q2675">
        <v>0.36464150000000001</v>
      </c>
      <c r="R2675">
        <v>5.2929459999999998E-3</v>
      </c>
      <c r="S2675">
        <v>-3.329285</v>
      </c>
      <c r="T2675">
        <v>-0.27993699999999999</v>
      </c>
      <c r="U2675">
        <v>0.45336910000000002</v>
      </c>
      <c r="V2675">
        <v>-6.0073490000000004E-3</v>
      </c>
      <c r="W2675">
        <v>0.37792979999999998</v>
      </c>
      <c r="X2675">
        <v>0.92581469999999999</v>
      </c>
      <c r="Y2675">
        <v>0.12241249999999999</v>
      </c>
      <c r="Z2675">
        <v>5.1536159999999998E-3</v>
      </c>
      <c r="AA2675">
        <v>0.99246590000000001</v>
      </c>
      <c r="AB2675">
        <v>31</v>
      </c>
      <c r="AC2675">
        <v>-0.69920000000001803</v>
      </c>
      <c r="AD2675">
        <v>-8.3027999999999796E-2</v>
      </c>
      <c r="AE2675">
        <v>0.13110000000000299</v>
      </c>
      <c r="AF2675">
        <v>0.12094677006277001</v>
      </c>
      <c r="AG2675">
        <v>-8.3027999999999796E-2</v>
      </c>
      <c r="AH2675">
        <v>0.69132417563109905</v>
      </c>
      <c r="AI2675">
        <v>96.746910749857506</v>
      </c>
      <c r="AJ2675">
        <v>80.076565900362993</v>
      </c>
      <c r="AK2675">
        <v>0.70671839213694998</v>
      </c>
      <c r="AL2675">
        <v>67.7944900816603</v>
      </c>
      <c r="AM2675">
        <v>90.371770844938894</v>
      </c>
      <c r="AN2675">
        <v>0.99999994035306705</v>
      </c>
    </row>
    <row r="2676" spans="1:40" x14ac:dyDescent="0.25">
      <c r="A2676" t="str">
        <f>"20190304164905371"</f>
        <v>20190304164905371</v>
      </c>
      <c r="B2676" t="str">
        <f>"1551689345359116"</f>
        <v>1551689345359116</v>
      </c>
      <c r="C2676" t="s">
        <v>40</v>
      </c>
      <c r="D2676">
        <v>4.0400239999999998</v>
      </c>
      <c r="E2676">
        <v>0.57031609999999999</v>
      </c>
      <c r="F2676" t="s">
        <v>41</v>
      </c>
      <c r="G2676">
        <v>-405.5917</v>
      </c>
      <c r="H2676">
        <v>1.028929</v>
      </c>
      <c r="I2676">
        <v>284.58589999999998</v>
      </c>
      <c r="J2676">
        <v>-404.81479999999999</v>
      </c>
      <c r="K2676">
        <v>1.110965</v>
      </c>
      <c r="L2676">
        <v>284.45519999999999</v>
      </c>
      <c r="M2676">
        <v>-0.99982369999999998</v>
      </c>
      <c r="N2676">
        <v>-1.4308899999999999E-2</v>
      </c>
      <c r="O2676">
        <v>1.2150009999999999E-2</v>
      </c>
      <c r="P2676">
        <v>-0.93113959999999996</v>
      </c>
      <c r="Q2676">
        <v>0.36462309999999998</v>
      </c>
      <c r="R2676">
        <v>5.3821969999999896E-3</v>
      </c>
      <c r="S2676">
        <v>-3.3293149999999998</v>
      </c>
      <c r="T2676">
        <v>-0.28095829999999999</v>
      </c>
      <c r="U2676">
        <v>0.45388790000000001</v>
      </c>
      <c r="V2676">
        <v>-5.9186689999999997E-3</v>
      </c>
      <c r="W2676">
        <v>0.37790950000000001</v>
      </c>
      <c r="X2676">
        <v>0.92582359999999997</v>
      </c>
      <c r="Y2676">
        <v>0.12255919999999999</v>
      </c>
      <c r="Z2676">
        <v>5.1754949999999996E-3</v>
      </c>
      <c r="AA2676">
        <v>0.99244770000000004</v>
      </c>
      <c r="AB2676">
        <v>31</v>
      </c>
      <c r="AC2676">
        <v>-0.77690000000001103</v>
      </c>
      <c r="AD2676">
        <v>-8.2035999999999998E-2</v>
      </c>
      <c r="AE2676">
        <v>0.13069999999998999</v>
      </c>
      <c r="AF2676">
        <v>0.119949403583888</v>
      </c>
      <c r="AG2676">
        <v>-8.2035999999999998E-2</v>
      </c>
      <c r="AH2676">
        <v>0.77008066370533301</v>
      </c>
      <c r="AI2676">
        <v>96.008818703349107</v>
      </c>
      <c r="AJ2676">
        <v>81.146629653455193</v>
      </c>
      <c r="AK2676">
        <v>0.783672121061465</v>
      </c>
      <c r="AL2676">
        <v>67.795747270454299</v>
      </c>
      <c r="AM2676">
        <v>90.366279423438101</v>
      </c>
      <c r="AN2676">
        <v>0.99999997957497</v>
      </c>
    </row>
    <row r="2677" spans="1:40" x14ac:dyDescent="0.25">
      <c r="A2677" t="str">
        <f>"20190304164905384"</f>
        <v>20190304164905384</v>
      </c>
      <c r="B2677" t="str">
        <f>"1551689345378636"</f>
        <v>1551689345378636</v>
      </c>
      <c r="C2677" t="s">
        <v>40</v>
      </c>
      <c r="D2677">
        <v>4.0101719999999998</v>
      </c>
      <c r="E2677">
        <v>0.57029609999999997</v>
      </c>
      <c r="F2677" t="s">
        <v>41</v>
      </c>
      <c r="G2677">
        <v>-405.60050000000001</v>
      </c>
      <c r="H2677">
        <v>1.044546</v>
      </c>
      <c r="I2677">
        <v>284.56279999999998</v>
      </c>
      <c r="J2677">
        <v>-404.99059999999997</v>
      </c>
      <c r="K2677">
        <v>1.1109659999999999</v>
      </c>
      <c r="L2677">
        <v>284.45740000000001</v>
      </c>
      <c r="M2677">
        <v>-0.99982389999999999</v>
      </c>
      <c r="N2677">
        <v>-1.4307E-2</v>
      </c>
      <c r="O2677">
        <v>1.2150019999999999E-2</v>
      </c>
      <c r="P2677">
        <v>-0.9311277</v>
      </c>
      <c r="Q2677">
        <v>0.36465150000000002</v>
      </c>
      <c r="R2677">
        <v>5.5275760000000002E-3</v>
      </c>
      <c r="S2677">
        <v>-3.32959</v>
      </c>
      <c r="T2677">
        <v>-0.2818522</v>
      </c>
      <c r="U2677">
        <v>0.45404050000000001</v>
      </c>
      <c r="V2677">
        <v>-5.7729130000000002E-3</v>
      </c>
      <c r="W2677">
        <v>0.37793599999999999</v>
      </c>
      <c r="X2677">
        <v>0.92581369999999996</v>
      </c>
      <c r="Y2677">
        <v>0.12259009999999999</v>
      </c>
      <c r="Z2677">
        <v>5.1895989999999996E-3</v>
      </c>
      <c r="AA2677">
        <v>0.99244379999999999</v>
      </c>
      <c r="AB2677">
        <v>31</v>
      </c>
      <c r="AC2677">
        <v>-0.60990000000003797</v>
      </c>
      <c r="AD2677">
        <v>-6.6419999999999896E-2</v>
      </c>
      <c r="AE2677">
        <v>0.105399999999974</v>
      </c>
      <c r="AF2677">
        <v>9.6865662143399395E-2</v>
      </c>
      <c r="AG2677">
        <v>-6.6419999999999896E-2</v>
      </c>
      <c r="AH2677">
        <v>0.60417802483058403</v>
      </c>
      <c r="AI2677">
        <v>96.195100593050199</v>
      </c>
      <c r="AJ2677">
        <v>80.891491831034799</v>
      </c>
      <c r="AK2677">
        <v>0.615488146588271</v>
      </c>
      <c r="AL2677">
        <v>67.794107244533095</v>
      </c>
      <c r="AM2677">
        <v>90.357263306469804</v>
      </c>
      <c r="AN2677">
        <v>0.99999997686409703</v>
      </c>
    </row>
    <row r="2678" spans="1:40" x14ac:dyDescent="0.25">
      <c r="A2678" t="str">
        <f>"20190304164905402"</f>
        <v>20190304164905402</v>
      </c>
      <c r="B2678" t="str">
        <f>"1551689345399132"</f>
        <v>1551689345399132</v>
      </c>
      <c r="C2678" t="s">
        <v>40</v>
      </c>
      <c r="D2678">
        <v>4.0334519999999996</v>
      </c>
      <c r="E2678">
        <v>0.5702547</v>
      </c>
      <c r="F2678" t="s">
        <v>41</v>
      </c>
      <c r="G2678">
        <v>-405.86829999999998</v>
      </c>
      <c r="H2678">
        <v>1.0363659999999999</v>
      </c>
      <c r="I2678">
        <v>284.57709999999997</v>
      </c>
      <c r="J2678">
        <v>-405.2278</v>
      </c>
      <c r="K2678">
        <v>1.110968</v>
      </c>
      <c r="L2678">
        <v>284.46030000000002</v>
      </c>
      <c r="M2678">
        <v>-0.99982400000000005</v>
      </c>
      <c r="N2678">
        <v>-1.430444E-2</v>
      </c>
      <c r="O2678">
        <v>1.2150040000000001E-2</v>
      </c>
      <c r="P2678">
        <v>-0.93104779999999998</v>
      </c>
      <c r="Q2678">
        <v>0.36484100000000003</v>
      </c>
      <c r="R2678">
        <v>6.4350029999999999E-3</v>
      </c>
      <c r="S2678">
        <v>-3.3300169999999998</v>
      </c>
      <c r="T2678">
        <v>-0.28302929999999998</v>
      </c>
      <c r="U2678">
        <v>0.45443729999999899</v>
      </c>
      <c r="V2678">
        <v>-4.8648679999999996E-3</v>
      </c>
      <c r="W2678">
        <v>0.37812230000000002</v>
      </c>
      <c r="X2678">
        <v>0.92574290000000004</v>
      </c>
      <c r="Y2678">
        <v>0.122685199999999</v>
      </c>
      <c r="Z2678">
        <v>5.2107730000000001E-3</v>
      </c>
      <c r="AA2678">
        <v>0.99243190000000003</v>
      </c>
      <c r="AB2678">
        <v>31</v>
      </c>
      <c r="AC2678">
        <v>-0.64049999999997398</v>
      </c>
      <c r="AD2678">
        <v>-7.4602000000000002E-2</v>
      </c>
      <c r="AE2678">
        <v>0.116799999999955</v>
      </c>
      <c r="AF2678">
        <v>0.107595778405113</v>
      </c>
      <c r="AG2678">
        <v>-7.4602000000000002E-2</v>
      </c>
      <c r="AH2678">
        <v>0.63355360048935105</v>
      </c>
      <c r="AI2678">
        <v>96.621795420371697</v>
      </c>
      <c r="AJ2678">
        <v>80.3614769838222</v>
      </c>
      <c r="AK2678">
        <v>0.64694085867845996</v>
      </c>
      <c r="AL2678">
        <v>67.782578672983405</v>
      </c>
      <c r="AM2678">
        <v>90.301092061808802</v>
      </c>
      <c r="AN2678">
        <v>1.0000000287991699</v>
      </c>
    </row>
    <row r="2679" spans="1:40" x14ac:dyDescent="0.25">
      <c r="A2679" t="str">
        <f>"20190304164905413"</f>
        <v>20190304164905413</v>
      </c>
      <c r="B2679" t="str">
        <f>"1551689345408892"</f>
        <v>1551689345408892</v>
      </c>
      <c r="C2679" t="s">
        <v>40</v>
      </c>
      <c r="D2679">
        <v>4.0315120000000002</v>
      </c>
      <c r="E2679">
        <v>0.57019319999999996</v>
      </c>
      <c r="F2679" t="s">
        <v>41</v>
      </c>
      <c r="G2679">
        <v>-406.1395</v>
      </c>
      <c r="H2679">
        <v>1.0332950000000001</v>
      </c>
      <c r="I2679">
        <v>284.58569999999997</v>
      </c>
      <c r="J2679">
        <v>-405.39690000000002</v>
      </c>
      <c r="K2679">
        <v>1.110968</v>
      </c>
      <c r="L2679">
        <v>284.46230000000003</v>
      </c>
      <c r="M2679">
        <v>-0.99982400000000005</v>
      </c>
      <c r="N2679">
        <v>-1.430261E-2</v>
      </c>
      <c r="O2679">
        <v>1.2150050000000001E-2</v>
      </c>
      <c r="P2679">
        <v>-0.93102399999999996</v>
      </c>
      <c r="Q2679">
        <v>0.36489460000000001</v>
      </c>
      <c r="R2679">
        <v>6.7889279999999996E-3</v>
      </c>
      <c r="S2679">
        <v>-3.3302610000000001</v>
      </c>
      <c r="T2679">
        <v>-0.2839042</v>
      </c>
      <c r="U2679">
        <v>0.45703129999999997</v>
      </c>
      <c r="V2679">
        <v>-4.5107400000000001E-3</v>
      </c>
      <c r="W2679">
        <v>0.37817390000000001</v>
      </c>
      <c r="X2679">
        <v>0.92572359999999998</v>
      </c>
      <c r="Y2679">
        <v>0.1234286</v>
      </c>
      <c r="Z2679">
        <v>5.2597929999999996E-3</v>
      </c>
      <c r="AA2679">
        <v>0.99233950000000004</v>
      </c>
      <c r="AB2679">
        <v>31</v>
      </c>
      <c r="AC2679">
        <v>-0.74259999999998105</v>
      </c>
      <c r="AD2679">
        <v>-7.7672999999999798E-2</v>
      </c>
      <c r="AE2679">
        <v>0.123399999999946</v>
      </c>
      <c r="AF2679">
        <v>0.113162572603536</v>
      </c>
      <c r="AG2679">
        <v>-7.7672999999999798E-2</v>
      </c>
      <c r="AH2679">
        <v>0.73620673331726805</v>
      </c>
      <c r="AI2679">
        <v>95.953265493542801</v>
      </c>
      <c r="AJ2679">
        <v>81.261440648767206</v>
      </c>
      <c r="AK2679">
        <v>0.74889199284605301</v>
      </c>
      <c r="AL2679">
        <v>67.779384735720896</v>
      </c>
      <c r="AM2679">
        <v>90.279180868989201</v>
      </c>
      <c r="AN2679">
        <v>1.00000001450675</v>
      </c>
    </row>
    <row r="2680" spans="1:40" x14ac:dyDescent="0.25">
      <c r="A2680" t="str">
        <f>"20190304164905426"</f>
        <v>20190304164905426</v>
      </c>
      <c r="B2680" t="str">
        <f>"1551689345418652"</f>
        <v>1551689345418652</v>
      </c>
      <c r="C2680" t="s">
        <v>40</v>
      </c>
      <c r="D2680">
        <v>4.0039129999999998</v>
      </c>
      <c r="E2680">
        <v>0.57013069999999999</v>
      </c>
      <c r="F2680" t="s">
        <v>41</v>
      </c>
      <c r="G2680">
        <v>-406.14819999999997</v>
      </c>
      <c r="H2680">
        <v>1.046862</v>
      </c>
      <c r="I2680">
        <v>284.5659</v>
      </c>
      <c r="J2680">
        <v>-405.55930000000001</v>
      </c>
      <c r="K2680">
        <v>1.1109690000000001</v>
      </c>
      <c r="L2680">
        <v>284.46429999999998</v>
      </c>
      <c r="M2680">
        <v>-0.99982400000000005</v>
      </c>
      <c r="N2680">
        <v>-1.430087E-2</v>
      </c>
      <c r="O2680">
        <v>1.2150060000000001E-2</v>
      </c>
      <c r="P2680">
        <v>-0.93098440000000005</v>
      </c>
      <c r="Q2680">
        <v>0.36498930000000002</v>
      </c>
      <c r="R2680">
        <v>7.1470569999999897E-3</v>
      </c>
      <c r="S2680">
        <v>-3.330444</v>
      </c>
      <c r="T2680">
        <v>-0.284441</v>
      </c>
      <c r="U2680">
        <v>0.45782469999999997</v>
      </c>
      <c r="V2680">
        <v>-4.1521359999999998E-3</v>
      </c>
      <c r="W2680">
        <v>0.3782662</v>
      </c>
      <c r="X2680">
        <v>0.92568760000000005</v>
      </c>
      <c r="Y2680">
        <v>0.1236507</v>
      </c>
      <c r="Z2680">
        <v>5.2783169999999898E-3</v>
      </c>
      <c r="AA2680">
        <v>0.99231179999999997</v>
      </c>
      <c r="AB2680">
        <v>31</v>
      </c>
      <c r="AC2680">
        <v>-0.58889999999996601</v>
      </c>
      <c r="AD2680">
        <v>-6.41069999999999E-2</v>
      </c>
      <c r="AE2680">
        <v>0.10160000000001899</v>
      </c>
      <c r="AF2680">
        <v>9.3362210145005106E-2</v>
      </c>
      <c r="AG2680">
        <v>-6.41069999999999E-2</v>
      </c>
      <c r="AH2680">
        <v>0.58337773952755601</v>
      </c>
      <c r="AI2680">
        <v>96.192854193613897</v>
      </c>
      <c r="AJ2680">
        <v>80.907638170748498</v>
      </c>
      <c r="AK2680">
        <v>0.59426912818052402</v>
      </c>
      <c r="AL2680">
        <v>67.773672693084393</v>
      </c>
      <c r="AM2680">
        <v>90.256996283971901</v>
      </c>
      <c r="AN2680">
        <v>1.0000000455447799</v>
      </c>
    </row>
    <row r="2681" spans="1:40" x14ac:dyDescent="0.25">
      <c r="A2681" t="str">
        <f>"20190304164905440"</f>
        <v>20190304164905440</v>
      </c>
      <c r="B2681" t="str">
        <f>"1551689345428413"</f>
        <v>1551689345428413</v>
      </c>
      <c r="C2681" t="s">
        <v>40</v>
      </c>
      <c r="D2681">
        <v>4.0291449999999998</v>
      </c>
      <c r="E2681">
        <v>0.5700885</v>
      </c>
      <c r="F2681" t="s">
        <v>41</v>
      </c>
      <c r="G2681">
        <v>-406.41410000000002</v>
      </c>
      <c r="H2681">
        <v>1.0379320000000001</v>
      </c>
      <c r="I2681">
        <v>284.5822</v>
      </c>
      <c r="J2681">
        <v>-405.7516</v>
      </c>
      <c r="K2681">
        <v>1.1109690000000001</v>
      </c>
      <c r="L2681">
        <v>284.46660000000003</v>
      </c>
      <c r="M2681">
        <v>-0.99982400000000005</v>
      </c>
      <c r="N2681">
        <v>-1.429881E-2</v>
      </c>
      <c r="O2681">
        <v>1.215019E-2</v>
      </c>
      <c r="P2681">
        <v>-0.93091469999999998</v>
      </c>
      <c r="Q2681">
        <v>0.36516140000000002</v>
      </c>
      <c r="R2681">
        <v>7.4214839999999999E-3</v>
      </c>
      <c r="S2681">
        <v>-3.330505</v>
      </c>
      <c r="T2681">
        <v>-0.28464149999999999</v>
      </c>
      <c r="U2681">
        <v>0.45861819999999998</v>
      </c>
      <c r="V2681">
        <v>-3.877297E-3</v>
      </c>
      <c r="W2681">
        <v>0.37843569999999999</v>
      </c>
      <c r="X2681">
        <v>0.92561950000000004</v>
      </c>
      <c r="Y2681">
        <v>0.12387860000000001</v>
      </c>
      <c r="Z2681">
        <v>5.2922999999999998E-3</v>
      </c>
      <c r="AA2681">
        <v>0.99228329999999998</v>
      </c>
      <c r="AB2681">
        <v>30</v>
      </c>
      <c r="AC2681">
        <v>-0.66250000000002196</v>
      </c>
      <c r="AD2681">
        <v>-7.3037000000000005E-2</v>
      </c>
      <c r="AE2681">
        <v>0.115599999999972</v>
      </c>
      <c r="AF2681">
        <v>0.10628750793234901</v>
      </c>
      <c r="AG2681">
        <v>-7.3037000000000005E-2</v>
      </c>
      <c r="AH2681">
        <v>0.656117060748589</v>
      </c>
      <c r="AI2681">
        <v>96.270762794110098</v>
      </c>
      <c r="AJ2681">
        <v>80.798320903802306</v>
      </c>
      <c r="AK2681">
        <v>0.66867109636714295</v>
      </c>
      <c r="AL2681">
        <v>67.763180907874997</v>
      </c>
      <c r="AM2681">
        <v>90.240002997657299</v>
      </c>
      <c r="AN2681">
        <v>1.00000003562338</v>
      </c>
    </row>
    <row r="2682" spans="1:40" x14ac:dyDescent="0.25">
      <c r="A2682" t="str">
        <f>"20190304164905453"</f>
        <v>20190304164905453</v>
      </c>
      <c r="B2682" t="str">
        <f>"1551689345448908"</f>
        <v>1551689345448908</v>
      </c>
      <c r="C2682" t="s">
        <v>40</v>
      </c>
      <c r="D2682">
        <v>4.0406630000000003</v>
      </c>
      <c r="E2682">
        <v>0.5700691</v>
      </c>
      <c r="F2682" t="s">
        <v>41</v>
      </c>
      <c r="G2682">
        <v>-406.68299999999999</v>
      </c>
      <c r="H2682">
        <v>1.0314139999999901</v>
      </c>
      <c r="I2682">
        <v>284.59530000000001</v>
      </c>
      <c r="J2682">
        <v>-405.94400000000002</v>
      </c>
      <c r="K2682">
        <v>1.1109639999999901</v>
      </c>
      <c r="L2682">
        <v>284.46890000000002</v>
      </c>
      <c r="M2682">
        <v>-0.99982400000000005</v>
      </c>
      <c r="N2682">
        <v>-1.429676E-2</v>
      </c>
      <c r="O2682">
        <v>1.2150090000000001E-2</v>
      </c>
      <c r="P2682">
        <v>-0.93098590000000003</v>
      </c>
      <c r="Q2682">
        <v>0.36497940000000001</v>
      </c>
      <c r="R2682">
        <v>7.462209E-3</v>
      </c>
      <c r="S2682">
        <v>-3.3306269999999998</v>
      </c>
      <c r="T2682">
        <v>-0.28456989999999999</v>
      </c>
      <c r="U2682">
        <v>0.45944210000000002</v>
      </c>
      <c r="V2682">
        <v>-3.8369989999999998E-3</v>
      </c>
      <c r="W2682">
        <v>0.3782529</v>
      </c>
      <c r="X2682">
        <v>0.92569429999999997</v>
      </c>
      <c r="Y2682">
        <v>0.124114</v>
      </c>
      <c r="Z2682">
        <v>5.3025669999999898E-3</v>
      </c>
      <c r="AA2682">
        <v>0.99225379999999996</v>
      </c>
      <c r="AB2682">
        <v>30</v>
      </c>
      <c r="AC2682">
        <v>-0.73900000000003196</v>
      </c>
      <c r="AD2682">
        <v>-7.9549999999999996E-2</v>
      </c>
      <c r="AE2682">
        <v>0.12639999999998899</v>
      </c>
      <c r="AF2682">
        <v>0.11610371676631</v>
      </c>
      <c r="AG2682">
        <v>-7.9549999999999996E-2</v>
      </c>
      <c r="AH2682">
        <v>0.73223770074871297</v>
      </c>
      <c r="AI2682">
        <v>96.124355971602299</v>
      </c>
      <c r="AJ2682">
        <v>80.990179432623293</v>
      </c>
      <c r="AK2682">
        <v>0.74564088269401696</v>
      </c>
      <c r="AL2682">
        <v>67.774493840950996</v>
      </c>
      <c r="AM2682">
        <v>90.237489406236904</v>
      </c>
      <c r="AN2682">
        <v>0.99999995798611196</v>
      </c>
    </row>
    <row r="2683" spans="1:40" x14ac:dyDescent="0.25">
      <c r="A2683" t="str">
        <f>"20190304164905468"</f>
        <v>20190304164905468</v>
      </c>
      <c r="B2683" t="str">
        <f>"1551689345458668"</f>
        <v>1551689345458668</v>
      </c>
      <c r="C2683" t="s">
        <v>40</v>
      </c>
      <c r="D2683">
        <v>4.0434789999999996</v>
      </c>
      <c r="E2683">
        <v>0.57005139999999999</v>
      </c>
      <c r="F2683" t="s">
        <v>41</v>
      </c>
      <c r="G2683">
        <v>-406.6925</v>
      </c>
      <c r="H2683">
        <v>1.0467630000000001</v>
      </c>
      <c r="I2683">
        <v>284.57240000000002</v>
      </c>
      <c r="J2683">
        <v>-406.14210000000003</v>
      </c>
      <c r="K2683">
        <v>1.1109610000000001</v>
      </c>
      <c r="L2683">
        <v>284.47140000000002</v>
      </c>
      <c r="M2683">
        <v>-0.99982409999999999</v>
      </c>
      <c r="N2683">
        <v>-1.4294629999999999E-2</v>
      </c>
      <c r="O2683">
        <v>1.215143E-2</v>
      </c>
      <c r="P2683">
        <v>-0.93090410000000001</v>
      </c>
      <c r="Q2683">
        <v>0.36518020000000001</v>
      </c>
      <c r="R2683">
        <v>7.8266259999999997E-3</v>
      </c>
      <c r="S2683">
        <v>-3.3307500000000001</v>
      </c>
      <c r="T2683">
        <v>-0.28578789999999998</v>
      </c>
      <c r="U2683">
        <v>0.45928960000000002</v>
      </c>
      <c r="V2683">
        <v>-3.4725350000000001E-3</v>
      </c>
      <c r="W2683">
        <v>0.37845069999999997</v>
      </c>
      <c r="X2683">
        <v>0.92561499999999997</v>
      </c>
      <c r="Y2683">
        <v>0.12405960000000001</v>
      </c>
      <c r="Z2683">
        <v>5.3175439999999996E-3</v>
      </c>
      <c r="AA2683">
        <v>0.99226049999999999</v>
      </c>
      <c r="AB2683">
        <v>30</v>
      </c>
      <c r="AC2683">
        <v>-0.55039999999996703</v>
      </c>
      <c r="AD2683">
        <v>-6.4198000000000199E-2</v>
      </c>
      <c r="AE2683">
        <v>0.10099999999999899</v>
      </c>
      <c r="AF2683">
        <v>9.3078664117266702E-2</v>
      </c>
      <c r="AG2683">
        <v>-6.4198000000000199E-2</v>
      </c>
      <c r="AH2683">
        <v>0.54442141421386403</v>
      </c>
      <c r="AI2683">
        <v>96.629919568598297</v>
      </c>
      <c r="AJ2683">
        <v>80.298056413801007</v>
      </c>
      <c r="AK2683">
        <v>0.55603929462986601</v>
      </c>
      <c r="AL2683">
        <v>67.762252974015595</v>
      </c>
      <c r="AM2683">
        <v>90.214949699704505</v>
      </c>
      <c r="AN2683">
        <v>1.0000000595273999</v>
      </c>
    </row>
    <row r="2684" spans="1:40" x14ac:dyDescent="0.25">
      <c r="A2684" t="str">
        <f>"20190304164905484"</f>
        <v>20190304164905484</v>
      </c>
      <c r="B2684" t="str">
        <f>"1551689345479164"</f>
        <v>1551689345479164</v>
      </c>
      <c r="C2684" t="s">
        <v>40</v>
      </c>
      <c r="D2684">
        <v>4.0154820000000004</v>
      </c>
      <c r="E2684">
        <v>0.57000989999999996</v>
      </c>
      <c r="F2684" t="s">
        <v>41</v>
      </c>
      <c r="G2684">
        <v>-406.95940000000002</v>
      </c>
      <c r="H2684">
        <v>1.040856</v>
      </c>
      <c r="I2684">
        <v>284.5847</v>
      </c>
      <c r="J2684">
        <v>-406.35169999999999</v>
      </c>
      <c r="K2684">
        <v>1.1109639999999901</v>
      </c>
      <c r="L2684">
        <v>284.47390000000001</v>
      </c>
      <c r="M2684">
        <v>-0.99982389999999999</v>
      </c>
      <c r="N2684">
        <v>-1.429238E-2</v>
      </c>
      <c r="O2684">
        <v>1.215919E-2</v>
      </c>
      <c r="P2684">
        <v>-0.93087059999999999</v>
      </c>
      <c r="Q2684">
        <v>0.36526570000000003</v>
      </c>
      <c r="R2684">
        <v>7.8122109999999899E-3</v>
      </c>
      <c r="S2684">
        <v>-3.3308719999999998</v>
      </c>
      <c r="T2684">
        <v>-0.28572500000000001</v>
      </c>
      <c r="U2684">
        <v>0.46124270000000001</v>
      </c>
      <c r="V2684">
        <v>-3.4905040000000002E-3</v>
      </c>
      <c r="W2684">
        <v>0.37853320000000001</v>
      </c>
      <c r="X2684">
        <v>0.92558119999999999</v>
      </c>
      <c r="Y2684">
        <v>0.1246159</v>
      </c>
      <c r="Z2684">
        <v>5.3433019999999899E-3</v>
      </c>
      <c r="AA2684">
        <v>0.99219069999999998</v>
      </c>
      <c r="AB2684">
        <v>30</v>
      </c>
      <c r="AC2684">
        <v>-0.607700000000022</v>
      </c>
      <c r="AD2684">
        <v>-7.0107999999999795E-2</v>
      </c>
      <c r="AE2684">
        <v>0.110799999999983</v>
      </c>
      <c r="AF2684">
        <v>0.102086917075367</v>
      </c>
      <c r="AG2684">
        <v>-7.0107999999999795E-2</v>
      </c>
      <c r="AH2684">
        <v>0.60125756133213204</v>
      </c>
      <c r="AI2684">
        <v>96.557767129548495</v>
      </c>
      <c r="AJ2684">
        <v>80.363705210899198</v>
      </c>
      <c r="AK2684">
        <v>0.613879080406733</v>
      </c>
      <c r="AL2684">
        <v>67.757146216730902</v>
      </c>
      <c r="AM2684">
        <v>90.216069859154004</v>
      </c>
      <c r="AN2684">
        <v>1.0000000624569201</v>
      </c>
    </row>
    <row r="2685" spans="1:40" x14ac:dyDescent="0.25">
      <c r="A2685" t="str">
        <f>"20190304164905497"</f>
        <v>20190304164905497</v>
      </c>
      <c r="B2685" t="str">
        <f>"1551689345488923"</f>
        <v>1551689345488923</v>
      </c>
      <c r="C2685" t="s">
        <v>40</v>
      </c>
      <c r="D2685">
        <v>3.9962149999999999</v>
      </c>
      <c r="E2685">
        <v>0.56997240000000005</v>
      </c>
      <c r="F2685" t="s">
        <v>41</v>
      </c>
      <c r="G2685">
        <v>-407.22820000000002</v>
      </c>
      <c r="H2685">
        <v>1.0357430000000001</v>
      </c>
      <c r="I2685">
        <v>284.59559999999999</v>
      </c>
      <c r="J2685">
        <v>-406.53089999999997</v>
      </c>
      <c r="K2685">
        <v>1.1109599999999999</v>
      </c>
      <c r="L2685">
        <v>284.47609999999997</v>
      </c>
      <c r="M2685">
        <v>-0.99982389999999999</v>
      </c>
      <c r="N2685">
        <v>-1.429047E-2</v>
      </c>
      <c r="O2685">
        <v>1.2171390000000001E-2</v>
      </c>
      <c r="P2685">
        <v>-0.93081709999999995</v>
      </c>
      <c r="Q2685">
        <v>0.36540420000000001</v>
      </c>
      <c r="R2685">
        <v>7.7350029999999998E-3</v>
      </c>
      <c r="S2685">
        <v>-3.331207</v>
      </c>
      <c r="T2685">
        <v>-0.28611449999999999</v>
      </c>
      <c r="U2685">
        <v>0.4610901</v>
      </c>
      <c r="V2685">
        <v>-3.574144E-3</v>
      </c>
      <c r="W2685">
        <v>0.37866919999999998</v>
      </c>
      <c r="X2685">
        <v>0.92552520000000005</v>
      </c>
      <c r="Y2685">
        <v>0.1245448</v>
      </c>
      <c r="Z2685">
        <v>5.3441390000000004E-3</v>
      </c>
      <c r="AA2685">
        <v>0.99219959999999996</v>
      </c>
      <c r="AB2685">
        <v>30</v>
      </c>
      <c r="AC2685">
        <v>-0.697300000000041</v>
      </c>
      <c r="AD2685">
        <v>-7.5216999999999798E-2</v>
      </c>
      <c r="AE2685">
        <v>0.119500000000016</v>
      </c>
      <c r="AF2685">
        <v>0.109762446203007</v>
      </c>
      <c r="AG2685">
        <v>-7.5216999999999798E-2</v>
      </c>
      <c r="AH2685">
        <v>0.69089330264409199</v>
      </c>
      <c r="AI2685">
        <v>96.136908856619996</v>
      </c>
      <c r="AJ2685">
        <v>80.972843955652195</v>
      </c>
      <c r="AK2685">
        <v>0.70359004208695897</v>
      </c>
      <c r="AL2685">
        <v>67.748726212193105</v>
      </c>
      <c r="AM2685">
        <v>90.221260694573104</v>
      </c>
      <c r="AN2685">
        <v>1.0000000166845</v>
      </c>
    </row>
    <row r="2686" spans="1:40" x14ac:dyDescent="0.25">
      <c r="A2686" t="str">
        <f>"20190304164905509"</f>
        <v>20190304164905509</v>
      </c>
      <c r="B2686" t="str">
        <f>"1551689345498683"</f>
        <v>1551689345498683</v>
      </c>
      <c r="C2686" t="s">
        <v>40</v>
      </c>
      <c r="D2686">
        <v>4.0561910000000001</v>
      </c>
      <c r="E2686">
        <v>0.56997339999999996</v>
      </c>
      <c r="F2686" t="s">
        <v>41</v>
      </c>
      <c r="G2686">
        <v>-407.49560000000002</v>
      </c>
      <c r="H2686">
        <v>1.0281640000000001</v>
      </c>
      <c r="I2686">
        <v>284.6096</v>
      </c>
      <c r="J2686">
        <v>-406.69959999999998</v>
      </c>
      <c r="K2686">
        <v>1.1109519999999999</v>
      </c>
      <c r="L2686">
        <v>284.47809999999998</v>
      </c>
      <c r="M2686">
        <v>-0.99982360000000003</v>
      </c>
      <c r="N2686">
        <v>-1.428868E-2</v>
      </c>
      <c r="O2686">
        <v>1.219348E-2</v>
      </c>
      <c r="P2686">
        <v>-0.93077580000000004</v>
      </c>
      <c r="Q2686">
        <v>0.36551270000000002</v>
      </c>
      <c r="R2686">
        <v>7.5495299999999996E-3</v>
      </c>
      <c r="S2686">
        <v>-3.3313600000000001</v>
      </c>
      <c r="T2686">
        <v>-0.2858715</v>
      </c>
      <c r="U2686">
        <v>0.46072390000000002</v>
      </c>
      <c r="V2686">
        <v>-3.7716809999999998E-3</v>
      </c>
      <c r="W2686">
        <v>0.378776</v>
      </c>
      <c r="X2686">
        <v>0.92548070000000004</v>
      </c>
      <c r="Y2686">
        <v>0.1244111</v>
      </c>
      <c r="Z2686">
        <v>5.3319889999999997E-3</v>
      </c>
      <c r="AA2686">
        <v>0.9922164</v>
      </c>
      <c r="AB2686">
        <v>30</v>
      </c>
      <c r="AC2686">
        <v>-0.796000000000049</v>
      </c>
      <c r="AD2686">
        <v>-8.2788E-2</v>
      </c>
      <c r="AE2686">
        <v>0.13150000000001599</v>
      </c>
      <c r="AF2686">
        <v>0.120514245247313</v>
      </c>
      <c r="AG2686">
        <v>-8.2788E-2</v>
      </c>
      <c r="AH2686">
        <v>0.78923403829692396</v>
      </c>
      <c r="AI2686">
        <v>95.9201105356005</v>
      </c>
      <c r="AJ2686">
        <v>81.318127322002198</v>
      </c>
      <c r="AK2686">
        <v>0.80266300740597296</v>
      </c>
      <c r="AL2686">
        <v>67.742114243583302</v>
      </c>
      <c r="AM2686">
        <v>90.233500500437302</v>
      </c>
      <c r="AN2686">
        <v>1.00000000491302</v>
      </c>
    </row>
    <row r="2687" spans="1:40" x14ac:dyDescent="0.25">
      <c r="A2687" t="str">
        <f>"20190304164905526"</f>
        <v>20190304164905526</v>
      </c>
      <c r="B2687" t="str">
        <f>"1551689345518204"</f>
        <v>1551689345518204</v>
      </c>
      <c r="C2687" t="s">
        <v>40</v>
      </c>
      <c r="D2687">
        <v>3.9519039999999999</v>
      </c>
      <c r="E2687">
        <v>0.5699398</v>
      </c>
      <c r="F2687" t="s">
        <v>41</v>
      </c>
      <c r="G2687">
        <v>-407.5027</v>
      </c>
      <c r="H2687">
        <v>1.042001</v>
      </c>
      <c r="I2687">
        <v>284.58920000000001</v>
      </c>
      <c r="J2687">
        <v>-406.91289999999998</v>
      </c>
      <c r="K2687">
        <v>1.11094</v>
      </c>
      <c r="L2687">
        <v>284.48079999999999</v>
      </c>
      <c r="M2687">
        <v>-0.99982320000000002</v>
      </c>
      <c r="N2687">
        <v>-1.4286439999999999E-2</v>
      </c>
      <c r="O2687">
        <v>1.223427E-2</v>
      </c>
      <c r="P2687">
        <v>-0.9306915</v>
      </c>
      <c r="Q2687">
        <v>0.36572959999999999</v>
      </c>
      <c r="R2687">
        <v>7.4311890000000004E-3</v>
      </c>
      <c r="S2687">
        <v>-3.331696</v>
      </c>
      <c r="T2687">
        <v>-0.28601650000000001</v>
      </c>
      <c r="U2687">
        <v>0.46032709999999999</v>
      </c>
      <c r="V2687">
        <v>-3.9138530000000001E-3</v>
      </c>
      <c r="W2687">
        <v>0.37898910000000002</v>
      </c>
      <c r="X2687">
        <v>0.92539289999999996</v>
      </c>
      <c r="Y2687">
        <v>0.12424159999999999</v>
      </c>
      <c r="Z2687">
        <v>5.3222340000000003E-3</v>
      </c>
      <c r="AA2687">
        <v>0.9922377</v>
      </c>
      <c r="AB2687">
        <v>30</v>
      </c>
      <c r="AC2687">
        <v>-0.58980000000002497</v>
      </c>
      <c r="AD2687">
        <v>-6.8939E-2</v>
      </c>
      <c r="AE2687">
        <v>0.108400000000017</v>
      </c>
      <c r="AF2687">
        <v>9.9855706777800396E-2</v>
      </c>
      <c r="AG2687">
        <v>-6.8939E-2</v>
      </c>
      <c r="AH2687">
        <v>0.58337246027326395</v>
      </c>
      <c r="AI2687">
        <v>96.643826266924094</v>
      </c>
      <c r="AJ2687">
        <v>80.286829172486193</v>
      </c>
      <c r="AK2687">
        <v>0.59585835170984602</v>
      </c>
      <c r="AL2687">
        <v>67.728921649493799</v>
      </c>
      <c r="AM2687">
        <v>90.242325093971402</v>
      </c>
      <c r="AN2687">
        <v>1.00000003776726</v>
      </c>
    </row>
    <row r="2688" spans="1:40" x14ac:dyDescent="0.25">
      <c r="A2688" t="str">
        <f>"20190304164905547"</f>
        <v>20190304164905547</v>
      </c>
      <c r="B2688" t="str">
        <f>"1551689345538699"</f>
        <v>1551689345538699</v>
      </c>
      <c r="C2688" t="s">
        <v>40</v>
      </c>
      <c r="D2688">
        <v>3.9712000000000001</v>
      </c>
      <c r="E2688">
        <v>0.56887109999999996</v>
      </c>
      <c r="F2688" t="s">
        <v>41</v>
      </c>
      <c r="G2688">
        <v>-407.77089999999998</v>
      </c>
      <c r="H2688">
        <v>1.0375080000000001</v>
      </c>
      <c r="I2688">
        <v>284.59980000000002</v>
      </c>
      <c r="J2688">
        <v>-407.20420000000001</v>
      </c>
      <c r="K2688">
        <v>1.110911</v>
      </c>
      <c r="L2688">
        <v>284.48439999999999</v>
      </c>
      <c r="M2688">
        <v>-0.99982210000000005</v>
      </c>
      <c r="N2688">
        <v>-1.428339E-2</v>
      </c>
      <c r="O2688">
        <v>1.2319689999999999E-2</v>
      </c>
      <c r="P2688">
        <v>-0.93071060000000005</v>
      </c>
      <c r="Q2688">
        <v>0.3656952</v>
      </c>
      <c r="R2688">
        <v>6.7340469999999999E-3</v>
      </c>
      <c r="S2688">
        <v>-3.331909</v>
      </c>
      <c r="T2688">
        <v>-0.28535159999999998</v>
      </c>
      <c r="U2688">
        <v>0.4596558</v>
      </c>
      <c r="V2688">
        <v>-4.6653930000000003E-3</v>
      </c>
      <c r="W2688">
        <v>0.37895289999999998</v>
      </c>
      <c r="X2688">
        <v>0.92540420000000001</v>
      </c>
      <c r="Y2688">
        <v>0.1239555</v>
      </c>
      <c r="Z2688">
        <v>5.2916459999999997E-3</v>
      </c>
      <c r="AA2688">
        <v>0.99227370000000004</v>
      </c>
      <c r="AB2688">
        <v>30</v>
      </c>
      <c r="AC2688">
        <v>-0.56669999999996801</v>
      </c>
      <c r="AD2688">
        <v>-7.3402999999999802E-2</v>
      </c>
      <c r="AE2688">
        <v>0.115400000000022</v>
      </c>
      <c r="AF2688">
        <v>0.106690258876109</v>
      </c>
      <c r="AG2688">
        <v>-7.3402999999999802E-2</v>
      </c>
      <c r="AH2688">
        <v>0.55907257623431195</v>
      </c>
      <c r="AI2688">
        <v>97.348694870680902</v>
      </c>
      <c r="AJ2688">
        <v>79.195900157492105</v>
      </c>
      <c r="AK2688">
        <v>0.57387538477035405</v>
      </c>
      <c r="AL2688">
        <v>67.731162047782107</v>
      </c>
      <c r="AM2688">
        <v>90.288852226998401</v>
      </c>
      <c r="AN2688">
        <v>0.99999999984394705</v>
      </c>
    </row>
    <row r="2689" spans="1:40" x14ac:dyDescent="0.25">
      <c r="A2689" t="str">
        <f>"20190304164905568"</f>
        <v>20190304164905568</v>
      </c>
      <c r="B2689" t="str">
        <f>"1551689345558219"</f>
        <v>1551689345558219</v>
      </c>
      <c r="C2689" t="s">
        <v>40</v>
      </c>
      <c r="D2689">
        <v>4.0082170000000001</v>
      </c>
      <c r="E2689">
        <v>0.56811789999999995</v>
      </c>
      <c r="F2689" t="s">
        <v>41</v>
      </c>
      <c r="G2689">
        <v>-408.04230000000001</v>
      </c>
      <c r="H2689">
        <v>1.0392349999999999</v>
      </c>
      <c r="I2689">
        <v>284.5976</v>
      </c>
      <c r="J2689">
        <v>-407.49939999999998</v>
      </c>
      <c r="K2689">
        <v>1.1108750000000001</v>
      </c>
      <c r="L2689">
        <v>284.48820000000001</v>
      </c>
      <c r="M2689">
        <v>-0.99982059999999995</v>
      </c>
      <c r="N2689">
        <v>-1.4280340000000001E-2</v>
      </c>
      <c r="O2689">
        <v>1.2450650000000001E-2</v>
      </c>
      <c r="P2689">
        <v>-0.93075669999999999</v>
      </c>
      <c r="Q2689">
        <v>0.36557859999999998</v>
      </c>
      <c r="R2689">
        <v>6.6681240000000001E-3</v>
      </c>
      <c r="S2689">
        <v>-3.3320620000000001</v>
      </c>
      <c r="T2689">
        <v>-0.28500890000000001</v>
      </c>
      <c r="U2689">
        <v>0.44860840000000002</v>
      </c>
      <c r="V2689">
        <v>-4.8222969999999997E-3</v>
      </c>
      <c r="W2689">
        <v>0.37883420000000001</v>
      </c>
      <c r="X2689">
        <v>0.92545200000000005</v>
      </c>
      <c r="Y2689">
        <v>0.12060419999999999</v>
      </c>
      <c r="Z2689">
        <v>5.111155E-3</v>
      </c>
      <c r="AA2689">
        <v>0.99268749999999994</v>
      </c>
      <c r="AB2689">
        <v>30</v>
      </c>
      <c r="AC2689">
        <v>-0.54290000000003102</v>
      </c>
      <c r="AD2689">
        <v>-7.1639999999999898E-2</v>
      </c>
      <c r="AE2689">
        <v>0.109399999999993</v>
      </c>
      <c r="AF2689">
        <v>0.100942261589476</v>
      </c>
      <c r="AG2689">
        <v>-7.1639999999999898E-2</v>
      </c>
      <c r="AH2689">
        <v>0.53526335816253301</v>
      </c>
      <c r="AI2689">
        <v>97.4926704059625</v>
      </c>
      <c r="AJ2689">
        <v>79.320341076658494</v>
      </c>
      <c r="AK2689">
        <v>0.54938919935345498</v>
      </c>
      <c r="AL2689">
        <v>67.738511112439795</v>
      </c>
      <c r="AM2689">
        <v>90.298551156661503</v>
      </c>
      <c r="AN2689">
        <v>1.0000000049709901</v>
      </c>
    </row>
    <row r="2690" spans="1:40" x14ac:dyDescent="0.25">
      <c r="A2690" t="str">
        <f>"20190304164905581"</f>
        <v>20190304164905581</v>
      </c>
      <c r="B2690" t="str">
        <f>"1551689345568956"</f>
        <v>1551689345568956</v>
      </c>
      <c r="C2690" t="s">
        <v>40</v>
      </c>
      <c r="D2690">
        <v>3.9869840000000001</v>
      </c>
      <c r="E2690">
        <v>0.56777900000000003</v>
      </c>
      <c r="F2690" t="s">
        <v>41</v>
      </c>
      <c r="G2690">
        <v>-408.31349999999998</v>
      </c>
      <c r="H2690">
        <v>1.041342</v>
      </c>
      <c r="I2690">
        <v>284.59679999999997</v>
      </c>
      <c r="J2690">
        <v>-407.66890000000001</v>
      </c>
      <c r="K2690">
        <v>1.110857</v>
      </c>
      <c r="L2690">
        <v>284.49040000000002</v>
      </c>
      <c r="M2690">
        <v>-0.99981949999999997</v>
      </c>
      <c r="N2690">
        <v>-1.4278590000000001E-2</v>
      </c>
      <c r="O2690">
        <v>1.254805E-2</v>
      </c>
      <c r="P2690">
        <v>-0.93083419999999895</v>
      </c>
      <c r="Q2690">
        <v>0.36537979999999998</v>
      </c>
      <c r="R2690">
        <v>6.7488289999999996E-3</v>
      </c>
      <c r="S2690">
        <v>-3.3319399999999999</v>
      </c>
      <c r="T2690">
        <v>-0.2847943</v>
      </c>
      <c r="U2690">
        <v>0.4421387</v>
      </c>
      <c r="V2690">
        <v>-4.8138950000000003E-3</v>
      </c>
      <c r="W2690">
        <v>0.37863520000000001</v>
      </c>
      <c r="X2690">
        <v>0.92553350000000001</v>
      </c>
      <c r="Y2690">
        <v>0.1186273</v>
      </c>
      <c r="Z2690">
        <v>5.0034939999999998E-3</v>
      </c>
      <c r="AA2690">
        <v>0.99292619999999998</v>
      </c>
      <c r="AB2690">
        <v>30</v>
      </c>
      <c r="AC2690">
        <v>-0.64459999999996798</v>
      </c>
      <c r="AD2690">
        <v>-6.9514999999999993E-2</v>
      </c>
      <c r="AE2690">
        <v>0.10639999999995001</v>
      </c>
      <c r="AF2690">
        <v>9.7201859376057895E-2</v>
      </c>
      <c r="AG2690">
        <v>-6.9514999999999993E-2</v>
      </c>
      <c r="AH2690">
        <v>0.63865400040754505</v>
      </c>
      <c r="AI2690">
        <v>96.141789560298207</v>
      </c>
      <c r="AJ2690">
        <v>81.346109558825404</v>
      </c>
      <c r="AK2690">
        <v>0.64973800021833705</v>
      </c>
      <c r="AL2690">
        <v>67.750831162773196</v>
      </c>
      <c r="AM2690">
        <v>90.298004750104795</v>
      </c>
      <c r="AN2690">
        <v>1.0000000239431801</v>
      </c>
    </row>
    <row r="2691" spans="1:40" x14ac:dyDescent="0.25">
      <c r="A2691" t="str">
        <f>"20190304164905597"</f>
        <v>20190304164905597</v>
      </c>
      <c r="B2691" t="str">
        <f>"1551689345588476"</f>
        <v>1551689345588476</v>
      </c>
      <c r="C2691" t="s">
        <v>40</v>
      </c>
      <c r="D2691">
        <v>3.9803139999999999</v>
      </c>
      <c r="E2691">
        <v>0.56714560000000003</v>
      </c>
      <c r="F2691" t="s">
        <v>41</v>
      </c>
      <c r="G2691">
        <v>-408.57909999999998</v>
      </c>
      <c r="H2691">
        <v>1.0328189999999999</v>
      </c>
      <c r="I2691">
        <v>284.61059999999998</v>
      </c>
      <c r="J2691">
        <v>-407.87619999999998</v>
      </c>
      <c r="K2691">
        <v>1.1108309999999999</v>
      </c>
      <c r="L2691">
        <v>284.4932</v>
      </c>
      <c r="M2691">
        <v>-0.99981770000000003</v>
      </c>
      <c r="N2691">
        <v>-1.427643E-2</v>
      </c>
      <c r="O2691">
        <v>1.268567E-2</v>
      </c>
      <c r="P2691">
        <v>-0.93085479999999998</v>
      </c>
      <c r="Q2691">
        <v>0.36532799999999999</v>
      </c>
      <c r="R2691">
        <v>6.7107709999999999E-3</v>
      </c>
      <c r="S2691">
        <v>-3.331909</v>
      </c>
      <c r="T2691">
        <v>-0.28576580000000001</v>
      </c>
      <c r="U2691">
        <v>0.43930049999999998</v>
      </c>
      <c r="V2691">
        <v>-4.9556790000000002E-3</v>
      </c>
      <c r="W2691">
        <v>0.37858229999999998</v>
      </c>
      <c r="X2691">
        <v>0.9255544</v>
      </c>
      <c r="Y2691">
        <v>0.11766210000000001</v>
      </c>
      <c r="Z2691">
        <v>4.9592209999999998E-3</v>
      </c>
      <c r="AA2691">
        <v>0.99304130000000002</v>
      </c>
      <c r="AB2691">
        <v>30</v>
      </c>
      <c r="AC2691">
        <v>-0.70289999999999897</v>
      </c>
      <c r="AD2691">
        <v>-7.8011999999999707E-2</v>
      </c>
      <c r="AE2691">
        <v>0.117399999999975</v>
      </c>
      <c r="AF2691">
        <v>0.107188385869807</v>
      </c>
      <c r="AG2691">
        <v>-7.8011999999999707E-2</v>
      </c>
      <c r="AH2691">
        <v>0.69599240146574204</v>
      </c>
      <c r="AI2691">
        <v>96.321527471920902</v>
      </c>
      <c r="AJ2691">
        <v>81.244780219830105</v>
      </c>
      <c r="AK2691">
        <v>0.70850592453939598</v>
      </c>
      <c r="AL2691">
        <v>67.754106079264304</v>
      </c>
      <c r="AM2691">
        <v>90.306774813032007</v>
      </c>
      <c r="AN2691">
        <v>1.0000000319935001</v>
      </c>
    </row>
    <row r="2692" spans="1:40" x14ac:dyDescent="0.25">
      <c r="A2692" t="str">
        <f>"20190304164905608"</f>
        <v>20190304164905608</v>
      </c>
      <c r="B2692" t="str">
        <f>"1551689345599212"</f>
        <v>1551689345599212</v>
      </c>
      <c r="C2692" t="s">
        <v>40</v>
      </c>
      <c r="D2692">
        <v>3.9817939999999998</v>
      </c>
      <c r="E2692">
        <v>0.56687279999999995</v>
      </c>
      <c r="F2692" t="s">
        <v>41</v>
      </c>
      <c r="G2692">
        <v>-408.84609999999998</v>
      </c>
      <c r="H2692">
        <v>1.0276719999999999</v>
      </c>
      <c r="I2692">
        <v>284.6198</v>
      </c>
      <c r="J2692">
        <v>-408.04689999999999</v>
      </c>
      <c r="K2692">
        <v>1.1108089999999999</v>
      </c>
      <c r="L2692">
        <v>284.49549999999999</v>
      </c>
      <c r="M2692">
        <v>-0.99981589999999998</v>
      </c>
      <c r="N2692">
        <v>-1.427459E-2</v>
      </c>
      <c r="O2692">
        <v>1.282092E-2</v>
      </c>
      <c r="P2692">
        <v>-0.93079509999999999</v>
      </c>
      <c r="Q2692">
        <v>0.36547429999999997</v>
      </c>
      <c r="R2692">
        <v>7.0020330000000004E-3</v>
      </c>
      <c r="S2692">
        <v>-3.331909</v>
      </c>
      <c r="T2692">
        <v>-0.28584789999999999</v>
      </c>
      <c r="U2692">
        <v>0.43362430000000002</v>
      </c>
      <c r="V2692">
        <v>-4.7700140000000004E-3</v>
      </c>
      <c r="W2692">
        <v>0.37872610000000001</v>
      </c>
      <c r="X2692">
        <v>0.92549650000000006</v>
      </c>
      <c r="Y2692">
        <v>0.1158719</v>
      </c>
      <c r="Z2692">
        <v>4.8617770000000003E-3</v>
      </c>
      <c r="AA2692">
        <v>0.99325229999999998</v>
      </c>
      <c r="AB2692">
        <v>30</v>
      </c>
      <c r="AC2692">
        <v>-0.79919999999998403</v>
      </c>
      <c r="AD2692">
        <v>-8.3137000000000003E-2</v>
      </c>
      <c r="AE2692">
        <v>0.124300000000005</v>
      </c>
      <c r="AF2692">
        <v>0.112849922229027</v>
      </c>
      <c r="AG2692">
        <v>-8.3137000000000003E-2</v>
      </c>
      <c r="AH2692">
        <v>0.792356321184714</v>
      </c>
      <c r="AI2692">
        <v>95.9303600759972</v>
      </c>
      <c r="AJ2692">
        <v>81.894264997820997</v>
      </c>
      <c r="AK2692">
        <v>0.80465856450886697</v>
      </c>
      <c r="AL2692">
        <v>67.745203143274594</v>
      </c>
      <c r="AM2692">
        <v>90.295300144822207</v>
      </c>
      <c r="AN2692">
        <v>0.99999999168350995</v>
      </c>
    </row>
    <row r="2693" spans="1:40" x14ac:dyDescent="0.25">
      <c r="A2693" t="str">
        <f>"20190304164905622"</f>
        <v>20190304164905622</v>
      </c>
      <c r="B2693" t="str">
        <f>"1551689345618732"</f>
        <v>1551689345618732</v>
      </c>
      <c r="C2693" t="s">
        <v>40</v>
      </c>
      <c r="D2693">
        <v>3.977366</v>
      </c>
      <c r="E2693">
        <v>0.56635559999999996</v>
      </c>
      <c r="F2693" t="s">
        <v>41</v>
      </c>
      <c r="G2693">
        <v>-408.85309999999998</v>
      </c>
      <c r="H2693">
        <v>1.0417989999999999</v>
      </c>
      <c r="I2693">
        <v>284.60039999999998</v>
      </c>
      <c r="J2693">
        <v>-408.21730000000002</v>
      </c>
      <c r="K2693">
        <v>1.110789</v>
      </c>
      <c r="L2693">
        <v>284.49779999999998</v>
      </c>
      <c r="M2693">
        <v>-0.99981419999999999</v>
      </c>
      <c r="N2693">
        <v>-1.42728E-2</v>
      </c>
      <c r="O2693">
        <v>1.296681E-2</v>
      </c>
      <c r="P2693">
        <v>-0.93077500000000002</v>
      </c>
      <c r="Q2693">
        <v>0.3655195</v>
      </c>
      <c r="R2693">
        <v>7.3108239999999996E-3</v>
      </c>
      <c r="S2693">
        <v>-3.3318180000000002</v>
      </c>
      <c r="T2693">
        <v>-0.28537400000000002</v>
      </c>
      <c r="U2693">
        <v>0.43200680000000002</v>
      </c>
      <c r="V2693">
        <v>-4.5783969999999997E-3</v>
      </c>
      <c r="W2693">
        <v>0.37876929999999998</v>
      </c>
      <c r="X2693">
        <v>0.92547979999999996</v>
      </c>
      <c r="Y2693">
        <v>0.1152605</v>
      </c>
      <c r="Z2693">
        <v>4.8147340000000002E-3</v>
      </c>
      <c r="AA2693">
        <v>0.99332359999999997</v>
      </c>
      <c r="AB2693">
        <v>30</v>
      </c>
      <c r="AC2693">
        <v>-0.63579999999995995</v>
      </c>
      <c r="AD2693">
        <v>-6.8990000000000107E-2</v>
      </c>
      <c r="AE2693">
        <v>0.102599999999995</v>
      </c>
      <c r="AF2693">
        <v>9.3275861062762699E-2</v>
      </c>
      <c r="AG2693">
        <v>-6.8990000000000107E-2</v>
      </c>
      <c r="AH2693">
        <v>0.62984931303496605</v>
      </c>
      <c r="AI2693">
        <v>96.184011203317993</v>
      </c>
      <c r="AJ2693">
        <v>81.576159684596902</v>
      </c>
      <c r="AK2693">
        <v>0.64044528531922096</v>
      </c>
      <c r="AL2693">
        <v>67.742528969371307</v>
      </c>
      <c r="AM2693">
        <v>90.283442907231503</v>
      </c>
      <c r="AN2693">
        <v>1.0000000022747999</v>
      </c>
    </row>
    <row r="2694" spans="1:40" x14ac:dyDescent="0.25">
      <c r="A2694" t="str">
        <f>"20190304164905635"</f>
        <v>20190304164905635</v>
      </c>
      <c r="B2694" t="str">
        <f>"1551689345628492"</f>
        <v>1551689345628492</v>
      </c>
      <c r="C2694" t="s">
        <v>40</v>
      </c>
      <c r="D2694">
        <v>3.977344</v>
      </c>
      <c r="E2694">
        <v>0.56610550000000004</v>
      </c>
      <c r="F2694" t="s">
        <v>41</v>
      </c>
      <c r="G2694">
        <v>-409.11829999999998</v>
      </c>
      <c r="H2694">
        <v>1.033623</v>
      </c>
      <c r="I2694">
        <v>284.61380000000003</v>
      </c>
      <c r="J2694">
        <v>-408.39819999999997</v>
      </c>
      <c r="K2694">
        <v>1.1107750000000001</v>
      </c>
      <c r="L2694">
        <v>284.50029999999998</v>
      </c>
      <c r="M2694">
        <v>-0.99981189999999998</v>
      </c>
      <c r="N2694">
        <v>-1.4270949999999999E-2</v>
      </c>
      <c r="O2694">
        <v>1.313224E-2</v>
      </c>
      <c r="P2694">
        <v>-0.93067630000000001</v>
      </c>
      <c r="Q2694">
        <v>0.36574800000000002</v>
      </c>
      <c r="R2694">
        <v>8.3644040000000006E-3</v>
      </c>
      <c r="S2694">
        <v>-3.3318479999999999</v>
      </c>
      <c r="T2694">
        <v>-0.2854389</v>
      </c>
      <c r="U2694">
        <v>0.427948</v>
      </c>
      <c r="V2694">
        <v>-3.6596749999999998E-3</v>
      </c>
      <c r="W2694">
        <v>0.37899480000000002</v>
      </c>
      <c r="X2694">
        <v>0.92539159999999998</v>
      </c>
      <c r="Y2694">
        <v>0.1139105</v>
      </c>
      <c r="Z2694">
        <v>4.7367579999999998E-3</v>
      </c>
      <c r="AA2694">
        <v>0.99347969999999997</v>
      </c>
      <c r="AB2694">
        <v>30</v>
      </c>
      <c r="AC2694">
        <v>-0.72010000000000196</v>
      </c>
      <c r="AD2694">
        <v>-7.7152000000000096E-2</v>
      </c>
      <c r="AE2694">
        <v>0.113500000000044</v>
      </c>
      <c r="AF2694">
        <v>0.10288037271603501</v>
      </c>
      <c r="AG2694">
        <v>-7.7152000000000096E-2</v>
      </c>
      <c r="AH2694">
        <v>0.71353633254443705</v>
      </c>
      <c r="AI2694">
        <v>96.108518581147393</v>
      </c>
      <c r="AJ2694">
        <v>81.795420464962106</v>
      </c>
      <c r="AK2694">
        <v>0.72503165451941098</v>
      </c>
      <c r="AL2694">
        <v>67.728568612610601</v>
      </c>
      <c r="AM2694">
        <v>90.226588223574296</v>
      </c>
      <c r="AN2694">
        <v>1.0000000324993501</v>
      </c>
    </row>
    <row r="2695" spans="1:40" x14ac:dyDescent="0.25">
      <c r="A2695" t="str">
        <f>"20190304164905658"</f>
        <v>20190304164905658</v>
      </c>
      <c r="B2695" t="str">
        <f>"1551689345648988"</f>
        <v>1551689345648988</v>
      </c>
      <c r="C2695" t="s">
        <v>40</v>
      </c>
      <c r="D2695">
        <v>4.0347819999999999</v>
      </c>
      <c r="E2695">
        <v>0.56558730000000002</v>
      </c>
      <c r="F2695" t="s">
        <v>41</v>
      </c>
      <c r="G2695">
        <v>-409.38380000000001</v>
      </c>
      <c r="H2695">
        <v>1.026573</v>
      </c>
      <c r="I2695">
        <v>284.62729999999999</v>
      </c>
      <c r="J2695">
        <v>-408.7013</v>
      </c>
      <c r="K2695">
        <v>1.110757</v>
      </c>
      <c r="L2695">
        <v>284.50459999999998</v>
      </c>
      <c r="M2695">
        <v>-0.99980800000000003</v>
      </c>
      <c r="N2695">
        <v>-1.426763E-2</v>
      </c>
      <c r="O2695">
        <v>1.3437930000000001E-2</v>
      </c>
      <c r="P2695">
        <v>-0.93050999999999995</v>
      </c>
      <c r="Q2695">
        <v>0.36614350000000001</v>
      </c>
      <c r="R2695">
        <v>9.4864010000000002E-3</v>
      </c>
      <c r="S2695">
        <v>-3.3315429999999999</v>
      </c>
      <c r="T2695">
        <v>-0.28478930000000002</v>
      </c>
      <c r="U2695">
        <v>0.42849730000000003</v>
      </c>
      <c r="V2695">
        <v>-2.7982950000000001E-3</v>
      </c>
      <c r="W2695">
        <v>0.37938490000000002</v>
      </c>
      <c r="X2695">
        <v>0.92523469999999997</v>
      </c>
      <c r="Y2695">
        <v>0.11378249999999999</v>
      </c>
      <c r="Z2695">
        <v>4.7003779999999998E-3</v>
      </c>
      <c r="AA2695">
        <v>0.99349460000000001</v>
      </c>
      <c r="AB2695">
        <v>30</v>
      </c>
      <c r="AC2695">
        <v>-0.68250000000000399</v>
      </c>
      <c r="AD2695">
        <v>-8.4183999999999995E-2</v>
      </c>
      <c r="AE2695">
        <v>0.122700000000008</v>
      </c>
      <c r="AF2695">
        <v>0.11186788785471</v>
      </c>
      <c r="AG2695">
        <v>-8.4183999999999995E-2</v>
      </c>
      <c r="AH2695">
        <v>0.67415170445394201</v>
      </c>
      <c r="AI2695">
        <v>97.022851991394205</v>
      </c>
      <c r="AJ2695">
        <v>80.578262196816496</v>
      </c>
      <c r="AK2695">
        <v>0.68853604902519805</v>
      </c>
      <c r="AL2695">
        <v>67.704412642575903</v>
      </c>
      <c r="AM2695">
        <v>90.173285766824904</v>
      </c>
      <c r="AN2695">
        <v>0.99999999144350304</v>
      </c>
    </row>
    <row r="2696" spans="1:40" x14ac:dyDescent="0.25">
      <c r="A2696" t="str">
        <f>"20190304164905671"</f>
        <v>20190304164905671</v>
      </c>
      <c r="B2696" t="str">
        <f>"1551689345658749"</f>
        <v>1551689345658749</v>
      </c>
      <c r="C2696" t="s">
        <v>40</v>
      </c>
      <c r="D2696">
        <v>3.985735</v>
      </c>
      <c r="E2696">
        <v>0.56537910000000002</v>
      </c>
      <c r="F2696" t="s">
        <v>41</v>
      </c>
      <c r="G2696">
        <v>-409.65390000000002</v>
      </c>
      <c r="H2696">
        <v>1.029763</v>
      </c>
      <c r="I2696">
        <v>284.62700000000001</v>
      </c>
      <c r="J2696">
        <v>-408.87290000000002</v>
      </c>
      <c r="K2696">
        <v>1.110746</v>
      </c>
      <c r="L2696">
        <v>284.50709999999998</v>
      </c>
      <c r="M2696">
        <v>-0.99980550000000001</v>
      </c>
      <c r="N2696">
        <v>-1.4265750000000001E-2</v>
      </c>
      <c r="O2696">
        <v>1.3619600000000001E-2</v>
      </c>
      <c r="P2696">
        <v>-0.93049249999999994</v>
      </c>
      <c r="Q2696">
        <v>0.36616890000000002</v>
      </c>
      <c r="R2696">
        <v>1.0202549999999999E-2</v>
      </c>
      <c r="S2696">
        <v>-3.3311459999999999</v>
      </c>
      <c r="T2696">
        <v>-0.28335110000000002</v>
      </c>
      <c r="U2696">
        <v>0.427948</v>
      </c>
      <c r="V2696">
        <v>-2.2419279999999998E-3</v>
      </c>
      <c r="W2696">
        <v>0.37940829999999998</v>
      </c>
      <c r="X2696">
        <v>0.92522660000000001</v>
      </c>
      <c r="Y2696">
        <v>0.11346150000000001</v>
      </c>
      <c r="Z2696">
        <v>4.6534619999999997E-3</v>
      </c>
      <c r="AA2696">
        <v>0.99353150000000001</v>
      </c>
      <c r="AB2696">
        <v>30</v>
      </c>
      <c r="AC2696">
        <v>-0.78100000000000502</v>
      </c>
      <c r="AD2696">
        <v>-8.0982999999999999E-2</v>
      </c>
      <c r="AE2696">
        <v>0.119900000000029</v>
      </c>
      <c r="AF2696">
        <v>0.108115208408956</v>
      </c>
      <c r="AG2696">
        <v>-8.0982999999999999E-2</v>
      </c>
      <c r="AH2696">
        <v>0.77442587261501805</v>
      </c>
      <c r="AI2696">
        <v>95.912886355924002</v>
      </c>
      <c r="AJ2696">
        <v>82.052479856483899</v>
      </c>
      <c r="AK2696">
        <v>0.78611867854277895</v>
      </c>
      <c r="AL2696">
        <v>67.702963144103805</v>
      </c>
      <c r="AM2696">
        <v>90.138833839159204</v>
      </c>
      <c r="AN2696">
        <v>0.99999997284880304</v>
      </c>
    </row>
    <row r="2697" spans="1:40" x14ac:dyDescent="0.25">
      <c r="A2697" t="str">
        <f>"20190304164905685"</f>
        <v>20190304164905685</v>
      </c>
      <c r="B2697" t="str">
        <f>"1551689345678268"</f>
        <v>1551689345678268</v>
      </c>
      <c r="C2697" t="s">
        <v>40</v>
      </c>
      <c r="D2697">
        <v>3.9665170000000001</v>
      </c>
      <c r="E2697">
        <v>0.56496409999999997</v>
      </c>
      <c r="F2697" t="s">
        <v>41</v>
      </c>
      <c r="G2697">
        <v>-409.66149999999999</v>
      </c>
      <c r="H2697">
        <v>1.0437000000000001</v>
      </c>
      <c r="I2697">
        <v>284.60860000000002</v>
      </c>
      <c r="J2697">
        <v>-409.06270000000001</v>
      </c>
      <c r="K2697">
        <v>1.110741</v>
      </c>
      <c r="L2697">
        <v>284.50990000000002</v>
      </c>
      <c r="M2697">
        <v>-0.99980259999999999</v>
      </c>
      <c r="N2697">
        <v>-1.4263690000000001E-2</v>
      </c>
      <c r="O2697">
        <v>1.382567E-2</v>
      </c>
      <c r="P2697">
        <v>-0.93043790000000004</v>
      </c>
      <c r="Q2697">
        <v>0.36628100000000002</v>
      </c>
      <c r="R2697">
        <v>1.1103210000000001E-2</v>
      </c>
      <c r="S2697">
        <v>-3.3309630000000001</v>
      </c>
      <c r="T2697">
        <v>-0.2833425</v>
      </c>
      <c r="U2697">
        <v>0.42852780000000001</v>
      </c>
      <c r="V2697">
        <v>-1.5244950000000001E-3</v>
      </c>
      <c r="W2697">
        <v>0.3795172</v>
      </c>
      <c r="X2697">
        <v>0.92518339999999999</v>
      </c>
      <c r="Y2697">
        <v>0.1134344</v>
      </c>
      <c r="Z2697">
        <v>4.6375399999999999E-3</v>
      </c>
      <c r="AA2697">
        <v>0.99353469999999999</v>
      </c>
      <c r="AB2697">
        <v>30</v>
      </c>
      <c r="AC2697">
        <v>-0.59879999999998201</v>
      </c>
      <c r="AD2697">
        <v>-6.7040999999999906E-2</v>
      </c>
      <c r="AE2697">
        <v>9.8700000000008004E-2</v>
      </c>
      <c r="AF2697">
        <v>8.9320904805187104E-2</v>
      </c>
      <c r="AG2697">
        <v>-6.7040999999999906E-2</v>
      </c>
      <c r="AH2697">
        <v>0.59287251577795097</v>
      </c>
      <c r="AI2697">
        <v>96.3801059368068</v>
      </c>
      <c r="AJ2697">
        <v>81.432374741672106</v>
      </c>
      <c r="AK2697">
        <v>0.60329970966435398</v>
      </c>
      <c r="AL2697">
        <v>67.696219320193805</v>
      </c>
      <c r="AM2697">
        <v>90.094410524804999</v>
      </c>
      <c r="AN2697">
        <v>0.99999997640820204</v>
      </c>
    </row>
    <row r="2698" spans="1:40" x14ac:dyDescent="0.25">
      <c r="A2698" t="str">
        <f>"20190304164905703"</f>
        <v>20190304164905703</v>
      </c>
      <c r="B2698" t="str">
        <f>"1551689345698742"</f>
        <v>1551689345698742</v>
      </c>
      <c r="C2698" t="s">
        <v>40</v>
      </c>
      <c r="D2698">
        <v>3.9888669999999999</v>
      </c>
      <c r="E2698">
        <v>0.56458319999999995</v>
      </c>
      <c r="F2698" t="s">
        <v>41</v>
      </c>
      <c r="G2698">
        <v>-409.92610000000002</v>
      </c>
      <c r="H2698">
        <v>1.0375559999999999</v>
      </c>
      <c r="I2698">
        <v>284.62150000000003</v>
      </c>
      <c r="J2698">
        <v>-409.30860000000001</v>
      </c>
      <c r="K2698">
        <v>1.110738</v>
      </c>
      <c r="L2698">
        <v>284.5136</v>
      </c>
      <c r="M2698">
        <v>-0.99979899999999999</v>
      </c>
      <c r="N2698">
        <v>-1.4261080000000001E-2</v>
      </c>
      <c r="O2698">
        <v>1.4095989999999999E-2</v>
      </c>
      <c r="P2698">
        <v>-0.9301625</v>
      </c>
      <c r="Q2698">
        <v>0.36692829999999999</v>
      </c>
      <c r="R2698">
        <v>1.2698900000000001E-2</v>
      </c>
      <c r="S2698">
        <v>-3.3303530000000001</v>
      </c>
      <c r="T2698">
        <v>-0.28253590000000001</v>
      </c>
      <c r="U2698">
        <v>0.42880249999999998</v>
      </c>
      <c r="V2698">
        <v>-1.6963850000000001E-4</v>
      </c>
      <c r="W2698">
        <v>0.38015769999999999</v>
      </c>
      <c r="X2698">
        <v>0.92492169999999896</v>
      </c>
      <c r="Y2698">
        <v>0.1132729</v>
      </c>
      <c r="Z2698">
        <v>4.600781E-3</v>
      </c>
      <c r="AA2698">
        <v>0.99355329999999997</v>
      </c>
      <c r="AB2698">
        <v>30</v>
      </c>
      <c r="AC2698">
        <v>-0.61750000000000604</v>
      </c>
      <c r="AD2698">
        <v>-7.3181999999999997E-2</v>
      </c>
      <c r="AE2698">
        <v>0.107900000000029</v>
      </c>
      <c r="AF2698">
        <v>9.7850487849486995E-2</v>
      </c>
      <c r="AG2698">
        <v>-7.3181999999999997E-2</v>
      </c>
      <c r="AH2698">
        <v>0.61063720665531795</v>
      </c>
      <c r="AI2698">
        <v>96.748747098533798</v>
      </c>
      <c r="AJ2698">
        <v>80.896134531577502</v>
      </c>
      <c r="AK2698">
        <v>0.62274241966337296</v>
      </c>
      <c r="AL2698">
        <v>67.6565493697303</v>
      </c>
      <c r="AM2698">
        <v>90.010508532758905</v>
      </c>
      <c r="AN2698">
        <v>1.0000000283886901</v>
      </c>
    </row>
    <row r="2699" spans="1:40" x14ac:dyDescent="0.25">
      <c r="A2699" t="str">
        <f>"20190304164905716"</f>
        <v>20190304164905716</v>
      </c>
      <c r="B2699" t="str">
        <f>"1551689345708498"</f>
        <v>1551689345708498</v>
      </c>
      <c r="C2699" t="s">
        <v>40</v>
      </c>
      <c r="D2699">
        <v>4.0197969999999996</v>
      </c>
      <c r="E2699">
        <v>0.56437990000000005</v>
      </c>
      <c r="F2699" t="s">
        <v>41</v>
      </c>
      <c r="G2699">
        <v>-410.1934</v>
      </c>
      <c r="H2699">
        <v>1.0363119999999999</v>
      </c>
      <c r="I2699">
        <v>284.62810000000002</v>
      </c>
      <c r="J2699">
        <v>-409.47640000000001</v>
      </c>
      <c r="K2699">
        <v>1.1107359999999999</v>
      </c>
      <c r="L2699">
        <v>284.51609999999999</v>
      </c>
      <c r="M2699">
        <v>-0.99979629999999997</v>
      </c>
      <c r="N2699">
        <v>-1.4259310000000001E-2</v>
      </c>
      <c r="O2699">
        <v>1.4281490000000001E-2</v>
      </c>
      <c r="P2699">
        <v>-0.93011390000000005</v>
      </c>
      <c r="Q2699">
        <v>0.36702630000000003</v>
      </c>
      <c r="R2699">
        <v>1.34056E-2</v>
      </c>
      <c r="S2699">
        <v>-3.3298030000000001</v>
      </c>
      <c r="T2699">
        <v>-0.28004259999999997</v>
      </c>
      <c r="U2699">
        <v>0.4312744</v>
      </c>
      <c r="V2699">
        <v>3.686901E-4</v>
      </c>
      <c r="W2699">
        <v>0.38025350000000002</v>
      </c>
      <c r="X2699">
        <v>0.92488219999999999</v>
      </c>
      <c r="Y2699">
        <v>0.1138398</v>
      </c>
      <c r="Z2699">
        <v>4.5844179999999998E-3</v>
      </c>
      <c r="AA2699">
        <v>0.99348860000000005</v>
      </c>
      <c r="AB2699">
        <v>30</v>
      </c>
      <c r="AC2699">
        <v>-0.71699999999998398</v>
      </c>
      <c r="AD2699">
        <v>-7.4424000000000004E-2</v>
      </c>
      <c r="AE2699">
        <v>0.112000000000023</v>
      </c>
      <c r="AF2699">
        <v>0.10068869879338201</v>
      </c>
      <c r="AG2699">
        <v>-7.4424000000000004E-2</v>
      </c>
      <c r="AH2699">
        <v>0.71104801008964602</v>
      </c>
      <c r="AI2699">
        <v>95.916677669359999</v>
      </c>
      <c r="AJ2699">
        <v>81.940158711513504</v>
      </c>
      <c r="AK2699">
        <v>0.721987824338576</v>
      </c>
      <c r="AL2699">
        <v>67.650613429157403</v>
      </c>
      <c r="AM2699">
        <v>89.977159917706999</v>
      </c>
      <c r="AN2699">
        <v>0.99999997203573898</v>
      </c>
    </row>
    <row r="2700" spans="1:40" x14ac:dyDescent="0.25">
      <c r="A2700" t="str">
        <f>"20190304164905737"</f>
        <v>20190304164905737</v>
      </c>
      <c r="B2700" t="str">
        <f>"1551689345728994"</f>
        <v>1551689345728994</v>
      </c>
      <c r="C2700" t="s">
        <v>40</v>
      </c>
      <c r="D2700">
        <v>4.0431309999999998</v>
      </c>
      <c r="E2700">
        <v>0.56396359999999901</v>
      </c>
      <c r="F2700" t="s">
        <v>41</v>
      </c>
      <c r="G2700">
        <v>-410.45710000000003</v>
      </c>
      <c r="H2700">
        <v>1.02833</v>
      </c>
      <c r="I2700">
        <v>284.64370000000002</v>
      </c>
      <c r="J2700">
        <v>-409.76130000000001</v>
      </c>
      <c r="K2700">
        <v>1.110735</v>
      </c>
      <c r="L2700">
        <v>284.52050000000003</v>
      </c>
      <c r="M2700">
        <v>-0.99979169999999995</v>
      </c>
      <c r="N2700">
        <v>-1.4256309999999999E-2</v>
      </c>
      <c r="O2700">
        <v>1.4596380000000001E-2</v>
      </c>
      <c r="P2700">
        <v>-0.9301625</v>
      </c>
      <c r="Q2700">
        <v>0.36688090000000001</v>
      </c>
      <c r="R2700">
        <v>1.4001039999999999E-2</v>
      </c>
      <c r="S2700">
        <v>-3.3296199999999998</v>
      </c>
      <c r="T2700">
        <v>-0.27994869999999999</v>
      </c>
      <c r="U2700">
        <v>0.4319153</v>
      </c>
      <c r="V2700">
        <v>6.7358459999999995E-4</v>
      </c>
      <c r="W2700">
        <v>0.38010519999999998</v>
      </c>
      <c r="X2700">
        <v>0.92494299999999996</v>
      </c>
      <c r="Y2700">
        <v>0.1137234</v>
      </c>
      <c r="Z2700">
        <v>4.5556320000000004E-3</v>
      </c>
      <c r="AA2700">
        <v>0.993502</v>
      </c>
      <c r="AB2700">
        <v>30</v>
      </c>
      <c r="AC2700">
        <v>-0.69580000000001896</v>
      </c>
      <c r="AD2700">
        <v>-8.2405000000000006E-2</v>
      </c>
      <c r="AE2700">
        <v>0.12319999999999701</v>
      </c>
      <c r="AF2700">
        <v>0.111513124231857</v>
      </c>
      <c r="AG2700">
        <v>-8.2405000000000006E-2</v>
      </c>
      <c r="AH2700">
        <v>0.688165420946101</v>
      </c>
      <c r="AI2700">
        <v>96.741312698239398</v>
      </c>
      <c r="AJ2700">
        <v>80.795566510796803</v>
      </c>
      <c r="AK2700">
        <v>0.70199530446212699</v>
      </c>
      <c r="AL2700">
        <v>67.659800508419707</v>
      </c>
      <c r="AM2700">
        <v>89.958274674328607</v>
      </c>
      <c r="AN2700">
        <v>0.99999998501612597</v>
      </c>
    </row>
    <row r="2701" spans="1:40" x14ac:dyDescent="0.25">
      <c r="A2701" t="str">
        <f>"20190304164905759"</f>
        <v>20190304164905759</v>
      </c>
      <c r="B2701" t="str">
        <f>"1551689345748515"</f>
        <v>1551689345748515</v>
      </c>
      <c r="C2701" t="s">
        <v>40</v>
      </c>
      <c r="D2701">
        <v>3.9959889999999998</v>
      </c>
      <c r="E2701">
        <v>0.5636314</v>
      </c>
      <c r="F2701" t="s">
        <v>41</v>
      </c>
      <c r="G2701">
        <v>-410.7251</v>
      </c>
      <c r="H2701">
        <v>1.0295970000000001</v>
      </c>
      <c r="I2701">
        <v>284.64600000000002</v>
      </c>
      <c r="J2701">
        <v>-410.0521</v>
      </c>
      <c r="K2701">
        <v>1.1107309999999999</v>
      </c>
      <c r="L2701">
        <v>284.52510000000001</v>
      </c>
      <c r="M2701">
        <v>-0.99978719999999999</v>
      </c>
      <c r="N2701">
        <v>-1.425322E-2</v>
      </c>
      <c r="O2701">
        <v>1.491518E-2</v>
      </c>
      <c r="P2701">
        <v>-0.9300389</v>
      </c>
      <c r="Q2701">
        <v>0.36717539999999999</v>
      </c>
      <c r="R2701">
        <v>1.448557E-2</v>
      </c>
      <c r="S2701">
        <v>-3.3293149999999998</v>
      </c>
      <c r="T2701">
        <v>-0.2804294</v>
      </c>
      <c r="U2701">
        <v>0.432251</v>
      </c>
      <c r="V2701">
        <v>8.6488389999999997E-4</v>
      </c>
      <c r="W2701">
        <v>0.38039499999999998</v>
      </c>
      <c r="X2701">
        <v>0.92482370000000003</v>
      </c>
      <c r="Y2701">
        <v>0.11351700000000001</v>
      </c>
      <c r="Z2701">
        <v>4.5294819999999996E-3</v>
      </c>
      <c r="AA2701">
        <v>0.99352569999999996</v>
      </c>
      <c r="AB2701">
        <v>30</v>
      </c>
      <c r="AC2701">
        <v>-0.67300000000000104</v>
      </c>
      <c r="AD2701">
        <v>-8.1133999999999998E-2</v>
      </c>
      <c r="AE2701">
        <v>0.12089999999994901</v>
      </c>
      <c r="AF2701">
        <v>0.109308622239998</v>
      </c>
      <c r="AG2701">
        <v>-8.1133999999999998E-2</v>
      </c>
      <c r="AH2701">
        <v>0.665360725389884</v>
      </c>
      <c r="AI2701">
        <v>96.861236809423204</v>
      </c>
      <c r="AJ2701">
        <v>80.670514003102298</v>
      </c>
      <c r="AK2701">
        <v>0.67914357520583202</v>
      </c>
      <c r="AL2701">
        <v>67.641847756942894</v>
      </c>
      <c r="AM2701">
        <v>89.946417697997404</v>
      </c>
      <c r="AN2701">
        <v>0.99999999006542495</v>
      </c>
    </row>
    <row r="2702" spans="1:40" x14ac:dyDescent="0.25">
      <c r="A2702" t="str">
        <f>"20190304164905773"</f>
        <v>20190304164905773</v>
      </c>
      <c r="B2702" t="str">
        <f>"1551689345769010"</f>
        <v>1551689345769010</v>
      </c>
      <c r="C2702" t="s">
        <v>40</v>
      </c>
      <c r="D2702">
        <v>4.0076229999999997</v>
      </c>
      <c r="E2702">
        <v>0.56321849999999996</v>
      </c>
      <c r="F2702" t="s">
        <v>41</v>
      </c>
      <c r="G2702">
        <v>-410.99310000000003</v>
      </c>
      <c r="H2702">
        <v>1.0317750000000001</v>
      </c>
      <c r="I2702">
        <v>284.6474</v>
      </c>
      <c r="J2702">
        <v>-410.25069999999999</v>
      </c>
      <c r="K2702">
        <v>1.1107309999999999</v>
      </c>
      <c r="L2702">
        <v>284.5283</v>
      </c>
      <c r="M2702">
        <v>-0.99978409999999995</v>
      </c>
      <c r="N2702">
        <v>-1.4251089999999999E-2</v>
      </c>
      <c r="O2702">
        <v>1.513102E-2</v>
      </c>
      <c r="P2702">
        <v>-0.92994980000000005</v>
      </c>
      <c r="Q2702">
        <v>0.36740119999999998</v>
      </c>
      <c r="R2702">
        <v>1.449369E-2</v>
      </c>
      <c r="S2702">
        <v>-3.3292540000000002</v>
      </c>
      <c r="T2702">
        <v>-0.27943069999999998</v>
      </c>
      <c r="U2702">
        <v>0.4317627</v>
      </c>
      <c r="V2702">
        <v>6.7432039999999998E-4</v>
      </c>
      <c r="W2702">
        <v>0.3806176</v>
      </c>
      <c r="X2702">
        <v>0.92473229999999995</v>
      </c>
      <c r="Y2702">
        <v>0.11316619999999999</v>
      </c>
      <c r="Z2702">
        <v>4.4848889999999997E-3</v>
      </c>
      <c r="AA2702">
        <v>0.99356599999999995</v>
      </c>
      <c r="AB2702">
        <v>30</v>
      </c>
      <c r="AC2702">
        <v>-0.74240000000003104</v>
      </c>
      <c r="AD2702">
        <v>-7.8955999999999804E-2</v>
      </c>
      <c r="AE2702">
        <v>0.119100000000003</v>
      </c>
      <c r="AF2702">
        <v>0.106675638555093</v>
      </c>
      <c r="AG2702">
        <v>-7.8955999999999804E-2</v>
      </c>
      <c r="AH2702">
        <v>0.73600136995103604</v>
      </c>
      <c r="AI2702">
        <v>96.060254781456507</v>
      </c>
      <c r="AJ2702">
        <v>81.753010254977696</v>
      </c>
      <c r="AK2702">
        <v>0.74787148519444002</v>
      </c>
      <c r="AL2702">
        <v>67.628056991561706</v>
      </c>
      <c r="AM2702">
        <v>89.958219577588494</v>
      </c>
      <c r="AN2702">
        <v>1.0000000194005201</v>
      </c>
    </row>
    <row r="2703" spans="1:40" x14ac:dyDescent="0.25">
      <c r="A2703" t="str">
        <f>"20190304164905793"</f>
        <v>20190304164905793</v>
      </c>
      <c r="B2703" t="str">
        <f>"1551689345789128"</f>
        <v>1551689345789128</v>
      </c>
      <c r="C2703" t="s">
        <v>40</v>
      </c>
      <c r="D2703">
        <v>4.0358539999999996</v>
      </c>
      <c r="E2703">
        <v>0.56282140000000003</v>
      </c>
      <c r="F2703" t="s">
        <v>41</v>
      </c>
      <c r="G2703">
        <v>-411.00319999999999</v>
      </c>
      <c r="H2703">
        <v>1.047731</v>
      </c>
      <c r="I2703">
        <v>284.62540000000001</v>
      </c>
      <c r="J2703">
        <v>-410.50380000000001</v>
      </c>
      <c r="K2703">
        <v>1.1107309999999999</v>
      </c>
      <c r="L2703">
        <v>284.5324</v>
      </c>
      <c r="M2703">
        <v>-0.99977990000000005</v>
      </c>
      <c r="N2703">
        <v>-1.424838E-2</v>
      </c>
      <c r="O2703">
        <v>1.5404259999999999E-2</v>
      </c>
      <c r="P2703">
        <v>-0.92996270000000003</v>
      </c>
      <c r="Q2703">
        <v>0.36738500000000002</v>
      </c>
      <c r="R2703">
        <v>1.406635E-2</v>
      </c>
      <c r="S2703">
        <v>-3.3294679999999999</v>
      </c>
      <c r="T2703">
        <v>-0.27881860000000003</v>
      </c>
      <c r="U2703">
        <v>0.42834470000000002</v>
      </c>
      <c r="V2703" s="1">
        <v>-7.2233379999999997E-6</v>
      </c>
      <c r="W2703">
        <v>0.38059999999999999</v>
      </c>
      <c r="X2703">
        <v>0.9247398</v>
      </c>
      <c r="Y2703">
        <v>0.1118907</v>
      </c>
      <c r="Z2703">
        <v>4.3959999999999997E-3</v>
      </c>
      <c r="AA2703">
        <v>0.99371080000000001</v>
      </c>
      <c r="AB2703">
        <v>30</v>
      </c>
      <c r="AC2703">
        <v>-0.49939999999998003</v>
      </c>
      <c r="AD2703">
        <v>-6.2999999999999903E-2</v>
      </c>
      <c r="AE2703">
        <v>9.3000000000017694E-2</v>
      </c>
      <c r="AF2703">
        <v>8.4003259695726404E-2</v>
      </c>
      <c r="AG2703">
        <v>-6.2999999999999903E-2</v>
      </c>
      <c r="AH2703">
        <v>0.49318786119260999</v>
      </c>
      <c r="AI2703">
        <v>97.177293950207201</v>
      </c>
      <c r="AJ2703">
        <v>80.333740459657903</v>
      </c>
      <c r="AK2703">
        <v>0.50424182102166903</v>
      </c>
      <c r="AL2703">
        <v>67.629147694433698</v>
      </c>
      <c r="AM2703">
        <v>90.000447549441901</v>
      </c>
      <c r="AN2703">
        <v>1.0000000288780999</v>
      </c>
    </row>
    <row r="2704" spans="1:40" x14ac:dyDescent="0.25">
      <c r="A2704" t="str">
        <f>"20190304164905816"</f>
        <v>20190304164905816</v>
      </c>
      <c r="B2704" t="str">
        <f>"1551689345808648"</f>
        <v>1551689345808648</v>
      </c>
      <c r="C2704" t="s">
        <v>40</v>
      </c>
      <c r="D2704">
        <v>4.0345079999999998</v>
      </c>
      <c r="E2704">
        <v>0.56245970000000001</v>
      </c>
      <c r="F2704" t="s">
        <v>41</v>
      </c>
      <c r="G2704">
        <v>-411.26889999999997</v>
      </c>
      <c r="H2704">
        <v>1.0466169999999999</v>
      </c>
      <c r="I2704">
        <v>284.62990000000002</v>
      </c>
      <c r="J2704">
        <v>-410.80399999999997</v>
      </c>
      <c r="K2704">
        <v>1.110733</v>
      </c>
      <c r="L2704">
        <v>284.53739999999999</v>
      </c>
      <c r="M2704">
        <v>-0.99977499999999997</v>
      </c>
      <c r="N2704">
        <v>-1.4245290000000001E-2</v>
      </c>
      <c r="O2704">
        <v>1.5725889999999999E-2</v>
      </c>
      <c r="P2704">
        <v>-0.93002189999999996</v>
      </c>
      <c r="Q2704">
        <v>0.36724259999999997</v>
      </c>
      <c r="R2704">
        <v>1.387626E-2</v>
      </c>
      <c r="S2704">
        <v>-3.3298030000000001</v>
      </c>
      <c r="T2704">
        <v>-0.2790802</v>
      </c>
      <c r="U2704">
        <v>0.42419430000000002</v>
      </c>
      <c r="V2704">
        <v>-4.9770249999999999E-4</v>
      </c>
      <c r="W2704">
        <v>0.38045590000000001</v>
      </c>
      <c r="X2704">
        <v>0.92479900000000004</v>
      </c>
      <c r="Y2704">
        <v>0.110345899999999</v>
      </c>
      <c r="Z2704">
        <v>4.3011550000000001E-3</v>
      </c>
      <c r="AA2704">
        <v>0.99388399999999999</v>
      </c>
      <c r="AB2704">
        <v>30</v>
      </c>
      <c r="AC2704">
        <v>-0.46489999999994303</v>
      </c>
      <c r="AD2704">
        <v>-6.4116000000000006E-2</v>
      </c>
      <c r="AE2704">
        <v>9.2500000000029503E-2</v>
      </c>
      <c r="AF2704">
        <v>8.3646469249539196E-2</v>
      </c>
      <c r="AG2704">
        <v>-6.4116000000000006E-2</v>
      </c>
      <c r="AH2704">
        <v>0.45791927153759798</v>
      </c>
      <c r="AI2704">
        <v>97.842395756414206</v>
      </c>
      <c r="AJ2704">
        <v>79.648115884133901</v>
      </c>
      <c r="AK2704">
        <v>0.469891107086991</v>
      </c>
      <c r="AL2704">
        <v>67.638076523890902</v>
      </c>
      <c r="AM2704">
        <v>90.030835078703603</v>
      </c>
      <c r="AN2704">
        <v>1.0000000649767899</v>
      </c>
    </row>
    <row r="2705" spans="1:40" x14ac:dyDescent="0.25">
      <c r="A2705" t="str">
        <f>"20190304164905836"</f>
        <v>20190304164905836</v>
      </c>
      <c r="B2705" t="str">
        <f>"1551689345828168"</f>
        <v>1551689345828168</v>
      </c>
      <c r="C2705" t="s">
        <v>40</v>
      </c>
      <c r="D2705">
        <v>4.0029269999999997</v>
      </c>
      <c r="E2705">
        <v>0.56211880000000003</v>
      </c>
      <c r="F2705" t="s">
        <v>41</v>
      </c>
      <c r="G2705">
        <v>-411.7903</v>
      </c>
      <c r="H2705">
        <v>1.0278769999999999</v>
      </c>
      <c r="I2705">
        <v>284.6619</v>
      </c>
      <c r="J2705">
        <v>-411.0899</v>
      </c>
      <c r="K2705">
        <v>1.1107320000000001</v>
      </c>
      <c r="L2705">
        <v>284.54219999999998</v>
      </c>
      <c r="M2705">
        <v>-0.99977009999999999</v>
      </c>
      <c r="N2705">
        <v>-1.424223E-2</v>
      </c>
      <c r="O2705">
        <v>1.6032060000000001E-2</v>
      </c>
      <c r="P2705">
        <v>-0.93010839999999995</v>
      </c>
      <c r="Q2705">
        <v>0.36702820000000003</v>
      </c>
      <c r="R2705">
        <v>1.3730040000000001E-2</v>
      </c>
      <c r="S2705">
        <v>-3.3299560000000001</v>
      </c>
      <c r="T2705">
        <v>-0.2797925</v>
      </c>
      <c r="U2705">
        <v>0.42065429999999998</v>
      </c>
      <c r="V2705">
        <v>-9.3127230000000002E-4</v>
      </c>
      <c r="W2705">
        <v>0.38023970000000001</v>
      </c>
      <c r="X2705">
        <v>0.92488749999999997</v>
      </c>
      <c r="Y2705">
        <v>0.10900020000000001</v>
      </c>
      <c r="Z2705">
        <v>4.2222550000000003E-3</v>
      </c>
      <c r="AA2705">
        <v>0.99403269999999999</v>
      </c>
      <c r="AB2705">
        <v>30</v>
      </c>
      <c r="AC2705">
        <v>-0.70040000000000102</v>
      </c>
      <c r="AD2705">
        <v>-8.2854999999999901E-2</v>
      </c>
      <c r="AE2705">
        <v>0.119700000000023</v>
      </c>
      <c r="AF2705">
        <v>0.106999747186821</v>
      </c>
      <c r="AG2705">
        <v>-8.2854999999999901E-2</v>
      </c>
      <c r="AH2705">
        <v>0.69280909193859597</v>
      </c>
      <c r="AI2705">
        <v>96.740605482893997</v>
      </c>
      <c r="AJ2705">
        <v>81.220415860419095</v>
      </c>
      <c r="AK2705">
        <v>0.70590249666354499</v>
      </c>
      <c r="AL2705">
        <v>67.651468801176307</v>
      </c>
      <c r="AM2705">
        <v>90.057691291465204</v>
      </c>
      <c r="AN2705">
        <v>0.99999999219021796</v>
      </c>
    </row>
    <row r="2706" spans="1:40" x14ac:dyDescent="0.25">
      <c r="A2706" t="str">
        <f>"20190304164905849"</f>
        <v>20190304164905849</v>
      </c>
      <c r="B2706" t="str">
        <f>"1551689345838904"</f>
        <v>1551689345838904</v>
      </c>
      <c r="C2706" t="s">
        <v>40</v>
      </c>
      <c r="D2706">
        <v>3.9909680000000001</v>
      </c>
      <c r="E2706">
        <v>0.56195490000000003</v>
      </c>
      <c r="F2706" t="s">
        <v>41</v>
      </c>
      <c r="G2706">
        <v>-412.05669999999998</v>
      </c>
      <c r="H2706">
        <v>1.0291980000000001</v>
      </c>
      <c r="I2706">
        <v>284.66379999999998</v>
      </c>
      <c r="J2706">
        <v>-411.25670000000002</v>
      </c>
      <c r="K2706">
        <v>1.110733</v>
      </c>
      <c r="L2706">
        <v>284.54509999999999</v>
      </c>
      <c r="M2706">
        <v>-0.99976730000000003</v>
      </c>
      <c r="N2706">
        <v>-1.424045E-2</v>
      </c>
      <c r="O2706">
        <v>1.6210160000000001E-2</v>
      </c>
      <c r="P2706">
        <v>-0.93019289999999999</v>
      </c>
      <c r="Q2706">
        <v>0.36681320000000001</v>
      </c>
      <c r="R2706">
        <v>1.376869E-2</v>
      </c>
      <c r="S2706">
        <v>-3.3301699999999999</v>
      </c>
      <c r="T2706">
        <v>-0.28103240000000002</v>
      </c>
      <c r="U2706">
        <v>0.41796879999999997</v>
      </c>
      <c r="V2706">
        <v>-1.060152E-3</v>
      </c>
      <c r="W2706">
        <v>0.38002449999999999</v>
      </c>
      <c r="X2706">
        <v>0.92497580000000001</v>
      </c>
      <c r="Y2706">
        <v>0.1080272</v>
      </c>
      <c r="Z2706">
        <v>4.1760570000000004E-3</v>
      </c>
      <c r="AA2706">
        <v>0.99413910000000005</v>
      </c>
      <c r="AB2706">
        <v>30</v>
      </c>
      <c r="AC2706">
        <v>-0.79999999999995397</v>
      </c>
      <c r="AD2706">
        <v>-8.1534999999999899E-2</v>
      </c>
      <c r="AE2706">
        <v>0.11869999999998899</v>
      </c>
      <c r="AF2706">
        <v>0.104651316577642</v>
      </c>
      <c r="AG2706">
        <v>-8.1534999999999899E-2</v>
      </c>
      <c r="AH2706">
        <v>0.79375176853872198</v>
      </c>
      <c r="AI2706">
        <v>95.814938233514397</v>
      </c>
      <c r="AJ2706">
        <v>82.489221421665505</v>
      </c>
      <c r="AK2706">
        <v>0.80476190537623105</v>
      </c>
      <c r="AL2706">
        <v>67.664799454901996</v>
      </c>
      <c r="AM2706">
        <v>90.065668970630995</v>
      </c>
      <c r="AN2706">
        <v>0.99999998755407604</v>
      </c>
    </row>
    <row r="2707" spans="1:40" x14ac:dyDescent="0.25">
      <c r="A2707" t="str">
        <f>"20190304164905863"</f>
        <v>20190304164905863</v>
      </c>
      <c r="B2707" t="str">
        <f>"1551689345858424"</f>
        <v>1551689345858424</v>
      </c>
      <c r="C2707" t="s">
        <v>40</v>
      </c>
      <c r="D2707">
        <v>4.0078259999999997</v>
      </c>
      <c r="E2707">
        <v>0.5616601</v>
      </c>
      <c r="F2707" t="s">
        <v>41</v>
      </c>
      <c r="G2707">
        <v>-412.0634</v>
      </c>
      <c r="H2707">
        <v>1.0424639999999901</v>
      </c>
      <c r="I2707">
        <v>284.64640000000003</v>
      </c>
      <c r="J2707">
        <v>-411.42829999999998</v>
      </c>
      <c r="K2707">
        <v>1.1107309999999999</v>
      </c>
      <c r="L2707">
        <v>284.54809999999998</v>
      </c>
      <c r="M2707">
        <v>-0.99976430000000005</v>
      </c>
      <c r="N2707">
        <v>-1.4238580000000001E-2</v>
      </c>
      <c r="O2707">
        <v>1.639326E-2</v>
      </c>
      <c r="P2707">
        <v>-0.93023339999999999</v>
      </c>
      <c r="Q2707">
        <v>0.36670750000000002</v>
      </c>
      <c r="R2707">
        <v>1.384817E-2</v>
      </c>
      <c r="S2707">
        <v>-3.330139</v>
      </c>
      <c r="T2707">
        <v>-0.28194209999999997</v>
      </c>
      <c r="U2707">
        <v>0.41690060000000001</v>
      </c>
      <c r="V2707">
        <v>-1.152391E-3</v>
      </c>
      <c r="W2707">
        <v>0.37991780000000003</v>
      </c>
      <c r="X2707">
        <v>0.92501960000000005</v>
      </c>
      <c r="Y2707">
        <v>0.1075325</v>
      </c>
      <c r="Z2707">
        <v>4.1490659999999999E-3</v>
      </c>
      <c r="AA2707">
        <v>0.99419290000000005</v>
      </c>
      <c r="AB2707">
        <v>30</v>
      </c>
      <c r="AC2707">
        <v>-0.63510000000002198</v>
      </c>
      <c r="AD2707">
        <v>-6.8266999999999994E-2</v>
      </c>
      <c r="AE2707">
        <v>9.8300000000051499E-2</v>
      </c>
      <c r="AF2707">
        <v>8.6893879262721102E-2</v>
      </c>
      <c r="AG2707">
        <v>-6.8266999999999994E-2</v>
      </c>
      <c r="AH2707">
        <v>0.62952284102331102</v>
      </c>
      <c r="AI2707">
        <v>96.131424299443495</v>
      </c>
      <c r="AJ2707">
        <v>82.141047171157396</v>
      </c>
      <c r="AK2707">
        <v>0.639147820861799</v>
      </c>
      <c r="AL2707">
        <v>67.671410354294906</v>
      </c>
      <c r="AM2707">
        <v>90.071379143199096</v>
      </c>
      <c r="AN2707">
        <v>1.000000061573</v>
      </c>
    </row>
    <row r="2708" spans="1:40" x14ac:dyDescent="0.25">
      <c r="A2708" t="str">
        <f>"20190304164905875"</f>
        <v>20190304164905875</v>
      </c>
      <c r="B2708" t="str">
        <f>"1551689345868185"</f>
        <v>1551689345868185</v>
      </c>
      <c r="C2708" t="s">
        <v>40</v>
      </c>
      <c r="D2708">
        <v>3.9947560000000002</v>
      </c>
      <c r="E2708">
        <v>0.56152650000000004</v>
      </c>
      <c r="F2708" t="s">
        <v>41</v>
      </c>
      <c r="G2708">
        <v>-412.32490000000001</v>
      </c>
      <c r="H2708">
        <v>1.0347299999999999</v>
      </c>
      <c r="I2708">
        <v>284.65980000000002</v>
      </c>
      <c r="J2708">
        <v>-411.60610000000003</v>
      </c>
      <c r="K2708">
        <v>1.1107290000000001</v>
      </c>
      <c r="L2708">
        <v>284.55119999999999</v>
      </c>
      <c r="M2708">
        <v>-0.99976120000000002</v>
      </c>
      <c r="N2708">
        <v>-1.423663E-2</v>
      </c>
      <c r="O2708">
        <v>1.6582860000000001E-2</v>
      </c>
      <c r="P2708">
        <v>-0.9301857</v>
      </c>
      <c r="Q2708">
        <v>0.36682579999999998</v>
      </c>
      <c r="R2708">
        <v>1.390185E-2</v>
      </c>
      <c r="S2708">
        <v>-3.3302</v>
      </c>
      <c r="T2708">
        <v>-0.28248849999999998</v>
      </c>
      <c r="U2708">
        <v>0.41439819999999999</v>
      </c>
      <c r="V2708">
        <v>-1.2745040000000001E-3</v>
      </c>
      <c r="W2708">
        <v>0.38003379999999998</v>
      </c>
      <c r="X2708">
        <v>0.92497180000000001</v>
      </c>
      <c r="Y2708">
        <v>0.10660890000000001</v>
      </c>
      <c r="Z2708">
        <v>4.0962079999999996E-3</v>
      </c>
      <c r="AA2708">
        <v>0.99429259999999997</v>
      </c>
      <c r="AB2708">
        <v>30</v>
      </c>
      <c r="AC2708">
        <v>-0.718799999999987</v>
      </c>
      <c r="AD2708">
        <v>-7.5999000000000094E-2</v>
      </c>
      <c r="AE2708">
        <v>0.108600000000024</v>
      </c>
      <c r="AF2708">
        <v>9.5619035137871303E-2</v>
      </c>
      <c r="AG2708">
        <v>-7.5999000000000094E-2</v>
      </c>
      <c r="AH2708">
        <v>0.71271267827386797</v>
      </c>
      <c r="AI2708">
        <v>96.032996198703898</v>
      </c>
      <c r="AJ2708">
        <v>82.358705867591596</v>
      </c>
      <c r="AK2708">
        <v>0.72310318050331301</v>
      </c>
      <c r="AL2708">
        <v>67.664225375564499</v>
      </c>
      <c r="AM2708">
        <v>90.078946897580195</v>
      </c>
      <c r="AN2708">
        <v>1.0000000721490601</v>
      </c>
    </row>
    <row r="2709" spans="1:40" x14ac:dyDescent="0.25">
      <c r="A2709" t="str">
        <f>"20190304164905888"</f>
        <v>20190304164905888</v>
      </c>
      <c r="B2709" t="str">
        <f>"1551689345878921"</f>
        <v>1551689345878921</v>
      </c>
      <c r="C2709" t="s">
        <v>40</v>
      </c>
      <c r="D2709">
        <v>3.9784670000000002</v>
      </c>
      <c r="E2709">
        <v>0.56138500000000002</v>
      </c>
      <c r="F2709" t="s">
        <v>41</v>
      </c>
      <c r="G2709">
        <v>-412.5865</v>
      </c>
      <c r="H2709">
        <v>1.027784</v>
      </c>
      <c r="I2709">
        <v>284.67329999999998</v>
      </c>
      <c r="J2709">
        <v>-411.77800000000002</v>
      </c>
      <c r="K2709">
        <v>1.11073</v>
      </c>
      <c r="L2709">
        <v>284.55419999999998</v>
      </c>
      <c r="M2709">
        <v>-0.99975820000000004</v>
      </c>
      <c r="N2709">
        <v>-1.4234760000000001E-2</v>
      </c>
      <c r="O2709">
        <v>1.6766369999999999E-2</v>
      </c>
      <c r="P2709">
        <v>-0.93021169999999997</v>
      </c>
      <c r="Q2709">
        <v>0.36675530000000001</v>
      </c>
      <c r="R2709">
        <v>1.404421E-2</v>
      </c>
      <c r="S2709">
        <v>-3.3301699999999999</v>
      </c>
      <c r="T2709">
        <v>-0.28189039999999999</v>
      </c>
      <c r="U2709">
        <v>0.41409299999999999</v>
      </c>
      <c r="V2709">
        <v>-1.304099E-3</v>
      </c>
      <c r="W2709">
        <v>0.37996190000000002</v>
      </c>
      <c r="X2709">
        <v>0.92500119999999997</v>
      </c>
      <c r="Y2709">
        <v>0.1063408</v>
      </c>
      <c r="Z2709">
        <v>4.0635419999999998E-3</v>
      </c>
      <c r="AA2709">
        <v>0.99432140000000002</v>
      </c>
      <c r="AB2709">
        <v>30</v>
      </c>
      <c r="AC2709">
        <v>-0.80849999999998001</v>
      </c>
      <c r="AD2709">
        <v>-8.2945999999999895E-2</v>
      </c>
      <c r="AE2709">
        <v>0.119100000000003</v>
      </c>
      <c r="AF2709">
        <v>0.104450261397348</v>
      </c>
      <c r="AG2709">
        <v>-8.2945999999999895E-2</v>
      </c>
      <c r="AH2709">
        <v>0.80212023362976903</v>
      </c>
      <c r="AI2709">
        <v>95.854800158580403</v>
      </c>
      <c r="AJ2709">
        <v>82.580821553378101</v>
      </c>
      <c r="AK2709">
        <v>0.81313391592052597</v>
      </c>
      <c r="AL2709">
        <v>67.668676924805595</v>
      </c>
      <c r="AM2709">
        <v>90.080777537653304</v>
      </c>
      <c r="AN2709">
        <v>0.99999998306362503</v>
      </c>
    </row>
    <row r="2710" spans="1:40" x14ac:dyDescent="0.25">
      <c r="A2710" t="str">
        <f>"20190304164905900"</f>
        <v>20190304164905900</v>
      </c>
      <c r="B2710" t="str">
        <f>"1551689345888247"</f>
        <v>1551689345888247</v>
      </c>
      <c r="C2710" t="s">
        <v>40</v>
      </c>
      <c r="D2710">
        <v>3.970828</v>
      </c>
      <c r="E2710">
        <v>0.56126030000000005</v>
      </c>
      <c r="F2710" t="s">
        <v>41</v>
      </c>
      <c r="G2710">
        <v>-412.59350000000001</v>
      </c>
      <c r="H2710">
        <v>1.041636</v>
      </c>
      <c r="I2710">
        <v>284.65570000000002</v>
      </c>
      <c r="J2710">
        <v>-411.9332</v>
      </c>
      <c r="K2710">
        <v>1.11073</v>
      </c>
      <c r="L2710">
        <v>284.55700000000002</v>
      </c>
      <c r="M2710">
        <v>-0.99975530000000001</v>
      </c>
      <c r="N2710">
        <v>-1.423308E-2</v>
      </c>
      <c r="O2710">
        <v>1.693219E-2</v>
      </c>
      <c r="P2710">
        <v>-0.93016330000000003</v>
      </c>
      <c r="Q2710">
        <v>0.36687540000000002</v>
      </c>
      <c r="R2710">
        <v>1.4100100000000001E-2</v>
      </c>
      <c r="S2710">
        <v>-3.3301699999999999</v>
      </c>
      <c r="T2710">
        <v>-0.28230759999999899</v>
      </c>
      <c r="U2710">
        <v>0.41351320000000003</v>
      </c>
      <c r="V2710">
        <v>-1.4019460000000001E-3</v>
      </c>
      <c r="W2710">
        <v>0.38007960000000002</v>
      </c>
      <c r="X2710">
        <v>0.92495269999999996</v>
      </c>
      <c r="Y2710">
        <v>0.10600619999999999</v>
      </c>
      <c r="Z2710">
        <v>4.0398509999999997E-3</v>
      </c>
      <c r="AA2710">
        <v>0.9943573</v>
      </c>
      <c r="AB2710">
        <v>30</v>
      </c>
      <c r="AC2710">
        <v>-0.66030000000000599</v>
      </c>
      <c r="AD2710">
        <v>-6.9093999999999905E-2</v>
      </c>
      <c r="AE2710">
        <v>9.8700000000008004E-2</v>
      </c>
      <c r="AF2710">
        <v>8.6577123404514802E-2</v>
      </c>
      <c r="AG2710">
        <v>-6.9093999999999905E-2</v>
      </c>
      <c r="AH2710">
        <v>0.65486292507786803</v>
      </c>
      <c r="AI2710">
        <v>95.971363765564504</v>
      </c>
      <c r="AJ2710">
        <v>82.468802054228206</v>
      </c>
      <c r="AK2710">
        <v>0.66416491158035595</v>
      </c>
      <c r="AL2710">
        <v>67.661386237179101</v>
      </c>
      <c r="AM2710">
        <v>90.086842848714099</v>
      </c>
      <c r="AN2710">
        <v>0.99999998251301803</v>
      </c>
    </row>
    <row r="2711" spans="1:40" x14ac:dyDescent="0.25">
      <c r="A2711" t="str">
        <f>"20190304164905916"</f>
        <v>20190304164905916</v>
      </c>
      <c r="B2711" t="str">
        <f>"1551689345908746"</f>
        <v>1551689345908746</v>
      </c>
      <c r="C2711" t="s">
        <v>40</v>
      </c>
      <c r="D2711">
        <v>3.9815830000000001</v>
      </c>
      <c r="E2711">
        <v>0.56100779999999995</v>
      </c>
      <c r="F2711" t="s">
        <v>41</v>
      </c>
      <c r="G2711">
        <v>-412.85390000000001</v>
      </c>
      <c r="H2711">
        <v>1.032899</v>
      </c>
      <c r="I2711">
        <v>284.67140000000001</v>
      </c>
      <c r="J2711">
        <v>-412.13959999999997</v>
      </c>
      <c r="K2711">
        <v>1.1107279999999999</v>
      </c>
      <c r="L2711">
        <v>284.5607</v>
      </c>
      <c r="M2711">
        <v>-0.99975170000000002</v>
      </c>
      <c r="N2711">
        <v>-1.423086E-2</v>
      </c>
      <c r="O2711">
        <v>1.7152299999999999E-2</v>
      </c>
      <c r="P2711">
        <v>-0.92992620000000004</v>
      </c>
      <c r="Q2711">
        <v>0.36745670000000002</v>
      </c>
      <c r="R2711">
        <v>1.4599330000000001E-2</v>
      </c>
      <c r="S2711">
        <v>-3.3301090000000002</v>
      </c>
      <c r="T2711">
        <v>-0.28166720000000001</v>
      </c>
      <c r="U2711">
        <v>0.41296389999999999</v>
      </c>
      <c r="V2711">
        <v>-1.1039509999999999E-3</v>
      </c>
      <c r="W2711">
        <v>0.38065559999999998</v>
      </c>
      <c r="X2711">
        <v>0.92471619999999999</v>
      </c>
      <c r="Y2711">
        <v>0.10563160000000001</v>
      </c>
      <c r="Z2711">
        <v>3.9990800000000003E-3</v>
      </c>
      <c r="AA2711">
        <v>0.99439730000000004</v>
      </c>
      <c r="AB2711">
        <v>30</v>
      </c>
      <c r="AC2711">
        <v>-0.71430000000003602</v>
      </c>
      <c r="AD2711">
        <v>-7.7829000000000106E-2</v>
      </c>
      <c r="AE2711">
        <v>0.110700000000008</v>
      </c>
      <c r="AF2711">
        <v>9.7302508512413996E-2</v>
      </c>
      <c r="AG2711">
        <v>-7.7829000000000106E-2</v>
      </c>
      <c r="AH2711">
        <v>0.70788697034910897</v>
      </c>
      <c r="AI2711">
        <v>96.216228807083596</v>
      </c>
      <c r="AJ2711">
        <v>82.173461520106301</v>
      </c>
      <c r="AK2711">
        <v>0.71876915222750704</v>
      </c>
      <c r="AL2711">
        <v>67.625701530799304</v>
      </c>
      <c r="AM2711">
        <v>90.068401205732101</v>
      </c>
      <c r="AN2711">
        <v>0.99999997753080505</v>
      </c>
    </row>
    <row r="2712" spans="1:40" x14ac:dyDescent="0.25">
      <c r="A2712" t="str">
        <f>"20190304164905929"</f>
        <v>20190304164905929</v>
      </c>
      <c r="B2712" t="str">
        <f>"1551689345918503"</f>
        <v>1551689345918503</v>
      </c>
      <c r="C2712" t="s">
        <v>40</v>
      </c>
      <c r="D2712">
        <v>3.9432670000000001</v>
      </c>
      <c r="E2712">
        <v>0.56092299999999995</v>
      </c>
      <c r="F2712" t="s">
        <v>41</v>
      </c>
      <c r="G2712">
        <v>-413.11619999999999</v>
      </c>
      <c r="H2712">
        <v>1.028767</v>
      </c>
      <c r="I2712">
        <v>284.68200000000002</v>
      </c>
      <c r="J2712">
        <v>-412.31760000000003</v>
      </c>
      <c r="K2712">
        <v>1.1107320000000001</v>
      </c>
      <c r="L2712">
        <v>284.56400000000002</v>
      </c>
      <c r="M2712">
        <v>-0.99974830000000003</v>
      </c>
      <c r="N2712">
        <v>-1.4228960000000001E-2</v>
      </c>
      <c r="O2712">
        <v>1.73425E-2</v>
      </c>
      <c r="P2712">
        <v>-0.92986170000000001</v>
      </c>
      <c r="Q2712">
        <v>0.36760379999999998</v>
      </c>
      <c r="R2712">
        <v>1.4991290000000001E-2</v>
      </c>
      <c r="S2712">
        <v>-3.330139</v>
      </c>
      <c r="T2712">
        <v>-0.27965489999999998</v>
      </c>
      <c r="U2712">
        <v>0.41210940000000001</v>
      </c>
      <c r="V2712">
        <v>-8.8783539999999896E-4</v>
      </c>
      <c r="W2712">
        <v>0.38079970000000002</v>
      </c>
      <c r="X2712">
        <v>0.92465710000000001</v>
      </c>
      <c r="Y2712">
        <v>0.10519729999999999</v>
      </c>
      <c r="Z2712">
        <v>3.9431570000000001E-3</v>
      </c>
      <c r="AA2712">
        <v>0.99444350000000004</v>
      </c>
      <c r="AB2712">
        <v>30</v>
      </c>
      <c r="AC2712">
        <v>-0.79859999999996401</v>
      </c>
      <c r="AD2712">
        <v>-8.1964999999999996E-2</v>
      </c>
      <c r="AE2712">
        <v>0.117999999999994</v>
      </c>
      <c r="AF2712">
        <v>0.103068587661537</v>
      </c>
      <c r="AG2712">
        <v>-8.1964999999999996E-2</v>
      </c>
      <c r="AH2712">
        <v>0.79235803825155604</v>
      </c>
      <c r="AI2712">
        <v>95.856925781491199</v>
      </c>
      <c r="AJ2712">
        <v>82.588676138919197</v>
      </c>
      <c r="AK2712">
        <v>0.80322640380492905</v>
      </c>
      <c r="AL2712">
        <v>67.616772726086893</v>
      </c>
      <c r="AM2712">
        <v>90.055014129767102</v>
      </c>
      <c r="AN2712">
        <v>0.99999997617609804</v>
      </c>
    </row>
    <row r="2713" spans="1:40" x14ac:dyDescent="0.25">
      <c r="A2713" t="str">
        <f>"20190304164905949"</f>
        <v>20190304164905949</v>
      </c>
      <c r="B2713" t="str">
        <f>"1551689345938999"</f>
        <v>1551689345938999</v>
      </c>
      <c r="C2713" t="s">
        <v>40</v>
      </c>
      <c r="D2713">
        <v>4.0070199999999998</v>
      </c>
      <c r="E2713">
        <v>0.56074309999999905</v>
      </c>
      <c r="F2713" t="s">
        <v>41</v>
      </c>
      <c r="G2713">
        <v>-413.12369999999999</v>
      </c>
      <c r="H2713">
        <v>1.0431919999999999</v>
      </c>
      <c r="I2713">
        <v>284.66419999999999</v>
      </c>
      <c r="J2713">
        <v>-412.57690000000002</v>
      </c>
      <c r="K2713">
        <v>1.110738</v>
      </c>
      <c r="L2713">
        <v>284.56880000000001</v>
      </c>
      <c r="M2713">
        <v>-0.99974370000000001</v>
      </c>
      <c r="N2713">
        <v>-1.422618E-2</v>
      </c>
      <c r="O2713">
        <v>1.7619240000000001E-2</v>
      </c>
      <c r="P2713">
        <v>-0.92961320000000003</v>
      </c>
      <c r="Q2713">
        <v>0.3682029</v>
      </c>
      <c r="R2713">
        <v>1.568539E-2</v>
      </c>
      <c r="S2713">
        <v>-3.3300169999999998</v>
      </c>
      <c r="T2713">
        <v>-0.27920060000000002</v>
      </c>
      <c r="U2713">
        <v>0.41250609999999999</v>
      </c>
      <c r="V2713">
        <v>-4.4724530000000003E-4</v>
      </c>
      <c r="W2713">
        <v>0.38139269999999997</v>
      </c>
      <c r="X2713">
        <v>0.92441300000000004</v>
      </c>
      <c r="Y2713">
        <v>0.1050456</v>
      </c>
      <c r="Z2713">
        <v>3.9117300000000004E-3</v>
      </c>
      <c r="AA2713">
        <v>0.99445969999999995</v>
      </c>
      <c r="AB2713">
        <v>30</v>
      </c>
      <c r="AC2713">
        <v>-0.54679999999996198</v>
      </c>
      <c r="AD2713">
        <v>-6.7546000000000106E-2</v>
      </c>
      <c r="AE2713">
        <v>9.5399999999983706E-2</v>
      </c>
      <c r="AF2713">
        <v>8.4498690175777005E-2</v>
      </c>
      <c r="AG2713">
        <v>-6.7546000000000106E-2</v>
      </c>
      <c r="AH2713">
        <v>0.54039357083970796</v>
      </c>
      <c r="AI2713">
        <v>97.040012025235299</v>
      </c>
      <c r="AJ2713">
        <v>81.112903858462801</v>
      </c>
      <c r="AK2713">
        <v>0.55111496274580696</v>
      </c>
      <c r="AL2713">
        <v>67.580023425329301</v>
      </c>
      <c r="AM2713">
        <v>90.027720581707101</v>
      </c>
      <c r="AN2713">
        <v>0.99999999310532395</v>
      </c>
    </row>
    <row r="2714" spans="1:40" x14ac:dyDescent="0.25">
      <c r="A2714" t="str">
        <f>"20190304164905971"</f>
        <v>20190304164905971</v>
      </c>
      <c r="B2714" t="str">
        <f>"1551689345968279"</f>
        <v>1551689345968279</v>
      </c>
      <c r="C2714" t="s">
        <v>40</v>
      </c>
      <c r="D2714">
        <v>3.982329</v>
      </c>
      <c r="E2714">
        <v>0.56045900000000004</v>
      </c>
      <c r="F2714" t="s">
        <v>41</v>
      </c>
      <c r="G2714">
        <v>-413.3879</v>
      </c>
      <c r="H2714">
        <v>1.043258</v>
      </c>
      <c r="I2714">
        <v>284.6694</v>
      </c>
      <c r="J2714">
        <v>-412.86860000000001</v>
      </c>
      <c r="K2714">
        <v>1.110741</v>
      </c>
      <c r="L2714">
        <v>284.57429999999999</v>
      </c>
      <c r="M2714">
        <v>-0.99973820000000002</v>
      </c>
      <c r="N2714">
        <v>-1.4223039999999999E-2</v>
      </c>
      <c r="O2714">
        <v>1.793084E-2</v>
      </c>
      <c r="P2714">
        <v>-0.92934410000000001</v>
      </c>
      <c r="Q2714">
        <v>0.3688689</v>
      </c>
      <c r="R2714">
        <v>1.5989980000000001E-2</v>
      </c>
      <c r="S2714">
        <v>-3.3300169999999998</v>
      </c>
      <c r="T2714">
        <v>-0.2771865</v>
      </c>
      <c r="U2714">
        <v>0.41275020000000001</v>
      </c>
      <c r="V2714">
        <v>-4.2772479999999999E-4</v>
      </c>
      <c r="W2714">
        <v>0.38205210000000001</v>
      </c>
      <c r="X2714">
        <v>0.92414070000000004</v>
      </c>
      <c r="Y2714">
        <v>0.104814</v>
      </c>
      <c r="Z2714">
        <v>3.857952E-3</v>
      </c>
      <c r="AA2714">
        <v>0.99448440000000005</v>
      </c>
      <c r="AB2714">
        <v>30</v>
      </c>
      <c r="AC2714">
        <v>-0.51929999999998699</v>
      </c>
      <c r="AD2714">
        <v>-6.7482999999999904E-2</v>
      </c>
      <c r="AE2714">
        <v>9.51000000000021E-2</v>
      </c>
      <c r="AF2714">
        <v>8.4393376436889295E-2</v>
      </c>
      <c r="AG2714">
        <v>-6.7482999999999904E-2</v>
      </c>
      <c r="AH2714">
        <v>0.51254736700341397</v>
      </c>
      <c r="AI2714">
        <v>97.401993841809499</v>
      </c>
      <c r="AJ2714">
        <v>80.649871120501501</v>
      </c>
      <c r="AK2714">
        <v>0.52381389891597097</v>
      </c>
      <c r="AL2714">
        <v>67.539147767955697</v>
      </c>
      <c r="AM2714">
        <v>90.026518498842293</v>
      </c>
      <c r="AN2714">
        <v>1.0000000117297001</v>
      </c>
    </row>
    <row r="2715" spans="1:40" x14ac:dyDescent="0.25">
      <c r="A2715" t="str">
        <f>"20190304164905987"</f>
        <v>20190304164905987</v>
      </c>
      <c r="B2715" t="str">
        <f>"1551689345979015"</f>
        <v>1551689345979015</v>
      </c>
      <c r="C2715" t="s">
        <v>40</v>
      </c>
      <c r="D2715">
        <v>3.91682</v>
      </c>
      <c r="E2715">
        <v>0.56038909999999997</v>
      </c>
      <c r="F2715" t="s">
        <v>41</v>
      </c>
      <c r="G2715">
        <v>-413.6542</v>
      </c>
      <c r="H2715">
        <v>1.0460389999999999</v>
      </c>
      <c r="I2715">
        <v>284.6721</v>
      </c>
      <c r="J2715">
        <v>-413.07859999999999</v>
      </c>
      <c r="K2715">
        <v>1.110746</v>
      </c>
      <c r="L2715">
        <v>284.57830000000001</v>
      </c>
      <c r="M2715">
        <v>-0.99973400000000001</v>
      </c>
      <c r="N2715">
        <v>-1.4220770000000001E-2</v>
      </c>
      <c r="O2715">
        <v>1.8155310000000001E-2</v>
      </c>
      <c r="P2715">
        <v>-0.92925409999999997</v>
      </c>
      <c r="Q2715">
        <v>0.36907640000000003</v>
      </c>
      <c r="R2715">
        <v>1.6422220000000001E-2</v>
      </c>
      <c r="S2715">
        <v>-3.3299259999999999</v>
      </c>
      <c r="T2715">
        <v>-0.27453090000000002</v>
      </c>
      <c r="U2715">
        <v>0.41229250000000001</v>
      </c>
      <c r="V2715">
        <v>-2.0296689999999999E-4</v>
      </c>
      <c r="W2715">
        <v>0.3822565</v>
      </c>
      <c r="X2715">
        <v>0.92405619999999999</v>
      </c>
      <c r="Y2715">
        <v>0.1044677</v>
      </c>
      <c r="Z2715">
        <v>3.798727E-3</v>
      </c>
      <c r="AA2715">
        <v>0.99452099999999999</v>
      </c>
      <c r="AB2715">
        <v>30</v>
      </c>
      <c r="AC2715">
        <v>-0.57560000000000799</v>
      </c>
      <c r="AD2715">
        <v>-6.4707000000000001E-2</v>
      </c>
      <c r="AE2715">
        <v>9.3799999999987393E-2</v>
      </c>
      <c r="AF2715">
        <v>8.2319878044957495E-2</v>
      </c>
      <c r="AG2715">
        <v>-6.4707000000000001E-2</v>
      </c>
      <c r="AH2715">
        <v>0.570188897880756</v>
      </c>
      <c r="AI2715">
        <v>96.408540962613003</v>
      </c>
      <c r="AJ2715">
        <v>81.784800960496796</v>
      </c>
      <c r="AK2715">
        <v>0.57972315585700696</v>
      </c>
      <c r="AL2715">
        <v>67.526473535369206</v>
      </c>
      <c r="AM2715">
        <v>90.012584891009695</v>
      </c>
      <c r="AN2715">
        <v>0.99999996687312498</v>
      </c>
    </row>
    <row r="2716" spans="1:40" x14ac:dyDescent="0.25">
      <c r="A2716" t="str">
        <f>"20190304164905999"</f>
        <v>20190304164905999</v>
      </c>
      <c r="B2716" t="str">
        <f>"1551689345989158"</f>
        <v>1551689345989158</v>
      </c>
      <c r="C2716" t="s">
        <v>40</v>
      </c>
      <c r="D2716">
        <v>4.0105500000000003</v>
      </c>
      <c r="E2716">
        <v>0.56028650000000002</v>
      </c>
      <c r="F2716" t="s">
        <v>41</v>
      </c>
      <c r="G2716">
        <v>-413.9144</v>
      </c>
      <c r="H2716">
        <v>1.042057</v>
      </c>
      <c r="I2716">
        <v>284.68220000000002</v>
      </c>
      <c r="J2716">
        <v>-413.2405</v>
      </c>
      <c r="K2716">
        <v>1.1107479999999901</v>
      </c>
      <c r="L2716">
        <v>284.58139999999997</v>
      </c>
      <c r="M2716">
        <v>-0.99973080000000003</v>
      </c>
      <c r="N2716">
        <v>-1.4219020000000001E-2</v>
      </c>
      <c r="O2716">
        <v>1.8328219999999999E-2</v>
      </c>
      <c r="P2716">
        <v>-0.92925990000000003</v>
      </c>
      <c r="Q2716">
        <v>0.36904870000000001</v>
      </c>
      <c r="R2716">
        <v>1.6704509999999999E-2</v>
      </c>
      <c r="S2716">
        <v>-3.3298339999999902</v>
      </c>
      <c r="T2716">
        <v>-0.27371570000000001</v>
      </c>
      <c r="U2716">
        <v>0.41333009999999898</v>
      </c>
      <c r="V2716" s="1">
        <v>-8.2222739999999997E-5</v>
      </c>
      <c r="W2716">
        <v>0.38222699999999998</v>
      </c>
      <c r="X2716">
        <v>0.92406849999999996</v>
      </c>
      <c r="Y2716">
        <v>0.10460609999999999</v>
      </c>
      <c r="Z2716">
        <v>3.7853280000000001E-3</v>
      </c>
      <c r="AA2716">
        <v>0.99450649999999996</v>
      </c>
      <c r="AB2716">
        <v>30</v>
      </c>
      <c r="AC2716">
        <v>-0.67390000000000305</v>
      </c>
      <c r="AD2716">
        <v>-6.8690999999999794E-2</v>
      </c>
      <c r="AE2716">
        <v>0.100800000000049</v>
      </c>
      <c r="AF2716">
        <v>8.7540796276404403E-2</v>
      </c>
      <c r="AG2716">
        <v>-6.8690999999999794E-2</v>
      </c>
      <c r="AH2716">
        <v>0.66883740976514805</v>
      </c>
      <c r="AI2716">
        <v>95.814588371529197</v>
      </c>
      <c r="AJ2716">
        <v>82.543228460571001</v>
      </c>
      <c r="AK2716">
        <v>0.67803047512265902</v>
      </c>
      <c r="AL2716">
        <v>67.528304381374596</v>
      </c>
      <c r="AM2716">
        <v>90.005098124186205</v>
      </c>
      <c r="AN2716">
        <v>1.0000000394909101</v>
      </c>
    </row>
    <row r="2717" spans="1:40" x14ac:dyDescent="0.25">
      <c r="A2717" t="str">
        <f>"20190304164906013"</f>
        <v>20190304164906013</v>
      </c>
      <c r="B2717" t="str">
        <f>"1551689346008679"</f>
        <v>1551689346008679</v>
      </c>
      <c r="C2717" t="s">
        <v>40</v>
      </c>
      <c r="D2717">
        <v>3.9904139999999999</v>
      </c>
      <c r="E2717">
        <v>0.56008990000000003</v>
      </c>
      <c r="F2717" t="s">
        <v>41</v>
      </c>
      <c r="G2717">
        <v>-414.17349999999999</v>
      </c>
      <c r="H2717">
        <v>1.0340640000000001</v>
      </c>
      <c r="I2717">
        <v>284.6977</v>
      </c>
      <c r="J2717">
        <v>-413.42329999999998</v>
      </c>
      <c r="K2717">
        <v>1.110749</v>
      </c>
      <c r="L2717">
        <v>284.58499999999998</v>
      </c>
      <c r="M2717">
        <v>-0.99972740000000004</v>
      </c>
      <c r="N2717">
        <v>-1.421705E-2</v>
      </c>
      <c r="O2717">
        <v>1.852264E-2</v>
      </c>
      <c r="P2717">
        <v>-0.9292842</v>
      </c>
      <c r="Q2717">
        <v>0.36896839999999997</v>
      </c>
      <c r="R2717">
        <v>1.712108E-2</v>
      </c>
      <c r="S2717">
        <v>-3.329742</v>
      </c>
      <c r="T2717">
        <v>-0.2738756</v>
      </c>
      <c r="U2717">
        <v>0.41345209999999999</v>
      </c>
      <c r="V2717">
        <v>1.5203100000000001E-4</v>
      </c>
      <c r="W2717">
        <v>0.38214500000000001</v>
      </c>
      <c r="X2717">
        <v>0.92410239999999999</v>
      </c>
      <c r="Y2717">
        <v>0.10445260000000001</v>
      </c>
      <c r="Z2717">
        <v>3.7663620000000001E-3</v>
      </c>
      <c r="AA2717">
        <v>0.99452280000000004</v>
      </c>
      <c r="AB2717">
        <v>29</v>
      </c>
      <c r="AC2717">
        <v>-0.75020000000000597</v>
      </c>
      <c r="AD2717">
        <v>-7.66850000000001E-2</v>
      </c>
      <c r="AE2717">
        <v>0.11270000000001799</v>
      </c>
      <c r="AF2717">
        <v>9.7784392211719695E-2</v>
      </c>
      <c r="AG2717">
        <v>-7.66850000000001E-2</v>
      </c>
      <c r="AH2717">
        <v>0.74455100989032696</v>
      </c>
      <c r="AI2717">
        <v>95.830720658506493</v>
      </c>
      <c r="AJ2717">
        <v>82.517973967915694</v>
      </c>
      <c r="AK2717">
        <v>0.75485004001716904</v>
      </c>
      <c r="AL2717">
        <v>67.533388493033897</v>
      </c>
      <c r="AM2717">
        <v>89.990573842707704</v>
      </c>
      <c r="AN2717">
        <v>1.0000000349120901</v>
      </c>
    </row>
    <row r="2718" spans="1:40" x14ac:dyDescent="0.25">
      <c r="A2718" t="str">
        <f>"20190304164906026"</f>
        <v>20190304164906026</v>
      </c>
      <c r="B2718" t="str">
        <f>"1551689346018438"</f>
        <v>1551689346018438</v>
      </c>
      <c r="C2718" t="s">
        <v>40</v>
      </c>
      <c r="D2718">
        <v>3.9617420000000001</v>
      </c>
      <c r="E2718">
        <v>0.56002489999999905</v>
      </c>
      <c r="F2718" t="s">
        <v>41</v>
      </c>
      <c r="G2718">
        <v>-414.18270000000001</v>
      </c>
      <c r="H2718">
        <v>1.0481830000000001</v>
      </c>
      <c r="I2718">
        <v>284.67950000000002</v>
      </c>
      <c r="J2718">
        <v>-413.59949999999998</v>
      </c>
      <c r="K2718">
        <v>1.1107479999999901</v>
      </c>
      <c r="L2718">
        <v>284.58839999999998</v>
      </c>
      <c r="M2718">
        <v>-0.99972399999999995</v>
      </c>
      <c r="N2718">
        <v>-1.4215240000000001E-2</v>
      </c>
      <c r="O2718">
        <v>1.870745E-2</v>
      </c>
      <c r="P2718">
        <v>-0.92930740000000001</v>
      </c>
      <c r="Q2718">
        <v>0.36887730000000002</v>
      </c>
      <c r="R2718">
        <v>1.7814920000000001E-2</v>
      </c>
      <c r="S2718">
        <v>-3.3296809999999999</v>
      </c>
      <c r="T2718">
        <v>-0.274591799999999</v>
      </c>
      <c r="U2718">
        <v>0.41287230000000003</v>
      </c>
      <c r="V2718">
        <v>6.7191940000000002E-4</v>
      </c>
      <c r="W2718">
        <v>0.38205250000000002</v>
      </c>
      <c r="X2718">
        <v>0.92414039999999997</v>
      </c>
      <c r="Y2718">
        <v>0.1041005</v>
      </c>
      <c r="Z2718">
        <v>3.7440110000000002E-3</v>
      </c>
      <c r="AA2718">
        <v>0.99455979999999999</v>
      </c>
      <c r="AB2718">
        <v>29</v>
      </c>
      <c r="AC2718">
        <v>-0.58320000000003303</v>
      </c>
      <c r="AD2718">
        <v>-6.2564999999999704E-2</v>
      </c>
      <c r="AE2718">
        <v>9.1100000000039899E-2</v>
      </c>
      <c r="AF2718">
        <v>7.9282064518167494E-2</v>
      </c>
      <c r="AG2718">
        <v>-6.2564999999999704E-2</v>
      </c>
      <c r="AH2718">
        <v>0.57830530562906901</v>
      </c>
      <c r="AI2718">
        <v>96.117847700667198</v>
      </c>
      <c r="AJ2718">
        <v>82.193767154463103</v>
      </c>
      <c r="AK2718">
        <v>0.58705796263912002</v>
      </c>
      <c r="AL2718">
        <v>67.539123201498995</v>
      </c>
      <c r="AM2718">
        <v>89.958341677293703</v>
      </c>
      <c r="AN2718">
        <v>1.0000000215720399</v>
      </c>
    </row>
    <row r="2719" spans="1:40" x14ac:dyDescent="0.25">
      <c r="A2719" t="str">
        <f>"20190304164906039"</f>
        <v>20190304164906039</v>
      </c>
      <c r="B2719" t="str">
        <f>"1551689346029175"</f>
        <v>1551689346029175</v>
      </c>
      <c r="C2719" t="s">
        <v>40</v>
      </c>
      <c r="D2719">
        <v>3.9510999999999998</v>
      </c>
      <c r="E2719">
        <v>0.55995280000000003</v>
      </c>
      <c r="F2719" t="s">
        <v>41</v>
      </c>
      <c r="G2719">
        <v>-414.4402</v>
      </c>
      <c r="H2719">
        <v>1.0413220000000001</v>
      </c>
      <c r="I2719">
        <v>284.69310000000002</v>
      </c>
      <c r="J2719">
        <v>-413.76870000000002</v>
      </c>
      <c r="K2719">
        <v>1.110749</v>
      </c>
      <c r="L2719">
        <v>284.59179999999998</v>
      </c>
      <c r="M2719">
        <v>-0.99972070000000002</v>
      </c>
      <c r="N2719">
        <v>-1.4213480000000001E-2</v>
      </c>
      <c r="O2719">
        <v>1.8882949999999999E-2</v>
      </c>
      <c r="P2719">
        <v>-0.92929669999999998</v>
      </c>
      <c r="Q2719">
        <v>0.36887569999999997</v>
      </c>
      <c r="R2719">
        <v>1.8401810000000001E-2</v>
      </c>
      <c r="S2719">
        <v>-3.3294069999999998</v>
      </c>
      <c r="T2719">
        <v>-0.27505669999999999</v>
      </c>
      <c r="U2719">
        <v>0.41403200000000001</v>
      </c>
      <c r="V2719">
        <v>1.093721E-3</v>
      </c>
      <c r="W2719">
        <v>0.38204900000000003</v>
      </c>
      <c r="X2719">
        <v>0.9241414</v>
      </c>
      <c r="Y2719">
        <v>0.1042757</v>
      </c>
      <c r="Z2719">
        <v>3.7452050000000001E-3</v>
      </c>
      <c r="AA2719">
        <v>0.99454140000000002</v>
      </c>
      <c r="AB2719">
        <v>29</v>
      </c>
      <c r="AC2719">
        <v>-0.67149999999998</v>
      </c>
      <c r="AD2719">
        <v>-6.94270000000001E-2</v>
      </c>
      <c r="AE2719">
        <v>0.101300000000037</v>
      </c>
      <c r="AF2719">
        <v>8.7684292479413201E-2</v>
      </c>
      <c r="AG2719">
        <v>-6.94270000000001E-2</v>
      </c>
      <c r="AH2719">
        <v>0.66632893222466905</v>
      </c>
      <c r="AI2719">
        <v>95.897887874639395</v>
      </c>
      <c r="AJ2719">
        <v>82.503345050105295</v>
      </c>
      <c r="AK2719">
        <v>0.67564997550231798</v>
      </c>
      <c r="AL2719">
        <v>67.539339234628201</v>
      </c>
      <c r="AM2719">
        <v>89.9321904981133</v>
      </c>
      <c r="AN2719">
        <v>0.99999998091029196</v>
      </c>
    </row>
    <row r="2720" spans="1:40" x14ac:dyDescent="0.25">
      <c r="A2720" t="str">
        <f>"20190304164906053"</f>
        <v>20190304164906053</v>
      </c>
      <c r="B2720" t="str">
        <f>"1551689346048694"</f>
        <v>1551689346048694</v>
      </c>
      <c r="C2720" t="s">
        <v>40</v>
      </c>
      <c r="D2720">
        <v>3.979498</v>
      </c>
      <c r="E2720">
        <v>0.55978530000000004</v>
      </c>
      <c r="F2720" t="s">
        <v>41</v>
      </c>
      <c r="G2720">
        <v>-414.69889999999998</v>
      </c>
      <c r="H2720">
        <v>1.033898</v>
      </c>
      <c r="I2720">
        <v>284.70819999999998</v>
      </c>
      <c r="J2720">
        <v>-413.94799999999998</v>
      </c>
      <c r="K2720">
        <v>1.110752</v>
      </c>
      <c r="L2720">
        <v>284.59530000000001</v>
      </c>
      <c r="M2720">
        <v>-0.99971730000000003</v>
      </c>
      <c r="N2720">
        <v>-1.421153E-2</v>
      </c>
      <c r="O2720">
        <v>1.9065039999999998E-2</v>
      </c>
      <c r="P2720">
        <v>-0.92943940000000003</v>
      </c>
      <c r="Q2720">
        <v>0.3685042</v>
      </c>
      <c r="R2720">
        <v>1.8637500000000001E-2</v>
      </c>
      <c r="S2720">
        <v>-3.329224</v>
      </c>
      <c r="T2720">
        <v>-0.27514889999999997</v>
      </c>
      <c r="U2720">
        <v>0.41552729999999999</v>
      </c>
      <c r="V2720">
        <v>1.1537470000000001E-3</v>
      </c>
      <c r="W2720">
        <v>0.38167790000000001</v>
      </c>
      <c r="X2720">
        <v>0.92429470000000002</v>
      </c>
      <c r="Y2720">
        <v>0.1045402</v>
      </c>
      <c r="Z2720">
        <v>3.7464529999999998E-3</v>
      </c>
      <c r="AA2720">
        <v>0.9945136</v>
      </c>
      <c r="AB2720">
        <v>29</v>
      </c>
      <c r="AC2720">
        <v>-0.75089999999994395</v>
      </c>
      <c r="AD2720">
        <v>-7.6853999999999895E-2</v>
      </c>
      <c r="AE2720">
        <v>0.112899999999967</v>
      </c>
      <c r="AF2720">
        <v>9.7562681213179903E-2</v>
      </c>
      <c r="AG2720">
        <v>-7.6853999999999895E-2</v>
      </c>
      <c r="AH2720">
        <v>0.74528164919403705</v>
      </c>
      <c r="AI2720">
        <v>95.838111151126</v>
      </c>
      <c r="AJ2720">
        <v>82.541982905706604</v>
      </c>
      <c r="AK2720">
        <v>0.75555923044251705</v>
      </c>
      <c r="AL2720">
        <v>67.562346072734599</v>
      </c>
      <c r="AM2720">
        <v>89.928480819599102</v>
      </c>
      <c r="AN2720">
        <v>1.0000000214643101</v>
      </c>
    </row>
    <row r="2721" spans="1:40" x14ac:dyDescent="0.25">
      <c r="A2721" t="str">
        <f>"20190304164906066"</f>
        <v>20190304164906066</v>
      </c>
      <c r="B2721" t="str">
        <f>"1551689346058454"</f>
        <v>1551689346058454</v>
      </c>
      <c r="C2721" t="s">
        <v>40</v>
      </c>
      <c r="D2721">
        <v>4.0263350000000004</v>
      </c>
      <c r="E2721">
        <v>0.55969009999999997</v>
      </c>
      <c r="F2721" t="s">
        <v>41</v>
      </c>
      <c r="G2721">
        <v>-414.70769999999999</v>
      </c>
      <c r="H2721">
        <v>1.0476970000000001</v>
      </c>
      <c r="I2721">
        <v>284.69040000000001</v>
      </c>
      <c r="J2721">
        <v>-414.12</v>
      </c>
      <c r="K2721">
        <v>1.1107579999999999</v>
      </c>
      <c r="L2721">
        <v>284.59879999999998</v>
      </c>
      <c r="M2721">
        <v>-0.99971399999999999</v>
      </c>
      <c r="N2721">
        <v>-1.4209640000000001E-2</v>
      </c>
      <c r="O2721">
        <v>1.9235260000000001E-2</v>
      </c>
      <c r="P2721">
        <v>-0.92945310000000003</v>
      </c>
      <c r="Q2721">
        <v>0.36846449999999997</v>
      </c>
      <c r="R2721">
        <v>1.87371E-2</v>
      </c>
      <c r="S2721">
        <v>-3.3290410000000001</v>
      </c>
      <c r="T2721">
        <v>-0.27642099999999997</v>
      </c>
      <c r="U2721">
        <v>0.41513060000000002</v>
      </c>
      <c r="V2721">
        <v>1.0901190000000001E-3</v>
      </c>
      <c r="W2721">
        <v>0.38163649999999999</v>
      </c>
      <c r="X2721">
        <v>0.92431189999999996</v>
      </c>
      <c r="Y2721">
        <v>0.1042594</v>
      </c>
      <c r="Z2721">
        <v>3.7338290000000001E-3</v>
      </c>
      <c r="AA2721">
        <v>0.99454310000000001</v>
      </c>
      <c r="AB2721">
        <v>29</v>
      </c>
      <c r="AC2721">
        <v>-0.58769999999998301</v>
      </c>
      <c r="AD2721">
        <v>-6.3061000000000006E-2</v>
      </c>
      <c r="AE2721">
        <v>9.1600000000028103E-2</v>
      </c>
      <c r="AF2721">
        <v>7.93850170580815E-2</v>
      </c>
      <c r="AG2721">
        <v>-6.3061000000000006E-2</v>
      </c>
      <c r="AH2721">
        <v>0.582802374555765</v>
      </c>
      <c r="AI2721">
        <v>96.119478089462504</v>
      </c>
      <c r="AJ2721">
        <v>82.243330853343707</v>
      </c>
      <c r="AK2721">
        <v>0.59155496654338902</v>
      </c>
      <c r="AL2721">
        <v>67.564912992663807</v>
      </c>
      <c r="AM2721">
        <v>89.932426284993298</v>
      </c>
      <c r="AN2721">
        <v>1.00000004748664</v>
      </c>
    </row>
    <row r="2722" spans="1:40" x14ac:dyDescent="0.25">
      <c r="A2722" t="str">
        <f>"20190304164906083"</f>
        <v>20190304164906083</v>
      </c>
      <c r="B2722" t="str">
        <f>"1551689346078950"</f>
        <v>1551689346078950</v>
      </c>
      <c r="C2722" t="s">
        <v>40</v>
      </c>
      <c r="D2722">
        <v>3.984524</v>
      </c>
      <c r="E2722">
        <v>0.55952950000000001</v>
      </c>
      <c r="F2722" t="s">
        <v>41</v>
      </c>
      <c r="G2722">
        <v>-414.96460000000002</v>
      </c>
      <c r="H2722">
        <v>1.0406530000000001</v>
      </c>
      <c r="I2722">
        <v>284.70429999999999</v>
      </c>
      <c r="J2722">
        <v>-414.33769999999998</v>
      </c>
      <c r="K2722">
        <v>1.1107659999999999</v>
      </c>
      <c r="L2722">
        <v>284.60320000000002</v>
      </c>
      <c r="M2722">
        <v>-0.99970999999999999</v>
      </c>
      <c r="N2722">
        <v>-1.4207259999999999E-2</v>
      </c>
      <c r="O2722">
        <v>1.944566E-2</v>
      </c>
      <c r="P2722">
        <v>-0.92938509999999996</v>
      </c>
      <c r="Q2722">
        <v>0.36862309999999998</v>
      </c>
      <c r="R2722">
        <v>1.8984669999999999E-2</v>
      </c>
      <c r="S2722">
        <v>-3.3288880000000001</v>
      </c>
      <c r="T2722">
        <v>-0.2764182</v>
      </c>
      <c r="U2722">
        <v>0.41522219999999999</v>
      </c>
      <c r="V2722">
        <v>1.1363429999999999E-3</v>
      </c>
      <c r="W2722">
        <v>0.38179200000000002</v>
      </c>
      <c r="X2722">
        <v>0.92424759999999995</v>
      </c>
      <c r="Y2722">
        <v>0.1040838</v>
      </c>
      <c r="Z2722">
        <v>3.7108620000000001E-3</v>
      </c>
      <c r="AA2722">
        <v>0.99456160000000005</v>
      </c>
      <c r="AB2722">
        <v>29</v>
      </c>
      <c r="AC2722">
        <v>-0.62690000000003399</v>
      </c>
      <c r="AD2722">
        <v>-7.01129999999998E-2</v>
      </c>
      <c r="AE2722">
        <v>0.101099999999974</v>
      </c>
      <c r="AF2722">
        <v>8.7818543545502697E-2</v>
      </c>
      <c r="AG2722">
        <v>-7.01129999999998E-2</v>
      </c>
      <c r="AH2722">
        <v>0.62117466976226399</v>
      </c>
      <c r="AI2722">
        <v>96.376930730213203</v>
      </c>
      <c r="AJ2722">
        <v>81.953139275418394</v>
      </c>
      <c r="AK2722">
        <v>0.63125739576951601</v>
      </c>
      <c r="AL2722">
        <v>67.555273060770901</v>
      </c>
      <c r="AM2722">
        <v>89.929556078724701</v>
      </c>
      <c r="AN2722">
        <v>1.00000002432258</v>
      </c>
    </row>
    <row r="2723" spans="1:40" x14ac:dyDescent="0.25">
      <c r="A2723" t="str">
        <f>"20190304164906096"</f>
        <v>20190304164906096</v>
      </c>
      <c r="B2723" t="str">
        <f>"1551689346088346"</f>
        <v>1551689346088346</v>
      </c>
      <c r="C2723" t="s">
        <v>40</v>
      </c>
      <c r="D2723">
        <v>3.999984</v>
      </c>
      <c r="E2723">
        <v>0.55954899999999996</v>
      </c>
      <c r="F2723" t="s">
        <v>41</v>
      </c>
      <c r="G2723">
        <v>-415.22489999999999</v>
      </c>
      <c r="H2723">
        <v>1.03729</v>
      </c>
      <c r="I2723">
        <v>284.714</v>
      </c>
      <c r="J2723">
        <v>-414.50450000000001</v>
      </c>
      <c r="K2723">
        <v>1.1107750000000001</v>
      </c>
      <c r="L2723">
        <v>284.60660000000001</v>
      </c>
      <c r="M2723">
        <v>-0.99970689999999995</v>
      </c>
      <c r="N2723">
        <v>-1.420544E-2</v>
      </c>
      <c r="O2723">
        <v>1.9602970000000001E-2</v>
      </c>
      <c r="P2723">
        <v>-0.92943180000000003</v>
      </c>
      <c r="Q2723">
        <v>0.3685001</v>
      </c>
      <c r="R2723">
        <v>1.9084159999999999E-2</v>
      </c>
      <c r="S2723">
        <v>-3.3288880000000001</v>
      </c>
      <c r="T2723">
        <v>-0.27587349999999999</v>
      </c>
      <c r="U2723">
        <v>0.41461179999999997</v>
      </c>
      <c r="V2723">
        <v>1.0823569999999999E-3</v>
      </c>
      <c r="W2723">
        <v>0.38166820000000001</v>
      </c>
      <c r="X2723">
        <v>0.92429879999999998</v>
      </c>
      <c r="Y2723">
        <v>0.1037507</v>
      </c>
      <c r="Z2723">
        <v>3.6786280000000002E-3</v>
      </c>
      <c r="AA2723">
        <v>0.99459649999999999</v>
      </c>
      <c r="AB2723">
        <v>29</v>
      </c>
      <c r="AC2723">
        <v>-0.72039999999998305</v>
      </c>
      <c r="AD2723">
        <v>-7.3484999999999995E-2</v>
      </c>
      <c r="AE2723">
        <v>0.10739999999998399</v>
      </c>
      <c r="AF2723">
        <v>9.23162703379381E-2</v>
      </c>
      <c r="AG2723">
        <v>-7.3484999999999995E-2</v>
      </c>
      <c r="AH2723">
        <v>0.71508826469164599</v>
      </c>
      <c r="AI2723">
        <v>95.819363725659599</v>
      </c>
      <c r="AJ2723">
        <v>82.643930947433006</v>
      </c>
      <c r="AK2723">
        <v>0.72475759071141699</v>
      </c>
      <c r="AL2723">
        <v>67.562947539963204</v>
      </c>
      <c r="AM2723">
        <v>89.932906480371102</v>
      </c>
      <c r="AN2723">
        <v>1.00000002903467</v>
      </c>
    </row>
    <row r="2724" spans="1:40" x14ac:dyDescent="0.25">
      <c r="A2724" t="str">
        <f>"20190304164906108"</f>
        <v>20190304164906108</v>
      </c>
      <c r="B2724" t="str">
        <f>"1551689346099082"</f>
        <v>1551689346099082</v>
      </c>
      <c r="C2724" t="s">
        <v>40</v>
      </c>
      <c r="D2724">
        <v>4.2779730000000002</v>
      </c>
      <c r="E2724">
        <v>0.55954899999999996</v>
      </c>
      <c r="F2724" t="s">
        <v>41</v>
      </c>
      <c r="G2724">
        <v>-415.48250000000002</v>
      </c>
      <c r="H2724">
        <v>1.0295479999999999</v>
      </c>
      <c r="I2724">
        <v>284.72859999999997</v>
      </c>
      <c r="J2724">
        <v>-414.67869999999999</v>
      </c>
      <c r="K2724">
        <v>1.1107830000000001</v>
      </c>
      <c r="L2724">
        <v>284.61020000000002</v>
      </c>
      <c r="M2724">
        <v>-0.99970400000000004</v>
      </c>
      <c r="N2724">
        <v>-1.4203530000000001E-2</v>
      </c>
      <c r="O2724">
        <v>1.9758129999999999E-2</v>
      </c>
      <c r="P2724">
        <v>-0.92943339999999997</v>
      </c>
      <c r="Q2724">
        <v>0.36848069999999999</v>
      </c>
      <c r="R2724">
        <v>1.9387689999999999E-2</v>
      </c>
      <c r="S2724">
        <v>-3.3288269999999902</v>
      </c>
      <c r="T2724">
        <v>-0.27649000000000001</v>
      </c>
      <c r="U2724">
        <v>0.41528320000000002</v>
      </c>
      <c r="V2724">
        <v>1.2348260000000001E-3</v>
      </c>
      <c r="W2724">
        <v>0.38164710000000002</v>
      </c>
      <c r="X2724">
        <v>0.92430730000000005</v>
      </c>
      <c r="Y2724">
        <v>0.10379480000000001</v>
      </c>
      <c r="Z2724">
        <v>3.6759689999999999E-3</v>
      </c>
      <c r="AA2724">
        <v>0.99459200000000003</v>
      </c>
      <c r="AB2724">
        <v>29</v>
      </c>
      <c r="AC2724">
        <v>-0.80380000000002305</v>
      </c>
      <c r="AD2724">
        <v>-8.1235000000000099E-2</v>
      </c>
      <c r="AE2724">
        <v>0.118399999999951</v>
      </c>
      <c r="AF2724">
        <v>0.101479213000393</v>
      </c>
      <c r="AG2724">
        <v>-8.1235000000000099E-2</v>
      </c>
      <c r="AH2724">
        <v>0.798005029456756</v>
      </c>
      <c r="AI2724">
        <v>95.766428839036095</v>
      </c>
      <c r="AJ2724">
        <v>82.752815566753995</v>
      </c>
      <c r="AK2724">
        <v>0.80852284008212005</v>
      </c>
      <c r="AL2724">
        <v>67.564255020326101</v>
      </c>
      <c r="AM2724">
        <v>89.923455893789395</v>
      </c>
      <c r="AN2724">
        <v>1.00000000928347</v>
      </c>
    </row>
    <row r="2725" spans="1:40" x14ac:dyDescent="0.25">
      <c r="A2725" t="str">
        <f>"20190304164906128"</f>
        <v>20190304164906128</v>
      </c>
      <c r="B2725" t="str">
        <f>"1551689346118602"</f>
        <v>1551689346118602</v>
      </c>
      <c r="C2725" t="s">
        <v>40</v>
      </c>
      <c r="D2725">
        <v>4.1280640000000002</v>
      </c>
      <c r="E2725">
        <v>0.58012129999999995</v>
      </c>
      <c r="F2725" t="s">
        <v>41</v>
      </c>
      <c r="G2725">
        <v>-415.4898</v>
      </c>
      <c r="H2725">
        <v>1.04339</v>
      </c>
      <c r="I2725">
        <v>284.7115</v>
      </c>
      <c r="J2725">
        <v>-414.92380000000003</v>
      </c>
      <c r="K2725">
        <v>1.1107929999999999</v>
      </c>
      <c r="L2725">
        <v>284.61529999999999</v>
      </c>
      <c r="M2725">
        <v>-0.99969980000000003</v>
      </c>
      <c r="N2725">
        <v>-1.420073E-2</v>
      </c>
      <c r="O2725">
        <v>1.9967220000000001E-2</v>
      </c>
      <c r="P2725">
        <v>-0.92945690000000003</v>
      </c>
      <c r="Q2725">
        <v>0.36840270000000003</v>
      </c>
      <c r="R2725">
        <v>1.97307E-2</v>
      </c>
      <c r="S2725">
        <v>-3.328735</v>
      </c>
      <c r="T2725">
        <v>-0.27661449999999999</v>
      </c>
      <c r="U2725">
        <v>0.41610720000000001</v>
      </c>
      <c r="V2725">
        <v>1.3726280000000001E-3</v>
      </c>
      <c r="W2725">
        <v>0.38156689999999999</v>
      </c>
      <c r="X2725">
        <v>0.92434019999999995</v>
      </c>
      <c r="Y2725">
        <v>0.1038326</v>
      </c>
      <c r="Z2725">
        <v>3.6645229999999998E-3</v>
      </c>
      <c r="AA2725">
        <v>0.99458800000000003</v>
      </c>
      <c r="AB2725">
        <v>29</v>
      </c>
      <c r="AC2725">
        <v>-0.56599999999997397</v>
      </c>
      <c r="AD2725">
        <v>-6.7402999999999796E-2</v>
      </c>
      <c r="AE2725">
        <v>9.6200000000010194E-2</v>
      </c>
      <c r="AF2725">
        <v>8.3724223765056005E-2</v>
      </c>
      <c r="AG2725">
        <v>-6.7402999999999796E-2</v>
      </c>
      <c r="AH2725">
        <v>0.56008823662216001</v>
      </c>
      <c r="AI2725">
        <v>96.787476042037895</v>
      </c>
      <c r="AJ2725">
        <v>81.4981512526345</v>
      </c>
      <c r="AK2725">
        <v>0.57030846290106996</v>
      </c>
      <c r="AL2725">
        <v>67.569225994550095</v>
      </c>
      <c r="AM2725">
        <v>89.914916895930205</v>
      </c>
      <c r="AN2725">
        <v>0.99999999430963804</v>
      </c>
    </row>
    <row r="2726" spans="1:40" x14ac:dyDescent="0.25">
      <c r="A2726" t="str">
        <f>"20190304164906149"</f>
        <v>20190304164906149</v>
      </c>
      <c r="B2726" t="str">
        <f>"1551689346138121"</f>
        <v>1551689346138121</v>
      </c>
      <c r="C2726" t="s">
        <v>40</v>
      </c>
      <c r="D2726">
        <v>4.1258359999999996</v>
      </c>
      <c r="E2726">
        <v>0.58250059999999904</v>
      </c>
      <c r="F2726" t="s">
        <v>41</v>
      </c>
      <c r="G2726">
        <v>-415.74740000000003</v>
      </c>
      <c r="H2726">
        <v>1.035744</v>
      </c>
      <c r="I2726">
        <v>284.75889999999998</v>
      </c>
      <c r="J2726">
        <v>-415.21190000000001</v>
      </c>
      <c r="K2726">
        <v>1.110808</v>
      </c>
      <c r="L2726">
        <v>284.62130000000002</v>
      </c>
      <c r="M2726">
        <v>-0.99969540000000001</v>
      </c>
      <c r="N2726">
        <v>-1.41975E-2</v>
      </c>
      <c r="O2726">
        <v>2.0193780000000001E-2</v>
      </c>
      <c r="P2726">
        <v>-0.92933670000000002</v>
      </c>
      <c r="Q2726">
        <v>0.36867670000000002</v>
      </c>
      <c r="R2726">
        <v>2.0271819999999999E-2</v>
      </c>
      <c r="S2726">
        <v>-3.3359990000000002</v>
      </c>
      <c r="T2726">
        <v>-0.30420950000000002</v>
      </c>
      <c r="U2726">
        <v>0.57952879999999996</v>
      </c>
      <c r="V2726">
        <v>1.691234E-3</v>
      </c>
      <c r="W2726">
        <v>0.38183620000000001</v>
      </c>
      <c r="X2726">
        <v>0.92422850000000001</v>
      </c>
      <c r="Y2726">
        <v>0.1505785</v>
      </c>
      <c r="Z2726">
        <v>6.341246E-3</v>
      </c>
      <c r="AA2726">
        <v>0.9885777</v>
      </c>
      <c r="AB2726">
        <v>29</v>
      </c>
      <c r="AC2726">
        <v>-0.53550000000001297</v>
      </c>
      <c r="AD2726">
        <v>-7.5064000000000006E-2</v>
      </c>
      <c r="AE2726">
        <v>0.137599999999963</v>
      </c>
      <c r="AF2726">
        <v>0.124462955355494</v>
      </c>
      <c r="AG2726">
        <v>-7.5064000000000006E-2</v>
      </c>
      <c r="AH2726">
        <v>0.52842962047488296</v>
      </c>
      <c r="AI2726">
        <v>97.8722348336902</v>
      </c>
      <c r="AJ2726">
        <v>76.746476741807498</v>
      </c>
      <c r="AK2726">
        <v>0.54805428120493005</v>
      </c>
      <c r="AL2726">
        <v>67.552533180970201</v>
      </c>
      <c r="AM2726">
        <v>89.895155297404798</v>
      </c>
      <c r="AN2726">
        <v>1.0000000320575599</v>
      </c>
    </row>
    <row r="2727" spans="1:40" x14ac:dyDescent="0.25">
      <c r="A2727" t="str">
        <f>"20190304164906172"</f>
        <v>20190304164906172</v>
      </c>
      <c r="B2727" t="str">
        <f>"1551689346168378"</f>
        <v>1551689346168378</v>
      </c>
      <c r="C2727" t="s">
        <v>40</v>
      </c>
      <c r="D2727">
        <v>4.1389570000000004</v>
      </c>
      <c r="E2727">
        <v>0.58391349999999997</v>
      </c>
      <c r="F2727" t="s">
        <v>41</v>
      </c>
      <c r="G2727">
        <v>-416.00839999999999</v>
      </c>
      <c r="H2727">
        <v>1.0359389999999999</v>
      </c>
      <c r="I2727">
        <v>284.76409999999998</v>
      </c>
      <c r="J2727">
        <v>-415.50209999999998</v>
      </c>
      <c r="K2727">
        <v>1.11083</v>
      </c>
      <c r="L2727">
        <v>284.62740000000002</v>
      </c>
      <c r="M2727">
        <v>-0.99969140000000001</v>
      </c>
      <c r="N2727">
        <v>-1.419432E-2</v>
      </c>
      <c r="O2727">
        <v>2.03962E-2</v>
      </c>
      <c r="P2727">
        <v>-0.92921940000000003</v>
      </c>
      <c r="Q2727">
        <v>0.3689479</v>
      </c>
      <c r="R2727">
        <v>2.0716749999999999E-2</v>
      </c>
      <c r="S2727">
        <v>-3.3395389999999998</v>
      </c>
      <c r="T2727">
        <v>-0.31386039999999998</v>
      </c>
      <c r="U2727">
        <v>0.59906009999999998</v>
      </c>
      <c r="V2727">
        <v>1.933251E-3</v>
      </c>
      <c r="W2727">
        <v>0.38210280000000002</v>
      </c>
      <c r="X2727">
        <v>0.92411779999999999</v>
      </c>
      <c r="Y2727">
        <v>0.1557461</v>
      </c>
      <c r="Z2727">
        <v>6.7522809999999997E-3</v>
      </c>
      <c r="AA2727">
        <v>0.98777400000000004</v>
      </c>
      <c r="AB2727">
        <v>29</v>
      </c>
      <c r="AC2727">
        <v>-0.50630000000000996</v>
      </c>
      <c r="AD2727">
        <v>-7.4890999999999999E-2</v>
      </c>
      <c r="AE2727">
        <v>0.13669999999996199</v>
      </c>
      <c r="AF2727">
        <v>0.123818864537422</v>
      </c>
      <c r="AG2727">
        <v>-7.4890999999999999E-2</v>
      </c>
      <c r="AH2727">
        <v>0.49881076782581402</v>
      </c>
      <c r="AI2727">
        <v>98.290610990477205</v>
      </c>
      <c r="AJ2727">
        <v>76.059345118871207</v>
      </c>
      <c r="AK2727">
        <v>0.51937650620269205</v>
      </c>
      <c r="AL2727">
        <v>67.536004053289105</v>
      </c>
      <c r="AM2727">
        <v>89.880137617248494</v>
      </c>
      <c r="AN2727">
        <v>0.99999999775205395</v>
      </c>
    </row>
    <row r="2728" spans="1:40" x14ac:dyDescent="0.25">
      <c r="A2728" t="str">
        <f>"20190304164906185"</f>
        <v>20190304164906185</v>
      </c>
      <c r="B2728" t="str">
        <f>"1551689346178140"</f>
        <v>1551689346178140</v>
      </c>
      <c r="C2728" t="s">
        <v>40</v>
      </c>
      <c r="D2728">
        <v>4.1389430000000003</v>
      </c>
      <c r="E2728">
        <v>0.58418800000000004</v>
      </c>
      <c r="F2728" t="s">
        <v>41</v>
      </c>
      <c r="G2728">
        <v>-416.2706</v>
      </c>
      <c r="H2728">
        <v>1.037836</v>
      </c>
      <c r="I2728">
        <v>284.76830000000001</v>
      </c>
      <c r="J2728">
        <v>-415.6825</v>
      </c>
      <c r="K2728">
        <v>1.1108450000000001</v>
      </c>
      <c r="L2728">
        <v>284.63119999999998</v>
      </c>
      <c r="M2728">
        <v>-0.99968900000000005</v>
      </c>
      <c r="N2728">
        <v>-1.419233E-2</v>
      </c>
      <c r="O2728">
        <v>2.050577E-2</v>
      </c>
      <c r="P2728">
        <v>-0.92912980000000001</v>
      </c>
      <c r="Q2728">
        <v>0.36914239999999998</v>
      </c>
      <c r="R2728">
        <v>2.1253810000000001E-2</v>
      </c>
      <c r="S2728">
        <v>-3.3409420000000001</v>
      </c>
      <c r="T2728">
        <v>-0.31750640000000002</v>
      </c>
      <c r="U2728">
        <v>0.61090089999999997</v>
      </c>
      <c r="V2728">
        <v>2.3574870000000001E-3</v>
      </c>
      <c r="W2728">
        <v>0.38229439999999998</v>
      </c>
      <c r="X2728">
        <v>0.92403760000000001</v>
      </c>
      <c r="Y2728">
        <v>0.15892500000000001</v>
      </c>
      <c r="Z2728">
        <v>6.9738760000000004E-3</v>
      </c>
      <c r="AA2728">
        <v>0.98726599999999998</v>
      </c>
      <c r="AB2728">
        <v>29</v>
      </c>
      <c r="AC2728">
        <v>-0.58809999999999696</v>
      </c>
      <c r="AD2728">
        <v>-7.3009000000000102E-2</v>
      </c>
      <c r="AE2728">
        <v>0.137100000000032</v>
      </c>
      <c r="AF2728">
        <v>0.123209518836725</v>
      </c>
      <c r="AG2728">
        <v>-7.3009000000000102E-2</v>
      </c>
      <c r="AH2728">
        <v>0.58227663256024798</v>
      </c>
      <c r="AI2728">
        <v>96.9934922658109</v>
      </c>
      <c r="AJ2728">
        <v>78.052468381262003</v>
      </c>
      <c r="AK2728">
        <v>0.59963070004685404</v>
      </c>
      <c r="AL2728">
        <v>67.5241249436217</v>
      </c>
      <c r="AM2728">
        <v>89.853822222938703</v>
      </c>
      <c r="AN2728">
        <v>1.0000000261150299</v>
      </c>
    </row>
    <row r="2729" spans="1:40" x14ac:dyDescent="0.25">
      <c r="A2729" t="str">
        <f>"20190304164906199"</f>
        <v>20190304164906199</v>
      </c>
      <c r="B2729" t="str">
        <f>"1551689346188874"</f>
        <v>1551689346188874</v>
      </c>
      <c r="C2729" t="s">
        <v>40</v>
      </c>
      <c r="D2729">
        <v>4.1251379999999997</v>
      </c>
      <c r="E2729">
        <v>0.58434390000000003</v>
      </c>
      <c r="F2729" t="s">
        <v>41</v>
      </c>
      <c r="G2729">
        <v>-416.52629999999999</v>
      </c>
      <c r="H2729">
        <v>1.030878</v>
      </c>
      <c r="I2729">
        <v>284.7867</v>
      </c>
      <c r="J2729">
        <v>-415.85430000000002</v>
      </c>
      <c r="K2729">
        <v>1.110859</v>
      </c>
      <c r="L2729">
        <v>284.63490000000002</v>
      </c>
      <c r="M2729">
        <v>-0.99968710000000005</v>
      </c>
      <c r="N2729">
        <v>-1.419043E-2</v>
      </c>
      <c r="O2729">
        <v>2.060085E-2</v>
      </c>
      <c r="P2729">
        <v>-0.9290602</v>
      </c>
      <c r="Q2729">
        <v>0.3693052</v>
      </c>
      <c r="R2729">
        <v>2.1473409999999998E-2</v>
      </c>
      <c r="S2729">
        <v>-3.340576</v>
      </c>
      <c r="T2729">
        <v>-0.3165905</v>
      </c>
      <c r="U2729">
        <v>0.61462399999999995</v>
      </c>
      <c r="V2729">
        <v>2.47715E-3</v>
      </c>
      <c r="W2729">
        <v>0.38245440000000003</v>
      </c>
      <c r="X2729">
        <v>0.92397110000000005</v>
      </c>
      <c r="Y2729">
        <v>0.159914</v>
      </c>
      <c r="Z2729">
        <v>7.0037759999999998E-3</v>
      </c>
      <c r="AA2729">
        <v>0.98710609999999999</v>
      </c>
      <c r="AB2729">
        <v>29</v>
      </c>
      <c r="AC2729">
        <v>-0.67199999999996796</v>
      </c>
      <c r="AD2729">
        <v>-7.9980999999999997E-2</v>
      </c>
      <c r="AE2729">
        <v>0.15179999999998001</v>
      </c>
      <c r="AF2729">
        <v>0.1360884325866</v>
      </c>
      <c r="AG2729">
        <v>-7.9980999999999997E-2</v>
      </c>
      <c r="AH2729">
        <v>0.66600851255586602</v>
      </c>
      <c r="AI2729">
        <v>96.710505727481603</v>
      </c>
      <c r="AJ2729">
        <v>78.451478023563496</v>
      </c>
      <c r="AK2729">
        <v>0.68445917383124799</v>
      </c>
      <c r="AL2729">
        <v>67.514204219674397</v>
      </c>
      <c r="AM2729">
        <v>89.846391407509003</v>
      </c>
      <c r="AN2729">
        <v>1.0000000489933401</v>
      </c>
    </row>
    <row r="2730" spans="1:40" x14ac:dyDescent="0.25">
      <c r="A2730" t="str">
        <f>"20190304164906217"</f>
        <v>20190304164906217</v>
      </c>
      <c r="B2730" t="str">
        <f>"1551689346208394"</f>
        <v>1551689346208394</v>
      </c>
      <c r="C2730" t="s">
        <v>40</v>
      </c>
      <c r="D2730">
        <v>4.1334860000000004</v>
      </c>
      <c r="E2730">
        <v>0.58454229999999996</v>
      </c>
      <c r="F2730" t="s">
        <v>41</v>
      </c>
      <c r="G2730">
        <v>-416.78230000000002</v>
      </c>
      <c r="H2730">
        <v>1.0225820000000001</v>
      </c>
      <c r="I2730">
        <v>284.80630000000002</v>
      </c>
      <c r="J2730">
        <v>-416.0856</v>
      </c>
      <c r="K2730">
        <v>1.1108819999999999</v>
      </c>
      <c r="L2730">
        <v>284.63979999999998</v>
      </c>
      <c r="M2730">
        <v>-0.99968500000000005</v>
      </c>
      <c r="N2730">
        <v>-1.418788E-2</v>
      </c>
      <c r="O2730">
        <v>2.070791E-2</v>
      </c>
      <c r="P2730">
        <v>-0.92895030000000001</v>
      </c>
      <c r="Q2730">
        <v>0.36952299999999999</v>
      </c>
      <c r="R2730">
        <v>2.2460239999999999E-2</v>
      </c>
      <c r="S2730">
        <v>-3.3412480000000002</v>
      </c>
      <c r="T2730">
        <v>-0.31793149999999998</v>
      </c>
      <c r="U2730">
        <v>0.616394</v>
      </c>
      <c r="V2730">
        <v>3.3465259999999998E-3</v>
      </c>
      <c r="W2730">
        <v>0.38266800000000001</v>
      </c>
      <c r="X2730">
        <v>0.92387989999999998</v>
      </c>
      <c r="Y2730">
        <v>0.16027189999999999</v>
      </c>
      <c r="Z2730">
        <v>7.0365439999999996E-3</v>
      </c>
      <c r="AA2730">
        <v>0.98704780000000003</v>
      </c>
      <c r="AB2730">
        <v>29</v>
      </c>
      <c r="AC2730">
        <v>-0.69670000000002097</v>
      </c>
      <c r="AD2730">
        <v>-8.8300000000000003E-2</v>
      </c>
      <c r="AE2730">
        <v>0.166500000000041</v>
      </c>
      <c r="AF2730">
        <v>0.149759995502809</v>
      </c>
      <c r="AG2730">
        <v>-8.8300000000000003E-2</v>
      </c>
      <c r="AH2730">
        <v>0.68952132991830895</v>
      </c>
      <c r="AI2730">
        <v>97.133037236167098</v>
      </c>
      <c r="AJ2730">
        <v>77.746013363213905</v>
      </c>
      <c r="AK2730">
        <v>0.71110098485750595</v>
      </c>
      <c r="AL2730">
        <v>67.500957854041104</v>
      </c>
      <c r="AM2730">
        <v>89.792461144309897</v>
      </c>
      <c r="AN2730">
        <v>1.00000003354213</v>
      </c>
    </row>
    <row r="2731" spans="1:40" x14ac:dyDescent="0.25">
      <c r="A2731" t="str">
        <f>"20190304164906229"</f>
        <v>20190304164906229</v>
      </c>
      <c r="B2731" t="str">
        <f>"1551689346219130"</f>
        <v>1551689346219130</v>
      </c>
      <c r="C2731" t="s">
        <v>40</v>
      </c>
      <c r="D2731">
        <v>4.1310640000000003</v>
      </c>
      <c r="E2731">
        <v>0.58462139999999996</v>
      </c>
      <c r="F2731" t="s">
        <v>41</v>
      </c>
      <c r="G2731">
        <v>-417.0403</v>
      </c>
      <c r="H2731">
        <v>1.0191319999999999</v>
      </c>
      <c r="I2731">
        <v>284.8168</v>
      </c>
      <c r="J2731">
        <v>-416.25400000000002</v>
      </c>
      <c r="K2731">
        <v>1.1109</v>
      </c>
      <c r="L2731">
        <v>284.64330000000001</v>
      </c>
      <c r="M2731">
        <v>-0.99968369999999995</v>
      </c>
      <c r="N2731">
        <v>-1.4186000000000001E-2</v>
      </c>
      <c r="O2731">
        <v>2.0767999999999998E-2</v>
      </c>
      <c r="P2731">
        <v>-0.92898239999999999</v>
      </c>
      <c r="Q2731">
        <v>0.36941180000000001</v>
      </c>
      <c r="R2731">
        <v>2.2952779999999999E-2</v>
      </c>
      <c r="S2731">
        <v>-3.3422239999999999</v>
      </c>
      <c r="T2731">
        <v>-0.321185099999999</v>
      </c>
      <c r="U2731">
        <v>0.61972050000000001</v>
      </c>
      <c r="V2731">
        <v>3.7660390000000001E-3</v>
      </c>
      <c r="W2731">
        <v>0.38255610000000001</v>
      </c>
      <c r="X2731">
        <v>0.92392459999999998</v>
      </c>
      <c r="Y2731">
        <v>0.1610936</v>
      </c>
      <c r="Z2731">
        <v>7.1314550000000001E-3</v>
      </c>
      <c r="AA2731">
        <v>0.98691340000000005</v>
      </c>
      <c r="AB2731">
        <v>29</v>
      </c>
      <c r="AC2731">
        <v>-0.78629999999998201</v>
      </c>
      <c r="AD2731">
        <v>-9.1768000000000002E-2</v>
      </c>
      <c r="AE2731">
        <v>0.173499999999989</v>
      </c>
      <c r="AF2731">
        <v>0.15511631956057101</v>
      </c>
      <c r="AG2731">
        <v>-9.1768000000000002E-2</v>
      </c>
      <c r="AH2731">
        <v>0.77960803423458402</v>
      </c>
      <c r="AI2731">
        <v>96.5854976335484</v>
      </c>
      <c r="AJ2731">
        <v>78.746985569646299</v>
      </c>
      <c r="AK2731">
        <v>0.80016943547047004</v>
      </c>
      <c r="AL2731">
        <v>67.507896710403301</v>
      </c>
      <c r="AM2731">
        <v>89.766456109997804</v>
      </c>
      <c r="AN2731">
        <v>1.00000000959105</v>
      </c>
    </row>
    <row r="2732" spans="1:40" x14ac:dyDescent="0.25">
      <c r="A2732" t="str">
        <f>"20190304164906250"</f>
        <v>20190304164906250</v>
      </c>
      <c r="B2732" t="str">
        <f>"1551689346238650"</f>
        <v>1551689346238650</v>
      </c>
      <c r="C2732" t="s">
        <v>40</v>
      </c>
      <c r="D2732">
        <v>4.1277970000000002</v>
      </c>
      <c r="E2732">
        <v>0.58479820000000005</v>
      </c>
      <c r="F2732" t="s">
        <v>41</v>
      </c>
      <c r="G2732">
        <v>-417.04790000000003</v>
      </c>
      <c r="H2732">
        <v>1.0340199999999999</v>
      </c>
      <c r="I2732">
        <v>284.79109999999997</v>
      </c>
      <c r="J2732">
        <v>-416.51850000000002</v>
      </c>
      <c r="K2732">
        <v>1.1109359999999999</v>
      </c>
      <c r="L2732">
        <v>284.64890000000003</v>
      </c>
      <c r="M2732">
        <v>-0.99968239999999997</v>
      </c>
      <c r="N2732">
        <v>-1.418316E-2</v>
      </c>
      <c r="O2732">
        <v>2.0837629999999999E-2</v>
      </c>
      <c r="P2732">
        <v>-0.92887949999999997</v>
      </c>
      <c r="Q2732">
        <v>0.36961880000000003</v>
      </c>
      <c r="R2732">
        <v>2.3771899999999999E-2</v>
      </c>
      <c r="S2732">
        <v>-3.342651</v>
      </c>
      <c r="T2732">
        <v>-0.32369039999999999</v>
      </c>
      <c r="U2732">
        <v>0.62185669999999904</v>
      </c>
      <c r="V2732">
        <v>4.4958929999999999E-3</v>
      </c>
      <c r="W2732">
        <v>0.38275920000000002</v>
      </c>
      <c r="X2732">
        <v>0.92383720000000003</v>
      </c>
      <c r="Y2732">
        <v>0.1615991</v>
      </c>
      <c r="Z2732">
        <v>7.196488E-3</v>
      </c>
      <c r="AA2732">
        <v>0.98683019999999999</v>
      </c>
      <c r="AB2732">
        <v>29</v>
      </c>
      <c r="AC2732">
        <v>-0.52940000000000897</v>
      </c>
      <c r="AD2732">
        <v>-7.6915999999999901E-2</v>
      </c>
      <c r="AE2732">
        <v>0.14219999999994501</v>
      </c>
      <c r="AF2732">
        <v>0.12860455167955001</v>
      </c>
      <c r="AG2732">
        <v>-7.6915999999999901E-2</v>
      </c>
      <c r="AH2732">
        <v>0.52197165485971497</v>
      </c>
      <c r="AI2732">
        <v>98.142498687855294</v>
      </c>
      <c r="AJ2732">
        <v>76.159010647940207</v>
      </c>
      <c r="AK2732">
        <v>0.54305580767144701</v>
      </c>
      <c r="AL2732">
        <v>67.495300961656795</v>
      </c>
      <c r="AM2732">
        <v>89.721169854921598</v>
      </c>
      <c r="AN2732">
        <v>0.999999995171173</v>
      </c>
    </row>
    <row r="2733" spans="1:40" x14ac:dyDescent="0.25">
      <c r="A2733" t="str">
        <f>"20190304164906263"</f>
        <v>20190304164906263</v>
      </c>
      <c r="B2733" t="str">
        <f>"1551689346258170"</f>
        <v>1551689346258170</v>
      </c>
      <c r="C2733" t="s">
        <v>40</v>
      </c>
      <c r="D2733">
        <v>4.1360999999999999</v>
      </c>
      <c r="E2733">
        <v>0.58496619999999899</v>
      </c>
      <c r="F2733" t="s">
        <v>41</v>
      </c>
      <c r="G2733">
        <v>-417.30739999999997</v>
      </c>
      <c r="H2733">
        <v>1.034192</v>
      </c>
      <c r="I2733">
        <v>284.79689999999999</v>
      </c>
      <c r="J2733">
        <v>-416.67809999999997</v>
      </c>
      <c r="K2733">
        <v>1.1109530000000001</v>
      </c>
      <c r="L2733">
        <v>284.65230000000003</v>
      </c>
      <c r="M2733">
        <v>-0.99968179999999995</v>
      </c>
      <c r="N2733">
        <v>-1.418149E-2</v>
      </c>
      <c r="O2733">
        <v>2.0864899999999999E-2</v>
      </c>
      <c r="P2733">
        <v>-0.92876749999999997</v>
      </c>
      <c r="Q2733">
        <v>0.36987730000000002</v>
      </c>
      <c r="R2733">
        <v>2.412949E-2</v>
      </c>
      <c r="S2733">
        <v>-3.3431090000000001</v>
      </c>
      <c r="T2733">
        <v>-0.32531579999999999</v>
      </c>
      <c r="U2733">
        <v>0.62603759999999997</v>
      </c>
      <c r="V2733">
        <v>4.8152660000000003E-3</v>
      </c>
      <c r="W2733">
        <v>0.38301469999999999</v>
      </c>
      <c r="X2733">
        <v>0.92372969999999999</v>
      </c>
      <c r="Y2733">
        <v>0.16272779999999901</v>
      </c>
      <c r="Z2733">
        <v>7.2839069999999896E-3</v>
      </c>
      <c r="AA2733">
        <v>0.98664410000000002</v>
      </c>
      <c r="AB2733">
        <v>29</v>
      </c>
      <c r="AC2733">
        <v>-0.62929999999999997</v>
      </c>
      <c r="AD2733">
        <v>-7.6760999999999996E-2</v>
      </c>
      <c r="AE2733">
        <v>0.144599999999968</v>
      </c>
      <c r="AF2733">
        <v>0.129605260895092</v>
      </c>
      <c r="AG2733">
        <v>-7.6760999999999996E-2</v>
      </c>
      <c r="AH2733">
        <v>0.62337052872026899</v>
      </c>
      <c r="AI2733">
        <v>96.874429039328007</v>
      </c>
      <c r="AJ2733">
        <v>78.254933366417205</v>
      </c>
      <c r="AK2733">
        <v>0.64131161758514299</v>
      </c>
      <c r="AL2733">
        <v>67.479454482496493</v>
      </c>
      <c r="AM2733">
        <v>89.701328299784905</v>
      </c>
      <c r="AN2733">
        <v>1.0000000029324101</v>
      </c>
    </row>
    <row r="2734" spans="1:40" x14ac:dyDescent="0.25">
      <c r="A2734" t="str">
        <f>"20190304164906275"</f>
        <v>20190304164906275</v>
      </c>
      <c r="B2734" t="str">
        <f>"1551689346268906"</f>
        <v>1551689346268906</v>
      </c>
      <c r="C2734" t="s">
        <v>40</v>
      </c>
      <c r="D2734">
        <v>4.1174049999999998</v>
      </c>
      <c r="E2734">
        <v>0.58504319999999999</v>
      </c>
      <c r="F2734" t="s">
        <v>41</v>
      </c>
      <c r="G2734">
        <v>-417.56139999999999</v>
      </c>
      <c r="H2734">
        <v>1.0248539999999999</v>
      </c>
      <c r="I2734">
        <v>284.81869999999998</v>
      </c>
      <c r="J2734">
        <v>-416.84699999999998</v>
      </c>
      <c r="K2734">
        <v>1.11097</v>
      </c>
      <c r="L2734">
        <v>284.6558</v>
      </c>
      <c r="M2734">
        <v>-0.9996815</v>
      </c>
      <c r="N2734">
        <v>-1.417976E-2</v>
      </c>
      <c r="O2734">
        <v>2.088632E-2</v>
      </c>
      <c r="P2734">
        <v>-0.92872699999999997</v>
      </c>
      <c r="Q2734">
        <v>0.36994359999999998</v>
      </c>
      <c r="R2734">
        <v>2.466198E-2</v>
      </c>
      <c r="S2734">
        <v>-3.3435359999999998</v>
      </c>
      <c r="T2734">
        <v>-0.32597910000000002</v>
      </c>
      <c r="U2734">
        <v>0.62884519999999899</v>
      </c>
      <c r="V2734">
        <v>5.3131469999999998E-3</v>
      </c>
      <c r="W2734">
        <v>0.383079</v>
      </c>
      <c r="X2734">
        <v>0.92370030000000003</v>
      </c>
      <c r="Y2734">
        <v>0.1634776</v>
      </c>
      <c r="Z2734">
        <v>7.3342149999999998E-3</v>
      </c>
      <c r="AA2734">
        <v>0.98651979999999995</v>
      </c>
      <c r="AB2734">
        <v>29</v>
      </c>
      <c r="AC2734">
        <v>-0.71440000000001103</v>
      </c>
      <c r="AD2734">
        <v>-8.6115999999999804E-2</v>
      </c>
      <c r="AE2734">
        <v>0.16289999999997901</v>
      </c>
      <c r="AF2734">
        <v>0.14592617269493799</v>
      </c>
      <c r="AG2734">
        <v>-8.6115999999999804E-2</v>
      </c>
      <c r="AH2734">
        <v>0.70786942740910397</v>
      </c>
      <c r="AI2734">
        <v>96.794746176135405</v>
      </c>
      <c r="AJ2734">
        <v>78.351741478944703</v>
      </c>
      <c r="AK2734">
        <v>0.72786642977533</v>
      </c>
      <c r="AL2734">
        <v>67.475466029992603</v>
      </c>
      <c r="AM2734">
        <v>89.670436891961501</v>
      </c>
      <c r="AN2734">
        <v>0.99999999699606601</v>
      </c>
    </row>
    <row r="2735" spans="1:40" x14ac:dyDescent="0.25">
      <c r="A2735" t="str">
        <f>"20190304164906288"</f>
        <v>20190304164906288</v>
      </c>
      <c r="B2735" t="str">
        <f>"1551689346278666"</f>
        <v>1551689346278666</v>
      </c>
      <c r="C2735" t="s">
        <v>40</v>
      </c>
      <c r="D2735">
        <v>4.0736049999999997</v>
      </c>
      <c r="E2735">
        <v>0.58504319999999999</v>
      </c>
      <c r="F2735" t="s">
        <v>41</v>
      </c>
      <c r="G2735">
        <v>-417.81610000000001</v>
      </c>
      <c r="H2735">
        <v>1.016305</v>
      </c>
      <c r="I2735">
        <v>284.83890000000002</v>
      </c>
      <c r="J2735">
        <v>-417.01920000000001</v>
      </c>
      <c r="K2735">
        <v>1.110994</v>
      </c>
      <c r="L2735">
        <v>284.65949999999998</v>
      </c>
      <c r="M2735">
        <v>-0.99968129999999999</v>
      </c>
      <c r="N2735">
        <v>-1.4178110000000001E-2</v>
      </c>
      <c r="O2735">
        <v>2.0891860000000002E-2</v>
      </c>
      <c r="P2735">
        <v>-0.92873539999999999</v>
      </c>
      <c r="Q2735">
        <v>0.36989519999999998</v>
      </c>
      <c r="R2735">
        <v>2.5064699999999999E-2</v>
      </c>
      <c r="S2735">
        <v>-3.343658</v>
      </c>
      <c r="T2735">
        <v>-0.3267835</v>
      </c>
      <c r="U2735">
        <v>0.6308899</v>
      </c>
      <c r="V2735">
        <v>5.6964959999999997E-3</v>
      </c>
      <c r="W2735">
        <v>0.38303009999999998</v>
      </c>
      <c r="X2735">
        <v>0.92371829999999999</v>
      </c>
      <c r="Y2735">
        <v>0.16404179999999999</v>
      </c>
      <c r="Z2735">
        <v>7.3788359999999997E-3</v>
      </c>
      <c r="AA2735">
        <v>0.98642580000000002</v>
      </c>
      <c r="AB2735">
        <v>29</v>
      </c>
      <c r="AC2735">
        <v>-0.79689999999999295</v>
      </c>
      <c r="AD2735">
        <v>-9.4688999999999995E-2</v>
      </c>
      <c r="AE2735">
        <v>0.179400000000043</v>
      </c>
      <c r="AF2735">
        <v>0.160552998257533</v>
      </c>
      <c r="AG2735">
        <v>-9.4688999999999995E-2</v>
      </c>
      <c r="AH2735">
        <v>0.78986059948439502</v>
      </c>
      <c r="AI2735">
        <v>96.700296472607505</v>
      </c>
      <c r="AJ2735">
        <v>78.510167121061201</v>
      </c>
      <c r="AK2735">
        <v>0.811555936820335</v>
      </c>
      <c r="AL2735">
        <v>67.478499276702806</v>
      </c>
      <c r="AM2735">
        <v>89.646666043820304</v>
      </c>
      <c r="AN2735">
        <v>1.0000000026637801</v>
      </c>
    </row>
    <row r="2736" spans="1:40" x14ac:dyDescent="0.25">
      <c r="A2736" t="str">
        <f>"20190304164906303"</f>
        <v>20190304164906303</v>
      </c>
      <c r="B2736" t="str">
        <f>"1551689346298693"</f>
        <v>1551689346298693</v>
      </c>
      <c r="C2736" t="s">
        <v>40</v>
      </c>
      <c r="D2736">
        <v>4.1310339999999997</v>
      </c>
      <c r="E2736">
        <v>0.58522980000000002</v>
      </c>
      <c r="F2736" t="s">
        <v>41</v>
      </c>
      <c r="G2736">
        <v>-417.82389999999998</v>
      </c>
      <c r="H2736">
        <v>1.032324</v>
      </c>
      <c r="I2736">
        <v>284.81180000000001</v>
      </c>
      <c r="J2736">
        <v>-417.20089999999999</v>
      </c>
      <c r="K2736">
        <v>1.111008</v>
      </c>
      <c r="L2736">
        <v>284.66329999999999</v>
      </c>
      <c r="M2736">
        <v>-0.99968140000000005</v>
      </c>
      <c r="N2736">
        <v>-1.4176289999999999E-2</v>
      </c>
      <c r="O2736">
        <v>2.0886970000000001E-2</v>
      </c>
      <c r="P2736">
        <v>-0.92873410000000001</v>
      </c>
      <c r="Q2736">
        <v>0.36985449999999997</v>
      </c>
      <c r="R2736">
        <v>2.5707199999999999E-2</v>
      </c>
      <c r="S2736">
        <v>-3.343353</v>
      </c>
      <c r="T2736">
        <v>-0.3269765</v>
      </c>
      <c r="U2736">
        <v>0.63211059999999997</v>
      </c>
      <c r="V2736">
        <v>6.3293719999999998E-3</v>
      </c>
      <c r="W2736">
        <v>0.38298739999999998</v>
      </c>
      <c r="X2736">
        <v>0.92373190000000005</v>
      </c>
      <c r="Y2736">
        <v>0.1644079</v>
      </c>
      <c r="Z2736">
        <v>7.4032209999999998E-3</v>
      </c>
      <c r="AA2736">
        <v>0.98636469999999998</v>
      </c>
      <c r="AB2736">
        <v>29</v>
      </c>
      <c r="AC2736">
        <v>-0.62299999999999001</v>
      </c>
      <c r="AD2736">
        <v>-7.8683999999999907E-2</v>
      </c>
      <c r="AE2736">
        <v>0.14850000000001201</v>
      </c>
      <c r="AF2736">
        <v>0.13343960447964401</v>
      </c>
      <c r="AG2736">
        <v>-7.8683999999999907E-2</v>
      </c>
      <c r="AH2736">
        <v>0.61665840204618805</v>
      </c>
      <c r="AI2736">
        <v>97.108710711486907</v>
      </c>
      <c r="AJ2736">
        <v>77.789939987409497</v>
      </c>
      <c r="AK2736">
        <v>0.635818279631721</v>
      </c>
      <c r="AL2736">
        <v>67.481148091698401</v>
      </c>
      <c r="AM2736">
        <v>89.607417880236596</v>
      </c>
      <c r="AN2736">
        <v>1.0000000162931399</v>
      </c>
    </row>
    <row r="2737" spans="1:40" x14ac:dyDescent="0.25">
      <c r="A2737" t="str">
        <f>"20190304164906317"</f>
        <v>20190304164906317</v>
      </c>
      <c r="B2737" t="str">
        <f>"1551689346308453"</f>
        <v>1551689346308453</v>
      </c>
      <c r="C2737" t="s">
        <v>40</v>
      </c>
      <c r="D2737">
        <v>4.0968390000000001</v>
      </c>
      <c r="E2737">
        <v>0.58528630000000004</v>
      </c>
      <c r="F2737" t="s">
        <v>41</v>
      </c>
      <c r="G2737">
        <v>-418.07859999999999</v>
      </c>
      <c r="H2737">
        <v>1.0248280000000001</v>
      </c>
      <c r="I2737">
        <v>284.83019999999999</v>
      </c>
      <c r="J2737">
        <v>-417.38060000000002</v>
      </c>
      <c r="K2737">
        <v>1.111024</v>
      </c>
      <c r="L2737">
        <v>284.66699999999997</v>
      </c>
      <c r="M2737">
        <v>-0.99968170000000001</v>
      </c>
      <c r="N2737">
        <v>-1.417444E-2</v>
      </c>
      <c r="O2737">
        <v>2.087087E-2</v>
      </c>
      <c r="P2737">
        <v>-0.92865399999999998</v>
      </c>
      <c r="Q2737">
        <v>0.36999280000000001</v>
      </c>
      <c r="R2737">
        <v>2.6596229999999998E-2</v>
      </c>
      <c r="S2737">
        <v>-3.3433839999999901</v>
      </c>
      <c r="T2737">
        <v>-0.3283933</v>
      </c>
      <c r="U2737">
        <v>0.63546749999999996</v>
      </c>
      <c r="V2737">
        <v>7.2210879999999996E-3</v>
      </c>
      <c r="W2737">
        <v>0.38312350000000001</v>
      </c>
      <c r="X2737">
        <v>0.92366890000000001</v>
      </c>
      <c r="Y2737">
        <v>0.16536679999999901</v>
      </c>
      <c r="Z2737">
        <v>7.482888E-3</v>
      </c>
      <c r="AA2737">
        <v>0.98620370000000002</v>
      </c>
      <c r="AB2737">
        <v>29</v>
      </c>
      <c r="AC2737">
        <v>-0.69799999999997897</v>
      </c>
      <c r="AD2737">
        <v>-8.6195999999999898E-2</v>
      </c>
      <c r="AE2737">
        <v>0.16319999999995999</v>
      </c>
      <c r="AF2737">
        <v>0.14647715399361799</v>
      </c>
      <c r="AG2737">
        <v>-8.6195999999999898E-2</v>
      </c>
      <c r="AH2737">
        <v>0.69125926168983098</v>
      </c>
      <c r="AI2737">
        <v>96.954897983942203</v>
      </c>
      <c r="AJ2737">
        <v>78.036051104517696</v>
      </c>
      <c r="AK2737">
        <v>0.711845962220789</v>
      </c>
      <c r="AL2737">
        <v>67.4727058161359</v>
      </c>
      <c r="AM2737">
        <v>89.552080364305695</v>
      </c>
      <c r="AN2737">
        <v>0.99999999859568101</v>
      </c>
    </row>
    <row r="2738" spans="1:40" x14ac:dyDescent="0.25">
      <c r="A2738" t="str">
        <f>"20190304164906334"</f>
        <v>20190304164906334</v>
      </c>
      <c r="B2738" t="str">
        <f>"1551689346328948"</f>
        <v>1551689346328948</v>
      </c>
      <c r="C2738" t="s">
        <v>40</v>
      </c>
      <c r="D2738">
        <v>4.1144559999999997</v>
      </c>
      <c r="E2738">
        <v>0.58538089999999998</v>
      </c>
      <c r="F2738" t="s">
        <v>41</v>
      </c>
      <c r="G2738">
        <v>-418.33319999999998</v>
      </c>
      <c r="H2738">
        <v>1.0174080000000001</v>
      </c>
      <c r="I2738">
        <v>284.84960000000001</v>
      </c>
      <c r="J2738">
        <v>-417.60849999999999</v>
      </c>
      <c r="K2738">
        <v>1.1110450000000001</v>
      </c>
      <c r="L2738">
        <v>284.67180000000002</v>
      </c>
      <c r="M2738">
        <v>-0.99968279999999998</v>
      </c>
      <c r="N2738">
        <v>-1.417211E-2</v>
      </c>
      <c r="O2738">
        <v>2.0823850000000001E-2</v>
      </c>
      <c r="P2738">
        <v>-0.92869290000000004</v>
      </c>
      <c r="Q2738">
        <v>0.36987360000000002</v>
      </c>
      <c r="R2738">
        <v>2.6895309999999999E-2</v>
      </c>
      <c r="S2738">
        <v>-3.3431090000000001</v>
      </c>
      <c r="T2738">
        <v>-0.32866679999999998</v>
      </c>
      <c r="U2738">
        <v>0.63989259999999903</v>
      </c>
      <c r="V2738">
        <v>7.5431389999999999E-3</v>
      </c>
      <c r="W2738">
        <v>0.38300329999999999</v>
      </c>
      <c r="X2738">
        <v>0.92371619999999999</v>
      </c>
      <c r="Y2738">
        <v>0.1666791</v>
      </c>
      <c r="Z2738">
        <v>7.5645809999999999E-3</v>
      </c>
      <c r="AA2738">
        <v>0.98598220000000003</v>
      </c>
      <c r="AB2738">
        <v>29</v>
      </c>
      <c r="AC2738">
        <v>-0.72469999999998402</v>
      </c>
      <c r="AD2738">
        <v>-9.3636999999999901E-2</v>
      </c>
      <c r="AE2738">
        <v>0.17779999999998999</v>
      </c>
      <c r="AF2738">
        <v>0.16014706907882501</v>
      </c>
      <c r="AG2738">
        <v>-9.3636999999999901E-2</v>
      </c>
      <c r="AH2738">
        <v>0.71695588560969403</v>
      </c>
      <c r="AI2738">
        <v>97.263890632754695</v>
      </c>
      <c r="AJ2738">
        <v>77.408491267176501</v>
      </c>
      <c r="AK2738">
        <v>0.74056783174393803</v>
      </c>
      <c r="AL2738">
        <v>67.480162037561897</v>
      </c>
      <c r="AM2738">
        <v>89.532128566626596</v>
      </c>
      <c r="AN2738">
        <v>1.0000000224496499</v>
      </c>
    </row>
    <row r="2739" spans="1:40" x14ac:dyDescent="0.25">
      <c r="A2739" t="str">
        <f>"20190304164906351"</f>
        <v>20190304164906351</v>
      </c>
      <c r="B2739" t="str">
        <f>"1551689346338709"</f>
        <v>1551689346338709</v>
      </c>
      <c r="C2739" t="s">
        <v>40</v>
      </c>
      <c r="D2739">
        <v>4.1202610000000002</v>
      </c>
      <c r="E2739">
        <v>0.58542130000000003</v>
      </c>
      <c r="F2739" t="s">
        <v>41</v>
      </c>
      <c r="G2739">
        <v>-418.34480000000002</v>
      </c>
      <c r="H2739">
        <v>1.038314</v>
      </c>
      <c r="I2739">
        <v>284.81349999999998</v>
      </c>
      <c r="J2739">
        <v>-417.81650000000002</v>
      </c>
      <c r="K2739">
        <v>1.1110690000000001</v>
      </c>
      <c r="L2739">
        <v>284.67599999999999</v>
      </c>
      <c r="M2739">
        <v>-0.99968420000000002</v>
      </c>
      <c r="N2739">
        <v>-1.416999E-2</v>
      </c>
      <c r="O2739">
        <v>2.075542E-2</v>
      </c>
      <c r="P2739">
        <v>-0.92877889999999996</v>
      </c>
      <c r="Q2739">
        <v>0.3696371</v>
      </c>
      <c r="R2739">
        <v>2.716727E-2</v>
      </c>
      <c r="S2739">
        <v>-3.3433229999999998</v>
      </c>
      <c r="T2739">
        <v>-0.33045279999999999</v>
      </c>
      <c r="U2739">
        <v>0.64239499999999905</v>
      </c>
      <c r="V2739">
        <v>7.8558929999999992E-3</v>
      </c>
      <c r="W2739">
        <v>0.38276670000000002</v>
      </c>
      <c r="X2739">
        <v>0.92381170000000001</v>
      </c>
      <c r="Y2739">
        <v>0.16743459999999999</v>
      </c>
      <c r="Z2739">
        <v>7.6445549999999999E-3</v>
      </c>
      <c r="AA2739">
        <v>0.9858536</v>
      </c>
      <c r="AB2739">
        <v>29</v>
      </c>
      <c r="AC2739">
        <v>-0.52830000000000099</v>
      </c>
      <c r="AD2739">
        <v>-7.2755000000000097E-2</v>
      </c>
      <c r="AE2739">
        <v>0.13749999999998799</v>
      </c>
      <c r="AF2739">
        <v>0.124296396293217</v>
      </c>
      <c r="AG2739">
        <v>-7.2755000000000097E-2</v>
      </c>
      <c r="AH2739">
        <v>0.52177245407020401</v>
      </c>
      <c r="AI2739">
        <v>97.724599751446107</v>
      </c>
      <c r="AJ2739">
        <v>76.600762301701593</v>
      </c>
      <c r="AK2739">
        <v>0.54128493234425401</v>
      </c>
      <c r="AL2739">
        <v>67.494837345289298</v>
      </c>
      <c r="AM2739">
        <v>89.512780944545398</v>
      </c>
      <c r="AN2739">
        <v>1.0000000593703</v>
      </c>
    </row>
    <row r="2740" spans="1:40" x14ac:dyDescent="0.25">
      <c r="A2740" t="str">
        <f>"20190304164906374"</f>
        <v>20190304164906374</v>
      </c>
      <c r="B2740" t="str">
        <f>"1551689346368968"</f>
        <v>1551689346368968</v>
      </c>
      <c r="C2740" t="s">
        <v>40</v>
      </c>
      <c r="D2740">
        <v>4.0741139999999998</v>
      </c>
      <c r="E2740">
        <v>0.58554549999999905</v>
      </c>
      <c r="F2740" t="s">
        <v>41</v>
      </c>
      <c r="G2740">
        <v>-418.5992</v>
      </c>
      <c r="H2740">
        <v>1.0335219999999901</v>
      </c>
      <c r="I2740">
        <v>284.82709999999997</v>
      </c>
      <c r="J2740">
        <v>-418.11790000000002</v>
      </c>
      <c r="K2740">
        <v>1.1111040000000001</v>
      </c>
      <c r="L2740">
        <v>284.68209999999999</v>
      </c>
      <c r="M2740">
        <v>-0.99968699999999999</v>
      </c>
      <c r="N2740">
        <v>-1.4166959999999999E-2</v>
      </c>
      <c r="O2740">
        <v>2.0624170000000001E-2</v>
      </c>
      <c r="P2740">
        <v>-0.9287166</v>
      </c>
      <c r="Q2740">
        <v>0.36974279999999998</v>
      </c>
      <c r="R2740">
        <v>2.7858279999999999E-2</v>
      </c>
      <c r="S2740">
        <v>-3.3430789999999999</v>
      </c>
      <c r="T2740">
        <v>-0.33138319999999999</v>
      </c>
      <c r="U2740">
        <v>0.64511109999999905</v>
      </c>
      <c r="V2740">
        <v>8.6367779999999995E-3</v>
      </c>
      <c r="W2740">
        <v>0.38286940000000003</v>
      </c>
      <c r="X2740">
        <v>0.92376210000000003</v>
      </c>
      <c r="Y2740">
        <v>0.16833999999999999</v>
      </c>
      <c r="Z2740">
        <v>7.7233930000000003E-3</v>
      </c>
      <c r="AA2740">
        <v>0.98569879999999999</v>
      </c>
      <c r="AB2740">
        <v>29</v>
      </c>
      <c r="AC2740">
        <v>-0.48129999999997602</v>
      </c>
      <c r="AD2740">
        <v>-7.7582000000000206E-2</v>
      </c>
      <c r="AE2740">
        <v>0.14499999999998101</v>
      </c>
      <c r="AF2740">
        <v>0.131899758007757</v>
      </c>
      <c r="AG2740">
        <v>-7.7582000000000206E-2</v>
      </c>
      <c r="AH2740">
        <v>0.47292290901623302</v>
      </c>
      <c r="AI2740">
        <v>98.9794678893916</v>
      </c>
      <c r="AJ2740">
        <v>74.4160384050179</v>
      </c>
      <c r="AK2740">
        <v>0.497063970489595</v>
      </c>
      <c r="AL2740">
        <v>67.488466323219399</v>
      </c>
      <c r="AM2740">
        <v>89.464324732842996</v>
      </c>
      <c r="AN2740">
        <v>0.99999999439349496</v>
      </c>
    </row>
    <row r="2741" spans="1:40" x14ac:dyDescent="0.25">
      <c r="A2741" t="str">
        <f>"20190304164906387"</f>
        <v>20190304164906387</v>
      </c>
      <c r="B2741" t="str">
        <f>"1551689346378725"</f>
        <v>1551689346378725</v>
      </c>
      <c r="C2741" t="s">
        <v>40</v>
      </c>
      <c r="D2741">
        <v>4.0683220000000002</v>
      </c>
      <c r="E2741">
        <v>0.58559439999999996</v>
      </c>
      <c r="F2741" t="s">
        <v>41</v>
      </c>
      <c r="G2741">
        <v>-418.85939999999999</v>
      </c>
      <c r="H2741">
        <v>1.0372699999999999</v>
      </c>
      <c r="I2741">
        <v>284.82659999999998</v>
      </c>
      <c r="J2741">
        <v>-418.2987</v>
      </c>
      <c r="K2741">
        <v>1.1111180000000001</v>
      </c>
      <c r="L2741">
        <v>284.68579999999997</v>
      </c>
      <c r="M2741">
        <v>-0.9996891</v>
      </c>
      <c r="N2741">
        <v>-1.416515E-2</v>
      </c>
      <c r="O2741">
        <v>2.0522189999999999E-2</v>
      </c>
      <c r="P2741">
        <v>-0.92869740000000001</v>
      </c>
      <c r="Q2741">
        <v>0.36977480000000001</v>
      </c>
      <c r="R2741">
        <v>2.806552E-2</v>
      </c>
      <c r="S2741">
        <v>-3.3433229999999998</v>
      </c>
      <c r="T2741">
        <v>-0.33300279999999999</v>
      </c>
      <c r="U2741">
        <v>0.64962769999999903</v>
      </c>
      <c r="V2741">
        <v>8.918835E-3</v>
      </c>
      <c r="W2741">
        <v>0.38290020000000002</v>
      </c>
      <c r="X2741">
        <v>0.92374659999999997</v>
      </c>
      <c r="Y2741">
        <v>0.1696955</v>
      </c>
      <c r="Z2741">
        <v>7.8374310000000006E-3</v>
      </c>
      <c r="AA2741">
        <v>0.98546540000000005</v>
      </c>
      <c r="AB2741">
        <v>29</v>
      </c>
      <c r="AC2741">
        <v>-0.56069999999999698</v>
      </c>
      <c r="AD2741">
        <v>-7.38479999999999E-2</v>
      </c>
      <c r="AE2741">
        <v>0.140800000000012</v>
      </c>
      <c r="AF2741">
        <v>0.12718699504665201</v>
      </c>
      <c r="AG2741">
        <v>-7.38479999999999E-2</v>
      </c>
      <c r="AH2741">
        <v>0.55442476413353903</v>
      </c>
      <c r="AI2741">
        <v>97.397064323706005</v>
      </c>
      <c r="AJ2741">
        <v>77.079698180038406</v>
      </c>
      <c r="AK2741">
        <v>0.57359992843228902</v>
      </c>
      <c r="AL2741">
        <v>67.486554866821194</v>
      </c>
      <c r="AM2741">
        <v>89.446822618156702</v>
      </c>
      <c r="AN2741">
        <v>0.99999994489467703</v>
      </c>
    </row>
    <row r="2742" spans="1:40" x14ac:dyDescent="0.25">
      <c r="A2742" t="str">
        <f>"20190304164906401"</f>
        <v>20190304164906401</v>
      </c>
      <c r="B2742" t="str">
        <f>"1551689346398605"</f>
        <v>1551689346398605</v>
      </c>
      <c r="C2742" t="s">
        <v>40</v>
      </c>
      <c r="D2742">
        <v>4.042872</v>
      </c>
      <c r="E2742">
        <v>0.58567150000000001</v>
      </c>
      <c r="F2742" t="s">
        <v>41</v>
      </c>
      <c r="G2742">
        <v>-419.11219999999997</v>
      </c>
      <c r="H2742">
        <v>1.0301209999999901</v>
      </c>
      <c r="I2742">
        <v>284.84429999999998</v>
      </c>
      <c r="J2742">
        <v>-418.46530000000001</v>
      </c>
      <c r="K2742">
        <v>1.1111359999999999</v>
      </c>
      <c r="L2742">
        <v>284.6891</v>
      </c>
      <c r="M2742">
        <v>-0.99969140000000001</v>
      </c>
      <c r="N2742">
        <v>-1.4163419999999999E-2</v>
      </c>
      <c r="O2742">
        <v>2.0419659999999999E-2</v>
      </c>
      <c r="P2742">
        <v>-0.92876840000000005</v>
      </c>
      <c r="Q2742">
        <v>0.36960660000000001</v>
      </c>
      <c r="R2742">
        <v>2.7942209999999999E-2</v>
      </c>
      <c r="S2742">
        <v>-3.3432309999999998</v>
      </c>
      <c r="T2742">
        <v>-0.33288790000000001</v>
      </c>
      <c r="U2742">
        <v>0.65081789999999995</v>
      </c>
      <c r="V2742">
        <v>8.8726529999999994E-3</v>
      </c>
      <c r="W2742">
        <v>0.38273190000000001</v>
      </c>
      <c r="X2742">
        <v>0.92381690000000005</v>
      </c>
      <c r="Y2742">
        <v>0.1701375</v>
      </c>
      <c r="Z2742">
        <v>7.8686160000000002E-3</v>
      </c>
      <c r="AA2742">
        <v>0.98538890000000001</v>
      </c>
      <c r="AB2742">
        <v>29</v>
      </c>
      <c r="AC2742">
        <v>-0.64689999999995895</v>
      </c>
      <c r="AD2742">
        <v>-8.1015000000000198E-2</v>
      </c>
      <c r="AE2742">
        <v>0.15519999999997899</v>
      </c>
      <c r="AF2742">
        <v>0.13988232609863999</v>
      </c>
      <c r="AG2742">
        <v>-8.1015000000000198E-2</v>
      </c>
      <c r="AH2742">
        <v>0.64043662430565396</v>
      </c>
      <c r="AI2742">
        <v>97.045237130368903</v>
      </c>
      <c r="AJ2742">
        <v>77.679115365494397</v>
      </c>
      <c r="AK2742">
        <v>0.66052219124855105</v>
      </c>
      <c r="AL2742">
        <v>67.496995313059301</v>
      </c>
      <c r="AM2742">
        <v>89.449728685705594</v>
      </c>
      <c r="AN2742">
        <v>1.00000004798723</v>
      </c>
    </row>
    <row r="2743" spans="1:40" x14ac:dyDescent="0.25">
      <c r="A2743" t="str">
        <f>"20190304164906415"</f>
        <v>20190304164906415</v>
      </c>
      <c r="B2743" t="str">
        <f>"1551689346408364"</f>
        <v>1551689346408364</v>
      </c>
      <c r="C2743" t="s">
        <v>40</v>
      </c>
      <c r="D2743">
        <v>4.1551830000000001</v>
      </c>
      <c r="E2743">
        <v>0.58575859999999902</v>
      </c>
      <c r="F2743" t="s">
        <v>41</v>
      </c>
      <c r="G2743">
        <v>-419.36439999999999</v>
      </c>
      <c r="H2743">
        <v>1.021236</v>
      </c>
      <c r="I2743">
        <v>284.86470000000003</v>
      </c>
      <c r="J2743">
        <v>-418.649</v>
      </c>
      <c r="K2743">
        <v>1.111154</v>
      </c>
      <c r="L2743">
        <v>284.6927</v>
      </c>
      <c r="M2743">
        <v>-0.99969379999999997</v>
      </c>
      <c r="N2743">
        <v>-1.4161450000000001E-2</v>
      </c>
      <c r="O2743">
        <v>2.0297180000000001E-2</v>
      </c>
      <c r="P2743">
        <v>-0.92881349999999996</v>
      </c>
      <c r="Q2743">
        <v>0.36951460000000003</v>
      </c>
      <c r="R2743">
        <v>2.7651060000000002E-2</v>
      </c>
      <c r="S2743">
        <v>-3.3435969999999999</v>
      </c>
      <c r="T2743">
        <v>-0.33447769999999999</v>
      </c>
      <c r="U2743">
        <v>0.65191650000000001</v>
      </c>
      <c r="V2743">
        <v>8.6775759999999993E-3</v>
      </c>
      <c r="W2743">
        <v>0.38263849999999999</v>
      </c>
      <c r="X2743">
        <v>0.92385740000000005</v>
      </c>
      <c r="Y2743">
        <v>0.17054</v>
      </c>
      <c r="Z2743">
        <v>7.9309769999999901E-3</v>
      </c>
      <c r="AA2743">
        <v>0.98531880000000005</v>
      </c>
      <c r="AB2743">
        <v>29</v>
      </c>
      <c r="AC2743">
        <v>-0.71539999999998805</v>
      </c>
      <c r="AD2743">
        <v>-8.9918000000000095E-2</v>
      </c>
      <c r="AE2743">
        <v>0.17200000000002499</v>
      </c>
      <c r="AF2743">
        <v>0.15512577908112901</v>
      </c>
      <c r="AG2743">
        <v>-8.9918000000000095E-2</v>
      </c>
      <c r="AH2743">
        <v>0.70816793566542302</v>
      </c>
      <c r="AI2743">
        <v>97.070390014216699</v>
      </c>
      <c r="AJ2743">
        <v>77.644386996104501</v>
      </c>
      <c r="AK2743">
        <v>0.73051425664674996</v>
      </c>
      <c r="AL2743">
        <v>67.502786728305495</v>
      </c>
      <c r="AM2743">
        <v>89.461849999089097</v>
      </c>
      <c r="AN2743">
        <v>1.0000000087711201</v>
      </c>
    </row>
    <row r="2744" spans="1:40" x14ac:dyDescent="0.25">
      <c r="A2744" t="str">
        <f>"20190304164906428"</f>
        <v>20190304164906428</v>
      </c>
      <c r="B2744" t="str">
        <f>"1551689346418124"</f>
        <v>1551689346418124</v>
      </c>
      <c r="C2744" t="s">
        <v>40</v>
      </c>
      <c r="D2744">
        <v>4.1513799999999996</v>
      </c>
      <c r="E2744">
        <v>0.58574209999999904</v>
      </c>
      <c r="F2744" t="s">
        <v>41</v>
      </c>
      <c r="G2744">
        <v>-419.61779999999999</v>
      </c>
      <c r="H2744">
        <v>1.014114</v>
      </c>
      <c r="I2744">
        <v>284.88209999999998</v>
      </c>
      <c r="J2744">
        <v>-418.82139999999998</v>
      </c>
      <c r="K2744">
        <v>1.1111740000000001</v>
      </c>
      <c r="L2744">
        <v>284.69600000000003</v>
      </c>
      <c r="M2744">
        <v>-0.99969629999999998</v>
      </c>
      <c r="N2744">
        <v>-1.4159679999999999E-2</v>
      </c>
      <c r="O2744">
        <v>2.0170210000000001E-2</v>
      </c>
      <c r="P2744">
        <v>-0.92883309999999997</v>
      </c>
      <c r="Q2744">
        <v>0.36954209999999998</v>
      </c>
      <c r="R2744">
        <v>2.6605670000000001E-2</v>
      </c>
      <c r="S2744">
        <v>-3.3438110000000001</v>
      </c>
      <c r="T2744">
        <v>-0.33507009999999998</v>
      </c>
      <c r="U2744">
        <v>0.6525879</v>
      </c>
      <c r="V2744">
        <v>7.7390710000000001E-3</v>
      </c>
      <c r="W2744">
        <v>0.38266489999999997</v>
      </c>
      <c r="X2744">
        <v>0.92385479999999998</v>
      </c>
      <c r="Y2744">
        <v>0.17083909999999999</v>
      </c>
      <c r="Z2744">
        <v>7.96935E-3</v>
      </c>
      <c r="AA2744">
        <v>0.98526670000000005</v>
      </c>
      <c r="AB2744">
        <v>29</v>
      </c>
      <c r="AC2744">
        <v>-0.79640000000000499</v>
      </c>
      <c r="AD2744">
        <v>-9.7059999999999896E-2</v>
      </c>
      <c r="AE2744">
        <v>0.18610000000001001</v>
      </c>
      <c r="AF2744">
        <v>0.167635969005242</v>
      </c>
      <c r="AG2744">
        <v>-9.7059999999999896E-2</v>
      </c>
      <c r="AH2744">
        <v>0.78888133614633205</v>
      </c>
      <c r="AI2744">
        <v>96.862416977355394</v>
      </c>
      <c r="AJ2744">
        <v>78.003192067865498</v>
      </c>
      <c r="AK2744">
        <v>0.81231534777101699</v>
      </c>
      <c r="AL2744">
        <v>67.501149431078503</v>
      </c>
      <c r="AM2744">
        <v>89.520048243362098</v>
      </c>
      <c r="AN2744">
        <v>1.00000000519749</v>
      </c>
    </row>
    <row r="2745" spans="1:40" x14ac:dyDescent="0.25">
      <c r="A2745" t="str">
        <f>"20190304164906451"</f>
        <v>20190304164906451</v>
      </c>
      <c r="B2745" t="str">
        <f>"1551689346448381"</f>
        <v>1551689346448381</v>
      </c>
      <c r="C2745" t="s">
        <v>40</v>
      </c>
      <c r="D2745">
        <v>4.0254949999999896</v>
      </c>
      <c r="E2745">
        <v>0.55439469999999902</v>
      </c>
      <c r="F2745" t="s">
        <v>41</v>
      </c>
      <c r="G2745">
        <v>-419.6259</v>
      </c>
      <c r="H2745">
        <v>1.030664</v>
      </c>
      <c r="I2745">
        <v>284.85309999999998</v>
      </c>
      <c r="J2745">
        <v>-419.10550000000001</v>
      </c>
      <c r="K2745">
        <v>1.1111869999999999</v>
      </c>
      <c r="L2745">
        <v>284.70159999999998</v>
      </c>
      <c r="M2745">
        <v>-0.99970079999999995</v>
      </c>
      <c r="N2745">
        <v>-1.4156770000000001E-2</v>
      </c>
      <c r="O2745">
        <v>1.9949999999999999E-2</v>
      </c>
      <c r="P2745">
        <v>-0.92871890000000001</v>
      </c>
      <c r="Q2745">
        <v>0.36992710000000001</v>
      </c>
      <c r="R2745">
        <v>2.519747E-2</v>
      </c>
      <c r="S2745">
        <v>-3.3444210000000001</v>
      </c>
      <c r="T2745">
        <v>-0.33481139999999998</v>
      </c>
      <c r="U2745">
        <v>0.65200809999999998</v>
      </c>
      <c r="V2745">
        <v>6.5249449999999999E-3</v>
      </c>
      <c r="W2745">
        <v>0.38304460000000001</v>
      </c>
      <c r="X2745">
        <v>0.92370680000000005</v>
      </c>
      <c r="Y2745">
        <v>0.17085829999999999</v>
      </c>
      <c r="Z2745">
        <v>7.9827719999999904E-3</v>
      </c>
      <c r="AA2745">
        <v>0.98526329999999995</v>
      </c>
      <c r="AB2745">
        <v>29</v>
      </c>
      <c r="AC2745">
        <v>-0.52039999999999498</v>
      </c>
      <c r="AD2745">
        <v>-8.0523000000000095E-2</v>
      </c>
      <c r="AE2745">
        <v>0.151499999999998</v>
      </c>
      <c r="AF2745">
        <v>0.138040050631171</v>
      </c>
      <c r="AG2745">
        <v>-8.0523000000000095E-2</v>
      </c>
      <c r="AH2745">
        <v>0.51201805317668703</v>
      </c>
      <c r="AI2745">
        <v>98.634087750953299</v>
      </c>
      <c r="AJ2745">
        <v>74.911789837408193</v>
      </c>
      <c r="AK2745">
        <v>0.53637812771038795</v>
      </c>
      <c r="AL2745">
        <v>67.477599746520895</v>
      </c>
      <c r="AM2745">
        <v>89.595276778241896</v>
      </c>
      <c r="AN2745">
        <v>0.99999999643132598</v>
      </c>
    </row>
    <row r="2746" spans="1:40" x14ac:dyDescent="0.25">
      <c r="A2746" t="str">
        <f>"20190304164906465"</f>
        <v>20190304164906465</v>
      </c>
      <c r="B2746" t="str">
        <f>"1551689346459117"</f>
        <v>1551689346459117</v>
      </c>
      <c r="C2746" t="s">
        <v>40</v>
      </c>
      <c r="D2746">
        <v>4.0211360000000003</v>
      </c>
      <c r="E2746">
        <v>0.55134700000000003</v>
      </c>
      <c r="F2746" t="s">
        <v>41</v>
      </c>
      <c r="G2746">
        <v>-419.88830000000002</v>
      </c>
      <c r="H2746">
        <v>1.043185</v>
      </c>
      <c r="I2746">
        <v>284.79629999999997</v>
      </c>
      <c r="J2746">
        <v>-419.29349999999999</v>
      </c>
      <c r="K2746">
        <v>1.1111930000000001</v>
      </c>
      <c r="L2746">
        <v>284.70519999999999</v>
      </c>
      <c r="M2746">
        <v>-0.99970380000000003</v>
      </c>
      <c r="N2746">
        <v>-1.415485E-2</v>
      </c>
      <c r="O2746">
        <v>1.9798059999999999E-2</v>
      </c>
      <c r="P2746">
        <v>-0.92875059999999998</v>
      </c>
      <c r="Q2746">
        <v>0.36987680000000001</v>
      </c>
      <c r="R2746">
        <v>2.4769300000000001E-2</v>
      </c>
      <c r="S2746">
        <v>-3.3349000000000002</v>
      </c>
      <c r="T2746">
        <v>-0.29003299999999999</v>
      </c>
      <c r="U2746">
        <v>0.40103149999999999</v>
      </c>
      <c r="V2746">
        <v>6.2328330000000001E-3</v>
      </c>
      <c r="W2746">
        <v>0.38299309999999998</v>
      </c>
      <c r="X2746">
        <v>0.92373019999999995</v>
      </c>
      <c r="Y2746">
        <v>9.933206E-2</v>
      </c>
      <c r="Z2746">
        <v>3.570036E-3</v>
      </c>
      <c r="AA2746">
        <v>0.99504789999999999</v>
      </c>
      <c r="AB2746">
        <v>29</v>
      </c>
      <c r="AC2746">
        <v>-0.59480000000001998</v>
      </c>
      <c r="AD2746">
        <v>-6.8007999999999999E-2</v>
      </c>
      <c r="AE2746">
        <v>9.1099999999983E-2</v>
      </c>
      <c r="AF2746">
        <v>7.8304852274876394E-2</v>
      </c>
      <c r="AG2746">
        <v>-6.8007999999999999E-2</v>
      </c>
      <c r="AH2746">
        <v>0.58896408024035196</v>
      </c>
      <c r="AI2746">
        <v>96.529845708179593</v>
      </c>
      <c r="AJ2746">
        <v>82.426738833484904</v>
      </c>
      <c r="AK2746">
        <v>0.59802627514780105</v>
      </c>
      <c r="AL2746">
        <v>67.480794699348706</v>
      </c>
      <c r="AM2746">
        <v>89.613404860148805</v>
      </c>
      <c r="AN2746">
        <v>1.00000002262342</v>
      </c>
    </row>
    <row r="2747" spans="1:40" x14ac:dyDescent="0.25">
      <c r="A2747" t="str">
        <f>"20190304164906478"</f>
        <v>20190304164906478</v>
      </c>
      <c r="B2747" t="str">
        <f>"1551689346468876"</f>
        <v>1551689346468876</v>
      </c>
      <c r="C2747" t="s">
        <v>40</v>
      </c>
      <c r="D2747">
        <v>4.0224529999999996</v>
      </c>
      <c r="E2747">
        <v>0.54927769999999898</v>
      </c>
      <c r="F2747" t="s">
        <v>41</v>
      </c>
      <c r="G2747">
        <v>-420.14179999999999</v>
      </c>
      <c r="H2747">
        <v>1.0383960000000001</v>
      </c>
      <c r="I2747">
        <v>284.80090000000001</v>
      </c>
      <c r="J2747">
        <v>-419.45049999999998</v>
      </c>
      <c r="K2747">
        <v>1.1111960000000001</v>
      </c>
      <c r="L2747">
        <v>284.70819999999998</v>
      </c>
      <c r="M2747">
        <v>-0.99970650000000005</v>
      </c>
      <c r="N2747">
        <v>-1.4153239999999999E-2</v>
      </c>
      <c r="O2747">
        <v>1.9669869999999999E-2</v>
      </c>
      <c r="P2747">
        <v>-0.92861649999999996</v>
      </c>
      <c r="Q2747">
        <v>0.37025419999999998</v>
      </c>
      <c r="R2747">
        <v>2.4164370000000001E-2</v>
      </c>
      <c r="S2747">
        <v>-3.334076</v>
      </c>
      <c r="T2747">
        <v>-0.28611399999999998</v>
      </c>
      <c r="U2747">
        <v>0.37573240000000002</v>
      </c>
      <c r="V2747">
        <v>5.747098E-3</v>
      </c>
      <c r="W2747">
        <v>0.3833666</v>
      </c>
      <c r="X2747">
        <v>0.92357840000000002</v>
      </c>
      <c r="Y2747">
        <v>9.2075840000000006E-2</v>
      </c>
      <c r="Z2747">
        <v>3.1843330000000001E-3</v>
      </c>
      <c r="AA2747">
        <v>0.99574689999999999</v>
      </c>
      <c r="AB2747">
        <v>29</v>
      </c>
      <c r="AC2747">
        <v>-0.69130000000001202</v>
      </c>
      <c r="AD2747">
        <v>-7.2799999999999906E-2</v>
      </c>
      <c r="AE2747">
        <v>9.2700000000036198E-2</v>
      </c>
      <c r="AF2747">
        <v>7.8230670904272298E-2</v>
      </c>
      <c r="AG2747">
        <v>-7.2799999999999906E-2</v>
      </c>
      <c r="AH2747">
        <v>0.68552169208399605</v>
      </c>
      <c r="AI2747">
        <v>96.023088568957704</v>
      </c>
      <c r="AJ2747">
        <v>83.489658573617604</v>
      </c>
      <c r="AK2747">
        <v>0.69380102924962395</v>
      </c>
      <c r="AL2747">
        <v>67.457626313322194</v>
      </c>
      <c r="AM2747">
        <v>89.643473461655304</v>
      </c>
      <c r="AN2747">
        <v>1.00000002003877</v>
      </c>
    </row>
    <row r="2748" spans="1:40" x14ac:dyDescent="0.25">
      <c r="A2748" t="str">
        <f>"20190304164906490"</f>
        <v>20190304164906490</v>
      </c>
      <c r="B2748" t="str">
        <f>"1551689346478637"</f>
        <v>1551689346478637</v>
      </c>
      <c r="C2748" t="s">
        <v>40</v>
      </c>
      <c r="D2748">
        <v>4.0035930000000004</v>
      </c>
      <c r="E2748">
        <v>0.5481454</v>
      </c>
      <c r="F2748" t="s">
        <v>41</v>
      </c>
      <c r="G2748">
        <v>-420.39449999999999</v>
      </c>
      <c r="H2748">
        <v>1.032635</v>
      </c>
      <c r="I2748">
        <v>284.80990000000003</v>
      </c>
      <c r="J2748">
        <v>-419.61759999999998</v>
      </c>
      <c r="K2748">
        <v>1.111202</v>
      </c>
      <c r="L2748">
        <v>284.71129999999999</v>
      </c>
      <c r="M2748">
        <v>-0.99970919999999996</v>
      </c>
      <c r="N2748">
        <v>-1.4151530000000001E-2</v>
      </c>
      <c r="O2748">
        <v>1.953266E-2</v>
      </c>
      <c r="P2748">
        <v>-0.92864369999999996</v>
      </c>
      <c r="Q2748">
        <v>0.37020259999999999</v>
      </c>
      <c r="R2748">
        <v>2.39026E-2</v>
      </c>
      <c r="S2748">
        <v>-3.3319399999999999</v>
      </c>
      <c r="T2748">
        <v>-0.27746300000000002</v>
      </c>
      <c r="U2748">
        <v>0.35769649999999997</v>
      </c>
      <c r="V2748">
        <v>5.6109749999999998E-3</v>
      </c>
      <c r="W2748">
        <v>0.38331379999999998</v>
      </c>
      <c r="X2748">
        <v>0.92360120000000001</v>
      </c>
      <c r="Y2748">
        <v>8.6994390000000005E-2</v>
      </c>
      <c r="Z2748">
        <v>2.8809019999999999E-3</v>
      </c>
      <c r="AA2748">
        <v>0.9962046</v>
      </c>
      <c r="AB2748">
        <v>29</v>
      </c>
      <c r="AC2748">
        <v>-0.77690000000001103</v>
      </c>
      <c r="AD2748">
        <v>-7.8566999999999998E-2</v>
      </c>
      <c r="AE2748">
        <v>9.8600000000033106E-2</v>
      </c>
      <c r="AF2748">
        <v>8.2573646564353495E-2</v>
      </c>
      <c r="AG2748">
        <v>-7.8566999999999998E-2</v>
      </c>
      <c r="AH2748">
        <v>0.77091862814929901</v>
      </c>
      <c r="AI2748">
        <v>95.786250448119404</v>
      </c>
      <c r="AJ2748">
        <v>83.886317067490495</v>
      </c>
      <c r="AK2748">
        <v>0.77929885911858798</v>
      </c>
      <c r="AL2748">
        <v>67.460902806799695</v>
      </c>
      <c r="AM2748">
        <v>89.651926360064607</v>
      </c>
      <c r="AN2748">
        <v>1.00000006447616</v>
      </c>
    </row>
    <row r="2749" spans="1:40" x14ac:dyDescent="0.25">
      <c r="A2749" t="str">
        <f>"20190304164906505"</f>
        <v>20190304164906505</v>
      </c>
      <c r="B2749" t="str">
        <f>"1551689346498667"</f>
        <v>1551689346498667</v>
      </c>
      <c r="C2749" t="s">
        <v>40</v>
      </c>
      <c r="D2749">
        <v>3.966126</v>
      </c>
      <c r="E2749">
        <v>0.54674829999999996</v>
      </c>
      <c r="F2749" t="s">
        <v>41</v>
      </c>
      <c r="G2749">
        <v>-420.40199999999999</v>
      </c>
      <c r="H2749">
        <v>1.046127</v>
      </c>
      <c r="I2749">
        <v>284.79349999999999</v>
      </c>
      <c r="J2749">
        <v>-419.79509999999999</v>
      </c>
      <c r="K2749">
        <v>1.111205</v>
      </c>
      <c r="L2749">
        <v>284.71460000000002</v>
      </c>
      <c r="M2749">
        <v>-0.99971200000000005</v>
      </c>
      <c r="N2749">
        <v>-1.4149709999999999E-2</v>
      </c>
      <c r="O2749">
        <v>1.9388059999999999E-2</v>
      </c>
      <c r="P2749">
        <v>-0.9287339</v>
      </c>
      <c r="Q2749">
        <v>0.37001709999999999</v>
      </c>
      <c r="R2749">
        <v>2.3254070000000002E-2</v>
      </c>
      <c r="S2749">
        <v>-3.3318479999999999</v>
      </c>
      <c r="T2749">
        <v>-0.27665250000000002</v>
      </c>
      <c r="U2749">
        <v>0.34744259999999999</v>
      </c>
      <c r="V2749">
        <v>5.0943730000000001E-3</v>
      </c>
      <c r="W2749">
        <v>0.38312750000000001</v>
      </c>
      <c r="X2749">
        <v>0.92368139999999999</v>
      </c>
      <c r="Y2749">
        <v>8.4121689999999999E-2</v>
      </c>
      <c r="Z2749">
        <v>2.746049E-3</v>
      </c>
      <c r="AA2749">
        <v>0.99645170000000005</v>
      </c>
      <c r="AB2749">
        <v>29</v>
      </c>
      <c r="AC2749">
        <v>-0.606899999999996</v>
      </c>
      <c r="AD2749">
        <v>-6.50779999999999E-2</v>
      </c>
      <c r="AE2749">
        <v>7.8899999999975906E-2</v>
      </c>
      <c r="AF2749">
        <v>6.6366951115071293E-2</v>
      </c>
      <c r="AG2749">
        <v>-6.50779999999999E-2</v>
      </c>
      <c r="AH2749">
        <v>0.60151432480494105</v>
      </c>
      <c r="AI2749">
        <v>96.137868991181193</v>
      </c>
      <c r="AJ2749">
        <v>83.703844108057794</v>
      </c>
      <c r="AK2749">
        <v>0.60865359707296096</v>
      </c>
      <c r="AL2749">
        <v>67.472457289857601</v>
      </c>
      <c r="AM2749">
        <v>89.684000227085406</v>
      </c>
      <c r="AN2749">
        <v>0.99999998129923595</v>
      </c>
    </row>
    <row r="2750" spans="1:40" x14ac:dyDescent="0.25">
      <c r="A2750" t="str">
        <f>"20190304164906518"</f>
        <v>20190304164906518</v>
      </c>
      <c r="B2750" t="str">
        <f>"1551689346508426"</f>
        <v>1551689346508426</v>
      </c>
      <c r="C2750" t="s">
        <v>40</v>
      </c>
      <c r="D2750">
        <v>3.9811740000000002</v>
      </c>
      <c r="E2750">
        <v>0.54636039999999997</v>
      </c>
      <c r="F2750" t="s">
        <v>41</v>
      </c>
      <c r="G2750">
        <v>-420.65390000000002</v>
      </c>
      <c r="H2750">
        <v>1.04052099999999</v>
      </c>
      <c r="I2750">
        <v>284.80090000000001</v>
      </c>
      <c r="J2750">
        <v>-419.96069999999997</v>
      </c>
      <c r="K2750">
        <v>1.1112059999999999</v>
      </c>
      <c r="L2750">
        <v>284.71769999999998</v>
      </c>
      <c r="M2750">
        <v>-0.99971460000000001</v>
      </c>
      <c r="N2750">
        <v>-1.4148010000000001E-2</v>
      </c>
      <c r="O2750">
        <v>1.9254199999999999E-2</v>
      </c>
      <c r="P2750">
        <v>-0.92874409999999996</v>
      </c>
      <c r="Q2750">
        <v>0.37001840000000003</v>
      </c>
      <c r="R2750">
        <v>2.282814E-2</v>
      </c>
      <c r="S2750">
        <v>-3.3311160000000002</v>
      </c>
      <c r="T2750">
        <v>-0.27429290000000001</v>
      </c>
      <c r="U2750">
        <v>0.3337097</v>
      </c>
      <c r="V2750">
        <v>4.7925820000000001E-3</v>
      </c>
      <c r="W2750">
        <v>0.383127</v>
      </c>
      <c r="X2750">
        <v>0.92368320000000004</v>
      </c>
      <c r="Y2750">
        <v>8.0230679999999999E-2</v>
      </c>
      <c r="Z2750">
        <v>2.552608E-3</v>
      </c>
      <c r="AA2750">
        <v>0.99677309999999997</v>
      </c>
      <c r="AB2750">
        <v>29</v>
      </c>
      <c r="AC2750">
        <v>-0.693200000000047</v>
      </c>
      <c r="AD2750">
        <v>-7.0685000000000095E-2</v>
      </c>
      <c r="AE2750">
        <v>8.32000000000334E-2</v>
      </c>
      <c r="AF2750">
        <v>6.9127665321187595E-2</v>
      </c>
      <c r="AG2750">
        <v>-7.0685000000000095E-2</v>
      </c>
      <c r="AH2750">
        <v>0.68762538733675804</v>
      </c>
      <c r="AI2750">
        <v>95.839918869971498</v>
      </c>
      <c r="AJ2750">
        <v>84.259285823924301</v>
      </c>
      <c r="AK2750">
        <v>0.69469682354807405</v>
      </c>
      <c r="AL2750">
        <v>67.472487809203301</v>
      </c>
      <c r="AM2750">
        <v>89.702720307700403</v>
      </c>
      <c r="AN2750">
        <v>0.99999996046673201</v>
      </c>
    </row>
    <row r="2751" spans="1:40" x14ac:dyDescent="0.25">
      <c r="A2751" t="str">
        <f>"20190304164906533"</f>
        <v>20190304164906533</v>
      </c>
      <c r="B2751" t="str">
        <f>"1551689346528921"</f>
        <v>1551689346528921</v>
      </c>
      <c r="C2751" t="s">
        <v>40</v>
      </c>
      <c r="D2751">
        <v>3.9873780000000001</v>
      </c>
      <c r="E2751">
        <v>0.5460988</v>
      </c>
      <c r="F2751" t="s">
        <v>41</v>
      </c>
      <c r="G2751">
        <v>-420.90539999999999</v>
      </c>
      <c r="H2751">
        <v>1.0335449999999999</v>
      </c>
      <c r="I2751">
        <v>284.81150000000002</v>
      </c>
      <c r="J2751">
        <v>-420.161</v>
      </c>
      <c r="K2751">
        <v>1.111208</v>
      </c>
      <c r="L2751">
        <v>284.72140000000002</v>
      </c>
      <c r="M2751">
        <v>-0.99971770000000004</v>
      </c>
      <c r="N2751">
        <v>-1.4145939999999999E-2</v>
      </c>
      <c r="O2751">
        <v>1.909514E-2</v>
      </c>
      <c r="P2751">
        <v>-0.92872129999999997</v>
      </c>
      <c r="Q2751">
        <v>0.37010029999999999</v>
      </c>
      <c r="R2751">
        <v>2.241988E-2</v>
      </c>
      <c r="S2751">
        <v>-3.331299</v>
      </c>
      <c r="T2751">
        <v>-0.27408250000000001</v>
      </c>
      <c r="U2751">
        <v>0.32919310000000002</v>
      </c>
      <c r="V2751">
        <v>4.5323000000000004E-3</v>
      </c>
      <c r="W2751">
        <v>0.38320680000000001</v>
      </c>
      <c r="X2751">
        <v>0.92365149999999996</v>
      </c>
      <c r="Y2751">
        <v>7.9050239999999994E-2</v>
      </c>
      <c r="Z2751">
        <v>2.5052049999999999E-3</v>
      </c>
      <c r="AA2751">
        <v>0.99686750000000002</v>
      </c>
      <c r="AB2751">
        <v>29</v>
      </c>
      <c r="AC2751">
        <v>-0.74439999999998396</v>
      </c>
      <c r="AD2751">
        <v>-7.7662999999999802E-2</v>
      </c>
      <c r="AE2751">
        <v>9.0100000000006703E-2</v>
      </c>
      <c r="AF2751">
        <v>7.5062491353060395E-2</v>
      </c>
      <c r="AG2751">
        <v>-7.7662999999999802E-2</v>
      </c>
      <c r="AH2751">
        <v>0.73806725983076205</v>
      </c>
      <c r="AI2751">
        <v>95.976231545696706</v>
      </c>
      <c r="AJ2751">
        <v>84.192903986718804</v>
      </c>
      <c r="AK2751">
        <v>0.745928414267226</v>
      </c>
      <c r="AL2751">
        <v>67.467539789066706</v>
      </c>
      <c r="AM2751">
        <v>89.718855458677496</v>
      </c>
      <c r="AN2751">
        <v>1.00000004338088</v>
      </c>
    </row>
    <row r="2752" spans="1:40" x14ac:dyDescent="0.25">
      <c r="A2752" t="str">
        <f>"20190304164906552"</f>
        <v>20190304164906552</v>
      </c>
      <c r="B2752" t="str">
        <f>"1551689346538681"</f>
        <v>1551689346538681</v>
      </c>
      <c r="C2752" t="s">
        <v>40</v>
      </c>
      <c r="D2752">
        <v>3.9822139999999999</v>
      </c>
      <c r="E2752">
        <v>0.54601630000000001</v>
      </c>
      <c r="F2752" t="s">
        <v>41</v>
      </c>
      <c r="G2752">
        <v>-420.91539999999998</v>
      </c>
      <c r="H2752">
        <v>1.04895</v>
      </c>
      <c r="I2752">
        <v>284.79559999999998</v>
      </c>
      <c r="J2752">
        <v>-420.39550000000003</v>
      </c>
      <c r="K2752">
        <v>1.1112109999999999</v>
      </c>
      <c r="L2752">
        <v>284.72559999999999</v>
      </c>
      <c r="M2752">
        <v>-0.99972119999999998</v>
      </c>
      <c r="N2752">
        <v>-1.414351E-2</v>
      </c>
      <c r="O2752">
        <v>1.891147E-2</v>
      </c>
      <c r="P2752">
        <v>-0.92859539999999996</v>
      </c>
      <c r="Q2752">
        <v>0.37045090000000003</v>
      </c>
      <c r="R2752">
        <v>2.183939E-2</v>
      </c>
      <c r="S2752">
        <v>-3.3321529999999999</v>
      </c>
      <c r="T2752">
        <v>-0.27534309999999901</v>
      </c>
      <c r="U2752">
        <v>0.32586670000000001</v>
      </c>
      <c r="V2752">
        <v>4.1251789999999997E-3</v>
      </c>
      <c r="W2752">
        <v>0.38355240000000002</v>
      </c>
      <c r="X2752">
        <v>0.92350989999999999</v>
      </c>
      <c r="Y2752">
        <v>7.8223500000000001E-2</v>
      </c>
      <c r="Z2752">
        <v>2.485003E-3</v>
      </c>
      <c r="AA2752">
        <v>0.9969327</v>
      </c>
      <c r="AB2752">
        <v>29</v>
      </c>
      <c r="AC2752">
        <v>-0.51989999999994996</v>
      </c>
      <c r="AD2752">
        <v>-6.22609999999999E-2</v>
      </c>
      <c r="AE2752">
        <v>6.9999999999993096E-2</v>
      </c>
      <c r="AF2752">
        <v>5.9318852921935297E-2</v>
      </c>
      <c r="AG2752">
        <v>-6.22609999999999E-2</v>
      </c>
      <c r="AH2752">
        <v>0.51389221366862203</v>
      </c>
      <c r="AI2752">
        <v>96.862913174329506</v>
      </c>
      <c r="AJ2752">
        <v>83.415458951891793</v>
      </c>
      <c r="AK2752">
        <v>0.52103777761522296</v>
      </c>
      <c r="AL2752">
        <v>67.446099107673504</v>
      </c>
      <c r="AM2752">
        <v>89.744070123692097</v>
      </c>
      <c r="AN2752">
        <v>0.99999999802277595</v>
      </c>
    </row>
    <row r="2753" spans="1:40" x14ac:dyDescent="0.25">
      <c r="A2753" t="str">
        <f>"20190304164906574"</f>
        <v>20190304164906574</v>
      </c>
      <c r="B2753" t="str">
        <f>"1551689346568937"</f>
        <v>1551689346568937</v>
      </c>
      <c r="C2753" t="s">
        <v>40</v>
      </c>
      <c r="D2753">
        <v>4.0091720000000004</v>
      </c>
      <c r="E2753">
        <v>0.54590559999999999</v>
      </c>
      <c r="F2753" t="s">
        <v>41</v>
      </c>
      <c r="G2753">
        <v>-421.1687</v>
      </c>
      <c r="H2753">
        <v>1.0475680000000001</v>
      </c>
      <c r="I2753">
        <v>284.80119999999999</v>
      </c>
      <c r="J2753">
        <v>-420.68270000000001</v>
      </c>
      <c r="K2753">
        <v>1.1112120000000001</v>
      </c>
      <c r="L2753">
        <v>284.73090000000002</v>
      </c>
      <c r="M2753">
        <v>-0.99972550000000004</v>
      </c>
      <c r="N2753">
        <v>-1.414052E-2</v>
      </c>
      <c r="O2753">
        <v>1.8688960000000001E-2</v>
      </c>
      <c r="P2753">
        <v>-0.92836459999999998</v>
      </c>
      <c r="Q2753">
        <v>0.3710444</v>
      </c>
      <c r="R2753">
        <v>2.1575259999999999E-2</v>
      </c>
      <c r="S2753">
        <v>-3.3325200000000001</v>
      </c>
      <c r="T2753">
        <v>-0.27441510000000002</v>
      </c>
      <c r="U2753">
        <v>0.32464599999999999</v>
      </c>
      <c r="V2753">
        <v>4.0728300000000004E-3</v>
      </c>
      <c r="W2753">
        <v>0.38414019999999999</v>
      </c>
      <c r="X2753">
        <v>0.92326580000000003</v>
      </c>
      <c r="Y2753">
        <v>7.8074749999999998E-2</v>
      </c>
      <c r="Z2753">
        <v>2.4870280000000001E-3</v>
      </c>
      <c r="AA2753">
        <v>0.99694439999999995</v>
      </c>
      <c r="AB2753">
        <v>29</v>
      </c>
      <c r="AC2753">
        <v>-0.48599999999999</v>
      </c>
      <c r="AD2753">
        <v>-6.3644000000000006E-2</v>
      </c>
      <c r="AE2753">
        <v>7.0299999999974702E-2</v>
      </c>
      <c r="AF2753">
        <v>6.0192877737943601E-2</v>
      </c>
      <c r="AG2753">
        <v>-6.3644000000000006E-2</v>
      </c>
      <c r="AH2753">
        <v>0.47917995817883302</v>
      </c>
      <c r="AI2753">
        <v>97.507344808031803</v>
      </c>
      <c r="AJ2753">
        <v>82.840210579930798</v>
      </c>
      <c r="AK2753">
        <v>0.48712131300800598</v>
      </c>
      <c r="AL2753">
        <v>67.409627025370597</v>
      </c>
      <c r="AM2753">
        <v>89.747251055976804</v>
      </c>
      <c r="AN2753">
        <v>1.0000000093249399</v>
      </c>
    </row>
    <row r="2754" spans="1:40" x14ac:dyDescent="0.25">
      <c r="A2754" t="str">
        <f>"20190304164906589"</f>
        <v>20190304164906589</v>
      </c>
      <c r="B2754" t="str">
        <f>"1551689346578698"</f>
        <v>1551689346578698</v>
      </c>
      <c r="C2754" t="s">
        <v>40</v>
      </c>
      <c r="D2754">
        <v>4.0230059999999996</v>
      </c>
      <c r="E2754">
        <v>0.54587819999999898</v>
      </c>
      <c r="F2754" t="s">
        <v>41</v>
      </c>
      <c r="G2754">
        <v>-421.4255</v>
      </c>
      <c r="H2754">
        <v>1.0500240000000001</v>
      </c>
      <c r="I2754">
        <v>284.80340000000001</v>
      </c>
      <c r="J2754">
        <v>-420.8716</v>
      </c>
      <c r="K2754">
        <v>1.1112059999999999</v>
      </c>
      <c r="L2754">
        <v>284.73430000000002</v>
      </c>
      <c r="M2754">
        <v>-0.99972810000000001</v>
      </c>
      <c r="N2754">
        <v>-1.413857E-2</v>
      </c>
      <c r="O2754">
        <v>1.8544330000000001E-2</v>
      </c>
      <c r="P2754">
        <v>-0.92829139999999999</v>
      </c>
      <c r="Q2754">
        <v>0.37123519999999999</v>
      </c>
      <c r="R2754">
        <v>2.143376E-2</v>
      </c>
      <c r="S2754">
        <v>-3.3338320000000001</v>
      </c>
      <c r="T2754">
        <v>-0.27493509999999999</v>
      </c>
      <c r="U2754">
        <v>0.32357789999999997</v>
      </c>
      <c r="V2754">
        <v>4.067579E-3</v>
      </c>
      <c r="W2754">
        <v>0.3843278</v>
      </c>
      <c r="X2754">
        <v>0.92318769999999994</v>
      </c>
      <c r="Y2754">
        <v>7.7864470000000005E-2</v>
      </c>
      <c r="Z2754">
        <v>2.4891399999999999E-3</v>
      </c>
      <c r="AA2754">
        <v>0.99696079999999998</v>
      </c>
      <c r="AB2754">
        <v>28</v>
      </c>
      <c r="AC2754">
        <v>-0.55389999999999795</v>
      </c>
      <c r="AD2754">
        <v>-6.1181999999999799E-2</v>
      </c>
      <c r="AE2754">
        <v>6.9099999999991696E-2</v>
      </c>
      <c r="AF2754">
        <v>5.8117180364005698E-2</v>
      </c>
      <c r="AG2754">
        <v>-6.1181999999999799E-2</v>
      </c>
      <c r="AH2754">
        <v>0.54849678278931202</v>
      </c>
      <c r="AI2754">
        <v>96.329597980231497</v>
      </c>
      <c r="AJ2754">
        <v>83.9516672998583</v>
      </c>
      <c r="AK2754">
        <v>0.55495005586781199</v>
      </c>
      <c r="AL2754">
        <v>67.397983588679693</v>
      </c>
      <c r="AM2754">
        <v>89.747555560525299</v>
      </c>
      <c r="AN2754">
        <v>0.99999996624152498</v>
      </c>
    </row>
    <row r="2755" spans="1:40" x14ac:dyDescent="0.25">
      <c r="A2755" t="str">
        <f>"20190304164906607"</f>
        <v>20190304164906607</v>
      </c>
      <c r="B2755" t="str">
        <f>"1551689346598499"</f>
        <v>1551689346598499</v>
      </c>
      <c r="C2755" t="s">
        <v>40</v>
      </c>
      <c r="D2755">
        <v>4.0284879999999896</v>
      </c>
      <c r="E2755">
        <v>0.54585490000000003</v>
      </c>
      <c r="F2755" t="s">
        <v>41</v>
      </c>
      <c r="G2755">
        <v>-421.6748</v>
      </c>
      <c r="H2755">
        <v>1.0450900000000001</v>
      </c>
      <c r="I2755">
        <v>284.81229999999999</v>
      </c>
      <c r="J2755">
        <v>-421.0976</v>
      </c>
      <c r="K2755">
        <v>1.1112109999999999</v>
      </c>
      <c r="L2755">
        <v>284.73829999999998</v>
      </c>
      <c r="M2755">
        <v>-0.99973129999999999</v>
      </c>
      <c r="N2755">
        <v>-1.413622E-2</v>
      </c>
      <c r="O2755">
        <v>1.8371350000000002E-2</v>
      </c>
      <c r="P2755">
        <v>-0.92827119999999996</v>
      </c>
      <c r="Q2755">
        <v>0.37125150000000001</v>
      </c>
      <c r="R2755">
        <v>2.2020609999999999E-2</v>
      </c>
      <c r="S2755">
        <v>-3.3341059999999998</v>
      </c>
      <c r="T2755">
        <v>-0.27463559999999998</v>
      </c>
      <c r="U2755">
        <v>0.32308959999999998</v>
      </c>
      <c r="V2755">
        <v>4.8163779999999996E-3</v>
      </c>
      <c r="W2755">
        <v>0.38434230000000003</v>
      </c>
      <c r="X2755">
        <v>0.9231781</v>
      </c>
      <c r="Y2755">
        <v>7.7884490000000001E-2</v>
      </c>
      <c r="Z2755">
        <v>2.4997660000000001E-3</v>
      </c>
      <c r="AA2755">
        <v>0.99695929999999999</v>
      </c>
      <c r="AB2755">
        <v>28</v>
      </c>
      <c r="AC2755">
        <v>-0.57720000000000404</v>
      </c>
      <c r="AD2755">
        <v>-6.6120999999999805E-2</v>
      </c>
      <c r="AE2755">
        <v>7.4000000000012195E-2</v>
      </c>
      <c r="AF2755">
        <v>6.2574630822368901E-2</v>
      </c>
      <c r="AG2755">
        <v>-6.6120999999999805E-2</v>
      </c>
      <c r="AH2755">
        <v>0.57108908970684502</v>
      </c>
      <c r="AI2755">
        <v>96.565382650917797</v>
      </c>
      <c r="AJ2755">
        <v>83.747005704127901</v>
      </c>
      <c r="AK2755">
        <v>0.57829950669678798</v>
      </c>
      <c r="AL2755">
        <v>67.397084550755594</v>
      </c>
      <c r="AM2755">
        <v>89.701080833455507</v>
      </c>
      <c r="AN2755">
        <v>1.0000000026929601</v>
      </c>
    </row>
    <row r="2756" spans="1:40" x14ac:dyDescent="0.25">
      <c r="A2756" t="str">
        <f>"20190304164906621"</f>
        <v>20190304164906621</v>
      </c>
      <c r="B2756" t="str">
        <f>"1551689346618994"</f>
        <v>1551689346618994</v>
      </c>
      <c r="C2756" t="s">
        <v>40</v>
      </c>
      <c r="D2756">
        <v>4.0626110000000004</v>
      </c>
      <c r="E2756">
        <v>0.54592410000000002</v>
      </c>
      <c r="F2756" t="s">
        <v>41</v>
      </c>
      <c r="G2756">
        <v>-421.92689999999999</v>
      </c>
      <c r="H2756">
        <v>1.042489</v>
      </c>
      <c r="I2756">
        <v>284.8193</v>
      </c>
      <c r="J2756">
        <v>-421.28089999999997</v>
      </c>
      <c r="K2756">
        <v>1.1112109999999999</v>
      </c>
      <c r="L2756">
        <v>284.74149999999997</v>
      </c>
      <c r="M2756">
        <v>-0.99973400000000001</v>
      </c>
      <c r="N2756">
        <v>-1.4134330000000001E-2</v>
      </c>
      <c r="O2756">
        <v>1.823089E-2</v>
      </c>
      <c r="P2756">
        <v>-0.92828350000000004</v>
      </c>
      <c r="Q2756">
        <v>0.37121799999999999</v>
      </c>
      <c r="R2756">
        <v>2.2075259999999999E-2</v>
      </c>
      <c r="S2756">
        <v>-3.3347470000000001</v>
      </c>
      <c r="T2756">
        <v>-0.2765011</v>
      </c>
      <c r="U2756">
        <v>0.32406620000000003</v>
      </c>
      <c r="V2756">
        <v>5.0022790000000001E-3</v>
      </c>
      <c r="W2756">
        <v>0.3843066</v>
      </c>
      <c r="X2756">
        <v>0.92319200000000001</v>
      </c>
      <c r="Y2756">
        <v>7.8290399999999996E-2</v>
      </c>
      <c r="Z2756">
        <v>2.5400039999999998E-3</v>
      </c>
      <c r="AA2756">
        <v>0.99692740000000002</v>
      </c>
      <c r="AB2756">
        <v>28</v>
      </c>
      <c r="AC2756">
        <v>-0.64600000000001501</v>
      </c>
      <c r="AD2756">
        <v>-6.8721999999999894E-2</v>
      </c>
      <c r="AE2756">
        <v>7.7800000000024697E-2</v>
      </c>
      <c r="AF2756">
        <v>6.52805275609145E-2</v>
      </c>
      <c r="AG2756">
        <v>-6.8721999999999894E-2</v>
      </c>
      <c r="AH2756">
        <v>0.64016997315797597</v>
      </c>
      <c r="AI2756">
        <v>96.095842772343403</v>
      </c>
      <c r="AJ2756">
        <v>84.177461479475696</v>
      </c>
      <c r="AK2756">
        <v>0.64714902077938397</v>
      </c>
      <c r="AL2756">
        <v>67.399300759444003</v>
      </c>
      <c r="AM2756">
        <v>89.689548144077605</v>
      </c>
      <c r="AN2756">
        <v>1.00000002723137</v>
      </c>
    </row>
    <row r="2757" spans="1:40" x14ac:dyDescent="0.25">
      <c r="A2757" t="str">
        <f>"20190304164906636"</f>
        <v>20190304164906636</v>
      </c>
      <c r="B2757" t="str">
        <f>"1551689346628755"</f>
        <v>1551689346628755</v>
      </c>
      <c r="C2757" t="s">
        <v>40</v>
      </c>
      <c r="D2757">
        <v>4.0505810000000002</v>
      </c>
      <c r="E2757">
        <v>0.54594560000000003</v>
      </c>
      <c r="F2757" t="s">
        <v>41</v>
      </c>
      <c r="G2757">
        <v>-422.17739999999998</v>
      </c>
      <c r="H2757">
        <v>1.036629</v>
      </c>
      <c r="I2757">
        <v>284.82909999999998</v>
      </c>
      <c r="J2757">
        <v>-421.46280000000002</v>
      </c>
      <c r="K2757">
        <v>1.1112120000000001</v>
      </c>
      <c r="L2757">
        <v>284.74459999999999</v>
      </c>
      <c r="M2757">
        <v>-0.99973659999999998</v>
      </c>
      <c r="N2757">
        <v>-1.413244E-2</v>
      </c>
      <c r="O2757">
        <v>1.809181E-2</v>
      </c>
      <c r="P2757">
        <v>-0.92814870000000005</v>
      </c>
      <c r="Q2757">
        <v>0.37155120000000003</v>
      </c>
      <c r="R2757">
        <v>2.2138669999999999E-2</v>
      </c>
      <c r="S2757">
        <v>-3.3350520000000001</v>
      </c>
      <c r="T2757">
        <v>-0.27762880000000001</v>
      </c>
      <c r="U2757">
        <v>0.32470700000000002</v>
      </c>
      <c r="V2757">
        <v>5.1979920000000002E-3</v>
      </c>
      <c r="W2757">
        <v>0.3846368</v>
      </c>
      <c r="X2757">
        <v>0.92305340000000002</v>
      </c>
      <c r="Y2757">
        <v>7.8606590000000004E-2</v>
      </c>
      <c r="Z2757">
        <v>2.571668E-3</v>
      </c>
      <c r="AA2757">
        <v>0.99690239999999997</v>
      </c>
      <c r="AB2757">
        <v>28</v>
      </c>
      <c r="AC2757">
        <v>-0.71459999999996104</v>
      </c>
      <c r="AD2757">
        <v>-7.4582999999999997E-2</v>
      </c>
      <c r="AE2757">
        <v>8.4499999999991304E-2</v>
      </c>
      <c r="AF2757">
        <v>7.0795914113354202E-2</v>
      </c>
      <c r="AG2757">
        <v>-7.4582999999999997E-2</v>
      </c>
      <c r="AH2757">
        <v>0.70840161185613704</v>
      </c>
      <c r="AI2757">
        <v>95.980584754025799</v>
      </c>
      <c r="AJ2757">
        <v>84.292950170810101</v>
      </c>
      <c r="AK2757">
        <v>0.71582646571953301</v>
      </c>
      <c r="AL2757">
        <v>67.378806574739897</v>
      </c>
      <c r="AM2757">
        <v>89.677353601147004</v>
      </c>
      <c r="AN2757">
        <v>1.0000000331433101</v>
      </c>
    </row>
    <row r="2758" spans="1:40" x14ac:dyDescent="0.25">
      <c r="A2758" t="str">
        <f>"20190304164906649"</f>
        <v>20190304164906649</v>
      </c>
      <c r="B2758" t="str">
        <f>"1551689346638515"</f>
        <v>1551689346638515</v>
      </c>
      <c r="C2758" t="s">
        <v>40</v>
      </c>
      <c r="D2758">
        <v>4.0850220000000004</v>
      </c>
      <c r="E2758">
        <v>0.54596750000000005</v>
      </c>
      <c r="F2758" t="s">
        <v>41</v>
      </c>
      <c r="G2758">
        <v>-422.42770000000002</v>
      </c>
      <c r="H2758">
        <v>1.031037</v>
      </c>
      <c r="I2758">
        <v>284.83890000000002</v>
      </c>
      <c r="J2758">
        <v>-421.63159999999999</v>
      </c>
      <c r="K2758">
        <v>1.1112139999999999</v>
      </c>
      <c r="L2758">
        <v>284.7475</v>
      </c>
      <c r="M2758">
        <v>-0.99973880000000004</v>
      </c>
      <c r="N2758">
        <v>-1.413067E-2</v>
      </c>
      <c r="O2758">
        <v>1.796304E-2</v>
      </c>
      <c r="P2758">
        <v>-0.92806060000000001</v>
      </c>
      <c r="Q2758">
        <v>0.37177189999999999</v>
      </c>
      <c r="R2758">
        <v>2.212155E-2</v>
      </c>
      <c r="S2758">
        <v>-3.3355410000000001</v>
      </c>
      <c r="T2758">
        <v>-0.2773274</v>
      </c>
      <c r="U2758">
        <v>0.32485960000000003</v>
      </c>
      <c r="V2758">
        <v>5.3027359999999997E-3</v>
      </c>
      <c r="W2758">
        <v>0.38485469999999999</v>
      </c>
      <c r="X2758">
        <v>0.92296199999999995</v>
      </c>
      <c r="Y2758">
        <v>7.8765749999999995E-2</v>
      </c>
      <c r="Z2758">
        <v>2.5859659999999999E-3</v>
      </c>
      <c r="AA2758">
        <v>0.99688980000000005</v>
      </c>
      <c r="AB2758">
        <v>28</v>
      </c>
      <c r="AC2758">
        <v>-0.79610000000002401</v>
      </c>
      <c r="AD2758">
        <v>-8.0176999999999901E-2</v>
      </c>
      <c r="AE2758">
        <v>9.1400000000021395E-2</v>
      </c>
      <c r="AF2758">
        <v>7.6319412648550494E-2</v>
      </c>
      <c r="AG2758">
        <v>-8.0176999999999901E-2</v>
      </c>
      <c r="AH2758">
        <v>0.78970775102186397</v>
      </c>
      <c r="AI2758">
        <v>95.770526453418697</v>
      </c>
      <c r="AJ2758">
        <v>84.479929572094903</v>
      </c>
      <c r="AK2758">
        <v>0.797427950413095</v>
      </c>
      <c r="AL2758">
        <v>67.3652811857133</v>
      </c>
      <c r="AM2758">
        <v>89.6708195464618</v>
      </c>
      <c r="AN2758">
        <v>1.0000000562825799</v>
      </c>
    </row>
    <row r="2759" spans="1:40" x14ac:dyDescent="0.25">
      <c r="A2759" t="str">
        <f>"20190304164906664"</f>
        <v>20190304164906664</v>
      </c>
      <c r="B2759" t="str">
        <f>"1551689346659015"</f>
        <v>1551689346659015</v>
      </c>
      <c r="C2759" t="s">
        <v>40</v>
      </c>
      <c r="D2759">
        <v>4.0909490000000002</v>
      </c>
      <c r="E2759">
        <v>0.5459986</v>
      </c>
      <c r="F2759" t="s">
        <v>41</v>
      </c>
      <c r="G2759">
        <v>-422.43470000000002</v>
      </c>
      <c r="H2759">
        <v>1.044594</v>
      </c>
      <c r="I2759">
        <v>284.82619999999997</v>
      </c>
      <c r="J2759">
        <v>-421.81659999999999</v>
      </c>
      <c r="K2759">
        <v>1.1112120000000001</v>
      </c>
      <c r="L2759">
        <v>284.75080000000003</v>
      </c>
      <c r="M2759">
        <v>-0.99974149999999995</v>
      </c>
      <c r="N2759">
        <v>-1.4128720000000001E-2</v>
      </c>
      <c r="O2759">
        <v>1.7821750000000001E-2</v>
      </c>
      <c r="P2759">
        <v>-0.92797569999999996</v>
      </c>
      <c r="Q2759">
        <v>0.37198789999999998</v>
      </c>
      <c r="R2759">
        <v>2.2058049999999999E-2</v>
      </c>
      <c r="S2759">
        <v>-3.3357540000000001</v>
      </c>
      <c r="T2759">
        <v>-0.27691900000000003</v>
      </c>
      <c r="U2759">
        <v>0.32543949999999999</v>
      </c>
      <c r="V2759">
        <v>5.3724109999999997E-3</v>
      </c>
      <c r="W2759">
        <v>0.3850673</v>
      </c>
      <c r="X2759">
        <v>0.9228729</v>
      </c>
      <c r="Y2759">
        <v>7.9071340000000004E-2</v>
      </c>
      <c r="Z2759">
        <v>2.6076099999999998E-3</v>
      </c>
      <c r="AA2759">
        <v>0.99686560000000002</v>
      </c>
      <c r="AB2759">
        <v>28</v>
      </c>
      <c r="AC2759">
        <v>-0.61810000000002596</v>
      </c>
      <c r="AD2759">
        <v>-6.6617999999999997E-2</v>
      </c>
      <c r="AE2759">
        <v>7.5399999999944997E-2</v>
      </c>
      <c r="AF2759">
        <v>6.3642850023474806E-2</v>
      </c>
      <c r="AG2759">
        <v>-6.6617999999999997E-2</v>
      </c>
      <c r="AH2759">
        <v>0.61233694849109199</v>
      </c>
      <c r="AI2759">
        <v>96.175954112689197</v>
      </c>
      <c r="AJ2759">
        <v>84.066304469013204</v>
      </c>
      <c r="AK2759">
        <v>0.61922928610531003</v>
      </c>
      <c r="AL2759">
        <v>67.352082538936301</v>
      </c>
      <c r="AM2759">
        <v>89.666462197540397</v>
      </c>
      <c r="AN2759">
        <v>1.00000003894182</v>
      </c>
    </row>
    <row r="2760" spans="1:40" x14ac:dyDescent="0.25">
      <c r="A2760" t="str">
        <f>"20190304164906679"</f>
        <v>20190304164906679</v>
      </c>
      <c r="B2760" t="str">
        <f>"1551689346668771"</f>
        <v>1551689346668771</v>
      </c>
      <c r="C2760" t="s">
        <v>40</v>
      </c>
      <c r="D2760">
        <v>4.0896249999999998</v>
      </c>
      <c r="E2760">
        <v>0.54601279999999996</v>
      </c>
      <c r="F2760" t="s">
        <v>41</v>
      </c>
      <c r="G2760">
        <v>-422.68470000000002</v>
      </c>
      <c r="H2760">
        <v>1.0391170000000001</v>
      </c>
      <c r="I2760">
        <v>284.83569999999997</v>
      </c>
      <c r="J2760">
        <v>-422.00409999999999</v>
      </c>
      <c r="K2760">
        <v>1.11121</v>
      </c>
      <c r="L2760">
        <v>284.75389999999999</v>
      </c>
      <c r="M2760">
        <v>-0.99974399999999997</v>
      </c>
      <c r="N2760">
        <v>-1.4126730000000001E-2</v>
      </c>
      <c r="O2760">
        <v>1.7678559999999999E-2</v>
      </c>
      <c r="P2760">
        <v>-0.92794699999999997</v>
      </c>
      <c r="Q2760">
        <v>0.37205660000000002</v>
      </c>
      <c r="R2760">
        <v>2.210026E-2</v>
      </c>
      <c r="S2760">
        <v>-3.3361209999999999</v>
      </c>
      <c r="T2760">
        <v>-0.27712009999999998</v>
      </c>
      <c r="U2760">
        <v>0.32565309999999997</v>
      </c>
      <c r="V2760">
        <v>5.548664E-3</v>
      </c>
      <c r="W2760">
        <v>0.38513370000000002</v>
      </c>
      <c r="X2760">
        <v>0.92284409999999895</v>
      </c>
      <c r="Y2760">
        <v>7.9265360000000007E-2</v>
      </c>
      <c r="Z2760">
        <v>2.6278209999999998E-3</v>
      </c>
      <c r="AA2760">
        <v>0.99685009999999996</v>
      </c>
      <c r="AB2760">
        <v>28</v>
      </c>
      <c r="AC2760">
        <v>-0.68060000000002596</v>
      </c>
      <c r="AD2760">
        <v>-7.2092999999999893E-2</v>
      </c>
      <c r="AE2760">
        <v>8.1799999999986994E-2</v>
      </c>
      <c r="AF2760">
        <v>6.8990913997597603E-2</v>
      </c>
      <c r="AG2760">
        <v>-7.2092999999999893E-2</v>
      </c>
      <c r="AH2760">
        <v>0.67447980032910104</v>
      </c>
      <c r="AI2760">
        <v>96.0695683992342</v>
      </c>
      <c r="AJ2760">
        <v>84.159664872812897</v>
      </c>
      <c r="AK2760">
        <v>0.681821199373566</v>
      </c>
      <c r="AL2760">
        <v>67.347959078200006</v>
      </c>
      <c r="AM2760">
        <v>89.655509312744698</v>
      </c>
      <c r="AN2760">
        <v>0.99999999372634196</v>
      </c>
    </row>
    <row r="2761" spans="1:40" x14ac:dyDescent="0.25">
      <c r="A2761" t="str">
        <f>"20190304164906697"</f>
        <v>20190304164906697</v>
      </c>
      <c r="B2761" t="str">
        <f>"1551689346688290"</f>
        <v>1551689346688290</v>
      </c>
      <c r="C2761" t="s">
        <v>40</v>
      </c>
      <c r="D2761">
        <v>4.0876469999999996</v>
      </c>
      <c r="E2761">
        <v>0.54599690000000001</v>
      </c>
      <c r="F2761" t="s">
        <v>41</v>
      </c>
      <c r="G2761">
        <v>-422.93470000000002</v>
      </c>
      <c r="H2761">
        <v>1.033936</v>
      </c>
      <c r="I2761">
        <v>284.84519999999998</v>
      </c>
      <c r="J2761">
        <v>-422.23200000000003</v>
      </c>
      <c r="K2761">
        <v>1.11121</v>
      </c>
      <c r="L2761">
        <v>284.75779999999997</v>
      </c>
      <c r="M2761">
        <v>-0.99974700000000005</v>
      </c>
      <c r="N2761">
        <v>-1.4124340000000001E-2</v>
      </c>
      <c r="O2761">
        <v>1.750467E-2</v>
      </c>
      <c r="P2761">
        <v>-0.9280931</v>
      </c>
      <c r="Q2761">
        <v>0.37170049999999999</v>
      </c>
      <c r="R2761">
        <v>2.1956E-2</v>
      </c>
      <c r="S2761">
        <v>-3.336395</v>
      </c>
      <c r="T2761">
        <v>-0.27735749999999998</v>
      </c>
      <c r="U2761">
        <v>0.32553100000000001</v>
      </c>
      <c r="V2761">
        <v>5.5639840000000001E-3</v>
      </c>
      <c r="W2761">
        <v>0.3847777</v>
      </c>
      <c r="X2761">
        <v>0.92299249999999999</v>
      </c>
      <c r="Y2761">
        <v>7.9393389999999994E-2</v>
      </c>
      <c r="Z2761">
        <v>2.6472380000000001E-3</v>
      </c>
      <c r="AA2761">
        <v>0.99683980000000005</v>
      </c>
      <c r="AB2761">
        <v>28</v>
      </c>
      <c r="AC2761">
        <v>-0.70270000000004895</v>
      </c>
      <c r="AD2761">
        <v>-7.7273999999999995E-2</v>
      </c>
      <c r="AE2761">
        <v>8.7400000000002295E-2</v>
      </c>
      <c r="AF2761">
        <v>7.4201216175519405E-2</v>
      </c>
      <c r="AG2761">
        <v>-7.7273999999999995E-2</v>
      </c>
      <c r="AH2761">
        <v>0.69583595614848903</v>
      </c>
      <c r="AI2761">
        <v>96.301411894793105</v>
      </c>
      <c r="AJ2761">
        <v>83.913204827661005</v>
      </c>
      <c r="AK2761">
        <v>0.70403463652508402</v>
      </c>
      <c r="AL2761">
        <v>67.370059594626795</v>
      </c>
      <c r="AM2761">
        <v>89.654613727626398</v>
      </c>
      <c r="AN2761">
        <v>0.99999999569574605</v>
      </c>
    </row>
    <row r="2762" spans="1:40" x14ac:dyDescent="0.25">
      <c r="A2762" t="str">
        <f>"20190304164906711"</f>
        <v>20190304164906711</v>
      </c>
      <c r="B2762" t="str">
        <f>"1551689346708787"</f>
        <v>1551689346708787</v>
      </c>
      <c r="C2762" t="s">
        <v>40</v>
      </c>
      <c r="D2762">
        <v>4.0664749999999996</v>
      </c>
      <c r="E2762">
        <v>0.54604790000000003</v>
      </c>
      <c r="F2762" t="s">
        <v>41</v>
      </c>
      <c r="G2762">
        <v>-423.18560000000002</v>
      </c>
      <c r="H2762">
        <v>1.031339</v>
      </c>
      <c r="I2762">
        <v>284.85090000000002</v>
      </c>
      <c r="J2762">
        <v>-422.41919999999999</v>
      </c>
      <c r="K2762">
        <v>1.1112089999999999</v>
      </c>
      <c r="L2762">
        <v>284.76089999999999</v>
      </c>
      <c r="M2762">
        <v>-0.99974969999999996</v>
      </c>
      <c r="N2762">
        <v>-1.412238E-2</v>
      </c>
      <c r="O2762">
        <v>1.7361339999999999E-2</v>
      </c>
      <c r="P2762">
        <v>-0.92808979999999996</v>
      </c>
      <c r="Q2762">
        <v>0.37170720000000002</v>
      </c>
      <c r="R2762">
        <v>2.1995649999999999E-2</v>
      </c>
      <c r="S2762">
        <v>-3.3367309999999999</v>
      </c>
      <c r="T2762">
        <v>-0.2795744</v>
      </c>
      <c r="U2762">
        <v>0.32458500000000001</v>
      </c>
      <c r="V2762">
        <v>5.7373320000000004E-3</v>
      </c>
      <c r="W2762">
        <v>0.38478210000000002</v>
      </c>
      <c r="X2762">
        <v>0.92298959999999997</v>
      </c>
      <c r="Y2762">
        <v>7.9243040000000001E-2</v>
      </c>
      <c r="Z2762">
        <v>2.6642049999999998E-3</v>
      </c>
      <c r="AA2762">
        <v>0.99685170000000001</v>
      </c>
      <c r="AB2762">
        <v>28</v>
      </c>
      <c r="AC2762">
        <v>-0.76640000000003194</v>
      </c>
      <c r="AD2762">
        <v>-7.9870000000000094E-2</v>
      </c>
      <c r="AE2762">
        <v>9.0000000000031805E-2</v>
      </c>
      <c r="AF2762">
        <v>7.5866622878644305E-2</v>
      </c>
      <c r="AG2762">
        <v>-7.9870000000000094E-2</v>
      </c>
      <c r="AH2762">
        <v>0.75970843898188201</v>
      </c>
      <c r="AI2762">
        <v>95.972109684797203</v>
      </c>
      <c r="AJ2762">
        <v>84.297189297849897</v>
      </c>
      <c r="AK2762">
        <v>0.76765348538731903</v>
      </c>
      <c r="AL2762">
        <v>67.3697863662332</v>
      </c>
      <c r="AM2762">
        <v>89.643852243306199</v>
      </c>
      <c r="AN2762">
        <v>0.99999999158352404</v>
      </c>
    </row>
    <row r="2763" spans="1:40" x14ac:dyDescent="0.25">
      <c r="A2763" t="str">
        <f>"20190304164906731"</f>
        <v>20190304164906731</v>
      </c>
      <c r="B2763" t="str">
        <f>"1551689346718547"</f>
        <v>1551689346718547</v>
      </c>
      <c r="C2763" t="s">
        <v>40</v>
      </c>
      <c r="D2763">
        <v>4.0964790000000004</v>
      </c>
      <c r="E2763">
        <v>0.54606919999999903</v>
      </c>
      <c r="F2763" t="s">
        <v>41</v>
      </c>
      <c r="G2763">
        <v>-423.19400000000002</v>
      </c>
      <c r="H2763">
        <v>1.046214</v>
      </c>
      <c r="I2763">
        <v>284.83659999999998</v>
      </c>
      <c r="J2763">
        <v>-422.65589999999997</v>
      </c>
      <c r="K2763">
        <v>1.1112089999999999</v>
      </c>
      <c r="L2763">
        <v>284.76479999999998</v>
      </c>
      <c r="M2763">
        <v>-0.99975290000000006</v>
      </c>
      <c r="N2763">
        <v>-1.411988E-2</v>
      </c>
      <c r="O2763">
        <v>1.718018E-2</v>
      </c>
      <c r="P2763">
        <v>-0.92813610000000002</v>
      </c>
      <c r="Q2763">
        <v>0.37159880000000001</v>
      </c>
      <c r="R2763">
        <v>2.1867790000000002E-2</v>
      </c>
      <c r="S2763">
        <v>-3.3369140000000002</v>
      </c>
      <c r="T2763">
        <v>-0.28006679999999901</v>
      </c>
      <c r="U2763">
        <v>0.32479859999999999</v>
      </c>
      <c r="V2763">
        <v>5.7771659999999898E-3</v>
      </c>
      <c r="W2763">
        <v>0.38467249999999997</v>
      </c>
      <c r="X2763">
        <v>0.9230351</v>
      </c>
      <c r="Y2763">
        <v>7.9479359999999999E-2</v>
      </c>
      <c r="Z2763">
        <v>2.6913559999999998E-3</v>
      </c>
      <c r="AA2763">
        <v>0.99683290000000002</v>
      </c>
      <c r="AB2763">
        <v>28</v>
      </c>
      <c r="AC2763">
        <v>-0.53810000000004199</v>
      </c>
      <c r="AD2763">
        <v>-6.4995000000000094E-2</v>
      </c>
      <c r="AE2763">
        <v>7.1799999999996006E-2</v>
      </c>
      <c r="AF2763">
        <v>6.1659987299329998E-2</v>
      </c>
      <c r="AG2763">
        <v>-6.4995000000000094E-2</v>
      </c>
      <c r="AH2763">
        <v>0.53163374768924798</v>
      </c>
      <c r="AI2763">
        <v>96.924158773992801</v>
      </c>
      <c r="AJ2763">
        <v>83.384275271266802</v>
      </c>
      <c r="AK2763">
        <v>0.53912961868262099</v>
      </c>
      <c r="AL2763">
        <v>67.376591068363197</v>
      </c>
      <c r="AM2763">
        <v>89.641397269505703</v>
      </c>
      <c r="AN2763">
        <v>1.00000005186762</v>
      </c>
    </row>
    <row r="2764" spans="1:40" x14ac:dyDescent="0.25">
      <c r="A2764" t="str">
        <f>"20190304164906754"</f>
        <v>20190304164906754</v>
      </c>
      <c r="B2764" t="str">
        <f>"1551689346748803"</f>
        <v>1551689346748803</v>
      </c>
      <c r="C2764" t="s">
        <v>40</v>
      </c>
      <c r="D2764">
        <v>4.0303820000000004</v>
      </c>
      <c r="E2764">
        <v>0.54608100000000004</v>
      </c>
      <c r="F2764" t="s">
        <v>41</v>
      </c>
      <c r="G2764">
        <v>-423.44470000000001</v>
      </c>
      <c r="H2764">
        <v>1.044861</v>
      </c>
      <c r="I2764">
        <v>284.84179999999998</v>
      </c>
      <c r="J2764">
        <v>-422.94740000000002</v>
      </c>
      <c r="K2764">
        <v>1.1112059999999999</v>
      </c>
      <c r="L2764">
        <v>284.76960000000003</v>
      </c>
      <c r="M2764">
        <v>-0.99975670000000005</v>
      </c>
      <c r="N2764">
        <v>-1.4116760000000001E-2</v>
      </c>
      <c r="O2764">
        <v>1.6957420000000001E-2</v>
      </c>
      <c r="P2764">
        <v>-0.92812510000000004</v>
      </c>
      <c r="Q2764">
        <v>0.37161090000000002</v>
      </c>
      <c r="R2764">
        <v>2.2122010000000001E-2</v>
      </c>
      <c r="S2764">
        <v>-3.3371580000000001</v>
      </c>
      <c r="T2764">
        <v>-0.2809625</v>
      </c>
      <c r="U2764">
        <v>0.32388309999999998</v>
      </c>
      <c r="V2764">
        <v>6.2389680000000001E-3</v>
      </c>
      <c r="W2764">
        <v>0.38468210000000003</v>
      </c>
      <c r="X2764">
        <v>0.92302810000000002</v>
      </c>
      <c r="Y2764">
        <v>7.9421679999999995E-2</v>
      </c>
      <c r="Z2764">
        <v>2.709782E-3</v>
      </c>
      <c r="AA2764">
        <v>0.99683739999999998</v>
      </c>
      <c r="AB2764">
        <v>28</v>
      </c>
      <c r="AC2764">
        <v>-0.49729999999999502</v>
      </c>
      <c r="AD2764">
        <v>-6.6344999999999807E-2</v>
      </c>
      <c r="AE2764">
        <v>7.2199999999952497E-2</v>
      </c>
      <c r="AF2764">
        <v>6.2663568514968904E-2</v>
      </c>
      <c r="AG2764">
        <v>-6.6344999999999807E-2</v>
      </c>
      <c r="AH2764">
        <v>0.489913286913987</v>
      </c>
      <c r="AI2764">
        <v>97.650606092785793</v>
      </c>
      <c r="AJ2764">
        <v>82.711019931234404</v>
      </c>
      <c r="AK2764">
        <v>0.498340657120103</v>
      </c>
      <c r="AL2764">
        <v>67.375995324116701</v>
      </c>
      <c r="AM2764">
        <v>89.612730001209499</v>
      </c>
      <c r="AN2764">
        <v>1.0000000580858599</v>
      </c>
    </row>
    <row r="2765" spans="1:40" x14ac:dyDescent="0.25">
      <c r="A2765" t="str">
        <f>"20190304164906776"</f>
        <v>20190304164906776</v>
      </c>
      <c r="B2765" t="str">
        <f>"1551689346768322"</f>
        <v>1551689346768322</v>
      </c>
      <c r="C2765" t="s">
        <v>40</v>
      </c>
      <c r="D2765">
        <v>3.9861620000000002</v>
      </c>
      <c r="E2765">
        <v>0.54607890000000003</v>
      </c>
      <c r="F2765" t="s">
        <v>41</v>
      </c>
      <c r="G2765">
        <v>-423.69920000000002</v>
      </c>
      <c r="H2765">
        <v>1.047741</v>
      </c>
      <c r="I2765">
        <v>284.84300000000002</v>
      </c>
      <c r="J2765">
        <v>-423.22359999999998</v>
      </c>
      <c r="K2765">
        <v>1.111205</v>
      </c>
      <c r="L2765">
        <v>284.774</v>
      </c>
      <c r="M2765">
        <v>-0.99976030000000005</v>
      </c>
      <c r="N2765">
        <v>-1.4113840000000001E-2</v>
      </c>
      <c r="O2765">
        <v>1.6746529999999999E-2</v>
      </c>
      <c r="P2765">
        <v>-0.92815910000000001</v>
      </c>
      <c r="Q2765">
        <v>0.37149409999999999</v>
      </c>
      <c r="R2765">
        <v>2.26553E-2</v>
      </c>
      <c r="S2765">
        <v>-3.3375240000000002</v>
      </c>
      <c r="T2765">
        <v>-0.2820455</v>
      </c>
      <c r="U2765">
        <v>0.32427979999999901</v>
      </c>
      <c r="V2765">
        <v>6.9682900000000002E-3</v>
      </c>
      <c r="W2765">
        <v>0.38456279999999998</v>
      </c>
      <c r="X2765">
        <v>0.92307249999999996</v>
      </c>
      <c r="Y2765">
        <v>7.9735120000000007E-2</v>
      </c>
      <c r="Z2765">
        <v>2.7469170000000002E-3</v>
      </c>
      <c r="AA2765">
        <v>0.99681229999999998</v>
      </c>
      <c r="AB2765">
        <v>28</v>
      </c>
      <c r="AC2765">
        <v>-0.47560000000004199</v>
      </c>
      <c r="AD2765">
        <v>-6.3463999999999895E-2</v>
      </c>
      <c r="AE2765">
        <v>6.9000000000016798E-2</v>
      </c>
      <c r="AF2765">
        <v>5.9978899970587599E-2</v>
      </c>
      <c r="AG2765">
        <v>-6.3463999999999895E-2</v>
      </c>
      <c r="AH2765">
        <v>0.46851836215127302</v>
      </c>
      <c r="AI2765">
        <v>97.652447804285401</v>
      </c>
      <c r="AJ2765">
        <v>82.704775003235895</v>
      </c>
      <c r="AK2765">
        <v>0.47658640707703098</v>
      </c>
      <c r="AL2765">
        <v>67.383398300011805</v>
      </c>
      <c r="AM2765">
        <v>89.567481402049594</v>
      </c>
      <c r="AN2765">
        <v>0.99999997223280601</v>
      </c>
    </row>
    <row r="2766" spans="1:40" x14ac:dyDescent="0.25">
      <c r="A2766" t="str">
        <f>"20190304164906797"</f>
        <v>20190304164906797</v>
      </c>
      <c r="B2766" t="str">
        <f>"1551689346788819"</f>
        <v>1551689346788819</v>
      </c>
      <c r="C2766" t="s">
        <v>40</v>
      </c>
      <c r="D2766">
        <v>4.018929</v>
      </c>
      <c r="E2766">
        <v>0.546126</v>
      </c>
      <c r="F2766" t="s">
        <v>41</v>
      </c>
      <c r="G2766">
        <v>-424.19060000000002</v>
      </c>
      <c r="H2766">
        <v>1.029104</v>
      </c>
      <c r="I2766">
        <v>284.86860000000001</v>
      </c>
      <c r="J2766">
        <v>-423.49770000000001</v>
      </c>
      <c r="K2766">
        <v>1.1112089999999999</v>
      </c>
      <c r="L2766">
        <v>284.77839999999998</v>
      </c>
      <c r="M2766">
        <v>-0.99976379999999998</v>
      </c>
      <c r="N2766">
        <v>-1.4110930000000001E-2</v>
      </c>
      <c r="O2766">
        <v>1.653777E-2</v>
      </c>
      <c r="P2766">
        <v>-0.92809719999999996</v>
      </c>
      <c r="Q2766">
        <v>0.37160490000000002</v>
      </c>
      <c r="R2766">
        <v>2.336361E-2</v>
      </c>
      <c r="S2766">
        <v>-3.3377690000000002</v>
      </c>
      <c r="T2766">
        <v>-0.28358909999999998</v>
      </c>
      <c r="U2766">
        <v>0.3257446</v>
      </c>
      <c r="V2766">
        <v>7.8718729999999997E-3</v>
      </c>
      <c r="W2766">
        <v>0.38467069999999998</v>
      </c>
      <c r="X2766">
        <v>0.92302030000000002</v>
      </c>
      <c r="Y2766">
        <v>8.0363690000000002E-2</v>
      </c>
      <c r="Z2766">
        <v>2.8029629999999999E-3</v>
      </c>
      <c r="AA2766">
        <v>0.99676169999999997</v>
      </c>
      <c r="AB2766">
        <v>28</v>
      </c>
      <c r="AC2766">
        <v>-0.69290000000000795</v>
      </c>
      <c r="AD2766">
        <v>-8.2105000000000095E-2</v>
      </c>
      <c r="AE2766">
        <v>9.0200000000038402E-2</v>
      </c>
      <c r="AF2766">
        <v>7.7655312796787002E-2</v>
      </c>
      <c r="AG2766">
        <v>-8.2105000000000095E-2</v>
      </c>
      <c r="AH2766">
        <v>0.68484145334881597</v>
      </c>
      <c r="AI2766">
        <v>96.793384006247905</v>
      </c>
      <c r="AJ2766">
        <v>83.530768136451499</v>
      </c>
      <c r="AK2766">
        <v>0.69410330272624698</v>
      </c>
      <c r="AL2766">
        <v>67.376701416660097</v>
      </c>
      <c r="AM2766">
        <v>89.511371347538997</v>
      </c>
      <c r="AN2766">
        <v>0.99999999401755402</v>
      </c>
    </row>
    <row r="2767" spans="1:40" x14ac:dyDescent="0.25">
      <c r="A2767" t="str">
        <f>"20190304164906821"</f>
        <v>20190304164906821</v>
      </c>
      <c r="B2767" t="str">
        <f>"1551689346808339"</f>
        <v>1551689346808339</v>
      </c>
      <c r="C2767" t="s">
        <v>40</v>
      </c>
      <c r="D2767">
        <v>4.0035059999999998</v>
      </c>
      <c r="E2767">
        <v>0.54621640000000005</v>
      </c>
      <c r="F2767" t="s">
        <v>41</v>
      </c>
      <c r="G2767">
        <v>-424.44229999999999</v>
      </c>
      <c r="H2767">
        <v>1.030915</v>
      </c>
      <c r="I2767">
        <v>284.87189999999998</v>
      </c>
      <c r="J2767">
        <v>-423.7801</v>
      </c>
      <c r="K2767">
        <v>1.111213</v>
      </c>
      <c r="L2767">
        <v>284.78280000000001</v>
      </c>
      <c r="M2767">
        <v>-0.99976730000000003</v>
      </c>
      <c r="N2767">
        <v>-1.4107949999999999E-2</v>
      </c>
      <c r="O2767">
        <v>1.6322650000000001E-2</v>
      </c>
      <c r="P2767">
        <v>-0.92799620000000005</v>
      </c>
      <c r="Q2767">
        <v>0.37183660000000002</v>
      </c>
      <c r="R2767">
        <v>2.3686789999999999E-2</v>
      </c>
      <c r="S2767">
        <v>-3.3378909999999999</v>
      </c>
      <c r="T2767">
        <v>-0.2840278</v>
      </c>
      <c r="U2767">
        <v>0.32849119999999998</v>
      </c>
      <c r="V2767">
        <v>8.3969470000000001E-3</v>
      </c>
      <c r="W2767">
        <v>0.38489869999999998</v>
      </c>
      <c r="X2767">
        <v>0.92292059999999998</v>
      </c>
      <c r="Y2767">
        <v>8.1381449999999994E-2</v>
      </c>
      <c r="Z2767">
        <v>2.8712709999999999E-3</v>
      </c>
      <c r="AA2767">
        <v>0.99667890000000003</v>
      </c>
      <c r="AB2767">
        <v>28</v>
      </c>
      <c r="AC2767">
        <v>-0.66219999999998402</v>
      </c>
      <c r="AD2767">
        <v>-8.0297999999999897E-2</v>
      </c>
      <c r="AE2767">
        <v>8.9099999999973506E-2</v>
      </c>
      <c r="AF2767">
        <v>7.7163764626889494E-2</v>
      </c>
      <c r="AG2767">
        <v>-8.0297999999999897E-2</v>
      </c>
      <c r="AH2767">
        <v>0.65411921328817701</v>
      </c>
      <c r="AI2767">
        <v>96.950749424542195</v>
      </c>
      <c r="AJ2767">
        <v>83.272144749084802</v>
      </c>
      <c r="AK2767">
        <v>0.66353143148470195</v>
      </c>
      <c r="AL2767">
        <v>67.362547845120005</v>
      </c>
      <c r="AM2767">
        <v>89.478724009973504</v>
      </c>
      <c r="AN2767">
        <v>0.99999997594248502</v>
      </c>
    </row>
    <row r="2768" spans="1:40" x14ac:dyDescent="0.25">
      <c r="A2768" t="str">
        <f>"20190304164906842"</f>
        <v>20190304164906842</v>
      </c>
      <c r="B2768" t="str">
        <f>"1551689346838595"</f>
        <v>1551689346838595</v>
      </c>
      <c r="C2768" t="s">
        <v>40</v>
      </c>
      <c r="D2768">
        <v>3.9674999999999998</v>
      </c>
      <c r="E2768">
        <v>0.54631079999999999</v>
      </c>
      <c r="F2768" t="s">
        <v>41</v>
      </c>
      <c r="G2768">
        <v>-424.69400000000002</v>
      </c>
      <c r="H2768">
        <v>1.033447</v>
      </c>
      <c r="I2768">
        <v>284.8734</v>
      </c>
      <c r="J2768">
        <v>-424.05459999999999</v>
      </c>
      <c r="K2768">
        <v>1.1112109999999999</v>
      </c>
      <c r="L2768">
        <v>284.78699999999998</v>
      </c>
      <c r="M2768">
        <v>-0.99977079999999996</v>
      </c>
      <c r="N2768">
        <v>-1.410496E-2</v>
      </c>
      <c r="O2768">
        <v>1.6113659999999998E-2</v>
      </c>
      <c r="P2768">
        <v>-0.9279482</v>
      </c>
      <c r="Q2768">
        <v>0.37195479999999997</v>
      </c>
      <c r="R2768">
        <v>2.3701880000000002E-2</v>
      </c>
      <c r="S2768">
        <v>-3.3382869999999998</v>
      </c>
      <c r="T2768">
        <v>-0.28415849999999998</v>
      </c>
      <c r="U2768">
        <v>0.330047599999999</v>
      </c>
      <c r="V2768">
        <v>8.6072639999999999E-3</v>
      </c>
      <c r="W2768">
        <v>0.3850131</v>
      </c>
      <c r="X2768">
        <v>0.922871</v>
      </c>
      <c r="Y2768">
        <v>8.2035029999999995E-2</v>
      </c>
      <c r="Z2768">
        <v>2.9188629999999998E-3</v>
      </c>
      <c r="AA2768">
        <v>0.99662519999999999</v>
      </c>
      <c r="AB2768">
        <v>28</v>
      </c>
      <c r="AC2768">
        <v>-0.63940000000002295</v>
      </c>
      <c r="AD2768">
        <v>-7.7763999999999903E-2</v>
      </c>
      <c r="AE2768">
        <v>8.6399999999969099E-2</v>
      </c>
      <c r="AF2768">
        <v>7.4995281858401694E-2</v>
      </c>
      <c r="AG2768">
        <v>-7.7763999999999903E-2</v>
      </c>
      <c r="AH2768">
        <v>0.63153548310293195</v>
      </c>
      <c r="AI2768">
        <v>96.9712743339431</v>
      </c>
      <c r="AJ2768">
        <v>83.227800380318996</v>
      </c>
      <c r="AK2768">
        <v>0.64070944929435503</v>
      </c>
      <c r="AL2768">
        <v>67.355447125823005</v>
      </c>
      <c r="AM2768">
        <v>89.4656397245096</v>
      </c>
      <c r="AN2768">
        <v>1.00000002740308</v>
      </c>
    </row>
    <row r="2769" spans="1:40" x14ac:dyDescent="0.25">
      <c r="A2769" t="str">
        <f>"20190304164906858"</f>
        <v>20190304164906858</v>
      </c>
      <c r="B2769" t="str">
        <f>"1551689346848355"</f>
        <v>1551689346848355</v>
      </c>
      <c r="C2769" t="s">
        <v>40</v>
      </c>
      <c r="D2769">
        <v>3.9830830000000002</v>
      </c>
      <c r="E2769">
        <v>0.54624629999999996</v>
      </c>
      <c r="F2769" t="s">
        <v>41</v>
      </c>
      <c r="G2769">
        <v>-424.94510000000002</v>
      </c>
      <c r="H2769">
        <v>1.03525</v>
      </c>
      <c r="I2769">
        <v>284.87569999999999</v>
      </c>
      <c r="J2769">
        <v>-424.25779999999997</v>
      </c>
      <c r="K2769">
        <v>1.1112120000000001</v>
      </c>
      <c r="L2769">
        <v>284.79020000000003</v>
      </c>
      <c r="M2769">
        <v>-0.99977309999999997</v>
      </c>
      <c r="N2769">
        <v>-1.4102689999999999E-2</v>
      </c>
      <c r="O2769">
        <v>1.5959370000000001E-2</v>
      </c>
      <c r="P2769">
        <v>-0.92789460000000001</v>
      </c>
      <c r="Q2769">
        <v>0.37210530000000003</v>
      </c>
      <c r="R2769">
        <v>2.3438460000000001E-2</v>
      </c>
      <c r="S2769">
        <v>-3.3386230000000001</v>
      </c>
      <c r="T2769">
        <v>-0.28481909999999999</v>
      </c>
      <c r="U2769">
        <v>0.33166499999999999</v>
      </c>
      <c r="V2769">
        <v>8.4885380000000003E-3</v>
      </c>
      <c r="W2769">
        <v>0.38516099999999998</v>
      </c>
      <c r="X2769">
        <v>0.92281040000000003</v>
      </c>
      <c r="Y2769">
        <v>8.2652959999999998E-2</v>
      </c>
      <c r="Z2769">
        <v>2.9649289999999998E-3</v>
      </c>
      <c r="AA2769">
        <v>0.99657399999999996</v>
      </c>
      <c r="AB2769">
        <v>28</v>
      </c>
      <c r="AC2769">
        <v>-0.68730000000004998</v>
      </c>
      <c r="AD2769">
        <v>-7.5962000000000002E-2</v>
      </c>
      <c r="AE2769">
        <v>8.5499999999967699E-2</v>
      </c>
      <c r="AF2769">
        <v>7.3633403175910495E-2</v>
      </c>
      <c r="AG2769">
        <v>-7.5962000000000002E-2</v>
      </c>
      <c r="AH2769">
        <v>0.68039264509484798</v>
      </c>
      <c r="AI2769">
        <v>96.333691246876398</v>
      </c>
      <c r="AJ2769">
        <v>83.823378977474405</v>
      </c>
      <c r="AK2769">
        <v>0.68856826459431697</v>
      </c>
      <c r="AL2769">
        <v>67.346265321044996</v>
      </c>
      <c r="AM2769">
        <v>89.472975505230096</v>
      </c>
      <c r="AN2769">
        <v>1.00000004277326</v>
      </c>
    </row>
    <row r="2770" spans="1:40" x14ac:dyDescent="0.25">
      <c r="A2770" t="str">
        <f>"20190304164906871"</f>
        <v>20190304164906871</v>
      </c>
      <c r="B2770" t="str">
        <f>"1551689346868853"</f>
        <v>1551689346868853</v>
      </c>
      <c r="C2770" t="s">
        <v>40</v>
      </c>
      <c r="D2770">
        <v>3.9804840000000001</v>
      </c>
      <c r="E2770">
        <v>0.53934469999999901</v>
      </c>
      <c r="F2770" t="s">
        <v>41</v>
      </c>
      <c r="G2770">
        <v>-425.19310000000002</v>
      </c>
      <c r="H2770">
        <v>1.031587</v>
      </c>
      <c r="I2770">
        <v>284.88279999999997</v>
      </c>
      <c r="J2770">
        <v>-424.42809999999997</v>
      </c>
      <c r="K2770">
        <v>1.1112089999999999</v>
      </c>
      <c r="L2770">
        <v>284.7928</v>
      </c>
      <c r="M2770">
        <v>-0.99977530000000003</v>
      </c>
      <c r="N2770">
        <v>-1.4100959999999999E-2</v>
      </c>
      <c r="O2770">
        <v>1.583114E-2</v>
      </c>
      <c r="P2770">
        <v>-0.92787560000000002</v>
      </c>
      <c r="Q2770">
        <v>0.3721507</v>
      </c>
      <c r="R2770">
        <v>2.3469569999999999E-2</v>
      </c>
      <c r="S2770">
        <v>-3.3388059999999999</v>
      </c>
      <c r="T2770">
        <v>-0.28430870000000003</v>
      </c>
      <c r="U2770">
        <v>0.33044430000000002</v>
      </c>
      <c r="V2770">
        <v>8.6397330000000001E-3</v>
      </c>
      <c r="W2770">
        <v>0.3852044</v>
      </c>
      <c r="X2770">
        <v>0.92279080000000002</v>
      </c>
      <c r="Y2770">
        <v>8.241627E-2</v>
      </c>
      <c r="Z2770">
        <v>2.9582469999999998E-3</v>
      </c>
      <c r="AA2770">
        <v>0.99659359999999997</v>
      </c>
      <c r="AB2770">
        <v>28</v>
      </c>
      <c r="AC2770">
        <v>-0.76500000000004298</v>
      </c>
      <c r="AD2770">
        <v>-7.9621999999999998E-2</v>
      </c>
      <c r="AE2770">
        <v>8.9999999999974906E-2</v>
      </c>
      <c r="AF2770">
        <v>7.7053379839331498E-2</v>
      </c>
      <c r="AG2770">
        <v>-7.9621999999999998E-2</v>
      </c>
      <c r="AH2770">
        <v>0.75822741398820404</v>
      </c>
      <c r="AI2770">
        <v>95.964205285388303</v>
      </c>
      <c r="AJ2770">
        <v>84.197348743962905</v>
      </c>
      <c r="AK2770">
        <v>0.76628043009847402</v>
      </c>
      <c r="AL2770">
        <v>67.343568977698396</v>
      </c>
      <c r="AM2770">
        <v>89.463577472235698</v>
      </c>
      <c r="AN2770">
        <v>0.99999996766515498</v>
      </c>
    </row>
    <row r="2771" spans="1:40" x14ac:dyDescent="0.25">
      <c r="A2771" t="str">
        <f>"20190304164906887"</f>
        <v>20190304164906887</v>
      </c>
      <c r="B2771" t="str">
        <f>"1551689346878611"</f>
        <v>1551689346878611</v>
      </c>
      <c r="C2771" t="s">
        <v>40</v>
      </c>
      <c r="D2771">
        <v>3.9713090000000002</v>
      </c>
      <c r="E2771">
        <v>0.53935659999999996</v>
      </c>
      <c r="F2771" t="s">
        <v>41</v>
      </c>
      <c r="G2771">
        <v>-425.20479999999998</v>
      </c>
      <c r="H2771">
        <v>1.049264</v>
      </c>
      <c r="I2771">
        <v>284.85739999999998</v>
      </c>
      <c r="J2771">
        <v>-424.61090000000002</v>
      </c>
      <c r="K2771">
        <v>1.1112089999999999</v>
      </c>
      <c r="L2771">
        <v>284.7955</v>
      </c>
      <c r="M2771">
        <v>-0.99977740000000004</v>
      </c>
      <c r="N2771">
        <v>-1.409901E-2</v>
      </c>
      <c r="O2771">
        <v>1.569655E-2</v>
      </c>
      <c r="P2771">
        <v>-0.92774299999999998</v>
      </c>
      <c r="Q2771">
        <v>0.37251069999999997</v>
      </c>
      <c r="R2771">
        <v>2.2995680000000001E-2</v>
      </c>
      <c r="S2771">
        <v>-3.3328549999999999</v>
      </c>
      <c r="T2771">
        <v>-0.26593489999999997</v>
      </c>
      <c r="U2771">
        <v>0.27697749999999999</v>
      </c>
      <c r="V2771">
        <v>8.2948380000000006E-3</v>
      </c>
      <c r="W2771">
        <v>0.38556049999999997</v>
      </c>
      <c r="X2771">
        <v>0.9226453</v>
      </c>
      <c r="Y2771">
        <v>6.6949930000000005E-2</v>
      </c>
      <c r="Z2771">
        <v>2.1085079999999998E-3</v>
      </c>
      <c r="AA2771">
        <v>0.99775409999999998</v>
      </c>
      <c r="AB2771">
        <v>28</v>
      </c>
      <c r="AC2771">
        <v>-0.59389999999996201</v>
      </c>
      <c r="AD2771">
        <v>-6.1945000000000097E-2</v>
      </c>
      <c r="AE2771">
        <v>6.1899999999979999E-2</v>
      </c>
      <c r="AF2771">
        <v>5.20095375212851E-2</v>
      </c>
      <c r="AG2771">
        <v>-6.1945000000000097E-2</v>
      </c>
      <c r="AH2771">
        <v>0.58846545803681405</v>
      </c>
      <c r="AI2771">
        <v>95.985964781985203</v>
      </c>
      <c r="AJ2771">
        <v>84.949229271177501</v>
      </c>
      <c r="AK2771">
        <v>0.59399812316256995</v>
      </c>
      <c r="AL2771">
        <v>67.321459442492099</v>
      </c>
      <c r="AM2771">
        <v>89.484908875085495</v>
      </c>
      <c r="AN2771">
        <v>1.0000000265548901</v>
      </c>
    </row>
    <row r="2772" spans="1:40" x14ac:dyDescent="0.25">
      <c r="A2772" t="str">
        <f>"20190304164906908"</f>
        <v>20190304164906908</v>
      </c>
      <c r="B2772" t="str">
        <f>"1551689346899106"</f>
        <v>1551689346899106</v>
      </c>
      <c r="C2772" t="s">
        <v>40</v>
      </c>
      <c r="D2772">
        <v>3.9574829999999999</v>
      </c>
      <c r="E2772">
        <v>0.53910419999999903</v>
      </c>
      <c r="F2772" t="s">
        <v>41</v>
      </c>
      <c r="G2772">
        <v>-425.45010000000002</v>
      </c>
      <c r="H2772">
        <v>1.04488799999999</v>
      </c>
      <c r="I2772">
        <v>284.86509999999998</v>
      </c>
      <c r="J2772">
        <v>-424.89</v>
      </c>
      <c r="K2772">
        <v>1.1112</v>
      </c>
      <c r="L2772">
        <v>284.7996</v>
      </c>
      <c r="M2772">
        <v>-0.99978060000000002</v>
      </c>
      <c r="N2772">
        <v>-1.4096020000000001E-2</v>
      </c>
      <c r="O2772">
        <v>1.550169E-2</v>
      </c>
      <c r="P2772">
        <v>-0.92779489999999998</v>
      </c>
      <c r="Q2772">
        <v>0.37244460000000001</v>
      </c>
      <c r="R2772">
        <v>2.1951140000000001E-2</v>
      </c>
      <c r="S2772">
        <v>-3.3327330000000002</v>
      </c>
      <c r="T2772">
        <v>-0.26365909999999998</v>
      </c>
      <c r="U2772">
        <v>0.27514650000000002</v>
      </c>
      <c r="V2772">
        <v>7.4373750000000004E-3</v>
      </c>
      <c r="W2772">
        <v>0.38549139999999998</v>
      </c>
      <c r="X2772">
        <v>0.92268150000000004</v>
      </c>
      <c r="Y2772">
        <v>6.6607009999999994E-2</v>
      </c>
      <c r="Z2772">
        <v>2.0930359999999999E-3</v>
      </c>
      <c r="AA2772">
        <v>0.99777709999999997</v>
      </c>
      <c r="AB2772">
        <v>28</v>
      </c>
      <c r="AC2772">
        <v>-0.56010000000003302</v>
      </c>
      <c r="AD2772">
        <v>-6.6312000000000093E-2</v>
      </c>
      <c r="AE2772">
        <v>6.5499999999985903E-2</v>
      </c>
      <c r="AF2772">
        <v>5.6033941994715099E-2</v>
      </c>
      <c r="AG2772">
        <v>-6.6312000000000093E-2</v>
      </c>
      <c r="AH2772">
        <v>0.55339588291312802</v>
      </c>
      <c r="AI2772">
        <v>96.798590774034906</v>
      </c>
      <c r="AJ2772">
        <v>84.218237689547195</v>
      </c>
      <c r="AK2772">
        <v>0.56016433947964595</v>
      </c>
      <c r="AL2772">
        <v>67.325750650239996</v>
      </c>
      <c r="AM2772">
        <v>89.538171113791293</v>
      </c>
      <c r="AN2772">
        <v>1.00000004223154</v>
      </c>
    </row>
    <row r="2773" spans="1:40" x14ac:dyDescent="0.25">
      <c r="A2773" t="str">
        <f>"20190304164906923"</f>
        <v>20190304164906923</v>
      </c>
      <c r="B2773" t="str">
        <f>"1551689346918627"</f>
        <v>1551689346918627</v>
      </c>
      <c r="C2773" t="s">
        <v>40</v>
      </c>
      <c r="D2773">
        <v>3.9629150000000002</v>
      </c>
      <c r="E2773">
        <v>0.53926300000000005</v>
      </c>
      <c r="F2773" t="s">
        <v>41</v>
      </c>
      <c r="G2773">
        <v>-425.70190000000002</v>
      </c>
      <c r="H2773">
        <v>1.047393</v>
      </c>
      <c r="I2773">
        <v>284.86540000000002</v>
      </c>
      <c r="J2773">
        <v>-425.06459999999998</v>
      </c>
      <c r="K2773">
        <v>1.1111930000000001</v>
      </c>
      <c r="L2773">
        <v>284.80220000000003</v>
      </c>
      <c r="M2773">
        <v>-0.99978219999999995</v>
      </c>
      <c r="N2773">
        <v>-1.409414E-2</v>
      </c>
      <c r="O2773">
        <v>1.539045E-2</v>
      </c>
      <c r="P2773">
        <v>-0.92787359999999997</v>
      </c>
      <c r="Q2773">
        <v>0.3722801</v>
      </c>
      <c r="R2773">
        <v>2.140802E-2</v>
      </c>
      <c r="S2773">
        <v>-3.3321839999999998</v>
      </c>
      <c r="T2773">
        <v>-0.2618124</v>
      </c>
      <c r="U2773">
        <v>0.27038570000000001</v>
      </c>
      <c r="V2773">
        <v>7.0041239999999996E-3</v>
      </c>
      <c r="W2773">
        <v>0.385326</v>
      </c>
      <c r="X2773">
        <v>0.92275390000000002</v>
      </c>
      <c r="Y2773">
        <v>6.5322320000000003E-2</v>
      </c>
      <c r="Z2773">
        <v>2.031176E-3</v>
      </c>
      <c r="AA2773">
        <v>0.99786220000000003</v>
      </c>
      <c r="AB2773">
        <v>28</v>
      </c>
      <c r="AC2773">
        <v>-0.63730000000003795</v>
      </c>
      <c r="AD2773">
        <v>-6.3799999999999996E-2</v>
      </c>
      <c r="AE2773">
        <v>6.3199999999994802E-2</v>
      </c>
      <c r="AF2773">
        <v>5.2858615805210403E-2</v>
      </c>
      <c r="AG2773">
        <v>-6.3799999999999996E-2</v>
      </c>
      <c r="AH2773">
        <v>0.63192580460654002</v>
      </c>
      <c r="AI2773">
        <v>95.745187470502003</v>
      </c>
      <c r="AJ2773">
        <v>85.2185183209576</v>
      </c>
      <c r="AK2773">
        <v>0.63733405353273398</v>
      </c>
      <c r="AL2773">
        <v>67.336019100271997</v>
      </c>
      <c r="AM2773">
        <v>89.565107188870996</v>
      </c>
      <c r="AN2773">
        <v>0.99999997199710799</v>
      </c>
    </row>
    <row r="2774" spans="1:40" x14ac:dyDescent="0.25">
      <c r="A2774" t="str">
        <f>"20190304164906938"</f>
        <v>20190304164906938</v>
      </c>
      <c r="B2774" t="str">
        <f>"1551689346928388"</f>
        <v>1551689346928388</v>
      </c>
      <c r="C2774" t="s">
        <v>40</v>
      </c>
      <c r="D2774">
        <v>3.9683950000000001</v>
      </c>
      <c r="E2774">
        <v>0.53924369999999999</v>
      </c>
      <c r="F2774" t="s">
        <v>41</v>
      </c>
      <c r="G2774">
        <v>-425.94630000000001</v>
      </c>
      <c r="H2774">
        <v>1.041668</v>
      </c>
      <c r="I2774">
        <v>284.87400000000002</v>
      </c>
      <c r="J2774">
        <v>-425.24509999999998</v>
      </c>
      <c r="K2774">
        <v>1.111181</v>
      </c>
      <c r="L2774">
        <v>284.80489999999998</v>
      </c>
      <c r="M2774">
        <v>-0.99978400000000001</v>
      </c>
      <c r="N2774">
        <v>-1.4092189999999999E-2</v>
      </c>
      <c r="O2774">
        <v>1.528408E-2</v>
      </c>
      <c r="P2774">
        <v>-0.92788559999999998</v>
      </c>
      <c r="Q2774">
        <v>0.3723109</v>
      </c>
      <c r="R2774">
        <v>2.0325079999999999E-2</v>
      </c>
      <c r="S2774">
        <v>-3.3324889999999998</v>
      </c>
      <c r="T2774">
        <v>-0.2629224</v>
      </c>
      <c r="U2774">
        <v>0.27050780000000002</v>
      </c>
      <c r="V2774">
        <v>6.029955E-3</v>
      </c>
      <c r="W2774">
        <v>0.38535449999999999</v>
      </c>
      <c r="X2774">
        <v>0.92274889999999998</v>
      </c>
      <c r="Y2774">
        <v>6.5455239999999998E-2</v>
      </c>
      <c r="Z2774">
        <v>2.049712E-3</v>
      </c>
      <c r="AA2774">
        <v>0.9978534</v>
      </c>
      <c r="AB2774">
        <v>28</v>
      </c>
      <c r="AC2774">
        <v>-0.70120000000002802</v>
      </c>
      <c r="AD2774">
        <v>-6.9512999999999894E-2</v>
      </c>
      <c r="AE2774">
        <v>6.9100000000048498E-2</v>
      </c>
      <c r="AF2774">
        <v>5.7810987023685603E-2</v>
      </c>
      <c r="AG2774">
        <v>-6.9512999999999894E-2</v>
      </c>
      <c r="AH2774">
        <v>0.69540585925729603</v>
      </c>
      <c r="AI2774">
        <v>95.688848046891707</v>
      </c>
      <c r="AJ2774">
        <v>85.247772998005502</v>
      </c>
      <c r="AK2774">
        <v>0.70125849476425595</v>
      </c>
      <c r="AL2774">
        <v>67.334249985754198</v>
      </c>
      <c r="AM2774">
        <v>89.6255903914751</v>
      </c>
      <c r="AN2774">
        <v>0.99999999173938003</v>
      </c>
    </row>
    <row r="2775" spans="1:40" x14ac:dyDescent="0.25">
      <c r="A2775" t="str">
        <f>"20190304164906955"</f>
        <v>20190304164906955</v>
      </c>
      <c r="B2775" t="str">
        <f>"1551689346948883"</f>
        <v>1551689346948883</v>
      </c>
      <c r="C2775" t="s">
        <v>40</v>
      </c>
      <c r="D2775">
        <v>3.975015</v>
      </c>
      <c r="E2775">
        <v>0.53947109999999998</v>
      </c>
      <c r="F2775" t="s">
        <v>41</v>
      </c>
      <c r="G2775">
        <v>-426.19229999999999</v>
      </c>
      <c r="H2775">
        <v>1.036556</v>
      </c>
      <c r="I2775">
        <v>284.8809</v>
      </c>
      <c r="J2775">
        <v>-425.4676</v>
      </c>
      <c r="K2775">
        <v>1.111165</v>
      </c>
      <c r="L2775">
        <v>284.80810000000002</v>
      </c>
      <c r="M2775">
        <v>-0.99978560000000005</v>
      </c>
      <c r="N2775">
        <v>-1.408979E-2</v>
      </c>
      <c r="O2775">
        <v>1.5172669999999999E-2</v>
      </c>
      <c r="P2775">
        <v>-0.92807689999999998</v>
      </c>
      <c r="Q2775">
        <v>0.37190099999999998</v>
      </c>
      <c r="R2775">
        <v>1.9048579999999999E-2</v>
      </c>
      <c r="S2775">
        <v>-3.3327330000000002</v>
      </c>
      <c r="T2775">
        <v>-0.26254880000000003</v>
      </c>
      <c r="U2775">
        <v>0.2670593</v>
      </c>
      <c r="V2775">
        <v>4.8712549999999997E-3</v>
      </c>
      <c r="W2775">
        <v>0.38494440000000002</v>
      </c>
      <c r="X2775">
        <v>0.92292689999999999</v>
      </c>
      <c r="Y2775">
        <v>6.4538330000000005E-2</v>
      </c>
      <c r="Z2775">
        <v>2.0122899999999999E-3</v>
      </c>
      <c r="AA2775">
        <v>0.99791319999999994</v>
      </c>
      <c r="AB2775">
        <v>28</v>
      </c>
      <c r="AC2775">
        <v>-0.72469999999998402</v>
      </c>
      <c r="AD2775">
        <v>-7.4608999999999898E-2</v>
      </c>
      <c r="AE2775">
        <v>7.2799999999972401E-2</v>
      </c>
      <c r="AF2775">
        <v>6.1153203670412298E-2</v>
      </c>
      <c r="AG2775">
        <v>-7.4608999999999898E-2</v>
      </c>
      <c r="AH2775">
        <v>0.71818522699105902</v>
      </c>
      <c r="AI2775">
        <v>95.909690252086705</v>
      </c>
      <c r="AJ2775">
        <v>85.133025730053902</v>
      </c>
      <c r="AK2775">
        <v>0.72463524442877703</v>
      </c>
      <c r="AL2775">
        <v>67.359711205537906</v>
      </c>
      <c r="AM2775">
        <v>89.697592777122793</v>
      </c>
      <c r="AN2775">
        <v>0.99999999148012197</v>
      </c>
    </row>
    <row r="2776" spans="1:40" x14ac:dyDescent="0.25">
      <c r="A2776" t="str">
        <f>"20190304164906976"</f>
        <v>20190304164906976</v>
      </c>
      <c r="B2776" t="str">
        <f>"1551689346968403"</f>
        <v>1551689346968403</v>
      </c>
      <c r="C2776" t="s">
        <v>40</v>
      </c>
      <c r="D2776">
        <v>3.9957509999999998</v>
      </c>
      <c r="E2776">
        <v>0.539632</v>
      </c>
      <c r="F2776" t="s">
        <v>41</v>
      </c>
      <c r="G2776">
        <v>-426.43950000000001</v>
      </c>
      <c r="H2776">
        <v>1.0342720000000001</v>
      </c>
      <c r="I2776">
        <v>284.88600000000002</v>
      </c>
      <c r="J2776">
        <v>-425.72739999999999</v>
      </c>
      <c r="K2776">
        <v>1.1111420000000001</v>
      </c>
      <c r="L2776">
        <v>284.81189999999998</v>
      </c>
      <c r="M2776">
        <v>-0.99978719999999999</v>
      </c>
      <c r="N2776">
        <v>-1.4087010000000001E-2</v>
      </c>
      <c r="O2776">
        <v>1.507493E-2</v>
      </c>
      <c r="P2776">
        <v>-0.9280853</v>
      </c>
      <c r="Q2776">
        <v>0.3719519</v>
      </c>
      <c r="R2776">
        <v>1.758937E-2</v>
      </c>
      <c r="S2776">
        <v>-3.3327939999999998</v>
      </c>
      <c r="T2776">
        <v>-0.26383050000000002</v>
      </c>
      <c r="U2776">
        <v>0.2661133</v>
      </c>
      <c r="V2776">
        <v>3.5277590000000001E-3</v>
      </c>
      <c r="W2776">
        <v>0.38499149999999999</v>
      </c>
      <c r="X2776">
        <v>0.92291339999999999</v>
      </c>
      <c r="Y2776">
        <v>6.4351699999999998E-2</v>
      </c>
      <c r="Z2776">
        <v>2.0163389999999998E-3</v>
      </c>
      <c r="AA2776">
        <v>0.99792519999999996</v>
      </c>
      <c r="AB2776">
        <v>28</v>
      </c>
      <c r="AC2776">
        <v>-0.71210000000002005</v>
      </c>
      <c r="AD2776">
        <v>-7.6870000000000202E-2</v>
      </c>
      <c r="AE2776">
        <v>7.4099999999987107E-2</v>
      </c>
      <c r="AF2776">
        <v>6.2633614798734305E-2</v>
      </c>
      <c r="AG2776">
        <v>-7.6870000000000202E-2</v>
      </c>
      <c r="AH2776">
        <v>0.70500887726113004</v>
      </c>
      <c r="AI2776">
        <v>96.198389922227193</v>
      </c>
      <c r="AJ2776">
        <v>84.923120832216398</v>
      </c>
      <c r="AK2776">
        <v>0.71194766915817298</v>
      </c>
      <c r="AL2776">
        <v>67.356787952880097</v>
      </c>
      <c r="AM2776">
        <v>89.780992758976595</v>
      </c>
      <c r="AN2776">
        <v>1.0000000220276799</v>
      </c>
    </row>
    <row r="2777" spans="1:40" x14ac:dyDescent="0.25">
      <c r="A2777" t="str">
        <f>"20190304164906990"</f>
        <v>20190304164906990</v>
      </c>
      <c r="B2777" t="str">
        <f>"1551689346979139"</f>
        <v>1551689346979139</v>
      </c>
      <c r="C2777" t="s">
        <v>40</v>
      </c>
      <c r="D2777">
        <v>3.9884529999999998</v>
      </c>
      <c r="E2777">
        <v>0.53971809999999998</v>
      </c>
      <c r="F2777" t="s">
        <v>41</v>
      </c>
      <c r="G2777">
        <v>-426.68810000000002</v>
      </c>
      <c r="H2777">
        <v>1.035156</v>
      </c>
      <c r="I2777">
        <v>284.88819999999998</v>
      </c>
      <c r="J2777">
        <v>-425.91239999999999</v>
      </c>
      <c r="K2777">
        <v>1.11112099999999</v>
      </c>
      <c r="L2777">
        <v>284.81470000000002</v>
      </c>
      <c r="M2777">
        <v>-0.99978789999999995</v>
      </c>
      <c r="N2777">
        <v>-1.408499E-2</v>
      </c>
      <c r="O2777">
        <v>1.50287999999999E-2</v>
      </c>
      <c r="P2777">
        <v>-0.92809580000000003</v>
      </c>
      <c r="Q2777">
        <v>0.37195709999999998</v>
      </c>
      <c r="R2777">
        <v>1.6930279999999999E-2</v>
      </c>
      <c r="S2777">
        <v>-3.3330989999999998</v>
      </c>
      <c r="T2777">
        <v>-0.26365460000000002</v>
      </c>
      <c r="U2777">
        <v>0.2638855</v>
      </c>
      <c r="V2777">
        <v>2.9305220000000001E-3</v>
      </c>
      <c r="W2777">
        <v>0.38499509999999998</v>
      </c>
      <c r="X2777">
        <v>0.92291400000000001</v>
      </c>
      <c r="Y2777">
        <v>6.3730129999999996E-2</v>
      </c>
      <c r="Z2777">
        <v>1.9893369999999999E-3</v>
      </c>
      <c r="AA2777">
        <v>0.9979652</v>
      </c>
      <c r="AB2777">
        <v>28</v>
      </c>
      <c r="AC2777">
        <v>-0.77570000000002803</v>
      </c>
      <c r="AD2777">
        <v>-7.5964999999999797E-2</v>
      </c>
      <c r="AE2777">
        <v>7.3499999999967203E-2</v>
      </c>
      <c r="AF2777">
        <v>6.1250507598609102E-2</v>
      </c>
      <c r="AG2777">
        <v>-7.5964999999999797E-2</v>
      </c>
      <c r="AH2777">
        <v>0.76940382440408395</v>
      </c>
      <c r="AI2777">
        <v>95.621000060949299</v>
      </c>
      <c r="AJ2777">
        <v>85.448410762238893</v>
      </c>
      <c r="AK2777">
        <v>0.77556724461114102</v>
      </c>
      <c r="AL2777">
        <v>67.356564727979006</v>
      </c>
      <c r="AM2777">
        <v>89.818069746402401</v>
      </c>
      <c r="AN2777">
        <v>1.0000000331896</v>
      </c>
    </row>
    <row r="2778" spans="1:40" x14ac:dyDescent="0.25">
      <c r="A2778" t="str">
        <f>"20190304164907010"</f>
        <v>20190304164907010</v>
      </c>
      <c r="B2778" t="str">
        <f>"1551689346998660"</f>
        <v>1551689346998660</v>
      </c>
      <c r="C2778" t="s">
        <v>40</v>
      </c>
      <c r="D2778">
        <v>3.9641890000000002</v>
      </c>
      <c r="E2778">
        <v>0.53987769999999902</v>
      </c>
      <c r="F2778" t="s">
        <v>41</v>
      </c>
      <c r="G2778">
        <v>-426.69760000000002</v>
      </c>
      <c r="H2778">
        <v>1.048875</v>
      </c>
      <c r="I2778">
        <v>284.87670000000003</v>
      </c>
      <c r="J2778">
        <v>-426.14019999999999</v>
      </c>
      <c r="K2778">
        <v>1.1110910000000001</v>
      </c>
      <c r="L2778">
        <v>284.81799999999998</v>
      </c>
      <c r="M2778">
        <v>-0.99978860000000003</v>
      </c>
      <c r="N2778">
        <v>-1.4082529999999999E-2</v>
      </c>
      <c r="O2778">
        <v>1.499108E-2</v>
      </c>
      <c r="P2778">
        <v>-0.92823250000000002</v>
      </c>
      <c r="Q2778">
        <v>0.37166830000000001</v>
      </c>
      <c r="R2778">
        <v>1.5732690000000001E-2</v>
      </c>
      <c r="S2778">
        <v>-3.3335569999999999</v>
      </c>
      <c r="T2778">
        <v>-0.2643123</v>
      </c>
      <c r="U2778">
        <v>0.26263429999999999</v>
      </c>
      <c r="V2778">
        <v>1.787875E-3</v>
      </c>
      <c r="W2778">
        <v>0.38470510000000002</v>
      </c>
      <c r="X2778">
        <v>0.92303780000000002</v>
      </c>
      <c r="Y2778">
        <v>6.3385109999999995E-2</v>
      </c>
      <c r="Z2778">
        <v>1.978736E-3</v>
      </c>
      <c r="AA2778">
        <v>0.99798719999999996</v>
      </c>
      <c r="AB2778">
        <v>28</v>
      </c>
      <c r="AC2778">
        <v>-0.55740000000002898</v>
      </c>
      <c r="AD2778">
        <v>-6.2216E-2</v>
      </c>
      <c r="AE2778">
        <v>5.87000000000443E-2</v>
      </c>
      <c r="AF2778">
        <v>4.97238509376597E-2</v>
      </c>
      <c r="AG2778">
        <v>-6.2216E-2</v>
      </c>
      <c r="AH2778">
        <v>0.55142279695277696</v>
      </c>
      <c r="AI2778">
        <v>96.411554805326503</v>
      </c>
      <c r="AJ2778">
        <v>84.847361524551204</v>
      </c>
      <c r="AK2778">
        <v>0.557144858189766</v>
      </c>
      <c r="AL2778">
        <v>67.374566155748298</v>
      </c>
      <c r="AM2778">
        <v>89.889021269020603</v>
      </c>
      <c r="AN2778">
        <v>0.99999999534593198</v>
      </c>
    </row>
    <row r="2779" spans="1:40" x14ac:dyDescent="0.25">
      <c r="A2779" t="str">
        <f>"20190304164907025"</f>
        <v>20190304164907025</v>
      </c>
      <c r="B2779" t="str">
        <f>"1551689347018179"</f>
        <v>1551689347018179</v>
      </c>
      <c r="C2779" t="s">
        <v>40</v>
      </c>
      <c r="D2779">
        <v>3.9792679999999998</v>
      </c>
      <c r="E2779">
        <v>0.54006989999999999</v>
      </c>
      <c r="F2779" t="s">
        <v>41</v>
      </c>
      <c r="G2779">
        <v>-426.9436</v>
      </c>
      <c r="H2779">
        <v>1.046942</v>
      </c>
      <c r="I2779">
        <v>284.88119999999998</v>
      </c>
      <c r="J2779">
        <v>-426.33420000000001</v>
      </c>
      <c r="K2779">
        <v>1.1110719999999901</v>
      </c>
      <c r="L2779">
        <v>284.82100000000003</v>
      </c>
      <c r="M2779">
        <v>-0.99978880000000003</v>
      </c>
      <c r="N2779">
        <v>-1.408046E-2</v>
      </c>
      <c r="O2779">
        <v>1.497973E-2</v>
      </c>
      <c r="P2779">
        <v>-0.92818420000000001</v>
      </c>
      <c r="Q2779">
        <v>0.37180930000000001</v>
      </c>
      <c r="R2779">
        <v>1.523337E-2</v>
      </c>
      <c r="S2779">
        <v>-3.3342290000000001</v>
      </c>
      <c r="T2779">
        <v>-0.2664397</v>
      </c>
      <c r="U2779">
        <v>0.26013180000000002</v>
      </c>
      <c r="V2779">
        <v>1.3175070000000001E-3</v>
      </c>
      <c r="W2779">
        <v>0.38484370000000001</v>
      </c>
      <c r="X2779">
        <v>0.92298080000000005</v>
      </c>
      <c r="Y2779">
        <v>6.2636189999999994E-2</v>
      </c>
      <c r="Z2779">
        <v>1.954627E-3</v>
      </c>
      <c r="AA2779">
        <v>0.99803450000000005</v>
      </c>
      <c r="AB2779">
        <v>28</v>
      </c>
      <c r="AC2779">
        <v>-0.60939999999999295</v>
      </c>
      <c r="AD2779">
        <v>-6.4129999999999798E-2</v>
      </c>
      <c r="AE2779">
        <v>6.0200000000008899E-2</v>
      </c>
      <c r="AF2779">
        <v>5.0509737100916101E-2</v>
      </c>
      <c r="AG2779">
        <v>-6.4129999999999798E-2</v>
      </c>
      <c r="AH2779">
        <v>0.60361346492346402</v>
      </c>
      <c r="AI2779">
        <v>96.043588452267798</v>
      </c>
      <c r="AJ2779">
        <v>85.216693427191004</v>
      </c>
      <c r="AK2779">
        <v>0.60910845132776903</v>
      </c>
      <c r="AL2779">
        <v>67.365962286809705</v>
      </c>
      <c r="AM2779">
        <v>89.918213315696605</v>
      </c>
      <c r="AN2779">
        <v>0.99999998321151196</v>
      </c>
    </row>
    <row r="2780" spans="1:40" x14ac:dyDescent="0.25">
      <c r="A2780" t="str">
        <f>"20190304164907039"</f>
        <v>20190304164907039</v>
      </c>
      <c r="B2780" t="str">
        <f>"1551689347028915"</f>
        <v>1551689347028915</v>
      </c>
      <c r="C2780" t="s">
        <v>40</v>
      </c>
      <c r="D2780">
        <v>3.9719229999999999</v>
      </c>
      <c r="E2780">
        <v>0.54013489999999997</v>
      </c>
      <c r="F2780" t="s">
        <v>41</v>
      </c>
      <c r="G2780">
        <v>-427.1875</v>
      </c>
      <c r="H2780">
        <v>1.04291</v>
      </c>
      <c r="I2780">
        <v>284.88749999999999</v>
      </c>
      <c r="J2780">
        <v>-426.50959999999998</v>
      </c>
      <c r="K2780">
        <v>1.1110519999999999</v>
      </c>
      <c r="L2780">
        <v>284.82350000000002</v>
      </c>
      <c r="M2780">
        <v>-0.99978880000000003</v>
      </c>
      <c r="N2780">
        <v>-1.407858E-2</v>
      </c>
      <c r="O2780">
        <v>1.4984859999999999E-2</v>
      </c>
      <c r="P2780">
        <v>-0.92821149999999997</v>
      </c>
      <c r="Q2780">
        <v>0.37176870000000001</v>
      </c>
      <c r="R2780">
        <v>1.456024E-2</v>
      </c>
      <c r="S2780">
        <v>-3.3345639999999999</v>
      </c>
      <c r="T2780">
        <v>-0.26637830000000001</v>
      </c>
      <c r="U2780">
        <v>0.26022339999999999</v>
      </c>
      <c r="V2780">
        <v>6.5495169999999999E-4</v>
      </c>
      <c r="W2780">
        <v>0.38480140000000002</v>
      </c>
      <c r="X2780">
        <v>0.92299909999999996</v>
      </c>
      <c r="Y2780">
        <v>6.2650609999999995E-2</v>
      </c>
      <c r="Z2780">
        <v>1.954449E-3</v>
      </c>
      <c r="AA2780">
        <v>0.99803359999999997</v>
      </c>
      <c r="AB2780">
        <v>28</v>
      </c>
      <c r="AC2780">
        <v>-0.67790000000002204</v>
      </c>
      <c r="AD2780">
        <v>-6.8142000000000105E-2</v>
      </c>
      <c r="AE2780">
        <v>6.3999999999964502E-2</v>
      </c>
      <c r="AF2780">
        <v>5.32997816052709E-2</v>
      </c>
      <c r="AG2780">
        <v>-6.8142000000000105E-2</v>
      </c>
      <c r="AH2780">
        <v>0.67205248757396496</v>
      </c>
      <c r="AI2780">
        <v>95.771653892804096</v>
      </c>
      <c r="AJ2780">
        <v>85.465422973136995</v>
      </c>
      <c r="AK2780">
        <v>0.67759777518637498</v>
      </c>
      <c r="AL2780">
        <v>67.368587139168298</v>
      </c>
      <c r="AM2780">
        <v>89.9593434469258</v>
      </c>
      <c r="AN2780">
        <v>0.999999942502248</v>
      </c>
    </row>
    <row r="2781" spans="1:40" x14ac:dyDescent="0.25">
      <c r="A2781" t="str">
        <f>"20190304164907053"</f>
        <v>20190304164907053</v>
      </c>
      <c r="B2781" t="str">
        <f>"1551689347048435"</f>
        <v>1551689347048435</v>
      </c>
      <c r="C2781" t="s">
        <v>40</v>
      </c>
      <c r="D2781">
        <v>3.962466</v>
      </c>
      <c r="E2781">
        <v>0.54032990000000003</v>
      </c>
      <c r="F2781" t="s">
        <v>41</v>
      </c>
      <c r="G2781">
        <v>-427.43189999999998</v>
      </c>
      <c r="H2781">
        <v>1.03746</v>
      </c>
      <c r="I2781">
        <v>284.89569999999998</v>
      </c>
      <c r="J2781">
        <v>-426.67939999999999</v>
      </c>
      <c r="K2781">
        <v>1.1110329999999999</v>
      </c>
      <c r="L2781">
        <v>284.8261</v>
      </c>
      <c r="M2781">
        <v>-0.99978840000000002</v>
      </c>
      <c r="N2781">
        <v>-1.4076770000000001E-2</v>
      </c>
      <c r="O2781">
        <v>1.5006729999999999E-2</v>
      </c>
      <c r="P2781">
        <v>-0.92825590000000002</v>
      </c>
      <c r="Q2781">
        <v>0.37168309999999999</v>
      </c>
      <c r="R2781">
        <v>1.388784E-2</v>
      </c>
      <c r="S2781">
        <v>-3.3345639999999999</v>
      </c>
      <c r="T2781">
        <v>-0.26618950000000002</v>
      </c>
      <c r="U2781">
        <v>0.25915529999999998</v>
      </c>
      <c r="V2781" s="1">
        <v>-2.3080039999999999E-5</v>
      </c>
      <c r="W2781">
        <v>0.38471470000000002</v>
      </c>
      <c r="X2781">
        <v>0.92303550000000001</v>
      </c>
      <c r="Y2781">
        <v>6.2312569999999998E-2</v>
      </c>
      <c r="Z2781">
        <v>1.9361859999999999E-3</v>
      </c>
      <c r="AA2781">
        <v>0.99805480000000002</v>
      </c>
      <c r="AB2781">
        <v>28</v>
      </c>
      <c r="AC2781">
        <v>-0.75249999999999695</v>
      </c>
      <c r="AD2781">
        <v>-7.3572999999999805E-2</v>
      </c>
      <c r="AE2781">
        <v>6.95999999999799E-2</v>
      </c>
      <c r="AF2781">
        <v>5.7751104051135899E-2</v>
      </c>
      <c r="AG2781">
        <v>-7.3572999999999805E-2</v>
      </c>
      <c r="AH2781">
        <v>0.74638545041593896</v>
      </c>
      <c r="AI2781">
        <v>95.612926714952593</v>
      </c>
      <c r="AJ2781">
        <v>85.575590442610306</v>
      </c>
      <c r="AK2781">
        <v>0.75222298352332295</v>
      </c>
      <c r="AL2781">
        <v>67.373969591494202</v>
      </c>
      <c r="AM2781">
        <v>90.001432652246507</v>
      </c>
      <c r="AN2781">
        <v>0.99999996759451304</v>
      </c>
    </row>
    <row r="2782" spans="1:40" x14ac:dyDescent="0.25">
      <c r="A2782" t="str">
        <f>"20190304164907066"</f>
        <v>20190304164907066</v>
      </c>
      <c r="B2782" t="str">
        <f>"1551689347058195"</f>
        <v>1551689347058195</v>
      </c>
      <c r="C2782" t="s">
        <v>40</v>
      </c>
      <c r="D2782">
        <v>3.9741249999999999</v>
      </c>
      <c r="E2782">
        <v>0.54045100000000001</v>
      </c>
      <c r="F2782" t="s">
        <v>41</v>
      </c>
      <c r="G2782">
        <v>-427.44130000000001</v>
      </c>
      <c r="H2782">
        <v>1.0499419999999999</v>
      </c>
      <c r="I2782">
        <v>284.88549999999998</v>
      </c>
      <c r="J2782">
        <v>-426.8338</v>
      </c>
      <c r="K2782">
        <v>1.1110180000000001</v>
      </c>
      <c r="L2782">
        <v>284.82839999999999</v>
      </c>
      <c r="M2782">
        <v>-0.99978789999999995</v>
      </c>
      <c r="N2782">
        <v>-1.407509E-2</v>
      </c>
      <c r="O2782">
        <v>1.504349E-2</v>
      </c>
      <c r="P2782">
        <v>-0.92843730000000002</v>
      </c>
      <c r="Q2782">
        <v>0.37125979999999997</v>
      </c>
      <c r="R2782">
        <v>1.305951E-2</v>
      </c>
      <c r="S2782">
        <v>-3.3351139999999999</v>
      </c>
      <c r="T2782">
        <v>-0.26759719999999998</v>
      </c>
      <c r="U2782">
        <v>0.25848389999999999</v>
      </c>
      <c r="V2782">
        <v>-8.7323779999999996E-4</v>
      </c>
      <c r="W2782">
        <v>0.38429210000000003</v>
      </c>
      <c r="X2782">
        <v>0.92321120000000001</v>
      </c>
      <c r="Y2782">
        <v>6.2062680000000002E-2</v>
      </c>
      <c r="Z2782">
        <v>1.928503E-3</v>
      </c>
      <c r="AA2782">
        <v>0.99807040000000002</v>
      </c>
      <c r="AB2782">
        <v>28</v>
      </c>
      <c r="AC2782">
        <v>-0.60750000000001503</v>
      </c>
      <c r="AD2782">
        <v>-6.1076000000000102E-2</v>
      </c>
      <c r="AE2782">
        <v>5.7099999999991199E-2</v>
      </c>
      <c r="AF2782">
        <v>4.7478025853254599E-2</v>
      </c>
      <c r="AG2782">
        <v>-6.1076000000000102E-2</v>
      </c>
      <c r="AH2782">
        <v>0.60225624472005401</v>
      </c>
      <c r="AI2782">
        <v>95.772892367730904</v>
      </c>
      <c r="AJ2782">
        <v>85.492489867277897</v>
      </c>
      <c r="AK2782">
        <v>0.607204269598974</v>
      </c>
      <c r="AL2782">
        <v>67.400201200961007</v>
      </c>
      <c r="AM2782">
        <v>90.054194344187195</v>
      </c>
      <c r="AN2782">
        <v>1.00000005023605</v>
      </c>
    </row>
    <row r="2783" spans="1:40" x14ac:dyDescent="0.25">
      <c r="A2783" t="str">
        <f>"20190304164907081"</f>
        <v>20190304164907081</v>
      </c>
      <c r="B2783" t="str">
        <f>"1551689347078691"</f>
        <v>1551689347078691</v>
      </c>
      <c r="C2783" t="s">
        <v>40</v>
      </c>
      <c r="D2783">
        <v>3.9672160000000001</v>
      </c>
      <c r="E2783">
        <v>0.54065209999999997</v>
      </c>
      <c r="F2783" t="s">
        <v>41</v>
      </c>
      <c r="G2783">
        <v>-427.68150000000003</v>
      </c>
      <c r="H2783">
        <v>1.0425329999999999</v>
      </c>
      <c r="I2783">
        <v>284.89389999999997</v>
      </c>
      <c r="J2783">
        <v>-427.0247</v>
      </c>
      <c r="K2783">
        <v>1.111003</v>
      </c>
      <c r="L2783">
        <v>284.8313</v>
      </c>
      <c r="M2783">
        <v>-0.99978699999999998</v>
      </c>
      <c r="N2783">
        <v>-1.407303E-2</v>
      </c>
      <c r="O2783">
        <v>1.5102559999999999E-2</v>
      </c>
      <c r="P2783">
        <v>-0.92836300000000005</v>
      </c>
      <c r="Q2783">
        <v>0.37145050000000002</v>
      </c>
      <c r="R2783">
        <v>1.292429E-2</v>
      </c>
      <c r="S2783">
        <v>-3.33548</v>
      </c>
      <c r="T2783">
        <v>-0.269621</v>
      </c>
      <c r="U2783">
        <v>0.25595089999999998</v>
      </c>
      <c r="V2783">
        <v>-1.043074E-3</v>
      </c>
      <c r="W2783">
        <v>0.38447969999999998</v>
      </c>
      <c r="X2783">
        <v>0.92313279999999998</v>
      </c>
      <c r="Y2783">
        <v>6.1242419999999999E-2</v>
      </c>
      <c r="Z2783">
        <v>1.895175E-3</v>
      </c>
      <c r="AA2783">
        <v>0.99812109999999998</v>
      </c>
      <c r="AB2783">
        <v>28</v>
      </c>
      <c r="AC2783">
        <v>-0.65680000000003202</v>
      </c>
      <c r="AD2783">
        <v>-6.8470000000000003E-2</v>
      </c>
      <c r="AE2783">
        <v>6.2599999999974898E-2</v>
      </c>
      <c r="AF2783">
        <v>5.21112888009478E-2</v>
      </c>
      <c r="AG2783">
        <v>-6.8470000000000003E-2</v>
      </c>
      <c r="AH2783">
        <v>0.65066308978392295</v>
      </c>
      <c r="AI2783">
        <v>95.988155619270103</v>
      </c>
      <c r="AJ2783">
        <v>85.420982778166504</v>
      </c>
      <c r="AK2783">
        <v>0.65632780203771401</v>
      </c>
      <c r="AL2783">
        <v>67.388555533267194</v>
      </c>
      <c r="AM2783">
        <v>90.064740102925199</v>
      </c>
      <c r="AN2783">
        <v>0.99999994707564799</v>
      </c>
    </row>
    <row r="2784" spans="1:40" x14ac:dyDescent="0.25">
      <c r="A2784" t="str">
        <f>"20190304164907094"</f>
        <v>20190304164907094</v>
      </c>
      <c r="B2784" t="str">
        <f>"1551689347088451"</f>
        <v>1551689347088451</v>
      </c>
      <c r="C2784" t="s">
        <v>40</v>
      </c>
      <c r="D2784">
        <v>4.1917819999999999</v>
      </c>
      <c r="E2784">
        <v>0.54065209999999997</v>
      </c>
      <c r="F2784" t="s">
        <v>41</v>
      </c>
      <c r="G2784">
        <v>-427.92579999999998</v>
      </c>
      <c r="H2784">
        <v>1.0379890000000001</v>
      </c>
      <c r="I2784">
        <v>284.90069999999997</v>
      </c>
      <c r="J2784">
        <v>-427.19380000000001</v>
      </c>
      <c r="K2784">
        <v>1.1109849999999999</v>
      </c>
      <c r="L2784">
        <v>284.834</v>
      </c>
      <c r="M2784">
        <v>-0.99978599999999995</v>
      </c>
      <c r="N2784">
        <v>-1.4071220000000001E-2</v>
      </c>
      <c r="O2784">
        <v>1.516779E-2</v>
      </c>
      <c r="P2784">
        <v>-0.92840889999999998</v>
      </c>
      <c r="Q2784">
        <v>0.37134080000000003</v>
      </c>
      <c r="R2784">
        <v>1.277844E-2</v>
      </c>
      <c r="S2784">
        <v>-3.3361209999999999</v>
      </c>
      <c r="T2784">
        <v>-0.27033649999999998</v>
      </c>
      <c r="U2784">
        <v>0.25595089999999998</v>
      </c>
      <c r="V2784">
        <v>-1.2328549999999999E-3</v>
      </c>
      <c r="W2784">
        <v>0.38436930000000002</v>
      </c>
      <c r="X2784">
        <v>0.92317859999999996</v>
      </c>
      <c r="Y2784">
        <v>6.1162269999999998E-2</v>
      </c>
      <c r="Z2784">
        <v>1.890007E-3</v>
      </c>
      <c r="AA2784">
        <v>0.99812599999999996</v>
      </c>
      <c r="AB2784">
        <v>28</v>
      </c>
      <c r="AC2784">
        <v>-0.73199999999997001</v>
      </c>
      <c r="AD2784">
        <v>-7.2996000000000005E-2</v>
      </c>
      <c r="AE2784">
        <v>6.6699999999968895E-2</v>
      </c>
      <c r="AF2784">
        <v>5.5045520589269203E-2</v>
      </c>
      <c r="AG2784">
        <v>-7.2996000000000005E-2</v>
      </c>
      <c r="AH2784">
        <v>0.72576969798358204</v>
      </c>
      <c r="AI2784">
        <v>95.727005528383103</v>
      </c>
      <c r="AJ2784">
        <v>85.662743439281996</v>
      </c>
      <c r="AK2784">
        <v>0.73150535190395105</v>
      </c>
      <c r="AL2784">
        <v>67.395408855332505</v>
      </c>
      <c r="AM2784">
        <v>90.076515363614007</v>
      </c>
      <c r="AN2784">
        <v>1.0000000031059499</v>
      </c>
    </row>
    <row r="2785" spans="1:40" x14ac:dyDescent="0.25">
      <c r="A2785" t="str">
        <f>"20190304164907110"</f>
        <v>20190304164907110</v>
      </c>
      <c r="B2785" t="str">
        <f>"1551689347098211"</f>
        <v>1551689347098211</v>
      </c>
      <c r="C2785" t="s">
        <v>40</v>
      </c>
      <c r="D2785">
        <v>4.2511210000000004</v>
      </c>
      <c r="E2785">
        <v>0.52203140000000003</v>
      </c>
      <c r="F2785" t="s">
        <v>41</v>
      </c>
      <c r="G2785">
        <v>-427.93579999999997</v>
      </c>
      <c r="H2785">
        <v>1.050753</v>
      </c>
      <c r="I2785">
        <v>284.89080000000001</v>
      </c>
      <c r="J2785">
        <v>-427.37860000000001</v>
      </c>
      <c r="K2785">
        <v>1.110959</v>
      </c>
      <c r="L2785">
        <v>284.83679999999998</v>
      </c>
      <c r="M2785">
        <v>-0.99978460000000002</v>
      </c>
      <c r="N2785">
        <v>-1.406927E-2</v>
      </c>
      <c r="O2785">
        <v>1.5256459999999999E-2</v>
      </c>
      <c r="P2785">
        <v>-0.92857369999999995</v>
      </c>
      <c r="Q2785">
        <v>0.37093700000000002</v>
      </c>
      <c r="R2785">
        <v>1.250976E-2</v>
      </c>
      <c r="S2785">
        <v>-3.336182</v>
      </c>
      <c r="T2785">
        <v>-0.27086189999999999</v>
      </c>
      <c r="U2785">
        <v>0.2546387</v>
      </c>
      <c r="V2785">
        <v>-1.568577E-3</v>
      </c>
      <c r="W2785">
        <v>0.38396639999999999</v>
      </c>
      <c r="X2785">
        <v>0.92334570000000005</v>
      </c>
      <c r="Y2785">
        <v>6.0683389999999997E-2</v>
      </c>
      <c r="Z2785">
        <v>1.8636340000000001E-3</v>
      </c>
      <c r="AA2785">
        <v>0.99815529999999997</v>
      </c>
      <c r="AB2785">
        <v>28</v>
      </c>
      <c r="AC2785">
        <v>-0.55719999999996594</v>
      </c>
      <c r="AD2785">
        <v>-6.0205999999999898E-2</v>
      </c>
      <c r="AE2785">
        <v>5.4000000000030399E-2</v>
      </c>
      <c r="AF2785">
        <v>4.4971811676032897E-2</v>
      </c>
      <c r="AG2785">
        <v>-6.0205999999999898E-2</v>
      </c>
      <c r="AH2785">
        <v>0.551579292004866</v>
      </c>
      <c r="AI2785">
        <v>96.2088488039754</v>
      </c>
      <c r="AJ2785">
        <v>85.338824178892096</v>
      </c>
      <c r="AK2785">
        <v>0.55667489762878097</v>
      </c>
      <c r="AL2785">
        <v>67.420411176424295</v>
      </c>
      <c r="AM2785">
        <v>90.097333810604596</v>
      </c>
      <c r="AN2785">
        <v>0.99999996923562695</v>
      </c>
    </row>
    <row r="2786" spans="1:40" x14ac:dyDescent="0.25">
      <c r="A2786" t="str">
        <f>"20190304164907126"</f>
        <v>20190304164907126</v>
      </c>
      <c r="B2786" t="str">
        <f>"1551689347118707"</f>
        <v>1551689347118707</v>
      </c>
      <c r="C2786" t="s">
        <v>40</v>
      </c>
      <c r="D2786">
        <v>3.9888530000000002</v>
      </c>
      <c r="E2786">
        <v>0.45841910000000002</v>
      </c>
      <c r="F2786" t="s">
        <v>46</v>
      </c>
      <c r="G2786">
        <v>-445.25529999999998</v>
      </c>
      <c r="H2786" s="1">
        <v>1.224733E-6</v>
      </c>
      <c r="I2786">
        <v>285.4187</v>
      </c>
      <c r="J2786">
        <v>-427.57810000000001</v>
      </c>
      <c r="K2786">
        <v>1.110941</v>
      </c>
      <c r="L2786">
        <v>284.83999999999997</v>
      </c>
      <c r="M2786">
        <v>-0.99978310000000004</v>
      </c>
      <c r="N2786">
        <v>-1.406717E-2</v>
      </c>
      <c r="O2786">
        <v>1.536233E-2</v>
      </c>
      <c r="P2786">
        <v>-0.92860940000000003</v>
      </c>
      <c r="Q2786">
        <v>0.3708515</v>
      </c>
      <c r="R2786">
        <v>1.241047E-2</v>
      </c>
      <c r="S2786">
        <v>-3.3115230000000002</v>
      </c>
      <c r="T2786">
        <v>-0.2057968</v>
      </c>
      <c r="U2786">
        <v>0.1077881</v>
      </c>
      <c r="V2786">
        <v>-1.7500440000000001E-3</v>
      </c>
      <c r="W2786">
        <v>0.38387959999999999</v>
      </c>
      <c r="X2786">
        <v>0.92338149999999997</v>
      </c>
      <c r="Y2786">
        <v>1.714978E-2</v>
      </c>
      <c r="Z2786" s="1">
        <v>-8.4482979999999996E-5</v>
      </c>
      <c r="AA2786">
        <v>0.99985299999999999</v>
      </c>
      <c r="AB2786">
        <v>28</v>
      </c>
      <c r="AC2786">
        <v>-17.6771999999999</v>
      </c>
      <c r="AD2786">
        <v>-1.1109397752670001</v>
      </c>
      <c r="AE2786">
        <v>0.57870000000002597</v>
      </c>
      <c r="AF2786">
        <v>0.305835224311581</v>
      </c>
      <c r="AG2786">
        <v>-1.1109397752670001</v>
      </c>
      <c r="AH2786">
        <v>17.614508665378001</v>
      </c>
      <c r="AI2786">
        <v>93.608298722574702</v>
      </c>
      <c r="AJ2786">
        <v>89.0052911847324</v>
      </c>
      <c r="AK2786">
        <v>17.652156749003101</v>
      </c>
      <c r="AL2786">
        <v>67.425797994512095</v>
      </c>
      <c r="AM2786">
        <v>90.1085900195161</v>
      </c>
      <c r="AN2786">
        <v>1.0000000022461999</v>
      </c>
    </row>
    <row r="2787" spans="1:40" x14ac:dyDescent="0.25">
      <c r="A2787" t="str">
        <f>"20190304164907146"</f>
        <v>20190304164907146</v>
      </c>
      <c r="B2787" t="str">
        <f>"1551689347138227"</f>
        <v>1551689347138227</v>
      </c>
      <c r="C2787" t="s">
        <v>40</v>
      </c>
      <c r="D2787">
        <v>3.971803</v>
      </c>
      <c r="E2787">
        <v>0.44432120000000003</v>
      </c>
      <c r="F2787" t="s">
        <v>46</v>
      </c>
      <c r="G2787">
        <v>-449.7681</v>
      </c>
      <c r="H2787" s="1">
        <v>3.7686089999999998E-6</v>
      </c>
      <c r="I2787">
        <v>282.16129999999998</v>
      </c>
      <c r="J2787">
        <v>-427.81599999999997</v>
      </c>
      <c r="K2787">
        <v>1.1109279999999999</v>
      </c>
      <c r="L2787">
        <v>284.84379999999999</v>
      </c>
      <c r="M2787">
        <v>-0.99978100000000003</v>
      </c>
      <c r="N2787">
        <v>-1.406462E-2</v>
      </c>
      <c r="O2787">
        <v>1.550167E-2</v>
      </c>
      <c r="P2787">
        <v>-0.92868720000000005</v>
      </c>
      <c r="Q2787">
        <v>0.37065819999999999</v>
      </c>
      <c r="R2787">
        <v>1.2362369999999999E-2</v>
      </c>
      <c r="S2787">
        <v>-3.301971</v>
      </c>
      <c r="T2787">
        <v>-0.16531279999999901</v>
      </c>
      <c r="U2787">
        <v>-0.3985901</v>
      </c>
      <c r="V2787">
        <v>-1.914004E-3</v>
      </c>
      <c r="W2787">
        <v>0.383685</v>
      </c>
      <c r="X2787">
        <v>0.92346200000000001</v>
      </c>
      <c r="Y2787">
        <v>-0.1349958</v>
      </c>
      <c r="Z2787">
        <v>-4.8743859999999996E-3</v>
      </c>
      <c r="AA2787">
        <v>0.9908342</v>
      </c>
      <c r="AB2787">
        <v>28</v>
      </c>
      <c r="AC2787">
        <v>-21.952100000000002</v>
      </c>
      <c r="AD2787">
        <v>-1.1109242313909999</v>
      </c>
      <c r="AE2787">
        <v>-2.6825000000000001</v>
      </c>
      <c r="AF2787">
        <v>-3.0148977766613698</v>
      </c>
      <c r="AG2787">
        <v>-1.1109242313909999</v>
      </c>
      <c r="AH2787">
        <v>21.852732050475002</v>
      </c>
      <c r="AI2787">
        <v>92.882970663361903</v>
      </c>
      <c r="AJ2787">
        <v>97.855185989127904</v>
      </c>
      <c r="AK2787">
        <v>22.087681166692601</v>
      </c>
      <c r="AL2787">
        <v>67.437871217456205</v>
      </c>
      <c r="AM2787">
        <v>90.118753337049299</v>
      </c>
      <c r="AN2787">
        <v>0.99999995404015496</v>
      </c>
    </row>
    <row r="2788" spans="1:40" x14ac:dyDescent="0.25">
      <c r="A2788" t="str">
        <f>"20190304164907167"</f>
        <v>20190304164907167</v>
      </c>
      <c r="B2788" t="str">
        <f>"1551689347158723"</f>
        <v>1551689347158723</v>
      </c>
      <c r="C2788" t="s">
        <v>40</v>
      </c>
      <c r="D2788">
        <v>3.959714</v>
      </c>
      <c r="E2788">
        <v>0.43897639999999999</v>
      </c>
      <c r="F2788" t="s">
        <v>46</v>
      </c>
      <c r="G2788">
        <v>-453.04020000000003</v>
      </c>
      <c r="H2788" s="1">
        <v>2.4157410000000001E-7</v>
      </c>
      <c r="I2788">
        <v>280.94400000000002</v>
      </c>
      <c r="J2788">
        <v>-428.08069999999998</v>
      </c>
      <c r="K2788">
        <v>1.1109150000000001</v>
      </c>
      <c r="L2788">
        <v>284.84809999999999</v>
      </c>
      <c r="M2788">
        <v>-0.99977850000000001</v>
      </c>
      <c r="N2788">
        <v>-1.406173E-2</v>
      </c>
      <c r="O2788">
        <v>1.566857E-2</v>
      </c>
      <c r="P2788">
        <v>-0.92884840000000002</v>
      </c>
      <c r="Q2788">
        <v>0.37023689999999998</v>
      </c>
      <c r="R2788">
        <v>1.2870650000000001E-2</v>
      </c>
      <c r="S2788">
        <v>-3.2950740000000001</v>
      </c>
      <c r="T2788">
        <v>-0.14512239999999901</v>
      </c>
      <c r="U2788">
        <v>-0.50942989999999999</v>
      </c>
      <c r="V2788">
        <v>-1.553217E-3</v>
      </c>
      <c r="W2788">
        <v>0.38326310000000002</v>
      </c>
      <c r="X2788">
        <v>0.92363790000000001</v>
      </c>
      <c r="Y2788">
        <v>-0.16803770000000001</v>
      </c>
      <c r="Z2788">
        <v>-5.3329600000000003E-3</v>
      </c>
      <c r="AA2788">
        <v>0.98576609999999998</v>
      </c>
      <c r="AB2788">
        <v>28</v>
      </c>
      <c r="AC2788">
        <v>-24.959499999999998</v>
      </c>
      <c r="AD2788">
        <v>-1.11091475842589</v>
      </c>
      <c r="AE2788">
        <v>-3.9040999999999699</v>
      </c>
      <c r="AF2788">
        <v>-4.2864501631347398</v>
      </c>
      <c r="AG2788">
        <v>-1.11091475842589</v>
      </c>
      <c r="AH2788">
        <v>24.847210302409</v>
      </c>
      <c r="AI2788">
        <v>92.522765228491494</v>
      </c>
      <c r="AJ2788">
        <v>99.787889750622398</v>
      </c>
      <c r="AK2788">
        <v>25.2386934371347</v>
      </c>
      <c r="AL2788">
        <v>67.464046205319093</v>
      </c>
      <c r="AM2788">
        <v>90.096350198363595</v>
      </c>
      <c r="AN2788">
        <v>0.99999999331053402</v>
      </c>
    </row>
    <row r="2789" spans="1:40" x14ac:dyDescent="0.25">
      <c r="A2789" t="str">
        <f>"20190304164907188"</f>
        <v>20190304164907188</v>
      </c>
      <c r="B2789" t="str">
        <f>"1551689347178243"</f>
        <v>1551689347178243</v>
      </c>
      <c r="C2789" t="s">
        <v>40</v>
      </c>
      <c r="D2789">
        <v>3.9348670000000001</v>
      </c>
      <c r="E2789">
        <v>0.4369209</v>
      </c>
      <c r="F2789" t="s">
        <v>46</v>
      </c>
      <c r="G2789">
        <v>-454.09449999999998</v>
      </c>
      <c r="H2789" s="1">
        <v>8.2176629999999995E-7</v>
      </c>
      <c r="I2789">
        <v>280.50580000000002</v>
      </c>
      <c r="J2789">
        <v>-428.33980000000003</v>
      </c>
      <c r="K2789">
        <v>1.1109059999999999</v>
      </c>
      <c r="L2789">
        <v>284.85230000000001</v>
      </c>
      <c r="M2789">
        <v>-0.99977570000000004</v>
      </c>
      <c r="N2789">
        <v>-1.405901E-2</v>
      </c>
      <c r="O2789">
        <v>1.583961E-2</v>
      </c>
      <c r="P2789">
        <v>-0.92894319999999997</v>
      </c>
      <c r="Q2789">
        <v>0.3700001</v>
      </c>
      <c r="R2789">
        <v>1.282722E-2</v>
      </c>
      <c r="S2789">
        <v>-3.2934269999999999</v>
      </c>
      <c r="T2789">
        <v>-0.14064499999999999</v>
      </c>
      <c r="U2789">
        <v>-0.54974369999999995</v>
      </c>
      <c r="V2789">
        <v>-1.7524769999999999E-3</v>
      </c>
      <c r="W2789">
        <v>0.38302530000000001</v>
      </c>
      <c r="X2789">
        <v>0.92373620000000001</v>
      </c>
      <c r="Y2789">
        <v>-0.18002799999999999</v>
      </c>
      <c r="Z2789">
        <v>-5.54157E-3</v>
      </c>
      <c r="AA2789">
        <v>0.98364589999999996</v>
      </c>
      <c r="AB2789">
        <v>27</v>
      </c>
      <c r="AC2789">
        <v>-25.7546999999999</v>
      </c>
      <c r="AD2789">
        <v>-1.1109051782337001</v>
      </c>
      <c r="AE2789">
        <v>-4.34649999999999</v>
      </c>
      <c r="AF2789">
        <v>-4.7453548678582003</v>
      </c>
      <c r="AG2789">
        <v>-1.1109051782337001</v>
      </c>
      <c r="AH2789">
        <v>25.636238069896901</v>
      </c>
      <c r="AI2789">
        <v>92.439872611511404</v>
      </c>
      <c r="AJ2789">
        <v>100.486946451542</v>
      </c>
      <c r="AK2789">
        <v>26.095386671083499</v>
      </c>
      <c r="AL2789">
        <v>67.478797162012199</v>
      </c>
      <c r="AM2789">
        <v>90.108699231802902</v>
      </c>
      <c r="AN2789">
        <v>1.0000000094030801</v>
      </c>
    </row>
    <row r="2790" spans="1:40" x14ac:dyDescent="0.25">
      <c r="A2790" t="str">
        <f>"20190304164907211"</f>
        <v>20190304164907211</v>
      </c>
      <c r="B2790" t="str">
        <f>"1551689347198739"</f>
        <v>1551689347198739</v>
      </c>
      <c r="C2790" t="s">
        <v>40</v>
      </c>
      <c r="D2790">
        <v>3.9450440000000002</v>
      </c>
      <c r="E2790">
        <v>0.43611060000000001</v>
      </c>
      <c r="F2790" t="s">
        <v>46</v>
      </c>
      <c r="G2790">
        <v>-454.86189999999999</v>
      </c>
      <c r="H2790" s="1">
        <v>1.239342E-6</v>
      </c>
      <c r="I2790">
        <v>280.29570000000001</v>
      </c>
      <c r="J2790">
        <v>-428.6148</v>
      </c>
      <c r="K2790">
        <v>1.1109020000000001</v>
      </c>
      <c r="L2790">
        <v>284.8569</v>
      </c>
      <c r="M2790">
        <v>-0.99977289999999996</v>
      </c>
      <c r="N2790">
        <v>-1.405608E-2</v>
      </c>
      <c r="O2790">
        <v>1.6022749999999999E-2</v>
      </c>
      <c r="P2790">
        <v>-0.92915720000000002</v>
      </c>
      <c r="Q2790">
        <v>0.36948819999999999</v>
      </c>
      <c r="R2790">
        <v>1.206342E-2</v>
      </c>
      <c r="S2790">
        <v>-3.2922359999999999</v>
      </c>
      <c r="T2790">
        <v>-0.13789870000000001</v>
      </c>
      <c r="U2790">
        <v>-0.56561280000000003</v>
      </c>
      <c r="V2790">
        <v>-2.6890960000000002E-3</v>
      </c>
      <c r="W2790">
        <v>0.38251429999999997</v>
      </c>
      <c r="X2790">
        <v>0.92394569999999998</v>
      </c>
      <c r="Y2790">
        <v>-0.18487480000000001</v>
      </c>
      <c r="Z2790">
        <v>-5.5943080000000001E-3</v>
      </c>
      <c r="AA2790">
        <v>0.98274620000000001</v>
      </c>
      <c r="AB2790">
        <v>27</v>
      </c>
      <c r="AC2790">
        <v>-26.2470999999999</v>
      </c>
      <c r="AD2790">
        <v>-1.1109007606579999</v>
      </c>
      <c r="AE2790">
        <v>-4.5611999999999799</v>
      </c>
      <c r="AF2790">
        <v>-4.97255996557604</v>
      </c>
      <c r="AG2790">
        <v>-1.1109007606579999</v>
      </c>
      <c r="AH2790">
        <v>26.125211447170599</v>
      </c>
      <c r="AI2790">
        <v>92.391982935896294</v>
      </c>
      <c r="AJ2790">
        <v>100.776529039327</v>
      </c>
      <c r="AK2790">
        <v>26.617421480501399</v>
      </c>
      <c r="AL2790">
        <v>67.510489519594103</v>
      </c>
      <c r="AM2790">
        <v>90.166755921337696</v>
      </c>
      <c r="AN2790">
        <v>1.00000003874513</v>
      </c>
    </row>
    <row r="2791" spans="1:40" x14ac:dyDescent="0.25">
      <c r="A2791" t="str">
        <f>"20190304164907233"</f>
        <v>20190304164907233</v>
      </c>
      <c r="B2791" t="str">
        <f>"1551689347228999"</f>
        <v>1551689347228999</v>
      </c>
      <c r="C2791" t="s">
        <v>40</v>
      </c>
      <c r="D2791">
        <v>3.9425840000000001</v>
      </c>
      <c r="E2791">
        <v>0.43518309999999999</v>
      </c>
      <c r="F2791" t="s">
        <v>46</v>
      </c>
      <c r="G2791">
        <v>-454.66329999999999</v>
      </c>
      <c r="H2791" s="1">
        <v>1.132809E-6</v>
      </c>
      <c r="I2791">
        <v>280.31529999999998</v>
      </c>
      <c r="J2791">
        <v>-428.89249999999998</v>
      </c>
      <c r="K2791">
        <v>1.1109</v>
      </c>
      <c r="L2791">
        <v>284.86149999999998</v>
      </c>
      <c r="M2791">
        <v>-0.99977009999999999</v>
      </c>
      <c r="N2791">
        <v>-1.4053080000000001E-2</v>
      </c>
      <c r="O2791">
        <v>1.6204840000000002E-2</v>
      </c>
      <c r="P2791">
        <v>-0.92938410000000005</v>
      </c>
      <c r="Q2791">
        <v>0.3689617</v>
      </c>
      <c r="R2791">
        <v>1.060901E-2</v>
      </c>
      <c r="S2791">
        <v>-3.2920530000000001</v>
      </c>
      <c r="T2791">
        <v>-0.1403972</v>
      </c>
      <c r="U2791">
        <v>-0.5739746</v>
      </c>
      <c r="V2791">
        <v>-4.3171370000000004E-3</v>
      </c>
      <c r="W2791">
        <v>0.38198860000000001</v>
      </c>
      <c r="X2791">
        <v>0.92415700000000001</v>
      </c>
      <c r="Y2791">
        <v>-0.18747559999999999</v>
      </c>
      <c r="Z2791">
        <v>-5.7539239999999997E-3</v>
      </c>
      <c r="AA2791">
        <v>0.98225240000000003</v>
      </c>
      <c r="AB2791">
        <v>27</v>
      </c>
      <c r="AC2791">
        <v>-25.770800000000001</v>
      </c>
      <c r="AD2791">
        <v>-1.1108988671910001</v>
      </c>
      <c r="AE2791">
        <v>-4.54619999999999</v>
      </c>
      <c r="AF2791">
        <v>-4.9543274987076398</v>
      </c>
      <c r="AG2791">
        <v>-1.1108988671910001</v>
      </c>
      <c r="AH2791">
        <v>25.6475178040067</v>
      </c>
      <c r="AI2791">
        <v>92.435201777033996</v>
      </c>
      <c r="AJ2791">
        <v>100.933156442287</v>
      </c>
      <c r="AK2791">
        <v>26.145260120419898</v>
      </c>
      <c r="AL2791">
        <v>67.543085421071694</v>
      </c>
      <c r="AM2791">
        <v>90.267651416836202</v>
      </c>
      <c r="AN2791">
        <v>1.00000004442541</v>
      </c>
    </row>
    <row r="2792" spans="1:40" x14ac:dyDescent="0.25">
      <c r="A2792" t="str">
        <f>"20190304164907248"</f>
        <v>20190304164907248</v>
      </c>
      <c r="B2792" t="str">
        <f>"1551689347238755"</f>
        <v>1551689347238755</v>
      </c>
      <c r="C2792" t="s">
        <v>40</v>
      </c>
      <c r="D2792">
        <v>3.9477709999999999</v>
      </c>
      <c r="E2792">
        <v>0.43495400000000001</v>
      </c>
      <c r="F2792" t="s">
        <v>46</v>
      </c>
      <c r="G2792">
        <v>-454.56959999999998</v>
      </c>
      <c r="H2792" s="1">
        <v>1.0838980000000001E-6</v>
      </c>
      <c r="I2792">
        <v>280.29270000000002</v>
      </c>
      <c r="J2792">
        <v>-429.0729</v>
      </c>
      <c r="K2792">
        <v>1.1109039999999999</v>
      </c>
      <c r="L2792">
        <v>284.86450000000002</v>
      </c>
      <c r="M2792">
        <v>-0.99976810000000005</v>
      </c>
      <c r="N2792">
        <v>-1.405114E-2</v>
      </c>
      <c r="O2792">
        <v>1.631939E-2</v>
      </c>
      <c r="P2792">
        <v>-0.92950889999999997</v>
      </c>
      <c r="Q2792">
        <v>0.3686661</v>
      </c>
      <c r="R2792">
        <v>9.9229239999999996E-3</v>
      </c>
      <c r="S2792">
        <v>-3.2911679999999999</v>
      </c>
      <c r="T2792">
        <v>-0.14238970000000001</v>
      </c>
      <c r="U2792">
        <v>-0.58560179999999995</v>
      </c>
      <c r="V2792">
        <v>-5.1127849999999999E-3</v>
      </c>
      <c r="W2792">
        <v>0.3816929</v>
      </c>
      <c r="X2792">
        <v>0.92427499999999996</v>
      </c>
      <c r="Y2792">
        <v>-0.1909873</v>
      </c>
      <c r="Z2792">
        <v>-5.9235869999999897E-3</v>
      </c>
      <c r="AA2792">
        <v>0.98157459999999996</v>
      </c>
      <c r="AB2792">
        <v>27</v>
      </c>
      <c r="AC2792">
        <v>-25.496699999999901</v>
      </c>
      <c r="AD2792">
        <v>-1.1109029161020001</v>
      </c>
      <c r="AE2792">
        <v>-4.5717999999999899</v>
      </c>
      <c r="AF2792">
        <v>-4.9781666321886497</v>
      </c>
      <c r="AG2792">
        <v>-1.1109029161020001</v>
      </c>
      <c r="AH2792">
        <v>25.372022098288902</v>
      </c>
      <c r="AI2792">
        <v>92.460220177716295</v>
      </c>
      <c r="AJ2792">
        <v>101.100812835648</v>
      </c>
      <c r="AK2792">
        <v>25.8796397514127</v>
      </c>
      <c r="AL2792">
        <v>67.561414385338196</v>
      </c>
      <c r="AM2792">
        <v>90.316938156041005</v>
      </c>
      <c r="AN2792">
        <v>0.99999994305293105</v>
      </c>
    </row>
    <row r="2793" spans="1:40" x14ac:dyDescent="0.25">
      <c r="A2793" t="str">
        <f>"20190304164907263"</f>
        <v>20190304164907263</v>
      </c>
      <c r="B2793" t="str">
        <f>"1551689347258275"</f>
        <v>1551689347258275</v>
      </c>
      <c r="C2793" t="s">
        <v>40</v>
      </c>
      <c r="D2793">
        <v>3.9559989999999998</v>
      </c>
      <c r="E2793">
        <v>0.43459170000000003</v>
      </c>
      <c r="F2793" t="s">
        <v>46</v>
      </c>
      <c r="G2793">
        <v>-454.5181</v>
      </c>
      <c r="H2793" s="1">
        <v>1.0561280000000001E-6</v>
      </c>
      <c r="I2793">
        <v>280.30110000000002</v>
      </c>
      <c r="J2793">
        <v>-429.24329999999998</v>
      </c>
      <c r="K2793">
        <v>1.110903</v>
      </c>
      <c r="L2793">
        <v>284.86739999999998</v>
      </c>
      <c r="M2793">
        <v>-0.9997665</v>
      </c>
      <c r="N2793">
        <v>-1.4049310000000001E-2</v>
      </c>
      <c r="O2793">
        <v>1.6424569999999999E-2</v>
      </c>
      <c r="P2793">
        <v>-0.92970980000000003</v>
      </c>
      <c r="Q2793">
        <v>0.36818250000000002</v>
      </c>
      <c r="R2793">
        <v>9.0418849999999995E-3</v>
      </c>
      <c r="S2793">
        <v>-3.2908019999999998</v>
      </c>
      <c r="T2793">
        <v>-0.14367189999999999</v>
      </c>
      <c r="U2793">
        <v>-0.59017940000000002</v>
      </c>
      <c r="V2793">
        <v>-6.0960370000000003E-3</v>
      </c>
      <c r="W2793">
        <v>0.38121060000000001</v>
      </c>
      <c r="X2793">
        <v>0.92446810000000001</v>
      </c>
      <c r="Y2793">
        <v>-0.19242680000000001</v>
      </c>
      <c r="Z2793">
        <v>-6.011204E-3</v>
      </c>
      <c r="AA2793">
        <v>0.98129290000000002</v>
      </c>
      <c r="AB2793">
        <v>27</v>
      </c>
      <c r="AC2793">
        <v>-25.274799999999999</v>
      </c>
      <c r="AD2793">
        <v>-1.110901943872</v>
      </c>
      <c r="AE2793">
        <v>-4.5662999999999503</v>
      </c>
      <c r="AF2793">
        <v>-4.9715518043805904</v>
      </c>
      <c r="AG2793">
        <v>-1.110901943872</v>
      </c>
      <c r="AH2793">
        <v>25.149333712165099</v>
      </c>
      <c r="AI2793">
        <v>92.481282468123496</v>
      </c>
      <c r="AJ2793">
        <v>101.18213107485801</v>
      </c>
      <c r="AK2793">
        <v>25.660074369307399</v>
      </c>
      <c r="AL2793">
        <v>67.591309239505406</v>
      </c>
      <c r="AM2793">
        <v>90.377808741635107</v>
      </c>
      <c r="AN2793">
        <v>0.99999997556853704</v>
      </c>
    </row>
    <row r="2794" spans="1:40" x14ac:dyDescent="0.25">
      <c r="A2794" t="str">
        <f>"20190304164907277"</f>
        <v>20190304164907277</v>
      </c>
      <c r="B2794" t="str">
        <f>"1551689347269011"</f>
        <v>1551689347269011</v>
      </c>
      <c r="C2794" t="s">
        <v>40</v>
      </c>
      <c r="D2794">
        <v>3.972763</v>
      </c>
      <c r="E2794">
        <v>0.4344538</v>
      </c>
      <c r="F2794" t="s">
        <v>46</v>
      </c>
      <c r="G2794">
        <v>-454.50959999999998</v>
      </c>
      <c r="H2794" s="1">
        <v>1.0519869999999999E-6</v>
      </c>
      <c r="I2794">
        <v>280.29309999999998</v>
      </c>
      <c r="J2794">
        <v>-429.43389999999999</v>
      </c>
      <c r="K2794">
        <v>1.110897</v>
      </c>
      <c r="L2794">
        <v>284.8707</v>
      </c>
      <c r="M2794">
        <v>-0.9997646</v>
      </c>
      <c r="N2794">
        <v>-1.4047250000000001E-2</v>
      </c>
      <c r="O2794">
        <v>1.653905E-2</v>
      </c>
      <c r="P2794">
        <v>-0.92996630000000002</v>
      </c>
      <c r="Q2794">
        <v>0.36758790000000002</v>
      </c>
      <c r="R2794">
        <v>6.4815749999999998E-3</v>
      </c>
      <c r="S2794">
        <v>-3.2898860000000001</v>
      </c>
      <c r="T2794">
        <v>-0.14464859999999999</v>
      </c>
      <c r="U2794">
        <v>-0.59561160000000002</v>
      </c>
      <c r="V2794">
        <v>-8.7692589999999997E-3</v>
      </c>
      <c r="W2794">
        <v>0.3806176</v>
      </c>
      <c r="X2794">
        <v>0.92469100000000004</v>
      </c>
      <c r="Y2794">
        <v>-0.1941503</v>
      </c>
      <c r="Z2794">
        <v>-6.0982170000000004E-3</v>
      </c>
      <c r="AA2794">
        <v>0.98095290000000002</v>
      </c>
      <c r="AB2794">
        <v>27</v>
      </c>
      <c r="AC2794">
        <v>-25.075699999999902</v>
      </c>
      <c r="AD2794">
        <v>-1.1108959480130001</v>
      </c>
      <c r="AE2794">
        <v>-4.5776000000000101</v>
      </c>
      <c r="AF2794">
        <v>-4.9822798449224699</v>
      </c>
      <c r="AG2794">
        <v>-1.1108959480130001</v>
      </c>
      <c r="AH2794">
        <v>24.949165803712098</v>
      </c>
      <c r="AI2794">
        <v>92.500188812828497</v>
      </c>
      <c r="AJ2794">
        <v>101.293252468839</v>
      </c>
      <c r="AK2794">
        <v>25.466018074319202</v>
      </c>
      <c r="AL2794">
        <v>67.628057746365897</v>
      </c>
      <c r="AM2794">
        <v>90.5433452563922</v>
      </c>
      <c r="AN2794">
        <v>1.0000000514070799</v>
      </c>
    </row>
    <row r="2795" spans="1:40" x14ac:dyDescent="0.25">
      <c r="A2795" t="str">
        <f>"20190304164907292"</f>
        <v>20190304164907292</v>
      </c>
      <c r="B2795" t="str">
        <f>"1551689347288531"</f>
        <v>1551689347288531</v>
      </c>
      <c r="C2795" t="s">
        <v>40</v>
      </c>
      <c r="D2795">
        <v>3.985033</v>
      </c>
      <c r="E2795">
        <v>0.43426160000000003</v>
      </c>
      <c r="F2795" t="s">
        <v>46</v>
      </c>
      <c r="G2795">
        <v>-454.31119999999999</v>
      </c>
      <c r="H2795" s="1">
        <v>9.4641039999999998E-7</v>
      </c>
      <c r="I2795">
        <v>280.29289999999997</v>
      </c>
      <c r="J2795">
        <v>-429.61619999999999</v>
      </c>
      <c r="K2795">
        <v>1.1109009999999999</v>
      </c>
      <c r="L2795">
        <v>284.87380000000002</v>
      </c>
      <c r="M2795">
        <v>-0.99976299999999996</v>
      </c>
      <c r="N2795">
        <v>-1.404528E-2</v>
      </c>
      <c r="O2795">
        <v>1.66445E-2</v>
      </c>
      <c r="P2795">
        <v>-0.93007220000000002</v>
      </c>
      <c r="Q2795">
        <v>0.36734420000000001</v>
      </c>
      <c r="R2795">
        <v>4.9411389999999998E-3</v>
      </c>
      <c r="S2795">
        <v>-3.2881770000000001</v>
      </c>
      <c r="T2795">
        <v>-0.146833299999999</v>
      </c>
      <c r="U2795">
        <v>-0.60507200000000005</v>
      </c>
      <c r="V2795">
        <v>-1.041194E-2</v>
      </c>
      <c r="W2795">
        <v>0.38037379999999998</v>
      </c>
      <c r="X2795">
        <v>0.92477419999999999</v>
      </c>
      <c r="Y2795">
        <v>-0.19706299999999999</v>
      </c>
      <c r="Z2795">
        <v>-6.2628270000000003E-3</v>
      </c>
      <c r="AA2795">
        <v>0.98037079999999999</v>
      </c>
      <c r="AB2795">
        <v>27</v>
      </c>
      <c r="AC2795">
        <v>-24.695</v>
      </c>
      <c r="AD2795">
        <v>-1.1109000535896001</v>
      </c>
      <c r="AE2795">
        <v>-4.5809000000000397</v>
      </c>
      <c r="AF2795">
        <v>-4.9815961056678004</v>
      </c>
      <c r="AG2795">
        <v>-1.1109000535896001</v>
      </c>
      <c r="AH2795">
        <v>24.5672626926942</v>
      </c>
      <c r="AI2795">
        <v>92.537505354001098</v>
      </c>
      <c r="AJ2795">
        <v>101.46266261813599</v>
      </c>
      <c r="AK2795">
        <v>25.091847179929001</v>
      </c>
      <c r="AL2795">
        <v>67.643160887724306</v>
      </c>
      <c r="AM2795">
        <v>90.645060181438097</v>
      </c>
      <c r="AN2795">
        <v>0.99999997860332102</v>
      </c>
    </row>
    <row r="2796" spans="1:40" x14ac:dyDescent="0.25">
      <c r="A2796" t="str">
        <f>"20190304164907306"</f>
        <v>20190304164907306</v>
      </c>
      <c r="B2796" t="str">
        <f>"1551689347298292"</f>
        <v>1551689347298292</v>
      </c>
      <c r="C2796" t="s">
        <v>40</v>
      </c>
      <c r="D2796">
        <v>3.993039</v>
      </c>
      <c r="E2796">
        <v>0.43423929999999999</v>
      </c>
      <c r="F2796" t="s">
        <v>46</v>
      </c>
      <c r="G2796">
        <v>-454.28309999999999</v>
      </c>
      <c r="H2796" s="1">
        <v>9.3178520000000001E-7</v>
      </c>
      <c r="I2796">
        <v>280.28460000000001</v>
      </c>
      <c r="J2796">
        <v>-429.77589999999998</v>
      </c>
      <c r="K2796">
        <v>1.1109039999999999</v>
      </c>
      <c r="L2796">
        <v>284.87650000000002</v>
      </c>
      <c r="M2796">
        <v>-0.99976140000000002</v>
      </c>
      <c r="N2796">
        <v>-1.404352E-2</v>
      </c>
      <c r="O2796">
        <v>1.6733209999999998E-2</v>
      </c>
      <c r="P2796">
        <v>-0.93013029999999997</v>
      </c>
      <c r="Q2796">
        <v>0.36720910000000001</v>
      </c>
      <c r="R2796">
        <v>3.8818030000000001E-3</v>
      </c>
      <c r="S2796">
        <v>-3.2873230000000002</v>
      </c>
      <c r="T2796">
        <v>-0.14804829999999999</v>
      </c>
      <c r="U2796">
        <v>-0.6116028</v>
      </c>
      <c r="V2796">
        <v>-1.155782E-2</v>
      </c>
      <c r="W2796">
        <v>0.38023839999999998</v>
      </c>
      <c r="X2796">
        <v>0.92481630000000004</v>
      </c>
      <c r="Y2796">
        <v>-0.19907159999999999</v>
      </c>
      <c r="Z2796">
        <v>-6.3673150000000001E-3</v>
      </c>
      <c r="AA2796">
        <v>0.97996430000000001</v>
      </c>
      <c r="AB2796">
        <v>27</v>
      </c>
      <c r="AC2796">
        <v>-24.507200000000001</v>
      </c>
      <c r="AD2796">
        <v>-1.1109030682148</v>
      </c>
      <c r="AE2796">
        <v>-4.5919000000000096</v>
      </c>
      <c r="AF2796">
        <v>-4.9914730053874701</v>
      </c>
      <c r="AG2796">
        <v>-1.1109030682148</v>
      </c>
      <c r="AH2796">
        <v>24.378529763911398</v>
      </c>
      <c r="AI2796">
        <v>92.556144560978296</v>
      </c>
      <c r="AJ2796">
        <v>101.571309445897</v>
      </c>
      <c r="AK2796">
        <v>24.9090670608193</v>
      </c>
      <c r="AL2796">
        <v>67.651549669225702</v>
      </c>
      <c r="AM2796">
        <v>90.716012286436097</v>
      </c>
      <c r="AN2796">
        <v>1.0000000063917001</v>
      </c>
    </row>
    <row r="2797" spans="1:40" x14ac:dyDescent="0.25">
      <c r="A2797" t="str">
        <f>"20190304164907319"</f>
        <v>20190304164907319</v>
      </c>
      <c r="B2797" t="str">
        <f>"1551689347309027"</f>
        <v>1551689347309027</v>
      </c>
      <c r="C2797" t="s">
        <v>40</v>
      </c>
      <c r="D2797">
        <v>3.9705720000000002</v>
      </c>
      <c r="E2797">
        <v>0.43421330000000002</v>
      </c>
      <c r="F2797" t="s">
        <v>46</v>
      </c>
      <c r="G2797">
        <v>-454.30239999999998</v>
      </c>
      <c r="H2797" s="1">
        <v>9.42029E-7</v>
      </c>
      <c r="I2797">
        <v>280.28539999999998</v>
      </c>
      <c r="J2797">
        <v>-429.94880000000001</v>
      </c>
      <c r="K2797">
        <v>1.1109059999999999</v>
      </c>
      <c r="L2797">
        <v>284.87959999999998</v>
      </c>
      <c r="M2797">
        <v>-0.99975979999999998</v>
      </c>
      <c r="N2797">
        <v>-1.4041629999999999E-2</v>
      </c>
      <c r="O2797">
        <v>1.6826069999999999E-2</v>
      </c>
      <c r="P2797">
        <v>-0.93021390000000004</v>
      </c>
      <c r="Q2797">
        <v>0.3670081</v>
      </c>
      <c r="R2797">
        <v>2.6448159999999999E-3</v>
      </c>
      <c r="S2797">
        <v>-3.2866819999999999</v>
      </c>
      <c r="T2797">
        <v>-0.14886740000000001</v>
      </c>
      <c r="U2797">
        <v>-0.61523439999999996</v>
      </c>
      <c r="V2797">
        <v>-1.288633E-2</v>
      </c>
      <c r="W2797">
        <v>0.38003680000000001</v>
      </c>
      <c r="X2797">
        <v>0.92488159999999997</v>
      </c>
      <c r="Y2797">
        <v>-0.2002389</v>
      </c>
      <c r="Z2797">
        <v>-6.433841E-3</v>
      </c>
      <c r="AA2797">
        <v>0.97972599999999999</v>
      </c>
      <c r="AB2797">
        <v>27</v>
      </c>
      <c r="AC2797">
        <v>-24.353599999999901</v>
      </c>
      <c r="AD2797">
        <v>-1.110905057971</v>
      </c>
      <c r="AE2797">
        <v>-4.5941999999999998</v>
      </c>
      <c r="AF2797">
        <v>-4.9933322593474001</v>
      </c>
      <c r="AG2797">
        <v>-1.110905057971</v>
      </c>
      <c r="AH2797">
        <v>24.224168481040198</v>
      </c>
      <c r="AI2797">
        <v>92.571716156875397</v>
      </c>
      <c r="AJ2797">
        <v>101.647255485103</v>
      </c>
      <c r="AK2797">
        <v>24.758388794464899</v>
      </c>
      <c r="AL2797">
        <v>67.664037857643706</v>
      </c>
      <c r="AM2797">
        <v>90.798247636454605</v>
      </c>
      <c r="AN2797">
        <v>1.0000000004368299</v>
      </c>
    </row>
    <row r="2798" spans="1:40" x14ac:dyDescent="0.25">
      <c r="A2798" t="str">
        <f>"20190304164907334"</f>
        <v>20190304164907334</v>
      </c>
      <c r="B2798" t="str">
        <f>"1551689347328547"</f>
        <v>1551689347328547</v>
      </c>
      <c r="C2798" t="s">
        <v>40</v>
      </c>
      <c r="D2798">
        <v>3.9868779999999999</v>
      </c>
      <c r="E2798">
        <v>0.43426999999999999</v>
      </c>
      <c r="F2798" t="s">
        <v>46</v>
      </c>
      <c r="G2798">
        <v>-454.3383</v>
      </c>
      <c r="H2798" s="1">
        <v>9.6153619999999899E-7</v>
      </c>
      <c r="I2798">
        <v>280.27699999999999</v>
      </c>
      <c r="J2798">
        <v>-430.12169999999998</v>
      </c>
      <c r="K2798">
        <v>1.1109089999999999</v>
      </c>
      <c r="L2798">
        <v>284.88260000000002</v>
      </c>
      <c r="M2798">
        <v>-0.99975840000000005</v>
      </c>
      <c r="N2798">
        <v>-1.403976E-2</v>
      </c>
      <c r="O2798">
        <v>1.6914749999999999E-2</v>
      </c>
      <c r="P2798">
        <v>-0.93047740000000001</v>
      </c>
      <c r="Q2798">
        <v>0.3663496</v>
      </c>
      <c r="R2798">
        <v>-2.2173860000000001E-4</v>
      </c>
      <c r="S2798">
        <v>-3.2858890000000001</v>
      </c>
      <c r="T2798">
        <v>-0.1496671</v>
      </c>
      <c r="U2798">
        <v>-0.62008669999999899</v>
      </c>
      <c r="V2798">
        <v>-1.584437E-2</v>
      </c>
      <c r="W2798">
        <v>0.37938</v>
      </c>
      <c r="X2798">
        <v>0.92510530000000002</v>
      </c>
      <c r="Y2798">
        <v>-0.201761</v>
      </c>
      <c r="Z2798">
        <v>-6.5105340000000001E-3</v>
      </c>
      <c r="AA2798">
        <v>0.97941319999999998</v>
      </c>
      <c r="AB2798">
        <v>27</v>
      </c>
      <c r="AC2798">
        <v>-24.2166</v>
      </c>
      <c r="AD2798">
        <v>-1.1109080384637999</v>
      </c>
      <c r="AE2798">
        <v>-4.6056000000000301</v>
      </c>
      <c r="AF2798">
        <v>-5.0044353152687098</v>
      </c>
      <c r="AG2798">
        <v>-1.1109080384637999</v>
      </c>
      <c r="AH2798">
        <v>24.0863064775033</v>
      </c>
      <c r="AI2798">
        <v>92.585581900260806</v>
      </c>
      <c r="AJ2798">
        <v>101.737404856106</v>
      </c>
      <c r="AK2798">
        <v>24.625772053335702</v>
      </c>
      <c r="AL2798">
        <v>67.704716800962203</v>
      </c>
      <c r="AM2798">
        <v>90.981214549534897</v>
      </c>
      <c r="AN2798">
        <v>1.0000000222743901</v>
      </c>
    </row>
    <row r="2799" spans="1:40" x14ac:dyDescent="0.25">
      <c r="A2799" t="str">
        <f>"20190304164907356"</f>
        <v>20190304164907356</v>
      </c>
      <c r="B2799" t="str">
        <f>"1551689347349043"</f>
        <v>1551689347349043</v>
      </c>
      <c r="C2799" t="s">
        <v>40</v>
      </c>
      <c r="D2799">
        <v>3.9878330000000002</v>
      </c>
      <c r="E2799">
        <v>0.4343591</v>
      </c>
      <c r="F2799" t="s">
        <v>46</v>
      </c>
      <c r="G2799">
        <v>-454.20010000000002</v>
      </c>
      <c r="H2799" s="1">
        <v>8.8875609999999996E-7</v>
      </c>
      <c r="I2799">
        <v>280.25920000000002</v>
      </c>
      <c r="J2799">
        <v>-430.39150000000001</v>
      </c>
      <c r="K2799">
        <v>1.110922</v>
      </c>
      <c r="L2799">
        <v>284.88729999999998</v>
      </c>
      <c r="M2799">
        <v>-0.99975619999999998</v>
      </c>
      <c r="N2799">
        <v>-1.403681E-2</v>
      </c>
      <c r="O2799">
        <v>1.7041299999999999E-2</v>
      </c>
      <c r="P2799">
        <v>-0.93065319999999996</v>
      </c>
      <c r="Q2799">
        <v>0.36588480000000001</v>
      </c>
      <c r="R2799">
        <v>-3.5898829999999999E-3</v>
      </c>
      <c r="S2799">
        <v>-3.28363</v>
      </c>
      <c r="T2799">
        <v>-0.1514972</v>
      </c>
      <c r="U2799">
        <v>-0.63049319999999998</v>
      </c>
      <c r="V2799">
        <v>-1.9342390000000001E-2</v>
      </c>
      <c r="W2799">
        <v>0.378915</v>
      </c>
      <c r="X2799">
        <v>0.92522930000000003</v>
      </c>
      <c r="Y2799">
        <v>-0.20499129999999999</v>
      </c>
      <c r="Z2799">
        <v>-6.6785330000000004E-3</v>
      </c>
      <c r="AA2799">
        <v>0.97874099999999997</v>
      </c>
      <c r="AB2799">
        <v>27</v>
      </c>
      <c r="AC2799">
        <v>-23.808599999999998</v>
      </c>
      <c r="AD2799">
        <v>-1.1109211112438999</v>
      </c>
      <c r="AE2799">
        <v>-4.6280999999999599</v>
      </c>
      <c r="AF2799">
        <v>-5.0226601162618998</v>
      </c>
      <c r="AG2799">
        <v>-1.1109211112438999</v>
      </c>
      <c r="AH2799">
        <v>23.6765935741027</v>
      </c>
      <c r="AI2799">
        <v>92.627988291612596</v>
      </c>
      <c r="AJ2799">
        <v>101.976948480262</v>
      </c>
      <c r="AK2799">
        <v>24.2289567177816</v>
      </c>
      <c r="AL2799">
        <v>67.733508119282902</v>
      </c>
      <c r="AM2799">
        <v>91.1976230182987</v>
      </c>
      <c r="AN2799">
        <v>0.99999998142720004</v>
      </c>
    </row>
    <row r="2800" spans="1:40" x14ac:dyDescent="0.25">
      <c r="A2800" t="str">
        <f>"20190304164907379"</f>
        <v>20190304164907379</v>
      </c>
      <c r="B2800" t="str">
        <f>"1551689347368563"</f>
        <v>1551689347368563</v>
      </c>
      <c r="C2800" t="s">
        <v>40</v>
      </c>
      <c r="D2800">
        <v>3.9530470000000002</v>
      </c>
      <c r="E2800">
        <v>0.4344536</v>
      </c>
      <c r="F2800" t="s">
        <v>46</v>
      </c>
      <c r="G2800">
        <v>-454.17140000000001</v>
      </c>
      <c r="H2800" s="1">
        <v>8.743133E-7</v>
      </c>
      <c r="I2800">
        <v>280.2398</v>
      </c>
      <c r="J2800">
        <v>-430.661</v>
      </c>
      <c r="K2800">
        <v>1.1109359999999999</v>
      </c>
      <c r="L2800">
        <v>284.892</v>
      </c>
      <c r="M2800">
        <v>-0.99975460000000005</v>
      </c>
      <c r="N2800">
        <v>-1.403387E-2</v>
      </c>
      <c r="O2800">
        <v>1.714603E-2</v>
      </c>
      <c r="P2800">
        <v>-0.93059990000000004</v>
      </c>
      <c r="Q2800">
        <v>0.36597619999999997</v>
      </c>
      <c r="R2800">
        <v>-6.7484550000000004E-3</v>
      </c>
      <c r="S2800">
        <v>-3.281342</v>
      </c>
      <c r="T2800">
        <v>-0.15329419999999999</v>
      </c>
      <c r="U2800">
        <v>-0.64129639999999999</v>
      </c>
      <c r="V2800">
        <v>-2.261144E-2</v>
      </c>
      <c r="W2800">
        <v>0.3790019</v>
      </c>
      <c r="X2800">
        <v>0.92511960000000004</v>
      </c>
      <c r="Y2800">
        <v>-0.20831379999999999</v>
      </c>
      <c r="Z2800">
        <v>-6.8494219999999896E-3</v>
      </c>
      <c r="AA2800">
        <v>0.97803810000000002</v>
      </c>
      <c r="AB2800">
        <v>27</v>
      </c>
      <c r="AC2800">
        <v>-23.510400000000001</v>
      </c>
      <c r="AD2800">
        <v>-1.1109351256866999</v>
      </c>
      <c r="AE2800">
        <v>-4.6521999999999899</v>
      </c>
      <c r="AF2800">
        <v>-5.0438279644051001</v>
      </c>
      <c r="AG2800">
        <v>-1.1109351256866999</v>
      </c>
      <c r="AH2800">
        <v>23.3769384580363</v>
      </c>
      <c r="AI2800">
        <v>92.659690085114804</v>
      </c>
      <c r="AJ2800">
        <v>102.175540720961</v>
      </c>
      <c r="AK2800">
        <v>23.940668935074001</v>
      </c>
      <c r="AL2800">
        <v>67.728128157944795</v>
      </c>
      <c r="AM2800">
        <v>91.400124038693605</v>
      </c>
      <c r="AN2800">
        <v>0.999999995863321</v>
      </c>
    </row>
    <row r="2801" spans="1:40" x14ac:dyDescent="0.25">
      <c r="A2801" t="str">
        <f>"20190304164907392"</f>
        <v>20190304164907392</v>
      </c>
      <c r="B2801" t="str">
        <f>"1551689347389059"</f>
        <v>1551689347389059</v>
      </c>
      <c r="C2801" t="s">
        <v>40</v>
      </c>
      <c r="D2801">
        <v>3.9358629999999999</v>
      </c>
      <c r="E2801">
        <v>0.43457760000000001</v>
      </c>
      <c r="F2801" t="s">
        <v>46</v>
      </c>
      <c r="G2801">
        <v>-454.42660000000001</v>
      </c>
      <c r="H2801" s="1">
        <v>1.01289E-6</v>
      </c>
      <c r="I2801">
        <v>280.17649999999998</v>
      </c>
      <c r="J2801">
        <v>-430.83589999999998</v>
      </c>
      <c r="K2801">
        <v>1.1109469999999999</v>
      </c>
      <c r="L2801">
        <v>284.89499999999998</v>
      </c>
      <c r="M2801">
        <v>-0.99975369999999997</v>
      </c>
      <c r="N2801">
        <v>-1.403194E-2</v>
      </c>
      <c r="O2801">
        <v>1.7204509999999999E-2</v>
      </c>
      <c r="P2801">
        <v>-0.93040650000000003</v>
      </c>
      <c r="Q2801">
        <v>0.36644209999999999</v>
      </c>
      <c r="R2801">
        <v>-8.0146599999999998E-3</v>
      </c>
      <c r="S2801">
        <v>-3.2792659999999998</v>
      </c>
      <c r="T2801">
        <v>-0.15329110000000001</v>
      </c>
      <c r="U2801">
        <v>-0.6506653</v>
      </c>
      <c r="V2801">
        <v>-2.3938310000000001E-2</v>
      </c>
      <c r="W2801">
        <v>0.37946299999999999</v>
      </c>
      <c r="X2801">
        <v>0.92489719999999997</v>
      </c>
      <c r="Y2801">
        <v>-0.21117240000000001</v>
      </c>
      <c r="Z2801">
        <v>-6.9398699999999999E-3</v>
      </c>
      <c r="AA2801">
        <v>0.97742419999999997</v>
      </c>
      <c r="AB2801">
        <v>27</v>
      </c>
      <c r="AC2801">
        <v>-23.590699999999998</v>
      </c>
      <c r="AD2801">
        <v>-1.11094598710999</v>
      </c>
      <c r="AE2801">
        <v>-4.7184999999999997</v>
      </c>
      <c r="AF2801">
        <v>-5.1128052719936097</v>
      </c>
      <c r="AG2801">
        <v>-1.11094598710999</v>
      </c>
      <c r="AH2801">
        <v>23.4560026870336</v>
      </c>
      <c r="AI2801">
        <v>92.649550374602796</v>
      </c>
      <c r="AJ2801">
        <v>102.296664538077</v>
      </c>
      <c r="AK2801">
        <v>24.0324580679906</v>
      </c>
      <c r="AL2801">
        <v>67.699576876212404</v>
      </c>
      <c r="AM2801">
        <v>91.482605841436396</v>
      </c>
      <c r="AN2801">
        <v>1.0000000208112401</v>
      </c>
    </row>
    <row r="2802" spans="1:40" x14ac:dyDescent="0.25">
      <c r="A2802" t="str">
        <f>"20190304164907406"</f>
        <v>20190304164907406</v>
      </c>
      <c r="B2802" t="str">
        <f>"1551689347398819"</f>
        <v>1551689347398819</v>
      </c>
      <c r="C2802" t="s">
        <v>40</v>
      </c>
      <c r="D2802">
        <v>3.9212750000000001</v>
      </c>
      <c r="E2802">
        <v>0.43468630000000003</v>
      </c>
      <c r="F2802" t="s">
        <v>46</v>
      </c>
      <c r="G2802">
        <v>-454.96940000000001</v>
      </c>
      <c r="H2802" s="1">
        <v>1.305868E-6</v>
      </c>
      <c r="I2802">
        <v>280.08179999999999</v>
      </c>
      <c r="J2802">
        <v>-431.0034</v>
      </c>
      <c r="K2802">
        <v>1.1109610000000001</v>
      </c>
      <c r="L2802">
        <v>284.89800000000002</v>
      </c>
      <c r="M2802">
        <v>-0.9997528</v>
      </c>
      <c r="N2802">
        <v>-1.403009E-2</v>
      </c>
      <c r="O2802">
        <v>1.7250290000000001E-2</v>
      </c>
      <c r="P2802">
        <v>-0.93024530000000005</v>
      </c>
      <c r="Q2802">
        <v>0.36681399999999997</v>
      </c>
      <c r="R2802">
        <v>-9.5393170000000003E-3</v>
      </c>
      <c r="S2802">
        <v>-3.2782290000000001</v>
      </c>
      <c r="T2802">
        <v>-0.15090809999999999</v>
      </c>
      <c r="U2802">
        <v>-0.65380859999999996</v>
      </c>
      <c r="V2802">
        <v>-2.5512549999999998E-2</v>
      </c>
      <c r="W2802">
        <v>0.37983</v>
      </c>
      <c r="X2802">
        <v>0.92470439999999998</v>
      </c>
      <c r="Y2802">
        <v>-0.2121845</v>
      </c>
      <c r="Z2802">
        <v>-6.8845069999999998E-3</v>
      </c>
      <c r="AA2802">
        <v>0.9772054</v>
      </c>
      <c r="AB2802">
        <v>27</v>
      </c>
      <c r="AC2802">
        <v>-23.966000000000001</v>
      </c>
      <c r="AD2802">
        <v>-1.1109596941319999</v>
      </c>
      <c r="AE2802">
        <v>-4.8161999999999798</v>
      </c>
      <c r="AF2802">
        <v>-5.21816656803116</v>
      </c>
      <c r="AG2802">
        <v>-1.1109596941319999</v>
      </c>
      <c r="AH2802">
        <v>23.830124630210701</v>
      </c>
      <c r="AI2802">
        <v>92.607501062682402</v>
      </c>
      <c r="AJ2802">
        <v>102.351309301246</v>
      </c>
      <c r="AK2802">
        <v>24.420039591799998</v>
      </c>
      <c r="AL2802">
        <v>67.676846504279595</v>
      </c>
      <c r="AM2802">
        <v>91.580386887598493</v>
      </c>
      <c r="AN2802">
        <v>0.99999997324343004</v>
      </c>
    </row>
    <row r="2803" spans="1:40" x14ac:dyDescent="0.25">
      <c r="A2803" t="str">
        <f>"20190304164907420"</f>
        <v>20190304164907420</v>
      </c>
      <c r="B2803" t="str">
        <f>"1551689347409556"</f>
        <v>1551689347409556</v>
      </c>
      <c r="C2803" t="s">
        <v>40</v>
      </c>
      <c r="D2803">
        <v>3.9252720000000001</v>
      </c>
      <c r="E2803">
        <v>0.43484980000000001</v>
      </c>
      <c r="F2803" t="s">
        <v>46</v>
      </c>
      <c r="G2803">
        <v>-455.51510000000002</v>
      </c>
      <c r="H2803" s="1">
        <v>1.601029E-6</v>
      </c>
      <c r="I2803">
        <v>279.97300000000001</v>
      </c>
      <c r="J2803">
        <v>-431.16390000000001</v>
      </c>
      <c r="K2803">
        <v>1.1109770000000001</v>
      </c>
      <c r="L2803">
        <v>284.9008</v>
      </c>
      <c r="M2803">
        <v>-0.99975230000000004</v>
      </c>
      <c r="N2803">
        <v>-1.402833E-2</v>
      </c>
      <c r="O2803">
        <v>1.7286590000000001E-2</v>
      </c>
      <c r="P2803">
        <v>-0.9300522</v>
      </c>
      <c r="Q2803">
        <v>0.36725370000000002</v>
      </c>
      <c r="R2803">
        <v>-1.1315860000000001E-2</v>
      </c>
      <c r="S2803">
        <v>-3.276764</v>
      </c>
      <c r="T2803">
        <v>-0.14851489999999901</v>
      </c>
      <c r="U2803">
        <v>-0.65838619999999903</v>
      </c>
      <c r="V2803">
        <v>-2.732915E-2</v>
      </c>
      <c r="W2803">
        <v>0.3802644</v>
      </c>
      <c r="X2803">
        <v>0.92447389999999996</v>
      </c>
      <c r="Y2803">
        <v>-0.21362220000000001</v>
      </c>
      <c r="Z2803">
        <v>-6.840764E-3</v>
      </c>
      <c r="AA2803">
        <v>0.97689239999999999</v>
      </c>
      <c r="AB2803">
        <v>27</v>
      </c>
      <c r="AC2803">
        <v>-24.351199999999999</v>
      </c>
      <c r="AD2803">
        <v>-1.1109753989710001</v>
      </c>
      <c r="AE2803">
        <v>-4.9277999999999897</v>
      </c>
      <c r="AF2803">
        <v>-5.3373816017960101</v>
      </c>
      <c r="AG2803">
        <v>-1.1109753989710001</v>
      </c>
      <c r="AH2803">
        <v>24.2139497723613</v>
      </c>
      <c r="AI2803">
        <v>92.565480447089101</v>
      </c>
      <c r="AJ2803">
        <v>102.43069201694</v>
      </c>
      <c r="AK2803">
        <v>24.8200981520772</v>
      </c>
      <c r="AL2803">
        <v>67.649937521571104</v>
      </c>
      <c r="AM2803">
        <v>91.693275559000895</v>
      </c>
      <c r="AN2803">
        <v>0.99999994406414405</v>
      </c>
    </row>
    <row r="2804" spans="1:40" x14ac:dyDescent="0.25">
      <c r="A2804" t="str">
        <f>"20190304164907433"</f>
        <v>20190304164907433</v>
      </c>
      <c r="B2804" t="str">
        <f>"1551689347429075"</f>
        <v>1551689347429075</v>
      </c>
      <c r="C2804" t="s">
        <v>40</v>
      </c>
      <c r="D2804">
        <v>3.9154520000000002</v>
      </c>
      <c r="E2804">
        <v>0.43512830000000002</v>
      </c>
      <c r="F2804" t="s">
        <v>46</v>
      </c>
      <c r="G2804">
        <v>-456.00810000000001</v>
      </c>
      <c r="H2804" s="1">
        <v>1.867871E-6</v>
      </c>
      <c r="I2804">
        <v>279.87049999999999</v>
      </c>
      <c r="J2804">
        <v>-431.33850000000001</v>
      </c>
      <c r="K2804">
        <v>1.110992</v>
      </c>
      <c r="L2804">
        <v>284.90379999999999</v>
      </c>
      <c r="M2804">
        <v>-0.99975170000000002</v>
      </c>
      <c r="N2804">
        <v>-1.402641E-2</v>
      </c>
      <c r="O2804">
        <v>1.7315959999999998E-2</v>
      </c>
      <c r="P2804">
        <v>-0.92990510000000004</v>
      </c>
      <c r="Q2804">
        <v>0.36757630000000002</v>
      </c>
      <c r="R2804">
        <v>-1.2803470000000001E-2</v>
      </c>
      <c r="S2804">
        <v>-3.27536</v>
      </c>
      <c r="T2804">
        <v>-0.14646670000000001</v>
      </c>
      <c r="U2804">
        <v>-0.66317749999999998</v>
      </c>
      <c r="V2804">
        <v>-2.8852929999999999E-2</v>
      </c>
      <c r="W2804">
        <v>0.38058249999999999</v>
      </c>
      <c r="X2804">
        <v>0.92429680000000003</v>
      </c>
      <c r="Y2804">
        <v>-0.21510969999999999</v>
      </c>
      <c r="Z2804">
        <v>-6.8100010000000004E-3</v>
      </c>
      <c r="AA2804">
        <v>0.97656609999999999</v>
      </c>
      <c r="AB2804">
        <v>27</v>
      </c>
      <c r="AC2804">
        <v>-24.669599999999999</v>
      </c>
      <c r="AD2804">
        <v>-1.1109901321290001</v>
      </c>
      <c r="AE2804">
        <v>-5.0332999999999899</v>
      </c>
      <c r="AF2804">
        <v>-5.4491550827602904</v>
      </c>
      <c r="AG2804">
        <v>-1.1109901321290001</v>
      </c>
      <c r="AH2804">
        <v>24.530971749000201</v>
      </c>
      <c r="AI2804">
        <v>92.531491897263606</v>
      </c>
      <c r="AJ2804">
        <v>102.52397337737899</v>
      </c>
      <c r="AK2804">
        <v>25.1534523503217</v>
      </c>
      <c r="AL2804">
        <v>67.630232530749197</v>
      </c>
      <c r="AM2804">
        <v>91.787969472049497</v>
      </c>
      <c r="AN2804">
        <v>1.0000000526830299</v>
      </c>
    </row>
    <row r="2805" spans="1:40" x14ac:dyDescent="0.25">
      <c r="A2805" t="str">
        <f>"20190304164907446"</f>
        <v>20190304164907446</v>
      </c>
      <c r="B2805" t="str">
        <f>"1551689347438836"</f>
        <v>1551689347438836</v>
      </c>
      <c r="C2805" t="s">
        <v>40</v>
      </c>
      <c r="D2805">
        <v>3.8898540000000001</v>
      </c>
      <c r="E2805">
        <v>0.43530069999999998</v>
      </c>
      <c r="F2805" t="s">
        <v>46</v>
      </c>
      <c r="G2805">
        <v>-456.52620000000002</v>
      </c>
      <c r="H2805" s="1">
        <v>2.147478E-6</v>
      </c>
      <c r="I2805">
        <v>279.78120000000001</v>
      </c>
      <c r="J2805">
        <v>-431.48480000000001</v>
      </c>
      <c r="K2805">
        <v>1.111003</v>
      </c>
      <c r="L2805">
        <v>284.90640000000002</v>
      </c>
      <c r="M2805">
        <v>-0.99975159999999996</v>
      </c>
      <c r="N2805">
        <v>-1.402482E-2</v>
      </c>
      <c r="O2805">
        <v>1.7329810000000001E-2</v>
      </c>
      <c r="P2805">
        <v>-0.92977160000000003</v>
      </c>
      <c r="Q2805">
        <v>0.36777379999999998</v>
      </c>
      <c r="R2805">
        <v>-1.6359530000000001E-2</v>
      </c>
      <c r="S2805">
        <v>-3.2740170000000002</v>
      </c>
      <c r="T2805">
        <v>-0.14441189999999901</v>
      </c>
      <c r="U2805">
        <v>-0.66586299999999998</v>
      </c>
      <c r="V2805">
        <v>-3.2427839999999999E-2</v>
      </c>
      <c r="W2805">
        <v>0.38077549999999999</v>
      </c>
      <c r="X2805">
        <v>0.92409870000000005</v>
      </c>
      <c r="Y2805">
        <v>-0.2159761</v>
      </c>
      <c r="Z2805">
        <v>-6.7597509999999996E-3</v>
      </c>
      <c r="AA2805">
        <v>0.9763752</v>
      </c>
      <c r="AB2805">
        <v>27</v>
      </c>
      <c r="AC2805">
        <v>-25.041399999999999</v>
      </c>
      <c r="AD2805">
        <v>-1.1110008525220001</v>
      </c>
      <c r="AE2805">
        <v>-5.1252000000000004</v>
      </c>
      <c r="AF2805">
        <v>-5.5479540295546697</v>
      </c>
      <c r="AG2805">
        <v>-1.1110008525220001</v>
      </c>
      <c r="AH2805">
        <v>24.901765551023399</v>
      </c>
      <c r="AI2805">
        <v>92.493520913167103</v>
      </c>
      <c r="AJ2805">
        <v>102.560000956156</v>
      </c>
      <c r="AK2805">
        <v>25.536484573380399</v>
      </c>
      <c r="AL2805">
        <v>67.618272268790903</v>
      </c>
      <c r="AM2805">
        <v>92.009759666583406</v>
      </c>
      <c r="AN2805">
        <v>0.99999997677450203</v>
      </c>
    </row>
    <row r="2806" spans="1:40" x14ac:dyDescent="0.25">
      <c r="A2806" t="str">
        <f>"20190304164907468"</f>
        <v>20190304164907468</v>
      </c>
      <c r="B2806" t="str">
        <f>"1551689347458355"</f>
        <v>1551689347458355</v>
      </c>
      <c r="C2806" t="s">
        <v>40</v>
      </c>
      <c r="D2806">
        <v>3.8875639999999998</v>
      </c>
      <c r="E2806">
        <v>0.43564160000000002</v>
      </c>
      <c r="F2806" t="s">
        <v>46</v>
      </c>
      <c r="G2806">
        <v>-456.75450000000001</v>
      </c>
      <c r="H2806" s="1">
        <v>2.2734370000000001E-6</v>
      </c>
      <c r="I2806">
        <v>279.67930000000001</v>
      </c>
      <c r="J2806">
        <v>-431.7364</v>
      </c>
      <c r="K2806">
        <v>1.1110180000000001</v>
      </c>
      <c r="L2806">
        <v>284.91079999999999</v>
      </c>
      <c r="M2806">
        <v>-0.99975130000000001</v>
      </c>
      <c r="N2806">
        <v>-1.4022110000000001E-2</v>
      </c>
      <c r="O2806">
        <v>1.7343460000000002E-2</v>
      </c>
      <c r="P2806">
        <v>-0.92966959999999998</v>
      </c>
      <c r="Q2806">
        <v>0.36784529999999999</v>
      </c>
      <c r="R2806">
        <v>-2.0110070000000001E-2</v>
      </c>
      <c r="S2806">
        <v>-3.2715450000000001</v>
      </c>
      <c r="T2806">
        <v>-0.14383550000000001</v>
      </c>
      <c r="U2806">
        <v>-0.67672730000000003</v>
      </c>
      <c r="V2806">
        <v>-3.6202829999999998E-2</v>
      </c>
      <c r="W2806">
        <v>0.38084079999999998</v>
      </c>
      <c r="X2806">
        <v>0.92393170000000002</v>
      </c>
      <c r="Y2806">
        <v>-0.21924150000000001</v>
      </c>
      <c r="Z2806">
        <v>-6.8350750000000004E-3</v>
      </c>
      <c r="AA2806">
        <v>0.97564669999999998</v>
      </c>
      <c r="AB2806">
        <v>27</v>
      </c>
      <c r="AC2806">
        <v>-25.0181</v>
      </c>
      <c r="AD2806">
        <v>-1.1110157265629901</v>
      </c>
      <c r="AE2806">
        <v>-5.2314999999999801</v>
      </c>
      <c r="AF2806">
        <v>-5.6539729054522496</v>
      </c>
      <c r="AG2806">
        <v>-1.1110157265629901</v>
      </c>
      <c r="AH2806">
        <v>24.876590957901101</v>
      </c>
      <c r="AI2806">
        <v>92.493679638009795</v>
      </c>
      <c r="AJ2806">
        <v>102.80470897075401</v>
      </c>
      <c r="AK2806">
        <v>25.535202040457499</v>
      </c>
      <c r="AL2806">
        <v>67.614228255253906</v>
      </c>
      <c r="AM2806">
        <v>92.243898299945798</v>
      </c>
      <c r="AN2806">
        <v>1.00000007305476</v>
      </c>
    </row>
    <row r="2807" spans="1:40" x14ac:dyDescent="0.25">
      <c r="A2807" t="str">
        <f>"20190304164907486"</f>
        <v>20190304164907486</v>
      </c>
      <c r="B2807" t="str">
        <f>"1551689347478852"</f>
        <v>1551689347478852</v>
      </c>
      <c r="C2807" t="s">
        <v>40</v>
      </c>
      <c r="D2807">
        <v>3.8826350000000001</v>
      </c>
      <c r="E2807">
        <v>0.4359498</v>
      </c>
      <c r="F2807" t="s">
        <v>46</v>
      </c>
      <c r="G2807">
        <v>-456.94529999999997</v>
      </c>
      <c r="H2807">
        <v>1.5668330000000001E-4</v>
      </c>
      <c r="I2807">
        <v>279.61630000000002</v>
      </c>
      <c r="J2807">
        <v>-431.97030000000001</v>
      </c>
      <c r="K2807">
        <v>1.1110260000000001</v>
      </c>
      <c r="L2807">
        <v>284.91480000000001</v>
      </c>
      <c r="M2807">
        <v>-0.99975139999999996</v>
      </c>
      <c r="N2807">
        <v>-1.40196E-2</v>
      </c>
      <c r="O2807">
        <v>1.7340939999999999E-2</v>
      </c>
      <c r="P2807">
        <v>-0.92958759999999996</v>
      </c>
      <c r="Q2807">
        <v>0.36793490000000001</v>
      </c>
      <c r="R2807">
        <v>-2.2157880000000001E-2</v>
      </c>
      <c r="S2807">
        <v>-3.269104</v>
      </c>
      <c r="T2807">
        <v>-0.14405689999999999</v>
      </c>
      <c r="U2807">
        <v>-0.68658450000000004</v>
      </c>
      <c r="V2807">
        <v>-3.8258279999999999E-2</v>
      </c>
      <c r="W2807">
        <v>0.38092540000000003</v>
      </c>
      <c r="X2807">
        <v>0.92381389999999997</v>
      </c>
      <c r="Y2807">
        <v>-0.22219720000000001</v>
      </c>
      <c r="Z2807">
        <v>-6.9315330000000001E-3</v>
      </c>
      <c r="AA2807">
        <v>0.97497710000000004</v>
      </c>
      <c r="AB2807">
        <v>27</v>
      </c>
      <c r="AC2807">
        <v>-24.974999999999898</v>
      </c>
      <c r="AD2807">
        <v>-1.1108693167000001</v>
      </c>
      <c r="AE2807">
        <v>-5.29849999999999</v>
      </c>
      <c r="AF2807">
        <v>-5.7200065691536803</v>
      </c>
      <c r="AG2807">
        <v>-1.1108693167000001</v>
      </c>
      <c r="AH2807">
        <v>24.832341451203</v>
      </c>
      <c r="AI2807">
        <v>92.496127321868499</v>
      </c>
      <c r="AJ2807">
        <v>102.97153892515</v>
      </c>
      <c r="AK2807">
        <v>25.506816495577901</v>
      </c>
      <c r="AL2807">
        <v>67.608983897277696</v>
      </c>
      <c r="AM2807">
        <v>92.371458252670095</v>
      </c>
      <c r="AN2807">
        <v>0.99999998909346399</v>
      </c>
    </row>
    <row r="2808" spans="1:40" x14ac:dyDescent="0.25">
      <c r="A2808" t="str">
        <f>"20190304164907501"</f>
        <v>20190304164907501</v>
      </c>
      <c r="B2808" t="str">
        <f>"1551689347488612"</f>
        <v>1551689347488612</v>
      </c>
      <c r="C2808" t="s">
        <v>40</v>
      </c>
      <c r="D2808">
        <v>3.869211</v>
      </c>
      <c r="E2808">
        <v>0.4359498</v>
      </c>
      <c r="F2808" t="s">
        <v>46</v>
      </c>
      <c r="G2808">
        <v>-457.02640000000002</v>
      </c>
      <c r="H2808">
        <v>9.5566190000000006E-3</v>
      </c>
      <c r="I2808">
        <v>279.61630000000002</v>
      </c>
      <c r="J2808">
        <v>-432.13850000000002</v>
      </c>
      <c r="K2808">
        <v>1.1110359999999999</v>
      </c>
      <c r="L2808">
        <v>284.91770000000002</v>
      </c>
      <c r="M2808">
        <v>-0.99975159999999996</v>
      </c>
      <c r="N2808">
        <v>-1.40178E-2</v>
      </c>
      <c r="O2808">
        <v>1.7330450000000001E-2</v>
      </c>
      <c r="P2808">
        <v>-0.92959950000000002</v>
      </c>
      <c r="Q2808">
        <v>0.36760969999999998</v>
      </c>
      <c r="R2808">
        <v>-2.6603269999999998E-2</v>
      </c>
      <c r="S2808">
        <v>-3.2675779999999999</v>
      </c>
      <c r="T2808">
        <v>-0.1436431</v>
      </c>
      <c r="U2808">
        <v>-0.69097900000000001</v>
      </c>
      <c r="V2808">
        <v>-4.2700889999999998E-2</v>
      </c>
      <c r="W2808">
        <v>0.38059700000000002</v>
      </c>
      <c r="X2808">
        <v>0.92375459999999998</v>
      </c>
      <c r="Y2808">
        <v>-0.22353339999999999</v>
      </c>
      <c r="Z2808">
        <v>-6.955541E-3</v>
      </c>
      <c r="AA2808">
        <v>0.97467150000000002</v>
      </c>
      <c r="AB2808">
        <v>27</v>
      </c>
      <c r="AC2808">
        <v>-24.887899999999998</v>
      </c>
      <c r="AD2808">
        <v>-1.1014793809999901</v>
      </c>
      <c r="AE2808">
        <v>-5.3014000000000001</v>
      </c>
      <c r="AF2808">
        <v>-5.7212445183896996</v>
      </c>
      <c r="AG2808">
        <v>-1.1014793809999901</v>
      </c>
      <c r="AH2808">
        <v>24.7459099406143</v>
      </c>
      <c r="AI2808">
        <v>92.483223999170093</v>
      </c>
      <c r="AJ2808">
        <v>103.01802623835199</v>
      </c>
      <c r="AK2808">
        <v>25.422548150312601</v>
      </c>
      <c r="AL2808">
        <v>67.629332930286296</v>
      </c>
      <c r="AM2808">
        <v>92.646634078240993</v>
      </c>
      <c r="AN2808">
        <v>1.00000000171847</v>
      </c>
    </row>
    <row r="2809" spans="1:40" x14ac:dyDescent="0.25">
      <c r="A2809" t="str">
        <f>"20190304164907516"</f>
        <v>20190304164907516</v>
      </c>
      <c r="B2809" t="str">
        <f>"1551689347509108"</f>
        <v>1551689347509108</v>
      </c>
      <c r="C2809" t="s">
        <v>40</v>
      </c>
      <c r="D2809">
        <v>3.8790499999999999</v>
      </c>
      <c r="E2809">
        <v>0.44399929999999899</v>
      </c>
      <c r="F2809" t="s">
        <v>46</v>
      </c>
      <c r="G2809">
        <v>-456.65839999999997</v>
      </c>
      <c r="H2809">
        <v>2.0844640000000001E-2</v>
      </c>
      <c r="I2809">
        <v>279.61630000000002</v>
      </c>
      <c r="J2809">
        <v>-432.32159999999999</v>
      </c>
      <c r="K2809">
        <v>1.1110519999999999</v>
      </c>
      <c r="L2809">
        <v>284.92079999999999</v>
      </c>
      <c r="M2809">
        <v>-0.99975190000000003</v>
      </c>
      <c r="N2809">
        <v>-1.401585E-2</v>
      </c>
      <c r="O2809">
        <v>1.7311119999999999E-2</v>
      </c>
      <c r="P2809">
        <v>-0.92946200000000001</v>
      </c>
      <c r="Q2809">
        <v>0.36779250000000002</v>
      </c>
      <c r="R2809">
        <v>-2.8795879999999999E-2</v>
      </c>
      <c r="S2809">
        <v>-3.2643740000000001</v>
      </c>
      <c r="T2809">
        <v>-0.14513909999999999</v>
      </c>
      <c r="U2809">
        <v>-0.70577999999999996</v>
      </c>
      <c r="V2809">
        <v>-4.4881560000000001E-2</v>
      </c>
      <c r="W2809">
        <v>0.38077460000000002</v>
      </c>
      <c r="X2809">
        <v>0.92357800000000001</v>
      </c>
      <c r="Y2809">
        <v>-0.2279207</v>
      </c>
      <c r="Z2809">
        <v>-7.1443319999999998E-3</v>
      </c>
      <c r="AA2809">
        <v>0.97365349999999995</v>
      </c>
      <c r="AB2809">
        <v>27</v>
      </c>
      <c r="AC2809">
        <v>-24.336799999999901</v>
      </c>
      <c r="AD2809">
        <v>-1.09020736</v>
      </c>
      <c r="AE2809">
        <v>-5.30449999999996</v>
      </c>
      <c r="AF2809">
        <v>-5.7140969646651998</v>
      </c>
      <c r="AG2809">
        <v>-1.09020736</v>
      </c>
      <c r="AH2809">
        <v>24.194965584159</v>
      </c>
      <c r="AI2809">
        <v>92.510977007152803</v>
      </c>
      <c r="AJ2809">
        <v>103.287999428014</v>
      </c>
      <c r="AK2809">
        <v>24.884449277169701</v>
      </c>
      <c r="AL2809">
        <v>67.618328259840595</v>
      </c>
      <c r="AM2809">
        <v>92.782117598815802</v>
      </c>
      <c r="AN2809">
        <v>0.99999998625859599</v>
      </c>
    </row>
    <row r="2810" spans="1:40" x14ac:dyDescent="0.25">
      <c r="A2810" t="str">
        <f>"20190304164907529"</f>
        <v>20190304164907529</v>
      </c>
      <c r="B2810" t="str">
        <f>"1551689347518868"</f>
        <v>1551689347518868</v>
      </c>
      <c r="C2810" t="s">
        <v>40</v>
      </c>
      <c r="D2810">
        <v>4.062818</v>
      </c>
      <c r="E2810">
        <v>0.44399929999999899</v>
      </c>
      <c r="F2810" t="s">
        <v>46</v>
      </c>
      <c r="G2810">
        <v>-457.60390000000001</v>
      </c>
      <c r="H2810" s="1">
        <v>2.7159199999999998E-6</v>
      </c>
      <c r="I2810">
        <v>279.89729999999997</v>
      </c>
      <c r="J2810">
        <v>-432.4898</v>
      </c>
      <c r="K2810">
        <v>1.1110580000000001</v>
      </c>
      <c r="L2810">
        <v>284.92380000000003</v>
      </c>
      <c r="M2810">
        <v>-0.99975239999999999</v>
      </c>
      <c r="N2810">
        <v>-1.401406E-2</v>
      </c>
      <c r="O2810">
        <v>1.7283570000000002E-2</v>
      </c>
      <c r="P2810">
        <v>-0.92942519999999995</v>
      </c>
      <c r="Q2810">
        <v>0.36767670000000002</v>
      </c>
      <c r="R2810">
        <v>-3.1343629999999997E-2</v>
      </c>
      <c r="S2810">
        <v>-3.2643430000000002</v>
      </c>
      <c r="T2810">
        <v>-0.14345369999999999</v>
      </c>
      <c r="U2810">
        <v>-0.64862059999999999</v>
      </c>
      <c r="V2810">
        <v>-4.741045E-2</v>
      </c>
      <c r="W2810">
        <v>0.38065559999999998</v>
      </c>
      <c r="X2810">
        <v>0.92350069999999995</v>
      </c>
      <c r="Y2810">
        <v>-0.2115446</v>
      </c>
      <c r="Z2810">
        <v>-6.6111360000000001E-3</v>
      </c>
      <c r="AA2810">
        <v>0.97734600000000005</v>
      </c>
      <c r="AB2810">
        <v>27</v>
      </c>
      <c r="AC2810">
        <v>-25.114100000000001</v>
      </c>
      <c r="AD2810">
        <v>-1.1110552840799901</v>
      </c>
      <c r="AE2810">
        <v>-5.0265000000000502</v>
      </c>
      <c r="AF2810">
        <v>-5.4495978071898197</v>
      </c>
      <c r="AG2810">
        <v>-1.1110552840799901</v>
      </c>
      <c r="AH2810">
        <v>24.9764622929859</v>
      </c>
      <c r="AI2810">
        <v>92.488599690695906</v>
      </c>
      <c r="AJ2810">
        <v>102.30842716677699</v>
      </c>
      <c r="AK2810">
        <v>25.5882048760236</v>
      </c>
      <c r="AL2810">
        <v>67.625701818772299</v>
      </c>
      <c r="AM2810">
        <v>92.938856488143003</v>
      </c>
      <c r="AN2810">
        <v>0.99999998974052595</v>
      </c>
    </row>
    <row r="2811" spans="1:40" x14ac:dyDescent="0.25">
      <c r="A2811" t="str">
        <f>"20190304164907546"</f>
        <v>20190304164907546</v>
      </c>
      <c r="B2811" t="str">
        <f>"1551689347538387"</f>
        <v>1551689347538387</v>
      </c>
      <c r="C2811" t="s">
        <v>40</v>
      </c>
      <c r="D2811">
        <v>3.9772479999999999</v>
      </c>
      <c r="E2811">
        <v>0.47450989999999998</v>
      </c>
      <c r="F2811" t="s">
        <v>46</v>
      </c>
      <c r="G2811">
        <v>-457.6062</v>
      </c>
      <c r="H2811" s="1">
        <v>2.7182399999999999E-6</v>
      </c>
      <c r="I2811">
        <v>279.8716</v>
      </c>
      <c r="J2811">
        <v>-432.6807</v>
      </c>
      <c r="K2811">
        <v>1.11107</v>
      </c>
      <c r="L2811">
        <v>284.92700000000002</v>
      </c>
      <c r="M2811">
        <v>-0.99975320000000001</v>
      </c>
      <c r="N2811">
        <v>-1.401203E-2</v>
      </c>
      <c r="O2811">
        <v>1.7246290000000001E-2</v>
      </c>
      <c r="P2811">
        <v>-0.92934170000000005</v>
      </c>
      <c r="Q2811">
        <v>0.36745519999999998</v>
      </c>
      <c r="R2811">
        <v>-3.6068759999999998E-2</v>
      </c>
      <c r="S2811">
        <v>-3.2627869999999999</v>
      </c>
      <c r="T2811">
        <v>-0.1443335</v>
      </c>
      <c r="U2811">
        <v>-0.65631099999999998</v>
      </c>
      <c r="V2811">
        <v>-5.2107109999999998E-2</v>
      </c>
      <c r="W2811">
        <v>0.3804285</v>
      </c>
      <c r="X2811">
        <v>0.92334119999999997</v>
      </c>
      <c r="Y2811">
        <v>-0.21380589999999999</v>
      </c>
      <c r="Z2811">
        <v>-6.7098519999999997E-3</v>
      </c>
      <c r="AA2811">
        <v>0.97685310000000003</v>
      </c>
      <c r="AB2811">
        <v>27</v>
      </c>
      <c r="AC2811">
        <v>-24.9255</v>
      </c>
      <c r="AD2811">
        <v>-1.11106728176</v>
      </c>
      <c r="AE2811">
        <v>-5.0554000000000201</v>
      </c>
      <c r="AF2811">
        <v>-5.4741153413783596</v>
      </c>
      <c r="AG2811">
        <v>-1.11106728176</v>
      </c>
      <c r="AH2811">
        <v>24.7872908874571</v>
      </c>
      <c r="AI2811">
        <v>92.506203311778194</v>
      </c>
      <c r="AJ2811">
        <v>102.453515412217</v>
      </c>
      <c r="AK2811">
        <v>25.408860635902698</v>
      </c>
      <c r="AL2811">
        <v>67.639772145633998</v>
      </c>
      <c r="AM2811">
        <v>93.229958973624207</v>
      </c>
      <c r="AN2811">
        <v>0.99999998307112004</v>
      </c>
    </row>
    <row r="2812" spans="1:40" x14ac:dyDescent="0.25">
      <c r="A2812" t="str">
        <f>"20190304164907568"</f>
        <v>20190304164907568</v>
      </c>
      <c r="B2812" t="str">
        <f>"1551689347558883"</f>
        <v>1551689347558883</v>
      </c>
      <c r="C2812" t="s">
        <v>40</v>
      </c>
      <c r="D2812">
        <v>3.9274429999999998</v>
      </c>
      <c r="E2812">
        <v>0.51920029999999995</v>
      </c>
      <c r="F2812" t="s">
        <v>46</v>
      </c>
      <c r="G2812">
        <v>-449.49630000000002</v>
      </c>
      <c r="H2812" s="1">
        <v>3.5995910000000002E-6</v>
      </c>
      <c r="I2812">
        <v>282.71969999999999</v>
      </c>
      <c r="J2812">
        <v>-432.94560000000001</v>
      </c>
      <c r="K2812">
        <v>1.111083</v>
      </c>
      <c r="L2812">
        <v>284.93150000000003</v>
      </c>
      <c r="M2812">
        <v>-0.99975429999999998</v>
      </c>
      <c r="N2812">
        <v>-1.4009229999999999E-2</v>
      </c>
      <c r="O2812">
        <v>1.718478E-2</v>
      </c>
      <c r="P2812">
        <v>-0.92917119999999997</v>
      </c>
      <c r="Q2812">
        <v>0.36735289999999998</v>
      </c>
      <c r="R2812">
        <v>-4.1147219999999998E-2</v>
      </c>
      <c r="S2812">
        <v>-3.2974239999999999</v>
      </c>
      <c r="T2812">
        <v>-0.2178725</v>
      </c>
      <c r="U2812">
        <v>-0.43283080000000002</v>
      </c>
      <c r="V2812">
        <v>-5.713584E-2</v>
      </c>
      <c r="W2812">
        <v>0.3803183</v>
      </c>
      <c r="X2812">
        <v>0.9230891</v>
      </c>
      <c r="Y2812">
        <v>-0.14676249999999999</v>
      </c>
      <c r="Z2812">
        <v>-6.746658E-3</v>
      </c>
      <c r="AA2812">
        <v>0.98914869999999999</v>
      </c>
      <c r="AB2812">
        <v>27</v>
      </c>
      <c r="AC2812">
        <v>-16.550699999999999</v>
      </c>
      <c r="AD2812">
        <v>-1.1110794004090001</v>
      </c>
      <c r="AE2812">
        <v>-2.21180000000003</v>
      </c>
      <c r="AF2812">
        <v>-2.4849190761985702</v>
      </c>
      <c r="AG2812">
        <v>-1.1110794004090001</v>
      </c>
      <c r="AH2812">
        <v>16.4374637159383</v>
      </c>
      <c r="AI2812">
        <v>93.8236732786781</v>
      </c>
      <c r="AJ2812">
        <v>98.596545932890095</v>
      </c>
      <c r="AK2812">
        <v>16.661318485103699</v>
      </c>
      <c r="AL2812">
        <v>67.6465997184402</v>
      </c>
      <c r="AM2812">
        <v>93.541880693334903</v>
      </c>
      <c r="AN2812">
        <v>1.0000000000331</v>
      </c>
    </row>
    <row r="2813" spans="1:40" x14ac:dyDescent="0.25">
      <c r="A2813" t="str">
        <f>"20190304164907591"</f>
        <v>20190304164907591</v>
      </c>
      <c r="B2813" t="str">
        <f>"1551689347578404"</f>
        <v>1551689347578404</v>
      </c>
      <c r="C2813" t="s">
        <v>40</v>
      </c>
      <c r="D2813">
        <v>3.9263189999999999</v>
      </c>
      <c r="E2813">
        <v>0.52121709999999999</v>
      </c>
      <c r="F2813" t="s">
        <v>46</v>
      </c>
      <c r="G2813">
        <v>-446.625</v>
      </c>
      <c r="H2813" s="1">
        <v>1.9921369999999999E-6</v>
      </c>
      <c r="I2813">
        <v>284.5376</v>
      </c>
      <c r="J2813">
        <v>-433.2106</v>
      </c>
      <c r="K2813">
        <v>1.1110869999999999</v>
      </c>
      <c r="L2813">
        <v>284.9359</v>
      </c>
      <c r="M2813">
        <v>-0.99975539999999996</v>
      </c>
      <c r="N2813">
        <v>-1.400642E-2</v>
      </c>
      <c r="O2813">
        <v>1.7114620000000001E-2</v>
      </c>
      <c r="P2813">
        <v>-0.92915250000000005</v>
      </c>
      <c r="Q2813">
        <v>0.36679050000000002</v>
      </c>
      <c r="R2813">
        <v>-4.6262200000000003E-2</v>
      </c>
      <c r="S2813">
        <v>-3.3314210000000002</v>
      </c>
      <c r="T2813">
        <v>-0.27058840000000001</v>
      </c>
      <c r="U2813">
        <v>-9.5916749999999995E-2</v>
      </c>
      <c r="V2813">
        <v>-6.219272E-2</v>
      </c>
      <c r="W2813">
        <v>0.37975019999999998</v>
      </c>
      <c r="X2813">
        <v>0.92299620000000004</v>
      </c>
      <c r="Y2813">
        <v>-4.566974E-2</v>
      </c>
      <c r="Z2813">
        <v>-3.320043E-3</v>
      </c>
      <c r="AA2813">
        <v>0.99895109999999998</v>
      </c>
      <c r="AB2813">
        <v>27</v>
      </c>
      <c r="AC2813">
        <v>-13.414400000000001</v>
      </c>
      <c r="AD2813">
        <v>-1.1110850078629999</v>
      </c>
      <c r="AE2813">
        <v>-0.39830000000000598</v>
      </c>
      <c r="AF2813">
        <v>-0.62357232521238104</v>
      </c>
      <c r="AG2813">
        <v>-1.1110850078629999</v>
      </c>
      <c r="AH2813">
        <v>13.3143555402978</v>
      </c>
      <c r="AI2813">
        <v>94.765089636593899</v>
      </c>
      <c r="AJ2813">
        <v>92.681464661413997</v>
      </c>
      <c r="AK2813">
        <v>13.3751790938637</v>
      </c>
      <c r="AL2813">
        <v>67.681791243993104</v>
      </c>
      <c r="AM2813">
        <v>93.854839427066693</v>
      </c>
      <c r="AN2813">
        <v>1.00000006701773</v>
      </c>
    </row>
    <row r="2814" spans="1:40" x14ac:dyDescent="0.25">
      <c r="A2814" t="str">
        <f>"20190304164907606"</f>
        <v>20190304164907606</v>
      </c>
      <c r="B2814" t="str">
        <f>"1551689347598900"</f>
        <v>1551689347598900</v>
      </c>
      <c r="C2814" t="s">
        <v>40</v>
      </c>
      <c r="D2814">
        <v>3.9155310000000001</v>
      </c>
      <c r="E2814">
        <v>0.52242690000000003</v>
      </c>
      <c r="F2814" t="s">
        <v>46</v>
      </c>
      <c r="G2814">
        <v>-446.91359999999997</v>
      </c>
      <c r="H2814" s="1">
        <v>2.1453430000000002E-6</v>
      </c>
      <c r="I2814">
        <v>284.54629999999997</v>
      </c>
      <c r="J2814">
        <v>-433.40170000000001</v>
      </c>
      <c r="K2814">
        <v>1.1110869999999999</v>
      </c>
      <c r="L2814">
        <v>284.9391</v>
      </c>
      <c r="M2814">
        <v>-0.99975650000000005</v>
      </c>
      <c r="N2814">
        <v>-1.40043999999999E-2</v>
      </c>
      <c r="O2814">
        <v>1.7060269999999999E-2</v>
      </c>
      <c r="P2814">
        <v>-0.92917289999999997</v>
      </c>
      <c r="Q2814">
        <v>0.36640780000000001</v>
      </c>
      <c r="R2814">
        <v>-4.8821370000000003E-2</v>
      </c>
      <c r="S2814">
        <v>-3.330597</v>
      </c>
      <c r="T2814">
        <v>-0.27005600000000002</v>
      </c>
      <c r="U2814">
        <v>-9.4696039999999995E-2</v>
      </c>
      <c r="V2814">
        <v>-6.4704750000000005E-2</v>
      </c>
      <c r="W2814">
        <v>0.37936419999999998</v>
      </c>
      <c r="X2814">
        <v>0.92298219999999997</v>
      </c>
      <c r="Y2814">
        <v>-4.525912E-2</v>
      </c>
      <c r="Z2814">
        <v>-3.2913489999999998E-3</v>
      </c>
      <c r="AA2814">
        <v>0.99896989999999997</v>
      </c>
      <c r="AB2814">
        <v>27</v>
      </c>
      <c r="AC2814">
        <v>-13.511899999999899</v>
      </c>
      <c r="AD2814">
        <v>-1.111084854657</v>
      </c>
      <c r="AE2814">
        <v>-0.39280000000002202</v>
      </c>
      <c r="AF2814">
        <v>-0.61909938056894998</v>
      </c>
      <c r="AG2814">
        <v>-1.111084854657</v>
      </c>
      <c r="AH2814">
        <v>13.412614514901501</v>
      </c>
      <c r="AI2814">
        <v>94.730487404760495</v>
      </c>
      <c r="AJ2814">
        <v>92.642782444061893</v>
      </c>
      <c r="AK2814">
        <v>13.472788194082799</v>
      </c>
      <c r="AL2814">
        <v>67.705695191626802</v>
      </c>
      <c r="AM2814">
        <v>94.010102964690503</v>
      </c>
      <c r="AN2814">
        <v>1.00000002121552</v>
      </c>
    </row>
    <row r="2815" spans="1:40" x14ac:dyDescent="0.25">
      <c r="A2815" t="str">
        <f>"20190304164907620"</f>
        <v>20190304164907620</v>
      </c>
      <c r="B2815" t="str">
        <f>"1551689347608660"</f>
        <v>1551689347608660</v>
      </c>
      <c r="C2815" t="s">
        <v>40</v>
      </c>
      <c r="D2815">
        <v>3.9147280000000002</v>
      </c>
      <c r="E2815">
        <v>0.52289259999999904</v>
      </c>
      <c r="F2815" t="s">
        <v>46</v>
      </c>
      <c r="G2815">
        <v>-447.0204</v>
      </c>
      <c r="H2815" s="1">
        <v>2.2017309999999998E-6</v>
      </c>
      <c r="I2815">
        <v>284.55579999999998</v>
      </c>
      <c r="J2815">
        <v>-433.56279999999998</v>
      </c>
      <c r="K2815">
        <v>1.1110910000000001</v>
      </c>
      <c r="L2815">
        <v>284.9418</v>
      </c>
      <c r="M2815">
        <v>-0.99975729999999996</v>
      </c>
      <c r="N2815">
        <v>-1.40027E-2</v>
      </c>
      <c r="O2815">
        <v>1.7012909999999999E-2</v>
      </c>
      <c r="P2815">
        <v>-0.92914010000000002</v>
      </c>
      <c r="Q2815">
        <v>0.36610890000000001</v>
      </c>
      <c r="R2815">
        <v>-5.1604120000000003E-2</v>
      </c>
      <c r="S2815">
        <v>-3.3309329999999999</v>
      </c>
      <c r="T2815">
        <v>-0.27175549999999998</v>
      </c>
      <c r="U2815">
        <v>-9.375E-2</v>
      </c>
      <c r="V2815">
        <v>-6.7444820000000003E-2</v>
      </c>
      <c r="W2815">
        <v>0.37906230000000002</v>
      </c>
      <c r="X2815">
        <v>0.92291000000000001</v>
      </c>
      <c r="Y2815">
        <v>-4.4924289999999999E-2</v>
      </c>
      <c r="Z2815">
        <v>-3.292007E-3</v>
      </c>
      <c r="AA2815">
        <v>0.99898500000000001</v>
      </c>
      <c r="AB2815">
        <v>27</v>
      </c>
      <c r="AC2815">
        <v>-13.457599999999999</v>
      </c>
      <c r="AD2815">
        <v>-1.1110887982690001</v>
      </c>
      <c r="AE2815">
        <v>-0.38600000000002399</v>
      </c>
      <c r="AF2815">
        <v>-0.61075966106631796</v>
      </c>
      <c r="AG2815">
        <v>-1.1110887982690001</v>
      </c>
      <c r="AH2815">
        <v>13.3581034284948</v>
      </c>
      <c r="AI2815">
        <v>94.749814479084193</v>
      </c>
      <c r="AJ2815">
        <v>92.617856389634397</v>
      </c>
      <c r="AK2815">
        <v>13.418139695486399</v>
      </c>
      <c r="AL2815">
        <v>67.724387362260998</v>
      </c>
      <c r="AM2815">
        <v>94.179656136052898</v>
      </c>
      <c r="AN2815">
        <v>0.99999994956305904</v>
      </c>
    </row>
    <row r="2816" spans="1:40" x14ac:dyDescent="0.25">
      <c r="A2816" t="str">
        <f>"20190304164907634"</f>
        <v>20190304164907634</v>
      </c>
      <c r="B2816" t="str">
        <f>"1551689347629155"</f>
        <v>1551689347629155</v>
      </c>
      <c r="C2816" t="s">
        <v>40</v>
      </c>
      <c r="D2816">
        <v>3.9157419999999998</v>
      </c>
      <c r="E2816">
        <v>0.52374830000000006</v>
      </c>
      <c r="F2816" t="s">
        <v>46</v>
      </c>
      <c r="G2816">
        <v>-447.10939999999999</v>
      </c>
      <c r="H2816" s="1">
        <v>2.2499310000000001E-6</v>
      </c>
      <c r="I2816">
        <v>284.53800000000001</v>
      </c>
      <c r="J2816">
        <v>-433.73630000000003</v>
      </c>
      <c r="K2816">
        <v>1.1110910000000001</v>
      </c>
      <c r="L2816">
        <v>284.94470000000001</v>
      </c>
      <c r="M2816">
        <v>-0.99975820000000004</v>
      </c>
      <c r="N2816">
        <v>-1.400086E-2</v>
      </c>
      <c r="O2816">
        <v>1.6960630000000001E-2</v>
      </c>
      <c r="P2816">
        <v>-0.92894390000000004</v>
      </c>
      <c r="Q2816">
        <v>0.36621019999999999</v>
      </c>
      <c r="R2816">
        <v>-5.4345980000000002E-2</v>
      </c>
      <c r="S2816">
        <v>-3.3309630000000001</v>
      </c>
      <c r="T2816">
        <v>-0.27320309999999998</v>
      </c>
      <c r="U2816">
        <v>-9.9304199999999995E-2</v>
      </c>
      <c r="V2816">
        <v>-7.0135710000000004E-2</v>
      </c>
      <c r="W2816">
        <v>0.37915860000000001</v>
      </c>
      <c r="X2816">
        <v>0.92266990000000004</v>
      </c>
      <c r="Y2816">
        <v>-4.6527680000000002E-2</v>
      </c>
      <c r="Z2816">
        <v>-3.3823159999999998E-3</v>
      </c>
      <c r="AA2816">
        <v>0.99891129999999995</v>
      </c>
      <c r="AB2816">
        <v>27</v>
      </c>
      <c r="AC2816">
        <v>-13.3730999999999</v>
      </c>
      <c r="AD2816">
        <v>-1.1110887500689901</v>
      </c>
      <c r="AE2816">
        <v>-0.40670000000000001</v>
      </c>
      <c r="AF2816">
        <v>-0.62914100476478496</v>
      </c>
      <c r="AG2816">
        <v>-1.1110887500689901</v>
      </c>
      <c r="AH2816">
        <v>13.272741335646799</v>
      </c>
      <c r="AI2816">
        <v>94.779849902460697</v>
      </c>
      <c r="AJ2816">
        <v>92.713845029033706</v>
      </c>
      <c r="AK2816">
        <v>13.334016618311001</v>
      </c>
      <c r="AL2816">
        <v>67.718425928220398</v>
      </c>
      <c r="AM2816">
        <v>94.346914492855404</v>
      </c>
      <c r="AN2816">
        <v>1.0000000030685801</v>
      </c>
    </row>
    <row r="2817" spans="1:40" x14ac:dyDescent="0.25">
      <c r="A2817" t="str">
        <f>"20190304164907646"</f>
        <v>20190304164907646</v>
      </c>
      <c r="B2817" t="str">
        <f>"1551689347638916"</f>
        <v>1551689347638916</v>
      </c>
      <c r="C2817" t="s">
        <v>40</v>
      </c>
      <c r="D2817">
        <v>3.9124219999999998</v>
      </c>
      <c r="E2817">
        <v>0.52409740000000005</v>
      </c>
      <c r="F2817" t="s">
        <v>46</v>
      </c>
      <c r="G2817">
        <v>-447.37189999999998</v>
      </c>
      <c r="H2817" s="1">
        <v>2.389853E-6</v>
      </c>
      <c r="I2817">
        <v>284.53140000000002</v>
      </c>
      <c r="J2817">
        <v>-433.88670000000002</v>
      </c>
      <c r="K2817">
        <v>1.1110880000000001</v>
      </c>
      <c r="L2817">
        <v>284.94720000000001</v>
      </c>
      <c r="M2817">
        <v>-0.99975899999999995</v>
      </c>
      <c r="N2817">
        <v>-1.3999259999999999E-2</v>
      </c>
      <c r="O2817">
        <v>1.6914809999999999E-2</v>
      </c>
      <c r="P2817">
        <v>-0.92873380000000005</v>
      </c>
      <c r="Q2817">
        <v>0.36593700000000001</v>
      </c>
      <c r="R2817">
        <v>-5.9531260000000003E-2</v>
      </c>
      <c r="S2817">
        <v>-3.330597</v>
      </c>
      <c r="T2817">
        <v>-0.27139269999999999</v>
      </c>
      <c r="U2817">
        <v>-0.1009521</v>
      </c>
      <c r="V2817">
        <v>-7.5274320000000006E-2</v>
      </c>
      <c r="W2817">
        <v>0.37887880000000002</v>
      </c>
      <c r="X2817">
        <v>0.92237990000000003</v>
      </c>
      <c r="Y2817">
        <v>-4.698012E-2</v>
      </c>
      <c r="Z2817">
        <v>-3.3793709999999999E-3</v>
      </c>
      <c r="AA2817">
        <v>0.9988901</v>
      </c>
      <c r="AB2817">
        <v>27</v>
      </c>
      <c r="AC2817">
        <v>-13.485199999999899</v>
      </c>
      <c r="AD2817">
        <v>-1.1110856101469999</v>
      </c>
      <c r="AE2817">
        <v>-0.41579999999999001</v>
      </c>
      <c r="AF2817">
        <v>-0.63952507850454898</v>
      </c>
      <c r="AG2817">
        <v>-1.1110856101469999</v>
      </c>
      <c r="AH2817">
        <v>13.385454291536</v>
      </c>
      <c r="AI2817">
        <v>94.739687352903303</v>
      </c>
      <c r="AJ2817">
        <v>92.735375598569206</v>
      </c>
      <c r="AK2817">
        <v>13.4467055500561</v>
      </c>
      <c r="AL2817">
        <v>67.735750335739198</v>
      </c>
      <c r="AM2817">
        <v>94.665500934693</v>
      </c>
      <c r="AN2817">
        <v>1.00000002413245</v>
      </c>
    </row>
    <row r="2818" spans="1:40" x14ac:dyDescent="0.25">
      <c r="A2818" t="str">
        <f>"20190304164907662"</f>
        <v>20190304164907662</v>
      </c>
      <c r="B2818" t="str">
        <f>"1551689347658436"</f>
        <v>1551689347658436</v>
      </c>
      <c r="C2818" t="s">
        <v>40</v>
      </c>
      <c r="D2818">
        <v>3.9449830000000001</v>
      </c>
      <c r="E2818">
        <v>0.52484849999999905</v>
      </c>
      <c r="F2818" t="s">
        <v>46</v>
      </c>
      <c r="G2818">
        <v>-447.52640000000002</v>
      </c>
      <c r="H2818" s="1">
        <v>2.4745709999999998E-6</v>
      </c>
      <c r="I2818">
        <v>284.47469999999998</v>
      </c>
      <c r="J2818">
        <v>-434.06560000000002</v>
      </c>
      <c r="K2818">
        <v>1.1110880000000001</v>
      </c>
      <c r="L2818">
        <v>284.9502</v>
      </c>
      <c r="M2818">
        <v>-0.99975999999999998</v>
      </c>
      <c r="N2818">
        <v>-1.399736E-2</v>
      </c>
      <c r="O2818">
        <v>1.6860880000000002E-2</v>
      </c>
      <c r="P2818">
        <v>-0.92850909999999998</v>
      </c>
      <c r="Q2818">
        <v>0.366062</v>
      </c>
      <c r="R2818">
        <v>-6.2207070000000003E-2</v>
      </c>
      <c r="S2818">
        <v>-3.3296510000000001</v>
      </c>
      <c r="T2818">
        <v>-0.271233</v>
      </c>
      <c r="U2818">
        <v>-0.115356399999999</v>
      </c>
      <c r="V2818">
        <v>-7.7896119999999999E-2</v>
      </c>
      <c r="W2818">
        <v>0.37899749999999999</v>
      </c>
      <c r="X2818">
        <v>0.92211339999999997</v>
      </c>
      <c r="Y2818">
        <v>-5.1234889999999998E-2</v>
      </c>
      <c r="Z2818">
        <v>-3.5773570000000002E-3</v>
      </c>
      <c r="AA2818">
        <v>0.99868020000000002</v>
      </c>
      <c r="AB2818">
        <v>27</v>
      </c>
      <c r="AC2818">
        <v>-13.460800000000001</v>
      </c>
      <c r="AD2818">
        <v>-1.11108552542899</v>
      </c>
      <c r="AE2818">
        <v>-0.47550000000001003</v>
      </c>
      <c r="AF2818">
        <v>-0.69766808068740405</v>
      </c>
      <c r="AG2818">
        <v>-1.11108552542899</v>
      </c>
      <c r="AH2818">
        <v>13.359956920264301</v>
      </c>
      <c r="AI2818">
        <v>94.7476439255786</v>
      </c>
      <c r="AJ2818">
        <v>92.989318007642495</v>
      </c>
      <c r="AK2818">
        <v>13.4242206741005</v>
      </c>
      <c r="AL2818">
        <v>67.728401067150401</v>
      </c>
      <c r="AM2818">
        <v>94.828633518470994</v>
      </c>
      <c r="AN2818">
        <v>1.00000001648843</v>
      </c>
    </row>
    <row r="2819" spans="1:40" x14ac:dyDescent="0.25">
      <c r="A2819" t="str">
        <f>"20190304164907679"</f>
        <v>20190304164907679</v>
      </c>
      <c r="B2819" t="str">
        <f>"1551689347669172"</f>
        <v>1551689347669172</v>
      </c>
      <c r="C2819" t="s">
        <v>40</v>
      </c>
      <c r="D2819">
        <v>3.9598330000000002</v>
      </c>
      <c r="E2819">
        <v>0.52525159999999904</v>
      </c>
      <c r="F2819" t="s">
        <v>46</v>
      </c>
      <c r="G2819">
        <v>-447.71879999999999</v>
      </c>
      <c r="H2819" s="1">
        <v>2.5775159999999999E-6</v>
      </c>
      <c r="I2819">
        <v>284.4624</v>
      </c>
      <c r="J2819">
        <v>-434.27539999999999</v>
      </c>
      <c r="K2819">
        <v>1.111097</v>
      </c>
      <c r="L2819">
        <v>284.95359999999999</v>
      </c>
      <c r="M2819">
        <v>-0.99976100000000001</v>
      </c>
      <c r="N2819">
        <v>-1.399513E-2</v>
      </c>
      <c r="O2819">
        <v>1.6798500000000001E-2</v>
      </c>
      <c r="P2819">
        <v>-0.92810950000000003</v>
      </c>
      <c r="Q2819">
        <v>0.36613849999999998</v>
      </c>
      <c r="R2819">
        <v>-6.7495440000000004E-2</v>
      </c>
      <c r="S2819">
        <v>-3.3298339999999902</v>
      </c>
      <c r="T2819">
        <v>-0.2709781</v>
      </c>
      <c r="U2819">
        <v>-0.11895749999999999</v>
      </c>
      <c r="V2819">
        <v>-8.3119040000000005E-2</v>
      </c>
      <c r="W2819">
        <v>0.37906499999999999</v>
      </c>
      <c r="X2819">
        <v>0.92162949999999999</v>
      </c>
      <c r="Y2819">
        <v>-5.2246029999999999E-2</v>
      </c>
      <c r="Z2819">
        <v>-3.617819E-3</v>
      </c>
      <c r="AA2819">
        <v>0.99862770000000001</v>
      </c>
      <c r="AB2819">
        <v>27</v>
      </c>
      <c r="AC2819">
        <v>-13.443399999999899</v>
      </c>
      <c r="AD2819">
        <v>-1.111094422484</v>
      </c>
      <c r="AE2819">
        <v>-0.49119999999999198</v>
      </c>
      <c r="AF2819">
        <v>-0.71212371257044305</v>
      </c>
      <c r="AG2819">
        <v>-1.111094422484</v>
      </c>
      <c r="AH2819">
        <v>13.3422313274183</v>
      </c>
      <c r="AI2819">
        <v>94.753673110904998</v>
      </c>
      <c r="AJ2819">
        <v>93.055186478630105</v>
      </c>
      <c r="AK2819">
        <v>13.407340817329199</v>
      </c>
      <c r="AL2819">
        <v>67.724221187096106</v>
      </c>
      <c r="AM2819">
        <v>95.153395086634703</v>
      </c>
      <c r="AN2819">
        <v>0.99999999215288504</v>
      </c>
    </row>
    <row r="2820" spans="1:40" x14ac:dyDescent="0.25">
      <c r="A2820" t="str">
        <f>"20190304164907695"</f>
        <v>20190304164907695</v>
      </c>
      <c r="B2820" t="str">
        <f>"1551689347688692"</f>
        <v>1551689347688692</v>
      </c>
      <c r="C2820" t="s">
        <v>40</v>
      </c>
      <c r="D2820">
        <v>3.8801999999999999</v>
      </c>
      <c r="E2820">
        <v>0.52595139999999996</v>
      </c>
      <c r="F2820" t="s">
        <v>46</v>
      </c>
      <c r="G2820">
        <v>-447.93130000000002</v>
      </c>
      <c r="H2820" s="1">
        <v>2.6929920000000001E-6</v>
      </c>
      <c r="I2820">
        <v>284.40789999999998</v>
      </c>
      <c r="J2820">
        <v>-434.4597</v>
      </c>
      <c r="K2820">
        <v>1.111102</v>
      </c>
      <c r="L2820">
        <v>284.95670000000001</v>
      </c>
      <c r="M2820">
        <v>-0.99976189999999998</v>
      </c>
      <c r="N2820">
        <v>-1.3993179999999999E-2</v>
      </c>
      <c r="O2820">
        <v>1.6744579999999998E-2</v>
      </c>
      <c r="P2820">
        <v>-0.9279366</v>
      </c>
      <c r="Q2820">
        <v>0.36609580000000003</v>
      </c>
      <c r="R2820">
        <v>-7.0056629999999995E-2</v>
      </c>
      <c r="S2820">
        <v>-3.3295590000000002</v>
      </c>
      <c r="T2820">
        <v>-0.27090409999999998</v>
      </c>
      <c r="U2820">
        <v>-0.1330566</v>
      </c>
      <c r="V2820">
        <v>-8.5626389999999997E-2</v>
      </c>
      <c r="W2820">
        <v>0.3790173</v>
      </c>
      <c r="X2820">
        <v>0.92141960000000001</v>
      </c>
      <c r="Y2820">
        <v>-5.6401489999999999E-2</v>
      </c>
      <c r="Z2820">
        <v>-3.8111460000000001E-3</v>
      </c>
      <c r="AA2820">
        <v>0.99840090000000004</v>
      </c>
      <c r="AB2820">
        <v>27</v>
      </c>
      <c r="AC2820">
        <v>-13.4716</v>
      </c>
      <c r="AD2820">
        <v>-1.111099307008</v>
      </c>
      <c r="AE2820">
        <v>-0.54880000000002804</v>
      </c>
      <c r="AF2820">
        <v>-0.76909830057768303</v>
      </c>
      <c r="AG2820">
        <v>-1.111099307008</v>
      </c>
      <c r="AH2820">
        <v>13.369723958695801</v>
      </c>
      <c r="AI2820">
        <v>94.742879720865403</v>
      </c>
      <c r="AJ2820">
        <v>93.292332415404601</v>
      </c>
      <c r="AK2820">
        <v>13.4378410690747</v>
      </c>
      <c r="AL2820">
        <v>67.727175602995402</v>
      </c>
      <c r="AM2820">
        <v>95.309178423860899</v>
      </c>
      <c r="AN2820">
        <v>1.00000003581394</v>
      </c>
    </row>
    <row r="2821" spans="1:40" x14ac:dyDescent="0.25">
      <c r="A2821" t="str">
        <f>"20190304164907709"</f>
        <v>20190304164907709</v>
      </c>
      <c r="B2821" t="str">
        <f>"1551689347699428"</f>
        <v>1551689347699428</v>
      </c>
      <c r="C2821" t="s">
        <v>40</v>
      </c>
      <c r="D2821">
        <v>4.4178689999999996</v>
      </c>
      <c r="E2821">
        <v>0.52595139999999996</v>
      </c>
      <c r="F2821" t="s">
        <v>46</v>
      </c>
      <c r="G2821">
        <v>-448.21140000000003</v>
      </c>
      <c r="H2821" s="1">
        <v>2.8424830000000001E-6</v>
      </c>
      <c r="I2821">
        <v>284.39679999999998</v>
      </c>
      <c r="J2821">
        <v>-434.61930000000001</v>
      </c>
      <c r="K2821">
        <v>1.111103</v>
      </c>
      <c r="L2821">
        <v>284.95929999999998</v>
      </c>
      <c r="M2821">
        <v>-0.9997627</v>
      </c>
      <c r="N2821">
        <v>-1.3991480000000001E-2</v>
      </c>
      <c r="O2821">
        <v>1.6699120000000001E-2</v>
      </c>
      <c r="P2821">
        <v>-0.92777080000000001</v>
      </c>
      <c r="Q2821">
        <v>0.36602099999999999</v>
      </c>
      <c r="R2821">
        <v>-7.2595309999999996E-2</v>
      </c>
      <c r="S2821">
        <v>-3.3288570000000002</v>
      </c>
      <c r="T2821">
        <v>-0.26896419999999999</v>
      </c>
      <c r="U2821">
        <v>-0.1355286</v>
      </c>
      <c r="V2821">
        <v>-8.8119500000000003E-2</v>
      </c>
      <c r="W2821">
        <v>0.37893789999999999</v>
      </c>
      <c r="X2821">
        <v>0.92121710000000001</v>
      </c>
      <c r="Y2821">
        <v>-5.7105509999999998E-2</v>
      </c>
      <c r="Z2821">
        <v>-3.8160720000000002E-3</v>
      </c>
      <c r="AA2821">
        <v>0.9983609</v>
      </c>
      <c r="AB2821">
        <v>27</v>
      </c>
      <c r="AC2821">
        <v>-13.5921</v>
      </c>
      <c r="AD2821">
        <v>-1.1111001575170001</v>
      </c>
      <c r="AE2821">
        <v>-0.5625</v>
      </c>
      <c r="AF2821">
        <v>-0.78418855740746396</v>
      </c>
      <c r="AG2821">
        <v>-1.1111001575170001</v>
      </c>
      <c r="AH2821">
        <v>13.4908131252195</v>
      </c>
      <c r="AI2821">
        <v>94.700341949673501</v>
      </c>
      <c r="AJ2821">
        <v>93.3267225926527</v>
      </c>
      <c r="AK2821">
        <v>13.5591863337443</v>
      </c>
      <c r="AL2821">
        <v>67.732089856075802</v>
      </c>
      <c r="AM2821">
        <v>95.464032746459097</v>
      </c>
      <c r="AN2821">
        <v>0.99999996183453399</v>
      </c>
    </row>
    <row r="2822" spans="1:40" x14ac:dyDescent="0.25">
      <c r="A2822" t="str">
        <f>"20190304164907723"</f>
        <v>20190304164907723</v>
      </c>
      <c r="B2822" t="str">
        <f>"1551689347718947"</f>
        <v>1551689347718947</v>
      </c>
      <c r="C2822" t="s">
        <v>40</v>
      </c>
      <c r="D2822">
        <v>3.933389</v>
      </c>
      <c r="E2822">
        <v>0.53443719999999995</v>
      </c>
      <c r="F2822" t="s">
        <v>46</v>
      </c>
      <c r="G2822">
        <v>-448.35750000000002</v>
      </c>
      <c r="H2822" s="1">
        <v>2.9216460000000001E-6</v>
      </c>
      <c r="I2822">
        <v>284.36500000000001</v>
      </c>
      <c r="J2822">
        <v>-434.7928</v>
      </c>
      <c r="K2822">
        <v>1.111103</v>
      </c>
      <c r="L2822">
        <v>284.96210000000002</v>
      </c>
      <c r="M2822">
        <v>-0.99976350000000003</v>
      </c>
      <c r="N2822">
        <v>-1.3989619999999999E-2</v>
      </c>
      <c r="O2822">
        <v>1.6650330000000001E-2</v>
      </c>
      <c r="P2822">
        <v>-0.92772500000000002</v>
      </c>
      <c r="Q2822">
        <v>0.36557539999999999</v>
      </c>
      <c r="R2822">
        <v>-7.5373549999999997E-2</v>
      </c>
      <c r="S2822">
        <v>-3.3284609999999999</v>
      </c>
      <c r="T2822">
        <v>-0.26919530000000003</v>
      </c>
      <c r="U2822">
        <v>-0.1439819</v>
      </c>
      <c r="V2822">
        <v>-9.0850929999999996E-2</v>
      </c>
      <c r="W2822">
        <v>0.37848959999999998</v>
      </c>
      <c r="X2822">
        <v>0.92113610000000001</v>
      </c>
      <c r="Y2822">
        <v>-5.9582719999999999E-2</v>
      </c>
      <c r="Z2822">
        <v>-3.933537E-3</v>
      </c>
      <c r="AA2822">
        <v>0.99821559999999998</v>
      </c>
      <c r="AB2822">
        <v>27</v>
      </c>
      <c r="AC2822">
        <v>-13.5647</v>
      </c>
      <c r="AD2822">
        <v>-1.1111000783539999</v>
      </c>
      <c r="AE2822">
        <v>-0.59710000000001096</v>
      </c>
      <c r="AF2822">
        <v>-0.81742221076580301</v>
      </c>
      <c r="AG2822">
        <v>-1.1111000783539999</v>
      </c>
      <c r="AH2822">
        <v>13.462723731493501</v>
      </c>
      <c r="AI2822">
        <v>94.709385590935895</v>
      </c>
      <c r="AJ2822">
        <v>93.474587814160202</v>
      </c>
      <c r="AK2822">
        <v>13.533205559855</v>
      </c>
      <c r="AL2822">
        <v>67.759843463613905</v>
      </c>
      <c r="AM2822">
        <v>95.632820032579303</v>
      </c>
      <c r="AN2822">
        <v>0.99999999175661702</v>
      </c>
    </row>
    <row r="2823" spans="1:40" x14ac:dyDescent="0.25">
      <c r="A2823" t="str">
        <f>"20190304164907736"</f>
        <v>20190304164907736</v>
      </c>
      <c r="B2823" t="str">
        <f>"1551689347728708"</f>
        <v>1551689347728708</v>
      </c>
      <c r="C2823" t="s">
        <v>40</v>
      </c>
      <c r="D2823">
        <v>3.9429859999999999</v>
      </c>
      <c r="E2823">
        <v>0.53501390000000004</v>
      </c>
      <c r="F2823" t="s">
        <v>46</v>
      </c>
      <c r="G2823">
        <v>-449.68639999999999</v>
      </c>
      <c r="H2823" s="1">
        <v>3.6189869999999998E-6</v>
      </c>
      <c r="I2823">
        <v>284.58980000000003</v>
      </c>
      <c r="J2823">
        <v>-434.94409999999999</v>
      </c>
      <c r="K2823">
        <v>1.111103</v>
      </c>
      <c r="L2823">
        <v>284.96449999999999</v>
      </c>
      <c r="M2823">
        <v>-0.99976430000000005</v>
      </c>
      <c r="N2823">
        <v>-1.398799E-2</v>
      </c>
      <c r="O2823">
        <v>1.660822E-2</v>
      </c>
      <c r="P2823">
        <v>-0.92769970000000002</v>
      </c>
      <c r="Q2823">
        <v>0.3645562</v>
      </c>
      <c r="R2823">
        <v>-8.0451320000000007E-2</v>
      </c>
      <c r="S2823">
        <v>-3.3246769999999999</v>
      </c>
      <c r="T2823">
        <v>-0.24802950000000001</v>
      </c>
      <c r="U2823">
        <v>-8.3099370000000006E-2</v>
      </c>
      <c r="V2823">
        <v>-9.5887760000000002E-2</v>
      </c>
      <c r="W2823">
        <v>0.37746669999999999</v>
      </c>
      <c r="X2823">
        <v>0.92104529999999996</v>
      </c>
      <c r="Y2823">
        <v>-4.1420989999999998E-2</v>
      </c>
      <c r="Z2823">
        <v>-2.8380089999999998E-3</v>
      </c>
      <c r="AA2823">
        <v>0.99913779999999996</v>
      </c>
      <c r="AB2823">
        <v>27</v>
      </c>
      <c r="AC2823">
        <v>-14.7423</v>
      </c>
      <c r="AD2823">
        <v>-1.1110993810130001</v>
      </c>
      <c r="AE2823">
        <v>-0.37469999999996101</v>
      </c>
      <c r="AF2823">
        <v>-0.61601866468755995</v>
      </c>
      <c r="AG2823">
        <v>-1.1110993810130001</v>
      </c>
      <c r="AH2823">
        <v>14.650874138571901</v>
      </c>
      <c r="AI2823">
        <v>94.333106485715305</v>
      </c>
      <c r="AJ2823">
        <v>92.407671490787394</v>
      </c>
      <c r="AK2823">
        <v>14.7058537274789</v>
      </c>
      <c r="AL2823">
        <v>67.823147955522003</v>
      </c>
      <c r="AM2823">
        <v>95.943511664183603</v>
      </c>
      <c r="AN2823">
        <v>1.0000000083893901</v>
      </c>
    </row>
    <row r="2824" spans="1:40" x14ac:dyDescent="0.25">
      <c r="A2824" t="str">
        <f>"20190304164907752"</f>
        <v>20190304164907752</v>
      </c>
      <c r="B2824" t="str">
        <f>"1551689347749203"</f>
        <v>1551689347749203</v>
      </c>
      <c r="C2824" t="s">
        <v>40</v>
      </c>
      <c r="D2824">
        <v>3.9199269999999999</v>
      </c>
      <c r="E2824">
        <v>0.53564109999999998</v>
      </c>
      <c r="F2824" t="s">
        <v>46</v>
      </c>
      <c r="G2824">
        <v>-449.94080000000002</v>
      </c>
      <c r="H2824" s="1">
        <v>3.7566810000000001E-6</v>
      </c>
      <c r="I2824">
        <v>284.5367</v>
      </c>
      <c r="J2824">
        <v>-435.1352</v>
      </c>
      <c r="K2824">
        <v>1.111102</v>
      </c>
      <c r="L2824">
        <v>284.96769999999998</v>
      </c>
      <c r="M2824">
        <v>-0.99976520000000002</v>
      </c>
      <c r="N2824">
        <v>-1.3985930000000001E-2</v>
      </c>
      <c r="O2824">
        <v>1.6555549999999999E-2</v>
      </c>
      <c r="P2824">
        <v>-0.92762120000000003</v>
      </c>
      <c r="Q2824">
        <v>0.36407869999999998</v>
      </c>
      <c r="R2824">
        <v>-8.3460770000000004E-2</v>
      </c>
      <c r="S2824">
        <v>-3.3223569999999998</v>
      </c>
      <c r="T2824">
        <v>-0.24615219999999999</v>
      </c>
      <c r="U2824">
        <v>-9.47876E-2</v>
      </c>
      <c r="V2824">
        <v>-9.8846329999999996E-2</v>
      </c>
      <c r="W2824">
        <v>0.37698579999999998</v>
      </c>
      <c r="X2824">
        <v>0.92092949999999996</v>
      </c>
      <c r="Y2824">
        <v>-4.4889070000000003E-2</v>
      </c>
      <c r="Z2824">
        <v>-2.9682440000000001E-3</v>
      </c>
      <c r="AA2824">
        <v>0.99898759999999998</v>
      </c>
      <c r="AB2824">
        <v>27</v>
      </c>
      <c r="AC2824">
        <v>-14.8056</v>
      </c>
      <c r="AD2824">
        <v>-1.111098243319</v>
      </c>
      <c r="AE2824">
        <v>-0.43099999999998301</v>
      </c>
      <c r="AF2824">
        <v>-0.67229664449349502</v>
      </c>
      <c r="AG2824">
        <v>-1.111098243319</v>
      </c>
      <c r="AH2824">
        <v>14.7136391265146</v>
      </c>
      <c r="AI2824">
        <v>94.314001952063094</v>
      </c>
      <c r="AJ2824">
        <v>92.616143210298503</v>
      </c>
      <c r="AK2824">
        <v>14.770839462596699</v>
      </c>
      <c r="AL2824">
        <v>67.852899711548005</v>
      </c>
      <c r="AM2824">
        <v>96.126286634649801</v>
      </c>
      <c r="AN2824">
        <v>1.00000001716317</v>
      </c>
    </row>
    <row r="2825" spans="1:40" x14ac:dyDescent="0.25">
      <c r="A2825" t="str">
        <f>"20190304164907770"</f>
        <v>20190304164907770</v>
      </c>
      <c r="B2825" t="str">
        <f>"1551689347758965"</f>
        <v>1551689347758965</v>
      </c>
      <c r="C2825" t="s">
        <v>40</v>
      </c>
      <c r="D2825">
        <v>3.9387400000000001</v>
      </c>
      <c r="E2825">
        <v>0.53612479999999996</v>
      </c>
      <c r="F2825" t="s">
        <v>46</v>
      </c>
      <c r="G2825">
        <v>-449.93180000000001</v>
      </c>
      <c r="H2825" s="1">
        <v>3.7524540000000001E-6</v>
      </c>
      <c r="I2825">
        <v>284.52379999999999</v>
      </c>
      <c r="J2825">
        <v>-435.34289999999999</v>
      </c>
      <c r="K2825">
        <v>1.1110949999999999</v>
      </c>
      <c r="L2825">
        <v>284.971</v>
      </c>
      <c r="M2825">
        <v>-0.99976620000000005</v>
      </c>
      <c r="N2825">
        <v>-1.398369E-2</v>
      </c>
      <c r="O2825">
        <v>1.649842E-2</v>
      </c>
      <c r="P2825">
        <v>-0.92734159999999999</v>
      </c>
      <c r="Q2825">
        <v>0.36339680000000002</v>
      </c>
      <c r="R2825">
        <v>-8.9333430000000005E-2</v>
      </c>
      <c r="S2825">
        <v>-3.3230590000000002</v>
      </c>
      <c r="T2825">
        <v>-0.24953349999999999</v>
      </c>
      <c r="U2825">
        <v>-9.9670410000000001E-2</v>
      </c>
      <c r="V2825">
        <v>-0.1046599</v>
      </c>
      <c r="W2825">
        <v>0.37629580000000001</v>
      </c>
      <c r="X2825">
        <v>0.92056930000000003</v>
      </c>
      <c r="Y2825">
        <v>-4.6283350000000001E-2</v>
      </c>
      <c r="Z2825">
        <v>-3.0656559999999999E-3</v>
      </c>
      <c r="AA2825">
        <v>0.99892369999999997</v>
      </c>
      <c r="AB2825">
        <v>27</v>
      </c>
      <c r="AC2825">
        <v>-14.588900000000001</v>
      </c>
      <c r="AD2825">
        <v>-1.111091247546</v>
      </c>
      <c r="AE2825">
        <v>-0.44720000000000898</v>
      </c>
      <c r="AF2825">
        <v>-0.68389333468103497</v>
      </c>
      <c r="AG2825">
        <v>-1.111091247546</v>
      </c>
      <c r="AH2825">
        <v>14.4955348522995</v>
      </c>
      <c r="AI2825">
        <v>94.378333099702701</v>
      </c>
      <c r="AJ2825">
        <v>92.701188147589505</v>
      </c>
      <c r="AK2825">
        <v>14.554132214179701</v>
      </c>
      <c r="AL2825">
        <v>67.895576845753894</v>
      </c>
      <c r="AM2825">
        <v>96.486130754533505</v>
      </c>
      <c r="AN2825">
        <v>1.0000000299340599</v>
      </c>
    </row>
    <row r="2826" spans="1:40" x14ac:dyDescent="0.25">
      <c r="A2826" t="str">
        <f>"20190304164907792"</f>
        <v>20190304164907792</v>
      </c>
      <c r="B2826" t="str">
        <f>"1551689347789220"</f>
        <v>1551689347789220</v>
      </c>
      <c r="C2826" t="s">
        <v>40</v>
      </c>
      <c r="D2826">
        <v>3.9550010000000002</v>
      </c>
      <c r="E2826">
        <v>0.53677750000000002</v>
      </c>
      <c r="F2826" t="s">
        <v>46</v>
      </c>
      <c r="G2826">
        <v>-450.01609999999999</v>
      </c>
      <c r="H2826" s="1">
        <v>-1.5216420000000001E-6</v>
      </c>
      <c r="I2826">
        <v>284.46629999999999</v>
      </c>
      <c r="J2826">
        <v>-435.60610000000003</v>
      </c>
      <c r="K2826">
        <v>1.1110910000000001</v>
      </c>
      <c r="L2826">
        <v>284.9753</v>
      </c>
      <c r="M2826">
        <v>-0.99976730000000003</v>
      </c>
      <c r="N2826">
        <v>-1.3980869999999999E-2</v>
      </c>
      <c r="O2826">
        <v>1.6426400000000001E-2</v>
      </c>
      <c r="P2826">
        <v>-0.92682140000000002</v>
      </c>
      <c r="Q2826">
        <v>0.36331609999999998</v>
      </c>
      <c r="R2826">
        <v>-9.4885949999999997E-2</v>
      </c>
      <c r="S2826">
        <v>-3.322632</v>
      </c>
      <c r="T2826">
        <v>-0.25159900000000002</v>
      </c>
      <c r="U2826">
        <v>-0.1142883</v>
      </c>
      <c r="V2826">
        <v>-0.11013580000000001</v>
      </c>
      <c r="W2826">
        <v>0.37620429999999999</v>
      </c>
      <c r="X2826">
        <v>0.9199676</v>
      </c>
      <c r="Y2826">
        <v>-5.058754E-2</v>
      </c>
      <c r="Z2826">
        <v>-3.2787950000000001E-3</v>
      </c>
      <c r="AA2826">
        <v>0.99871430000000005</v>
      </c>
      <c r="AB2826">
        <v>27</v>
      </c>
      <c r="AC2826">
        <v>-14.409999999999901</v>
      </c>
      <c r="AD2826">
        <v>-1.111092521642</v>
      </c>
      <c r="AE2826">
        <v>-0.509000000000014</v>
      </c>
      <c r="AF2826">
        <v>-0.74125738581953304</v>
      </c>
      <c r="AG2826">
        <v>-1.111092521642</v>
      </c>
      <c r="AH2826">
        <v>14.314694682999001</v>
      </c>
      <c r="AI2826">
        <v>94.432428047186207</v>
      </c>
      <c r="AJ2826">
        <v>92.964297881121794</v>
      </c>
      <c r="AK2826">
        <v>14.3768728509074</v>
      </c>
      <c r="AL2826">
        <v>67.901233973538595</v>
      </c>
      <c r="AM2826">
        <v>96.826790733725204</v>
      </c>
      <c r="AN2826">
        <v>0.99999997741494395</v>
      </c>
    </row>
    <row r="2827" spans="1:40" x14ac:dyDescent="0.25">
      <c r="A2827" t="str">
        <f>"20190304164907816"</f>
        <v>20190304164907816</v>
      </c>
      <c r="B2827" t="str">
        <f>"1551689347808739"</f>
        <v>1551689347808739</v>
      </c>
      <c r="C2827" t="s">
        <v>40</v>
      </c>
      <c r="D2827">
        <v>3.9416720000000001</v>
      </c>
      <c r="E2827">
        <v>0.54047829999999997</v>
      </c>
      <c r="F2827" t="s">
        <v>46</v>
      </c>
      <c r="G2827">
        <v>-450.21769999999998</v>
      </c>
      <c r="H2827" s="1">
        <v>-1.4121640000000001E-6</v>
      </c>
      <c r="I2827">
        <v>284.41579999999999</v>
      </c>
      <c r="J2827">
        <v>-435.8852</v>
      </c>
      <c r="K2827">
        <v>1.111092</v>
      </c>
      <c r="L2827">
        <v>284.97969999999998</v>
      </c>
      <c r="M2827">
        <v>-0.99976869999999995</v>
      </c>
      <c r="N2827">
        <v>-1.397787E-2</v>
      </c>
      <c r="O2827">
        <v>1.6349900000000001E-2</v>
      </c>
      <c r="P2827">
        <v>-0.92627320000000002</v>
      </c>
      <c r="Q2827">
        <v>0.36327690000000001</v>
      </c>
      <c r="R2827">
        <v>-0.10023840000000001</v>
      </c>
      <c r="S2827">
        <v>-3.3228759999999999</v>
      </c>
      <c r="T2827">
        <v>-0.25267669999999998</v>
      </c>
      <c r="U2827">
        <v>-0.1272278</v>
      </c>
      <c r="V2827">
        <v>-0.1154068</v>
      </c>
      <c r="W2827">
        <v>0.37615349999999997</v>
      </c>
      <c r="X2827">
        <v>0.91934199999999999</v>
      </c>
      <c r="Y2827">
        <v>-5.4377719999999997E-2</v>
      </c>
      <c r="Z2827">
        <v>-3.457496E-3</v>
      </c>
      <c r="AA2827">
        <v>0.99851449999999997</v>
      </c>
      <c r="AB2827">
        <v>26</v>
      </c>
      <c r="AC2827">
        <v>-14.3324999999999</v>
      </c>
      <c r="AD2827">
        <v>-1.1110934121639999</v>
      </c>
      <c r="AE2827">
        <v>-0.56389999999998897</v>
      </c>
      <c r="AF2827">
        <v>-0.79342152446125902</v>
      </c>
      <c r="AG2827">
        <v>-1.1110934121639999</v>
      </c>
      <c r="AH2827">
        <v>14.2359408327567</v>
      </c>
      <c r="AI2827">
        <v>94.4559135367072</v>
      </c>
      <c r="AJ2827">
        <v>93.190005012124104</v>
      </c>
      <c r="AK2827">
        <v>14.301260702461899</v>
      </c>
      <c r="AL2827">
        <v>67.904374681201205</v>
      </c>
      <c r="AM2827">
        <v>97.1550243411547</v>
      </c>
      <c r="AN2827">
        <v>0.99999994900624301</v>
      </c>
    </row>
    <row r="2828" spans="1:40" x14ac:dyDescent="0.25">
      <c r="A2828" t="str">
        <f>"20190304164907837"</f>
        <v>20190304164907837</v>
      </c>
      <c r="B2828" t="str">
        <f>"1551689347829236"</f>
        <v>1551689347829236</v>
      </c>
      <c r="C2828" t="s">
        <v>40</v>
      </c>
      <c r="D2828">
        <v>3.9919600000000002</v>
      </c>
      <c r="E2828">
        <v>0.53986940000000005</v>
      </c>
      <c r="F2828" t="s">
        <v>46</v>
      </c>
      <c r="G2828">
        <v>-448.58690000000001</v>
      </c>
      <c r="H2828" s="1">
        <v>3.0366849999999999E-6</v>
      </c>
      <c r="I2828">
        <v>284.52640000000002</v>
      </c>
      <c r="J2828">
        <v>-436.13060000000002</v>
      </c>
      <c r="K2828">
        <v>1.1110930000000001</v>
      </c>
      <c r="L2828">
        <v>284.98360000000002</v>
      </c>
      <c r="M2828">
        <v>-0.99976980000000004</v>
      </c>
      <c r="N2828">
        <v>-1.397524E-2</v>
      </c>
      <c r="O2828">
        <v>1.628317E-2</v>
      </c>
      <c r="P2828">
        <v>-0.92600910000000003</v>
      </c>
      <c r="Q2828">
        <v>0.36242259999999998</v>
      </c>
      <c r="R2828">
        <v>-0.10562729999999999</v>
      </c>
      <c r="S2828">
        <v>-3.3404850000000001</v>
      </c>
      <c r="T2828">
        <v>-0.29221059999999999</v>
      </c>
      <c r="U2828">
        <v>-0.119232199999999</v>
      </c>
      <c r="V2828">
        <v>-0.1207289</v>
      </c>
      <c r="W2828">
        <v>0.37529089999999998</v>
      </c>
      <c r="X2828">
        <v>0.91901100000000002</v>
      </c>
      <c r="Y2828">
        <v>-5.166747E-2</v>
      </c>
      <c r="Z2828">
        <v>-3.8109049999999998E-3</v>
      </c>
      <c r="AA2828">
        <v>0.99865700000000002</v>
      </c>
      <c r="AB2828">
        <v>26</v>
      </c>
      <c r="AC2828">
        <v>-12.456300000000001</v>
      </c>
      <c r="AD2828">
        <v>-1.111089963315</v>
      </c>
      <c r="AE2828">
        <v>-0.4572</v>
      </c>
      <c r="AF2828">
        <v>-0.65478446017761904</v>
      </c>
      <c r="AG2828">
        <v>-1.111089963315</v>
      </c>
      <c r="AH2828">
        <v>12.349079964190199</v>
      </c>
      <c r="AI2828">
        <v>95.134085119662799</v>
      </c>
      <c r="AJ2828">
        <v>93.035148132871598</v>
      </c>
      <c r="AK2828">
        <v>12.4162409592369</v>
      </c>
      <c r="AL2828">
        <v>67.9577059921086</v>
      </c>
      <c r="AM2828">
        <v>97.483992728308905</v>
      </c>
      <c r="AN2828">
        <v>0.99999997251950901</v>
      </c>
    </row>
    <row r="2829" spans="1:40" x14ac:dyDescent="0.25">
      <c r="A2829" t="str">
        <f>"20190304164907858"</f>
        <v>20190304164907858</v>
      </c>
      <c r="B2829" t="str">
        <f>"1551689347848756"</f>
        <v>1551689347848756</v>
      </c>
      <c r="C2829" t="s">
        <v>40</v>
      </c>
      <c r="D2829">
        <v>3.9607480000000002</v>
      </c>
      <c r="E2829">
        <v>0.52315959999999995</v>
      </c>
      <c r="F2829" t="s">
        <v>46</v>
      </c>
      <c r="G2829">
        <v>-448.93459999999999</v>
      </c>
      <c r="H2829" s="1">
        <v>3.2253120000000002E-6</v>
      </c>
      <c r="I2829">
        <v>284.44380000000001</v>
      </c>
      <c r="J2829">
        <v>-436.39089999999999</v>
      </c>
      <c r="K2829">
        <v>1.111092</v>
      </c>
      <c r="L2829">
        <v>284.98779999999999</v>
      </c>
      <c r="M2829">
        <v>-0.99977090000000002</v>
      </c>
      <c r="N2829">
        <v>-1.3972460000000001E-2</v>
      </c>
      <c r="O2829">
        <v>1.6211670000000001E-2</v>
      </c>
      <c r="P2829">
        <v>-0.92550399999999999</v>
      </c>
      <c r="Q2829">
        <v>0.36229169999999999</v>
      </c>
      <c r="R2829">
        <v>-0.11039589999999901</v>
      </c>
      <c r="S2829">
        <v>-3.3370060000000001</v>
      </c>
      <c r="T2829">
        <v>-0.28957450000000001</v>
      </c>
      <c r="U2829">
        <v>-0.14068599999999901</v>
      </c>
      <c r="V2829">
        <v>-0.1254218</v>
      </c>
      <c r="W2829">
        <v>0.37514950000000002</v>
      </c>
      <c r="X2829">
        <v>0.91844009999999998</v>
      </c>
      <c r="Y2829">
        <v>-5.8019540000000001E-2</v>
      </c>
      <c r="Z2829">
        <v>-4.0955139999999998E-3</v>
      </c>
      <c r="AA2829">
        <v>0.99830700000000006</v>
      </c>
      <c r="AB2829">
        <v>26</v>
      </c>
      <c r="AC2829">
        <v>-12.543699999999999</v>
      </c>
      <c r="AD2829">
        <v>-1.1110887746879901</v>
      </c>
      <c r="AE2829">
        <v>-0.54399999999998205</v>
      </c>
      <c r="AF2829">
        <v>-0.74149585642332105</v>
      </c>
      <c r="AG2829">
        <v>-1.1110887746879901</v>
      </c>
      <c r="AH2829">
        <v>12.435843218231801</v>
      </c>
      <c r="AI2829">
        <v>95.096569526360597</v>
      </c>
      <c r="AJ2829">
        <v>93.412261000410794</v>
      </c>
      <c r="AK2829">
        <v>12.5073790587305</v>
      </c>
      <c r="AL2829">
        <v>67.966446764615995</v>
      </c>
      <c r="AM2829">
        <v>97.776187870265403</v>
      </c>
      <c r="AN2829">
        <v>0.99999999627674996</v>
      </c>
    </row>
    <row r="2830" spans="1:40" x14ac:dyDescent="0.25">
      <c r="A2830" t="str">
        <f>"20190304164907875"</f>
        <v>20190304164907875</v>
      </c>
      <c r="B2830" t="str">
        <f>"1551689347869252"</f>
        <v>1551689347869252</v>
      </c>
      <c r="C2830" t="s">
        <v>40</v>
      </c>
      <c r="D2830">
        <v>3.938367</v>
      </c>
      <c r="E2830">
        <v>0.522065</v>
      </c>
      <c r="F2830" t="s">
        <v>46</v>
      </c>
      <c r="G2830">
        <v>-452.39120000000003</v>
      </c>
      <c r="H2830" s="1">
        <v>-2.2046470000000001E-7</v>
      </c>
      <c r="I2830">
        <v>283.61360000000002</v>
      </c>
      <c r="J2830">
        <v>-436.58499999999998</v>
      </c>
      <c r="K2830">
        <v>1.1110930000000001</v>
      </c>
      <c r="L2830">
        <v>284.99090000000001</v>
      </c>
      <c r="M2830">
        <v>-0.99977190000000005</v>
      </c>
      <c r="N2830">
        <v>-1.3970389999999999E-2</v>
      </c>
      <c r="O2830">
        <v>1.6158470000000001E-2</v>
      </c>
      <c r="P2830">
        <v>-0.92530440000000003</v>
      </c>
      <c r="Q2830">
        <v>0.36219580000000001</v>
      </c>
      <c r="R2830">
        <v>-0.1123644</v>
      </c>
      <c r="S2830">
        <v>-3.2973330000000001</v>
      </c>
      <c r="T2830">
        <v>-0.22897239999999999</v>
      </c>
      <c r="U2830">
        <v>-0.28320309999999999</v>
      </c>
      <c r="V2830">
        <v>-0.1273379</v>
      </c>
      <c r="W2830">
        <v>0.37504880000000002</v>
      </c>
      <c r="X2830">
        <v>0.91821759999999997</v>
      </c>
      <c r="Y2830">
        <v>-0.1013469</v>
      </c>
      <c r="Z2830">
        <v>-5.1122040000000004E-3</v>
      </c>
      <c r="AA2830">
        <v>0.994838</v>
      </c>
      <c r="AB2830">
        <v>26</v>
      </c>
      <c r="AC2830">
        <v>-15.8062</v>
      </c>
      <c r="AD2830">
        <v>-1.1110932204646999</v>
      </c>
      <c r="AE2830">
        <v>-1.37729999999999</v>
      </c>
      <c r="AF2830">
        <v>-1.6245819270178401</v>
      </c>
      <c r="AG2830">
        <v>-1.1110932204646999</v>
      </c>
      <c r="AH2830">
        <v>15.7048602598702</v>
      </c>
      <c r="AI2830">
        <v>94.025430794774294</v>
      </c>
      <c r="AJ2830">
        <v>95.905928903836497</v>
      </c>
      <c r="AK2830">
        <v>15.8277108377746</v>
      </c>
      <c r="AL2830">
        <v>67.972672200265905</v>
      </c>
      <c r="AM2830">
        <v>97.895388783496401</v>
      </c>
      <c r="AN2830">
        <v>1.0000000520537999</v>
      </c>
    </row>
    <row r="2831" spans="1:40" x14ac:dyDescent="0.25">
      <c r="A2831" t="str">
        <f>"20190304164907888"</f>
        <v>20190304164907888</v>
      </c>
      <c r="B2831" t="str">
        <f>"1551689347879013"</f>
        <v>1551689347879013</v>
      </c>
      <c r="C2831" t="s">
        <v>40</v>
      </c>
      <c r="D2831">
        <v>3.9408780000000001</v>
      </c>
      <c r="E2831">
        <v>0.52202499999999996</v>
      </c>
      <c r="F2831" t="s">
        <v>46</v>
      </c>
      <c r="G2831">
        <v>-451.96010000000001</v>
      </c>
      <c r="H2831" s="1">
        <v>-4.4899520000000002E-7</v>
      </c>
      <c r="I2831">
        <v>283.59339999999997</v>
      </c>
      <c r="J2831">
        <v>-436.73910000000001</v>
      </c>
      <c r="K2831">
        <v>1.1110880000000001</v>
      </c>
      <c r="L2831">
        <v>284.99329999999998</v>
      </c>
      <c r="M2831">
        <v>-0.99977269999999896</v>
      </c>
      <c r="N2831">
        <v>-1.396872E-2</v>
      </c>
      <c r="O2831">
        <v>1.6115870000000001E-2</v>
      </c>
      <c r="P2831">
        <v>-0.92513659999999998</v>
      </c>
      <c r="Q2831">
        <v>0.36194559999999998</v>
      </c>
      <c r="R2831">
        <v>-0.11453389999999999</v>
      </c>
      <c r="S2831">
        <v>-3.2990719999999998</v>
      </c>
      <c r="T2831">
        <v>-0.23840919999999999</v>
      </c>
      <c r="U2831">
        <v>-0.29986570000000001</v>
      </c>
      <c r="V2831">
        <v>-0.12946450000000001</v>
      </c>
      <c r="W2831">
        <v>0.3747936</v>
      </c>
      <c r="X2831">
        <v>0.91802439999999996</v>
      </c>
      <c r="Y2831">
        <v>-0.1062048</v>
      </c>
      <c r="Z2831">
        <v>-5.5056000000000003E-3</v>
      </c>
      <c r="AA2831">
        <v>0.99432900000000002</v>
      </c>
      <c r="AB2831">
        <v>26</v>
      </c>
      <c r="AC2831">
        <v>-15.221</v>
      </c>
      <c r="AD2831">
        <v>-1.11108844899519</v>
      </c>
      <c r="AE2831">
        <v>-1.3998999999999999</v>
      </c>
      <c r="AF2831">
        <v>-1.6363952052867199</v>
      </c>
      <c r="AG2831">
        <v>-1.11108844899519</v>
      </c>
      <c r="AH2831">
        <v>15.116585884871499</v>
      </c>
      <c r="AI2831">
        <v>94.179424455673399</v>
      </c>
      <c r="AJ2831">
        <v>96.178303708282201</v>
      </c>
      <c r="AK2831">
        <v>15.245441142324299</v>
      </c>
      <c r="AL2831">
        <v>67.988444504845404</v>
      </c>
      <c r="AM2831">
        <v>98.027208168219403</v>
      </c>
      <c r="AN2831">
        <v>1.0000000491782799</v>
      </c>
    </row>
    <row r="2832" spans="1:40" x14ac:dyDescent="0.25">
      <c r="A2832" t="str">
        <f>"20190304164907904"</f>
        <v>20190304164907904</v>
      </c>
      <c r="B2832" t="str">
        <f>"1551689347898535"</f>
        <v>1551689347898535</v>
      </c>
      <c r="C2832" t="s">
        <v>40</v>
      </c>
      <c r="D2832">
        <v>3.9206349999999999</v>
      </c>
      <c r="E2832">
        <v>0.52217999999999998</v>
      </c>
      <c r="F2832" t="s">
        <v>46</v>
      </c>
      <c r="G2832">
        <v>-451.971</v>
      </c>
      <c r="H2832" s="1">
        <v>-4.4223839999999999E-7</v>
      </c>
      <c r="I2832">
        <v>283.5718</v>
      </c>
      <c r="J2832">
        <v>-436.92219999999998</v>
      </c>
      <c r="K2832">
        <v>1.1110819999999999</v>
      </c>
      <c r="L2832">
        <v>284.99619999999999</v>
      </c>
      <c r="M2832">
        <v>-0.99977360000000004</v>
      </c>
      <c r="N2832">
        <v>-1.396676E-2</v>
      </c>
      <c r="O2832">
        <v>1.6065400000000001E-2</v>
      </c>
      <c r="P2832">
        <v>-0.9251199</v>
      </c>
      <c r="Q2832">
        <v>0.36068430000000001</v>
      </c>
      <c r="R2832">
        <v>-0.1185773</v>
      </c>
      <c r="S2832">
        <v>-3.2987980000000001</v>
      </c>
      <c r="T2832">
        <v>-0.24063010000000001</v>
      </c>
      <c r="U2832">
        <v>-0.3078613</v>
      </c>
      <c r="V2832">
        <v>-0.133460299999999</v>
      </c>
      <c r="W2832">
        <v>0.37352940000000001</v>
      </c>
      <c r="X2832">
        <v>0.91796739999999999</v>
      </c>
      <c r="Y2832">
        <v>-0.1085381</v>
      </c>
      <c r="Z2832">
        <v>-5.6500409999999997E-3</v>
      </c>
      <c r="AA2832">
        <v>0.99407630000000002</v>
      </c>
      <c r="AB2832">
        <v>26</v>
      </c>
      <c r="AC2832">
        <v>-15.0488</v>
      </c>
      <c r="AD2832">
        <v>-1.11108244223839</v>
      </c>
      <c r="AE2832">
        <v>-1.4243999999999899</v>
      </c>
      <c r="AF2832">
        <v>-1.6570520138642899</v>
      </c>
      <c r="AG2832">
        <v>-1.11108244223839</v>
      </c>
      <c r="AH2832">
        <v>14.943237033406399</v>
      </c>
      <c r="AI2832">
        <v>94.226507240723294</v>
      </c>
      <c r="AJ2832">
        <v>96.327663794473196</v>
      </c>
      <c r="AK2832">
        <v>15.075830279181</v>
      </c>
      <c r="AL2832">
        <v>68.066550229367095</v>
      </c>
      <c r="AM2832">
        <v>98.272089066408199</v>
      </c>
      <c r="AN2832">
        <v>1.0000000059016001</v>
      </c>
    </row>
    <row r="2833" spans="1:40" x14ac:dyDescent="0.25">
      <c r="A2833" t="str">
        <f>"20190304164907925"</f>
        <v>20190304164907925</v>
      </c>
      <c r="B2833" t="str">
        <f>"1551689347919031"</f>
        <v>1551689347919031</v>
      </c>
      <c r="C2833" t="s">
        <v>40</v>
      </c>
      <c r="D2833">
        <v>3.9137170000000001</v>
      </c>
      <c r="E2833">
        <v>0.5228391</v>
      </c>
      <c r="F2833" t="s">
        <v>46</v>
      </c>
      <c r="G2833">
        <v>-451.81209999999999</v>
      </c>
      <c r="H2833" s="1">
        <v>-5.2579779999999997E-7</v>
      </c>
      <c r="I2833">
        <v>283.5487</v>
      </c>
      <c r="J2833">
        <v>-437.1764</v>
      </c>
      <c r="K2833">
        <v>1.1110770000000001</v>
      </c>
      <c r="L2833">
        <v>285.00020000000001</v>
      </c>
      <c r="M2833">
        <v>-0.99977459999999996</v>
      </c>
      <c r="N2833">
        <v>-1.396404E-2</v>
      </c>
      <c r="O2833">
        <v>1.5995329999999999E-2</v>
      </c>
      <c r="P2833">
        <v>-0.9251509</v>
      </c>
      <c r="Q2833">
        <v>0.35936780000000002</v>
      </c>
      <c r="R2833">
        <v>-0.12227349999999999</v>
      </c>
      <c r="S2833">
        <v>-3.2976380000000001</v>
      </c>
      <c r="T2833">
        <v>-0.2460696</v>
      </c>
      <c r="U2833">
        <v>-0.32055660000000002</v>
      </c>
      <c r="V2833">
        <v>-0.13709180000000001</v>
      </c>
      <c r="W2833">
        <v>0.3722105</v>
      </c>
      <c r="X2833">
        <v>0.91796800000000001</v>
      </c>
      <c r="Y2833">
        <v>-0.1122645</v>
      </c>
      <c r="Z2833">
        <v>-5.9267269999999997E-3</v>
      </c>
      <c r="AA2833">
        <v>0.99366069999999995</v>
      </c>
      <c r="AB2833">
        <v>26</v>
      </c>
      <c r="AC2833">
        <v>-14.6356999999999</v>
      </c>
      <c r="AD2833">
        <v>-1.1110775257978001</v>
      </c>
      <c r="AE2833">
        <v>-1.45150000000001</v>
      </c>
      <c r="AF2833">
        <v>-1.67587564515678</v>
      </c>
      <c r="AG2833">
        <v>-1.1110775257978001</v>
      </c>
      <c r="AH2833">
        <v>14.527697589242999</v>
      </c>
      <c r="AI2833">
        <v>94.344762742186703</v>
      </c>
      <c r="AJ2833">
        <v>96.580398896036598</v>
      </c>
      <c r="AK2833">
        <v>14.666187292233101</v>
      </c>
      <c r="AL2833">
        <v>68.147991478468896</v>
      </c>
      <c r="AM2833">
        <v>98.493929064079495</v>
      </c>
      <c r="AN2833">
        <v>1.00000003348074</v>
      </c>
    </row>
    <row r="2834" spans="1:40" x14ac:dyDescent="0.25">
      <c r="A2834" t="str">
        <f>"20190304164907947"</f>
        <v>20190304164907947</v>
      </c>
      <c r="B2834" t="str">
        <f>"1551689347938548"</f>
        <v>1551689347938548</v>
      </c>
      <c r="C2834" t="s">
        <v>40</v>
      </c>
      <c r="D2834">
        <v>3.9330189999999998</v>
      </c>
      <c r="E2834">
        <v>0.5235379</v>
      </c>
      <c r="F2834" t="s">
        <v>46</v>
      </c>
      <c r="G2834">
        <v>-451.64760000000001</v>
      </c>
      <c r="H2834" s="1">
        <v>-6.14266E-7</v>
      </c>
      <c r="I2834">
        <v>283.56909999999999</v>
      </c>
      <c r="J2834">
        <v>-437.43599999999998</v>
      </c>
      <c r="K2834">
        <v>1.1110770000000001</v>
      </c>
      <c r="L2834">
        <v>285.00420000000003</v>
      </c>
      <c r="M2834">
        <v>-0.99977579999999999</v>
      </c>
      <c r="N2834">
        <v>-1.396124E-2</v>
      </c>
      <c r="O2834">
        <v>1.592377E-2</v>
      </c>
      <c r="P2834">
        <v>-0.92511290000000002</v>
      </c>
      <c r="Q2834">
        <v>0.35841420000000002</v>
      </c>
      <c r="R2834">
        <v>-0.12532180000000001</v>
      </c>
      <c r="S2834">
        <v>-3.297974</v>
      </c>
      <c r="T2834">
        <v>-0.2532141</v>
      </c>
      <c r="U2834">
        <v>-0.32614140000000003</v>
      </c>
      <c r="V2834">
        <v>-0.140073</v>
      </c>
      <c r="W2834">
        <v>0.371253</v>
      </c>
      <c r="X2834">
        <v>0.91790570000000005</v>
      </c>
      <c r="Y2834">
        <v>-0.11382299999999999</v>
      </c>
      <c r="Z2834">
        <v>-6.1470669999999896E-3</v>
      </c>
      <c r="AA2834">
        <v>0.99348210000000003</v>
      </c>
      <c r="AB2834">
        <v>26</v>
      </c>
      <c r="AC2834">
        <v>-14.211600000000001</v>
      </c>
      <c r="AD2834">
        <v>-1.1110776142659999</v>
      </c>
      <c r="AE2834">
        <v>-1.43510000000003</v>
      </c>
      <c r="AF2834">
        <v>-1.6512512781916899</v>
      </c>
      <c r="AG2834">
        <v>-1.1110776142659999</v>
      </c>
      <c r="AH2834">
        <v>14.1016203900927</v>
      </c>
      <c r="AI2834">
        <v>94.474624570844696</v>
      </c>
      <c r="AJ2834">
        <v>96.678724322175299</v>
      </c>
      <c r="AK2834">
        <v>14.241377105987</v>
      </c>
      <c r="AL2834">
        <v>68.207087446315199</v>
      </c>
      <c r="AM2834">
        <v>98.676436728768394</v>
      </c>
      <c r="AN2834">
        <v>1.0000000547152399</v>
      </c>
    </row>
    <row r="2835" spans="1:40" x14ac:dyDescent="0.25">
      <c r="A2835" t="str">
        <f>"20190304164907970"</f>
        <v>20190304164907970</v>
      </c>
      <c r="B2835" t="str">
        <f>"1551689347959044"</f>
        <v>1551689347959044</v>
      </c>
      <c r="C2835" t="s">
        <v>40</v>
      </c>
      <c r="D2835">
        <v>3.9430619999999998</v>
      </c>
      <c r="E2835">
        <v>0.52427939999999995</v>
      </c>
      <c r="F2835" t="s">
        <v>46</v>
      </c>
      <c r="G2835">
        <v>-451.68279999999999</v>
      </c>
      <c r="H2835" s="1">
        <v>-5.9606960000000005E-7</v>
      </c>
      <c r="I2835">
        <v>283.58240000000001</v>
      </c>
      <c r="J2835">
        <v>-437.70580000000001</v>
      </c>
      <c r="K2835">
        <v>1.111073</v>
      </c>
      <c r="L2835">
        <v>285.00839999999999</v>
      </c>
      <c r="M2835">
        <v>-0.99977709999999997</v>
      </c>
      <c r="N2835">
        <v>-1.395834E-2</v>
      </c>
      <c r="O2835">
        <v>1.5849060000000002E-2</v>
      </c>
      <c r="P2835">
        <v>-0.92510269999999994</v>
      </c>
      <c r="Q2835">
        <v>0.35757260000000002</v>
      </c>
      <c r="R2835">
        <v>-0.1277779</v>
      </c>
      <c r="S2835">
        <v>-3.2979430000000001</v>
      </c>
      <c r="T2835">
        <v>-0.25719880000000001</v>
      </c>
      <c r="U2835">
        <v>-0.32913209999999998</v>
      </c>
      <c r="V2835">
        <v>-0.14245929999999901</v>
      </c>
      <c r="W2835">
        <v>0.3704076</v>
      </c>
      <c r="X2835">
        <v>0.91787989999999997</v>
      </c>
      <c r="Y2835">
        <v>-0.1146264</v>
      </c>
      <c r="Z2835">
        <v>-6.2663110000000001E-3</v>
      </c>
      <c r="AA2835">
        <v>0.99338890000000002</v>
      </c>
      <c r="AB2835">
        <v>26</v>
      </c>
      <c r="AC2835">
        <v>-13.976999999999901</v>
      </c>
      <c r="AD2835">
        <v>-1.1110735960696001</v>
      </c>
      <c r="AE2835">
        <v>-1.42599999999998</v>
      </c>
      <c r="AF2835">
        <v>-1.6371260695054499</v>
      </c>
      <c r="AG2835">
        <v>-1.1110735960696001</v>
      </c>
      <c r="AH2835">
        <v>13.865923123269299</v>
      </c>
      <c r="AI2835">
        <v>94.549841815621704</v>
      </c>
      <c r="AJ2835">
        <v>96.733641892689604</v>
      </c>
      <c r="AK2835">
        <v>14.006373205214601</v>
      </c>
      <c r="AL2835">
        <v>68.259242242647801</v>
      </c>
      <c r="AM2835">
        <v>98.822187465334096</v>
      </c>
      <c r="AN2835">
        <v>0.99999997655912898</v>
      </c>
    </row>
    <row r="2836" spans="1:40" x14ac:dyDescent="0.25">
      <c r="A2836" t="str">
        <f>"20190304164907993"</f>
        <v>20190304164907993</v>
      </c>
      <c r="B2836" t="str">
        <f>"1551689347989300"</f>
        <v>1551689347989300</v>
      </c>
      <c r="C2836" t="s">
        <v>40</v>
      </c>
      <c r="D2836">
        <v>3.963257</v>
      </c>
      <c r="E2836">
        <v>0.52509430000000001</v>
      </c>
      <c r="F2836" t="s">
        <v>46</v>
      </c>
      <c r="G2836">
        <v>-451.7405</v>
      </c>
      <c r="H2836" s="1">
        <v>-5.662118E-7</v>
      </c>
      <c r="I2836">
        <v>283.6019</v>
      </c>
      <c r="J2836">
        <v>-437.96260000000001</v>
      </c>
      <c r="K2836">
        <v>1.111062</v>
      </c>
      <c r="L2836">
        <v>285.01240000000001</v>
      </c>
      <c r="M2836">
        <v>-0.99977819999999995</v>
      </c>
      <c r="N2836">
        <v>-1.395558E-2</v>
      </c>
      <c r="O2836">
        <v>1.5778029999999998E-2</v>
      </c>
      <c r="P2836">
        <v>-0.92507110000000004</v>
      </c>
      <c r="Q2836">
        <v>0.35677160000000002</v>
      </c>
      <c r="R2836">
        <v>-0.130220899999999</v>
      </c>
      <c r="S2836">
        <v>-3.2981259999999999</v>
      </c>
      <c r="T2836">
        <v>-0.2610999</v>
      </c>
      <c r="U2836">
        <v>-0.33053589999999999</v>
      </c>
      <c r="V2836">
        <v>-0.14483550000000001</v>
      </c>
      <c r="W2836">
        <v>0.36960349999999997</v>
      </c>
      <c r="X2836">
        <v>0.91783219999999999</v>
      </c>
      <c r="Y2836">
        <v>-0.1149554</v>
      </c>
      <c r="Z2836">
        <v>-6.362426E-3</v>
      </c>
      <c r="AA2836">
        <v>0.99335030000000002</v>
      </c>
      <c r="AB2836">
        <v>26</v>
      </c>
      <c r="AC2836">
        <v>-13.777899999999899</v>
      </c>
      <c r="AD2836">
        <v>-1.1110625662118001</v>
      </c>
      <c r="AE2836">
        <v>-1.4105000000000101</v>
      </c>
      <c r="AF2836">
        <v>-1.6173253450201901</v>
      </c>
      <c r="AG2836">
        <v>-1.1110625662118001</v>
      </c>
      <c r="AH2836">
        <v>13.6659799359026</v>
      </c>
      <c r="AI2836">
        <v>94.615928815216705</v>
      </c>
      <c r="AJ2836">
        <v>96.749379923107398</v>
      </c>
      <c r="AK2836">
        <v>13.8061293962564</v>
      </c>
      <c r="AL2836">
        <v>68.308834004672605</v>
      </c>
      <c r="AM2836">
        <v>98.967426714008695</v>
      </c>
      <c r="AN2836">
        <v>1.0000000083146701</v>
      </c>
    </row>
    <row r="2837" spans="1:40" x14ac:dyDescent="0.25">
      <c r="A2837" t="str">
        <f>"20190304164908008"</f>
        <v>20190304164908008</v>
      </c>
      <c r="B2837" t="str">
        <f>"1551689347999091"</f>
        <v>1551689347999091</v>
      </c>
      <c r="C2837" t="s">
        <v>40</v>
      </c>
      <c r="D2837">
        <v>4.0028649999999999</v>
      </c>
      <c r="E2837">
        <v>0.52536649999999996</v>
      </c>
      <c r="F2837" t="s">
        <v>46</v>
      </c>
      <c r="G2837">
        <v>-451.95839999999998</v>
      </c>
      <c r="H2837" s="1">
        <v>-4.5070399999999998E-7</v>
      </c>
      <c r="I2837">
        <v>283.61099999999999</v>
      </c>
      <c r="J2837">
        <v>-438.14420000000001</v>
      </c>
      <c r="K2837">
        <v>1.1110580000000001</v>
      </c>
      <c r="L2837">
        <v>285.01519999999999</v>
      </c>
      <c r="M2837">
        <v>-0.99977899999999997</v>
      </c>
      <c r="N2837">
        <v>-1.395365E-2</v>
      </c>
      <c r="O2837">
        <v>1.5727680000000001E-2</v>
      </c>
      <c r="P2837">
        <v>-0.92498639999999999</v>
      </c>
      <c r="Q2837">
        <v>0.35650720000000002</v>
      </c>
      <c r="R2837">
        <v>-0.13154109999999999</v>
      </c>
      <c r="S2837">
        <v>-3.297485</v>
      </c>
      <c r="T2837">
        <v>-0.2617738</v>
      </c>
      <c r="U2837">
        <v>-0.33016970000000001</v>
      </c>
      <c r="V2837">
        <v>-0.14610770000000001</v>
      </c>
      <c r="W2837">
        <v>0.36933589999999999</v>
      </c>
      <c r="X2837">
        <v>0.91773830000000001</v>
      </c>
      <c r="Y2837">
        <v>-0.1148135</v>
      </c>
      <c r="Z2837">
        <v>-6.3684750000000002E-3</v>
      </c>
      <c r="AA2837">
        <v>0.99336670000000005</v>
      </c>
      <c r="AB2837">
        <v>26</v>
      </c>
      <c r="AC2837">
        <v>-13.8141999999999</v>
      </c>
      <c r="AD2837">
        <v>-1.111058450704</v>
      </c>
      <c r="AE2837">
        <v>-1.4041999999999999</v>
      </c>
      <c r="AF2837">
        <v>-1.6109981278155701</v>
      </c>
      <c r="AG2837">
        <v>-1.111058450704</v>
      </c>
      <c r="AH2837">
        <v>13.702671013872299</v>
      </c>
      <c r="AI2837">
        <v>94.604020401495404</v>
      </c>
      <c r="AJ2837">
        <v>96.705379188625997</v>
      </c>
      <c r="AK2837">
        <v>13.841710832231801</v>
      </c>
      <c r="AL2837">
        <v>68.325334266612501</v>
      </c>
      <c r="AM2837">
        <v>99.045807956266998</v>
      </c>
      <c r="AN2837">
        <v>1.00000002715749</v>
      </c>
    </row>
    <row r="2838" spans="1:40" x14ac:dyDescent="0.25">
      <c r="A2838" t="str">
        <f>"20190304164908026"</f>
        <v>20190304164908026</v>
      </c>
      <c r="B2838" t="str">
        <f>"1551689348018610"</f>
        <v>1551689348018610</v>
      </c>
      <c r="C2838" t="s">
        <v>40</v>
      </c>
      <c r="D2838">
        <v>3.9931190000000001</v>
      </c>
      <c r="E2838">
        <v>0.525891</v>
      </c>
      <c r="F2838" t="s">
        <v>46</v>
      </c>
      <c r="G2838">
        <v>-452.09559999999999</v>
      </c>
      <c r="H2838" s="1">
        <v>-3.7774450000000001E-7</v>
      </c>
      <c r="I2838">
        <v>283.61239999999998</v>
      </c>
      <c r="J2838">
        <v>-438.3503</v>
      </c>
      <c r="K2838">
        <v>1.1110500000000001</v>
      </c>
      <c r="L2838">
        <v>285.01830000000001</v>
      </c>
      <c r="M2838">
        <v>-0.99977990000000005</v>
      </c>
      <c r="N2838">
        <v>-1.3951460000000001E-2</v>
      </c>
      <c r="O2838">
        <v>1.5670659999999999E-2</v>
      </c>
      <c r="P2838">
        <v>-0.92506330000000003</v>
      </c>
      <c r="Q2838">
        <v>0.35520079999999998</v>
      </c>
      <c r="R2838">
        <v>-0.13450090000000001</v>
      </c>
      <c r="S2838">
        <v>-3.2973629999999998</v>
      </c>
      <c r="T2838">
        <v>-0.26259549999999998</v>
      </c>
      <c r="U2838">
        <v>-0.33154299999999998</v>
      </c>
      <c r="V2838">
        <v>-0.14901539999999999</v>
      </c>
      <c r="W2838">
        <v>0.3680274</v>
      </c>
      <c r="X2838">
        <v>0.91779639999999996</v>
      </c>
      <c r="Y2838">
        <v>-0.1151662</v>
      </c>
      <c r="Z2838">
        <v>-6.3993330000000001E-3</v>
      </c>
      <c r="AA2838">
        <v>0.99332560000000003</v>
      </c>
      <c r="AB2838">
        <v>26</v>
      </c>
      <c r="AC2838">
        <v>-13.745299999999901</v>
      </c>
      <c r="AD2838">
        <v>-1.1110503777445</v>
      </c>
      <c r="AE2838">
        <v>-1.4059000000000299</v>
      </c>
      <c r="AF2838">
        <v>-1.61073114294301</v>
      </c>
      <c r="AG2838">
        <v>-1.1110503777445</v>
      </c>
      <c r="AH2838">
        <v>13.633423896278099</v>
      </c>
      <c r="AI2838">
        <v>94.6269611397191</v>
      </c>
      <c r="AJ2838">
        <v>96.738018214727305</v>
      </c>
      <c r="AK2838">
        <v>13.773130903768401</v>
      </c>
      <c r="AL2838">
        <v>68.405986602039206</v>
      </c>
      <c r="AM2838">
        <v>99.222191246106306</v>
      </c>
      <c r="AN2838">
        <v>0.99999999422043995</v>
      </c>
    </row>
    <row r="2839" spans="1:40" x14ac:dyDescent="0.25">
      <c r="A2839" t="str">
        <f>"20190304164908041"</f>
        <v>20190304164908041</v>
      </c>
      <c r="B2839" t="str">
        <f>"1551689348028371"</f>
        <v>1551689348028371</v>
      </c>
      <c r="C2839" t="s">
        <v>40</v>
      </c>
      <c r="D2839">
        <v>4.0073299999999996</v>
      </c>
      <c r="E2839">
        <v>0.52611919999999901</v>
      </c>
      <c r="F2839" t="s">
        <v>46</v>
      </c>
      <c r="G2839">
        <v>-452.17099999999999</v>
      </c>
      <c r="H2839" s="1">
        <v>-3.3788689999999999E-7</v>
      </c>
      <c r="I2839">
        <v>283.61900000000003</v>
      </c>
      <c r="J2839">
        <v>-438.52409999999998</v>
      </c>
      <c r="K2839">
        <v>1.111048</v>
      </c>
      <c r="L2839">
        <v>285.02100000000002</v>
      </c>
      <c r="M2839">
        <v>-0.99978080000000003</v>
      </c>
      <c r="N2839">
        <v>-1.3949629999999999E-2</v>
      </c>
      <c r="O2839">
        <v>1.5622520000000001E-2</v>
      </c>
      <c r="P2839">
        <v>-0.92495150000000004</v>
      </c>
      <c r="Q2839">
        <v>0.35477599999999998</v>
      </c>
      <c r="R2839">
        <v>-0.1363782</v>
      </c>
      <c r="S2839">
        <v>-3.296265</v>
      </c>
      <c r="T2839">
        <v>-0.26498759999999999</v>
      </c>
      <c r="U2839">
        <v>-0.33374019999999999</v>
      </c>
      <c r="V2839">
        <v>-0.1508466</v>
      </c>
      <c r="W2839">
        <v>0.36759910000000001</v>
      </c>
      <c r="X2839">
        <v>0.91766890000000001</v>
      </c>
      <c r="Y2839">
        <v>-0.1157963</v>
      </c>
      <c r="Z2839">
        <v>-6.4802749999999998E-3</v>
      </c>
      <c r="AA2839">
        <v>0.99325189999999997</v>
      </c>
      <c r="AB2839">
        <v>26</v>
      </c>
      <c r="AC2839">
        <v>-13.6469</v>
      </c>
      <c r="AD2839">
        <v>-1.1110483378868901</v>
      </c>
      <c r="AE2839">
        <v>-1.40199999999993</v>
      </c>
      <c r="AF2839">
        <v>-1.6045244594128401</v>
      </c>
      <c r="AG2839">
        <v>-1.1110483378868901</v>
      </c>
      <c r="AH2839">
        <v>13.5345560414048</v>
      </c>
      <c r="AI2839">
        <v>94.660384471016798</v>
      </c>
      <c r="AJ2839">
        <v>96.760871749577802</v>
      </c>
      <c r="AK2839">
        <v>13.6745432972331</v>
      </c>
      <c r="AL2839">
        <v>68.43237650044</v>
      </c>
      <c r="AM2839">
        <v>99.334811085922098</v>
      </c>
      <c r="AN2839">
        <v>1.0000000025397899</v>
      </c>
    </row>
    <row r="2840" spans="1:40" x14ac:dyDescent="0.25">
      <c r="A2840" t="str">
        <f>"20190304164908055"</f>
        <v>20190304164908055</v>
      </c>
      <c r="B2840" t="str">
        <f>"1551689348048867"</f>
        <v>1551689348048867</v>
      </c>
      <c r="C2840" t="s">
        <v>40</v>
      </c>
      <c r="D2840">
        <v>3.9941179999999998</v>
      </c>
      <c r="E2840">
        <v>0.52652469999999996</v>
      </c>
      <c r="F2840" t="s">
        <v>46</v>
      </c>
      <c r="G2840">
        <v>-452.31700000000001</v>
      </c>
      <c r="H2840" s="1">
        <v>-2.5990819999999998E-7</v>
      </c>
      <c r="I2840">
        <v>283.61219999999997</v>
      </c>
      <c r="J2840">
        <v>-438.69229999999999</v>
      </c>
      <c r="K2840">
        <v>1.1110500000000001</v>
      </c>
      <c r="L2840">
        <v>285.02359999999999</v>
      </c>
      <c r="M2840">
        <v>-0.99978149999999999</v>
      </c>
      <c r="N2840">
        <v>-1.3947859999999999E-2</v>
      </c>
      <c r="O2840">
        <v>1.557622E-2</v>
      </c>
      <c r="P2840">
        <v>-0.9248345</v>
      </c>
      <c r="Q2840">
        <v>0.35440270000000001</v>
      </c>
      <c r="R2840">
        <v>-0.13813120000000001</v>
      </c>
      <c r="S2840">
        <v>-3.2955930000000002</v>
      </c>
      <c r="T2840">
        <v>-0.26546730000000002</v>
      </c>
      <c r="U2840">
        <v>-0.33660889999999999</v>
      </c>
      <c r="V2840">
        <v>-0.15255450000000001</v>
      </c>
      <c r="W2840">
        <v>0.3672221</v>
      </c>
      <c r="X2840">
        <v>0.91753750000000001</v>
      </c>
      <c r="Y2840">
        <v>-0.11662160000000001</v>
      </c>
      <c r="Z2840">
        <v>-6.527616E-3</v>
      </c>
      <c r="AA2840">
        <v>0.99315500000000001</v>
      </c>
      <c r="AB2840">
        <v>26</v>
      </c>
      <c r="AC2840">
        <v>-13.624699999999899</v>
      </c>
      <c r="AD2840">
        <v>-1.1110502599081999</v>
      </c>
      <c r="AE2840">
        <v>-1.41140000000001</v>
      </c>
      <c r="AF2840">
        <v>-1.61285924865991</v>
      </c>
      <c r="AG2840">
        <v>-1.1110502599081999</v>
      </c>
      <c r="AH2840">
        <v>13.512160180577</v>
      </c>
      <c r="AI2840">
        <v>94.667639450289997</v>
      </c>
      <c r="AJ2840">
        <v>96.806821803125601</v>
      </c>
      <c r="AK2840">
        <v>13.653359307569801</v>
      </c>
      <c r="AL2840">
        <v>68.455601441593998</v>
      </c>
      <c r="AM2840">
        <v>99.4399366919111</v>
      </c>
      <c r="AN2840">
        <v>1.00000000505245</v>
      </c>
    </row>
    <row r="2841" spans="1:40" x14ac:dyDescent="0.25">
      <c r="A2841" t="str">
        <f>"20190304164908070"</f>
        <v>20190304164908070</v>
      </c>
      <c r="B2841" t="str">
        <f>"1551689348058627"</f>
        <v>1551689348058627</v>
      </c>
      <c r="C2841" t="s">
        <v>40</v>
      </c>
      <c r="D2841">
        <v>3.9802659999999999</v>
      </c>
      <c r="E2841">
        <v>0.52652469999999996</v>
      </c>
      <c r="F2841" t="s">
        <v>46</v>
      </c>
      <c r="G2841">
        <v>-452.48779999999999</v>
      </c>
      <c r="H2841" s="1">
        <v>-1.6902839999999901E-7</v>
      </c>
      <c r="I2841">
        <v>283.61219999999997</v>
      </c>
      <c r="J2841">
        <v>-438.86950000000002</v>
      </c>
      <c r="K2841">
        <v>1.1110469999999999</v>
      </c>
      <c r="L2841">
        <v>285.02620000000002</v>
      </c>
      <c r="M2841">
        <v>-0.99978230000000001</v>
      </c>
      <c r="N2841">
        <v>-1.394573E-2</v>
      </c>
      <c r="O2841">
        <v>1.5527239999999999E-2</v>
      </c>
      <c r="P2841">
        <v>-0.92426600000000003</v>
      </c>
      <c r="Q2841">
        <v>0.3539928</v>
      </c>
      <c r="R2841">
        <v>-0.14290359999999999</v>
      </c>
      <c r="S2841">
        <v>-3.2951969999999999</v>
      </c>
      <c r="T2841">
        <v>-0.26538539999999999</v>
      </c>
      <c r="U2841">
        <v>-0.33712769999999997</v>
      </c>
      <c r="V2841">
        <v>-0.1572721</v>
      </c>
      <c r="W2841">
        <v>0.36680119999999999</v>
      </c>
      <c r="X2841">
        <v>0.91690910000000003</v>
      </c>
      <c r="Y2841">
        <v>-0.1167396</v>
      </c>
      <c r="Z2841">
        <v>-6.5286819999999897E-3</v>
      </c>
      <c r="AA2841">
        <v>0.9931411</v>
      </c>
      <c r="AB2841">
        <v>26</v>
      </c>
      <c r="AC2841">
        <v>-13.6182999999999</v>
      </c>
      <c r="AD2841">
        <v>-1.1110471690283901</v>
      </c>
      <c r="AE2841">
        <v>-1.4140000000000399</v>
      </c>
      <c r="AF2841">
        <v>-1.6146718846853401</v>
      </c>
      <c r="AG2841">
        <v>-1.1110471690283901</v>
      </c>
      <c r="AH2841">
        <v>13.50576351214</v>
      </c>
      <c r="AI2841">
        <v>94.669723006934007</v>
      </c>
      <c r="AJ2841">
        <v>96.817596955032499</v>
      </c>
      <c r="AK2841">
        <v>13.6472429139681</v>
      </c>
      <c r="AL2841">
        <v>68.481525482983301</v>
      </c>
      <c r="AM2841">
        <v>99.732901167300199</v>
      </c>
      <c r="AN2841">
        <v>0.99999996571132899</v>
      </c>
    </row>
    <row r="2842" spans="1:40" x14ac:dyDescent="0.25">
      <c r="A2842" t="str">
        <f>"20190304164908085"</f>
        <v>20190304164908085</v>
      </c>
      <c r="B2842" t="str">
        <f>"1551689348079123"</f>
        <v>1551689348079123</v>
      </c>
      <c r="C2842" t="s">
        <v>40</v>
      </c>
      <c r="D2842">
        <v>4.0236140000000002</v>
      </c>
      <c r="E2842">
        <v>0.53127829999999998</v>
      </c>
      <c r="F2842" t="s">
        <v>46</v>
      </c>
      <c r="G2842">
        <v>-452.62090000000001</v>
      </c>
      <c r="H2842" s="1">
        <v>-9.6592459999999997E-8</v>
      </c>
      <c r="I2842">
        <v>283.5763</v>
      </c>
      <c r="J2842">
        <v>-439.04730000000001</v>
      </c>
      <c r="K2842">
        <v>1.1110519999999999</v>
      </c>
      <c r="L2842">
        <v>285.02890000000002</v>
      </c>
      <c r="M2842">
        <v>-0.99978310000000004</v>
      </c>
      <c r="N2842">
        <v>-1.394372E-2</v>
      </c>
      <c r="O2842">
        <v>1.547803E-2</v>
      </c>
      <c r="P2842">
        <v>-0.92392030000000003</v>
      </c>
      <c r="Q2842">
        <v>0.35384700000000002</v>
      </c>
      <c r="R2842">
        <v>-0.14547779999999999</v>
      </c>
      <c r="S2842">
        <v>-3.2940059999999902</v>
      </c>
      <c r="T2842">
        <v>-0.26613910000000002</v>
      </c>
      <c r="U2842">
        <v>-0.34732059999999998</v>
      </c>
      <c r="V2842">
        <v>-0.1597954</v>
      </c>
      <c r="W2842">
        <v>0.36664819999999998</v>
      </c>
      <c r="X2842">
        <v>0.91653399999999996</v>
      </c>
      <c r="Y2842">
        <v>-0.11975280000000001</v>
      </c>
      <c r="Z2842">
        <v>-6.6857679999999999E-3</v>
      </c>
      <c r="AA2842">
        <v>0.99278120000000003</v>
      </c>
      <c r="AB2842">
        <v>26</v>
      </c>
      <c r="AC2842">
        <v>-13.573600000000001</v>
      </c>
      <c r="AD2842">
        <v>-1.11105209659246</v>
      </c>
      <c r="AE2842">
        <v>-1.4526000000000101</v>
      </c>
      <c r="AF2842">
        <v>-1.6515984323269901</v>
      </c>
      <c r="AG2842">
        <v>-1.11105209659246</v>
      </c>
      <c r="AH2842">
        <v>13.4603242674265</v>
      </c>
      <c r="AI2842">
        <v>94.683685616876005</v>
      </c>
      <c r="AJ2842">
        <v>96.995296726408796</v>
      </c>
      <c r="AK2842">
        <v>13.606709504037999</v>
      </c>
      <c r="AL2842">
        <v>68.490949513487095</v>
      </c>
      <c r="AM2842">
        <v>99.889966203483297</v>
      </c>
      <c r="AN2842">
        <v>1.00000002279019</v>
      </c>
    </row>
    <row r="2843" spans="1:40" x14ac:dyDescent="0.25">
      <c r="A2843" t="str">
        <f>"20190304164908100"</f>
        <v>20190304164908100</v>
      </c>
      <c r="B2843" t="str">
        <f>"1551689348088883"</f>
        <v>1551689348088883</v>
      </c>
      <c r="C2843" t="s">
        <v>40</v>
      </c>
      <c r="D2843">
        <v>4.0456599999999998</v>
      </c>
      <c r="E2843">
        <v>0.53167980000000004</v>
      </c>
      <c r="F2843" t="s">
        <v>46</v>
      </c>
      <c r="G2843">
        <v>-453.54340000000002</v>
      </c>
      <c r="H2843" s="1">
        <v>3.9121830000000001E-7</v>
      </c>
      <c r="I2843">
        <v>283.64640000000003</v>
      </c>
      <c r="J2843">
        <v>-439.20909999999998</v>
      </c>
      <c r="K2843">
        <v>1.111051</v>
      </c>
      <c r="L2843">
        <v>285.03140000000002</v>
      </c>
      <c r="M2843">
        <v>-0.9997838</v>
      </c>
      <c r="N2843">
        <v>-1.3942019999999999E-2</v>
      </c>
      <c r="O2843">
        <v>1.5433219999999999E-2</v>
      </c>
      <c r="P2843">
        <v>-0.92347120000000005</v>
      </c>
      <c r="Q2843">
        <v>0.35377589999999998</v>
      </c>
      <c r="R2843">
        <v>-0.14847099999999999</v>
      </c>
      <c r="S2843">
        <v>-3.2942499999999999</v>
      </c>
      <c r="T2843">
        <v>-0.25248730000000003</v>
      </c>
      <c r="U2843">
        <v>-0.31417850000000003</v>
      </c>
      <c r="V2843">
        <v>-0.16274</v>
      </c>
      <c r="W2843">
        <v>0.36656870000000003</v>
      </c>
      <c r="X2843">
        <v>0.91604750000000001</v>
      </c>
      <c r="Y2843">
        <v>-0.1098864</v>
      </c>
      <c r="Z2843">
        <v>-5.9288359999999998E-3</v>
      </c>
      <c r="AA2843">
        <v>0.99392650000000005</v>
      </c>
      <c r="AB2843">
        <v>26</v>
      </c>
      <c r="AC2843">
        <v>-14.334300000000001</v>
      </c>
      <c r="AD2843">
        <v>-1.1110506087817</v>
      </c>
      <c r="AE2843">
        <v>-1.38499999999999</v>
      </c>
      <c r="AF2843">
        <v>-1.59657771759109</v>
      </c>
      <c r="AG2843">
        <v>-1.1110506087817</v>
      </c>
      <c r="AH2843">
        <v>14.226535888554</v>
      </c>
      <c r="AI2843">
        <v>94.437821499364404</v>
      </c>
      <c r="AJ2843">
        <v>96.403245642399199</v>
      </c>
      <c r="AK2843">
        <v>14.3588933157084</v>
      </c>
      <c r="AL2843">
        <v>68.495844229745799</v>
      </c>
      <c r="AM2843">
        <v>100.073753331231</v>
      </c>
      <c r="AN2843">
        <v>0.99999997083796899</v>
      </c>
    </row>
    <row r="2844" spans="1:40" x14ac:dyDescent="0.25">
      <c r="A2844" t="str">
        <f>"20190304164908116"</f>
        <v>20190304164908116</v>
      </c>
      <c r="B2844" t="str">
        <f>"1551689348108506"</f>
        <v>1551689348108506</v>
      </c>
      <c r="C2844" t="s">
        <v>40</v>
      </c>
      <c r="D2844">
        <v>4.0722440000000004</v>
      </c>
      <c r="E2844">
        <v>0.53256369999999997</v>
      </c>
      <c r="F2844" t="s">
        <v>46</v>
      </c>
      <c r="G2844">
        <v>-453.61810000000003</v>
      </c>
      <c r="H2844" s="1">
        <v>4.3131340000000001E-7</v>
      </c>
      <c r="I2844">
        <v>283.63909999999998</v>
      </c>
      <c r="J2844">
        <v>-439.39819999999997</v>
      </c>
      <c r="K2844">
        <v>1.111043</v>
      </c>
      <c r="L2844">
        <v>285.0342</v>
      </c>
      <c r="M2844">
        <v>-0.99978460000000002</v>
      </c>
      <c r="N2844">
        <v>-1.394024E-2</v>
      </c>
      <c r="O2844">
        <v>1.538109E-2</v>
      </c>
      <c r="P2844">
        <v>-0.92248379999999996</v>
      </c>
      <c r="Q2844">
        <v>0.3537305</v>
      </c>
      <c r="R2844">
        <v>-0.15459120000000001</v>
      </c>
      <c r="S2844">
        <v>-3.2947389999999999</v>
      </c>
      <c r="T2844">
        <v>-0.25405060000000002</v>
      </c>
      <c r="U2844">
        <v>-0.31835940000000001</v>
      </c>
      <c r="V2844">
        <v>-0.168795899999999</v>
      </c>
      <c r="W2844">
        <v>0.3665062</v>
      </c>
      <c r="X2844">
        <v>0.91497609999999996</v>
      </c>
      <c r="Y2844">
        <v>-0.1110617</v>
      </c>
      <c r="Z2844">
        <v>-6.0109859999999899E-3</v>
      </c>
      <c r="AA2844">
        <v>0.99379530000000005</v>
      </c>
      <c r="AB2844">
        <v>26</v>
      </c>
      <c r="AC2844">
        <v>-14.219900000000001</v>
      </c>
      <c r="AD2844">
        <v>-1.1110425686865999</v>
      </c>
      <c r="AE2844">
        <v>-1.39510000000001</v>
      </c>
      <c r="AF2844">
        <v>-1.60397520744255</v>
      </c>
      <c r="AG2844">
        <v>-1.1110425686865999</v>
      </c>
      <c r="AH2844">
        <v>14.111431716604301</v>
      </c>
      <c r="AI2844">
        <v>94.473126023871302</v>
      </c>
      <c r="AJ2844">
        <v>96.484690793064402</v>
      </c>
      <c r="AK2844">
        <v>14.2456890724145</v>
      </c>
      <c r="AL2844">
        <v>68.499695029027905</v>
      </c>
      <c r="AM2844">
        <v>100.452474774496</v>
      </c>
      <c r="AN2844">
        <v>1.0000000570332199</v>
      </c>
    </row>
    <row r="2845" spans="1:40" x14ac:dyDescent="0.25">
      <c r="A2845" t="str">
        <f>"20190304164908138"</f>
        <v>20190304164908138</v>
      </c>
      <c r="B2845" t="str">
        <f>"1551689348129003"</f>
        <v>1551689348129003</v>
      </c>
      <c r="C2845" t="s">
        <v>40</v>
      </c>
      <c r="D2845">
        <v>4.1022439999999998</v>
      </c>
      <c r="E2845">
        <v>0.53317819999999905</v>
      </c>
      <c r="F2845" t="s">
        <v>46</v>
      </c>
      <c r="G2845">
        <v>-453.56509999999997</v>
      </c>
      <c r="H2845" s="1">
        <v>4.0351089999999997E-7</v>
      </c>
      <c r="I2845">
        <v>283.6293</v>
      </c>
      <c r="J2845">
        <v>-439.65140000000002</v>
      </c>
      <c r="K2845">
        <v>1.1110439999999999</v>
      </c>
      <c r="L2845">
        <v>285.03800000000001</v>
      </c>
      <c r="M2845">
        <v>-0.99978560000000005</v>
      </c>
      <c r="N2845">
        <v>-1.3937919999999999E-2</v>
      </c>
      <c r="O2845">
        <v>1.531101E-2</v>
      </c>
      <c r="P2845">
        <v>-0.92127020000000004</v>
      </c>
      <c r="Q2845">
        <v>0.35416049999999999</v>
      </c>
      <c r="R2845">
        <v>-0.16072249999999999</v>
      </c>
      <c r="S2845">
        <v>-3.2964479999999998</v>
      </c>
      <c r="T2845">
        <v>-0.25852510000000001</v>
      </c>
      <c r="U2845">
        <v>-0.32690429999999998</v>
      </c>
      <c r="V2845">
        <v>-0.17484379999999999</v>
      </c>
      <c r="W2845">
        <v>0.3669152</v>
      </c>
      <c r="X2845">
        <v>0.91367549999999997</v>
      </c>
      <c r="Y2845">
        <v>-0.11347210000000001</v>
      </c>
      <c r="Z2845">
        <v>-6.2096909999999998E-3</v>
      </c>
      <c r="AA2845">
        <v>0.99352169999999895</v>
      </c>
      <c r="AB2845">
        <v>26</v>
      </c>
      <c r="AC2845">
        <v>-13.913699999999899</v>
      </c>
      <c r="AD2845">
        <v>-1.1110435964890999</v>
      </c>
      <c r="AE2845">
        <v>-1.4087000000000101</v>
      </c>
      <c r="AF2845">
        <v>-1.6114175236922099</v>
      </c>
      <c r="AG2845">
        <v>-1.1110435964890999</v>
      </c>
      <c r="AH2845">
        <v>13.8033749472854</v>
      </c>
      <c r="AI2845">
        <v>94.570948466245795</v>
      </c>
      <c r="AJ2845">
        <v>96.658617505263194</v>
      </c>
      <c r="AK2845">
        <v>13.9414577517671</v>
      </c>
      <c r="AL2845">
        <v>68.474505420161805</v>
      </c>
      <c r="AM2845">
        <v>100.83332836073301</v>
      </c>
      <c r="AN2845">
        <v>1.0000000188448599</v>
      </c>
    </row>
    <row r="2846" spans="1:40" x14ac:dyDescent="0.25">
      <c r="A2846" t="str">
        <f>"20190304164908160"</f>
        <v>20190304164908160</v>
      </c>
      <c r="B2846" t="str">
        <f>"1551689348148522"</f>
        <v>1551689348148522</v>
      </c>
      <c r="C2846" t="s">
        <v>40</v>
      </c>
      <c r="D2846">
        <v>4.0811250000000001</v>
      </c>
      <c r="E2846">
        <v>0.53350810000000004</v>
      </c>
      <c r="F2846" t="s">
        <v>46</v>
      </c>
      <c r="G2846">
        <v>-453.80779999999999</v>
      </c>
      <c r="H2846" s="1">
        <v>5.3476739999999996E-7</v>
      </c>
      <c r="I2846">
        <v>283.58100000000002</v>
      </c>
      <c r="J2846">
        <v>-439.90440000000001</v>
      </c>
      <c r="K2846">
        <v>1.1110549999999999</v>
      </c>
      <c r="L2846">
        <v>285.04169999999999</v>
      </c>
      <c r="M2846">
        <v>-0.99978670000000003</v>
      </c>
      <c r="N2846">
        <v>-1.393545E-2</v>
      </c>
      <c r="O2846">
        <v>1.524141E-2</v>
      </c>
      <c r="P2846">
        <v>-0.91989710000000002</v>
      </c>
      <c r="Q2846">
        <v>0.3547631</v>
      </c>
      <c r="R2846">
        <v>-0.1671309</v>
      </c>
      <c r="S2846">
        <v>-3.2966310000000001</v>
      </c>
      <c r="T2846">
        <v>-0.25873170000000001</v>
      </c>
      <c r="U2846">
        <v>-0.3392944</v>
      </c>
      <c r="V2846">
        <v>-0.18116660000000001</v>
      </c>
      <c r="W2846">
        <v>0.36749490000000001</v>
      </c>
      <c r="X2846">
        <v>0.91220950000000001</v>
      </c>
      <c r="Y2846">
        <v>-0.1170799</v>
      </c>
      <c r="Z2846">
        <v>-6.3746640000000004E-3</v>
      </c>
      <c r="AA2846">
        <v>0.99310209999999999</v>
      </c>
      <c r="AB2846">
        <v>26</v>
      </c>
      <c r="AC2846">
        <v>-13.9033999999999</v>
      </c>
      <c r="AD2846">
        <v>-1.1110544652326</v>
      </c>
      <c r="AE2846">
        <v>-1.4607000000000301</v>
      </c>
      <c r="AF2846">
        <v>-1.6619608926734799</v>
      </c>
      <c r="AG2846">
        <v>-1.1110544652326</v>
      </c>
      <c r="AH2846">
        <v>13.792402755922801</v>
      </c>
      <c r="AI2846">
        <v>94.572612227922505</v>
      </c>
      <c r="AJ2846">
        <v>96.870916159957304</v>
      </c>
      <c r="AK2846">
        <v>13.9365322019173</v>
      </c>
      <c r="AL2846">
        <v>68.438796117821695</v>
      </c>
      <c r="AM2846">
        <v>101.232891178503</v>
      </c>
      <c r="AN2846">
        <v>1.0000000051859099</v>
      </c>
    </row>
    <row r="2847" spans="1:40" x14ac:dyDescent="0.25">
      <c r="A2847" t="str">
        <f>"20190304164908183"</f>
        <v>20190304164908183</v>
      </c>
      <c r="B2847" t="str">
        <f>"1551689348178778"</f>
        <v>1551689348178778</v>
      </c>
      <c r="C2847" t="s">
        <v>40</v>
      </c>
      <c r="D2847">
        <v>4.1069360000000001</v>
      </c>
      <c r="E2847">
        <v>0.53881820000000002</v>
      </c>
      <c r="F2847" t="s">
        <v>46</v>
      </c>
      <c r="G2847">
        <v>-454.14229999999998</v>
      </c>
      <c r="H2847" s="1">
        <v>7.162436E-7</v>
      </c>
      <c r="I2847">
        <v>283.50229999999999</v>
      </c>
      <c r="J2847">
        <v>-440.16800000000001</v>
      </c>
      <c r="K2847">
        <v>1.111059</v>
      </c>
      <c r="L2847">
        <v>285.04559999999998</v>
      </c>
      <c r="M2847">
        <v>-0.99978789999999995</v>
      </c>
      <c r="N2847">
        <v>-1.393287E-2</v>
      </c>
      <c r="O2847">
        <v>1.516819E-2</v>
      </c>
      <c r="P2847">
        <v>-0.91865339999999995</v>
      </c>
      <c r="Q2847">
        <v>0.35490120000000003</v>
      </c>
      <c r="R2847">
        <v>-0.17355409999999999</v>
      </c>
      <c r="S2847">
        <v>-3.2955930000000002</v>
      </c>
      <c r="T2847">
        <v>-0.25717079999999998</v>
      </c>
      <c r="U2847">
        <v>-0.35632320000000001</v>
      </c>
      <c r="V2847">
        <v>-0.18750269999999999</v>
      </c>
      <c r="W2847">
        <v>0.36761159999999998</v>
      </c>
      <c r="X2847">
        <v>0.91088119999999995</v>
      </c>
      <c r="Y2847">
        <v>-0.1220999</v>
      </c>
      <c r="Z2847">
        <v>-6.5658510000000002E-3</v>
      </c>
      <c r="AA2847">
        <v>0.99249609999999999</v>
      </c>
      <c r="AB2847">
        <v>26</v>
      </c>
      <c r="AC2847">
        <v>-13.9742999999999</v>
      </c>
      <c r="AD2847">
        <v>-1.11105828375639</v>
      </c>
      <c r="AE2847">
        <v>-1.5432999999999799</v>
      </c>
      <c r="AF2847">
        <v>-1.7442148001669999</v>
      </c>
      <c r="AG2847">
        <v>-1.11105828375639</v>
      </c>
      <c r="AH2847">
        <v>13.8627048691308</v>
      </c>
      <c r="AI2847">
        <v>94.546611861314901</v>
      </c>
      <c r="AJ2847">
        <v>97.171309132572603</v>
      </c>
      <c r="AK2847">
        <v>14.0161093769864</v>
      </c>
      <c r="AL2847">
        <v>68.431607585727093</v>
      </c>
      <c r="AM2847">
        <v>101.631723221429</v>
      </c>
      <c r="AN2847">
        <v>1.0000000557376401</v>
      </c>
    </row>
    <row r="2848" spans="1:40" x14ac:dyDescent="0.25">
      <c r="A2848" t="str">
        <f>"20190304164908205"</f>
        <v>20190304164908205</v>
      </c>
      <c r="B2848" t="str">
        <f>"1551689348198806"</f>
        <v>1551689348198806</v>
      </c>
      <c r="C2848" t="s">
        <v>40</v>
      </c>
      <c r="D2848">
        <v>4.1134639999999996</v>
      </c>
      <c r="E2848">
        <v>0.53962880000000002</v>
      </c>
      <c r="F2848" t="s">
        <v>46</v>
      </c>
      <c r="G2848">
        <v>-453.81849999999997</v>
      </c>
      <c r="H2848" s="1">
        <v>5.3673309999999998E-7</v>
      </c>
      <c r="I2848">
        <v>283.66739999999999</v>
      </c>
      <c r="J2848">
        <v>-440.42989999999998</v>
      </c>
      <c r="K2848">
        <v>1.1110610000000001</v>
      </c>
      <c r="L2848">
        <v>285.04950000000002</v>
      </c>
      <c r="M2848">
        <v>-0.99978909999999999</v>
      </c>
      <c r="N2848">
        <v>-1.3930339999999999E-2</v>
      </c>
      <c r="O2848">
        <v>1.5095259999999999E-2</v>
      </c>
      <c r="P2848">
        <v>-0.91729709999999998</v>
      </c>
      <c r="Q2848">
        <v>0.35505829999999999</v>
      </c>
      <c r="R2848">
        <v>-0.18027770000000001</v>
      </c>
      <c r="S2848">
        <v>-3.3065799999999999</v>
      </c>
      <c r="T2848">
        <v>-0.26913140000000002</v>
      </c>
      <c r="U2848">
        <v>-0.33383180000000001</v>
      </c>
      <c r="V2848">
        <v>-0.19413759999999999</v>
      </c>
      <c r="W2848">
        <v>0.36774590000000001</v>
      </c>
      <c r="X2848">
        <v>0.90943589999999996</v>
      </c>
      <c r="Y2848">
        <v>-0.1149825</v>
      </c>
      <c r="Z2848">
        <v>-6.4786109999999996E-3</v>
      </c>
      <c r="AA2848">
        <v>0.99334639999999996</v>
      </c>
      <c r="AB2848">
        <v>26</v>
      </c>
      <c r="AC2848">
        <v>-13.388599999999901</v>
      </c>
      <c r="AD2848">
        <v>-1.1110604632668999</v>
      </c>
      <c r="AE2848">
        <v>-1.3821000000000301</v>
      </c>
      <c r="AF2848">
        <v>-1.5733457235423201</v>
      </c>
      <c r="AG2848">
        <v>-1.1110604632668999</v>
      </c>
      <c r="AH2848">
        <v>13.2757482000822</v>
      </c>
      <c r="AI2848">
        <v>94.750898054289706</v>
      </c>
      <c r="AJ2848">
        <v>96.758756453228401</v>
      </c>
      <c r="AK2848">
        <v>13.414744216376601</v>
      </c>
      <c r="AL2848">
        <v>68.423333157066295</v>
      </c>
      <c r="AM2848">
        <v>102.050083685795</v>
      </c>
      <c r="AN2848">
        <v>1.00000005545468</v>
      </c>
    </row>
    <row r="2849" spans="1:40" x14ac:dyDescent="0.25">
      <c r="A2849" t="str">
        <f>"20190304164908227"</f>
        <v>20190304164908227</v>
      </c>
      <c r="B2849" t="str">
        <f>"1551689348218327"</f>
        <v>1551689348218327</v>
      </c>
      <c r="C2849" t="s">
        <v>40</v>
      </c>
      <c r="D2849">
        <v>4.1421150000000004</v>
      </c>
      <c r="E2849">
        <v>0.5400469</v>
      </c>
      <c r="F2849" t="s">
        <v>46</v>
      </c>
      <c r="G2849">
        <v>-453.88780000000003</v>
      </c>
      <c r="H2849" s="1">
        <v>5.7497169999999899E-7</v>
      </c>
      <c r="I2849">
        <v>283.63619999999997</v>
      </c>
      <c r="J2849">
        <v>-440.67599999999999</v>
      </c>
      <c r="K2849">
        <v>1.1110679999999999</v>
      </c>
      <c r="L2849">
        <v>285.05309999999997</v>
      </c>
      <c r="M2849">
        <v>-0.99979010000000001</v>
      </c>
      <c r="N2849">
        <v>-1.392796E-2</v>
      </c>
      <c r="O2849">
        <v>1.502703E-2</v>
      </c>
      <c r="P2849">
        <v>-0.91564639999999997</v>
      </c>
      <c r="Q2849">
        <v>0.3558055</v>
      </c>
      <c r="R2849">
        <v>-0.18706809999999999</v>
      </c>
      <c r="S2849">
        <v>-3.3079529999999999</v>
      </c>
      <c r="T2849">
        <v>-0.27309699999999998</v>
      </c>
      <c r="U2849">
        <v>-0.34738160000000001</v>
      </c>
      <c r="V2849">
        <v>-0.20083989999999999</v>
      </c>
      <c r="W2849">
        <v>0.36846590000000001</v>
      </c>
      <c r="X2849">
        <v>0.90768729999999997</v>
      </c>
      <c r="Y2849">
        <v>-0.1188708</v>
      </c>
      <c r="Z2849">
        <v>-6.7438230000000004E-3</v>
      </c>
      <c r="AA2849">
        <v>0.99288679999999996</v>
      </c>
      <c r="AB2849">
        <v>26</v>
      </c>
      <c r="AC2849">
        <v>-13.2118</v>
      </c>
      <c r="AD2849">
        <v>-1.1110674250282999</v>
      </c>
      <c r="AE2849">
        <v>-1.4168999999999901</v>
      </c>
      <c r="AF2849">
        <v>-1.6040779275494601</v>
      </c>
      <c r="AG2849">
        <v>-1.1110674250282999</v>
      </c>
      <c r="AH2849">
        <v>13.097439120126801</v>
      </c>
      <c r="AI2849">
        <v>94.813051416941704</v>
      </c>
      <c r="AJ2849">
        <v>96.982392937923507</v>
      </c>
      <c r="AK2849">
        <v>13.241995632307001</v>
      </c>
      <c r="AL2849">
        <v>68.378963786171497</v>
      </c>
      <c r="AM2849">
        <v>102.476561522267</v>
      </c>
      <c r="AN2849">
        <v>1.0000000097380499</v>
      </c>
    </row>
    <row r="2850" spans="1:40" x14ac:dyDescent="0.25">
      <c r="A2850" t="str">
        <f>"20190304164908249"</f>
        <v>20190304164908249</v>
      </c>
      <c r="B2850" t="str">
        <f>"1551689348238822"</f>
        <v>1551689348238822</v>
      </c>
      <c r="C2850" t="s">
        <v>40</v>
      </c>
      <c r="D2850">
        <v>4.1703250000000001</v>
      </c>
      <c r="E2850">
        <v>0.54053499999999999</v>
      </c>
      <c r="F2850" t="s">
        <v>46</v>
      </c>
      <c r="G2850">
        <v>-454.18049999999999</v>
      </c>
      <c r="H2850" s="1">
        <v>7.3385379999999999E-7</v>
      </c>
      <c r="I2850">
        <v>283.5643</v>
      </c>
      <c r="J2850">
        <v>-440.93549999999999</v>
      </c>
      <c r="K2850">
        <v>1.1110719999999901</v>
      </c>
      <c r="L2850">
        <v>285.05689999999998</v>
      </c>
      <c r="M2850">
        <v>-0.99979130000000005</v>
      </c>
      <c r="N2850">
        <v>-1.3925430000000001E-2</v>
      </c>
      <c r="O2850">
        <v>1.4954759999999999E-2</v>
      </c>
      <c r="P2850">
        <v>-0.91396730000000004</v>
      </c>
      <c r="Q2850">
        <v>0.35633700000000001</v>
      </c>
      <c r="R2850">
        <v>-0.194134</v>
      </c>
      <c r="S2850">
        <v>-3.3076479999999999</v>
      </c>
      <c r="T2850">
        <v>-0.27213199999999999</v>
      </c>
      <c r="U2850">
        <v>-0.36465449999999999</v>
      </c>
      <c r="V2850">
        <v>-0.2078142</v>
      </c>
      <c r="W2850">
        <v>0.36896990000000002</v>
      </c>
      <c r="X2850">
        <v>0.90591080000000002</v>
      </c>
      <c r="Y2850">
        <v>-0.1239166</v>
      </c>
      <c r="Z2850">
        <v>-6.9582940000000003E-3</v>
      </c>
      <c r="AA2850">
        <v>0.99226829999999999</v>
      </c>
      <c r="AB2850">
        <v>26</v>
      </c>
      <c r="AC2850">
        <v>-13.244999999999999</v>
      </c>
      <c r="AD2850">
        <v>-1.1110712661462001</v>
      </c>
      <c r="AE2850">
        <v>-1.4925999999999799</v>
      </c>
      <c r="AF2850">
        <v>-1.67886223884765</v>
      </c>
      <c r="AG2850">
        <v>-1.1110712661462001</v>
      </c>
      <c r="AH2850">
        <v>13.1299596378248</v>
      </c>
      <c r="AI2850">
        <v>94.798028051623106</v>
      </c>
      <c r="AJ2850">
        <v>97.286585719481707</v>
      </c>
      <c r="AK2850">
        <v>13.2834068621868</v>
      </c>
      <c r="AL2850">
        <v>68.347896562762003</v>
      </c>
      <c r="AM2850">
        <v>102.920005570104</v>
      </c>
      <c r="AN2850">
        <v>0.99999995319214396</v>
      </c>
    </row>
    <row r="2851" spans="1:40" x14ac:dyDescent="0.25">
      <c r="A2851" t="str">
        <f>"20190304164908266"</f>
        <v>20190304164908266</v>
      </c>
      <c r="B2851" t="str">
        <f>"1551689348258343"</f>
        <v>1551689348258343</v>
      </c>
      <c r="C2851" t="s">
        <v>40</v>
      </c>
      <c r="D2851">
        <v>4.2093829999999999</v>
      </c>
      <c r="E2851">
        <v>0.51747219999999905</v>
      </c>
      <c r="F2851" t="s">
        <v>46</v>
      </c>
      <c r="G2851">
        <v>-454.31659999999999</v>
      </c>
      <c r="H2851" s="1">
        <v>8.0872789999999997E-7</v>
      </c>
      <c r="I2851">
        <v>283.50819999999999</v>
      </c>
      <c r="J2851">
        <v>-441.12729999999999</v>
      </c>
      <c r="K2851">
        <v>1.11107</v>
      </c>
      <c r="L2851">
        <v>285.05970000000002</v>
      </c>
      <c r="M2851">
        <v>-0.99979200000000001</v>
      </c>
      <c r="N2851">
        <v>-1.392356E-2</v>
      </c>
      <c r="O2851">
        <v>1.490172E-2</v>
      </c>
      <c r="P2851">
        <v>-0.91222320000000001</v>
      </c>
      <c r="Q2851">
        <v>0.35706539999999998</v>
      </c>
      <c r="R2851">
        <v>-0.20088120000000001</v>
      </c>
      <c r="S2851">
        <v>-3.3081049999999999</v>
      </c>
      <c r="T2851">
        <v>-0.27468049999999999</v>
      </c>
      <c r="U2851">
        <v>-0.38287349999999998</v>
      </c>
      <c r="V2851">
        <v>-0.21448629999999999</v>
      </c>
      <c r="W2851">
        <v>0.36967050000000001</v>
      </c>
      <c r="X2851">
        <v>0.90406819999999999</v>
      </c>
      <c r="Y2851">
        <v>-0.12921340000000001</v>
      </c>
      <c r="Z2851">
        <v>-7.2667719999999899E-3</v>
      </c>
      <c r="AA2851">
        <v>0.99159019999999998</v>
      </c>
      <c r="AB2851">
        <v>26</v>
      </c>
      <c r="AC2851">
        <v>-13.189299999999999</v>
      </c>
      <c r="AD2851">
        <v>-1.1110691912721</v>
      </c>
      <c r="AE2851">
        <v>-1.5515000000000301</v>
      </c>
      <c r="AF2851">
        <v>-1.73574059674821</v>
      </c>
      <c r="AG2851">
        <v>-1.1110691912721</v>
      </c>
      <c r="AH2851">
        <v>13.0732063516942</v>
      </c>
      <c r="AI2851">
        <v>94.815736320219798</v>
      </c>
      <c r="AJ2851">
        <v>97.562975521558798</v>
      </c>
      <c r="AK2851">
        <v>13.23465127916</v>
      </c>
      <c r="AL2851">
        <v>68.304701958837398</v>
      </c>
      <c r="AM2851">
        <v>103.346425736626</v>
      </c>
      <c r="AN2851">
        <v>0.99999998085458897</v>
      </c>
    </row>
    <row r="2852" spans="1:40" x14ac:dyDescent="0.25">
      <c r="A2852" t="str">
        <f>"20190304164908280"</f>
        <v>20190304164908280</v>
      </c>
      <c r="B2852" t="str">
        <f>"1551689348269079"</f>
        <v>1551689348269079</v>
      </c>
      <c r="C2852" t="s">
        <v>40</v>
      </c>
      <c r="D2852">
        <v>4.1918119999999996</v>
      </c>
      <c r="E2852">
        <v>0.51362640000000004</v>
      </c>
      <c r="F2852" t="s">
        <v>46</v>
      </c>
      <c r="G2852">
        <v>-454.19810000000001</v>
      </c>
      <c r="H2852" s="1">
        <v>7.7979539999999997E-7</v>
      </c>
      <c r="I2852">
        <v>282.72680000000003</v>
      </c>
      <c r="J2852">
        <v>-441.29109999999997</v>
      </c>
      <c r="K2852">
        <v>1.11107</v>
      </c>
      <c r="L2852">
        <v>285.06200000000001</v>
      </c>
      <c r="M2852">
        <v>-0.99979280000000004</v>
      </c>
      <c r="N2852">
        <v>-1.3921889999999999E-2</v>
      </c>
      <c r="O2852">
        <v>1.485626E-2</v>
      </c>
      <c r="P2852">
        <v>-0.91058689999999998</v>
      </c>
      <c r="Q2852">
        <v>0.35725289999999998</v>
      </c>
      <c r="R2852">
        <v>-0.20785120000000001</v>
      </c>
      <c r="S2852">
        <v>-3.2689509999999999</v>
      </c>
      <c r="T2852">
        <v>-0.27787519999999999</v>
      </c>
      <c r="U2852">
        <v>-0.58343509999999998</v>
      </c>
      <c r="V2852">
        <v>-0.22138969999999999</v>
      </c>
      <c r="W2852">
        <v>0.36983169999999999</v>
      </c>
      <c r="X2852">
        <v>0.90233649999999999</v>
      </c>
      <c r="Y2852">
        <v>-0.18949769999999999</v>
      </c>
      <c r="Z2852">
        <v>-1.0355329999999999E-2</v>
      </c>
      <c r="AA2852">
        <v>0.98182650000000005</v>
      </c>
      <c r="AB2852">
        <v>26</v>
      </c>
      <c r="AC2852">
        <v>-12.907</v>
      </c>
      <c r="AD2852">
        <v>-1.1110692202046</v>
      </c>
      <c r="AE2852">
        <v>-2.33519999999998</v>
      </c>
      <c r="AF2852">
        <v>-2.5087096792212602</v>
      </c>
      <c r="AG2852">
        <v>-1.1110692202046</v>
      </c>
      <c r="AH2852">
        <v>12.779184463938201</v>
      </c>
      <c r="AI2852">
        <v>94.8763955301973</v>
      </c>
      <c r="AJ2852">
        <v>101.106619917126</v>
      </c>
      <c r="AK2852">
        <v>13.0704114177811</v>
      </c>
      <c r="AL2852">
        <v>68.294762347715505</v>
      </c>
      <c r="AM2852">
        <v>103.78530335388599</v>
      </c>
      <c r="AN2852">
        <v>1.0000000224116099</v>
      </c>
    </row>
    <row r="2853" spans="1:40" x14ac:dyDescent="0.25">
      <c r="A2853" t="str">
        <f>"20190304164908294"</f>
        <v>20190304164908294</v>
      </c>
      <c r="B2853" t="str">
        <f>"1551689348288598"</f>
        <v>1551689348288598</v>
      </c>
      <c r="C2853" t="s">
        <v>40</v>
      </c>
      <c r="D2853">
        <v>4.1843779999999997</v>
      </c>
      <c r="E2853">
        <v>0.51000519999999905</v>
      </c>
      <c r="F2853" t="s">
        <v>46</v>
      </c>
      <c r="G2853">
        <v>-454.4606</v>
      </c>
      <c r="H2853" s="1">
        <v>9.2953599999999999E-7</v>
      </c>
      <c r="I2853">
        <v>282.49720000000002</v>
      </c>
      <c r="J2853">
        <v>-441.45440000000002</v>
      </c>
      <c r="K2853">
        <v>1.1110599999999999</v>
      </c>
      <c r="L2853">
        <v>285.0643</v>
      </c>
      <c r="M2853">
        <v>-0.9997935</v>
      </c>
      <c r="N2853">
        <v>-1.3920109999999999E-2</v>
      </c>
      <c r="O2853">
        <v>1.481127E-2</v>
      </c>
      <c r="P2853">
        <v>-0.90868990000000005</v>
      </c>
      <c r="Q2853">
        <v>0.3578131</v>
      </c>
      <c r="R2853">
        <v>-0.21506449999999999</v>
      </c>
      <c r="S2853">
        <v>-3.257568</v>
      </c>
      <c r="T2853">
        <v>-0.27483210000000002</v>
      </c>
      <c r="U2853">
        <v>-0.63442989999999999</v>
      </c>
      <c r="V2853">
        <v>-0.2285334</v>
      </c>
      <c r="W2853">
        <v>0.37036150000000001</v>
      </c>
      <c r="X2853">
        <v>0.90033600000000003</v>
      </c>
      <c r="Y2853">
        <v>-0.20482600000000001</v>
      </c>
      <c r="Z2853">
        <v>-1.101925E-2</v>
      </c>
      <c r="AA2853">
        <v>0.9787363</v>
      </c>
      <c r="AB2853">
        <v>26</v>
      </c>
      <c r="AC2853">
        <v>-13.0061999999999</v>
      </c>
      <c r="AD2853">
        <v>-1.111059070464</v>
      </c>
      <c r="AE2853">
        <v>-2.56709999999998</v>
      </c>
      <c r="AF2853">
        <v>-2.7402283586314402</v>
      </c>
      <c r="AG2853">
        <v>-1.111059070464</v>
      </c>
      <c r="AH2853">
        <v>12.8763059630874</v>
      </c>
      <c r="AI2853">
        <v>94.824167400250502</v>
      </c>
      <c r="AJ2853">
        <v>102.013984847635</v>
      </c>
      <c r="AK2853">
        <v>13.211455596206999</v>
      </c>
      <c r="AL2853">
        <v>68.262087135292305</v>
      </c>
      <c r="AM2853">
        <v>104.242657602047</v>
      </c>
      <c r="AN2853">
        <v>1.0000000342469</v>
      </c>
    </row>
    <row r="2854" spans="1:40" x14ac:dyDescent="0.25">
      <c r="A2854" t="str">
        <f>"20190304164908316"</f>
        <v>20190304164908316</v>
      </c>
      <c r="B2854" t="str">
        <f>"1551689348309098"</f>
        <v>1551689348309098</v>
      </c>
      <c r="C2854" t="s">
        <v>40</v>
      </c>
      <c r="D2854">
        <v>4.1982739999999996</v>
      </c>
      <c r="E2854">
        <v>0.50922849999999997</v>
      </c>
      <c r="F2854" t="s">
        <v>46</v>
      </c>
      <c r="G2854">
        <v>-454.16469999999998</v>
      </c>
      <c r="H2854" s="1">
        <v>7.7731599999999997E-7</v>
      </c>
      <c r="I2854">
        <v>282.3777</v>
      </c>
      <c r="J2854">
        <v>-441.7013</v>
      </c>
      <c r="K2854">
        <v>1.111054</v>
      </c>
      <c r="L2854">
        <v>285.06790000000001</v>
      </c>
      <c r="M2854">
        <v>-0.99979470000000004</v>
      </c>
      <c r="N2854">
        <v>-1.391741E-2</v>
      </c>
      <c r="O2854">
        <v>1.474197E-2</v>
      </c>
      <c r="P2854">
        <v>-0.90710029999999997</v>
      </c>
      <c r="Q2854">
        <v>0.3581472</v>
      </c>
      <c r="R2854">
        <v>-0.2211331</v>
      </c>
      <c r="S2854">
        <v>-3.2507630000000001</v>
      </c>
      <c r="T2854">
        <v>-0.28416229999999998</v>
      </c>
      <c r="U2854">
        <v>-0.68713380000000002</v>
      </c>
      <c r="V2854">
        <v>-0.23451530000000001</v>
      </c>
      <c r="W2854">
        <v>0.37066979999999999</v>
      </c>
      <c r="X2854">
        <v>0.8986693</v>
      </c>
      <c r="Y2854">
        <v>-0.22023309999999999</v>
      </c>
      <c r="Z2854">
        <v>-1.2125759999999999E-2</v>
      </c>
      <c r="AA2854">
        <v>0.97537189999999996</v>
      </c>
      <c r="AB2854">
        <v>26</v>
      </c>
      <c r="AC2854">
        <v>-12.463399999999901</v>
      </c>
      <c r="AD2854">
        <v>-1.111053222684</v>
      </c>
      <c r="AE2854">
        <v>-2.6901999999999999</v>
      </c>
      <c r="AF2854">
        <v>-2.8520048278273999</v>
      </c>
      <c r="AG2854">
        <v>-1.111053222684</v>
      </c>
      <c r="AH2854">
        <v>12.3287689263344</v>
      </c>
      <c r="AI2854">
        <v>95.017709638819397</v>
      </c>
      <c r="AJ2854">
        <v>103.025077244399</v>
      </c>
      <c r="AK2854">
        <v>12.703027750915799</v>
      </c>
      <c r="AL2854">
        <v>68.243068917716897</v>
      </c>
      <c r="AM2854">
        <v>104.62563927518801</v>
      </c>
      <c r="AN2854">
        <v>1.0000000186643001</v>
      </c>
    </row>
    <row r="2855" spans="1:40" x14ac:dyDescent="0.25">
      <c r="A2855" t="str">
        <f>"20190304164908338"</f>
        <v>20190304164908338</v>
      </c>
      <c r="B2855" t="str">
        <f>"1551689348328615"</f>
        <v>1551689348328615</v>
      </c>
      <c r="C2855" t="s">
        <v>40</v>
      </c>
      <c r="D2855">
        <v>4.1790279999999997</v>
      </c>
      <c r="E2855">
        <v>0.50931839999999995</v>
      </c>
      <c r="F2855" t="s">
        <v>46</v>
      </c>
      <c r="G2855">
        <v>-454.08539999999999</v>
      </c>
      <c r="H2855" s="1">
        <v>7.3649260000000001E-7</v>
      </c>
      <c r="I2855">
        <v>282.34640000000002</v>
      </c>
      <c r="J2855">
        <v>-441.9563</v>
      </c>
      <c r="K2855">
        <v>1.111062</v>
      </c>
      <c r="L2855">
        <v>285.07150000000001</v>
      </c>
      <c r="M2855">
        <v>-0.99979560000000001</v>
      </c>
      <c r="N2855">
        <v>-1.39148E-2</v>
      </c>
      <c r="O2855">
        <v>1.466231E-2</v>
      </c>
      <c r="P2855">
        <v>-0.90588060000000004</v>
      </c>
      <c r="Q2855">
        <v>0.35795440000000001</v>
      </c>
      <c r="R2855">
        <v>-0.22638220000000001</v>
      </c>
      <c r="S2855">
        <v>-3.248291</v>
      </c>
      <c r="T2855">
        <v>-0.2914233</v>
      </c>
      <c r="U2855">
        <v>-0.71383669999999899</v>
      </c>
      <c r="V2855">
        <v>-0.23967669999999999</v>
      </c>
      <c r="W2855">
        <v>0.37045450000000002</v>
      </c>
      <c r="X2855">
        <v>0.89739539999999995</v>
      </c>
      <c r="Y2855">
        <v>-0.22787969999999999</v>
      </c>
      <c r="Z2855">
        <v>-1.2786570000000001E-2</v>
      </c>
      <c r="AA2855">
        <v>0.97360530000000001</v>
      </c>
      <c r="AB2855">
        <v>26</v>
      </c>
      <c r="AC2855">
        <v>-12.1290999999999</v>
      </c>
      <c r="AD2855">
        <v>-1.11106126350739</v>
      </c>
      <c r="AE2855">
        <v>-2.7250999999999901</v>
      </c>
      <c r="AF2855">
        <v>-2.8796624558921602</v>
      </c>
      <c r="AG2855">
        <v>-1.11106126350739</v>
      </c>
      <c r="AH2855">
        <v>11.992044731494</v>
      </c>
      <c r="AI2855">
        <v>95.147815316594802</v>
      </c>
      <c r="AJ2855">
        <v>103.50283347623601</v>
      </c>
      <c r="AK2855">
        <v>12.3828934354332</v>
      </c>
      <c r="AL2855">
        <v>68.256349354356701</v>
      </c>
      <c r="AM2855">
        <v>104.953544949659</v>
      </c>
      <c r="AN2855">
        <v>0.999999980517149</v>
      </c>
    </row>
    <row r="2856" spans="1:40" x14ac:dyDescent="0.25">
      <c r="A2856" t="str">
        <f>"20190304164908361"</f>
        <v>20190304164908361</v>
      </c>
      <c r="B2856" t="str">
        <f>"1551689348349111"</f>
        <v>1551689348349111</v>
      </c>
      <c r="C2856" t="s">
        <v>40</v>
      </c>
      <c r="D2856">
        <v>4.1913499999999999</v>
      </c>
      <c r="E2856">
        <v>0.50980720000000002</v>
      </c>
      <c r="F2856" t="s">
        <v>46</v>
      </c>
      <c r="G2856">
        <v>-453.97890000000001</v>
      </c>
      <c r="H2856" s="1">
        <v>6.7908299999999899E-7</v>
      </c>
      <c r="I2856">
        <v>282.36219999999997</v>
      </c>
      <c r="J2856">
        <v>-442.20979999999997</v>
      </c>
      <c r="K2856">
        <v>1.1110739999999999</v>
      </c>
      <c r="L2856">
        <v>285.07510000000002</v>
      </c>
      <c r="M2856">
        <v>-0.99979720000000005</v>
      </c>
      <c r="N2856">
        <v>-1.3912219999999999E-2</v>
      </c>
      <c r="O2856">
        <v>1.4571010000000001E-2</v>
      </c>
      <c r="P2856">
        <v>-0.90476559999999995</v>
      </c>
      <c r="Q2856">
        <v>0.3577225</v>
      </c>
      <c r="R2856">
        <v>-0.231158</v>
      </c>
      <c r="S2856">
        <v>-3.2473749999999999</v>
      </c>
      <c r="T2856">
        <v>-0.3001065</v>
      </c>
      <c r="U2856">
        <v>-0.73181149999999995</v>
      </c>
      <c r="V2856">
        <v>-0.2443601</v>
      </c>
      <c r="W2856">
        <v>0.37019940000000001</v>
      </c>
      <c r="X2856">
        <v>0.8962369</v>
      </c>
      <c r="Y2856">
        <v>-0.23289770000000001</v>
      </c>
      <c r="Z2856">
        <v>-1.337848E-2</v>
      </c>
      <c r="AA2856">
        <v>0.97240919999999997</v>
      </c>
      <c r="AB2856">
        <v>26</v>
      </c>
      <c r="AC2856">
        <v>-11.7691</v>
      </c>
      <c r="AD2856">
        <v>-1.1110733209169901</v>
      </c>
      <c r="AE2856">
        <v>-2.7129000000000398</v>
      </c>
      <c r="AF2856">
        <v>-2.8599132630020798</v>
      </c>
      <c r="AG2856">
        <v>-1.1110733209169901</v>
      </c>
      <c r="AH2856">
        <v>11.629895149146201</v>
      </c>
      <c r="AI2856">
        <v>95.300277843575202</v>
      </c>
      <c r="AJ2856">
        <v>103.815503754524</v>
      </c>
      <c r="AK2856">
        <v>12.027803165020799</v>
      </c>
      <c r="AL2856">
        <v>68.272085081098993</v>
      </c>
      <c r="AM2856">
        <v>105.25106373811199</v>
      </c>
      <c r="AN2856">
        <v>1.0000000175769801</v>
      </c>
    </row>
    <row r="2857" spans="1:40" x14ac:dyDescent="0.25">
      <c r="A2857" t="str">
        <f>"20190304164908385"</f>
        <v>20190304164908385</v>
      </c>
      <c r="B2857" t="str">
        <f>"1551689348378390"</f>
        <v>1551689348378390</v>
      </c>
      <c r="C2857" t="s">
        <v>40</v>
      </c>
      <c r="D2857">
        <v>4.2081759999999999</v>
      </c>
      <c r="E2857">
        <v>0.51068179999999996</v>
      </c>
      <c r="F2857" t="s">
        <v>46</v>
      </c>
      <c r="G2857">
        <v>-453.97829999999999</v>
      </c>
      <c r="H2857" s="1">
        <v>6.7813430000000003E-7</v>
      </c>
      <c r="I2857">
        <v>282.37720000000002</v>
      </c>
      <c r="J2857">
        <v>-442.47809999999998</v>
      </c>
      <c r="K2857">
        <v>1.1110850000000001</v>
      </c>
      <c r="L2857">
        <v>285.07889999999998</v>
      </c>
      <c r="M2857">
        <v>-0.99979899999999999</v>
      </c>
      <c r="N2857">
        <v>-1.3909410000000001E-2</v>
      </c>
      <c r="O2857">
        <v>1.4449109999999999E-2</v>
      </c>
      <c r="P2857">
        <v>-0.90389430000000004</v>
      </c>
      <c r="Q2857">
        <v>0.35664800000000002</v>
      </c>
      <c r="R2857">
        <v>-0.23617270000000001</v>
      </c>
      <c r="S2857">
        <v>-3.2467649999999999</v>
      </c>
      <c r="T2857">
        <v>-0.30653019999999997</v>
      </c>
      <c r="U2857">
        <v>-0.74432369999999903</v>
      </c>
      <c r="V2857">
        <v>-0.24926590000000001</v>
      </c>
      <c r="W2857">
        <v>0.36909969999999998</v>
      </c>
      <c r="X2857">
        <v>0.895339</v>
      </c>
      <c r="Y2857">
        <v>-0.23631830000000001</v>
      </c>
      <c r="Z2857">
        <v>-1.3804169999999999E-2</v>
      </c>
      <c r="AA2857">
        <v>0.97157760000000004</v>
      </c>
      <c r="AB2857">
        <v>26</v>
      </c>
      <c r="AC2857">
        <v>-11.5002</v>
      </c>
      <c r="AD2857">
        <v>-1.1110843218656901</v>
      </c>
      <c r="AE2857">
        <v>-2.7016999999999598</v>
      </c>
      <c r="AF2857">
        <v>-2.8424569203886301</v>
      </c>
      <c r="AG2857">
        <v>-1.1110843218656901</v>
      </c>
      <c r="AH2857">
        <v>11.3594711343034</v>
      </c>
      <c r="AI2857">
        <v>95.420326703564001</v>
      </c>
      <c r="AJ2857">
        <v>104.04853390376</v>
      </c>
      <c r="AK2857">
        <v>11.7622979968045</v>
      </c>
      <c r="AL2857">
        <v>68.339895860105301</v>
      </c>
      <c r="AM2857">
        <v>105.55741181093499</v>
      </c>
      <c r="AN2857">
        <v>1.0000000011819401</v>
      </c>
    </row>
    <row r="2858" spans="1:40" x14ac:dyDescent="0.25">
      <c r="A2858" t="str">
        <f>"20190304164908406"</f>
        <v>20190304164908406</v>
      </c>
      <c r="B2858" t="str">
        <f>"1551689348398887"</f>
        <v>1551689348398887</v>
      </c>
      <c r="C2858" t="s">
        <v>40</v>
      </c>
      <c r="D2858">
        <v>4.1985510000000001</v>
      </c>
      <c r="E2858">
        <v>0.5113124</v>
      </c>
      <c r="F2858" t="s">
        <v>46</v>
      </c>
      <c r="G2858">
        <v>-453.92649999999998</v>
      </c>
      <c r="H2858" s="1">
        <v>6.4866760000000003E-7</v>
      </c>
      <c r="I2858">
        <v>282.42140000000001</v>
      </c>
      <c r="J2858">
        <v>-442.72489999999999</v>
      </c>
      <c r="K2858">
        <v>1.111108</v>
      </c>
      <c r="L2858">
        <v>285.0822</v>
      </c>
      <c r="M2858">
        <v>-0.99980100000000005</v>
      </c>
      <c r="N2858">
        <v>-1.390679E-2</v>
      </c>
      <c r="O2858">
        <v>1.429689E-2</v>
      </c>
      <c r="P2858">
        <v>-0.9028273</v>
      </c>
      <c r="Q2858">
        <v>0.35667559999999998</v>
      </c>
      <c r="R2858">
        <v>-0.24017740000000001</v>
      </c>
      <c r="S2858">
        <v>-3.2463679999999999</v>
      </c>
      <c r="T2858">
        <v>-0.31506240000000002</v>
      </c>
      <c r="U2858">
        <v>-0.75353999999999999</v>
      </c>
      <c r="V2858">
        <v>-0.2531408</v>
      </c>
      <c r="W2858">
        <v>0.36909310000000001</v>
      </c>
      <c r="X2858">
        <v>0.89425390000000005</v>
      </c>
      <c r="Y2858">
        <v>-0.2387396</v>
      </c>
      <c r="Z2858">
        <v>-1.426433E-2</v>
      </c>
      <c r="AA2858">
        <v>0.97097889999999998</v>
      </c>
      <c r="AB2858">
        <v>26</v>
      </c>
      <c r="AC2858">
        <v>-11.2015999999999</v>
      </c>
      <c r="AD2858">
        <v>-1.1111073513323999</v>
      </c>
      <c r="AE2858">
        <v>-2.6607999999999898</v>
      </c>
      <c r="AF2858">
        <v>-2.7946634019859502</v>
      </c>
      <c r="AG2858">
        <v>-1.1111073513323999</v>
      </c>
      <c r="AH2858">
        <v>11.059408095663301</v>
      </c>
      <c r="AI2858">
        <v>95.5633662746921</v>
      </c>
      <c r="AJ2858">
        <v>104.181510668385</v>
      </c>
      <c r="AK2858">
        <v>11.461030080364001</v>
      </c>
      <c r="AL2858">
        <v>68.340302928215294</v>
      </c>
      <c r="AM2858">
        <v>105.805484253589</v>
      </c>
      <c r="AN2858">
        <v>1.00000000937873</v>
      </c>
    </row>
    <row r="2859" spans="1:40" x14ac:dyDescent="0.25">
      <c r="A2859" t="str">
        <f>"20190304164908428"</f>
        <v>20190304164908428</v>
      </c>
      <c r="B2859" t="str">
        <f>"1551689348418407"</f>
        <v>1551689348418407</v>
      </c>
      <c r="C2859" t="s">
        <v>40</v>
      </c>
      <c r="D2859">
        <v>4.2324289999999998</v>
      </c>
      <c r="E2859">
        <v>0.51206739999999995</v>
      </c>
      <c r="F2859" t="s">
        <v>46</v>
      </c>
      <c r="G2859">
        <v>-454.11250000000001</v>
      </c>
      <c r="H2859" s="1">
        <v>7.4806770000000002E-7</v>
      </c>
      <c r="I2859">
        <v>282.41149999999999</v>
      </c>
      <c r="J2859">
        <v>-442.9726</v>
      </c>
      <c r="K2859">
        <v>1.111138</v>
      </c>
      <c r="L2859">
        <v>285.08550000000002</v>
      </c>
      <c r="M2859">
        <v>-0.99980420000000003</v>
      </c>
      <c r="N2859">
        <v>-1.390419E-2</v>
      </c>
      <c r="O2859">
        <v>1.408884E-2</v>
      </c>
      <c r="P2859">
        <v>-0.90179180000000003</v>
      </c>
      <c r="Q2859">
        <v>0.35693960000000002</v>
      </c>
      <c r="R2859">
        <v>-0.2436508</v>
      </c>
      <c r="S2859">
        <v>-3.2455750000000001</v>
      </c>
      <c r="T2859">
        <v>-0.31667420000000002</v>
      </c>
      <c r="U2859">
        <v>-0.7611694</v>
      </c>
      <c r="V2859">
        <v>-0.25644620000000001</v>
      </c>
      <c r="W2859">
        <v>0.36931639999999999</v>
      </c>
      <c r="X2859">
        <v>0.8932194</v>
      </c>
      <c r="Y2859">
        <v>-0.24073230000000001</v>
      </c>
      <c r="Z2859">
        <v>-1.4421949999999999E-2</v>
      </c>
      <c r="AA2859">
        <v>0.97048440000000002</v>
      </c>
      <c r="AB2859">
        <v>25</v>
      </c>
      <c r="AC2859">
        <v>-11.139900000000001</v>
      </c>
      <c r="AD2859">
        <v>-1.1111372519323</v>
      </c>
      <c r="AE2859">
        <v>-2.6740000000000301</v>
      </c>
      <c r="AF2859">
        <v>-2.8043181884683901</v>
      </c>
      <c r="AG2859">
        <v>-1.1111372519323</v>
      </c>
      <c r="AH2859">
        <v>10.997663633691801</v>
      </c>
      <c r="AI2859">
        <v>95.591509006815997</v>
      </c>
      <c r="AJ2859">
        <v>104.305130970644</v>
      </c>
      <c r="AK2859">
        <v>11.403834087473999</v>
      </c>
      <c r="AL2859">
        <v>68.326537662230095</v>
      </c>
      <c r="AM2859">
        <v>106.018944926754</v>
      </c>
      <c r="AN2859">
        <v>1.00000007666987</v>
      </c>
    </row>
    <row r="2860" spans="1:40" x14ac:dyDescent="0.25">
      <c r="A2860" t="str">
        <f>"20190304164908450"</f>
        <v>20190304164908450</v>
      </c>
      <c r="B2860" t="str">
        <f>"1551689348438903"</f>
        <v>1551689348438903</v>
      </c>
      <c r="C2860" t="s">
        <v>40</v>
      </c>
      <c r="D2860">
        <v>4.2137279999999997</v>
      </c>
      <c r="E2860">
        <v>0.5128142</v>
      </c>
      <c r="F2860" t="s">
        <v>46</v>
      </c>
      <c r="G2860">
        <v>-454.29649999999998</v>
      </c>
      <c r="H2860" s="1">
        <v>8.4600169999999995E-7</v>
      </c>
      <c r="I2860">
        <v>282.41109999999998</v>
      </c>
      <c r="J2860">
        <v>-443.23079999999999</v>
      </c>
      <c r="K2860">
        <v>1.1112</v>
      </c>
      <c r="L2860">
        <v>285.08879999999999</v>
      </c>
      <c r="M2860">
        <v>-0.99980820000000004</v>
      </c>
      <c r="N2860">
        <v>-1.390159E-2</v>
      </c>
      <c r="O2860">
        <v>1.3801229999999999E-2</v>
      </c>
      <c r="P2860">
        <v>-0.90072830000000004</v>
      </c>
      <c r="Q2860">
        <v>0.35804390000000003</v>
      </c>
      <c r="R2860">
        <v>-0.24595310000000001</v>
      </c>
      <c r="S2860">
        <v>-3.2456360000000002</v>
      </c>
      <c r="T2860">
        <v>-0.31847049999999999</v>
      </c>
      <c r="U2860">
        <v>-0.76654049999999996</v>
      </c>
      <c r="V2860">
        <v>-0.25852209999999998</v>
      </c>
      <c r="W2860">
        <v>0.3703708</v>
      </c>
      <c r="X2860">
        <v>0.89218369999999902</v>
      </c>
      <c r="Y2860">
        <v>-0.241952</v>
      </c>
      <c r="Z2860">
        <v>-1.453598E-2</v>
      </c>
      <c r="AA2860">
        <v>0.97017929999999997</v>
      </c>
      <c r="AB2860">
        <v>25</v>
      </c>
      <c r="AC2860">
        <v>-11.0656999999999</v>
      </c>
      <c r="AD2860">
        <v>-1.1111991539982999</v>
      </c>
      <c r="AE2860">
        <v>-2.67770000000001</v>
      </c>
      <c r="AF2860">
        <v>-2.8034739302755201</v>
      </c>
      <c r="AG2860">
        <v>-1.1111991539982999</v>
      </c>
      <c r="AH2860">
        <v>10.923627826405401</v>
      </c>
      <c r="AI2860">
        <v>95.627258179697293</v>
      </c>
      <c r="AJ2860">
        <v>104.39391292773099</v>
      </c>
      <c r="AK2860">
        <v>11.3322493145624</v>
      </c>
      <c r="AL2860">
        <v>68.261512253584797</v>
      </c>
      <c r="AM2860">
        <v>106.15964879757399</v>
      </c>
      <c r="AN2860">
        <v>0.99999998011336899</v>
      </c>
    </row>
    <row r="2861" spans="1:40" x14ac:dyDescent="0.25">
      <c r="A2861" t="str">
        <f>"20190304164908473"</f>
        <v>20190304164908473</v>
      </c>
      <c r="B2861" t="str">
        <f>"1551689348469162"</f>
        <v>1551689348469162</v>
      </c>
      <c r="C2861" t="s">
        <v>40</v>
      </c>
      <c r="D2861">
        <v>4.2401770000000001</v>
      </c>
      <c r="E2861">
        <v>0.51347600000000004</v>
      </c>
      <c r="F2861" t="s">
        <v>46</v>
      </c>
      <c r="G2861">
        <v>-454.60379999999998</v>
      </c>
      <c r="H2861" s="1">
        <v>1.0100559999999999E-6</v>
      </c>
      <c r="I2861">
        <v>282.39870000000002</v>
      </c>
      <c r="J2861">
        <v>-443.48230000000001</v>
      </c>
      <c r="K2861">
        <v>1.1112580000000001</v>
      </c>
      <c r="L2861">
        <v>285.09190000000001</v>
      </c>
      <c r="M2861">
        <v>-0.99981299999999995</v>
      </c>
      <c r="N2861">
        <v>-1.3899150000000001E-2</v>
      </c>
      <c r="O2861">
        <v>1.344162E-2</v>
      </c>
      <c r="P2861">
        <v>-0.89953819999999995</v>
      </c>
      <c r="Q2861">
        <v>0.359297599999999</v>
      </c>
      <c r="R2861">
        <v>-0.24846789999999999</v>
      </c>
      <c r="S2861">
        <v>-3.2470699999999999</v>
      </c>
      <c r="T2861">
        <v>-0.3172547</v>
      </c>
      <c r="U2861">
        <v>-0.76806640000000004</v>
      </c>
      <c r="V2861">
        <v>-0.26074989999999998</v>
      </c>
      <c r="W2861">
        <v>0.3715695</v>
      </c>
      <c r="X2861">
        <v>0.8910363</v>
      </c>
      <c r="Y2861">
        <v>-0.2419509</v>
      </c>
      <c r="Z2861">
        <v>-1.4450309999999999E-2</v>
      </c>
      <c r="AA2861">
        <v>0.97018090000000001</v>
      </c>
      <c r="AB2861">
        <v>25</v>
      </c>
      <c r="AC2861">
        <v>-11.1214999999999</v>
      </c>
      <c r="AD2861">
        <v>-1.1112569899439999</v>
      </c>
      <c r="AE2861">
        <v>-2.6931999999999898</v>
      </c>
      <c r="AF2861">
        <v>-2.8159055493939298</v>
      </c>
      <c r="AG2861">
        <v>-1.1112569899439999</v>
      </c>
      <c r="AH2861">
        <v>10.980732418374799</v>
      </c>
      <c r="AI2861">
        <v>95.598741071934995</v>
      </c>
      <c r="AJ2861">
        <v>104.38302559074</v>
      </c>
      <c r="AK2861">
        <v>11.390377544434401</v>
      </c>
      <c r="AL2861">
        <v>68.187556031099604</v>
      </c>
      <c r="AM2861">
        <v>106.311411451762</v>
      </c>
      <c r="AN2861">
        <v>1.0000000457989699</v>
      </c>
    </row>
    <row r="2862" spans="1:40" x14ac:dyDescent="0.25">
      <c r="A2862" t="str">
        <f>"20190304164908496"</f>
        <v>20190304164908496</v>
      </c>
      <c r="B2862" t="str">
        <f>"1551689348488679"</f>
        <v>1551689348488679</v>
      </c>
      <c r="C2862" t="s">
        <v>40</v>
      </c>
      <c r="D2862">
        <v>4.2926890000000002</v>
      </c>
      <c r="E2862">
        <v>0.52202570000000004</v>
      </c>
      <c r="F2862" t="s">
        <v>46</v>
      </c>
      <c r="G2862">
        <v>-454.92340000000002</v>
      </c>
      <c r="H2862" s="1">
        <v>1.1809589999999999E-6</v>
      </c>
      <c r="I2862">
        <v>282.38029999999998</v>
      </c>
      <c r="J2862">
        <v>-443.7405</v>
      </c>
      <c r="K2862">
        <v>1.1113139999999999</v>
      </c>
      <c r="L2862">
        <v>285.0949</v>
      </c>
      <c r="M2862">
        <v>-0.99981920000000002</v>
      </c>
      <c r="N2862">
        <v>-1.389669E-2</v>
      </c>
      <c r="O2862">
        <v>1.2985439999999999E-2</v>
      </c>
      <c r="P2862">
        <v>-0.89884140000000001</v>
      </c>
      <c r="Q2862">
        <v>0.35940050000000001</v>
      </c>
      <c r="R2862">
        <v>-0.2508302</v>
      </c>
      <c r="S2862">
        <v>-3.2484130000000002</v>
      </c>
      <c r="T2862">
        <v>-0.31551170000000001</v>
      </c>
      <c r="U2862">
        <v>-0.76989750000000001</v>
      </c>
      <c r="V2862">
        <v>-0.26274920000000002</v>
      </c>
      <c r="W2862">
        <v>0.37162129999999999</v>
      </c>
      <c r="X2862">
        <v>0.89042710000000003</v>
      </c>
      <c r="Y2862">
        <v>-0.24195240000000001</v>
      </c>
      <c r="Z2862">
        <v>-1.4336120000000001E-2</v>
      </c>
      <c r="AA2862">
        <v>0.97018219999999999</v>
      </c>
      <c r="AB2862">
        <v>25</v>
      </c>
      <c r="AC2862">
        <v>-11.1829</v>
      </c>
      <c r="AD2862">
        <v>-1.111312819041</v>
      </c>
      <c r="AE2862">
        <v>-2.7146000000000101</v>
      </c>
      <c r="AF2862">
        <v>-2.83317756938151</v>
      </c>
      <c r="AG2862">
        <v>-1.111312819041</v>
      </c>
      <c r="AH2862">
        <v>11.043708927489</v>
      </c>
      <c r="AI2862">
        <v>95.567158130662193</v>
      </c>
      <c r="AJ2862">
        <v>104.388488709954</v>
      </c>
      <c r="AK2862">
        <v>11.455366349292801</v>
      </c>
      <c r="AL2862">
        <v>68.184357612190496</v>
      </c>
      <c r="AM2862">
        <v>106.440392524583</v>
      </c>
      <c r="AN2862">
        <v>0.99999997656436901</v>
      </c>
    </row>
    <row r="2863" spans="1:40" x14ac:dyDescent="0.25">
      <c r="A2863" t="str">
        <f>"20190304164908516"</f>
        <v>20190304164908516</v>
      </c>
      <c r="B2863" t="str">
        <f>"1551689348508199"</f>
        <v>1551689348508199</v>
      </c>
      <c r="C2863" t="s">
        <v>40</v>
      </c>
      <c r="D2863">
        <v>4.2806419999999896</v>
      </c>
      <c r="E2863">
        <v>0.53200839999999905</v>
      </c>
      <c r="F2863" t="s">
        <v>46</v>
      </c>
      <c r="G2863">
        <v>-454.14249999999998</v>
      </c>
      <c r="H2863" s="1">
        <v>7.4550299999999998E-7</v>
      </c>
      <c r="I2863">
        <v>282.83479999999997</v>
      </c>
      <c r="J2863">
        <v>-443.98360000000002</v>
      </c>
      <c r="K2863">
        <v>1.1113710000000001</v>
      </c>
      <c r="L2863">
        <v>285.09750000000003</v>
      </c>
      <c r="M2863">
        <v>-0.99982570000000004</v>
      </c>
      <c r="N2863">
        <v>-1.3894429999999999E-2</v>
      </c>
      <c r="O2863">
        <v>1.247359E-2</v>
      </c>
      <c r="P2863">
        <v>-0.89838709999999899</v>
      </c>
      <c r="Q2863">
        <v>0.35974889999999998</v>
      </c>
      <c r="R2863">
        <v>-0.2519554</v>
      </c>
      <c r="S2863">
        <v>-3.2789000000000001</v>
      </c>
      <c r="T2863">
        <v>-0.35030729999999999</v>
      </c>
      <c r="U2863">
        <v>-0.71243290000000004</v>
      </c>
      <c r="V2863">
        <v>-0.26345940000000001</v>
      </c>
      <c r="W2863">
        <v>0.3719285</v>
      </c>
      <c r="X2863">
        <v>0.89008899999999902</v>
      </c>
      <c r="Y2863">
        <v>-0.22306880000000001</v>
      </c>
      <c r="Z2863">
        <v>-1.446192E-2</v>
      </c>
      <c r="AA2863">
        <v>0.97469539999999999</v>
      </c>
      <c r="AB2863">
        <v>25</v>
      </c>
      <c r="AC2863">
        <v>-10.1588999999999</v>
      </c>
      <c r="AD2863">
        <v>-1.1113702544970001</v>
      </c>
      <c r="AE2863">
        <v>-2.2627000000000499</v>
      </c>
      <c r="AF2863">
        <v>-2.3623179980456399</v>
      </c>
      <c r="AG2863">
        <v>-1.1113702544970001</v>
      </c>
      <c r="AH2863">
        <v>10.015679908026399</v>
      </c>
      <c r="AI2863">
        <v>96.164031826222498</v>
      </c>
      <c r="AJ2863">
        <v>103.27134479224701</v>
      </c>
      <c r="AK2863">
        <v>10.350339810195299</v>
      </c>
      <c r="AL2863">
        <v>68.165398929827703</v>
      </c>
      <c r="AM2863">
        <v>106.488342722525</v>
      </c>
      <c r="AN2863">
        <v>1.0000000462408001</v>
      </c>
    </row>
    <row r="2864" spans="1:40" x14ac:dyDescent="0.25">
      <c r="A2864" t="str">
        <f>"20190304164908540"</f>
        <v>20190304164908540</v>
      </c>
      <c r="B2864" t="str">
        <f>"1551689348528695"</f>
        <v>1551689348528695</v>
      </c>
      <c r="C2864" t="s">
        <v>40</v>
      </c>
      <c r="D2864">
        <v>4.2416980000000004</v>
      </c>
      <c r="E2864">
        <v>0.53217479999999995</v>
      </c>
      <c r="F2864" t="s">
        <v>46</v>
      </c>
      <c r="G2864">
        <v>-453.73610000000002</v>
      </c>
      <c r="H2864" s="1">
        <v>5.1262769999999997E-7</v>
      </c>
      <c r="I2864">
        <v>283.21480000000003</v>
      </c>
      <c r="J2864">
        <v>-444.23649999999998</v>
      </c>
      <c r="K2864">
        <v>1.1114189999999999</v>
      </c>
      <c r="L2864">
        <v>285.10000000000002</v>
      </c>
      <c r="M2864">
        <v>-0.99983310000000003</v>
      </c>
      <c r="N2864">
        <v>-1.3891789999999999E-2</v>
      </c>
      <c r="O2864">
        <v>1.187971E-2</v>
      </c>
      <c r="P2864">
        <v>-0.89820499999999903</v>
      </c>
      <c r="Q2864">
        <v>0.35914990000000002</v>
      </c>
      <c r="R2864">
        <v>-0.25345519999999999</v>
      </c>
      <c r="S2864">
        <v>-3.311188</v>
      </c>
      <c r="T2864">
        <v>-0.37733749999999999</v>
      </c>
      <c r="U2864">
        <v>-0.63922119999999905</v>
      </c>
      <c r="V2864">
        <v>-0.26446500000000001</v>
      </c>
      <c r="W2864">
        <v>0.37129679999999998</v>
      </c>
      <c r="X2864">
        <v>0.89005449999999997</v>
      </c>
      <c r="Y2864">
        <v>-0.19973949999999999</v>
      </c>
      <c r="Z2864">
        <v>-1.3821E-2</v>
      </c>
      <c r="AA2864">
        <v>0.9797515</v>
      </c>
      <c r="AB2864">
        <v>25</v>
      </c>
      <c r="AC2864">
        <v>-9.49960000000004</v>
      </c>
      <c r="AD2864">
        <v>-1.1114184873723001</v>
      </c>
      <c r="AE2864">
        <v>-1.88519999999999</v>
      </c>
      <c r="AF2864">
        <v>-1.97196058052368</v>
      </c>
      <c r="AG2864">
        <v>-1.1114184873723001</v>
      </c>
      <c r="AH2864">
        <v>9.3533527894489499</v>
      </c>
      <c r="AI2864">
        <v>96.631986951295005</v>
      </c>
      <c r="AJ2864">
        <v>101.905278576661</v>
      </c>
      <c r="AK2864">
        <v>9.6233615742683494</v>
      </c>
      <c r="AL2864">
        <v>68.204384174452002</v>
      </c>
      <c r="AM2864">
        <v>106.548447705922</v>
      </c>
      <c r="AN2864">
        <v>1.00000003144274</v>
      </c>
    </row>
    <row r="2865" spans="1:40" x14ac:dyDescent="0.25">
      <c r="A2865" t="str">
        <f>"20190304164908562"</f>
        <v>20190304164908562</v>
      </c>
      <c r="B2865" t="str">
        <f>"1551689348558950"</f>
        <v>1551689348558950</v>
      </c>
      <c r="C2865" t="s">
        <v>40</v>
      </c>
      <c r="D2865">
        <v>4.2486350000000002</v>
      </c>
      <c r="E2865">
        <v>0.5324854</v>
      </c>
      <c r="F2865" t="s">
        <v>46</v>
      </c>
      <c r="G2865">
        <v>-453.8827</v>
      </c>
      <c r="H2865" s="1">
        <v>5.8971629999999999E-7</v>
      </c>
      <c r="I2865">
        <v>283.23590000000002</v>
      </c>
      <c r="J2865">
        <v>-444.48739999999998</v>
      </c>
      <c r="K2865">
        <v>1.111448</v>
      </c>
      <c r="L2865">
        <v>285.10219999999998</v>
      </c>
      <c r="M2865">
        <v>-0.99984030000000002</v>
      </c>
      <c r="N2865">
        <v>-1.3885339999999999E-2</v>
      </c>
      <c r="O2865">
        <v>1.1242800000000001E-2</v>
      </c>
      <c r="P2865">
        <v>-0.89847639999999995</v>
      </c>
      <c r="Q2865">
        <v>0.35796309999999998</v>
      </c>
      <c r="R2865">
        <v>-0.2541697</v>
      </c>
      <c r="S2865">
        <v>-3.3119200000000002</v>
      </c>
      <c r="T2865">
        <v>-0.38159510000000002</v>
      </c>
      <c r="U2865">
        <v>-0.64001459999999999</v>
      </c>
      <c r="V2865">
        <v>-0.2646404</v>
      </c>
      <c r="W2865">
        <v>0.37008960000000002</v>
      </c>
      <c r="X2865">
        <v>0.89050499999999899</v>
      </c>
      <c r="Y2865">
        <v>-0.19927729999999999</v>
      </c>
      <c r="Z2865">
        <v>-1.3865239999999999E-2</v>
      </c>
      <c r="AA2865">
        <v>0.97984499999999997</v>
      </c>
      <c r="AB2865">
        <v>25</v>
      </c>
      <c r="AC2865">
        <v>-9.3953000000000095</v>
      </c>
      <c r="AD2865">
        <v>-1.1114474102837</v>
      </c>
      <c r="AE2865">
        <v>-1.8662999999999601</v>
      </c>
      <c r="AF2865">
        <v>-1.9456272632743701</v>
      </c>
      <c r="AG2865">
        <v>-1.1114474102837</v>
      </c>
      <c r="AH2865">
        <v>9.2491975241037192</v>
      </c>
      <c r="AI2865">
        <v>96.706800037711005</v>
      </c>
      <c r="AJ2865">
        <v>101.879331696759</v>
      </c>
      <c r="AK2865">
        <v>9.5167450125192108</v>
      </c>
      <c r="AL2865">
        <v>68.278856843445794</v>
      </c>
      <c r="AM2865">
        <v>106.550903644565</v>
      </c>
      <c r="AN2865">
        <v>1.00000000418265</v>
      </c>
    </row>
    <row r="2866" spans="1:40" x14ac:dyDescent="0.25">
      <c r="A2866" t="str">
        <f>"20190304164908586"</f>
        <v>20190304164908586</v>
      </c>
      <c r="B2866" t="str">
        <f>"1551689348578471"</f>
        <v>1551689348578471</v>
      </c>
      <c r="C2866" t="s">
        <v>40</v>
      </c>
      <c r="D2866">
        <v>4.260491</v>
      </c>
      <c r="E2866">
        <v>0.53258719999999904</v>
      </c>
      <c r="F2866" t="s">
        <v>46</v>
      </c>
      <c r="G2866">
        <v>-454.06330000000003</v>
      </c>
      <c r="H2866" s="1">
        <v>6.8475249999999995E-7</v>
      </c>
      <c r="I2866">
        <v>283.26100000000002</v>
      </c>
      <c r="J2866">
        <v>-444.75139999999999</v>
      </c>
      <c r="K2866">
        <v>1.1114550000000001</v>
      </c>
      <c r="L2866">
        <v>285.1044</v>
      </c>
      <c r="M2866">
        <v>-0.99984839999999997</v>
      </c>
      <c r="N2866">
        <v>-1.3868510000000001E-2</v>
      </c>
      <c r="O2866">
        <v>1.053721E-2</v>
      </c>
      <c r="P2866">
        <v>-0.89842540000000004</v>
      </c>
      <c r="Q2866">
        <v>0.35724470000000003</v>
      </c>
      <c r="R2866">
        <v>-0.25535920000000001</v>
      </c>
      <c r="S2866">
        <v>-3.3120120000000002</v>
      </c>
      <c r="T2866">
        <v>-0.38441340000000002</v>
      </c>
      <c r="U2866">
        <v>-0.63681030000000005</v>
      </c>
      <c r="V2866">
        <v>-0.2652156</v>
      </c>
      <c r="W2866">
        <v>0.36934299999999998</v>
      </c>
      <c r="X2866">
        <v>0.89064379999999999</v>
      </c>
      <c r="Y2866">
        <v>-0.197661</v>
      </c>
      <c r="Z2866">
        <v>-1.378179E-2</v>
      </c>
      <c r="AA2866">
        <v>0.98017359999999998</v>
      </c>
      <c r="AB2866">
        <v>25</v>
      </c>
      <c r="AC2866">
        <v>-9.3119000000000298</v>
      </c>
      <c r="AD2866">
        <v>-1.1114543152474901</v>
      </c>
      <c r="AE2866">
        <v>-1.8434000000000299</v>
      </c>
      <c r="AF2866">
        <v>-1.91517302045017</v>
      </c>
      <c r="AG2866">
        <v>-1.1114543152474901</v>
      </c>
      <c r="AH2866">
        <v>9.1662941937430595</v>
      </c>
      <c r="AI2866">
        <v>96.768852324510704</v>
      </c>
      <c r="AJ2866">
        <v>101.80140385205399</v>
      </c>
      <c r="AK2866">
        <v>9.4299611684985294</v>
      </c>
      <c r="AL2866">
        <v>68.324895266093307</v>
      </c>
      <c r="AM2866">
        <v>106.582460531062</v>
      </c>
      <c r="AN2866">
        <v>0.99999997230539905</v>
      </c>
    </row>
    <row r="2867" spans="1:40" x14ac:dyDescent="0.25">
      <c r="A2867" t="str">
        <f>"20190304164908607"</f>
        <v>20190304164908607</v>
      </c>
      <c r="B2867" t="str">
        <f>"1551689348598968"</f>
        <v>1551689348598968</v>
      </c>
      <c r="C2867" t="s">
        <v>40</v>
      </c>
      <c r="D2867">
        <v>4.2484409999999997</v>
      </c>
      <c r="E2867">
        <v>0.53270890000000004</v>
      </c>
      <c r="F2867" t="s">
        <v>46</v>
      </c>
      <c r="G2867">
        <v>-454.25869999999998</v>
      </c>
      <c r="H2867" s="1">
        <v>7.878859E-7</v>
      </c>
      <c r="I2867">
        <v>283.2801</v>
      </c>
      <c r="J2867">
        <v>-444.99880000000002</v>
      </c>
      <c r="K2867">
        <v>1.111456</v>
      </c>
      <c r="L2867">
        <v>285.10629999999998</v>
      </c>
      <c r="M2867">
        <v>-0.99985579999999996</v>
      </c>
      <c r="N2867">
        <v>-1.384142E-2</v>
      </c>
      <c r="O2867">
        <v>9.8612049999999996E-3</v>
      </c>
      <c r="P2867">
        <v>-0.89823140000000001</v>
      </c>
      <c r="Q2867">
        <v>0.35678389999999999</v>
      </c>
      <c r="R2867">
        <v>-0.25668220000000003</v>
      </c>
      <c r="S2867">
        <v>-3.3125</v>
      </c>
      <c r="T2867">
        <v>-0.38724910000000001</v>
      </c>
      <c r="U2867">
        <v>-0.63562010000000002</v>
      </c>
      <c r="V2867">
        <v>-0.26594040000000002</v>
      </c>
      <c r="W2867">
        <v>0.36885020000000002</v>
      </c>
      <c r="X2867">
        <v>0.89063189999999903</v>
      </c>
      <c r="Y2867">
        <v>-0.19662260000000001</v>
      </c>
      <c r="Z2867">
        <v>-1.3733789999999999E-2</v>
      </c>
      <c r="AA2867">
        <v>0.980383</v>
      </c>
      <c r="AB2867">
        <v>25</v>
      </c>
      <c r="AC2867">
        <v>-9.2598999999999592</v>
      </c>
      <c r="AD2867">
        <v>-1.1114552121140999</v>
      </c>
      <c r="AE2867">
        <v>-1.8261999999999701</v>
      </c>
      <c r="AF2867">
        <v>-1.8912072583166999</v>
      </c>
      <c r="AG2867">
        <v>-1.1114552121140999</v>
      </c>
      <c r="AH2867">
        <v>9.1150361089731202</v>
      </c>
      <c r="AI2867">
        <v>96.808523172706501</v>
      </c>
      <c r="AJ2867">
        <v>101.72154026792499</v>
      </c>
      <c r="AK2867">
        <v>9.3752803078270208</v>
      </c>
      <c r="AL2867">
        <v>68.355275798012499</v>
      </c>
      <c r="AM2867">
        <v>106.625490013746</v>
      </c>
      <c r="AN2867">
        <v>0.99999997384490402</v>
      </c>
    </row>
    <row r="2868" spans="1:40" x14ac:dyDescent="0.25">
      <c r="A2868" t="str">
        <f>"20190304164908629"</f>
        <v>20190304164908629</v>
      </c>
      <c r="B2868" t="str">
        <f>"1551689348618487"</f>
        <v>1551689348618487</v>
      </c>
      <c r="C2868" t="s">
        <v>40</v>
      </c>
      <c r="D2868">
        <v>4.2221070000000003</v>
      </c>
      <c r="E2868">
        <v>0.53270329999999999</v>
      </c>
      <c r="F2868" t="s">
        <v>46</v>
      </c>
      <c r="G2868">
        <v>-454.4427</v>
      </c>
      <c r="H2868" s="1">
        <v>8.8513059999999899E-7</v>
      </c>
      <c r="I2868">
        <v>283.29500000000002</v>
      </c>
      <c r="J2868">
        <v>-445.24160000000001</v>
      </c>
      <c r="K2868">
        <v>1.111461</v>
      </c>
      <c r="L2868">
        <v>285.10789999999997</v>
      </c>
      <c r="M2868">
        <v>-0.99986260000000005</v>
      </c>
      <c r="N2868">
        <v>-1.380136E-2</v>
      </c>
      <c r="O2868">
        <v>9.1962080000000009E-3</v>
      </c>
      <c r="P2868">
        <v>-0.89798849999999997</v>
      </c>
      <c r="Q2868">
        <v>0.35673670000000002</v>
      </c>
      <c r="R2868">
        <v>-0.25759569999999998</v>
      </c>
      <c r="S2868">
        <v>-3.3131409999999999</v>
      </c>
      <c r="T2868">
        <v>-0.38992520000000003</v>
      </c>
      <c r="U2868">
        <v>-0.63543700000000003</v>
      </c>
      <c r="V2868">
        <v>-0.26625989999999999</v>
      </c>
      <c r="W2868">
        <v>0.3687629</v>
      </c>
      <c r="X2868">
        <v>0.89057260000000005</v>
      </c>
      <c r="Y2868">
        <v>-0.19587360000000001</v>
      </c>
      <c r="Z2868">
        <v>-1.3696649999999999E-2</v>
      </c>
      <c r="AA2868">
        <v>0.98053349999999995</v>
      </c>
      <c r="AB2868">
        <v>25</v>
      </c>
      <c r="AC2868">
        <v>-9.2010999999999896</v>
      </c>
      <c r="AD2868">
        <v>-1.1114601148693899</v>
      </c>
      <c r="AE2868">
        <v>-1.81289999999995</v>
      </c>
      <c r="AF2868">
        <v>-1.8711633455811501</v>
      </c>
      <c r="AG2868">
        <v>-1.1114601148693899</v>
      </c>
      <c r="AH2868">
        <v>9.0568210067701997</v>
      </c>
      <c r="AI2868">
        <v>96.853087043518201</v>
      </c>
      <c r="AJ2868">
        <v>101.673220902373</v>
      </c>
      <c r="AK2868">
        <v>9.3146445236233202</v>
      </c>
      <c r="AL2868">
        <v>68.360657281194193</v>
      </c>
      <c r="AM2868">
        <v>106.645406499583</v>
      </c>
      <c r="AN2868">
        <v>0.99999998331758999</v>
      </c>
    </row>
    <row r="2869" spans="1:40" x14ac:dyDescent="0.25">
      <c r="A2869" t="str">
        <f>"20190304164908651"</f>
        <v>20190304164908651</v>
      </c>
      <c r="B2869" t="str">
        <f>"1551689348648744"</f>
        <v>1551689348648744</v>
      </c>
      <c r="C2869" t="s">
        <v>40</v>
      </c>
      <c r="D2869">
        <v>4.216094</v>
      </c>
      <c r="E2869">
        <v>0.53276539999999994</v>
      </c>
      <c r="F2869" t="s">
        <v>46</v>
      </c>
      <c r="G2869">
        <v>-454.63909999999998</v>
      </c>
      <c r="H2869" s="1">
        <v>9.895088999999999E-7</v>
      </c>
      <c r="I2869">
        <v>283.2989</v>
      </c>
      <c r="J2869">
        <v>-445.49160000000001</v>
      </c>
      <c r="K2869">
        <v>1.111453</v>
      </c>
      <c r="L2869">
        <v>285.10939999999999</v>
      </c>
      <c r="M2869">
        <v>-0.99986929999999996</v>
      </c>
      <c r="N2869">
        <v>-1.3745220000000001E-2</v>
      </c>
      <c r="O2869">
        <v>8.5165669999999992E-3</v>
      </c>
      <c r="P2869">
        <v>-0.8976847</v>
      </c>
      <c r="Q2869">
        <v>0.35688940000000002</v>
      </c>
      <c r="R2869">
        <v>-0.2584417</v>
      </c>
      <c r="S2869">
        <v>-3.3135379999999999</v>
      </c>
      <c r="T2869">
        <v>-0.39189619999999997</v>
      </c>
      <c r="U2869">
        <v>-0.63784790000000002</v>
      </c>
      <c r="V2869">
        <v>-0.26649479999999998</v>
      </c>
      <c r="W2869">
        <v>0.36886350000000001</v>
      </c>
      <c r="X2869">
        <v>0.89046069999999999</v>
      </c>
      <c r="Y2869">
        <v>-0.19586390000000001</v>
      </c>
      <c r="Z2869">
        <v>-1.368113E-2</v>
      </c>
      <c r="AA2869">
        <v>0.98053559999999995</v>
      </c>
      <c r="AB2869">
        <v>25</v>
      </c>
      <c r="AC2869">
        <v>-9.1474999999999795</v>
      </c>
      <c r="AD2869">
        <v>-1.1114520104911001</v>
      </c>
      <c r="AE2869">
        <v>-1.81049999999999</v>
      </c>
      <c r="AF2869">
        <v>-1.8618958693130301</v>
      </c>
      <c r="AG2869">
        <v>-1.1114520104911001</v>
      </c>
      <c r="AH2869">
        <v>9.0038340939494805</v>
      </c>
      <c r="AI2869">
        <v>96.892727830496696</v>
      </c>
      <c r="AJ2869">
        <v>101.683472076642</v>
      </c>
      <c r="AK2869">
        <v>9.2612639629349101</v>
      </c>
      <c r="AL2869">
        <v>68.354456756603497</v>
      </c>
      <c r="AM2869">
        <v>106.661255440839</v>
      </c>
      <c r="AN2869">
        <v>1.0000000091518899</v>
      </c>
    </row>
    <row r="2870" spans="1:40" x14ac:dyDescent="0.25">
      <c r="A2870" t="str">
        <f>"20190304164908674"</f>
        <v>20190304164908674</v>
      </c>
      <c r="B2870" t="str">
        <f>"1551689348669239"</f>
        <v>1551689348669239</v>
      </c>
      <c r="C2870" t="s">
        <v>40</v>
      </c>
      <c r="D2870">
        <v>4.1789009999999998</v>
      </c>
      <c r="E2870">
        <v>0.53281210000000001</v>
      </c>
      <c r="F2870" t="s">
        <v>46</v>
      </c>
      <c r="G2870">
        <v>-454.84219999999999</v>
      </c>
      <c r="H2870" s="1">
        <v>1.097413E-6</v>
      </c>
      <c r="I2870">
        <v>283.30220000000003</v>
      </c>
      <c r="J2870">
        <v>-445.74810000000002</v>
      </c>
      <c r="K2870">
        <v>1.111435</v>
      </c>
      <c r="L2870">
        <v>285.11079999999998</v>
      </c>
      <c r="M2870">
        <v>-0.99987579999999998</v>
      </c>
      <c r="N2870">
        <v>-1.36764E-2</v>
      </c>
      <c r="O2870">
        <v>7.8323890000000004E-3</v>
      </c>
      <c r="P2870">
        <v>-0.89767109999999894</v>
      </c>
      <c r="Q2870">
        <v>0.35638839999999999</v>
      </c>
      <c r="R2870">
        <v>-0.25917960000000001</v>
      </c>
      <c r="S2870">
        <v>-3.3140869999999998</v>
      </c>
      <c r="T2870">
        <v>-0.39392949999999999</v>
      </c>
      <c r="U2870">
        <v>-0.64053340000000003</v>
      </c>
      <c r="V2870">
        <v>-0.26661560000000001</v>
      </c>
      <c r="W2870">
        <v>0.36830540000000001</v>
      </c>
      <c r="X2870">
        <v>0.89065550000000004</v>
      </c>
      <c r="Y2870">
        <v>-0.1959187</v>
      </c>
      <c r="Z2870">
        <v>-1.3668649999999999E-2</v>
      </c>
      <c r="AA2870">
        <v>0.98052490000000003</v>
      </c>
      <c r="AB2870">
        <v>25</v>
      </c>
      <c r="AC2870">
        <v>-9.0940999999999601</v>
      </c>
      <c r="AD2870">
        <v>-1.1114339025869999</v>
      </c>
      <c r="AE2870">
        <v>-1.80859999999995</v>
      </c>
      <c r="AF2870">
        <v>-1.85315326705052</v>
      </c>
      <c r="AG2870">
        <v>-1.1114339025869999</v>
      </c>
      <c r="AH2870">
        <v>8.9510438183481593</v>
      </c>
      <c r="AI2870">
        <v>96.932541670558294</v>
      </c>
      <c r="AJ2870">
        <v>101.69681570903001</v>
      </c>
      <c r="AK2870">
        <v>9.2081837399667794</v>
      </c>
      <c r="AL2870">
        <v>68.388854793545093</v>
      </c>
      <c r="AM2870">
        <v>106.664945521251</v>
      </c>
      <c r="AN2870">
        <v>0.99999998275638402</v>
      </c>
    </row>
    <row r="2871" spans="1:40" x14ac:dyDescent="0.25">
      <c r="A2871" t="str">
        <f>"20190304164908696"</f>
        <v>20190304164908696</v>
      </c>
      <c r="B2871" t="str">
        <f>"1551689348688762"</f>
        <v>1551689348688762</v>
      </c>
      <c r="C2871" t="s">
        <v>40</v>
      </c>
      <c r="D2871">
        <v>4.1872730000000002</v>
      </c>
      <c r="E2871">
        <v>0.5329043</v>
      </c>
      <c r="F2871" t="s">
        <v>46</v>
      </c>
      <c r="G2871">
        <v>-455.02980000000002</v>
      </c>
      <c r="H2871" s="1">
        <v>1.196971E-6</v>
      </c>
      <c r="I2871">
        <v>283.30860000000001</v>
      </c>
      <c r="J2871">
        <v>-445.99459999999999</v>
      </c>
      <c r="K2871">
        <v>1.111405</v>
      </c>
      <c r="L2871">
        <v>285.11200000000002</v>
      </c>
      <c r="M2871">
        <v>-0.99988180000000004</v>
      </c>
      <c r="N2871">
        <v>-1.3591489999999999E-2</v>
      </c>
      <c r="O2871">
        <v>7.191149E-3</v>
      </c>
      <c r="P2871">
        <v>-0.89777419999999997</v>
      </c>
      <c r="Q2871">
        <v>0.35639280000000001</v>
      </c>
      <c r="R2871">
        <v>-0.25881609999999999</v>
      </c>
      <c r="S2871">
        <v>-3.3137819999999998</v>
      </c>
      <c r="T2871">
        <v>-0.39680769999999999</v>
      </c>
      <c r="U2871">
        <v>-0.64343260000000002</v>
      </c>
      <c r="V2871">
        <v>-0.26567010000000002</v>
      </c>
      <c r="W2871">
        <v>0.36824509999999999</v>
      </c>
      <c r="X2871">
        <v>0.89096299999999995</v>
      </c>
      <c r="Y2871">
        <v>-0.19611529999999999</v>
      </c>
      <c r="Z2871">
        <v>-1.3697020000000001E-2</v>
      </c>
      <c r="AA2871">
        <v>0.98048519999999995</v>
      </c>
      <c r="AB2871">
        <v>25</v>
      </c>
      <c r="AC2871">
        <v>-9.0352000000000299</v>
      </c>
      <c r="AD2871">
        <v>-1.1114038030290001</v>
      </c>
      <c r="AE2871">
        <v>-1.8034000000000101</v>
      </c>
      <c r="AF2871">
        <v>-1.84153606808572</v>
      </c>
      <c r="AG2871">
        <v>-1.1114038030290001</v>
      </c>
      <c r="AH2871">
        <v>8.8925976712044505</v>
      </c>
      <c r="AI2871">
        <v>96.977396107063697</v>
      </c>
      <c r="AJ2871">
        <v>101.699799959895</v>
      </c>
      <c r="AK2871">
        <v>9.1490309238388097</v>
      </c>
      <c r="AL2871">
        <v>68.392572697474904</v>
      </c>
      <c r="AM2871">
        <v>106.60369075820699</v>
      </c>
      <c r="AN2871">
        <v>1.0000000615385001</v>
      </c>
    </row>
    <row r="2872" spans="1:40" x14ac:dyDescent="0.25">
      <c r="A2872" t="str">
        <f>"20190304164908719"</f>
        <v>20190304164908719</v>
      </c>
      <c r="B2872" t="str">
        <f>"1551689348708279"</f>
        <v>1551689348708279</v>
      </c>
      <c r="C2872" t="s">
        <v>40</v>
      </c>
      <c r="D2872">
        <v>4.1771370000000001</v>
      </c>
      <c r="E2872">
        <v>0.53294430000000004</v>
      </c>
      <c r="F2872" t="s">
        <v>46</v>
      </c>
      <c r="G2872">
        <v>-455.27449999999999</v>
      </c>
      <c r="H2872" s="1">
        <v>1.3271529999999999E-6</v>
      </c>
      <c r="I2872">
        <v>283.30970000000002</v>
      </c>
      <c r="J2872">
        <v>-446.24270000000001</v>
      </c>
      <c r="K2872">
        <v>1.111372</v>
      </c>
      <c r="L2872">
        <v>285.113</v>
      </c>
      <c r="M2872">
        <v>-0.99988759999999999</v>
      </c>
      <c r="N2872">
        <v>-1.348443E-2</v>
      </c>
      <c r="O2872">
        <v>6.5648759999999999E-3</v>
      </c>
      <c r="P2872">
        <v>-0.89796529999999997</v>
      </c>
      <c r="Q2872">
        <v>0.3561029</v>
      </c>
      <c r="R2872">
        <v>-0.25855280000000003</v>
      </c>
      <c r="S2872">
        <v>-3.3136290000000002</v>
      </c>
      <c r="T2872">
        <v>-0.39685670000000001</v>
      </c>
      <c r="U2872">
        <v>-0.64355469999999904</v>
      </c>
      <c r="V2872">
        <v>-0.26483390000000001</v>
      </c>
      <c r="W2872">
        <v>0.36787449999999999</v>
      </c>
      <c r="X2872">
        <v>0.89136489999999902</v>
      </c>
      <c r="Y2872">
        <v>-0.1955529</v>
      </c>
      <c r="Z2872">
        <v>-1.358636E-2</v>
      </c>
      <c r="AA2872">
        <v>0.980599</v>
      </c>
      <c r="AB2872">
        <v>25</v>
      </c>
      <c r="AC2872">
        <v>-9.0317999999999703</v>
      </c>
      <c r="AD2872">
        <v>-1.1113706728470001</v>
      </c>
      <c r="AE2872">
        <v>-1.8032999999999699</v>
      </c>
      <c r="AF2872">
        <v>-1.83582760524529</v>
      </c>
      <c r="AG2872">
        <v>-1.1113706728470001</v>
      </c>
      <c r="AH2872">
        <v>8.8903135934906192</v>
      </c>
      <c r="AI2872">
        <v>96.979772097140199</v>
      </c>
      <c r="AJ2872">
        <v>101.66744246230699</v>
      </c>
      <c r="AK2872">
        <v>9.1456592741720399</v>
      </c>
      <c r="AL2872">
        <v>68.415408529661903</v>
      </c>
      <c r="AM2872">
        <v>106.547239028074</v>
      </c>
      <c r="AN2872">
        <v>1.0000000136457301</v>
      </c>
    </row>
    <row r="2873" spans="1:40" x14ac:dyDescent="0.25">
      <c r="A2873" t="str">
        <f>"20190304164908741"</f>
        <v>20190304164908741</v>
      </c>
      <c r="B2873" t="str">
        <f>"1551689348728775"</f>
        <v>1551689348728775</v>
      </c>
      <c r="C2873" t="s">
        <v>40</v>
      </c>
      <c r="D2873">
        <v>4.1573229999999999</v>
      </c>
      <c r="E2873">
        <v>0.533003</v>
      </c>
      <c r="F2873" t="s">
        <v>46</v>
      </c>
      <c r="G2873">
        <v>-455.48419999999999</v>
      </c>
      <c r="H2873" s="1">
        <v>1.4383930000000001E-6</v>
      </c>
      <c r="I2873">
        <v>283.31740000000002</v>
      </c>
      <c r="J2873">
        <v>-446.49259999999998</v>
      </c>
      <c r="K2873">
        <v>1.1113360000000001</v>
      </c>
      <c r="L2873">
        <v>285.1139</v>
      </c>
      <c r="M2873">
        <v>-0.99989300000000003</v>
      </c>
      <c r="N2873">
        <v>-1.3368720000000001E-2</v>
      </c>
      <c r="O2873">
        <v>5.9521549999999998E-3</v>
      </c>
      <c r="P2873">
        <v>-0.89784920000000001</v>
      </c>
      <c r="Q2873">
        <v>0.35641129999999999</v>
      </c>
      <c r="R2873">
        <v>-0.25853029999999999</v>
      </c>
      <c r="S2873">
        <v>-3.3135680000000001</v>
      </c>
      <c r="T2873">
        <v>-0.39848689999999998</v>
      </c>
      <c r="U2873">
        <v>-0.64382930000000005</v>
      </c>
      <c r="V2873">
        <v>-0.2642449</v>
      </c>
      <c r="W2873">
        <v>0.36809350000000002</v>
      </c>
      <c r="X2873">
        <v>0.8914493</v>
      </c>
      <c r="Y2873">
        <v>-0.1950305</v>
      </c>
      <c r="Z2873">
        <v>-1.352692E-2</v>
      </c>
      <c r="AA2873">
        <v>0.98070389999999996</v>
      </c>
      <c r="AB2873">
        <v>25</v>
      </c>
      <c r="AC2873">
        <v>-8.9916</v>
      </c>
      <c r="AD2873">
        <v>-1.1113345616069901</v>
      </c>
      <c r="AE2873">
        <v>-1.79649999999998</v>
      </c>
      <c r="AF2873">
        <v>-1.8232097441605499</v>
      </c>
      <c r="AG2873">
        <v>-1.1113345616069901</v>
      </c>
      <c r="AH2873">
        <v>8.8507311439490497</v>
      </c>
      <c r="AI2873">
        <v>97.011141214319395</v>
      </c>
      <c r="AJ2873">
        <v>101.63984661260599</v>
      </c>
      <c r="AK2873">
        <v>9.1046471684241492</v>
      </c>
      <c r="AL2873">
        <v>68.401914078497796</v>
      </c>
      <c r="AM2873">
        <v>106.510965374264</v>
      </c>
      <c r="AN2873">
        <v>1.00000002319437</v>
      </c>
    </row>
    <row r="2874" spans="1:40" x14ac:dyDescent="0.25">
      <c r="A2874" t="str">
        <f>"20190304164908764"</f>
        <v>20190304164908764</v>
      </c>
      <c r="B2874" t="str">
        <f>"1551689348759034"</f>
        <v>1551689348759034</v>
      </c>
      <c r="C2874" t="s">
        <v>40</v>
      </c>
      <c r="D2874">
        <v>4.1452669999999996</v>
      </c>
      <c r="E2874">
        <v>0.53295119999999996</v>
      </c>
      <c r="F2874" t="s">
        <v>46</v>
      </c>
      <c r="G2874">
        <v>-455.77190000000002</v>
      </c>
      <c r="H2874" s="1">
        <v>1.5917949999999901E-6</v>
      </c>
      <c r="I2874">
        <v>283.31020000000001</v>
      </c>
      <c r="J2874">
        <v>-446.7559</v>
      </c>
      <c r="K2874">
        <v>1.111286</v>
      </c>
      <c r="L2874">
        <v>285.11470000000003</v>
      </c>
      <c r="M2874">
        <v>-0.99989830000000002</v>
      </c>
      <c r="N2874">
        <v>-1.323292E-2</v>
      </c>
      <c r="O2874">
        <v>5.3400899999999996E-3</v>
      </c>
      <c r="P2874">
        <v>-0.89808319999999997</v>
      </c>
      <c r="Q2874">
        <v>0.35653049999999997</v>
      </c>
      <c r="R2874">
        <v>-0.25755129999999998</v>
      </c>
      <c r="S2874">
        <v>-3.3133539999999999</v>
      </c>
      <c r="T2874">
        <v>-0.39682640000000002</v>
      </c>
      <c r="U2874">
        <v>-0.64407349999999997</v>
      </c>
      <c r="V2874">
        <v>-0.2626925</v>
      </c>
      <c r="W2874">
        <v>0.36811660000000002</v>
      </c>
      <c r="X2874">
        <v>0.89189850000000004</v>
      </c>
      <c r="Y2874">
        <v>-0.1945325</v>
      </c>
      <c r="Z2874">
        <v>-1.3366940000000001E-2</v>
      </c>
      <c r="AA2874">
        <v>0.98080500000000004</v>
      </c>
      <c r="AB2874">
        <v>25</v>
      </c>
      <c r="AC2874">
        <v>-9.0160000000000196</v>
      </c>
      <c r="AD2874">
        <v>-1.111284408205</v>
      </c>
      <c r="AE2874">
        <v>-1.80450000000001</v>
      </c>
      <c r="AF2874">
        <v>-1.82595277934376</v>
      </c>
      <c r="AG2874">
        <v>-1.111284408205</v>
      </c>
      <c r="AH2874">
        <v>8.8765730400673295</v>
      </c>
      <c r="AI2874">
        <v>96.991017284558197</v>
      </c>
      <c r="AJ2874">
        <v>101.62386870866101</v>
      </c>
      <c r="AK2874">
        <v>9.1303124548923797</v>
      </c>
      <c r="AL2874">
        <v>68.400491373821495</v>
      </c>
      <c r="AM2874">
        <v>106.411379568171</v>
      </c>
      <c r="AN2874">
        <v>1.00000005752702</v>
      </c>
    </row>
    <row r="2875" spans="1:40" x14ac:dyDescent="0.25">
      <c r="A2875" t="str">
        <f>"20190304164908786"</f>
        <v>20190304164908786</v>
      </c>
      <c r="B2875" t="str">
        <f>"1551689348778551"</f>
        <v>1551689348778551</v>
      </c>
      <c r="C2875" t="s">
        <v>40</v>
      </c>
      <c r="D2875">
        <v>4.1381670000000002</v>
      </c>
      <c r="E2875">
        <v>0.53292580000000001</v>
      </c>
      <c r="F2875" t="s">
        <v>46</v>
      </c>
      <c r="G2875">
        <v>-456.02280000000002</v>
      </c>
      <c r="H2875" s="1">
        <v>1.72517599999999E-6</v>
      </c>
      <c r="I2875">
        <v>283.31389999999999</v>
      </c>
      <c r="J2875">
        <v>-447.00349999999997</v>
      </c>
      <c r="K2875">
        <v>1.1112229999999901</v>
      </c>
      <c r="L2875">
        <v>285.11540000000002</v>
      </c>
      <c r="M2875">
        <v>-0.99990290000000004</v>
      </c>
      <c r="N2875">
        <v>-1.308836E-2</v>
      </c>
      <c r="O2875">
        <v>4.8134600000000003E-3</v>
      </c>
      <c r="P2875">
        <v>-0.89842909999999998</v>
      </c>
      <c r="Q2875">
        <v>0.35630689999999998</v>
      </c>
      <c r="R2875">
        <v>-0.25665339999999998</v>
      </c>
      <c r="S2875">
        <v>-3.313507</v>
      </c>
      <c r="T2875">
        <v>-0.39735470000000001</v>
      </c>
      <c r="U2875">
        <v>-0.64392090000000002</v>
      </c>
      <c r="V2875">
        <v>-0.26128889999999999</v>
      </c>
      <c r="W2875">
        <v>0.36779689999999998</v>
      </c>
      <c r="X2875">
        <v>0.89244249999999903</v>
      </c>
      <c r="Y2875">
        <v>-0.19396910000000001</v>
      </c>
      <c r="Z2875">
        <v>-1.3276359999999999E-2</v>
      </c>
      <c r="AA2875">
        <v>0.98091779999999995</v>
      </c>
      <c r="AB2875">
        <v>25</v>
      </c>
      <c r="AC2875">
        <v>-9.0193000000000403</v>
      </c>
      <c r="AD2875">
        <v>-1.11122127482399</v>
      </c>
      <c r="AE2875">
        <v>-1.8015000000000301</v>
      </c>
      <c r="AF2875">
        <v>-1.8183542301961599</v>
      </c>
      <c r="AG2875">
        <v>-1.11122127482399</v>
      </c>
      <c r="AH2875">
        <v>8.8808883332220407</v>
      </c>
      <c r="AI2875">
        <v>96.988562823568998</v>
      </c>
      <c r="AJ2875">
        <v>101.571331884497</v>
      </c>
      <c r="AK2875">
        <v>9.1329843104679203</v>
      </c>
      <c r="AL2875">
        <v>68.420190324234696</v>
      </c>
      <c r="AM2875">
        <v>106.318950770981</v>
      </c>
      <c r="AN2875">
        <v>1.0000000323595299</v>
      </c>
    </row>
    <row r="2876" spans="1:40" x14ac:dyDescent="0.25">
      <c r="A2876" t="str">
        <f>"20190304164908809"</f>
        <v>20190304164908809</v>
      </c>
      <c r="B2876" t="str">
        <f>"1551689348799047"</f>
        <v>1551689348799047</v>
      </c>
      <c r="C2876" t="s">
        <v>40</v>
      </c>
      <c r="D2876">
        <v>4.1337390000000003</v>
      </c>
      <c r="E2876">
        <v>0.53285349999999998</v>
      </c>
      <c r="F2876" t="s">
        <v>46</v>
      </c>
      <c r="G2876">
        <v>-456.24959999999999</v>
      </c>
      <c r="H2876" s="1">
        <v>1.8455829999999999E-6</v>
      </c>
      <c r="I2876">
        <v>283.32010000000002</v>
      </c>
      <c r="J2876">
        <v>-447.25229999999999</v>
      </c>
      <c r="K2876">
        <v>1.1111470000000001</v>
      </c>
      <c r="L2876">
        <v>285.11599999999999</v>
      </c>
      <c r="M2876">
        <v>-0.99990699999999999</v>
      </c>
      <c r="N2876">
        <v>-1.292898E-2</v>
      </c>
      <c r="O2876">
        <v>4.3437479999999997E-3</v>
      </c>
      <c r="P2876">
        <v>-0.89878639999999999</v>
      </c>
      <c r="Q2876">
        <v>0.35622599999999999</v>
      </c>
      <c r="R2876">
        <v>-0.25551239999999997</v>
      </c>
      <c r="S2876">
        <v>-3.3132929999999998</v>
      </c>
      <c r="T2876">
        <v>-0.39820060000000002</v>
      </c>
      <c r="U2876">
        <v>-0.6433411</v>
      </c>
      <c r="V2876">
        <v>-0.25968419999999998</v>
      </c>
      <c r="W2876">
        <v>0.36761159999999998</v>
      </c>
      <c r="X2876">
        <v>0.89298709999999903</v>
      </c>
      <c r="Y2876">
        <v>-0.19335749999999999</v>
      </c>
      <c r="Z2876">
        <v>-1.3197850000000001E-2</v>
      </c>
      <c r="AA2876">
        <v>0.98103960000000001</v>
      </c>
      <c r="AB2876">
        <v>25</v>
      </c>
      <c r="AC2876">
        <v>-8.9972999999999903</v>
      </c>
      <c r="AD2876">
        <v>-1.1111451544169999</v>
      </c>
      <c r="AE2876">
        <v>-1.7958999999999601</v>
      </c>
      <c r="AF2876">
        <v>-1.80844336102792</v>
      </c>
      <c r="AG2876">
        <v>-1.1111451544169999</v>
      </c>
      <c r="AH2876">
        <v>8.8594691114309398</v>
      </c>
      <c r="AI2876">
        <v>97.005664848839899</v>
      </c>
      <c r="AJ2876">
        <v>101.53703230200099</v>
      </c>
      <c r="AK2876">
        <v>9.1101758424648107</v>
      </c>
      <c r="AL2876">
        <v>68.431607828918402</v>
      </c>
      <c r="AM2876">
        <v>106.21464086242599</v>
      </c>
      <c r="AN2876">
        <v>1.0000000664752999</v>
      </c>
    </row>
    <row r="2877" spans="1:40" x14ac:dyDescent="0.25">
      <c r="A2877" t="str">
        <f>"20190304164908831"</f>
        <v>20190304164908831</v>
      </c>
      <c r="B2877" t="str">
        <f>"1551689348818567"</f>
        <v>1551689348818567</v>
      </c>
      <c r="C2877" t="s">
        <v>40</v>
      </c>
      <c r="D2877">
        <v>4.1060800000000004</v>
      </c>
      <c r="E2877">
        <v>0.53279489999999996</v>
      </c>
      <c r="F2877" t="s">
        <v>46</v>
      </c>
      <c r="G2877">
        <v>-456.48970000000003</v>
      </c>
      <c r="H2877" s="1">
        <v>1.9730410000000001E-6</v>
      </c>
      <c r="I2877">
        <v>283.32740000000001</v>
      </c>
      <c r="J2877">
        <v>-447.49869999999999</v>
      </c>
      <c r="K2877">
        <v>1.111051</v>
      </c>
      <c r="L2877">
        <v>285.11660000000001</v>
      </c>
      <c r="M2877">
        <v>-0.99991079999999999</v>
      </c>
      <c r="N2877">
        <v>-1.276425E-2</v>
      </c>
      <c r="O2877">
        <v>3.9501329999999998E-3</v>
      </c>
      <c r="P2877">
        <v>-0.89933539999999901</v>
      </c>
      <c r="Q2877">
        <v>0.355522</v>
      </c>
      <c r="R2877">
        <v>-0.2545578</v>
      </c>
      <c r="S2877">
        <v>-3.3133539999999999</v>
      </c>
      <c r="T2877">
        <v>-0.3985572</v>
      </c>
      <c r="U2877">
        <v>-0.641571</v>
      </c>
      <c r="V2877">
        <v>-0.25832880000000003</v>
      </c>
      <c r="W2877">
        <v>0.36680469999999998</v>
      </c>
      <c r="X2877">
        <v>0.89371160000000005</v>
      </c>
      <c r="Y2877">
        <v>-0.19247110000000001</v>
      </c>
      <c r="Z2877">
        <v>-1.3093230000000001E-2</v>
      </c>
      <c r="AA2877">
        <v>0.98121530000000001</v>
      </c>
      <c r="AB2877">
        <v>25</v>
      </c>
      <c r="AC2877">
        <v>-8.9910000000000405</v>
      </c>
      <c r="AD2877">
        <v>-1.1110490269589901</v>
      </c>
      <c r="AE2877">
        <v>-1.7891999999999899</v>
      </c>
      <c r="AF2877">
        <v>-1.79828999879202</v>
      </c>
      <c r="AG2877">
        <v>-1.1110490269589901</v>
      </c>
      <c r="AH2877">
        <v>8.8538105520180892</v>
      </c>
      <c r="AI2877">
        <v>97.010876359630103</v>
      </c>
      <c r="AJ2877">
        <v>101.48111959225599</v>
      </c>
      <c r="AK2877">
        <v>9.1026500619923301</v>
      </c>
      <c r="AL2877">
        <v>68.4813093514082</v>
      </c>
      <c r="AM2877">
        <v>106.122024309564</v>
      </c>
      <c r="AN2877">
        <v>0.99999994041304296</v>
      </c>
    </row>
    <row r="2878" spans="1:40" x14ac:dyDescent="0.25">
      <c r="A2878" t="str">
        <f>"20190304164908853"</f>
        <v>20190304164908853</v>
      </c>
      <c r="B2878" t="str">
        <f>"1551689348848826"</f>
        <v>1551689348848826</v>
      </c>
      <c r="C2878" t="s">
        <v>40</v>
      </c>
      <c r="D2878">
        <v>4.1451849999999997</v>
      </c>
      <c r="E2878">
        <v>0.53262759999999998</v>
      </c>
      <c r="F2878" t="s">
        <v>46</v>
      </c>
      <c r="G2878">
        <v>-456.67610000000002</v>
      </c>
      <c r="H2878" s="1">
        <v>2.071454E-6</v>
      </c>
      <c r="I2878">
        <v>283.34500000000003</v>
      </c>
      <c r="J2878">
        <v>-447.75009999999997</v>
      </c>
      <c r="K2878">
        <v>1.1109659999999999</v>
      </c>
      <c r="L2878">
        <v>285.11720000000003</v>
      </c>
      <c r="M2878">
        <v>-0.99991410000000003</v>
      </c>
      <c r="N2878">
        <v>-1.2600220000000001E-2</v>
      </c>
      <c r="O2878">
        <v>3.6345209999999999E-3</v>
      </c>
      <c r="P2878">
        <v>-0.90004390000000001</v>
      </c>
      <c r="Q2878">
        <v>0.35428179999999998</v>
      </c>
      <c r="R2878">
        <v>-0.25378200000000001</v>
      </c>
      <c r="S2878">
        <v>-3.3133539999999999</v>
      </c>
      <c r="T2878">
        <v>-0.40112589999999998</v>
      </c>
      <c r="U2878">
        <v>-0.63961789999999996</v>
      </c>
      <c r="V2878">
        <v>-0.25721690000000003</v>
      </c>
      <c r="W2878">
        <v>0.36546699999999999</v>
      </c>
      <c r="X2878">
        <v>0.89457999999999904</v>
      </c>
      <c r="Y2878">
        <v>-0.1915956</v>
      </c>
      <c r="Z2878">
        <v>-1.306295E-2</v>
      </c>
      <c r="AA2878">
        <v>0.98138700000000001</v>
      </c>
      <c r="AB2878">
        <v>25</v>
      </c>
      <c r="AC2878">
        <v>-8.9260000000000392</v>
      </c>
      <c r="AD2878">
        <v>-1.11096392854599</v>
      </c>
      <c r="AE2878">
        <v>-1.77219999999999</v>
      </c>
      <c r="AF2878">
        <v>-1.7781317860199199</v>
      </c>
      <c r="AG2878">
        <v>-1.11096392854599</v>
      </c>
      <c r="AH2878">
        <v>8.7885176434847292</v>
      </c>
      <c r="AI2878">
        <v>97.062971248445805</v>
      </c>
      <c r="AJ2878">
        <v>101.437932533964</v>
      </c>
      <c r="AK2878">
        <v>9.0351555531062804</v>
      </c>
      <c r="AL2878">
        <v>68.563674926460905</v>
      </c>
      <c r="AM2878">
        <v>106.041431116509</v>
      </c>
      <c r="AN2878">
        <v>1.0000000190673</v>
      </c>
    </row>
    <row r="2879" spans="1:40" x14ac:dyDescent="0.25">
      <c r="A2879" t="str">
        <f>"20190304164908876"</f>
        <v>20190304164908876</v>
      </c>
      <c r="B2879" t="str">
        <f>"1551689348868343"</f>
        <v>1551689348868343</v>
      </c>
      <c r="C2879" t="s">
        <v>40</v>
      </c>
      <c r="D2879">
        <v>4.1316050000000004</v>
      </c>
      <c r="E2879">
        <v>0.53251939999999998</v>
      </c>
      <c r="F2879" t="s">
        <v>46</v>
      </c>
      <c r="G2879">
        <v>-456.82769999999999</v>
      </c>
      <c r="H2879" s="1">
        <v>2.1511949999999999E-6</v>
      </c>
      <c r="I2879">
        <v>283.36709999999999</v>
      </c>
      <c r="J2879">
        <v>-448.00450000000001</v>
      </c>
      <c r="K2879">
        <v>1.1108849999999999</v>
      </c>
      <c r="L2879">
        <v>285.11790000000002</v>
      </c>
      <c r="M2879">
        <v>-0.99991669999999999</v>
      </c>
      <c r="N2879">
        <v>-1.244722E-2</v>
      </c>
      <c r="O2879">
        <v>3.414392E-3</v>
      </c>
      <c r="P2879">
        <v>-0.9005609</v>
      </c>
      <c r="Q2879">
        <v>0.3533423</v>
      </c>
      <c r="R2879">
        <v>-0.25325750000000002</v>
      </c>
      <c r="S2879">
        <v>-3.3127140000000002</v>
      </c>
      <c r="T2879">
        <v>-0.40542689999999998</v>
      </c>
      <c r="U2879">
        <v>-0.6387024</v>
      </c>
      <c r="V2879">
        <v>-0.2564379</v>
      </c>
      <c r="W2879">
        <v>0.3644387</v>
      </c>
      <c r="X2879">
        <v>0.89522289999999904</v>
      </c>
      <c r="Y2879">
        <v>-0.1911284</v>
      </c>
      <c r="Z2879">
        <v>-1.3122740000000001E-2</v>
      </c>
      <c r="AA2879">
        <v>0.9814773</v>
      </c>
      <c r="AB2879">
        <v>25</v>
      </c>
      <c r="AC2879">
        <v>-8.8231999999999804</v>
      </c>
      <c r="AD2879">
        <v>-1.110882848805</v>
      </c>
      <c r="AE2879">
        <v>-1.7508000000000199</v>
      </c>
      <c r="AF2879">
        <v>-1.75416438678624</v>
      </c>
      <c r="AG2879">
        <v>-1.110882848805</v>
      </c>
      <c r="AH2879">
        <v>8.6847154140283394</v>
      </c>
      <c r="AI2879">
        <v>97.146475020618595</v>
      </c>
      <c r="AJ2879">
        <v>101.419135237283</v>
      </c>
      <c r="AK2879">
        <v>8.9294700415142092</v>
      </c>
      <c r="AL2879">
        <v>68.626956606426802</v>
      </c>
      <c r="AM2879">
        <v>105.98443717347</v>
      </c>
      <c r="AN2879">
        <v>1.0000000016492501</v>
      </c>
    </row>
    <row r="2880" spans="1:40" x14ac:dyDescent="0.25">
      <c r="A2880" t="str">
        <f>"20190304164908890"</f>
        <v>20190304164908890</v>
      </c>
      <c r="B2880" t="str">
        <f>"1551689348879079"</f>
        <v>1551689348879079</v>
      </c>
      <c r="C2880" t="s">
        <v>40</v>
      </c>
      <c r="D2880">
        <v>4.1453419999999896</v>
      </c>
      <c r="E2880">
        <v>0.53242230000000001</v>
      </c>
      <c r="F2880" t="s">
        <v>46</v>
      </c>
      <c r="G2880">
        <v>-457.00279999999998</v>
      </c>
      <c r="H2880" s="1">
        <v>2.243653E-6</v>
      </c>
      <c r="I2880">
        <v>283.38330000000002</v>
      </c>
      <c r="J2880">
        <v>-448.1728</v>
      </c>
      <c r="K2880">
        <v>1.110832</v>
      </c>
      <c r="L2880">
        <v>285.11829999999998</v>
      </c>
      <c r="M2880">
        <v>-0.99991819999999998</v>
      </c>
      <c r="N2880">
        <v>-1.235499E-2</v>
      </c>
      <c r="O2880">
        <v>3.3336860000000002E-3</v>
      </c>
      <c r="P2880">
        <v>-0.90081800000000001</v>
      </c>
      <c r="Q2880">
        <v>0.35289189999999998</v>
      </c>
      <c r="R2880">
        <v>-0.25297069999999999</v>
      </c>
      <c r="S2880">
        <v>-3.3121339999999901</v>
      </c>
      <c r="T2880">
        <v>-0.40889619999999999</v>
      </c>
      <c r="U2880">
        <v>-0.63845830000000003</v>
      </c>
      <c r="V2880">
        <v>-0.25604070000000001</v>
      </c>
      <c r="W2880">
        <v>0.36393609999999998</v>
      </c>
      <c r="X2880">
        <v>0.89554100000000003</v>
      </c>
      <c r="Y2880">
        <v>-0.1909883</v>
      </c>
      <c r="Z2880">
        <v>-1.319967E-2</v>
      </c>
      <c r="AA2880">
        <v>0.98150349999999997</v>
      </c>
      <c r="AB2880">
        <v>25</v>
      </c>
      <c r="AC2880">
        <v>-8.8299999999999805</v>
      </c>
      <c r="AD2880">
        <v>-1.110829756347</v>
      </c>
      <c r="AE2880">
        <v>-1.7349999999999499</v>
      </c>
      <c r="AF2880">
        <v>-1.7379465876057101</v>
      </c>
      <c r="AG2880">
        <v>-1.110829756347</v>
      </c>
      <c r="AH2880">
        <v>8.6917238932737106</v>
      </c>
      <c r="AI2880">
        <v>97.143204183921995</v>
      </c>
      <c r="AJ2880">
        <v>101.307408535972</v>
      </c>
      <c r="AK2880">
        <v>8.9331106186961193</v>
      </c>
      <c r="AL2880">
        <v>68.657876943596193</v>
      </c>
      <c r="AM2880">
        <v>105.955559951954</v>
      </c>
      <c r="AN2880">
        <v>1.00000000381035</v>
      </c>
    </row>
    <row r="2881" spans="1:40" x14ac:dyDescent="0.25">
      <c r="A2881" t="str">
        <f>"20190304164908908"</f>
        <v>20190304164908908</v>
      </c>
      <c r="B2881" t="str">
        <f>"1551689348898599"</f>
        <v>1551689348898599</v>
      </c>
      <c r="C2881" t="s">
        <v>40</v>
      </c>
      <c r="D2881">
        <v>4.1595589999999998</v>
      </c>
      <c r="E2881">
        <v>0.53232819999999903</v>
      </c>
      <c r="F2881" t="s">
        <v>46</v>
      </c>
      <c r="G2881">
        <v>-457.12889999999999</v>
      </c>
      <c r="H2881" s="1">
        <v>2.3104380000000001E-6</v>
      </c>
      <c r="I2881">
        <v>283.39089999999999</v>
      </c>
      <c r="J2881">
        <v>-448.37169999999998</v>
      </c>
      <c r="K2881">
        <v>1.1107800000000001</v>
      </c>
      <c r="L2881">
        <v>285.1189</v>
      </c>
      <c r="M2881">
        <v>-0.99991960000000002</v>
      </c>
      <c r="N2881">
        <v>-1.225279E-2</v>
      </c>
      <c r="O2881">
        <v>3.279648E-3</v>
      </c>
      <c r="P2881">
        <v>-0.90118750000000003</v>
      </c>
      <c r="Q2881">
        <v>0.35222330000000002</v>
      </c>
      <c r="R2881">
        <v>-0.25258609999999998</v>
      </c>
      <c r="S2881">
        <v>-3.311798</v>
      </c>
      <c r="T2881">
        <v>-0.41076079999999998</v>
      </c>
      <c r="U2881">
        <v>-0.63876339999999998</v>
      </c>
      <c r="V2881">
        <v>-0.25556800000000002</v>
      </c>
      <c r="W2881">
        <v>0.36320930000000001</v>
      </c>
      <c r="X2881">
        <v>0.89597099999999996</v>
      </c>
      <c r="Y2881">
        <v>-0.19102830000000001</v>
      </c>
      <c r="Z2881">
        <v>-1.3242510000000001E-2</v>
      </c>
      <c r="AA2881">
        <v>0.98149520000000001</v>
      </c>
      <c r="AB2881">
        <v>25</v>
      </c>
      <c r="AC2881">
        <v>-8.7572000000000099</v>
      </c>
      <c r="AD2881">
        <v>-1.1107776895619901</v>
      </c>
      <c r="AE2881">
        <v>-1.728</v>
      </c>
      <c r="AF2881">
        <v>-1.7299240671231599</v>
      </c>
      <c r="AG2881">
        <v>-1.1107776895619901</v>
      </c>
      <c r="AH2881">
        <v>8.6180278431120794</v>
      </c>
      <c r="AI2881">
        <v>97.202245964681794</v>
      </c>
      <c r="AJ2881">
        <v>101.35031876650601</v>
      </c>
      <c r="AK2881">
        <v>8.8598458371630695</v>
      </c>
      <c r="AL2881">
        <v>68.702578903059404</v>
      </c>
      <c r="AM2881">
        <v>105.920341949895</v>
      </c>
      <c r="AN2881">
        <v>1.00000001553574</v>
      </c>
    </row>
    <row r="2882" spans="1:40" x14ac:dyDescent="0.25">
      <c r="A2882" t="str">
        <f>"20190304164908924"</f>
        <v>20190304164908924</v>
      </c>
      <c r="B2882" t="str">
        <f>"1551689348919094"</f>
        <v>1551689348919094</v>
      </c>
      <c r="C2882" t="s">
        <v>40</v>
      </c>
      <c r="D2882">
        <v>4.1555939999999998</v>
      </c>
      <c r="E2882">
        <v>0.52830929999999998</v>
      </c>
      <c r="F2882" t="s">
        <v>46</v>
      </c>
      <c r="G2882">
        <v>-457.26839999999999</v>
      </c>
      <c r="H2882" s="1">
        <v>2.3842430000000001E-6</v>
      </c>
      <c r="I2882">
        <v>283.4008</v>
      </c>
      <c r="J2882">
        <v>-448.56229999999999</v>
      </c>
      <c r="K2882">
        <v>1.110735</v>
      </c>
      <c r="L2882">
        <v>285.11950000000002</v>
      </c>
      <c r="M2882">
        <v>-0.99992080000000005</v>
      </c>
      <c r="N2882">
        <v>-1.216219E-2</v>
      </c>
      <c r="O2882">
        <v>3.2703530000000001E-3</v>
      </c>
      <c r="P2882">
        <v>-0.90128529999999996</v>
      </c>
      <c r="Q2882">
        <v>0.35207860000000002</v>
      </c>
      <c r="R2882">
        <v>-0.25243929999999998</v>
      </c>
      <c r="S2882">
        <v>-3.3112789999999999</v>
      </c>
      <c r="T2882">
        <v>-0.41342089999999998</v>
      </c>
      <c r="U2882">
        <v>-0.63946530000000001</v>
      </c>
      <c r="V2882">
        <v>-0.25537919999999997</v>
      </c>
      <c r="W2882">
        <v>0.36300890000000002</v>
      </c>
      <c r="X2882">
        <v>0.89610599999999996</v>
      </c>
      <c r="Y2882">
        <v>-0.19122790000000001</v>
      </c>
      <c r="Z2882">
        <v>-1.3325989999999999E-2</v>
      </c>
      <c r="AA2882">
        <v>0.98145519999999997</v>
      </c>
      <c r="AB2882">
        <v>25</v>
      </c>
      <c r="AC2882">
        <v>-8.7060999999999904</v>
      </c>
      <c r="AD2882">
        <v>-1.1107326157570001</v>
      </c>
      <c r="AE2882">
        <v>-1.7187000000000101</v>
      </c>
      <c r="AF2882">
        <v>-1.7202154293127401</v>
      </c>
      <c r="AG2882">
        <v>-1.1107326157570001</v>
      </c>
      <c r="AH2882">
        <v>8.5662306749891499</v>
      </c>
      <c r="AI2882">
        <v>97.244932041156204</v>
      </c>
      <c r="AJ2882">
        <v>101.35474715421</v>
      </c>
      <c r="AK2882">
        <v>8.8075635702546702</v>
      </c>
      <c r="AL2882">
        <v>68.714901287586201</v>
      </c>
      <c r="AM2882">
        <v>105.906900848218</v>
      </c>
      <c r="AN2882">
        <v>0.999999980253924</v>
      </c>
    </row>
    <row r="2883" spans="1:40" x14ac:dyDescent="0.25">
      <c r="A2883" t="str">
        <f>"20190304164908942"</f>
        <v>20190304164908942</v>
      </c>
      <c r="B2883" t="str">
        <f>"1551689348938628"</f>
        <v>1551689348938628</v>
      </c>
      <c r="C2883" t="s">
        <v>40</v>
      </c>
      <c r="D2883">
        <v>4.119453</v>
      </c>
      <c r="E2883">
        <v>0.53414680000000003</v>
      </c>
      <c r="F2883" t="s">
        <v>46</v>
      </c>
      <c r="G2883">
        <v>-457.8168</v>
      </c>
      <c r="H2883" s="1">
        <v>2.6829370000000001E-6</v>
      </c>
      <c r="I2883">
        <v>283.24340000000001</v>
      </c>
      <c r="J2883">
        <v>-448.74880000000002</v>
      </c>
      <c r="K2883">
        <v>1.110697</v>
      </c>
      <c r="L2883">
        <v>285.12009999999998</v>
      </c>
      <c r="M2883">
        <v>-0.99992170000000002</v>
      </c>
      <c r="N2883">
        <v>-1.208016E-2</v>
      </c>
      <c r="O2883">
        <v>3.2991330000000001E-3</v>
      </c>
      <c r="P2883">
        <v>-0.90141300000000002</v>
      </c>
      <c r="Q2883">
        <v>0.35190470000000001</v>
      </c>
      <c r="R2883">
        <v>-0.25222610000000001</v>
      </c>
      <c r="S2883">
        <v>-3.2959589999999999</v>
      </c>
      <c r="T2883">
        <v>-0.39558149999999997</v>
      </c>
      <c r="U2883">
        <v>-0.66815190000000002</v>
      </c>
      <c r="V2883">
        <v>-0.25516169999999999</v>
      </c>
      <c r="W2883">
        <v>0.36278460000000001</v>
      </c>
      <c r="X2883">
        <v>0.89625880000000002</v>
      </c>
      <c r="Y2883">
        <v>-0.2003653</v>
      </c>
      <c r="Z2883">
        <v>-1.3439950000000001E-2</v>
      </c>
      <c r="AA2883">
        <v>0.97962910000000003</v>
      </c>
      <c r="AB2883">
        <v>25</v>
      </c>
      <c r="AC2883">
        <v>-9.0679999999999801</v>
      </c>
      <c r="AD2883">
        <v>-1.1106943170629999</v>
      </c>
      <c r="AE2883">
        <v>-1.8766999999999701</v>
      </c>
      <c r="AF2883">
        <v>-1.87956830252205</v>
      </c>
      <c r="AG2883">
        <v>-1.1106943170629999</v>
      </c>
      <c r="AH2883">
        <v>8.9332416213174302</v>
      </c>
      <c r="AI2883">
        <v>96.937013973838901</v>
      </c>
      <c r="AJ2883">
        <v>101.881815273858</v>
      </c>
      <c r="AK2883">
        <v>9.1961527137515304</v>
      </c>
      <c r="AL2883">
        <v>68.7286933081499</v>
      </c>
      <c r="AM2883">
        <v>105.891465141705</v>
      </c>
      <c r="AN2883">
        <v>0.999999997860745</v>
      </c>
    </row>
    <row r="2884" spans="1:40" x14ac:dyDescent="0.25">
      <c r="A2884" t="str">
        <f>"20190304164908964"</f>
        <v>20190304164908964</v>
      </c>
      <c r="B2884" t="str">
        <f>"1551689348959111"</f>
        <v>1551689348959111</v>
      </c>
      <c r="C2884" t="s">
        <v>40</v>
      </c>
      <c r="D2884">
        <v>4.1461169999999896</v>
      </c>
      <c r="E2884">
        <v>0.53447500000000003</v>
      </c>
      <c r="F2884" t="s">
        <v>46</v>
      </c>
      <c r="G2884">
        <v>-457.80029999999999</v>
      </c>
      <c r="H2884" s="1">
        <v>2.6665370000000002E-6</v>
      </c>
      <c r="I2884">
        <v>283.41759999999999</v>
      </c>
      <c r="J2884">
        <v>-449.00959999999998</v>
      </c>
      <c r="K2884">
        <v>1.110646</v>
      </c>
      <c r="L2884">
        <v>285.12099999999998</v>
      </c>
      <c r="M2884">
        <v>-0.99992259999999999</v>
      </c>
      <c r="N2884">
        <v>-1.1977440000000001E-2</v>
      </c>
      <c r="O2884">
        <v>3.4081189999999998E-3</v>
      </c>
      <c r="P2884">
        <v>-0.9013525</v>
      </c>
      <c r="Q2884">
        <v>0.35221010000000003</v>
      </c>
      <c r="R2884">
        <v>-0.25201649999999998</v>
      </c>
      <c r="S2884">
        <v>-3.3124389999999999</v>
      </c>
      <c r="T2884">
        <v>-0.40646310000000002</v>
      </c>
      <c r="U2884">
        <v>-0.62304689999999996</v>
      </c>
      <c r="V2884">
        <v>-0.25500830000000002</v>
      </c>
      <c r="W2884">
        <v>0.3630254</v>
      </c>
      <c r="X2884">
        <v>0.89620499999999903</v>
      </c>
      <c r="Y2884">
        <v>-0.18669060000000001</v>
      </c>
      <c r="Z2884">
        <v>-1.2818329999999999E-2</v>
      </c>
      <c r="AA2884">
        <v>0.98233519999999996</v>
      </c>
      <c r="AB2884">
        <v>25</v>
      </c>
      <c r="AC2884">
        <v>-8.79070000000001</v>
      </c>
      <c r="AD2884">
        <v>-1.1106433334629999</v>
      </c>
      <c r="AE2884">
        <v>-1.70339999999998</v>
      </c>
      <c r="AF2884">
        <v>-1.7070886476345899</v>
      </c>
      <c r="AG2884">
        <v>-1.1106433334629999</v>
      </c>
      <c r="AH2884">
        <v>8.6517371906541207</v>
      </c>
      <c r="AI2884">
        <v>97.178269734208499</v>
      </c>
      <c r="AJ2884">
        <v>101.161750042759</v>
      </c>
      <c r="AK2884">
        <v>8.8882077316631403</v>
      </c>
      <c r="AL2884">
        <v>68.713887984730803</v>
      </c>
      <c r="AM2884">
        <v>105.883298800315</v>
      </c>
      <c r="AN2884">
        <v>1.00000003806952</v>
      </c>
    </row>
    <row r="2885" spans="1:40" x14ac:dyDescent="0.25">
      <c r="A2885" t="str">
        <f>"20190304164908980"</f>
        <v>20190304164908980</v>
      </c>
      <c r="B2885" t="str">
        <f>"1551689348968871"</f>
        <v>1551689348968871</v>
      </c>
      <c r="C2885" t="s">
        <v>40</v>
      </c>
      <c r="D2885">
        <v>4.1594300000000004</v>
      </c>
      <c r="E2885">
        <v>0.53437749999999995</v>
      </c>
      <c r="F2885" t="s">
        <v>46</v>
      </c>
      <c r="G2885">
        <v>-458.07589999999999</v>
      </c>
      <c r="H2885" s="1">
        <v>2.8128209999999999E-6</v>
      </c>
      <c r="I2885">
        <v>283.42669999999998</v>
      </c>
      <c r="J2885">
        <v>-449.1848</v>
      </c>
      <c r="K2885">
        <v>1.110609</v>
      </c>
      <c r="L2885">
        <v>285.12169999999998</v>
      </c>
      <c r="M2885">
        <v>-0.99992289999999995</v>
      </c>
      <c r="N2885">
        <v>-1.191562E-2</v>
      </c>
      <c r="O2885">
        <v>3.523745E-3</v>
      </c>
      <c r="P2885">
        <v>-0.90141830000000001</v>
      </c>
      <c r="Q2885">
        <v>0.35220620000000002</v>
      </c>
      <c r="R2885">
        <v>-0.2517855</v>
      </c>
      <c r="S2885">
        <v>-3.313812</v>
      </c>
      <c r="T2885">
        <v>-0.40595049999999999</v>
      </c>
      <c r="U2885">
        <v>-0.61929319999999999</v>
      </c>
      <c r="V2885">
        <v>-0.25485289999999999</v>
      </c>
      <c r="W2885">
        <v>0.36298720000000001</v>
      </c>
      <c r="X2885">
        <v>0.89626469999999903</v>
      </c>
      <c r="Y2885">
        <v>-0.18566769999999999</v>
      </c>
      <c r="Z2885">
        <v>-1.2738910000000001E-2</v>
      </c>
      <c r="AA2885">
        <v>0.98253000000000001</v>
      </c>
      <c r="AB2885">
        <v>25</v>
      </c>
      <c r="AC2885">
        <v>-8.8910999999999891</v>
      </c>
      <c r="AD2885">
        <v>-1.1106061871789901</v>
      </c>
      <c r="AE2885">
        <v>-1.6949999999999901</v>
      </c>
      <c r="AF2885">
        <v>-1.70071593441082</v>
      </c>
      <c r="AG2885">
        <v>-1.1106061871789901</v>
      </c>
      <c r="AH2885">
        <v>8.7532834615715895</v>
      </c>
      <c r="AI2885">
        <v>97.099610853852695</v>
      </c>
      <c r="AJ2885">
        <v>100.99526936663899</v>
      </c>
      <c r="AK2885">
        <v>8.9858695823599497</v>
      </c>
      <c r="AL2885">
        <v>68.716237406208506</v>
      </c>
      <c r="AM2885">
        <v>105.87310345563201</v>
      </c>
      <c r="AN2885">
        <v>1.0000000602341601</v>
      </c>
    </row>
    <row r="2886" spans="1:40" x14ac:dyDescent="0.25">
      <c r="A2886" t="str">
        <f>"20190304164908998"</f>
        <v>20190304164908998</v>
      </c>
      <c r="B2886" t="str">
        <f>"1551689348988391"</f>
        <v>1551689348988391</v>
      </c>
      <c r="C2886" t="s">
        <v>40</v>
      </c>
      <c r="D2886">
        <v>4.1746509999999999</v>
      </c>
      <c r="E2886">
        <v>0.53443009999999902</v>
      </c>
      <c r="F2886" t="s">
        <v>46</v>
      </c>
      <c r="G2886">
        <v>-458.25259999999997</v>
      </c>
      <c r="H2886" s="1">
        <v>2.9068350000000002E-6</v>
      </c>
      <c r="I2886">
        <v>283.42630000000003</v>
      </c>
      <c r="J2886">
        <v>-449.38369999999998</v>
      </c>
      <c r="K2886">
        <v>1.110562</v>
      </c>
      <c r="L2886">
        <v>285.1225</v>
      </c>
      <c r="M2886">
        <v>-0.99992289999999995</v>
      </c>
      <c r="N2886">
        <v>-1.185226E-2</v>
      </c>
      <c r="O2886">
        <v>3.69813E-3</v>
      </c>
      <c r="P2886">
        <v>-0.90160949999999995</v>
      </c>
      <c r="Q2886">
        <v>0.3517131</v>
      </c>
      <c r="R2886">
        <v>-0.25179030000000002</v>
      </c>
      <c r="S2886">
        <v>-3.313599</v>
      </c>
      <c r="T2886">
        <v>-0.40584369999999997</v>
      </c>
      <c r="U2886">
        <v>-0.61953740000000002</v>
      </c>
      <c r="V2886">
        <v>-0.25497989999999998</v>
      </c>
      <c r="W2886">
        <v>0.36246460000000003</v>
      </c>
      <c r="X2886">
        <v>0.89644000000000001</v>
      </c>
      <c r="Y2886">
        <v>-0.18591859999999999</v>
      </c>
      <c r="Z2886">
        <v>-1.276653E-2</v>
      </c>
      <c r="AA2886">
        <v>0.98248219999999997</v>
      </c>
      <c r="AB2886">
        <v>25</v>
      </c>
      <c r="AC2886">
        <v>-8.8688999999999893</v>
      </c>
      <c r="AD2886">
        <v>-1.110559093165</v>
      </c>
      <c r="AE2886">
        <v>-1.69619999999997</v>
      </c>
      <c r="AF2886">
        <v>-1.7032250040321</v>
      </c>
      <c r="AG2886">
        <v>-1.110559093165</v>
      </c>
      <c r="AH2886">
        <v>8.7305030928928993</v>
      </c>
      <c r="AI2886">
        <v>97.116597626441404</v>
      </c>
      <c r="AJ2886">
        <v>101.03912072688</v>
      </c>
      <c r="AK2886">
        <v>8.9641508894475894</v>
      </c>
      <c r="AL2886">
        <v>68.748367195601801</v>
      </c>
      <c r="AM2886">
        <v>105.877665709468</v>
      </c>
      <c r="AN2886">
        <v>1.00000000462858</v>
      </c>
    </row>
    <row r="2887" spans="1:40" x14ac:dyDescent="0.25">
      <c r="A2887" t="str">
        <f>"20190304164909020"</f>
        <v>20190304164909020</v>
      </c>
      <c r="B2887" t="str">
        <f>"1551689349008887"</f>
        <v>1551689349008887</v>
      </c>
      <c r="C2887" t="s">
        <v>40</v>
      </c>
      <c r="D2887">
        <v>4.1673269999999896</v>
      </c>
      <c r="E2887">
        <v>0.53428299999999995</v>
      </c>
      <c r="F2887" t="s">
        <v>46</v>
      </c>
      <c r="G2887">
        <v>-458.3897</v>
      </c>
      <c r="H2887" s="1">
        <v>2.9791750000000002E-6</v>
      </c>
      <c r="I2887">
        <v>283.44119999999998</v>
      </c>
      <c r="J2887">
        <v>-449.6345</v>
      </c>
      <c r="K2887">
        <v>1.1104969999999901</v>
      </c>
      <c r="L2887">
        <v>285.12369999999999</v>
      </c>
      <c r="M2887">
        <v>-0.9999228</v>
      </c>
      <c r="N2887">
        <v>-1.178208E-2</v>
      </c>
      <c r="O2887">
        <v>3.9955149999999998E-3</v>
      </c>
      <c r="P2887">
        <v>-0.90161570000000002</v>
      </c>
      <c r="Q2887">
        <v>0.35189999999999999</v>
      </c>
      <c r="R2887">
        <v>-0.25150679999999997</v>
      </c>
      <c r="S2887">
        <v>-3.3140260000000001</v>
      </c>
      <c r="T2887">
        <v>-0.40866330000000001</v>
      </c>
      <c r="U2887">
        <v>-0.61868290000000004</v>
      </c>
      <c r="V2887">
        <v>-0.25491160000000002</v>
      </c>
      <c r="W2887">
        <v>0.36262460000000002</v>
      </c>
      <c r="X2887">
        <v>0.89639469999999999</v>
      </c>
      <c r="Y2887">
        <v>-0.18592239999999999</v>
      </c>
      <c r="Z2887">
        <v>-1.2872669999999999E-2</v>
      </c>
      <c r="AA2887">
        <v>0.98248009999999997</v>
      </c>
      <c r="AB2887">
        <v>25</v>
      </c>
      <c r="AC2887">
        <v>-8.7552000000000003</v>
      </c>
      <c r="AD2887">
        <v>-1.11049402082499</v>
      </c>
      <c r="AE2887">
        <v>-1.6825000000000001</v>
      </c>
      <c r="AF2887">
        <v>-1.69123112414529</v>
      </c>
      <c r="AG2887">
        <v>-1.11049402082499</v>
      </c>
      <c r="AH2887">
        <v>8.6147496125555492</v>
      </c>
      <c r="AI2887">
        <v>97.209150065930103</v>
      </c>
      <c r="AJ2887">
        <v>101.10694503750901</v>
      </c>
      <c r="AK2887">
        <v>8.84914518880732</v>
      </c>
      <c r="AL2887">
        <v>68.738530357973502</v>
      </c>
      <c r="AM2887">
        <v>105.87438875036599</v>
      </c>
      <c r="AN2887">
        <v>0.99999999126390404</v>
      </c>
    </row>
    <row r="2888" spans="1:40" x14ac:dyDescent="0.25">
      <c r="A2888" t="str">
        <f>"20190304164909043"</f>
        <v>20190304164909043</v>
      </c>
      <c r="B2888" t="str">
        <f>"1551689349039143"</f>
        <v>1551689349039143</v>
      </c>
      <c r="C2888" t="s">
        <v>40</v>
      </c>
      <c r="D2888">
        <v>4.1646229999999997</v>
      </c>
      <c r="E2888">
        <v>0.53410159999999995</v>
      </c>
      <c r="F2888" t="s">
        <v>46</v>
      </c>
      <c r="G2888">
        <v>-458.63310000000001</v>
      </c>
      <c r="H2888" s="1">
        <v>3.108472E-6</v>
      </c>
      <c r="I2888">
        <v>283.44589999999999</v>
      </c>
      <c r="J2888">
        <v>-449.8852</v>
      </c>
      <c r="K2888">
        <v>1.1104179999999999</v>
      </c>
      <c r="L2888">
        <v>285.12509999999997</v>
      </c>
      <c r="M2888">
        <v>-0.99992179999999997</v>
      </c>
      <c r="N2888">
        <v>-1.1720950000000001E-2</v>
      </c>
      <c r="O2888">
        <v>4.3789240000000002E-3</v>
      </c>
      <c r="P2888">
        <v>-0.90179370000000003</v>
      </c>
      <c r="Q2888">
        <v>0.35141420000000001</v>
      </c>
      <c r="R2888">
        <v>-0.25154749999999998</v>
      </c>
      <c r="S2888">
        <v>-3.3146059999999999</v>
      </c>
      <c r="T2888">
        <v>-0.40904689999999999</v>
      </c>
      <c r="U2888">
        <v>-0.61801149999999905</v>
      </c>
      <c r="V2888">
        <v>-0.25524029999999998</v>
      </c>
      <c r="W2888">
        <v>0.36212640000000001</v>
      </c>
      <c r="X2888">
        <v>0.89650260000000004</v>
      </c>
      <c r="Y2888">
        <v>-0.1860706</v>
      </c>
      <c r="Z2888">
        <v>-1.292856E-2</v>
      </c>
      <c r="AA2888">
        <v>0.98245130000000003</v>
      </c>
      <c r="AB2888">
        <v>25</v>
      </c>
      <c r="AC2888">
        <v>-8.7479000000000102</v>
      </c>
      <c r="AD2888">
        <v>-1.1104148915279899</v>
      </c>
      <c r="AE2888">
        <v>-1.67919999999998</v>
      </c>
      <c r="AF2888">
        <v>-1.69121164334077</v>
      </c>
      <c r="AG2888">
        <v>-1.1104148915279899</v>
      </c>
      <c r="AH2888">
        <v>8.6067149681054005</v>
      </c>
      <c r="AI2888">
        <v>97.215056007477003</v>
      </c>
      <c r="AJ2888">
        <v>101.11693069491101</v>
      </c>
      <c r="AK2888">
        <v>8.8413098914192698</v>
      </c>
      <c r="AL2888">
        <v>68.7691574977964</v>
      </c>
      <c r="AM2888">
        <v>105.892008500001</v>
      </c>
      <c r="AN2888">
        <v>1.0000000260638999</v>
      </c>
    </row>
    <row r="2889" spans="1:40" x14ac:dyDescent="0.25">
      <c r="A2889" t="str">
        <f>"20190304164909065"</f>
        <v>20190304164909065</v>
      </c>
      <c r="B2889" t="str">
        <f>"1551689349058667"</f>
        <v>1551689349058667</v>
      </c>
      <c r="C2889" t="s">
        <v>40</v>
      </c>
      <c r="D2889">
        <v>4.1836609999999999</v>
      </c>
      <c r="E2889">
        <v>0.53406409999999904</v>
      </c>
      <c r="F2889" t="s">
        <v>46</v>
      </c>
      <c r="G2889">
        <v>-458.84609999999998</v>
      </c>
      <c r="H2889" s="1">
        <v>3.2214249999999998E-6</v>
      </c>
      <c r="I2889">
        <v>283.45499999999998</v>
      </c>
      <c r="J2889">
        <v>-450.14120000000003</v>
      </c>
      <c r="K2889">
        <v>1.1103379999999901</v>
      </c>
      <c r="L2889">
        <v>285.12670000000003</v>
      </c>
      <c r="M2889">
        <v>-0.99992009999999998</v>
      </c>
      <c r="N2889">
        <v>-1.1666899999999999E-2</v>
      </c>
      <c r="O2889">
        <v>4.8700000000000002E-3</v>
      </c>
      <c r="P2889">
        <v>-0.90223039999999999</v>
      </c>
      <c r="Q2889">
        <v>0.35055429999999999</v>
      </c>
      <c r="R2889">
        <v>-0.2511816</v>
      </c>
      <c r="S2889">
        <v>-3.3144230000000001</v>
      </c>
      <c r="T2889">
        <v>-0.41071590000000002</v>
      </c>
      <c r="U2889">
        <v>-0.61770630000000004</v>
      </c>
      <c r="V2889">
        <v>-0.25525560000000003</v>
      </c>
      <c r="W2889">
        <v>0.36126659999999999</v>
      </c>
      <c r="X2889">
        <v>0.896845</v>
      </c>
      <c r="Y2889">
        <v>-0.1864577</v>
      </c>
      <c r="Z2889">
        <v>-1.3053E-2</v>
      </c>
      <c r="AA2889">
        <v>0.98237629999999998</v>
      </c>
      <c r="AB2889">
        <v>25</v>
      </c>
      <c r="AC2889">
        <v>-8.7048999999999506</v>
      </c>
      <c r="AD2889">
        <v>-1.11033477857499</v>
      </c>
      <c r="AE2889">
        <v>-1.6717000000000399</v>
      </c>
      <c r="AF2889">
        <v>-1.68759577899306</v>
      </c>
      <c r="AG2889">
        <v>-1.11033477857499</v>
      </c>
      <c r="AH2889">
        <v>8.5623035319412804</v>
      </c>
      <c r="AI2889">
        <v>97.250753098005504</v>
      </c>
      <c r="AJ2889">
        <v>101.14985606117</v>
      </c>
      <c r="AK2889">
        <v>8.7973782803106992</v>
      </c>
      <c r="AL2889">
        <v>68.821996586247295</v>
      </c>
      <c r="AM2889">
        <v>105.887151682392</v>
      </c>
      <c r="AN2889">
        <v>0.99999996581595896</v>
      </c>
    </row>
    <row r="2890" spans="1:40" x14ac:dyDescent="0.25">
      <c r="A2890" t="str">
        <f>"20190304164909081"</f>
        <v>20190304164909081</v>
      </c>
      <c r="B2890" t="str">
        <f>"1551689349069399"</f>
        <v>1551689349069399</v>
      </c>
      <c r="C2890" t="s">
        <v>40</v>
      </c>
      <c r="D2890">
        <v>4.2149489999999998</v>
      </c>
      <c r="E2890">
        <v>0.53400259999999999</v>
      </c>
      <c r="F2890" t="s">
        <v>46</v>
      </c>
      <c r="G2890">
        <v>-459.04070000000002</v>
      </c>
      <c r="H2890" s="1">
        <v>3.324052E-6</v>
      </c>
      <c r="I2890">
        <v>283.47669999999999</v>
      </c>
      <c r="J2890">
        <v>-450.31950000000001</v>
      </c>
      <c r="K2890">
        <v>1.110276</v>
      </c>
      <c r="L2890">
        <v>285.12790000000001</v>
      </c>
      <c r="M2890">
        <v>-0.99991850000000004</v>
      </c>
      <c r="N2890">
        <v>-1.163352E-2</v>
      </c>
      <c r="O2890">
        <v>5.2769519999999997E-3</v>
      </c>
      <c r="P2890">
        <v>-0.90244769999999996</v>
      </c>
      <c r="Q2890">
        <v>0.3501572</v>
      </c>
      <c r="R2890">
        <v>-0.25095479999999998</v>
      </c>
      <c r="S2890">
        <v>-3.3146969999999998</v>
      </c>
      <c r="T2890">
        <v>-0.41355130000000001</v>
      </c>
      <c r="U2890">
        <v>-0.61453250000000004</v>
      </c>
      <c r="V2890">
        <v>-0.25534980000000002</v>
      </c>
      <c r="W2890">
        <v>0.36087449999999999</v>
      </c>
      <c r="X2890">
        <v>0.89697610000000005</v>
      </c>
      <c r="Y2890">
        <v>-0.18591530000000001</v>
      </c>
      <c r="Z2890">
        <v>-1.3141180000000001E-2</v>
      </c>
      <c r="AA2890">
        <v>0.98247790000000002</v>
      </c>
      <c r="AB2890">
        <v>25</v>
      </c>
      <c r="AC2890">
        <v>-8.7212000000000103</v>
      </c>
      <c r="AD2890">
        <v>-1.1102726759479999</v>
      </c>
      <c r="AE2890">
        <v>-1.65120000000001</v>
      </c>
      <c r="AF2890">
        <v>-1.67105564778482</v>
      </c>
      <c r="AG2890">
        <v>-1.1102726759479999</v>
      </c>
      <c r="AH2890">
        <v>8.5781484570575408</v>
      </c>
      <c r="AI2890">
        <v>97.240199564340102</v>
      </c>
      <c r="AJ2890">
        <v>101.02337724059301</v>
      </c>
      <c r="AK2890">
        <v>8.8096403640709902</v>
      </c>
      <c r="AL2890">
        <v>68.846088771555003</v>
      </c>
      <c r="AM2890">
        <v>105.890513075242</v>
      </c>
      <c r="AN2890">
        <v>1.0000000245407401</v>
      </c>
    </row>
    <row r="2891" spans="1:40" x14ac:dyDescent="0.25">
      <c r="A2891" t="str">
        <f>"20190304164909098"</f>
        <v>20190304164909098</v>
      </c>
      <c r="B2891" t="str">
        <f>"1551689349088920"</f>
        <v>1551689349088920</v>
      </c>
      <c r="C2891" t="s">
        <v>40</v>
      </c>
      <c r="D2891">
        <v>4.9843199999999896</v>
      </c>
      <c r="E2891">
        <v>0.53543799999999997</v>
      </c>
      <c r="F2891" t="s">
        <v>46</v>
      </c>
      <c r="G2891">
        <v>-459.2013</v>
      </c>
      <c r="H2891" s="1">
        <v>3.4090989999999999E-6</v>
      </c>
      <c r="I2891">
        <v>283.48630000000003</v>
      </c>
      <c r="J2891">
        <v>-450.51310000000001</v>
      </c>
      <c r="K2891">
        <v>1.1102069999999999</v>
      </c>
      <c r="L2891">
        <v>285.12950000000001</v>
      </c>
      <c r="M2891">
        <v>-0.99991609999999997</v>
      </c>
      <c r="N2891">
        <v>-1.160107E-2</v>
      </c>
      <c r="O2891">
        <v>5.7849429999999999E-3</v>
      </c>
      <c r="P2891">
        <v>-0.90304269999999998</v>
      </c>
      <c r="Q2891">
        <v>0.34921210000000003</v>
      </c>
      <c r="R2891">
        <v>-0.25013030000000003</v>
      </c>
      <c r="S2891">
        <v>-3.3146969999999998</v>
      </c>
      <c r="T2891">
        <v>-0.41435110000000003</v>
      </c>
      <c r="U2891">
        <v>-0.61264039999999997</v>
      </c>
      <c r="V2891">
        <v>-0.2549343</v>
      </c>
      <c r="W2891">
        <v>0.35994350000000003</v>
      </c>
      <c r="X2891">
        <v>0.89746819999999905</v>
      </c>
      <c r="Y2891">
        <v>-0.18586369999999999</v>
      </c>
      <c r="Z2891">
        <v>-1.321554E-2</v>
      </c>
      <c r="AA2891">
        <v>0.98248670000000005</v>
      </c>
      <c r="AB2891">
        <v>25</v>
      </c>
      <c r="AC2891">
        <v>-8.6881999999999895</v>
      </c>
      <c r="AD2891">
        <v>-1.110203590901</v>
      </c>
      <c r="AE2891">
        <v>-1.64319999999997</v>
      </c>
      <c r="AF2891">
        <v>-1.6671546365827199</v>
      </c>
      <c r="AG2891">
        <v>-1.110203590901</v>
      </c>
      <c r="AH2891">
        <v>8.5438578683271107</v>
      </c>
      <c r="AI2891">
        <v>97.268061016735402</v>
      </c>
      <c r="AJ2891">
        <v>101.041330490024</v>
      </c>
      <c r="AK2891">
        <v>8.7755036248470493</v>
      </c>
      <c r="AL2891">
        <v>68.903273688085903</v>
      </c>
      <c r="AM2891">
        <v>105.857697013506</v>
      </c>
      <c r="AN2891">
        <v>0.99999999525998995</v>
      </c>
    </row>
    <row r="2892" spans="1:40" x14ac:dyDescent="0.25">
      <c r="A2892" t="str">
        <f>"20190304164909113"</f>
        <v>20190304164909113</v>
      </c>
      <c r="B2892" t="str">
        <f>"1551689349108439"</f>
        <v>1551689349108439</v>
      </c>
      <c r="C2892" t="s">
        <v>40</v>
      </c>
      <c r="D2892">
        <v>4.4328570000000003</v>
      </c>
      <c r="E2892">
        <v>0.54789690000000002</v>
      </c>
      <c r="F2892" t="s">
        <v>46</v>
      </c>
      <c r="G2892">
        <v>-459.34649999999999</v>
      </c>
      <c r="H2892" s="1">
        <v>3.484007E-6</v>
      </c>
      <c r="I2892">
        <v>283.5403</v>
      </c>
      <c r="J2892">
        <v>-450.69049999999999</v>
      </c>
      <c r="K2892">
        <v>1.1101490000000001</v>
      </c>
      <c r="L2892">
        <v>285.13099999999997</v>
      </c>
      <c r="M2892">
        <v>-0.99991319999999995</v>
      </c>
      <c r="N2892">
        <v>-1.157471E-2</v>
      </c>
      <c r="O2892">
        <v>6.3141919999999997E-3</v>
      </c>
      <c r="P2892">
        <v>-0.90336839999999996</v>
      </c>
      <c r="Q2892">
        <v>0.34870759999999901</v>
      </c>
      <c r="R2892">
        <v>-0.2496572</v>
      </c>
      <c r="S2892">
        <v>-3.3180239999999999</v>
      </c>
      <c r="T2892">
        <v>-0.41701690000000002</v>
      </c>
      <c r="U2892">
        <v>-0.5969238</v>
      </c>
      <c r="V2892">
        <v>-0.25489050000000002</v>
      </c>
      <c r="W2892">
        <v>0.35945319999999997</v>
      </c>
      <c r="X2892">
        <v>0.89767710000000001</v>
      </c>
      <c r="Y2892">
        <v>-0.1817155</v>
      </c>
      <c r="Z2892">
        <v>-1.306148E-2</v>
      </c>
      <c r="AA2892">
        <v>0.98326440000000004</v>
      </c>
      <c r="AB2892">
        <v>25</v>
      </c>
      <c r="AC2892">
        <v>-8.6560000000000006</v>
      </c>
      <c r="AD2892">
        <v>-1.110145515993</v>
      </c>
      <c r="AE2892">
        <v>-1.59069999999996</v>
      </c>
      <c r="AF2892">
        <v>-1.6195585783778901</v>
      </c>
      <c r="AG2892">
        <v>-1.110145515993</v>
      </c>
      <c r="AH2892">
        <v>8.5103731079295599</v>
      </c>
      <c r="AI2892">
        <v>97.302446176107907</v>
      </c>
      <c r="AJ2892">
        <v>100.774780661655</v>
      </c>
      <c r="AK2892">
        <v>8.7339477609868599</v>
      </c>
      <c r="AL2892">
        <v>68.933380434739405</v>
      </c>
      <c r="AM2892">
        <v>105.851605268017</v>
      </c>
      <c r="AN2892">
        <v>0.99999997292244902</v>
      </c>
    </row>
    <row r="2893" spans="1:40" x14ac:dyDescent="0.25">
      <c r="A2893" t="str">
        <f>"20190304164909127"</f>
        <v>20190304164909127</v>
      </c>
      <c r="B2893" t="str">
        <f>"1551689349119175"</f>
        <v>1551689349119175</v>
      </c>
      <c r="C2893" t="s">
        <v>40</v>
      </c>
      <c r="D2893">
        <v>4.3099530000000001</v>
      </c>
      <c r="E2893">
        <v>0.54789690000000002</v>
      </c>
      <c r="F2893" t="s">
        <v>46</v>
      </c>
      <c r="G2893">
        <v>-454.58350000000002</v>
      </c>
      <c r="H2893" s="1">
        <v>9.0586840000000002E-7</v>
      </c>
      <c r="I2893">
        <v>284.53480000000002</v>
      </c>
      <c r="J2893">
        <v>-450.8451</v>
      </c>
      <c r="K2893">
        <v>1.110096</v>
      </c>
      <c r="L2893">
        <v>285.13249999999999</v>
      </c>
      <c r="M2893">
        <v>-0.99990990000000002</v>
      </c>
      <c r="N2893">
        <v>-1.1554460000000001E-2</v>
      </c>
      <c r="O2893">
        <v>6.8319059999999996E-3</v>
      </c>
      <c r="P2893">
        <v>-0.90376849999999997</v>
      </c>
      <c r="Q2893">
        <v>0.34822999999999998</v>
      </c>
      <c r="R2893">
        <v>-0.2488747</v>
      </c>
      <c r="S2893">
        <v>-3.5622560000000001</v>
      </c>
      <c r="T2893">
        <v>-1.0158370000000001</v>
      </c>
      <c r="U2893">
        <v>-0.54556269999999996</v>
      </c>
      <c r="V2893">
        <v>-0.2545345</v>
      </c>
      <c r="W2893">
        <v>0.3589908</v>
      </c>
      <c r="X2893">
        <v>0.89796319999999996</v>
      </c>
      <c r="Y2893">
        <v>-0.1517232</v>
      </c>
      <c r="Z2893">
        <v>-2.3816449999999999E-2</v>
      </c>
      <c r="AA2893">
        <v>0.98813609999999996</v>
      </c>
      <c r="AB2893">
        <v>25</v>
      </c>
      <c r="AC2893">
        <v>-3.7384000000000102</v>
      </c>
      <c r="AD2893">
        <v>-1.1100950941315999</v>
      </c>
      <c r="AE2893">
        <v>-0.59769999999997403</v>
      </c>
      <c r="AF2893">
        <v>-0.57388658043335095</v>
      </c>
      <c r="AG2893">
        <v>-1.1100950941315999</v>
      </c>
      <c r="AH2893">
        <v>3.4385865401974298</v>
      </c>
      <c r="AI2893">
        <v>107.663053713655</v>
      </c>
      <c r="AJ2893">
        <v>99.475110344321095</v>
      </c>
      <c r="AK2893">
        <v>3.6586246486410001</v>
      </c>
      <c r="AL2893">
        <v>68.961770732766794</v>
      </c>
      <c r="AM2893">
        <v>105.82578496924</v>
      </c>
      <c r="AN2893">
        <v>1.00000005736456</v>
      </c>
    </row>
    <row r="2894" spans="1:40" x14ac:dyDescent="0.25">
      <c r="A2894" t="str">
        <f>"20190304164909143"</f>
        <v>20190304164909143</v>
      </c>
      <c r="B2894" t="str">
        <f>"1551689349138695"</f>
        <v>1551689349138695</v>
      </c>
      <c r="C2894" t="s">
        <v>40</v>
      </c>
      <c r="D2894">
        <v>4.2753620000000003</v>
      </c>
      <c r="E2894">
        <v>0.4933613</v>
      </c>
      <c r="F2894" t="s">
        <v>46</v>
      </c>
      <c r="G2894">
        <v>-454.73250000000002</v>
      </c>
      <c r="H2894" s="1">
        <v>9.8485300000000006E-7</v>
      </c>
      <c r="I2894">
        <v>284.5428</v>
      </c>
      <c r="J2894">
        <v>-451.0222</v>
      </c>
      <c r="K2894">
        <v>1.1100399999999999</v>
      </c>
      <c r="L2894">
        <v>285.13440000000003</v>
      </c>
      <c r="M2894">
        <v>-0.99990570000000001</v>
      </c>
      <c r="N2894">
        <v>-1.153319E-2</v>
      </c>
      <c r="O2894">
        <v>7.4675239999999997E-3</v>
      </c>
      <c r="P2894">
        <v>-0.9040686</v>
      </c>
      <c r="Q2894">
        <v>0.34821780000000002</v>
      </c>
      <c r="R2894">
        <v>-0.2477992</v>
      </c>
      <c r="S2894">
        <v>-3.5626530000000001</v>
      </c>
      <c r="T2894">
        <v>-1.0173449999999999</v>
      </c>
      <c r="U2894">
        <v>-0.54046629999999996</v>
      </c>
      <c r="V2894">
        <v>-0.2539864</v>
      </c>
      <c r="W2894">
        <v>0.35899530000000002</v>
      </c>
      <c r="X2894">
        <v>0.89811649999999998</v>
      </c>
      <c r="Y2894">
        <v>-0.15094350000000001</v>
      </c>
      <c r="Z2894">
        <v>-2.390434E-2</v>
      </c>
      <c r="AA2894">
        <v>0.98825339999999995</v>
      </c>
      <c r="AB2894">
        <v>25</v>
      </c>
      <c r="AC2894">
        <v>-3.7103000000000099</v>
      </c>
      <c r="AD2894">
        <v>-1.1100390151470001</v>
      </c>
      <c r="AE2894">
        <v>-0.59160000000002799</v>
      </c>
      <c r="AF2894">
        <v>-0.56957497365538601</v>
      </c>
      <c r="AG2894">
        <v>-1.1100390151470001</v>
      </c>
      <c r="AH2894">
        <v>3.4082764413126201</v>
      </c>
      <c r="AI2894">
        <v>107.80881032080001</v>
      </c>
      <c r="AJ2894">
        <v>99.487327739406297</v>
      </c>
      <c r="AK2894">
        <v>3.6294559600812999</v>
      </c>
      <c r="AL2894">
        <v>68.961492830615398</v>
      </c>
      <c r="AM2894">
        <v>105.79084716256099</v>
      </c>
      <c r="AN2894">
        <v>0.99999998218964903</v>
      </c>
    </row>
    <row r="2895" spans="1:40" x14ac:dyDescent="0.25">
      <c r="A2895" t="str">
        <f>"20190304164909165"</f>
        <v>20190304164909165</v>
      </c>
      <c r="B2895" t="str">
        <f>"1551689349159195"</f>
        <v>1551689349159195</v>
      </c>
      <c r="C2895" t="s">
        <v>40</v>
      </c>
      <c r="D2895">
        <v>4.2870900000000001</v>
      </c>
      <c r="E2895">
        <v>0.4886761</v>
      </c>
      <c r="F2895" t="s">
        <v>46</v>
      </c>
      <c r="G2895">
        <v>-453.68849999999998</v>
      </c>
      <c r="H2895" s="1">
        <v>4.3533690000000001E-7</v>
      </c>
      <c r="I2895">
        <v>284.40350000000001</v>
      </c>
      <c r="J2895">
        <v>-451.2731</v>
      </c>
      <c r="K2895">
        <v>1.1099650000000001</v>
      </c>
      <c r="L2895">
        <v>285.13729999999998</v>
      </c>
      <c r="M2895">
        <v>-0.99989799999999995</v>
      </c>
      <c r="N2895">
        <v>-1.1506779999999999E-2</v>
      </c>
      <c r="O2895">
        <v>8.4568130000000005E-3</v>
      </c>
      <c r="P2895">
        <v>-0.90417239999999999</v>
      </c>
      <c r="Q2895">
        <v>0.34904489999999999</v>
      </c>
      <c r="R2895">
        <v>-0.24625159999999999</v>
      </c>
      <c r="S2895">
        <v>-3.627472</v>
      </c>
      <c r="T2895">
        <v>-1.51022099999999</v>
      </c>
      <c r="U2895">
        <v>-0.9944153</v>
      </c>
      <c r="V2895">
        <v>-0.25326609999999999</v>
      </c>
      <c r="W2895">
        <v>0.35984159999999998</v>
      </c>
      <c r="X2895">
        <v>0.89798120000000003</v>
      </c>
      <c r="Y2895">
        <v>-0.25174550000000001</v>
      </c>
      <c r="Z2895">
        <v>-5.4264939999999998E-2</v>
      </c>
      <c r="AA2895">
        <v>0.96627090000000004</v>
      </c>
      <c r="AB2895">
        <v>25</v>
      </c>
      <c r="AC2895">
        <v>-2.4153999999999698</v>
      </c>
      <c r="AD2895">
        <v>-1.10996456466309</v>
      </c>
      <c r="AE2895">
        <v>-0.73379999999997303</v>
      </c>
      <c r="AF2895">
        <v>-0.63201412768116905</v>
      </c>
      <c r="AG2895">
        <v>-1.10996456466309</v>
      </c>
      <c r="AH2895">
        <v>2.0188101460372798</v>
      </c>
      <c r="AI2895">
        <v>117.685983937515</v>
      </c>
      <c r="AJ2895">
        <v>107.38339119812299</v>
      </c>
      <c r="AK2895">
        <v>2.3889448713060299</v>
      </c>
      <c r="AL2895">
        <v>68.909530768154795</v>
      </c>
      <c r="AM2895">
        <v>105.75054428753801</v>
      </c>
      <c r="AN2895">
        <v>0.99999996502660404</v>
      </c>
    </row>
    <row r="2896" spans="1:40" x14ac:dyDescent="0.25">
      <c r="A2896" t="str">
        <f>"20190304164909182"</f>
        <v>20190304164909182</v>
      </c>
      <c r="B2896" t="str">
        <f>"1551689349178712"</f>
        <v>1551689349178712</v>
      </c>
      <c r="C2896" t="s">
        <v>40</v>
      </c>
      <c r="D2896">
        <v>4.2408330000000003</v>
      </c>
      <c r="E2896">
        <v>0.48849340000000002</v>
      </c>
      <c r="F2896" t="s">
        <v>46</v>
      </c>
      <c r="G2896">
        <v>-453.88529999999997</v>
      </c>
      <c r="H2896" s="1">
        <v>5.4033350000000001E-7</v>
      </c>
      <c r="I2896">
        <v>284.39729999999997</v>
      </c>
      <c r="J2896">
        <v>-451.46550000000002</v>
      </c>
      <c r="K2896">
        <v>1.10992</v>
      </c>
      <c r="L2896">
        <v>285.13979999999998</v>
      </c>
      <c r="M2896">
        <v>-0.99989099999999997</v>
      </c>
      <c r="N2896">
        <v>-1.148891E-2</v>
      </c>
      <c r="O2896">
        <v>9.2741520000000008E-3</v>
      </c>
      <c r="P2896">
        <v>-0.90423379999999998</v>
      </c>
      <c r="Q2896">
        <v>0.34925850000000003</v>
      </c>
      <c r="R2896">
        <v>-0.24572289999999999</v>
      </c>
      <c r="S2896">
        <v>-3.6336360000000001</v>
      </c>
      <c r="T2896">
        <v>-1.5439860000000001</v>
      </c>
      <c r="U2896">
        <v>-1.0293270000000001</v>
      </c>
      <c r="V2896">
        <v>-0.2534325</v>
      </c>
      <c r="W2896">
        <v>0.36006759999999999</v>
      </c>
      <c r="X2896">
        <v>0.89784370000000002</v>
      </c>
      <c r="Y2896">
        <v>-0.25926909999999997</v>
      </c>
      <c r="Z2896">
        <v>-5.7086560000000001E-2</v>
      </c>
      <c r="AA2896">
        <v>0.96411650000000004</v>
      </c>
      <c r="AB2896">
        <v>25</v>
      </c>
      <c r="AC2896">
        <v>-2.4197999999999502</v>
      </c>
      <c r="AD2896">
        <v>-1.1099194596664901</v>
      </c>
      <c r="AE2896">
        <v>-0.74250000000000604</v>
      </c>
      <c r="AF2896">
        <v>-0.64155045503917796</v>
      </c>
      <c r="AG2896">
        <v>-1.1099194596664901</v>
      </c>
      <c r="AH2896">
        <v>2.0236847092197801</v>
      </c>
      <c r="AI2896">
        <v>117.601519802993</v>
      </c>
      <c r="AJ2896">
        <v>107.589705974431</v>
      </c>
      <c r="AK2896">
        <v>2.3955809307216702</v>
      </c>
      <c r="AL2896">
        <v>68.8956525733999</v>
      </c>
      <c r="AM2896">
        <v>105.762672327695</v>
      </c>
      <c r="AN2896">
        <v>1.00000000912785</v>
      </c>
    </row>
    <row r="2897" spans="1:40" x14ac:dyDescent="0.25">
      <c r="A2897" t="str">
        <f>"20190304164909199"</f>
        <v>20190304164909199</v>
      </c>
      <c r="B2897" t="str">
        <f>"1551689349189447"</f>
        <v>1551689349189447</v>
      </c>
      <c r="C2897" t="s">
        <v>40</v>
      </c>
      <c r="D2897">
        <v>4.109775</v>
      </c>
      <c r="E2897">
        <v>0.49227729999999997</v>
      </c>
      <c r="F2897" t="s">
        <v>46</v>
      </c>
      <c r="G2897">
        <v>-454.07170000000002</v>
      </c>
      <c r="H2897" s="1">
        <v>6.3929499999999898E-7</v>
      </c>
      <c r="I2897">
        <v>284.40309999999999</v>
      </c>
      <c r="J2897">
        <v>-451.65600000000001</v>
      </c>
      <c r="K2897">
        <v>1.1098730000000001</v>
      </c>
      <c r="L2897">
        <v>285.14249999999998</v>
      </c>
      <c r="M2897">
        <v>-0.99988310000000002</v>
      </c>
      <c r="N2897">
        <v>-1.147308E-2</v>
      </c>
      <c r="O2897">
        <v>1.012308E-2</v>
      </c>
      <c r="P2897">
        <v>-0.90414660000000002</v>
      </c>
      <c r="Q2897">
        <v>0.34979510000000003</v>
      </c>
      <c r="R2897">
        <v>-0.24528059999999999</v>
      </c>
      <c r="S2897">
        <v>-3.6365970000000001</v>
      </c>
      <c r="T2897">
        <v>-1.5487420000000001</v>
      </c>
      <c r="U2897">
        <v>-1.0279240000000001</v>
      </c>
      <c r="V2897">
        <v>-0.25371919999999998</v>
      </c>
      <c r="W2897">
        <v>0.36061159999999998</v>
      </c>
      <c r="X2897">
        <v>0.89754439999999902</v>
      </c>
      <c r="Y2897">
        <v>-0.25936049999999999</v>
      </c>
      <c r="Z2897">
        <v>-5.7555589999999997E-2</v>
      </c>
      <c r="AA2897">
        <v>0.96406409999999998</v>
      </c>
      <c r="AB2897">
        <v>25</v>
      </c>
      <c r="AC2897">
        <v>-2.41570000000001</v>
      </c>
      <c r="AD2897">
        <v>-1.1098723607049901</v>
      </c>
      <c r="AE2897">
        <v>-0.73939999999998895</v>
      </c>
      <c r="AF2897">
        <v>-0.64024737415018595</v>
      </c>
      <c r="AG2897">
        <v>-1.1098723607049901</v>
      </c>
      <c r="AH2897">
        <v>2.0185092186578402</v>
      </c>
      <c r="AI2897">
        <v>117.65966999811</v>
      </c>
      <c r="AJ2897">
        <v>107.598414750793</v>
      </c>
      <c r="AK2897">
        <v>2.3908393553247702</v>
      </c>
      <c r="AL2897">
        <v>68.862239983115302</v>
      </c>
      <c r="AM2897">
        <v>105.784616258908</v>
      </c>
      <c r="AN2897">
        <v>1.00000005423727</v>
      </c>
    </row>
    <row r="2898" spans="1:40" x14ac:dyDescent="0.25">
      <c r="A2898" t="str">
        <f>"20190304164909221"</f>
        <v>20190304164909221</v>
      </c>
      <c r="B2898" t="str">
        <f>"1551689349218728"</f>
        <v>1551689349218728</v>
      </c>
      <c r="C2898" t="s">
        <v>40</v>
      </c>
      <c r="D2898">
        <v>4.2867660000000001</v>
      </c>
      <c r="E2898">
        <v>0.49433899999999997</v>
      </c>
      <c r="F2898" t="s">
        <v>46</v>
      </c>
      <c r="G2898">
        <v>-454.32119999999998</v>
      </c>
      <c r="H2898" s="1">
        <v>7.7156400000000001E-7</v>
      </c>
      <c r="I2898">
        <v>284.41419999999999</v>
      </c>
      <c r="J2898">
        <v>-451.90769999999998</v>
      </c>
      <c r="K2898">
        <v>1.1098399999999999</v>
      </c>
      <c r="L2898">
        <v>285.1463</v>
      </c>
      <c r="M2898">
        <v>-0.9998707</v>
      </c>
      <c r="N2898">
        <v>-1.145355E-2</v>
      </c>
      <c r="O2898">
        <v>1.1294240000000001E-2</v>
      </c>
      <c r="P2898">
        <v>-0.90418030000000005</v>
      </c>
      <c r="Q2898">
        <v>0.35020899999999999</v>
      </c>
      <c r="R2898">
        <v>-0.2445639</v>
      </c>
      <c r="S2898">
        <v>-3.6341549999999998</v>
      </c>
      <c r="T2898">
        <v>-1.5134080000000001</v>
      </c>
      <c r="U2898">
        <v>-0.99310299999999996</v>
      </c>
      <c r="V2898">
        <v>-0.25402710000000001</v>
      </c>
      <c r="W2898">
        <v>0.36102780000000001</v>
      </c>
      <c r="X2898">
        <v>0.89728989999999997</v>
      </c>
      <c r="Y2898">
        <v>-0.2533435</v>
      </c>
      <c r="Z2898">
        <v>-5.568671E-2</v>
      </c>
      <c r="AA2898">
        <v>0.96577230000000003</v>
      </c>
      <c r="AB2898">
        <v>25</v>
      </c>
      <c r="AC2898">
        <v>-2.4134999999999902</v>
      </c>
      <c r="AD2898">
        <v>-1.1098392284359999</v>
      </c>
      <c r="AE2898">
        <v>-0.73210000000000197</v>
      </c>
      <c r="AF2898">
        <v>-0.63613225867517098</v>
      </c>
      <c r="AG2898">
        <v>-1.1098392284359999</v>
      </c>
      <c r="AH2898">
        <v>2.01490765820034</v>
      </c>
      <c r="AI2898">
        <v>117.711067971297</v>
      </c>
      <c r="AJ2898">
        <v>107.52157667931399</v>
      </c>
      <c r="AK2898">
        <v>2.3866839410732599</v>
      </c>
      <c r="AL2898">
        <v>68.8366698918136</v>
      </c>
      <c r="AM2898">
        <v>105.80707358814099</v>
      </c>
      <c r="AN2898">
        <v>1.00000000227462</v>
      </c>
    </row>
    <row r="2899" spans="1:40" x14ac:dyDescent="0.25">
      <c r="A2899" t="str">
        <f>"20190304164909245"</f>
        <v>20190304164909245</v>
      </c>
      <c r="B2899" t="str">
        <f>"1551689349239227"</f>
        <v>1551689349239227</v>
      </c>
      <c r="C2899" t="s">
        <v>40</v>
      </c>
      <c r="D2899">
        <v>4.2653800000000004</v>
      </c>
      <c r="E2899">
        <v>0.4936121</v>
      </c>
      <c r="F2899" t="s">
        <v>46</v>
      </c>
      <c r="G2899">
        <v>-454.60120000000001</v>
      </c>
      <c r="H2899" s="1">
        <v>9.2014370000000001E-7</v>
      </c>
      <c r="I2899">
        <v>284.4237</v>
      </c>
      <c r="J2899">
        <v>-452.16500000000002</v>
      </c>
      <c r="K2899">
        <v>1.1098239999999999</v>
      </c>
      <c r="L2899">
        <v>285.15050000000002</v>
      </c>
      <c r="M2899">
        <v>-0.99985630000000003</v>
      </c>
      <c r="N2899">
        <v>-1.143049E-2</v>
      </c>
      <c r="O2899">
        <v>1.252239E-2</v>
      </c>
      <c r="P2899">
        <v>-0.90414260000000002</v>
      </c>
      <c r="Q2899">
        <v>0.35114459999999997</v>
      </c>
      <c r="R2899">
        <v>-0.24335960000000001</v>
      </c>
      <c r="S2899">
        <v>-3.6342159999999999</v>
      </c>
      <c r="T2899">
        <v>-1.497498</v>
      </c>
      <c r="U2899">
        <v>-0.97497560000000005</v>
      </c>
      <c r="V2899">
        <v>-0.25391000000000002</v>
      </c>
      <c r="W2899">
        <v>0.36195040000000001</v>
      </c>
      <c r="X2899">
        <v>0.89695130000000001</v>
      </c>
      <c r="Y2899">
        <v>-0.25055369999999999</v>
      </c>
      <c r="Z2899">
        <v>-5.5087659999999997E-2</v>
      </c>
      <c r="AA2899">
        <v>0.96653409999999995</v>
      </c>
      <c r="AB2899">
        <v>25</v>
      </c>
      <c r="AC2899">
        <v>-2.4361999999999799</v>
      </c>
      <c r="AD2899">
        <v>-1.1098230798563</v>
      </c>
      <c r="AE2899">
        <v>-0.72680000000002498</v>
      </c>
      <c r="AF2899">
        <v>-0.636042048585857</v>
      </c>
      <c r="AG2899">
        <v>-1.1098230798563</v>
      </c>
      <c r="AH2899">
        <v>2.03844277430083</v>
      </c>
      <c r="AI2899">
        <v>117.46242283591801</v>
      </c>
      <c r="AJ2899">
        <v>107.329148767633</v>
      </c>
      <c r="AK2899">
        <v>2.4065547365996598</v>
      </c>
      <c r="AL2899">
        <v>68.779974991305096</v>
      </c>
      <c r="AM2899">
        <v>105.805817436659</v>
      </c>
      <c r="AN2899">
        <v>1.0000000073659201</v>
      </c>
    </row>
    <row r="2900" spans="1:40" x14ac:dyDescent="0.25">
      <c r="A2900" t="str">
        <f>"20190304164909266"</f>
        <v>20190304164909266</v>
      </c>
      <c r="B2900" t="str">
        <f>"1551689349258747"</f>
        <v>1551689349258747</v>
      </c>
      <c r="C2900" t="s">
        <v>40</v>
      </c>
      <c r="D2900">
        <v>4.2681469999999999</v>
      </c>
      <c r="E2900">
        <v>0.49341639999999998</v>
      </c>
      <c r="F2900" t="s">
        <v>46</v>
      </c>
      <c r="G2900">
        <v>-454.85180000000003</v>
      </c>
      <c r="H2900" s="1">
        <v>1.0534679999999999E-6</v>
      </c>
      <c r="I2900">
        <v>284.42509999999999</v>
      </c>
      <c r="J2900">
        <v>-452.41550000000001</v>
      </c>
      <c r="K2900">
        <v>1.109815</v>
      </c>
      <c r="L2900">
        <v>285.15499999999997</v>
      </c>
      <c r="M2900">
        <v>-0.99984070000000003</v>
      </c>
      <c r="N2900">
        <v>-1.1406970000000001E-2</v>
      </c>
      <c r="O2900">
        <v>1.373007E-2</v>
      </c>
      <c r="P2900">
        <v>-0.90410829999999998</v>
      </c>
      <c r="Q2900">
        <v>0.35182409999999997</v>
      </c>
      <c r="R2900">
        <v>-0.24250369999999999</v>
      </c>
      <c r="S2900">
        <v>-3.637238</v>
      </c>
      <c r="T2900">
        <v>-1.5023919999999999</v>
      </c>
      <c r="U2900">
        <v>-0.98205569999999998</v>
      </c>
      <c r="V2900">
        <v>-0.25413479999999999</v>
      </c>
      <c r="W2900">
        <v>0.36260949999999997</v>
      </c>
      <c r="X2900">
        <v>0.89662140000000001</v>
      </c>
      <c r="Y2900">
        <v>-0.25290889999999999</v>
      </c>
      <c r="Z2900">
        <v>-5.61293E-2</v>
      </c>
      <c r="AA2900">
        <v>0.96586050000000001</v>
      </c>
      <c r="AB2900">
        <v>25</v>
      </c>
      <c r="AC2900">
        <v>-2.4363000000000099</v>
      </c>
      <c r="AD2900">
        <v>-1.1098139465320001</v>
      </c>
      <c r="AE2900">
        <v>-0.729899999999986</v>
      </c>
      <c r="AF2900">
        <v>-0.641189511588237</v>
      </c>
      <c r="AG2900">
        <v>-1.1098139465320001</v>
      </c>
      <c r="AH2900">
        <v>2.0379789485372499</v>
      </c>
      <c r="AI2900">
        <v>117.450196529294</v>
      </c>
      <c r="AJ2900">
        <v>107.464632828855</v>
      </c>
      <c r="AK2900">
        <v>2.4075234537525598</v>
      </c>
      <c r="AL2900">
        <v>68.739459807119403</v>
      </c>
      <c r="AM2900">
        <v>105.82464003400599</v>
      </c>
      <c r="AN2900">
        <v>1.0000000404996201</v>
      </c>
    </row>
    <row r="2901" spans="1:40" x14ac:dyDescent="0.25">
      <c r="A2901" t="str">
        <f>"20190304164909282"</f>
        <v>20190304164909282</v>
      </c>
      <c r="B2901" t="str">
        <f>"1551689349279240"</f>
        <v>1551689349279240</v>
      </c>
      <c r="C2901" t="s">
        <v>40</v>
      </c>
      <c r="D2901">
        <v>4.2840860000000003</v>
      </c>
      <c r="E2901">
        <v>0.49320740000000002</v>
      </c>
      <c r="F2901" t="s">
        <v>46</v>
      </c>
      <c r="G2901">
        <v>-455.10250000000002</v>
      </c>
      <c r="H2901" s="1">
        <v>1.1866589999999999E-6</v>
      </c>
      <c r="I2901">
        <v>284.43040000000002</v>
      </c>
      <c r="J2901">
        <v>-452.59289999999999</v>
      </c>
      <c r="K2901">
        <v>1.109812</v>
      </c>
      <c r="L2901">
        <v>285.15839999999997</v>
      </c>
      <c r="M2901">
        <v>-0.99982870000000001</v>
      </c>
      <c r="N2901">
        <v>-1.139162E-2</v>
      </c>
      <c r="O2901">
        <v>1.4583580000000001E-2</v>
      </c>
      <c r="P2901">
        <v>-0.90414989999999995</v>
      </c>
      <c r="Q2901">
        <v>0.35212979999999999</v>
      </c>
      <c r="R2901">
        <v>-0.24190349999999999</v>
      </c>
      <c r="S2901">
        <v>-3.6398619999999999</v>
      </c>
      <c r="T2901">
        <v>-1.503366</v>
      </c>
      <c r="U2901">
        <v>-0.98153690000000005</v>
      </c>
      <c r="V2901">
        <v>-0.25430399999999997</v>
      </c>
      <c r="W2901">
        <v>0.36289959999999999</v>
      </c>
      <c r="X2901">
        <v>0.89645599999999903</v>
      </c>
      <c r="Y2901">
        <v>-0.25333139999999998</v>
      </c>
      <c r="Z2901">
        <v>-5.6535250000000002E-2</v>
      </c>
      <c r="AA2901">
        <v>0.96572610000000003</v>
      </c>
      <c r="AB2901">
        <v>25</v>
      </c>
      <c r="AC2901">
        <v>-2.50960000000003</v>
      </c>
      <c r="AD2901">
        <v>-1.1098108133409901</v>
      </c>
      <c r="AE2901">
        <v>-0.72799999999995102</v>
      </c>
      <c r="AF2901">
        <v>-0.647690486122242</v>
      </c>
      <c r="AG2901">
        <v>-1.1098108133409901</v>
      </c>
      <c r="AH2901">
        <v>2.11686552377755</v>
      </c>
      <c r="AI2901">
        <v>116.625961802714</v>
      </c>
      <c r="AJ2901">
        <v>107.01236925381301</v>
      </c>
      <c r="AK2901">
        <v>2.4763486533563599</v>
      </c>
      <c r="AL2901">
        <v>68.721622509462506</v>
      </c>
      <c r="AM2901">
        <v>105.837422732753</v>
      </c>
      <c r="AN2901">
        <v>1.00000000201607</v>
      </c>
    </row>
    <row r="2902" spans="1:40" x14ac:dyDescent="0.25">
      <c r="A2902" t="str">
        <f>"20190304164909294"</f>
        <v>20190304164909294</v>
      </c>
      <c r="B2902" t="str">
        <f>"1551689349288999"</f>
        <v>1551689349288999</v>
      </c>
      <c r="C2902" t="s">
        <v>40</v>
      </c>
      <c r="D2902">
        <v>4.2588429999999997</v>
      </c>
      <c r="E2902">
        <v>0.49307839999999997</v>
      </c>
      <c r="F2902" t="s">
        <v>46</v>
      </c>
      <c r="G2902">
        <v>-455.27780000000001</v>
      </c>
      <c r="H2902" s="1">
        <v>1.279686E-6</v>
      </c>
      <c r="I2902">
        <v>284.43529999999998</v>
      </c>
      <c r="J2902">
        <v>-452.74290000000002</v>
      </c>
      <c r="K2902">
        <v>1.109812</v>
      </c>
      <c r="L2902">
        <v>285.16129999999998</v>
      </c>
      <c r="M2902">
        <v>-0.99981830000000005</v>
      </c>
      <c r="N2902">
        <v>-1.1379719999999999E-2</v>
      </c>
      <c r="O2902">
        <v>1.53026E-2</v>
      </c>
      <c r="P2902">
        <v>-0.90412749999999997</v>
      </c>
      <c r="Q2902">
        <v>0.35248980000000002</v>
      </c>
      <c r="R2902">
        <v>-0.2414636</v>
      </c>
      <c r="S2902">
        <v>-3.641937</v>
      </c>
      <c r="T2902">
        <v>-1.5054050000000001</v>
      </c>
      <c r="U2902">
        <v>-0.98074340000000004</v>
      </c>
      <c r="V2902">
        <v>-0.25451299999999999</v>
      </c>
      <c r="W2902">
        <v>0.36324519999999999</v>
      </c>
      <c r="X2902">
        <v>0.89625669999999902</v>
      </c>
      <c r="Y2902">
        <v>-0.25358209999999998</v>
      </c>
      <c r="Z2902">
        <v>-5.6900430000000002E-2</v>
      </c>
      <c r="AA2902">
        <v>0.96563889999999997</v>
      </c>
      <c r="AB2902">
        <v>25</v>
      </c>
      <c r="AC2902">
        <v>-2.5348999999999902</v>
      </c>
      <c r="AD2902">
        <v>-1.109810720314</v>
      </c>
      <c r="AE2902">
        <v>-0.72599999999999898</v>
      </c>
      <c r="AF2902">
        <v>-0.64962728592299901</v>
      </c>
      <c r="AG2902">
        <v>-1.109810720314</v>
      </c>
      <c r="AH2902">
        <v>2.1437328219655298</v>
      </c>
      <c r="AI2902">
        <v>116.356157389464</v>
      </c>
      <c r="AJ2902">
        <v>106.858674875258</v>
      </c>
      <c r="AK2902">
        <v>2.4998571674221401</v>
      </c>
      <c r="AL2902">
        <v>68.700371017864498</v>
      </c>
      <c r="AM2902">
        <v>105.85313241557699</v>
      </c>
      <c r="AN2902">
        <v>1.0000000073934601</v>
      </c>
    </row>
    <row r="2903" spans="1:40" x14ac:dyDescent="0.25">
      <c r="A2903" t="str">
        <f>"20190304164909308"</f>
        <v>20190304164909308</v>
      </c>
      <c r="B2903" t="str">
        <f>"1551689349298759"</f>
        <v>1551689349298759</v>
      </c>
      <c r="C2903" t="s">
        <v>40</v>
      </c>
      <c r="D2903">
        <v>4.2744869999999997</v>
      </c>
      <c r="E2903">
        <v>0.49314730000000001</v>
      </c>
      <c r="F2903" t="s">
        <v>46</v>
      </c>
      <c r="G2903">
        <v>-455.42860000000002</v>
      </c>
      <c r="H2903" s="1">
        <v>1.359795E-6</v>
      </c>
      <c r="I2903">
        <v>284.43970000000002</v>
      </c>
      <c r="J2903">
        <v>-452.89519999999999</v>
      </c>
      <c r="K2903">
        <v>1.1098170000000001</v>
      </c>
      <c r="L2903">
        <v>285.1644</v>
      </c>
      <c r="M2903">
        <v>-0.99980709999999995</v>
      </c>
      <c r="N2903">
        <v>-1.1365719999999999E-2</v>
      </c>
      <c r="O2903">
        <v>1.6021469999999999E-2</v>
      </c>
      <c r="P2903">
        <v>-0.90419539999999998</v>
      </c>
      <c r="Q2903">
        <v>0.3525026</v>
      </c>
      <c r="R2903">
        <v>-0.2411904</v>
      </c>
      <c r="S2903">
        <v>-3.6436459999999999</v>
      </c>
      <c r="T2903">
        <v>-1.5056039999999999</v>
      </c>
      <c r="U2903">
        <v>-0.97885129999999998</v>
      </c>
      <c r="V2903">
        <v>-0.25489329999999999</v>
      </c>
      <c r="W2903">
        <v>0.3632417</v>
      </c>
      <c r="X2903">
        <v>0.89615</v>
      </c>
      <c r="Y2903">
        <v>-0.25364419999999999</v>
      </c>
      <c r="Z2903">
        <v>-5.7171270000000003E-2</v>
      </c>
      <c r="AA2903">
        <v>0.96560659999999998</v>
      </c>
      <c r="AB2903">
        <v>25</v>
      </c>
      <c r="AC2903">
        <v>-2.5334000000000199</v>
      </c>
      <c r="AD2903">
        <v>-1.1098156402049999</v>
      </c>
      <c r="AE2903">
        <v>-0.72469999999998402</v>
      </c>
      <c r="AF2903">
        <v>-0.64990930806731895</v>
      </c>
      <c r="AG2903">
        <v>-1.1098156402049999</v>
      </c>
      <c r="AH2903">
        <v>2.14156549886766</v>
      </c>
      <c r="AI2903">
        <v>116.376543999395</v>
      </c>
      <c r="AJ2903">
        <v>106.88167633400801</v>
      </c>
      <c r="AK2903">
        <v>2.4980743883832699</v>
      </c>
      <c r="AL2903">
        <v>68.700585525876306</v>
      </c>
      <c r="AM2903">
        <v>105.877422393812</v>
      </c>
      <c r="AN2903">
        <v>0.99999997475188895</v>
      </c>
    </row>
    <row r="2904" spans="1:40" x14ac:dyDescent="0.25">
      <c r="A2904" t="str">
        <f>"20190304164909322"</f>
        <v>20190304164909322</v>
      </c>
      <c r="B2904" t="str">
        <f>"1551689349308520"</f>
        <v>1551689349308520</v>
      </c>
      <c r="C2904" t="s">
        <v>40</v>
      </c>
      <c r="D2904">
        <v>4.2896599999999996</v>
      </c>
      <c r="E2904">
        <v>0.49306620000000001</v>
      </c>
      <c r="F2904" t="s">
        <v>46</v>
      </c>
      <c r="G2904">
        <v>-455.58139999999997</v>
      </c>
      <c r="H2904" s="1">
        <v>1.4408320000000001E-6</v>
      </c>
      <c r="I2904">
        <v>284.4452</v>
      </c>
      <c r="J2904">
        <v>-453.04430000000002</v>
      </c>
      <c r="K2904">
        <v>1.109823</v>
      </c>
      <c r="L2904">
        <v>285.16750000000002</v>
      </c>
      <c r="M2904">
        <v>-0.99979589999999996</v>
      </c>
      <c r="N2904">
        <v>-1.1351119999999999E-2</v>
      </c>
      <c r="O2904">
        <v>1.6716950000000001E-2</v>
      </c>
      <c r="P2904">
        <v>-0.90428909999999996</v>
      </c>
      <c r="Q2904">
        <v>0.35232799999999997</v>
      </c>
      <c r="R2904">
        <v>-0.24109359999999999</v>
      </c>
      <c r="S2904">
        <v>-3.6445919999999998</v>
      </c>
      <c r="T2904">
        <v>-1.505787</v>
      </c>
      <c r="U2904">
        <v>-0.97583010000000003</v>
      </c>
      <c r="V2904">
        <v>-0.25543169999999998</v>
      </c>
      <c r="W2904">
        <v>0.36304890000000001</v>
      </c>
      <c r="X2904">
        <v>0.89607479999999995</v>
      </c>
      <c r="Y2904">
        <v>-0.25346679999999999</v>
      </c>
      <c r="Z2904">
        <v>-5.7396740000000002E-2</v>
      </c>
      <c r="AA2904">
        <v>0.96563980000000005</v>
      </c>
      <c r="AB2904">
        <v>25</v>
      </c>
      <c r="AC2904">
        <v>-2.53709999999995</v>
      </c>
      <c r="AD2904">
        <v>-1.1098215591680001</v>
      </c>
      <c r="AE2904">
        <v>-0.72230000000001804</v>
      </c>
      <c r="AF2904">
        <v>-0.64962726832082696</v>
      </c>
      <c r="AG2904">
        <v>-1.1098215591680001</v>
      </c>
      <c r="AH2904">
        <v>2.1449956515532702</v>
      </c>
      <c r="AI2904">
        <v>116.344087730319</v>
      </c>
      <c r="AJ2904">
        <v>106.849311750705</v>
      </c>
      <c r="AK2904">
        <v>2.5009449866245501</v>
      </c>
      <c r="AL2904">
        <v>68.712441028172904</v>
      </c>
      <c r="AM2904">
        <v>105.910531347285</v>
      </c>
      <c r="AN2904">
        <v>0.99999995217556803</v>
      </c>
    </row>
    <row r="2905" spans="1:40" x14ac:dyDescent="0.25">
      <c r="A2905" t="str">
        <f>"20190304164909344"</f>
        <v>20190304164909344</v>
      </c>
      <c r="B2905" t="str">
        <f>"1551689349338779"</f>
        <v>1551689349338779</v>
      </c>
      <c r="C2905" t="s">
        <v>40</v>
      </c>
      <c r="D2905">
        <v>4.312665</v>
      </c>
      <c r="E2905">
        <v>0.49304730000000002</v>
      </c>
      <c r="F2905" t="s">
        <v>46</v>
      </c>
      <c r="G2905">
        <v>-455.72770000000003</v>
      </c>
      <c r="H2905" s="1">
        <v>1.518508E-6</v>
      </c>
      <c r="I2905">
        <v>284.44920000000002</v>
      </c>
      <c r="J2905">
        <v>-453.30579999999998</v>
      </c>
      <c r="K2905">
        <v>1.109828</v>
      </c>
      <c r="L2905">
        <v>285.17320000000001</v>
      </c>
      <c r="M2905">
        <v>-0.99977559999999999</v>
      </c>
      <c r="N2905">
        <v>-1.13241E-2</v>
      </c>
      <c r="O2905">
        <v>1.790754E-2</v>
      </c>
      <c r="P2905">
        <v>-0.90447520000000003</v>
      </c>
      <c r="Q2905">
        <v>0.3521821</v>
      </c>
      <c r="R2905">
        <v>-0.2406093</v>
      </c>
      <c r="S2905">
        <v>-3.6447449999999999</v>
      </c>
      <c r="T2905">
        <v>-1.5074320000000001</v>
      </c>
      <c r="U2905">
        <v>-0.9756165</v>
      </c>
      <c r="V2905">
        <v>-0.25603959999999998</v>
      </c>
      <c r="W2905">
        <v>0.36286679999999999</v>
      </c>
      <c r="X2905">
        <v>0.89597510000000002</v>
      </c>
      <c r="Y2905">
        <v>-0.25434859999999998</v>
      </c>
      <c r="Z2905">
        <v>-5.8079869999999999E-2</v>
      </c>
      <c r="AA2905">
        <v>0.96536699999999998</v>
      </c>
      <c r="AB2905">
        <v>25</v>
      </c>
      <c r="AC2905">
        <v>-2.4219000000000501</v>
      </c>
      <c r="AD2905">
        <v>-1.109826481492</v>
      </c>
      <c r="AE2905">
        <v>-0.72399999999998899</v>
      </c>
      <c r="AF2905">
        <v>-0.64325996553927001</v>
      </c>
      <c r="AG2905">
        <v>-1.109826481492</v>
      </c>
      <c r="AH2905">
        <v>2.0192988140932</v>
      </c>
      <c r="AI2905">
        <v>117.64018383164</v>
      </c>
      <c r="AJ2905">
        <v>107.66959568451399</v>
      </c>
      <c r="AK2905">
        <v>2.3922930219529301</v>
      </c>
      <c r="AL2905">
        <v>68.723638918247801</v>
      </c>
      <c r="AM2905">
        <v>105.9481576908</v>
      </c>
      <c r="AN2905">
        <v>0.99999998556520397</v>
      </c>
    </row>
    <row r="2906" spans="1:40" x14ac:dyDescent="0.25">
      <c r="A2906" t="str">
        <f>"20190304164909366"</f>
        <v>20190304164909366</v>
      </c>
      <c r="B2906" t="str">
        <f>"1551689349359271"</f>
        <v>1551689349359271</v>
      </c>
      <c r="C2906" t="s">
        <v>40</v>
      </c>
      <c r="D2906">
        <v>4.3137930000000004</v>
      </c>
      <c r="E2906">
        <v>0.49303799999999998</v>
      </c>
      <c r="F2906" t="s">
        <v>46</v>
      </c>
      <c r="G2906">
        <v>-455.98320000000001</v>
      </c>
      <c r="H2906" s="1">
        <v>1.6540759999999999E-6</v>
      </c>
      <c r="I2906">
        <v>284.45819999999998</v>
      </c>
      <c r="J2906">
        <v>-453.55430000000001</v>
      </c>
      <c r="K2906">
        <v>1.109842</v>
      </c>
      <c r="L2906">
        <v>285.17899999999997</v>
      </c>
      <c r="M2906">
        <v>-0.99975559999999997</v>
      </c>
      <c r="N2906">
        <v>-1.129758E-2</v>
      </c>
      <c r="O2906">
        <v>1.9003559999999999E-2</v>
      </c>
      <c r="P2906">
        <v>-0.90471559999999995</v>
      </c>
      <c r="Q2906">
        <v>0.35183969999999998</v>
      </c>
      <c r="R2906">
        <v>-0.240205</v>
      </c>
      <c r="S2906">
        <v>-3.6463009999999998</v>
      </c>
      <c r="T2906">
        <v>-1.511468</v>
      </c>
      <c r="U2906">
        <v>-0.97378540000000002</v>
      </c>
      <c r="V2906">
        <v>-0.25664799999999999</v>
      </c>
      <c r="W2906">
        <v>0.3624868</v>
      </c>
      <c r="X2906">
        <v>0.89595480000000005</v>
      </c>
      <c r="Y2906">
        <v>-0.2546466</v>
      </c>
      <c r="Z2906">
        <v>-5.8677769999999997E-2</v>
      </c>
      <c r="AA2906">
        <v>0.96525229999999995</v>
      </c>
      <c r="AB2906">
        <v>25</v>
      </c>
      <c r="AC2906">
        <v>-2.4288999999999898</v>
      </c>
      <c r="AD2906">
        <v>-1.109840345924</v>
      </c>
      <c r="AE2906">
        <v>-0.72080000000005295</v>
      </c>
      <c r="AF2906">
        <v>-0.643374989042102</v>
      </c>
      <c r="AG2906">
        <v>-1.109840345924</v>
      </c>
      <c r="AH2906">
        <v>2.0259990878937102</v>
      </c>
      <c r="AI2906">
        <v>117.56931524774799</v>
      </c>
      <c r="AJ2906">
        <v>107.617733264986</v>
      </c>
      <c r="AK2906">
        <v>2.3979885892371899</v>
      </c>
      <c r="AL2906">
        <v>68.747000971645406</v>
      </c>
      <c r="AM2906">
        <v>105.98446354281501</v>
      </c>
      <c r="AN2906">
        <v>0.99999993986063795</v>
      </c>
    </row>
    <row r="2907" spans="1:40" x14ac:dyDescent="0.25">
      <c r="A2907" t="str">
        <f>"20190304164909389"</f>
        <v>20190304164909389</v>
      </c>
      <c r="B2907" t="str">
        <f>"1551689349378792"</f>
        <v>1551689349378792</v>
      </c>
      <c r="C2907" t="s">
        <v>40</v>
      </c>
      <c r="D2907">
        <v>4.306108</v>
      </c>
      <c r="E2907">
        <v>0.49302200000000002</v>
      </c>
      <c r="F2907" t="s">
        <v>46</v>
      </c>
      <c r="G2907">
        <v>-456.22669999999999</v>
      </c>
      <c r="H2907" s="1">
        <v>1.783296E-6</v>
      </c>
      <c r="I2907">
        <v>284.46589999999998</v>
      </c>
      <c r="J2907">
        <v>-453.81029999999998</v>
      </c>
      <c r="K2907">
        <v>1.109864</v>
      </c>
      <c r="L2907">
        <v>285.18509999999998</v>
      </c>
      <c r="M2907">
        <v>-0.99973469999999998</v>
      </c>
      <c r="N2907">
        <v>-1.1267559999999999E-2</v>
      </c>
      <c r="O2907">
        <v>2.0095060000000001E-2</v>
      </c>
      <c r="P2907">
        <v>-0.90506229999999999</v>
      </c>
      <c r="Q2907">
        <v>0.35127760000000002</v>
      </c>
      <c r="R2907">
        <v>-0.2397212</v>
      </c>
      <c r="S2907">
        <v>-3.6465450000000001</v>
      </c>
      <c r="T2907">
        <v>-1.51441</v>
      </c>
      <c r="U2907">
        <v>-0.97299190000000002</v>
      </c>
      <c r="V2907">
        <v>-0.25718020000000003</v>
      </c>
      <c r="W2907">
        <v>0.36188189999999998</v>
      </c>
      <c r="X2907">
        <v>0.89604680000000003</v>
      </c>
      <c r="Y2907">
        <v>-0.2552738</v>
      </c>
      <c r="Z2907">
        <v>-5.9320190000000002E-2</v>
      </c>
      <c r="AA2907">
        <v>0.9650474</v>
      </c>
      <c r="AB2907">
        <v>25</v>
      </c>
      <c r="AC2907">
        <v>-2.4163999999999999</v>
      </c>
      <c r="AD2907">
        <v>-1.109862216704</v>
      </c>
      <c r="AE2907">
        <v>-0.71919999999999995</v>
      </c>
      <c r="AF2907">
        <v>-0.64300557780872403</v>
      </c>
      <c r="AG2907">
        <v>-1.109862216704</v>
      </c>
      <c r="AH2907">
        <v>2.0116207654465201</v>
      </c>
      <c r="AI2907">
        <v>117.72330062885101</v>
      </c>
      <c r="AJ2907">
        <v>107.726246416523</v>
      </c>
      <c r="AK2907">
        <v>2.3857636968350202</v>
      </c>
      <c r="AL2907">
        <v>68.784185355342998</v>
      </c>
      <c r="AM2907">
        <v>106.014351515497</v>
      </c>
      <c r="AN2907">
        <v>1.0000000163049401</v>
      </c>
    </row>
    <row r="2908" spans="1:40" x14ac:dyDescent="0.25">
      <c r="A2908" t="str">
        <f>"20190304164909411"</f>
        <v>20190304164909411</v>
      </c>
      <c r="B2908" t="str">
        <f>"1551689349409049"</f>
        <v>1551689349409049</v>
      </c>
      <c r="C2908" t="s">
        <v>40</v>
      </c>
      <c r="D2908">
        <v>4.3268940000000002</v>
      </c>
      <c r="E2908">
        <v>0.49296830000000003</v>
      </c>
      <c r="F2908" t="s">
        <v>46</v>
      </c>
      <c r="G2908">
        <v>-456.47660000000002</v>
      </c>
      <c r="H2908" s="1">
        <v>1.915901E-6</v>
      </c>
      <c r="I2908">
        <v>284.47489999999999</v>
      </c>
      <c r="J2908">
        <v>-454.07100000000003</v>
      </c>
      <c r="K2908">
        <v>1.109899</v>
      </c>
      <c r="L2908">
        <v>285.19150000000002</v>
      </c>
      <c r="M2908">
        <v>-0.99971310000000002</v>
      </c>
      <c r="N2908">
        <v>-1.123702E-2</v>
      </c>
      <c r="O2908">
        <v>2.1159870000000001E-2</v>
      </c>
      <c r="P2908">
        <v>-0.90556060000000005</v>
      </c>
      <c r="Q2908">
        <v>0.3505684</v>
      </c>
      <c r="R2908">
        <v>-0.23887659999999999</v>
      </c>
      <c r="S2908">
        <v>-3.6465450000000001</v>
      </c>
      <c r="T2908">
        <v>-1.5178969999999901</v>
      </c>
      <c r="U2908">
        <v>-0.97128300000000001</v>
      </c>
      <c r="V2908">
        <v>-0.257335799999999</v>
      </c>
      <c r="W2908">
        <v>0.36112699999999998</v>
      </c>
      <c r="X2908">
        <v>0.89630659999999895</v>
      </c>
      <c r="Y2908">
        <v>-0.25566539999999999</v>
      </c>
      <c r="Z2908">
        <v>-5.9931289999999998E-2</v>
      </c>
      <c r="AA2908">
        <v>0.96490589999999998</v>
      </c>
      <c r="AB2908">
        <v>25</v>
      </c>
      <c r="AC2908">
        <v>-2.4056000000000402</v>
      </c>
      <c r="AD2908">
        <v>-1.1098970840989999</v>
      </c>
      <c r="AE2908">
        <v>-0.71660000000002799</v>
      </c>
      <c r="AF2908">
        <v>-0.64184931844432702</v>
      </c>
      <c r="AG2908">
        <v>-1.1098970840989999</v>
      </c>
      <c r="AH2908">
        <v>1.9990409057640299</v>
      </c>
      <c r="AI2908">
        <v>117.862462109578</v>
      </c>
      <c r="AJ2908">
        <v>107.800714506169</v>
      </c>
      <c r="AK2908">
        <v>2.37486981281012</v>
      </c>
      <c r="AL2908">
        <v>68.830574303793796</v>
      </c>
      <c r="AM2908">
        <v>106.019137144575</v>
      </c>
      <c r="AN2908">
        <v>0.99999997264709894</v>
      </c>
    </row>
    <row r="2909" spans="1:40" x14ac:dyDescent="0.25">
      <c r="A2909" t="str">
        <f>"20190304164909434"</f>
        <v>20190304164909434</v>
      </c>
      <c r="B2909" t="str">
        <f>"1551689349428568"</f>
        <v>1551689349428568</v>
      </c>
      <c r="C2909" t="s">
        <v>40</v>
      </c>
      <c r="D2909">
        <v>4.3402620000000001</v>
      </c>
      <c r="E2909">
        <v>0.49305979999999999</v>
      </c>
      <c r="F2909" t="s">
        <v>46</v>
      </c>
      <c r="G2909">
        <v>-456.7294</v>
      </c>
      <c r="H2909" s="1">
        <v>2.0499110000000002E-6</v>
      </c>
      <c r="I2909">
        <v>284.48680000000002</v>
      </c>
      <c r="J2909">
        <v>-454.3245</v>
      </c>
      <c r="K2909">
        <v>1.1099319999999999</v>
      </c>
      <c r="L2909">
        <v>285.19810000000001</v>
      </c>
      <c r="M2909">
        <v>-0.99969209999999997</v>
      </c>
      <c r="N2909">
        <v>-1.1205349999999999E-2</v>
      </c>
      <c r="O2909">
        <v>2.214238E-2</v>
      </c>
      <c r="P2909">
        <v>-0.90612369999999998</v>
      </c>
      <c r="Q2909">
        <v>0.34971609999999997</v>
      </c>
      <c r="R2909">
        <v>-0.23798910000000001</v>
      </c>
      <c r="S2909">
        <v>-3.6473390000000001</v>
      </c>
      <c r="T2909">
        <v>-1.522823</v>
      </c>
      <c r="U2909">
        <v>-0.96688839999999998</v>
      </c>
      <c r="V2909">
        <v>-0.25737929999999998</v>
      </c>
      <c r="W2909">
        <v>0.36022680000000001</v>
      </c>
      <c r="X2909">
        <v>0.89665629999999996</v>
      </c>
      <c r="Y2909">
        <v>-0.25529269999999998</v>
      </c>
      <c r="Z2909">
        <v>-6.040264E-2</v>
      </c>
      <c r="AA2909">
        <v>0.96497520000000003</v>
      </c>
      <c r="AB2909">
        <v>25</v>
      </c>
      <c r="AC2909">
        <v>-2.4048999999999898</v>
      </c>
      <c r="AD2909">
        <v>-1.1099299500890001</v>
      </c>
      <c r="AE2909">
        <v>-0.71129999999999405</v>
      </c>
      <c r="AF2909">
        <v>-0.63918061772347401</v>
      </c>
      <c r="AG2909">
        <v>-1.1099299500890001</v>
      </c>
      <c r="AH2909">
        <v>1.99733460935385</v>
      </c>
      <c r="AI2909">
        <v>117.890694248655</v>
      </c>
      <c r="AJ2909">
        <v>107.745544453505</v>
      </c>
      <c r="AK2909">
        <v>2.37272878726175</v>
      </c>
      <c r="AL2909">
        <v>68.885874450156606</v>
      </c>
      <c r="AM2909">
        <v>106.015778020844</v>
      </c>
      <c r="AN2909">
        <v>0.99999998591820904</v>
      </c>
    </row>
    <row r="2910" spans="1:40" x14ac:dyDescent="0.25">
      <c r="A2910" t="str">
        <f>"20190304164909455"</f>
        <v>20190304164909455</v>
      </c>
      <c r="B2910" t="str">
        <f>"1551689349449067"</f>
        <v>1551689349449067</v>
      </c>
      <c r="C2910" t="s">
        <v>40</v>
      </c>
      <c r="D2910">
        <v>4.3230199999999996</v>
      </c>
      <c r="E2910">
        <v>0.49310739999999997</v>
      </c>
      <c r="F2910" t="s">
        <v>46</v>
      </c>
      <c r="G2910">
        <v>-456.97559999999999</v>
      </c>
      <c r="H2910" s="1">
        <v>2.1804459999999999E-6</v>
      </c>
      <c r="I2910">
        <v>284.4982</v>
      </c>
      <c r="J2910">
        <v>-454.57209999999998</v>
      </c>
      <c r="K2910">
        <v>1.1099680000000001</v>
      </c>
      <c r="L2910">
        <v>285.20460000000003</v>
      </c>
      <c r="M2910">
        <v>-0.99967200000000001</v>
      </c>
      <c r="N2910">
        <v>-1.117231E-2</v>
      </c>
      <c r="O2910">
        <v>2.3043250000000001E-2</v>
      </c>
      <c r="P2910">
        <v>-0.90666590000000002</v>
      </c>
      <c r="Q2910">
        <v>0.34909000000000001</v>
      </c>
      <c r="R2910">
        <v>-0.2368393</v>
      </c>
      <c r="S2910">
        <v>-3.6472470000000001</v>
      </c>
      <c r="T2910">
        <v>-1.526959</v>
      </c>
      <c r="U2910">
        <v>-0.96282959999999995</v>
      </c>
      <c r="V2910">
        <v>-0.25709169999999998</v>
      </c>
      <c r="W2910">
        <v>0.3595488</v>
      </c>
      <c r="X2910">
        <v>0.89701090000000006</v>
      </c>
      <c r="Y2910">
        <v>-0.2549941</v>
      </c>
      <c r="Z2910">
        <v>-6.0842960000000001E-2</v>
      </c>
      <c r="AA2910">
        <v>0.96502650000000001</v>
      </c>
      <c r="AB2910">
        <v>25</v>
      </c>
      <c r="AC2910">
        <v>-2.4035000000000002</v>
      </c>
      <c r="AD2910">
        <v>-1.1099658195540001</v>
      </c>
      <c r="AE2910">
        <v>-0.70640000000003</v>
      </c>
      <c r="AF2910">
        <v>-0.63662291994717701</v>
      </c>
      <c r="AG2910">
        <v>-1.1099658195540001</v>
      </c>
      <c r="AH2910">
        <v>1.9949484963020401</v>
      </c>
      <c r="AI2910">
        <v>117.92596854767299</v>
      </c>
      <c r="AJ2910">
        <v>107.69879163278701</v>
      </c>
      <c r="AK2910">
        <v>2.37004902178795</v>
      </c>
      <c r="AL2910">
        <v>68.927511524154596</v>
      </c>
      <c r="AM2910">
        <v>105.992796994241</v>
      </c>
      <c r="AN2910">
        <v>1.0000000182545601</v>
      </c>
    </row>
    <row r="2911" spans="1:40" x14ac:dyDescent="0.25">
      <c r="A2911" t="str">
        <f>"20190304164909478"</f>
        <v>20190304164909478</v>
      </c>
      <c r="B2911" t="str">
        <f>"1551689349468584"</f>
        <v>1551689349468584</v>
      </c>
      <c r="C2911" t="s">
        <v>40</v>
      </c>
      <c r="D2911">
        <v>4.3110350000000004</v>
      </c>
      <c r="E2911">
        <v>0.49287429999999899</v>
      </c>
      <c r="F2911" t="s">
        <v>46</v>
      </c>
      <c r="G2911">
        <v>-457.21809999999999</v>
      </c>
      <c r="H2911" s="1">
        <v>2.3089730000000001E-6</v>
      </c>
      <c r="I2911">
        <v>284.50979999999998</v>
      </c>
      <c r="J2911">
        <v>-454.82569999999998</v>
      </c>
      <c r="K2911">
        <v>1.110015</v>
      </c>
      <c r="L2911">
        <v>285.2115</v>
      </c>
      <c r="M2911">
        <v>-0.9996526</v>
      </c>
      <c r="N2911">
        <v>-1.1139690000000001E-2</v>
      </c>
      <c r="O2911">
        <v>2.3895110000000001E-2</v>
      </c>
      <c r="P2911">
        <v>-0.90679339999999997</v>
      </c>
      <c r="Q2911">
        <v>0.34968650000000001</v>
      </c>
      <c r="R2911">
        <v>-0.23546900000000001</v>
      </c>
      <c r="S2911">
        <v>-3.6477970000000002</v>
      </c>
      <c r="T2911">
        <v>-1.5302420000000001</v>
      </c>
      <c r="U2911">
        <v>-0.95791630000000005</v>
      </c>
      <c r="V2911">
        <v>-0.25653310000000001</v>
      </c>
      <c r="W2911">
        <v>0.36008449999999997</v>
      </c>
      <c r="X2911">
        <v>0.89695590000000003</v>
      </c>
      <c r="Y2911">
        <v>-0.2544476</v>
      </c>
      <c r="Z2911">
        <v>-6.1176420000000002E-2</v>
      </c>
      <c r="AA2911">
        <v>0.96514960000000005</v>
      </c>
      <c r="AB2911">
        <v>25</v>
      </c>
      <c r="AC2911">
        <v>-2.3923999999999999</v>
      </c>
      <c r="AD2911">
        <v>-1.1100126910269901</v>
      </c>
      <c r="AE2911">
        <v>-0.70170000000001598</v>
      </c>
      <c r="AF2911">
        <v>-0.63316400214342505</v>
      </c>
      <c r="AG2911">
        <v>-1.1100126910269901</v>
      </c>
      <c r="AH2911">
        <v>1.98206375743748</v>
      </c>
      <c r="AI2911">
        <v>118.078605134643</v>
      </c>
      <c r="AJ2911">
        <v>107.71591720376399</v>
      </c>
      <c r="AK2911">
        <v>2.3583048077800401</v>
      </c>
      <c r="AL2911">
        <v>68.8946140662039</v>
      </c>
      <c r="AM2911">
        <v>105.96074871448199</v>
      </c>
      <c r="AN2911">
        <v>0.99999998254033495</v>
      </c>
    </row>
    <row r="2912" spans="1:40" x14ac:dyDescent="0.25">
      <c r="A2912" t="str">
        <f>"20190304164909494"</f>
        <v>20190304164909494</v>
      </c>
      <c r="B2912" t="str">
        <f>"1551689349489079"</f>
        <v>1551689349489079</v>
      </c>
      <c r="C2912" t="s">
        <v>40</v>
      </c>
      <c r="D2912">
        <v>4.8012439999999996</v>
      </c>
      <c r="E2912">
        <v>0.54293319999999901</v>
      </c>
      <c r="F2912" t="s">
        <v>46</v>
      </c>
      <c r="G2912">
        <v>-457.4742</v>
      </c>
      <c r="H2912" s="1">
        <v>2.4449180000000002E-6</v>
      </c>
      <c r="I2912">
        <v>284.51819999999998</v>
      </c>
      <c r="J2912">
        <v>-455.02089999999998</v>
      </c>
      <c r="K2912">
        <v>1.1100490000000001</v>
      </c>
      <c r="L2912">
        <v>285.21679999999998</v>
      </c>
      <c r="M2912">
        <v>-0.99963769999999996</v>
      </c>
      <c r="N2912">
        <v>-1.1116910000000001E-2</v>
      </c>
      <c r="O2912">
        <v>2.451712E-2</v>
      </c>
      <c r="P2912">
        <v>-0.90674489999999996</v>
      </c>
      <c r="Q2912">
        <v>0.350213</v>
      </c>
      <c r="R2912">
        <v>-0.2348712</v>
      </c>
      <c r="S2912">
        <v>-3.6502080000000001</v>
      </c>
      <c r="T2912">
        <v>-1.5298259999999999</v>
      </c>
      <c r="U2912">
        <v>-0.95550539999999995</v>
      </c>
      <c r="V2912">
        <v>-0.25652560000000002</v>
      </c>
      <c r="W2912">
        <v>0.36056579999999999</v>
      </c>
      <c r="X2912">
        <v>0.89676469999999897</v>
      </c>
      <c r="Y2912">
        <v>-0.254293399999999</v>
      </c>
      <c r="Z2912">
        <v>-6.1336189999999999E-2</v>
      </c>
      <c r="AA2912">
        <v>0.96518020000000004</v>
      </c>
      <c r="AB2912">
        <v>26</v>
      </c>
      <c r="AC2912">
        <v>-2.4533000000000098</v>
      </c>
      <c r="AD2912">
        <v>-1.110046555082</v>
      </c>
      <c r="AE2912">
        <v>-0.698599999999999</v>
      </c>
      <c r="AF2912">
        <v>-0.63776542932065705</v>
      </c>
      <c r="AG2912">
        <v>-1.110046555082</v>
      </c>
      <c r="AH2912">
        <v>2.04766036620931</v>
      </c>
      <c r="AI2912">
        <v>117.36523127267201</v>
      </c>
      <c r="AJ2912">
        <v>107.299751217555</v>
      </c>
      <c r="AK2912">
        <v>2.4149246515430698</v>
      </c>
      <c r="AL2912">
        <v>68.865052276134605</v>
      </c>
      <c r="AM2912">
        <v>105.963535390247</v>
      </c>
      <c r="AN2912">
        <v>1.0000000033755401</v>
      </c>
    </row>
    <row r="2913" spans="1:40" x14ac:dyDescent="0.25">
      <c r="A2913" t="str">
        <f>"20190304164909511"</f>
        <v>20190304164909511</v>
      </c>
      <c r="B2913" t="str">
        <f>"1551689349508600"</f>
        <v>1551689349508600</v>
      </c>
      <c r="C2913" t="s">
        <v>40</v>
      </c>
      <c r="D2913">
        <v>4.3571070000000001</v>
      </c>
      <c r="E2913">
        <v>0.52717840000000005</v>
      </c>
      <c r="F2913" t="s">
        <v>46</v>
      </c>
      <c r="G2913">
        <v>-458.63069999999999</v>
      </c>
      <c r="H2913" s="1">
        <v>3.0533110000000001E-6</v>
      </c>
      <c r="I2913">
        <v>284.67939999999999</v>
      </c>
      <c r="J2913">
        <v>-455.20870000000002</v>
      </c>
      <c r="K2913">
        <v>1.110077</v>
      </c>
      <c r="L2913">
        <v>285.22210000000001</v>
      </c>
      <c r="M2913">
        <v>-0.99962410000000002</v>
      </c>
      <c r="N2913">
        <v>-1.109691E-2</v>
      </c>
      <c r="O2913">
        <v>2.5076870000000001E-2</v>
      </c>
      <c r="P2913">
        <v>-0.90656950000000003</v>
      </c>
      <c r="Q2913">
        <v>0.35098269999999998</v>
      </c>
      <c r="R2913">
        <v>-0.23439979999999999</v>
      </c>
      <c r="S2913">
        <v>-3.5970460000000002</v>
      </c>
      <c r="T2913">
        <v>-1.1061190000000001</v>
      </c>
      <c r="U2913">
        <v>-0.53552250000000001</v>
      </c>
      <c r="V2913">
        <v>-0.25658059999999999</v>
      </c>
      <c r="W2913">
        <v>0.36129460000000002</v>
      </c>
      <c r="X2913">
        <v>0.89645560000000002</v>
      </c>
      <c r="Y2913">
        <v>-0.16328319999999999</v>
      </c>
      <c r="Z2913">
        <v>-3.2575079999999999E-2</v>
      </c>
      <c r="AA2913">
        <v>0.98604130000000001</v>
      </c>
      <c r="AB2913">
        <v>26</v>
      </c>
      <c r="AC2913">
        <v>-3.4219999999999602</v>
      </c>
      <c r="AD2913">
        <v>-1.1100739466889999</v>
      </c>
      <c r="AE2913">
        <v>-0.54270000000002405</v>
      </c>
      <c r="AF2913">
        <v>-0.56985267240065496</v>
      </c>
      <c r="AG2913">
        <v>-1.1100739466889999</v>
      </c>
      <c r="AH2913">
        <v>3.0901155778936</v>
      </c>
      <c r="AI2913">
        <v>109.457141359646</v>
      </c>
      <c r="AJ2913">
        <v>100.44860881283699</v>
      </c>
      <c r="AK2913">
        <v>3.3325381498342299</v>
      </c>
      <c r="AL2913">
        <v>68.820277245676095</v>
      </c>
      <c r="AM2913">
        <v>105.972008195393</v>
      </c>
      <c r="AN2913">
        <v>1.00000001752843</v>
      </c>
    </row>
    <row r="2914" spans="1:40" x14ac:dyDescent="0.25">
      <c r="A2914" t="str">
        <f>"20190304164909534"</f>
        <v>20190304164909534</v>
      </c>
      <c r="B2914" t="str">
        <f>"1551689349529099"</f>
        <v>1551689349529099</v>
      </c>
      <c r="C2914" t="s">
        <v>40</v>
      </c>
      <c r="D2914">
        <v>4.4229960000000004</v>
      </c>
      <c r="E2914">
        <v>0.51651250000000004</v>
      </c>
      <c r="F2914" t="s">
        <v>46</v>
      </c>
      <c r="G2914">
        <v>-461.15010000000001</v>
      </c>
      <c r="H2914" s="1">
        <v>-9.0376859999999995E-7</v>
      </c>
      <c r="I2914">
        <v>284.13639999999998</v>
      </c>
      <c r="J2914">
        <v>-455.47519999999997</v>
      </c>
      <c r="K2914">
        <v>1.1101259999999999</v>
      </c>
      <c r="L2914">
        <v>285.2296</v>
      </c>
      <c r="M2914">
        <v>-0.99960579999999999</v>
      </c>
      <c r="N2914">
        <v>-1.107086E-2</v>
      </c>
      <c r="O2914">
        <v>2.5801629999999999E-2</v>
      </c>
      <c r="P2914">
        <v>-0.90663059999999995</v>
      </c>
      <c r="Q2914">
        <v>0.3513309</v>
      </c>
      <c r="R2914">
        <v>-0.23363999999999999</v>
      </c>
      <c r="S2914">
        <v>-3.3943180000000002</v>
      </c>
      <c r="T2914">
        <v>-0.63418160000000001</v>
      </c>
      <c r="U2914">
        <v>-0.62026979999999998</v>
      </c>
      <c r="V2914">
        <v>-0.2565209</v>
      </c>
      <c r="W2914">
        <v>0.3615853</v>
      </c>
      <c r="X2914">
        <v>0.89635549999999997</v>
      </c>
      <c r="Y2914">
        <v>-0.2011203</v>
      </c>
      <c r="Z2914">
        <v>-2.4072739999999999E-2</v>
      </c>
      <c r="AA2914">
        <v>0.97927070000000005</v>
      </c>
      <c r="AB2914">
        <v>26</v>
      </c>
      <c r="AC2914">
        <v>-5.6749000000000303</v>
      </c>
      <c r="AD2914">
        <v>-1.1101269037685999</v>
      </c>
      <c r="AE2914">
        <v>-1.0932000000000199</v>
      </c>
      <c r="AF2914">
        <v>-1.1951672211245701</v>
      </c>
      <c r="AG2914">
        <v>-1.1101269037685999</v>
      </c>
      <c r="AH2914">
        <v>5.4439315574950298</v>
      </c>
      <c r="AI2914">
        <v>101.26456054823601</v>
      </c>
      <c r="AJ2914">
        <v>102.38234192077</v>
      </c>
      <c r="AK2914">
        <v>5.6830623110794596</v>
      </c>
      <c r="AL2914">
        <v>68.802414245477294</v>
      </c>
      <c r="AM2914">
        <v>105.970173733755</v>
      </c>
      <c r="AN2914">
        <v>1.00000004184657</v>
      </c>
    </row>
    <row r="2915" spans="1:40" x14ac:dyDescent="0.25">
      <c r="A2915" t="str">
        <f>"20190304164909556"</f>
        <v>20190304164909556</v>
      </c>
      <c r="B2915" t="str">
        <f>"1551689349548619"</f>
        <v>1551689349548619</v>
      </c>
      <c r="C2915" t="s">
        <v>40</v>
      </c>
      <c r="D2915">
        <v>4.3921910000000004</v>
      </c>
      <c r="E2915">
        <v>0.51383389999999995</v>
      </c>
      <c r="F2915" t="s">
        <v>46</v>
      </c>
      <c r="G2915">
        <v>-462.5095</v>
      </c>
      <c r="H2915" s="1">
        <v>-1.6424120000000001E-7</v>
      </c>
      <c r="I2915">
        <v>283.76749999999998</v>
      </c>
      <c r="J2915">
        <v>-455.72059999999999</v>
      </c>
      <c r="K2915">
        <v>1.1101859999999999</v>
      </c>
      <c r="L2915">
        <v>285.23660000000001</v>
      </c>
      <c r="M2915">
        <v>-0.99959120000000001</v>
      </c>
      <c r="N2915">
        <v>-1.104922E-2</v>
      </c>
      <c r="O2915">
        <v>2.6372509999999998E-2</v>
      </c>
      <c r="P2915">
        <v>-0.9066362</v>
      </c>
      <c r="Q2915">
        <v>0.35172890000000001</v>
      </c>
      <c r="R2915">
        <v>-0.233019</v>
      </c>
      <c r="S2915">
        <v>-3.3342290000000001</v>
      </c>
      <c r="T2915">
        <v>-0.52618999999999905</v>
      </c>
      <c r="U2915">
        <v>-0.69302369999999902</v>
      </c>
      <c r="V2915">
        <v>-0.2564652</v>
      </c>
      <c r="W2915">
        <v>0.36192679999999999</v>
      </c>
      <c r="X2915">
        <v>0.89623359999999996</v>
      </c>
      <c r="Y2915">
        <v>-0.2260992</v>
      </c>
      <c r="Z2915">
        <v>-2.2626569999999999E-2</v>
      </c>
      <c r="AA2915">
        <v>0.97384150000000003</v>
      </c>
      <c r="AB2915">
        <v>26</v>
      </c>
      <c r="AC2915">
        <v>-6.7889000000000097</v>
      </c>
      <c r="AD2915">
        <v>-1.1101861642411901</v>
      </c>
      <c r="AE2915">
        <v>-1.4691000000000201</v>
      </c>
      <c r="AF2915">
        <v>-1.60659855149838</v>
      </c>
      <c r="AG2915">
        <v>-1.1101861642411901</v>
      </c>
      <c r="AH2915">
        <v>6.5797090419649802</v>
      </c>
      <c r="AI2915">
        <v>99.308752767115905</v>
      </c>
      <c r="AJ2915">
        <v>103.721684182823</v>
      </c>
      <c r="AK2915">
        <v>6.8633988155916601</v>
      </c>
      <c r="AL2915">
        <v>68.781426163966998</v>
      </c>
      <c r="AM2915">
        <v>105.96894380256199</v>
      </c>
      <c r="AN2915">
        <v>1.00000003656911</v>
      </c>
    </row>
    <row r="2916" spans="1:40" x14ac:dyDescent="0.25">
      <c r="A2916" t="str">
        <f>"20190304164909579"</f>
        <v>20190304164909579</v>
      </c>
      <c r="B2916" t="str">
        <f>"1551689349569112"</f>
        <v>1551689349569112</v>
      </c>
      <c r="C2916" t="s">
        <v>40</v>
      </c>
      <c r="D2916">
        <v>4.3299890000000003</v>
      </c>
      <c r="E2916">
        <v>0.5134592</v>
      </c>
      <c r="F2916" t="s">
        <v>46</v>
      </c>
      <c r="G2916">
        <v>-463.37700000000001</v>
      </c>
      <c r="H2916" s="1">
        <v>3.0485669999999999E-7</v>
      </c>
      <c r="I2916">
        <v>283.59629999999999</v>
      </c>
      <c r="J2916">
        <v>-455.98480000000001</v>
      </c>
      <c r="K2916">
        <v>1.1102559999999999</v>
      </c>
      <c r="L2916">
        <v>285.24430000000001</v>
      </c>
      <c r="M2916">
        <v>-0.99957799999999997</v>
      </c>
      <c r="N2916">
        <v>-1.1028629999999999E-2</v>
      </c>
      <c r="O2916">
        <v>2.6878340000000001E-2</v>
      </c>
      <c r="P2916">
        <v>-0.90669999999999995</v>
      </c>
      <c r="Q2916">
        <v>0.35201880000000002</v>
      </c>
      <c r="R2916">
        <v>-0.2323318</v>
      </c>
      <c r="S2916">
        <v>-3.3128660000000001</v>
      </c>
      <c r="T2916">
        <v>-0.4803673</v>
      </c>
      <c r="U2916">
        <v>-0.70977780000000001</v>
      </c>
      <c r="V2916">
        <v>-0.25629980000000002</v>
      </c>
      <c r="W2916">
        <v>0.36215130000000001</v>
      </c>
      <c r="X2916">
        <v>0.89619020000000005</v>
      </c>
      <c r="Y2916">
        <v>-0.2329542</v>
      </c>
      <c r="Z2916">
        <v>-2.146673E-2</v>
      </c>
      <c r="AA2916">
        <v>0.97225079999999997</v>
      </c>
      <c r="AB2916">
        <v>26</v>
      </c>
      <c r="AC2916">
        <v>-7.3921999999999404</v>
      </c>
      <c r="AD2916">
        <v>-1.11025569514329</v>
      </c>
      <c r="AE2916">
        <v>-1.6480000000000199</v>
      </c>
      <c r="AF2916">
        <v>-1.8072687580871001</v>
      </c>
      <c r="AG2916">
        <v>-1.11025569514329</v>
      </c>
      <c r="AH2916">
        <v>7.1907037962275897</v>
      </c>
      <c r="AI2916">
        <v>98.5164407298562</v>
      </c>
      <c r="AJ2916">
        <v>104.108160468021</v>
      </c>
      <c r="AK2916">
        <v>7.4970066798448096</v>
      </c>
      <c r="AL2916">
        <v>68.767626656234398</v>
      </c>
      <c r="AM2916">
        <v>105.95990321115799</v>
      </c>
      <c r="AN2916">
        <v>1.00000001307388</v>
      </c>
    </row>
    <row r="2917" spans="1:40" x14ac:dyDescent="0.25">
      <c r="A2917" t="str">
        <f>"20190304164909601"</f>
        <v>20190304164909601</v>
      </c>
      <c r="B2917" t="str">
        <f>"1551689349588632"</f>
        <v>1551689349588632</v>
      </c>
      <c r="C2917" t="s">
        <v>40</v>
      </c>
      <c r="D2917">
        <v>4.3244590000000001</v>
      </c>
      <c r="E2917">
        <v>0.51350019999999996</v>
      </c>
      <c r="F2917" t="s">
        <v>46</v>
      </c>
      <c r="G2917">
        <v>-464.08539999999999</v>
      </c>
      <c r="H2917" s="1">
        <v>6.8601049999999995E-7</v>
      </c>
      <c r="I2917">
        <v>283.50119999999998</v>
      </c>
      <c r="J2917">
        <v>-456.23509999999999</v>
      </c>
      <c r="K2917">
        <v>1.110322</v>
      </c>
      <c r="L2917">
        <v>285.25150000000002</v>
      </c>
      <c r="M2917">
        <v>-0.99956739999999999</v>
      </c>
      <c r="N2917">
        <v>-1.101187E-2</v>
      </c>
      <c r="O2917">
        <v>2.727566E-2</v>
      </c>
      <c r="P2917">
        <v>-0.90686069999999996</v>
      </c>
      <c r="Q2917">
        <v>0.35230299999999998</v>
      </c>
      <c r="R2917">
        <v>-0.2312717</v>
      </c>
      <c r="S2917">
        <v>-3.3023069999999999</v>
      </c>
      <c r="T2917">
        <v>-0.45260660000000003</v>
      </c>
      <c r="U2917">
        <v>-0.71060179999999995</v>
      </c>
      <c r="V2917">
        <v>-0.25566230000000001</v>
      </c>
      <c r="W2917">
        <v>0.36237839999999999</v>
      </c>
      <c r="X2917">
        <v>0.89628050000000004</v>
      </c>
      <c r="Y2917">
        <v>-0.23447580000000001</v>
      </c>
      <c r="Z2917">
        <v>-2.0513130000000001E-2</v>
      </c>
      <c r="AA2917">
        <v>0.97190549999999998</v>
      </c>
      <c r="AB2917">
        <v>26</v>
      </c>
      <c r="AC2917">
        <v>-7.8502999999999998</v>
      </c>
      <c r="AD2917">
        <v>-1.1103213139894901</v>
      </c>
      <c r="AE2917">
        <v>-1.7503000000000299</v>
      </c>
      <c r="AF2917">
        <v>-1.92705977091401</v>
      </c>
      <c r="AG2917">
        <v>-1.1103213139894901</v>
      </c>
      <c r="AH2917">
        <v>7.6537772419174601</v>
      </c>
      <c r="AI2917">
        <v>98.007703916069502</v>
      </c>
      <c r="AJ2917">
        <v>104.13213230643299</v>
      </c>
      <c r="AK2917">
        <v>7.9703625293877396</v>
      </c>
      <c r="AL2917">
        <v>68.753666825264204</v>
      </c>
      <c r="AM2917">
        <v>105.92069769907</v>
      </c>
      <c r="AN2917">
        <v>1.00000002555404</v>
      </c>
    </row>
    <row r="2918" spans="1:40" x14ac:dyDescent="0.25">
      <c r="A2918" t="str">
        <f>"20190304164909624"</f>
        <v>20190304164909624</v>
      </c>
      <c r="B2918" t="str">
        <f>"1551689349618888"</f>
        <v>1551689349618888</v>
      </c>
      <c r="C2918" t="s">
        <v>40</v>
      </c>
      <c r="D2918">
        <v>4.3065709999999999</v>
      </c>
      <c r="E2918">
        <v>0.51332029999999995</v>
      </c>
      <c r="F2918" t="s">
        <v>46</v>
      </c>
      <c r="G2918">
        <v>-464.6</v>
      </c>
      <c r="H2918" s="1">
        <v>9.617459000000001E-7</v>
      </c>
      <c r="I2918">
        <v>283.45740000000001</v>
      </c>
      <c r="J2918">
        <v>-456.49930000000001</v>
      </c>
      <c r="K2918">
        <v>1.1103879999999999</v>
      </c>
      <c r="L2918">
        <v>285.25920000000002</v>
      </c>
      <c r="M2918">
        <v>-0.99955890000000003</v>
      </c>
      <c r="N2918">
        <v>-1.099642E-2</v>
      </c>
      <c r="O2918">
        <v>2.7591859999999999E-2</v>
      </c>
      <c r="P2918">
        <v>-0.90722760000000002</v>
      </c>
      <c r="Q2918">
        <v>0.35211679999999901</v>
      </c>
      <c r="R2918">
        <v>-0.2301134</v>
      </c>
      <c r="S2918">
        <v>-3.2977910000000001</v>
      </c>
      <c r="T2918">
        <v>-0.43773770000000001</v>
      </c>
      <c r="U2918">
        <v>-0.70730590000000004</v>
      </c>
      <c r="V2918">
        <v>-0.25486259999999999</v>
      </c>
      <c r="W2918">
        <v>0.36213659999999998</v>
      </c>
      <c r="X2918">
        <v>0.89660589999999996</v>
      </c>
      <c r="Y2918">
        <v>-0.23427700000000001</v>
      </c>
      <c r="Z2918">
        <v>-1.9926920000000001E-2</v>
      </c>
      <c r="AA2918">
        <v>0.97196570000000004</v>
      </c>
      <c r="AB2918">
        <v>26</v>
      </c>
      <c r="AC2918">
        <v>-8.1007000000000104</v>
      </c>
      <c r="AD2918">
        <v>-1.1103870382540999</v>
      </c>
      <c r="AE2918">
        <v>-1.8018000000000101</v>
      </c>
      <c r="AF2918">
        <v>-1.9890306353868501</v>
      </c>
      <c r="AG2918">
        <v>-1.1103870382540999</v>
      </c>
      <c r="AH2918">
        <v>7.9063479544746702</v>
      </c>
      <c r="AI2918">
        <v>97.755883798916997</v>
      </c>
      <c r="AJ2918">
        <v>104.121084184314</v>
      </c>
      <c r="AK2918">
        <v>8.2279730323121392</v>
      </c>
      <c r="AL2918">
        <v>68.768529966895898</v>
      </c>
      <c r="AM2918">
        <v>105.867940722981</v>
      </c>
      <c r="AN2918">
        <v>1.0000000009265599</v>
      </c>
    </row>
    <row r="2919" spans="1:40" x14ac:dyDescent="0.25">
      <c r="A2919" t="str">
        <f>"20190304164909646"</f>
        <v>20190304164909646</v>
      </c>
      <c r="B2919" t="str">
        <f>"1551689349638408"</f>
        <v>1551689349638408</v>
      </c>
      <c r="C2919" t="s">
        <v>40</v>
      </c>
      <c r="D2919">
        <v>4.3251140000000001</v>
      </c>
      <c r="E2919">
        <v>0.51314470000000001</v>
      </c>
      <c r="F2919" t="s">
        <v>46</v>
      </c>
      <c r="G2919">
        <v>-464.96140000000003</v>
      </c>
      <c r="H2919" s="1">
        <v>1.154495E-6</v>
      </c>
      <c r="I2919">
        <v>283.44819999999999</v>
      </c>
      <c r="J2919">
        <v>-456.75240000000002</v>
      </c>
      <c r="K2919">
        <v>1.1104560000000001</v>
      </c>
      <c r="L2919">
        <v>285.26639999999998</v>
      </c>
      <c r="M2919">
        <v>-0.99955369999999999</v>
      </c>
      <c r="N2919">
        <v>-1.098354E-2</v>
      </c>
      <c r="O2919">
        <v>2.7783169999999999E-2</v>
      </c>
      <c r="P2919">
        <v>-0.9076573</v>
      </c>
      <c r="Q2919">
        <v>0.35164050000000002</v>
      </c>
      <c r="R2919">
        <v>-0.22914480000000001</v>
      </c>
      <c r="S2919">
        <v>-3.2956850000000002</v>
      </c>
      <c r="T2919">
        <v>-0.43245319999999998</v>
      </c>
      <c r="U2919">
        <v>-0.70532229999999996</v>
      </c>
      <c r="V2919">
        <v>-0.25414239999999999</v>
      </c>
      <c r="W2919">
        <v>0.3616085</v>
      </c>
      <c r="X2919">
        <v>0.89702340000000003</v>
      </c>
      <c r="Y2919">
        <v>-0.2340826</v>
      </c>
      <c r="Z2919">
        <v>-1.9720789999999998E-2</v>
      </c>
      <c r="AA2919">
        <v>0.97201669999999996</v>
      </c>
      <c r="AB2919">
        <v>26</v>
      </c>
      <c r="AC2919">
        <v>-8.2089999999999996</v>
      </c>
      <c r="AD2919">
        <v>-1.1104548455049901</v>
      </c>
      <c r="AE2919">
        <v>-1.81819999999999</v>
      </c>
      <c r="AF2919">
        <v>-2.0105143481807901</v>
      </c>
      <c r="AG2919">
        <v>-1.1104548455049901</v>
      </c>
      <c r="AH2919">
        <v>8.0154976906069102</v>
      </c>
      <c r="AI2919">
        <v>97.653322786990898</v>
      </c>
      <c r="AJ2919">
        <v>104.080905829065</v>
      </c>
      <c r="AK2919">
        <v>8.3380741863017196</v>
      </c>
      <c r="AL2919">
        <v>68.800988101585503</v>
      </c>
      <c r="AM2919">
        <v>105.81835257149</v>
      </c>
      <c r="AN2919">
        <v>1.00000002344878</v>
      </c>
    </row>
    <row r="2920" spans="1:40" x14ac:dyDescent="0.25">
      <c r="A2920" t="str">
        <f>"20190304164909664"</f>
        <v>20190304164909664</v>
      </c>
      <c r="B2920" t="str">
        <f>"1551689349658903"</f>
        <v>1551689349658903</v>
      </c>
      <c r="C2920" t="s">
        <v>40</v>
      </c>
      <c r="D2920">
        <v>4.3746640000000001</v>
      </c>
      <c r="E2920">
        <v>0.51299289999999997</v>
      </c>
      <c r="F2920" t="s">
        <v>46</v>
      </c>
      <c r="G2920">
        <v>-465.11099999999999</v>
      </c>
      <c r="H2920" s="1">
        <v>1.232621E-6</v>
      </c>
      <c r="I2920">
        <v>283.48219999999998</v>
      </c>
      <c r="J2920">
        <v>-456.96929999999998</v>
      </c>
      <c r="K2920">
        <v>1.1105149999999999</v>
      </c>
      <c r="L2920">
        <v>285.27260000000001</v>
      </c>
      <c r="M2920">
        <v>-0.99955170000000004</v>
      </c>
      <c r="N2920">
        <v>-1.0973979999999999E-2</v>
      </c>
      <c r="O2920">
        <v>2.7861380000000002E-2</v>
      </c>
      <c r="P2920">
        <v>-0.90770099999999998</v>
      </c>
      <c r="Q2920">
        <v>0.35171930000000001</v>
      </c>
      <c r="R2920">
        <v>-0.22885159999999999</v>
      </c>
      <c r="S2920">
        <v>-3.297272</v>
      </c>
      <c r="T2920">
        <v>-0.43804880000000002</v>
      </c>
      <c r="U2920">
        <v>-0.70382690000000003</v>
      </c>
      <c r="V2920">
        <v>-0.25397609999999998</v>
      </c>
      <c r="W2920">
        <v>0.36163960000000001</v>
      </c>
      <c r="X2920">
        <v>0.89705789999999996</v>
      </c>
      <c r="Y2920">
        <v>-0.23358979999999999</v>
      </c>
      <c r="Z2920">
        <v>-1.9926570000000001E-2</v>
      </c>
      <c r="AA2920">
        <v>0.97213099999999997</v>
      </c>
      <c r="AB2920">
        <v>26</v>
      </c>
      <c r="AC2920">
        <v>-8.1417000000000108</v>
      </c>
      <c r="AD2920">
        <v>-1.110513767379</v>
      </c>
      <c r="AE2920">
        <v>-1.79040000000003</v>
      </c>
      <c r="AF2920">
        <v>-1.98139505514071</v>
      </c>
      <c r="AG2920">
        <v>-1.110513767379</v>
      </c>
      <c r="AH2920">
        <v>7.9476121975636396</v>
      </c>
      <c r="AI2920">
        <v>97.721045351574105</v>
      </c>
      <c r="AJ2920">
        <v>103.998865019679</v>
      </c>
      <c r="AK2920">
        <v>8.2658155577617904</v>
      </c>
      <c r="AL2920">
        <v>68.799075620901604</v>
      </c>
      <c r="AM2920">
        <v>105.80794165343799</v>
      </c>
      <c r="AN2920">
        <v>0.99999996780588896</v>
      </c>
    </row>
    <row r="2921" spans="1:40" x14ac:dyDescent="0.25">
      <c r="A2921" t="str">
        <f>"20190304164909678"</f>
        <v>20190304164909678</v>
      </c>
      <c r="B2921" t="str">
        <f>"1551689349668664"</f>
        <v>1551689349668664</v>
      </c>
      <c r="C2921" t="s">
        <v>40</v>
      </c>
      <c r="D2921">
        <v>4.3988820000000004</v>
      </c>
      <c r="E2921">
        <v>0.5129532</v>
      </c>
      <c r="F2921" t="s">
        <v>46</v>
      </c>
      <c r="G2921">
        <v>-465.26780000000002</v>
      </c>
      <c r="H2921" s="1">
        <v>1.315241E-6</v>
      </c>
      <c r="I2921">
        <v>283.50049999999999</v>
      </c>
      <c r="J2921">
        <v>-457.12819999999999</v>
      </c>
      <c r="K2921">
        <v>1.1105579999999999</v>
      </c>
      <c r="L2921">
        <v>285.27710000000002</v>
      </c>
      <c r="M2921">
        <v>-0.99955130000000003</v>
      </c>
      <c r="N2921">
        <v>-1.096774E-2</v>
      </c>
      <c r="O2921">
        <v>2.787427E-2</v>
      </c>
      <c r="P2921">
        <v>-0.90785389999999999</v>
      </c>
      <c r="Q2921">
        <v>0.35137449999999998</v>
      </c>
      <c r="R2921">
        <v>-0.2287739</v>
      </c>
      <c r="S2921">
        <v>-3.2985530000000001</v>
      </c>
      <c r="T2921">
        <v>-0.44141599999999998</v>
      </c>
      <c r="U2921">
        <v>-0.70437620000000001</v>
      </c>
      <c r="V2921">
        <v>-0.25395610000000002</v>
      </c>
      <c r="W2921">
        <v>0.36126209999999997</v>
      </c>
      <c r="X2921">
        <v>0.89721569999999995</v>
      </c>
      <c r="Y2921">
        <v>-0.2336464</v>
      </c>
      <c r="Z2921">
        <v>-2.0068450000000002E-2</v>
      </c>
      <c r="AA2921">
        <v>0.97211449999999999</v>
      </c>
      <c r="AB2921">
        <v>26</v>
      </c>
      <c r="AC2921">
        <v>-8.1396000000000299</v>
      </c>
      <c r="AD2921">
        <v>-1.1105566847589901</v>
      </c>
      <c r="AE2921">
        <v>-1.7766000000000299</v>
      </c>
      <c r="AF2921">
        <v>-1.9678420416849001</v>
      </c>
      <c r="AG2921">
        <v>-1.1105566847589901</v>
      </c>
      <c r="AH2921">
        <v>7.9457248148062902</v>
      </c>
      <c r="AI2921">
        <v>97.726092693944693</v>
      </c>
      <c r="AJ2921">
        <v>103.910014678395</v>
      </c>
      <c r="AK2921">
        <v>8.2607675965199494</v>
      </c>
      <c r="AL2921">
        <v>68.822274049520203</v>
      </c>
      <c r="AM2921">
        <v>105.80411786801299</v>
      </c>
      <c r="AN2921">
        <v>1.00000000897505</v>
      </c>
    </row>
    <row r="2922" spans="1:40" x14ac:dyDescent="0.25">
      <c r="A2922" t="str">
        <f>"20190304164909701"</f>
        <v>20190304164909701</v>
      </c>
      <c r="B2922" t="str">
        <f>"1551689349698919"</f>
        <v>1551689349698919</v>
      </c>
      <c r="C2922" t="s">
        <v>40</v>
      </c>
      <c r="D2922">
        <v>4.3905450000000004</v>
      </c>
      <c r="E2922">
        <v>0.51267209999999996</v>
      </c>
      <c r="F2922" t="s">
        <v>46</v>
      </c>
      <c r="G2922">
        <v>-465.36259999999999</v>
      </c>
      <c r="H2922" s="1">
        <v>1.3648329999999999E-6</v>
      </c>
      <c r="I2922">
        <v>283.52030000000002</v>
      </c>
      <c r="J2922">
        <v>-457.39049999999997</v>
      </c>
      <c r="K2922">
        <v>1.1106339999999999</v>
      </c>
      <c r="L2922">
        <v>285.28440000000001</v>
      </c>
      <c r="M2922">
        <v>-0.99955380000000005</v>
      </c>
      <c r="N2922">
        <v>-1.095747E-2</v>
      </c>
      <c r="O2922">
        <v>2.7790949999999998E-2</v>
      </c>
      <c r="P2922">
        <v>-0.90793789999999996</v>
      </c>
      <c r="Q2922">
        <v>0.35113800000000001</v>
      </c>
      <c r="R2922">
        <v>-0.22880320000000001</v>
      </c>
      <c r="S2922">
        <v>-3.2993160000000001</v>
      </c>
      <c r="T2922">
        <v>-0.44497160000000002</v>
      </c>
      <c r="U2922">
        <v>-0.70388790000000001</v>
      </c>
      <c r="V2922">
        <v>-0.25398280000000001</v>
      </c>
      <c r="W2922">
        <v>0.36096869999999998</v>
      </c>
      <c r="X2922">
        <v>0.89732619999999896</v>
      </c>
      <c r="Y2922">
        <v>-0.23334940000000001</v>
      </c>
      <c r="Z2922">
        <v>-2.0184270000000001E-2</v>
      </c>
      <c r="AA2922">
        <v>0.97218349999999998</v>
      </c>
      <c r="AB2922">
        <v>26</v>
      </c>
      <c r="AC2922">
        <v>-7.97210000000001</v>
      </c>
      <c r="AD2922">
        <v>-1.1106326351669999</v>
      </c>
      <c r="AE2922">
        <v>-1.76409999999998</v>
      </c>
      <c r="AF2922">
        <v>-1.94892382433803</v>
      </c>
      <c r="AG2922">
        <v>-1.1106326351669999</v>
      </c>
      <c r="AH2922">
        <v>7.7761128978469696</v>
      </c>
      <c r="AI2922">
        <v>97.887618646380403</v>
      </c>
      <c r="AJ2922">
        <v>104.070188222403</v>
      </c>
      <c r="AK2922">
        <v>8.0931910099436308</v>
      </c>
      <c r="AL2922">
        <v>68.840300590104107</v>
      </c>
      <c r="AM2922">
        <v>105.80384730026</v>
      </c>
      <c r="AN2922">
        <v>0.99999998714098404</v>
      </c>
    </row>
    <row r="2923" spans="1:40" x14ac:dyDescent="0.25">
      <c r="A2923" t="str">
        <f>"20190304164909724"</f>
        <v>20190304164909724</v>
      </c>
      <c r="B2923" t="str">
        <f>"1551689349718998"</f>
        <v>1551689349718998</v>
      </c>
      <c r="C2923" t="s">
        <v>40</v>
      </c>
      <c r="D2923">
        <v>4.4198209999999998</v>
      </c>
      <c r="E2923">
        <v>0.51251259999999998</v>
      </c>
      <c r="F2923" t="s">
        <v>46</v>
      </c>
      <c r="G2923">
        <v>-465.53039999999999</v>
      </c>
      <c r="H2923" s="1">
        <v>1.4531699999999999E-6</v>
      </c>
      <c r="I2923">
        <v>283.5419</v>
      </c>
      <c r="J2923">
        <v>-457.65480000000002</v>
      </c>
      <c r="K2923">
        <v>1.110711</v>
      </c>
      <c r="L2923">
        <v>285.29160000000002</v>
      </c>
      <c r="M2923">
        <v>-0.99955930000000004</v>
      </c>
      <c r="N2923">
        <v>-1.0942800000000001E-2</v>
      </c>
      <c r="O2923">
        <v>2.7594810000000001E-2</v>
      </c>
      <c r="P2923">
        <v>-0.9079604</v>
      </c>
      <c r="Q2923">
        <v>0.35076590000000002</v>
      </c>
      <c r="R2923">
        <v>-0.22928399999999999</v>
      </c>
      <c r="S2923">
        <v>-3.300354</v>
      </c>
      <c r="T2923">
        <v>-0.45030979999999998</v>
      </c>
      <c r="U2923">
        <v>-0.70651249999999999</v>
      </c>
      <c r="V2923">
        <v>-0.25435720000000001</v>
      </c>
      <c r="W2923">
        <v>0.36053420000000003</v>
      </c>
      <c r="X2923">
        <v>0.89739480000000005</v>
      </c>
      <c r="Y2923">
        <v>-0.23377909999999999</v>
      </c>
      <c r="Z2923">
        <v>-2.041084E-2</v>
      </c>
      <c r="AA2923">
        <v>0.97207549999999998</v>
      </c>
      <c r="AB2923">
        <v>26</v>
      </c>
      <c r="AC2923">
        <v>-7.8755999999999604</v>
      </c>
      <c r="AD2923">
        <v>-1.1107095468299999</v>
      </c>
      <c r="AE2923">
        <v>-1.74970000000001</v>
      </c>
      <c r="AF2923">
        <v>-1.9297942337294101</v>
      </c>
      <c r="AG2923">
        <v>-1.1107095468299999</v>
      </c>
      <c r="AH2923">
        <v>7.6787685981077196</v>
      </c>
      <c r="AI2923">
        <v>97.985597411522505</v>
      </c>
      <c r="AJ2923">
        <v>104.10716505748501</v>
      </c>
      <c r="AK2923">
        <v>7.99507777731022</v>
      </c>
      <c r="AL2923">
        <v>68.866992439157201</v>
      </c>
      <c r="AM2923">
        <v>105.824828594146</v>
      </c>
      <c r="AN2923">
        <v>0.99999996081425901</v>
      </c>
    </row>
    <row r="2924" spans="1:40" x14ac:dyDescent="0.25">
      <c r="A2924" t="str">
        <f>"20190304164909746"</f>
        <v>20190304164909746</v>
      </c>
      <c r="B2924" t="str">
        <f>"1551689349738522"</f>
        <v>1551689349738522</v>
      </c>
      <c r="C2924" t="s">
        <v>40</v>
      </c>
      <c r="D2924">
        <v>4.4203749999999999</v>
      </c>
      <c r="E2924">
        <v>0.51229650000000004</v>
      </c>
      <c r="F2924" t="s">
        <v>46</v>
      </c>
      <c r="G2924">
        <v>-465.73289999999997</v>
      </c>
      <c r="H2924" s="1">
        <v>1.560302E-6</v>
      </c>
      <c r="I2924">
        <v>283.55610000000001</v>
      </c>
      <c r="J2924">
        <v>-457.90339999999998</v>
      </c>
      <c r="K2924">
        <v>1.1107819999999999</v>
      </c>
      <c r="L2924">
        <v>285.29820000000001</v>
      </c>
      <c r="M2924">
        <v>-0.99956730000000005</v>
      </c>
      <c r="N2924">
        <v>-1.0927299999999999E-2</v>
      </c>
      <c r="O2924">
        <v>2.731078E-2</v>
      </c>
      <c r="P2924">
        <v>-0.90768000000000004</v>
      </c>
      <c r="Q2924">
        <v>0.35072999999999999</v>
      </c>
      <c r="R2924">
        <v>-0.23044629999999999</v>
      </c>
      <c r="S2924">
        <v>-3.3003849999999999</v>
      </c>
      <c r="T2924">
        <v>-0.45379330000000001</v>
      </c>
      <c r="U2924">
        <v>-0.70904540000000005</v>
      </c>
      <c r="V2924">
        <v>-0.25531959999999998</v>
      </c>
      <c r="W2924">
        <v>0.36043589999999998</v>
      </c>
      <c r="X2924">
        <v>0.89716099999999999</v>
      </c>
      <c r="Y2924">
        <v>-0.23417640000000001</v>
      </c>
      <c r="Z2924">
        <v>-2.0550410000000002E-2</v>
      </c>
      <c r="AA2924">
        <v>0.97197690000000003</v>
      </c>
      <c r="AB2924">
        <v>26</v>
      </c>
      <c r="AC2924">
        <v>-7.8294999999999897</v>
      </c>
      <c r="AD2924">
        <v>-1.1107804396980001</v>
      </c>
      <c r="AE2924">
        <v>-1.74209999999999</v>
      </c>
      <c r="AF2924">
        <v>-1.91849969644672</v>
      </c>
      <c r="AG2924">
        <v>-1.1107804396980001</v>
      </c>
      <c r="AH2924">
        <v>7.63262011229902</v>
      </c>
      <c r="AI2924">
        <v>98.033683214379195</v>
      </c>
      <c r="AJ2924">
        <v>104.109306536688</v>
      </c>
      <c r="AK2924">
        <v>7.9480415228629404</v>
      </c>
      <c r="AL2924">
        <v>68.873031413738005</v>
      </c>
      <c r="AM2924">
        <v>105.88561928964501</v>
      </c>
      <c r="AN2924">
        <v>0.99999999803698403</v>
      </c>
    </row>
    <row r="2925" spans="1:40" x14ac:dyDescent="0.25">
      <c r="A2925" t="str">
        <f>"20190304164909768"</f>
        <v>20190304164909768</v>
      </c>
      <c r="B2925" t="str">
        <f>"1551689349759015"</f>
        <v>1551689349759015</v>
      </c>
      <c r="C2925" t="s">
        <v>40</v>
      </c>
      <c r="D2925">
        <v>4.4322759999999999</v>
      </c>
      <c r="E2925">
        <v>0.51180479999999995</v>
      </c>
      <c r="F2925" t="s">
        <v>46</v>
      </c>
      <c r="G2925">
        <v>-465.94060000000002</v>
      </c>
      <c r="H2925" s="1">
        <v>1.6707059999999999E-6</v>
      </c>
      <c r="I2925">
        <v>283.55880000000002</v>
      </c>
      <c r="J2925">
        <v>-458.16039999999998</v>
      </c>
      <c r="K2925">
        <v>1.1108469999999999</v>
      </c>
      <c r="L2925">
        <v>285.3048</v>
      </c>
      <c r="M2925">
        <v>-0.99957819999999997</v>
      </c>
      <c r="N2925">
        <v>-1.091263E-2</v>
      </c>
      <c r="O2925">
        <v>2.6915919999999999E-2</v>
      </c>
      <c r="P2925">
        <v>-0.90742880000000004</v>
      </c>
      <c r="Q2925">
        <v>0.35054079999999999</v>
      </c>
      <c r="R2925">
        <v>-0.23172100000000001</v>
      </c>
      <c r="S2925">
        <v>-3.300049</v>
      </c>
      <c r="T2925">
        <v>-0.45608589999999999</v>
      </c>
      <c r="U2925">
        <v>-0.71420289999999997</v>
      </c>
      <c r="V2925">
        <v>-0.2562953</v>
      </c>
      <c r="W2925">
        <v>0.36018539999999999</v>
      </c>
      <c r="X2925">
        <v>0.89698339999999999</v>
      </c>
      <c r="Y2925">
        <v>-0.2352332</v>
      </c>
      <c r="Z2925">
        <v>-2.067422E-2</v>
      </c>
      <c r="AA2925">
        <v>0.97171909999999895</v>
      </c>
      <c r="AB2925">
        <v>26</v>
      </c>
      <c r="AC2925">
        <v>-7.78020000000003</v>
      </c>
      <c r="AD2925">
        <v>-1.1108453292939999</v>
      </c>
      <c r="AE2925">
        <v>-1.74599999999998</v>
      </c>
      <c r="AF2925">
        <v>-1.9175742788223</v>
      </c>
      <c r="AG2925">
        <v>-1.1108453292939999</v>
      </c>
      <c r="AH2925">
        <v>7.5832061221455902</v>
      </c>
      <c r="AI2925">
        <v>98.082942142005706</v>
      </c>
      <c r="AJ2925">
        <v>104.190968196977</v>
      </c>
      <c r="AK2925">
        <v>7.9003850255137298</v>
      </c>
      <c r="AL2925">
        <v>68.888417748551106</v>
      </c>
      <c r="AM2925">
        <v>105.94624207457299</v>
      </c>
      <c r="AN2925">
        <v>1.0000000115254</v>
      </c>
    </row>
    <row r="2926" spans="1:40" x14ac:dyDescent="0.25">
      <c r="A2926" t="str">
        <f>"20190304164909791"</f>
        <v>20190304164909791</v>
      </c>
      <c r="B2926" t="str">
        <f>"1551689349778535"</f>
        <v>1551689349778535</v>
      </c>
      <c r="C2926" t="s">
        <v>40</v>
      </c>
      <c r="D2926">
        <v>4.40402</v>
      </c>
      <c r="E2926">
        <v>0.49278870000000002</v>
      </c>
      <c r="F2926" t="s">
        <v>46</v>
      </c>
      <c r="G2926">
        <v>-466.18209999999999</v>
      </c>
      <c r="H2926" s="1">
        <v>1.799665E-6</v>
      </c>
      <c r="I2926">
        <v>283.54919999999998</v>
      </c>
      <c r="J2926">
        <v>-458.41559999999998</v>
      </c>
      <c r="K2926">
        <v>1.110911</v>
      </c>
      <c r="L2926">
        <v>285.31119999999999</v>
      </c>
      <c r="M2926">
        <v>-0.99959140000000002</v>
      </c>
      <c r="N2926">
        <v>-1.0896350000000001E-2</v>
      </c>
      <c r="O2926">
        <v>2.6427079999999999E-2</v>
      </c>
      <c r="P2926">
        <v>-0.90720940000000005</v>
      </c>
      <c r="Q2926">
        <v>0.35015000000000002</v>
      </c>
      <c r="R2926">
        <v>-0.2331656</v>
      </c>
      <c r="S2926">
        <v>-3.2981259999999999</v>
      </c>
      <c r="T2926">
        <v>-0.45672269999999998</v>
      </c>
      <c r="U2926">
        <v>-0.72183229999999998</v>
      </c>
      <c r="V2926">
        <v>-0.25735340000000001</v>
      </c>
      <c r="W2926">
        <v>0.35973440000000001</v>
      </c>
      <c r="X2926">
        <v>0.89686139999999903</v>
      </c>
      <c r="Y2926">
        <v>-0.2369994</v>
      </c>
      <c r="Z2926">
        <v>-2.0775390000000001E-2</v>
      </c>
      <c r="AA2926">
        <v>0.97128769999999998</v>
      </c>
      <c r="AB2926">
        <v>26</v>
      </c>
      <c r="AC2926">
        <v>-7.7664999999999997</v>
      </c>
      <c r="AD2926">
        <v>-1.1109092003350001</v>
      </c>
      <c r="AE2926">
        <v>-1.762</v>
      </c>
      <c r="AF2926">
        <v>-1.9291051512345601</v>
      </c>
      <c r="AG2926">
        <v>-1.1109092003350001</v>
      </c>
      <c r="AH2926">
        <v>7.56992065201361</v>
      </c>
      <c r="AI2926">
        <v>98.093652036954495</v>
      </c>
      <c r="AJ2926">
        <v>104.296848467407</v>
      </c>
      <c r="AK2926">
        <v>7.8904540182229601</v>
      </c>
      <c r="AL2926">
        <v>68.916114280674904</v>
      </c>
      <c r="AM2926">
        <v>106.010774469298</v>
      </c>
      <c r="AN2926">
        <v>0.99999999092243996</v>
      </c>
    </row>
    <row r="2927" spans="1:40" x14ac:dyDescent="0.25">
      <c r="A2927" t="str">
        <f>"20190304164909814"</f>
        <v>20190304164909814</v>
      </c>
      <c r="B2927" t="str">
        <f>"1551689349808225"</f>
        <v>1551689349808225</v>
      </c>
      <c r="C2927" t="s">
        <v>40</v>
      </c>
      <c r="D2927">
        <v>4.3847690000000004</v>
      </c>
      <c r="E2927">
        <v>0.4894252</v>
      </c>
      <c r="F2927" t="s">
        <v>46</v>
      </c>
      <c r="G2927">
        <v>-468.67860000000002</v>
      </c>
      <c r="H2927" s="1">
        <v>3.1715870000000001E-6</v>
      </c>
      <c r="I2927">
        <v>282.55590000000001</v>
      </c>
      <c r="J2927">
        <v>-458.68119999999999</v>
      </c>
      <c r="K2927">
        <v>1.110976</v>
      </c>
      <c r="L2927">
        <v>285.3177</v>
      </c>
      <c r="M2927">
        <v>-0.99960720000000003</v>
      </c>
      <c r="N2927">
        <v>-1.087543E-2</v>
      </c>
      <c r="O2927">
        <v>2.582899E-2</v>
      </c>
      <c r="P2927">
        <v>-0.90677669999999999</v>
      </c>
      <c r="Q2927">
        <v>0.35003400000000001</v>
      </c>
      <c r="R2927">
        <v>-0.23501549999999999</v>
      </c>
      <c r="S2927">
        <v>-3.2192379999999998</v>
      </c>
      <c r="T2927">
        <v>-0.34846310000000003</v>
      </c>
      <c r="U2927">
        <v>-0.86425779999999996</v>
      </c>
      <c r="V2927">
        <v>-0.25870969999999999</v>
      </c>
      <c r="W2927">
        <v>0.35955419999999999</v>
      </c>
      <c r="X2927">
        <v>0.89654339999999999</v>
      </c>
      <c r="Y2927">
        <v>-0.28232639999999998</v>
      </c>
      <c r="Z2927">
        <v>-1.9005890000000001E-2</v>
      </c>
      <c r="AA2927">
        <v>0.95913009999999999</v>
      </c>
      <c r="AB2927">
        <v>26</v>
      </c>
      <c r="AC2927">
        <v>-9.9974000000000203</v>
      </c>
      <c r="AD2927">
        <v>-1.110972828413</v>
      </c>
      <c r="AE2927">
        <v>-2.7617999999999898</v>
      </c>
      <c r="AF2927">
        <v>-2.9848698107668699</v>
      </c>
      <c r="AG2927">
        <v>-1.110972828413</v>
      </c>
      <c r="AH2927">
        <v>9.8101692064281494</v>
      </c>
      <c r="AI2927">
        <v>96.183481559986006</v>
      </c>
      <c r="AJ2927">
        <v>106.923055703401</v>
      </c>
      <c r="AK2927">
        <v>10.3142197121959</v>
      </c>
      <c r="AL2927">
        <v>68.9271795468497</v>
      </c>
      <c r="AM2927">
        <v>106.09620931699899</v>
      </c>
      <c r="AN2927">
        <v>0.99999999984764498</v>
      </c>
    </row>
    <row r="2928" spans="1:40" x14ac:dyDescent="0.25">
      <c r="A2928" t="str">
        <f>"20190304164909838"</f>
        <v>20190304164909838</v>
      </c>
      <c r="B2928" t="str">
        <f>"1551689349828723"</f>
        <v>1551689349828723</v>
      </c>
      <c r="C2928" t="s">
        <v>40</v>
      </c>
      <c r="D2928">
        <v>4.3396470000000003</v>
      </c>
      <c r="E2928">
        <v>0.48848130000000001</v>
      </c>
      <c r="F2928" t="s">
        <v>46</v>
      </c>
      <c r="G2928">
        <v>-468.73950000000002</v>
      </c>
      <c r="H2928" s="1">
        <v>3.2059110000000002E-6</v>
      </c>
      <c r="I2928">
        <v>282.51220000000001</v>
      </c>
      <c r="J2928">
        <v>-458.95409999999998</v>
      </c>
      <c r="K2928">
        <v>1.111027</v>
      </c>
      <c r="L2928">
        <v>285.32400000000001</v>
      </c>
      <c r="M2928">
        <v>-0.99962549999999994</v>
      </c>
      <c r="N2928">
        <v>-1.0846959999999999E-2</v>
      </c>
      <c r="O2928">
        <v>2.512609E-2</v>
      </c>
      <c r="P2928">
        <v>-0.90629570000000004</v>
      </c>
      <c r="Q2928">
        <v>0.34986040000000002</v>
      </c>
      <c r="R2928">
        <v>-0.23712079999999999</v>
      </c>
      <c r="S2928">
        <v>-3.2131349999999999</v>
      </c>
      <c r="T2928">
        <v>-0.35489979999999999</v>
      </c>
      <c r="U2928">
        <v>-0.8962097</v>
      </c>
      <c r="V2928">
        <v>-0.26021860000000002</v>
      </c>
      <c r="W2928">
        <v>0.35931350000000001</v>
      </c>
      <c r="X2928">
        <v>0.89620319999999998</v>
      </c>
      <c r="Y2928">
        <v>-0.29085290000000003</v>
      </c>
      <c r="Z2928">
        <v>-1.9779740000000001E-2</v>
      </c>
      <c r="AA2928">
        <v>0.95656330000000001</v>
      </c>
      <c r="AB2928">
        <v>26</v>
      </c>
      <c r="AC2928">
        <v>-9.7854000000000294</v>
      </c>
      <c r="AD2928">
        <v>-1.111023794089</v>
      </c>
      <c r="AE2928">
        <v>-2.8117999999999999</v>
      </c>
      <c r="AF2928">
        <v>-3.02082387219316</v>
      </c>
      <c r="AG2928">
        <v>-1.111023794089</v>
      </c>
      <c r="AH2928">
        <v>9.5973722581169607</v>
      </c>
      <c r="AI2928">
        <v>96.301223921115394</v>
      </c>
      <c r="AJ2928">
        <v>107.47167221346299</v>
      </c>
      <c r="AK2928">
        <v>10.1227123340889</v>
      </c>
      <c r="AL2928">
        <v>68.941959256816801</v>
      </c>
      <c r="AM2928">
        <v>106.191008954517</v>
      </c>
      <c r="AN2928">
        <v>1.00000004337922</v>
      </c>
    </row>
    <row r="2929" spans="1:40" x14ac:dyDescent="0.25">
      <c r="A2929" t="str">
        <f>"20190304164909858"</f>
        <v>20190304164909858</v>
      </c>
      <c r="B2929" t="str">
        <f>"1551689349849218"</f>
        <v>1551689349849218</v>
      </c>
      <c r="C2929" t="s">
        <v>40</v>
      </c>
      <c r="D2929">
        <v>4.3194129999999999</v>
      </c>
      <c r="E2929">
        <v>0.48826819999999999</v>
      </c>
      <c r="F2929" t="s">
        <v>46</v>
      </c>
      <c r="G2929">
        <v>-468.90129999999999</v>
      </c>
      <c r="H2929" s="1">
        <v>3.292462E-6</v>
      </c>
      <c r="I2929">
        <v>282.5018</v>
      </c>
      <c r="J2929">
        <v>-459.18860000000001</v>
      </c>
      <c r="K2929">
        <v>1.111062</v>
      </c>
      <c r="L2929">
        <v>285.32920000000001</v>
      </c>
      <c r="M2929">
        <v>-0.99964240000000004</v>
      </c>
      <c r="N2929">
        <v>-1.081122E-2</v>
      </c>
      <c r="O2929">
        <v>2.4462790000000002E-2</v>
      </c>
      <c r="P2929">
        <v>-0.90586409999999995</v>
      </c>
      <c r="Q2929">
        <v>0.34946300000000002</v>
      </c>
      <c r="R2929">
        <v>-0.23934540000000001</v>
      </c>
      <c r="S2929">
        <v>-3.2102970000000002</v>
      </c>
      <c r="T2929">
        <v>-0.35856500000000002</v>
      </c>
      <c r="U2929">
        <v>-0.91079710000000003</v>
      </c>
      <c r="V2929">
        <v>-0.26187139999999998</v>
      </c>
      <c r="W2929">
        <v>0.3588519</v>
      </c>
      <c r="X2929">
        <v>0.895906599999999</v>
      </c>
      <c r="Y2929">
        <v>-0.29440480000000002</v>
      </c>
      <c r="Z2929">
        <v>-2.0118529999999999E-2</v>
      </c>
      <c r="AA2929">
        <v>0.95546900000000001</v>
      </c>
      <c r="AB2929">
        <v>26</v>
      </c>
      <c r="AC2929">
        <v>-9.7126999999999803</v>
      </c>
      <c r="AD2929">
        <v>-1.1110587075380001</v>
      </c>
      <c r="AE2929">
        <v>-2.8274000000000101</v>
      </c>
      <c r="AF2929">
        <v>-3.0276438479560799</v>
      </c>
      <c r="AG2929">
        <v>-1.1110587075380001</v>
      </c>
      <c r="AH2929">
        <v>9.5257109365405803</v>
      </c>
      <c r="AI2929">
        <v>96.342859132367195</v>
      </c>
      <c r="AJ2929">
        <v>107.632293859821</v>
      </c>
      <c r="AK2929">
        <v>10.0568507778623</v>
      </c>
      <c r="AL2929">
        <v>68.970295466892495</v>
      </c>
      <c r="AM2929">
        <v>106.293517731459</v>
      </c>
      <c r="AN2929">
        <v>0.99999997609756397</v>
      </c>
    </row>
    <row r="2930" spans="1:40" x14ac:dyDescent="0.25">
      <c r="A2930" t="str">
        <f>"20190304164909880"</f>
        <v>20190304164909880</v>
      </c>
      <c r="B2930" t="str">
        <f>"1551689349868738"</f>
        <v>1551689349868738</v>
      </c>
      <c r="C2930" t="s">
        <v>40</v>
      </c>
      <c r="D2930">
        <v>4.3147469999999997</v>
      </c>
      <c r="E2930">
        <v>0.48817500000000003</v>
      </c>
      <c r="F2930" t="s">
        <v>46</v>
      </c>
      <c r="G2930">
        <v>-469.11970000000002</v>
      </c>
      <c r="H2930" s="1">
        <v>3.4095659999999998E-6</v>
      </c>
      <c r="I2930">
        <v>282.4812</v>
      </c>
      <c r="J2930">
        <v>-459.44979999999998</v>
      </c>
      <c r="K2930">
        <v>1.1110910000000001</v>
      </c>
      <c r="L2930">
        <v>285.3347</v>
      </c>
      <c r="M2930">
        <v>-0.99966189999999999</v>
      </c>
      <c r="N2930">
        <v>-1.07639E-2</v>
      </c>
      <c r="O2930">
        <v>2.3675499999999999E-2</v>
      </c>
      <c r="P2930">
        <v>-0.90501909999999997</v>
      </c>
      <c r="Q2930">
        <v>0.34993469999999999</v>
      </c>
      <c r="R2930">
        <v>-0.24183930000000001</v>
      </c>
      <c r="S2930">
        <v>-3.2071529999999999</v>
      </c>
      <c r="T2930">
        <v>-0.35880859999999998</v>
      </c>
      <c r="U2930">
        <v>-0.91973879999999997</v>
      </c>
      <c r="V2930">
        <v>-0.26366849999999997</v>
      </c>
      <c r="W2930">
        <v>0.35924850000000003</v>
      </c>
      <c r="X2930">
        <v>0.89522029999999997</v>
      </c>
      <c r="Y2930">
        <v>-0.29634880000000002</v>
      </c>
      <c r="Z2930">
        <v>-2.017565E-2</v>
      </c>
      <c r="AA2930">
        <v>0.95486660000000001</v>
      </c>
      <c r="AB2930">
        <v>26</v>
      </c>
      <c r="AC2930">
        <v>-9.6699000000000392</v>
      </c>
      <c r="AD2930">
        <v>-1.1110875904340001</v>
      </c>
      <c r="AE2930">
        <v>-2.8534999999999902</v>
      </c>
      <c r="AF2930">
        <v>-3.0446759169675599</v>
      </c>
      <c r="AG2930">
        <v>-1.1110875904340001</v>
      </c>
      <c r="AH2930">
        <v>9.4844402613787597</v>
      </c>
      <c r="AI2930">
        <v>96.364578550872906</v>
      </c>
      <c r="AJ2930">
        <v>107.797564486504</v>
      </c>
      <c r="AK2930">
        <v>10.022932412455001</v>
      </c>
      <c r="AL2930">
        <v>68.945948414414801</v>
      </c>
      <c r="AM2930">
        <v>106.41123964763899</v>
      </c>
      <c r="AN2930">
        <v>0.999999974088294</v>
      </c>
    </row>
    <row r="2931" spans="1:40" x14ac:dyDescent="0.25">
      <c r="A2931" t="str">
        <f>"20190304164909902"</f>
        <v>20190304164909902</v>
      </c>
      <c r="B2931" t="str">
        <f>"1551689349898993"</f>
        <v>1551689349898993</v>
      </c>
      <c r="C2931" t="s">
        <v>40</v>
      </c>
      <c r="D2931">
        <v>4.2857770000000004</v>
      </c>
      <c r="E2931">
        <v>0.48779299999999998</v>
      </c>
      <c r="F2931" t="s">
        <v>46</v>
      </c>
      <c r="G2931">
        <v>-469.38279999999997</v>
      </c>
      <c r="H2931" s="1">
        <v>3.5507149999999999E-6</v>
      </c>
      <c r="I2931">
        <v>282.45609999999999</v>
      </c>
      <c r="J2931">
        <v>-459.71039999999999</v>
      </c>
      <c r="K2931">
        <v>1.111108</v>
      </c>
      <c r="L2931">
        <v>285.33999999999997</v>
      </c>
      <c r="M2931">
        <v>-0.99968170000000001</v>
      </c>
      <c r="N2931">
        <v>-1.071163E-2</v>
      </c>
      <c r="O2931">
        <v>2.2847989999999999E-2</v>
      </c>
      <c r="P2931">
        <v>-0.90421110000000005</v>
      </c>
      <c r="Q2931">
        <v>0.35015230000000003</v>
      </c>
      <c r="R2931">
        <v>-0.24453179999999999</v>
      </c>
      <c r="S2931">
        <v>-3.2052309999999999</v>
      </c>
      <c r="T2931">
        <v>-0.35852899999999999</v>
      </c>
      <c r="U2931">
        <v>-0.928894</v>
      </c>
      <c r="V2931">
        <v>-0.26562229999999998</v>
      </c>
      <c r="W2931">
        <v>0.35939130000000002</v>
      </c>
      <c r="X2931">
        <v>0.89458519999999897</v>
      </c>
      <c r="Y2931">
        <v>-0.29822320000000002</v>
      </c>
      <c r="Z2931">
        <v>-2.0189439999999999E-2</v>
      </c>
      <c r="AA2931">
        <v>0.95428259999999998</v>
      </c>
      <c r="AB2931">
        <v>26</v>
      </c>
      <c r="AC2931">
        <v>-9.6723999999999801</v>
      </c>
      <c r="AD2931">
        <v>-1.111104449285</v>
      </c>
      <c r="AE2931">
        <v>-2.8838999999999801</v>
      </c>
      <c r="AF2931">
        <v>-3.0669868942885201</v>
      </c>
      <c r="AG2931">
        <v>-1.111104449285</v>
      </c>
      <c r="AH2931">
        <v>9.4889859887658901</v>
      </c>
      <c r="AI2931">
        <v>96.357605309618506</v>
      </c>
      <c r="AJ2931">
        <v>107.911634166374</v>
      </c>
      <c r="AK2931">
        <v>10.0340329280879</v>
      </c>
      <c r="AL2931">
        <v>68.937181535812101</v>
      </c>
      <c r="AM2931">
        <v>106.537328695233</v>
      </c>
      <c r="AN2931">
        <v>0.99999999641600901</v>
      </c>
    </row>
    <row r="2932" spans="1:40" x14ac:dyDescent="0.25">
      <c r="A2932" t="str">
        <f>"20190304164909921"</f>
        <v>20190304164909921</v>
      </c>
      <c r="B2932" t="str">
        <f>"1551689349908366"</f>
        <v>1551689349908366</v>
      </c>
      <c r="C2932" t="s">
        <v>40</v>
      </c>
      <c r="D2932">
        <v>4.2728849999999996</v>
      </c>
      <c r="E2932">
        <v>0.48767700000000003</v>
      </c>
      <c r="F2932" t="s">
        <v>46</v>
      </c>
      <c r="G2932">
        <v>-469.65910000000002</v>
      </c>
      <c r="H2932" s="1">
        <v>3.6993750000000001E-6</v>
      </c>
      <c r="I2932">
        <v>282.41820000000001</v>
      </c>
      <c r="J2932">
        <v>-459.9171</v>
      </c>
      <c r="K2932">
        <v>1.1111200000000001</v>
      </c>
      <c r="L2932">
        <v>285.34399999999999</v>
      </c>
      <c r="M2932">
        <v>-0.99969739999999996</v>
      </c>
      <c r="N2932">
        <v>-1.0665559999999999E-2</v>
      </c>
      <c r="O2932">
        <v>2.216313E-2</v>
      </c>
      <c r="P2932">
        <v>-0.90371029999999997</v>
      </c>
      <c r="Q2932">
        <v>0.35045739999999997</v>
      </c>
      <c r="R2932">
        <v>-0.2459421</v>
      </c>
      <c r="S2932">
        <v>-3.2019350000000002</v>
      </c>
      <c r="T2932">
        <v>-0.35760209999999998</v>
      </c>
      <c r="U2932">
        <v>-0.94036869999999995</v>
      </c>
      <c r="V2932">
        <v>-0.26642440000000001</v>
      </c>
      <c r="W2932">
        <v>0.35963650000000003</v>
      </c>
      <c r="X2932">
        <v>0.89424809999999999</v>
      </c>
      <c r="Y2932">
        <v>-0.3009772</v>
      </c>
      <c r="Z2932">
        <v>-2.0242909999999999E-2</v>
      </c>
      <c r="AA2932">
        <v>0.9534165</v>
      </c>
      <c r="AB2932">
        <v>26</v>
      </c>
      <c r="AC2932">
        <v>-9.7420000000000098</v>
      </c>
      <c r="AD2932">
        <v>-1.111116300625</v>
      </c>
      <c r="AE2932">
        <v>-2.9257999999999802</v>
      </c>
      <c r="AF2932">
        <v>-3.1039698071672799</v>
      </c>
      <c r="AG2932">
        <v>-1.111116300625</v>
      </c>
      <c r="AH2932">
        <v>9.5606789985705802</v>
      </c>
      <c r="AI2932">
        <v>96.307733775904396</v>
      </c>
      <c r="AJ2932">
        <v>107.98653905829001</v>
      </c>
      <c r="AK2932">
        <v>10.113149406145901</v>
      </c>
      <c r="AL2932">
        <v>68.922126485009699</v>
      </c>
      <c r="AM2932">
        <v>106.59043551087299</v>
      </c>
      <c r="AN2932">
        <v>1.0000000187006099</v>
      </c>
    </row>
    <row r="2933" spans="1:40" x14ac:dyDescent="0.25">
      <c r="A2933" t="str">
        <f>"20190304164909935"</f>
        <v>20190304164909935</v>
      </c>
      <c r="B2933" t="str">
        <f>"1551689349928862"</f>
        <v>1551689349928862</v>
      </c>
      <c r="C2933" t="s">
        <v>40</v>
      </c>
      <c r="D2933">
        <v>4.2552789999999998</v>
      </c>
      <c r="E2933">
        <v>0.48751159999999999</v>
      </c>
      <c r="F2933" t="s">
        <v>46</v>
      </c>
      <c r="G2933">
        <v>-469.91050000000001</v>
      </c>
      <c r="H2933" s="1">
        <v>3.8345189999999998E-6</v>
      </c>
      <c r="I2933">
        <v>282.38729999999998</v>
      </c>
      <c r="J2933">
        <v>-460.09679999999997</v>
      </c>
      <c r="K2933">
        <v>1.111138</v>
      </c>
      <c r="L2933">
        <v>285.34739999999999</v>
      </c>
      <c r="M2933">
        <v>-0.99971140000000003</v>
      </c>
      <c r="N2933">
        <v>-1.062189E-2</v>
      </c>
      <c r="O2933">
        <v>2.1547529999999999E-2</v>
      </c>
      <c r="P2933">
        <v>-0.90283670000000005</v>
      </c>
      <c r="Q2933">
        <v>0.35133940000000002</v>
      </c>
      <c r="R2933">
        <v>-0.24788479999999999</v>
      </c>
      <c r="S2933">
        <v>-3.199951</v>
      </c>
      <c r="T2933">
        <v>-0.35578720000000003</v>
      </c>
      <c r="U2933">
        <v>-0.94677730000000004</v>
      </c>
      <c r="V2933">
        <v>-0.26781270000000001</v>
      </c>
      <c r="W2933">
        <v>0.36045719999999998</v>
      </c>
      <c r="X2933">
        <v>0.89350260000000004</v>
      </c>
      <c r="Y2933">
        <v>-0.30232019999999998</v>
      </c>
      <c r="Z2933">
        <v>-2.0168189999999999E-2</v>
      </c>
      <c r="AA2933">
        <v>0.95299299999999998</v>
      </c>
      <c r="AB2933">
        <v>26</v>
      </c>
      <c r="AC2933">
        <v>-9.8137000000000398</v>
      </c>
      <c r="AD2933">
        <v>-1.1111341654810001</v>
      </c>
      <c r="AE2933">
        <v>-2.9601000000000099</v>
      </c>
      <c r="AF2933">
        <v>-3.1340593134515302</v>
      </c>
      <c r="AG2933">
        <v>-1.1111341654810001</v>
      </c>
      <c r="AH2933">
        <v>9.6344269816940091</v>
      </c>
      <c r="AI2933">
        <v>96.258770565470201</v>
      </c>
      <c r="AJ2933">
        <v>108.019600461903</v>
      </c>
      <c r="AK2933">
        <v>10.1921111738209</v>
      </c>
      <c r="AL2933">
        <v>68.8717223517001</v>
      </c>
      <c r="AM2933">
        <v>106.685236913358</v>
      </c>
      <c r="AN2933">
        <v>0.99999996575994399</v>
      </c>
    </row>
    <row r="2934" spans="1:40" x14ac:dyDescent="0.25">
      <c r="A2934" t="str">
        <f>"20190304164909953"</f>
        <v>20190304164909953</v>
      </c>
      <c r="B2934" t="str">
        <f>"1551689349948382"</f>
        <v>1551689349948382</v>
      </c>
      <c r="C2934" t="s">
        <v>40</v>
      </c>
      <c r="D2934">
        <v>4.227849</v>
      </c>
      <c r="E2934">
        <v>0.48730859999999898</v>
      </c>
      <c r="F2934" t="s">
        <v>45</v>
      </c>
      <c r="G2934">
        <v>-470.18130000000002</v>
      </c>
      <c r="H2934" s="1">
        <v>6.3338890000000004E-6</v>
      </c>
      <c r="I2934">
        <v>282.33049999999997</v>
      </c>
      <c r="J2934">
        <v>-460.29680000000002</v>
      </c>
      <c r="K2934">
        <v>1.1111519999999999</v>
      </c>
      <c r="L2934">
        <v>285.351</v>
      </c>
      <c r="M2934">
        <v>-0.99972720000000004</v>
      </c>
      <c r="N2934">
        <v>-1.056841E-2</v>
      </c>
      <c r="O2934">
        <v>2.0829980000000001E-2</v>
      </c>
      <c r="P2934">
        <v>-0.90239630000000004</v>
      </c>
      <c r="Q2934">
        <v>0.35154600000000003</v>
      </c>
      <c r="R2934">
        <v>-0.24919179999999999</v>
      </c>
      <c r="S2934">
        <v>-3.1974179999999999</v>
      </c>
      <c r="T2934">
        <v>-0.35229890000000003</v>
      </c>
      <c r="U2934">
        <v>-0.95654300000000003</v>
      </c>
      <c r="V2934">
        <v>-0.26848929999999999</v>
      </c>
      <c r="W2934">
        <v>0.36059469999999999</v>
      </c>
      <c r="X2934">
        <v>0.89324409999999899</v>
      </c>
      <c r="Y2934">
        <v>-0.30454160000000002</v>
      </c>
      <c r="Z2934">
        <v>-2.004676E-2</v>
      </c>
      <c r="AA2934">
        <v>0.95228800000000002</v>
      </c>
      <c r="AB2934">
        <v>26</v>
      </c>
      <c r="AC2934">
        <v>-9.8844999999999992</v>
      </c>
      <c r="AD2934">
        <v>-1.111145666111</v>
      </c>
      <c r="AE2934">
        <v>-3.0205000000000202</v>
      </c>
      <c r="AF2934">
        <v>-3.18889452577069</v>
      </c>
      <c r="AG2934">
        <v>-1.111145666111</v>
      </c>
      <c r="AH2934">
        <v>9.7072437167322398</v>
      </c>
      <c r="AI2934">
        <v>96.206415586025599</v>
      </c>
      <c r="AJ2934">
        <v>108.185697940751</v>
      </c>
      <c r="AK2934">
        <v>10.277853548472301</v>
      </c>
      <c r="AL2934">
        <v>68.8632776370318</v>
      </c>
      <c r="AM2934">
        <v>106.729608689513</v>
      </c>
      <c r="AN2934">
        <v>1.0000000320336899</v>
      </c>
    </row>
    <row r="2935" spans="1:40" x14ac:dyDescent="0.25">
      <c r="A2935" t="str">
        <f>"20190304164909969"</f>
        <v>20190304164909969</v>
      </c>
      <c r="B2935" t="str">
        <f>"1551689349959118"</f>
        <v>1551689349959118</v>
      </c>
      <c r="C2935" t="s">
        <v>40</v>
      </c>
      <c r="D2935">
        <v>4.226127</v>
      </c>
      <c r="E2935">
        <v>0.48723559999999999</v>
      </c>
      <c r="F2935" t="s">
        <v>45</v>
      </c>
      <c r="G2935">
        <v>-470.4126</v>
      </c>
      <c r="H2935" s="1">
        <v>6.2288049999999999E-6</v>
      </c>
      <c r="I2935">
        <v>282.30189999999999</v>
      </c>
      <c r="J2935">
        <v>-460.48480000000001</v>
      </c>
      <c r="K2935">
        <v>1.1111770000000001</v>
      </c>
      <c r="L2935">
        <v>285.35419999999999</v>
      </c>
      <c r="M2935">
        <v>-0.99974229999999997</v>
      </c>
      <c r="N2935">
        <v>-1.051798E-2</v>
      </c>
      <c r="O2935">
        <v>2.0123140000000001E-2</v>
      </c>
      <c r="P2935">
        <v>-0.90170779999999995</v>
      </c>
      <c r="Q2935">
        <v>0.35187469999999998</v>
      </c>
      <c r="R2935">
        <v>-0.25121179999999999</v>
      </c>
      <c r="S2935">
        <v>-3.1952210000000001</v>
      </c>
      <c r="T2935">
        <v>-0.35096909999999998</v>
      </c>
      <c r="U2935">
        <v>-0.96307370000000003</v>
      </c>
      <c r="V2935">
        <v>-0.26988759999999901</v>
      </c>
      <c r="W2935">
        <v>0.36085089999999997</v>
      </c>
      <c r="X2935">
        <v>0.89271909999999899</v>
      </c>
      <c r="Y2935">
        <v>-0.30584250000000002</v>
      </c>
      <c r="Z2935">
        <v>-1.9985559999999999E-2</v>
      </c>
      <c r="AA2935">
        <v>0.9518723</v>
      </c>
      <c r="AB2935">
        <v>26</v>
      </c>
      <c r="AC2935">
        <v>-9.9277999999999906</v>
      </c>
      <c r="AD2935">
        <v>-1.1111707711950001</v>
      </c>
      <c r="AE2935">
        <v>-3.0522999999999998</v>
      </c>
      <c r="AF2935">
        <v>-3.21467823202806</v>
      </c>
      <c r="AG2935">
        <v>-1.1111707711950001</v>
      </c>
      <c r="AH2935">
        <v>9.7527405377527394</v>
      </c>
      <c r="AI2935">
        <v>96.175803125465393</v>
      </c>
      <c r="AJ2935">
        <v>108.24314696044399</v>
      </c>
      <c r="AK2935">
        <v>10.328833652206701</v>
      </c>
      <c r="AL2935">
        <v>68.847538990561205</v>
      </c>
      <c r="AM2935">
        <v>106.821161672597</v>
      </c>
      <c r="AN2935">
        <v>1.00000004008468</v>
      </c>
    </row>
    <row r="2936" spans="1:40" x14ac:dyDescent="0.25">
      <c r="A2936" t="str">
        <f>"20190304164909992"</f>
        <v>20190304164909992</v>
      </c>
      <c r="B2936" t="str">
        <f>"1551689349989375"</f>
        <v>1551689349989375</v>
      </c>
      <c r="C2936" t="s">
        <v>40</v>
      </c>
      <c r="D2936">
        <v>4.2160190000000002</v>
      </c>
      <c r="E2936">
        <v>0.48695830000000001</v>
      </c>
      <c r="F2936" t="s">
        <v>45</v>
      </c>
      <c r="G2936">
        <v>-470.62950000000001</v>
      </c>
      <c r="H2936" s="1">
        <v>6.1294979999999999E-6</v>
      </c>
      <c r="I2936">
        <v>282.26639999999998</v>
      </c>
      <c r="J2936">
        <v>-460.7475</v>
      </c>
      <c r="K2936">
        <v>1.1112280000000001</v>
      </c>
      <c r="L2936">
        <v>285.35829999999999</v>
      </c>
      <c r="M2936">
        <v>-0.99976370000000003</v>
      </c>
      <c r="N2936">
        <v>-1.045111E-2</v>
      </c>
      <c r="O2936">
        <v>1.9069249999999999E-2</v>
      </c>
      <c r="P2936">
        <v>-0.90083800000000003</v>
      </c>
      <c r="Q2936">
        <v>0.35298590000000002</v>
      </c>
      <c r="R2936">
        <v>-0.25276900000000002</v>
      </c>
      <c r="S2936">
        <v>-3.19278</v>
      </c>
      <c r="T2936">
        <v>-0.3497113</v>
      </c>
      <c r="U2936">
        <v>-0.97177119999999995</v>
      </c>
      <c r="V2936">
        <v>-0.27053270000000001</v>
      </c>
      <c r="W2936">
        <v>0.36185879999999998</v>
      </c>
      <c r="X2936">
        <v>0.89211569999999996</v>
      </c>
      <c r="Y2936">
        <v>-0.30742380000000002</v>
      </c>
      <c r="Z2936">
        <v>-1.9908329999999998E-2</v>
      </c>
      <c r="AA2936">
        <v>0.9513644</v>
      </c>
      <c r="AB2936">
        <v>26</v>
      </c>
      <c r="AC2936">
        <v>-9.8819999999999997</v>
      </c>
      <c r="AD2936">
        <v>-1.1112218705020001</v>
      </c>
      <c r="AE2936">
        <v>-3.0918999999999999</v>
      </c>
      <c r="AF2936">
        <v>-3.2424460637063701</v>
      </c>
      <c r="AG2936">
        <v>-1.1112218705020001</v>
      </c>
      <c r="AH2936">
        <v>9.7094131833401693</v>
      </c>
      <c r="AI2936">
        <v>96.195468728005395</v>
      </c>
      <c r="AJ2936">
        <v>108.46667589848499</v>
      </c>
      <c r="AK2936">
        <v>10.2966487211299</v>
      </c>
      <c r="AL2936">
        <v>68.785606468615498</v>
      </c>
      <c r="AM2936">
        <v>106.869845573144</v>
      </c>
      <c r="AN2936">
        <v>1.0000000775466</v>
      </c>
    </row>
    <row r="2937" spans="1:40" x14ac:dyDescent="0.25">
      <c r="A2937" t="str">
        <f>"20190304164910012"</f>
        <v>20190304164910012</v>
      </c>
      <c r="B2937" t="str">
        <f>"1551689350009401"</f>
        <v>1551689350009401</v>
      </c>
      <c r="C2937" t="s">
        <v>40</v>
      </c>
      <c r="D2937">
        <v>4.1500640000000004</v>
      </c>
      <c r="E2937">
        <v>0.486653</v>
      </c>
      <c r="F2937" t="s">
        <v>45</v>
      </c>
      <c r="G2937">
        <v>-471.00349999999997</v>
      </c>
      <c r="H2937" s="1">
        <v>5.9583929999999996E-6</v>
      </c>
      <c r="I2937">
        <v>282.20589999999999</v>
      </c>
      <c r="J2937">
        <v>-460.96679999999998</v>
      </c>
      <c r="K2937">
        <v>1.1112850000000001</v>
      </c>
      <c r="L2937">
        <v>285.36149999999998</v>
      </c>
      <c r="M2937">
        <v>-0.99978210000000001</v>
      </c>
      <c r="N2937">
        <v>-1.0400599999999999E-2</v>
      </c>
      <c r="O2937">
        <v>1.8105050000000001E-2</v>
      </c>
      <c r="P2937">
        <v>-0.90029369999999997</v>
      </c>
      <c r="Q2937">
        <v>0.35360639999999999</v>
      </c>
      <c r="R2937">
        <v>-0.25383909999999998</v>
      </c>
      <c r="S2937">
        <v>-3.1905209999999999</v>
      </c>
      <c r="T2937">
        <v>-0.34568929999999998</v>
      </c>
      <c r="U2937">
        <v>-0.98068239999999995</v>
      </c>
      <c r="V2937">
        <v>-0.27078419999999997</v>
      </c>
      <c r="W2937">
        <v>0.36238989999999999</v>
      </c>
      <c r="X2937">
        <v>0.891823699999999</v>
      </c>
      <c r="Y2937">
        <v>-0.30916009999999999</v>
      </c>
      <c r="Z2937">
        <v>-1.9704670000000001E-2</v>
      </c>
      <c r="AA2937">
        <v>0.95080580000000003</v>
      </c>
      <c r="AB2937">
        <v>26</v>
      </c>
      <c r="AC2937">
        <v>-10.0366999999999</v>
      </c>
      <c r="AD2937">
        <v>-1.111279041607</v>
      </c>
      <c r="AE2937">
        <v>-3.15559999999999</v>
      </c>
      <c r="AF2937">
        <v>-3.2999913339939102</v>
      </c>
      <c r="AG2937">
        <v>-1.111279041607</v>
      </c>
      <c r="AH2937">
        <v>9.8678295222502594</v>
      </c>
      <c r="AI2937">
        <v>96.096218515960402</v>
      </c>
      <c r="AJ2937">
        <v>108.490922915719</v>
      </c>
      <c r="AK2937">
        <v>10.464174281468299</v>
      </c>
      <c r="AL2937">
        <v>68.752959686036306</v>
      </c>
      <c r="AM2937">
        <v>106.889850269522</v>
      </c>
      <c r="AN2937">
        <v>1.0000000172366601</v>
      </c>
    </row>
    <row r="2938" spans="1:40" x14ac:dyDescent="0.25">
      <c r="A2938" t="str">
        <f>"20190304164910030"</f>
        <v>20190304164910030</v>
      </c>
      <c r="B2938" t="str">
        <f>"1551689350019161"</f>
        <v>1551689350019161</v>
      </c>
      <c r="C2938" t="s">
        <v>40</v>
      </c>
      <c r="D2938">
        <v>4.1749609999999997</v>
      </c>
      <c r="E2938">
        <v>0.48655359999999998</v>
      </c>
      <c r="F2938" t="s">
        <v>45</v>
      </c>
      <c r="G2938">
        <v>-471.29849999999999</v>
      </c>
      <c r="H2938" s="1">
        <v>5.8235479999999999E-6</v>
      </c>
      <c r="I2938">
        <v>282.16000000000003</v>
      </c>
      <c r="J2938">
        <v>-461.20179999999999</v>
      </c>
      <c r="K2938">
        <v>1.1113679999999999</v>
      </c>
      <c r="L2938">
        <v>285.3646</v>
      </c>
      <c r="M2938">
        <v>-0.99980239999999998</v>
      </c>
      <c r="N2938">
        <v>-1.0351310000000001E-2</v>
      </c>
      <c r="O2938">
        <v>1.6972399999999999E-2</v>
      </c>
      <c r="P2938">
        <v>-0.89989390000000002</v>
      </c>
      <c r="Q2938">
        <v>0.35397119999999999</v>
      </c>
      <c r="R2938">
        <v>-0.25474570000000002</v>
      </c>
      <c r="S2938">
        <v>-3.1883849999999998</v>
      </c>
      <c r="T2938">
        <v>-0.34294269999999999</v>
      </c>
      <c r="U2938">
        <v>-0.98800659999999896</v>
      </c>
      <c r="V2938">
        <v>-0.27074160000000003</v>
      </c>
      <c r="W2938">
        <v>0.3626566</v>
      </c>
      <c r="X2938">
        <v>0.89172819999999997</v>
      </c>
      <c r="Y2938">
        <v>-0.31028339999999999</v>
      </c>
      <c r="Z2938">
        <v>-1.9517110000000001E-2</v>
      </c>
      <c r="AA2938">
        <v>0.9504437</v>
      </c>
      <c r="AB2938">
        <v>26</v>
      </c>
      <c r="AC2938">
        <v>-10.096699999999901</v>
      </c>
      <c r="AD2938">
        <v>-1.1113621764520001</v>
      </c>
      <c r="AE2938">
        <v>-3.2045999999999699</v>
      </c>
      <c r="AF2938">
        <v>-3.3387630147078502</v>
      </c>
      <c r="AG2938">
        <v>-1.1113621764520001</v>
      </c>
      <c r="AH2938">
        <v>9.9315364595789308</v>
      </c>
      <c r="AI2938">
        <v>96.054668522904507</v>
      </c>
      <c r="AJ2938">
        <v>108.581506642295</v>
      </c>
      <c r="AK2938">
        <v>10.5365023040653</v>
      </c>
      <c r="AL2938">
        <v>68.736563234727598</v>
      </c>
      <c r="AM2938">
        <v>106.88904999396701</v>
      </c>
      <c r="AN2938">
        <v>1.0000000030846701</v>
      </c>
    </row>
    <row r="2939" spans="1:40" x14ac:dyDescent="0.25">
      <c r="A2939" t="str">
        <f>"20190304164910048"</f>
        <v>20190304164910048</v>
      </c>
      <c r="B2939" t="str">
        <f>"1551689350038680"</f>
        <v>1551689350038680</v>
      </c>
      <c r="C2939" t="s">
        <v>40</v>
      </c>
      <c r="D2939">
        <v>4.1632999999999996</v>
      </c>
      <c r="E2939">
        <v>0.48651179999999999</v>
      </c>
      <c r="F2939" t="s">
        <v>45</v>
      </c>
      <c r="G2939">
        <v>-471.58440000000002</v>
      </c>
      <c r="H2939" s="1">
        <v>5.6937779999999901E-6</v>
      </c>
      <c r="I2939">
        <v>282.12610000000001</v>
      </c>
      <c r="J2939">
        <v>-461.40199999999999</v>
      </c>
      <c r="K2939">
        <v>1.1114440000000001</v>
      </c>
      <c r="L2939">
        <v>285.36689999999999</v>
      </c>
      <c r="M2939">
        <v>-0.9998203</v>
      </c>
      <c r="N2939">
        <v>-1.031325E-2</v>
      </c>
      <c r="O2939">
        <v>1.590743E-2</v>
      </c>
      <c r="P2939">
        <v>-0.89931139999999998</v>
      </c>
      <c r="Q2939">
        <v>0.35432839999999999</v>
      </c>
      <c r="R2939">
        <v>-0.25630170000000002</v>
      </c>
      <c r="S2939">
        <v>-3.186493</v>
      </c>
      <c r="T2939">
        <v>-0.34108339999999998</v>
      </c>
      <c r="U2939">
        <v>-0.993927</v>
      </c>
      <c r="V2939">
        <v>-0.27140629999999999</v>
      </c>
      <c r="W2939">
        <v>0.36292140000000001</v>
      </c>
      <c r="X2939">
        <v>0.8914183</v>
      </c>
      <c r="Y2939">
        <v>-0.31106040000000001</v>
      </c>
      <c r="Z2939">
        <v>-1.9364320000000001E-2</v>
      </c>
      <c r="AA2939">
        <v>0.95019290000000001</v>
      </c>
      <c r="AB2939">
        <v>26</v>
      </c>
      <c r="AC2939">
        <v>-10.182399999999999</v>
      </c>
      <c r="AD2939">
        <v>-1.1114383062219999</v>
      </c>
      <c r="AE2939">
        <v>-3.2407999999999699</v>
      </c>
      <c r="AF2939">
        <v>-3.3659598342451398</v>
      </c>
      <c r="AG2939">
        <v>-1.1114383062219999</v>
      </c>
      <c r="AH2939">
        <v>10.021142646531199</v>
      </c>
      <c r="AI2939">
        <v>96.001859685936196</v>
      </c>
      <c r="AJ2939">
        <v>108.566470533726</v>
      </c>
      <c r="AK2939">
        <v>10.6295945668881</v>
      </c>
      <c r="AL2939">
        <v>68.720281002724505</v>
      </c>
      <c r="AM2939">
        <v>106.93369418927701</v>
      </c>
      <c r="AN2939">
        <v>0.99999995391626895</v>
      </c>
    </row>
    <row r="2940" spans="1:40" x14ac:dyDescent="0.25">
      <c r="A2940" t="str">
        <f>"20190304164910081"</f>
        <v>20190304164910081</v>
      </c>
      <c r="B2940" t="str">
        <f>"1551689350078697"</f>
        <v>1551689350078697</v>
      </c>
      <c r="C2940" t="s">
        <v>40</v>
      </c>
      <c r="D2940">
        <v>4.118417</v>
      </c>
      <c r="E2940">
        <v>0.48620829999999998</v>
      </c>
      <c r="F2940" t="s">
        <v>45</v>
      </c>
      <c r="G2940">
        <v>-471.83530000000002</v>
      </c>
      <c r="H2940" s="1">
        <v>5.5787999999999998E-6</v>
      </c>
      <c r="I2940">
        <v>282.08330000000001</v>
      </c>
      <c r="J2940">
        <v>-461.79300000000001</v>
      </c>
      <c r="K2940">
        <v>1.111623</v>
      </c>
      <c r="L2940">
        <v>285.37049999999999</v>
      </c>
      <c r="M2940">
        <v>-0.99985579999999996</v>
      </c>
      <c r="N2940">
        <v>-1.0248999999999999E-2</v>
      </c>
      <c r="O2940">
        <v>1.353686E-2</v>
      </c>
      <c r="P2940">
        <v>-0.89855239999999903</v>
      </c>
      <c r="Q2940">
        <v>0.35473480000000002</v>
      </c>
      <c r="R2940">
        <v>-0.25839179999999901</v>
      </c>
      <c r="S2940">
        <v>-3.183929</v>
      </c>
      <c r="T2940">
        <v>-0.33917890000000001</v>
      </c>
      <c r="U2940">
        <v>-1.002075</v>
      </c>
      <c r="V2940">
        <v>-0.2715283</v>
      </c>
      <c r="W2940">
        <v>0.36314619999999997</v>
      </c>
      <c r="X2940">
        <v>0.89128960000000002</v>
      </c>
      <c r="Y2940">
        <v>-0.31126880000000001</v>
      </c>
      <c r="Z2940">
        <v>-1.9052779999999998E-2</v>
      </c>
      <c r="AA2940">
        <v>0.9501309</v>
      </c>
      <c r="AB2940">
        <v>26</v>
      </c>
      <c r="AC2940">
        <v>-10.042299999999999</v>
      </c>
      <c r="AD2940">
        <v>-1.1116174212000001</v>
      </c>
      <c r="AE2940">
        <v>-3.2871999999999799</v>
      </c>
      <c r="AF2940">
        <v>-3.3853803845011901</v>
      </c>
      <c r="AG2940">
        <v>-1.1116174212000001</v>
      </c>
      <c r="AH2940">
        <v>9.8874524584494399</v>
      </c>
      <c r="AI2940">
        <v>96.071444915222401</v>
      </c>
      <c r="AJ2940">
        <v>108.900771601679</v>
      </c>
      <c r="AK2940">
        <v>10.5099100736865</v>
      </c>
      <c r="AL2940">
        <v>68.706458101340104</v>
      </c>
      <c r="AM2940">
        <v>106.943176302304</v>
      </c>
      <c r="AN2940">
        <v>0.99999996567174398</v>
      </c>
    </row>
    <row r="2941" spans="1:40" x14ac:dyDescent="0.25">
      <c r="A2941" t="str">
        <f>"20190304164910104"</f>
        <v>20190304164910104</v>
      </c>
      <c r="B2941" t="str">
        <f>"1551689350099195"</f>
        <v>1551689350099195</v>
      </c>
      <c r="C2941" t="s">
        <v>40</v>
      </c>
      <c r="D2941">
        <v>4.1310250000000002</v>
      </c>
      <c r="E2941">
        <v>0.4860775</v>
      </c>
      <c r="F2941" t="s">
        <v>45</v>
      </c>
      <c r="G2941">
        <v>-472.24310000000003</v>
      </c>
      <c r="H2941" s="1">
        <v>5.3941389999999998E-6</v>
      </c>
      <c r="I2941">
        <v>282.03980000000001</v>
      </c>
      <c r="J2941">
        <v>-462.05779999999999</v>
      </c>
      <c r="K2941">
        <v>1.1117549999999901</v>
      </c>
      <c r="L2941">
        <v>285.37209999999999</v>
      </c>
      <c r="M2941">
        <v>-0.99987959999999998</v>
      </c>
      <c r="N2941">
        <v>-1.021383E-2</v>
      </c>
      <c r="O2941">
        <v>1.1693439999999999E-2</v>
      </c>
      <c r="P2941">
        <v>-0.89835789999999904</v>
      </c>
      <c r="Q2941">
        <v>0.3542342</v>
      </c>
      <c r="R2941">
        <v>-0.25975290000000001</v>
      </c>
      <c r="S2941">
        <v>-3.1807560000000001</v>
      </c>
      <c r="T2941">
        <v>-0.33835029999999999</v>
      </c>
      <c r="U2941">
        <v>-1.0137940000000001</v>
      </c>
      <c r="V2941">
        <v>-0.27135429999999999</v>
      </c>
      <c r="W2941">
        <v>0.36252909999999999</v>
      </c>
      <c r="X2941">
        <v>0.89159379999999999</v>
      </c>
      <c r="Y2941">
        <v>-0.31297609999999998</v>
      </c>
      <c r="Z2941">
        <v>-1.893771E-2</v>
      </c>
      <c r="AA2941">
        <v>0.94957210000000003</v>
      </c>
      <c r="AB2941">
        <v>26</v>
      </c>
      <c r="AC2941">
        <v>-10.1853</v>
      </c>
      <c r="AD2941">
        <v>-1.1117496058609999</v>
      </c>
      <c r="AE2941">
        <v>-3.3322999999999698</v>
      </c>
      <c r="AF2941">
        <v>-3.41443252017018</v>
      </c>
      <c r="AG2941">
        <v>-1.1117496058609999</v>
      </c>
      <c r="AH2941">
        <v>10.037608111062299</v>
      </c>
      <c r="AI2941">
        <v>95.986034874164304</v>
      </c>
      <c r="AJ2941">
        <v>108.786453556572</v>
      </c>
      <c r="AK2941">
        <v>10.660577527141299</v>
      </c>
      <c r="AL2941">
        <v>68.744401913077795</v>
      </c>
      <c r="AM2941">
        <v>106.92749337411701</v>
      </c>
      <c r="AN2941">
        <v>1.00000000433686</v>
      </c>
    </row>
    <row r="2942" spans="1:40" x14ac:dyDescent="0.25">
      <c r="A2942" t="str">
        <f>"20190304164910125"</f>
        <v>20190304164910125</v>
      </c>
      <c r="B2942" t="str">
        <f>"1551689350119223"</f>
        <v>1551689350119223</v>
      </c>
      <c r="C2942" t="s">
        <v>40</v>
      </c>
      <c r="D2942">
        <v>4.1141399999999999</v>
      </c>
      <c r="E2942">
        <v>0.48537340000000001</v>
      </c>
      <c r="F2942" t="s">
        <v>45</v>
      </c>
      <c r="G2942">
        <v>-472.43819999999999</v>
      </c>
      <c r="H2942" s="1">
        <v>5.3073120000000003E-6</v>
      </c>
      <c r="I2942">
        <v>282.03640000000001</v>
      </c>
      <c r="J2942">
        <v>-462.31079999999997</v>
      </c>
      <c r="K2942">
        <v>1.111869</v>
      </c>
      <c r="L2942">
        <v>285.37310000000002</v>
      </c>
      <c r="M2942">
        <v>-0.99990060000000003</v>
      </c>
      <c r="N2942">
        <v>-1.0185090000000001E-2</v>
      </c>
      <c r="O2942">
        <v>9.7639140000000003E-3</v>
      </c>
      <c r="P2942">
        <v>-0.8983392</v>
      </c>
      <c r="Q2942">
        <v>0.35266520000000001</v>
      </c>
      <c r="R2942">
        <v>-0.26194410000000001</v>
      </c>
      <c r="S2942">
        <v>-3.1783450000000002</v>
      </c>
      <c r="T2942">
        <v>-0.34040330000000002</v>
      </c>
      <c r="U2942">
        <v>-1.0213620000000001</v>
      </c>
      <c r="V2942">
        <v>-0.27192159999999999</v>
      </c>
      <c r="W2942">
        <v>0.36085489999999998</v>
      </c>
      <c r="X2942">
        <v>0.8921</v>
      </c>
      <c r="Y2942">
        <v>-0.313388</v>
      </c>
      <c r="Z2942">
        <v>-1.888718E-2</v>
      </c>
      <c r="AA2942">
        <v>0.94943730000000004</v>
      </c>
      <c r="AB2942">
        <v>26</v>
      </c>
      <c r="AC2942">
        <v>-10.1274</v>
      </c>
      <c r="AD2942">
        <v>-1.1118636926879999</v>
      </c>
      <c r="AE2942">
        <v>-3.3367</v>
      </c>
      <c r="AF2942">
        <v>-3.39847732238638</v>
      </c>
      <c r="AG2942">
        <v>-1.1118636926879999</v>
      </c>
      <c r="AH2942">
        <v>9.9857606683960398</v>
      </c>
      <c r="AI2942">
        <v>96.017193980948093</v>
      </c>
      <c r="AJ2942">
        <v>108.795100188818</v>
      </c>
      <c r="AK2942">
        <v>10.606663241018699</v>
      </c>
      <c r="AL2942">
        <v>68.847292643048903</v>
      </c>
      <c r="AM2942">
        <v>106.951780862031</v>
      </c>
      <c r="AN2942">
        <v>1.0000000127002799</v>
      </c>
    </row>
    <row r="2943" spans="1:40" x14ac:dyDescent="0.25">
      <c r="A2943" t="str">
        <f>"20190304164910147"</f>
        <v>20190304164910147</v>
      </c>
      <c r="B2943" t="str">
        <f>"1551689350138740"</f>
        <v>1551689350138740</v>
      </c>
      <c r="C2943" t="s">
        <v>40</v>
      </c>
      <c r="D2943">
        <v>4.0707490000000002</v>
      </c>
      <c r="E2943">
        <v>0.44909130000000003</v>
      </c>
      <c r="F2943" t="s">
        <v>45</v>
      </c>
      <c r="G2943">
        <v>-472.55579999999998</v>
      </c>
      <c r="H2943" s="1">
        <v>5.2550079999999999E-6</v>
      </c>
      <c r="I2943">
        <v>282.03440000000001</v>
      </c>
      <c r="J2943">
        <v>-462.57350000000002</v>
      </c>
      <c r="K2943">
        <v>1.1119969999999999</v>
      </c>
      <c r="L2943">
        <v>285.37329999999997</v>
      </c>
      <c r="M2943">
        <v>-0.99991989999999997</v>
      </c>
      <c r="N2943">
        <v>-1.016009E-2</v>
      </c>
      <c r="O2943">
        <v>7.5594809999999998E-3</v>
      </c>
      <c r="P2943">
        <v>-0.89753749999999999</v>
      </c>
      <c r="Q2943">
        <v>0.35241479999999997</v>
      </c>
      <c r="R2943">
        <v>-0.26501079999999999</v>
      </c>
      <c r="S2943">
        <v>-3.173187</v>
      </c>
      <c r="T2943">
        <v>-0.34437909999999999</v>
      </c>
      <c r="U2943">
        <v>-1.0340879999999999</v>
      </c>
      <c r="V2943">
        <v>-0.27312540000000002</v>
      </c>
      <c r="W2943">
        <v>0.36048580000000002</v>
      </c>
      <c r="X2943">
        <v>0.89188149999999999</v>
      </c>
      <c r="Y2943">
        <v>-0.3151467</v>
      </c>
      <c r="Z2943">
        <v>-1.8993610000000001E-2</v>
      </c>
      <c r="AA2943">
        <v>0.94885280000000005</v>
      </c>
      <c r="AB2943">
        <v>26</v>
      </c>
      <c r="AC2943">
        <v>-9.9822999999999507</v>
      </c>
      <c r="AD2943">
        <v>-1.11199174499199</v>
      </c>
      <c r="AE2943">
        <v>-3.3388999999999598</v>
      </c>
      <c r="AF2943">
        <v>-3.3765850174563701</v>
      </c>
      <c r="AG2943">
        <v>-1.11199174499199</v>
      </c>
      <c r="AH2943">
        <v>9.8468767675528905</v>
      </c>
      <c r="AI2943">
        <v>96.097351995905996</v>
      </c>
      <c r="AJ2943">
        <v>108.927315285676</v>
      </c>
      <c r="AK2943">
        <v>10.4689461788861</v>
      </c>
      <c r="AL2943">
        <v>68.869967518977106</v>
      </c>
      <c r="AM2943">
        <v>107.02642563277099</v>
      </c>
      <c r="AN2943">
        <v>1.0000000530845199</v>
      </c>
    </row>
    <row r="2944" spans="1:40" x14ac:dyDescent="0.25">
      <c r="A2944" t="str">
        <f>"20190304164910169"</f>
        <v>20190304164910169</v>
      </c>
      <c r="B2944" t="str">
        <f>"1551689350159236"</f>
        <v>1551689350159236</v>
      </c>
      <c r="C2944" t="s">
        <v>40</v>
      </c>
      <c r="D2944">
        <v>4.0667780000000002</v>
      </c>
      <c r="E2944">
        <v>0.44695119999999999</v>
      </c>
      <c r="F2944" t="s">
        <v>45</v>
      </c>
      <c r="G2944">
        <v>-476.02</v>
      </c>
      <c r="H2944">
        <v>7.6923759999999994E-2</v>
      </c>
      <c r="I2944">
        <v>279.58879999999999</v>
      </c>
      <c r="J2944">
        <v>-462.83609999999999</v>
      </c>
      <c r="K2944">
        <v>1.1121430000000001</v>
      </c>
      <c r="L2944">
        <v>285.37279999999998</v>
      </c>
      <c r="M2944">
        <v>-0.99993540000000003</v>
      </c>
      <c r="N2944">
        <v>-1.014002E-2</v>
      </c>
      <c r="O2944">
        <v>5.1459180000000002E-3</v>
      </c>
      <c r="P2944">
        <v>-0.89651550000000002</v>
      </c>
      <c r="Q2944">
        <v>0.35254799999999997</v>
      </c>
      <c r="R2944">
        <v>-0.26827319999999999</v>
      </c>
      <c r="S2944">
        <v>-3.0474549999999998</v>
      </c>
      <c r="T2944">
        <v>-0.23458399999999999</v>
      </c>
      <c r="U2944">
        <v>-1.3109740000000001</v>
      </c>
      <c r="V2944">
        <v>-0.2743468</v>
      </c>
      <c r="W2944">
        <v>0.36049730000000002</v>
      </c>
      <c r="X2944">
        <v>0.89150180000000001</v>
      </c>
      <c r="Y2944">
        <v>-0.3987386</v>
      </c>
      <c r="Z2944">
        <v>-1.7116050000000001E-2</v>
      </c>
      <c r="AA2944">
        <v>0.91690490000000002</v>
      </c>
      <c r="AB2944">
        <v>26</v>
      </c>
      <c r="AC2944">
        <v>-13.1838999999999</v>
      </c>
      <c r="AD2944">
        <v>-1.03521924</v>
      </c>
      <c r="AE2944">
        <v>-5.78399999999999</v>
      </c>
      <c r="AF2944">
        <v>-5.82166950209412</v>
      </c>
      <c r="AG2944">
        <v>-1.03521924</v>
      </c>
      <c r="AH2944">
        <v>13.086297833881799</v>
      </c>
      <c r="AI2944">
        <v>94.1340148719691</v>
      </c>
      <c r="AJ2944">
        <v>113.982730150536</v>
      </c>
      <c r="AK2944">
        <v>14.3601777726997</v>
      </c>
      <c r="AL2944">
        <v>68.869259163718397</v>
      </c>
      <c r="AM2944">
        <v>107.10499245506399</v>
      </c>
      <c r="AN2944">
        <v>0.99999996469038399</v>
      </c>
    </row>
    <row r="2945" spans="1:40" x14ac:dyDescent="0.25">
      <c r="A2945" t="str">
        <f>"20190304164910192"</f>
        <v>20190304164910192</v>
      </c>
      <c r="B2945" t="str">
        <f>"1551689350188519"</f>
        <v>1551689350188519</v>
      </c>
      <c r="C2945" t="s">
        <v>40</v>
      </c>
      <c r="D2945">
        <v>4.0675749999999997</v>
      </c>
      <c r="E2945">
        <v>0.44737850000000001</v>
      </c>
      <c r="F2945" t="s">
        <v>45</v>
      </c>
      <c r="G2945">
        <v>-476.6558</v>
      </c>
      <c r="H2945">
        <v>8.0000509999999997E-2</v>
      </c>
      <c r="I2945">
        <v>279.2876</v>
      </c>
      <c r="J2945">
        <v>-463.10149999999999</v>
      </c>
      <c r="K2945">
        <v>1.1122890000000001</v>
      </c>
      <c r="L2945">
        <v>285.37139999999999</v>
      </c>
      <c r="M2945">
        <v>-0.9999458</v>
      </c>
      <c r="N2945">
        <v>-1.012448E-2</v>
      </c>
      <c r="O2945">
        <v>2.511891E-3</v>
      </c>
      <c r="P2945">
        <v>-0.89551340000000001</v>
      </c>
      <c r="Q2945">
        <v>0.35232059999999998</v>
      </c>
      <c r="R2945">
        <v>-0.27189390000000002</v>
      </c>
      <c r="S2945">
        <v>-3.035431</v>
      </c>
      <c r="T2945">
        <v>-0.2267053</v>
      </c>
      <c r="U2945">
        <v>-1.336578</v>
      </c>
      <c r="V2945">
        <v>-0.27573520000000001</v>
      </c>
      <c r="W2945">
        <v>0.36014849999999998</v>
      </c>
      <c r="X2945">
        <v>0.89121439999999996</v>
      </c>
      <c r="Y2945">
        <v>-0.40419119999999997</v>
      </c>
      <c r="Z2945">
        <v>-1.6702310000000001E-2</v>
      </c>
      <c r="AA2945">
        <v>0.91452199999999995</v>
      </c>
      <c r="AB2945">
        <v>26</v>
      </c>
      <c r="AC2945">
        <v>-13.5543</v>
      </c>
      <c r="AD2945">
        <v>-1.03228848999999</v>
      </c>
      <c r="AE2945">
        <v>-6.0837999999999903</v>
      </c>
      <c r="AF2945">
        <v>-6.0884365086057199</v>
      </c>
      <c r="AG2945">
        <v>-1.03228848999999</v>
      </c>
      <c r="AH2945">
        <v>13.473926947508801</v>
      </c>
      <c r="AI2945">
        <v>93.993731121412907</v>
      </c>
      <c r="AJ2945">
        <v>114.316688380733</v>
      </c>
      <c r="AK2945">
        <v>14.821652608016199</v>
      </c>
      <c r="AL2945">
        <v>68.890683244541705</v>
      </c>
      <c r="AM2945">
        <v>107.191683980894</v>
      </c>
      <c r="AN2945">
        <v>0.999999974669324</v>
      </c>
    </row>
    <row r="2946" spans="1:40" x14ac:dyDescent="0.25">
      <c r="A2946" t="str">
        <f>"20190304164910217"</f>
        <v>20190304164910217</v>
      </c>
      <c r="B2946" t="str">
        <f>"1551689350208541"</f>
        <v>1551689350208541</v>
      </c>
      <c r="C2946" t="s">
        <v>40</v>
      </c>
      <c r="D2946">
        <v>4.0437649999999996</v>
      </c>
      <c r="E2946">
        <v>0.44758189999999998</v>
      </c>
      <c r="F2946" t="s">
        <v>45</v>
      </c>
      <c r="G2946">
        <v>-477.34570000000002</v>
      </c>
      <c r="H2946">
        <v>8.0000420000000003E-2</v>
      </c>
      <c r="I2946">
        <v>279.0453</v>
      </c>
      <c r="J2946">
        <v>-463.37860000000001</v>
      </c>
      <c r="K2946">
        <v>1.112444</v>
      </c>
      <c r="L2946">
        <v>285.36900000000003</v>
      </c>
      <c r="M2946">
        <v>-0.99994879999999997</v>
      </c>
      <c r="N2946">
        <v>-1.011693E-2</v>
      </c>
      <c r="O2946">
        <v>-4.3080970000000001E-4</v>
      </c>
      <c r="P2946">
        <v>-0.89401409999999903</v>
      </c>
      <c r="Q2946">
        <v>0.35272429999999999</v>
      </c>
      <c r="R2946">
        <v>-0.2762695</v>
      </c>
      <c r="S2946">
        <v>-3.028076</v>
      </c>
      <c r="T2946">
        <v>-0.219447</v>
      </c>
      <c r="U2946">
        <v>-1.3448180000000001</v>
      </c>
      <c r="V2946">
        <v>-0.27760800000000002</v>
      </c>
      <c r="W2946">
        <v>0.36043150000000002</v>
      </c>
      <c r="X2946">
        <v>0.89051840000000004</v>
      </c>
      <c r="Y2946">
        <v>-0.4044662</v>
      </c>
      <c r="Z2946">
        <v>-1.609588E-2</v>
      </c>
      <c r="AA2946">
        <v>0.91441130000000004</v>
      </c>
      <c r="AB2946">
        <v>26</v>
      </c>
      <c r="AC2946">
        <v>-13.9671</v>
      </c>
      <c r="AD2946">
        <v>-1.03244358</v>
      </c>
      <c r="AE2946">
        <v>-6.3237000000000299</v>
      </c>
      <c r="AF2946">
        <v>-6.2891632224457998</v>
      </c>
      <c r="AG2946">
        <v>-1.03244358</v>
      </c>
      <c r="AH2946">
        <v>13.906761814366501</v>
      </c>
      <c r="AI2946">
        <v>93.869857812319495</v>
      </c>
      <c r="AJ2946">
        <v>114.334280425077</v>
      </c>
      <c r="AK2946">
        <v>15.2976317757347</v>
      </c>
      <c r="AL2946">
        <v>68.873302705415796</v>
      </c>
      <c r="AM2946">
        <v>107.314215993612</v>
      </c>
      <c r="AN2946">
        <v>1.0000000442974</v>
      </c>
    </row>
    <row r="2947" spans="1:40" x14ac:dyDescent="0.25">
      <c r="A2947" t="str">
        <f>"20190304164910238"</f>
        <v>20190304164910238</v>
      </c>
      <c r="B2947" t="str">
        <f>"1551689350229038"</f>
        <v>1551689350229038</v>
      </c>
      <c r="C2947" t="s">
        <v>40</v>
      </c>
      <c r="D2947">
        <v>4.080711</v>
      </c>
      <c r="E2947">
        <v>0.4476694</v>
      </c>
      <c r="F2947" t="s">
        <v>41</v>
      </c>
      <c r="G2947">
        <v>-464.33580000000001</v>
      </c>
      <c r="H2947">
        <v>1.043884</v>
      </c>
      <c r="I2947">
        <v>284.93920000000003</v>
      </c>
      <c r="J2947">
        <v>-463.63600000000002</v>
      </c>
      <c r="K2947">
        <v>1.1125659999999999</v>
      </c>
      <c r="L2947">
        <v>285.36579999999998</v>
      </c>
      <c r="M2947">
        <v>-0.99994329999999998</v>
      </c>
      <c r="N2947">
        <v>-1.012246E-2</v>
      </c>
      <c r="O2947">
        <v>-3.3259489999999999E-3</v>
      </c>
      <c r="P2947">
        <v>-0.89245790000000003</v>
      </c>
      <c r="Q2947">
        <v>0.35325099999999998</v>
      </c>
      <c r="R2947">
        <v>-0.2805938</v>
      </c>
      <c r="S2947">
        <v>-3.0217589999999999</v>
      </c>
      <c r="T2947">
        <v>-0.2164382</v>
      </c>
      <c r="U2947">
        <v>-1.3568119999999999</v>
      </c>
      <c r="V2947">
        <v>-0.2794547</v>
      </c>
      <c r="W2947">
        <v>0.36086600000000002</v>
      </c>
      <c r="X2947">
        <v>0.88976449999999996</v>
      </c>
      <c r="Y2947">
        <v>-0.40557910000000003</v>
      </c>
      <c r="Z2947">
        <v>-1.5797829999999999E-2</v>
      </c>
      <c r="AA2947">
        <v>0.91392340000000005</v>
      </c>
      <c r="AB2947">
        <v>26</v>
      </c>
      <c r="AC2947">
        <v>-0.69980000000003795</v>
      </c>
      <c r="AD2947">
        <v>-6.8681999999999896E-2</v>
      </c>
      <c r="AE2947">
        <v>-0.42659999999995002</v>
      </c>
      <c r="AF2947">
        <v>-0.42131126924197698</v>
      </c>
      <c r="AG2947">
        <v>-6.8681999999999896E-2</v>
      </c>
      <c r="AH2947">
        <v>0.69632495346491396</v>
      </c>
      <c r="AI2947">
        <v>94.823773422630595</v>
      </c>
      <c r="AJ2947">
        <v>121.176026660031</v>
      </c>
      <c r="AK2947">
        <v>0.81675506948668497</v>
      </c>
      <c r="AL2947">
        <v>68.846611147609593</v>
      </c>
      <c r="AM2947">
        <v>107.436312262934</v>
      </c>
      <c r="AN2947">
        <v>1.00000003238416</v>
      </c>
    </row>
    <row r="2948" spans="1:40" x14ac:dyDescent="0.25">
      <c r="A2948" t="str">
        <f>"20190304164910259"</f>
        <v>20190304164910259</v>
      </c>
      <c r="B2948" t="str">
        <f>"1551689350248558"</f>
        <v>1551689350248558</v>
      </c>
      <c r="C2948" t="s">
        <v>40</v>
      </c>
      <c r="D2948">
        <v>4.0614460000000001</v>
      </c>
      <c r="E2948">
        <v>0.44737710000000003</v>
      </c>
      <c r="F2948" t="s">
        <v>41</v>
      </c>
      <c r="G2948">
        <v>-464.5813</v>
      </c>
      <c r="H2948">
        <v>1.0456970000000001</v>
      </c>
      <c r="I2948">
        <v>284.93650000000002</v>
      </c>
      <c r="J2948">
        <v>-463.89210000000003</v>
      </c>
      <c r="K2948">
        <v>1.1126590000000001</v>
      </c>
      <c r="L2948">
        <v>285.36169999999998</v>
      </c>
      <c r="M2948">
        <v>-0.9999287</v>
      </c>
      <c r="N2948">
        <v>-1.013473E-2</v>
      </c>
      <c r="O2948">
        <v>-6.3183270000000003E-3</v>
      </c>
      <c r="P2948">
        <v>-0.89065740000000004</v>
      </c>
      <c r="Q2948">
        <v>0.35417549999999998</v>
      </c>
      <c r="R2948">
        <v>-0.28511209999999998</v>
      </c>
      <c r="S2948">
        <v>-3.01532</v>
      </c>
      <c r="T2948">
        <v>-0.21328220000000001</v>
      </c>
      <c r="U2948">
        <v>-1.369659</v>
      </c>
      <c r="V2948">
        <v>-0.28139629999999999</v>
      </c>
      <c r="W2948">
        <v>0.36171880000000001</v>
      </c>
      <c r="X2948">
        <v>0.88880569999999903</v>
      </c>
      <c r="Y2948">
        <v>-0.40683370000000002</v>
      </c>
      <c r="Z2948">
        <v>-1.549553E-2</v>
      </c>
      <c r="AA2948">
        <v>0.91337080000000004</v>
      </c>
      <c r="AB2948">
        <v>27</v>
      </c>
      <c r="AC2948">
        <v>-0.68919999999997095</v>
      </c>
      <c r="AD2948">
        <v>-6.6962000000000105E-2</v>
      </c>
      <c r="AE2948">
        <v>-0.425199999999961</v>
      </c>
      <c r="AF2948">
        <v>-0.41797880931268</v>
      </c>
      <c r="AG2948">
        <v>-6.6962000000000105E-2</v>
      </c>
      <c r="AH2948">
        <v>0.68717444621377</v>
      </c>
      <c r="AI2948">
        <v>94.759124224923696</v>
      </c>
      <c r="AJ2948">
        <v>121.310359584632</v>
      </c>
      <c r="AK2948">
        <v>0.80709287817923803</v>
      </c>
      <c r="AL2948">
        <v>68.794208341234594</v>
      </c>
      <c r="AM2948">
        <v>107.56781145437699</v>
      </c>
      <c r="AN2948">
        <v>0.99999997013980901</v>
      </c>
    </row>
    <row r="2949" spans="1:40" x14ac:dyDescent="0.25">
      <c r="A2949" t="str">
        <f>"20190304164910281"</f>
        <v>20190304164910281</v>
      </c>
      <c r="B2949" t="str">
        <f>"1551689350278814"</f>
        <v>1551689350278814</v>
      </c>
      <c r="C2949" t="s">
        <v>40</v>
      </c>
      <c r="D2949">
        <v>4.0923809999999996</v>
      </c>
      <c r="E2949">
        <v>0.44687529999999998</v>
      </c>
      <c r="F2949" t="s">
        <v>41</v>
      </c>
      <c r="G2949">
        <v>-464.83839999999998</v>
      </c>
      <c r="H2949">
        <v>1.0455270000000001</v>
      </c>
      <c r="I2949">
        <v>284.92520000000002</v>
      </c>
      <c r="J2949">
        <v>-464.15379999999999</v>
      </c>
      <c r="K2949">
        <v>1.112733</v>
      </c>
      <c r="L2949">
        <v>285.35669999999999</v>
      </c>
      <c r="M2949">
        <v>-0.9999036</v>
      </c>
      <c r="N2949">
        <v>-1.0154939999999999E-2</v>
      </c>
      <c r="O2949">
        <v>-9.4734929999999995E-3</v>
      </c>
      <c r="P2949">
        <v>-0.88958019999999904</v>
      </c>
      <c r="Q2949">
        <v>0.35324719999999998</v>
      </c>
      <c r="R2949">
        <v>-0.28959190000000001</v>
      </c>
      <c r="S2949">
        <v>-3.0088810000000001</v>
      </c>
      <c r="T2949">
        <v>-0.21343110000000001</v>
      </c>
      <c r="U2949">
        <v>-1.3879090000000001</v>
      </c>
      <c r="V2949">
        <v>-0.2831283</v>
      </c>
      <c r="W2949">
        <v>0.36074719999999999</v>
      </c>
      <c r="X2949">
        <v>0.88865059999999996</v>
      </c>
      <c r="Y2949">
        <v>-0.40926190000000001</v>
      </c>
      <c r="Z2949">
        <v>-1.5434460000000001E-2</v>
      </c>
      <c r="AA2949">
        <v>0.91228640000000005</v>
      </c>
      <c r="AB2949">
        <v>27</v>
      </c>
      <c r="AC2949">
        <v>-0.684599999999989</v>
      </c>
      <c r="AD2949">
        <v>-6.7205999999999794E-2</v>
      </c>
      <c r="AE2949">
        <v>-0.43149999999997102</v>
      </c>
      <c r="AF2949">
        <v>-0.42208362856374398</v>
      </c>
      <c r="AG2949">
        <v>-6.7205999999999794E-2</v>
      </c>
      <c r="AH2949">
        <v>0.68394015070756997</v>
      </c>
      <c r="AI2949">
        <v>94.780014027777099</v>
      </c>
      <c r="AJ2949">
        <v>121.680201266732</v>
      </c>
      <c r="AK2949">
        <v>0.80650193160799699</v>
      </c>
      <c r="AL2949">
        <v>68.853909505593904</v>
      </c>
      <c r="AM2949">
        <v>107.6721258803</v>
      </c>
      <c r="AN2949">
        <v>1.00000003272454</v>
      </c>
    </row>
    <row r="2950" spans="1:40" x14ac:dyDescent="0.25">
      <c r="A2950" t="str">
        <f>"20190304164910304"</f>
        <v>20190304164910304</v>
      </c>
      <c r="B2950" t="str">
        <f>"1551689350299310"</f>
        <v>1551689350299310</v>
      </c>
      <c r="C2950" t="s">
        <v>40</v>
      </c>
      <c r="D2950">
        <v>4.1013739999999999</v>
      </c>
      <c r="E2950">
        <v>0.4465344</v>
      </c>
      <c r="F2950" t="s">
        <v>41</v>
      </c>
      <c r="G2950">
        <v>-465.10640000000001</v>
      </c>
      <c r="H2950">
        <v>1.0416829999999999</v>
      </c>
      <c r="I2950">
        <v>284.91059999999999</v>
      </c>
      <c r="J2950">
        <v>-464.42630000000003</v>
      </c>
      <c r="K2950">
        <v>1.112792</v>
      </c>
      <c r="L2950">
        <v>285.35050000000001</v>
      </c>
      <c r="M2950">
        <v>-0.99986569999999997</v>
      </c>
      <c r="N2950">
        <v>-1.0187420000000001E-2</v>
      </c>
      <c r="O2950">
        <v>-1.2846359999999999E-2</v>
      </c>
      <c r="P2950">
        <v>-0.88847449999999994</v>
      </c>
      <c r="Q2950">
        <v>0.35249839999999999</v>
      </c>
      <c r="R2950">
        <v>-0.29386790000000002</v>
      </c>
      <c r="S2950">
        <v>-3.0034179999999999</v>
      </c>
      <c r="T2950">
        <v>-0.2240251</v>
      </c>
      <c r="U2950">
        <v>-1.4067689999999999</v>
      </c>
      <c r="V2950">
        <v>-0.28445690000000001</v>
      </c>
      <c r="W2950">
        <v>0.35997590000000002</v>
      </c>
      <c r="X2950">
        <v>0.88853899999999997</v>
      </c>
      <c r="Y2950">
        <v>-0.41143279999999899</v>
      </c>
      <c r="Z2950">
        <v>-1.5984490000000001E-2</v>
      </c>
      <c r="AA2950">
        <v>0.91129990000000005</v>
      </c>
      <c r="AB2950">
        <v>27</v>
      </c>
      <c r="AC2950">
        <v>-0.68009999999998105</v>
      </c>
      <c r="AD2950">
        <v>-7.1109000000000006E-2</v>
      </c>
      <c r="AE2950">
        <v>-0.439900000000022</v>
      </c>
      <c r="AF2950">
        <v>-0.42782894336050498</v>
      </c>
      <c r="AG2950">
        <v>-7.1109000000000006E-2</v>
      </c>
      <c r="AH2950">
        <v>0.68045070657510798</v>
      </c>
      <c r="AI2950">
        <v>95.055739208083907</v>
      </c>
      <c r="AJ2950">
        <v>122.15936050258099</v>
      </c>
      <c r="AK2950">
        <v>0.80691217535524296</v>
      </c>
      <c r="AL2950">
        <v>68.901283269600498</v>
      </c>
      <c r="AM2950">
        <v>107.751949079166</v>
      </c>
      <c r="AN2950">
        <v>0.99999996552970905</v>
      </c>
    </row>
    <row r="2951" spans="1:40" x14ac:dyDescent="0.25">
      <c r="A2951" t="str">
        <f>"20190304164910326"</f>
        <v>20190304164910326</v>
      </c>
      <c r="B2951" t="str">
        <f>"1551689350319273"</f>
        <v>1551689350319273</v>
      </c>
      <c r="C2951" t="s">
        <v>40</v>
      </c>
      <c r="D2951">
        <v>4.1376679999999997</v>
      </c>
      <c r="E2951">
        <v>0.44627250000000002</v>
      </c>
      <c r="F2951" t="s">
        <v>45</v>
      </c>
      <c r="G2951">
        <v>-477.86509999999998</v>
      </c>
      <c r="H2951">
        <v>8.0000299999999996E-2</v>
      </c>
      <c r="I2951">
        <v>278.96850000000001</v>
      </c>
      <c r="J2951">
        <v>-464.68209999999999</v>
      </c>
      <c r="K2951">
        <v>1.1128549999999999</v>
      </c>
      <c r="L2951">
        <v>285.34379999999999</v>
      </c>
      <c r="M2951">
        <v>-0.99981830000000005</v>
      </c>
      <c r="N2951">
        <v>-1.022905E-2</v>
      </c>
      <c r="O2951">
        <v>-1.6083159999999999E-2</v>
      </c>
      <c r="P2951">
        <v>-0.88749460000000002</v>
      </c>
      <c r="Q2951">
        <v>0.35218680000000002</v>
      </c>
      <c r="R2951">
        <v>-0.29718290000000003</v>
      </c>
      <c r="S2951">
        <v>-2.9971619999999999</v>
      </c>
      <c r="T2951">
        <v>-0.23033699999999999</v>
      </c>
      <c r="U2951">
        <v>-1.42334</v>
      </c>
      <c r="V2951">
        <v>-0.2849449</v>
      </c>
      <c r="W2951">
        <v>0.35966049999999999</v>
      </c>
      <c r="X2951">
        <v>0.88851039999999903</v>
      </c>
      <c r="Y2951">
        <v>-0.41327649999999999</v>
      </c>
      <c r="Z2951">
        <v>-1.626435E-2</v>
      </c>
      <c r="AA2951">
        <v>0.91046039999999995</v>
      </c>
      <c r="AB2951">
        <v>27</v>
      </c>
      <c r="AC2951">
        <v>-13.1829999999999</v>
      </c>
      <c r="AD2951">
        <v>-1.0328546999999999</v>
      </c>
      <c r="AE2951">
        <v>-6.3752999999999798</v>
      </c>
      <c r="AF2951">
        <v>-6.13193440188547</v>
      </c>
      <c r="AG2951">
        <v>-1.0328546999999999</v>
      </c>
      <c r="AH2951">
        <v>13.218076953113901</v>
      </c>
      <c r="AI2951">
        <v>94.054548352108696</v>
      </c>
      <c r="AJ2951">
        <v>114.88682974364799</v>
      </c>
      <c r="AK2951">
        <v>14.607702306618201</v>
      </c>
      <c r="AL2951">
        <v>68.920652388744202</v>
      </c>
      <c r="AM2951">
        <v>107.781023273908</v>
      </c>
      <c r="AN2951">
        <v>1.0000000011022001</v>
      </c>
    </row>
    <row r="2952" spans="1:40" x14ac:dyDescent="0.25">
      <c r="A2952" t="str">
        <f>"20190304164910348"</f>
        <v>20190304164910348</v>
      </c>
      <c r="B2952" t="str">
        <f>"1551689350338790"</f>
        <v>1551689350338790</v>
      </c>
      <c r="C2952" t="s">
        <v>40</v>
      </c>
      <c r="D2952">
        <v>4.1228870000000004</v>
      </c>
      <c r="E2952">
        <v>0.44602730000000002</v>
      </c>
      <c r="F2952" t="s">
        <v>45</v>
      </c>
      <c r="G2952">
        <v>-477.8227</v>
      </c>
      <c r="H2952">
        <v>8.0000280000000007E-2</v>
      </c>
      <c r="I2952">
        <v>279.03160000000003</v>
      </c>
      <c r="J2952">
        <v>-464.94659999999999</v>
      </c>
      <c r="K2952">
        <v>1.1129209999999901</v>
      </c>
      <c r="L2952">
        <v>285.33589999999998</v>
      </c>
      <c r="M2952">
        <v>-0.99975720000000001</v>
      </c>
      <c r="N2952">
        <v>-1.028249E-2</v>
      </c>
      <c r="O2952">
        <v>-1.949741E-2</v>
      </c>
      <c r="P2952">
        <v>-0.88638249999999996</v>
      </c>
      <c r="Q2952">
        <v>0.3524158</v>
      </c>
      <c r="R2952">
        <v>-0.30021619999999999</v>
      </c>
      <c r="S2952">
        <v>-2.99234</v>
      </c>
      <c r="T2952">
        <v>-0.2351984</v>
      </c>
      <c r="U2952">
        <v>-1.437378</v>
      </c>
      <c r="V2952">
        <v>-0.28500370000000003</v>
      </c>
      <c r="W2952">
        <v>0.35989490000000002</v>
      </c>
      <c r="X2952">
        <v>0.88839659999999998</v>
      </c>
      <c r="Y2952">
        <v>-0.41417209999999899</v>
      </c>
      <c r="Z2952">
        <v>-1.6396210000000001E-2</v>
      </c>
      <c r="AA2952">
        <v>0.9100509</v>
      </c>
      <c r="AB2952">
        <v>27</v>
      </c>
      <c r="AC2952">
        <v>-12.876099999999999</v>
      </c>
      <c r="AD2952">
        <v>-1.0329207199999999</v>
      </c>
      <c r="AE2952">
        <v>-6.3042999999999498</v>
      </c>
      <c r="AF2952">
        <v>-6.0207844329475</v>
      </c>
      <c r="AG2952">
        <v>-1.0329207199999999</v>
      </c>
      <c r="AH2952">
        <v>12.9294607271373</v>
      </c>
      <c r="AI2952">
        <v>94.142231657716806</v>
      </c>
      <c r="AJ2952">
        <v>114.969700556261</v>
      </c>
      <c r="AK2952">
        <v>14.2999204576954</v>
      </c>
      <c r="AL2952">
        <v>68.906258019502701</v>
      </c>
      <c r="AM2952">
        <v>107.786595892901</v>
      </c>
      <c r="AN2952">
        <v>0.99999998347562902</v>
      </c>
    </row>
    <row r="2953" spans="1:40" x14ac:dyDescent="0.25">
      <c r="A2953" t="str">
        <f>"20190304164910371"</f>
        <v>20190304164910371</v>
      </c>
      <c r="B2953" t="str">
        <f>"1551689350369047"</f>
        <v>1551689350369047</v>
      </c>
      <c r="C2953" t="s">
        <v>40</v>
      </c>
      <c r="D2953">
        <v>4.3437489999999999</v>
      </c>
      <c r="E2953">
        <v>0.4457991</v>
      </c>
      <c r="F2953" t="s">
        <v>45</v>
      </c>
      <c r="G2953">
        <v>-477.95769999999999</v>
      </c>
      <c r="H2953">
        <v>8.0000230000000006E-2</v>
      </c>
      <c r="I2953">
        <v>279.02030000000002</v>
      </c>
      <c r="J2953">
        <v>-465.214</v>
      </c>
      <c r="K2953">
        <v>1.1129899999999999</v>
      </c>
      <c r="L2953">
        <v>285.32690000000002</v>
      </c>
      <c r="M2953">
        <v>-0.99968170000000001</v>
      </c>
      <c r="N2953">
        <v>-1.034619E-2</v>
      </c>
      <c r="O2953">
        <v>-2.3013970000000002E-2</v>
      </c>
      <c r="P2953">
        <v>-0.88482709999999998</v>
      </c>
      <c r="Q2953">
        <v>0.35259980000000002</v>
      </c>
      <c r="R2953">
        <v>-0.30455680000000002</v>
      </c>
      <c r="S2953">
        <v>-2.9877009999999999</v>
      </c>
      <c r="T2953">
        <v>-0.23718539999999999</v>
      </c>
      <c r="U2953">
        <v>-1.450226</v>
      </c>
      <c r="V2953">
        <v>-0.28629460000000001</v>
      </c>
      <c r="W2953">
        <v>0.36008089999999998</v>
      </c>
      <c r="X2953">
        <v>0.88790599999999997</v>
      </c>
      <c r="Y2953">
        <v>-0.41468169999999999</v>
      </c>
      <c r="Z2953">
        <v>-1.6331169999999999E-2</v>
      </c>
      <c r="AA2953">
        <v>0.90981999999999996</v>
      </c>
      <c r="AB2953">
        <v>27</v>
      </c>
      <c r="AC2953">
        <v>-12.743699999999899</v>
      </c>
      <c r="AD2953">
        <v>-1.0329897699999999</v>
      </c>
      <c r="AE2953">
        <v>-6.3066000000000004</v>
      </c>
      <c r="AF2953">
        <v>-5.9800682402968803</v>
      </c>
      <c r="AG2953">
        <v>-1.0329897699999999</v>
      </c>
      <c r="AH2953">
        <v>12.817820368514299</v>
      </c>
      <c r="AI2953">
        <v>94.177059016667599</v>
      </c>
      <c r="AJ2953">
        <v>115.011088967644</v>
      </c>
      <c r="AK2953">
        <v>14.1818476589981</v>
      </c>
      <c r="AL2953">
        <v>68.894834634487097</v>
      </c>
      <c r="AM2953">
        <v>107.871291593661</v>
      </c>
      <c r="AN2953">
        <v>0.99999995868498404</v>
      </c>
    </row>
    <row r="2954" spans="1:40" x14ac:dyDescent="0.25">
      <c r="A2954" t="str">
        <f>"20190304164910394"</f>
        <v>20190304164910394</v>
      </c>
      <c r="B2954" t="str">
        <f>"1551689350388570"</f>
        <v>1551689350388570</v>
      </c>
      <c r="C2954" t="s">
        <v>40</v>
      </c>
      <c r="D2954">
        <v>4.1378029999999999</v>
      </c>
      <c r="E2954">
        <v>0.44563930000000002</v>
      </c>
      <c r="F2954" t="s">
        <v>45</v>
      </c>
      <c r="G2954">
        <v>-478.1053</v>
      </c>
      <c r="H2954">
        <v>8.0000189999999999E-2</v>
      </c>
      <c r="I2954">
        <v>278.98169999999999</v>
      </c>
      <c r="J2954">
        <v>-465.48739999999998</v>
      </c>
      <c r="K2954">
        <v>1.1130690000000001</v>
      </c>
      <c r="L2954">
        <v>285.31670000000003</v>
      </c>
      <c r="M2954">
        <v>-0.99958990000000003</v>
      </c>
      <c r="N2954">
        <v>-1.041574E-2</v>
      </c>
      <c r="O2954">
        <v>-2.6680240000000001E-2</v>
      </c>
      <c r="P2954">
        <v>-0.88298549999999998</v>
      </c>
      <c r="Q2954">
        <v>0.35292570000000001</v>
      </c>
      <c r="R2954">
        <v>-0.30948389999999998</v>
      </c>
      <c r="S2954">
        <v>-2.9807130000000002</v>
      </c>
      <c r="T2954">
        <v>-0.23884620000000001</v>
      </c>
      <c r="U2954">
        <v>-1.467133</v>
      </c>
      <c r="V2954">
        <v>-0.28805500000000001</v>
      </c>
      <c r="W2954">
        <v>0.36040699999999998</v>
      </c>
      <c r="X2954">
        <v>0.88720409999999905</v>
      </c>
      <c r="Y2954">
        <v>-0.41633140000000002</v>
      </c>
      <c r="Z2954">
        <v>-1.6291199999999999E-2</v>
      </c>
      <c r="AA2954">
        <v>0.90906699999999996</v>
      </c>
      <c r="AB2954">
        <v>27</v>
      </c>
      <c r="AC2954">
        <v>-12.617900000000001</v>
      </c>
      <c r="AD2954">
        <v>-1.0330688100000001</v>
      </c>
      <c r="AE2954">
        <v>-6.3350000000000302</v>
      </c>
      <c r="AF2954">
        <v>-5.9641473911971197</v>
      </c>
      <c r="AG2954">
        <v>-1.0330688100000001</v>
      </c>
      <c r="AH2954">
        <v>12.7143670082204</v>
      </c>
      <c r="AI2954">
        <v>94.207150775404898</v>
      </c>
      <c r="AJ2954">
        <v>115.130674672301</v>
      </c>
      <c r="AK2954">
        <v>14.0816694212669</v>
      </c>
      <c r="AL2954">
        <v>68.874806655597496</v>
      </c>
      <c r="AM2954">
        <v>107.98743518283101</v>
      </c>
      <c r="AN2954">
        <v>1.0000000018654001</v>
      </c>
    </row>
    <row r="2955" spans="1:40" x14ac:dyDescent="0.25">
      <c r="A2955" t="str">
        <f>"20190304164910416"</f>
        <v>20190304164910416</v>
      </c>
      <c r="B2955" t="str">
        <f>"1551689350409063"</f>
        <v>1551689350409063</v>
      </c>
      <c r="C2955" t="s">
        <v>40</v>
      </c>
      <c r="D2955">
        <v>4.1227970000000003</v>
      </c>
      <c r="E2955">
        <v>0.44531720000000002</v>
      </c>
      <c r="F2955" t="s">
        <v>45</v>
      </c>
      <c r="G2955">
        <v>-478.3537</v>
      </c>
      <c r="H2955">
        <v>8.0000119999999994E-2</v>
      </c>
      <c r="I2955">
        <v>278.89229999999998</v>
      </c>
      <c r="J2955">
        <v>-465.74669999999998</v>
      </c>
      <c r="K2955">
        <v>1.113138</v>
      </c>
      <c r="L2955">
        <v>285.30590000000001</v>
      </c>
      <c r="M2955">
        <v>-0.99948809999999999</v>
      </c>
      <c r="N2955">
        <v>-1.0484439999999999E-2</v>
      </c>
      <c r="O2955">
        <v>-3.0228620000000001E-2</v>
      </c>
      <c r="P2955">
        <v>-0.88116519999999998</v>
      </c>
      <c r="Q2955">
        <v>0.35323480000000002</v>
      </c>
      <c r="R2955">
        <v>-0.31428240000000002</v>
      </c>
      <c r="S2955">
        <v>-2.9727480000000002</v>
      </c>
      <c r="T2955">
        <v>-0.2386895</v>
      </c>
      <c r="U2955">
        <v>-1.4843440000000001</v>
      </c>
      <c r="V2955">
        <v>-0.28979369999999999</v>
      </c>
      <c r="W2955">
        <v>0.36071920000000002</v>
      </c>
      <c r="X2955">
        <v>0.88651069999999998</v>
      </c>
      <c r="Y2955">
        <v>-0.41829169999999999</v>
      </c>
      <c r="Z2955">
        <v>-1.617062E-2</v>
      </c>
      <c r="AA2955">
        <v>0.90816889999999995</v>
      </c>
      <c r="AB2955">
        <v>27</v>
      </c>
      <c r="AC2955">
        <v>-12.606999999999999</v>
      </c>
      <c r="AD2955">
        <v>-1.03313788</v>
      </c>
      <c r="AE2955">
        <v>-6.4136000000000299</v>
      </c>
      <c r="AF2955">
        <v>-5.9975587280182001</v>
      </c>
      <c r="AG2955">
        <v>-1.03313788</v>
      </c>
      <c r="AH2955">
        <v>12.7272235015056</v>
      </c>
      <c r="AI2955">
        <v>94.199728246305199</v>
      </c>
      <c r="AJ2955">
        <v>115.231622281829</v>
      </c>
      <c r="AK2955">
        <v>14.1074555690385</v>
      </c>
      <c r="AL2955">
        <v>68.855628335342004</v>
      </c>
      <c r="AM2955">
        <v>108.102180313817</v>
      </c>
      <c r="AN2955">
        <v>0.99999997551140896</v>
      </c>
    </row>
    <row r="2956" spans="1:40" x14ac:dyDescent="0.25">
      <c r="A2956" t="str">
        <f>"20190304164910439"</f>
        <v>20190304164910439</v>
      </c>
      <c r="B2956" t="str">
        <f>"1551689350428583"</f>
        <v>1551689350428583</v>
      </c>
      <c r="C2956" t="s">
        <v>40</v>
      </c>
      <c r="D2956">
        <v>4.1757140000000001</v>
      </c>
      <c r="E2956">
        <v>0.44532040000000001</v>
      </c>
      <c r="F2956" t="s">
        <v>41</v>
      </c>
      <c r="G2956">
        <v>-466.68579999999997</v>
      </c>
      <c r="H2956">
        <v>1.037223</v>
      </c>
      <c r="I2956">
        <v>284.82979999999998</v>
      </c>
      <c r="J2956">
        <v>-466.01429999999999</v>
      </c>
      <c r="K2956">
        <v>1.1132029999999999</v>
      </c>
      <c r="L2956">
        <v>285.2937</v>
      </c>
      <c r="M2956">
        <v>-0.99936729999999996</v>
      </c>
      <c r="N2956">
        <v>-1.056089E-2</v>
      </c>
      <c r="O2956">
        <v>-3.3964540000000001E-2</v>
      </c>
      <c r="P2956">
        <v>-0.87966309999999903</v>
      </c>
      <c r="Q2956">
        <v>0.35308050000000002</v>
      </c>
      <c r="R2956">
        <v>-0.318633</v>
      </c>
      <c r="S2956">
        <v>-2.9647519999999998</v>
      </c>
      <c r="T2956">
        <v>-0.2396903</v>
      </c>
      <c r="U2956">
        <v>-1.5026250000000001</v>
      </c>
      <c r="V2956">
        <v>-0.29091</v>
      </c>
      <c r="W2956">
        <v>0.36058489999999999</v>
      </c>
      <c r="X2956">
        <v>0.88619969999999904</v>
      </c>
      <c r="Y2956">
        <v>-0.42033110000000001</v>
      </c>
      <c r="Z2956">
        <v>-1.6107429999999999E-2</v>
      </c>
      <c r="AA2956">
        <v>0.90722780000000003</v>
      </c>
      <c r="AB2956">
        <v>27</v>
      </c>
      <c r="AC2956">
        <v>-0.67149999999998</v>
      </c>
      <c r="AD2956">
        <v>-7.5980000000000103E-2</v>
      </c>
      <c r="AE2956">
        <v>-0.46390000000002302</v>
      </c>
      <c r="AF2956">
        <v>-0.43703623759148102</v>
      </c>
      <c r="AG2956">
        <v>-7.5980000000000103E-2</v>
      </c>
      <c r="AH2956">
        <v>0.68096787466229003</v>
      </c>
      <c r="AI2956">
        <v>95.364425253682896</v>
      </c>
      <c r="AJ2956">
        <v>122.69181457254101</v>
      </c>
      <c r="AK2956">
        <v>0.81270589987411401</v>
      </c>
      <c r="AL2956">
        <v>68.863878997696105</v>
      </c>
      <c r="AM2956">
        <v>108.17329457127001</v>
      </c>
      <c r="AN2956">
        <v>1.0000000032440499</v>
      </c>
    </row>
    <row r="2957" spans="1:40" x14ac:dyDescent="0.25">
      <c r="A2957" t="str">
        <f>"20190304164910460"</f>
        <v>20190304164910460</v>
      </c>
      <c r="B2957" t="str">
        <f>"1551689350449079"</f>
        <v>1551689350449079</v>
      </c>
      <c r="C2957" t="s">
        <v>40</v>
      </c>
      <c r="D2957">
        <v>4.1662269999999904</v>
      </c>
      <c r="E2957">
        <v>0.44507459999999999</v>
      </c>
      <c r="F2957" t="s">
        <v>41</v>
      </c>
      <c r="G2957">
        <v>-466.92439999999999</v>
      </c>
      <c r="H2957">
        <v>1.0393889999999999</v>
      </c>
      <c r="I2957">
        <v>284.82670000000002</v>
      </c>
      <c r="J2957">
        <v>-466.2704</v>
      </c>
      <c r="K2957">
        <v>1.113254</v>
      </c>
      <c r="L2957">
        <v>285.28100000000001</v>
      </c>
      <c r="M2957">
        <v>-0.99923649999999997</v>
      </c>
      <c r="N2957">
        <v>-1.063382E-2</v>
      </c>
      <c r="O2957">
        <v>-3.7595070000000001E-2</v>
      </c>
      <c r="P2957">
        <v>-0.878188999999999</v>
      </c>
      <c r="Q2957">
        <v>0.35329870000000002</v>
      </c>
      <c r="R2957">
        <v>-0.3224342</v>
      </c>
      <c r="S2957">
        <v>-2.9568789999999998</v>
      </c>
      <c r="T2957">
        <v>-0.2397869</v>
      </c>
      <c r="U2957">
        <v>-1.517792</v>
      </c>
      <c r="V2957">
        <v>-0.29156779999999999</v>
      </c>
      <c r="W2957">
        <v>0.36082989999999998</v>
      </c>
      <c r="X2957">
        <v>0.88588369999999905</v>
      </c>
      <c r="Y2957">
        <v>-0.4216994</v>
      </c>
      <c r="Z2957">
        <v>-1.5971840000000001E-2</v>
      </c>
      <c r="AA2957">
        <v>0.90659500000000004</v>
      </c>
      <c r="AB2957">
        <v>27</v>
      </c>
      <c r="AC2957">
        <v>-0.65399999999999603</v>
      </c>
      <c r="AD2957">
        <v>-7.3865000000000194E-2</v>
      </c>
      <c r="AE2957">
        <v>-0.45429999999998899</v>
      </c>
      <c r="AF2957">
        <v>-0.42572714062963801</v>
      </c>
      <c r="AG2957">
        <v>-7.3865000000000194E-2</v>
      </c>
      <c r="AH2957">
        <v>0.66489702454491295</v>
      </c>
      <c r="AI2957">
        <v>95.344897668846897</v>
      </c>
      <c r="AJ2957">
        <v>122.631042839491</v>
      </c>
      <c r="AK2957">
        <v>0.79296134189654399</v>
      </c>
      <c r="AL2957">
        <v>68.848827441765593</v>
      </c>
      <c r="AM2957">
        <v>108.217745232146</v>
      </c>
      <c r="AN2957">
        <v>0.99999996432826899</v>
      </c>
    </row>
    <row r="2958" spans="1:40" x14ac:dyDescent="0.25">
      <c r="A2958" t="str">
        <f>"20190304164910483"</f>
        <v>20190304164910483</v>
      </c>
      <c r="B2958" t="str">
        <f>"1551689350478359"</f>
        <v>1551689350478359</v>
      </c>
      <c r="C2958" t="s">
        <v>40</v>
      </c>
      <c r="D2958">
        <v>4.1931079999999996</v>
      </c>
      <c r="E2958">
        <v>0.45478740000000001</v>
      </c>
      <c r="F2958" t="s">
        <v>41</v>
      </c>
      <c r="G2958">
        <v>-467.1628</v>
      </c>
      <c r="H2958">
        <v>1.0403070000000001</v>
      </c>
      <c r="I2958">
        <v>284.8175</v>
      </c>
      <c r="J2958">
        <v>-466.54300000000001</v>
      </c>
      <c r="K2958">
        <v>1.1133010000000001</v>
      </c>
      <c r="L2958">
        <v>285.26639999999998</v>
      </c>
      <c r="M2958">
        <v>-0.99908050000000004</v>
      </c>
      <c r="N2958">
        <v>-1.0707599999999999E-2</v>
      </c>
      <c r="O2958">
        <v>-4.1515709999999997E-2</v>
      </c>
      <c r="P2958">
        <v>-0.87700489999999998</v>
      </c>
      <c r="Q2958">
        <v>0.3529158</v>
      </c>
      <c r="R2958">
        <v>-0.32605699999999999</v>
      </c>
      <c r="S2958">
        <v>-2.9505309999999998</v>
      </c>
      <c r="T2958">
        <v>-0.24119950000000001</v>
      </c>
      <c r="U2958">
        <v>-1.53244</v>
      </c>
      <c r="V2958">
        <v>-0.29177560000000002</v>
      </c>
      <c r="W2958">
        <v>0.36048439999999998</v>
      </c>
      <c r="X2958">
        <v>0.88595599999999997</v>
      </c>
      <c r="Y2958">
        <v>-0.42247770000000001</v>
      </c>
      <c r="Z2958">
        <v>-1.5856769999999999E-2</v>
      </c>
      <c r="AA2958">
        <v>0.9062346</v>
      </c>
      <c r="AB2958">
        <v>27</v>
      </c>
      <c r="AC2958">
        <v>-0.61979999999999702</v>
      </c>
      <c r="AD2958">
        <v>-7.2994000000000198E-2</v>
      </c>
      <c r="AE2958">
        <v>-0.44889999999997998</v>
      </c>
      <c r="AF2958">
        <v>-0.41896842258717698</v>
      </c>
      <c r="AG2958">
        <v>-7.2994000000000198E-2</v>
      </c>
      <c r="AH2958">
        <v>0.63215198959907104</v>
      </c>
      <c r="AI2958">
        <v>95.497727981364093</v>
      </c>
      <c r="AJ2958">
        <v>123.535037165144</v>
      </c>
      <c r="AK2958">
        <v>0.76189159407047602</v>
      </c>
      <c r="AL2958">
        <v>68.870052752909402</v>
      </c>
      <c r="AM2958">
        <v>108.228481281044</v>
      </c>
      <c r="AN2958">
        <v>1.0000000186673501</v>
      </c>
    </row>
    <row r="2959" spans="1:40" x14ac:dyDescent="0.25">
      <c r="A2959" t="str">
        <f>"20190304164910505"</f>
        <v>20190304164910505</v>
      </c>
      <c r="B2959" t="str">
        <f>"1551689350498858"</f>
        <v>1551689350498858</v>
      </c>
      <c r="C2959" t="s">
        <v>40</v>
      </c>
      <c r="D2959">
        <v>4.2044930000000003</v>
      </c>
      <c r="E2959">
        <v>0.45704099999999998</v>
      </c>
      <c r="F2959" t="s">
        <v>45</v>
      </c>
      <c r="G2959">
        <v>-477.09570000000002</v>
      </c>
      <c r="H2959" s="1">
        <v>3.0683770000000001E-6</v>
      </c>
      <c r="I2959">
        <v>280.05110000000002</v>
      </c>
      <c r="J2959">
        <v>-466.80689999999998</v>
      </c>
      <c r="K2959">
        <v>1.1133439999999999</v>
      </c>
      <c r="L2959">
        <v>285.25130000000001</v>
      </c>
      <c r="M2959">
        <v>-0.99891220000000003</v>
      </c>
      <c r="N2959">
        <v>-1.078074E-2</v>
      </c>
      <c r="O2959">
        <v>-4.5370269999999997E-2</v>
      </c>
      <c r="P2959">
        <v>-0.87560339999999903</v>
      </c>
      <c r="Q2959">
        <v>0.35304069999999999</v>
      </c>
      <c r="R2959">
        <v>-0.32966820000000002</v>
      </c>
      <c r="S2959">
        <v>-2.9972530000000002</v>
      </c>
      <c r="T2959">
        <v>-0.31620679999999901</v>
      </c>
      <c r="U2959">
        <v>-1.481293</v>
      </c>
      <c r="V2959">
        <v>-0.29204560000000002</v>
      </c>
      <c r="W2959">
        <v>0.36064489999999999</v>
      </c>
      <c r="X2959">
        <v>0.88580170000000003</v>
      </c>
      <c r="Y2959">
        <v>-0.40009810000000001</v>
      </c>
      <c r="Z2959">
        <v>-1.8147429999999999E-2</v>
      </c>
      <c r="AA2959">
        <v>0.91629269999999996</v>
      </c>
      <c r="AB2959">
        <v>27</v>
      </c>
      <c r="AC2959">
        <v>-10.2888</v>
      </c>
      <c r="AD2959">
        <v>-1.1133409316230001</v>
      </c>
      <c r="AE2959">
        <v>-5.2001999999999899</v>
      </c>
      <c r="AF2959">
        <v>-4.6843225938229196</v>
      </c>
      <c r="AG2959">
        <v>-1.1133409316230001</v>
      </c>
      <c r="AH2959">
        <v>10.4169960611781</v>
      </c>
      <c r="AI2959">
        <v>95.567340623545704</v>
      </c>
      <c r="AJ2959">
        <v>114.21253209118601</v>
      </c>
      <c r="AK2959">
        <v>11.4758970512822</v>
      </c>
      <c r="AL2959">
        <v>68.860193494373505</v>
      </c>
      <c r="AM2959">
        <v>108.247199966026</v>
      </c>
      <c r="AN2959">
        <v>1.0000000140491301</v>
      </c>
    </row>
    <row r="2960" spans="1:40" x14ac:dyDescent="0.25">
      <c r="A2960" t="str">
        <f>"20190304164910528"</f>
        <v>20190304164910528</v>
      </c>
      <c r="B2960" t="str">
        <f>"1551689350518375"</f>
        <v>1551689350518375</v>
      </c>
      <c r="C2960" t="s">
        <v>40</v>
      </c>
      <c r="D2960">
        <v>4.1985080000000004</v>
      </c>
      <c r="E2960">
        <v>0.457814</v>
      </c>
      <c r="F2960" t="s">
        <v>45</v>
      </c>
      <c r="G2960">
        <v>-477.22910000000002</v>
      </c>
      <c r="H2960" s="1">
        <v>3.0150890000000001E-6</v>
      </c>
      <c r="I2960">
        <v>280.11860000000001</v>
      </c>
      <c r="J2960">
        <v>-467.0677</v>
      </c>
      <c r="K2960">
        <v>1.113391</v>
      </c>
      <c r="L2960">
        <v>285.2353</v>
      </c>
      <c r="M2960">
        <v>-0.99872839999999996</v>
      </c>
      <c r="N2960">
        <v>-1.085584E-2</v>
      </c>
      <c r="O2960">
        <v>-4.9234710000000001E-2</v>
      </c>
      <c r="P2960">
        <v>-0.87451029999999996</v>
      </c>
      <c r="Q2960">
        <v>0.352966</v>
      </c>
      <c r="R2960">
        <v>-0.33263680000000001</v>
      </c>
      <c r="S2960">
        <v>-2.9992369999999999</v>
      </c>
      <c r="T2960">
        <v>-0.32039079999999998</v>
      </c>
      <c r="U2960">
        <v>-1.4770509999999999</v>
      </c>
      <c r="V2960">
        <v>-0.29165580000000002</v>
      </c>
      <c r="W2960">
        <v>0.36061199999999999</v>
      </c>
      <c r="X2960">
        <v>0.88594349999999999</v>
      </c>
      <c r="Y2960">
        <v>-0.39526</v>
      </c>
      <c r="Z2960">
        <v>-1.7745540000000001E-2</v>
      </c>
      <c r="AA2960">
        <v>0.91839780000000004</v>
      </c>
      <c r="AB2960">
        <v>27</v>
      </c>
      <c r="AC2960">
        <v>-10.1614</v>
      </c>
      <c r="AD2960">
        <v>-1.113387984911</v>
      </c>
      <c r="AE2960">
        <v>-5.1166999999999803</v>
      </c>
      <c r="AF2960">
        <v>-4.5664368677813902</v>
      </c>
      <c r="AG2960">
        <v>-1.113387984911</v>
      </c>
      <c r="AH2960">
        <v>10.302340757810899</v>
      </c>
      <c r="AI2960">
        <v>95.642560561473701</v>
      </c>
      <c r="AJ2960">
        <v>113.90496379397899</v>
      </c>
      <c r="AK2960">
        <v>11.323877585104301</v>
      </c>
      <c r="AL2960">
        <v>68.862214269984904</v>
      </c>
      <c r="AM2960">
        <v>108.22173159166999</v>
      </c>
      <c r="AN2960">
        <v>1.00000000270494</v>
      </c>
    </row>
    <row r="2961" spans="1:40" x14ac:dyDescent="0.25">
      <c r="A2961" t="str">
        <f>"20190304164910550"</f>
        <v>20190304164910550</v>
      </c>
      <c r="B2961" t="str">
        <f>"1551689350538871"</f>
        <v>1551689350538871</v>
      </c>
      <c r="C2961" t="s">
        <v>40</v>
      </c>
      <c r="D2961">
        <v>4.2129009999999996</v>
      </c>
      <c r="E2961">
        <v>0.45815159999999999</v>
      </c>
      <c r="F2961" t="s">
        <v>45</v>
      </c>
      <c r="G2961">
        <v>-477.41719999999998</v>
      </c>
      <c r="H2961" s="1">
        <v>2.9316999999999998E-6</v>
      </c>
      <c r="I2961">
        <v>280.11880000000002</v>
      </c>
      <c r="J2961">
        <v>-467.33659999999998</v>
      </c>
      <c r="K2961">
        <v>1.113437</v>
      </c>
      <c r="L2961">
        <v>285.2176</v>
      </c>
      <c r="M2961">
        <v>-0.99851920000000005</v>
      </c>
      <c r="N2961">
        <v>-1.093419E-2</v>
      </c>
      <c r="O2961">
        <v>-5.328869E-2</v>
      </c>
      <c r="P2961">
        <v>-0.87354219999999905</v>
      </c>
      <c r="Q2961">
        <v>0.3526994</v>
      </c>
      <c r="R2961">
        <v>-0.33545049999999998</v>
      </c>
      <c r="S2961">
        <v>-2.9970400000000001</v>
      </c>
      <c r="T2961">
        <v>-0.32241639999999999</v>
      </c>
      <c r="U2961">
        <v>-1.4816279999999999</v>
      </c>
      <c r="V2961">
        <v>-0.29094560000000003</v>
      </c>
      <c r="W2961">
        <v>0.36038829999999999</v>
      </c>
      <c r="X2961">
        <v>0.88626799999999994</v>
      </c>
      <c r="Y2961">
        <v>-0.39293119999999998</v>
      </c>
      <c r="Z2961">
        <v>-1.7367629999999998E-2</v>
      </c>
      <c r="AA2961">
        <v>0.91940390000000005</v>
      </c>
      <c r="AB2961">
        <v>27</v>
      </c>
      <c r="AC2961">
        <v>-10.0806</v>
      </c>
      <c r="AD2961">
        <v>-1.1134340682999999</v>
      </c>
      <c r="AE2961">
        <v>-5.0987999999999802</v>
      </c>
      <c r="AF2961">
        <v>-4.5105226360418502</v>
      </c>
      <c r="AG2961">
        <v>-1.1134340682999999</v>
      </c>
      <c r="AH2961">
        <v>10.2385370327817</v>
      </c>
      <c r="AI2961">
        <v>95.683358957628997</v>
      </c>
      <c r="AJ2961">
        <v>113.775586573599</v>
      </c>
      <c r="AK2961">
        <v>11.243317590744301</v>
      </c>
      <c r="AL2961">
        <v>68.875955640912196</v>
      </c>
      <c r="AM2961">
        <v>108.17406371066301</v>
      </c>
      <c r="AN2961">
        <v>1.0000000183801201</v>
      </c>
    </row>
    <row r="2962" spans="1:40" x14ac:dyDescent="0.25">
      <c r="A2962" t="str">
        <f>"20190304164910573"</f>
        <v>20190304164910573</v>
      </c>
      <c r="B2962" t="str">
        <f>"1551689350569129"</f>
        <v>1551689350569129</v>
      </c>
      <c r="C2962" t="s">
        <v>40</v>
      </c>
      <c r="D2962">
        <v>4.2110580000000004</v>
      </c>
      <c r="E2962">
        <v>0.45787889999999998</v>
      </c>
      <c r="F2962" t="s">
        <v>45</v>
      </c>
      <c r="G2962">
        <v>-477.57249999999999</v>
      </c>
      <c r="H2962" s="1">
        <v>2.8629569999999998E-6</v>
      </c>
      <c r="I2962">
        <v>280.12029999999999</v>
      </c>
      <c r="J2962">
        <v>-467.59949999999998</v>
      </c>
      <c r="K2962">
        <v>1.113499</v>
      </c>
      <c r="L2962">
        <v>285.19920000000002</v>
      </c>
      <c r="M2962">
        <v>-0.99829489999999999</v>
      </c>
      <c r="N2962">
        <v>-1.100949E-2</v>
      </c>
      <c r="O2962">
        <v>-5.732313E-2</v>
      </c>
      <c r="P2962">
        <v>-0.87232359999999898</v>
      </c>
      <c r="Q2962">
        <v>0.35266449999999999</v>
      </c>
      <c r="R2962">
        <v>-0.33864319999999998</v>
      </c>
      <c r="S2962">
        <v>-2.993347</v>
      </c>
      <c r="T2962">
        <v>-0.3256078</v>
      </c>
      <c r="U2962">
        <v>-1.490631</v>
      </c>
      <c r="V2962">
        <v>-0.29065259999999998</v>
      </c>
      <c r="W2962">
        <v>0.3603847</v>
      </c>
      <c r="X2962">
        <v>0.88636550000000003</v>
      </c>
      <c r="Y2962">
        <v>-0.3918719</v>
      </c>
      <c r="Z2962">
        <v>-1.710996E-2</v>
      </c>
      <c r="AA2962">
        <v>0.91986069999999998</v>
      </c>
      <c r="AB2962">
        <v>27</v>
      </c>
      <c r="AC2962">
        <v>-9.9730000000000096</v>
      </c>
      <c r="AD2962">
        <v>-1.1134961370430001</v>
      </c>
      <c r="AE2962">
        <v>-5.0789000000000302</v>
      </c>
      <c r="AF2962">
        <v>-4.4547332122809804</v>
      </c>
      <c r="AG2962">
        <v>-1.1134961370430001</v>
      </c>
      <c r="AH2962">
        <v>10.147309909425401</v>
      </c>
      <c r="AI2962">
        <v>95.737660365928605</v>
      </c>
      <c r="AJ2962">
        <v>113.701778051668</v>
      </c>
      <c r="AK2962">
        <v>11.1378822061347</v>
      </c>
      <c r="AL2962">
        <v>68.876174868716404</v>
      </c>
      <c r="AM2962">
        <v>108.15509660163301</v>
      </c>
      <c r="AN2962">
        <v>0.99999993273554699</v>
      </c>
    </row>
    <row r="2963" spans="1:40" x14ac:dyDescent="0.25">
      <c r="A2963" t="str">
        <f>"20190304164910595"</f>
        <v>20190304164910595</v>
      </c>
      <c r="B2963" t="str">
        <f>"1551689350588650"</f>
        <v>1551689350588650</v>
      </c>
      <c r="C2963" t="s">
        <v>40</v>
      </c>
      <c r="D2963">
        <v>4.2153049999999999</v>
      </c>
      <c r="E2963">
        <v>0.45730939999999998</v>
      </c>
      <c r="F2963" t="s">
        <v>45</v>
      </c>
      <c r="G2963">
        <v>-477.77530000000002</v>
      </c>
      <c r="H2963" s="1">
        <v>2.7692979999999998E-6</v>
      </c>
      <c r="I2963">
        <v>280.07749999999999</v>
      </c>
      <c r="J2963">
        <v>-467.86939999999998</v>
      </c>
      <c r="K2963">
        <v>1.1135729999999999</v>
      </c>
      <c r="L2963">
        <v>285.17919999999998</v>
      </c>
      <c r="M2963">
        <v>-0.99804289999999996</v>
      </c>
      <c r="N2963">
        <v>-1.1087059999999999E-2</v>
      </c>
      <c r="O2963">
        <v>-6.1542159999999999E-2</v>
      </c>
      <c r="P2963">
        <v>-0.87074940000000001</v>
      </c>
      <c r="Q2963">
        <v>0.35310439999999998</v>
      </c>
      <c r="R2963">
        <v>-0.3422174</v>
      </c>
      <c r="S2963">
        <v>-2.987457</v>
      </c>
      <c r="T2963">
        <v>-0.32690639999999999</v>
      </c>
      <c r="U2963">
        <v>-1.5036620000000001</v>
      </c>
      <c r="V2963">
        <v>-0.29060910000000001</v>
      </c>
      <c r="W2963">
        <v>0.36084870000000002</v>
      </c>
      <c r="X2963">
        <v>0.88619110000000001</v>
      </c>
      <c r="Y2963">
        <v>-0.39191569999999998</v>
      </c>
      <c r="Z2963">
        <v>-1.6816629999999999E-2</v>
      </c>
      <c r="AA2963">
        <v>0.91984739999999998</v>
      </c>
      <c r="AB2963">
        <v>27</v>
      </c>
      <c r="AC2963">
        <v>-9.9059000000000292</v>
      </c>
      <c r="AD2963">
        <v>-1.1135702307019999</v>
      </c>
      <c r="AE2963">
        <v>-5.1016999999999904</v>
      </c>
      <c r="AF2963">
        <v>-4.4380339009254604</v>
      </c>
      <c r="AG2963">
        <v>-1.1135702307019999</v>
      </c>
      <c r="AH2963">
        <v>10.100229842986799</v>
      </c>
      <c r="AI2963">
        <v>95.763778157499502</v>
      </c>
      <c r="AJ2963">
        <v>113.720652904986</v>
      </c>
      <c r="AK2963">
        <v>11.0883193697526</v>
      </c>
      <c r="AL2963">
        <v>68.847674356497294</v>
      </c>
      <c r="AM2963">
        <v>108.155895682471</v>
      </c>
      <c r="AN2963">
        <v>1.00000004950685</v>
      </c>
    </row>
    <row r="2964" spans="1:40" x14ac:dyDescent="0.25">
      <c r="A2964" t="str">
        <f>"20190304164910609"</f>
        <v>20190304164910609</v>
      </c>
      <c r="B2964" t="str">
        <f>"1551689350598408"</f>
        <v>1551689350598408</v>
      </c>
      <c r="C2964" t="s">
        <v>40</v>
      </c>
      <c r="D2964">
        <v>4.2232180000000001</v>
      </c>
      <c r="E2964">
        <v>0.45677069999999997</v>
      </c>
      <c r="F2964" t="s">
        <v>45</v>
      </c>
      <c r="G2964">
        <v>-478.03890000000001</v>
      </c>
      <c r="H2964" s="1">
        <v>2.6452399999999999E-6</v>
      </c>
      <c r="I2964">
        <v>279.99579999999997</v>
      </c>
      <c r="J2964">
        <v>-468.03289999999998</v>
      </c>
      <c r="K2964">
        <v>1.113618</v>
      </c>
      <c r="L2964">
        <v>285.16629999999998</v>
      </c>
      <c r="M2964">
        <v>-0.9978783</v>
      </c>
      <c r="N2964">
        <v>-1.1136739999999999E-2</v>
      </c>
      <c r="O2964">
        <v>-6.4148990000000003E-2</v>
      </c>
      <c r="P2964">
        <v>-0.869905699999999</v>
      </c>
      <c r="Q2964">
        <v>0.35294829999999999</v>
      </c>
      <c r="R2964">
        <v>-0.3445165</v>
      </c>
      <c r="S2964">
        <v>-2.9806210000000002</v>
      </c>
      <c r="T2964">
        <v>-0.32637820000000001</v>
      </c>
      <c r="U2964">
        <v>-1.519196</v>
      </c>
      <c r="V2964">
        <v>-0.29066370000000002</v>
      </c>
      <c r="W2964">
        <v>0.36070990000000003</v>
      </c>
      <c r="X2964">
        <v>0.88622959999999995</v>
      </c>
      <c r="Y2964">
        <v>-0.39417390000000002</v>
      </c>
      <c r="Z2964">
        <v>-1.6713849999999999E-2</v>
      </c>
      <c r="AA2964">
        <v>0.91888389999999998</v>
      </c>
      <c r="AB2964">
        <v>27</v>
      </c>
      <c r="AC2964">
        <v>-10.006</v>
      </c>
      <c r="AD2964">
        <v>-1.1136153547600001</v>
      </c>
      <c r="AE2964">
        <v>-5.1704999999999997</v>
      </c>
      <c r="AF2964">
        <v>-4.4741944393650801</v>
      </c>
      <c r="AG2964">
        <v>-1.1136153547600001</v>
      </c>
      <c r="AH2964">
        <v>10.217206804282201</v>
      </c>
      <c r="AI2964">
        <v>95.701561598373402</v>
      </c>
      <c r="AJ2964">
        <v>113.648985717427</v>
      </c>
      <c r="AK2964">
        <v>11.209365277350599</v>
      </c>
      <c r="AL2964">
        <v>68.856199331644504</v>
      </c>
      <c r="AM2964">
        <v>108.158345867238</v>
      </c>
      <c r="AN2964">
        <v>0.99999996118592904</v>
      </c>
    </row>
    <row r="2965" spans="1:40" x14ac:dyDescent="0.25">
      <c r="A2965" t="str">
        <f>"20190304164910628"</f>
        <v>20190304164910628</v>
      </c>
      <c r="B2965" t="str">
        <f>"1551689350618903"</f>
        <v>1551689350618903</v>
      </c>
      <c r="C2965" t="s">
        <v>40</v>
      </c>
      <c r="D2965">
        <v>4.2155250000000004</v>
      </c>
      <c r="E2965">
        <v>0.45638420000000002</v>
      </c>
      <c r="F2965" t="s">
        <v>45</v>
      </c>
      <c r="G2965">
        <v>-478.15010000000001</v>
      </c>
      <c r="H2965" s="1">
        <v>2.592864E-6</v>
      </c>
      <c r="I2965">
        <v>279.96080000000001</v>
      </c>
      <c r="J2965">
        <v>-468.26900000000001</v>
      </c>
      <c r="K2965">
        <v>1.113677</v>
      </c>
      <c r="L2965">
        <v>285.14699999999999</v>
      </c>
      <c r="M2965">
        <v>-0.99762510000000004</v>
      </c>
      <c r="N2965">
        <v>-1.1207999999999999E-2</v>
      </c>
      <c r="O2965">
        <v>-6.7959080000000005E-2</v>
      </c>
      <c r="P2965">
        <v>-0.86850969999999905</v>
      </c>
      <c r="Q2965">
        <v>0.35313870000000003</v>
      </c>
      <c r="R2965">
        <v>-0.34782770000000002</v>
      </c>
      <c r="S2965">
        <v>-2.9752809999999998</v>
      </c>
      <c r="T2965">
        <v>-0.32749309999999998</v>
      </c>
      <c r="U2965">
        <v>-1.530823</v>
      </c>
      <c r="V2965">
        <v>-0.29071069999999999</v>
      </c>
      <c r="W2965">
        <v>0.36092340000000001</v>
      </c>
      <c r="X2965">
        <v>0.88612729999999995</v>
      </c>
      <c r="Y2965">
        <v>-0.39417819999999998</v>
      </c>
      <c r="Z2965">
        <v>-1.6442559999999998E-2</v>
      </c>
      <c r="AA2965">
        <v>0.91888700000000001</v>
      </c>
      <c r="AB2965">
        <v>27</v>
      </c>
      <c r="AC2965">
        <v>-9.8811</v>
      </c>
      <c r="AD2965">
        <v>-1.1136744071359901</v>
      </c>
      <c r="AE2965">
        <v>-5.1861999999999799</v>
      </c>
      <c r="AF2965">
        <v>-4.4582543913777197</v>
      </c>
      <c r="AG2965">
        <v>-1.1136744071359901</v>
      </c>
      <c r="AH2965">
        <v>10.110034868548601</v>
      </c>
      <c r="AI2965">
        <v>95.755442194321603</v>
      </c>
      <c r="AJ2965">
        <v>113.796193584134</v>
      </c>
      <c r="AK2965">
        <v>11.1053639267975</v>
      </c>
      <c r="AL2965">
        <v>68.843084032818396</v>
      </c>
      <c r="AM2965">
        <v>108.163048281717</v>
      </c>
      <c r="AN2965">
        <v>1.0000000017836701</v>
      </c>
    </row>
    <row r="2966" spans="1:40" x14ac:dyDescent="0.25">
      <c r="A2966" t="str">
        <f>"20190304164910651"</f>
        <v>20190304164910651</v>
      </c>
      <c r="B2966" t="str">
        <f>"1551689350638423"</f>
        <v>1551689350638423</v>
      </c>
      <c r="C2966" t="s">
        <v>40</v>
      </c>
      <c r="D2966">
        <v>4.2374070000000001</v>
      </c>
      <c r="E2966">
        <v>0.45598709999999998</v>
      </c>
      <c r="F2966" t="s">
        <v>45</v>
      </c>
      <c r="G2966">
        <v>-478.34440000000001</v>
      </c>
      <c r="H2966" s="1">
        <v>2.5015070000000001E-6</v>
      </c>
      <c r="I2966">
        <v>279.90129999999999</v>
      </c>
      <c r="J2966">
        <v>-468.53140000000002</v>
      </c>
      <c r="K2966">
        <v>1.113745</v>
      </c>
      <c r="L2966">
        <v>285.12439999999998</v>
      </c>
      <c r="M2966">
        <v>-0.99732149999999997</v>
      </c>
      <c r="N2966">
        <v>-1.128357E-2</v>
      </c>
      <c r="O2966">
        <v>-7.2269130000000001E-2</v>
      </c>
      <c r="P2966">
        <v>-0.86735669999999898</v>
      </c>
      <c r="Q2966">
        <v>0.35282200000000002</v>
      </c>
      <c r="R2966">
        <v>-0.35101159999999998</v>
      </c>
      <c r="S2966">
        <v>-2.968658</v>
      </c>
      <c r="T2966">
        <v>-0.32813619999999999</v>
      </c>
      <c r="U2966">
        <v>-1.545593</v>
      </c>
      <c r="V2966">
        <v>-0.29016999999999998</v>
      </c>
      <c r="W2966">
        <v>0.3606414</v>
      </c>
      <c r="X2966">
        <v>0.88641930000000002</v>
      </c>
      <c r="Y2966">
        <v>-0.39465210000000001</v>
      </c>
      <c r="Z2966">
        <v>-1.6135050000000001E-2</v>
      </c>
      <c r="AA2966">
        <v>0.91868899999999998</v>
      </c>
      <c r="AB2966">
        <v>27</v>
      </c>
      <c r="AC2966">
        <v>-9.8129999999999793</v>
      </c>
      <c r="AD2966">
        <v>-1.113742498493</v>
      </c>
      <c r="AE2966">
        <v>-5.2230999999999801</v>
      </c>
      <c r="AF2966">
        <v>-4.4554955748814198</v>
      </c>
      <c r="AG2966">
        <v>-1.113742498493</v>
      </c>
      <c r="AH2966">
        <v>10.063812225438999</v>
      </c>
      <c r="AI2966">
        <v>95.778332400615895</v>
      </c>
      <c r="AJ2966">
        <v>113.880142703663</v>
      </c>
      <c r="AK2966">
        <v>11.0621959700429</v>
      </c>
      <c r="AL2966">
        <v>68.860408449897903</v>
      </c>
      <c r="AM2966">
        <v>108.12589671670899</v>
      </c>
      <c r="AN2966">
        <v>1.00000001185322</v>
      </c>
    </row>
    <row r="2967" spans="1:40" x14ac:dyDescent="0.25">
      <c r="A2967" t="str">
        <f>"20190304164910673"</f>
        <v>20190304164910673</v>
      </c>
      <c r="B2967" t="str">
        <f>"1551689350668683"</f>
        <v>1551689350668683</v>
      </c>
      <c r="C2967" t="s">
        <v>40</v>
      </c>
      <c r="D2967">
        <v>4.2268790000000003</v>
      </c>
      <c r="E2967">
        <v>0.45554030000000001</v>
      </c>
      <c r="F2967" t="s">
        <v>45</v>
      </c>
      <c r="G2967">
        <v>-478.524</v>
      </c>
      <c r="H2967" s="1">
        <v>2.4178270000000001E-6</v>
      </c>
      <c r="I2967">
        <v>279.85520000000002</v>
      </c>
      <c r="J2967">
        <v>-468.79750000000001</v>
      </c>
      <c r="K2967">
        <v>1.1138110000000001</v>
      </c>
      <c r="L2967">
        <v>285.1003</v>
      </c>
      <c r="M2967">
        <v>-0.9969884</v>
      </c>
      <c r="N2967">
        <v>-1.135771E-2</v>
      </c>
      <c r="O2967">
        <v>-7.6715259999999993E-2</v>
      </c>
      <c r="P2967">
        <v>-0.86568400000000001</v>
      </c>
      <c r="Q2967">
        <v>0.352637799999999</v>
      </c>
      <c r="R2967">
        <v>-0.35529929999999998</v>
      </c>
      <c r="S2967">
        <v>-2.9611510000000001</v>
      </c>
      <c r="T2967">
        <v>-0.33004060000000002</v>
      </c>
      <c r="U2967">
        <v>-1.5614619999999999</v>
      </c>
      <c r="V2967">
        <v>-0.29064659999999998</v>
      </c>
      <c r="W2967">
        <v>0.36048039999999998</v>
      </c>
      <c r="X2967">
        <v>0.88632860000000002</v>
      </c>
      <c r="Y2967">
        <v>-0.39536280000000001</v>
      </c>
      <c r="Z2967">
        <v>-1.587763E-2</v>
      </c>
      <c r="AA2967">
        <v>0.91838779999999998</v>
      </c>
      <c r="AB2967">
        <v>27</v>
      </c>
      <c r="AC2967">
        <v>-9.7264999999999802</v>
      </c>
      <c r="AD2967">
        <v>-1.1138085821729999</v>
      </c>
      <c r="AE2967">
        <v>-5.2450999999999697</v>
      </c>
      <c r="AF2967">
        <v>-4.4383330237973704</v>
      </c>
      <c r="AG2967">
        <v>-1.1138085821729999</v>
      </c>
      <c r="AH2967">
        <v>9.9986619143571307</v>
      </c>
      <c r="AI2967">
        <v>95.813569276152805</v>
      </c>
      <c r="AJ2967">
        <v>113.93608534913599</v>
      </c>
      <c r="AK2967">
        <v>10.9960269945771</v>
      </c>
      <c r="AL2967">
        <v>68.870297511415401</v>
      </c>
      <c r="AM2967">
        <v>108.1554526481</v>
      </c>
      <c r="AN2967">
        <v>0.99999997602683899</v>
      </c>
    </row>
    <row r="2968" spans="1:40" x14ac:dyDescent="0.25">
      <c r="A2968" t="str">
        <f>"20190304164910695"</f>
        <v>20190304164910695</v>
      </c>
      <c r="B2968" t="str">
        <f>"1551689350689179"</f>
        <v>1551689350689179</v>
      </c>
      <c r="C2968" t="s">
        <v>40</v>
      </c>
      <c r="D2968">
        <v>4.2102779999999997</v>
      </c>
      <c r="E2968">
        <v>0.45519949999999998</v>
      </c>
      <c r="F2968" t="s">
        <v>45</v>
      </c>
      <c r="G2968">
        <v>-478.73759999999999</v>
      </c>
      <c r="H2968" s="1">
        <v>2.316825E-6</v>
      </c>
      <c r="I2968">
        <v>279.78320000000002</v>
      </c>
      <c r="J2968">
        <v>-469.0582</v>
      </c>
      <c r="K2968">
        <v>1.113869</v>
      </c>
      <c r="L2968">
        <v>285.07549999999998</v>
      </c>
      <c r="M2968">
        <v>-0.99663670000000004</v>
      </c>
      <c r="N2968">
        <v>-1.142892E-2</v>
      </c>
      <c r="O2968">
        <v>-8.1146179999999998E-2</v>
      </c>
      <c r="P2968">
        <v>-0.86361309999999902</v>
      </c>
      <c r="Q2968">
        <v>0.3531203</v>
      </c>
      <c r="R2968">
        <v>-0.35983120000000002</v>
      </c>
      <c r="S2968">
        <v>-2.952118</v>
      </c>
      <c r="T2968">
        <v>-0.33079039999999998</v>
      </c>
      <c r="U2968">
        <v>-1.579132</v>
      </c>
      <c r="V2968">
        <v>-0.29142099999999999</v>
      </c>
      <c r="W2968">
        <v>0.36097800000000002</v>
      </c>
      <c r="X2968">
        <v>0.88587169999999904</v>
      </c>
      <c r="Y2968">
        <v>-0.39672380000000002</v>
      </c>
      <c r="Z2968">
        <v>-1.561573E-2</v>
      </c>
      <c r="AA2968">
        <v>0.91780519999999999</v>
      </c>
      <c r="AB2968">
        <v>27</v>
      </c>
      <c r="AC2968">
        <v>-9.6793999999999798</v>
      </c>
      <c r="AD2968">
        <v>-1.1138666831749999</v>
      </c>
      <c r="AE2968">
        <v>-5.2922999999999503</v>
      </c>
      <c r="AF2968">
        <v>-4.4440411036816601</v>
      </c>
      <c r="AG2968">
        <v>-1.1138666831749999</v>
      </c>
      <c r="AH2968">
        <v>9.9752574433029402</v>
      </c>
      <c r="AI2968">
        <v>95.823951151274301</v>
      </c>
      <c r="AJ2968">
        <v>114.01327847278399</v>
      </c>
      <c r="AK2968">
        <v>10.977065244375201</v>
      </c>
      <c r="AL2968">
        <v>68.839729329288204</v>
      </c>
      <c r="AM2968">
        <v>108.209408660782</v>
      </c>
      <c r="AN2968">
        <v>0.99999999229294401</v>
      </c>
    </row>
    <row r="2969" spans="1:40" x14ac:dyDescent="0.25">
      <c r="A2969" t="str">
        <f>"20190304164910718"</f>
        <v>20190304164910718</v>
      </c>
      <c r="B2969" t="str">
        <f>"1551689350708696"</f>
        <v>1551689350708696</v>
      </c>
      <c r="C2969" t="s">
        <v>40</v>
      </c>
      <c r="D2969">
        <v>4.2338820000000004</v>
      </c>
      <c r="E2969">
        <v>0.45481169999999999</v>
      </c>
      <c r="F2969" t="s">
        <v>45</v>
      </c>
      <c r="G2969">
        <v>-478.99149999999997</v>
      </c>
      <c r="H2969" s="1">
        <v>2.1961480000000001E-6</v>
      </c>
      <c r="I2969">
        <v>279.69049999999999</v>
      </c>
      <c r="J2969">
        <v>-469.3306</v>
      </c>
      <c r="K2969">
        <v>1.113944</v>
      </c>
      <c r="L2969">
        <v>285.04809999999998</v>
      </c>
      <c r="M2969">
        <v>-0.99623980000000001</v>
      </c>
      <c r="N2969">
        <v>-1.1505609999999999E-2</v>
      </c>
      <c r="O2969">
        <v>-8.5871160000000002E-2</v>
      </c>
      <c r="P2969">
        <v>-0.86172130000000002</v>
      </c>
      <c r="Q2969">
        <v>0.3531244</v>
      </c>
      <c r="R2969">
        <v>-0.36433480000000001</v>
      </c>
      <c r="S2969">
        <v>-2.9437869999999999</v>
      </c>
      <c r="T2969">
        <v>-0.33010209999999901</v>
      </c>
      <c r="U2969">
        <v>-1.5958859999999999</v>
      </c>
      <c r="V2969">
        <v>-0.29189860000000001</v>
      </c>
      <c r="W2969">
        <v>0.36100379999999999</v>
      </c>
      <c r="X2969">
        <v>0.88570389999999999</v>
      </c>
      <c r="Y2969">
        <v>-0.39751760000000003</v>
      </c>
      <c r="Z2969">
        <v>-1.52398E-2</v>
      </c>
      <c r="AA2969">
        <v>0.91746799999999995</v>
      </c>
      <c r="AB2969">
        <v>27</v>
      </c>
      <c r="AC2969">
        <v>-9.6608999999999696</v>
      </c>
      <c r="AD2969">
        <v>-1.1139418038519999</v>
      </c>
      <c r="AE2969">
        <v>-5.3575999999999899</v>
      </c>
      <c r="AF2969">
        <v>-4.4627827142233301</v>
      </c>
      <c r="AG2969">
        <v>-1.1139418038519999</v>
      </c>
      <c r="AH2969">
        <v>9.9837893038402292</v>
      </c>
      <c r="AI2969">
        <v>95.816180328476705</v>
      </c>
      <c r="AJ2969">
        <v>114.08478151771099</v>
      </c>
      <c r="AK2969">
        <v>10.9924221516558</v>
      </c>
      <c r="AL2969">
        <v>68.838143660270006</v>
      </c>
      <c r="AM2969">
        <v>108.240504032567</v>
      </c>
      <c r="AN2969">
        <v>0.99999996738580399</v>
      </c>
    </row>
    <row r="2970" spans="1:40" x14ac:dyDescent="0.25">
      <c r="A2970" t="str">
        <f>"20190304164910739"</f>
        <v>20190304164910739</v>
      </c>
      <c r="B2970" t="str">
        <f>"1551689350729191"</f>
        <v>1551689350729191</v>
      </c>
      <c r="C2970" t="s">
        <v>40</v>
      </c>
      <c r="D2970">
        <v>4.2352600000000002</v>
      </c>
      <c r="E2970">
        <v>0.45442359999999998</v>
      </c>
      <c r="F2970" t="s">
        <v>41</v>
      </c>
      <c r="G2970">
        <v>-470.28250000000003</v>
      </c>
      <c r="H2970">
        <v>1.006421</v>
      </c>
      <c r="I2970">
        <v>284.52510000000001</v>
      </c>
      <c r="J2970">
        <v>-469.58589999999998</v>
      </c>
      <c r="K2970">
        <v>1.1140159999999999</v>
      </c>
      <c r="L2970">
        <v>285.02109999999999</v>
      </c>
      <c r="M2970">
        <v>-0.99584019999999995</v>
      </c>
      <c r="N2970">
        <v>-1.1586279999999999E-2</v>
      </c>
      <c r="O2970">
        <v>-9.0378070000000005E-2</v>
      </c>
      <c r="P2970">
        <v>-0.86022710000000002</v>
      </c>
      <c r="Q2970">
        <v>0.35364400000000001</v>
      </c>
      <c r="R2970">
        <v>-0.36734909999999998</v>
      </c>
      <c r="S2970">
        <v>-2.9350890000000001</v>
      </c>
      <c r="T2970">
        <v>-0.33152740000000003</v>
      </c>
      <c r="U2970">
        <v>-1.6133729999999999</v>
      </c>
      <c r="V2970">
        <v>-0.29106320000000002</v>
      </c>
      <c r="W2970">
        <v>0.36156179999999999</v>
      </c>
      <c r="X2970">
        <v>0.88575119999999896</v>
      </c>
      <c r="Y2970">
        <v>-0.3987076</v>
      </c>
      <c r="Z2970">
        <v>-1.498405E-2</v>
      </c>
      <c r="AA2970">
        <v>0.91695570000000004</v>
      </c>
      <c r="AB2970">
        <v>27</v>
      </c>
      <c r="AC2970">
        <v>-0.69660000000004596</v>
      </c>
      <c r="AD2970">
        <v>-0.107594999999999</v>
      </c>
      <c r="AE2970">
        <v>-0.49599999999998001</v>
      </c>
      <c r="AF2970">
        <v>-0.42429132720319501</v>
      </c>
      <c r="AG2970">
        <v>-0.107594999999999</v>
      </c>
      <c r="AH2970">
        <v>0.72706911118425399</v>
      </c>
      <c r="AI2970">
        <v>97.283660466579605</v>
      </c>
      <c r="AJ2970">
        <v>120.266295127669</v>
      </c>
      <c r="AK2970">
        <v>0.84866324699677498</v>
      </c>
      <c r="AL2970">
        <v>68.803856472126995</v>
      </c>
      <c r="AM2970">
        <v>108.19083587380401</v>
      </c>
      <c r="AN2970">
        <v>0.99999995495745797</v>
      </c>
    </row>
    <row r="2971" spans="1:40" x14ac:dyDescent="0.25">
      <c r="A2971" t="str">
        <f>"20190304164910753"</f>
        <v>20190304164910753</v>
      </c>
      <c r="B2971" t="str">
        <f>"1551689350748712"</f>
        <v>1551689350748712</v>
      </c>
      <c r="C2971" t="s">
        <v>40</v>
      </c>
      <c r="D2971">
        <v>4.2369490000000001</v>
      </c>
      <c r="E2971">
        <v>0.45402880000000001</v>
      </c>
      <c r="F2971" t="s">
        <v>41</v>
      </c>
      <c r="G2971">
        <v>-470.54509999999999</v>
      </c>
      <c r="H2971">
        <v>1.0057739999999999</v>
      </c>
      <c r="I2971">
        <v>284.4873</v>
      </c>
      <c r="J2971">
        <v>-469.75279999999998</v>
      </c>
      <c r="K2971">
        <v>1.1140620000000001</v>
      </c>
      <c r="L2971">
        <v>285.00290000000001</v>
      </c>
      <c r="M2971">
        <v>-0.99556460000000002</v>
      </c>
      <c r="N2971">
        <v>-1.164107E-2</v>
      </c>
      <c r="O2971">
        <v>-9.3357910000000002E-2</v>
      </c>
      <c r="P2971">
        <v>-0.85910799999999998</v>
      </c>
      <c r="Q2971">
        <v>0.35421629999999998</v>
      </c>
      <c r="R2971">
        <v>-0.36941069999999998</v>
      </c>
      <c r="S2971">
        <v>-2.92746</v>
      </c>
      <c r="T2971">
        <v>-0.3303218</v>
      </c>
      <c r="U2971">
        <v>-1.629364</v>
      </c>
      <c r="V2971">
        <v>-0.29059380000000001</v>
      </c>
      <c r="W2971">
        <v>0.36215930000000002</v>
      </c>
      <c r="X2971">
        <v>0.88566129999999998</v>
      </c>
      <c r="Y2971">
        <v>-0.40081420000000001</v>
      </c>
      <c r="Z2971">
        <v>-1.4821529999999999E-2</v>
      </c>
      <c r="AA2971">
        <v>0.91603950000000001</v>
      </c>
      <c r="AB2971">
        <v>27</v>
      </c>
      <c r="AC2971">
        <v>-0.792300000000011</v>
      </c>
      <c r="AD2971">
        <v>-0.108288</v>
      </c>
      <c r="AE2971">
        <v>-0.51560000000000605</v>
      </c>
      <c r="AF2971">
        <v>-0.43368424440876102</v>
      </c>
      <c r="AG2971">
        <v>-0.108288</v>
      </c>
      <c r="AH2971">
        <v>0.82613663639423696</v>
      </c>
      <c r="AI2971">
        <v>96.620016429460307</v>
      </c>
      <c r="AJ2971">
        <v>117.69743450956</v>
      </c>
      <c r="AK2971">
        <v>0.93931360938995401</v>
      </c>
      <c r="AL2971">
        <v>68.767135213481694</v>
      </c>
      <c r="AM2971">
        <v>108.16514972241301</v>
      </c>
      <c r="AN2971">
        <v>1.0000000267463001</v>
      </c>
    </row>
    <row r="2972" spans="1:40" x14ac:dyDescent="0.25">
      <c r="A2972" t="str">
        <f>"20190304164910766"</f>
        <v>20190304164910766</v>
      </c>
      <c r="B2972" t="str">
        <f>"1551689350758472"</f>
        <v>1551689350758472</v>
      </c>
      <c r="C2972" t="s">
        <v>40</v>
      </c>
      <c r="D2972">
        <v>4.2626220000000004</v>
      </c>
      <c r="E2972">
        <v>0.45402880000000001</v>
      </c>
      <c r="F2972" t="s">
        <v>45</v>
      </c>
      <c r="G2972">
        <v>-479.64019999999999</v>
      </c>
      <c r="H2972" s="1">
        <v>1.879824E-6</v>
      </c>
      <c r="I2972">
        <v>279.44869999999997</v>
      </c>
      <c r="J2972">
        <v>-469.9042</v>
      </c>
      <c r="K2972">
        <v>1.1141019999999999</v>
      </c>
      <c r="L2972">
        <v>284.98579999999998</v>
      </c>
      <c r="M2972">
        <v>-0.99530320000000005</v>
      </c>
      <c r="N2972">
        <v>-1.1691119999999999E-2</v>
      </c>
      <c r="O2972">
        <v>-9.6099329999999997E-2</v>
      </c>
      <c r="P2972">
        <v>-0.85802239999999996</v>
      </c>
      <c r="Q2972">
        <v>0.35465619999999998</v>
      </c>
      <c r="R2972">
        <v>-0.37150640000000001</v>
      </c>
      <c r="S2972">
        <v>-2.9219360000000001</v>
      </c>
      <c r="T2972">
        <v>-0.32922980000000002</v>
      </c>
      <c r="U2972">
        <v>-1.6413880000000001</v>
      </c>
      <c r="V2972">
        <v>-0.29036659999999997</v>
      </c>
      <c r="W2972">
        <v>0.36261969999999999</v>
      </c>
      <c r="X2972">
        <v>0.88554739999999998</v>
      </c>
      <c r="Y2972">
        <v>-0.40191179999999999</v>
      </c>
      <c r="Z2972">
        <v>-1.4621479999999999E-2</v>
      </c>
      <c r="AA2972">
        <v>0.91556159999999998</v>
      </c>
      <c r="AB2972">
        <v>27</v>
      </c>
      <c r="AC2972">
        <v>-9.73599999999999</v>
      </c>
      <c r="AD2972">
        <v>-1.1141001201759999</v>
      </c>
      <c r="AE2972">
        <v>-5.5370999999999997</v>
      </c>
      <c r="AF2972">
        <v>-4.5309523413031103</v>
      </c>
      <c r="AG2972">
        <v>-1.1141001201759999</v>
      </c>
      <c r="AH2972">
        <v>10.122922880483101</v>
      </c>
      <c r="AI2972">
        <v>95.736333117109695</v>
      </c>
      <c r="AJ2972">
        <v>114.11296899188</v>
      </c>
      <c r="AK2972">
        <v>11.146493432517</v>
      </c>
      <c r="AL2972">
        <v>68.738831883104396</v>
      </c>
      <c r="AM2972">
        <v>108.15406066524901</v>
      </c>
      <c r="AN2972">
        <v>1.0000000034351999</v>
      </c>
    </row>
    <row r="2973" spans="1:40" x14ac:dyDescent="0.25">
      <c r="A2973" t="str">
        <f>"20190304164910785"</f>
        <v>20190304164910785</v>
      </c>
      <c r="B2973" t="str">
        <f>"1551689350778967"</f>
        <v>1551689350778967</v>
      </c>
      <c r="C2973" t="s">
        <v>40</v>
      </c>
      <c r="D2973">
        <v>4.2575760000000002</v>
      </c>
      <c r="E2973">
        <v>0.44869510000000001</v>
      </c>
      <c r="F2973" t="s">
        <v>45</v>
      </c>
      <c r="G2973">
        <v>-479.83</v>
      </c>
      <c r="H2973" s="1">
        <v>1.781331E-6</v>
      </c>
      <c r="I2973">
        <v>279.37740000000002</v>
      </c>
      <c r="J2973">
        <v>-470.1234</v>
      </c>
      <c r="K2973">
        <v>1.1141650000000001</v>
      </c>
      <c r="L2973">
        <v>284.96039999999999</v>
      </c>
      <c r="M2973">
        <v>-0.99490599999999996</v>
      </c>
      <c r="N2973">
        <v>-1.1767299999999901E-2</v>
      </c>
      <c r="O2973">
        <v>-0.10011730000000001</v>
      </c>
      <c r="P2973">
        <v>-0.85658979999999996</v>
      </c>
      <c r="Q2973">
        <v>0.35468080000000002</v>
      </c>
      <c r="R2973">
        <v>-0.37477359999999998</v>
      </c>
      <c r="S2973">
        <v>-2.9179379999999999</v>
      </c>
      <c r="T2973">
        <v>-0.3275188</v>
      </c>
      <c r="U2973">
        <v>-1.6487430000000001</v>
      </c>
      <c r="V2973">
        <v>-0.29021540000000001</v>
      </c>
      <c r="W2973">
        <v>0.36267519999999998</v>
      </c>
      <c r="X2973">
        <v>0.88557419999999998</v>
      </c>
      <c r="Y2973">
        <v>-0.40054000000000001</v>
      </c>
      <c r="Z2973">
        <v>-1.4148239999999999E-2</v>
      </c>
      <c r="AA2973">
        <v>0.91617009999999999</v>
      </c>
      <c r="AB2973">
        <v>27</v>
      </c>
      <c r="AC2973">
        <v>-9.7065999999999804</v>
      </c>
      <c r="AD2973">
        <v>-1.114163218669</v>
      </c>
      <c r="AE2973">
        <v>-5.58299999999997</v>
      </c>
      <c r="AF2973">
        <v>-4.5381508088261402</v>
      </c>
      <c r="AG2973">
        <v>-1.114163218669</v>
      </c>
      <c r="AH2973">
        <v>10.1166609439389</v>
      </c>
      <c r="AI2973">
        <v>95.738079893150996</v>
      </c>
      <c r="AJ2973">
        <v>114.16014010897101</v>
      </c>
      <c r="AK2973">
        <v>11.1437426879888</v>
      </c>
      <c r="AL2973">
        <v>68.735418972553703</v>
      </c>
      <c r="AM2973">
        <v>108.144713982269</v>
      </c>
      <c r="AN2973">
        <v>0.99999997139891905</v>
      </c>
    </row>
    <row r="2974" spans="1:40" x14ac:dyDescent="0.25">
      <c r="A2974" t="str">
        <f>"20190304164910808"</f>
        <v>20190304164910808</v>
      </c>
      <c r="B2974" t="str">
        <f>"1551689350798488"</f>
        <v>1551689350798488</v>
      </c>
      <c r="C2974" t="s">
        <v>40</v>
      </c>
      <c r="D2974">
        <v>4.2556370000000001</v>
      </c>
      <c r="E2974">
        <v>0.44825769999999998</v>
      </c>
      <c r="F2974" t="s">
        <v>45</v>
      </c>
      <c r="G2974">
        <v>-479.14339999999999</v>
      </c>
      <c r="H2974" s="1">
        <v>2.127203E-6</v>
      </c>
      <c r="I2974">
        <v>279.67259999999999</v>
      </c>
      <c r="J2974">
        <v>-470.3818</v>
      </c>
      <c r="K2974">
        <v>1.114255</v>
      </c>
      <c r="L2974">
        <v>284.92899999999997</v>
      </c>
      <c r="M2974">
        <v>-0.99440550000000005</v>
      </c>
      <c r="N2974">
        <v>-1.186633E-2</v>
      </c>
      <c r="O2974">
        <v>-0.1049621</v>
      </c>
      <c r="P2974">
        <v>-0.85473679999999996</v>
      </c>
      <c r="Q2974">
        <v>0.35469610000000001</v>
      </c>
      <c r="R2974">
        <v>-0.3789669</v>
      </c>
      <c r="S2974">
        <v>-2.9056090000000001</v>
      </c>
      <c r="T2974">
        <v>-0.35890339999999998</v>
      </c>
      <c r="U2974">
        <v>-1.7033389999999999</v>
      </c>
      <c r="V2974">
        <v>-0.29031129999999999</v>
      </c>
      <c r="W2974">
        <v>0.36272369999999998</v>
      </c>
      <c r="X2974">
        <v>0.88552299999999995</v>
      </c>
      <c r="Y2974">
        <v>-0.41028740000000002</v>
      </c>
      <c r="Z2974">
        <v>-1.5311480000000001E-2</v>
      </c>
      <c r="AA2974">
        <v>0.91182770000000002</v>
      </c>
      <c r="AB2974">
        <v>27</v>
      </c>
      <c r="AC2974">
        <v>-8.7615999999999801</v>
      </c>
      <c r="AD2974">
        <v>-1.114252872797</v>
      </c>
      <c r="AE2974">
        <v>-5.2564000000000402</v>
      </c>
      <c r="AF2974">
        <v>-4.2570318228192097</v>
      </c>
      <c r="AG2974">
        <v>-1.114252872797</v>
      </c>
      <c r="AH2974">
        <v>9.1560658360984792</v>
      </c>
      <c r="AI2974">
        <v>96.297188110116295</v>
      </c>
      <c r="AJ2974">
        <v>114.93565542152</v>
      </c>
      <c r="AK2974">
        <v>10.1586131435349</v>
      </c>
      <c r="AL2974">
        <v>68.732439020801095</v>
      </c>
      <c r="AM2974">
        <v>108.151297319357</v>
      </c>
      <c r="AN2974">
        <v>1.0000000584891799</v>
      </c>
    </row>
    <row r="2975" spans="1:40" x14ac:dyDescent="0.25">
      <c r="A2975" t="str">
        <f>"20190304164910830"</f>
        <v>20190304164910830</v>
      </c>
      <c r="B2975" t="str">
        <f>"1551689350818984"</f>
        <v>1551689350818984</v>
      </c>
      <c r="C2975" t="s">
        <v>40</v>
      </c>
      <c r="D2975">
        <v>4.2485970000000002</v>
      </c>
      <c r="E2975">
        <v>0.44812350000000001</v>
      </c>
      <c r="F2975" t="s">
        <v>45</v>
      </c>
      <c r="G2975">
        <v>-479.3107</v>
      </c>
      <c r="H2975" s="1">
        <v>2.0489770000000002E-6</v>
      </c>
      <c r="I2975">
        <v>279.62630000000001</v>
      </c>
      <c r="J2975">
        <v>-470.65</v>
      </c>
      <c r="K2975">
        <v>1.1143559999999999</v>
      </c>
      <c r="L2975">
        <v>284.89510000000001</v>
      </c>
      <c r="M2975">
        <v>-0.99384640000000002</v>
      </c>
      <c r="N2975">
        <v>-1.19816E-2</v>
      </c>
      <c r="O2975">
        <v>-0.1101172</v>
      </c>
      <c r="P2975">
        <v>-0.85305140000000002</v>
      </c>
      <c r="Q2975">
        <v>0.3544466</v>
      </c>
      <c r="R2975">
        <v>-0.38297710000000001</v>
      </c>
      <c r="S2975">
        <v>-2.8970950000000002</v>
      </c>
      <c r="T2975">
        <v>-0.36153360000000001</v>
      </c>
      <c r="U2975">
        <v>-1.72052</v>
      </c>
      <c r="V2975">
        <v>-0.28994429999999999</v>
      </c>
      <c r="W2975">
        <v>0.36251840000000002</v>
      </c>
      <c r="X2975">
        <v>0.88572719999999905</v>
      </c>
      <c r="Y2975">
        <v>-0.41072700000000001</v>
      </c>
      <c r="Z2975">
        <v>-1.495296E-2</v>
      </c>
      <c r="AA2975">
        <v>0.9116358</v>
      </c>
      <c r="AB2975">
        <v>27</v>
      </c>
      <c r="AC2975">
        <v>-8.6607000000000198</v>
      </c>
      <c r="AD2975">
        <v>-1.1143539510229901</v>
      </c>
      <c r="AE2975">
        <v>-5.2687999999999899</v>
      </c>
      <c r="AF2975">
        <v>-4.2318581121693502</v>
      </c>
      <c r="AG2975">
        <v>-1.1143539510229901</v>
      </c>
      <c r="AH2975">
        <v>9.0785508658924492</v>
      </c>
      <c r="AI2975">
        <v>96.348204928547105</v>
      </c>
      <c r="AJ2975">
        <v>114.992017909672</v>
      </c>
      <c r="AK2975">
        <v>10.0782187728928</v>
      </c>
      <c r="AL2975">
        <v>68.745059186458903</v>
      </c>
      <c r="AM2975">
        <v>108.125946930899</v>
      </c>
      <c r="AN2975">
        <v>0.999999980130444</v>
      </c>
    </row>
    <row r="2976" spans="1:40" x14ac:dyDescent="0.25">
      <c r="A2976" t="str">
        <f>"20190304164910852"</f>
        <v>20190304164910852</v>
      </c>
      <c r="B2976" t="str">
        <f>"1551689350849240"</f>
        <v>1551689350849240</v>
      </c>
      <c r="C2976" t="s">
        <v>40</v>
      </c>
      <c r="D2976">
        <v>4.2818719999999999</v>
      </c>
      <c r="E2976">
        <v>0.44804919999999998</v>
      </c>
      <c r="F2976" t="s">
        <v>45</v>
      </c>
      <c r="G2976">
        <v>-479.48750000000001</v>
      </c>
      <c r="H2976" s="1">
        <v>1.966011E-6</v>
      </c>
      <c r="I2976">
        <v>279.58870000000002</v>
      </c>
      <c r="J2976">
        <v>-470.91050000000001</v>
      </c>
      <c r="K2976">
        <v>1.1144810000000001</v>
      </c>
      <c r="L2976">
        <v>284.86059999999998</v>
      </c>
      <c r="M2976">
        <v>-0.99326099999999995</v>
      </c>
      <c r="N2976">
        <v>-1.210378E-2</v>
      </c>
      <c r="O2976">
        <v>-0.11526500000000001</v>
      </c>
      <c r="P2976">
        <v>-0.85091510000000004</v>
      </c>
      <c r="Q2976">
        <v>0.35546949999999999</v>
      </c>
      <c r="R2976">
        <v>-0.3867621</v>
      </c>
      <c r="S2976">
        <v>-2.889313</v>
      </c>
      <c r="T2976">
        <v>-0.36432290000000001</v>
      </c>
      <c r="U2976">
        <v>-1.7348330000000001</v>
      </c>
      <c r="V2976">
        <v>-0.2894333</v>
      </c>
      <c r="W2976">
        <v>0.36358210000000002</v>
      </c>
      <c r="X2976">
        <v>0.88545839999999998</v>
      </c>
      <c r="Y2976">
        <v>-0.41040219999999999</v>
      </c>
      <c r="Z2976">
        <v>-1.454517E-2</v>
      </c>
      <c r="AA2976">
        <v>0.91178859999999995</v>
      </c>
      <c r="AB2976">
        <v>27</v>
      </c>
      <c r="AC2976">
        <v>-8.5769999999999893</v>
      </c>
      <c r="AD2976">
        <v>-1.1144790339890001</v>
      </c>
      <c r="AE2976">
        <v>-5.2718999999999596</v>
      </c>
      <c r="AF2976">
        <v>-4.1966295761839296</v>
      </c>
      <c r="AG2976">
        <v>-1.1144790339890001</v>
      </c>
      <c r="AH2976">
        <v>9.0170371301489691</v>
      </c>
      <c r="AI2976">
        <v>96.393630212969299</v>
      </c>
      <c r="AJ2976">
        <v>114.957793460223</v>
      </c>
      <c r="AK2976">
        <v>10.0080328698195</v>
      </c>
      <c r="AL2976">
        <v>68.679653014541699</v>
      </c>
      <c r="AM2976">
        <v>108.10122091260099</v>
      </c>
      <c r="AN2976">
        <v>1.0000000783599201</v>
      </c>
    </row>
    <row r="2977" spans="1:40" x14ac:dyDescent="0.25">
      <c r="A2977" t="str">
        <f>"20190304164910874"</f>
        <v>20190304164910874</v>
      </c>
      <c r="B2977" t="str">
        <f>"1551689350868763"</f>
        <v>1551689350868763</v>
      </c>
      <c r="C2977" t="s">
        <v>40</v>
      </c>
      <c r="D2977">
        <v>4.2635579999999997</v>
      </c>
      <c r="E2977">
        <v>0.44784669999999999</v>
      </c>
      <c r="F2977" t="s">
        <v>45</v>
      </c>
      <c r="G2977">
        <v>-479.8064</v>
      </c>
      <c r="H2977" s="1">
        <v>1.806885E-6</v>
      </c>
      <c r="I2977">
        <v>279.4572</v>
      </c>
      <c r="J2977">
        <v>-471.17759999999998</v>
      </c>
      <c r="K2977">
        <v>1.114619</v>
      </c>
      <c r="L2977">
        <v>284.82369999999997</v>
      </c>
      <c r="M2977">
        <v>-0.99261299999999997</v>
      </c>
      <c r="N2977">
        <v>-1.223928E-2</v>
      </c>
      <c r="O2977">
        <v>-0.1207054</v>
      </c>
      <c r="P2977">
        <v>-0.84889139999999996</v>
      </c>
      <c r="Q2977">
        <v>0.35628280000000001</v>
      </c>
      <c r="R2977">
        <v>-0.3904434</v>
      </c>
      <c r="S2977">
        <v>-2.8810419999999999</v>
      </c>
      <c r="T2977">
        <v>-0.3609388</v>
      </c>
      <c r="U2977">
        <v>-1.7499690000000001</v>
      </c>
      <c r="V2977">
        <v>-0.28856159999999997</v>
      </c>
      <c r="W2977">
        <v>0.36444409999999999</v>
      </c>
      <c r="X2977">
        <v>0.88538839999999996</v>
      </c>
      <c r="Y2977">
        <v>-0.41012759999999998</v>
      </c>
      <c r="Z2977">
        <v>-1.393982E-2</v>
      </c>
      <c r="AA2977">
        <v>0.9119216</v>
      </c>
      <c r="AB2977">
        <v>27</v>
      </c>
      <c r="AC2977">
        <v>-8.6288000000000107</v>
      </c>
      <c r="AD2977">
        <v>-1.114617193115</v>
      </c>
      <c r="AE2977">
        <v>-5.3664999999999701</v>
      </c>
      <c r="AF2977">
        <v>-4.2346838057627201</v>
      </c>
      <c r="AG2977">
        <v>-1.114617193115</v>
      </c>
      <c r="AH2977">
        <v>9.1039748297906193</v>
      </c>
      <c r="AI2977">
        <v>96.334487368711805</v>
      </c>
      <c r="AJ2977">
        <v>114.945338011331</v>
      </c>
      <c r="AK2977">
        <v>10.102340131050701</v>
      </c>
      <c r="AL2977">
        <v>68.626623401617195</v>
      </c>
      <c r="AM2977">
        <v>108.05158005890701</v>
      </c>
      <c r="AN2977">
        <v>0.99999995893696403</v>
      </c>
    </row>
    <row r="2978" spans="1:40" x14ac:dyDescent="0.25">
      <c r="A2978" t="str">
        <f>"20190304164910897"</f>
        <v>20190304164910897</v>
      </c>
      <c r="B2978" t="str">
        <f>"1551689350889267"</f>
        <v>1551689350889267</v>
      </c>
      <c r="C2978" t="s">
        <v>40</v>
      </c>
      <c r="D2978">
        <v>4.2764810000000004</v>
      </c>
      <c r="E2978">
        <v>0.44165789999999999</v>
      </c>
      <c r="F2978" t="s">
        <v>45</v>
      </c>
      <c r="G2978">
        <v>-480.11430000000001</v>
      </c>
      <c r="H2978" s="1">
        <v>1.7245420000000001E-6</v>
      </c>
      <c r="I2978">
        <v>279.3297</v>
      </c>
      <c r="J2978">
        <v>-471.43290000000002</v>
      </c>
      <c r="K2978">
        <v>1.1147659999999999</v>
      </c>
      <c r="L2978">
        <v>284.7867</v>
      </c>
      <c r="M2978">
        <v>-0.99194130000000003</v>
      </c>
      <c r="N2978">
        <v>-1.2377829999999999E-2</v>
      </c>
      <c r="O2978">
        <v>-0.12609310000000001</v>
      </c>
      <c r="P2978">
        <v>-0.84664629999999996</v>
      </c>
      <c r="Q2978">
        <v>0.35698360000000001</v>
      </c>
      <c r="R2978">
        <v>-0.3946556</v>
      </c>
      <c r="S2978">
        <v>-2.8721619999999999</v>
      </c>
      <c r="T2978">
        <v>-0.35822490000000001</v>
      </c>
      <c r="U2978">
        <v>-1.76571699999999</v>
      </c>
      <c r="V2978">
        <v>-0.28830159999999899</v>
      </c>
      <c r="W2978">
        <v>0.36518509999999998</v>
      </c>
      <c r="X2978">
        <v>0.88516779999999995</v>
      </c>
      <c r="Y2978">
        <v>-0.41011229999999999</v>
      </c>
      <c r="Z2978">
        <v>-1.338786E-2</v>
      </c>
      <c r="AA2978">
        <v>0.91193679999999999</v>
      </c>
      <c r="AB2978">
        <v>27</v>
      </c>
      <c r="AC2978">
        <v>-8.6813999999999893</v>
      </c>
      <c r="AD2978">
        <v>-1.1147642754579901</v>
      </c>
      <c r="AE2978">
        <v>-5.4569999999999901</v>
      </c>
      <c r="AF2978">
        <v>-4.2682436755364996</v>
      </c>
      <c r="AG2978">
        <v>-1.1147642754579901</v>
      </c>
      <c r="AH2978">
        <v>9.1916064810198392</v>
      </c>
      <c r="AI2978">
        <v>96.277264994107696</v>
      </c>
      <c r="AJ2978">
        <v>114.908420376957</v>
      </c>
      <c r="AK2978">
        <v>10.1954025504401</v>
      </c>
      <c r="AL2978">
        <v>68.581025529325998</v>
      </c>
      <c r="AM2978">
        <v>108.040572821379</v>
      </c>
      <c r="AN2978">
        <v>1.0000000019907</v>
      </c>
    </row>
    <row r="2979" spans="1:40" x14ac:dyDescent="0.25">
      <c r="A2979" t="str">
        <f>"20190304164910909"</f>
        <v>20190304164910909</v>
      </c>
      <c r="B2979" t="str">
        <f>"1551689350899016"</f>
        <v>1551689350899016</v>
      </c>
      <c r="C2979" t="s">
        <v>40</v>
      </c>
      <c r="D2979">
        <v>4.2878679999999996</v>
      </c>
      <c r="E2979">
        <v>0.44159310000000002</v>
      </c>
      <c r="F2979" t="s">
        <v>41</v>
      </c>
      <c r="G2979">
        <v>-472.31509999999997</v>
      </c>
      <c r="H2979">
        <v>1.0204150000000001</v>
      </c>
      <c r="I2979">
        <v>284.21850000000001</v>
      </c>
      <c r="J2979">
        <v>-471.59059999999999</v>
      </c>
      <c r="K2979">
        <v>1.1148610000000001</v>
      </c>
      <c r="L2979">
        <v>284.7629</v>
      </c>
      <c r="M2979">
        <v>-0.99149759999999998</v>
      </c>
      <c r="N2979">
        <v>-1.2466079999999999E-2</v>
      </c>
      <c r="O2979">
        <v>-0.129527</v>
      </c>
      <c r="P2979">
        <v>-0.8454545</v>
      </c>
      <c r="Q2979">
        <v>0.3569445</v>
      </c>
      <c r="R2979">
        <v>-0.39723720000000001</v>
      </c>
      <c r="S2979">
        <v>-2.8232119999999998</v>
      </c>
      <c r="T2979">
        <v>-0.30194140000000003</v>
      </c>
      <c r="U2979">
        <v>-1.8180540000000001</v>
      </c>
      <c r="V2979">
        <v>-0.28800550000000003</v>
      </c>
      <c r="W2979">
        <v>0.36517270000000002</v>
      </c>
      <c r="X2979">
        <v>0.88526930000000004</v>
      </c>
      <c r="Y2979">
        <v>-0.42639539999999998</v>
      </c>
      <c r="Z2979">
        <v>-1.268735E-2</v>
      </c>
      <c r="AA2979">
        <v>0.90444789999999997</v>
      </c>
      <c r="AB2979">
        <v>27</v>
      </c>
      <c r="AC2979">
        <v>-0.72449999999997705</v>
      </c>
      <c r="AD2979">
        <v>-9.4446000000000002E-2</v>
      </c>
      <c r="AE2979">
        <v>-0.544399999999996</v>
      </c>
      <c r="AF2979">
        <v>-0.44117192041997</v>
      </c>
      <c r="AG2979">
        <v>-9.4446000000000002E-2</v>
      </c>
      <c r="AH2979">
        <v>0.78043920266091205</v>
      </c>
      <c r="AI2979">
        <v>96.013888287560505</v>
      </c>
      <c r="AJ2979">
        <v>119.478899583499</v>
      </c>
      <c r="AK2979">
        <v>0.90146439715223703</v>
      </c>
      <c r="AL2979">
        <v>68.581788685817699</v>
      </c>
      <c r="AM2979">
        <v>108.02131031318901</v>
      </c>
      <c r="AN2979">
        <v>1.00000000118901</v>
      </c>
    </row>
    <row r="2980" spans="1:40" x14ac:dyDescent="0.25">
      <c r="A2980" t="str">
        <f>"20190304164910924"</f>
        <v>20190304164910924</v>
      </c>
      <c r="B2980" t="str">
        <f>"1551689350918536"</f>
        <v>1551689350918536</v>
      </c>
      <c r="C2980" t="s">
        <v>40</v>
      </c>
      <c r="D2980">
        <v>4.3220219999999996</v>
      </c>
      <c r="E2980">
        <v>0.44124950000000002</v>
      </c>
      <c r="F2980" t="s">
        <v>45</v>
      </c>
      <c r="G2980">
        <v>-481.96</v>
      </c>
      <c r="H2980" s="1">
        <v>1.6609109999999999E-6</v>
      </c>
      <c r="I2980">
        <v>278.03890000000001</v>
      </c>
      <c r="J2980">
        <v>-471.75819999999999</v>
      </c>
      <c r="K2980">
        <v>1.114957</v>
      </c>
      <c r="L2980">
        <v>284.7371</v>
      </c>
      <c r="M2980">
        <v>-0.99100509999999997</v>
      </c>
      <c r="N2980">
        <v>-1.255818E-2</v>
      </c>
      <c r="O2980">
        <v>-0.13323460000000001</v>
      </c>
      <c r="P2980">
        <v>-0.84396729999999998</v>
      </c>
      <c r="Q2980">
        <v>0.35730410000000001</v>
      </c>
      <c r="R2980">
        <v>-0.4000667</v>
      </c>
      <c r="S2980">
        <v>-2.81778</v>
      </c>
      <c r="T2980">
        <v>-0.30295440000000001</v>
      </c>
      <c r="U2980">
        <v>-1.8272090000000001</v>
      </c>
      <c r="V2980">
        <v>-0.28775509999999999</v>
      </c>
      <c r="W2980">
        <v>0.36555880000000002</v>
      </c>
      <c r="X2980">
        <v>0.88519139999999996</v>
      </c>
      <c r="Y2980">
        <v>-0.42588039999999999</v>
      </c>
      <c r="Z2980">
        <v>-1.241738E-2</v>
      </c>
      <c r="AA2980">
        <v>0.90469429999999995</v>
      </c>
      <c r="AB2980">
        <v>27</v>
      </c>
      <c r="AC2980">
        <v>-10.201799999999899</v>
      </c>
      <c r="AD2980">
        <v>-1.1149553390889999</v>
      </c>
      <c r="AE2980">
        <v>-6.6981999999999804</v>
      </c>
      <c r="AF2980">
        <v>-5.2354364653021799</v>
      </c>
      <c r="AG2980">
        <v>-1.1149553390889999</v>
      </c>
      <c r="AH2980">
        <v>10.912256618341001</v>
      </c>
      <c r="AI2980">
        <v>95.263278364334596</v>
      </c>
      <c r="AJ2980">
        <v>115.630563853181</v>
      </c>
      <c r="AK2980">
        <v>12.154433960284001</v>
      </c>
      <c r="AL2980">
        <v>68.558024293906399</v>
      </c>
      <c r="AM2980">
        <v>108.00813631727701</v>
      </c>
      <c r="AN2980">
        <v>1.0000000242336999</v>
      </c>
    </row>
    <row r="2981" spans="1:40" x14ac:dyDescent="0.25">
      <c r="A2981" t="str">
        <f>"20190304164910940"</f>
        <v>20190304164910940</v>
      </c>
      <c r="B2981" t="str">
        <f>"1551689350929272"</f>
        <v>1551689350929272</v>
      </c>
      <c r="C2981" t="s">
        <v>40</v>
      </c>
      <c r="D2981">
        <v>4.3020719999999999</v>
      </c>
      <c r="E2981">
        <v>0.4410075</v>
      </c>
      <c r="F2981" t="s">
        <v>41</v>
      </c>
      <c r="G2981">
        <v>-472.6053</v>
      </c>
      <c r="H2981">
        <v>1.0247630000000001</v>
      </c>
      <c r="I2981">
        <v>284.18270000000001</v>
      </c>
      <c r="J2981">
        <v>-471.95119999999997</v>
      </c>
      <c r="K2981">
        <v>1.1150639999999901</v>
      </c>
      <c r="L2981">
        <v>284.70650000000001</v>
      </c>
      <c r="M2981">
        <v>-0.99040760000000005</v>
      </c>
      <c r="N2981">
        <v>-1.2663550000000001E-2</v>
      </c>
      <c r="O2981">
        <v>-0.13759479999999999</v>
      </c>
      <c r="P2981">
        <v>-0.8423543</v>
      </c>
      <c r="Q2981">
        <v>0.35773719999999998</v>
      </c>
      <c r="R2981">
        <v>-0.40306740000000002</v>
      </c>
      <c r="S2981">
        <v>-2.8095400000000001</v>
      </c>
      <c r="T2981">
        <v>-0.29911320000000002</v>
      </c>
      <c r="U2981">
        <v>-1.8390500000000001</v>
      </c>
      <c r="V2981">
        <v>-0.28711950000000003</v>
      </c>
      <c r="W2981">
        <v>0.36602790000000002</v>
      </c>
      <c r="X2981">
        <v>0.88520390000000004</v>
      </c>
      <c r="Y2981">
        <v>-0.42582809999999999</v>
      </c>
      <c r="Z2981">
        <v>-1.200596E-2</v>
      </c>
      <c r="AA2981">
        <v>0.90472439999999998</v>
      </c>
      <c r="AB2981">
        <v>27</v>
      </c>
      <c r="AC2981">
        <v>-0.65410000000002799</v>
      </c>
      <c r="AD2981">
        <v>-9.0300999999999895E-2</v>
      </c>
      <c r="AE2981">
        <v>-0.52379999999999405</v>
      </c>
      <c r="AF2981">
        <v>-0.42388686911783602</v>
      </c>
      <c r="AG2981">
        <v>-9.0300999999999895E-2</v>
      </c>
      <c r="AH2981">
        <v>0.71169119977171202</v>
      </c>
      <c r="AI2981">
        <v>96.221330040564794</v>
      </c>
      <c r="AJ2981">
        <v>120.778241320964</v>
      </c>
      <c r="AK2981">
        <v>0.833269891598167</v>
      </c>
      <c r="AL2981">
        <v>68.529144602867703</v>
      </c>
      <c r="AM2981">
        <v>107.970682538923</v>
      </c>
      <c r="AN2981">
        <v>0.99999998771693399</v>
      </c>
    </row>
    <row r="2982" spans="1:40" x14ac:dyDescent="0.25">
      <c r="A2982" t="str">
        <f>"20190304164910954"</f>
        <v>20190304164910954</v>
      </c>
      <c r="B2982" t="str">
        <f>"1551689350948792"</f>
        <v>1551689350948792</v>
      </c>
      <c r="C2982" t="s">
        <v>40</v>
      </c>
      <c r="D2982">
        <v>4.2990300000000001</v>
      </c>
      <c r="E2982">
        <v>0.44065090000000001</v>
      </c>
      <c r="F2982" t="s">
        <v>41</v>
      </c>
      <c r="G2982">
        <v>-472.78379999999999</v>
      </c>
      <c r="H2982">
        <v>1.026845</v>
      </c>
      <c r="I2982">
        <v>284.15640000000002</v>
      </c>
      <c r="J2982">
        <v>-472.10770000000002</v>
      </c>
      <c r="K2982">
        <v>1.1151500000000001</v>
      </c>
      <c r="L2982">
        <v>284.68099999999998</v>
      </c>
      <c r="M2982">
        <v>-0.98989870000000002</v>
      </c>
      <c r="N2982">
        <v>-1.2749409999999999E-2</v>
      </c>
      <c r="O2982">
        <v>-0.1412031</v>
      </c>
      <c r="P2982">
        <v>-0.84109029999999996</v>
      </c>
      <c r="Q2982">
        <v>0.35766769999999998</v>
      </c>
      <c r="R2982">
        <v>-0.4057598</v>
      </c>
      <c r="S2982">
        <v>-2.8015750000000001</v>
      </c>
      <c r="T2982">
        <v>-0.2968401</v>
      </c>
      <c r="U2982">
        <v>-1.8515010000000001</v>
      </c>
      <c r="V2982">
        <v>-0.28678809999999999</v>
      </c>
      <c r="W2982">
        <v>0.36598619999999998</v>
      </c>
      <c r="X2982">
        <v>0.88532860000000002</v>
      </c>
      <c r="Y2982">
        <v>-0.42653799999999997</v>
      </c>
      <c r="Z2982">
        <v>-1.173713E-2</v>
      </c>
      <c r="AA2982">
        <v>0.90439349999999996</v>
      </c>
      <c r="AB2982">
        <v>27</v>
      </c>
      <c r="AC2982">
        <v>-0.67609999999996195</v>
      </c>
      <c r="AD2982">
        <v>-8.8304999999999995E-2</v>
      </c>
      <c r="AE2982">
        <v>-0.52459999999996398</v>
      </c>
      <c r="AF2982">
        <v>-0.41940199782132798</v>
      </c>
      <c r="AG2982">
        <v>-8.8304999999999995E-2</v>
      </c>
      <c r="AH2982">
        <v>0.73557351256652903</v>
      </c>
      <c r="AI2982">
        <v>95.953761273234605</v>
      </c>
      <c r="AJ2982">
        <v>119.69049418394999</v>
      </c>
      <c r="AK2982">
        <v>0.85133084120744995</v>
      </c>
      <c r="AL2982">
        <v>68.531712741773802</v>
      </c>
      <c r="AM2982">
        <v>107.948905801403</v>
      </c>
      <c r="AN2982">
        <v>1.000000021435</v>
      </c>
    </row>
    <row r="2983" spans="1:40" x14ac:dyDescent="0.25">
      <c r="A2983" t="str">
        <f>"20190304164910975"</f>
        <v>20190304164910975</v>
      </c>
      <c r="B2983" t="str">
        <f>"1551689350969287"</f>
        <v>1551689350969287</v>
      </c>
      <c r="C2983" t="s">
        <v>40</v>
      </c>
      <c r="D2983">
        <v>4.2868000000000004</v>
      </c>
      <c r="E2983">
        <v>0.44049349999999998</v>
      </c>
      <c r="F2983" t="s">
        <v>45</v>
      </c>
      <c r="G2983">
        <v>-482.5847</v>
      </c>
      <c r="H2983" s="1">
        <v>1.6551029999999999E-6</v>
      </c>
      <c r="I2983">
        <v>277.69130000000001</v>
      </c>
      <c r="J2983">
        <v>-472.34559999999999</v>
      </c>
      <c r="K2983">
        <v>1.1152869999999999</v>
      </c>
      <c r="L2983">
        <v>284.64089999999999</v>
      </c>
      <c r="M2983">
        <v>-0.98907540000000005</v>
      </c>
      <c r="N2983">
        <v>-1.2884929999999999E-2</v>
      </c>
      <c r="O2983">
        <v>-0.14684739999999999</v>
      </c>
      <c r="P2983">
        <v>-0.8390145</v>
      </c>
      <c r="Q2983">
        <v>0.35745880000000002</v>
      </c>
      <c r="R2983">
        <v>-0.4102171</v>
      </c>
      <c r="S2983">
        <v>-2.7939759999999998</v>
      </c>
      <c r="T2983">
        <v>-0.29738700000000001</v>
      </c>
      <c r="U2983">
        <v>-1.8640140000000001</v>
      </c>
      <c r="V2983">
        <v>-0.28652810000000001</v>
      </c>
      <c r="W2983">
        <v>0.36581930000000001</v>
      </c>
      <c r="X2983">
        <v>0.88548179999999999</v>
      </c>
      <c r="Y2983">
        <v>-0.42533270000000001</v>
      </c>
      <c r="Z2983">
        <v>-1.1283059999999999E-2</v>
      </c>
      <c r="AA2983">
        <v>0.90496670000000001</v>
      </c>
      <c r="AB2983">
        <v>27</v>
      </c>
      <c r="AC2983">
        <v>-10.239100000000001</v>
      </c>
      <c r="AD2983">
        <v>-1.1152853448969999</v>
      </c>
      <c r="AE2983">
        <v>-6.94959999999997</v>
      </c>
      <c r="AF2983">
        <v>-5.32726694812568</v>
      </c>
      <c r="AG2983">
        <v>-1.1152853448969999</v>
      </c>
      <c r="AH2983">
        <v>11.058869661456299</v>
      </c>
      <c r="AI2983">
        <v>95.191494258394201</v>
      </c>
      <c r="AJ2983">
        <v>115.72099755446</v>
      </c>
      <c r="AK2983">
        <v>12.325673723014599</v>
      </c>
      <c r="AL2983">
        <v>68.541988948355794</v>
      </c>
      <c r="AM2983">
        <v>107.930771958462</v>
      </c>
      <c r="AN2983">
        <v>1.0000000652366601</v>
      </c>
    </row>
    <row r="2984" spans="1:40" x14ac:dyDescent="0.25">
      <c r="A2984" t="str">
        <f>"20190304164910989"</f>
        <v>20190304164910989</v>
      </c>
      <c r="B2984" t="str">
        <f>"1551689350979047"</f>
        <v>1551689350979047</v>
      </c>
      <c r="C2984" t="s">
        <v>40</v>
      </c>
      <c r="D2984">
        <v>4.3065220000000002</v>
      </c>
      <c r="E2984">
        <v>0.4403107</v>
      </c>
      <c r="F2984" t="s">
        <v>45</v>
      </c>
      <c r="G2984">
        <v>-482.73009999999999</v>
      </c>
      <c r="H2984" s="1">
        <v>1.6553259999999999E-6</v>
      </c>
      <c r="I2984">
        <v>277.61930000000001</v>
      </c>
      <c r="J2984">
        <v>-472.5145</v>
      </c>
      <c r="K2984">
        <v>1.1153879999999901</v>
      </c>
      <c r="L2984">
        <v>284.61130000000003</v>
      </c>
      <c r="M2984">
        <v>-0.98844960000000004</v>
      </c>
      <c r="N2984">
        <v>-1.2984010000000001E-2</v>
      </c>
      <c r="O2984">
        <v>-0.15099290000000001</v>
      </c>
      <c r="P2984">
        <v>-0.83738999999999997</v>
      </c>
      <c r="Q2984">
        <v>0.3573289</v>
      </c>
      <c r="R2984">
        <v>-0.41363539999999999</v>
      </c>
      <c r="S2984">
        <v>-2.7829280000000001</v>
      </c>
      <c r="T2984">
        <v>-0.29888500000000001</v>
      </c>
      <c r="U2984">
        <v>-1.8817140000000001</v>
      </c>
      <c r="V2984">
        <v>-0.28650059999999999</v>
      </c>
      <c r="W2984">
        <v>0.36571409999999999</v>
      </c>
      <c r="X2984">
        <v>0.88553400000000004</v>
      </c>
      <c r="Y2984">
        <v>-0.42714410000000003</v>
      </c>
      <c r="Z2984">
        <v>-1.1128209999999999E-2</v>
      </c>
      <c r="AA2984">
        <v>0.90411509999999995</v>
      </c>
      <c r="AB2984">
        <v>27</v>
      </c>
      <c r="AC2984">
        <v>-10.215599999999901</v>
      </c>
      <c r="AD2984">
        <v>-1.11538634467399</v>
      </c>
      <c r="AE2984">
        <v>-6.9920000000000098</v>
      </c>
      <c r="AF2984">
        <v>-5.32597167259941</v>
      </c>
      <c r="AG2984">
        <v>-1.11538634467399</v>
      </c>
      <c r="AH2984">
        <v>11.0644644824576</v>
      </c>
      <c r="AI2984">
        <v>95.190078453277295</v>
      </c>
      <c r="AJ2984">
        <v>115.704223378504</v>
      </c>
      <c r="AK2984">
        <v>12.3301433584036</v>
      </c>
      <c r="AL2984">
        <v>68.548462204191296</v>
      </c>
      <c r="AM2984">
        <v>107.92817196246401</v>
      </c>
      <c r="AN2984">
        <v>0.99999993094758199</v>
      </c>
    </row>
    <row r="2985" spans="1:40" x14ac:dyDescent="0.25">
      <c r="A2985" t="str">
        <f>"20190304164911008"</f>
        <v>20190304164911008</v>
      </c>
      <c r="B2985" t="str">
        <f>"1551689350998567"</f>
        <v>1551689350998567</v>
      </c>
      <c r="C2985" t="s">
        <v>40</v>
      </c>
      <c r="D2985">
        <v>4.5402389999999997</v>
      </c>
      <c r="E2985">
        <v>0.44031480000000001</v>
      </c>
      <c r="F2985" t="s">
        <v>45</v>
      </c>
      <c r="G2985">
        <v>-482.80650000000003</v>
      </c>
      <c r="H2985" s="1">
        <v>1.655857E-6</v>
      </c>
      <c r="I2985">
        <v>277.58390000000003</v>
      </c>
      <c r="J2985">
        <v>-472.72719999999998</v>
      </c>
      <c r="K2985">
        <v>1.1155200000000001</v>
      </c>
      <c r="L2985">
        <v>284.57299999999998</v>
      </c>
      <c r="M2985">
        <v>-0.98761679999999996</v>
      </c>
      <c r="N2985">
        <v>-1.3107010000000001E-2</v>
      </c>
      <c r="O2985">
        <v>-0.1563378</v>
      </c>
      <c r="P2985">
        <v>-0.83513280000000001</v>
      </c>
      <c r="Q2985">
        <v>0.35676639999999998</v>
      </c>
      <c r="R2985">
        <v>-0.41865400000000003</v>
      </c>
      <c r="S2985">
        <v>-2.7749630000000001</v>
      </c>
      <c r="T2985">
        <v>-0.3007358</v>
      </c>
      <c r="U2985">
        <v>-1.8947750000000001</v>
      </c>
      <c r="V2985">
        <v>-0.28709620000000002</v>
      </c>
      <c r="W2985">
        <v>0.36516870000000001</v>
      </c>
      <c r="X2985">
        <v>0.88556630000000003</v>
      </c>
      <c r="Y2985">
        <v>-0.42636659999999998</v>
      </c>
      <c r="Z2985">
        <v>-1.073903E-2</v>
      </c>
      <c r="AA2985">
        <v>0.90448669999999998</v>
      </c>
      <c r="AB2985">
        <v>27</v>
      </c>
      <c r="AC2985">
        <v>-10.0793</v>
      </c>
      <c r="AD2985">
        <v>-1.1155183441429899</v>
      </c>
      <c r="AE2985">
        <v>-6.9890999999999499</v>
      </c>
      <c r="AF2985">
        <v>-5.28353058255923</v>
      </c>
      <c r="AG2985">
        <v>-1.1155183441429899</v>
      </c>
      <c r="AH2985">
        <v>10.9574582640192</v>
      </c>
      <c r="AI2985">
        <v>95.2394124810139</v>
      </c>
      <c r="AJ2985">
        <v>115.74270385509099</v>
      </c>
      <c r="AK2985">
        <v>12.215808127204699</v>
      </c>
      <c r="AL2985">
        <v>68.582035733678495</v>
      </c>
      <c r="AM2985">
        <v>107.962436924451</v>
      </c>
      <c r="AN2985">
        <v>1.0000000396049</v>
      </c>
    </row>
    <row r="2986" spans="1:40" x14ac:dyDescent="0.25">
      <c r="A2986" t="str">
        <f>"20190304164911031"</f>
        <v>20190304164911031</v>
      </c>
      <c r="B2986" t="str">
        <f>"1551689351028823"</f>
        <v>1551689351028823</v>
      </c>
      <c r="C2986" t="s">
        <v>40</v>
      </c>
      <c r="D2986">
        <v>4.3273570000000001</v>
      </c>
      <c r="E2986">
        <v>0.4403338</v>
      </c>
      <c r="F2986" t="s">
        <v>45</v>
      </c>
      <c r="G2986">
        <v>-482.91829999999999</v>
      </c>
      <c r="H2986" s="1">
        <v>1.6547250000000001E-6</v>
      </c>
      <c r="I2986">
        <v>277.52109999999999</v>
      </c>
      <c r="J2986">
        <v>-472.99919999999997</v>
      </c>
      <c r="K2986">
        <v>1.1156999999999999</v>
      </c>
      <c r="L2986">
        <v>284.52210000000002</v>
      </c>
      <c r="M2986">
        <v>-0.98647070000000003</v>
      </c>
      <c r="N2986">
        <v>-1.3257049999999999E-2</v>
      </c>
      <c r="O2986">
        <v>-0.16340150000000001</v>
      </c>
      <c r="P2986">
        <v>-0.83215599999999901</v>
      </c>
      <c r="Q2986">
        <v>0.35589739999999997</v>
      </c>
      <c r="R2986">
        <v>-0.42526920000000001</v>
      </c>
      <c r="S2986">
        <v>-2.7629700000000001</v>
      </c>
      <c r="T2986">
        <v>-0.3024329</v>
      </c>
      <c r="U2986">
        <v>-1.9118649999999999</v>
      </c>
      <c r="V2986">
        <v>-0.2878715</v>
      </c>
      <c r="W2986">
        <v>0.36430950000000001</v>
      </c>
      <c r="X2986">
        <v>0.88566849999999997</v>
      </c>
      <c r="Y2986">
        <v>-0.42552089999999998</v>
      </c>
      <c r="Z2986">
        <v>-1.0211E-2</v>
      </c>
      <c r="AA2986">
        <v>0.904891</v>
      </c>
      <c r="AB2986">
        <v>27</v>
      </c>
      <c r="AC2986">
        <v>-9.9191000000000091</v>
      </c>
      <c r="AD2986">
        <v>-1.115698345275</v>
      </c>
      <c r="AE2986">
        <v>-7.0010000000000296</v>
      </c>
      <c r="AF2986">
        <v>-5.2416845365988101</v>
      </c>
      <c r="AG2986">
        <v>-1.115698345275</v>
      </c>
      <c r="AH2986">
        <v>10.838307424568001</v>
      </c>
      <c r="AI2986">
        <v>95.294566573302006</v>
      </c>
      <c r="AJ2986">
        <v>115.80960631198801</v>
      </c>
      <c r="AK2986">
        <v>12.090862144955301</v>
      </c>
      <c r="AL2986">
        <v>68.634906830922304</v>
      </c>
      <c r="AM2986">
        <v>108.00587232855599</v>
      </c>
      <c r="AN2986">
        <v>1.00000005209737</v>
      </c>
    </row>
    <row r="2987" spans="1:40" x14ac:dyDescent="0.25">
      <c r="A2987" t="str">
        <f>"20190304164911053"</f>
        <v>20190304164911053</v>
      </c>
      <c r="B2987" t="str">
        <f>"1551689351048345"</f>
        <v>1551689351048345</v>
      </c>
      <c r="C2987" t="s">
        <v>40</v>
      </c>
      <c r="D2987">
        <v>4.3284349999999998</v>
      </c>
      <c r="E2987">
        <v>0.44019920000000001</v>
      </c>
      <c r="F2987" t="s">
        <v>45</v>
      </c>
      <c r="G2987">
        <v>-482.99689999999998</v>
      </c>
      <c r="H2987" s="1">
        <v>1.6559319999999999E-6</v>
      </c>
      <c r="I2987">
        <v>277.48840000000001</v>
      </c>
      <c r="J2987">
        <v>-473.24790000000002</v>
      </c>
      <c r="K2987">
        <v>1.115875</v>
      </c>
      <c r="L2987">
        <v>284.4735</v>
      </c>
      <c r="M2987">
        <v>-0.9853383</v>
      </c>
      <c r="N2987">
        <v>-1.3383630000000001E-2</v>
      </c>
      <c r="O2987">
        <v>-0.1700866</v>
      </c>
      <c r="P2987">
        <v>-0.82942590000000005</v>
      </c>
      <c r="Q2987">
        <v>0.355539099999999</v>
      </c>
      <c r="R2987">
        <v>-0.4308652</v>
      </c>
      <c r="S2987">
        <v>-2.7481689999999999</v>
      </c>
      <c r="T2987">
        <v>-0.3066835</v>
      </c>
      <c r="U2987">
        <v>-1.933411</v>
      </c>
      <c r="V2987">
        <v>-0.28794019999999998</v>
      </c>
      <c r="W2987">
        <v>0.36395729999999998</v>
      </c>
      <c r="X2987">
        <v>0.88579089999999905</v>
      </c>
      <c r="Y2987">
        <v>-0.42640220000000001</v>
      </c>
      <c r="Z2987">
        <v>-9.8375849999999994E-3</v>
      </c>
      <c r="AA2987">
        <v>0.90448019999999996</v>
      </c>
      <c r="AB2987">
        <v>27</v>
      </c>
      <c r="AC2987">
        <v>-9.7489999999999597</v>
      </c>
      <c r="AD2987">
        <v>-1.115873344068</v>
      </c>
      <c r="AE2987">
        <v>-6.9850999999999797</v>
      </c>
      <c r="AF2987">
        <v>-5.1801355829959599</v>
      </c>
      <c r="AG2987">
        <v>-1.115873344068</v>
      </c>
      <c r="AH2987">
        <v>10.70245022217</v>
      </c>
      <c r="AI2987">
        <v>95.361411427053099</v>
      </c>
      <c r="AJ2987">
        <v>115.82763132944</v>
      </c>
      <c r="AK2987">
        <v>11.942420974670499</v>
      </c>
      <c r="AL2987">
        <v>68.656572679340499</v>
      </c>
      <c r="AM2987">
        <v>108.00756397101399</v>
      </c>
      <c r="AN2987">
        <v>0.99999999676106999</v>
      </c>
    </row>
    <row r="2988" spans="1:40" x14ac:dyDescent="0.25">
      <c r="A2988" t="str">
        <f>"20190304164911075"</f>
        <v>20190304164911075</v>
      </c>
      <c r="B2988" t="str">
        <f>"1551689351068843"</f>
        <v>1551689351068843</v>
      </c>
      <c r="C2988" t="s">
        <v>40</v>
      </c>
      <c r="D2988">
        <v>4.523517</v>
      </c>
      <c r="E2988">
        <v>0.4401118</v>
      </c>
      <c r="F2988" t="s">
        <v>45</v>
      </c>
      <c r="G2988">
        <v>-483.09769999999997</v>
      </c>
      <c r="H2988" s="1">
        <v>1.6557370000000001E-6</v>
      </c>
      <c r="I2988">
        <v>277.43650000000002</v>
      </c>
      <c r="J2988">
        <v>-473.5009</v>
      </c>
      <c r="K2988">
        <v>1.1160429999999999</v>
      </c>
      <c r="L2988">
        <v>284.42200000000003</v>
      </c>
      <c r="M2988">
        <v>-0.98409800000000003</v>
      </c>
      <c r="N2988">
        <v>-1.350223E-2</v>
      </c>
      <c r="O2988">
        <v>-0.17711260000000001</v>
      </c>
      <c r="P2988">
        <v>-0.8260921</v>
      </c>
      <c r="Q2988">
        <v>0.3559213</v>
      </c>
      <c r="R2988">
        <v>-0.43691190000000002</v>
      </c>
      <c r="S2988">
        <v>-2.7348629999999998</v>
      </c>
      <c r="T2988">
        <v>-0.30982939999999998</v>
      </c>
      <c r="U2988">
        <v>-1.953857</v>
      </c>
      <c r="V2988">
        <v>-0.28826479999999999</v>
      </c>
      <c r="W2988">
        <v>0.36432949999999997</v>
      </c>
      <c r="X2988">
        <v>0.88553230000000005</v>
      </c>
      <c r="Y2988">
        <v>-0.42650270000000001</v>
      </c>
      <c r="Z2988">
        <v>-9.3546879999999999E-3</v>
      </c>
      <c r="AA2988">
        <v>0.90443790000000002</v>
      </c>
      <c r="AB2988">
        <v>26</v>
      </c>
      <c r="AC2988">
        <v>-9.5967999999999698</v>
      </c>
      <c r="AD2988">
        <v>-1.1160413442629999</v>
      </c>
      <c r="AE2988">
        <v>-6.9855</v>
      </c>
      <c r="AF2988">
        <v>-5.12982526472189</v>
      </c>
      <c r="AG2988">
        <v>-1.1160413442629999</v>
      </c>
      <c r="AH2988">
        <v>10.5887782253919</v>
      </c>
      <c r="AI2988">
        <v>95.418497513962095</v>
      </c>
      <c r="AJ2988">
        <v>115.84826969265799</v>
      </c>
      <c r="AK2988">
        <v>11.8187511960958</v>
      </c>
      <c r="AL2988">
        <v>68.633675560761404</v>
      </c>
      <c r="AM2988">
        <v>108.03147503485</v>
      </c>
      <c r="AN2988">
        <v>1.0000000169162899</v>
      </c>
    </row>
    <row r="2989" spans="1:40" x14ac:dyDescent="0.25">
      <c r="A2989" t="str">
        <f>"20190304164911098"</f>
        <v>20190304164911098</v>
      </c>
      <c r="B2989" t="str">
        <f>"1551689351089335"</f>
        <v>1551689351089335</v>
      </c>
      <c r="C2989" t="s">
        <v>40</v>
      </c>
      <c r="D2989">
        <v>4.3506960000000001</v>
      </c>
      <c r="E2989">
        <v>0.44000729999999999</v>
      </c>
      <c r="F2989" t="s">
        <v>45</v>
      </c>
      <c r="G2989">
        <v>-483.3066</v>
      </c>
      <c r="H2989" s="1">
        <v>1.650542E-6</v>
      </c>
      <c r="I2989">
        <v>277.30180000000001</v>
      </c>
      <c r="J2989">
        <v>-473.75740000000002</v>
      </c>
      <c r="K2989">
        <v>1.116212</v>
      </c>
      <c r="L2989">
        <v>284.36739999999998</v>
      </c>
      <c r="M2989">
        <v>-0.98273719999999998</v>
      </c>
      <c r="N2989">
        <v>-1.3612839999999999E-2</v>
      </c>
      <c r="O2989">
        <v>-0.18450530000000001</v>
      </c>
      <c r="P2989">
        <v>-0.82217289999999998</v>
      </c>
      <c r="Q2989">
        <v>0.35674029999999901</v>
      </c>
      <c r="R2989">
        <v>-0.44358510000000001</v>
      </c>
      <c r="S2989">
        <v>-2.7203059999999999</v>
      </c>
      <c r="T2989">
        <v>-0.30961159999999999</v>
      </c>
      <c r="U2989">
        <v>-1.9752810000000001</v>
      </c>
      <c r="V2989">
        <v>-0.28899639999999999</v>
      </c>
      <c r="W2989">
        <v>0.36512119999999998</v>
      </c>
      <c r="X2989">
        <v>0.88496759999999997</v>
      </c>
      <c r="Y2989">
        <v>-0.42669190000000001</v>
      </c>
      <c r="Z2989">
        <v>-8.7951369999999997E-3</v>
      </c>
      <c r="AA2989">
        <v>0.90435430000000006</v>
      </c>
      <c r="AB2989">
        <v>26</v>
      </c>
      <c r="AC2989">
        <v>-9.5491999999999795</v>
      </c>
      <c r="AD2989">
        <v>-1.116210349458</v>
      </c>
      <c r="AE2989">
        <v>-7.0655999999999599</v>
      </c>
      <c r="AF2989">
        <v>-5.1368744704481903</v>
      </c>
      <c r="AG2989">
        <v>-1.116210349458</v>
      </c>
      <c r="AH2989">
        <v>10.5954335390943</v>
      </c>
      <c r="AI2989">
        <v>95.415166670187403</v>
      </c>
      <c r="AJ2989">
        <v>115.865019514382</v>
      </c>
      <c r="AK2989">
        <v>11.827790019726599</v>
      </c>
      <c r="AL2989">
        <v>68.584958959810294</v>
      </c>
      <c r="AM2989">
        <v>108.085047699667</v>
      </c>
      <c r="AN2989">
        <v>1.00000003147607</v>
      </c>
    </row>
    <row r="2990" spans="1:40" x14ac:dyDescent="0.25">
      <c r="A2990" t="str">
        <f>"20190304164911119"</f>
        <v>20190304164911119</v>
      </c>
      <c r="B2990" t="str">
        <f>"1551689351108855"</f>
        <v>1551689351108855</v>
      </c>
      <c r="C2990" t="s">
        <v>40</v>
      </c>
      <c r="D2990">
        <v>4.3362259999999999</v>
      </c>
      <c r="E2990">
        <v>0.43998779999999998</v>
      </c>
      <c r="F2990" t="s">
        <v>41</v>
      </c>
      <c r="G2990">
        <v>-474.58909999999997</v>
      </c>
      <c r="H2990">
        <v>1.0210429999999999</v>
      </c>
      <c r="I2990">
        <v>283.75319999999999</v>
      </c>
      <c r="J2990">
        <v>-474.00560000000002</v>
      </c>
      <c r="K2990">
        <v>1.1163639999999999</v>
      </c>
      <c r="L2990">
        <v>284.3125</v>
      </c>
      <c r="M2990">
        <v>-0.98132050000000004</v>
      </c>
      <c r="N2990">
        <v>-1.37122999999999E-2</v>
      </c>
      <c r="O2990">
        <v>-0.19189120000000001</v>
      </c>
      <c r="P2990">
        <v>-0.81811299999999998</v>
      </c>
      <c r="Q2990">
        <v>0.35749910000000001</v>
      </c>
      <c r="R2990">
        <v>-0.45042860000000001</v>
      </c>
      <c r="S2990">
        <v>-2.705139</v>
      </c>
      <c r="T2990">
        <v>-0.30954710000000002</v>
      </c>
      <c r="U2990">
        <v>-1.998016</v>
      </c>
      <c r="V2990">
        <v>-0.28993449999999998</v>
      </c>
      <c r="W2990">
        <v>0.36584420000000001</v>
      </c>
      <c r="X2990">
        <v>0.88436190000000003</v>
      </c>
      <c r="Y2990">
        <v>-0.4272531</v>
      </c>
      <c r="Z2990">
        <v>-8.2563250000000001E-3</v>
      </c>
      <c r="AA2990">
        <v>0.90409430000000002</v>
      </c>
      <c r="AB2990">
        <v>26</v>
      </c>
      <c r="AC2990">
        <v>-0.58349999999995805</v>
      </c>
      <c r="AD2990">
        <v>-9.5321000000000003E-2</v>
      </c>
      <c r="AE2990">
        <v>-0.55930000000000701</v>
      </c>
      <c r="AF2990">
        <v>-0.43093158165314099</v>
      </c>
      <c r="AG2990">
        <v>-9.5321000000000003E-2</v>
      </c>
      <c r="AH2990">
        <v>0.67066141248170696</v>
      </c>
      <c r="AI2990">
        <v>96.818677963910005</v>
      </c>
      <c r="AJ2990">
        <v>122.722657097968</v>
      </c>
      <c r="AK2990">
        <v>0.80285419055955398</v>
      </c>
      <c r="AL2990">
        <v>68.540454138235503</v>
      </c>
      <c r="AM2990">
        <v>108.15152294881599</v>
      </c>
      <c r="AN2990">
        <v>0.99999998156774905</v>
      </c>
    </row>
    <row r="2991" spans="1:40" x14ac:dyDescent="0.25">
      <c r="A2991" t="str">
        <f>"20190304164911143"</f>
        <v>20190304164911143</v>
      </c>
      <c r="B2991" t="str">
        <f>"1551689351139111"</f>
        <v>1551689351139111</v>
      </c>
      <c r="C2991" t="s">
        <v>40</v>
      </c>
      <c r="D2991">
        <v>4.3287069999999996</v>
      </c>
      <c r="E2991">
        <v>0.44002039999999998</v>
      </c>
      <c r="F2991" t="s">
        <v>41</v>
      </c>
      <c r="G2991">
        <v>-474.81490000000002</v>
      </c>
      <c r="H2991">
        <v>1.0233890000000001</v>
      </c>
      <c r="I2991">
        <v>283.70440000000002</v>
      </c>
      <c r="J2991">
        <v>-474.2645</v>
      </c>
      <c r="K2991">
        <v>1.1165069999999999</v>
      </c>
      <c r="L2991">
        <v>284.25279999999998</v>
      </c>
      <c r="M2991">
        <v>-0.97973900000000003</v>
      </c>
      <c r="N2991">
        <v>-1.380669E-2</v>
      </c>
      <c r="O2991">
        <v>-0.1998028</v>
      </c>
      <c r="P2991">
        <v>-0.8139575</v>
      </c>
      <c r="Q2991">
        <v>0.35844480000000001</v>
      </c>
      <c r="R2991">
        <v>-0.45715479999999997</v>
      </c>
      <c r="S2991">
        <v>-2.6892399999999999</v>
      </c>
      <c r="T2991">
        <v>-0.3088861</v>
      </c>
      <c r="U2991">
        <v>-2.0210569999999999</v>
      </c>
      <c r="V2991">
        <v>-0.2903075</v>
      </c>
      <c r="W2991">
        <v>0.36676569999999997</v>
      </c>
      <c r="X2991">
        <v>0.88385769999999997</v>
      </c>
      <c r="Y2991">
        <v>-0.42750519999999997</v>
      </c>
      <c r="Z2991">
        <v>-7.65053E-3</v>
      </c>
      <c r="AA2991">
        <v>0.90398060000000002</v>
      </c>
      <c r="AB2991">
        <v>26</v>
      </c>
      <c r="AC2991">
        <v>-0.55040000000002398</v>
      </c>
      <c r="AD2991">
        <v>-9.3118000000000006E-2</v>
      </c>
      <c r="AE2991">
        <v>-0.54839999999995803</v>
      </c>
      <c r="AF2991">
        <v>-0.42130666461285599</v>
      </c>
      <c r="AG2991">
        <v>-9.3118000000000006E-2</v>
      </c>
      <c r="AH2991">
        <v>0.63969375158168296</v>
      </c>
      <c r="AI2991">
        <v>96.9313780191505</v>
      </c>
      <c r="AJ2991">
        <v>123.369172615005</v>
      </c>
      <c r="AK2991">
        <v>0.77160764860378195</v>
      </c>
      <c r="AL2991">
        <v>68.483712149849495</v>
      </c>
      <c r="AM2991">
        <v>108.183025753324</v>
      </c>
      <c r="AN2991">
        <v>0.99999997855101397</v>
      </c>
    </row>
    <row r="2992" spans="1:40" x14ac:dyDescent="0.25">
      <c r="A2992" t="str">
        <f>"20190304164911165"</f>
        <v>20190304164911165</v>
      </c>
      <c r="B2992" t="str">
        <f>"1551689351158635"</f>
        <v>1551689351158635</v>
      </c>
      <c r="C2992" t="s">
        <v>40</v>
      </c>
      <c r="D2992">
        <v>4.335693</v>
      </c>
      <c r="E2992">
        <v>0.44005060000000001</v>
      </c>
      <c r="F2992" t="s">
        <v>41</v>
      </c>
      <c r="G2992">
        <v>-475.04559999999998</v>
      </c>
      <c r="H2992">
        <v>1.0263789999999999</v>
      </c>
      <c r="I2992">
        <v>283.65539999999999</v>
      </c>
      <c r="J2992">
        <v>-474.51949999999999</v>
      </c>
      <c r="K2992">
        <v>1.116633</v>
      </c>
      <c r="L2992">
        <v>284.19170000000003</v>
      </c>
      <c r="M2992">
        <v>-0.97807469999999996</v>
      </c>
      <c r="N2992">
        <v>-1.3889490000000001E-2</v>
      </c>
      <c r="O2992">
        <v>-0.207791</v>
      </c>
      <c r="P2992">
        <v>-0.81001279999999998</v>
      </c>
      <c r="Q2992">
        <v>0.358375</v>
      </c>
      <c r="R2992">
        <v>-0.46416269999999998</v>
      </c>
      <c r="S2992">
        <v>-2.6729129999999999</v>
      </c>
      <c r="T2992">
        <v>-0.3084172</v>
      </c>
      <c r="U2992">
        <v>-2.0450439999999999</v>
      </c>
      <c r="V2992">
        <v>-0.29082849999999999</v>
      </c>
      <c r="W2992">
        <v>0.36667569999999999</v>
      </c>
      <c r="X2992">
        <v>0.88372379999999995</v>
      </c>
      <c r="Y2992">
        <v>-0.42793880000000001</v>
      </c>
      <c r="Z2992">
        <v>-7.0483229999999996E-3</v>
      </c>
      <c r="AA2992">
        <v>0.90378020000000003</v>
      </c>
      <c r="AB2992">
        <v>26</v>
      </c>
      <c r="AC2992">
        <v>-0.52609999999998502</v>
      </c>
      <c r="AD2992">
        <v>-9.0253999999999807E-2</v>
      </c>
      <c r="AE2992">
        <v>-0.53630000000003897</v>
      </c>
      <c r="AF2992">
        <v>-0.40935456552090099</v>
      </c>
      <c r="AG2992">
        <v>-9.0253999999999807E-2</v>
      </c>
      <c r="AH2992">
        <v>0.61715654432502598</v>
      </c>
      <c r="AI2992">
        <v>96.948368859360002</v>
      </c>
      <c r="AJ2992">
        <v>123.555970460206</v>
      </c>
      <c r="AK2992">
        <v>0.74605572515195795</v>
      </c>
      <c r="AL2992">
        <v>68.489255866359997</v>
      </c>
      <c r="AM2992">
        <v>108.21608272882099</v>
      </c>
      <c r="AN2992">
        <v>1.00000002003459</v>
      </c>
    </row>
    <row r="2993" spans="1:40" x14ac:dyDescent="0.25">
      <c r="A2993" t="str">
        <f>"20190304164911186"</f>
        <v>20190304164911186</v>
      </c>
      <c r="B2993" t="str">
        <f>"1551689351179130"</f>
        <v>1551689351179130</v>
      </c>
      <c r="C2993" t="s">
        <v>40</v>
      </c>
      <c r="D2993">
        <v>4.3391950000000001</v>
      </c>
      <c r="E2993">
        <v>0.44024590000000002</v>
      </c>
      <c r="F2993" t="s">
        <v>41</v>
      </c>
      <c r="G2993">
        <v>-475.3098</v>
      </c>
      <c r="H2993">
        <v>1.024303</v>
      </c>
      <c r="I2993">
        <v>283.57619999999997</v>
      </c>
      <c r="J2993">
        <v>-474.76429999999999</v>
      </c>
      <c r="K2993">
        <v>1.116754</v>
      </c>
      <c r="L2993">
        <v>284.13069999999999</v>
      </c>
      <c r="M2993">
        <v>-0.97637209999999997</v>
      </c>
      <c r="N2993">
        <v>-1.3961100000000001E-2</v>
      </c>
      <c r="O2993">
        <v>-0.21564469999999999</v>
      </c>
      <c r="P2993">
        <v>-0.80598859999999894</v>
      </c>
      <c r="Q2993">
        <v>0.35824830000000002</v>
      </c>
      <c r="R2993">
        <v>-0.47121229999999997</v>
      </c>
      <c r="S2993">
        <v>-2.655151</v>
      </c>
      <c r="T2993">
        <v>-0.31017919999999999</v>
      </c>
      <c r="U2993">
        <v>-2.0692140000000001</v>
      </c>
      <c r="V2993">
        <v>-0.29152600000000001</v>
      </c>
      <c r="W2993">
        <v>0.36652259999999998</v>
      </c>
      <c r="X2993">
        <v>0.88355740000000005</v>
      </c>
      <c r="Y2993">
        <v>-0.42873280000000002</v>
      </c>
      <c r="Z2993">
        <v>-6.4793419999999999E-3</v>
      </c>
      <c r="AA2993">
        <v>0.90340810000000005</v>
      </c>
      <c r="AB2993">
        <v>26</v>
      </c>
      <c r="AC2993">
        <v>-0.54550000000000398</v>
      </c>
      <c r="AD2993">
        <v>-9.2451000000000005E-2</v>
      </c>
      <c r="AE2993">
        <v>-0.55450000000001798</v>
      </c>
      <c r="AF2993">
        <v>-0.41790189611325101</v>
      </c>
      <c r="AG2993">
        <v>-9.2451000000000005E-2</v>
      </c>
      <c r="AH2993">
        <v>0.64316378563947996</v>
      </c>
      <c r="AI2993">
        <v>96.872964640233207</v>
      </c>
      <c r="AJ2993">
        <v>123.014186864655</v>
      </c>
      <c r="AK2993">
        <v>0.77255992475286905</v>
      </c>
      <c r="AL2993">
        <v>68.498682729950701</v>
      </c>
      <c r="AM2993">
        <v>108.26008632548</v>
      </c>
      <c r="AN2993">
        <v>0.99999995204075798</v>
      </c>
    </row>
    <row r="2994" spans="1:40" x14ac:dyDescent="0.25">
      <c r="A2994" t="str">
        <f>"20190304164911209"</f>
        <v>20190304164911209</v>
      </c>
      <c r="B2994" t="str">
        <f>"1551689351198648"</f>
        <v>1551689351198648</v>
      </c>
      <c r="C2994" t="s">
        <v>40</v>
      </c>
      <c r="D2994">
        <v>4.4650439999999998</v>
      </c>
      <c r="E2994">
        <v>0.44033129999999998</v>
      </c>
      <c r="F2994" t="s">
        <v>41</v>
      </c>
      <c r="G2994">
        <v>-475.55900000000003</v>
      </c>
      <c r="H2994">
        <v>1.0225010000000001</v>
      </c>
      <c r="I2994">
        <v>283.50099999999998</v>
      </c>
      <c r="J2994">
        <v>-475.01249999999999</v>
      </c>
      <c r="K2994">
        <v>1.1168689999999999</v>
      </c>
      <c r="L2994">
        <v>284.06659999999999</v>
      </c>
      <c r="M2994">
        <v>-0.97453590000000001</v>
      </c>
      <c r="N2994">
        <v>-1.402802E-2</v>
      </c>
      <c r="O2994">
        <v>-0.22379189999999999</v>
      </c>
      <c r="P2994">
        <v>-0.80134989999999995</v>
      </c>
      <c r="Q2994">
        <v>0.35954059999999999</v>
      </c>
      <c r="R2994">
        <v>-0.47808850000000003</v>
      </c>
      <c r="S2994">
        <v>-2.6385190000000001</v>
      </c>
      <c r="T2994">
        <v>-0.31290459999999998</v>
      </c>
      <c r="U2994">
        <v>-2.091278</v>
      </c>
      <c r="V2994">
        <v>-0.29195450000000001</v>
      </c>
      <c r="W2994">
        <v>0.36778</v>
      </c>
      <c r="X2994">
        <v>0.88289319999999905</v>
      </c>
      <c r="Y2994">
        <v>-0.4286063</v>
      </c>
      <c r="Z2994">
        <v>-5.818386E-3</v>
      </c>
      <c r="AA2994">
        <v>0.90347259999999996</v>
      </c>
      <c r="AB2994">
        <v>26</v>
      </c>
      <c r="AC2994">
        <v>-0.54650000000003696</v>
      </c>
      <c r="AD2994">
        <v>-9.4367999999999994E-2</v>
      </c>
      <c r="AE2994">
        <v>-0.56560000000001698</v>
      </c>
      <c r="AF2994">
        <v>-0.422849823697515</v>
      </c>
      <c r="AG2994">
        <v>-9.4367999999999994E-2</v>
      </c>
      <c r="AH2994">
        <v>0.64986950044806402</v>
      </c>
      <c r="AI2994">
        <v>96.939551431249299</v>
      </c>
      <c r="AJ2994">
        <v>123.050798374455</v>
      </c>
      <c r="AK2994">
        <v>0.78104907684321401</v>
      </c>
      <c r="AL2994">
        <v>68.421230432614195</v>
      </c>
      <c r="AM2994">
        <v>108.29798129812499</v>
      </c>
      <c r="AN2994">
        <v>0.99999998053824402</v>
      </c>
    </row>
    <row r="2995" spans="1:40" x14ac:dyDescent="0.25">
      <c r="A2995" t="str">
        <f>"20190304164911232"</f>
        <v>20190304164911232</v>
      </c>
      <c r="B2995" t="str">
        <f>"1551689351228904"</f>
        <v>1551689351228904</v>
      </c>
      <c r="C2995" t="s">
        <v>40</v>
      </c>
      <c r="D2995">
        <v>4.2932629999999996</v>
      </c>
      <c r="E2995">
        <v>0.44879380000000002</v>
      </c>
      <c r="F2995" t="s">
        <v>45</v>
      </c>
      <c r="G2995">
        <v>-484.4683</v>
      </c>
      <c r="H2995" s="1">
        <v>1.602264E-6</v>
      </c>
      <c r="I2995">
        <v>276.4427</v>
      </c>
      <c r="J2995">
        <v>-475.26909999999998</v>
      </c>
      <c r="K2995">
        <v>1.116994</v>
      </c>
      <c r="L2995">
        <v>283.99779999999998</v>
      </c>
      <c r="M2995">
        <v>-0.97251569999999998</v>
      </c>
      <c r="N2995">
        <v>-1.408863E-2</v>
      </c>
      <c r="O2995">
        <v>-0.2324108</v>
      </c>
      <c r="P2995">
        <v>-0.79653350000000001</v>
      </c>
      <c r="Q2995">
        <v>0.36056129999999997</v>
      </c>
      <c r="R2995">
        <v>-0.48531459999999998</v>
      </c>
      <c r="S2995">
        <v>-2.6215820000000001</v>
      </c>
      <c r="T2995">
        <v>-0.30964770000000003</v>
      </c>
      <c r="U2995">
        <v>-2.1137079999999999</v>
      </c>
      <c r="V2995">
        <v>-0.29235229999999901</v>
      </c>
      <c r="W2995">
        <v>0.36875750000000002</v>
      </c>
      <c r="X2995">
        <v>0.88235370000000002</v>
      </c>
      <c r="Y2995">
        <v>-0.42819800000000002</v>
      </c>
      <c r="Z2995">
        <v>-5.1070330000000004E-3</v>
      </c>
      <c r="AA2995">
        <v>0.90367050000000004</v>
      </c>
      <c r="AB2995">
        <v>26</v>
      </c>
      <c r="AC2995">
        <v>-9.19920000000001</v>
      </c>
      <c r="AD2995">
        <v>-1.1169923977359999</v>
      </c>
      <c r="AE2995">
        <v>-7.5550999999999799</v>
      </c>
      <c r="AF2995">
        <v>-5.1645048282986696</v>
      </c>
      <c r="AG2995">
        <v>-1.1169923977359999</v>
      </c>
      <c r="AH2995">
        <v>10.609898022307499</v>
      </c>
      <c r="AI2995">
        <v>95.407487223217004</v>
      </c>
      <c r="AJ2995">
        <v>115.955100965497</v>
      </c>
      <c r="AK2995">
        <v>11.8528358708743</v>
      </c>
      <c r="AL2995">
        <v>68.360990663761001</v>
      </c>
      <c r="AM2995">
        <v>108.33170238727701</v>
      </c>
      <c r="AN2995">
        <v>1.00000000651261</v>
      </c>
    </row>
    <row r="2996" spans="1:40" x14ac:dyDescent="0.25">
      <c r="A2996" t="str">
        <f>"20190304164911254"</f>
        <v>20190304164911254</v>
      </c>
      <c r="B2996" t="str">
        <f>"1551689351249400"</f>
        <v>1551689351249400</v>
      </c>
      <c r="C2996" t="s">
        <v>40</v>
      </c>
      <c r="D2996">
        <v>4.3421570000000003</v>
      </c>
      <c r="E2996">
        <v>0.44850790000000001</v>
      </c>
      <c r="F2996" t="s">
        <v>45</v>
      </c>
      <c r="G2996">
        <v>-484.51589999999999</v>
      </c>
      <c r="H2996" s="1">
        <v>1.6527479999999999E-6</v>
      </c>
      <c r="I2996">
        <v>276.7054</v>
      </c>
      <c r="J2996">
        <v>-475.51740000000001</v>
      </c>
      <c r="K2996">
        <v>1.117127</v>
      </c>
      <c r="L2996">
        <v>283.92869999999999</v>
      </c>
      <c r="M2996">
        <v>-0.97043699999999999</v>
      </c>
      <c r="N2996">
        <v>-1.413318E-2</v>
      </c>
      <c r="O2996">
        <v>-0.2409404</v>
      </c>
      <c r="P2996">
        <v>-0.7921629</v>
      </c>
      <c r="Q2996">
        <v>0.3609385</v>
      </c>
      <c r="R2996">
        <v>-0.4921393</v>
      </c>
      <c r="S2996">
        <v>-2.6415410000000001</v>
      </c>
      <c r="T2996">
        <v>-0.31909310000000002</v>
      </c>
      <c r="U2996">
        <v>-2.0832519999999999</v>
      </c>
      <c r="V2996">
        <v>-0.29234090000000001</v>
      </c>
      <c r="W2996">
        <v>0.36908780000000002</v>
      </c>
      <c r="X2996">
        <v>0.88221939999999999</v>
      </c>
      <c r="Y2996">
        <v>-0.4105065</v>
      </c>
      <c r="Z2996">
        <v>-3.2708920000000001E-3</v>
      </c>
      <c r="AA2996">
        <v>0.91185179999999999</v>
      </c>
      <c r="AB2996">
        <v>26</v>
      </c>
      <c r="AC2996">
        <v>-8.9984999999999697</v>
      </c>
      <c r="AD2996">
        <v>-1.117125347252</v>
      </c>
      <c r="AE2996">
        <v>-7.2232999999999903</v>
      </c>
      <c r="AF2996">
        <v>-4.7971764355661604</v>
      </c>
      <c r="AG2996">
        <v>-1.117125347252</v>
      </c>
      <c r="AH2996">
        <v>10.3766508303416</v>
      </c>
      <c r="AI2996">
        <v>95.581235321135097</v>
      </c>
      <c r="AJ2996">
        <v>114.81133162232901</v>
      </c>
      <c r="AK2996">
        <v>11.4863289718802</v>
      </c>
      <c r="AL2996">
        <v>68.340630312984999</v>
      </c>
      <c r="AM2996">
        <v>108.333639276044</v>
      </c>
      <c r="AN2996">
        <v>1.0000000378289999</v>
      </c>
    </row>
    <row r="2997" spans="1:40" x14ac:dyDescent="0.25">
      <c r="A2997" t="str">
        <f>"20190304164911276"</f>
        <v>20190304164911276</v>
      </c>
      <c r="B2997" t="str">
        <f>"1551689351268923"</f>
        <v>1551689351268923</v>
      </c>
      <c r="C2997" t="s">
        <v>40</v>
      </c>
      <c r="D2997">
        <v>4.3265789999999997</v>
      </c>
      <c r="E2997">
        <v>0.44842680000000001</v>
      </c>
      <c r="F2997" t="s">
        <v>45</v>
      </c>
      <c r="G2997">
        <v>-484.59280000000001</v>
      </c>
      <c r="H2997" s="1">
        <v>1.6455909999999999E-6</v>
      </c>
      <c r="I2997">
        <v>276.62599999999998</v>
      </c>
      <c r="J2997">
        <v>-475.75819999999999</v>
      </c>
      <c r="K2997">
        <v>1.117243</v>
      </c>
      <c r="L2997">
        <v>283.85919999999999</v>
      </c>
      <c r="M2997">
        <v>-0.96829710000000002</v>
      </c>
      <c r="N2997">
        <v>-1.416074E-2</v>
      </c>
      <c r="O2997">
        <v>-0.2493997</v>
      </c>
      <c r="P2997">
        <v>-0.78743319999999895</v>
      </c>
      <c r="Q2997">
        <v>0.36219770000000001</v>
      </c>
      <c r="R2997">
        <v>-0.49875999999999998</v>
      </c>
      <c r="S2997">
        <v>-2.6229550000000001</v>
      </c>
      <c r="T2997">
        <v>-0.32286880000000001</v>
      </c>
      <c r="U2997">
        <v>-2.1106259999999999</v>
      </c>
      <c r="V2997">
        <v>-0.29230450000000002</v>
      </c>
      <c r="W2997">
        <v>0.37028169999999999</v>
      </c>
      <c r="X2997">
        <v>0.88173099999999904</v>
      </c>
      <c r="Y2997">
        <v>-0.41148800000000002</v>
      </c>
      <c r="Z2997">
        <v>-2.568739E-3</v>
      </c>
      <c r="AA2997">
        <v>0.91141150000000004</v>
      </c>
      <c r="AB2997">
        <v>26</v>
      </c>
      <c r="AC2997">
        <v>-8.8346000000000195</v>
      </c>
      <c r="AD2997">
        <v>-1.1172413544090001</v>
      </c>
      <c r="AE2997">
        <v>-7.2332000000000098</v>
      </c>
      <c r="AF2997">
        <v>-4.75548966718166</v>
      </c>
      <c r="AG2997">
        <v>-1.1172413544090001</v>
      </c>
      <c r="AH2997">
        <v>10.261267091713499</v>
      </c>
      <c r="AI2997">
        <v>95.641745737402005</v>
      </c>
      <c r="AJ2997">
        <v>114.864929965511</v>
      </c>
      <c r="AK2997">
        <v>11.3647046836315</v>
      </c>
      <c r="AL2997">
        <v>68.267008668124006</v>
      </c>
      <c r="AM2997">
        <v>108.34098374879299</v>
      </c>
      <c r="AN2997">
        <v>1.0000000072180699</v>
      </c>
    </row>
    <row r="2998" spans="1:40" x14ac:dyDescent="0.25">
      <c r="A2998" t="str">
        <f>"20190304164911298"</f>
        <v>20190304164911298</v>
      </c>
      <c r="B2998" t="str">
        <f>"1551689351288440"</f>
        <v>1551689351288440</v>
      </c>
      <c r="C2998" t="s">
        <v>40</v>
      </c>
      <c r="D2998">
        <v>4.3240189999999998</v>
      </c>
      <c r="E2998">
        <v>0.44791360000000002</v>
      </c>
      <c r="F2998" t="s">
        <v>41</v>
      </c>
      <c r="G2998">
        <v>-476.56779999999998</v>
      </c>
      <c r="H2998">
        <v>1.0154190000000001</v>
      </c>
      <c r="I2998">
        <v>283.1961</v>
      </c>
      <c r="J2998">
        <v>-476.00490000000002</v>
      </c>
      <c r="K2998">
        <v>1.1173580000000001</v>
      </c>
      <c r="L2998">
        <v>283.78519999999997</v>
      </c>
      <c r="M2998">
        <v>-0.96597270000000002</v>
      </c>
      <c r="N2998">
        <v>-1.417474E-2</v>
      </c>
      <c r="O2998">
        <v>-0.25825540000000002</v>
      </c>
      <c r="P2998">
        <v>-0.78192240000000002</v>
      </c>
      <c r="Q2998">
        <v>0.36378549999999998</v>
      </c>
      <c r="R2998">
        <v>-0.50621890000000003</v>
      </c>
      <c r="S2998">
        <v>-2.6073909999999998</v>
      </c>
      <c r="T2998">
        <v>-0.32787450000000001</v>
      </c>
      <c r="U2998">
        <v>-2.1364749999999999</v>
      </c>
      <c r="V2998">
        <v>-0.292931</v>
      </c>
      <c r="W2998">
        <v>0.37177840000000001</v>
      </c>
      <c r="X2998">
        <v>0.88089289999999998</v>
      </c>
      <c r="Y2998">
        <v>-0.41122959999999897</v>
      </c>
      <c r="Z2998">
        <v>-1.7137859999999999E-3</v>
      </c>
      <c r="AA2998">
        <v>0.91153019999999996</v>
      </c>
      <c r="AB2998">
        <v>26</v>
      </c>
      <c r="AC2998">
        <v>-0.56289999999995599</v>
      </c>
      <c r="AD2998">
        <v>-0.101939</v>
      </c>
      <c r="AE2998">
        <v>-0.58909999999997298</v>
      </c>
      <c r="AF2998">
        <v>-0.41719500932947201</v>
      </c>
      <c r="AG2998">
        <v>-0.101939</v>
      </c>
      <c r="AH2998">
        <v>0.68522871766856097</v>
      </c>
      <c r="AI2998">
        <v>97.241643149314399</v>
      </c>
      <c r="AJ2998">
        <v>121.33474887918</v>
      </c>
      <c r="AK2998">
        <v>0.80869130763729602</v>
      </c>
      <c r="AL2998">
        <v>68.174662886202896</v>
      </c>
      <c r="AM2998">
        <v>108.393964019363</v>
      </c>
      <c r="AN2998">
        <v>1.00000002536898</v>
      </c>
    </row>
    <row r="2999" spans="1:40" x14ac:dyDescent="0.25">
      <c r="A2999" t="str">
        <f>"20190304164911320"</f>
        <v>20190304164911320</v>
      </c>
      <c r="B2999" t="str">
        <f>"1551689351308939"</f>
        <v>1551689351308939</v>
      </c>
      <c r="C2999" t="s">
        <v>40</v>
      </c>
      <c r="D2999">
        <v>4.2965879999999999</v>
      </c>
      <c r="E2999">
        <v>0.42074050000000002</v>
      </c>
      <c r="F2999" t="s">
        <v>41</v>
      </c>
      <c r="G2999">
        <v>-476.79559999999998</v>
      </c>
      <c r="H2999">
        <v>1.0170060000000001</v>
      </c>
      <c r="I2999">
        <v>283.12270000000001</v>
      </c>
      <c r="J2999">
        <v>-476.24740000000003</v>
      </c>
      <c r="K2999">
        <v>1.117459</v>
      </c>
      <c r="L2999">
        <v>283.70999999999998</v>
      </c>
      <c r="M2999">
        <v>-0.96356339999999996</v>
      </c>
      <c r="N2999">
        <v>-1.417844E-2</v>
      </c>
      <c r="O2999">
        <v>-0.26710390000000001</v>
      </c>
      <c r="P2999">
        <v>-0.77598739999999999</v>
      </c>
      <c r="Q2999">
        <v>0.36696309999999999</v>
      </c>
      <c r="R2999">
        <v>-0.51301260000000004</v>
      </c>
      <c r="S2999">
        <v>-2.5862430000000001</v>
      </c>
      <c r="T2999">
        <v>-0.32822249999999997</v>
      </c>
      <c r="U2999">
        <v>-2.1674500000000001</v>
      </c>
      <c r="V2999">
        <v>-0.29306219999999999</v>
      </c>
      <c r="W2999">
        <v>0.37487100000000001</v>
      </c>
      <c r="X2999">
        <v>0.87953760000000003</v>
      </c>
      <c r="Y2999">
        <v>-0.41298319999999999</v>
      </c>
      <c r="Z2999">
        <v>-1.0320710000000001E-3</v>
      </c>
      <c r="AA2999">
        <v>0.91073809999999999</v>
      </c>
      <c r="AB2999">
        <v>26</v>
      </c>
      <c r="AC2999">
        <v>-0.54819999999995095</v>
      </c>
      <c r="AD2999">
        <v>-0.100453</v>
      </c>
      <c r="AE2999">
        <v>-0.58729999999996996</v>
      </c>
      <c r="AF2999">
        <v>-0.41305889232606902</v>
      </c>
      <c r="AG2999">
        <v>-0.100453</v>
      </c>
      <c r="AH2999">
        <v>0.67461757332002403</v>
      </c>
      <c r="AI2999">
        <v>97.237271446891</v>
      </c>
      <c r="AJ2999">
        <v>121.478552024848</v>
      </c>
      <c r="AK2999">
        <v>0.79738154228125702</v>
      </c>
      <c r="AL2999">
        <v>67.983661193010704</v>
      </c>
      <c r="AM2999">
        <v>108.42808898391699</v>
      </c>
      <c r="AN2999">
        <v>1.00000005476179</v>
      </c>
    </row>
    <row r="3000" spans="1:40" x14ac:dyDescent="0.25">
      <c r="A3000" t="str">
        <f>"20190304164911344"</f>
        <v>20190304164911344</v>
      </c>
      <c r="B3000" t="str">
        <f>"1551689351339198"</f>
        <v>1551689351339198</v>
      </c>
      <c r="C3000" t="s">
        <v>40</v>
      </c>
      <c r="D3000">
        <v>4.3102769999999904</v>
      </c>
      <c r="E3000">
        <v>0.41447139999999999</v>
      </c>
      <c r="F3000" t="s">
        <v>41</v>
      </c>
      <c r="G3000">
        <v>-476.9717</v>
      </c>
      <c r="H3000">
        <v>1.037741</v>
      </c>
      <c r="I3000">
        <v>283.00540000000001</v>
      </c>
      <c r="J3000">
        <v>-476.5027</v>
      </c>
      <c r="K3000">
        <v>1.1175440000000001</v>
      </c>
      <c r="L3000">
        <v>283.62790000000001</v>
      </c>
      <c r="M3000">
        <v>-0.96088779999999996</v>
      </c>
      <c r="N3000">
        <v>-1.416474E-2</v>
      </c>
      <c r="O3000">
        <v>-0.2765763</v>
      </c>
      <c r="P3000">
        <v>-0.76994960000000001</v>
      </c>
      <c r="Q3000">
        <v>0.36978830000000001</v>
      </c>
      <c r="R3000">
        <v>-0.52003370000000004</v>
      </c>
      <c r="S3000">
        <v>-2.4293209999999998</v>
      </c>
      <c r="T3000">
        <v>-0.26736149999999997</v>
      </c>
      <c r="U3000">
        <v>-2.3644409999999998</v>
      </c>
      <c r="V3000">
        <v>-0.29287639999999998</v>
      </c>
      <c r="W3000">
        <v>0.37761319999999998</v>
      </c>
      <c r="X3000">
        <v>0.87842569999999998</v>
      </c>
      <c r="Y3000">
        <v>-0.47094809999999998</v>
      </c>
      <c r="Z3000">
        <v>-4.4805319999999997E-3</v>
      </c>
      <c r="AA3000">
        <v>0.88214959999999898</v>
      </c>
      <c r="AB3000">
        <v>26</v>
      </c>
      <c r="AC3000">
        <v>-0.46899999999999398</v>
      </c>
      <c r="AD3000">
        <v>-7.9802999999999999E-2</v>
      </c>
      <c r="AE3000">
        <v>-0.62250000000000205</v>
      </c>
      <c r="AF3000">
        <v>-0.46362475146634202</v>
      </c>
      <c r="AG3000">
        <v>-7.9802999999999999E-2</v>
      </c>
      <c r="AH3000">
        <v>0.61642504491848604</v>
      </c>
      <c r="AI3000">
        <v>95.907003346781707</v>
      </c>
      <c r="AJ3000">
        <v>126.94750682709601</v>
      </c>
      <c r="AK3000">
        <v>0.77543295324868999</v>
      </c>
      <c r="AL3000">
        <v>67.814083371929897</v>
      </c>
      <c r="AM3000">
        <v>108.438930749112</v>
      </c>
      <c r="AN3000">
        <v>1.0000000124558399</v>
      </c>
    </row>
    <row r="3001" spans="1:40" x14ac:dyDescent="0.25">
      <c r="A3001" t="str">
        <f>"20190304164911365"</f>
        <v>20190304164911365</v>
      </c>
      <c r="B3001" t="str">
        <f>"1551689351358715"</f>
        <v>1551689351358715</v>
      </c>
      <c r="C3001" t="s">
        <v>40</v>
      </c>
      <c r="D3001">
        <v>4.3243450000000001</v>
      </c>
      <c r="E3001">
        <v>0.4138694</v>
      </c>
      <c r="F3001" t="s">
        <v>41</v>
      </c>
      <c r="G3001">
        <v>-477.18439999999998</v>
      </c>
      <c r="H3001">
        <v>1.0459590000000001</v>
      </c>
      <c r="I3001">
        <v>282.93</v>
      </c>
      <c r="J3001">
        <v>-476.73739999999998</v>
      </c>
      <c r="K3001">
        <v>1.117602</v>
      </c>
      <c r="L3001">
        <v>283.54989999999998</v>
      </c>
      <c r="M3001">
        <v>-0.95830369999999998</v>
      </c>
      <c r="N3001">
        <v>-1.4136660000000001E-2</v>
      </c>
      <c r="O3001">
        <v>-0.28540130000000002</v>
      </c>
      <c r="P3001">
        <v>-0.7648895</v>
      </c>
      <c r="Q3001">
        <v>0.37026940000000003</v>
      </c>
      <c r="R3001">
        <v>-0.52710970000000001</v>
      </c>
      <c r="S3001">
        <v>-2.3740839999999999</v>
      </c>
      <c r="T3001">
        <v>-0.24933040000000001</v>
      </c>
      <c r="U3001">
        <v>-2.4311219999999998</v>
      </c>
      <c r="V3001">
        <v>-0.29303010000000002</v>
      </c>
      <c r="W3001">
        <v>0.37801859999999998</v>
      </c>
      <c r="X3001">
        <v>0.87820010000000004</v>
      </c>
      <c r="Y3001">
        <v>-0.48526249999999999</v>
      </c>
      <c r="Z3001">
        <v>-4.8121409999999998E-3</v>
      </c>
      <c r="AA3001">
        <v>0.87435529999999995</v>
      </c>
      <c r="AB3001">
        <v>26</v>
      </c>
      <c r="AC3001">
        <v>-0.44700000000000201</v>
      </c>
      <c r="AD3001">
        <v>-7.1642999999999901E-2</v>
      </c>
      <c r="AE3001">
        <v>-0.61989999999997203</v>
      </c>
      <c r="AF3001">
        <v>-0.462460832613387</v>
      </c>
      <c r="AG3001">
        <v>-7.1642999999999901E-2</v>
      </c>
      <c r="AH3001">
        <v>0.60006940800001796</v>
      </c>
      <c r="AI3001">
        <v>95.4021732145426</v>
      </c>
      <c r="AJ3001">
        <v>127.620682891961</v>
      </c>
      <c r="AK3001">
        <v>0.76097702696465197</v>
      </c>
      <c r="AL3001">
        <v>67.788997300269997</v>
      </c>
      <c r="AM3001">
        <v>108.45237066051099</v>
      </c>
      <c r="AN3001">
        <v>1.0000000585459801</v>
      </c>
    </row>
    <row r="3002" spans="1:40" x14ac:dyDescent="0.25">
      <c r="A3002" t="str">
        <f>"20190304164911387"</f>
        <v>20190304164911387</v>
      </c>
      <c r="B3002" t="str">
        <f>"1551689351379208"</f>
        <v>1551689351379208</v>
      </c>
      <c r="C3002" t="s">
        <v>40</v>
      </c>
      <c r="D3002">
        <v>4.3035579999999998</v>
      </c>
      <c r="E3002">
        <v>0.41367150000000003</v>
      </c>
      <c r="F3002" t="s">
        <v>41</v>
      </c>
      <c r="G3002">
        <v>-477.399</v>
      </c>
      <c r="H3002">
        <v>1.0466169999999999</v>
      </c>
      <c r="I3002">
        <v>282.85809999999998</v>
      </c>
      <c r="J3002">
        <v>-476.97519999999997</v>
      </c>
      <c r="K3002">
        <v>1.1176429999999999</v>
      </c>
      <c r="L3002">
        <v>283.46839999999997</v>
      </c>
      <c r="M3002">
        <v>-0.95556629999999998</v>
      </c>
      <c r="N3002">
        <v>-1.4093369999999999E-2</v>
      </c>
      <c r="O3002">
        <v>-0.2944389</v>
      </c>
      <c r="P3002">
        <v>-0.75941539999999996</v>
      </c>
      <c r="Q3002">
        <v>0.37020140000000001</v>
      </c>
      <c r="R3002">
        <v>-0.53501330000000002</v>
      </c>
      <c r="S3002">
        <v>-2.3503419999999999</v>
      </c>
      <c r="T3002">
        <v>-0.25219999999999998</v>
      </c>
      <c r="U3002">
        <v>-2.4579469999999999</v>
      </c>
      <c r="V3002">
        <v>-0.29388579999999997</v>
      </c>
      <c r="W3002">
        <v>0.37785829999999998</v>
      </c>
      <c r="X3002">
        <v>0.87798299999999996</v>
      </c>
      <c r="Y3002">
        <v>-0.48619059999999997</v>
      </c>
      <c r="Z3002">
        <v>-4.2029260000000001E-3</v>
      </c>
      <c r="AA3002">
        <v>0.87384269999999997</v>
      </c>
      <c r="AB3002">
        <v>26</v>
      </c>
      <c r="AC3002">
        <v>-0.42380000000002799</v>
      </c>
      <c r="AD3002">
        <v>-7.1026000000000006E-2</v>
      </c>
      <c r="AE3002">
        <v>-0.61029999999999496</v>
      </c>
      <c r="AF3002">
        <v>-0.454293262631284</v>
      </c>
      <c r="AG3002">
        <v>-7.1026000000000006E-2</v>
      </c>
      <c r="AH3002">
        <v>0.57942851286490304</v>
      </c>
      <c r="AI3002">
        <v>95.509988084338303</v>
      </c>
      <c r="AJ3002">
        <v>128.097751015049</v>
      </c>
      <c r="AK3002">
        <v>0.73970565948153399</v>
      </c>
      <c r="AL3002">
        <v>67.798915133257097</v>
      </c>
      <c r="AM3002">
        <v>108.50685434905201</v>
      </c>
      <c r="AN3002">
        <v>0.99999995330476299</v>
      </c>
    </row>
    <row r="3003" spans="1:40" x14ac:dyDescent="0.25">
      <c r="A3003" t="str">
        <f>"20190304164911410"</f>
        <v>20190304164911410</v>
      </c>
      <c r="B3003" t="str">
        <f>"1551689351398728"</f>
        <v>1551689351398728</v>
      </c>
      <c r="C3003" t="s">
        <v>40</v>
      </c>
      <c r="D3003">
        <v>4.3222630000000004</v>
      </c>
      <c r="E3003">
        <v>0.41388320000000001</v>
      </c>
      <c r="F3003" t="s">
        <v>41</v>
      </c>
      <c r="G3003">
        <v>-477.61430000000001</v>
      </c>
      <c r="H3003">
        <v>1.0464450000000001</v>
      </c>
      <c r="I3003">
        <v>282.7867</v>
      </c>
      <c r="J3003">
        <v>-477.21839999999997</v>
      </c>
      <c r="K3003">
        <v>1.1176699999999999</v>
      </c>
      <c r="L3003">
        <v>283.38229999999999</v>
      </c>
      <c r="M3003">
        <v>-0.95264579999999999</v>
      </c>
      <c r="N3003">
        <v>-1.403299E-2</v>
      </c>
      <c r="O3003">
        <v>-0.30375859999999999</v>
      </c>
      <c r="P3003">
        <v>-0.75427519999999904</v>
      </c>
      <c r="Q3003">
        <v>0.36913780000000002</v>
      </c>
      <c r="R3003">
        <v>-0.54296119999999903</v>
      </c>
      <c r="S3003">
        <v>-2.3281559999999999</v>
      </c>
      <c r="T3003">
        <v>-0.25939329999999999</v>
      </c>
      <c r="U3003">
        <v>-2.4821469999999999</v>
      </c>
      <c r="V3003">
        <v>-0.29439720000000003</v>
      </c>
      <c r="W3003">
        <v>0.3767084</v>
      </c>
      <c r="X3003">
        <v>0.87830580000000003</v>
      </c>
      <c r="Y3003">
        <v>-0.48604730000000002</v>
      </c>
      <c r="Z3003">
        <v>-3.419844E-3</v>
      </c>
      <c r="AA3003">
        <v>0.87392579999999997</v>
      </c>
      <c r="AB3003">
        <v>26</v>
      </c>
      <c r="AC3003">
        <v>-0.39590000000004</v>
      </c>
      <c r="AD3003">
        <v>-7.1225000000000094E-2</v>
      </c>
      <c r="AE3003">
        <v>-0.59559999999999003</v>
      </c>
      <c r="AF3003">
        <v>-0.44279004215178303</v>
      </c>
      <c r="AG3003">
        <v>-7.1225000000000094E-2</v>
      </c>
      <c r="AH3003">
        <v>0.55264466250476996</v>
      </c>
      <c r="AI3003">
        <v>95.743420056663098</v>
      </c>
      <c r="AJ3003">
        <v>128.70241077457999</v>
      </c>
      <c r="AK3003">
        <v>0.71172476776404903</v>
      </c>
      <c r="AL3003">
        <v>67.870058287629604</v>
      </c>
      <c r="AM3003">
        <v>108.530512290213</v>
      </c>
      <c r="AN3003">
        <v>1.00000000415602</v>
      </c>
    </row>
    <row r="3004" spans="1:40" x14ac:dyDescent="0.25">
      <c r="A3004" t="str">
        <f>"20190304164911432"</f>
        <v>20190304164911432</v>
      </c>
      <c r="B3004" t="str">
        <f>"1551689351428984"</f>
        <v>1551689351428984</v>
      </c>
      <c r="C3004" t="s">
        <v>40</v>
      </c>
      <c r="D3004">
        <v>4.325717</v>
      </c>
      <c r="E3004">
        <v>0.41467700000000002</v>
      </c>
      <c r="F3004" t="s">
        <v>41</v>
      </c>
      <c r="G3004">
        <v>-477.83120000000002</v>
      </c>
      <c r="H3004">
        <v>1.045647</v>
      </c>
      <c r="I3004">
        <v>282.71769999999998</v>
      </c>
      <c r="J3004">
        <v>-477.46120000000002</v>
      </c>
      <c r="K3004">
        <v>1.117683</v>
      </c>
      <c r="L3004">
        <v>283.29360000000003</v>
      </c>
      <c r="M3004">
        <v>-0.94961649999999997</v>
      </c>
      <c r="N3004">
        <v>-1.395937E-2</v>
      </c>
      <c r="O3004">
        <v>-0.31310379999999999</v>
      </c>
      <c r="P3004">
        <v>-0.74858179999999996</v>
      </c>
      <c r="Q3004">
        <v>0.36916300000000002</v>
      </c>
      <c r="R3004">
        <v>-0.55076720000000001</v>
      </c>
      <c r="S3004">
        <v>-2.3074650000000001</v>
      </c>
      <c r="T3004">
        <v>-0.27119599999999999</v>
      </c>
      <c r="U3004">
        <v>-2.5041199999999999</v>
      </c>
      <c r="V3004">
        <v>-0.29492160000000001</v>
      </c>
      <c r="W3004">
        <v>0.37663990000000003</v>
      </c>
      <c r="X3004">
        <v>0.87815919999999903</v>
      </c>
      <c r="Y3004">
        <v>-0.48515019999999998</v>
      </c>
      <c r="Z3004">
        <v>-2.4511149999999998E-3</v>
      </c>
      <c r="AA3004">
        <v>0.87442739999999997</v>
      </c>
      <c r="AB3004">
        <v>26</v>
      </c>
      <c r="AC3004">
        <v>-0.37000000000000399</v>
      </c>
      <c r="AD3004">
        <v>-7.2035999999999906E-2</v>
      </c>
      <c r="AE3004">
        <v>-0.57590000000004604</v>
      </c>
      <c r="AF3004">
        <v>-0.42635588648192801</v>
      </c>
      <c r="AG3004">
        <v>-7.2035999999999906E-2</v>
      </c>
      <c r="AH3004">
        <v>0.52590207543688094</v>
      </c>
      <c r="AI3004">
        <v>96.073535076102303</v>
      </c>
      <c r="AJ3004">
        <v>129.03214707127</v>
      </c>
      <c r="AK3004">
        <v>0.68083883568918802</v>
      </c>
      <c r="AL3004">
        <v>67.874294370159205</v>
      </c>
      <c r="AM3004">
        <v>108.56414676892901</v>
      </c>
      <c r="AN3004">
        <v>0.99999997248160399</v>
      </c>
    </row>
    <row r="3005" spans="1:40" x14ac:dyDescent="0.25">
      <c r="A3005" t="str">
        <f>"20190304164911456"</f>
        <v>20190304164911456</v>
      </c>
      <c r="B3005" t="str">
        <f>"1551689351448504"</f>
        <v>1551689351448504</v>
      </c>
      <c r="C3005" t="s">
        <v>40</v>
      </c>
      <c r="D3005">
        <v>4.3373819999999998</v>
      </c>
      <c r="E3005">
        <v>0.41546899999999998</v>
      </c>
      <c r="F3005" t="s">
        <v>41</v>
      </c>
      <c r="G3005">
        <v>-478.04750000000001</v>
      </c>
      <c r="H3005">
        <v>1.046008</v>
      </c>
      <c r="I3005">
        <v>282.6465</v>
      </c>
      <c r="J3005">
        <v>-477.70600000000002</v>
      </c>
      <c r="K3005">
        <v>1.1176889999999999</v>
      </c>
      <c r="L3005">
        <v>283.20159999999998</v>
      </c>
      <c r="M3005">
        <v>-0.94644930000000005</v>
      </c>
      <c r="N3005">
        <v>-1.3874890000000001E-2</v>
      </c>
      <c r="O3005">
        <v>-0.32255440000000002</v>
      </c>
      <c r="P3005">
        <v>-0.74220559999999902</v>
      </c>
      <c r="Q3005">
        <v>0.37031350000000002</v>
      </c>
      <c r="R3005">
        <v>-0.55856859999999997</v>
      </c>
      <c r="S3005">
        <v>-2.287506</v>
      </c>
      <c r="T3005">
        <v>-0.2796689</v>
      </c>
      <c r="U3005">
        <v>-2.52536</v>
      </c>
      <c r="V3005">
        <v>-0.29557109999999998</v>
      </c>
      <c r="W3005">
        <v>0.37768829999999998</v>
      </c>
      <c r="X3005">
        <v>0.87749029999999995</v>
      </c>
      <c r="Y3005">
        <v>-0.48387649999999999</v>
      </c>
      <c r="Z3005">
        <v>-1.4480459999999999E-3</v>
      </c>
      <c r="AA3005">
        <v>0.87513510000000005</v>
      </c>
      <c r="AB3005">
        <v>26</v>
      </c>
      <c r="AC3005">
        <v>-0.34150000000005298</v>
      </c>
      <c r="AD3005">
        <v>-7.16809999999998E-2</v>
      </c>
      <c r="AE3005">
        <v>-0.55509999999998105</v>
      </c>
      <c r="AF3005">
        <v>-0.41029837595659402</v>
      </c>
      <c r="AG3005">
        <v>-7.16809999999998E-2</v>
      </c>
      <c r="AH3005">
        <v>0.49630703481022398</v>
      </c>
      <c r="AI3005">
        <v>96.351752023380698</v>
      </c>
      <c r="AJ3005">
        <v>129.58063183511501</v>
      </c>
      <c r="AK3005">
        <v>0.64792252305019904</v>
      </c>
      <c r="AL3005">
        <v>67.809435505200796</v>
      </c>
      <c r="AM3005">
        <v>108.61542342908299</v>
      </c>
      <c r="AN3005">
        <v>0.99999997685309405</v>
      </c>
    </row>
    <row r="3006" spans="1:40" x14ac:dyDescent="0.25">
      <c r="A3006" t="str">
        <f>"20190304164911476"</f>
        <v>20190304164911476</v>
      </c>
      <c r="B3006" t="str">
        <f>"1551689351469000"</f>
        <v>1551689351469000</v>
      </c>
      <c r="C3006" t="s">
        <v>40</v>
      </c>
      <c r="D3006">
        <v>4.3328439999999997</v>
      </c>
      <c r="E3006">
        <v>0.41629559999999999</v>
      </c>
      <c r="F3006" t="s">
        <v>41</v>
      </c>
      <c r="G3006">
        <v>-478.41849999999999</v>
      </c>
      <c r="H3006">
        <v>1.029601</v>
      </c>
      <c r="I3006">
        <v>282.40050000000002</v>
      </c>
      <c r="J3006">
        <v>-477.93450000000001</v>
      </c>
      <c r="K3006">
        <v>1.117683</v>
      </c>
      <c r="L3006">
        <v>283.11290000000002</v>
      </c>
      <c r="M3006">
        <v>-0.94339059999999997</v>
      </c>
      <c r="N3006">
        <v>-1.378306E-2</v>
      </c>
      <c r="O3006">
        <v>-0.33139760000000001</v>
      </c>
      <c r="P3006">
        <v>-0.73600299999999996</v>
      </c>
      <c r="Q3006">
        <v>0.37103710000000001</v>
      </c>
      <c r="R3006">
        <v>-0.56624319999999995</v>
      </c>
      <c r="S3006">
        <v>-2.2653500000000002</v>
      </c>
      <c r="T3006">
        <v>-0.28005160000000001</v>
      </c>
      <c r="U3006">
        <v>-2.5463260000000001</v>
      </c>
      <c r="V3006">
        <v>-0.29660540000000002</v>
      </c>
      <c r="W3006">
        <v>0.37830459999999999</v>
      </c>
      <c r="X3006">
        <v>0.87687559999999998</v>
      </c>
      <c r="Y3006">
        <v>-0.48354259999999899</v>
      </c>
      <c r="Z3006">
        <v>-6.9078429999999897E-4</v>
      </c>
      <c r="AA3006">
        <v>0.8753206</v>
      </c>
      <c r="AB3006">
        <v>26</v>
      </c>
      <c r="AC3006">
        <v>-0.48399999999998</v>
      </c>
      <c r="AD3006">
        <v>-8.8081999999999994E-2</v>
      </c>
      <c r="AE3006">
        <v>-0.71240000000000203</v>
      </c>
      <c r="AF3006">
        <v>-0.50642669130399298</v>
      </c>
      <c r="AG3006">
        <v>-8.8081999999999994E-2</v>
      </c>
      <c r="AH3006">
        <v>0.68558368026920902</v>
      </c>
      <c r="AI3006">
        <v>95.900043451615602</v>
      </c>
      <c r="AJ3006">
        <v>126.45252662729899</v>
      </c>
      <c r="AK3006">
        <v>0.85688471514001396</v>
      </c>
      <c r="AL3006">
        <v>67.771294281007599</v>
      </c>
      <c r="AM3006">
        <v>108.688238238906</v>
      </c>
      <c r="AN3006">
        <v>0.99999997578283895</v>
      </c>
    </row>
    <row r="3007" spans="1:40" x14ac:dyDescent="0.25">
      <c r="A3007" t="str">
        <f>"20190304164911500"</f>
        <v>20190304164911500</v>
      </c>
      <c r="B3007" t="str">
        <f>"1551689351488523"</f>
        <v>1551689351488523</v>
      </c>
      <c r="C3007" t="s">
        <v>40</v>
      </c>
      <c r="D3007">
        <v>4.3399150000000004</v>
      </c>
      <c r="E3007">
        <v>0.41674860000000002</v>
      </c>
      <c r="F3007" t="s">
        <v>41</v>
      </c>
      <c r="G3007">
        <v>-478.6293</v>
      </c>
      <c r="H3007">
        <v>1.030097</v>
      </c>
      <c r="I3007">
        <v>282.31950000000001</v>
      </c>
      <c r="J3007">
        <v>-478.17649999999998</v>
      </c>
      <c r="K3007">
        <v>1.117658</v>
      </c>
      <c r="L3007">
        <v>283.01620000000003</v>
      </c>
      <c r="M3007">
        <v>-0.94005019999999995</v>
      </c>
      <c r="N3007">
        <v>-1.3679439999999999E-2</v>
      </c>
      <c r="O3007">
        <v>-0.34076190000000001</v>
      </c>
      <c r="P3007">
        <v>-0.72981109999999905</v>
      </c>
      <c r="Q3007">
        <v>0.3703301</v>
      </c>
      <c r="R3007">
        <v>-0.574658</v>
      </c>
      <c r="S3007">
        <v>-2.244904</v>
      </c>
      <c r="T3007">
        <v>-0.28298139999999999</v>
      </c>
      <c r="U3007">
        <v>-2.565582</v>
      </c>
      <c r="V3007">
        <v>-0.29782409999999998</v>
      </c>
      <c r="W3007">
        <v>0.3774883</v>
      </c>
      <c r="X3007">
        <v>0.87681439999999999</v>
      </c>
      <c r="Y3007">
        <v>-0.48206549999999998</v>
      </c>
      <c r="Z3007">
        <v>2.5530159999999997E-4</v>
      </c>
      <c r="AA3007">
        <v>0.876135199999999</v>
      </c>
      <c r="AB3007">
        <v>26</v>
      </c>
      <c r="AC3007">
        <v>-0.45280000000002402</v>
      </c>
      <c r="AD3007">
        <v>-8.7561E-2</v>
      </c>
      <c r="AE3007">
        <v>-0.69670000000002097</v>
      </c>
      <c r="AF3007">
        <v>-0.49518389496719001</v>
      </c>
      <c r="AG3007">
        <v>-8.7561E-2</v>
      </c>
      <c r="AH3007">
        <v>0.65584256551931297</v>
      </c>
      <c r="AI3007">
        <v>96.081878845390193</v>
      </c>
      <c r="AJ3007">
        <v>127.054070860465</v>
      </c>
      <c r="AK3007">
        <v>0.826440251502086</v>
      </c>
      <c r="AL3007">
        <v>67.821812503122402</v>
      </c>
      <c r="AM3007">
        <v>108.76088118244699</v>
      </c>
      <c r="AN3007">
        <v>1.00000005161252</v>
      </c>
    </row>
    <row r="3008" spans="1:40" x14ac:dyDescent="0.25">
      <c r="A3008" t="str">
        <f>"20190304164911522"</f>
        <v>20190304164911522</v>
      </c>
      <c r="B3008" t="str">
        <f>"1551689351518776"</f>
        <v>1551689351518776</v>
      </c>
      <c r="C3008" t="s">
        <v>40</v>
      </c>
      <c r="D3008">
        <v>4.3283690000000004</v>
      </c>
      <c r="E3008">
        <v>0.42673030000000001</v>
      </c>
      <c r="F3008" t="s">
        <v>41</v>
      </c>
      <c r="G3008">
        <v>-478.84190000000001</v>
      </c>
      <c r="H3008">
        <v>1.0312790000000001</v>
      </c>
      <c r="I3008">
        <v>282.24029999999999</v>
      </c>
      <c r="J3008">
        <v>-478.40730000000002</v>
      </c>
      <c r="K3008">
        <v>1.1176219999999999</v>
      </c>
      <c r="L3008">
        <v>282.92149999999998</v>
      </c>
      <c r="M3008">
        <v>-0.93676890000000002</v>
      </c>
      <c r="N3008">
        <v>-1.3573089999999999E-2</v>
      </c>
      <c r="O3008">
        <v>-0.34968519999999997</v>
      </c>
      <c r="P3008">
        <v>-0.72368690000000002</v>
      </c>
      <c r="Q3008">
        <v>0.36954959999999998</v>
      </c>
      <c r="R3008">
        <v>-0.5828468</v>
      </c>
      <c r="S3008">
        <v>-2.2194820000000002</v>
      </c>
      <c r="T3008">
        <v>-0.28808879999999998</v>
      </c>
      <c r="U3008">
        <v>-2.5874329999999999</v>
      </c>
      <c r="V3008">
        <v>-0.29921490000000001</v>
      </c>
      <c r="W3008">
        <v>0.3765966</v>
      </c>
      <c r="X3008">
        <v>0.87672419999999995</v>
      </c>
      <c r="Y3008">
        <v>-0.48234870000000002</v>
      </c>
      <c r="Z3008">
        <v>1.1642460000000001E-3</v>
      </c>
      <c r="AA3008">
        <v>0.87597860000000005</v>
      </c>
      <c r="AB3008">
        <v>26</v>
      </c>
      <c r="AC3008">
        <v>-0.434599999999989</v>
      </c>
      <c r="AD3008">
        <v>-8.6342999999999795E-2</v>
      </c>
      <c r="AE3008">
        <v>-0.68119999999998904</v>
      </c>
      <c r="AF3008">
        <v>-0.48070971298735399</v>
      </c>
      <c r="AG3008">
        <v>-8.6342999999999795E-2</v>
      </c>
      <c r="AH3008">
        <v>0.63809880506342798</v>
      </c>
      <c r="AI3008">
        <v>96.1683821764572</v>
      </c>
      <c r="AJ3008">
        <v>126.99242658368701</v>
      </c>
      <c r="AK3008">
        <v>0.80355897532960197</v>
      </c>
      <c r="AL3008">
        <v>67.876971694405597</v>
      </c>
      <c r="AM3008">
        <v>108.844125136337</v>
      </c>
      <c r="AN3008">
        <v>0.99999993918960295</v>
      </c>
    </row>
    <row r="3009" spans="1:40" x14ac:dyDescent="0.25">
      <c r="A3009" t="str">
        <f>"20190304164911545"</f>
        <v>20190304164911545</v>
      </c>
      <c r="B3009" t="str">
        <f>"1551689351539272"</f>
        <v>1551689351539272</v>
      </c>
      <c r="C3009" t="s">
        <v>40</v>
      </c>
      <c r="D3009">
        <v>4.3339840000000001</v>
      </c>
      <c r="E3009">
        <v>0.42830600000000002</v>
      </c>
      <c r="F3009" t="s">
        <v>41</v>
      </c>
      <c r="G3009">
        <v>-479.06490000000002</v>
      </c>
      <c r="H3009">
        <v>1.018772</v>
      </c>
      <c r="I3009">
        <v>282.1764</v>
      </c>
      <c r="J3009">
        <v>-478.64940000000001</v>
      </c>
      <c r="K3009">
        <v>1.1175790000000001</v>
      </c>
      <c r="L3009">
        <v>282.81939999999997</v>
      </c>
      <c r="M3009">
        <v>-0.93323350000000005</v>
      </c>
      <c r="N3009">
        <v>-1.3453379999999999E-2</v>
      </c>
      <c r="O3009">
        <v>-0.35901880000000003</v>
      </c>
      <c r="P3009">
        <v>-0.71702089999999996</v>
      </c>
      <c r="Q3009">
        <v>0.3696854</v>
      </c>
      <c r="R3009">
        <v>-0.5909432</v>
      </c>
      <c r="S3009">
        <v>-2.2578130000000001</v>
      </c>
      <c r="T3009">
        <v>-0.33939799999999998</v>
      </c>
      <c r="U3009">
        <v>-2.5588989999999998</v>
      </c>
      <c r="V3009">
        <v>-0.30033169999999998</v>
      </c>
      <c r="W3009">
        <v>0.37661610000000001</v>
      </c>
      <c r="X3009">
        <v>0.87633399999999995</v>
      </c>
      <c r="Y3009">
        <v>-0.46110770000000001</v>
      </c>
      <c r="Z3009">
        <v>5.1015729999999999E-3</v>
      </c>
      <c r="AA3009">
        <v>0.88732949999999999</v>
      </c>
      <c r="AB3009">
        <v>26</v>
      </c>
      <c r="AC3009">
        <v>-0.41550000000000797</v>
      </c>
      <c r="AD3009">
        <v>-9.8807000000000006E-2</v>
      </c>
      <c r="AE3009">
        <v>-0.64299999999997204</v>
      </c>
      <c r="AF3009">
        <v>-0.44354913011392799</v>
      </c>
      <c r="AG3009">
        <v>-9.8807000000000006E-2</v>
      </c>
      <c r="AH3009">
        <v>0.60852693686648096</v>
      </c>
      <c r="AI3009">
        <v>97.475308700917196</v>
      </c>
      <c r="AJ3009">
        <v>126.08792908396801</v>
      </c>
      <c r="AK3009">
        <v>0.75947592915504902</v>
      </c>
      <c r="AL3009">
        <v>67.875768166832103</v>
      </c>
      <c r="AM3009">
        <v>108.917291810489</v>
      </c>
      <c r="AN3009">
        <v>1.00000004818004</v>
      </c>
    </row>
    <row r="3010" spans="1:40" x14ac:dyDescent="0.25">
      <c r="A3010" t="str">
        <f>"20190304164911566"</f>
        <v>20190304164911566</v>
      </c>
      <c r="B3010" t="str">
        <f>"1551689351558795"</f>
        <v>1551689351558795</v>
      </c>
      <c r="C3010" t="s">
        <v>40</v>
      </c>
      <c r="D3010">
        <v>4.3293030000000003</v>
      </c>
      <c r="E3010">
        <v>0.42907469999999998</v>
      </c>
      <c r="F3010" t="s">
        <v>41</v>
      </c>
      <c r="G3010">
        <v>-479.27850000000001</v>
      </c>
      <c r="H3010">
        <v>1.0210980000000001</v>
      </c>
      <c r="I3010">
        <v>282.09629999999999</v>
      </c>
      <c r="J3010">
        <v>-478.87979999999999</v>
      </c>
      <c r="K3010">
        <v>1.117534</v>
      </c>
      <c r="L3010">
        <v>282.71980000000002</v>
      </c>
      <c r="M3010">
        <v>-0.92978919999999998</v>
      </c>
      <c r="N3010">
        <v>-1.333377E-2</v>
      </c>
      <c r="O3010">
        <v>-0.36785099999999998</v>
      </c>
      <c r="P3010">
        <v>-0.71071569999999995</v>
      </c>
      <c r="Q3010">
        <v>0.36921169999999998</v>
      </c>
      <c r="R3010">
        <v>-0.59880409999999995</v>
      </c>
      <c r="S3010">
        <v>-2.23996</v>
      </c>
      <c r="T3010">
        <v>-0.3435513</v>
      </c>
      <c r="U3010">
        <v>-2.5737299999999999</v>
      </c>
      <c r="V3010">
        <v>-0.30155520000000002</v>
      </c>
      <c r="W3010">
        <v>0.37603560000000003</v>
      </c>
      <c r="X3010">
        <v>0.87616309999999997</v>
      </c>
      <c r="Y3010">
        <v>-0.45875759999999999</v>
      </c>
      <c r="Z3010">
        <v>6.3460560000000001E-3</v>
      </c>
      <c r="AA3010">
        <v>0.88853879999999996</v>
      </c>
      <c r="AB3010">
        <v>26</v>
      </c>
      <c r="AC3010">
        <v>-0.39870000000001898</v>
      </c>
      <c r="AD3010">
        <v>-9.6435999999999897E-2</v>
      </c>
      <c r="AE3010">
        <v>-0.62350000000003503</v>
      </c>
      <c r="AF3010">
        <v>-0.42586881761971501</v>
      </c>
      <c r="AG3010">
        <v>-9.6435999999999897E-2</v>
      </c>
      <c r="AH3010">
        <v>0.590095845626747</v>
      </c>
      <c r="AI3010">
        <v>97.548732629969393</v>
      </c>
      <c r="AJ3010">
        <v>125.817769748351</v>
      </c>
      <c r="AK3010">
        <v>0.734082596812347</v>
      </c>
      <c r="AL3010">
        <v>67.911667327140606</v>
      </c>
      <c r="AM3010">
        <v>108.992285562101</v>
      </c>
      <c r="AN3010">
        <v>1.0000000444579999</v>
      </c>
    </row>
    <row r="3011" spans="1:40" x14ac:dyDescent="0.25">
      <c r="A3011" t="str">
        <f>"20190304164911578"</f>
        <v>20190304164911578</v>
      </c>
      <c r="B3011" t="str">
        <f>"1551689351568552"</f>
        <v>1551689351568552</v>
      </c>
      <c r="C3011" t="s">
        <v>40</v>
      </c>
      <c r="D3011">
        <v>4.3126920000000002</v>
      </c>
      <c r="E3011">
        <v>0.42953599999999997</v>
      </c>
      <c r="F3011" t="s">
        <v>41</v>
      </c>
      <c r="G3011">
        <v>-479.488</v>
      </c>
      <c r="H3011">
        <v>1.023026</v>
      </c>
      <c r="I3011">
        <v>282.00889999999998</v>
      </c>
      <c r="J3011">
        <v>-479.00049999999999</v>
      </c>
      <c r="K3011">
        <v>1.1174980000000001</v>
      </c>
      <c r="L3011">
        <v>282.66660000000002</v>
      </c>
      <c r="M3011">
        <v>-0.92795519999999998</v>
      </c>
      <c r="N3011">
        <v>-1.326947E-2</v>
      </c>
      <c r="O3011">
        <v>-0.37245590000000001</v>
      </c>
      <c r="P3011">
        <v>-0.70764169999999904</v>
      </c>
      <c r="Q3011">
        <v>0.36860409999999999</v>
      </c>
      <c r="R3011">
        <v>-0.60280559999999905</v>
      </c>
      <c r="S3011">
        <v>-2.216675</v>
      </c>
      <c r="T3011">
        <v>-0.34443069999999998</v>
      </c>
      <c r="U3011">
        <v>-2.5914920000000001</v>
      </c>
      <c r="V3011">
        <v>-0.3020119</v>
      </c>
      <c r="W3011">
        <v>0.3753802</v>
      </c>
      <c r="X3011">
        <v>0.87628669999999997</v>
      </c>
      <c r="Y3011">
        <v>-0.46196130000000002</v>
      </c>
      <c r="Z3011">
        <v>6.6793690000000001E-3</v>
      </c>
      <c r="AA3011">
        <v>0.88687490000000002</v>
      </c>
      <c r="AB3011">
        <v>26</v>
      </c>
      <c r="AC3011">
        <v>-0.48750000000006799</v>
      </c>
      <c r="AD3011">
        <v>-9.4471999999999806E-2</v>
      </c>
      <c r="AE3011">
        <v>-0.65770000000003304</v>
      </c>
      <c r="AF3011">
        <v>-0.42314679311014503</v>
      </c>
      <c r="AG3011">
        <v>-9.4471999999999806E-2</v>
      </c>
      <c r="AH3011">
        <v>0.68823886173960602</v>
      </c>
      <c r="AI3011">
        <v>96.669488299178994</v>
      </c>
      <c r="AJ3011">
        <v>121.58426024110901</v>
      </c>
      <c r="AK3011">
        <v>0.81341926342571302</v>
      </c>
      <c r="AL3011">
        <v>67.9521849462365</v>
      </c>
      <c r="AM3011">
        <v>109.01649370516699</v>
      </c>
      <c r="AN3011">
        <v>0.999999931445267</v>
      </c>
    </row>
    <row r="3012" spans="1:40" x14ac:dyDescent="0.25">
      <c r="A3012" t="str">
        <f>"20190304164911589"</f>
        <v>20190304164911589</v>
      </c>
      <c r="B3012" t="str">
        <f>"1551689351579288"</f>
        <v>1551689351579288</v>
      </c>
      <c r="C3012" t="s">
        <v>40</v>
      </c>
      <c r="D3012">
        <v>4.3051399999999997</v>
      </c>
      <c r="E3012">
        <v>0.43008560000000001</v>
      </c>
      <c r="F3012" t="s">
        <v>41</v>
      </c>
      <c r="G3012">
        <v>-479.66899999999998</v>
      </c>
      <c r="H3012">
        <v>1.0122199999999999</v>
      </c>
      <c r="I3012">
        <v>281.87880000000001</v>
      </c>
      <c r="J3012">
        <v>-479.12189999999998</v>
      </c>
      <c r="K3012">
        <v>1.117461</v>
      </c>
      <c r="L3012">
        <v>282.6123</v>
      </c>
      <c r="M3012">
        <v>-0.92609470000000005</v>
      </c>
      <c r="N3012">
        <v>-1.320312E-2</v>
      </c>
      <c r="O3012">
        <v>-0.37706040000000002</v>
      </c>
      <c r="P3012">
        <v>-0.70457199999999998</v>
      </c>
      <c r="Q3012">
        <v>0.36784709999999998</v>
      </c>
      <c r="R3012">
        <v>-0.60685</v>
      </c>
      <c r="S3012">
        <v>-2.2056269999999998</v>
      </c>
      <c r="T3012">
        <v>-0.3473965</v>
      </c>
      <c r="U3012">
        <v>-2.5999150000000002</v>
      </c>
      <c r="V3012">
        <v>-0.30249710000000002</v>
      </c>
      <c r="W3012">
        <v>0.37457839999999998</v>
      </c>
      <c r="X3012">
        <v>0.87646250000000003</v>
      </c>
      <c r="Y3012">
        <v>-0.4611751</v>
      </c>
      <c r="Z3012">
        <v>7.3573219999999899E-3</v>
      </c>
      <c r="AA3012">
        <v>0.88727869999999998</v>
      </c>
      <c r="AB3012">
        <v>26</v>
      </c>
      <c r="AC3012">
        <v>-0.54710000000005699</v>
      </c>
      <c r="AD3012">
        <v>-0.105240999999999</v>
      </c>
      <c r="AE3012">
        <v>-0.73349999999999205</v>
      </c>
      <c r="AF3012">
        <v>-0.466866553681413</v>
      </c>
      <c r="AG3012">
        <v>-0.105240999999999</v>
      </c>
      <c r="AH3012">
        <v>0.77308267343695902</v>
      </c>
      <c r="AI3012">
        <v>96.646744655242898</v>
      </c>
      <c r="AJ3012">
        <v>121.127882604737</v>
      </c>
      <c r="AK3012">
        <v>0.90922872094748297</v>
      </c>
      <c r="AL3012">
        <v>68.001742066626505</v>
      </c>
      <c r="AM3012">
        <v>109.041300421179</v>
      </c>
      <c r="AN3012">
        <v>0.99999999358060998</v>
      </c>
    </row>
    <row r="3013" spans="1:40" x14ac:dyDescent="0.25">
      <c r="A3013" t="str">
        <f>"20190304164911601"</f>
        <v>20190304164911601</v>
      </c>
      <c r="B3013" t="str">
        <f>"1551689351598808"</f>
        <v>1551689351598808</v>
      </c>
      <c r="C3013" t="s">
        <v>40</v>
      </c>
      <c r="D3013">
        <v>4.3078510000000003</v>
      </c>
      <c r="E3013">
        <v>0.43661670000000002</v>
      </c>
      <c r="F3013" t="s">
        <v>41</v>
      </c>
      <c r="G3013">
        <v>-479.71449999999999</v>
      </c>
      <c r="H3013">
        <v>1.022694</v>
      </c>
      <c r="I3013">
        <v>281.90800000000002</v>
      </c>
      <c r="J3013">
        <v>-479.24360000000001</v>
      </c>
      <c r="K3013">
        <v>1.1174170000000001</v>
      </c>
      <c r="L3013">
        <v>282.55720000000002</v>
      </c>
      <c r="M3013">
        <v>-0.92421140000000002</v>
      </c>
      <c r="N3013">
        <v>-1.313548E-2</v>
      </c>
      <c r="O3013">
        <v>-0.38165559999999998</v>
      </c>
      <c r="P3013">
        <v>-0.7013914</v>
      </c>
      <c r="Q3013">
        <v>0.36751479999999997</v>
      </c>
      <c r="R3013">
        <v>-0.61072340000000003</v>
      </c>
      <c r="S3013">
        <v>-2.1946110000000001</v>
      </c>
      <c r="T3013">
        <v>-0.35094399999999998</v>
      </c>
      <c r="U3013">
        <v>-2.6081850000000002</v>
      </c>
      <c r="V3013">
        <v>-0.30287509999999901</v>
      </c>
      <c r="W3013">
        <v>0.37420300000000001</v>
      </c>
      <c r="X3013">
        <v>0.8764923</v>
      </c>
      <c r="Y3013">
        <v>-0.4603564</v>
      </c>
      <c r="Z3013">
        <v>8.0745969999999993E-3</v>
      </c>
      <c r="AA3013">
        <v>0.88769750000000003</v>
      </c>
      <c r="AB3013">
        <v>26</v>
      </c>
      <c r="AC3013">
        <v>-0.47089999999997101</v>
      </c>
      <c r="AD3013">
        <v>-9.4723000000000099E-2</v>
      </c>
      <c r="AE3013">
        <v>-0.64920000000000699</v>
      </c>
      <c r="AF3013">
        <v>-0.41453012475817302</v>
      </c>
      <c r="AG3013">
        <v>-9.4723000000000099E-2</v>
      </c>
      <c r="AH3013">
        <v>0.67364378766410604</v>
      </c>
      <c r="AI3013">
        <v>96.828975278751699</v>
      </c>
      <c r="AJ3013">
        <v>121.606274672986</v>
      </c>
      <c r="AK3013">
        <v>0.79662012510322</v>
      </c>
      <c r="AL3013">
        <v>68.024937637027804</v>
      </c>
      <c r="AM3013">
        <v>109.06277644932899</v>
      </c>
      <c r="AN3013">
        <v>0.99999998168414905</v>
      </c>
    </row>
    <row r="3014" spans="1:40" x14ac:dyDescent="0.25">
      <c r="A3014" t="str">
        <f>"20190304164911613"</f>
        <v>20190304164911613</v>
      </c>
      <c r="B3014" t="str">
        <f>"1551689351608568"</f>
        <v>1551689351608568</v>
      </c>
      <c r="C3014" t="s">
        <v>40</v>
      </c>
      <c r="D3014">
        <v>4.2695990000000004</v>
      </c>
      <c r="E3014">
        <v>0.43736239999999998</v>
      </c>
      <c r="F3014" t="s">
        <v>41</v>
      </c>
      <c r="G3014">
        <v>-479.88959999999997</v>
      </c>
      <c r="H3014">
        <v>1.0111969999999999</v>
      </c>
      <c r="I3014">
        <v>281.80590000000001</v>
      </c>
      <c r="J3014">
        <v>-479.36320000000001</v>
      </c>
      <c r="K3014">
        <v>1.1173770000000001</v>
      </c>
      <c r="L3014">
        <v>282.5025</v>
      </c>
      <c r="M3014">
        <v>-0.92234340000000004</v>
      </c>
      <c r="N3014">
        <v>-1.306817E-2</v>
      </c>
      <c r="O3014">
        <v>-0.3861501</v>
      </c>
      <c r="P3014">
        <v>-0.69851730000000001</v>
      </c>
      <c r="Q3014">
        <v>0.36667169999999999</v>
      </c>
      <c r="R3014">
        <v>-0.61451269999999902</v>
      </c>
      <c r="S3014">
        <v>-2.2197269999999998</v>
      </c>
      <c r="T3014">
        <v>-0.36496719999999999</v>
      </c>
      <c r="U3014">
        <v>-2.5825809999999998</v>
      </c>
      <c r="V3014">
        <v>-0.30314079999999999</v>
      </c>
      <c r="W3014">
        <v>0.37332460000000001</v>
      </c>
      <c r="X3014">
        <v>0.87677499999999997</v>
      </c>
      <c r="Y3014">
        <v>-0.44671680000000002</v>
      </c>
      <c r="Z3014">
        <v>1.0140400000000001E-2</v>
      </c>
      <c r="AA3014">
        <v>0.89461800000000002</v>
      </c>
      <c r="AB3014">
        <v>26</v>
      </c>
      <c r="AC3014">
        <v>-0.52639999999996601</v>
      </c>
      <c r="AD3014">
        <v>-0.10618</v>
      </c>
      <c r="AE3014">
        <v>-0.69659999999998901</v>
      </c>
      <c r="AF3014">
        <v>-0.43287087958426201</v>
      </c>
      <c r="AG3014">
        <v>-0.10618</v>
      </c>
      <c r="AH3014">
        <v>0.74358149994798495</v>
      </c>
      <c r="AI3014">
        <v>97.035159602521603</v>
      </c>
      <c r="AJ3014">
        <v>120.205531610899</v>
      </c>
      <c r="AK3014">
        <v>0.86692839257746501</v>
      </c>
      <c r="AL3014">
        <v>68.079199344894107</v>
      </c>
      <c r="AM3014">
        <v>109.072584007888</v>
      </c>
      <c r="AN3014">
        <v>1.0000000011073999</v>
      </c>
    </row>
    <row r="3015" spans="1:40" x14ac:dyDescent="0.25">
      <c r="A3015" t="str">
        <f>"20190304164911624"</f>
        <v>20190304164911624</v>
      </c>
      <c r="B3015" t="str">
        <f>"1551689351619304"</f>
        <v>1551689351619304</v>
      </c>
      <c r="C3015" t="s">
        <v>40</v>
      </c>
      <c r="D3015">
        <v>4.4148019999999999</v>
      </c>
      <c r="E3015">
        <v>0.43736239999999998</v>
      </c>
      <c r="F3015" t="s">
        <v>45</v>
      </c>
      <c r="G3015">
        <v>-486.13159999999999</v>
      </c>
      <c r="H3015" s="1">
        <v>1.413197E-6</v>
      </c>
      <c r="I3015">
        <v>274.57409999999999</v>
      </c>
      <c r="J3015">
        <v>-479.47910000000002</v>
      </c>
      <c r="K3015">
        <v>1.1173280000000001</v>
      </c>
      <c r="L3015">
        <v>282.4486</v>
      </c>
      <c r="M3015">
        <v>-0.92052440000000002</v>
      </c>
      <c r="N3015">
        <v>-1.3001489999999999E-2</v>
      </c>
      <c r="O3015">
        <v>-0.39046900000000001</v>
      </c>
      <c r="P3015">
        <v>-0.69555959999999994</v>
      </c>
      <c r="Q3015">
        <v>0.36582930000000002</v>
      </c>
      <c r="R3015">
        <v>-0.6183575</v>
      </c>
      <c r="S3015">
        <v>-2.2094420000000001</v>
      </c>
      <c r="T3015">
        <v>-0.36475249999999998</v>
      </c>
      <c r="U3015">
        <v>-2.5881349999999999</v>
      </c>
      <c r="V3015">
        <v>-0.30365110000000001</v>
      </c>
      <c r="W3015">
        <v>0.37244500000000003</v>
      </c>
      <c r="X3015">
        <v>0.87697250000000004</v>
      </c>
      <c r="Y3015">
        <v>-0.44555400000000001</v>
      </c>
      <c r="Z3015">
        <v>1.071564E-2</v>
      </c>
      <c r="AA3015">
        <v>0.89519099999999996</v>
      </c>
      <c r="AB3015">
        <v>26</v>
      </c>
      <c r="AC3015">
        <v>-6.6524999999999697</v>
      </c>
      <c r="AD3015">
        <v>-1.117326586803</v>
      </c>
      <c r="AE3015">
        <v>-7.87450000000001</v>
      </c>
      <c r="AF3015">
        <v>-4.5974545289478401</v>
      </c>
      <c r="AG3015">
        <v>-1.117326586803</v>
      </c>
      <c r="AH3015">
        <v>9.0924915282989005</v>
      </c>
      <c r="AI3015">
        <v>96.258226175987005</v>
      </c>
      <c r="AJ3015">
        <v>116.82262030868399</v>
      </c>
      <c r="AK3015">
        <v>10.249800439008901</v>
      </c>
      <c r="AL3015">
        <v>68.133514386347301</v>
      </c>
      <c r="AM3015">
        <v>109.0983749267</v>
      </c>
      <c r="AN3015">
        <v>1.00000001715623</v>
      </c>
    </row>
    <row r="3016" spans="1:40" x14ac:dyDescent="0.25">
      <c r="A3016" t="str">
        <f>"20190304164911636"</f>
        <v>20190304164911636</v>
      </c>
      <c r="B3016" t="str">
        <f>"1551689351629064"</f>
        <v>1551689351629064</v>
      </c>
      <c r="C3016" t="s">
        <v>40</v>
      </c>
      <c r="D3016">
        <v>4.252713</v>
      </c>
      <c r="E3016">
        <v>0.43845970000000001</v>
      </c>
      <c r="F3016" t="s">
        <v>41</v>
      </c>
      <c r="G3016">
        <v>-480.09949999999998</v>
      </c>
      <c r="H3016">
        <v>1.0133730000000001</v>
      </c>
      <c r="I3016">
        <v>281.71449999999999</v>
      </c>
      <c r="J3016">
        <v>-479.61320000000001</v>
      </c>
      <c r="K3016">
        <v>1.117267</v>
      </c>
      <c r="L3016">
        <v>282.38580000000002</v>
      </c>
      <c r="M3016">
        <v>-0.91839919999999997</v>
      </c>
      <c r="N3016">
        <v>-1.292394E-2</v>
      </c>
      <c r="O3016">
        <v>-0.39544370000000001</v>
      </c>
      <c r="P3016">
        <v>-0.692303</v>
      </c>
      <c r="Q3016">
        <v>0.36539050000000001</v>
      </c>
      <c r="R3016">
        <v>-0.62225869999999905</v>
      </c>
      <c r="S3016">
        <v>-2.1963499999999998</v>
      </c>
      <c r="T3016">
        <v>-0.36802649999999998</v>
      </c>
      <c r="U3016">
        <v>-2.5987849999999999</v>
      </c>
      <c r="V3016">
        <v>-0.30369760000000001</v>
      </c>
      <c r="W3016">
        <v>0.37197269999999999</v>
      </c>
      <c r="X3016">
        <v>0.87715679999999996</v>
      </c>
      <c r="Y3016">
        <v>-0.4451638</v>
      </c>
      <c r="Z3016">
        <v>1.1488730000000001E-2</v>
      </c>
      <c r="AA3016">
        <v>0.89537549999999899</v>
      </c>
      <c r="AB3016">
        <v>26</v>
      </c>
      <c r="AC3016">
        <v>-0.48629999999997098</v>
      </c>
      <c r="AD3016">
        <v>-0.103894</v>
      </c>
      <c r="AE3016">
        <v>-0.67130000000002998</v>
      </c>
      <c r="AF3016">
        <v>-0.41769117931341398</v>
      </c>
      <c r="AG3016">
        <v>-0.103894</v>
      </c>
      <c r="AH3016">
        <v>0.70112464068753699</v>
      </c>
      <c r="AI3016">
        <v>97.254920037228004</v>
      </c>
      <c r="AJ3016">
        <v>120.78414073682001</v>
      </c>
      <c r="AK3016">
        <v>0.82270021653786995</v>
      </c>
      <c r="AL3016">
        <v>68.1626693488857</v>
      </c>
      <c r="AM3016">
        <v>109.097365059645</v>
      </c>
      <c r="AN3016">
        <v>0.99999998678864499</v>
      </c>
    </row>
    <row r="3017" spans="1:40" x14ac:dyDescent="0.25">
      <c r="A3017" t="str">
        <f>"20190304164911651"</f>
        <v>20190304164911651</v>
      </c>
      <c r="B3017" t="str">
        <f>"1551689351638823"</f>
        <v>1551689351638823</v>
      </c>
      <c r="C3017" t="s">
        <v>40</v>
      </c>
      <c r="D3017">
        <v>4.2458619999999998</v>
      </c>
      <c r="E3017">
        <v>0.43914150000000002</v>
      </c>
      <c r="F3017" t="s">
        <v>41</v>
      </c>
      <c r="G3017">
        <v>-480.28309999999999</v>
      </c>
      <c r="H3017">
        <v>1.0041789999999999</v>
      </c>
      <c r="I3017">
        <v>281.589</v>
      </c>
      <c r="J3017">
        <v>-479.75970000000001</v>
      </c>
      <c r="K3017">
        <v>1.1172010000000001</v>
      </c>
      <c r="L3017">
        <v>282.31599999999997</v>
      </c>
      <c r="M3017">
        <v>-0.91606399999999999</v>
      </c>
      <c r="N3017">
        <v>-1.2837589999999999E-2</v>
      </c>
      <c r="O3017">
        <v>-0.40082659999999998</v>
      </c>
      <c r="P3017">
        <v>-0.68885240000000003</v>
      </c>
      <c r="Q3017">
        <v>0.36443890000000001</v>
      </c>
      <c r="R3017">
        <v>-0.6266313</v>
      </c>
      <c r="S3017">
        <v>-2.1882929999999998</v>
      </c>
      <c r="T3017">
        <v>-0.36938739999999998</v>
      </c>
      <c r="U3017">
        <v>-2.603424</v>
      </c>
      <c r="V3017">
        <v>-0.30384139999999998</v>
      </c>
      <c r="W3017">
        <v>0.37098599999999998</v>
      </c>
      <c r="X3017">
        <v>0.87752489999999905</v>
      </c>
      <c r="Y3017">
        <v>-0.44235429999999998</v>
      </c>
      <c r="Z3017">
        <v>1.2385749999999999E-2</v>
      </c>
      <c r="AA3017">
        <v>0.89675490000000002</v>
      </c>
      <c r="AB3017">
        <v>26</v>
      </c>
      <c r="AC3017">
        <v>-0.52339999999998099</v>
      </c>
      <c r="AD3017">
        <v>-0.113021999999999</v>
      </c>
      <c r="AE3017">
        <v>-0.726999999999975</v>
      </c>
      <c r="AF3017">
        <v>-0.44907501603470701</v>
      </c>
      <c r="AG3017">
        <v>-0.113021999999999</v>
      </c>
      <c r="AH3017">
        <v>0.75885279609776202</v>
      </c>
      <c r="AI3017">
        <v>97.304098149360996</v>
      </c>
      <c r="AJ3017">
        <v>120.616259915878</v>
      </c>
      <c r="AK3017">
        <v>0.88898813752263495</v>
      </c>
      <c r="AL3017">
        <v>68.223562506347093</v>
      </c>
      <c r="AM3017">
        <v>109.098318483621</v>
      </c>
      <c r="AN3017">
        <v>1.0000000793349799</v>
      </c>
    </row>
    <row r="3018" spans="1:40" x14ac:dyDescent="0.25">
      <c r="A3018" t="str">
        <f>"20190304164911665"</f>
        <v>20190304164911665</v>
      </c>
      <c r="B3018" t="str">
        <f>"1551689351659321"</f>
        <v>1551689351659321</v>
      </c>
      <c r="C3018" t="s">
        <v>40</v>
      </c>
      <c r="D3018">
        <v>4.2285300000000001</v>
      </c>
      <c r="E3018">
        <v>0.4404922</v>
      </c>
      <c r="F3018" t="s">
        <v>45</v>
      </c>
      <c r="G3018">
        <v>-486.2688</v>
      </c>
      <c r="H3018" s="1">
        <v>1.400172E-6</v>
      </c>
      <c r="I3018">
        <v>274.50279999999998</v>
      </c>
      <c r="J3018">
        <v>-479.89499999999998</v>
      </c>
      <c r="K3018">
        <v>1.11714</v>
      </c>
      <c r="L3018">
        <v>282.25060000000002</v>
      </c>
      <c r="M3018">
        <v>-0.91389200000000004</v>
      </c>
      <c r="N3018">
        <v>-1.275958E-2</v>
      </c>
      <c r="O3018">
        <v>-0.40575670000000003</v>
      </c>
      <c r="P3018">
        <v>-0.68546119999999899</v>
      </c>
      <c r="Q3018">
        <v>0.3639888</v>
      </c>
      <c r="R3018">
        <v>-0.63059909999999997</v>
      </c>
      <c r="S3018">
        <v>-2.1763309999999998</v>
      </c>
      <c r="T3018">
        <v>-0.37353989999999998</v>
      </c>
      <c r="U3018">
        <v>-2.6123660000000002</v>
      </c>
      <c r="V3018">
        <v>-0.30403550000000001</v>
      </c>
      <c r="W3018">
        <v>0.3705002</v>
      </c>
      <c r="X3018">
        <v>0.87766279999999997</v>
      </c>
      <c r="Y3018">
        <v>-0.44147039999999999</v>
      </c>
      <c r="Z3018">
        <v>1.3262110000000001E-2</v>
      </c>
      <c r="AA3018">
        <v>0.89717780000000003</v>
      </c>
      <c r="AB3018">
        <v>26</v>
      </c>
      <c r="AC3018">
        <v>-6.3738000000000099</v>
      </c>
      <c r="AD3018">
        <v>-1.1171385998279999</v>
      </c>
      <c r="AE3018">
        <v>-7.7478000000000398</v>
      </c>
      <c r="AF3018">
        <v>-4.4397582729813498</v>
      </c>
      <c r="AG3018">
        <v>-1.1171385998279999</v>
      </c>
      <c r="AH3018">
        <v>8.8595680642422305</v>
      </c>
      <c r="AI3018">
        <v>96.431862718607206</v>
      </c>
      <c r="AJ3018">
        <v>116.616631525844</v>
      </c>
      <c r="AK3018">
        <v>9.9725321989288602</v>
      </c>
      <c r="AL3018">
        <v>68.2535304881212</v>
      </c>
      <c r="AM3018">
        <v>109.106849441756</v>
      </c>
      <c r="AN3018">
        <v>0.99999998698206405</v>
      </c>
    </row>
    <row r="3019" spans="1:40" x14ac:dyDescent="0.25">
      <c r="A3019" t="str">
        <f>"20190304164911677"</f>
        <v>20190304164911677</v>
      </c>
      <c r="B3019" t="str">
        <f>"1551689351669080"</f>
        <v>1551689351669080</v>
      </c>
      <c r="C3019" t="s">
        <v>40</v>
      </c>
      <c r="D3019">
        <v>4.4549570000000003</v>
      </c>
      <c r="E3019">
        <v>0.4404922</v>
      </c>
      <c r="F3019" t="s">
        <v>41</v>
      </c>
      <c r="G3019">
        <v>-480.51330000000002</v>
      </c>
      <c r="H3019">
        <v>1.0097480000000001</v>
      </c>
      <c r="I3019">
        <v>281.50450000000001</v>
      </c>
      <c r="J3019">
        <v>-480.03339999999997</v>
      </c>
      <c r="K3019">
        <v>1.117086</v>
      </c>
      <c r="L3019">
        <v>282.18299999999999</v>
      </c>
      <c r="M3019">
        <v>-0.91164880000000004</v>
      </c>
      <c r="N3019">
        <v>-1.2681090000000001E-2</v>
      </c>
      <c r="O3019">
        <v>-0.4107749</v>
      </c>
      <c r="P3019">
        <v>-0.68225930000000001</v>
      </c>
      <c r="Q3019">
        <v>0.36318549999999999</v>
      </c>
      <c r="R3019">
        <v>-0.63452240000000004</v>
      </c>
      <c r="S3019">
        <v>-2.1690670000000001</v>
      </c>
      <c r="T3019">
        <v>-0.3767163</v>
      </c>
      <c r="U3019">
        <v>-2.6170040000000001</v>
      </c>
      <c r="V3019">
        <v>-0.30401739999999999</v>
      </c>
      <c r="W3019">
        <v>0.36966599999999999</v>
      </c>
      <c r="X3019">
        <v>0.87802080000000005</v>
      </c>
      <c r="Y3019">
        <v>-0.43882409999999999</v>
      </c>
      <c r="Z3019">
        <v>1.4225410000000001E-2</v>
      </c>
      <c r="AA3019">
        <v>0.89846039999999905</v>
      </c>
      <c r="AB3019">
        <v>26</v>
      </c>
      <c r="AC3019">
        <v>-0.47990000000004301</v>
      </c>
      <c r="AD3019">
        <v>-0.107338</v>
      </c>
      <c r="AE3019">
        <v>-0.678499999999985</v>
      </c>
      <c r="AF3019">
        <v>-0.414541417479039</v>
      </c>
      <c r="AG3019">
        <v>-0.107338</v>
      </c>
      <c r="AH3019">
        <v>0.70451600984471296</v>
      </c>
      <c r="AI3019">
        <v>97.480821497519599</v>
      </c>
      <c r="AJ3019">
        <v>120.472808977542</v>
      </c>
      <c r="AK3019">
        <v>0.82444456525411502</v>
      </c>
      <c r="AL3019">
        <v>68.304980523983701</v>
      </c>
      <c r="AM3019">
        <v>109.098568782634</v>
      </c>
      <c r="AN3019">
        <v>1.00000002814569</v>
      </c>
    </row>
    <row r="3020" spans="1:40" x14ac:dyDescent="0.25">
      <c r="A3020" t="str">
        <f>"20190304164911688"</f>
        <v>20190304164911688</v>
      </c>
      <c r="B3020" t="str">
        <f>"1551689351678840"</f>
        <v>1551689351678840</v>
      </c>
      <c r="C3020" t="s">
        <v>40</v>
      </c>
      <c r="D3020">
        <v>4.2162379999999997</v>
      </c>
      <c r="E3020">
        <v>0.45241809999999899</v>
      </c>
      <c r="F3020" t="s">
        <v>41</v>
      </c>
      <c r="G3020">
        <v>-480.68799999999999</v>
      </c>
      <c r="H3020">
        <v>1.001781</v>
      </c>
      <c r="I3020">
        <v>281.38470000000001</v>
      </c>
      <c r="J3020">
        <v>-480.15309999999999</v>
      </c>
      <c r="K3020">
        <v>1.117038</v>
      </c>
      <c r="L3020">
        <v>282.12369999999999</v>
      </c>
      <c r="M3020">
        <v>-0.90969920000000004</v>
      </c>
      <c r="N3020">
        <v>-1.261487E-2</v>
      </c>
      <c r="O3020">
        <v>-0.41507630000000001</v>
      </c>
      <c r="P3020">
        <v>-0.67961280000000002</v>
      </c>
      <c r="Q3020">
        <v>0.36231639999999998</v>
      </c>
      <c r="R3020">
        <v>-0.63785059999999905</v>
      </c>
      <c r="S3020">
        <v>-2.1542659999999998</v>
      </c>
      <c r="T3020">
        <v>-0.37950729999999999</v>
      </c>
      <c r="U3020">
        <v>-2.628876</v>
      </c>
      <c r="V3020">
        <v>-0.30392419999999998</v>
      </c>
      <c r="W3020">
        <v>0.36877130000000002</v>
      </c>
      <c r="X3020">
        <v>0.87842919999999902</v>
      </c>
      <c r="Y3020">
        <v>-0.43960320000000003</v>
      </c>
      <c r="Z3020">
        <v>1.48597E-2</v>
      </c>
      <c r="AA3020">
        <v>0.89806909999999895</v>
      </c>
      <c r="AB3020">
        <v>26</v>
      </c>
      <c r="AC3020">
        <v>-0.53490000000005</v>
      </c>
      <c r="AD3020">
        <v>-0.115256999999999</v>
      </c>
      <c r="AE3020">
        <v>-0.73899999999997501</v>
      </c>
      <c r="AF3020">
        <v>-0.44320477904204397</v>
      </c>
      <c r="AG3020">
        <v>-0.115256999999999</v>
      </c>
      <c r="AH3020">
        <v>0.78093727873707297</v>
      </c>
      <c r="AI3020">
        <v>97.3143397827684</v>
      </c>
      <c r="AJ3020">
        <v>119.576179846043</v>
      </c>
      <c r="AK3020">
        <v>0.90530529962879003</v>
      </c>
      <c r="AL3020">
        <v>68.360140457433701</v>
      </c>
      <c r="AM3020">
        <v>109.08490339479501</v>
      </c>
      <c r="AN3020">
        <v>1.00000002523098</v>
      </c>
    </row>
    <row r="3021" spans="1:40" x14ac:dyDescent="0.25">
      <c r="A3021" t="str">
        <f>"20190304164911701"</f>
        <v>20190304164911701</v>
      </c>
      <c r="B3021" t="str">
        <f>"1551689351698361"</f>
        <v>1551689351698361</v>
      </c>
      <c r="C3021" t="s">
        <v>40</v>
      </c>
      <c r="D3021">
        <v>4.2209219999999998</v>
      </c>
      <c r="E3021">
        <v>0.44744040000000002</v>
      </c>
      <c r="F3021" t="s">
        <v>45</v>
      </c>
      <c r="G3021">
        <v>-486.75990000000002</v>
      </c>
      <c r="H3021" s="1">
        <v>1.416756E-6</v>
      </c>
      <c r="I3021">
        <v>274.42649999999998</v>
      </c>
      <c r="J3021">
        <v>-480.27620000000002</v>
      </c>
      <c r="K3021">
        <v>1.1169960000000001</v>
      </c>
      <c r="L3021">
        <v>282.06200000000001</v>
      </c>
      <c r="M3021">
        <v>-0.90767790000000004</v>
      </c>
      <c r="N3021">
        <v>-1.2548500000000001E-2</v>
      </c>
      <c r="O3021">
        <v>-0.41947990000000002</v>
      </c>
      <c r="P3021">
        <v>-0.67678139999999998</v>
      </c>
      <c r="Q3021">
        <v>0.36222989999999999</v>
      </c>
      <c r="R3021">
        <v>-0.64090290000000005</v>
      </c>
      <c r="S3021">
        <v>-2.2034910000000001</v>
      </c>
      <c r="T3021">
        <v>-0.3725542</v>
      </c>
      <c r="U3021">
        <v>-2.5671689999999998</v>
      </c>
      <c r="V3021">
        <v>-0.3035677</v>
      </c>
      <c r="W3021">
        <v>0.36865779999999998</v>
      </c>
      <c r="X3021">
        <v>0.87860009999999999</v>
      </c>
      <c r="Y3021">
        <v>-0.4147904</v>
      </c>
      <c r="Z3021">
        <v>1.6674640000000001E-2</v>
      </c>
      <c r="AA3021">
        <v>0.90976420000000002</v>
      </c>
      <c r="AB3021">
        <v>26</v>
      </c>
      <c r="AC3021">
        <v>-6.48369999999999</v>
      </c>
      <c r="AD3021">
        <v>-1.11699458324399</v>
      </c>
      <c r="AE3021">
        <v>-7.6355000000000297</v>
      </c>
      <c r="AF3021">
        <v>-4.1594038262025297</v>
      </c>
      <c r="AG3021">
        <v>-1.11699458324399</v>
      </c>
      <c r="AH3021">
        <v>8.9771384725544596</v>
      </c>
      <c r="AI3021">
        <v>96.441251784450003</v>
      </c>
      <c r="AJ3021">
        <v>114.859842506487</v>
      </c>
      <c r="AK3021">
        <v>9.9567731843123894</v>
      </c>
      <c r="AL3021">
        <v>68.367136529228404</v>
      </c>
      <c r="AM3021">
        <v>109.060693295574</v>
      </c>
      <c r="AN3021">
        <v>1.0000000288520601</v>
      </c>
    </row>
    <row r="3022" spans="1:40" x14ac:dyDescent="0.25">
      <c r="A3022" t="str">
        <f>"20190304164911713"</f>
        <v>20190304164911713</v>
      </c>
      <c r="B3022" t="str">
        <f>"1551689351709096"</f>
        <v>1551689351709096</v>
      </c>
      <c r="C3022" t="s">
        <v>40</v>
      </c>
      <c r="D3022">
        <v>4.2057969999999996</v>
      </c>
      <c r="E3022">
        <v>0.44744040000000002</v>
      </c>
      <c r="F3022" t="s">
        <v>41</v>
      </c>
      <c r="G3022">
        <v>-480.92340000000002</v>
      </c>
      <c r="H3022">
        <v>1.0065040000000001</v>
      </c>
      <c r="I3022">
        <v>281.28280000000001</v>
      </c>
      <c r="J3022">
        <v>-480.39499999999998</v>
      </c>
      <c r="K3022">
        <v>1.1169629999999999</v>
      </c>
      <c r="L3022">
        <v>282.00200000000001</v>
      </c>
      <c r="M3022">
        <v>-0.90571449999999998</v>
      </c>
      <c r="N3022">
        <v>-1.248611E-2</v>
      </c>
      <c r="O3022">
        <v>-0.42370459999999899</v>
      </c>
      <c r="P3022">
        <v>-0.67414640000000003</v>
      </c>
      <c r="Q3022">
        <v>0.36209839999999999</v>
      </c>
      <c r="R3022">
        <v>-0.64374809999999905</v>
      </c>
      <c r="S3022">
        <v>-2.1633300000000002</v>
      </c>
      <c r="T3022">
        <v>-0.36939430000000001</v>
      </c>
      <c r="U3022">
        <v>-2.605194</v>
      </c>
      <c r="V3022">
        <v>-0.30311490000000002</v>
      </c>
      <c r="W3022">
        <v>0.3685023</v>
      </c>
      <c r="X3022">
        <v>0.87882159999999998</v>
      </c>
      <c r="Y3022">
        <v>-0.42532989999999998</v>
      </c>
      <c r="Z3022">
        <v>1.627487E-2</v>
      </c>
      <c r="AA3022">
        <v>0.90489200000000003</v>
      </c>
      <c r="AB3022">
        <v>26</v>
      </c>
      <c r="AC3022">
        <v>-0.52840000000003295</v>
      </c>
      <c r="AD3022">
        <v>-0.110458999999999</v>
      </c>
      <c r="AE3022">
        <v>-0.71919999999999995</v>
      </c>
      <c r="AF3022">
        <v>-0.42108684894735798</v>
      </c>
      <c r="AG3022">
        <v>-0.110458999999999</v>
      </c>
      <c r="AH3022">
        <v>0.77154921398819698</v>
      </c>
      <c r="AI3022">
        <v>97.162671867089401</v>
      </c>
      <c r="AJ3022">
        <v>118.624298048724</v>
      </c>
      <c r="AK3022">
        <v>0.88589136729241202</v>
      </c>
      <c r="AL3022">
        <v>68.376720050706496</v>
      </c>
      <c r="AM3022">
        <v>109.02985766654</v>
      </c>
      <c r="AN3022">
        <v>0.99999999616692903</v>
      </c>
    </row>
    <row r="3023" spans="1:40" x14ac:dyDescent="0.25">
      <c r="A3023" t="str">
        <f>"20190304164911724"</f>
        <v>20190304164911724</v>
      </c>
      <c r="B3023" t="str">
        <f>"1551689351718856"</f>
        <v>1551689351718856</v>
      </c>
      <c r="C3023" t="s">
        <v>40</v>
      </c>
      <c r="D3023">
        <v>4.1729269999999996</v>
      </c>
      <c r="E3023">
        <v>0.40773930000000003</v>
      </c>
      <c r="F3023" t="s">
        <v>45</v>
      </c>
      <c r="G3023">
        <v>-486.8972</v>
      </c>
      <c r="H3023" s="1">
        <v>1.312754E-6</v>
      </c>
      <c r="I3023">
        <v>274.09780000000001</v>
      </c>
      <c r="J3023">
        <v>-480.51560000000001</v>
      </c>
      <c r="K3023">
        <v>1.116935</v>
      </c>
      <c r="L3023">
        <v>281.94</v>
      </c>
      <c r="M3023">
        <v>-0.90370490000000003</v>
      </c>
      <c r="N3023">
        <v>-1.242659E-2</v>
      </c>
      <c r="O3023">
        <v>-0.42797540000000001</v>
      </c>
      <c r="P3023">
        <v>-0.67168159999999999</v>
      </c>
      <c r="Q3023">
        <v>0.36176130000000001</v>
      </c>
      <c r="R3023">
        <v>-0.64650769999999902</v>
      </c>
      <c r="S3023">
        <v>-2.1513059999999999</v>
      </c>
      <c r="T3023">
        <v>-0.3695543</v>
      </c>
      <c r="U3023">
        <v>-2.6151430000000002</v>
      </c>
      <c r="V3023">
        <v>-0.30246450000000003</v>
      </c>
      <c r="W3023">
        <v>0.36814360000000002</v>
      </c>
      <c r="X3023">
        <v>0.87919590000000003</v>
      </c>
      <c r="Y3023">
        <v>-0.42524899999999999</v>
      </c>
      <c r="Z3023">
        <v>1.679338E-2</v>
      </c>
      <c r="AA3023">
        <v>0.90492059999999996</v>
      </c>
      <c r="AB3023">
        <v>26</v>
      </c>
      <c r="AC3023">
        <v>-6.3815999999999899</v>
      </c>
      <c r="AD3023">
        <v>-1.1169336872460001</v>
      </c>
      <c r="AE3023">
        <v>-7.8421999999999903</v>
      </c>
      <c r="AF3023">
        <v>-4.3036816834134903</v>
      </c>
      <c r="AG3023">
        <v>-1.1169336872460001</v>
      </c>
      <c r="AH3023">
        <v>9.0140503734048796</v>
      </c>
      <c r="AI3023">
        <v>96.380273387309401</v>
      </c>
      <c r="AJ3023">
        <v>115.52174557859</v>
      </c>
      <c r="AK3023">
        <v>10.0509860724276</v>
      </c>
      <c r="AL3023">
        <v>68.398825270002007</v>
      </c>
      <c r="AM3023">
        <v>108.98444720882</v>
      </c>
      <c r="AN3023">
        <v>0.99999995727900903</v>
      </c>
    </row>
    <row r="3024" spans="1:40" x14ac:dyDescent="0.25">
      <c r="A3024" t="str">
        <f>"20190304164911736"</f>
        <v>20190304164911736</v>
      </c>
      <c r="B3024" t="str">
        <f>"1551689351728617"</f>
        <v>1551689351728617</v>
      </c>
      <c r="C3024" t="s">
        <v>40</v>
      </c>
      <c r="D3024">
        <v>4.1359879999999896</v>
      </c>
      <c r="E3024">
        <v>0.40536090000000002</v>
      </c>
      <c r="F3024" t="s">
        <v>41</v>
      </c>
      <c r="G3024">
        <v>-481.05779999999999</v>
      </c>
      <c r="H3024">
        <v>1.035836</v>
      </c>
      <c r="I3024">
        <v>281.13099999999997</v>
      </c>
      <c r="J3024">
        <v>-480.63659999999999</v>
      </c>
      <c r="K3024">
        <v>1.116908</v>
      </c>
      <c r="L3024">
        <v>281.87759999999997</v>
      </c>
      <c r="M3024">
        <v>-0.90167140000000001</v>
      </c>
      <c r="N3024">
        <v>-1.236862E-2</v>
      </c>
      <c r="O3024">
        <v>-0.4322453</v>
      </c>
      <c r="P3024">
        <v>-0.66926629999999998</v>
      </c>
      <c r="Q3024">
        <v>0.36166019999999999</v>
      </c>
      <c r="R3024">
        <v>-0.64906439999999999</v>
      </c>
      <c r="S3024">
        <v>-1.8958440000000001</v>
      </c>
      <c r="T3024">
        <v>-0.28356579999999998</v>
      </c>
      <c r="U3024">
        <v>-2.8293460000000001</v>
      </c>
      <c r="V3024">
        <v>-0.30160989999999999</v>
      </c>
      <c r="W3024">
        <v>0.36802299999999999</v>
      </c>
      <c r="X3024">
        <v>0.87953999999999999</v>
      </c>
      <c r="Y3024">
        <v>-0.50763199999999997</v>
      </c>
      <c r="Z3024">
        <v>7.1039780000000004E-3</v>
      </c>
      <c r="AA3024">
        <v>0.86154470000000005</v>
      </c>
      <c r="AB3024">
        <v>26</v>
      </c>
      <c r="AC3024">
        <v>-0.42119999999999802</v>
      </c>
      <c r="AD3024">
        <v>-8.1072000000000005E-2</v>
      </c>
      <c r="AE3024">
        <v>-0.74660000000000004</v>
      </c>
      <c r="AF3024">
        <v>-0.48680933778295199</v>
      </c>
      <c r="AG3024">
        <v>-8.1072000000000005E-2</v>
      </c>
      <c r="AH3024">
        <v>0.69632364569060301</v>
      </c>
      <c r="AI3024">
        <v>95.450760458904995</v>
      </c>
      <c r="AJ3024">
        <v>124.957921173057</v>
      </c>
      <c r="AK3024">
        <v>0.85347678356504197</v>
      </c>
      <c r="AL3024">
        <v>68.406258678956604</v>
      </c>
      <c r="AM3024">
        <v>108.92775292089701</v>
      </c>
      <c r="AN3024">
        <v>1.0000000359535</v>
      </c>
    </row>
    <row r="3025" spans="1:40" x14ac:dyDescent="0.25">
      <c r="A3025" t="str">
        <f>"20190304164911749"</f>
        <v>20190304164911749</v>
      </c>
      <c r="B3025" t="str">
        <f>"1551689351738377"</f>
        <v>1551689351738377</v>
      </c>
      <c r="C3025" t="s">
        <v>40</v>
      </c>
      <c r="D3025">
        <v>4.1598100000000002</v>
      </c>
      <c r="E3025">
        <v>0.40367639999999999</v>
      </c>
      <c r="F3025" t="s">
        <v>41</v>
      </c>
      <c r="G3025">
        <v>-481.22460000000001</v>
      </c>
      <c r="H3025">
        <v>1.0283869999999999</v>
      </c>
      <c r="I3025">
        <v>280.9812</v>
      </c>
      <c r="J3025">
        <v>-480.7611</v>
      </c>
      <c r="K3025">
        <v>1.1168940000000001</v>
      </c>
      <c r="L3025">
        <v>281.81220000000002</v>
      </c>
      <c r="M3025">
        <v>-0.89956069999999999</v>
      </c>
      <c r="N3025">
        <v>-1.2313960000000001E-2</v>
      </c>
      <c r="O3025">
        <v>-0.43662230000000002</v>
      </c>
      <c r="P3025">
        <v>-0.66706259999999995</v>
      </c>
      <c r="Q3025">
        <v>0.36145260000000001</v>
      </c>
      <c r="R3025">
        <v>-0.65144440000000003</v>
      </c>
      <c r="S3025">
        <v>-1.8699950000000001</v>
      </c>
      <c r="T3025">
        <v>-0.28150449999999999</v>
      </c>
      <c r="U3025">
        <v>-2.8506469999999999</v>
      </c>
      <c r="V3025">
        <v>-0.3003982</v>
      </c>
      <c r="W3025">
        <v>0.3678013</v>
      </c>
      <c r="X3025">
        <v>0.88004720000000003</v>
      </c>
      <c r="Y3025">
        <v>-0.51186809999999905</v>
      </c>
      <c r="Z3025">
        <v>7.1491059999999997E-3</v>
      </c>
      <c r="AA3025">
        <v>0.85903439999999998</v>
      </c>
      <c r="AB3025">
        <v>26</v>
      </c>
      <c r="AC3025">
        <v>-0.46350000000001002</v>
      </c>
      <c r="AD3025">
        <v>-8.8506999999999794E-2</v>
      </c>
      <c r="AE3025">
        <v>-0.83100000000001695</v>
      </c>
      <c r="AF3025">
        <v>-0.54052517042654302</v>
      </c>
      <c r="AG3025">
        <v>-8.8506999999999794E-2</v>
      </c>
      <c r="AH3025">
        <v>0.77314928590314802</v>
      </c>
      <c r="AI3025">
        <v>95.359861294346501</v>
      </c>
      <c r="AJ3025">
        <v>124.958218940113</v>
      </c>
      <c r="AK3025">
        <v>0.94750238374697004</v>
      </c>
      <c r="AL3025">
        <v>68.419917909439206</v>
      </c>
      <c r="AM3025">
        <v>108.846994216525</v>
      </c>
      <c r="AN3025">
        <v>0.99999997453638401</v>
      </c>
    </row>
    <row r="3026" spans="1:40" x14ac:dyDescent="0.25">
      <c r="A3026" t="str">
        <f>"20190304164911761"</f>
        <v>20190304164911761</v>
      </c>
      <c r="B3026" t="str">
        <f>"1551689351758873"</f>
        <v>1551689351758873</v>
      </c>
      <c r="C3026" t="s">
        <v>40</v>
      </c>
      <c r="D3026">
        <v>4.1501640000000002</v>
      </c>
      <c r="E3026">
        <v>0.40248830000000002</v>
      </c>
      <c r="F3026" t="s">
        <v>41</v>
      </c>
      <c r="G3026">
        <v>-481.26429999999999</v>
      </c>
      <c r="H3026">
        <v>1.0407519999999999</v>
      </c>
      <c r="I3026">
        <v>281.03160000000003</v>
      </c>
      <c r="J3026">
        <v>-480.88850000000002</v>
      </c>
      <c r="K3026">
        <v>1.1168830000000001</v>
      </c>
      <c r="L3026">
        <v>281.74470000000002</v>
      </c>
      <c r="M3026">
        <v>-0.89737739999999999</v>
      </c>
      <c r="N3026">
        <v>-1.226081E-2</v>
      </c>
      <c r="O3026">
        <v>-0.44109399999999999</v>
      </c>
      <c r="P3026">
        <v>-0.66479270000000001</v>
      </c>
      <c r="Q3026">
        <v>0.36173</v>
      </c>
      <c r="R3026">
        <v>-0.65360750000000001</v>
      </c>
      <c r="S3026">
        <v>-1.8483890000000001</v>
      </c>
      <c r="T3026">
        <v>-0.27971649999999998</v>
      </c>
      <c r="U3026">
        <v>-2.8676149999999998</v>
      </c>
      <c r="V3026">
        <v>-0.29892990000000003</v>
      </c>
      <c r="W3026">
        <v>0.36806559999999999</v>
      </c>
      <c r="X3026">
        <v>0.88043660000000001</v>
      </c>
      <c r="Y3026">
        <v>-0.51449350000000005</v>
      </c>
      <c r="Z3026">
        <v>7.3045569999999997E-3</v>
      </c>
      <c r="AA3026">
        <v>0.85746319999999998</v>
      </c>
      <c r="AB3026">
        <v>26</v>
      </c>
      <c r="AC3026">
        <v>-0.37579999999996899</v>
      </c>
      <c r="AD3026">
        <v>-7.6130999999999893E-2</v>
      </c>
      <c r="AE3026">
        <v>-0.71309999999999696</v>
      </c>
      <c r="AF3026">
        <v>-0.46999964303833303</v>
      </c>
      <c r="AG3026">
        <v>-7.6130999999999893E-2</v>
      </c>
      <c r="AH3026">
        <v>0.64606424535277096</v>
      </c>
      <c r="AI3026">
        <v>95.443307071342801</v>
      </c>
      <c r="AJ3026">
        <v>126.035187960969</v>
      </c>
      <c r="AK3026">
        <v>0.80255504654846299</v>
      </c>
      <c r="AL3026">
        <v>68.403632552428704</v>
      </c>
      <c r="AM3026">
        <v>108.753614661908</v>
      </c>
      <c r="AN3026">
        <v>0.99999998881846497</v>
      </c>
    </row>
    <row r="3027" spans="1:40" x14ac:dyDescent="0.25">
      <c r="A3027" t="str">
        <f>"20190304164911774"</f>
        <v>20190304164911774</v>
      </c>
      <c r="B3027" t="str">
        <f>"1551689351768633"</f>
        <v>1551689351768633</v>
      </c>
      <c r="C3027" t="s">
        <v>40</v>
      </c>
      <c r="D3027">
        <v>4.1408569999999996</v>
      </c>
      <c r="E3027">
        <v>0.40208890000000003</v>
      </c>
      <c r="F3027" t="s">
        <v>41</v>
      </c>
      <c r="G3027">
        <v>-481.43450000000001</v>
      </c>
      <c r="H3027">
        <v>1.03474</v>
      </c>
      <c r="I3027">
        <v>280.88580000000002</v>
      </c>
      <c r="J3027">
        <v>-481.0204</v>
      </c>
      <c r="K3027">
        <v>1.116879</v>
      </c>
      <c r="L3027">
        <v>281.67410000000001</v>
      </c>
      <c r="M3027">
        <v>-0.89509309999999997</v>
      </c>
      <c r="N3027">
        <v>-1.220886E-2</v>
      </c>
      <c r="O3027">
        <v>-0.44571270000000002</v>
      </c>
      <c r="P3027">
        <v>-0.66219680000000003</v>
      </c>
      <c r="Q3027">
        <v>0.36210369999999997</v>
      </c>
      <c r="R3027">
        <v>-0.65603100000000003</v>
      </c>
      <c r="S3027">
        <v>-1.8302309999999999</v>
      </c>
      <c r="T3027">
        <v>-0.27539659999999999</v>
      </c>
      <c r="U3027">
        <v>-2.8807369999999999</v>
      </c>
      <c r="V3027">
        <v>-0.2976915</v>
      </c>
      <c r="W3027">
        <v>0.36842019999999998</v>
      </c>
      <c r="X3027">
        <v>0.88070789999999999</v>
      </c>
      <c r="Y3027">
        <v>-0.51572070000000003</v>
      </c>
      <c r="Z3027">
        <v>7.4024069999999997E-3</v>
      </c>
      <c r="AA3027">
        <v>0.85672479999999995</v>
      </c>
      <c r="AB3027">
        <v>26</v>
      </c>
      <c r="AC3027">
        <v>-0.41410000000001901</v>
      </c>
      <c r="AD3027">
        <v>-8.2139000000000101E-2</v>
      </c>
      <c r="AE3027">
        <v>-0.78829999999999201</v>
      </c>
      <c r="AF3027">
        <v>-0.51667453429846799</v>
      </c>
      <c r="AG3027">
        <v>-8.2139000000000101E-2</v>
      </c>
      <c r="AH3027">
        <v>0.71597471266408097</v>
      </c>
      <c r="AI3027">
        <v>95.314906536630104</v>
      </c>
      <c r="AJ3027">
        <v>125.815646726821</v>
      </c>
      <c r="AK3027">
        <v>0.88674640054975795</v>
      </c>
      <c r="AL3027">
        <v>68.381781012584497</v>
      </c>
      <c r="AM3027">
        <v>108.675967308569</v>
      </c>
      <c r="AN3027">
        <v>1.0000000390313399</v>
      </c>
    </row>
    <row r="3028" spans="1:40" x14ac:dyDescent="0.25">
      <c r="A3028" t="str">
        <f>"20190304164911787"</f>
        <v>20190304164911787</v>
      </c>
      <c r="B3028" t="str">
        <f>"1551689351779369"</f>
        <v>1551689351779369</v>
      </c>
      <c r="C3028" t="s">
        <v>40</v>
      </c>
      <c r="D3028">
        <v>4.112787</v>
      </c>
      <c r="E3028">
        <v>0.40203879999999997</v>
      </c>
      <c r="F3028" t="s">
        <v>41</v>
      </c>
      <c r="G3028">
        <v>-481.48009999999999</v>
      </c>
      <c r="H3028">
        <v>1.0478540000000001</v>
      </c>
      <c r="I3028">
        <v>280.94279999999998</v>
      </c>
      <c r="J3028">
        <v>-481.1474</v>
      </c>
      <c r="K3028">
        <v>1.116881</v>
      </c>
      <c r="L3028">
        <v>281.60489999999999</v>
      </c>
      <c r="M3028">
        <v>-0.89286489999999996</v>
      </c>
      <c r="N3028">
        <v>-1.216121E-2</v>
      </c>
      <c r="O3028">
        <v>-0.45016070000000002</v>
      </c>
      <c r="P3028">
        <v>-0.65968260000000001</v>
      </c>
      <c r="Q3028">
        <v>0.3622493</v>
      </c>
      <c r="R3028">
        <v>-0.65847889999999998</v>
      </c>
      <c r="S3028">
        <v>-1.815979</v>
      </c>
      <c r="T3028">
        <v>-0.272725299999999</v>
      </c>
      <c r="U3028">
        <v>-2.8905029999999998</v>
      </c>
      <c r="V3028">
        <v>-0.29660310000000001</v>
      </c>
      <c r="W3028">
        <v>0.36854389999999998</v>
      </c>
      <c r="X3028">
        <v>0.88102329999999995</v>
      </c>
      <c r="Y3028">
        <v>-0.51581350000000004</v>
      </c>
      <c r="Z3028">
        <v>7.6318009999999997E-3</v>
      </c>
      <c r="AA3028">
        <v>0.85666690000000001</v>
      </c>
      <c r="AB3028">
        <v>26</v>
      </c>
      <c r="AC3028">
        <v>-0.33269999999998801</v>
      </c>
      <c r="AD3028">
        <v>-6.9026999999999894E-2</v>
      </c>
      <c r="AE3028">
        <v>-0.66210000000000901</v>
      </c>
      <c r="AF3028">
        <v>-0.43763224684094398</v>
      </c>
      <c r="AG3028">
        <v>-6.9026999999999894E-2</v>
      </c>
      <c r="AH3028">
        <v>0.59003125885410701</v>
      </c>
      <c r="AI3028">
        <v>95.367952764109702</v>
      </c>
      <c r="AJ3028">
        <v>126.56470771915799</v>
      </c>
      <c r="AK3028">
        <v>0.73785066011288203</v>
      </c>
      <c r="AL3028">
        <v>68.374156863102996</v>
      </c>
      <c r="AM3028">
        <v>108.60619209382099</v>
      </c>
      <c r="AN3028">
        <v>1.0000000301498499</v>
      </c>
    </row>
    <row r="3029" spans="1:40" x14ac:dyDescent="0.25">
      <c r="A3029" t="str">
        <f>"20190304164911799"</f>
        <v>20190304164911799</v>
      </c>
      <c r="B3029" t="str">
        <f>"1551689351789128"</f>
        <v>1551689351789128</v>
      </c>
      <c r="C3029" t="s">
        <v>40</v>
      </c>
      <c r="D3029">
        <v>4.1282740000000002</v>
      </c>
      <c r="E3029">
        <v>0.4023195</v>
      </c>
      <c r="F3029" t="s">
        <v>41</v>
      </c>
      <c r="G3029">
        <v>-481.6506</v>
      </c>
      <c r="H3029">
        <v>1.0411140000000001</v>
      </c>
      <c r="I3029">
        <v>280.79680000000002</v>
      </c>
      <c r="J3029">
        <v>-481.27600000000001</v>
      </c>
      <c r="K3029">
        <v>1.116884</v>
      </c>
      <c r="L3029">
        <v>281.53440000000001</v>
      </c>
      <c r="M3029">
        <v>-0.89058099999999996</v>
      </c>
      <c r="N3029">
        <v>-1.2114099999999999E-2</v>
      </c>
      <c r="O3029">
        <v>-0.4546635</v>
      </c>
      <c r="P3029">
        <v>-0.65703819999999902</v>
      </c>
      <c r="Q3029">
        <v>0.3626664</v>
      </c>
      <c r="R3029">
        <v>-0.66088910000000001</v>
      </c>
      <c r="S3029">
        <v>-1.8041990000000001</v>
      </c>
      <c r="T3029">
        <v>-0.27168520000000002</v>
      </c>
      <c r="U3029">
        <v>-2.8979189999999999</v>
      </c>
      <c r="V3029">
        <v>-0.29548530000000001</v>
      </c>
      <c r="W3029">
        <v>0.36893710000000002</v>
      </c>
      <c r="X3029">
        <v>0.88123430000000003</v>
      </c>
      <c r="Y3029">
        <v>-0.5149994</v>
      </c>
      <c r="Z3029">
        <v>8.0062799999999993E-3</v>
      </c>
      <c r="AA3029">
        <v>0.857153099999999</v>
      </c>
      <c r="AB3029">
        <v>26</v>
      </c>
      <c r="AC3029">
        <v>-0.374599999999986</v>
      </c>
      <c r="AD3029">
        <v>-7.5770000000000101E-2</v>
      </c>
      <c r="AE3029">
        <v>-0.73759999999998604</v>
      </c>
      <c r="AF3029">
        <v>-0.48256315638048602</v>
      </c>
      <c r="AG3029">
        <v>-7.5770000000000101E-2</v>
      </c>
      <c r="AH3029">
        <v>0.66345490958956699</v>
      </c>
      <c r="AI3029">
        <v>95.276783647571506</v>
      </c>
      <c r="AJ3029">
        <v>126.03022542974099</v>
      </c>
      <c r="AK3029">
        <v>0.82388149017586199</v>
      </c>
      <c r="AL3029">
        <v>68.349920011727804</v>
      </c>
      <c r="AM3029">
        <v>108.536737244487</v>
      </c>
      <c r="AN3029">
        <v>1.00000001888449</v>
      </c>
    </row>
    <row r="3030" spans="1:40" x14ac:dyDescent="0.25">
      <c r="A3030" t="str">
        <f>"20190304164911815"</f>
        <v>20190304164911815</v>
      </c>
      <c r="B3030" t="str">
        <f>"1551689351808653"</f>
        <v>1551689351808653</v>
      </c>
      <c r="C3030" t="s">
        <v>40</v>
      </c>
      <c r="D3030">
        <v>4.125864</v>
      </c>
      <c r="E3030">
        <v>0.40263349999999998</v>
      </c>
      <c r="F3030" t="s">
        <v>41</v>
      </c>
      <c r="G3030">
        <v>-481.82159999999999</v>
      </c>
      <c r="H3030">
        <v>1.0347930000000001</v>
      </c>
      <c r="I3030">
        <v>280.65179999999998</v>
      </c>
      <c r="J3030">
        <v>-481.4289</v>
      </c>
      <c r="K3030">
        <v>1.1168929999999999</v>
      </c>
      <c r="L3030">
        <v>281.4495</v>
      </c>
      <c r="M3030">
        <v>-0.88782609999999995</v>
      </c>
      <c r="N3030">
        <v>-1.206019E-2</v>
      </c>
      <c r="O3030">
        <v>-0.46002090000000001</v>
      </c>
      <c r="P3030">
        <v>-0.65452030000000005</v>
      </c>
      <c r="Q3030">
        <v>0.36316520000000002</v>
      </c>
      <c r="R3030">
        <v>-0.66310909999999901</v>
      </c>
      <c r="S3030">
        <v>-1.794373</v>
      </c>
      <c r="T3030">
        <v>-0.26999069999999997</v>
      </c>
      <c r="U3030">
        <v>-2.9035950000000001</v>
      </c>
      <c r="V3030">
        <v>-0.29328910000000002</v>
      </c>
      <c r="W3030">
        <v>0.36942190000000003</v>
      </c>
      <c r="X3030">
        <v>0.88176469999999996</v>
      </c>
      <c r="Y3030">
        <v>-0.51270930000000003</v>
      </c>
      <c r="Z3030">
        <v>8.4873209999999904E-3</v>
      </c>
      <c r="AA3030">
        <v>0.85852030000000001</v>
      </c>
      <c r="AB3030">
        <v>26</v>
      </c>
      <c r="AC3030">
        <v>-0.39269999999999</v>
      </c>
      <c r="AD3030">
        <v>-8.2100000000000006E-2</v>
      </c>
      <c r="AE3030">
        <v>-0.79770000000001995</v>
      </c>
      <c r="AF3030">
        <v>-0.52314654900419699</v>
      </c>
      <c r="AG3030">
        <v>-8.2100000000000006E-2</v>
      </c>
      <c r="AH3030">
        <v>0.70960969707857302</v>
      </c>
      <c r="AI3030">
        <v>95.320356627408799</v>
      </c>
      <c r="AJ3030">
        <v>126.398805221331</v>
      </c>
      <c r="AK3030">
        <v>0.88542003813046</v>
      </c>
      <c r="AL3030">
        <v>68.320031474033897</v>
      </c>
      <c r="AM3030">
        <v>108.39795378499301</v>
      </c>
      <c r="AN3030">
        <v>1.00000001127225</v>
      </c>
    </row>
    <row r="3031" spans="1:40" x14ac:dyDescent="0.25">
      <c r="A3031" t="str">
        <f>"20190304164911830"</f>
        <v>20190304164911830</v>
      </c>
      <c r="B3031" t="str">
        <f>"1551689351818409"</f>
        <v>1551689351818409</v>
      </c>
      <c r="C3031" t="s">
        <v>40</v>
      </c>
      <c r="D3031">
        <v>4.1296369999999998</v>
      </c>
      <c r="E3031">
        <v>0.40289550000000002</v>
      </c>
      <c r="F3031" t="s">
        <v>41</v>
      </c>
      <c r="G3031">
        <v>-481.87729999999999</v>
      </c>
      <c r="H3031">
        <v>1.049274</v>
      </c>
      <c r="I3031">
        <v>280.71929999999998</v>
      </c>
      <c r="J3031">
        <v>-481.57440000000003</v>
      </c>
      <c r="K3031">
        <v>1.116908</v>
      </c>
      <c r="L3031">
        <v>281.36709999999999</v>
      </c>
      <c r="M3031">
        <v>-0.88515519999999903</v>
      </c>
      <c r="N3031">
        <v>-1.201407E-2</v>
      </c>
      <c r="O3031">
        <v>-0.46514090000000002</v>
      </c>
      <c r="P3031">
        <v>-0.65126470000000003</v>
      </c>
      <c r="Q3031">
        <v>0.36320229999999998</v>
      </c>
      <c r="R3031">
        <v>-0.66628710000000002</v>
      </c>
      <c r="S3031">
        <v>-1.7857970000000001</v>
      </c>
      <c r="T3031">
        <v>-0.26929560000000002</v>
      </c>
      <c r="U3031">
        <v>-2.9089969999999998</v>
      </c>
      <c r="V3031">
        <v>-0.29250769999999998</v>
      </c>
      <c r="W3031">
        <v>0.36942229999999998</v>
      </c>
      <c r="X3031">
        <v>0.88202400000000003</v>
      </c>
      <c r="Y3031">
        <v>-0.51032129999999998</v>
      </c>
      <c r="Z3031">
        <v>9.0045000000000004E-3</v>
      </c>
      <c r="AA3031">
        <v>0.8599367</v>
      </c>
      <c r="AB3031">
        <v>26</v>
      </c>
      <c r="AC3031">
        <v>-0.30289999999996498</v>
      </c>
      <c r="AD3031">
        <v>-6.7633999999999903E-2</v>
      </c>
      <c r="AE3031">
        <v>-0.64780000000001703</v>
      </c>
      <c r="AF3031">
        <v>-0.42870879636494102</v>
      </c>
      <c r="AG3031">
        <v>-6.7633999999999903E-2</v>
      </c>
      <c r="AH3031">
        <v>0.56442413629602295</v>
      </c>
      <c r="AI3031">
        <v>95.450855304152597</v>
      </c>
      <c r="AJ3031">
        <v>127.218515753703</v>
      </c>
      <c r="AK3031">
        <v>0.71199732841506402</v>
      </c>
      <c r="AL3031">
        <v>68.320005721521099</v>
      </c>
      <c r="AM3031">
        <v>108.347191335061</v>
      </c>
      <c r="AN3031">
        <v>0.99999996343628905</v>
      </c>
    </row>
    <row r="3032" spans="1:40" x14ac:dyDescent="0.25">
      <c r="A3032" t="str">
        <f>"20190304164911847"</f>
        <v>20190304164911847</v>
      </c>
      <c r="B3032" t="str">
        <f>"1551689351838904"</f>
        <v>1551689351838904</v>
      </c>
      <c r="C3032" t="s">
        <v>40</v>
      </c>
      <c r="D3032">
        <v>4.105092</v>
      </c>
      <c r="E3032">
        <v>0.40329700000000002</v>
      </c>
      <c r="F3032" t="s">
        <v>41</v>
      </c>
      <c r="G3032">
        <v>-482.05309999999997</v>
      </c>
      <c r="H3032">
        <v>1.043936</v>
      </c>
      <c r="I3032">
        <v>280.57920000000001</v>
      </c>
      <c r="J3032">
        <v>-481.75360000000001</v>
      </c>
      <c r="K3032">
        <v>1.1169230000000001</v>
      </c>
      <c r="L3032">
        <v>281.26440000000002</v>
      </c>
      <c r="M3032">
        <v>-0.88180139999999996</v>
      </c>
      <c r="N3032">
        <v>-1.1962789999999999E-2</v>
      </c>
      <c r="O3032">
        <v>-0.47146929999999998</v>
      </c>
      <c r="P3032">
        <v>-0.64794490000000005</v>
      </c>
      <c r="Q3032">
        <v>0.36334460000000002</v>
      </c>
      <c r="R3032">
        <v>-0.66943889999999995</v>
      </c>
      <c r="S3032">
        <v>-1.7724610000000001</v>
      </c>
      <c r="T3032">
        <v>-0.27018759999999997</v>
      </c>
      <c r="U3032">
        <v>-2.9173279999999999</v>
      </c>
      <c r="V3032">
        <v>-0.29052309999999998</v>
      </c>
      <c r="W3032">
        <v>0.36953710000000001</v>
      </c>
      <c r="X3032">
        <v>0.88263169999999902</v>
      </c>
      <c r="Y3032">
        <v>-0.50814090000000001</v>
      </c>
      <c r="Z3032">
        <v>9.7151379999999999E-3</v>
      </c>
      <c r="AA3032">
        <v>0.86121919999999996</v>
      </c>
      <c r="AB3032">
        <v>26</v>
      </c>
      <c r="AC3032">
        <v>-0.29949999999996602</v>
      </c>
      <c r="AD3032">
        <v>-7.2986999999999899E-2</v>
      </c>
      <c r="AE3032">
        <v>-0.68520000000000802</v>
      </c>
      <c r="AF3032">
        <v>-0.458668950428051</v>
      </c>
      <c r="AG3032">
        <v>-7.2986999999999899E-2</v>
      </c>
      <c r="AH3032">
        <v>0.58165127986655996</v>
      </c>
      <c r="AI3032">
        <v>95.627336468783795</v>
      </c>
      <c r="AJ3032">
        <v>128.25802147861299</v>
      </c>
      <c r="AK3032">
        <v>0.74432689030168597</v>
      </c>
      <c r="AL3032">
        <v>68.312928778388994</v>
      </c>
      <c r="AM3032">
        <v>108.21924574947001</v>
      </c>
      <c r="AN3032">
        <v>1.00000002887745</v>
      </c>
    </row>
    <row r="3033" spans="1:40" x14ac:dyDescent="0.25">
      <c r="A3033" t="str">
        <f>"20190304164911861"</f>
        <v>20190304164911861</v>
      </c>
      <c r="B3033" t="str">
        <f>"1551689351848664"</f>
        <v>1551689351848664</v>
      </c>
      <c r="C3033" t="s">
        <v>40</v>
      </c>
      <c r="D3033">
        <v>4.1099420000000002</v>
      </c>
      <c r="E3033">
        <v>0.40357209999999899</v>
      </c>
      <c r="F3033" t="s">
        <v>41</v>
      </c>
      <c r="G3033">
        <v>-482.24119999999999</v>
      </c>
      <c r="H3033">
        <v>1.04148</v>
      </c>
      <c r="I3033">
        <v>280.45370000000003</v>
      </c>
      <c r="J3033">
        <v>-481.89389999999997</v>
      </c>
      <c r="K3033">
        <v>1.116949</v>
      </c>
      <c r="L3033">
        <v>281.18290000000002</v>
      </c>
      <c r="M3033">
        <v>-0.87911890000000004</v>
      </c>
      <c r="N3033">
        <v>-1.192727E-2</v>
      </c>
      <c r="O3033">
        <v>-0.47645320000000002</v>
      </c>
      <c r="P3033">
        <v>-0.64408269999999901</v>
      </c>
      <c r="Q3033">
        <v>0.36325730000000001</v>
      </c>
      <c r="R3033">
        <v>-0.67320230000000003</v>
      </c>
      <c r="S3033">
        <v>-1.7590939999999999</v>
      </c>
      <c r="T3033">
        <v>-0.27215640000000002</v>
      </c>
      <c r="U3033">
        <v>-2.9264830000000002</v>
      </c>
      <c r="V3033">
        <v>-0.29067110000000002</v>
      </c>
      <c r="W3033">
        <v>0.3693958</v>
      </c>
      <c r="X3033">
        <v>0.88264209999999999</v>
      </c>
      <c r="Y3033">
        <v>-0.50735429999999904</v>
      </c>
      <c r="Z3033">
        <v>1.0311539999999999E-2</v>
      </c>
      <c r="AA3033">
        <v>0.86167590000000005</v>
      </c>
      <c r="AB3033">
        <v>26</v>
      </c>
      <c r="AC3033">
        <v>-0.34730000000001798</v>
      </c>
      <c r="AD3033">
        <v>-7.5468999999999994E-2</v>
      </c>
      <c r="AE3033">
        <v>-0.72919999999999097</v>
      </c>
      <c r="AF3033">
        <v>-0.47149856495287201</v>
      </c>
      <c r="AG3033">
        <v>-7.5468999999999994E-2</v>
      </c>
      <c r="AH3033">
        <v>0.64714400016975204</v>
      </c>
      <c r="AI3033">
        <v>95.384496001895002</v>
      </c>
      <c r="AJ3033">
        <v>126.076470555483</v>
      </c>
      <c r="AK3033">
        <v>0.80423990430053005</v>
      </c>
      <c r="AL3033">
        <v>68.321640715982099</v>
      </c>
      <c r="AM3033">
        <v>108.227712974404</v>
      </c>
      <c r="AN3033">
        <v>1.0000000110626299</v>
      </c>
    </row>
    <row r="3034" spans="1:40" x14ac:dyDescent="0.25">
      <c r="A3034" t="str">
        <f>"20190304164911876"</f>
        <v>20190304164911876</v>
      </c>
      <c r="B3034" t="str">
        <f>"1551689351869161"</f>
        <v>1551689351869161</v>
      </c>
      <c r="C3034" t="s">
        <v>40</v>
      </c>
      <c r="D3034">
        <v>4.1247629999999997</v>
      </c>
      <c r="E3034">
        <v>0.40403289999999997</v>
      </c>
      <c r="F3034" t="s">
        <v>41</v>
      </c>
      <c r="G3034">
        <v>-482.4128</v>
      </c>
      <c r="H3034">
        <v>1.0357379999999901</v>
      </c>
      <c r="I3034">
        <v>280.30869999999999</v>
      </c>
      <c r="J3034">
        <v>-482.0403</v>
      </c>
      <c r="K3034">
        <v>1.1169830000000001</v>
      </c>
      <c r="L3034">
        <v>281.09660000000002</v>
      </c>
      <c r="M3034">
        <v>-0.87626559999999898</v>
      </c>
      <c r="N3034">
        <v>-1.1894E-2</v>
      </c>
      <c r="O3034">
        <v>-0.4816819</v>
      </c>
      <c r="P3034">
        <v>-0.64072910000000005</v>
      </c>
      <c r="Q3034">
        <v>0.3634251</v>
      </c>
      <c r="R3034">
        <v>-0.6763055</v>
      </c>
      <c r="S3034">
        <v>-1.7431029999999901</v>
      </c>
      <c r="T3034">
        <v>-0.27276869999999998</v>
      </c>
      <c r="U3034">
        <v>-2.9357600000000001</v>
      </c>
      <c r="V3034">
        <v>-0.28975400000000001</v>
      </c>
      <c r="W3034">
        <v>0.36952430000000003</v>
      </c>
      <c r="X3034">
        <v>0.88288979999999995</v>
      </c>
      <c r="Y3034">
        <v>-0.50689790000000001</v>
      </c>
      <c r="Z3034">
        <v>1.082789E-2</v>
      </c>
      <c r="AA3034">
        <v>0.86193809999999904</v>
      </c>
      <c r="AB3034">
        <v>26</v>
      </c>
      <c r="AC3034">
        <v>-0.372500000000002</v>
      </c>
      <c r="AD3034">
        <v>-8.1245000000000206E-2</v>
      </c>
      <c r="AE3034">
        <v>-0.78790000000003502</v>
      </c>
      <c r="AF3034">
        <v>-0.50661650999963603</v>
      </c>
      <c r="AG3034">
        <v>-8.1245000000000206E-2</v>
      </c>
      <c r="AH3034">
        <v>0.69989355558142297</v>
      </c>
      <c r="AI3034">
        <v>95.371875485776997</v>
      </c>
      <c r="AJ3034">
        <v>125.898821946274</v>
      </c>
      <c r="AK3034">
        <v>0.86782027365902104</v>
      </c>
      <c r="AL3034">
        <v>68.313717231121203</v>
      </c>
      <c r="AM3034">
        <v>108.169224752693</v>
      </c>
      <c r="AN3034">
        <v>0.99999999387526495</v>
      </c>
    </row>
    <row r="3035" spans="1:40" x14ac:dyDescent="0.25">
      <c r="A3035" t="str">
        <f>"20190304164911890"</f>
        <v>20190304164911890</v>
      </c>
      <c r="B3035" t="str">
        <f>"1551689351878921"</f>
        <v>1551689351878921</v>
      </c>
      <c r="C3035" t="s">
        <v>40</v>
      </c>
      <c r="D3035">
        <v>4.099081</v>
      </c>
      <c r="E3035">
        <v>0.40418520000000002</v>
      </c>
      <c r="F3035" t="s">
        <v>41</v>
      </c>
      <c r="G3035">
        <v>-482.58699999999999</v>
      </c>
      <c r="H3035">
        <v>1.030966</v>
      </c>
      <c r="I3035">
        <v>280.1669</v>
      </c>
      <c r="J3035">
        <v>-482.18630000000002</v>
      </c>
      <c r="K3035">
        <v>1.1170329999999999</v>
      </c>
      <c r="L3035">
        <v>281.00909999999999</v>
      </c>
      <c r="M3035">
        <v>-0.87334639999999997</v>
      </c>
      <c r="N3035">
        <v>-1.186632E-2</v>
      </c>
      <c r="O3035">
        <v>-0.48695529999999998</v>
      </c>
      <c r="P3035">
        <v>-0.63725880000000001</v>
      </c>
      <c r="Q3035">
        <v>0.36454930000000002</v>
      </c>
      <c r="R3035">
        <v>-0.67897379999999996</v>
      </c>
      <c r="S3035">
        <v>-1.73019399999999</v>
      </c>
      <c r="T3035">
        <v>-0.27221390000000001</v>
      </c>
      <c r="U3035">
        <v>-2.9429319999999999</v>
      </c>
      <c r="V3035">
        <v>-0.28848240000000003</v>
      </c>
      <c r="W3035">
        <v>0.37060959999999898</v>
      </c>
      <c r="X3035">
        <v>0.88285130000000001</v>
      </c>
      <c r="Y3035">
        <v>-0.50544679999999997</v>
      </c>
      <c r="Z3035">
        <v>1.131273E-2</v>
      </c>
      <c r="AA3035">
        <v>0.86278359999999998</v>
      </c>
      <c r="AB3035">
        <v>26</v>
      </c>
      <c r="AC3035">
        <v>-0.40069999999997202</v>
      </c>
      <c r="AD3035">
        <v>-8.6066999999999894E-2</v>
      </c>
      <c r="AE3035">
        <v>-0.84219999999999096</v>
      </c>
      <c r="AF3035">
        <v>-0.53588388709203405</v>
      </c>
      <c r="AG3035">
        <v>-8.6066999999999894E-2</v>
      </c>
      <c r="AH3035">
        <v>0.75369877846209998</v>
      </c>
      <c r="AI3035">
        <v>95.317013796829002</v>
      </c>
      <c r="AJ3035">
        <v>125.413031712871</v>
      </c>
      <c r="AK3035">
        <v>0.92878464543139905</v>
      </c>
      <c r="AL3035">
        <v>68.246782069378895</v>
      </c>
      <c r="AM3035">
        <v>108.09543316740201</v>
      </c>
      <c r="AN3035">
        <v>0.99999999431680497</v>
      </c>
    </row>
    <row r="3036" spans="1:40" x14ac:dyDescent="0.25">
      <c r="A3036" t="str">
        <f>"20190304164911902"</f>
        <v>20190304164911902</v>
      </c>
      <c r="B3036" t="str">
        <f>"1551689351898441"</f>
        <v>1551689351898441</v>
      </c>
      <c r="C3036" t="s">
        <v>40</v>
      </c>
      <c r="D3036">
        <v>4.0985469999999999</v>
      </c>
      <c r="E3036">
        <v>0.40461180000000002</v>
      </c>
      <c r="F3036" t="s">
        <v>41</v>
      </c>
      <c r="G3036">
        <v>-482.64080000000001</v>
      </c>
      <c r="H3036">
        <v>1.0460910000000001</v>
      </c>
      <c r="I3036">
        <v>280.22800000000001</v>
      </c>
      <c r="J3036">
        <v>-482.29520000000002</v>
      </c>
      <c r="K3036">
        <v>1.117075</v>
      </c>
      <c r="L3036">
        <v>280.94310000000002</v>
      </c>
      <c r="M3036">
        <v>-0.87112889999999998</v>
      </c>
      <c r="N3036">
        <v>-1.184793E-2</v>
      </c>
      <c r="O3036">
        <v>-0.4909115</v>
      </c>
      <c r="P3036">
        <v>-0.63459469999999996</v>
      </c>
      <c r="Q3036">
        <v>0.36480170000000001</v>
      </c>
      <c r="R3036">
        <v>-0.68132879999999996</v>
      </c>
      <c r="S3036">
        <v>-1.716431</v>
      </c>
      <c r="T3036">
        <v>-0.26794600000000002</v>
      </c>
      <c r="U3036">
        <v>-2.9513240000000001</v>
      </c>
      <c r="V3036">
        <v>-0.28785519999999998</v>
      </c>
      <c r="W3036">
        <v>0.37082920000000003</v>
      </c>
      <c r="X3036">
        <v>0.88296379999999997</v>
      </c>
      <c r="Y3036">
        <v>-0.5056273</v>
      </c>
      <c r="Z3036">
        <v>1.132179E-2</v>
      </c>
      <c r="AA3036">
        <v>0.86267780000000005</v>
      </c>
      <c r="AB3036">
        <v>26</v>
      </c>
      <c r="AC3036">
        <v>-0.34559999999999003</v>
      </c>
      <c r="AD3036">
        <v>-7.0984000000000103E-2</v>
      </c>
      <c r="AE3036">
        <v>-0.71510000000000595</v>
      </c>
      <c r="AF3036">
        <v>-0.44972478529105397</v>
      </c>
      <c r="AG3036">
        <v>-7.0984000000000103E-2</v>
      </c>
      <c r="AH3036">
        <v>0.64699072787869405</v>
      </c>
      <c r="AI3036">
        <v>95.147770698888195</v>
      </c>
      <c r="AJ3036">
        <v>124.803255142948</v>
      </c>
      <c r="AK3036">
        <v>0.79113090744963799</v>
      </c>
      <c r="AL3036">
        <v>68.233234534575999</v>
      </c>
      <c r="AM3036">
        <v>108.05649641356899</v>
      </c>
      <c r="AN3036">
        <v>0.99999999192505995</v>
      </c>
    </row>
    <row r="3037" spans="1:40" x14ac:dyDescent="0.25">
      <c r="A3037" t="str">
        <f>"20190304164911913"</f>
        <v>20190304164911913</v>
      </c>
      <c r="B3037" t="str">
        <f>"1551689351909176"</f>
        <v>1551689351909176</v>
      </c>
      <c r="C3037" t="s">
        <v>40</v>
      </c>
      <c r="D3037">
        <v>4.1135820000000001</v>
      </c>
      <c r="E3037">
        <v>0.40481250000000002</v>
      </c>
      <c r="F3037" t="s">
        <v>41</v>
      </c>
      <c r="G3037">
        <v>-482.79989999999998</v>
      </c>
      <c r="H3037">
        <v>1.037677</v>
      </c>
      <c r="I3037">
        <v>280.0684</v>
      </c>
      <c r="J3037">
        <v>-482.41210000000001</v>
      </c>
      <c r="K3037">
        <v>1.11712099999999</v>
      </c>
      <c r="L3037">
        <v>280.87169999999998</v>
      </c>
      <c r="M3037">
        <v>-0.86871010000000004</v>
      </c>
      <c r="N3037">
        <v>-1.182976E-2</v>
      </c>
      <c r="O3037">
        <v>-0.49518000000000001</v>
      </c>
      <c r="P3037">
        <v>-0.63159869999999996</v>
      </c>
      <c r="Q3037">
        <v>0.36512460000000002</v>
      </c>
      <c r="R3037">
        <v>-0.68393549999999903</v>
      </c>
      <c r="S3037">
        <v>-1.7064820000000001</v>
      </c>
      <c r="T3037">
        <v>-0.26843640000000002</v>
      </c>
      <c r="U3037">
        <v>-2.9573969999999998</v>
      </c>
      <c r="V3037">
        <v>-0.28729290000000002</v>
      </c>
      <c r="W3037">
        <v>0.37111349999999999</v>
      </c>
      <c r="X3037">
        <v>0.88302749999999997</v>
      </c>
      <c r="Y3037">
        <v>-0.50434990000000002</v>
      </c>
      <c r="Z3037">
        <v>1.177594E-2</v>
      </c>
      <c r="AA3037">
        <v>0.863419099999999</v>
      </c>
      <c r="AB3037">
        <v>26</v>
      </c>
      <c r="AC3037">
        <v>-0.38779999999997</v>
      </c>
      <c r="AD3037">
        <v>-7.9443999999999806E-2</v>
      </c>
      <c r="AE3037">
        <v>-0.80329999999997803</v>
      </c>
      <c r="AF3037">
        <v>-0.50185855725432504</v>
      </c>
      <c r="AG3037">
        <v>-7.9443999999999806E-2</v>
      </c>
      <c r="AH3037">
        <v>0.72893321556617596</v>
      </c>
      <c r="AI3037">
        <v>95.129597843150606</v>
      </c>
      <c r="AJ3037">
        <v>124.546773388658</v>
      </c>
      <c r="AK3037">
        <v>0.88854768773602599</v>
      </c>
      <c r="AL3037">
        <v>68.215693960270301</v>
      </c>
      <c r="AM3037">
        <v>108.022291766218</v>
      </c>
      <c r="AN3037">
        <v>1.00000000301445</v>
      </c>
    </row>
    <row r="3038" spans="1:40" x14ac:dyDescent="0.25">
      <c r="A3038" t="str">
        <f>"20190304164911925"</f>
        <v>20190304164911925</v>
      </c>
      <c r="B3038" t="str">
        <f>"1551689351918460"</f>
        <v>1551689351918460</v>
      </c>
      <c r="C3038" t="s">
        <v>40</v>
      </c>
      <c r="D3038">
        <v>4.106484</v>
      </c>
      <c r="E3038">
        <v>0.40511960000000002</v>
      </c>
      <c r="F3038" t="s">
        <v>41</v>
      </c>
      <c r="G3038">
        <v>-482.84370000000001</v>
      </c>
      <c r="H3038">
        <v>1.0488999999999999</v>
      </c>
      <c r="I3038">
        <v>280.11720000000003</v>
      </c>
      <c r="J3038">
        <v>-482.52089999999998</v>
      </c>
      <c r="K3038">
        <v>1.1171709999999999</v>
      </c>
      <c r="L3038">
        <v>280.80410000000001</v>
      </c>
      <c r="M3038">
        <v>-0.86640300000000003</v>
      </c>
      <c r="N3038">
        <v>-1.18161E-2</v>
      </c>
      <c r="O3038">
        <v>-0.49920599999999998</v>
      </c>
      <c r="P3038">
        <v>-0.62878639999999997</v>
      </c>
      <c r="Q3038">
        <v>0.36522389999999999</v>
      </c>
      <c r="R3038">
        <v>-0.68646870000000004</v>
      </c>
      <c r="S3038">
        <v>-1.6952509999999901</v>
      </c>
      <c r="T3038">
        <v>-0.26799139999999999</v>
      </c>
      <c r="U3038">
        <v>-2.9638979999999999</v>
      </c>
      <c r="V3038">
        <v>-0.2868173</v>
      </c>
      <c r="W3038">
        <v>0.3711759</v>
      </c>
      <c r="X3038">
        <v>0.88315580000000005</v>
      </c>
      <c r="Y3038">
        <v>-0.50363610000000003</v>
      </c>
      <c r="Z3038">
        <v>1.211075E-2</v>
      </c>
      <c r="AA3038">
        <v>0.86383099999999902</v>
      </c>
      <c r="AB3038">
        <v>26</v>
      </c>
      <c r="AC3038">
        <v>-0.32280000000002901</v>
      </c>
      <c r="AD3038">
        <v>-6.8270999999999901E-2</v>
      </c>
      <c r="AE3038">
        <v>-0.68689999999997997</v>
      </c>
      <c r="AF3038">
        <v>-0.43053508216130298</v>
      </c>
      <c r="AG3038">
        <v>-6.8270999999999901E-2</v>
      </c>
      <c r="AH3038">
        <v>0.61762534498440902</v>
      </c>
      <c r="AI3038">
        <v>95.181429107526498</v>
      </c>
      <c r="AJ3038">
        <v>124.879632113822</v>
      </c>
      <c r="AK3038">
        <v>0.75596458460681304</v>
      </c>
      <c r="AL3038">
        <v>68.211842248730093</v>
      </c>
      <c r="AM3038">
        <v>107.99193601658401</v>
      </c>
      <c r="AN3038">
        <v>0.99999993969686796</v>
      </c>
    </row>
    <row r="3039" spans="1:40" x14ac:dyDescent="0.25">
      <c r="A3039" t="str">
        <f>"20190304164911937"</f>
        <v>20190304164911937</v>
      </c>
      <c r="B3039" t="str">
        <f>"1551689351929196"</f>
        <v>1551689351929196</v>
      </c>
      <c r="C3039" t="s">
        <v>40</v>
      </c>
      <c r="D3039">
        <v>4.1098119999999998</v>
      </c>
      <c r="E3039">
        <v>0.40533019999999997</v>
      </c>
      <c r="F3039" t="s">
        <v>41</v>
      </c>
      <c r="G3039">
        <v>-483.00189999999998</v>
      </c>
      <c r="H3039">
        <v>1.0405770000000001</v>
      </c>
      <c r="I3039">
        <v>279.95650000000001</v>
      </c>
      <c r="J3039">
        <v>-482.64100000000002</v>
      </c>
      <c r="K3039">
        <v>1.117227</v>
      </c>
      <c r="L3039">
        <v>280.72899999999998</v>
      </c>
      <c r="M3039">
        <v>-0.86381989999999997</v>
      </c>
      <c r="N3039">
        <v>-1.180252E-2</v>
      </c>
      <c r="O3039">
        <v>-0.50366259999999996</v>
      </c>
      <c r="P3039">
        <v>-0.62564679999999995</v>
      </c>
      <c r="Q3039">
        <v>0.36552069999999998</v>
      </c>
      <c r="R3039">
        <v>-0.68917390000000001</v>
      </c>
      <c r="S3039">
        <v>-1.6845399999999999</v>
      </c>
      <c r="T3039">
        <v>-0.26830979999999999</v>
      </c>
      <c r="U3039">
        <v>-2.96991</v>
      </c>
      <c r="V3039">
        <v>-0.28621679999999999</v>
      </c>
      <c r="W3039">
        <v>0.37143179999999998</v>
      </c>
      <c r="X3039">
        <v>0.88324309999999995</v>
      </c>
      <c r="Y3039">
        <v>-0.50230520000000001</v>
      </c>
      <c r="Z3039">
        <v>1.257015E-2</v>
      </c>
      <c r="AA3039">
        <v>0.86459900000000001</v>
      </c>
      <c r="AB3039">
        <v>26</v>
      </c>
      <c r="AC3039">
        <v>-0.36090000000001499</v>
      </c>
      <c r="AD3039">
        <v>-7.6649999999999802E-2</v>
      </c>
      <c r="AE3039">
        <v>-0.77250000000003605</v>
      </c>
      <c r="AF3039">
        <v>-0.48167025590805401</v>
      </c>
      <c r="AG3039">
        <v>-7.6649999999999802E-2</v>
      </c>
      <c r="AH3039">
        <v>0.69526203712587298</v>
      </c>
      <c r="AI3039">
        <v>95.178178295284695</v>
      </c>
      <c r="AJ3039">
        <v>124.713811611259</v>
      </c>
      <c r="AK3039">
        <v>0.84927660876474698</v>
      </c>
      <c r="AL3039">
        <v>68.196052915432404</v>
      </c>
      <c r="AM3039">
        <v>107.95502687782</v>
      </c>
      <c r="AN3039">
        <v>1.0000000061755401</v>
      </c>
    </row>
    <row r="3040" spans="1:40" x14ac:dyDescent="0.25">
      <c r="A3040" t="str">
        <f>"20190304164911947"</f>
        <v>20190304164911947</v>
      </c>
      <c r="B3040" t="str">
        <f>"1551689351938957"</f>
        <v>1551689351938957</v>
      </c>
      <c r="C3040" t="s">
        <v>40</v>
      </c>
      <c r="D3040">
        <v>4.109934</v>
      </c>
      <c r="E3040">
        <v>0.4055648</v>
      </c>
      <c r="F3040" t="s">
        <v>41</v>
      </c>
      <c r="G3040">
        <v>-483.16309999999999</v>
      </c>
      <c r="H3040">
        <v>1.0334540000000001</v>
      </c>
      <c r="I3040">
        <v>279.79969999999997</v>
      </c>
      <c r="J3040">
        <v>-482.75299999999999</v>
      </c>
      <c r="K3040">
        <v>1.1172959999999901</v>
      </c>
      <c r="L3040">
        <v>280.65780000000001</v>
      </c>
      <c r="M3040">
        <v>-0.86134549999999999</v>
      </c>
      <c r="N3040">
        <v>-1.1798019999999999E-2</v>
      </c>
      <c r="O3040">
        <v>-0.50788270000000002</v>
      </c>
      <c r="P3040">
        <v>-0.62246919999999994</v>
      </c>
      <c r="Q3040">
        <v>0.36585020000000001</v>
      </c>
      <c r="R3040">
        <v>-0.69187100000000001</v>
      </c>
      <c r="S3040">
        <v>-1.6726380000000001</v>
      </c>
      <c r="T3040">
        <v>-0.26841009999999998</v>
      </c>
      <c r="U3040">
        <v>-2.9769290000000002</v>
      </c>
      <c r="V3040">
        <v>-0.28586859999999997</v>
      </c>
      <c r="W3040">
        <v>0.37172179999999999</v>
      </c>
      <c r="X3040">
        <v>0.88323379999999996</v>
      </c>
      <c r="Y3040">
        <v>-0.50158349999999996</v>
      </c>
      <c r="Z3040">
        <v>1.295604E-2</v>
      </c>
      <c r="AA3040">
        <v>0.86501219999999901</v>
      </c>
      <c r="AB3040">
        <v>26</v>
      </c>
      <c r="AC3040">
        <v>-0.41009999999994301</v>
      </c>
      <c r="AD3040">
        <v>-8.3841999999999695E-2</v>
      </c>
      <c r="AE3040">
        <v>-0.85810000000003495</v>
      </c>
      <c r="AF3040">
        <v>-0.52678090914961395</v>
      </c>
      <c r="AG3040">
        <v>-8.3841999999999695E-2</v>
      </c>
      <c r="AH3040">
        <v>0.78302154459429896</v>
      </c>
      <c r="AI3040">
        <v>95.076905975733794</v>
      </c>
      <c r="AJ3040">
        <v>123.930853315758</v>
      </c>
      <c r="AK3040">
        <v>0.94744411260366002</v>
      </c>
      <c r="AL3040">
        <v>68.178154435748496</v>
      </c>
      <c r="AM3040">
        <v>107.934760125457</v>
      </c>
      <c r="AN3040">
        <v>0.99999994926181801</v>
      </c>
    </row>
    <row r="3041" spans="1:40" x14ac:dyDescent="0.25">
      <c r="A3041" t="str">
        <f>"20190304164911959"</f>
        <v>20190304164911959</v>
      </c>
      <c r="B3041" t="str">
        <f>"1551689351948717"</f>
        <v>1551689351948717</v>
      </c>
      <c r="C3041" t="s">
        <v>40</v>
      </c>
      <c r="D3041">
        <v>4.0879979999999998</v>
      </c>
      <c r="E3041">
        <v>0.40584340000000002</v>
      </c>
      <c r="F3041" t="s">
        <v>41</v>
      </c>
      <c r="G3041">
        <v>-483.2054</v>
      </c>
      <c r="H3041">
        <v>1.0440879999999999</v>
      </c>
      <c r="I3041">
        <v>279.84539999999998</v>
      </c>
      <c r="J3041">
        <v>-482.8578</v>
      </c>
      <c r="K3041">
        <v>1.117356</v>
      </c>
      <c r="L3041">
        <v>280.59070000000003</v>
      </c>
      <c r="M3041">
        <v>-0.85899349999999997</v>
      </c>
      <c r="N3041">
        <v>-1.17962E-2</v>
      </c>
      <c r="O3041">
        <v>-0.51185069999999999</v>
      </c>
      <c r="P3041">
        <v>-0.61927909999999997</v>
      </c>
      <c r="Q3041">
        <v>0.36628260000000001</v>
      </c>
      <c r="R3041">
        <v>-0.69450009999999995</v>
      </c>
      <c r="S3041">
        <v>-1.66153</v>
      </c>
      <c r="T3041">
        <v>-0.26890419999999998</v>
      </c>
      <c r="U3041">
        <v>-2.983368</v>
      </c>
      <c r="V3041">
        <v>-0.28572120000000001</v>
      </c>
      <c r="W3041">
        <v>0.372114</v>
      </c>
      <c r="X3041">
        <v>0.88311640000000002</v>
      </c>
      <c r="Y3041">
        <v>-0.5008534</v>
      </c>
      <c r="Z3041">
        <v>1.335332E-2</v>
      </c>
      <c r="AA3041">
        <v>0.86542919999999901</v>
      </c>
      <c r="AB3041">
        <v>26</v>
      </c>
      <c r="AC3041">
        <v>-0.34759999999999902</v>
      </c>
      <c r="AD3041">
        <v>-7.3268000000000097E-2</v>
      </c>
      <c r="AE3041">
        <v>-0.74530000000004204</v>
      </c>
      <c r="AF3041">
        <v>-0.45867986159291602</v>
      </c>
      <c r="AG3041">
        <v>-7.3268000000000097E-2</v>
      </c>
      <c r="AH3041">
        <v>0.67475975547031897</v>
      </c>
      <c r="AI3041">
        <v>95.131428469897799</v>
      </c>
      <c r="AJ3041">
        <v>124.206598325274</v>
      </c>
      <c r="AK3041">
        <v>0.81918016507802505</v>
      </c>
      <c r="AL3041">
        <v>68.153947757162001</v>
      </c>
      <c r="AM3041">
        <v>107.928335027789</v>
      </c>
      <c r="AN3041">
        <v>1.0000000045371999</v>
      </c>
    </row>
    <row r="3042" spans="1:40" x14ac:dyDescent="0.25">
      <c r="A3042" t="str">
        <f>"20190304164911971"</f>
        <v>20190304164911971</v>
      </c>
      <c r="B3042" t="str">
        <f>"1551689351958475"</f>
        <v>1551689351958475</v>
      </c>
      <c r="C3042" t="s">
        <v>40</v>
      </c>
      <c r="D3042">
        <v>4.1130089999999999</v>
      </c>
      <c r="E3042">
        <v>0.40584340000000002</v>
      </c>
      <c r="F3042" t="s">
        <v>41</v>
      </c>
      <c r="G3042">
        <v>-483.3603</v>
      </c>
      <c r="H3042">
        <v>1.035455</v>
      </c>
      <c r="I3042">
        <v>279.6816</v>
      </c>
      <c r="J3042">
        <v>-482.97789999999998</v>
      </c>
      <c r="K3042">
        <v>1.117429</v>
      </c>
      <c r="L3042">
        <v>280.51280000000003</v>
      </c>
      <c r="M3042">
        <v>-0.85623969999999905</v>
      </c>
      <c r="N3042">
        <v>-1.179972E-2</v>
      </c>
      <c r="O3042">
        <v>-0.51644429999999997</v>
      </c>
      <c r="P3042">
        <v>-0.61562620000000001</v>
      </c>
      <c r="Q3042">
        <v>0.3664906</v>
      </c>
      <c r="R3042">
        <v>-0.69763109999999995</v>
      </c>
      <c r="S3042">
        <v>-1.651154</v>
      </c>
      <c r="T3042">
        <v>-0.2691925</v>
      </c>
      <c r="U3042">
        <v>-2.9892880000000002</v>
      </c>
      <c r="V3042">
        <v>-0.28559699999999999</v>
      </c>
      <c r="W3042">
        <v>0.37228080000000002</v>
      </c>
      <c r="X3042">
        <v>0.88308629999999999</v>
      </c>
      <c r="Y3042">
        <v>-0.49925700000000001</v>
      </c>
      <c r="Z3042">
        <v>1.3824049999999999E-2</v>
      </c>
      <c r="AA3042">
        <v>0.86634369999999905</v>
      </c>
      <c r="AB3042">
        <v>26</v>
      </c>
      <c r="AC3042">
        <v>-0.382400000000018</v>
      </c>
      <c r="AD3042">
        <v>-8.1973999999999894E-2</v>
      </c>
      <c r="AE3042">
        <v>-0.83120000000002303</v>
      </c>
      <c r="AF3042">
        <v>-0.51015870988247103</v>
      </c>
      <c r="AG3042">
        <v>-8.1973999999999894E-2</v>
      </c>
      <c r="AH3042">
        <v>0.75072093629533898</v>
      </c>
      <c r="AI3042">
        <v>95.160593856471294</v>
      </c>
      <c r="AJ3042">
        <v>124.198396569078</v>
      </c>
      <c r="AK3042">
        <v>0.91135260472393298</v>
      </c>
      <c r="AL3042">
        <v>68.143651551838801</v>
      </c>
      <c r="AM3042">
        <v>107.921612069868</v>
      </c>
      <c r="AN3042">
        <v>1.0000000268526601</v>
      </c>
    </row>
    <row r="3043" spans="1:40" x14ac:dyDescent="0.25">
      <c r="A3043" t="str">
        <f>"20190304164911981"</f>
        <v>20190304164911981</v>
      </c>
      <c r="B3043" t="str">
        <f>"1551689351978973"</f>
        <v>1551689351978973</v>
      </c>
      <c r="C3043" t="s">
        <v>40</v>
      </c>
      <c r="D3043">
        <v>4.1001099999999999</v>
      </c>
      <c r="E3043">
        <v>0.41448269999999998</v>
      </c>
      <c r="F3043" t="s">
        <v>41</v>
      </c>
      <c r="G3043">
        <v>-483.4058</v>
      </c>
      <c r="H3043">
        <v>1.0471280000000001</v>
      </c>
      <c r="I3043">
        <v>279.72989999999999</v>
      </c>
      <c r="J3043">
        <v>-483.07510000000002</v>
      </c>
      <c r="K3043">
        <v>1.117483</v>
      </c>
      <c r="L3043">
        <v>280.44900000000001</v>
      </c>
      <c r="M3043">
        <v>-0.85396289999999997</v>
      </c>
      <c r="N3043">
        <v>-1.180601E-2</v>
      </c>
      <c r="O3043">
        <v>-0.52020029999999995</v>
      </c>
      <c r="P3043">
        <v>-0.61261480000000001</v>
      </c>
      <c r="Q3043">
        <v>0.36624010000000001</v>
      </c>
      <c r="R3043">
        <v>-0.70040819999999904</v>
      </c>
      <c r="S3043">
        <v>-1.636871</v>
      </c>
      <c r="T3043">
        <v>-0.26897110000000002</v>
      </c>
      <c r="U3043">
        <v>-2.9970699999999999</v>
      </c>
      <c r="V3043">
        <v>-0.28568090000000002</v>
      </c>
      <c r="W3043">
        <v>0.37199710000000002</v>
      </c>
      <c r="X3043">
        <v>0.88317869999999998</v>
      </c>
      <c r="Y3043">
        <v>-0.49958370000000002</v>
      </c>
      <c r="Z3043">
        <v>1.4091609999999999E-2</v>
      </c>
      <c r="AA3043">
        <v>0.866151</v>
      </c>
      <c r="AB3043">
        <v>26</v>
      </c>
      <c r="AC3043">
        <v>-0.33069999999997801</v>
      </c>
      <c r="AD3043">
        <v>-7.0354999999999904E-2</v>
      </c>
      <c r="AE3043">
        <v>-0.71910000000002505</v>
      </c>
      <c r="AF3043">
        <v>-0.43861960209732498</v>
      </c>
      <c r="AG3043">
        <v>-7.0354999999999904E-2</v>
      </c>
      <c r="AH3043">
        <v>0.65138053159526099</v>
      </c>
      <c r="AI3043">
        <v>95.119510171710502</v>
      </c>
      <c r="AJ3043">
        <v>123.955111368982</v>
      </c>
      <c r="AK3043">
        <v>0.78843742827845398</v>
      </c>
      <c r="AL3043">
        <v>68.161163959635999</v>
      </c>
      <c r="AM3043">
        <v>107.92478452547699</v>
      </c>
      <c r="AN3043">
        <v>1.00000001758345</v>
      </c>
    </row>
    <row r="3044" spans="1:40" x14ac:dyDescent="0.25">
      <c r="A3044" t="str">
        <f>"20190304164911992"</f>
        <v>20190304164911992</v>
      </c>
      <c r="B3044" t="str">
        <f>"1551689351988732"</f>
        <v>1551689351988732</v>
      </c>
      <c r="C3044" t="s">
        <v>40</v>
      </c>
      <c r="D3044">
        <v>4.115265</v>
      </c>
      <c r="E3044">
        <v>0.41296579999999999</v>
      </c>
      <c r="F3044" t="s">
        <v>41</v>
      </c>
      <c r="G3044">
        <v>-483.57049999999998</v>
      </c>
      <c r="H3044">
        <v>1.027409</v>
      </c>
      <c r="I3044">
        <v>279.57639999999998</v>
      </c>
      <c r="J3044">
        <v>-483.1832</v>
      </c>
      <c r="K3044">
        <v>1.1175489999999999</v>
      </c>
      <c r="L3044">
        <v>280.3775</v>
      </c>
      <c r="M3044">
        <v>-0.85138919999999996</v>
      </c>
      <c r="N3044">
        <v>-1.181511E-2</v>
      </c>
      <c r="O3044">
        <v>-0.52440169999999997</v>
      </c>
      <c r="P3044">
        <v>-0.6093054</v>
      </c>
      <c r="Q3044">
        <v>0.36610890000000001</v>
      </c>
      <c r="R3044">
        <v>-0.70335729999999996</v>
      </c>
      <c r="S3044">
        <v>-1.6854549999999999</v>
      </c>
      <c r="T3044">
        <v>-0.3064673</v>
      </c>
      <c r="U3044">
        <v>-2.9692690000000002</v>
      </c>
      <c r="V3044">
        <v>-0.28560550000000001</v>
      </c>
      <c r="W3044">
        <v>0.37183339999999998</v>
      </c>
      <c r="X3044">
        <v>0.8832721</v>
      </c>
      <c r="Y3044">
        <v>-0.4809968</v>
      </c>
      <c r="Z3044">
        <v>1.8653200000000002E-2</v>
      </c>
      <c r="AA3044">
        <v>0.87652389999999902</v>
      </c>
      <c r="AB3044">
        <v>26</v>
      </c>
      <c r="AC3044">
        <v>-0.38729999999998199</v>
      </c>
      <c r="AD3044">
        <v>-9.0139999999999804E-2</v>
      </c>
      <c r="AE3044">
        <v>-0.80110000000001902</v>
      </c>
      <c r="AF3044">
        <v>-0.47411500905044102</v>
      </c>
      <c r="AG3044">
        <v>-9.0139999999999804E-2</v>
      </c>
      <c r="AH3044">
        <v>0.74227608565033498</v>
      </c>
      <c r="AI3044">
        <v>95.843424113107702</v>
      </c>
      <c r="AJ3044">
        <v>122.567646910362</v>
      </c>
      <c r="AK3044">
        <v>0.88537226562349702</v>
      </c>
      <c r="AL3044">
        <v>68.171269761214901</v>
      </c>
      <c r="AM3044">
        <v>107.918582423403</v>
      </c>
      <c r="AN3044">
        <v>1.0000000908121001</v>
      </c>
    </row>
    <row r="3045" spans="1:40" x14ac:dyDescent="0.25">
      <c r="A3045" t="str">
        <f>"20190304164912003"</f>
        <v>20190304164912003</v>
      </c>
      <c r="B3045" t="str">
        <f>"1551689351998492"</f>
        <v>1551689351998492</v>
      </c>
      <c r="C3045" t="s">
        <v>40</v>
      </c>
      <c r="D3045">
        <v>4.1020500000000002</v>
      </c>
      <c r="E3045">
        <v>0.4122092</v>
      </c>
      <c r="F3045" t="s">
        <v>41</v>
      </c>
      <c r="G3045">
        <v>-483.60820000000001</v>
      </c>
      <c r="H3045">
        <v>1.0434969999999999</v>
      </c>
      <c r="I3045">
        <v>279.61419999999998</v>
      </c>
      <c r="J3045">
        <v>-483.28579999999999</v>
      </c>
      <c r="K3045">
        <v>1.117612</v>
      </c>
      <c r="L3045">
        <v>280.30849999999998</v>
      </c>
      <c r="M3045">
        <v>-0.84888459999999999</v>
      </c>
      <c r="N3045">
        <v>-1.182856E-2</v>
      </c>
      <c r="O3045">
        <v>-0.52844590000000002</v>
      </c>
      <c r="P3045">
        <v>-0.60623579999999999</v>
      </c>
      <c r="Q3045">
        <v>0.36618719999999999</v>
      </c>
      <c r="R3045">
        <v>-0.70596429999999999</v>
      </c>
      <c r="S3045">
        <v>-1.6583559999999999</v>
      </c>
      <c r="T3045">
        <v>-0.28899910000000001</v>
      </c>
      <c r="U3045">
        <v>-2.979095</v>
      </c>
      <c r="V3045">
        <v>-0.28527219999999998</v>
      </c>
      <c r="W3045">
        <v>0.37188870000000002</v>
      </c>
      <c r="X3045">
        <v>0.88335649999999999</v>
      </c>
      <c r="Y3045">
        <v>-0.48415999999999998</v>
      </c>
      <c r="Z3045">
        <v>1.732036E-2</v>
      </c>
      <c r="AA3045">
        <v>0.87480800000000003</v>
      </c>
      <c r="AB3045">
        <v>26</v>
      </c>
      <c r="AC3045">
        <v>-0.32240000000001601</v>
      </c>
      <c r="AD3045">
        <v>-7.4115000000000097E-2</v>
      </c>
      <c r="AE3045">
        <v>-0.69429999999999803</v>
      </c>
      <c r="AF3045">
        <v>-0.41514738827538999</v>
      </c>
      <c r="AG3045">
        <v>-7.4115000000000097E-2</v>
      </c>
      <c r="AH3045">
        <v>0.63467581816927698</v>
      </c>
      <c r="AI3045">
        <v>95.581581202150502</v>
      </c>
      <c r="AJ3045">
        <v>123.18907430758701</v>
      </c>
      <c r="AK3045">
        <v>0.76200641820506898</v>
      </c>
      <c r="AL3045">
        <v>68.167856052277301</v>
      </c>
      <c r="AM3045">
        <v>107.89740536019301</v>
      </c>
      <c r="AN3045">
        <v>1.00000006968638</v>
      </c>
    </row>
    <row r="3046" spans="1:40" x14ac:dyDescent="0.25">
      <c r="A3046" t="str">
        <f>"20190304164912014"</f>
        <v>20190304164912014</v>
      </c>
      <c r="B3046" t="str">
        <f>"1551689352009229"</f>
        <v>1551689352009229</v>
      </c>
      <c r="C3046" t="s">
        <v>40</v>
      </c>
      <c r="D3046">
        <v>4.1109450000000001</v>
      </c>
      <c r="E3046">
        <v>0.41177010000000003</v>
      </c>
      <c r="F3046" t="s">
        <v>41</v>
      </c>
      <c r="G3046">
        <v>-483.75839999999999</v>
      </c>
      <c r="H3046">
        <v>1.0363910000000001</v>
      </c>
      <c r="I3046">
        <v>279.4468</v>
      </c>
      <c r="J3046">
        <v>-483.38909999999998</v>
      </c>
      <c r="K3046">
        <v>1.11768</v>
      </c>
      <c r="L3046">
        <v>280.23869999999999</v>
      </c>
      <c r="M3046">
        <v>-0.84632750000000001</v>
      </c>
      <c r="N3046">
        <v>-1.184317E-2</v>
      </c>
      <c r="O3046">
        <v>-0.53253130000000004</v>
      </c>
      <c r="P3046">
        <v>-0.6031936</v>
      </c>
      <c r="Q3046">
        <v>0.36624679999999998</v>
      </c>
      <c r="R3046">
        <v>-0.70853469999999996</v>
      </c>
      <c r="S3046">
        <v>-1.6383970000000001</v>
      </c>
      <c r="T3046">
        <v>-0.28159889999999999</v>
      </c>
      <c r="U3046">
        <v>-2.9887700000000001</v>
      </c>
      <c r="V3046">
        <v>-0.28484369999999998</v>
      </c>
      <c r="W3046">
        <v>0.37192760000000002</v>
      </c>
      <c r="X3046">
        <v>0.88347830000000005</v>
      </c>
      <c r="Y3046">
        <v>-0.48564299999999999</v>
      </c>
      <c r="Z3046">
        <v>1.6929320000000001E-2</v>
      </c>
      <c r="AA3046">
        <v>0.87399329999999997</v>
      </c>
      <c r="AB3046">
        <v>26</v>
      </c>
      <c r="AC3046">
        <v>-0.36930000000000901</v>
      </c>
      <c r="AD3046">
        <v>-8.1288999999999903E-2</v>
      </c>
      <c r="AE3046">
        <v>-0.79189999999999805</v>
      </c>
      <c r="AF3046">
        <v>-0.46951255457337898</v>
      </c>
      <c r="AG3046">
        <v>-8.1288999999999903E-2</v>
      </c>
      <c r="AH3046">
        <v>0.728010900482289</v>
      </c>
      <c r="AI3046">
        <v>95.360755581981806</v>
      </c>
      <c r="AJ3046">
        <v>122.8189882166</v>
      </c>
      <c r="AK3046">
        <v>0.87008609438609796</v>
      </c>
      <c r="AL3046">
        <v>68.165453185982997</v>
      </c>
      <c r="AM3046">
        <v>107.869926264572</v>
      </c>
      <c r="AN3046">
        <v>0.99999998982117</v>
      </c>
    </row>
    <row r="3047" spans="1:40" x14ac:dyDescent="0.25">
      <c r="A3047" t="str">
        <f>"20190304164912025"</f>
        <v>20190304164912025</v>
      </c>
      <c r="B3047" t="str">
        <f>"1551689352018520"</f>
        <v>1551689352018520</v>
      </c>
      <c r="C3047" t="s">
        <v>40</v>
      </c>
      <c r="D3047">
        <v>4.1003499999999997</v>
      </c>
      <c r="E3047">
        <v>0.41155849999999999</v>
      </c>
      <c r="F3047" t="s">
        <v>41</v>
      </c>
      <c r="G3047">
        <v>-483.79790000000003</v>
      </c>
      <c r="H3047">
        <v>1.048068</v>
      </c>
      <c r="I3047">
        <v>279.48309999999998</v>
      </c>
      <c r="J3047">
        <v>-483.49299999999999</v>
      </c>
      <c r="K3047">
        <v>1.11775</v>
      </c>
      <c r="L3047">
        <v>280.16719999999998</v>
      </c>
      <c r="M3047">
        <v>-0.84368199999999904</v>
      </c>
      <c r="N3047">
        <v>-1.1864390000000001E-2</v>
      </c>
      <c r="O3047">
        <v>-0.53671239999999998</v>
      </c>
      <c r="P3047">
        <v>-0.60016130000000001</v>
      </c>
      <c r="Q3047">
        <v>0.36606129999999998</v>
      </c>
      <c r="R3047">
        <v>-0.7112001</v>
      </c>
      <c r="S3047">
        <v>-1.6204529999999999</v>
      </c>
      <c r="T3047">
        <v>-0.27597440000000001</v>
      </c>
      <c r="U3047">
        <v>-2.9971920000000001</v>
      </c>
      <c r="V3047">
        <v>-0.28437950000000001</v>
      </c>
      <c r="W3047">
        <v>0.37172759999999999</v>
      </c>
      <c r="X3047">
        <v>0.88371200000000005</v>
      </c>
      <c r="Y3047">
        <v>-0.48640810000000001</v>
      </c>
      <c r="Z3047">
        <v>1.6723370000000001E-2</v>
      </c>
      <c r="AA3047">
        <v>0.87357169999999895</v>
      </c>
      <c r="AB3047">
        <v>26</v>
      </c>
      <c r="AC3047">
        <v>-0.30489999999997502</v>
      </c>
      <c r="AD3047">
        <v>-6.9681999999999994E-2</v>
      </c>
      <c r="AE3047">
        <v>-0.68410000000000004</v>
      </c>
      <c r="AF3047">
        <v>-0.40999938461388602</v>
      </c>
      <c r="AG3047">
        <v>-6.9681999999999994E-2</v>
      </c>
      <c r="AH3047">
        <v>0.61908869387852195</v>
      </c>
      <c r="AI3047">
        <v>95.361070721527696</v>
      </c>
      <c r="AJ3047">
        <v>123.51502540235001</v>
      </c>
      <c r="AK3047">
        <v>0.74580552920716503</v>
      </c>
      <c r="AL3047">
        <v>68.177797720267506</v>
      </c>
      <c r="AM3047">
        <v>107.838232784284</v>
      </c>
      <c r="AN3047">
        <v>1.0000000037829999</v>
      </c>
    </row>
    <row r="3048" spans="1:40" x14ac:dyDescent="0.25">
      <c r="A3048" t="str">
        <f>"20190304164912038"</f>
        <v>20190304164912038</v>
      </c>
      <c r="B3048" t="str">
        <f>"1551689352029255"</f>
        <v>1551689352029255</v>
      </c>
      <c r="C3048" t="s">
        <v>40</v>
      </c>
      <c r="D3048">
        <v>4.1026030000000002</v>
      </c>
      <c r="E3048">
        <v>0.41169460000000002</v>
      </c>
      <c r="F3048" t="s">
        <v>41</v>
      </c>
      <c r="G3048">
        <v>-483.94670000000002</v>
      </c>
      <c r="H3048">
        <v>1.039876</v>
      </c>
      <c r="I3048">
        <v>279.31709999999998</v>
      </c>
      <c r="J3048">
        <v>-483.6121</v>
      </c>
      <c r="K3048">
        <v>1.117831</v>
      </c>
      <c r="L3048">
        <v>280.08479999999997</v>
      </c>
      <c r="M3048">
        <v>-0.84060299999999999</v>
      </c>
      <c r="N3048">
        <v>-1.1890990000000001E-2</v>
      </c>
      <c r="O3048">
        <v>-0.54152129999999998</v>
      </c>
      <c r="P3048">
        <v>-0.59641429999999995</v>
      </c>
      <c r="Q3048">
        <v>0.36594910000000003</v>
      </c>
      <c r="R3048">
        <v>-0.7144026</v>
      </c>
      <c r="S3048">
        <v>-1.6047670000000001</v>
      </c>
      <c r="T3048">
        <v>-0.27543529999999999</v>
      </c>
      <c r="U3048">
        <v>-3.0057680000000002</v>
      </c>
      <c r="V3048">
        <v>-0.28409139999999999</v>
      </c>
      <c r="W3048">
        <v>0.37159520000000001</v>
      </c>
      <c r="X3048">
        <v>0.88386030000000004</v>
      </c>
      <c r="Y3048">
        <v>-0.48601250000000001</v>
      </c>
      <c r="Z3048">
        <v>1.7075819999999998E-2</v>
      </c>
      <c r="AA3048">
        <v>0.87378500000000003</v>
      </c>
      <c r="AB3048">
        <v>26</v>
      </c>
      <c r="AC3048">
        <v>-0.33460000000002299</v>
      </c>
      <c r="AD3048">
        <v>-7.7954999999999997E-2</v>
      </c>
      <c r="AE3048">
        <v>-0.76769999999998995</v>
      </c>
      <c r="AF3048">
        <v>-0.46018317219240901</v>
      </c>
      <c r="AG3048">
        <v>-7.7954999999999997E-2</v>
      </c>
      <c r="AH3048">
        <v>0.69105289278342297</v>
      </c>
      <c r="AI3048">
        <v>95.363940524444402</v>
      </c>
      <c r="AJ3048">
        <v>123.660280690666</v>
      </c>
      <c r="AK3048">
        <v>0.83390625049726397</v>
      </c>
      <c r="AL3048">
        <v>68.185968299517796</v>
      </c>
      <c r="AM3048">
        <v>107.818503863806</v>
      </c>
      <c r="AN3048">
        <v>0.99999997306654398</v>
      </c>
    </row>
    <row r="3049" spans="1:40" x14ac:dyDescent="0.25">
      <c r="A3049" t="str">
        <f>"20190304164912051"</f>
        <v>20190304164912051</v>
      </c>
      <c r="B3049" t="str">
        <f>"1551689352039015"</f>
        <v>1551689352039015</v>
      </c>
      <c r="C3049" t="s">
        <v>40</v>
      </c>
      <c r="D3049">
        <v>4.1152749999999996</v>
      </c>
      <c r="E3049">
        <v>0.41178569999999998</v>
      </c>
      <c r="F3049" t="s">
        <v>41</v>
      </c>
      <c r="G3049">
        <v>-484.10239999999999</v>
      </c>
      <c r="H3049">
        <v>1.03347099999999</v>
      </c>
      <c r="I3049">
        <v>279.1549</v>
      </c>
      <c r="J3049">
        <v>-483.7396</v>
      </c>
      <c r="K3049">
        <v>1.117923</v>
      </c>
      <c r="L3049">
        <v>279.995</v>
      </c>
      <c r="M3049">
        <v>-0.83721060000000003</v>
      </c>
      <c r="N3049">
        <v>-1.1929179999999999E-2</v>
      </c>
      <c r="O3049">
        <v>-0.54675059999999998</v>
      </c>
      <c r="P3049">
        <v>-0.59208519999999998</v>
      </c>
      <c r="Q3049">
        <v>0.36608940000000001</v>
      </c>
      <c r="R3049">
        <v>-0.71792349999999905</v>
      </c>
      <c r="S3049">
        <v>-1.5881350000000001</v>
      </c>
      <c r="T3049">
        <v>-0.2732675</v>
      </c>
      <c r="U3049">
        <v>-3.0133969999999999</v>
      </c>
      <c r="V3049">
        <v>-0.28394180000000002</v>
      </c>
      <c r="W3049">
        <v>0.37171599999999999</v>
      </c>
      <c r="X3049">
        <v>0.88385759999999902</v>
      </c>
      <c r="Y3049">
        <v>-0.48526429999999998</v>
      </c>
      <c r="Z3049">
        <v>1.7322440000000001E-2</v>
      </c>
      <c r="AA3049">
        <v>0.87419590000000003</v>
      </c>
      <c r="AB3049">
        <v>26</v>
      </c>
      <c r="AC3049">
        <v>-0.36279999999999202</v>
      </c>
      <c r="AD3049">
        <v>-8.4452000000000194E-2</v>
      </c>
      <c r="AE3049">
        <v>-0.84010000000000595</v>
      </c>
      <c r="AF3049">
        <v>-0.50075047737806699</v>
      </c>
      <c r="AG3049">
        <v>-8.4452000000000194E-2</v>
      </c>
      <c r="AH3049">
        <v>0.75667477579757103</v>
      </c>
      <c r="AI3049">
        <v>95.3174336999638</v>
      </c>
      <c r="AJ3049">
        <v>123.495701622735</v>
      </c>
      <c r="AK3049">
        <v>0.91128475090208005</v>
      </c>
      <c r="AL3049">
        <v>68.178513422053996</v>
      </c>
      <c r="AM3049">
        <v>107.809764730898</v>
      </c>
      <c r="AN3049">
        <v>0.99999999376049997</v>
      </c>
    </row>
    <row r="3050" spans="1:40" x14ac:dyDescent="0.25">
      <c r="A3050" t="str">
        <f>"20190304164912064"</f>
        <v>20190304164912064</v>
      </c>
      <c r="B3050" t="str">
        <f>"1551689352058535"</f>
        <v>1551689352058535</v>
      </c>
      <c r="C3050" t="s">
        <v>40</v>
      </c>
      <c r="D3050">
        <v>4.1031829999999996</v>
      </c>
      <c r="E3050">
        <v>0.41220240000000002</v>
      </c>
      <c r="F3050" t="s">
        <v>41</v>
      </c>
      <c r="G3050">
        <v>-484.15120000000002</v>
      </c>
      <c r="H3050">
        <v>1.0470139999999999</v>
      </c>
      <c r="I3050">
        <v>279.20310000000001</v>
      </c>
      <c r="J3050">
        <v>-483.86450000000002</v>
      </c>
      <c r="K3050">
        <v>1.118009</v>
      </c>
      <c r="L3050">
        <v>279.90570000000002</v>
      </c>
      <c r="M3050">
        <v>-0.83380010000000004</v>
      </c>
      <c r="N3050">
        <v>-1.1973279999999999E-2</v>
      </c>
      <c r="O3050">
        <v>-0.55193680000000001</v>
      </c>
      <c r="P3050">
        <v>-0.58765330000000005</v>
      </c>
      <c r="Q3050">
        <v>0.3660564</v>
      </c>
      <c r="R3050">
        <v>-0.72157230000000006</v>
      </c>
      <c r="S3050">
        <v>-1.569733</v>
      </c>
      <c r="T3050">
        <v>-0.27044570000000001</v>
      </c>
      <c r="U3050">
        <v>-3.0220950000000002</v>
      </c>
      <c r="V3050">
        <v>-0.28398489999999998</v>
      </c>
      <c r="W3050">
        <v>0.37166690000000002</v>
      </c>
      <c r="X3050">
        <v>0.88386439999999999</v>
      </c>
      <c r="Y3050">
        <v>-0.4850699</v>
      </c>
      <c r="Z3050">
        <v>1.7461629999999999E-2</v>
      </c>
      <c r="AA3050">
        <v>0.87430099999999999</v>
      </c>
      <c r="AB3050">
        <v>26</v>
      </c>
      <c r="AC3050">
        <v>-0.28669999999999601</v>
      </c>
      <c r="AD3050">
        <v>-7.09950000000001E-2</v>
      </c>
      <c r="AE3050">
        <v>-0.70260000000001799</v>
      </c>
      <c r="AF3050">
        <v>-0.42390786572171402</v>
      </c>
      <c r="AG3050">
        <v>-7.09950000000001E-2</v>
      </c>
      <c r="AH3050">
        <v>0.62144671099027005</v>
      </c>
      <c r="AI3050">
        <v>95.39136151177</v>
      </c>
      <c r="AJ3050">
        <v>124.299097843482</v>
      </c>
      <c r="AK3050">
        <v>0.75560186821259501</v>
      </c>
      <c r="AL3050">
        <v>68.181543726212993</v>
      </c>
      <c r="AM3050">
        <v>107.812168889939</v>
      </c>
      <c r="AN3050">
        <v>0.99999999278549001</v>
      </c>
    </row>
    <row r="3051" spans="1:40" x14ac:dyDescent="0.25">
      <c r="A3051" t="str">
        <f>"20190304164912078"</f>
        <v>20190304164912078</v>
      </c>
      <c r="B3051" t="str">
        <f>"1551689352069271"</f>
        <v>1551689352069271</v>
      </c>
      <c r="C3051" t="s">
        <v>40</v>
      </c>
      <c r="D3051">
        <v>4.0987809999999998</v>
      </c>
      <c r="E3051">
        <v>0.41257860000000002</v>
      </c>
      <c r="F3051" t="s">
        <v>41</v>
      </c>
      <c r="G3051">
        <v>-484.30759999999998</v>
      </c>
      <c r="H3051">
        <v>1.0413859999999999</v>
      </c>
      <c r="I3051">
        <v>279.04109999999997</v>
      </c>
      <c r="J3051">
        <v>-483.9905</v>
      </c>
      <c r="K3051">
        <v>1.118098</v>
      </c>
      <c r="L3051">
        <v>279.81479999999999</v>
      </c>
      <c r="M3051">
        <v>-0.83028959999999996</v>
      </c>
      <c r="N3051">
        <v>-1.2023020000000001E-2</v>
      </c>
      <c r="O3051">
        <v>-0.55720259999999999</v>
      </c>
      <c r="P3051">
        <v>-0.58299769999999995</v>
      </c>
      <c r="Q3051">
        <v>0.36623339999999999</v>
      </c>
      <c r="R3051">
        <v>-0.72524949999999999</v>
      </c>
      <c r="S3051">
        <v>-1.5531919999999999</v>
      </c>
      <c r="T3051">
        <v>-0.2685574</v>
      </c>
      <c r="U3051">
        <v>-3.0289609999999998</v>
      </c>
      <c r="V3051">
        <v>-0.28408299999999997</v>
      </c>
      <c r="W3051">
        <v>0.37182939999999998</v>
      </c>
      <c r="X3051">
        <v>0.88376460000000001</v>
      </c>
      <c r="Y3051">
        <v>-0.48413139999999999</v>
      </c>
      <c r="Z3051">
        <v>1.772638E-2</v>
      </c>
      <c r="AA3051">
        <v>0.87481580000000003</v>
      </c>
      <c r="AB3051">
        <v>26</v>
      </c>
      <c r="AC3051">
        <v>-0.31709999999998201</v>
      </c>
      <c r="AD3051">
        <v>-7.6711999999999794E-2</v>
      </c>
      <c r="AE3051">
        <v>-0.77370000000001904</v>
      </c>
      <c r="AF3051">
        <v>-0.46185243274443599</v>
      </c>
      <c r="AG3051">
        <v>-7.6711999999999794E-2</v>
      </c>
      <c r="AH3051">
        <v>0.68864643342147203</v>
      </c>
      <c r="AI3051">
        <v>95.285693429580704</v>
      </c>
      <c r="AJ3051">
        <v>123.848452874317</v>
      </c>
      <c r="AK3051">
        <v>0.83272222910167804</v>
      </c>
      <c r="AL3051">
        <v>68.171515959469602</v>
      </c>
      <c r="AM3051">
        <v>107.819817746377</v>
      </c>
      <c r="AN3051">
        <v>1.00000006090325</v>
      </c>
    </row>
    <row r="3052" spans="1:40" x14ac:dyDescent="0.25">
      <c r="A3052" t="str">
        <f>"20190304164912089"</f>
        <v>20190304164912089</v>
      </c>
      <c r="B3052" t="str">
        <f>"1551689352079031"</f>
        <v>1551689352079031</v>
      </c>
      <c r="C3052" t="s">
        <v>40</v>
      </c>
      <c r="D3052">
        <v>4.1123649999999996</v>
      </c>
      <c r="E3052">
        <v>0.41299089999999999</v>
      </c>
      <c r="F3052" t="s">
        <v>41</v>
      </c>
      <c r="G3052">
        <v>-484.464</v>
      </c>
      <c r="H3052">
        <v>1.035261</v>
      </c>
      <c r="I3052">
        <v>278.87990000000002</v>
      </c>
      <c r="J3052">
        <v>-484.1035</v>
      </c>
      <c r="K3052">
        <v>1.1181700000000001</v>
      </c>
      <c r="L3052">
        <v>279.73180000000002</v>
      </c>
      <c r="M3052">
        <v>-0.82704869999999997</v>
      </c>
      <c r="N3052">
        <v>-1.20777E-2</v>
      </c>
      <c r="O3052">
        <v>-0.56200039999999996</v>
      </c>
      <c r="P3052">
        <v>-0.5786308</v>
      </c>
      <c r="Q3052">
        <v>0.36616929999999998</v>
      </c>
      <c r="R3052">
        <v>-0.72877060000000005</v>
      </c>
      <c r="S3052">
        <v>-1.5370790000000001</v>
      </c>
      <c r="T3052">
        <v>-0.26892820000000001</v>
      </c>
      <c r="U3052">
        <v>-3.0366520000000001</v>
      </c>
      <c r="V3052">
        <v>-0.28436909999999999</v>
      </c>
      <c r="W3052">
        <v>0.37175770000000002</v>
      </c>
      <c r="X3052">
        <v>0.88370269999999995</v>
      </c>
      <c r="Y3052">
        <v>-0.48365920000000001</v>
      </c>
      <c r="Z3052">
        <v>1.8143119999999999E-2</v>
      </c>
      <c r="AA3052">
        <v>0.87506839999999997</v>
      </c>
      <c r="AB3052">
        <v>26</v>
      </c>
      <c r="AC3052">
        <v>-0.36050000000000099</v>
      </c>
      <c r="AD3052">
        <v>-8.2909000000000094E-2</v>
      </c>
      <c r="AE3052">
        <v>-0.85189999999999999</v>
      </c>
      <c r="AF3052">
        <v>-0.49799780765223101</v>
      </c>
      <c r="AG3052">
        <v>-8.2909000000000094E-2</v>
      </c>
      <c r="AH3052">
        <v>0.77078410676361997</v>
      </c>
      <c r="AI3052">
        <v>95.1625276855289</v>
      </c>
      <c r="AJ3052">
        <v>122.86619806161799</v>
      </c>
      <c r="AK3052">
        <v>0.92140320052994196</v>
      </c>
      <c r="AL3052">
        <v>68.175940293540904</v>
      </c>
      <c r="AM3052">
        <v>107.83779759305</v>
      </c>
      <c r="AN3052">
        <v>1.00000001726569</v>
      </c>
    </row>
    <row r="3053" spans="1:40" x14ac:dyDescent="0.25">
      <c r="A3053" t="str">
        <f>"20190304164912103"</f>
        <v>20190304164912103</v>
      </c>
      <c r="B3053" t="str">
        <f>"1551689352098554"</f>
        <v>1551689352098554</v>
      </c>
      <c r="C3053" t="s">
        <v>40</v>
      </c>
      <c r="D3053">
        <v>4.0866809999999996</v>
      </c>
      <c r="E3053">
        <v>0.4137112</v>
      </c>
      <c r="F3053" t="s">
        <v>41</v>
      </c>
      <c r="G3053">
        <v>-484.50869999999998</v>
      </c>
      <c r="H3053">
        <v>1.046281</v>
      </c>
      <c r="I3053">
        <v>278.92230000000001</v>
      </c>
      <c r="J3053">
        <v>-484.2276</v>
      </c>
      <c r="K3053">
        <v>1.118252</v>
      </c>
      <c r="L3053">
        <v>279.63940000000002</v>
      </c>
      <c r="M3053">
        <v>-0.82341030000000004</v>
      </c>
      <c r="N3053">
        <v>-1.21441E-2</v>
      </c>
      <c r="O3053">
        <v>-0.5673165</v>
      </c>
      <c r="P3053">
        <v>-0.57343080000000002</v>
      </c>
      <c r="Q3053">
        <v>0.3657475</v>
      </c>
      <c r="R3053">
        <v>-0.73307959999999905</v>
      </c>
      <c r="S3053">
        <v>-1.5222169999999999</v>
      </c>
      <c r="T3053">
        <v>-0.27015529999999999</v>
      </c>
      <c r="U3053">
        <v>-3.0435789999999998</v>
      </c>
      <c r="V3053">
        <v>-0.28520649999999997</v>
      </c>
      <c r="W3053">
        <v>0.37132379999999998</v>
      </c>
      <c r="X3053">
        <v>0.88361529999999999</v>
      </c>
      <c r="Y3053">
        <v>-0.48224299999999998</v>
      </c>
      <c r="Z3053">
        <v>1.8727919999999999E-2</v>
      </c>
      <c r="AA3053">
        <v>0.87583729999999904</v>
      </c>
      <c r="AB3053">
        <v>26</v>
      </c>
      <c r="AC3053">
        <v>-0.28109999999997998</v>
      </c>
      <c r="AD3053">
        <v>-7.1970999999999993E-2</v>
      </c>
      <c r="AE3053">
        <v>-0.71710000000001595</v>
      </c>
      <c r="AF3053">
        <v>-0.42729580354811098</v>
      </c>
      <c r="AG3053">
        <v>-7.1970999999999993E-2</v>
      </c>
      <c r="AH3053">
        <v>0.63280517026653804</v>
      </c>
      <c r="AI3053">
        <v>95.384627877492406</v>
      </c>
      <c r="AJ3053">
        <v>124.028823116997</v>
      </c>
      <c r="AK3053">
        <v>0.76694452999345997</v>
      </c>
      <c r="AL3053">
        <v>68.202718622545106</v>
      </c>
      <c r="AM3053">
        <v>107.88863957661999</v>
      </c>
      <c r="AN3053">
        <v>1.0000000552413799</v>
      </c>
    </row>
    <row r="3054" spans="1:40" x14ac:dyDescent="0.25">
      <c r="A3054" t="str">
        <f>"20190304164912114"</f>
        <v>20190304164912114</v>
      </c>
      <c r="B3054" t="str">
        <f>"1551689352109287"</f>
        <v>1551689352109287</v>
      </c>
      <c r="C3054" t="s">
        <v>40</v>
      </c>
      <c r="D3054">
        <v>4.1184349999999998</v>
      </c>
      <c r="E3054">
        <v>0.4137112</v>
      </c>
      <c r="F3054" t="s">
        <v>41</v>
      </c>
      <c r="G3054">
        <v>-484.6626</v>
      </c>
      <c r="H3054">
        <v>1.0391570000000001</v>
      </c>
      <c r="I3054">
        <v>278.75850000000003</v>
      </c>
      <c r="J3054">
        <v>-484.3347</v>
      </c>
      <c r="K3054">
        <v>1.118331</v>
      </c>
      <c r="L3054">
        <v>279.55900000000003</v>
      </c>
      <c r="M3054">
        <v>-0.82020899999999997</v>
      </c>
      <c r="N3054">
        <v>-1.2204919999999999E-2</v>
      </c>
      <c r="O3054">
        <v>-0.57193369999999999</v>
      </c>
      <c r="P3054">
        <v>-0.56916540000000004</v>
      </c>
      <c r="Q3054">
        <v>0.36559849999999999</v>
      </c>
      <c r="R3054">
        <v>-0.73647030000000002</v>
      </c>
      <c r="S3054">
        <v>-1.5064090000000001</v>
      </c>
      <c r="T3054">
        <v>-0.2739202</v>
      </c>
      <c r="U3054">
        <v>-3.0506289999999998</v>
      </c>
      <c r="V3054">
        <v>-0.28549340000000001</v>
      </c>
      <c r="W3054">
        <v>0.37117640000000002</v>
      </c>
      <c r="X3054">
        <v>0.883584499999999</v>
      </c>
      <c r="Y3054">
        <v>-0.48177350000000002</v>
      </c>
      <c r="Z3054">
        <v>1.9490420000000001E-2</v>
      </c>
      <c r="AA3054">
        <v>0.87607900000000005</v>
      </c>
      <c r="AB3054">
        <v>26</v>
      </c>
      <c r="AC3054">
        <v>-0.32789999999999903</v>
      </c>
      <c r="AD3054">
        <v>-7.9173999999999994E-2</v>
      </c>
      <c r="AE3054">
        <v>-0.80049999999999899</v>
      </c>
      <c r="AF3054">
        <v>-0.46517848962290897</v>
      </c>
      <c r="AG3054">
        <v>-7.9173999999999994E-2</v>
      </c>
      <c r="AH3054">
        <v>0.72079565595553097</v>
      </c>
      <c r="AI3054">
        <v>95.272981400164298</v>
      </c>
      <c r="AJ3054">
        <v>122.83690591946799</v>
      </c>
      <c r="AK3054">
        <v>0.86151374169435901</v>
      </c>
      <c r="AL3054">
        <v>68.211812434442194</v>
      </c>
      <c r="AM3054">
        <v>107.90607031153201</v>
      </c>
      <c r="AN3054">
        <v>0.99999998500038401</v>
      </c>
    </row>
    <row r="3055" spans="1:40" x14ac:dyDescent="0.25">
      <c r="A3055" t="str">
        <f>"20190304164912125"</f>
        <v>20190304164912125</v>
      </c>
      <c r="B3055" t="str">
        <f>"1551689352119047"</f>
        <v>1551689352119047</v>
      </c>
      <c r="C3055" t="s">
        <v>40</v>
      </c>
      <c r="D3055">
        <v>4.0961939999999997</v>
      </c>
      <c r="E3055">
        <v>0.42178139999999997</v>
      </c>
      <c r="F3055" t="s">
        <v>41</v>
      </c>
      <c r="G3055">
        <v>-484.71780000000001</v>
      </c>
      <c r="H3055">
        <v>1.0476559999999999</v>
      </c>
      <c r="I3055">
        <v>278.77179999999998</v>
      </c>
      <c r="J3055">
        <v>-484.43810000000002</v>
      </c>
      <c r="K3055">
        <v>1.1184050000000001</v>
      </c>
      <c r="L3055">
        <v>279.47980000000001</v>
      </c>
      <c r="M3055">
        <v>-0.81702419999999998</v>
      </c>
      <c r="N3055">
        <v>-1.227424E-2</v>
      </c>
      <c r="O3055">
        <v>-0.57647309999999996</v>
      </c>
      <c r="P3055">
        <v>-0.56483099999999997</v>
      </c>
      <c r="Q3055">
        <v>0.36542720000000001</v>
      </c>
      <c r="R3055">
        <v>-0.73988469999999995</v>
      </c>
      <c r="S3055">
        <v>-1.4887999999999999</v>
      </c>
      <c r="T3055">
        <v>-0.2746922</v>
      </c>
      <c r="U3055">
        <v>-3.0592350000000001</v>
      </c>
      <c r="V3055">
        <v>-0.28591129999999998</v>
      </c>
      <c r="W3055">
        <v>0.37101210000000001</v>
      </c>
      <c r="X3055">
        <v>0.88351840000000004</v>
      </c>
      <c r="Y3055">
        <v>-0.48196430000000001</v>
      </c>
      <c r="Z3055">
        <v>1.9895050000000001E-2</v>
      </c>
      <c r="AA3055">
        <v>0.87596489999999905</v>
      </c>
      <c r="AB3055">
        <v>26</v>
      </c>
      <c r="AC3055">
        <v>-0.27969999999999101</v>
      </c>
      <c r="AD3055">
        <v>-7.0748999999999895E-2</v>
      </c>
      <c r="AE3055">
        <v>-0.70800000000002605</v>
      </c>
      <c r="AF3055">
        <v>-0.41367184098820298</v>
      </c>
      <c r="AG3055">
        <v>-7.0748999999999895E-2</v>
      </c>
      <c r="AH3055">
        <v>0.63125991616393196</v>
      </c>
      <c r="AI3055">
        <v>95.355321188967196</v>
      </c>
      <c r="AJ3055">
        <v>123.23728375829801</v>
      </c>
      <c r="AK3055">
        <v>0.75803620941407801</v>
      </c>
      <c r="AL3055">
        <v>68.221950493735207</v>
      </c>
      <c r="AM3055">
        <v>107.931859460328</v>
      </c>
      <c r="AN3055">
        <v>1.0000000064763299</v>
      </c>
    </row>
    <row r="3056" spans="1:40" x14ac:dyDescent="0.25">
      <c r="A3056" t="str">
        <f>"20190304164912137"</f>
        <v>20190304164912137</v>
      </c>
      <c r="B3056" t="str">
        <f>"1551689352128807"</f>
        <v>1551689352128807</v>
      </c>
      <c r="C3056" t="s">
        <v>40</v>
      </c>
      <c r="D3056">
        <v>4.0979809999999999</v>
      </c>
      <c r="E3056">
        <v>0.42264960000000001</v>
      </c>
      <c r="F3056" t="s">
        <v>41</v>
      </c>
      <c r="G3056">
        <v>-484.86200000000002</v>
      </c>
      <c r="H3056">
        <v>1.0385</v>
      </c>
      <c r="I3056">
        <v>278.63709999999998</v>
      </c>
      <c r="J3056">
        <v>-484.54160000000002</v>
      </c>
      <c r="K3056">
        <v>1.1184799999999999</v>
      </c>
      <c r="L3056">
        <v>279.40010000000001</v>
      </c>
      <c r="M3056">
        <v>-0.81379309999999905</v>
      </c>
      <c r="N3056">
        <v>-1.2346569999999999E-2</v>
      </c>
      <c r="O3056">
        <v>-0.58102379999999998</v>
      </c>
      <c r="P3056">
        <v>-0.5605386</v>
      </c>
      <c r="Q3056">
        <v>0.36526900000000001</v>
      </c>
      <c r="R3056">
        <v>-0.74321979999999999</v>
      </c>
      <c r="S3056">
        <v>-1.5251159999999999</v>
      </c>
      <c r="T3056">
        <v>-0.28749039999999998</v>
      </c>
      <c r="U3056">
        <v>-3.0323790000000002</v>
      </c>
      <c r="V3056">
        <v>-0.28621790000000003</v>
      </c>
      <c r="W3056">
        <v>0.37086590000000003</v>
      </c>
      <c r="X3056">
        <v>0.8834805</v>
      </c>
      <c r="Y3056">
        <v>-0.46557100000000001</v>
      </c>
      <c r="Z3056">
        <v>2.2470190000000001E-2</v>
      </c>
      <c r="AA3056">
        <v>0.88472530000000005</v>
      </c>
      <c r="AB3056">
        <v>26</v>
      </c>
      <c r="AC3056">
        <v>-0.320399999999949</v>
      </c>
      <c r="AD3056">
        <v>-7.9979999999999898E-2</v>
      </c>
      <c r="AE3056">
        <v>-0.76300000000003299</v>
      </c>
      <c r="AF3056">
        <v>-0.43077342548416703</v>
      </c>
      <c r="AG3056">
        <v>-7.9979999999999898E-2</v>
      </c>
      <c r="AH3056">
        <v>0.69759792264698095</v>
      </c>
      <c r="AI3056">
        <v>95.571601545917105</v>
      </c>
      <c r="AJ3056">
        <v>121.695729029259</v>
      </c>
      <c r="AK3056">
        <v>0.82377509441882601</v>
      </c>
      <c r="AL3056">
        <v>68.230970465689296</v>
      </c>
      <c r="AM3056">
        <v>107.95057635145</v>
      </c>
      <c r="AN3056">
        <v>0.999999997971735</v>
      </c>
    </row>
    <row r="3057" spans="1:40" x14ac:dyDescent="0.25">
      <c r="A3057" t="str">
        <f>"20190304164912149"</f>
        <v>20190304164912149</v>
      </c>
      <c r="B3057" t="str">
        <f>"1551689352138568"</f>
        <v>1551689352138568</v>
      </c>
      <c r="C3057" t="s">
        <v>40</v>
      </c>
      <c r="D3057">
        <v>4.1120979999999996</v>
      </c>
      <c r="E3057">
        <v>0.42275940000000001</v>
      </c>
      <c r="F3057" t="s">
        <v>41</v>
      </c>
      <c r="G3057">
        <v>-485.00709999999998</v>
      </c>
      <c r="H3057">
        <v>1.027501</v>
      </c>
      <c r="I3057">
        <v>278.46589999999998</v>
      </c>
      <c r="J3057">
        <v>-484.6506</v>
      </c>
      <c r="K3057">
        <v>1.1185659999999999</v>
      </c>
      <c r="L3057">
        <v>279.31459999999998</v>
      </c>
      <c r="M3057">
        <v>-0.81029329999999999</v>
      </c>
      <c r="N3057">
        <v>-1.243679E-2</v>
      </c>
      <c r="O3057">
        <v>-0.58589269999999904</v>
      </c>
      <c r="P3057">
        <v>-0.55577529999999997</v>
      </c>
      <c r="Q3057">
        <v>0.36491440000000003</v>
      </c>
      <c r="R3057">
        <v>-0.74696149999999994</v>
      </c>
      <c r="S3057">
        <v>-1.5146790000000001</v>
      </c>
      <c r="T3057">
        <v>-0.29599880000000001</v>
      </c>
      <c r="U3057">
        <v>-3.0395810000000001</v>
      </c>
      <c r="V3057">
        <v>-0.28677000000000002</v>
      </c>
      <c r="W3057">
        <v>0.37053160000000002</v>
      </c>
      <c r="X3057">
        <v>0.8834417</v>
      </c>
      <c r="Y3057">
        <v>-0.46353929999999999</v>
      </c>
      <c r="Z3057">
        <v>2.38757E-2</v>
      </c>
      <c r="AA3057">
        <v>0.88575459999999995</v>
      </c>
      <c r="AB3057">
        <v>26</v>
      </c>
      <c r="AC3057">
        <v>-0.356499999999982</v>
      </c>
      <c r="AD3057">
        <v>-9.1064999999999896E-2</v>
      </c>
      <c r="AE3057">
        <v>-0.848700000000007</v>
      </c>
      <c r="AF3057">
        <v>-0.47422125590039699</v>
      </c>
      <c r="AG3057">
        <v>-9.1064999999999896E-2</v>
      </c>
      <c r="AH3057">
        <v>0.77855815732703004</v>
      </c>
      <c r="AI3057">
        <v>95.704599284269904</v>
      </c>
      <c r="AJ3057">
        <v>121.345673627553</v>
      </c>
      <c r="AK3057">
        <v>0.91615033597833195</v>
      </c>
      <c r="AL3057">
        <v>68.251593115793497</v>
      </c>
      <c r="AM3057">
        <v>107.983713389101</v>
      </c>
      <c r="AN3057">
        <v>0.99999996839872396</v>
      </c>
    </row>
    <row r="3058" spans="1:40" x14ac:dyDescent="0.25">
      <c r="A3058" t="str">
        <f>"20190304164912160"</f>
        <v>20190304164912160</v>
      </c>
      <c r="B3058" t="str">
        <f>"1551689352149303"</f>
        <v>1551689352149303</v>
      </c>
      <c r="C3058" t="s">
        <v>40</v>
      </c>
      <c r="D3058">
        <v>4.0979400000000004</v>
      </c>
      <c r="E3058">
        <v>0.42317090000000002</v>
      </c>
      <c r="F3058" t="s">
        <v>41</v>
      </c>
      <c r="G3058">
        <v>-485.05090000000001</v>
      </c>
      <c r="H3058">
        <v>1.0391280000000001</v>
      </c>
      <c r="I3058">
        <v>278.49900000000002</v>
      </c>
      <c r="J3058">
        <v>-484.74400000000003</v>
      </c>
      <c r="K3058">
        <v>1.118641</v>
      </c>
      <c r="L3058">
        <v>279.2407</v>
      </c>
      <c r="M3058">
        <v>-0.80723979999999995</v>
      </c>
      <c r="N3058">
        <v>-1.2519539999999999E-2</v>
      </c>
      <c r="O3058">
        <v>-0.59009080000000003</v>
      </c>
      <c r="P3058">
        <v>-0.55191369999999995</v>
      </c>
      <c r="Q3058">
        <v>0.3645274</v>
      </c>
      <c r="R3058">
        <v>-0.75000730000000004</v>
      </c>
      <c r="S3058">
        <v>-1.496124</v>
      </c>
      <c r="T3058">
        <v>-0.29684389999999999</v>
      </c>
      <c r="U3058">
        <v>-3.0480960000000001</v>
      </c>
      <c r="V3058">
        <v>-0.28694239999999999</v>
      </c>
      <c r="W3058">
        <v>0.37017509999999998</v>
      </c>
      <c r="X3058">
        <v>0.88353519999999897</v>
      </c>
      <c r="Y3058">
        <v>-0.4642636</v>
      </c>
      <c r="Z3058">
        <v>2.426567E-2</v>
      </c>
      <c r="AA3058">
        <v>0.88536459999999995</v>
      </c>
      <c r="AB3058">
        <v>26</v>
      </c>
      <c r="AC3058">
        <v>-0.30689999999998402</v>
      </c>
      <c r="AD3058">
        <v>-7.9512999999999903E-2</v>
      </c>
      <c r="AE3058">
        <v>-0.74169999999998004</v>
      </c>
      <c r="AF3058">
        <v>-0.41360509120587202</v>
      </c>
      <c r="AG3058">
        <v>-7.9512999999999903E-2</v>
      </c>
      <c r="AH3058">
        <v>0.67880512936363702</v>
      </c>
      <c r="AI3058">
        <v>95.7123263006836</v>
      </c>
      <c r="AJ3058">
        <v>121.35451328816499</v>
      </c>
      <c r="AK3058">
        <v>0.79885411201971201</v>
      </c>
      <c r="AL3058">
        <v>68.273583389048</v>
      </c>
      <c r="AM3058">
        <v>107.992046563586</v>
      </c>
      <c r="AN3058">
        <v>0.99999999760840397</v>
      </c>
    </row>
    <row r="3059" spans="1:40" x14ac:dyDescent="0.25">
      <c r="A3059" t="str">
        <f>"20190304164912171"</f>
        <v>20190304164912171</v>
      </c>
      <c r="B3059" t="str">
        <f>"1551689352159065"</f>
        <v>1551689352159065</v>
      </c>
      <c r="C3059" t="s">
        <v>40</v>
      </c>
      <c r="D3059">
        <v>4.130789</v>
      </c>
      <c r="E3059">
        <v>0.42359400000000003</v>
      </c>
      <c r="F3059" t="s">
        <v>41</v>
      </c>
      <c r="G3059">
        <v>-485.18790000000001</v>
      </c>
      <c r="H3059">
        <v>1.0291950000000001</v>
      </c>
      <c r="I3059">
        <v>278.3272</v>
      </c>
      <c r="J3059">
        <v>-484.8492</v>
      </c>
      <c r="K3059">
        <v>1.1187240000000001</v>
      </c>
      <c r="L3059">
        <v>279.15640000000002</v>
      </c>
      <c r="M3059">
        <v>-0.80372710000000003</v>
      </c>
      <c r="N3059">
        <v>-1.2620950000000001E-2</v>
      </c>
      <c r="O3059">
        <v>-0.59486419999999995</v>
      </c>
      <c r="P3059">
        <v>-0.54747860000000004</v>
      </c>
      <c r="Q3059">
        <v>0.36408230000000003</v>
      </c>
      <c r="R3059">
        <v>-0.75346639999999998</v>
      </c>
      <c r="S3059">
        <v>-1.48288</v>
      </c>
      <c r="T3059">
        <v>-0.29883349999999997</v>
      </c>
      <c r="U3059">
        <v>-3.0540470000000002</v>
      </c>
      <c r="V3059">
        <v>-0.2871455</v>
      </c>
      <c r="W3059">
        <v>0.36977149999999998</v>
      </c>
      <c r="X3059">
        <v>0.88363829999999999</v>
      </c>
      <c r="Y3059">
        <v>-0.46280650000000001</v>
      </c>
      <c r="Z3059">
        <v>2.4934129999999999E-2</v>
      </c>
      <c r="AA3059">
        <v>0.88610859999999902</v>
      </c>
      <c r="AB3059">
        <v>26</v>
      </c>
      <c r="AC3059">
        <v>-0.33870000000001699</v>
      </c>
      <c r="AD3059">
        <v>-8.95289999999999E-2</v>
      </c>
      <c r="AE3059">
        <v>-0.82920000000001404</v>
      </c>
      <c r="AF3059">
        <v>-0.46040726282420402</v>
      </c>
      <c r="AG3059">
        <v>-8.95289999999999E-2</v>
      </c>
      <c r="AH3059">
        <v>0.75797208230407898</v>
      </c>
      <c r="AI3059">
        <v>95.764598860795004</v>
      </c>
      <c r="AJ3059">
        <v>121.27532483195699</v>
      </c>
      <c r="AK3059">
        <v>0.89135400770662199</v>
      </c>
      <c r="AL3059">
        <v>68.298475870013704</v>
      </c>
      <c r="AM3059">
        <v>108.001994746943</v>
      </c>
      <c r="AN3059">
        <v>1.0000000728046901</v>
      </c>
    </row>
    <row r="3060" spans="1:40" x14ac:dyDescent="0.25">
      <c r="A3060" t="str">
        <f>"20190304164912182"</f>
        <v>20190304164912182</v>
      </c>
      <c r="B3060" t="str">
        <f>"1551689352178586"</f>
        <v>1551689352178586</v>
      </c>
      <c r="C3060" t="s">
        <v>40</v>
      </c>
      <c r="D3060">
        <v>4.1105260000000001</v>
      </c>
      <c r="E3060">
        <v>0.42414220000000002</v>
      </c>
      <c r="F3060" t="s">
        <v>41</v>
      </c>
      <c r="G3060">
        <v>-485.25080000000003</v>
      </c>
      <c r="H3060">
        <v>1.0366249999999999</v>
      </c>
      <c r="I3060">
        <v>278.31950000000001</v>
      </c>
      <c r="J3060">
        <v>-484.9393</v>
      </c>
      <c r="K3060">
        <v>1.1187849999999999</v>
      </c>
      <c r="L3060">
        <v>279.0831</v>
      </c>
      <c r="M3060">
        <v>-0.8006508</v>
      </c>
      <c r="N3060">
        <v>-1.27157E-2</v>
      </c>
      <c r="O3060">
        <v>-0.59899669999999905</v>
      </c>
      <c r="P3060">
        <v>-0.54347190000000001</v>
      </c>
      <c r="Q3060">
        <v>0.36389100000000002</v>
      </c>
      <c r="R3060">
        <v>-0.75645369999999901</v>
      </c>
      <c r="S3060">
        <v>-1.467285</v>
      </c>
      <c r="T3060">
        <v>-0.3000546</v>
      </c>
      <c r="U3060">
        <v>-3.0604550000000001</v>
      </c>
      <c r="V3060">
        <v>-0.28740589999999999</v>
      </c>
      <c r="W3060">
        <v>0.36962040000000002</v>
      </c>
      <c r="X3060">
        <v>0.88361669999999903</v>
      </c>
      <c r="Y3060">
        <v>-0.46263650000000001</v>
      </c>
      <c r="Z3060">
        <v>2.540765E-2</v>
      </c>
      <c r="AA3060">
        <v>0.88618390000000002</v>
      </c>
      <c r="AB3060">
        <v>26</v>
      </c>
      <c r="AC3060">
        <v>-0.31150000000002298</v>
      </c>
      <c r="AD3060">
        <v>-8.2160000000000205E-2</v>
      </c>
      <c r="AE3060">
        <v>-0.76359999999999595</v>
      </c>
      <c r="AF3060">
        <v>-0.42064872968365202</v>
      </c>
      <c r="AG3060">
        <v>-8.2160000000000205E-2</v>
      </c>
      <c r="AH3060">
        <v>0.69990691523442805</v>
      </c>
      <c r="AI3060">
        <v>95.7454133871328</v>
      </c>
      <c r="AJ3060">
        <v>121.00614826488101</v>
      </c>
      <c r="AK3060">
        <v>0.82071024690656902</v>
      </c>
      <c r="AL3060">
        <v>68.307790171745296</v>
      </c>
      <c r="AM3060">
        <v>108.017677247769</v>
      </c>
      <c r="AN3060">
        <v>0.99999993198492698</v>
      </c>
    </row>
    <row r="3061" spans="1:40" x14ac:dyDescent="0.25">
      <c r="A3061" t="str">
        <f>"20190304164912193"</f>
        <v>20190304164912193</v>
      </c>
      <c r="B3061" t="str">
        <f>"1551689352189319"</f>
        <v>1551689352189319</v>
      </c>
      <c r="C3061" t="s">
        <v>40</v>
      </c>
      <c r="D3061">
        <v>4.140682</v>
      </c>
      <c r="E3061">
        <v>0.43044290000000002</v>
      </c>
      <c r="F3061" t="s">
        <v>41</v>
      </c>
      <c r="G3061">
        <v>-485.36529999999999</v>
      </c>
      <c r="H3061">
        <v>1.0304059999999999</v>
      </c>
      <c r="I3061">
        <v>278.18520000000001</v>
      </c>
      <c r="J3061">
        <v>-485.03879999999998</v>
      </c>
      <c r="K3061">
        <v>1.118862</v>
      </c>
      <c r="L3061">
        <v>279.0016</v>
      </c>
      <c r="M3061">
        <v>-0.79719899999999999</v>
      </c>
      <c r="N3061">
        <v>-1.282514E-2</v>
      </c>
      <c r="O3061">
        <v>-0.60358049999999996</v>
      </c>
      <c r="P3061">
        <v>-0.53894209999999998</v>
      </c>
      <c r="Q3061">
        <v>0.3636027</v>
      </c>
      <c r="R3061">
        <v>-0.75982530000000004</v>
      </c>
      <c r="S3061">
        <v>-1.454712</v>
      </c>
      <c r="T3061">
        <v>-0.30180370000000001</v>
      </c>
      <c r="U3061">
        <v>-3.0659179999999999</v>
      </c>
      <c r="V3061">
        <v>-0.28777760000000002</v>
      </c>
      <c r="W3061">
        <v>0.36937969999999998</v>
      </c>
      <c r="X3061">
        <v>0.88359639999999995</v>
      </c>
      <c r="Y3061">
        <v>-0.46113399999999999</v>
      </c>
      <c r="Z3061">
        <v>2.6038100000000002E-2</v>
      </c>
      <c r="AA3061">
        <v>0.88694839999999997</v>
      </c>
      <c r="AB3061">
        <v>26</v>
      </c>
      <c r="AC3061">
        <v>-0.32650000000001</v>
      </c>
      <c r="AD3061">
        <v>-8.8456000000000007E-2</v>
      </c>
      <c r="AE3061">
        <v>-0.81639999999998702</v>
      </c>
      <c r="AF3061">
        <v>-0.44925472550353401</v>
      </c>
      <c r="AG3061">
        <v>-8.8456000000000007E-2</v>
      </c>
      <c r="AH3061">
        <v>0.74556480353812904</v>
      </c>
      <c r="AI3061">
        <v>95.802483955840202</v>
      </c>
      <c r="AJ3061">
        <v>121.07189139781499</v>
      </c>
      <c r="AK3061">
        <v>0.87494065432925405</v>
      </c>
      <c r="AL3061">
        <v>68.322632083710502</v>
      </c>
      <c r="AM3061">
        <v>108.03985814278801</v>
      </c>
      <c r="AN3061">
        <v>0.99999995396340302</v>
      </c>
    </row>
    <row r="3062" spans="1:40" x14ac:dyDescent="0.25">
      <c r="A3062" t="str">
        <f>"20190304164912203"</f>
        <v>20190304164912203</v>
      </c>
      <c r="B3062" t="str">
        <f>"1551689352199079"</f>
        <v>1551689352199079</v>
      </c>
      <c r="C3062" t="s">
        <v>40</v>
      </c>
      <c r="D3062">
        <v>4.1341839999999896</v>
      </c>
      <c r="E3062">
        <v>0.43088100000000001</v>
      </c>
      <c r="F3062" t="s">
        <v>42</v>
      </c>
      <c r="G3062">
        <v>-490.47550000000001</v>
      </c>
      <c r="H3062" s="1">
        <v>-3.6503929999999998E-6</v>
      </c>
      <c r="I3062">
        <v>267.80340000000001</v>
      </c>
      <c r="J3062">
        <v>-485.1377</v>
      </c>
      <c r="K3062">
        <v>1.1189389999999999</v>
      </c>
      <c r="L3062">
        <v>278.91910000000001</v>
      </c>
      <c r="M3062">
        <v>-0.79367739999999998</v>
      </c>
      <c r="N3062">
        <v>-1.294086E-2</v>
      </c>
      <c r="O3062">
        <v>-0.60820109999999905</v>
      </c>
      <c r="P3062">
        <v>-0.53447480000000003</v>
      </c>
      <c r="Q3062">
        <v>0.36346580000000001</v>
      </c>
      <c r="R3062">
        <v>-0.76303940000000003</v>
      </c>
      <c r="S3062">
        <v>-1.4784550000000001</v>
      </c>
      <c r="T3062">
        <v>-0.30426569999999997</v>
      </c>
      <c r="U3062">
        <v>-3.045258</v>
      </c>
      <c r="V3062">
        <v>-0.28793360000000001</v>
      </c>
      <c r="W3062">
        <v>0.36930089999999999</v>
      </c>
      <c r="X3062">
        <v>0.88357859999999999</v>
      </c>
      <c r="Y3062">
        <v>-0.44803520000000002</v>
      </c>
      <c r="Z3062">
        <v>2.740569E-2</v>
      </c>
      <c r="AA3062">
        <v>0.89359580000000005</v>
      </c>
      <c r="AB3062">
        <v>26</v>
      </c>
      <c r="AC3062">
        <v>-5.3378000000000103</v>
      </c>
      <c r="AD3062">
        <v>-1.118942650393</v>
      </c>
      <c r="AE3062">
        <v>-11.1157</v>
      </c>
      <c r="AF3062">
        <v>-5.53074952541398</v>
      </c>
      <c r="AG3062">
        <v>-1.118942650393</v>
      </c>
      <c r="AH3062">
        <v>10.9081727358551</v>
      </c>
      <c r="AI3062">
        <v>95.227452091744894</v>
      </c>
      <c r="AJ3062">
        <v>116.886286711886</v>
      </c>
      <c r="AK3062">
        <v>12.2812644057111</v>
      </c>
      <c r="AL3062">
        <v>68.327492186030099</v>
      </c>
      <c r="AM3062">
        <v>108.049343229058</v>
      </c>
      <c r="AN3062">
        <v>1.0000000275638601</v>
      </c>
    </row>
    <row r="3063" spans="1:40" x14ac:dyDescent="0.25">
      <c r="A3063" t="str">
        <f>"20190304164912215"</f>
        <v>20190304164912215</v>
      </c>
      <c r="B3063" t="str">
        <f>"1551689352208839"</f>
        <v>1551689352208839</v>
      </c>
      <c r="C3063" t="s">
        <v>40</v>
      </c>
      <c r="D3063">
        <v>4.1810419999999997</v>
      </c>
      <c r="E3063">
        <v>0.43088100000000001</v>
      </c>
      <c r="F3063" t="s">
        <v>41</v>
      </c>
      <c r="G3063">
        <v>-485.55410000000001</v>
      </c>
      <c r="H3063">
        <v>1.0320769999999999</v>
      </c>
      <c r="I3063">
        <v>278.05130000000003</v>
      </c>
      <c r="J3063">
        <v>-485.2373</v>
      </c>
      <c r="K3063">
        <v>1.1190169999999999</v>
      </c>
      <c r="L3063">
        <v>278.8356</v>
      </c>
      <c r="M3063">
        <v>-0.7900798</v>
      </c>
      <c r="N3063">
        <v>-1.30589E-2</v>
      </c>
      <c r="O3063">
        <v>-0.61286499999999999</v>
      </c>
      <c r="P3063">
        <v>-0.52985009999999999</v>
      </c>
      <c r="Q3063">
        <v>0.36365999999999998</v>
      </c>
      <c r="R3063">
        <v>-0.76616619999999902</v>
      </c>
      <c r="S3063">
        <v>-1.4637450000000001</v>
      </c>
      <c r="T3063">
        <v>-0.3053688</v>
      </c>
      <c r="U3063">
        <v>-3.0517270000000001</v>
      </c>
      <c r="V3063">
        <v>-0.28806120000000002</v>
      </c>
      <c r="W3063">
        <v>0.3695543</v>
      </c>
      <c r="X3063">
        <v>0.88343099999999997</v>
      </c>
      <c r="Y3063">
        <v>-0.44701580000000002</v>
      </c>
      <c r="Z3063">
        <v>2.7949390000000001E-2</v>
      </c>
      <c r="AA3063">
        <v>0.89408929999999998</v>
      </c>
      <c r="AB3063">
        <v>26</v>
      </c>
      <c r="AC3063">
        <v>-0.31680000000000003</v>
      </c>
      <c r="AD3063">
        <v>-8.6939999999999795E-2</v>
      </c>
      <c r="AE3063">
        <v>-0.78429999999997302</v>
      </c>
      <c r="AF3063">
        <v>-0.42109171732685802</v>
      </c>
      <c r="AG3063">
        <v>-8.6939999999999795E-2</v>
      </c>
      <c r="AH3063">
        <v>0.72338757844087298</v>
      </c>
      <c r="AI3063">
        <v>95.929938970785201</v>
      </c>
      <c r="AJ3063">
        <v>120.204146778159</v>
      </c>
      <c r="AK3063">
        <v>0.84152622457284898</v>
      </c>
      <c r="AL3063">
        <v>68.311867186580798</v>
      </c>
      <c r="AM3063">
        <v>108.059643825931</v>
      </c>
      <c r="AN3063">
        <v>0.99999998367746401</v>
      </c>
    </row>
    <row r="3064" spans="1:40" x14ac:dyDescent="0.25">
      <c r="A3064" t="str">
        <f>"20190304164912226"</f>
        <v>20190304164912226</v>
      </c>
      <c r="B3064" t="str">
        <f>"1551689352218599"</f>
        <v>1551689352218599</v>
      </c>
      <c r="C3064" t="s">
        <v>40</v>
      </c>
      <c r="D3064">
        <v>4.1352339999999996</v>
      </c>
      <c r="E3064">
        <v>0.43601139999999999</v>
      </c>
      <c r="F3064" t="s">
        <v>41</v>
      </c>
      <c r="G3064">
        <v>-485.69060000000002</v>
      </c>
      <c r="H3064">
        <v>1.023468</v>
      </c>
      <c r="I3064">
        <v>277.87619999999998</v>
      </c>
      <c r="J3064">
        <v>-485.33920000000001</v>
      </c>
      <c r="K3064">
        <v>1.1190910000000001</v>
      </c>
      <c r="L3064">
        <v>278.74829999999997</v>
      </c>
      <c r="M3064">
        <v>-0.78628359999999997</v>
      </c>
      <c r="N3064">
        <v>-1.3180259999999999E-2</v>
      </c>
      <c r="O3064">
        <v>-0.61772510000000003</v>
      </c>
      <c r="P3064">
        <v>-0.5249684</v>
      </c>
      <c r="Q3064">
        <v>0.36415829999999999</v>
      </c>
      <c r="R3064">
        <v>-0.7692831</v>
      </c>
      <c r="S3064">
        <v>-1.4461059999999999</v>
      </c>
      <c r="T3064">
        <v>-0.30480429999999997</v>
      </c>
      <c r="U3064">
        <v>-3.0602420000000001</v>
      </c>
      <c r="V3064">
        <v>-0.2881126</v>
      </c>
      <c r="W3064">
        <v>0.3701139</v>
      </c>
      <c r="X3064">
        <v>0.88317999999999997</v>
      </c>
      <c r="Y3064">
        <v>-0.44667859999999998</v>
      </c>
      <c r="Z3064">
        <v>2.8261319999999999E-2</v>
      </c>
      <c r="AA3064">
        <v>0.89424799999999904</v>
      </c>
      <c r="AB3064">
        <v>26</v>
      </c>
      <c r="AC3064">
        <v>-0.35140000000001198</v>
      </c>
      <c r="AD3064">
        <v>-9.5623E-2</v>
      </c>
      <c r="AE3064">
        <v>-0.872099999999989</v>
      </c>
      <c r="AF3064">
        <v>-0.46389195665743199</v>
      </c>
      <c r="AG3064">
        <v>-9.5623E-2</v>
      </c>
      <c r="AH3064">
        <v>0.80674467404408501</v>
      </c>
      <c r="AI3064">
        <v>95.866733194403494</v>
      </c>
      <c r="AJ3064">
        <v>119.899636746035</v>
      </c>
      <c r="AK3064">
        <v>0.935508671621465</v>
      </c>
      <c r="AL3064">
        <v>68.277358970981297</v>
      </c>
      <c r="AM3064">
        <v>108.06745685584799</v>
      </c>
      <c r="AN3064">
        <v>1.0000000408259799</v>
      </c>
    </row>
    <row r="3065" spans="1:40" x14ac:dyDescent="0.25">
      <c r="A3065" t="str">
        <f>"20190304164912238"</f>
        <v>20190304164912238</v>
      </c>
      <c r="B3065" t="str">
        <f>"1551689352229336"</f>
        <v>1551689352229336</v>
      </c>
      <c r="C3065" t="s">
        <v>40</v>
      </c>
      <c r="D3065">
        <v>4.1535780000000004</v>
      </c>
      <c r="E3065">
        <v>0.43686839999999999</v>
      </c>
      <c r="F3065" t="s">
        <v>41</v>
      </c>
      <c r="G3065">
        <v>-485.7765</v>
      </c>
      <c r="H3065">
        <v>1.0250220000000001</v>
      </c>
      <c r="I3065">
        <v>277.8372</v>
      </c>
      <c r="J3065">
        <v>-485.43329999999997</v>
      </c>
      <c r="K3065">
        <v>1.1191599999999999</v>
      </c>
      <c r="L3065">
        <v>278.6671</v>
      </c>
      <c r="M3065">
        <v>-0.78272589999999997</v>
      </c>
      <c r="N3065">
        <v>-1.329143E-2</v>
      </c>
      <c r="O3065">
        <v>-0.62222469999999996</v>
      </c>
      <c r="P3065">
        <v>-0.52014859999999996</v>
      </c>
      <c r="Q3065">
        <v>0.36474689999999999</v>
      </c>
      <c r="R3065">
        <v>-0.77227279999999998</v>
      </c>
      <c r="S3065">
        <v>-1.4638059999999999</v>
      </c>
      <c r="T3065">
        <v>-0.31487019999999999</v>
      </c>
      <c r="U3065">
        <v>-3.0498349999999999</v>
      </c>
      <c r="V3065">
        <v>-0.28841850000000002</v>
      </c>
      <c r="W3065">
        <v>0.3707512</v>
      </c>
      <c r="X3065">
        <v>0.88281270000000001</v>
      </c>
      <c r="Y3065">
        <v>-0.43614960000000003</v>
      </c>
      <c r="Z3065">
        <v>3.0429330000000001E-2</v>
      </c>
      <c r="AA3065">
        <v>0.89935949999999998</v>
      </c>
      <c r="AB3065">
        <v>26</v>
      </c>
      <c r="AC3065">
        <v>-0.34320000000002399</v>
      </c>
      <c r="AD3065">
        <v>-9.4137999999999999E-2</v>
      </c>
      <c r="AE3065">
        <v>-0.82990000000000896</v>
      </c>
      <c r="AF3065">
        <v>-0.43133573840741402</v>
      </c>
      <c r="AG3065">
        <v>-9.4137999999999999E-2</v>
      </c>
      <c r="AH3065">
        <v>0.77655244897392794</v>
      </c>
      <c r="AI3065">
        <v>96.049339628328596</v>
      </c>
      <c r="AJ3065">
        <v>119.049964384552</v>
      </c>
      <c r="AK3065">
        <v>0.89327833751797303</v>
      </c>
      <c r="AL3065">
        <v>68.238046202922106</v>
      </c>
      <c r="AM3065">
        <v>108.09242563798701</v>
      </c>
      <c r="AN3065">
        <v>0.99999997336248903</v>
      </c>
    </row>
    <row r="3066" spans="1:40" x14ac:dyDescent="0.25">
      <c r="A3066" t="str">
        <f>"20190304164912250"</f>
        <v>20190304164912250</v>
      </c>
      <c r="B3066" t="str">
        <f>"1551689352239096"</f>
        <v>1551689352239096</v>
      </c>
      <c r="C3066" t="s">
        <v>40</v>
      </c>
      <c r="D3066">
        <v>4.1484290000000001</v>
      </c>
      <c r="E3066">
        <v>0.43751250000000003</v>
      </c>
      <c r="F3066" t="s">
        <v>41</v>
      </c>
      <c r="G3066">
        <v>-485.87430000000001</v>
      </c>
      <c r="H3066">
        <v>1.0233410000000001</v>
      </c>
      <c r="I3066">
        <v>277.73899999999998</v>
      </c>
      <c r="J3066">
        <v>-485.54739999999998</v>
      </c>
      <c r="K3066">
        <v>1.1192500000000001</v>
      </c>
      <c r="L3066">
        <v>278.56700000000001</v>
      </c>
      <c r="M3066">
        <v>-0.77830549999999998</v>
      </c>
      <c r="N3066">
        <v>-1.3424169999999999E-2</v>
      </c>
      <c r="O3066">
        <v>-0.62774229999999998</v>
      </c>
      <c r="P3066">
        <v>-0.51434230000000003</v>
      </c>
      <c r="Q3066">
        <v>0.36520019999999997</v>
      </c>
      <c r="R3066">
        <v>-0.77593849999999998</v>
      </c>
      <c r="S3066">
        <v>-1.4515990000000001</v>
      </c>
      <c r="T3066">
        <v>-0.31548019999999999</v>
      </c>
      <c r="U3066">
        <v>-3.0560299999999998</v>
      </c>
      <c r="V3066">
        <v>-0.28870559999999901</v>
      </c>
      <c r="W3066">
        <v>0.37126629999999999</v>
      </c>
      <c r="X3066">
        <v>0.88250239999999902</v>
      </c>
      <c r="Y3066">
        <v>-0.4334385</v>
      </c>
      <c r="Z3066">
        <v>3.1075930000000002E-2</v>
      </c>
      <c r="AA3066">
        <v>0.90064719999999998</v>
      </c>
      <c r="AB3066">
        <v>26</v>
      </c>
      <c r="AC3066">
        <v>-0.32690000000002301</v>
      </c>
      <c r="AD3066">
        <v>-9.5908999999999994E-2</v>
      </c>
      <c r="AE3066">
        <v>-0.82799999999997398</v>
      </c>
      <c r="AF3066">
        <v>-0.43422716394628003</v>
      </c>
      <c r="AG3066">
        <v>-9.5908999999999994E-2</v>
      </c>
      <c r="AH3066">
        <v>0.76538404990602205</v>
      </c>
      <c r="AI3066">
        <v>96.220109359259496</v>
      </c>
      <c r="AJ3066">
        <v>119.567646121351</v>
      </c>
      <c r="AK3066">
        <v>0.88519179279994098</v>
      </c>
      <c r="AL3066">
        <v>68.206266362617498</v>
      </c>
      <c r="AM3066">
        <v>108.11521178640101</v>
      </c>
      <c r="AN3066">
        <v>1.0000000374964</v>
      </c>
    </row>
    <row r="3067" spans="1:40" x14ac:dyDescent="0.25">
      <c r="A3067" t="str">
        <f>"20190304164912265"</f>
        <v>20190304164912265</v>
      </c>
      <c r="B3067" t="str">
        <f>"1551689352258615"</f>
        <v>1551689352258615</v>
      </c>
      <c r="C3067" t="s">
        <v>40</v>
      </c>
      <c r="D3067">
        <v>4.1506400000000001</v>
      </c>
      <c r="E3067">
        <v>0.43808730000000001</v>
      </c>
      <c r="F3067" t="s">
        <v>42</v>
      </c>
      <c r="G3067">
        <v>-490.70949999999999</v>
      </c>
      <c r="H3067" s="1">
        <v>-3.5977450000000001E-6</v>
      </c>
      <c r="I3067">
        <v>267.53550000000001</v>
      </c>
      <c r="J3067">
        <v>-485.65910000000002</v>
      </c>
      <c r="K3067">
        <v>1.119329</v>
      </c>
      <c r="L3067">
        <v>278.46749999999997</v>
      </c>
      <c r="M3067">
        <v>-0.77387109999999903</v>
      </c>
      <c r="N3067">
        <v>-1.355172E-2</v>
      </c>
      <c r="O3067">
        <v>-0.63319799999999904</v>
      </c>
      <c r="P3067">
        <v>-0.50833649999999997</v>
      </c>
      <c r="Q3067">
        <v>0.36546390000000001</v>
      </c>
      <c r="R3067">
        <v>-0.77976279999999998</v>
      </c>
      <c r="S3067">
        <v>-1.4330750000000001</v>
      </c>
      <c r="T3067">
        <v>-0.3107203</v>
      </c>
      <c r="U3067">
        <v>-3.0625</v>
      </c>
      <c r="V3067">
        <v>-0.28928619999999999</v>
      </c>
      <c r="W3067">
        <v>0.37158360000000001</v>
      </c>
      <c r="X3067">
        <v>0.88217860000000003</v>
      </c>
      <c r="Y3067">
        <v>-0.4323071</v>
      </c>
      <c r="Z3067">
        <v>3.0955389999999999E-2</v>
      </c>
      <c r="AA3067">
        <v>0.90119490000000002</v>
      </c>
      <c r="AB3067">
        <v>26</v>
      </c>
      <c r="AC3067">
        <v>-5.0503999999999598</v>
      </c>
      <c r="AD3067">
        <v>-1.1193325977449999</v>
      </c>
      <c r="AE3067">
        <v>-10.931999999999899</v>
      </c>
      <c r="AF3067">
        <v>-5.21746142350481</v>
      </c>
      <c r="AG3067">
        <v>-1.1193325977449999</v>
      </c>
      <c r="AH3067">
        <v>10.738694244236701</v>
      </c>
      <c r="AI3067">
        <v>95.356036875400093</v>
      </c>
      <c r="AJ3067">
        <v>115.91308767628099</v>
      </c>
      <c r="AK3067">
        <v>11.991428740618799</v>
      </c>
      <c r="AL3067">
        <v>68.186684344770597</v>
      </c>
      <c r="AM3067">
        <v>108.155480566376</v>
      </c>
      <c r="AN3067">
        <v>0.99999997979867905</v>
      </c>
    </row>
    <row r="3068" spans="1:40" x14ac:dyDescent="0.25">
      <c r="A3068" t="str">
        <f>"20190304164912279"</f>
        <v>20190304164912279</v>
      </c>
      <c r="B3068" t="str">
        <f>"1551689352269350"</f>
        <v>1551689352269350</v>
      </c>
      <c r="C3068" t="s">
        <v>40</v>
      </c>
      <c r="D3068">
        <v>4.1795330000000002</v>
      </c>
      <c r="E3068">
        <v>0.43852950000000002</v>
      </c>
      <c r="F3068" t="s">
        <v>41</v>
      </c>
      <c r="G3068">
        <v>-486.08249999999998</v>
      </c>
      <c r="H3068">
        <v>1.0250250000000001</v>
      </c>
      <c r="I3068">
        <v>277.54840000000002</v>
      </c>
      <c r="J3068">
        <v>-485.77460000000002</v>
      </c>
      <c r="K3068">
        <v>1.119408</v>
      </c>
      <c r="L3068">
        <v>278.36329999999998</v>
      </c>
      <c r="M3068">
        <v>-0.76919099999999996</v>
      </c>
      <c r="N3068">
        <v>-1.368112E-2</v>
      </c>
      <c r="O3068">
        <v>-0.63887260000000001</v>
      </c>
      <c r="P3068">
        <v>-0.50198969999999998</v>
      </c>
      <c r="Q3068">
        <v>0.36571730000000002</v>
      </c>
      <c r="R3068">
        <v>-0.7837459</v>
      </c>
      <c r="S3068">
        <v>-1.414795</v>
      </c>
      <c r="T3068">
        <v>-0.315197</v>
      </c>
      <c r="U3068">
        <v>-3.0727229999999999</v>
      </c>
      <c r="V3068">
        <v>-0.28993679999999999</v>
      </c>
      <c r="W3068">
        <v>0.37189</v>
      </c>
      <c r="X3068">
        <v>0.88183590000000001</v>
      </c>
      <c r="Y3068">
        <v>-0.4312494</v>
      </c>
      <c r="Z3068">
        <v>3.2044980000000001E-2</v>
      </c>
      <c r="AA3068">
        <v>0.90166349999999995</v>
      </c>
      <c r="AB3068">
        <v>26</v>
      </c>
      <c r="AC3068">
        <v>-0.30789999999996098</v>
      </c>
      <c r="AD3068">
        <v>-9.43829999999998E-2</v>
      </c>
      <c r="AE3068">
        <v>-0.81489999999996499</v>
      </c>
      <c r="AF3068">
        <v>-0.42515429684433897</v>
      </c>
      <c r="AG3068">
        <v>-9.43829999999998E-2</v>
      </c>
      <c r="AH3068">
        <v>0.74873280691619803</v>
      </c>
      <c r="AI3068">
        <v>96.255646683493495</v>
      </c>
      <c r="AJ3068">
        <v>119.58928808814601</v>
      </c>
      <c r="AK3068">
        <v>0.86617847062069997</v>
      </c>
      <c r="AL3068">
        <v>68.167775069621399</v>
      </c>
      <c r="AM3068">
        <v>108.200229160493</v>
      </c>
      <c r="AN3068">
        <v>1.0000000373115201</v>
      </c>
    </row>
    <row r="3069" spans="1:40" x14ac:dyDescent="0.25">
      <c r="A3069" t="str">
        <f>"20190304164912289"</f>
        <v>20190304164912289</v>
      </c>
      <c r="B3069" t="str">
        <f>"1551689352279113"</f>
        <v>1551689352279113</v>
      </c>
      <c r="C3069" t="s">
        <v>40</v>
      </c>
      <c r="D3069">
        <v>4.1753600000000004</v>
      </c>
      <c r="E3069">
        <v>0.43899690000000002</v>
      </c>
      <c r="F3069" t="s">
        <v>41</v>
      </c>
      <c r="G3069">
        <v>-486.19729999999998</v>
      </c>
      <c r="H3069">
        <v>1.0237039999999999</v>
      </c>
      <c r="I3069">
        <v>277.4282</v>
      </c>
      <c r="J3069">
        <v>-485.88049999999998</v>
      </c>
      <c r="K3069">
        <v>1.119472</v>
      </c>
      <c r="L3069">
        <v>278.26600000000002</v>
      </c>
      <c r="M3069">
        <v>-0.76477819999999996</v>
      </c>
      <c r="N3069">
        <v>-1.379591E-2</v>
      </c>
      <c r="O3069">
        <v>-0.644146</v>
      </c>
      <c r="P3069">
        <v>-0.49604429999999999</v>
      </c>
      <c r="Q3069">
        <v>0.36621799999999999</v>
      </c>
      <c r="R3069">
        <v>-0.78728929999999997</v>
      </c>
      <c r="S3069">
        <v>-1.3930049999999901</v>
      </c>
      <c r="T3069">
        <v>-0.31542249999999999</v>
      </c>
      <c r="U3069">
        <v>-3.0827939999999998</v>
      </c>
      <c r="V3069">
        <v>-0.29043390000000002</v>
      </c>
      <c r="W3069">
        <v>0.37243880000000001</v>
      </c>
      <c r="X3069">
        <v>0.88144059999999902</v>
      </c>
      <c r="Y3069">
        <v>-0.43144840000000001</v>
      </c>
      <c r="Z3069">
        <v>3.2495499999999997E-2</v>
      </c>
      <c r="AA3069">
        <v>0.90155220000000003</v>
      </c>
      <c r="AB3069">
        <v>26</v>
      </c>
      <c r="AC3069">
        <v>-0.31680000000000003</v>
      </c>
      <c r="AD3069">
        <v>-9.5767999999999798E-2</v>
      </c>
      <c r="AE3069">
        <v>-0.83779999999995802</v>
      </c>
      <c r="AF3069">
        <v>-0.431771283049109</v>
      </c>
      <c r="AG3069">
        <v>-9.5767999999999798E-2</v>
      </c>
      <c r="AH3069">
        <v>0.77318266721581297</v>
      </c>
      <c r="AI3069">
        <v>96.172124320280403</v>
      </c>
      <c r="AJ3069">
        <v>119.180464267286</v>
      </c>
      <c r="AK3069">
        <v>0.89073530724499295</v>
      </c>
      <c r="AL3069">
        <v>68.133897239349906</v>
      </c>
      <c r="AM3069">
        <v>108.237005986398</v>
      </c>
      <c r="AN3069">
        <v>1.0000000206715001</v>
      </c>
    </row>
    <row r="3070" spans="1:40" x14ac:dyDescent="0.25">
      <c r="A3070" t="str">
        <f>"20190304164912305"</f>
        <v>20190304164912305</v>
      </c>
      <c r="B3070" t="str">
        <f>"1551689352298635"</f>
        <v>1551689352298635</v>
      </c>
      <c r="C3070" t="s">
        <v>40</v>
      </c>
      <c r="D3070">
        <v>4.1959390000000001</v>
      </c>
      <c r="E3070">
        <v>0.4395675</v>
      </c>
      <c r="F3070" t="s">
        <v>42</v>
      </c>
      <c r="G3070">
        <v>-490.74979999999999</v>
      </c>
      <c r="H3070" s="1">
        <v>-3.5118840000000002E-6</v>
      </c>
      <c r="I3070">
        <v>267.31029999999998</v>
      </c>
      <c r="J3070">
        <v>-486.00259999999997</v>
      </c>
      <c r="K3070">
        <v>1.1195440000000001</v>
      </c>
      <c r="L3070">
        <v>278.15210000000002</v>
      </c>
      <c r="M3070">
        <v>-0.75956639999999997</v>
      </c>
      <c r="N3070">
        <v>-1.3922830000000001E-2</v>
      </c>
      <c r="O3070">
        <v>-0.65028079999999999</v>
      </c>
      <c r="P3070">
        <v>-0.48867159999999898</v>
      </c>
      <c r="Q3070">
        <v>0.36676639999999999</v>
      </c>
      <c r="R3070">
        <v>-0.79163329999999998</v>
      </c>
      <c r="S3070">
        <v>-1.3741460000000001</v>
      </c>
      <c r="T3070">
        <v>-0.315920599999999</v>
      </c>
      <c r="U3070">
        <v>-3.091736</v>
      </c>
      <c r="V3070">
        <v>-0.29144999999999999</v>
      </c>
      <c r="W3070">
        <v>0.37302859999999999</v>
      </c>
      <c r="X3070">
        <v>0.88085559999999996</v>
      </c>
      <c r="Y3070">
        <v>-0.42975869999999999</v>
      </c>
      <c r="Z3070">
        <v>3.3146679999999998E-2</v>
      </c>
      <c r="AA3070">
        <v>0.9023352</v>
      </c>
      <c r="AB3070">
        <v>26</v>
      </c>
      <c r="AC3070">
        <v>-4.7472000000000198</v>
      </c>
      <c r="AD3070">
        <v>-1.1195475118839999</v>
      </c>
      <c r="AE3070">
        <v>-10.841799999999999</v>
      </c>
      <c r="AF3070">
        <v>-5.1028940817173396</v>
      </c>
      <c r="AG3070">
        <v>-1.1195475118839999</v>
      </c>
      <c r="AH3070">
        <v>10.562550891113901</v>
      </c>
      <c r="AI3070">
        <v>95.451694056472505</v>
      </c>
      <c r="AJ3070">
        <v>115.78574123148201</v>
      </c>
      <c r="AK3070">
        <v>11.783904105514599</v>
      </c>
      <c r="AL3070">
        <v>68.097479729213902</v>
      </c>
      <c r="AM3070">
        <v>108.307907010364</v>
      </c>
      <c r="AN3070">
        <v>1.0000000134846601</v>
      </c>
    </row>
    <row r="3071" spans="1:40" x14ac:dyDescent="0.25">
      <c r="A3071" t="str">
        <f>"20190304164912316"</f>
        <v>20190304164912316</v>
      </c>
      <c r="B3071" t="str">
        <f>"1551689352309367"</f>
        <v>1551689352309367</v>
      </c>
      <c r="C3071" t="s">
        <v>40</v>
      </c>
      <c r="D3071">
        <v>4.1989830000000001</v>
      </c>
      <c r="E3071">
        <v>0.44645249999999997</v>
      </c>
      <c r="F3071" t="s">
        <v>41</v>
      </c>
      <c r="G3071">
        <v>-486.41120000000001</v>
      </c>
      <c r="H3071">
        <v>1.023339</v>
      </c>
      <c r="I3071">
        <v>277.21350000000001</v>
      </c>
      <c r="J3071">
        <v>-486.09230000000002</v>
      </c>
      <c r="K3071">
        <v>1.119594</v>
      </c>
      <c r="L3071">
        <v>278.0677</v>
      </c>
      <c r="M3071">
        <v>-0.75567450000000003</v>
      </c>
      <c r="N3071">
        <v>-1.4013350000000001E-2</v>
      </c>
      <c r="O3071">
        <v>-0.65479779999999999</v>
      </c>
      <c r="P3071">
        <v>-0.48352440000000002</v>
      </c>
      <c r="Q3071">
        <v>0.36681429999999998</v>
      </c>
      <c r="R3071">
        <v>-0.7947649</v>
      </c>
      <c r="S3071">
        <v>-1.3511959999999901</v>
      </c>
      <c r="T3071">
        <v>-0.318129299999999</v>
      </c>
      <c r="U3071">
        <v>-3.1029659999999999</v>
      </c>
      <c r="V3071">
        <v>-0.29193960000000002</v>
      </c>
      <c r="W3071">
        <v>0.37311490000000003</v>
      </c>
      <c r="X3071">
        <v>0.88065689999999996</v>
      </c>
      <c r="Y3071">
        <v>-0.43118269999999997</v>
      </c>
      <c r="Z3071">
        <v>3.375562E-2</v>
      </c>
      <c r="AA3071">
        <v>0.90163300000000002</v>
      </c>
      <c r="AB3071">
        <v>26</v>
      </c>
      <c r="AC3071">
        <v>-0.31889999999998497</v>
      </c>
      <c r="AD3071">
        <v>-9.6254999999999896E-2</v>
      </c>
      <c r="AE3071">
        <v>-0.85419999999999097</v>
      </c>
      <c r="AF3071">
        <v>-0.43191148404556701</v>
      </c>
      <c r="AG3071">
        <v>-9.6254999999999896E-2</v>
      </c>
      <c r="AH3071">
        <v>0.79156963827101701</v>
      </c>
      <c r="AI3071">
        <v>96.092906739206498</v>
      </c>
      <c r="AJ3071">
        <v>118.618616328432</v>
      </c>
      <c r="AK3071">
        <v>0.90685999322274302</v>
      </c>
      <c r="AL3071">
        <v>68.092150417448295</v>
      </c>
      <c r="AM3071">
        <v>108.340466568438</v>
      </c>
      <c r="AN3071">
        <v>1.0000000170838801</v>
      </c>
    </row>
    <row r="3072" spans="1:40" x14ac:dyDescent="0.25">
      <c r="A3072" t="str">
        <f>"20190304164912325"</f>
        <v>20190304164912325</v>
      </c>
      <c r="B3072" t="str">
        <f>"1551689352319127"</f>
        <v>1551689352319127</v>
      </c>
      <c r="C3072" t="s">
        <v>40</v>
      </c>
      <c r="D3072">
        <v>4.1942430000000002</v>
      </c>
      <c r="E3072">
        <v>0.44644129999999899</v>
      </c>
      <c r="F3072" t="s">
        <v>41</v>
      </c>
      <c r="G3072">
        <v>-486.51920000000001</v>
      </c>
      <c r="H3072">
        <v>1.0140960000000001</v>
      </c>
      <c r="I3072">
        <v>277.11430000000001</v>
      </c>
      <c r="J3072">
        <v>-486.17919999999998</v>
      </c>
      <c r="K3072">
        <v>1.119629</v>
      </c>
      <c r="L3072">
        <v>277.98399999999998</v>
      </c>
      <c r="M3072">
        <v>-0.75179619999999903</v>
      </c>
      <c r="N3072">
        <v>-1.409551E-2</v>
      </c>
      <c r="O3072">
        <v>-0.65924519999999998</v>
      </c>
      <c r="P3072">
        <v>-0.47855560000000003</v>
      </c>
      <c r="Q3072">
        <v>0.36687570000000003</v>
      </c>
      <c r="R3072">
        <v>-0.79773899999999998</v>
      </c>
      <c r="S3072">
        <v>-1.383667</v>
      </c>
      <c r="T3072">
        <v>-0.34196349999999998</v>
      </c>
      <c r="U3072">
        <v>-3.0907589999999998</v>
      </c>
      <c r="V3072">
        <v>-0.29225390000000001</v>
      </c>
      <c r="W3072">
        <v>0.37321569999999998</v>
      </c>
      <c r="X3072">
        <v>0.88050989999999996</v>
      </c>
      <c r="Y3072">
        <v>-0.4166531</v>
      </c>
      <c r="Z3072">
        <v>3.8245759999999997E-2</v>
      </c>
      <c r="AA3072">
        <v>0.90826070000000003</v>
      </c>
      <c r="AB3072">
        <v>26</v>
      </c>
      <c r="AC3072">
        <v>-0.340000000000031</v>
      </c>
      <c r="AD3072">
        <v>-0.105533</v>
      </c>
      <c r="AE3072">
        <v>-0.86970000000002201</v>
      </c>
      <c r="AF3072">
        <v>-0.42431685897336602</v>
      </c>
      <c r="AG3072">
        <v>-0.105533</v>
      </c>
      <c r="AH3072">
        <v>0.81858320118785599</v>
      </c>
      <c r="AI3072">
        <v>96.529563173370903</v>
      </c>
      <c r="AJ3072">
        <v>117.40020025437801</v>
      </c>
      <c r="AK3072">
        <v>0.92804119960537401</v>
      </c>
      <c r="AL3072">
        <v>68.085924764172304</v>
      </c>
      <c r="AM3072">
        <v>108.361747812484</v>
      </c>
      <c r="AN3072">
        <v>0.99999999239485504</v>
      </c>
    </row>
    <row r="3073" spans="1:40" x14ac:dyDescent="0.25">
      <c r="A3073" t="str">
        <f>"20190304164912337"</f>
        <v>20190304164912337</v>
      </c>
      <c r="B3073" t="str">
        <f>"1551689352328888"</f>
        <v>1551689352328888</v>
      </c>
      <c r="C3073" t="s">
        <v>40</v>
      </c>
      <c r="D3073">
        <v>4.2127889999999999</v>
      </c>
      <c r="E3073">
        <v>0.44656439999999997</v>
      </c>
      <c r="F3073" t="s">
        <v>42</v>
      </c>
      <c r="G3073">
        <v>-490.60890000000001</v>
      </c>
      <c r="H3073" s="1">
        <v>-3.7380180000000001E-6</v>
      </c>
      <c r="I3073">
        <v>267.92489999999998</v>
      </c>
      <c r="J3073">
        <v>-486.26850000000002</v>
      </c>
      <c r="K3073">
        <v>1.119667</v>
      </c>
      <c r="L3073">
        <v>277.89769999999999</v>
      </c>
      <c r="M3073">
        <v>-0.74776799999999999</v>
      </c>
      <c r="N3073">
        <v>-1.4178110000000001E-2</v>
      </c>
      <c r="O3073">
        <v>-0.66380879999999998</v>
      </c>
      <c r="P3073">
        <v>-0.4735222</v>
      </c>
      <c r="Q3073">
        <v>0.36644939999999998</v>
      </c>
      <c r="R3073">
        <v>-0.80093179999999997</v>
      </c>
      <c r="S3073">
        <v>-1.365265</v>
      </c>
      <c r="T3073">
        <v>-0.3450781</v>
      </c>
      <c r="U3073">
        <v>-3.1002809999999998</v>
      </c>
      <c r="V3073">
        <v>-0.29261100000000001</v>
      </c>
      <c r="W3073">
        <v>0.37283040000000001</v>
      </c>
      <c r="X3073">
        <v>0.88055459999999997</v>
      </c>
      <c r="Y3073">
        <v>-0.41667530000000003</v>
      </c>
      <c r="Z3073">
        <v>3.9109320000000003E-2</v>
      </c>
      <c r="AA3073">
        <v>0.90821370000000001</v>
      </c>
      <c r="AB3073">
        <v>26</v>
      </c>
      <c r="AC3073">
        <v>-4.3403999999999803</v>
      </c>
      <c r="AD3073">
        <v>-1.119670738018</v>
      </c>
      <c r="AE3073">
        <v>-9.9727999999999994</v>
      </c>
      <c r="AF3073">
        <v>-4.5286118936607798</v>
      </c>
      <c r="AG3073">
        <v>-1.119670738018</v>
      </c>
      <c r="AH3073">
        <v>9.7631687042814796</v>
      </c>
      <c r="AI3073">
        <v>95.939460735495899</v>
      </c>
      <c r="AJ3073">
        <v>114.88406412300699</v>
      </c>
      <c r="AK3073">
        <v>10.8204182633224</v>
      </c>
      <c r="AL3073">
        <v>68.109719607427706</v>
      </c>
      <c r="AM3073">
        <v>108.381805828678</v>
      </c>
      <c r="AN3073">
        <v>1.00000005403315</v>
      </c>
    </row>
    <row r="3074" spans="1:40" x14ac:dyDescent="0.25">
      <c r="A3074" t="str">
        <f>"20190304164912349"</f>
        <v>20190304164912349</v>
      </c>
      <c r="B3074" t="str">
        <f>"1551689352338648"</f>
        <v>1551689352338648</v>
      </c>
      <c r="C3074" t="s">
        <v>40</v>
      </c>
      <c r="D3074">
        <v>4.2206590000000004</v>
      </c>
      <c r="E3074">
        <v>0.44656439999999997</v>
      </c>
      <c r="F3074" t="s">
        <v>41</v>
      </c>
      <c r="G3074">
        <v>-486.68700000000001</v>
      </c>
      <c r="H3074">
        <v>1.010993</v>
      </c>
      <c r="I3074">
        <v>276.93090000000001</v>
      </c>
      <c r="J3074">
        <v>-486.36360000000002</v>
      </c>
      <c r="K3074">
        <v>1.119699</v>
      </c>
      <c r="L3074">
        <v>277.80399999999997</v>
      </c>
      <c r="M3074">
        <v>-0.74337200000000003</v>
      </c>
      <c r="N3074">
        <v>-1.426084E-2</v>
      </c>
      <c r="O3074">
        <v>-0.66872609999999999</v>
      </c>
      <c r="P3074">
        <v>-0.46840670000000001</v>
      </c>
      <c r="Q3074">
        <v>0.36611290000000002</v>
      </c>
      <c r="R3074">
        <v>-0.80408740000000001</v>
      </c>
      <c r="S3074">
        <v>-1.3461609999999999</v>
      </c>
      <c r="T3074">
        <v>-0.34954039999999997</v>
      </c>
      <c r="U3074">
        <v>-3.10968</v>
      </c>
      <c r="V3074">
        <v>-0.29255320000000001</v>
      </c>
      <c r="W3074">
        <v>0.37254720000000002</v>
      </c>
      <c r="X3074">
        <v>0.88069359999999997</v>
      </c>
      <c r="Y3074">
        <v>-0.41639369999999998</v>
      </c>
      <c r="Z3074">
        <v>4.0240320000000003E-2</v>
      </c>
      <c r="AA3074">
        <v>0.90829340000000003</v>
      </c>
      <c r="AB3074">
        <v>26</v>
      </c>
      <c r="AC3074">
        <v>-0.32339999999993502</v>
      </c>
      <c r="AD3074">
        <v>-0.108705999999999</v>
      </c>
      <c r="AE3074">
        <v>-0.87310000000002197</v>
      </c>
      <c r="AF3074">
        <v>-0.426995534258237</v>
      </c>
      <c r="AG3074">
        <v>-0.108705999999999</v>
      </c>
      <c r="AH3074">
        <v>0.81326908687490895</v>
      </c>
      <c r="AI3074">
        <v>96.749298231600307</v>
      </c>
      <c r="AJ3074">
        <v>117.70108897935999</v>
      </c>
      <c r="AK3074">
        <v>0.924958803611721</v>
      </c>
      <c r="AL3074">
        <v>68.127204370303005</v>
      </c>
      <c r="AM3074">
        <v>108.37571304322699</v>
      </c>
      <c r="AN3074">
        <v>1.0000000040695201</v>
      </c>
    </row>
    <row r="3075" spans="1:40" x14ac:dyDescent="0.25">
      <c r="A3075" t="str">
        <f>"20190304164912360"</f>
        <v>20190304164912360</v>
      </c>
      <c r="B3075" t="str">
        <f>"1551689352349383"</f>
        <v>1551689352349383</v>
      </c>
      <c r="C3075" t="s">
        <v>40</v>
      </c>
      <c r="D3075">
        <v>4.2078800000000003</v>
      </c>
      <c r="E3075">
        <v>0.4527967</v>
      </c>
      <c r="F3075" t="s">
        <v>42</v>
      </c>
      <c r="G3075">
        <v>-490.59980000000002</v>
      </c>
      <c r="H3075" s="1">
        <v>-3.7002070000000001E-6</v>
      </c>
      <c r="I3075">
        <v>267.8424</v>
      </c>
      <c r="J3075">
        <v>-486.4479</v>
      </c>
      <c r="K3075">
        <v>1.1197250000000001</v>
      </c>
      <c r="L3075">
        <v>277.7201</v>
      </c>
      <c r="M3075">
        <v>-0.73941319999999999</v>
      </c>
      <c r="N3075">
        <v>-1.433123E-2</v>
      </c>
      <c r="O3075">
        <v>-0.67309960000000002</v>
      </c>
      <c r="P3075">
        <v>-0.46391870000000002</v>
      </c>
      <c r="Q3075">
        <v>0.36582740000000002</v>
      </c>
      <c r="R3075">
        <v>-0.80681440000000004</v>
      </c>
      <c r="S3075">
        <v>-1.325958</v>
      </c>
      <c r="T3075">
        <v>-0.35047250000000002</v>
      </c>
      <c r="U3075">
        <v>-3.118042</v>
      </c>
      <c r="V3075">
        <v>-0.29237849999999999</v>
      </c>
      <c r="W3075">
        <v>0.37231180000000003</v>
      </c>
      <c r="X3075">
        <v>0.8808511</v>
      </c>
      <c r="Y3075">
        <v>-0.41689680000000001</v>
      </c>
      <c r="Z3075">
        <v>4.0787919999999998E-2</v>
      </c>
      <c r="AA3075">
        <v>0.90803820000000002</v>
      </c>
      <c r="AB3075">
        <v>26</v>
      </c>
      <c r="AC3075">
        <v>-4.1519000000000101</v>
      </c>
      <c r="AD3075">
        <v>-1.119728700207</v>
      </c>
      <c r="AE3075">
        <v>-9.8777000000000008</v>
      </c>
      <c r="AF3075">
        <v>-4.46080610748258</v>
      </c>
      <c r="AG3075">
        <v>-1.119728700207</v>
      </c>
      <c r="AH3075">
        <v>9.6146420839186</v>
      </c>
      <c r="AI3075">
        <v>96.030593583418806</v>
      </c>
      <c r="AJ3075">
        <v>114.88939841734999</v>
      </c>
      <c r="AK3075">
        <v>10.6580451252788</v>
      </c>
      <c r="AL3075">
        <v>68.141736321464904</v>
      </c>
      <c r="AM3075">
        <v>108.362412866677</v>
      </c>
      <c r="AN3075">
        <v>0.999999962026349</v>
      </c>
    </row>
    <row r="3076" spans="1:40" x14ac:dyDescent="0.25">
      <c r="A3076" t="str">
        <f>"20190304164912370"</f>
        <v>20190304164912370</v>
      </c>
      <c r="B3076" t="str">
        <f>"1551689352359143"</f>
        <v>1551689352359143</v>
      </c>
      <c r="C3076" t="s">
        <v>40</v>
      </c>
      <c r="D3076">
        <v>4.2609000000000004</v>
      </c>
      <c r="E3076">
        <v>0.45258340000000002</v>
      </c>
      <c r="F3076" t="s">
        <v>42</v>
      </c>
      <c r="G3076">
        <v>-490.6146</v>
      </c>
      <c r="H3076" s="1">
        <v>-3.8366739999999997E-6</v>
      </c>
      <c r="I3076">
        <v>268.15129999999999</v>
      </c>
      <c r="J3076">
        <v>-486.53919999999999</v>
      </c>
      <c r="K3076">
        <v>1.1197509999999999</v>
      </c>
      <c r="L3076">
        <v>277.62810000000002</v>
      </c>
      <c r="M3076">
        <v>-0.73505350000000003</v>
      </c>
      <c r="N3076">
        <v>-1.4403529999999999E-2</v>
      </c>
      <c r="O3076">
        <v>-0.67785609999999996</v>
      </c>
      <c r="P3076">
        <v>-0.45913389999999998</v>
      </c>
      <c r="Q3076">
        <v>0.36560280000000001</v>
      </c>
      <c r="R3076">
        <v>-0.80964859999999905</v>
      </c>
      <c r="S3076">
        <v>-1.352295</v>
      </c>
      <c r="T3076">
        <v>-0.36340640000000002</v>
      </c>
      <c r="U3076">
        <v>-3.1055299999999999</v>
      </c>
      <c r="V3076">
        <v>-0.2920005</v>
      </c>
      <c r="W3076">
        <v>0.372145</v>
      </c>
      <c r="X3076">
        <v>0.88104699999999903</v>
      </c>
      <c r="Y3076">
        <v>-0.40325480000000002</v>
      </c>
      <c r="Z3076">
        <v>4.3928590000000003E-2</v>
      </c>
      <c r="AA3076">
        <v>0.91403270000000003</v>
      </c>
      <c r="AB3076">
        <v>26</v>
      </c>
      <c r="AC3076">
        <v>-4.0754000000000001</v>
      </c>
      <c r="AD3076">
        <v>-1.119754836674</v>
      </c>
      <c r="AE3076">
        <v>-9.4768000000000203</v>
      </c>
      <c r="AF3076">
        <v>-4.1549022474542499</v>
      </c>
      <c r="AG3076">
        <v>-1.119754836674</v>
      </c>
      <c r="AH3076">
        <v>9.3108185648618793</v>
      </c>
      <c r="AI3076">
        <v>96.267391029161303</v>
      </c>
      <c r="AJ3076">
        <v>114.048558393706</v>
      </c>
      <c r="AK3076">
        <v>10.257114892986801</v>
      </c>
      <c r="AL3076">
        <v>68.152034156479203</v>
      </c>
      <c r="AM3076">
        <v>108.336457635771</v>
      </c>
      <c r="AN3076">
        <v>1.00000000461712</v>
      </c>
    </row>
    <row r="3077" spans="1:40" x14ac:dyDescent="0.25">
      <c r="A3077" t="str">
        <f>"20190304164912383"</f>
        <v>20190304164912383</v>
      </c>
      <c r="B3077" t="str">
        <f>"1551689352378663"</f>
        <v>1551689352378663</v>
      </c>
      <c r="C3077" t="s">
        <v>40</v>
      </c>
      <c r="D3077">
        <v>4.2530910000000004</v>
      </c>
      <c r="E3077">
        <v>0.4530903</v>
      </c>
      <c r="F3077" t="s">
        <v>42</v>
      </c>
      <c r="G3077">
        <v>-490.54739999999998</v>
      </c>
      <c r="H3077" s="1">
        <v>-3.8630860000000004E-6</v>
      </c>
      <c r="I3077">
        <v>268.25450000000001</v>
      </c>
      <c r="J3077">
        <v>-486.62869999999998</v>
      </c>
      <c r="K3077">
        <v>1.1197709999999901</v>
      </c>
      <c r="L3077">
        <v>277.53640000000001</v>
      </c>
      <c r="M3077">
        <v>-0.73069189999999995</v>
      </c>
      <c r="N3077">
        <v>-1.447009E-2</v>
      </c>
      <c r="O3077">
        <v>-0.68255410000000005</v>
      </c>
      <c r="P3077">
        <v>-0.45457550000000002</v>
      </c>
      <c r="Q3077">
        <v>0.36510759999999998</v>
      </c>
      <c r="R3077">
        <v>-0.81243959999999904</v>
      </c>
      <c r="S3077">
        <v>-1.333099</v>
      </c>
      <c r="T3077">
        <v>-0.37241659999999999</v>
      </c>
      <c r="U3077">
        <v>-3.1175229999999998</v>
      </c>
      <c r="V3077">
        <v>-0.2914718</v>
      </c>
      <c r="W3077">
        <v>0.37171120000000002</v>
      </c>
      <c r="X3077">
        <v>0.88140509999999905</v>
      </c>
      <c r="Y3077">
        <v>-0.40344580000000002</v>
      </c>
      <c r="Z3077">
        <v>4.5740660000000002E-2</v>
      </c>
      <c r="AA3077">
        <v>0.91385959999999999</v>
      </c>
      <c r="AB3077">
        <v>26</v>
      </c>
      <c r="AC3077">
        <v>-3.9186999999999999</v>
      </c>
      <c r="AD3077">
        <v>-1.1197748630859901</v>
      </c>
      <c r="AE3077">
        <v>-9.2819000000000091</v>
      </c>
      <c r="AF3077">
        <v>-4.0577905462901001</v>
      </c>
      <c r="AG3077">
        <v>-1.1197748630859901</v>
      </c>
      <c r="AH3077">
        <v>9.0874712709932695</v>
      </c>
      <c r="AI3077">
        <v>96.419604300304798</v>
      </c>
      <c r="AJ3077">
        <v>114.061995197805</v>
      </c>
      <c r="AK3077">
        <v>10.0150733378587</v>
      </c>
      <c r="AL3077">
        <v>68.178809544570598</v>
      </c>
      <c r="AM3077">
        <v>108.29853116679401</v>
      </c>
      <c r="AN3077">
        <v>0.99999998835334403</v>
      </c>
    </row>
    <row r="3078" spans="1:40" x14ac:dyDescent="0.25">
      <c r="A3078" t="str">
        <f>"20190304164912394"</f>
        <v>20190304164912394</v>
      </c>
      <c r="B3078" t="str">
        <f>"1551689352389399"</f>
        <v>1551689352389399</v>
      </c>
      <c r="C3078" t="s">
        <v>40</v>
      </c>
      <c r="D3078">
        <v>4.2415070000000004</v>
      </c>
      <c r="E3078">
        <v>0.45348450000000001</v>
      </c>
      <c r="F3078" t="s">
        <v>42</v>
      </c>
      <c r="G3078">
        <v>-490.54239999999999</v>
      </c>
      <c r="H3078" s="1">
        <v>-3.8591689999999996E-6</v>
      </c>
      <c r="I3078">
        <v>268.24860000000001</v>
      </c>
      <c r="J3078">
        <v>-486.71960000000001</v>
      </c>
      <c r="K3078">
        <v>1.1197900000000001</v>
      </c>
      <c r="L3078">
        <v>277.4425</v>
      </c>
      <c r="M3078">
        <v>-0.72619809999999996</v>
      </c>
      <c r="N3078">
        <v>-1.4535279999999999E-2</v>
      </c>
      <c r="O3078">
        <v>-0.68733199999999905</v>
      </c>
      <c r="P3078">
        <v>-0.4498375</v>
      </c>
      <c r="Q3078">
        <v>0.36499680000000001</v>
      </c>
      <c r="R3078">
        <v>-0.81512209999999996</v>
      </c>
      <c r="S3078">
        <v>-1.316864</v>
      </c>
      <c r="T3078">
        <v>-0.376778</v>
      </c>
      <c r="U3078">
        <v>-3.1251530000000001</v>
      </c>
      <c r="V3078">
        <v>-0.29086889999999999</v>
      </c>
      <c r="W3078">
        <v>0.37166199999999999</v>
      </c>
      <c r="X3078">
        <v>0.88162499999999999</v>
      </c>
      <c r="Y3078">
        <v>-0.4022963</v>
      </c>
      <c r="Z3078">
        <v>4.6982830000000003E-2</v>
      </c>
      <c r="AA3078">
        <v>0.91430319999999998</v>
      </c>
      <c r="AB3078">
        <v>26</v>
      </c>
      <c r="AC3078">
        <v>-3.8227999999999698</v>
      </c>
      <c r="AD3078">
        <v>-1.119793859169</v>
      </c>
      <c r="AE3078">
        <v>-9.1938999999999798</v>
      </c>
      <c r="AF3078">
        <v>-3.9989092517668001</v>
      </c>
      <c r="AG3078">
        <v>-1.119793859169</v>
      </c>
      <c r="AH3078">
        <v>8.9827186671270098</v>
      </c>
      <c r="AI3078">
        <v>96.497168490887006</v>
      </c>
      <c r="AJ3078">
        <v>113.99757910479001</v>
      </c>
      <c r="AK3078">
        <v>9.8961835140447292</v>
      </c>
      <c r="AL3078">
        <v>68.181846302005397</v>
      </c>
      <c r="AM3078">
        <v>108.258942699543</v>
      </c>
      <c r="AN3078">
        <v>0.99999999992810495</v>
      </c>
    </row>
    <row r="3079" spans="1:40" x14ac:dyDescent="0.25">
      <c r="A3079" t="str">
        <f>"20190304164912405"</f>
        <v>20190304164912405</v>
      </c>
      <c r="B3079" t="str">
        <f>"1551689352399159"</f>
        <v>1551689352399159</v>
      </c>
      <c r="C3079" t="s">
        <v>40</v>
      </c>
      <c r="D3079">
        <v>4.2559440000000004</v>
      </c>
      <c r="E3079">
        <v>0.45348450000000001</v>
      </c>
      <c r="F3079" t="s">
        <v>42</v>
      </c>
      <c r="G3079">
        <v>-490.56299999999999</v>
      </c>
      <c r="H3079" s="1">
        <v>-3.8344519999999998E-6</v>
      </c>
      <c r="I3079">
        <v>268.17809999999997</v>
      </c>
      <c r="J3079">
        <v>-486.80500000000001</v>
      </c>
      <c r="K3079">
        <v>1.119804</v>
      </c>
      <c r="L3079">
        <v>277.35250000000002</v>
      </c>
      <c r="M3079">
        <v>-0.72188430000000003</v>
      </c>
      <c r="N3079">
        <v>-1.459095E-2</v>
      </c>
      <c r="O3079">
        <v>-0.69186009999999998</v>
      </c>
      <c r="P3079">
        <v>-0.44527729999999999</v>
      </c>
      <c r="Q3079">
        <v>0.36482700000000001</v>
      </c>
      <c r="R3079">
        <v>-0.81769780000000003</v>
      </c>
      <c r="S3079">
        <v>-1.2996829999999999</v>
      </c>
      <c r="T3079">
        <v>-0.37866529999999998</v>
      </c>
      <c r="U3079">
        <v>-3.1328130000000001</v>
      </c>
      <c r="V3079">
        <v>-0.29033769999999998</v>
      </c>
      <c r="W3079">
        <v>0.37154920000000002</v>
      </c>
      <c r="X3079">
        <v>0.88184759999999995</v>
      </c>
      <c r="Y3079">
        <v>-0.4016555</v>
      </c>
      <c r="Z3079">
        <v>4.7806050000000003E-2</v>
      </c>
      <c r="AA3079">
        <v>0.91454219999999997</v>
      </c>
      <c r="AB3079">
        <v>26</v>
      </c>
      <c r="AC3079">
        <v>-3.7580000000000302</v>
      </c>
      <c r="AD3079">
        <v>-1.1198078344519999</v>
      </c>
      <c r="AE3079">
        <v>-9.1744000000000394</v>
      </c>
      <c r="AF3079">
        <v>-3.9725922494510999</v>
      </c>
      <c r="AG3079">
        <v>-1.1198078344519999</v>
      </c>
      <c r="AH3079">
        <v>8.9470632215272605</v>
      </c>
      <c r="AI3079">
        <v>96.525721502554603</v>
      </c>
      <c r="AJ3079">
        <v>113.94173554519</v>
      </c>
      <c r="AK3079">
        <v>9.8531923282002793</v>
      </c>
      <c r="AL3079">
        <v>68.188807517826504</v>
      </c>
      <c r="AM3079">
        <v>108.223506870468</v>
      </c>
      <c r="AN3079">
        <v>0.999999988843845</v>
      </c>
    </row>
    <row r="3080" spans="1:40" x14ac:dyDescent="0.25">
      <c r="A3080" t="str">
        <f>"20190304164912416"</f>
        <v>20190304164912416</v>
      </c>
      <c r="B3080" t="str">
        <f>"1551689352408919"</f>
        <v>1551689352408919</v>
      </c>
      <c r="C3080" t="s">
        <v>40</v>
      </c>
      <c r="D3080">
        <v>4.2606330000000003</v>
      </c>
      <c r="E3080">
        <v>0.45931359999999899</v>
      </c>
      <c r="F3080" t="s">
        <v>42</v>
      </c>
      <c r="G3080">
        <v>-490.5883</v>
      </c>
      <c r="H3080" s="1">
        <v>-3.7972409999999999E-6</v>
      </c>
      <c r="I3080">
        <v>268.07569999999998</v>
      </c>
      <c r="J3080">
        <v>-486.89339999999999</v>
      </c>
      <c r="K3080">
        <v>1.119823</v>
      </c>
      <c r="L3080">
        <v>277.25880000000001</v>
      </c>
      <c r="M3080">
        <v>-0.71737289999999998</v>
      </c>
      <c r="N3080">
        <v>-1.464713E-2</v>
      </c>
      <c r="O3080">
        <v>-0.69653549999999997</v>
      </c>
      <c r="P3080">
        <v>-0.44052089999999999</v>
      </c>
      <c r="Q3080">
        <v>0.36486809999999997</v>
      </c>
      <c r="R3080">
        <v>-0.82025139999999996</v>
      </c>
      <c r="S3080">
        <v>-1.2807919999999999</v>
      </c>
      <c r="T3080">
        <v>-0.37909520000000002</v>
      </c>
      <c r="U3080">
        <v>-3.140533</v>
      </c>
      <c r="V3080">
        <v>-0.28972310000000001</v>
      </c>
      <c r="W3080">
        <v>0.37164920000000001</v>
      </c>
      <c r="X3080">
        <v>0.882007599999999</v>
      </c>
      <c r="Y3080">
        <v>-0.40122020000000003</v>
      </c>
      <c r="Z3080">
        <v>4.8419740000000003E-2</v>
      </c>
      <c r="AA3080">
        <v>0.91470099999999999</v>
      </c>
      <c r="AB3080">
        <v>26</v>
      </c>
      <c r="AC3080">
        <v>-3.6949000000000098</v>
      </c>
      <c r="AD3080">
        <v>-1.1198267972409901</v>
      </c>
      <c r="AE3080">
        <v>-9.1831000000000191</v>
      </c>
      <c r="AF3080">
        <v>-3.9637782868947098</v>
      </c>
      <c r="AG3080">
        <v>-1.1198267972409901</v>
      </c>
      <c r="AH3080">
        <v>8.9336100609849201</v>
      </c>
      <c r="AI3080">
        <v>96.536337317979104</v>
      </c>
      <c r="AJ3080">
        <v>113.926515630444</v>
      </c>
      <c r="AK3080">
        <v>9.8374254297152408</v>
      </c>
      <c r="AL3080">
        <v>68.182636377848794</v>
      </c>
      <c r="AM3080">
        <v>108.18439044962901</v>
      </c>
      <c r="AN3080">
        <v>1.000000004496</v>
      </c>
    </row>
    <row r="3081" spans="1:40" x14ac:dyDescent="0.25">
      <c r="A3081" t="str">
        <f>"20190304164912426"</f>
        <v>20190304164912426</v>
      </c>
      <c r="B3081" t="str">
        <f>"1551689352418679"</f>
        <v>1551689352418679</v>
      </c>
      <c r="C3081" t="s">
        <v>40</v>
      </c>
      <c r="D3081">
        <v>4.261037</v>
      </c>
      <c r="E3081">
        <v>0.45878010000000002</v>
      </c>
      <c r="F3081" t="s">
        <v>42</v>
      </c>
      <c r="G3081">
        <v>-490.5437</v>
      </c>
      <c r="H3081" s="1">
        <v>-3.9692710000000001E-6</v>
      </c>
      <c r="I3081">
        <v>268.50439999999998</v>
      </c>
      <c r="J3081">
        <v>-486.97129999999999</v>
      </c>
      <c r="K3081">
        <v>1.1198319999999999</v>
      </c>
      <c r="L3081">
        <v>277.17450000000002</v>
      </c>
      <c r="M3081">
        <v>-0.71331080000000002</v>
      </c>
      <c r="N3081">
        <v>-1.4691930000000001E-2</v>
      </c>
      <c r="O3081">
        <v>-0.70069369999999997</v>
      </c>
      <c r="P3081">
        <v>-0.43612069999999997</v>
      </c>
      <c r="Q3081">
        <v>0.3654444</v>
      </c>
      <c r="R3081">
        <v>-0.82234349999999901</v>
      </c>
      <c r="S3081">
        <v>-1.3067629999999999</v>
      </c>
      <c r="T3081">
        <v>-0.40088499999999999</v>
      </c>
      <c r="U3081">
        <v>-3.133972</v>
      </c>
      <c r="V3081">
        <v>-0.28915159999999901</v>
      </c>
      <c r="W3081">
        <v>0.3722742</v>
      </c>
      <c r="X3081">
        <v>0.88193149999999998</v>
      </c>
      <c r="Y3081">
        <v>-0.38882260000000002</v>
      </c>
      <c r="Z3081">
        <v>5.2975000000000001E-2</v>
      </c>
      <c r="AA3081">
        <v>0.91978839999999995</v>
      </c>
      <c r="AB3081">
        <v>26</v>
      </c>
      <c r="AC3081">
        <v>-3.5724000000000098</v>
      </c>
      <c r="AD3081">
        <v>-1.119835969271</v>
      </c>
      <c r="AE3081">
        <v>-8.6701000000000406</v>
      </c>
      <c r="AF3081">
        <v>-3.6299478104067799</v>
      </c>
      <c r="AG3081">
        <v>-1.119835969271</v>
      </c>
      <c r="AH3081">
        <v>8.5029841514963298</v>
      </c>
      <c r="AI3081">
        <v>96.906234047208002</v>
      </c>
      <c r="AJ3081">
        <v>113.11777206817401</v>
      </c>
      <c r="AK3081">
        <v>9.3129637165054895</v>
      </c>
      <c r="AL3081">
        <v>68.144057206142705</v>
      </c>
      <c r="AM3081">
        <v>108.152338152642</v>
      </c>
      <c r="AN3081">
        <v>0.99999994923022295</v>
      </c>
    </row>
    <row r="3082" spans="1:40" x14ac:dyDescent="0.25">
      <c r="A3082" t="str">
        <f>"20190304164912440"</f>
        <v>20190304164912440</v>
      </c>
      <c r="B3082" t="str">
        <f>"1551689352429415"</f>
        <v>1551689352429415</v>
      </c>
      <c r="C3082" t="s">
        <v>40</v>
      </c>
      <c r="D3082">
        <v>4.287954</v>
      </c>
      <c r="E3082">
        <v>0.45886700000000002</v>
      </c>
      <c r="F3082" t="s">
        <v>42</v>
      </c>
      <c r="G3082">
        <v>-490.59739999999999</v>
      </c>
      <c r="H3082" s="1">
        <v>-3.8995310000000003E-6</v>
      </c>
      <c r="I3082">
        <v>268.30849999999998</v>
      </c>
      <c r="J3082">
        <v>-487.07</v>
      </c>
      <c r="K3082">
        <v>1.119842</v>
      </c>
      <c r="L3082">
        <v>277.06689999999998</v>
      </c>
      <c r="M3082">
        <v>-0.70810850000000003</v>
      </c>
      <c r="N3082">
        <v>-1.4746240000000001E-2</v>
      </c>
      <c r="O3082">
        <v>-0.70594969999999901</v>
      </c>
      <c r="P3082">
        <v>-0.43066769999999999</v>
      </c>
      <c r="Q3082">
        <v>0.36599680000000001</v>
      </c>
      <c r="R3082">
        <v>-0.82496789999999998</v>
      </c>
      <c r="S3082">
        <v>-1.285339</v>
      </c>
      <c r="T3082">
        <v>-0.39695730000000001</v>
      </c>
      <c r="U3082">
        <v>-3.142792</v>
      </c>
      <c r="V3082">
        <v>-0.28830409999999901</v>
      </c>
      <c r="W3082">
        <v>0.3728919</v>
      </c>
      <c r="X3082">
        <v>0.88194810000000001</v>
      </c>
      <c r="Y3082">
        <v>-0.38829029999999998</v>
      </c>
      <c r="Z3082">
        <v>5.2993819999999997E-2</v>
      </c>
      <c r="AA3082">
        <v>0.9200121</v>
      </c>
      <c r="AB3082">
        <v>26</v>
      </c>
      <c r="AC3082">
        <v>-3.5274000000000001</v>
      </c>
      <c r="AD3082">
        <v>-1.1198458995309899</v>
      </c>
      <c r="AE3082">
        <v>-8.7583999999999893</v>
      </c>
      <c r="AF3082">
        <v>-3.6606417218913698</v>
      </c>
      <c r="AG3082">
        <v>-1.1198458995309899</v>
      </c>
      <c r="AH3082">
        <v>8.5612883839511102</v>
      </c>
      <c r="AI3082">
        <v>96.858047138065501</v>
      </c>
      <c r="AJ3082">
        <v>113.150617281487</v>
      </c>
      <c r="AK3082">
        <v>9.3781667423822501</v>
      </c>
      <c r="AL3082">
        <v>68.105921676390594</v>
      </c>
      <c r="AM3082">
        <v>108.102290640767</v>
      </c>
      <c r="AN3082">
        <v>1.00000003712801</v>
      </c>
    </row>
    <row r="3083" spans="1:40" x14ac:dyDescent="0.25">
      <c r="A3083" t="str">
        <f>"20190304164912452"</f>
        <v>20190304164912452</v>
      </c>
      <c r="B3083" t="str">
        <f>"1551689352448937"</f>
        <v>1551689352448937</v>
      </c>
      <c r="C3083" t="s">
        <v>40</v>
      </c>
      <c r="D3083">
        <v>4.2835539999999996</v>
      </c>
      <c r="E3083">
        <v>0.45985589999999998</v>
      </c>
      <c r="F3083" t="s">
        <v>42</v>
      </c>
      <c r="G3083">
        <v>-490.61919999999998</v>
      </c>
      <c r="H3083" s="1">
        <v>-3.8648849999999998E-6</v>
      </c>
      <c r="I3083">
        <v>268.21420000000001</v>
      </c>
      <c r="J3083">
        <v>-487.16739999999999</v>
      </c>
      <c r="K3083">
        <v>1.1198459999999999</v>
      </c>
      <c r="L3083">
        <v>276.95909999999998</v>
      </c>
      <c r="M3083">
        <v>-0.70288079999999997</v>
      </c>
      <c r="N3083">
        <v>-1.4795600000000001E-2</v>
      </c>
      <c r="O3083">
        <v>-0.71115390000000001</v>
      </c>
      <c r="P3083">
        <v>-0.4251508</v>
      </c>
      <c r="Q3083">
        <v>0.36655090000000001</v>
      </c>
      <c r="R3083">
        <v>-0.82757909999999901</v>
      </c>
      <c r="S3083">
        <v>-1.2642819999999999</v>
      </c>
      <c r="T3083">
        <v>-0.39890720000000002</v>
      </c>
      <c r="U3083">
        <v>-3.153473</v>
      </c>
      <c r="V3083">
        <v>-0.287520099999999</v>
      </c>
      <c r="W3083">
        <v>0.37350860000000002</v>
      </c>
      <c r="X3083">
        <v>0.88194300000000003</v>
      </c>
      <c r="Y3083">
        <v>-0.38788329999999999</v>
      </c>
      <c r="Z3083">
        <v>5.3922560000000001E-2</v>
      </c>
      <c r="AA3083">
        <v>0.9201298</v>
      </c>
      <c r="AB3083">
        <v>26</v>
      </c>
      <c r="AC3083">
        <v>-3.4517999999999902</v>
      </c>
      <c r="AD3083">
        <v>-1.1198498648849999</v>
      </c>
      <c r="AE3083">
        <v>-8.7448999999999693</v>
      </c>
      <c r="AF3083">
        <v>-3.64061157915883</v>
      </c>
      <c r="AG3083">
        <v>-1.1198498648849999</v>
      </c>
      <c r="AH3083">
        <v>8.5251630739510702</v>
      </c>
      <c r="AI3083">
        <v>96.888178914428494</v>
      </c>
      <c r="AJ3083">
        <v>113.12456799291201</v>
      </c>
      <c r="AK3083">
        <v>9.33737231921525</v>
      </c>
      <c r="AL3083">
        <v>68.067834109748105</v>
      </c>
      <c r="AM3083">
        <v>108.056360831745</v>
      </c>
      <c r="AN3083">
        <v>0.99999996871348396</v>
      </c>
    </row>
    <row r="3084" spans="1:40" x14ac:dyDescent="0.25">
      <c r="A3084" t="str">
        <f>"20190304164912466"</f>
        <v>20190304164912466</v>
      </c>
      <c r="B3084" t="str">
        <f>"1551689352458696"</f>
        <v>1551689352458696</v>
      </c>
      <c r="C3084" t="s">
        <v>40</v>
      </c>
      <c r="D3084">
        <v>4.321707</v>
      </c>
      <c r="E3084">
        <v>0.46035140000000002</v>
      </c>
      <c r="F3084" t="s">
        <v>42</v>
      </c>
      <c r="G3084">
        <v>-490.66879999999998</v>
      </c>
      <c r="H3084" s="1">
        <v>-3.8318000000000003E-6</v>
      </c>
      <c r="I3084">
        <v>268.10640000000001</v>
      </c>
      <c r="J3084">
        <v>-487.26490000000001</v>
      </c>
      <c r="K3084">
        <v>1.1198440000000001</v>
      </c>
      <c r="L3084">
        <v>276.84910000000002</v>
      </c>
      <c r="M3084">
        <v>-0.69754729999999998</v>
      </c>
      <c r="N3084">
        <v>-1.4840020000000001E-2</v>
      </c>
      <c r="O3084">
        <v>-0.71638519999999895</v>
      </c>
      <c r="P3084">
        <v>-0.41978890000000002</v>
      </c>
      <c r="Q3084">
        <v>0.36715619999999999</v>
      </c>
      <c r="R3084">
        <v>-0.83004439999999902</v>
      </c>
      <c r="S3084">
        <v>-1.249817</v>
      </c>
      <c r="T3084">
        <v>-0.39973140000000001</v>
      </c>
      <c r="U3084">
        <v>-3.1600039999999998</v>
      </c>
      <c r="V3084">
        <v>-0.2864507</v>
      </c>
      <c r="W3084">
        <v>0.37418269999999998</v>
      </c>
      <c r="X3084">
        <v>0.88200529999999999</v>
      </c>
      <c r="Y3084">
        <v>-0.38531480000000001</v>
      </c>
      <c r="Z3084">
        <v>5.4815639999999999E-2</v>
      </c>
      <c r="AA3084">
        <v>0.92115570000000002</v>
      </c>
      <c r="AB3084">
        <v>26</v>
      </c>
      <c r="AC3084">
        <v>-3.4038999999999602</v>
      </c>
      <c r="AD3084">
        <v>-1.1198478318</v>
      </c>
      <c r="AE3084">
        <v>-8.7427000000000099</v>
      </c>
      <c r="AF3084">
        <v>-3.6089286826018498</v>
      </c>
      <c r="AG3084">
        <v>-1.1198478318</v>
      </c>
      <c r="AH3084">
        <v>8.5171271042134293</v>
      </c>
      <c r="AI3084">
        <v>96.902766095507602</v>
      </c>
      <c r="AJ3084">
        <v>112.96363914868201</v>
      </c>
      <c r="AK3084">
        <v>9.3177185786983596</v>
      </c>
      <c r="AL3084">
        <v>68.026192811629201</v>
      </c>
      <c r="AM3084">
        <v>107.99234977155901</v>
      </c>
      <c r="AN3084">
        <v>1.0000000228689301</v>
      </c>
    </row>
    <row r="3085" spans="1:40" x14ac:dyDescent="0.25">
      <c r="A3085" t="str">
        <f>"20190304164912479"</f>
        <v>20190304164912479</v>
      </c>
      <c r="B3085" t="str">
        <f>"1551689352469433"</f>
        <v>1551689352469433</v>
      </c>
      <c r="C3085" t="s">
        <v>40</v>
      </c>
      <c r="D3085">
        <v>4.4049469999999999</v>
      </c>
      <c r="E3085">
        <v>0.46035140000000002</v>
      </c>
      <c r="F3085" t="s">
        <v>42</v>
      </c>
      <c r="G3085">
        <v>-490.71319999999997</v>
      </c>
      <c r="H3085" s="1">
        <v>-3.7871530000000001E-6</v>
      </c>
      <c r="I3085">
        <v>267.97469999999998</v>
      </c>
      <c r="J3085">
        <v>-487.35820000000001</v>
      </c>
      <c r="K3085">
        <v>1.119839</v>
      </c>
      <c r="L3085">
        <v>276.74279999999999</v>
      </c>
      <c r="M3085">
        <v>-0.69237729999999997</v>
      </c>
      <c r="N3085">
        <v>-1.488011E-2</v>
      </c>
      <c r="O3085">
        <v>-0.72138239999999998</v>
      </c>
      <c r="P3085">
        <v>-0.4146474</v>
      </c>
      <c r="Q3085">
        <v>0.36775000000000002</v>
      </c>
      <c r="R3085">
        <v>-0.83236279999999996</v>
      </c>
      <c r="S3085">
        <v>-1.231171</v>
      </c>
      <c r="T3085">
        <v>-0.39982709999999999</v>
      </c>
      <c r="U3085">
        <v>-3.168488</v>
      </c>
      <c r="V3085">
        <v>-0.28538180000000002</v>
      </c>
      <c r="W3085">
        <v>0.37484230000000002</v>
      </c>
      <c r="X3085">
        <v>0.88207169999999901</v>
      </c>
      <c r="Y3085">
        <v>-0.38423990000000002</v>
      </c>
      <c r="Z3085">
        <v>5.5477129999999999E-2</v>
      </c>
      <c r="AA3085">
        <v>0.92156490000000002</v>
      </c>
      <c r="AB3085">
        <v>26</v>
      </c>
      <c r="AC3085">
        <v>-3.35499999999996</v>
      </c>
      <c r="AD3085">
        <v>-1.1198427871529999</v>
      </c>
      <c r="AE3085">
        <v>-8.7681000000000004</v>
      </c>
      <c r="AF3085">
        <v>-3.5997792206294199</v>
      </c>
      <c r="AG3085">
        <v>-1.1198427871529999</v>
      </c>
      <c r="AH3085">
        <v>8.5276977406553396</v>
      </c>
      <c r="AI3085">
        <v>96.898177158306794</v>
      </c>
      <c r="AJ3085">
        <v>112.885965362181</v>
      </c>
      <c r="AK3085">
        <v>9.3238450792144807</v>
      </c>
      <c r="AL3085">
        <v>67.9854337128141</v>
      </c>
      <c r="AM3085">
        <v>107.92825267955</v>
      </c>
      <c r="AN3085">
        <v>1.0000000027906999</v>
      </c>
    </row>
    <row r="3086" spans="1:40" x14ac:dyDescent="0.25">
      <c r="A3086" t="str">
        <f>"20190304164912489"</f>
        <v>20190304164912489</v>
      </c>
      <c r="B3086" t="str">
        <f>"1551689352479191"</f>
        <v>1551689352479191</v>
      </c>
      <c r="C3086" t="s">
        <v>40</v>
      </c>
      <c r="D3086">
        <v>4.3888059999999998</v>
      </c>
      <c r="E3086">
        <v>0.49141509999999999</v>
      </c>
      <c r="F3086" t="s">
        <v>42</v>
      </c>
      <c r="G3086">
        <v>-490.76850000000002</v>
      </c>
      <c r="H3086" s="1">
        <v>-3.7199990000000001E-6</v>
      </c>
      <c r="I3086">
        <v>267.78390000000002</v>
      </c>
      <c r="J3086">
        <v>-487.44310000000002</v>
      </c>
      <c r="K3086">
        <v>1.119828</v>
      </c>
      <c r="L3086">
        <v>276.64429999999999</v>
      </c>
      <c r="M3086">
        <v>-0.68758730000000001</v>
      </c>
      <c r="N3086">
        <v>-1.4913020000000001E-2</v>
      </c>
      <c r="O3086">
        <v>-0.72594840000000005</v>
      </c>
      <c r="P3086">
        <v>-0.4100743</v>
      </c>
      <c r="Q3086">
        <v>0.36813040000000002</v>
      </c>
      <c r="R3086">
        <v>-0.83445749999999996</v>
      </c>
      <c r="S3086">
        <v>-1.2094419999999999</v>
      </c>
      <c r="T3086">
        <v>-0.3971441</v>
      </c>
      <c r="U3086">
        <v>-3.177216</v>
      </c>
      <c r="V3086">
        <v>-0.28426129999999999</v>
      </c>
      <c r="W3086">
        <v>0.3752857</v>
      </c>
      <c r="X3086">
        <v>0.88224499999999995</v>
      </c>
      <c r="Y3086">
        <v>-0.3844804</v>
      </c>
      <c r="Z3086">
        <v>5.5563229999999998E-2</v>
      </c>
      <c r="AA3086">
        <v>0.92145949999999999</v>
      </c>
      <c r="AB3086">
        <v>26</v>
      </c>
      <c r="AC3086">
        <v>-3.3254000000000001</v>
      </c>
      <c r="AD3086">
        <v>-1.119831719999</v>
      </c>
      <c r="AE3086">
        <v>-8.8603999999999701</v>
      </c>
      <c r="AF3086">
        <v>-3.6278447831804099</v>
      </c>
      <c r="AG3086">
        <v>-1.119831719999</v>
      </c>
      <c r="AH3086">
        <v>8.5992660567747592</v>
      </c>
      <c r="AI3086">
        <v>96.841851370083006</v>
      </c>
      <c r="AJ3086">
        <v>112.873831569915</v>
      </c>
      <c r="AK3086">
        <v>9.4001413588926308</v>
      </c>
      <c r="AL3086">
        <v>67.958029028238798</v>
      </c>
      <c r="AM3086">
        <v>107.859055961873</v>
      </c>
      <c r="AN3086">
        <v>1.0000000416635799</v>
      </c>
    </row>
    <row r="3087" spans="1:40" x14ac:dyDescent="0.25">
      <c r="A3087" t="str">
        <f>"20190304164912501"</f>
        <v>20190304164912501</v>
      </c>
      <c r="B3087" t="str">
        <f>"1551689352488952"</f>
        <v>1551689352488952</v>
      </c>
      <c r="C3087" t="s">
        <v>40</v>
      </c>
      <c r="D3087">
        <v>4.3065829999999998</v>
      </c>
      <c r="E3087">
        <v>0.49798290000000001</v>
      </c>
      <c r="F3087" t="s">
        <v>42</v>
      </c>
      <c r="G3087">
        <v>-491.33229999999998</v>
      </c>
      <c r="H3087" s="1">
        <v>-4.037529E-6</v>
      </c>
      <c r="I3087">
        <v>268.17439999999999</v>
      </c>
      <c r="J3087">
        <v>-487.52350000000001</v>
      </c>
      <c r="K3087">
        <v>1.119818</v>
      </c>
      <c r="L3087">
        <v>276.55</v>
      </c>
      <c r="M3087">
        <v>-0.68299259999999995</v>
      </c>
      <c r="N3087">
        <v>-1.494209E-2</v>
      </c>
      <c r="O3087">
        <v>-0.73027259999999905</v>
      </c>
      <c r="P3087">
        <v>-0.40575040000000001</v>
      </c>
      <c r="Q3087">
        <v>0.3683535</v>
      </c>
      <c r="R3087">
        <v>-0.83647019999999905</v>
      </c>
      <c r="S3087">
        <v>-1.414185</v>
      </c>
      <c r="T3087">
        <v>-0.407192</v>
      </c>
      <c r="U3087">
        <v>-3.079834</v>
      </c>
      <c r="V3087">
        <v>-0.28318179999999998</v>
      </c>
      <c r="W3087">
        <v>0.37556889999999998</v>
      </c>
      <c r="X3087">
        <v>0.88247160000000002</v>
      </c>
      <c r="Y3087">
        <v>-0.31654900000000002</v>
      </c>
      <c r="Z3087">
        <v>6.1483830000000003E-2</v>
      </c>
      <c r="AA3087">
        <v>0.94658149999999996</v>
      </c>
      <c r="AB3087">
        <v>26</v>
      </c>
      <c r="AC3087">
        <v>-3.8087999999999602</v>
      </c>
      <c r="AD3087">
        <v>-1.119822037529</v>
      </c>
      <c r="AE3087">
        <v>-8.3756000000000199</v>
      </c>
      <c r="AF3087">
        <v>-2.8964345657626098</v>
      </c>
      <c r="AG3087">
        <v>-1.119822037529</v>
      </c>
      <c r="AH3087">
        <v>8.5915622209849598</v>
      </c>
      <c r="AI3087">
        <v>97.040938661513806</v>
      </c>
      <c r="AJ3087">
        <v>108.63027262405799</v>
      </c>
      <c r="AK3087">
        <v>9.1355501195350008</v>
      </c>
      <c r="AL3087">
        <v>67.940521952355198</v>
      </c>
      <c r="AM3087">
        <v>107.791239306279</v>
      </c>
      <c r="AN3087">
        <v>1.0000000276525001</v>
      </c>
    </row>
    <row r="3088" spans="1:40" x14ac:dyDescent="0.25">
      <c r="A3088" t="str">
        <f>"20190304164912513"</f>
        <v>20190304164912513</v>
      </c>
      <c r="B3088" t="str">
        <f>"1551689352509447"</f>
        <v>1551689352509447</v>
      </c>
      <c r="C3088" t="s">
        <v>40</v>
      </c>
      <c r="D3088">
        <v>4.2907419999999998</v>
      </c>
      <c r="E3088">
        <v>0.5038241</v>
      </c>
      <c r="F3088" t="s">
        <v>42</v>
      </c>
      <c r="G3088">
        <v>-491.37029999999999</v>
      </c>
      <c r="H3088" s="1">
        <v>-4.118615E-6</v>
      </c>
      <c r="I3088">
        <v>268.37529999999998</v>
      </c>
      <c r="J3088">
        <v>-487.61279999999999</v>
      </c>
      <c r="K3088">
        <v>1.1198060000000001</v>
      </c>
      <c r="L3088">
        <v>276.44400000000002</v>
      </c>
      <c r="M3088">
        <v>-0.67782369999999903</v>
      </c>
      <c r="N3088">
        <v>-1.4972350000000001E-2</v>
      </c>
      <c r="O3088">
        <v>-0.73507210000000001</v>
      </c>
      <c r="P3088">
        <v>-0.40076050000000002</v>
      </c>
      <c r="Q3088">
        <v>0.36860510000000002</v>
      </c>
      <c r="R3088">
        <v>-0.83876200000000001</v>
      </c>
      <c r="S3088">
        <v>-1.4450379999999901</v>
      </c>
      <c r="T3088">
        <v>-0.42065429999999998</v>
      </c>
      <c r="U3088">
        <v>-3.07077</v>
      </c>
      <c r="V3088">
        <v>-0.28212589999999999</v>
      </c>
      <c r="W3088">
        <v>0.3758822</v>
      </c>
      <c r="X3088">
        <v>0.88267640000000003</v>
      </c>
      <c r="Y3088">
        <v>-0.3010872</v>
      </c>
      <c r="Z3088">
        <v>6.5187949999999995E-2</v>
      </c>
      <c r="AA3088">
        <v>0.95136589999999999</v>
      </c>
      <c r="AB3088">
        <v>26</v>
      </c>
      <c r="AC3088">
        <v>-3.7574999999999901</v>
      </c>
      <c r="AD3088">
        <v>-1.11981011861499</v>
      </c>
      <c r="AE3088">
        <v>-8.06870000000003</v>
      </c>
      <c r="AF3088">
        <v>-2.6652393087819601</v>
      </c>
      <c r="AG3088">
        <v>-1.11981011861499</v>
      </c>
      <c r="AH3088">
        <v>8.3468310866181099</v>
      </c>
      <c r="AI3088">
        <v>97.283071294156798</v>
      </c>
      <c r="AJ3088">
        <v>107.70888156231101</v>
      </c>
      <c r="AK3088">
        <v>8.83329295695345</v>
      </c>
      <c r="AL3088">
        <v>67.921152238659801</v>
      </c>
      <c r="AM3088">
        <v>107.725206211198</v>
      </c>
      <c r="AN3088">
        <v>1.0000000394223001</v>
      </c>
    </row>
    <row r="3089" spans="1:40" x14ac:dyDescent="0.25">
      <c r="A3089" t="str">
        <f>"20190304164912527"</f>
        <v>20190304164912527</v>
      </c>
      <c r="B3089" t="str">
        <f>"1551689352519211"</f>
        <v>1551689352519211</v>
      </c>
      <c r="C3089" t="s">
        <v>40</v>
      </c>
      <c r="D3089">
        <v>4.2839210000000003</v>
      </c>
      <c r="E3089">
        <v>0.50585259999999999</v>
      </c>
      <c r="F3089" t="s">
        <v>42</v>
      </c>
      <c r="G3089">
        <v>-491.38170000000002</v>
      </c>
      <c r="H3089" s="1">
        <v>-4.1897309999999997E-6</v>
      </c>
      <c r="I3089">
        <v>268.57830000000001</v>
      </c>
      <c r="J3089">
        <v>-487.71480000000003</v>
      </c>
      <c r="K3089">
        <v>1.119791</v>
      </c>
      <c r="L3089">
        <v>276.32040000000001</v>
      </c>
      <c r="M3089">
        <v>-0.67180600000000001</v>
      </c>
      <c r="N3089">
        <v>-1.500284E-2</v>
      </c>
      <c r="O3089">
        <v>-0.74057530000000005</v>
      </c>
      <c r="P3089">
        <v>-0.39541270000000001</v>
      </c>
      <c r="Q3089">
        <v>0.36914239999999998</v>
      </c>
      <c r="R3089">
        <v>-0.8410609</v>
      </c>
      <c r="S3089">
        <v>-1.46933</v>
      </c>
      <c r="T3089">
        <v>-0.43656669999999997</v>
      </c>
      <c r="U3089">
        <v>-3.0664980000000002</v>
      </c>
      <c r="V3089">
        <v>-0.28037420000000002</v>
      </c>
      <c r="W3089">
        <v>0.37650080000000002</v>
      </c>
      <c r="X3089">
        <v>0.88297079999999994</v>
      </c>
      <c r="Y3089">
        <v>-0.28678759999999998</v>
      </c>
      <c r="Z3089">
        <v>6.9398050000000003E-2</v>
      </c>
      <c r="AA3089">
        <v>0.95547720000000003</v>
      </c>
      <c r="AB3089">
        <v>26</v>
      </c>
      <c r="AC3089">
        <v>-3.6668999999999898</v>
      </c>
      <c r="AD3089">
        <v>-1.1197951897309999</v>
      </c>
      <c r="AE3089">
        <v>-7.74209999999999</v>
      </c>
      <c r="AF3089">
        <v>-2.4440913840844498</v>
      </c>
      <c r="AG3089">
        <v>-1.1197951897309999</v>
      </c>
      <c r="AH3089">
        <v>8.0602510388773396</v>
      </c>
      <c r="AI3089">
        <v>97.573078061619398</v>
      </c>
      <c r="AJ3089">
        <v>106.868756993692</v>
      </c>
      <c r="AK3089">
        <v>8.4967741390732403</v>
      </c>
      <c r="AL3089">
        <v>67.882897892832005</v>
      </c>
      <c r="AM3089">
        <v>107.616468944613</v>
      </c>
      <c r="AN3089">
        <v>0.99999998903945997</v>
      </c>
    </row>
    <row r="3090" spans="1:40" x14ac:dyDescent="0.25">
      <c r="A3090" t="str">
        <f>"20190304164912539"</f>
        <v>20190304164912539</v>
      </c>
      <c r="B3090" t="str">
        <f>"1551689352528967"</f>
        <v>1551689352528967</v>
      </c>
      <c r="C3090" t="s">
        <v>40</v>
      </c>
      <c r="D3090">
        <v>4.3244179999999997</v>
      </c>
      <c r="E3090">
        <v>0.50740609999999997</v>
      </c>
      <c r="F3090" t="s">
        <v>42</v>
      </c>
      <c r="G3090">
        <v>-491.45060000000001</v>
      </c>
      <c r="H3090" s="1">
        <v>-4.1704360000000001E-6</v>
      </c>
      <c r="I3090">
        <v>268.48570000000001</v>
      </c>
      <c r="J3090">
        <v>-487.79590000000002</v>
      </c>
      <c r="K3090">
        <v>1.1197779999999999</v>
      </c>
      <c r="L3090">
        <v>276.22109999999998</v>
      </c>
      <c r="M3090">
        <v>-0.66695760000000004</v>
      </c>
      <c r="N3090">
        <v>-1.502559E-2</v>
      </c>
      <c r="O3090">
        <v>-0.7449443</v>
      </c>
      <c r="P3090">
        <v>-0.39091680000000001</v>
      </c>
      <c r="Q3090">
        <v>0.3689846</v>
      </c>
      <c r="R3090">
        <v>-0.84322859999999999</v>
      </c>
      <c r="S3090">
        <v>-1.464386</v>
      </c>
      <c r="T3090">
        <v>-0.43894549999999999</v>
      </c>
      <c r="U3090">
        <v>-3.0711059999999999</v>
      </c>
      <c r="V3090">
        <v>-0.2793486</v>
      </c>
      <c r="W3090">
        <v>0.3763996</v>
      </c>
      <c r="X3090">
        <v>0.88333890000000004</v>
      </c>
      <c r="Y3090">
        <v>-0.28238999999999997</v>
      </c>
      <c r="Z3090">
        <v>7.0590130000000001E-2</v>
      </c>
      <c r="AA3090">
        <v>0.95669899999999997</v>
      </c>
      <c r="AB3090">
        <v>26</v>
      </c>
      <c r="AC3090">
        <v>-3.6546999999999898</v>
      </c>
      <c r="AD3090">
        <v>-1.119782170436</v>
      </c>
      <c r="AE3090">
        <v>-7.7353999999999701</v>
      </c>
      <c r="AF3090">
        <v>-2.39586588084084</v>
      </c>
      <c r="AG3090">
        <v>-1.119782170436</v>
      </c>
      <c r="AH3090">
        <v>8.0627694281404096</v>
      </c>
      <c r="AI3090">
        <v>97.583183142238695</v>
      </c>
      <c r="AJ3090">
        <v>106.549407964487</v>
      </c>
      <c r="AK3090">
        <v>8.4854190397150902</v>
      </c>
      <c r="AL3090">
        <v>67.889155863401498</v>
      </c>
      <c r="AM3090">
        <v>107.54912666179899</v>
      </c>
      <c r="AN3090">
        <v>0.99999995572766398</v>
      </c>
    </row>
    <row r="3091" spans="1:40" x14ac:dyDescent="0.25">
      <c r="A3091" t="str">
        <f>"20190304164912550"</f>
        <v>20190304164912550</v>
      </c>
      <c r="B3091" t="str">
        <f>"1551689352538727"</f>
        <v>1551689352538727</v>
      </c>
      <c r="C3091" t="s">
        <v>40</v>
      </c>
      <c r="D3091">
        <v>4.3056749999999999</v>
      </c>
      <c r="E3091">
        <v>0.50859149999999997</v>
      </c>
      <c r="F3091" t="s">
        <v>42</v>
      </c>
      <c r="G3091">
        <v>-491.5061</v>
      </c>
      <c r="H3091" s="1">
        <v>-4.1526059999999996E-6</v>
      </c>
      <c r="I3091">
        <v>268.40440000000001</v>
      </c>
      <c r="J3091">
        <v>-487.8766</v>
      </c>
      <c r="K3091">
        <v>1.119766</v>
      </c>
      <c r="L3091">
        <v>276.12079999999997</v>
      </c>
      <c r="M3091">
        <v>-0.66206599999999904</v>
      </c>
      <c r="N3091">
        <v>-1.504608E-2</v>
      </c>
      <c r="O3091">
        <v>-0.74929480000000004</v>
      </c>
      <c r="P3091">
        <v>-0.38650230000000002</v>
      </c>
      <c r="Q3091">
        <v>0.3688903</v>
      </c>
      <c r="R3091">
        <v>-0.84530260000000002</v>
      </c>
      <c r="S3091">
        <v>-1.459076</v>
      </c>
      <c r="T3091">
        <v>-0.4403647</v>
      </c>
      <c r="U3091">
        <v>-3.0740050000000001</v>
      </c>
      <c r="V3091">
        <v>-0.27818939999999998</v>
      </c>
      <c r="W3091">
        <v>0.37636340000000001</v>
      </c>
      <c r="X3091">
        <v>0.88372019999999996</v>
      </c>
      <c r="Y3091">
        <v>-0.27784819999999999</v>
      </c>
      <c r="Z3091">
        <v>7.1653720000000004E-2</v>
      </c>
      <c r="AA3091">
        <v>0.95794889999999999</v>
      </c>
      <c r="AB3091">
        <v>26</v>
      </c>
      <c r="AC3091">
        <v>-3.6295000000000002</v>
      </c>
      <c r="AD3091">
        <v>-1.119770152606</v>
      </c>
      <c r="AE3091">
        <v>-7.7163999999999602</v>
      </c>
      <c r="AF3091">
        <v>-2.3489659682255901</v>
      </c>
      <c r="AG3091">
        <v>-1.119770152606</v>
      </c>
      <c r="AH3091">
        <v>8.0469927452905594</v>
      </c>
      <c r="AI3091">
        <v>97.608479063485504</v>
      </c>
      <c r="AJ3091">
        <v>106.27284490856201</v>
      </c>
      <c r="AK3091">
        <v>8.4572819840246591</v>
      </c>
      <c r="AL3091">
        <v>67.891397291366204</v>
      </c>
      <c r="AM3091">
        <v>107.47366461030499</v>
      </c>
      <c r="AN3091">
        <v>1.0000000715099699</v>
      </c>
    </row>
    <row r="3092" spans="1:40" x14ac:dyDescent="0.25">
      <c r="A3092" t="str">
        <f>"20190304164912562"</f>
        <v>20190304164912562</v>
      </c>
      <c r="B3092" t="str">
        <f>"1551689352549463"</f>
        <v>1551689352549463</v>
      </c>
      <c r="C3092" t="s">
        <v>40</v>
      </c>
      <c r="D3092">
        <v>4.2872750000000002</v>
      </c>
      <c r="E3092">
        <v>0.50957010000000003</v>
      </c>
      <c r="F3092" t="s">
        <v>42</v>
      </c>
      <c r="G3092">
        <v>-491.54430000000002</v>
      </c>
      <c r="H3092" s="1">
        <v>-4.136811E-6</v>
      </c>
      <c r="I3092">
        <v>268.33800000000002</v>
      </c>
      <c r="J3092">
        <v>-487.9502</v>
      </c>
      <c r="K3092">
        <v>1.11975</v>
      </c>
      <c r="L3092">
        <v>276.02789999999999</v>
      </c>
      <c r="M3092">
        <v>-0.65753589999999995</v>
      </c>
      <c r="N3092">
        <v>-1.506334E-2</v>
      </c>
      <c r="O3092">
        <v>-0.75327299999999997</v>
      </c>
      <c r="P3092">
        <v>-0.38240829999999998</v>
      </c>
      <c r="Q3092">
        <v>0.3690909</v>
      </c>
      <c r="R3092">
        <v>-0.84707520000000003</v>
      </c>
      <c r="S3092">
        <v>-1.4509890000000001</v>
      </c>
      <c r="T3092">
        <v>-0.4429843</v>
      </c>
      <c r="U3092">
        <v>-3.0788880000000001</v>
      </c>
      <c r="V3092">
        <v>-0.27706449999999999</v>
      </c>
      <c r="W3092">
        <v>0.37661650000000002</v>
      </c>
      <c r="X3092">
        <v>0.88396569999999997</v>
      </c>
      <c r="Y3092">
        <v>-0.27474330000000002</v>
      </c>
      <c r="Z3092">
        <v>7.2813139999999998E-2</v>
      </c>
      <c r="AA3092">
        <v>0.95875670000000002</v>
      </c>
      <c r="AB3092">
        <v>26</v>
      </c>
      <c r="AC3092">
        <v>-3.5941000000000201</v>
      </c>
      <c r="AD3092">
        <v>-1.119754136811</v>
      </c>
      <c r="AE3092">
        <v>-7.6899000000000202</v>
      </c>
      <c r="AF3092">
        <v>-2.3091292841971498</v>
      </c>
      <c r="AG3092">
        <v>-1.119754136811</v>
      </c>
      <c r="AH3092">
        <v>8.0172509031283195</v>
      </c>
      <c r="AI3092">
        <v>97.644111449801002</v>
      </c>
      <c r="AJ3092">
        <v>106.06746315941101</v>
      </c>
      <c r="AK3092">
        <v>8.4179712176838706</v>
      </c>
      <c r="AL3092">
        <v>67.875743283053197</v>
      </c>
      <c r="AM3092">
        <v>107.402740951993</v>
      </c>
      <c r="AN3092">
        <v>1.0000000420044901</v>
      </c>
    </row>
    <row r="3093" spans="1:40" x14ac:dyDescent="0.25">
      <c r="A3093" t="str">
        <f>"20190304164912572"</f>
        <v>20190304164912572</v>
      </c>
      <c r="B3093" t="str">
        <f>"1551689352568984"</f>
        <v>1551689352568984</v>
      </c>
      <c r="C3093" t="s">
        <v>40</v>
      </c>
      <c r="D3093">
        <v>4.3058820000000004</v>
      </c>
      <c r="E3093">
        <v>0.5111327</v>
      </c>
      <c r="F3093" t="s">
        <v>42</v>
      </c>
      <c r="G3093">
        <v>-491.57139999999998</v>
      </c>
      <c r="H3093" s="1">
        <v>-4.1239039999999997E-6</v>
      </c>
      <c r="I3093">
        <v>268.286</v>
      </c>
      <c r="J3093">
        <v>-488.03120000000001</v>
      </c>
      <c r="K3093">
        <v>1.1197360000000001</v>
      </c>
      <c r="L3093">
        <v>275.92489999999998</v>
      </c>
      <c r="M3093">
        <v>-0.65249939999999995</v>
      </c>
      <c r="N3093">
        <v>-1.5081199999999999E-2</v>
      </c>
      <c r="O3093">
        <v>-0.75763910000000001</v>
      </c>
      <c r="P3093">
        <v>-0.37793739999999998</v>
      </c>
      <c r="Q3093">
        <v>0.36931269999999999</v>
      </c>
      <c r="R3093">
        <v>-0.84898249999999997</v>
      </c>
      <c r="S3093">
        <v>-1.4428099999999999</v>
      </c>
      <c r="T3093">
        <v>-0.44614350000000003</v>
      </c>
      <c r="U3093">
        <v>-3.084625</v>
      </c>
      <c r="V3093">
        <v>-0.27575139999999998</v>
      </c>
      <c r="W3093">
        <v>0.37689699999999998</v>
      </c>
      <c r="X3093">
        <v>0.88425669999999901</v>
      </c>
      <c r="Y3093">
        <v>-0.27115339999999999</v>
      </c>
      <c r="Z3093">
        <v>7.4140910000000004E-2</v>
      </c>
      <c r="AA3093">
        <v>0.95967650000000004</v>
      </c>
      <c r="AB3093">
        <v>25</v>
      </c>
      <c r="AC3093">
        <v>-3.5401999999999698</v>
      </c>
      <c r="AD3093">
        <v>-1.1197401239039999</v>
      </c>
      <c r="AE3093">
        <v>-7.6388999999999703</v>
      </c>
      <c r="AF3093">
        <v>-2.2624281718005501</v>
      </c>
      <c r="AG3093">
        <v>-1.1197401239039999</v>
      </c>
      <c r="AH3093">
        <v>7.9576748532715698</v>
      </c>
      <c r="AI3093">
        <v>97.708034858150299</v>
      </c>
      <c r="AJ3093">
        <v>105.870858775294</v>
      </c>
      <c r="AK3093">
        <v>8.3484722104123996</v>
      </c>
      <c r="AL3093">
        <v>67.858393463632297</v>
      </c>
      <c r="AM3093">
        <v>107.319850196793</v>
      </c>
      <c r="AN3093">
        <v>1.00000004735292</v>
      </c>
    </row>
    <row r="3094" spans="1:40" x14ac:dyDescent="0.25">
      <c r="A3094" t="str">
        <f>"20190304164912584"</f>
        <v>20190304164912584</v>
      </c>
      <c r="B3094" t="str">
        <f>"1551689352578744"</f>
        <v>1551689352578744</v>
      </c>
      <c r="C3094" t="s">
        <v>40</v>
      </c>
      <c r="D3094">
        <v>4.3414789999999996</v>
      </c>
      <c r="E3094">
        <v>0.51195290000000004</v>
      </c>
      <c r="F3094" t="s">
        <v>42</v>
      </c>
      <c r="G3094">
        <v>-491.60640000000001</v>
      </c>
      <c r="H3094" s="1">
        <v>-4.1130899999999998E-6</v>
      </c>
      <c r="I3094">
        <v>268.23599999999999</v>
      </c>
      <c r="J3094">
        <v>-488.1087</v>
      </c>
      <c r="K3094">
        <v>1.119721</v>
      </c>
      <c r="L3094">
        <v>275.82429999999999</v>
      </c>
      <c r="M3094">
        <v>-0.64759419999999901</v>
      </c>
      <c r="N3094">
        <v>-1.509308E-2</v>
      </c>
      <c r="O3094">
        <v>-0.76183630000000002</v>
      </c>
      <c r="P3094">
        <v>-0.3739094</v>
      </c>
      <c r="Q3094">
        <v>0.3697223</v>
      </c>
      <c r="R3094">
        <v>-0.85058670000000003</v>
      </c>
      <c r="S3094">
        <v>-1.436707</v>
      </c>
      <c r="T3094">
        <v>-0.44997239999999999</v>
      </c>
      <c r="U3094">
        <v>-3.0898129999999999</v>
      </c>
      <c r="V3094">
        <v>-0.2741034</v>
      </c>
      <c r="W3094">
        <v>0.37736690000000001</v>
      </c>
      <c r="X3094">
        <v>0.88456859999999904</v>
      </c>
      <c r="Y3094">
        <v>-0.26716899999999999</v>
      </c>
      <c r="Z3094">
        <v>7.5597529999999996E-2</v>
      </c>
      <c r="AA3094">
        <v>0.96067979999999997</v>
      </c>
      <c r="AB3094">
        <v>25</v>
      </c>
      <c r="AC3094">
        <v>-3.4977</v>
      </c>
      <c r="AD3094">
        <v>-1.1197251130899999</v>
      </c>
      <c r="AE3094">
        <v>-7.5883000000000003</v>
      </c>
      <c r="AF3094">
        <v>-2.2100312962378701</v>
      </c>
      <c r="AG3094">
        <v>-1.1197251130899999</v>
      </c>
      <c r="AH3094">
        <v>7.9050845068251396</v>
      </c>
      <c r="AI3094">
        <v>97.768076277653407</v>
      </c>
      <c r="AJ3094">
        <v>105.619443705083</v>
      </c>
      <c r="AK3094">
        <v>8.2842249920727191</v>
      </c>
      <c r="AL3094">
        <v>67.829323235081901</v>
      </c>
      <c r="AM3094">
        <v>107.21676628472299</v>
      </c>
      <c r="AN3094">
        <v>1.0000000296065601</v>
      </c>
    </row>
    <row r="3095" spans="1:40" x14ac:dyDescent="0.25">
      <c r="A3095" t="str">
        <f>"20190304164912596"</f>
        <v>20190304164912596</v>
      </c>
      <c r="B3095" t="str">
        <f>"1551689352589479"</f>
        <v>1551689352589479</v>
      </c>
      <c r="C3095" t="s">
        <v>40</v>
      </c>
      <c r="D3095">
        <v>4.2485109999999997</v>
      </c>
      <c r="E3095">
        <v>0.51218620000000004</v>
      </c>
      <c r="F3095" t="s">
        <v>42</v>
      </c>
      <c r="G3095">
        <v>-491.65469999999999</v>
      </c>
      <c r="H3095" s="1">
        <v>-4.0855330000000004E-6</v>
      </c>
      <c r="I3095">
        <v>268.12979999999999</v>
      </c>
      <c r="J3095">
        <v>-488.18900000000002</v>
      </c>
      <c r="K3095">
        <v>1.119705</v>
      </c>
      <c r="L3095">
        <v>275.71949999999998</v>
      </c>
      <c r="M3095">
        <v>-0.64246949999999903</v>
      </c>
      <c r="N3095">
        <v>-1.5103719999999999E-2</v>
      </c>
      <c r="O3095">
        <v>-0.76616240000000002</v>
      </c>
      <c r="P3095">
        <v>-0.3694211</v>
      </c>
      <c r="Q3095">
        <v>0.37028149999999999</v>
      </c>
      <c r="R3095">
        <v>-0.85230239999999902</v>
      </c>
      <c r="S3095">
        <v>-1.4266049999999999</v>
      </c>
      <c r="T3095">
        <v>-0.45048359999999898</v>
      </c>
      <c r="U3095">
        <v>-3.095612</v>
      </c>
      <c r="V3095">
        <v>-0.27266489999999999</v>
      </c>
      <c r="W3095">
        <v>0.37798019999999999</v>
      </c>
      <c r="X3095">
        <v>0.88475130000000002</v>
      </c>
      <c r="Y3095">
        <v>-0.26400620000000002</v>
      </c>
      <c r="Z3095">
        <v>7.6421370000000002E-2</v>
      </c>
      <c r="AA3095">
        <v>0.96148869999999997</v>
      </c>
      <c r="AB3095">
        <v>25</v>
      </c>
      <c r="AC3095">
        <v>-3.4656999999999698</v>
      </c>
      <c r="AD3095">
        <v>-1.1197090855330001</v>
      </c>
      <c r="AE3095">
        <v>-7.5896999999999899</v>
      </c>
      <c r="AF3095">
        <v>-2.1818208363981699</v>
      </c>
      <c r="AG3095">
        <v>-1.1197090855330001</v>
      </c>
      <c r="AH3095">
        <v>7.9001855796087801</v>
      </c>
      <c r="AI3095">
        <v>97.779456092504105</v>
      </c>
      <c r="AJ3095">
        <v>105.438734622949</v>
      </c>
      <c r="AK3095">
        <v>8.2720627893304108</v>
      </c>
      <c r="AL3095">
        <v>67.791372902198304</v>
      </c>
      <c r="AM3095">
        <v>107.128384249326</v>
      </c>
      <c r="AN3095">
        <v>1.0000000210678699</v>
      </c>
    </row>
    <row r="3096" spans="1:40" x14ac:dyDescent="0.25">
      <c r="A3096" t="str">
        <f>"20190304164912607"</f>
        <v>20190304164912607</v>
      </c>
      <c r="B3096" t="str">
        <f>"1551689352599240"</f>
        <v>1551689352599240</v>
      </c>
      <c r="C3096" t="s">
        <v>40</v>
      </c>
      <c r="D3096">
        <v>4.3535219999999999</v>
      </c>
      <c r="E3096">
        <v>0.51294419999999996</v>
      </c>
      <c r="F3096" t="s">
        <v>42</v>
      </c>
      <c r="G3096">
        <v>-491.75349999999997</v>
      </c>
      <c r="H3096" s="1">
        <v>-4.0185440000000001E-6</v>
      </c>
      <c r="I3096">
        <v>267.88150000000002</v>
      </c>
      <c r="J3096">
        <v>-488.262</v>
      </c>
      <c r="K3096">
        <v>1.119688</v>
      </c>
      <c r="L3096">
        <v>275.62200000000001</v>
      </c>
      <c r="M3096">
        <v>-0.63772209999999996</v>
      </c>
      <c r="N3096">
        <v>-1.5108369999999999E-2</v>
      </c>
      <c r="O3096">
        <v>-0.77011859999999999</v>
      </c>
      <c r="P3096">
        <v>-0.36501800000000001</v>
      </c>
      <c r="Q3096">
        <v>0.37110169999999998</v>
      </c>
      <c r="R3096">
        <v>-0.85384169999999904</v>
      </c>
      <c r="S3096">
        <v>-1.4102779999999999</v>
      </c>
      <c r="T3096">
        <v>-0.44300309999999998</v>
      </c>
      <c r="U3096">
        <v>-3.1010439999999999</v>
      </c>
      <c r="V3096">
        <v>-0.27153139999999998</v>
      </c>
      <c r="W3096">
        <v>0.3788395</v>
      </c>
      <c r="X3096">
        <v>0.88473239999999997</v>
      </c>
      <c r="Y3096">
        <v>-0.26283980000000001</v>
      </c>
      <c r="Z3096">
        <v>7.5599070000000004E-2</v>
      </c>
      <c r="AA3096">
        <v>0.96187319999999998</v>
      </c>
      <c r="AB3096">
        <v>25</v>
      </c>
      <c r="AC3096">
        <v>-3.49150000000003</v>
      </c>
      <c r="AD3096">
        <v>-1.119692018544</v>
      </c>
      <c r="AE3096">
        <v>-7.7404999999999902</v>
      </c>
      <c r="AF3096">
        <v>-2.2092623324210199</v>
      </c>
      <c r="AG3096">
        <v>-1.119692018544</v>
      </c>
      <c r="AH3096">
        <v>8.0486994773735194</v>
      </c>
      <c r="AI3096">
        <v>97.640763558475996</v>
      </c>
      <c r="AJ3096">
        <v>105.348914583324</v>
      </c>
      <c r="AK3096">
        <v>8.4211705568120507</v>
      </c>
      <c r="AL3096">
        <v>67.738183897701902</v>
      </c>
      <c r="AM3096">
        <v>107.06166584859599</v>
      </c>
      <c r="AN3096">
        <v>1.0000000437779799</v>
      </c>
    </row>
    <row r="3097" spans="1:40" x14ac:dyDescent="0.25">
      <c r="A3097" t="str">
        <f>"20190304164912617"</f>
        <v>20190304164912617</v>
      </c>
      <c r="B3097" t="str">
        <f>"1551689352609000"</f>
        <v>1551689352609000</v>
      </c>
      <c r="C3097" t="s">
        <v>40</v>
      </c>
      <c r="D3097">
        <v>4.3311710000000003</v>
      </c>
      <c r="E3097">
        <v>0.51365260000000001</v>
      </c>
      <c r="F3097" t="s">
        <v>42</v>
      </c>
      <c r="G3097">
        <v>-491.80349999999999</v>
      </c>
      <c r="H3097" s="1">
        <v>-3.9851710000000002E-6</v>
      </c>
      <c r="I3097">
        <v>267.76010000000002</v>
      </c>
      <c r="J3097">
        <v>-488.33100000000002</v>
      </c>
      <c r="K3097">
        <v>1.1196680000000001</v>
      </c>
      <c r="L3097">
        <v>275.52940000000001</v>
      </c>
      <c r="M3097">
        <v>-0.63319989999999904</v>
      </c>
      <c r="N3097">
        <v>-1.5111640000000001E-2</v>
      </c>
      <c r="O3097">
        <v>-0.77384069999999905</v>
      </c>
      <c r="P3097">
        <v>-0.36060520000000001</v>
      </c>
      <c r="Q3097">
        <v>0.37170150000000002</v>
      </c>
      <c r="R3097">
        <v>-0.85545400000000005</v>
      </c>
      <c r="S3097">
        <v>-1.39978</v>
      </c>
      <c r="T3097">
        <v>-0.44255670000000003</v>
      </c>
      <c r="U3097">
        <v>-3.1074220000000001</v>
      </c>
      <c r="V3097">
        <v>-0.27074540000000002</v>
      </c>
      <c r="W3097">
        <v>0.3794691</v>
      </c>
      <c r="X3097">
        <v>0.88470339999999903</v>
      </c>
      <c r="Y3097">
        <v>-0.26064690000000001</v>
      </c>
      <c r="Z3097">
        <v>7.608529E-2</v>
      </c>
      <c r="AA3097">
        <v>0.96243140000000005</v>
      </c>
      <c r="AB3097">
        <v>25</v>
      </c>
      <c r="AC3097">
        <v>-3.4725000000000201</v>
      </c>
      <c r="AD3097">
        <v>-1.119671985171</v>
      </c>
      <c r="AE3097">
        <v>-7.7692999999999799</v>
      </c>
      <c r="AF3097">
        <v>-2.1946221549229898</v>
      </c>
      <c r="AG3097">
        <v>-1.119671985171</v>
      </c>
      <c r="AH3097">
        <v>8.0721878840706296</v>
      </c>
      <c r="AI3097">
        <v>97.623658937055794</v>
      </c>
      <c r="AJ3097">
        <v>105.209631949547</v>
      </c>
      <c r="AK3097">
        <v>8.4398014782927397</v>
      </c>
      <c r="AL3097">
        <v>67.699198340229302</v>
      </c>
      <c r="AM3097">
        <v>107.01565980875201</v>
      </c>
      <c r="AN3097">
        <v>0.99999998772376397</v>
      </c>
    </row>
    <row r="3098" spans="1:40" x14ac:dyDescent="0.25">
      <c r="A3098" t="str">
        <f>"20190304164912628"</f>
        <v>20190304164912628</v>
      </c>
      <c r="B3098" t="str">
        <f>"1551689352618760"</f>
        <v>1551689352618760</v>
      </c>
      <c r="C3098" t="s">
        <v>40</v>
      </c>
      <c r="D3098">
        <v>4.34009</v>
      </c>
      <c r="E3098">
        <v>0.51430609999999999</v>
      </c>
      <c r="F3098" t="s">
        <v>42</v>
      </c>
      <c r="G3098">
        <v>-491.83909999999997</v>
      </c>
      <c r="H3098" s="1">
        <v>-3.9575200000000004E-6</v>
      </c>
      <c r="I3098">
        <v>267.67360000000002</v>
      </c>
      <c r="J3098">
        <v>-488.40159999999997</v>
      </c>
      <c r="K3098">
        <v>1.119648</v>
      </c>
      <c r="L3098">
        <v>275.43299999999999</v>
      </c>
      <c r="M3098">
        <v>-0.62850689999999998</v>
      </c>
      <c r="N3098">
        <v>-1.5110790000000001E-2</v>
      </c>
      <c r="O3098">
        <v>-0.77765719999999905</v>
      </c>
      <c r="P3098">
        <v>-0.35576639999999998</v>
      </c>
      <c r="Q3098">
        <v>0.37214649999999999</v>
      </c>
      <c r="R3098">
        <v>-0.85728490000000002</v>
      </c>
      <c r="S3098">
        <v>-1.3903810000000001</v>
      </c>
      <c r="T3098">
        <v>-0.44377539999999999</v>
      </c>
      <c r="U3098">
        <v>-3.1136170000000001</v>
      </c>
      <c r="V3098">
        <v>-0.27025909999999997</v>
      </c>
      <c r="W3098">
        <v>0.37993539999999998</v>
      </c>
      <c r="X3098">
        <v>0.88465199999999999</v>
      </c>
      <c r="Y3098">
        <v>-0.25797320000000001</v>
      </c>
      <c r="Z3098">
        <v>7.6933180000000004E-2</v>
      </c>
      <c r="AA3098">
        <v>0.96308419999999895</v>
      </c>
      <c r="AB3098">
        <v>25</v>
      </c>
      <c r="AC3098">
        <v>-3.4375</v>
      </c>
      <c r="AD3098">
        <v>-1.1196519575199999</v>
      </c>
      <c r="AE3098">
        <v>-7.7593999999999701</v>
      </c>
      <c r="AF3098">
        <v>-2.1661880390514598</v>
      </c>
      <c r="AG3098">
        <v>-1.1196519575199999</v>
      </c>
      <c r="AH3098">
        <v>8.0553743313575499</v>
      </c>
      <c r="AI3098">
        <v>97.644885475543703</v>
      </c>
      <c r="AJ3098">
        <v>105.051465140452</v>
      </c>
      <c r="AK3098">
        <v>8.4163559064955198</v>
      </c>
      <c r="AL3098">
        <v>67.670319349772498</v>
      </c>
      <c r="AM3098">
        <v>106.987788387962</v>
      </c>
      <c r="AN3098">
        <v>1.0000000252049801</v>
      </c>
    </row>
    <row r="3099" spans="1:40" x14ac:dyDescent="0.25">
      <c r="A3099" t="str">
        <f>"20190304164912640"</f>
        <v>20190304164912640</v>
      </c>
      <c r="B3099" t="str">
        <f>"1551689352628522"</f>
        <v>1551689352628522</v>
      </c>
      <c r="C3099" t="s">
        <v>40</v>
      </c>
      <c r="D3099">
        <v>4.333475</v>
      </c>
      <c r="E3099">
        <v>0.51488579999999995</v>
      </c>
      <c r="F3099" t="s">
        <v>42</v>
      </c>
      <c r="G3099">
        <v>-491.8793</v>
      </c>
      <c r="H3099" s="1">
        <v>-3.9207539999999998E-6</v>
      </c>
      <c r="I3099">
        <v>267.56290000000001</v>
      </c>
      <c r="J3099">
        <v>-488.4742</v>
      </c>
      <c r="K3099">
        <v>1.1196280000000001</v>
      </c>
      <c r="L3099">
        <v>275.3329</v>
      </c>
      <c r="M3099">
        <v>-0.62362669999999998</v>
      </c>
      <c r="N3099">
        <v>-1.5107290000000001E-2</v>
      </c>
      <c r="O3099">
        <v>-0.78157659999999995</v>
      </c>
      <c r="P3099">
        <v>-0.35063060000000001</v>
      </c>
      <c r="Q3099">
        <v>0.37244480000000002</v>
      </c>
      <c r="R3099">
        <v>-0.85926939999999996</v>
      </c>
      <c r="S3099">
        <v>-1.3786929999999999</v>
      </c>
      <c r="T3099">
        <v>-0.44386360000000002</v>
      </c>
      <c r="U3099">
        <v>-3.1199650000000001</v>
      </c>
      <c r="V3099">
        <v>-0.2699184</v>
      </c>
      <c r="W3099">
        <v>0.38025170000000003</v>
      </c>
      <c r="X3099">
        <v>0.88462009999999902</v>
      </c>
      <c r="Y3099">
        <v>-0.2556908</v>
      </c>
      <c r="Z3099">
        <v>7.7572589999999997E-2</v>
      </c>
      <c r="AA3099">
        <v>0.96364130000000003</v>
      </c>
      <c r="AB3099">
        <v>25</v>
      </c>
      <c r="AC3099">
        <v>-3.4051</v>
      </c>
      <c r="AD3099">
        <v>-1.119631920754</v>
      </c>
      <c r="AE3099">
        <v>-7.76999999999998</v>
      </c>
      <c r="AF3099">
        <v>-2.1470825652925898</v>
      </c>
      <c r="AG3099">
        <v>-1.119631920754</v>
      </c>
      <c r="AH3099">
        <v>8.0569540704616802</v>
      </c>
      <c r="AI3099">
        <v>97.647843851915994</v>
      </c>
      <c r="AJ3099">
        <v>104.921866098308</v>
      </c>
      <c r="AK3099">
        <v>8.4129690403378898</v>
      </c>
      <c r="AL3099">
        <v>67.650725824264796</v>
      </c>
      <c r="AM3099">
        <v>106.968180587555</v>
      </c>
      <c r="AN3099">
        <v>1.0000000096677299</v>
      </c>
    </row>
    <row r="3100" spans="1:40" x14ac:dyDescent="0.25">
      <c r="A3100" t="str">
        <f>"20190304164912650"</f>
        <v>20190304164912650</v>
      </c>
      <c r="B3100" t="str">
        <f>"1551689352639256"</f>
        <v>1551689352639256</v>
      </c>
      <c r="C3100" t="s">
        <v>40</v>
      </c>
      <c r="D3100">
        <v>4.3508019999999998</v>
      </c>
      <c r="E3100">
        <v>0.51551800000000003</v>
      </c>
      <c r="F3100" t="s">
        <v>42</v>
      </c>
      <c r="G3100">
        <v>-491.91050000000001</v>
      </c>
      <c r="H3100" s="1">
        <v>-3.8878509999999998E-6</v>
      </c>
      <c r="I3100">
        <v>267.46690000000001</v>
      </c>
      <c r="J3100">
        <v>-488.54989999999998</v>
      </c>
      <c r="K3100">
        <v>1.119607</v>
      </c>
      <c r="L3100">
        <v>275.22710000000001</v>
      </c>
      <c r="M3100">
        <v>-0.61847929999999995</v>
      </c>
      <c r="N3100">
        <v>-1.509926E-2</v>
      </c>
      <c r="O3100">
        <v>-0.78565609999999997</v>
      </c>
      <c r="P3100">
        <v>-0.34543279999999998</v>
      </c>
      <c r="Q3100">
        <v>0.37271680000000001</v>
      </c>
      <c r="R3100">
        <v>-0.86125399999999996</v>
      </c>
      <c r="S3100">
        <v>-1.365936</v>
      </c>
      <c r="T3100">
        <v>-0.44506689999999999</v>
      </c>
      <c r="U3100">
        <v>-3.1268310000000001</v>
      </c>
      <c r="V3100">
        <v>-0.26935700000000001</v>
      </c>
      <c r="W3100">
        <v>0.38054579999999999</v>
      </c>
      <c r="X3100">
        <v>0.88466469999999897</v>
      </c>
      <c r="Y3100">
        <v>-0.25344909999999998</v>
      </c>
      <c r="Z3100">
        <v>7.8458979999999998E-2</v>
      </c>
      <c r="AA3100">
        <v>0.96416170000000001</v>
      </c>
      <c r="AB3100">
        <v>25</v>
      </c>
      <c r="AC3100">
        <v>-3.36060000000003</v>
      </c>
      <c r="AD3100">
        <v>-1.119610887851</v>
      </c>
      <c r="AE3100">
        <v>-7.7601999999999904</v>
      </c>
      <c r="AF3100">
        <v>-2.1222929068688301</v>
      </c>
      <c r="AG3100">
        <v>-1.119610887851</v>
      </c>
      <c r="AH3100">
        <v>8.0353942974707699</v>
      </c>
      <c r="AI3100">
        <v>97.672429705703905</v>
      </c>
      <c r="AJ3100">
        <v>104.795002063724</v>
      </c>
      <c r="AK3100">
        <v>8.3860131909368008</v>
      </c>
      <c r="AL3100">
        <v>67.632504324565403</v>
      </c>
      <c r="AM3100">
        <v>106.934105504953</v>
      </c>
      <c r="AN3100">
        <v>0.99999996538636404</v>
      </c>
    </row>
    <row r="3101" spans="1:40" x14ac:dyDescent="0.25">
      <c r="A3101" t="str">
        <f>"20190304164912664"</f>
        <v>20190304164912664</v>
      </c>
      <c r="B3101" t="str">
        <f>"1551689352658777"</f>
        <v>1551689352658777</v>
      </c>
      <c r="C3101" t="s">
        <v>40</v>
      </c>
      <c r="D3101">
        <v>4.3643140000000002</v>
      </c>
      <c r="E3101">
        <v>0.51665589999999995</v>
      </c>
      <c r="F3101" t="s">
        <v>42</v>
      </c>
      <c r="G3101">
        <v>-491.94049999999999</v>
      </c>
      <c r="H3101" s="1">
        <v>-3.853006E-6</v>
      </c>
      <c r="I3101">
        <v>267.36700000000002</v>
      </c>
      <c r="J3101">
        <v>-488.63249999999999</v>
      </c>
      <c r="K3101">
        <v>1.1195759999999999</v>
      </c>
      <c r="L3101">
        <v>275.1096</v>
      </c>
      <c r="M3101">
        <v>-0.61278060000000001</v>
      </c>
      <c r="N3101">
        <v>-1.508224E-2</v>
      </c>
      <c r="O3101">
        <v>-0.79010930000000001</v>
      </c>
      <c r="P3101">
        <v>-0.33944469999999999</v>
      </c>
      <c r="Q3101">
        <v>0.3726624</v>
      </c>
      <c r="R3101">
        <v>-0.86365530000000001</v>
      </c>
      <c r="S3101">
        <v>-1.35202</v>
      </c>
      <c r="T3101">
        <v>-0.4464476</v>
      </c>
      <c r="U3101">
        <v>-3.1342159999999999</v>
      </c>
      <c r="V3101">
        <v>-0.26908100000000001</v>
      </c>
      <c r="W3101">
        <v>0.38050479999999998</v>
      </c>
      <c r="X3101">
        <v>0.88476639999999995</v>
      </c>
      <c r="Y3101">
        <v>-0.25092300000000001</v>
      </c>
      <c r="Z3101">
        <v>7.9454750000000005E-2</v>
      </c>
      <c r="AA3101">
        <v>0.96474070000000001</v>
      </c>
      <c r="AB3101">
        <v>25</v>
      </c>
      <c r="AC3101">
        <v>-3.3079999999999901</v>
      </c>
      <c r="AD3101">
        <v>-1.1195798530059999</v>
      </c>
      <c r="AE3101">
        <v>-7.7425999999999799</v>
      </c>
      <c r="AF3101">
        <v>-2.0940495661187701</v>
      </c>
      <c r="AG3101">
        <v>-1.1195798530059999</v>
      </c>
      <c r="AH3101">
        <v>8.0039810627815502</v>
      </c>
      <c r="AI3101">
        <v>97.706634140073803</v>
      </c>
      <c r="AJ3101">
        <v>104.661445597721</v>
      </c>
      <c r="AK3101">
        <v>8.3487852700848002</v>
      </c>
      <c r="AL3101">
        <v>67.635046192167195</v>
      </c>
      <c r="AM3101">
        <v>106.915911756014</v>
      </c>
      <c r="AN3101">
        <v>1.0000000349764899</v>
      </c>
    </row>
    <row r="3102" spans="1:40" x14ac:dyDescent="0.25">
      <c r="A3102" t="str">
        <f>"20190304164912678"</f>
        <v>20190304164912678</v>
      </c>
      <c r="B3102" t="str">
        <f>"1551689352668536"</f>
        <v>1551689352668536</v>
      </c>
      <c r="C3102" t="s">
        <v>40</v>
      </c>
      <c r="D3102">
        <v>4.3867820000000002</v>
      </c>
      <c r="E3102">
        <v>0.51719979999999999</v>
      </c>
      <c r="F3102" t="s">
        <v>42</v>
      </c>
      <c r="G3102">
        <v>-491.95839999999998</v>
      </c>
      <c r="H3102" s="1">
        <v>-3.8308340000000003E-6</v>
      </c>
      <c r="I3102">
        <v>267.30419999999998</v>
      </c>
      <c r="J3102">
        <v>-488.71719999999999</v>
      </c>
      <c r="K3102">
        <v>1.1195329999999999</v>
      </c>
      <c r="L3102">
        <v>274.98770000000002</v>
      </c>
      <c r="M3102">
        <v>-0.606873</v>
      </c>
      <c r="N3102">
        <v>-1.505856E-2</v>
      </c>
      <c r="O3102">
        <v>-0.79465629999999998</v>
      </c>
      <c r="P3102">
        <v>-0.33345039999999998</v>
      </c>
      <c r="Q3102">
        <v>0.37253239999999999</v>
      </c>
      <c r="R3102">
        <v>-0.86604340000000002</v>
      </c>
      <c r="S3102">
        <v>-1.3387450000000001</v>
      </c>
      <c r="T3102">
        <v>-0.45065309999999997</v>
      </c>
      <c r="U3102">
        <v>-3.1418149999999998</v>
      </c>
      <c r="V3102">
        <v>-0.26860849999999997</v>
      </c>
      <c r="W3102">
        <v>0.38039139999999999</v>
      </c>
      <c r="X3102">
        <v>0.88495869999999999</v>
      </c>
      <c r="Y3102">
        <v>-0.24805450000000001</v>
      </c>
      <c r="Z3102">
        <v>8.1056840000000005E-2</v>
      </c>
      <c r="AA3102">
        <v>0.96534900000000001</v>
      </c>
      <c r="AB3102">
        <v>25</v>
      </c>
      <c r="AC3102">
        <v>-3.2411999999999899</v>
      </c>
      <c r="AD3102">
        <v>-1.1195368308339999</v>
      </c>
      <c r="AE3102">
        <v>-7.6835000000000298</v>
      </c>
      <c r="AF3102">
        <v>-2.0505476734047701</v>
      </c>
      <c r="AG3102">
        <v>-1.1195368308339999</v>
      </c>
      <c r="AH3102">
        <v>7.9307159045134004</v>
      </c>
      <c r="AI3102">
        <v>97.782410480546403</v>
      </c>
      <c r="AJ3102">
        <v>104.496783996166</v>
      </c>
      <c r="AK3102">
        <v>8.2676697584386698</v>
      </c>
      <c r="AL3102">
        <v>67.6420715427641</v>
      </c>
      <c r="AM3102">
        <v>106.88443901733901</v>
      </c>
      <c r="AN3102">
        <v>1.00000002208594</v>
      </c>
    </row>
    <row r="3103" spans="1:40" x14ac:dyDescent="0.25">
      <c r="A3103" t="str">
        <f>"20190304164912690"</f>
        <v>20190304164912690</v>
      </c>
      <c r="B3103" t="str">
        <f>"1551689352679272"</f>
        <v>1551689352679272</v>
      </c>
      <c r="C3103" t="s">
        <v>40</v>
      </c>
      <c r="D3103">
        <v>4.3431449999999998</v>
      </c>
      <c r="E3103">
        <v>0.51768619999999999</v>
      </c>
      <c r="F3103" t="s">
        <v>42</v>
      </c>
      <c r="G3103">
        <v>-491.97770000000003</v>
      </c>
      <c r="H3103" s="1">
        <v>-3.7956230000000001E-6</v>
      </c>
      <c r="I3103">
        <v>267.21019999999999</v>
      </c>
      <c r="J3103">
        <v>-488.79570000000001</v>
      </c>
      <c r="K3103">
        <v>1.1194869999999999</v>
      </c>
      <c r="L3103">
        <v>274.87290000000002</v>
      </c>
      <c r="M3103">
        <v>-0.60133329999999996</v>
      </c>
      <c r="N3103">
        <v>-1.5024910000000001E-2</v>
      </c>
      <c r="O3103">
        <v>-0.79885719999999905</v>
      </c>
      <c r="P3103">
        <v>-0.32750849999999998</v>
      </c>
      <c r="Q3103">
        <v>0.37242700000000001</v>
      </c>
      <c r="R3103">
        <v>-0.86835289999999998</v>
      </c>
      <c r="S3103">
        <v>-1.32077</v>
      </c>
      <c r="T3103">
        <v>-0.4535091</v>
      </c>
      <c r="U3103">
        <v>-3.1505740000000002</v>
      </c>
      <c r="V3103">
        <v>-0.26850230000000003</v>
      </c>
      <c r="W3103">
        <v>0.3802874</v>
      </c>
      <c r="X3103">
        <v>0.88503559999999903</v>
      </c>
      <c r="Y3103">
        <v>-0.247001</v>
      </c>
      <c r="Z3103">
        <v>8.2285269999999994E-2</v>
      </c>
      <c r="AA3103">
        <v>0.96551520000000002</v>
      </c>
      <c r="AB3103">
        <v>25</v>
      </c>
      <c r="AC3103">
        <v>-3.1820000000000102</v>
      </c>
      <c r="AD3103">
        <v>-1.119490795623</v>
      </c>
      <c r="AE3103">
        <v>-7.6627000000000196</v>
      </c>
      <c r="AF3103">
        <v>-2.0291653289710601</v>
      </c>
      <c r="AG3103">
        <v>-1.119490795623</v>
      </c>
      <c r="AH3103">
        <v>7.8920774109687404</v>
      </c>
      <c r="AI3103">
        <v>97.822419814525205</v>
      </c>
      <c r="AJ3103">
        <v>104.41923410210499</v>
      </c>
      <c r="AK3103">
        <v>8.2253059173811796</v>
      </c>
      <c r="AL3103">
        <v>67.648514050526501</v>
      </c>
      <c r="AM3103">
        <v>106.876759856609</v>
      </c>
      <c r="AN3103">
        <v>1.0000000024857001</v>
      </c>
    </row>
    <row r="3104" spans="1:40" x14ac:dyDescent="0.25">
      <c r="A3104" t="str">
        <f>"20190304164912701"</f>
        <v>20190304164912701</v>
      </c>
      <c r="B3104" t="str">
        <f>"1551689352698792"</f>
        <v>1551689352698792</v>
      </c>
      <c r="C3104" t="s">
        <v>40</v>
      </c>
      <c r="D3104">
        <v>4.363416</v>
      </c>
      <c r="E3104">
        <v>0.52925029999999995</v>
      </c>
      <c r="F3104" t="s">
        <v>42</v>
      </c>
      <c r="G3104">
        <v>-491.9939</v>
      </c>
      <c r="H3104" s="1">
        <v>-3.7621380000000001E-6</v>
      </c>
      <c r="I3104">
        <v>267.12209999999999</v>
      </c>
      <c r="J3104">
        <v>-488.86520000000002</v>
      </c>
      <c r="K3104">
        <v>1.11944</v>
      </c>
      <c r="L3104">
        <v>274.76960000000003</v>
      </c>
      <c r="M3104">
        <v>-0.5963714</v>
      </c>
      <c r="N3104">
        <v>-1.49894E-2</v>
      </c>
      <c r="O3104">
        <v>-0.80256870000000002</v>
      </c>
      <c r="P3104">
        <v>-0.32198579999999999</v>
      </c>
      <c r="Q3104">
        <v>0.37197249999999998</v>
      </c>
      <c r="R3104">
        <v>-0.87061010000000005</v>
      </c>
      <c r="S3104">
        <v>-1.3034669999999999</v>
      </c>
      <c r="T3104">
        <v>-0.45625470000000001</v>
      </c>
      <c r="U3104">
        <v>-3.1588750000000001</v>
      </c>
      <c r="V3104">
        <v>-0.26870640000000001</v>
      </c>
      <c r="W3104">
        <v>0.379826</v>
      </c>
      <c r="X3104">
        <v>0.88517179999999995</v>
      </c>
      <c r="Y3104">
        <v>-0.24644669999999999</v>
      </c>
      <c r="Z3104">
        <v>8.3409570000000002E-2</v>
      </c>
      <c r="AA3104">
        <v>0.96556039999999999</v>
      </c>
      <c r="AB3104">
        <v>25</v>
      </c>
      <c r="AC3104">
        <v>-3.1286999999999798</v>
      </c>
      <c r="AD3104">
        <v>-1.119443762138</v>
      </c>
      <c r="AE3104">
        <v>-7.6475000000000302</v>
      </c>
      <c r="AF3104">
        <v>-2.0130345132614602</v>
      </c>
      <c r="AG3104">
        <v>-1.119443762138</v>
      </c>
      <c r="AH3104">
        <v>7.86013724749911</v>
      </c>
      <c r="AI3104">
        <v>97.855366251937298</v>
      </c>
      <c r="AJ3104">
        <v>104.365078644398</v>
      </c>
      <c r="AK3104">
        <v>8.1906788386369005</v>
      </c>
      <c r="AL3104">
        <v>67.677095297936802</v>
      </c>
      <c r="AM3104">
        <v>106.88640779479699</v>
      </c>
      <c r="AN3104">
        <v>1.0000000175960899</v>
      </c>
    </row>
    <row r="3105" spans="1:40" x14ac:dyDescent="0.25">
      <c r="A3105" t="str">
        <f>"20190304164912718"</f>
        <v>20190304164912718</v>
      </c>
      <c r="B3105" t="str">
        <f>"1551689352708552"</f>
        <v>1551689352708552</v>
      </c>
      <c r="C3105" t="s">
        <v>40</v>
      </c>
      <c r="D3105">
        <v>4.3877040000000003</v>
      </c>
      <c r="E3105">
        <v>0.52959840000000002</v>
      </c>
      <c r="F3105" t="s">
        <v>42</v>
      </c>
      <c r="G3105">
        <v>-491.80970000000002</v>
      </c>
      <c r="H3105" s="1">
        <v>-4.0741030000000004E-6</v>
      </c>
      <c r="I3105">
        <v>268.0154</v>
      </c>
      <c r="J3105">
        <v>-488.96609999999998</v>
      </c>
      <c r="K3105">
        <v>1.1193569999999999</v>
      </c>
      <c r="L3105">
        <v>274.61779999999999</v>
      </c>
      <c r="M3105">
        <v>-0.58910180000000001</v>
      </c>
      <c r="N3105">
        <v>-1.492841E-2</v>
      </c>
      <c r="O3105">
        <v>-0.80792120000000001</v>
      </c>
      <c r="P3105">
        <v>-0.31258180000000002</v>
      </c>
      <c r="Q3105">
        <v>0.37166139999999998</v>
      </c>
      <c r="R3105">
        <v>-0.87416309999999997</v>
      </c>
      <c r="S3105">
        <v>-1.3776550000000001</v>
      </c>
      <c r="T3105">
        <v>-0.52376040000000001</v>
      </c>
      <c r="U3105">
        <v>-3.160126</v>
      </c>
      <c r="V3105">
        <v>-0.27027259999999997</v>
      </c>
      <c r="W3105">
        <v>0.37946780000000002</v>
      </c>
      <c r="X3105">
        <v>0.88484850000000004</v>
      </c>
      <c r="Y3105">
        <v>-0.2192142</v>
      </c>
      <c r="Z3105">
        <v>9.8812780000000003E-2</v>
      </c>
      <c r="AA3105">
        <v>0.97066019999999997</v>
      </c>
      <c r="AB3105">
        <v>25</v>
      </c>
      <c r="AC3105">
        <v>-2.8436000000000301</v>
      </c>
      <c r="AD3105">
        <v>-1.119361074103</v>
      </c>
      <c r="AE3105">
        <v>-6.6023999999999798</v>
      </c>
      <c r="AF3105">
        <v>-1.55456634026008</v>
      </c>
      <c r="AG3105">
        <v>-1.119361074103</v>
      </c>
      <c r="AH3105">
        <v>6.8442245770328602</v>
      </c>
      <c r="AI3105">
        <v>99.061560697688193</v>
      </c>
      <c r="AJ3105">
        <v>102.79678922802201</v>
      </c>
      <c r="AK3105">
        <v>7.1072537439820804</v>
      </c>
      <c r="AL3105">
        <v>67.699278635333599</v>
      </c>
      <c r="AM3105">
        <v>106.985032604875</v>
      </c>
      <c r="AN3105">
        <v>0.99999997874992397</v>
      </c>
    </row>
    <row r="3106" spans="1:40" x14ac:dyDescent="0.25">
      <c r="A3106" t="str">
        <f>"20190304164912729"</f>
        <v>20190304164912729</v>
      </c>
      <c r="B3106" t="str">
        <f>"1551689352719288"</f>
        <v>1551689352719288</v>
      </c>
      <c r="C3106" t="s">
        <v>40</v>
      </c>
      <c r="D3106">
        <v>4.3617189999999999</v>
      </c>
      <c r="E3106">
        <v>0.52997819999999995</v>
      </c>
      <c r="F3106" t="s">
        <v>42</v>
      </c>
      <c r="G3106">
        <v>-491.8175</v>
      </c>
      <c r="H3106" s="1">
        <v>-4.0454390000000003E-6</v>
      </c>
      <c r="I3106">
        <v>267.9271</v>
      </c>
      <c r="J3106">
        <v>-489.03590000000003</v>
      </c>
      <c r="K3106">
        <v>1.119292</v>
      </c>
      <c r="L3106">
        <v>274.51069999999999</v>
      </c>
      <c r="M3106">
        <v>-0.58401689999999995</v>
      </c>
      <c r="N3106">
        <v>-1.4875380000000001E-2</v>
      </c>
      <c r="O3106">
        <v>-0.81160519999999903</v>
      </c>
      <c r="P3106">
        <v>-0.30639280000000002</v>
      </c>
      <c r="Q3106">
        <v>0.37143159999999997</v>
      </c>
      <c r="R3106">
        <v>-0.87644849999999996</v>
      </c>
      <c r="S3106">
        <v>-1.3526609999999999</v>
      </c>
      <c r="T3106">
        <v>-0.53100649999999905</v>
      </c>
      <c r="U3106">
        <v>-3.17395</v>
      </c>
      <c r="V3106">
        <v>-0.27097589999999999</v>
      </c>
      <c r="W3106">
        <v>0.37921110000000002</v>
      </c>
      <c r="X3106">
        <v>0.88474349999999902</v>
      </c>
      <c r="Y3106">
        <v>-0.22116050000000001</v>
      </c>
      <c r="Z3106">
        <v>0.1007866</v>
      </c>
      <c r="AA3106">
        <v>0.97001550000000003</v>
      </c>
      <c r="AB3106">
        <v>25</v>
      </c>
      <c r="AC3106">
        <v>-2.7815999999999601</v>
      </c>
      <c r="AD3106">
        <v>-1.119296045439</v>
      </c>
      <c r="AE3106">
        <v>-6.5835999999999899</v>
      </c>
      <c r="AF3106">
        <v>-1.5495438954795799</v>
      </c>
      <c r="AG3106">
        <v>-1.119296045439</v>
      </c>
      <c r="AH3106">
        <v>6.80173582144797</v>
      </c>
      <c r="AI3106">
        <v>99.115378331216306</v>
      </c>
      <c r="AJ3106">
        <v>102.83385815765401</v>
      </c>
      <c r="AK3106">
        <v>7.0652331954523602</v>
      </c>
      <c r="AL3106">
        <v>67.715175736978097</v>
      </c>
      <c r="AM3106">
        <v>107.028581108014</v>
      </c>
      <c r="AN3106">
        <v>1.0000000287681301</v>
      </c>
    </row>
    <row r="3107" spans="1:40" x14ac:dyDescent="0.25">
      <c r="A3107" t="str">
        <f>"20190304164912741"</f>
        <v>20190304164912741</v>
      </c>
      <c r="B3107" t="str">
        <f>"1551689352729048"</f>
        <v>1551689352729048</v>
      </c>
      <c r="C3107" t="s">
        <v>40</v>
      </c>
      <c r="D3107">
        <v>4.4507539999999999</v>
      </c>
      <c r="E3107">
        <v>0.52944999999999998</v>
      </c>
      <c r="F3107" t="s">
        <v>42</v>
      </c>
      <c r="G3107">
        <v>-491.84370000000001</v>
      </c>
      <c r="H3107" s="1">
        <v>-4.0140519999999998E-6</v>
      </c>
      <c r="I3107">
        <v>267.82130000000001</v>
      </c>
      <c r="J3107">
        <v>-489.10329999999999</v>
      </c>
      <c r="K3107">
        <v>1.119224</v>
      </c>
      <c r="L3107">
        <v>274.40620000000001</v>
      </c>
      <c r="M3107">
        <v>-0.57907659999999905</v>
      </c>
      <c r="N3107">
        <v>-1.4819260000000001E-2</v>
      </c>
      <c r="O3107">
        <v>-0.81513849999999999</v>
      </c>
      <c r="P3107">
        <v>-0.30020029999999998</v>
      </c>
      <c r="Q3107">
        <v>0.37138300000000002</v>
      </c>
      <c r="R3107">
        <v>-0.87860949999999904</v>
      </c>
      <c r="S3107">
        <v>-1.3354490000000001</v>
      </c>
      <c r="T3107">
        <v>-0.53236870000000003</v>
      </c>
      <c r="U3107">
        <v>-3.1816710000000001</v>
      </c>
      <c r="V3107">
        <v>-0.27180650000000001</v>
      </c>
      <c r="W3107">
        <v>0.37912980000000002</v>
      </c>
      <c r="X3107">
        <v>0.88452350000000002</v>
      </c>
      <c r="Y3107">
        <v>-0.22057270000000001</v>
      </c>
      <c r="Z3107">
        <v>0.1017155</v>
      </c>
      <c r="AA3107">
        <v>0.97005240000000004</v>
      </c>
      <c r="AB3107">
        <v>25</v>
      </c>
      <c r="AC3107">
        <v>-2.7404000000000202</v>
      </c>
      <c r="AD3107">
        <v>-1.1192280140519999</v>
      </c>
      <c r="AE3107">
        <v>-6.5849000000000002</v>
      </c>
      <c r="AF3107">
        <v>-1.5415687979866599</v>
      </c>
      <c r="AG3107">
        <v>-1.1192280140519999</v>
      </c>
      <c r="AH3107">
        <v>6.7881157370417204</v>
      </c>
      <c r="AI3107">
        <v>99.134208118604107</v>
      </c>
      <c r="AJ3107">
        <v>102.794756633727</v>
      </c>
      <c r="AK3107">
        <v>7.0503631797119697</v>
      </c>
      <c r="AL3107">
        <v>67.720209125888303</v>
      </c>
      <c r="AM3107">
        <v>107.081745000924</v>
      </c>
      <c r="AN3107">
        <v>1.0000000003712699</v>
      </c>
    </row>
    <row r="3108" spans="1:40" x14ac:dyDescent="0.25">
      <c r="A3108" t="str">
        <f>"20190304164912753"</f>
        <v>20190304164912753</v>
      </c>
      <c r="B3108" t="str">
        <f>"1551689352748568"</f>
        <v>1551689352748568</v>
      </c>
      <c r="C3108" t="s">
        <v>40</v>
      </c>
      <c r="D3108">
        <v>4.530564</v>
      </c>
      <c r="E3108">
        <v>0.49937930000000003</v>
      </c>
      <c r="F3108" t="s">
        <v>42</v>
      </c>
      <c r="G3108">
        <v>-491.86610000000002</v>
      </c>
      <c r="H3108" s="1">
        <v>-3.9692180000000001E-6</v>
      </c>
      <c r="I3108">
        <v>267.6841</v>
      </c>
      <c r="J3108">
        <v>-489.17829999999998</v>
      </c>
      <c r="K3108">
        <v>1.1191359999999999</v>
      </c>
      <c r="L3108">
        <v>274.2885</v>
      </c>
      <c r="M3108">
        <v>-0.5735382</v>
      </c>
      <c r="N3108">
        <v>-1.475099E-2</v>
      </c>
      <c r="O3108">
        <v>-0.819046099999999</v>
      </c>
      <c r="P3108">
        <v>-0.2935874</v>
      </c>
      <c r="Q3108">
        <v>0.37103419999999998</v>
      </c>
      <c r="R3108">
        <v>-0.88098799999999899</v>
      </c>
      <c r="S3108">
        <v>-1.311493</v>
      </c>
      <c r="T3108">
        <v>-0.53129169999999903</v>
      </c>
      <c r="U3108">
        <v>-3.1909480000000001</v>
      </c>
      <c r="V3108">
        <v>-0.272476</v>
      </c>
      <c r="W3108">
        <v>0.37874989999999997</v>
      </c>
      <c r="X3108">
        <v>0.88448019999999905</v>
      </c>
      <c r="Y3108">
        <v>-0.22119030000000001</v>
      </c>
      <c r="Z3108">
        <v>0.1021751</v>
      </c>
      <c r="AA3108">
        <v>0.96986340000000004</v>
      </c>
      <c r="AB3108">
        <v>25</v>
      </c>
      <c r="AC3108">
        <v>-2.6878000000000299</v>
      </c>
      <c r="AD3108">
        <v>-1.119139969218</v>
      </c>
      <c r="AE3108">
        <v>-6.6043999999999903</v>
      </c>
      <c r="AF3108">
        <v>-1.5484703400903299</v>
      </c>
      <c r="AG3108">
        <v>-1.119139969218</v>
      </c>
      <c r="AH3108">
        <v>6.7844875993594398</v>
      </c>
      <c r="AI3108">
        <v>99.136089559136096</v>
      </c>
      <c r="AJ3108">
        <v>102.856784200082</v>
      </c>
      <c r="AK3108">
        <v>7.0483690773612899</v>
      </c>
      <c r="AL3108">
        <v>67.743728546975504</v>
      </c>
      <c r="AM3108">
        <v>107.12215141055501</v>
      </c>
      <c r="AN3108">
        <v>0.99999994075902299</v>
      </c>
    </row>
    <row r="3109" spans="1:40" x14ac:dyDescent="0.25">
      <c r="A3109" t="str">
        <f>"20190304164912765"</f>
        <v>20190304164912765</v>
      </c>
      <c r="B3109" t="str">
        <f>"1551689352759304"</f>
        <v>1551689352759304</v>
      </c>
      <c r="C3109" t="s">
        <v>40</v>
      </c>
      <c r="D3109">
        <v>4.3725139999999998</v>
      </c>
      <c r="E3109">
        <v>0.48880020000000002</v>
      </c>
      <c r="F3109" t="s">
        <v>42</v>
      </c>
      <c r="G3109">
        <v>-491.93740000000003</v>
      </c>
      <c r="H3109" s="1">
        <v>-3.1732470000000002E-6</v>
      </c>
      <c r="I3109">
        <v>265.78440000000001</v>
      </c>
      <c r="J3109">
        <v>-489.24310000000003</v>
      </c>
      <c r="K3109">
        <v>1.1190560000000001</v>
      </c>
      <c r="L3109">
        <v>274.185</v>
      </c>
      <c r="M3109">
        <v>-0.56872469999999997</v>
      </c>
      <c r="N3109">
        <v>-1.468182E-2</v>
      </c>
      <c r="O3109">
        <v>-0.82239699999999905</v>
      </c>
      <c r="P3109">
        <v>-0.28768449999999901</v>
      </c>
      <c r="Q3109">
        <v>0.37086570000000002</v>
      </c>
      <c r="R3109">
        <v>-0.88300409999999996</v>
      </c>
      <c r="S3109">
        <v>-1.0495000000000001</v>
      </c>
      <c r="T3109">
        <v>-0.42569699999999999</v>
      </c>
      <c r="U3109">
        <v>-3.234772</v>
      </c>
      <c r="V3109">
        <v>-0.27318720000000002</v>
      </c>
      <c r="W3109">
        <v>0.37854599999999999</v>
      </c>
      <c r="X3109">
        <v>0.88434820000000003</v>
      </c>
      <c r="Y3109">
        <v>-0.28793530000000001</v>
      </c>
      <c r="Z3109">
        <v>7.8636300000000006E-2</v>
      </c>
      <c r="AA3109">
        <v>0.95441580000000004</v>
      </c>
      <c r="AB3109">
        <v>25</v>
      </c>
      <c r="AC3109">
        <v>-2.6942999999999899</v>
      </c>
      <c r="AD3109">
        <v>-1.1190591732469899</v>
      </c>
      <c r="AE3109">
        <v>-8.4005999999999901</v>
      </c>
      <c r="AF3109">
        <v>-2.5215480807974102</v>
      </c>
      <c r="AG3109">
        <v>-1.1190591732469899</v>
      </c>
      <c r="AH3109">
        <v>8.3081718287957198</v>
      </c>
      <c r="AI3109">
        <v>97.3442692174266</v>
      </c>
      <c r="AJ3109">
        <v>106.883157048475</v>
      </c>
      <c r="AK3109">
        <v>8.7542114033073393</v>
      </c>
      <c r="AL3109">
        <v>67.756353098375598</v>
      </c>
      <c r="AM3109">
        <v>107.166630839641</v>
      </c>
      <c r="AN3109">
        <v>1.0000000296015299</v>
      </c>
    </row>
    <row r="3110" spans="1:40" x14ac:dyDescent="0.25">
      <c r="A3110" t="str">
        <f>"20190304164912776"</f>
        <v>20190304164912776</v>
      </c>
      <c r="B3110" t="str">
        <f>"1551689352769064"</f>
        <v>1551689352769064</v>
      </c>
      <c r="C3110" t="s">
        <v>40</v>
      </c>
      <c r="D3110">
        <v>4.3811410000000004</v>
      </c>
      <c r="E3110">
        <v>0.48313040000000002</v>
      </c>
      <c r="F3110" t="s">
        <v>42</v>
      </c>
      <c r="G3110">
        <v>-491.89440000000002</v>
      </c>
      <c r="H3110" s="1">
        <v>-2.8485159999999999E-6</v>
      </c>
      <c r="I3110">
        <v>265.05410000000001</v>
      </c>
      <c r="J3110">
        <v>-489.3159</v>
      </c>
      <c r="K3110">
        <v>1.1189639999999901</v>
      </c>
      <c r="L3110">
        <v>274.06790000000001</v>
      </c>
      <c r="M3110">
        <v>-0.56329510000000005</v>
      </c>
      <c r="N3110">
        <v>-1.460029E-2</v>
      </c>
      <c r="O3110">
        <v>-0.82612680000000005</v>
      </c>
      <c r="P3110">
        <v>-0.28135650000000001</v>
      </c>
      <c r="Q3110">
        <v>0.37052590000000002</v>
      </c>
      <c r="R3110">
        <v>-0.88518319999999995</v>
      </c>
      <c r="S3110">
        <v>-0.94573969999999896</v>
      </c>
      <c r="T3110">
        <v>-0.39916940000000001</v>
      </c>
      <c r="U3110">
        <v>-3.2569889999999999</v>
      </c>
      <c r="V3110">
        <v>-0.27369470000000001</v>
      </c>
      <c r="W3110">
        <v>0.37817390000000001</v>
      </c>
      <c r="X3110">
        <v>0.88435039999999998</v>
      </c>
      <c r="Y3110">
        <v>-0.31107790000000002</v>
      </c>
      <c r="Z3110">
        <v>7.2843039999999998E-2</v>
      </c>
      <c r="AA3110">
        <v>0.94758869999999895</v>
      </c>
      <c r="AB3110">
        <v>25</v>
      </c>
      <c r="AC3110">
        <v>-2.57850000000002</v>
      </c>
      <c r="AD3110">
        <v>-1.11896684851599</v>
      </c>
      <c r="AE3110">
        <v>-9.0137999999999998</v>
      </c>
      <c r="AF3110">
        <v>-2.90617737859864</v>
      </c>
      <c r="AG3110">
        <v>-1.11896684851599</v>
      </c>
      <c r="AH3110">
        <v>8.7749484985714599</v>
      </c>
      <c r="AI3110">
        <v>96.902192270541704</v>
      </c>
      <c r="AJ3110">
        <v>108.324367148005</v>
      </c>
      <c r="AK3110">
        <v>9.3111586237448396</v>
      </c>
      <c r="AL3110">
        <v>67.779383429851094</v>
      </c>
      <c r="AM3110">
        <v>107.196601645756</v>
      </c>
      <c r="AN3110">
        <v>0.99999995871472902</v>
      </c>
    </row>
    <row r="3111" spans="1:40" x14ac:dyDescent="0.25">
      <c r="A3111" t="str">
        <f>"20190304164912789"</f>
        <v>20190304164912789</v>
      </c>
      <c r="B3111" t="str">
        <f>"1551689352778824"</f>
        <v>1551689352778824</v>
      </c>
      <c r="C3111" t="s">
        <v>40</v>
      </c>
      <c r="D3111">
        <v>4.3640499999999998</v>
      </c>
      <c r="E3111">
        <v>0.48022609999999899</v>
      </c>
      <c r="F3111" t="s">
        <v>42</v>
      </c>
      <c r="G3111">
        <v>-491.87670000000003</v>
      </c>
      <c r="H3111" s="1">
        <v>-2.6240100000000001E-6</v>
      </c>
      <c r="I3111">
        <v>264.54180000000002</v>
      </c>
      <c r="J3111">
        <v>-489.38959999999997</v>
      </c>
      <c r="K3111">
        <v>1.118865</v>
      </c>
      <c r="L3111">
        <v>273.94690000000003</v>
      </c>
      <c r="M3111">
        <v>-0.55776539999999997</v>
      </c>
      <c r="N3111">
        <v>-1.450209E-2</v>
      </c>
      <c r="O3111">
        <v>-0.82987199999999905</v>
      </c>
      <c r="P3111">
        <v>-0.27490710000000002</v>
      </c>
      <c r="Q3111">
        <v>0.37044719999999998</v>
      </c>
      <c r="R3111">
        <v>-0.88723989999999997</v>
      </c>
      <c r="S3111">
        <v>-0.87918090000000004</v>
      </c>
      <c r="T3111">
        <v>-0.3841581</v>
      </c>
      <c r="U3111">
        <v>-3.2704770000000001</v>
      </c>
      <c r="V3111">
        <v>-0.27416119999999999</v>
      </c>
      <c r="W3111">
        <v>0.37805470000000002</v>
      </c>
      <c r="X3111">
        <v>0.88425689999999901</v>
      </c>
      <c r="Y3111">
        <v>-0.32356659999999998</v>
      </c>
      <c r="Z3111">
        <v>6.9842760000000004E-2</v>
      </c>
      <c r="AA3111">
        <v>0.94362420000000002</v>
      </c>
      <c r="AB3111">
        <v>25</v>
      </c>
      <c r="AC3111">
        <v>-2.48710000000005</v>
      </c>
      <c r="AD3111">
        <v>-1.11886762401</v>
      </c>
      <c r="AE3111">
        <v>-9.4050999999999991</v>
      </c>
      <c r="AF3111">
        <v>-3.1406564021058898</v>
      </c>
      <c r="AG3111">
        <v>-1.11886762401</v>
      </c>
      <c r="AH3111">
        <v>9.07319873329382</v>
      </c>
      <c r="AI3111">
        <v>96.646804694187693</v>
      </c>
      <c r="AJ3111">
        <v>109.093118483509</v>
      </c>
      <c r="AK3111">
        <v>9.6663603621006704</v>
      </c>
      <c r="AL3111">
        <v>67.786761580518601</v>
      </c>
      <c r="AM3111">
        <v>107.225893016074</v>
      </c>
      <c r="AN3111">
        <v>0.99999999248756999</v>
      </c>
    </row>
    <row r="3112" spans="1:40" x14ac:dyDescent="0.25">
      <c r="A3112" t="str">
        <f>"20190304164912802"</f>
        <v>20190304164912802</v>
      </c>
      <c r="B3112" t="str">
        <f>"1551689352799320"</f>
        <v>1551689352799320</v>
      </c>
      <c r="C3112" t="s">
        <v>40</v>
      </c>
      <c r="D3112">
        <v>4.3412689999999996</v>
      </c>
      <c r="E3112">
        <v>0.47748000000000002</v>
      </c>
      <c r="F3112" t="s">
        <v>42</v>
      </c>
      <c r="G3112">
        <v>-491.85750000000002</v>
      </c>
      <c r="H3112" s="1">
        <v>-2.4885890000000001E-6</v>
      </c>
      <c r="I3112">
        <v>264.238</v>
      </c>
      <c r="J3112">
        <v>-489.45859999999999</v>
      </c>
      <c r="K3112">
        <v>1.1187670000000001</v>
      </c>
      <c r="L3112">
        <v>273.83249999999998</v>
      </c>
      <c r="M3112">
        <v>-0.55257449999999997</v>
      </c>
      <c r="N3112">
        <v>-1.4404699999999999E-2</v>
      </c>
      <c r="O3112">
        <v>-0.83333919999999995</v>
      </c>
      <c r="P3112">
        <v>-0.26888410000000001</v>
      </c>
      <c r="Q3112">
        <v>0.37049799999999999</v>
      </c>
      <c r="R3112">
        <v>-0.88906289999999999</v>
      </c>
      <c r="S3112">
        <v>-0.83392330000000003</v>
      </c>
      <c r="T3112">
        <v>-0.37807229999999997</v>
      </c>
      <c r="U3112">
        <v>-3.2807010000000001</v>
      </c>
      <c r="V3112">
        <v>-0.27455010000000002</v>
      </c>
      <c r="W3112">
        <v>0.37806400000000001</v>
      </c>
      <c r="X3112">
        <v>0.88413229999999998</v>
      </c>
      <c r="Y3112">
        <v>-0.33054810000000001</v>
      </c>
      <c r="Z3112">
        <v>6.8843409999999994E-2</v>
      </c>
      <c r="AA3112">
        <v>0.94127490000000003</v>
      </c>
      <c r="AB3112">
        <v>25</v>
      </c>
      <c r="AC3112">
        <v>-2.3989000000000198</v>
      </c>
      <c r="AD3112">
        <v>-1.118769488589</v>
      </c>
      <c r="AE3112">
        <v>-9.5944999999999805</v>
      </c>
      <c r="AF3112">
        <v>-3.2611880282460999</v>
      </c>
      <c r="AG3112">
        <v>-1.118769488589</v>
      </c>
      <c r="AH3112">
        <v>9.2042250087569002</v>
      </c>
      <c r="AI3112">
        <v>96.535913618620597</v>
      </c>
      <c r="AJ3112">
        <v>109.509961325712</v>
      </c>
      <c r="AK3112">
        <v>9.8287715680037699</v>
      </c>
      <c r="AL3112">
        <v>67.786186999639398</v>
      </c>
      <c r="AM3112">
        <v>107.251165777945</v>
      </c>
      <c r="AN3112">
        <v>1.0000000347046401</v>
      </c>
    </row>
    <row r="3113" spans="1:40" x14ac:dyDescent="0.25">
      <c r="A3113" t="str">
        <f>"20190304164912815"</f>
        <v>20190304164912815</v>
      </c>
      <c r="B3113" t="str">
        <f>"1551689352809080"</f>
        <v>1551689352809080</v>
      </c>
      <c r="C3113" t="s">
        <v>40</v>
      </c>
      <c r="D3113">
        <v>4.3297220000000003</v>
      </c>
      <c r="E3113">
        <v>0.47703259999999997</v>
      </c>
      <c r="F3113" t="s">
        <v>42</v>
      </c>
      <c r="G3113">
        <v>-491.83780000000002</v>
      </c>
      <c r="H3113" s="1">
        <v>-2.35953E-6</v>
      </c>
      <c r="I3113">
        <v>263.94940000000003</v>
      </c>
      <c r="J3113">
        <v>-489.53840000000002</v>
      </c>
      <c r="K3113">
        <v>1.118649</v>
      </c>
      <c r="L3113">
        <v>273.69889999999998</v>
      </c>
      <c r="M3113">
        <v>-0.54655900000000002</v>
      </c>
      <c r="N3113">
        <v>-1.428655E-2</v>
      </c>
      <c r="O3113">
        <v>-0.83729889999999996</v>
      </c>
      <c r="P3113">
        <v>-0.26222269999999998</v>
      </c>
      <c r="Q3113">
        <v>0.3706238</v>
      </c>
      <c r="R3113">
        <v>-0.89099810000000002</v>
      </c>
      <c r="S3113">
        <v>-0.79199219999999904</v>
      </c>
      <c r="T3113">
        <v>-0.37243179999999998</v>
      </c>
      <c r="U3113">
        <v>-3.2900089999999902</v>
      </c>
      <c r="V3113">
        <v>-0.27468049999999999</v>
      </c>
      <c r="W3113">
        <v>0.37814609999999999</v>
      </c>
      <c r="X3113">
        <v>0.88405659999999897</v>
      </c>
      <c r="Y3113">
        <v>-0.33567089999999999</v>
      </c>
      <c r="Z3113">
        <v>6.8075919999999998E-2</v>
      </c>
      <c r="AA3113">
        <v>0.93951620000000002</v>
      </c>
      <c r="AB3113">
        <v>25</v>
      </c>
      <c r="AC3113">
        <v>-2.2993999999999901</v>
      </c>
      <c r="AD3113">
        <v>-1.1186513595299901</v>
      </c>
      <c r="AE3113">
        <v>-9.7494999999999497</v>
      </c>
      <c r="AF3113">
        <v>-3.36181222952932</v>
      </c>
      <c r="AG3113">
        <v>-1.1186513595299901</v>
      </c>
      <c r="AH3113">
        <v>9.3049180691771394</v>
      </c>
      <c r="AI3113">
        <v>96.450933508489499</v>
      </c>
      <c r="AJ3113">
        <v>109.864490097958</v>
      </c>
      <c r="AK3113">
        <v>9.9566391219573003</v>
      </c>
      <c r="AL3113">
        <v>67.781104077268907</v>
      </c>
      <c r="AM3113">
        <v>107.260262802657</v>
      </c>
      <c r="AN3113">
        <v>0.99999996101450905</v>
      </c>
    </row>
    <row r="3114" spans="1:40" x14ac:dyDescent="0.25">
      <c r="A3114" t="str">
        <f>"20190304164912831"</f>
        <v>20190304164912831</v>
      </c>
      <c r="B3114" t="str">
        <f>"1551689352818840"</f>
        <v>1551689352818840</v>
      </c>
      <c r="C3114" t="s">
        <v>40</v>
      </c>
      <c r="D3114">
        <v>4.3190860000000004</v>
      </c>
      <c r="E3114">
        <v>0.4769024</v>
      </c>
      <c r="F3114" t="s">
        <v>42</v>
      </c>
      <c r="G3114">
        <v>-491.82839999999999</v>
      </c>
      <c r="H3114" s="1">
        <v>-2.3087130000000002E-6</v>
      </c>
      <c r="I3114">
        <v>263.83679999999998</v>
      </c>
      <c r="J3114">
        <v>-489.62560000000002</v>
      </c>
      <c r="K3114">
        <v>1.1185179999999999</v>
      </c>
      <c r="L3114">
        <v>273.5496</v>
      </c>
      <c r="M3114">
        <v>-0.53996560000000005</v>
      </c>
      <c r="N3114">
        <v>-1.415134E-2</v>
      </c>
      <c r="O3114">
        <v>-0.84156819999999899</v>
      </c>
      <c r="P3114">
        <v>-0.25543959999999999</v>
      </c>
      <c r="Q3114">
        <v>0.3710965</v>
      </c>
      <c r="R3114">
        <v>-0.89276990000000001</v>
      </c>
      <c r="S3114">
        <v>-0.765625</v>
      </c>
      <c r="T3114">
        <v>-0.37400660000000002</v>
      </c>
      <c r="U3114">
        <v>-3.297272</v>
      </c>
      <c r="V3114">
        <v>-0.27425090000000002</v>
      </c>
      <c r="W3114">
        <v>0.37858180000000002</v>
      </c>
      <c r="X3114">
        <v>0.8840036</v>
      </c>
      <c r="Y3114">
        <v>-0.33587450000000002</v>
      </c>
      <c r="Z3114">
        <v>6.9059770000000006E-2</v>
      </c>
      <c r="AA3114">
        <v>0.93937159999999997</v>
      </c>
      <c r="AB3114">
        <v>25</v>
      </c>
      <c r="AC3114">
        <v>-2.2027999999999599</v>
      </c>
      <c r="AD3114">
        <v>-1.118520308713</v>
      </c>
      <c r="AE3114">
        <v>-9.7128000000000103</v>
      </c>
      <c r="AF3114">
        <v>-3.3488716579731599</v>
      </c>
      <c r="AG3114">
        <v>-1.118520308713</v>
      </c>
      <c r="AH3114">
        <v>9.2477159805224005</v>
      </c>
      <c r="AI3114">
        <v>96.488023384604503</v>
      </c>
      <c r="AJ3114">
        <v>109.90682075938599</v>
      </c>
      <c r="AK3114">
        <v>9.8988019436186701</v>
      </c>
      <c r="AL3114">
        <v>67.754137455936899</v>
      </c>
      <c r="AM3114">
        <v>107.235840187454</v>
      </c>
      <c r="AN3114">
        <v>1.0000000501274999</v>
      </c>
    </row>
    <row r="3115" spans="1:40" x14ac:dyDescent="0.25">
      <c r="A3115" t="str">
        <f>"20190304164912845"</f>
        <v>20190304164912845</v>
      </c>
      <c r="B3115" t="str">
        <f>"1551689352839337"</f>
        <v>1551689352839337</v>
      </c>
      <c r="C3115" t="s">
        <v>40</v>
      </c>
      <c r="D3115">
        <v>4.3230339999999998</v>
      </c>
      <c r="E3115">
        <v>0.47718290000000002</v>
      </c>
      <c r="F3115" t="s">
        <v>42</v>
      </c>
      <c r="G3115">
        <v>-491.85430000000002</v>
      </c>
      <c r="H3115" s="1">
        <v>-2.2163560000000001E-6</v>
      </c>
      <c r="I3115">
        <v>263.60539999999997</v>
      </c>
      <c r="J3115">
        <v>-489.69929999999999</v>
      </c>
      <c r="K3115">
        <v>1.118409</v>
      </c>
      <c r="L3115">
        <v>273.42160000000001</v>
      </c>
      <c r="M3115">
        <v>-0.53437570000000001</v>
      </c>
      <c r="N3115">
        <v>-1.4035890000000001E-2</v>
      </c>
      <c r="O3115">
        <v>-0.84513050000000001</v>
      </c>
      <c r="P3115">
        <v>-0.24990680000000001</v>
      </c>
      <c r="Q3115">
        <v>0.37126009999999998</v>
      </c>
      <c r="R3115">
        <v>-0.89426669999999997</v>
      </c>
      <c r="S3115">
        <v>-0.7402649</v>
      </c>
      <c r="T3115">
        <v>-0.37151659999999997</v>
      </c>
      <c r="U3115">
        <v>-3.3029790000000001</v>
      </c>
      <c r="V3115">
        <v>-0.27373750000000002</v>
      </c>
      <c r="W3115">
        <v>0.37871680000000002</v>
      </c>
      <c r="X3115">
        <v>0.88410480000000002</v>
      </c>
      <c r="Y3115">
        <v>-0.33684599999999998</v>
      </c>
      <c r="Z3115">
        <v>6.904863E-2</v>
      </c>
      <c r="AA3115">
        <v>0.93902450000000004</v>
      </c>
      <c r="AB3115">
        <v>25</v>
      </c>
      <c r="AC3115">
        <v>-2.1550000000000198</v>
      </c>
      <c r="AD3115">
        <v>-1.118411216356</v>
      </c>
      <c r="AE3115">
        <v>-9.8162000000000305</v>
      </c>
      <c r="AF3115">
        <v>-3.3827270054826402</v>
      </c>
      <c r="AG3115">
        <v>-1.118411216356</v>
      </c>
      <c r="AH3115">
        <v>9.3328985423203203</v>
      </c>
      <c r="AI3115">
        <v>96.428024621268193</v>
      </c>
      <c r="AJ3115">
        <v>109.923145843767</v>
      </c>
      <c r="AK3115">
        <v>9.98982886959217</v>
      </c>
      <c r="AL3115">
        <v>67.745778265122297</v>
      </c>
      <c r="AM3115">
        <v>107.203628015376</v>
      </c>
      <c r="AN3115">
        <v>0.99999996544576397</v>
      </c>
    </row>
    <row r="3116" spans="1:40" x14ac:dyDescent="0.25">
      <c r="A3116" t="str">
        <f>"20190304164912859"</f>
        <v>20190304164912859</v>
      </c>
      <c r="B3116" t="str">
        <f>"1551689352849096"</f>
        <v>1551689352849096</v>
      </c>
      <c r="C3116" t="s">
        <v>40</v>
      </c>
      <c r="D3116">
        <v>4.2718579999999999</v>
      </c>
      <c r="E3116">
        <v>0.47744510000000001</v>
      </c>
      <c r="F3116" t="s">
        <v>42</v>
      </c>
      <c r="G3116">
        <v>-491.88459999999998</v>
      </c>
      <c r="H3116" s="1">
        <v>-2.1446059999999999E-6</v>
      </c>
      <c r="I3116">
        <v>263.4194</v>
      </c>
      <c r="J3116">
        <v>-489.77789999999999</v>
      </c>
      <c r="K3116">
        <v>1.118296</v>
      </c>
      <c r="L3116">
        <v>273.28370000000001</v>
      </c>
      <c r="M3116">
        <v>-0.52841169999999904</v>
      </c>
      <c r="N3116">
        <v>-1.391235E-2</v>
      </c>
      <c r="O3116">
        <v>-0.84887440000000003</v>
      </c>
      <c r="P3116">
        <v>-0.24387239999999999</v>
      </c>
      <c r="Q3116">
        <v>0.37147920000000001</v>
      </c>
      <c r="R3116">
        <v>-0.89584019999999998</v>
      </c>
      <c r="S3116">
        <v>-0.72235109999999902</v>
      </c>
      <c r="T3116">
        <v>-0.36969580000000002</v>
      </c>
      <c r="U3116">
        <v>-3.3062740000000002</v>
      </c>
      <c r="V3116">
        <v>-0.27332869999999998</v>
      </c>
      <c r="W3116">
        <v>0.37890079999999998</v>
      </c>
      <c r="X3116">
        <v>0.88415250000000001</v>
      </c>
      <c r="Y3116">
        <v>-0.33527560000000001</v>
      </c>
      <c r="Z3116">
        <v>6.9316760000000005E-2</v>
      </c>
      <c r="AA3116">
        <v>0.93956669999999998</v>
      </c>
      <c r="AB3116">
        <v>25</v>
      </c>
      <c r="AC3116">
        <v>-2.10669999999998</v>
      </c>
      <c r="AD3116">
        <v>-1.1182981446060001</v>
      </c>
      <c r="AE3116">
        <v>-9.8643000000000107</v>
      </c>
      <c r="AF3116">
        <v>-3.3828379976574401</v>
      </c>
      <c r="AG3116">
        <v>-1.1182981446060001</v>
      </c>
      <c r="AH3116">
        <v>9.3724701301613198</v>
      </c>
      <c r="AI3116">
        <v>96.403552277976004</v>
      </c>
      <c r="AJ3116">
        <v>109.846208986317</v>
      </c>
      <c r="AK3116">
        <v>10.026832999476399</v>
      </c>
      <c r="AL3116">
        <v>67.734388152447806</v>
      </c>
      <c r="AM3116">
        <v>107.178577240777</v>
      </c>
      <c r="AN3116">
        <v>1.00000001887028</v>
      </c>
    </row>
    <row r="3117" spans="1:40" x14ac:dyDescent="0.25">
      <c r="A3117" t="str">
        <f>"20190304164912877"</f>
        <v>20190304164912877</v>
      </c>
      <c r="B3117" t="str">
        <f>"1551689352868616"</f>
        <v>1551689352868616</v>
      </c>
      <c r="C3117" t="s">
        <v>40</v>
      </c>
      <c r="D3117">
        <v>4.3209249999999999</v>
      </c>
      <c r="E3117">
        <v>0.4782535</v>
      </c>
      <c r="F3117" t="s">
        <v>42</v>
      </c>
      <c r="G3117">
        <v>-491.90179999999998</v>
      </c>
      <c r="H3117" s="1">
        <v>-2.0825169999999998E-6</v>
      </c>
      <c r="I3117">
        <v>263.26400000000001</v>
      </c>
      <c r="J3117">
        <v>-489.8777</v>
      </c>
      <c r="K3117">
        <v>1.118152</v>
      </c>
      <c r="L3117">
        <v>273.10520000000002</v>
      </c>
      <c r="M3117">
        <v>-0.52081789999999994</v>
      </c>
      <c r="N3117">
        <v>-1.3753100000000001E-2</v>
      </c>
      <c r="O3117">
        <v>-0.85355700000000001</v>
      </c>
      <c r="P3117">
        <v>-0.2362368</v>
      </c>
      <c r="Q3117">
        <v>0.37188120000000002</v>
      </c>
      <c r="R3117">
        <v>-0.89771719999999899</v>
      </c>
      <c r="S3117">
        <v>-0.70184329999999995</v>
      </c>
      <c r="T3117">
        <v>-0.36954009999999998</v>
      </c>
      <c r="U3117">
        <v>-3.3110050000000002</v>
      </c>
      <c r="V3117">
        <v>-0.2727619</v>
      </c>
      <c r="W3117">
        <v>0.37925740000000002</v>
      </c>
      <c r="X3117">
        <v>0.88417459999999903</v>
      </c>
      <c r="Y3117">
        <v>-0.33272990000000002</v>
      </c>
      <c r="Z3117">
        <v>7.011589E-2</v>
      </c>
      <c r="AA3117">
        <v>0.94041189999999997</v>
      </c>
      <c r="AB3117">
        <v>25</v>
      </c>
      <c r="AC3117">
        <v>-2.02409999999997</v>
      </c>
      <c r="AD3117">
        <v>-1.118154082517</v>
      </c>
      <c r="AE3117">
        <v>-9.8412000000000095</v>
      </c>
      <c r="AF3117">
        <v>-3.3565374320733499</v>
      </c>
      <c r="AG3117">
        <v>-1.118154082517</v>
      </c>
      <c r="AH3117">
        <v>9.3394334801596095</v>
      </c>
      <c r="AI3117">
        <v>96.428321278015105</v>
      </c>
      <c r="AJ3117">
        <v>109.768138621666</v>
      </c>
      <c r="AK3117">
        <v>9.9870731355830795</v>
      </c>
      <c r="AL3117">
        <v>67.712307553558105</v>
      </c>
      <c r="AM3117">
        <v>107.14464146311801</v>
      </c>
      <c r="AN3117">
        <v>0.99999997641576399</v>
      </c>
    </row>
    <row r="3118" spans="1:40" x14ac:dyDescent="0.25">
      <c r="A3118" t="str">
        <f>"20190304164912891"</f>
        <v>20190304164912891</v>
      </c>
      <c r="B3118" t="str">
        <f>"1551689352879352"</f>
        <v>1551689352879352</v>
      </c>
      <c r="C3118" t="s">
        <v>40</v>
      </c>
      <c r="D3118">
        <v>4.2855740000000004</v>
      </c>
      <c r="E3118">
        <v>0.47877540000000002</v>
      </c>
      <c r="F3118" t="s">
        <v>42</v>
      </c>
      <c r="G3118">
        <v>-491.94220000000001</v>
      </c>
      <c r="H3118" s="1">
        <v>-2.006418E-6</v>
      </c>
      <c r="I3118">
        <v>263.06150000000002</v>
      </c>
      <c r="J3118">
        <v>-489.95030000000003</v>
      </c>
      <c r="K3118">
        <v>1.1180460000000001</v>
      </c>
      <c r="L3118">
        <v>272.97289999999998</v>
      </c>
      <c r="M3118">
        <v>-0.51527900000000004</v>
      </c>
      <c r="N3118">
        <v>-1.363549E-2</v>
      </c>
      <c r="O3118">
        <v>-0.85691419999999996</v>
      </c>
      <c r="P3118">
        <v>-0.23072219999999999</v>
      </c>
      <c r="Q3118">
        <v>0.37194749999999999</v>
      </c>
      <c r="R3118">
        <v>-0.89912300000000001</v>
      </c>
      <c r="S3118">
        <v>-0.68148799999999998</v>
      </c>
      <c r="T3118">
        <v>-0.36909350000000002</v>
      </c>
      <c r="U3118">
        <v>-3.3153380000000001</v>
      </c>
      <c r="V3118">
        <v>-0.27236169999999998</v>
      </c>
      <c r="W3118">
        <v>0.37928610000000001</v>
      </c>
      <c r="X3118">
        <v>0.88428569999999995</v>
      </c>
      <c r="Y3118">
        <v>-0.33241340000000003</v>
      </c>
      <c r="Z3118">
        <v>7.0568980000000003E-2</v>
      </c>
      <c r="AA3118">
        <v>0.94048989999999999</v>
      </c>
      <c r="AB3118">
        <v>25</v>
      </c>
      <c r="AC3118">
        <v>-1.99189999999998</v>
      </c>
      <c r="AD3118">
        <v>-1.1180480064179901</v>
      </c>
      <c r="AE3118">
        <v>-9.9113999999999507</v>
      </c>
      <c r="AF3118">
        <v>-3.3594753919463001</v>
      </c>
      <c r="AG3118">
        <v>-1.1180480064179901</v>
      </c>
      <c r="AH3118">
        <v>9.4054509690642192</v>
      </c>
      <c r="AI3118">
        <v>96.387417837128794</v>
      </c>
      <c r="AJ3118">
        <v>109.655908157854</v>
      </c>
      <c r="AK3118">
        <v>10.049806674022101</v>
      </c>
      <c r="AL3118">
        <v>67.710531413564297</v>
      </c>
      <c r="AM3118">
        <v>107.118933200702</v>
      </c>
      <c r="AN3118">
        <v>1.0000000202522901</v>
      </c>
    </row>
    <row r="3119" spans="1:40" x14ac:dyDescent="0.25">
      <c r="A3119" t="str">
        <f>"20190304164912908"</f>
        <v>20190304164912908</v>
      </c>
      <c r="B3119" t="str">
        <f>"1551689352898875"</f>
        <v>1551689352898875</v>
      </c>
      <c r="C3119" t="s">
        <v>40</v>
      </c>
      <c r="D3119">
        <v>4.3681340000000004</v>
      </c>
      <c r="E3119">
        <v>0.47916330000000001</v>
      </c>
      <c r="F3119" t="s">
        <v>42</v>
      </c>
      <c r="G3119">
        <v>-491.96280000000002</v>
      </c>
      <c r="H3119" s="1">
        <v>-1.9562890000000001E-6</v>
      </c>
      <c r="I3119">
        <v>262.93189999999998</v>
      </c>
      <c r="J3119">
        <v>-490.04590000000002</v>
      </c>
      <c r="K3119">
        <v>1.1179239999999999</v>
      </c>
      <c r="L3119">
        <v>272.79610000000002</v>
      </c>
      <c r="M3119">
        <v>-0.50796940000000002</v>
      </c>
      <c r="N3119">
        <v>-1.348384E-2</v>
      </c>
      <c r="O3119">
        <v>-0.86126979999999997</v>
      </c>
      <c r="P3119">
        <v>-0.22441059999999999</v>
      </c>
      <c r="Q3119">
        <v>0.37226730000000002</v>
      </c>
      <c r="R3119">
        <v>-0.90058700000000003</v>
      </c>
      <c r="S3119">
        <v>-0.66516109999999995</v>
      </c>
      <c r="T3119">
        <v>-0.36953449999999999</v>
      </c>
      <c r="U3119">
        <v>-3.3187259999999998</v>
      </c>
      <c r="V3119">
        <v>-0.27086640000000001</v>
      </c>
      <c r="W3119">
        <v>0.37957190000000002</v>
      </c>
      <c r="X3119">
        <v>0.88462229999999997</v>
      </c>
      <c r="Y3119">
        <v>-0.32904</v>
      </c>
      <c r="Z3119">
        <v>7.1488369999999996E-2</v>
      </c>
      <c r="AA3119">
        <v>0.9416061</v>
      </c>
      <c r="AB3119">
        <v>25</v>
      </c>
      <c r="AC3119">
        <v>-1.9168999999999901</v>
      </c>
      <c r="AD3119">
        <v>-1.1179259562889901</v>
      </c>
      <c r="AE3119">
        <v>-9.8642000000000394</v>
      </c>
      <c r="AF3119">
        <v>-3.3189706724277102</v>
      </c>
      <c r="AG3119">
        <v>-1.1179259562889901</v>
      </c>
      <c r="AH3119">
        <v>9.3545450715981708</v>
      </c>
      <c r="AI3119">
        <v>96.425994757580597</v>
      </c>
      <c r="AJ3119">
        <v>109.534565799265</v>
      </c>
      <c r="AK3119">
        <v>9.9886354555936006</v>
      </c>
      <c r="AL3119">
        <v>67.692832875451302</v>
      </c>
      <c r="AM3119">
        <v>107.024295136788</v>
      </c>
      <c r="AN3119">
        <v>1.0000000237879201</v>
      </c>
    </row>
    <row r="3120" spans="1:40" x14ac:dyDescent="0.25">
      <c r="A3120" t="str">
        <f>"20190304164912920"</f>
        <v>20190304164912920</v>
      </c>
      <c r="B3120" t="str">
        <f>"1551689352908632"</f>
        <v>1551689352908632</v>
      </c>
      <c r="C3120" t="s">
        <v>40</v>
      </c>
      <c r="D3120">
        <v>4.2799149999999999</v>
      </c>
      <c r="E3120">
        <v>0.45577040000000002</v>
      </c>
      <c r="F3120" t="s">
        <v>42</v>
      </c>
      <c r="G3120">
        <v>-491.9984</v>
      </c>
      <c r="H3120" s="1">
        <v>-1.87664E-6</v>
      </c>
      <c r="I3120">
        <v>262.72410000000002</v>
      </c>
      <c r="J3120">
        <v>-490.10599999999999</v>
      </c>
      <c r="K3120">
        <v>1.1178619999999999</v>
      </c>
      <c r="L3120">
        <v>272.68340000000001</v>
      </c>
      <c r="M3120">
        <v>-0.50335940000000001</v>
      </c>
      <c r="N3120">
        <v>-1.339163E-2</v>
      </c>
      <c r="O3120">
        <v>-0.86397349999999995</v>
      </c>
      <c r="P3120">
        <v>-0.2204854</v>
      </c>
      <c r="Q3120">
        <v>0.3724248</v>
      </c>
      <c r="R3120">
        <v>-0.90149120000000005</v>
      </c>
      <c r="S3120">
        <v>-0.64422609999999902</v>
      </c>
      <c r="T3120">
        <v>-0.36884939999999999</v>
      </c>
      <c r="U3120">
        <v>-3.3231510000000002</v>
      </c>
      <c r="V3120">
        <v>-0.26989659999999999</v>
      </c>
      <c r="W3120">
        <v>0.37970779999999998</v>
      </c>
      <c r="X3120">
        <v>0.88486030000000004</v>
      </c>
      <c r="Y3120">
        <v>-0.32994849999999998</v>
      </c>
      <c r="Z3120">
        <v>7.1734190000000003E-2</v>
      </c>
      <c r="AA3120">
        <v>0.94126949999999998</v>
      </c>
      <c r="AB3120">
        <v>25</v>
      </c>
      <c r="AC3120">
        <v>-1.8924000000000001</v>
      </c>
      <c r="AD3120">
        <v>-1.11786387664</v>
      </c>
      <c r="AE3120">
        <v>-9.9592999999999794</v>
      </c>
      <c r="AF3120">
        <v>-3.3378398534571199</v>
      </c>
      <c r="AG3120">
        <v>-1.11786387664</v>
      </c>
      <c r="AH3120">
        <v>9.4431602983087206</v>
      </c>
      <c r="AI3120">
        <v>96.368484929684598</v>
      </c>
      <c r="AJ3120">
        <v>109.466790001212</v>
      </c>
      <c r="AK3120">
        <v>10.0779001261958</v>
      </c>
      <c r="AL3120">
        <v>67.684414982713704</v>
      </c>
      <c r="AM3120">
        <v>106.962547599682</v>
      </c>
      <c r="AN3120">
        <v>0.99999996929424395</v>
      </c>
    </row>
    <row r="3121" spans="1:40" x14ac:dyDescent="0.25">
      <c r="A3121" t="str">
        <f>"20190304164912932"</f>
        <v>20190304164912932</v>
      </c>
      <c r="B3121" t="str">
        <f>"1551689352929128"</f>
        <v>1551689352929128</v>
      </c>
      <c r="C3121" t="s">
        <v>40</v>
      </c>
      <c r="D3121">
        <v>4.2441209999999998</v>
      </c>
      <c r="E3121">
        <v>0.44605139999999999</v>
      </c>
      <c r="F3121" t="s">
        <v>42</v>
      </c>
      <c r="G3121">
        <v>-491.80669999999998</v>
      </c>
      <c r="H3121" s="1">
        <v>-5.5896700000000001E-7</v>
      </c>
      <c r="I3121">
        <v>259.7715</v>
      </c>
      <c r="J3121">
        <v>-490.1687</v>
      </c>
      <c r="K3121">
        <v>1.117794</v>
      </c>
      <c r="L3121">
        <v>272.5643</v>
      </c>
      <c r="M3121">
        <v>-0.49853039999999998</v>
      </c>
      <c r="N3121">
        <v>-1.329849E-2</v>
      </c>
      <c r="O3121">
        <v>-0.86677029999999999</v>
      </c>
      <c r="P3121">
        <v>-0.21618109999999999</v>
      </c>
      <c r="Q3121">
        <v>0.37274089999999999</v>
      </c>
      <c r="R3121">
        <v>-0.90240220000000004</v>
      </c>
      <c r="S3121">
        <v>-0.43991089999999999</v>
      </c>
      <c r="T3121">
        <v>-0.28914079999999998</v>
      </c>
      <c r="U3121">
        <v>-3.3397220000000001</v>
      </c>
      <c r="V3121">
        <v>-0.26905810000000002</v>
      </c>
      <c r="W3121">
        <v>0.37999759999999999</v>
      </c>
      <c r="X3121">
        <v>0.88499130000000004</v>
      </c>
      <c r="Y3121">
        <v>-0.3809689</v>
      </c>
      <c r="Z3121">
        <v>5.291092E-2</v>
      </c>
      <c r="AA3121">
        <v>0.92307260000000002</v>
      </c>
      <c r="AB3121">
        <v>25</v>
      </c>
      <c r="AC3121">
        <v>-1.6379999999999699</v>
      </c>
      <c r="AD3121">
        <v>-1.117794558967</v>
      </c>
      <c r="AE3121">
        <v>-12.7928</v>
      </c>
      <c r="AF3121">
        <v>-4.92130132141929</v>
      </c>
      <c r="AG3121">
        <v>-1.117794558967</v>
      </c>
      <c r="AH3121">
        <v>11.8172973529181</v>
      </c>
      <c r="AI3121">
        <v>94.990427326567001</v>
      </c>
      <c r="AJ3121">
        <v>112.60923620347999</v>
      </c>
      <c r="AK3121">
        <v>12.849793309604101</v>
      </c>
      <c r="AL3121">
        <v>67.666466453852394</v>
      </c>
      <c r="AM3121">
        <v>106.91050123542099</v>
      </c>
      <c r="AN3121">
        <v>1.0000000191285201</v>
      </c>
    </row>
    <row r="3122" spans="1:40" x14ac:dyDescent="0.25">
      <c r="A3122" t="str">
        <f>"20190304164912944"</f>
        <v>20190304164912944</v>
      </c>
      <c r="B3122" t="str">
        <f>"1551689352938890"</f>
        <v>1551689352938890</v>
      </c>
      <c r="C3122" t="s">
        <v>40</v>
      </c>
      <c r="D3122">
        <v>4.2351390000000002</v>
      </c>
      <c r="E3122">
        <v>0.44414870000000001</v>
      </c>
      <c r="F3122" t="s">
        <v>42</v>
      </c>
      <c r="G3122">
        <v>-491.54649999999998</v>
      </c>
      <c r="H3122" s="1">
        <v>-4.4437889999999996E-6</v>
      </c>
      <c r="I3122">
        <v>259.23899999999998</v>
      </c>
      <c r="J3122">
        <v>-490.22710000000001</v>
      </c>
      <c r="K3122">
        <v>1.117737</v>
      </c>
      <c r="L3122">
        <v>272.45179999999999</v>
      </c>
      <c r="M3122">
        <v>-0.4940214</v>
      </c>
      <c r="N3122">
        <v>-1.3214500000000001E-2</v>
      </c>
      <c r="O3122">
        <v>-0.86934940000000005</v>
      </c>
      <c r="P3122">
        <v>-0.21271090000000001</v>
      </c>
      <c r="Q3122">
        <v>0.3729903</v>
      </c>
      <c r="R3122">
        <v>-0.90312369999999997</v>
      </c>
      <c r="S3122">
        <v>-0.34716799999999998</v>
      </c>
      <c r="T3122">
        <v>-0.28165630000000003</v>
      </c>
      <c r="U3122">
        <v>-3.3576350000000001</v>
      </c>
      <c r="V3122">
        <v>-0.26775850000000001</v>
      </c>
      <c r="W3122">
        <v>0.38023230000000002</v>
      </c>
      <c r="X3122">
        <v>0.88528459999999998</v>
      </c>
      <c r="Y3122">
        <v>-0.4018272</v>
      </c>
      <c r="Z3122">
        <v>5.0872279999999999E-2</v>
      </c>
      <c r="AA3122">
        <v>0.91430129999999998</v>
      </c>
      <c r="AB3122">
        <v>25</v>
      </c>
      <c r="AC3122">
        <v>-1.3193999999999699</v>
      </c>
      <c r="AD3122">
        <v>-1.1177414437890001</v>
      </c>
      <c r="AE3122">
        <v>-13.2127999999999</v>
      </c>
      <c r="AF3122">
        <v>-5.3429968273112003</v>
      </c>
      <c r="AG3122">
        <v>-1.1177414437890001</v>
      </c>
      <c r="AH3122">
        <v>12.053999422118199</v>
      </c>
      <c r="AI3122">
        <v>94.845558756559697</v>
      </c>
      <c r="AJ3122">
        <v>113.90556019285199</v>
      </c>
      <c r="AK3122">
        <v>13.232379343876399</v>
      </c>
      <c r="AL3122">
        <v>67.651927868788405</v>
      </c>
      <c r="AM3122">
        <v>106.828188752938</v>
      </c>
      <c r="AN3122">
        <v>1.0000000196413401</v>
      </c>
    </row>
    <row r="3123" spans="1:40" x14ac:dyDescent="0.25">
      <c r="A3123" t="str">
        <f>"20190304164912955"</f>
        <v>20190304164912955</v>
      </c>
      <c r="B3123" t="str">
        <f>"1551689352948648"</f>
        <v>1551689352948648</v>
      </c>
      <c r="C3123" t="s">
        <v>40</v>
      </c>
      <c r="D3123">
        <v>4.2121620000000002</v>
      </c>
      <c r="E3123">
        <v>0.44343840000000001</v>
      </c>
      <c r="F3123" t="s">
        <v>42</v>
      </c>
      <c r="G3123">
        <v>-491.49299999999999</v>
      </c>
      <c r="H3123" s="1">
        <v>-4.3758139999999996E-6</v>
      </c>
      <c r="I3123">
        <v>259.06709999999998</v>
      </c>
      <c r="J3123">
        <v>-490.28719999999998</v>
      </c>
      <c r="K3123">
        <v>1.1176820000000001</v>
      </c>
      <c r="L3123">
        <v>272.33510000000001</v>
      </c>
      <c r="M3123">
        <v>-0.48935030000000002</v>
      </c>
      <c r="N3123">
        <v>-1.3129190000000001E-2</v>
      </c>
      <c r="O3123">
        <v>-0.8719886</v>
      </c>
      <c r="P3123">
        <v>-0.20913699999999999</v>
      </c>
      <c r="Q3123">
        <v>0.37333850000000002</v>
      </c>
      <c r="R3123">
        <v>-0.90381469999999997</v>
      </c>
      <c r="S3123">
        <v>-0.31805420000000001</v>
      </c>
      <c r="T3123">
        <v>-0.28083069999999999</v>
      </c>
      <c r="U3123">
        <v>-3.3628849999999999</v>
      </c>
      <c r="V3123">
        <v>-0.26638849999999997</v>
      </c>
      <c r="W3123">
        <v>0.38056469999999998</v>
      </c>
      <c r="X3123">
        <v>0.88555499999999998</v>
      </c>
      <c r="Y3123">
        <v>-0.4048967</v>
      </c>
      <c r="Z3123">
        <v>5.0920840000000002E-2</v>
      </c>
      <c r="AA3123">
        <v>0.91294350000000002</v>
      </c>
      <c r="AB3123">
        <v>25</v>
      </c>
      <c r="AC3123">
        <v>-1.2058000000000599</v>
      </c>
      <c r="AD3123">
        <v>-1.1176863758140001</v>
      </c>
      <c r="AE3123">
        <v>-13.268000000000001</v>
      </c>
      <c r="AF3123">
        <v>-5.4036925383765899</v>
      </c>
      <c r="AG3123">
        <v>-1.1176863758140001</v>
      </c>
      <c r="AH3123">
        <v>12.0756602348062</v>
      </c>
      <c r="AI3123">
        <v>94.829107257366402</v>
      </c>
      <c r="AJ3123">
        <v>114.107861987926</v>
      </c>
      <c r="AK3123">
        <v>13.276697103966301</v>
      </c>
      <c r="AL3123">
        <v>67.631333928346905</v>
      </c>
      <c r="AM3123">
        <v>106.74209121907199</v>
      </c>
      <c r="AN3123">
        <v>0.99999999092167002</v>
      </c>
    </row>
    <row r="3124" spans="1:40" x14ac:dyDescent="0.25">
      <c r="A3124" t="str">
        <f>"20190304164912967"</f>
        <v>20190304164912967</v>
      </c>
      <c r="B3124" t="str">
        <f>"1551689352959384"</f>
        <v>1551689352959384</v>
      </c>
      <c r="C3124" t="s">
        <v>40</v>
      </c>
      <c r="D3124">
        <v>4.1901440000000001</v>
      </c>
      <c r="E3124">
        <v>0.44320860000000001</v>
      </c>
      <c r="F3124" t="s">
        <v>41</v>
      </c>
      <c r="G3124">
        <v>-490.38339999999999</v>
      </c>
      <c r="H3124">
        <v>1.0273589999999999</v>
      </c>
      <c r="I3124">
        <v>271.25009999999997</v>
      </c>
      <c r="J3124">
        <v>-490.34809999999999</v>
      </c>
      <c r="K3124">
        <v>1.1176349999999999</v>
      </c>
      <c r="L3124">
        <v>272.21440000000001</v>
      </c>
      <c r="M3124">
        <v>-0.48458649999999998</v>
      </c>
      <c r="N3124">
        <v>-1.304608E-2</v>
      </c>
      <c r="O3124">
        <v>-0.87464609999999998</v>
      </c>
      <c r="P3124">
        <v>-0.20523810000000001</v>
      </c>
      <c r="Q3124">
        <v>0.3734654</v>
      </c>
      <c r="R3124">
        <v>-0.90465530000000005</v>
      </c>
      <c r="S3124">
        <v>-0.29772949999999998</v>
      </c>
      <c r="T3124">
        <v>-0.28018559999999998</v>
      </c>
      <c r="U3124">
        <v>-3.3661189999999999</v>
      </c>
      <c r="V3124">
        <v>-0.2653046</v>
      </c>
      <c r="W3124">
        <v>0.38066709999999998</v>
      </c>
      <c r="X3124">
        <v>0.88583639999999997</v>
      </c>
      <c r="Y3124">
        <v>-0.40546110000000002</v>
      </c>
      <c r="Z3124">
        <v>5.1096679999999998E-2</v>
      </c>
      <c r="AA3124">
        <v>0.91268309999999997</v>
      </c>
      <c r="AB3124">
        <v>25</v>
      </c>
      <c r="AC3124">
        <v>-3.53000000000065E-2</v>
      </c>
      <c r="AD3124">
        <v>-9.0275999999999995E-2</v>
      </c>
      <c r="AE3124">
        <v>-0.96430000000003602</v>
      </c>
      <c r="AF3124">
        <v>-0.43266195035042498</v>
      </c>
      <c r="AG3124">
        <v>-9.0275999999999995E-2</v>
      </c>
      <c r="AH3124">
        <v>0.85313318391777304</v>
      </c>
      <c r="AI3124">
        <v>95.391284581599294</v>
      </c>
      <c r="AJ3124">
        <v>116.89160211946999</v>
      </c>
      <c r="AK3124">
        <v>0.96082378663244505</v>
      </c>
      <c r="AL3124">
        <v>67.624990686798697</v>
      </c>
      <c r="AM3124">
        <v>106.672756234559</v>
      </c>
      <c r="AN3124">
        <v>1.00000004968426</v>
      </c>
    </row>
    <row r="3125" spans="1:40" x14ac:dyDescent="0.25">
      <c r="A3125" t="str">
        <f>"20190304164912978"</f>
        <v>20190304164912978</v>
      </c>
      <c r="B3125" t="str">
        <f>"1551689352969144"</f>
        <v>1551689352969144</v>
      </c>
      <c r="C3125" t="s">
        <v>40</v>
      </c>
      <c r="D3125">
        <v>4.2928189999999997</v>
      </c>
      <c r="E3125">
        <v>0.44385809999999998</v>
      </c>
      <c r="F3125" t="s">
        <v>42</v>
      </c>
      <c r="G3125">
        <v>-491.4692</v>
      </c>
      <c r="H3125" s="1">
        <v>-4.271441E-6</v>
      </c>
      <c r="I3125">
        <v>258.77280000000002</v>
      </c>
      <c r="J3125">
        <v>-490.4033</v>
      </c>
      <c r="K3125">
        <v>1.117594</v>
      </c>
      <c r="L3125">
        <v>272.10449999999997</v>
      </c>
      <c r="M3125">
        <v>-0.48025040000000002</v>
      </c>
      <c r="N3125">
        <v>-1.2972859999999999E-2</v>
      </c>
      <c r="O3125">
        <v>-0.87703560000000003</v>
      </c>
      <c r="P3125">
        <v>-0.20194509999999999</v>
      </c>
      <c r="Q3125">
        <v>0.37372420000000001</v>
      </c>
      <c r="R3125">
        <v>-0.90528960000000003</v>
      </c>
      <c r="S3125">
        <v>-0.28091430000000001</v>
      </c>
      <c r="T3125">
        <v>-0.2800494</v>
      </c>
      <c r="U3125">
        <v>-3.3681030000000001</v>
      </c>
      <c r="V3125">
        <v>-0.264053599999999</v>
      </c>
      <c r="W3125">
        <v>0.38090780000000002</v>
      </c>
      <c r="X3125">
        <v>0.88610659999999897</v>
      </c>
      <c r="Y3125">
        <v>-0.40550920000000001</v>
      </c>
      <c r="Z3125">
        <v>5.1379759999999997E-2</v>
      </c>
      <c r="AA3125">
        <v>0.91264579999999995</v>
      </c>
      <c r="AB3125">
        <v>25</v>
      </c>
      <c r="AC3125">
        <v>-1.0658999999999901</v>
      </c>
      <c r="AD3125">
        <v>-1.117598271441</v>
      </c>
      <c r="AE3125">
        <v>-13.3316999999999</v>
      </c>
      <c r="AF3125">
        <v>-5.4302629177304196</v>
      </c>
      <c r="AG3125">
        <v>-1.117598271441</v>
      </c>
      <c r="AH3125">
        <v>12.1206635276433</v>
      </c>
      <c r="AI3125">
        <v>94.809936281586204</v>
      </c>
      <c r="AJ3125">
        <v>114.133189252853</v>
      </c>
      <c r="AK3125">
        <v>13.328438228177699</v>
      </c>
      <c r="AL3125">
        <v>67.610074339120999</v>
      </c>
      <c r="AM3125">
        <v>106.59369035526601</v>
      </c>
      <c r="AN3125">
        <v>0.99999998116867905</v>
      </c>
    </row>
    <row r="3126" spans="1:40" x14ac:dyDescent="0.25">
      <c r="A3126" t="str">
        <f>"20190304164912991"</f>
        <v>20190304164912991</v>
      </c>
      <c r="B3126" t="str">
        <f>"1551689352988665"</f>
        <v>1551689352988665</v>
      </c>
      <c r="C3126" t="s">
        <v>40</v>
      </c>
      <c r="D3126">
        <v>4.166283</v>
      </c>
      <c r="E3126">
        <v>0.44445259999999998</v>
      </c>
      <c r="F3126" t="s">
        <v>42</v>
      </c>
      <c r="G3126">
        <v>-491.48259999999999</v>
      </c>
      <c r="H3126" s="1">
        <v>-4.2669289999999999E-6</v>
      </c>
      <c r="I3126">
        <v>258.7525</v>
      </c>
      <c r="J3126">
        <v>-490.46559999999999</v>
      </c>
      <c r="K3126">
        <v>1.1175539999999999</v>
      </c>
      <c r="L3126">
        <v>271.97840000000002</v>
      </c>
      <c r="M3126">
        <v>-0.47530699999999998</v>
      </c>
      <c r="N3126">
        <v>-1.2894269999999999E-2</v>
      </c>
      <c r="O3126">
        <v>-0.87972549999999905</v>
      </c>
      <c r="P3126">
        <v>-0.19811000000000001</v>
      </c>
      <c r="Q3126">
        <v>0.37400489999999997</v>
      </c>
      <c r="R3126">
        <v>-0.90602020000000005</v>
      </c>
      <c r="S3126">
        <v>-0.27239989999999997</v>
      </c>
      <c r="T3126">
        <v>-0.28204309999999899</v>
      </c>
      <c r="U3126">
        <v>-3.3695680000000001</v>
      </c>
      <c r="V3126">
        <v>-0.26272899999999999</v>
      </c>
      <c r="W3126">
        <v>0.38116519999999998</v>
      </c>
      <c r="X3126">
        <v>0.8863896</v>
      </c>
      <c r="Y3126">
        <v>-0.40269359999999998</v>
      </c>
      <c r="Z3126">
        <v>5.2258279999999997E-2</v>
      </c>
      <c r="AA3126">
        <v>0.91384189999999998</v>
      </c>
      <c r="AB3126">
        <v>25</v>
      </c>
      <c r="AC3126">
        <v>-1.0169999999999899</v>
      </c>
      <c r="AD3126">
        <v>-1.1175582669290001</v>
      </c>
      <c r="AE3126">
        <v>-13.225899999999999</v>
      </c>
      <c r="AF3126">
        <v>-5.3541273604863404</v>
      </c>
      <c r="AG3126">
        <v>-1.1175582669290001</v>
      </c>
      <c r="AH3126">
        <v>12.034139439315</v>
      </c>
      <c r="AI3126">
        <v>94.849759163137804</v>
      </c>
      <c r="AJ3126">
        <v>113.984832657482</v>
      </c>
      <c r="AK3126">
        <v>13.2187793807585</v>
      </c>
      <c r="AL3126">
        <v>67.594123012734698</v>
      </c>
      <c r="AM3126">
        <v>106.510009013523</v>
      </c>
      <c r="AN3126">
        <v>0.99999998006009905</v>
      </c>
    </row>
    <row r="3127" spans="1:40" x14ac:dyDescent="0.25">
      <c r="A3127" t="str">
        <f>"20190304164913003"</f>
        <v>20190304164913003</v>
      </c>
      <c r="B3127" t="str">
        <f>"1551689352999401"</f>
        <v>1551689352999401</v>
      </c>
      <c r="C3127" t="s">
        <v>40</v>
      </c>
      <c r="D3127">
        <v>4.3727199999999904</v>
      </c>
      <c r="E3127">
        <v>0.44508419999999999</v>
      </c>
      <c r="F3127" t="s">
        <v>42</v>
      </c>
      <c r="G3127">
        <v>-491.49439999999998</v>
      </c>
      <c r="H3127" s="1">
        <v>-4.2537870000000001E-6</v>
      </c>
      <c r="I3127">
        <v>258.70769999999999</v>
      </c>
      <c r="J3127">
        <v>-490.52140000000003</v>
      </c>
      <c r="K3127">
        <v>1.117532</v>
      </c>
      <c r="L3127">
        <v>271.86410000000001</v>
      </c>
      <c r="M3127">
        <v>-0.47084039999999999</v>
      </c>
      <c r="N3127">
        <v>-1.282841E-2</v>
      </c>
      <c r="O3127">
        <v>-0.88212520000000005</v>
      </c>
      <c r="P3127">
        <v>-0.1949234</v>
      </c>
      <c r="Q3127">
        <v>0.37400630000000001</v>
      </c>
      <c r="R3127">
        <v>-0.90671080000000004</v>
      </c>
      <c r="S3127">
        <v>-0.26135249999999999</v>
      </c>
      <c r="T3127">
        <v>-0.28389629999999999</v>
      </c>
      <c r="U3127">
        <v>-3.3711850000000001</v>
      </c>
      <c r="V3127">
        <v>-0.26132030000000001</v>
      </c>
      <c r="W3127">
        <v>0.38115070000000001</v>
      </c>
      <c r="X3127">
        <v>0.88681219999999905</v>
      </c>
      <c r="Y3127">
        <v>-0.40106779999999997</v>
      </c>
      <c r="Z3127">
        <v>5.3034850000000001E-2</v>
      </c>
      <c r="AA3127">
        <v>0.91451190000000004</v>
      </c>
      <c r="AB3127">
        <v>25</v>
      </c>
      <c r="AC3127">
        <v>-0.97299999999995601</v>
      </c>
      <c r="AD3127">
        <v>-1.1175362537869999</v>
      </c>
      <c r="AE3127">
        <v>-13.1564</v>
      </c>
      <c r="AF3127">
        <v>-5.2986725673563999</v>
      </c>
      <c r="AG3127">
        <v>-1.1175362537869999</v>
      </c>
      <c r="AH3127">
        <v>11.9787526636847</v>
      </c>
      <c r="AI3127">
        <v>94.876605172757493</v>
      </c>
      <c r="AJ3127">
        <v>113.86168783470499</v>
      </c>
      <c r="AK3127">
        <v>13.145924601651901</v>
      </c>
      <c r="AL3127">
        <v>67.595022504056104</v>
      </c>
      <c r="AM3127">
        <v>106.418862853452</v>
      </c>
      <c r="AN3127">
        <v>1.0000000166856999</v>
      </c>
    </row>
    <row r="3128" spans="1:40" x14ac:dyDescent="0.25">
      <c r="A3128" t="str">
        <f>"20190304164913014"</f>
        <v>20190304164913014</v>
      </c>
      <c r="B3128" t="str">
        <f>"1551689353009160"</f>
        <v>1551689353009160</v>
      </c>
      <c r="C3128" t="s">
        <v>40</v>
      </c>
      <c r="D3128">
        <v>4.1837939999999998</v>
      </c>
      <c r="E3128">
        <v>0.44580520000000001</v>
      </c>
      <c r="F3128" t="s">
        <v>42</v>
      </c>
      <c r="G3128">
        <v>-491.51909999999998</v>
      </c>
      <c r="H3128" s="1">
        <v>-4.1991470000000004E-6</v>
      </c>
      <c r="I3128">
        <v>258.53429999999997</v>
      </c>
      <c r="J3128">
        <v>-490.577</v>
      </c>
      <c r="K3128">
        <v>1.1175120000000001</v>
      </c>
      <c r="L3128">
        <v>271.74900000000002</v>
      </c>
      <c r="M3128">
        <v>-0.46634969999999998</v>
      </c>
      <c r="N3128">
        <v>-1.276498E-2</v>
      </c>
      <c r="O3128">
        <v>-0.88450859999999998</v>
      </c>
      <c r="P3128">
        <v>-0.191858</v>
      </c>
      <c r="Q3128">
        <v>0.3746565</v>
      </c>
      <c r="R3128">
        <v>-0.90709600000000001</v>
      </c>
      <c r="S3128">
        <v>-0.25231930000000002</v>
      </c>
      <c r="T3128">
        <v>-0.28261760000000002</v>
      </c>
      <c r="U3128">
        <v>-3.3710019999999998</v>
      </c>
      <c r="V3128">
        <v>-0.25966719999999999</v>
      </c>
      <c r="W3128">
        <v>0.38178679999999998</v>
      </c>
      <c r="X3128">
        <v>0.88702420000000004</v>
      </c>
      <c r="Y3128">
        <v>-0.39884839999999999</v>
      </c>
      <c r="Z3128">
        <v>5.3134569999999999E-2</v>
      </c>
      <c r="AA3128">
        <v>0.91547619999999996</v>
      </c>
      <c r="AB3128">
        <v>25</v>
      </c>
      <c r="AC3128">
        <v>-0.94209999999998195</v>
      </c>
      <c r="AD3128">
        <v>-1.117516199147</v>
      </c>
      <c r="AE3128">
        <v>-13.214700000000001</v>
      </c>
      <c r="AF3128">
        <v>-5.2921537795540496</v>
      </c>
      <c r="AG3128">
        <v>-1.117516199147</v>
      </c>
      <c r="AH3128">
        <v>12.043159005919399</v>
      </c>
      <c r="AI3128">
        <v>94.855746134159304</v>
      </c>
      <c r="AJ3128">
        <v>113.722240638035</v>
      </c>
      <c r="AK3128">
        <v>13.2020230617759</v>
      </c>
      <c r="AL3128">
        <v>67.555596579045698</v>
      </c>
      <c r="AM3128">
        <v>106.316848686255</v>
      </c>
      <c r="AN3128">
        <v>1.00000007339785</v>
      </c>
    </row>
    <row r="3129" spans="1:40" x14ac:dyDescent="0.25">
      <c r="A3129" t="str">
        <f>"20190304164913025"</f>
        <v>20190304164913025</v>
      </c>
      <c r="B3129" t="str">
        <f>"1551689353018920"</f>
        <v>1551689353018920</v>
      </c>
      <c r="C3129" t="s">
        <v>40</v>
      </c>
      <c r="D3129">
        <v>4.1776669999999996</v>
      </c>
      <c r="E3129">
        <v>0.44646150000000001</v>
      </c>
      <c r="F3129" t="s">
        <v>42</v>
      </c>
      <c r="G3129">
        <v>-491.55669999999998</v>
      </c>
      <c r="H3129" s="1">
        <v>-4.1067900000000004E-6</v>
      </c>
      <c r="I3129">
        <v>258.24329999999998</v>
      </c>
      <c r="J3129">
        <v>-490.63209999999998</v>
      </c>
      <c r="K3129">
        <v>1.1175040000000001</v>
      </c>
      <c r="L3129">
        <v>271.63290000000001</v>
      </c>
      <c r="M3129">
        <v>-0.46183259999999998</v>
      </c>
      <c r="N3129">
        <v>-1.2705620000000001E-2</v>
      </c>
      <c r="O3129">
        <v>-0.88687609999999995</v>
      </c>
      <c r="P3129">
        <v>-0.18892970000000001</v>
      </c>
      <c r="Q3129">
        <v>0.37503540000000002</v>
      </c>
      <c r="R3129">
        <v>-0.90755379999999997</v>
      </c>
      <c r="S3129">
        <v>-0.2445068</v>
      </c>
      <c r="T3129">
        <v>-0.27891310000000002</v>
      </c>
      <c r="U3129">
        <v>-3.3707889999999998</v>
      </c>
      <c r="V3129">
        <v>-0.25791950000000002</v>
      </c>
      <c r="W3129">
        <v>0.38215209999999999</v>
      </c>
      <c r="X3129">
        <v>0.88737659999999996</v>
      </c>
      <c r="Y3129">
        <v>-0.39628340000000001</v>
      </c>
      <c r="Z3129">
        <v>5.2669500000000001E-2</v>
      </c>
      <c r="AA3129">
        <v>0.91661630000000005</v>
      </c>
      <c r="AB3129">
        <v>25</v>
      </c>
      <c r="AC3129">
        <v>-0.92459999999999798</v>
      </c>
      <c r="AD3129">
        <v>-1.1175081067899999</v>
      </c>
      <c r="AE3129">
        <v>-13.3896</v>
      </c>
      <c r="AF3129">
        <v>-5.3272491024633704</v>
      </c>
      <c r="AG3129">
        <v>-1.1175081067899999</v>
      </c>
      <c r="AH3129">
        <v>12.2182149516425</v>
      </c>
      <c r="AI3129">
        <v>94.792461955565599</v>
      </c>
      <c r="AJ3129">
        <v>113.55762481267</v>
      </c>
      <c r="AK3129">
        <v>13.375843299507499</v>
      </c>
      <c r="AL3129">
        <v>67.5329465803256</v>
      </c>
      <c r="AM3129">
        <v>106.206714055123</v>
      </c>
      <c r="AN3129">
        <v>0.99999996312110895</v>
      </c>
    </row>
    <row r="3130" spans="1:40" x14ac:dyDescent="0.25">
      <c r="A3130" t="str">
        <f>"20190304164913043"</f>
        <v>20190304164913043</v>
      </c>
      <c r="B3130" t="str">
        <f>"1551689353039415"</f>
        <v>1551689353039415</v>
      </c>
      <c r="C3130" t="s">
        <v>40</v>
      </c>
      <c r="D3130">
        <v>4.1432039999999999</v>
      </c>
      <c r="E3130">
        <v>0.44733109999999998</v>
      </c>
      <c r="F3130" t="s">
        <v>42</v>
      </c>
      <c r="G3130">
        <v>-491.58839999999998</v>
      </c>
      <c r="H3130" s="1">
        <v>-4.0341199999999998E-6</v>
      </c>
      <c r="I3130">
        <v>258.01330000000002</v>
      </c>
      <c r="J3130">
        <v>-490.71530000000001</v>
      </c>
      <c r="K3130">
        <v>1.117494</v>
      </c>
      <c r="L3130">
        <v>271.45499999999998</v>
      </c>
      <c r="M3130">
        <v>-0.45491369999999998</v>
      </c>
      <c r="N3130">
        <v>-1.261869E-2</v>
      </c>
      <c r="O3130">
        <v>-0.89044619999999997</v>
      </c>
      <c r="P3130">
        <v>-0.1855955</v>
      </c>
      <c r="Q3130">
        <v>0.37534390000000001</v>
      </c>
      <c r="R3130">
        <v>-0.90811430000000004</v>
      </c>
      <c r="S3130">
        <v>-0.23666380000000001</v>
      </c>
      <c r="T3130">
        <v>-0.27656360000000002</v>
      </c>
      <c r="U3130">
        <v>-3.3706049999999999</v>
      </c>
      <c r="V3130">
        <v>-0.25418610000000003</v>
      </c>
      <c r="W3130">
        <v>0.382461</v>
      </c>
      <c r="X3130">
        <v>0.88832029999999995</v>
      </c>
      <c r="Y3130">
        <v>-0.39125860000000001</v>
      </c>
      <c r="Z3130">
        <v>5.2725609999999999E-2</v>
      </c>
      <c r="AA3130">
        <v>0.91876910000000001</v>
      </c>
      <c r="AB3130">
        <v>25</v>
      </c>
      <c r="AC3130">
        <v>-0.87309999999996502</v>
      </c>
      <c r="AD3130">
        <v>-1.11749803412</v>
      </c>
      <c r="AE3130">
        <v>-13.4416999999999</v>
      </c>
      <c r="AF3130">
        <v>-5.3013024253841703</v>
      </c>
      <c r="AG3130">
        <v>-1.11749803412</v>
      </c>
      <c r="AH3130">
        <v>12.2827416332485</v>
      </c>
      <c r="AI3130">
        <v>94.774992994380995</v>
      </c>
      <c r="AJ3130">
        <v>113.34530751079301</v>
      </c>
      <c r="AK3130">
        <v>13.4245428708311</v>
      </c>
      <c r="AL3130">
        <v>67.513793142121401</v>
      </c>
      <c r="AM3130">
        <v>105.968071065556</v>
      </c>
      <c r="AN3130">
        <v>0.999999972673149</v>
      </c>
    </row>
    <row r="3131" spans="1:40" x14ac:dyDescent="0.25">
      <c r="A3131" t="str">
        <f>"20190304164913055"</f>
        <v>20190304164913055</v>
      </c>
      <c r="B3131" t="str">
        <f>"1551689353049176"</f>
        <v>1551689353049176</v>
      </c>
      <c r="C3131" t="s">
        <v>40</v>
      </c>
      <c r="D3131">
        <v>4.1492589999999998</v>
      </c>
      <c r="E3131">
        <v>0.44771119999999998</v>
      </c>
      <c r="F3131" t="s">
        <v>42</v>
      </c>
      <c r="G3131">
        <v>-491.62959999999998</v>
      </c>
      <c r="H3131" s="1">
        <v>-3.9566450000000001E-6</v>
      </c>
      <c r="I3131">
        <v>257.8014</v>
      </c>
      <c r="J3131">
        <v>-490.77210000000002</v>
      </c>
      <c r="K3131">
        <v>1.117486</v>
      </c>
      <c r="L3131">
        <v>271.3322</v>
      </c>
      <c r="M3131">
        <v>-0.45014159999999998</v>
      </c>
      <c r="N3131">
        <v>-1.256138E-2</v>
      </c>
      <c r="O3131">
        <v>-0.89286889999999997</v>
      </c>
      <c r="P3131">
        <v>-0.18217130000000001</v>
      </c>
      <c r="Q3131">
        <v>0.37526769999999998</v>
      </c>
      <c r="R3131">
        <v>-0.90883899999999995</v>
      </c>
      <c r="S3131">
        <v>-0.225769</v>
      </c>
      <c r="T3131">
        <v>-0.27594269999999999</v>
      </c>
      <c r="U3131">
        <v>-3.3714599999999999</v>
      </c>
      <c r="V3131">
        <v>-0.25278390000000001</v>
      </c>
      <c r="W3131">
        <v>0.3823627</v>
      </c>
      <c r="X3131">
        <v>0.88876270000000002</v>
      </c>
      <c r="Y3131">
        <v>-0.38930920000000002</v>
      </c>
      <c r="Z3131">
        <v>5.2938869999999999E-2</v>
      </c>
      <c r="AA3131">
        <v>0.91958459999999997</v>
      </c>
      <c r="AB3131">
        <v>25</v>
      </c>
      <c r="AC3131">
        <v>-0.85749999999995896</v>
      </c>
      <c r="AD3131">
        <v>-1.1174899566450001</v>
      </c>
      <c r="AE3131">
        <v>-13.530799999999999</v>
      </c>
      <c r="AF3131">
        <v>-5.2896251659435398</v>
      </c>
      <c r="AG3131">
        <v>-1.1174899566450001</v>
      </c>
      <c r="AH3131">
        <v>12.3840774980718</v>
      </c>
      <c r="AI3131">
        <v>94.743718816886499</v>
      </c>
      <c r="AJ3131">
        <v>113.12883702813301</v>
      </c>
      <c r="AK3131">
        <v>13.5127456010107</v>
      </c>
      <c r="AL3131">
        <v>67.519890116735994</v>
      </c>
      <c r="AM3131">
        <v>105.876932191427</v>
      </c>
      <c r="AN3131">
        <v>1.00000003568089</v>
      </c>
    </row>
    <row r="3132" spans="1:40" x14ac:dyDescent="0.25">
      <c r="A3132" t="str">
        <f>"20190304164913068"</f>
        <v>20190304164913068</v>
      </c>
      <c r="B3132" t="str">
        <f>"1551689353058936"</f>
        <v>1551689353058936</v>
      </c>
      <c r="C3132" t="s">
        <v>40</v>
      </c>
      <c r="D3132">
        <v>4.1314529999999996</v>
      </c>
      <c r="E3132">
        <v>0.44806210000000002</v>
      </c>
      <c r="F3132" t="s">
        <v>42</v>
      </c>
      <c r="G3132">
        <v>-491.63400000000001</v>
      </c>
      <c r="H3132" s="1">
        <v>-3.9339550000000002E-6</v>
      </c>
      <c r="I3132">
        <v>257.74579999999997</v>
      </c>
      <c r="J3132">
        <v>-490.83350000000002</v>
      </c>
      <c r="K3132">
        <v>1.11748799999999</v>
      </c>
      <c r="L3132">
        <v>271.1961</v>
      </c>
      <c r="M3132">
        <v>-0.44485629999999998</v>
      </c>
      <c r="N3132">
        <v>-1.250425E-2</v>
      </c>
      <c r="O3132">
        <v>-0.895514699999999</v>
      </c>
      <c r="P3132">
        <v>-0.1781382</v>
      </c>
      <c r="Q3132">
        <v>0.37513259999999998</v>
      </c>
      <c r="R3132">
        <v>-0.9096938</v>
      </c>
      <c r="S3132">
        <v>-0.2139587</v>
      </c>
      <c r="T3132">
        <v>-0.27739750000000002</v>
      </c>
      <c r="U3132">
        <v>-3.3725890000000001</v>
      </c>
      <c r="V3132">
        <v>-0.25149100000000002</v>
      </c>
      <c r="W3132">
        <v>0.3822006</v>
      </c>
      <c r="X3132">
        <v>0.88919910000000002</v>
      </c>
      <c r="Y3132">
        <v>-0.38709569999999999</v>
      </c>
      <c r="Z3132">
        <v>5.3666970000000001E-2</v>
      </c>
      <c r="AA3132">
        <v>0.92047639999999997</v>
      </c>
      <c r="AB3132">
        <v>25</v>
      </c>
      <c r="AC3132">
        <v>-0.80049999999999899</v>
      </c>
      <c r="AD3132">
        <v>-1.11749193395499</v>
      </c>
      <c r="AE3132">
        <v>-13.4503</v>
      </c>
      <c r="AF3132">
        <v>-5.2310215813523202</v>
      </c>
      <c r="AG3132">
        <v>-1.11749193395499</v>
      </c>
      <c r="AH3132">
        <v>12.317294422676801</v>
      </c>
      <c r="AI3132">
        <v>94.773510014583096</v>
      </c>
      <c r="AJ3132">
        <v>113.01040587144399</v>
      </c>
      <c r="AK3132">
        <v>13.4286304924193</v>
      </c>
      <c r="AL3132">
        <v>67.529941061476407</v>
      </c>
      <c r="AM3132">
        <v>105.792424139617</v>
      </c>
      <c r="AN3132">
        <v>1.0000000305810799</v>
      </c>
    </row>
    <row r="3133" spans="1:40" x14ac:dyDescent="0.25">
      <c r="A3133" t="str">
        <f>"20190304164913082"</f>
        <v>20190304164913082</v>
      </c>
      <c r="B3133" t="str">
        <f>"1551689353079432"</f>
        <v>1551689353079432</v>
      </c>
      <c r="C3133" t="s">
        <v>40</v>
      </c>
      <c r="D3133">
        <v>4.2821530000000001</v>
      </c>
      <c r="E3133">
        <v>0.44901530000000001</v>
      </c>
      <c r="F3133" t="s">
        <v>42</v>
      </c>
      <c r="G3133">
        <v>-491.63189999999997</v>
      </c>
      <c r="H3133" s="1">
        <v>-3.9059710000000002E-6</v>
      </c>
      <c r="I3133">
        <v>257.68189999999998</v>
      </c>
      <c r="J3133">
        <v>-490.8922</v>
      </c>
      <c r="K3133">
        <v>1.1174919999999999</v>
      </c>
      <c r="L3133">
        <v>271.06479999999999</v>
      </c>
      <c r="M3133">
        <v>-0.43974609999999897</v>
      </c>
      <c r="N3133">
        <v>-1.2452309999999999E-2</v>
      </c>
      <c r="O3133">
        <v>-0.8980359</v>
      </c>
      <c r="P3133">
        <v>-0.1743054</v>
      </c>
      <c r="Q3133">
        <v>0.37491740000000001</v>
      </c>
      <c r="R3133">
        <v>-0.91052420000000001</v>
      </c>
      <c r="S3133">
        <v>-0.1993103</v>
      </c>
      <c r="T3133">
        <v>-0.27898030000000001</v>
      </c>
      <c r="U3133">
        <v>-3.3738100000000002</v>
      </c>
      <c r="V3133">
        <v>-0.25020130000000002</v>
      </c>
      <c r="W3133">
        <v>0.381963</v>
      </c>
      <c r="X3133">
        <v>0.88966489999999998</v>
      </c>
      <c r="Y3133">
        <v>-0.38584740000000001</v>
      </c>
      <c r="Z3133">
        <v>5.438863E-2</v>
      </c>
      <c r="AA3133">
        <v>0.92095800000000005</v>
      </c>
      <c r="AB3133">
        <v>25</v>
      </c>
      <c r="AC3133">
        <v>-0.73969999999997005</v>
      </c>
      <c r="AD3133">
        <v>-1.1174959059709999</v>
      </c>
      <c r="AE3133">
        <v>-13.382899999999999</v>
      </c>
      <c r="AF3133">
        <v>-5.1851616309565802</v>
      </c>
      <c r="AG3133">
        <v>-1.1174959059709999</v>
      </c>
      <c r="AH3133">
        <v>12.2593424047997</v>
      </c>
      <c r="AI3133">
        <v>94.798960746879104</v>
      </c>
      <c r="AJ3133">
        <v>112.926220510349</v>
      </c>
      <c r="AK3133">
        <v>13.3576260779049</v>
      </c>
      <c r="AL3133">
        <v>67.5446721774113</v>
      </c>
      <c r="AM3133">
        <v>105.707626049749</v>
      </c>
      <c r="AN3133">
        <v>1.00000002909134</v>
      </c>
    </row>
    <row r="3134" spans="1:40" x14ac:dyDescent="0.25">
      <c r="A3134" t="str">
        <f>"20190304164913097"</f>
        <v>20190304164913097</v>
      </c>
      <c r="B3134" t="str">
        <f>"1551689353089192"</f>
        <v>1551689353089192</v>
      </c>
      <c r="C3134" t="s">
        <v>40</v>
      </c>
      <c r="D3134">
        <v>4.1487809999999996</v>
      </c>
      <c r="E3134">
        <v>0.44945109999999999</v>
      </c>
      <c r="F3134" t="s">
        <v>42</v>
      </c>
      <c r="G3134">
        <v>-491.65010000000001</v>
      </c>
      <c r="H3134" s="1">
        <v>-3.9083009999999997E-6</v>
      </c>
      <c r="I3134">
        <v>257.67599999999999</v>
      </c>
      <c r="J3134">
        <v>-490.959</v>
      </c>
      <c r="K3134">
        <v>1.1175029999999999</v>
      </c>
      <c r="L3134">
        <v>270.91309999999999</v>
      </c>
      <c r="M3134">
        <v>-0.43384129999999899</v>
      </c>
      <c r="N3134">
        <v>-1.239645E-2</v>
      </c>
      <c r="O3134">
        <v>-0.90090409999999999</v>
      </c>
      <c r="P3134">
        <v>-0.16954559999999999</v>
      </c>
      <c r="Q3134">
        <v>0.37476029999999999</v>
      </c>
      <c r="R3134">
        <v>-0.91148739999999995</v>
      </c>
      <c r="S3134">
        <v>-0.1910095</v>
      </c>
      <c r="T3134">
        <v>-0.28162969999999998</v>
      </c>
      <c r="U3134">
        <v>-3.3742070000000002</v>
      </c>
      <c r="V3134">
        <v>-0.24903410000000001</v>
      </c>
      <c r="W3134">
        <v>0.38177529999999998</v>
      </c>
      <c r="X3134">
        <v>0.8900728</v>
      </c>
      <c r="Y3134">
        <v>-0.38205869999999997</v>
      </c>
      <c r="Z3134">
        <v>5.5478510000000002E-2</v>
      </c>
      <c r="AA3134">
        <v>0.92247129999999999</v>
      </c>
      <c r="AB3134">
        <v>25</v>
      </c>
      <c r="AC3134">
        <v>-0.69110000000000504</v>
      </c>
      <c r="AD3134">
        <v>-1.1175069083010001</v>
      </c>
      <c r="AE3134">
        <v>-13.2370999999999</v>
      </c>
      <c r="AF3134">
        <v>-5.0844399814318804</v>
      </c>
      <c r="AG3134">
        <v>-1.1175069083010001</v>
      </c>
      <c r="AH3134">
        <v>12.139836948518299</v>
      </c>
      <c r="AI3134">
        <v>94.853158287003893</v>
      </c>
      <c r="AJ3134">
        <v>112.725044808025</v>
      </c>
      <c r="AK3134">
        <v>13.208936094610101</v>
      </c>
      <c r="AL3134">
        <v>67.556307175116302</v>
      </c>
      <c r="AM3134">
        <v>105.631126160536</v>
      </c>
      <c r="AN3134">
        <v>0.99999997597636903</v>
      </c>
    </row>
    <row r="3135" spans="1:40" x14ac:dyDescent="0.25">
      <c r="A3135" t="str">
        <f>"20190304164913109"</f>
        <v>20190304164913109</v>
      </c>
      <c r="B3135" t="str">
        <f>"1551689353098951"</f>
        <v>1551689353098951</v>
      </c>
      <c r="C3135" t="s">
        <v>40</v>
      </c>
      <c r="D3135">
        <v>4.1505400000000003</v>
      </c>
      <c r="E3135">
        <v>0.4498337</v>
      </c>
      <c r="F3135" t="s">
        <v>42</v>
      </c>
      <c r="G3135">
        <v>-491.64980000000003</v>
      </c>
      <c r="H3135" s="1">
        <v>-3.8904299999999996E-6</v>
      </c>
      <c r="I3135">
        <v>257.6345</v>
      </c>
      <c r="J3135">
        <v>-491.01949999999999</v>
      </c>
      <c r="K3135">
        <v>1.117505</v>
      </c>
      <c r="L3135">
        <v>270.7722</v>
      </c>
      <c r="M3135">
        <v>-0.42835699999999999</v>
      </c>
      <c r="N3135">
        <v>-1.2347510000000001E-2</v>
      </c>
      <c r="O3135">
        <v>-0.90352520000000003</v>
      </c>
      <c r="P3135">
        <v>-0.16607520000000001</v>
      </c>
      <c r="Q3135">
        <v>0.37438670000000002</v>
      </c>
      <c r="R3135">
        <v>-0.91227919999999996</v>
      </c>
      <c r="S3135">
        <v>-0.1756287</v>
      </c>
      <c r="T3135">
        <v>-0.28407450000000001</v>
      </c>
      <c r="U3135">
        <v>-3.3754580000000001</v>
      </c>
      <c r="V3135">
        <v>-0.24706710000000001</v>
      </c>
      <c r="W3135">
        <v>0.38139450000000003</v>
      </c>
      <c r="X3135">
        <v>0.89078400000000002</v>
      </c>
      <c r="Y3135">
        <v>-0.3806543</v>
      </c>
      <c r="Z3135">
        <v>5.6426730000000001E-2</v>
      </c>
      <c r="AA3135">
        <v>0.92299419999999999</v>
      </c>
      <c r="AB3135">
        <v>25</v>
      </c>
      <c r="AC3135">
        <v>-0.63030000000003295</v>
      </c>
      <c r="AD3135">
        <v>-1.1175088904299999</v>
      </c>
      <c r="AE3135">
        <v>-13.137699999999899</v>
      </c>
      <c r="AF3135">
        <v>-5.02226482715926</v>
      </c>
      <c r="AG3135">
        <v>-1.1175088904299999</v>
      </c>
      <c r="AH3135">
        <v>12.0541457693732</v>
      </c>
      <c r="AI3135">
        <v>94.891274523747299</v>
      </c>
      <c r="AJ3135">
        <v>112.618666482573</v>
      </c>
      <c r="AK3135">
        <v>13.1062733201932</v>
      </c>
      <c r="AL3135">
        <v>67.579912628020494</v>
      </c>
      <c r="AM3135">
        <v>105.501841569091</v>
      </c>
      <c r="AN3135">
        <v>1.00000002559432</v>
      </c>
    </row>
    <row r="3136" spans="1:40" x14ac:dyDescent="0.25">
      <c r="A3136" t="str">
        <f>"20190304164913121"</f>
        <v>20190304164913121</v>
      </c>
      <c r="B3136" t="str">
        <f>"1551689353118473"</f>
        <v>1551689353118473</v>
      </c>
      <c r="C3136" t="s">
        <v>40</v>
      </c>
      <c r="D3136">
        <v>4.120959</v>
      </c>
      <c r="E3136">
        <v>0.45061420000000002</v>
      </c>
      <c r="F3136" t="s">
        <v>42</v>
      </c>
      <c r="G3136">
        <v>-491.65089999999998</v>
      </c>
      <c r="H3136" s="1">
        <v>-3.8963310000000001E-6</v>
      </c>
      <c r="I3136">
        <v>257.64760000000001</v>
      </c>
      <c r="J3136">
        <v>-491.0684</v>
      </c>
      <c r="K3136">
        <v>1.11751</v>
      </c>
      <c r="L3136">
        <v>270.6574</v>
      </c>
      <c r="M3136">
        <v>-0.42387740000000002</v>
      </c>
      <c r="N3136">
        <v>-1.230885E-2</v>
      </c>
      <c r="O3136">
        <v>-0.905636</v>
      </c>
      <c r="P3136">
        <v>-0.1623349</v>
      </c>
      <c r="Q3136">
        <v>0.3743977</v>
      </c>
      <c r="R3136">
        <v>-0.91294810000000004</v>
      </c>
      <c r="S3136">
        <v>-0.16244510000000001</v>
      </c>
      <c r="T3136">
        <v>-0.28752949999999999</v>
      </c>
      <c r="U3136">
        <v>-3.3768919999999998</v>
      </c>
      <c r="V3136">
        <v>-0.24630640000000001</v>
      </c>
      <c r="W3136">
        <v>0.3813821</v>
      </c>
      <c r="X3136">
        <v>0.89099989999999996</v>
      </c>
      <c r="Y3136">
        <v>-0.37969130000000001</v>
      </c>
      <c r="Z3136">
        <v>5.7539519999999997E-2</v>
      </c>
      <c r="AA3136">
        <v>0.92332210000000003</v>
      </c>
      <c r="AB3136">
        <v>25</v>
      </c>
      <c r="AC3136">
        <v>-0.58249999999998103</v>
      </c>
      <c r="AD3136">
        <v>-1.1175138963310001</v>
      </c>
      <c r="AE3136">
        <v>-13.009799999999901</v>
      </c>
      <c r="AF3136">
        <v>-4.9509475627831998</v>
      </c>
      <c r="AG3136">
        <v>-1.1175138963310001</v>
      </c>
      <c r="AH3136">
        <v>11.942025189238599</v>
      </c>
      <c r="AI3136">
        <v>94.940581639803696</v>
      </c>
      <c r="AJ3136">
        <v>112.51801149454499</v>
      </c>
      <c r="AK3136">
        <v>12.975850056868399</v>
      </c>
      <c r="AL3136">
        <v>67.580680235744595</v>
      </c>
      <c r="AM3136">
        <v>105.452831751372</v>
      </c>
      <c r="AN3136">
        <v>0.99999998534068901</v>
      </c>
    </row>
    <row r="3137" spans="1:40" x14ac:dyDescent="0.25">
      <c r="A3137" t="str">
        <f>"20190304164913134"</f>
        <v>20190304164913134</v>
      </c>
      <c r="B3137" t="str">
        <f>"1551689353129209"</f>
        <v>1551689353129209</v>
      </c>
      <c r="C3137" t="s">
        <v>40</v>
      </c>
      <c r="D3137">
        <v>4.1480420000000002</v>
      </c>
      <c r="E3137">
        <v>0.4510459</v>
      </c>
      <c r="F3137" t="s">
        <v>42</v>
      </c>
      <c r="G3137">
        <v>-491.65699999999998</v>
      </c>
      <c r="H3137" s="1">
        <v>-3.9212300000000002E-6</v>
      </c>
      <c r="I3137">
        <v>257.70179999999999</v>
      </c>
      <c r="J3137">
        <v>-491.12369999999999</v>
      </c>
      <c r="K3137">
        <v>1.1175139999999999</v>
      </c>
      <c r="L3137">
        <v>270.52550000000002</v>
      </c>
      <c r="M3137">
        <v>-0.4187245</v>
      </c>
      <c r="N3137">
        <v>-1.2265679999999999E-2</v>
      </c>
      <c r="O3137">
        <v>-0.90803040000000002</v>
      </c>
      <c r="P3137">
        <v>-0.1580405</v>
      </c>
      <c r="Q3137">
        <v>0.37447439999999999</v>
      </c>
      <c r="R3137">
        <v>-0.91366959999999997</v>
      </c>
      <c r="S3137">
        <v>-0.15350339999999901</v>
      </c>
      <c r="T3137">
        <v>-0.29140060000000001</v>
      </c>
      <c r="U3137">
        <v>-3.3782649999999999</v>
      </c>
      <c r="V3137">
        <v>-0.2454229</v>
      </c>
      <c r="W3137">
        <v>0.38143280000000002</v>
      </c>
      <c r="X3137">
        <v>0.89122190000000001</v>
      </c>
      <c r="Y3137">
        <v>-0.37689339999999999</v>
      </c>
      <c r="Z3137">
        <v>5.8835150000000003E-2</v>
      </c>
      <c r="AA3137">
        <v>0.92438609999999999</v>
      </c>
      <c r="AB3137">
        <v>25</v>
      </c>
      <c r="AC3137">
        <v>-0.533299999999997</v>
      </c>
      <c r="AD3137">
        <v>-1.1175179212299999</v>
      </c>
      <c r="AE3137">
        <v>-12.823700000000001</v>
      </c>
      <c r="AF3137">
        <v>-4.8489522723467404</v>
      </c>
      <c r="AG3137">
        <v>-1.1175179212299999</v>
      </c>
      <c r="AH3137">
        <v>11.779209578288</v>
      </c>
      <c r="AI3137">
        <v>95.013696957541896</v>
      </c>
      <c r="AJ3137">
        <v>112.374684505255</v>
      </c>
      <c r="AK3137">
        <v>12.7871405221417</v>
      </c>
      <c r="AL3137">
        <v>67.577536435091503</v>
      </c>
      <c r="AM3137">
        <v>105.396384129252</v>
      </c>
      <c r="AN3137">
        <v>0.99999992789992698</v>
      </c>
    </row>
    <row r="3138" spans="1:40" x14ac:dyDescent="0.25">
      <c r="A3138" t="str">
        <f>"20190304164913145"</f>
        <v>20190304164913145</v>
      </c>
      <c r="B3138" t="str">
        <f>"1551689353138969"</f>
        <v>1551689353138969</v>
      </c>
      <c r="C3138" t="s">
        <v>40</v>
      </c>
      <c r="D3138">
        <v>4.1378339999999998</v>
      </c>
      <c r="E3138">
        <v>0.45149460000000002</v>
      </c>
      <c r="F3138" t="s">
        <v>42</v>
      </c>
      <c r="G3138">
        <v>-491.66079999999999</v>
      </c>
      <c r="H3138" s="1">
        <v>-3.8855420000000002E-6</v>
      </c>
      <c r="I3138">
        <v>257.61630000000002</v>
      </c>
      <c r="J3138">
        <v>-491.16980000000001</v>
      </c>
      <c r="K3138">
        <v>1.117518</v>
      </c>
      <c r="L3138">
        <v>270.41320000000002</v>
      </c>
      <c r="M3138">
        <v>-0.41433930000000002</v>
      </c>
      <c r="N3138">
        <v>-1.223202E-2</v>
      </c>
      <c r="O3138">
        <v>-0.91004039999999997</v>
      </c>
      <c r="P3138">
        <v>-0.15438479999999999</v>
      </c>
      <c r="Q3138">
        <v>0.3745367</v>
      </c>
      <c r="R3138">
        <v>-0.914269</v>
      </c>
      <c r="S3138">
        <v>-0.14059449999999901</v>
      </c>
      <c r="T3138">
        <v>-0.29251539999999998</v>
      </c>
      <c r="U3138">
        <v>-3.3790279999999999</v>
      </c>
      <c r="V3138">
        <v>-0.24468000000000001</v>
      </c>
      <c r="W3138">
        <v>0.38147560000000003</v>
      </c>
      <c r="X3138">
        <v>0.89140789999999903</v>
      </c>
      <c r="Y3138">
        <v>-0.3759615</v>
      </c>
      <c r="Z3138">
        <v>5.9388059999999999E-2</v>
      </c>
      <c r="AA3138">
        <v>0.92473019999999995</v>
      </c>
      <c r="AB3138">
        <v>25</v>
      </c>
      <c r="AC3138">
        <v>-0.490999999999985</v>
      </c>
      <c r="AD3138">
        <v>-1.1175218855419999</v>
      </c>
      <c r="AE3138">
        <v>-12.7968999999999</v>
      </c>
      <c r="AF3138">
        <v>-4.8190946525365996</v>
      </c>
      <c r="AG3138">
        <v>-1.1175218855419999</v>
      </c>
      <c r="AH3138">
        <v>11.760467242431799</v>
      </c>
      <c r="AI3138">
        <v>95.0249707921527</v>
      </c>
      <c r="AJ3138">
        <v>112.28237998806399</v>
      </c>
      <c r="AK3138">
        <v>12.758570382103301</v>
      </c>
      <c r="AL3138">
        <v>67.574885055830094</v>
      </c>
      <c r="AM3138">
        <v>105.348928632659</v>
      </c>
      <c r="AN3138">
        <v>0.99999998998888395</v>
      </c>
    </row>
    <row r="3139" spans="1:40" x14ac:dyDescent="0.25">
      <c r="A3139" t="str">
        <f>"20190304164913158"</f>
        <v>20190304164913158</v>
      </c>
      <c r="B3139" t="str">
        <f>"1551689353148728"</f>
        <v>1551689353148728</v>
      </c>
      <c r="C3139" t="s">
        <v>40</v>
      </c>
      <c r="D3139">
        <v>4.1294979999999999</v>
      </c>
      <c r="E3139">
        <v>0.45189390000000002</v>
      </c>
      <c r="F3139" t="s">
        <v>42</v>
      </c>
      <c r="G3139">
        <v>-491.66120000000001</v>
      </c>
      <c r="H3139" s="1">
        <v>-3.8617650000000001E-6</v>
      </c>
      <c r="I3139">
        <v>257.5607</v>
      </c>
      <c r="J3139">
        <v>-491.2285</v>
      </c>
      <c r="K3139">
        <v>1.117524</v>
      </c>
      <c r="L3139">
        <v>270.26889999999997</v>
      </c>
      <c r="M3139">
        <v>-0.40869369999999999</v>
      </c>
      <c r="N3139">
        <v>-1.219048E-2</v>
      </c>
      <c r="O3139">
        <v>-0.91259040000000002</v>
      </c>
      <c r="P3139">
        <v>-0.14948149999999999</v>
      </c>
      <c r="Q3139">
        <v>0.37451119999999999</v>
      </c>
      <c r="R3139">
        <v>-0.91509399999999996</v>
      </c>
      <c r="S3139">
        <v>-0.1292114</v>
      </c>
      <c r="T3139">
        <v>-0.29387560000000001</v>
      </c>
      <c r="U3139">
        <v>-3.3798520000000001</v>
      </c>
      <c r="V3139">
        <v>-0.2439431</v>
      </c>
      <c r="W3139">
        <v>0.3814227</v>
      </c>
      <c r="X3139">
        <v>0.89163250000000005</v>
      </c>
      <c r="Y3139">
        <v>-0.37334299999999998</v>
      </c>
      <c r="Z3139">
        <v>6.010894E-2</v>
      </c>
      <c r="AA3139">
        <v>0.92574400000000001</v>
      </c>
      <c r="AB3139">
        <v>25</v>
      </c>
      <c r="AC3139">
        <v>-0.43270000000001102</v>
      </c>
      <c r="AD3139">
        <v>-1.117527861765</v>
      </c>
      <c r="AE3139">
        <v>-12.7081999999999</v>
      </c>
      <c r="AF3139">
        <v>-4.7624536396306203</v>
      </c>
      <c r="AG3139">
        <v>-1.117527861765</v>
      </c>
      <c r="AH3139">
        <v>11.6848414035254</v>
      </c>
      <c r="AI3139">
        <v>95.061221071873604</v>
      </c>
      <c r="AJ3139">
        <v>112.17459928644899</v>
      </c>
      <c r="AK3139">
        <v>12.667491930804401</v>
      </c>
      <c r="AL3139">
        <v>67.578164475774997</v>
      </c>
      <c r="AM3139">
        <v>105.301198695862</v>
      </c>
      <c r="AN3139">
        <v>1.0000000135845699</v>
      </c>
    </row>
    <row r="3140" spans="1:40" x14ac:dyDescent="0.25">
      <c r="A3140" t="str">
        <f>"20190304164913170"</f>
        <v>20190304164913170</v>
      </c>
      <c r="B3140" t="str">
        <f>"1551689353159464"</f>
        <v>1551689353159464</v>
      </c>
      <c r="C3140" t="s">
        <v>40</v>
      </c>
      <c r="D3140">
        <v>4.1377540000000002</v>
      </c>
      <c r="E3140">
        <v>0.45228980000000002</v>
      </c>
      <c r="F3140" t="s">
        <v>42</v>
      </c>
      <c r="G3140">
        <v>-491.65899999999999</v>
      </c>
      <c r="H3140" s="1">
        <v>-3.8308830000000002E-6</v>
      </c>
      <c r="I3140">
        <v>257.49</v>
      </c>
      <c r="J3140">
        <v>-491.27730000000003</v>
      </c>
      <c r="K3140">
        <v>1.117526</v>
      </c>
      <c r="L3140">
        <v>270.14670000000001</v>
      </c>
      <c r="M3140">
        <v>-0.40390789999999999</v>
      </c>
      <c r="N3140">
        <v>-1.2158510000000001E-2</v>
      </c>
      <c r="O3140">
        <v>-0.9147189</v>
      </c>
      <c r="P3140">
        <v>-0.14516679999999901</v>
      </c>
      <c r="Q3140">
        <v>0.37449070000000001</v>
      </c>
      <c r="R3140">
        <v>-0.91579679999999997</v>
      </c>
      <c r="S3140">
        <v>-0.1138916</v>
      </c>
      <c r="T3140">
        <v>-0.2956491</v>
      </c>
      <c r="U3140">
        <v>-3.3807369999999999</v>
      </c>
      <c r="V3140">
        <v>-0.2434818</v>
      </c>
      <c r="W3140">
        <v>0.38137949999999998</v>
      </c>
      <c r="X3140">
        <v>0.89177700000000004</v>
      </c>
      <c r="Y3140">
        <v>-0.37268420000000002</v>
      </c>
      <c r="Z3140">
        <v>6.0832219999999999E-2</v>
      </c>
      <c r="AA3140">
        <v>0.92596219999999996</v>
      </c>
      <c r="AB3140">
        <v>25</v>
      </c>
      <c r="AC3140">
        <v>-0.38169999999996601</v>
      </c>
      <c r="AD3140">
        <v>-1.117529830883</v>
      </c>
      <c r="AE3140">
        <v>-12.656700000000001</v>
      </c>
      <c r="AF3140">
        <v>-4.7265297954257699</v>
      </c>
      <c r="AG3140">
        <v>-1.117529830883</v>
      </c>
      <c r="AH3140">
        <v>11.6416838277446</v>
      </c>
      <c r="AI3140">
        <v>95.082673150090599</v>
      </c>
      <c r="AJ3140">
        <v>112.09717848530001</v>
      </c>
      <c r="AK3140">
        <v>12.6141888036897</v>
      </c>
      <c r="AL3140">
        <v>67.580840876504396</v>
      </c>
      <c r="AM3140">
        <v>105.271257206698</v>
      </c>
      <c r="AN3140">
        <v>0.99999996384024403</v>
      </c>
    </row>
    <row r="3141" spans="1:40" x14ac:dyDescent="0.25">
      <c r="A3141" t="str">
        <f>"20190304164913181"</f>
        <v>20190304164913181</v>
      </c>
      <c r="B3141" t="str">
        <f>"1551689353178984"</f>
        <v>1551689353178984</v>
      </c>
      <c r="C3141" t="s">
        <v>40</v>
      </c>
      <c r="D3141">
        <v>4.153092</v>
      </c>
      <c r="E3141">
        <v>0.4639202</v>
      </c>
      <c r="F3141" t="s">
        <v>42</v>
      </c>
      <c r="G3141">
        <v>-491.65480000000002</v>
      </c>
      <c r="H3141" s="1">
        <v>-3.8089789999999999E-6</v>
      </c>
      <c r="I3141">
        <v>257.44159999999999</v>
      </c>
      <c r="J3141">
        <v>-491.32350000000002</v>
      </c>
      <c r="K3141">
        <v>1.117524</v>
      </c>
      <c r="L3141">
        <v>270.0292</v>
      </c>
      <c r="M3141">
        <v>-0.39930759999999899</v>
      </c>
      <c r="N3141">
        <v>-1.212979E-2</v>
      </c>
      <c r="O3141">
        <v>-0.91673689999999997</v>
      </c>
      <c r="P3141">
        <v>-0.1412167</v>
      </c>
      <c r="Q3141">
        <v>0.37408249999999998</v>
      </c>
      <c r="R3141">
        <v>-0.91658090000000003</v>
      </c>
      <c r="S3141">
        <v>-0.10046389999999999</v>
      </c>
      <c r="T3141">
        <v>-0.29743429999999998</v>
      </c>
      <c r="U3141">
        <v>-3.3815</v>
      </c>
      <c r="V3141">
        <v>-0.24290809999999999</v>
      </c>
      <c r="W3141">
        <v>0.3809554</v>
      </c>
      <c r="X3141">
        <v>0.89211469999999904</v>
      </c>
      <c r="Y3141">
        <v>-0.37170429999999999</v>
      </c>
      <c r="Z3141">
        <v>6.1553150000000001E-2</v>
      </c>
      <c r="AA3141">
        <v>0.92630829999999997</v>
      </c>
      <c r="AB3141">
        <v>25</v>
      </c>
      <c r="AC3141">
        <v>-0.33129999999999798</v>
      </c>
      <c r="AD3141">
        <v>-1.1175278089789999</v>
      </c>
      <c r="AE3141">
        <v>-12.5876</v>
      </c>
      <c r="AF3141">
        <v>-4.6860469408045899</v>
      </c>
      <c r="AG3141">
        <v>-1.1175278089789999</v>
      </c>
      <c r="AH3141">
        <v>11.581444803683</v>
      </c>
      <c r="AI3141">
        <v>95.111409711224994</v>
      </c>
      <c r="AJ3141">
        <v>112.029082203147</v>
      </c>
      <c r="AK3141">
        <v>12.543435258174799</v>
      </c>
      <c r="AL3141">
        <v>67.607125106035994</v>
      </c>
      <c r="AM3141">
        <v>105.23144924403999</v>
      </c>
      <c r="AN3141">
        <v>0.99999999989542998</v>
      </c>
    </row>
    <row r="3142" spans="1:40" x14ac:dyDescent="0.25">
      <c r="A3142" t="str">
        <f>"20190304164913192"</f>
        <v>20190304164913192</v>
      </c>
      <c r="B3142" t="str">
        <f>"1551689353188744"</f>
        <v>1551689353188744</v>
      </c>
      <c r="C3142" t="s">
        <v>40</v>
      </c>
      <c r="D3142">
        <v>4.1461379999999997</v>
      </c>
      <c r="E3142">
        <v>0.46451550000000003</v>
      </c>
      <c r="F3142" t="s">
        <v>42</v>
      </c>
      <c r="G3142">
        <v>-491.90190000000001</v>
      </c>
      <c r="H3142" s="1">
        <v>-4.4344250000000003E-6</v>
      </c>
      <c r="I3142">
        <v>259.02620000000002</v>
      </c>
      <c r="J3142">
        <v>-491.36989999999997</v>
      </c>
      <c r="K3142">
        <v>1.1175269999999999</v>
      </c>
      <c r="L3142">
        <v>269.91000000000003</v>
      </c>
      <c r="M3142">
        <v>-0.39463280000000001</v>
      </c>
      <c r="N3142">
        <v>-1.2102160000000001E-2</v>
      </c>
      <c r="O3142">
        <v>-0.9187594</v>
      </c>
      <c r="P3142">
        <v>-0.1373007</v>
      </c>
      <c r="Q3142">
        <v>0.37384489999999998</v>
      </c>
      <c r="R3142">
        <v>-0.91727239999999999</v>
      </c>
      <c r="S3142">
        <v>-0.178009</v>
      </c>
      <c r="T3142">
        <v>-0.34389899999999901</v>
      </c>
      <c r="U3142">
        <v>-3.3859859999999999</v>
      </c>
      <c r="V3142">
        <v>-0.2422097</v>
      </c>
      <c r="W3142">
        <v>0.38070490000000001</v>
      </c>
      <c r="X3142">
        <v>0.89241150000000002</v>
      </c>
      <c r="Y3142">
        <v>-0.345723</v>
      </c>
      <c r="Z3142">
        <v>7.3715959999999997E-2</v>
      </c>
      <c r="AA3142">
        <v>0.9354365</v>
      </c>
      <c r="AB3142">
        <v>25</v>
      </c>
      <c r="AC3142">
        <v>-0.532000000000039</v>
      </c>
      <c r="AD3142">
        <v>-1.117531434425</v>
      </c>
      <c r="AE3142">
        <v>-10.883800000000001</v>
      </c>
      <c r="AF3142">
        <v>-3.7669824826920202</v>
      </c>
      <c r="AG3142">
        <v>-1.117531434425</v>
      </c>
      <c r="AH3142">
        <v>10.104012915424001</v>
      </c>
      <c r="AI3142">
        <v>95.916705580392005</v>
      </c>
      <c r="AJ3142">
        <v>110.446483079324</v>
      </c>
      <c r="AK3142">
        <v>10.8411305004086</v>
      </c>
      <c r="AL3142">
        <v>67.622647912731495</v>
      </c>
      <c r="AM3142">
        <v>105.18486383485001</v>
      </c>
      <c r="AN3142">
        <v>1.0000000224951699</v>
      </c>
    </row>
    <row r="3143" spans="1:40" x14ac:dyDescent="0.25">
      <c r="A3143" t="str">
        <f>"20190304164913211"</f>
        <v>20190304164913211</v>
      </c>
      <c r="B3143" t="str">
        <f>"1551689353198504"</f>
        <v>1551689353198504</v>
      </c>
      <c r="C3143" t="s">
        <v>40</v>
      </c>
      <c r="D3143">
        <v>4.1454890000000004</v>
      </c>
      <c r="E3143">
        <v>0.46485379999999898</v>
      </c>
      <c r="F3143" t="s">
        <v>42</v>
      </c>
      <c r="G3143">
        <v>-491.9083</v>
      </c>
      <c r="H3143" s="1">
        <v>-4.41518E-6</v>
      </c>
      <c r="I3143">
        <v>258.96629999999999</v>
      </c>
      <c r="J3143">
        <v>-491.43880000000001</v>
      </c>
      <c r="K3143">
        <v>1.1175349999999999</v>
      </c>
      <c r="L3143">
        <v>269.7285</v>
      </c>
      <c r="M3143">
        <v>-0.3875189</v>
      </c>
      <c r="N3143">
        <v>-1.2064409999999999E-2</v>
      </c>
      <c r="O3143">
        <v>-0.92178280000000001</v>
      </c>
      <c r="P3143">
        <v>-0.13145580000000001</v>
      </c>
      <c r="Q3143">
        <v>0.37368669999999998</v>
      </c>
      <c r="R3143">
        <v>-0.91819229999999996</v>
      </c>
      <c r="S3143">
        <v>-0.166626</v>
      </c>
      <c r="T3143">
        <v>-0.34582410000000002</v>
      </c>
      <c r="U3143">
        <v>-3.3865660000000002</v>
      </c>
      <c r="V3143">
        <v>-0.2410195</v>
      </c>
      <c r="W3143">
        <v>0.38053209999999998</v>
      </c>
      <c r="X3143">
        <v>0.89280729999999997</v>
      </c>
      <c r="Y3143">
        <v>-0.34161930000000001</v>
      </c>
      <c r="Z3143">
        <v>7.474132E-2</v>
      </c>
      <c r="AA3143">
        <v>0.93686179999999997</v>
      </c>
      <c r="AB3143">
        <v>25</v>
      </c>
      <c r="AC3143">
        <v>-0.46949999999998199</v>
      </c>
      <c r="AD3143">
        <v>-1.11753941518</v>
      </c>
      <c r="AE3143">
        <v>-10.7622</v>
      </c>
      <c r="AF3143">
        <v>-3.6982499568290899</v>
      </c>
      <c r="AG3143">
        <v>-1.11753941518</v>
      </c>
      <c r="AH3143">
        <v>9.9955134431600108</v>
      </c>
      <c r="AI3143">
        <v>95.985995080681803</v>
      </c>
      <c r="AJ3143">
        <v>110.304019850134</v>
      </c>
      <c r="AK3143">
        <v>10.716167042373799</v>
      </c>
      <c r="AL3143">
        <v>67.633353404548004</v>
      </c>
      <c r="AM3143">
        <v>105.107273978115</v>
      </c>
      <c r="AN3143">
        <v>0.99999997672197405</v>
      </c>
    </row>
    <row r="3144" spans="1:40" x14ac:dyDescent="0.25">
      <c r="A3144" t="str">
        <f>"20190304164913224"</f>
        <v>20190304164913224</v>
      </c>
      <c r="B3144" t="str">
        <f>"1551689353219000"</f>
        <v>1551689353219000</v>
      </c>
      <c r="C3144" t="s">
        <v>40</v>
      </c>
      <c r="D3144">
        <v>4.1509839999999896</v>
      </c>
      <c r="E3144">
        <v>0.46617779999999998</v>
      </c>
      <c r="F3144" t="s">
        <v>42</v>
      </c>
      <c r="G3144">
        <v>-491.91059999999999</v>
      </c>
      <c r="H3144" s="1">
        <v>-4.3564439999999999E-6</v>
      </c>
      <c r="I3144">
        <v>258.79250000000002</v>
      </c>
      <c r="J3144">
        <v>-491.49290000000002</v>
      </c>
      <c r="K3144">
        <v>1.1175389999999901</v>
      </c>
      <c r="L3144">
        <v>269.5831</v>
      </c>
      <c r="M3144">
        <v>-0.38181490000000001</v>
      </c>
      <c r="N3144">
        <v>-1.2036939999999999E-2</v>
      </c>
      <c r="O3144">
        <v>-0.92416050000000005</v>
      </c>
      <c r="P3144">
        <v>-0.1260532</v>
      </c>
      <c r="Q3144">
        <v>0.37388909999999997</v>
      </c>
      <c r="R3144">
        <v>-0.91886730000000005</v>
      </c>
      <c r="S3144">
        <v>-0.14614869999999999</v>
      </c>
      <c r="T3144">
        <v>-0.34613389999999999</v>
      </c>
      <c r="U3144">
        <v>-3.3872070000000001</v>
      </c>
      <c r="V3144">
        <v>-0.24072969999999999</v>
      </c>
      <c r="W3144">
        <v>0.3807102</v>
      </c>
      <c r="X3144">
        <v>0.89280959999999998</v>
      </c>
      <c r="Y3144">
        <v>-0.341474</v>
      </c>
      <c r="Z3144">
        <v>7.5182940000000004E-2</v>
      </c>
      <c r="AA3144">
        <v>0.93687940000000003</v>
      </c>
      <c r="AB3144">
        <v>26</v>
      </c>
      <c r="AC3144">
        <v>-0.41769999999996799</v>
      </c>
      <c r="AD3144">
        <v>-1.1175433564439901</v>
      </c>
      <c r="AE3144">
        <v>-10.7905999999999</v>
      </c>
      <c r="AF3144">
        <v>-3.69469036440971</v>
      </c>
      <c r="AG3144">
        <v>-1.1175433564439901</v>
      </c>
      <c r="AH3144">
        <v>10.0250955144607</v>
      </c>
      <c r="AI3144">
        <v>95.971266706880698</v>
      </c>
      <c r="AJ3144">
        <v>110.23106952687</v>
      </c>
      <c r="AK3144">
        <v>10.742540673251099</v>
      </c>
      <c r="AL3144">
        <v>67.622319299552402</v>
      </c>
      <c r="AM3144">
        <v>105.089900876619</v>
      </c>
      <c r="AN3144">
        <v>1.00000001334914</v>
      </c>
    </row>
    <row r="3145" spans="1:40" x14ac:dyDescent="0.25">
      <c r="A3145" t="str">
        <f>"20190304164913236"</f>
        <v>20190304164913236</v>
      </c>
      <c r="B3145" t="str">
        <f>"1551689353228760"</f>
        <v>1551689353228760</v>
      </c>
      <c r="C3145" t="s">
        <v>40</v>
      </c>
      <c r="D3145">
        <v>4.1662839999999903</v>
      </c>
      <c r="E3145">
        <v>0.46677279999999999</v>
      </c>
      <c r="F3145" t="s">
        <v>42</v>
      </c>
      <c r="G3145">
        <v>-491.92750000000001</v>
      </c>
      <c r="H3145" s="1">
        <v>-4.3505070000000001E-6</v>
      </c>
      <c r="I3145">
        <v>258.76620000000003</v>
      </c>
      <c r="J3145">
        <v>-491.5412</v>
      </c>
      <c r="K3145">
        <v>1.117545</v>
      </c>
      <c r="L3145">
        <v>269.45139999999998</v>
      </c>
      <c r="M3145">
        <v>-0.37664520000000001</v>
      </c>
      <c r="N3145">
        <v>-1.201351E-2</v>
      </c>
      <c r="O3145">
        <v>-0.92627969999999904</v>
      </c>
      <c r="P3145">
        <v>-0.12111810000000001</v>
      </c>
      <c r="Q3145">
        <v>0.37426900000000002</v>
      </c>
      <c r="R3145">
        <v>-0.91937659999999999</v>
      </c>
      <c r="S3145">
        <v>-0.1361694</v>
      </c>
      <c r="T3145">
        <v>-0.3501011</v>
      </c>
      <c r="U3145">
        <v>-3.3886720000000001</v>
      </c>
      <c r="V3145">
        <v>-0.2404878</v>
      </c>
      <c r="W3145">
        <v>0.38106830000000003</v>
      </c>
      <c r="X3145">
        <v>0.89272199999999902</v>
      </c>
      <c r="Y3145">
        <v>-0.33899759999999901</v>
      </c>
      <c r="Z3145">
        <v>7.6522939999999998E-2</v>
      </c>
      <c r="AA3145">
        <v>0.93766989999999995</v>
      </c>
      <c r="AB3145">
        <v>26</v>
      </c>
      <c r="AC3145">
        <v>-0.38630000000000497</v>
      </c>
      <c r="AD3145">
        <v>-1.117549350507</v>
      </c>
      <c r="AE3145">
        <v>-10.685199999999901</v>
      </c>
      <c r="AF3145">
        <v>-3.6273451776191701</v>
      </c>
      <c r="AG3145">
        <v>-1.117549350507</v>
      </c>
      <c r="AH3145">
        <v>9.9351700398685203</v>
      </c>
      <c r="AI3145">
        <v>96.031610835754805</v>
      </c>
      <c r="AJ3145">
        <v>110.05721225082</v>
      </c>
      <c r="AK3145">
        <v>10.6355137774118</v>
      </c>
      <c r="AL3145">
        <v>67.600128680976098</v>
      </c>
      <c r="AM3145">
        <v>105.07684010633599</v>
      </c>
      <c r="AN3145">
        <v>1.00000000024886</v>
      </c>
    </row>
    <row r="3146" spans="1:40" x14ac:dyDescent="0.25">
      <c r="A3146" t="str">
        <f>"20190304164913248"</f>
        <v>20190304164913248</v>
      </c>
      <c r="B3146" t="str">
        <f>"1551689353238521"</f>
        <v>1551689353238521</v>
      </c>
      <c r="C3146" t="s">
        <v>40</v>
      </c>
      <c r="D3146">
        <v>4.1812559999999896</v>
      </c>
      <c r="E3146">
        <v>0.4673696</v>
      </c>
      <c r="F3146" t="s">
        <v>42</v>
      </c>
      <c r="G3146">
        <v>-491.93049999999999</v>
      </c>
      <c r="H3146" s="1">
        <v>-4.2892810000000003E-6</v>
      </c>
      <c r="I3146">
        <v>258.58479999999997</v>
      </c>
      <c r="J3146">
        <v>-491.5883</v>
      </c>
      <c r="K3146">
        <v>1.117553</v>
      </c>
      <c r="L3146">
        <v>269.32</v>
      </c>
      <c r="M3146">
        <v>-0.37149470000000001</v>
      </c>
      <c r="N3146">
        <v>-1.1992829999999999E-2</v>
      </c>
      <c r="O3146">
        <v>-0.92835769999999995</v>
      </c>
      <c r="P3146">
        <v>-0.1164868</v>
      </c>
      <c r="Q3146">
        <v>0.3743631</v>
      </c>
      <c r="R3146">
        <v>-0.91993650000000005</v>
      </c>
      <c r="S3146">
        <v>-0.1213989</v>
      </c>
      <c r="T3146">
        <v>-0.3485258</v>
      </c>
      <c r="U3146">
        <v>-3.388916</v>
      </c>
      <c r="V3146">
        <v>-0.24001600000000001</v>
      </c>
      <c r="W3146">
        <v>0.3811485</v>
      </c>
      <c r="X3146">
        <v>0.89281469999999896</v>
      </c>
      <c r="Y3146">
        <v>-0.33785929999999997</v>
      </c>
      <c r="Z3146">
        <v>7.6473520000000003E-2</v>
      </c>
      <c r="AA3146">
        <v>0.93808469999999999</v>
      </c>
      <c r="AB3146">
        <v>26</v>
      </c>
      <c r="AC3146">
        <v>-0.34219999999999101</v>
      </c>
      <c r="AD3146">
        <v>-1.117557289281</v>
      </c>
      <c r="AE3146">
        <v>-10.735200000000001</v>
      </c>
      <c r="AF3146">
        <v>-3.6313358197691401</v>
      </c>
      <c r="AG3146">
        <v>-1.117557289281</v>
      </c>
      <c r="AH3146">
        <v>9.9858468634489999</v>
      </c>
      <c r="AI3146">
        <v>96.004052949385397</v>
      </c>
      <c r="AJ3146">
        <v>109.98370844188899</v>
      </c>
      <c r="AK3146">
        <v>10.684225367850299</v>
      </c>
      <c r="AL3146">
        <v>67.595157836694298</v>
      </c>
      <c r="AM3146">
        <v>105.047112919003</v>
      </c>
      <c r="AN3146">
        <v>0.99999997392216899</v>
      </c>
    </row>
    <row r="3147" spans="1:40" x14ac:dyDescent="0.25">
      <c r="A3147" t="str">
        <f>"20190304164913259"</f>
        <v>20190304164913259</v>
      </c>
      <c r="B3147" t="str">
        <f>"1551689353249257"</f>
        <v>1551689353249257</v>
      </c>
      <c r="C3147" t="s">
        <v>40</v>
      </c>
      <c r="D3147">
        <v>4.1768799999999997</v>
      </c>
      <c r="E3147">
        <v>0.46774690000000002</v>
      </c>
      <c r="F3147" t="s">
        <v>42</v>
      </c>
      <c r="G3147">
        <v>-491.9357</v>
      </c>
      <c r="H3147" s="1">
        <v>-4.2445279999999997E-6</v>
      </c>
      <c r="I3147">
        <v>258.45049999999998</v>
      </c>
      <c r="J3147">
        <v>-491.6293</v>
      </c>
      <c r="K3147">
        <v>1.1175520000000001</v>
      </c>
      <c r="L3147">
        <v>269.20400000000001</v>
      </c>
      <c r="M3147">
        <v>-0.36694100000000002</v>
      </c>
      <c r="N3147">
        <v>-1.197545E-2</v>
      </c>
      <c r="O3147">
        <v>-0.93016739999999998</v>
      </c>
      <c r="P3147">
        <v>-0.1121393</v>
      </c>
      <c r="Q3147">
        <v>0.37465989999999999</v>
      </c>
      <c r="R3147">
        <v>-0.92035610000000001</v>
      </c>
      <c r="S3147">
        <v>-0.1083374</v>
      </c>
      <c r="T3147">
        <v>-0.34846250000000001</v>
      </c>
      <c r="U3147">
        <v>-3.3891909999999998</v>
      </c>
      <c r="V3147">
        <v>-0.23982390000000001</v>
      </c>
      <c r="W3147">
        <v>0.38142890000000002</v>
      </c>
      <c r="X3147">
        <v>0.89274659999999995</v>
      </c>
      <c r="Y3147">
        <v>-0.33686369999999999</v>
      </c>
      <c r="Z3147">
        <v>7.6755359999999995E-2</v>
      </c>
      <c r="AA3147">
        <v>0.93841960000000002</v>
      </c>
      <c r="AB3147">
        <v>26</v>
      </c>
      <c r="AC3147">
        <v>-0.30639999999999601</v>
      </c>
      <c r="AD3147">
        <v>-1.1175562445280001</v>
      </c>
      <c r="AE3147">
        <v>-10.753500000000001</v>
      </c>
      <c r="AF3147">
        <v>-3.62207036212294</v>
      </c>
      <c r="AG3147">
        <v>-1.1175562445280001</v>
      </c>
      <c r="AH3147">
        <v>10.007709304892099</v>
      </c>
      <c r="AI3147">
        <v>95.994307567553903</v>
      </c>
      <c r="AJ3147">
        <v>109.896609333245</v>
      </c>
      <c r="AK3147">
        <v>10.7015219104143</v>
      </c>
      <c r="AL3147">
        <v>67.577779875384294</v>
      </c>
      <c r="AM3147">
        <v>105.03671029646</v>
      </c>
      <c r="AN3147">
        <v>1.0000000002889899</v>
      </c>
    </row>
    <row r="3148" spans="1:40" x14ac:dyDescent="0.25">
      <c r="A3148" t="str">
        <f>"20190304164913279"</f>
        <v>20190304164913279</v>
      </c>
      <c r="B3148" t="str">
        <f>"1551689353268776"</f>
        <v>1551689353268776</v>
      </c>
      <c r="C3148" t="s">
        <v>40</v>
      </c>
      <c r="D3148">
        <v>4.2013480000000003</v>
      </c>
      <c r="E3148">
        <v>0.4779716</v>
      </c>
      <c r="F3148" t="s">
        <v>42</v>
      </c>
      <c r="G3148">
        <v>-491.93389999999999</v>
      </c>
      <c r="H3148" s="1">
        <v>-4.2040879999999998E-6</v>
      </c>
      <c r="I3148">
        <v>258.33260000000001</v>
      </c>
      <c r="J3148">
        <v>-491.69909999999999</v>
      </c>
      <c r="K3148">
        <v>1.1175580000000001</v>
      </c>
      <c r="L3148">
        <v>269.0025</v>
      </c>
      <c r="M3148">
        <v>-0.3590313</v>
      </c>
      <c r="N3148">
        <v>-1.19481E-2</v>
      </c>
      <c r="O3148">
        <v>-0.93324929999999995</v>
      </c>
      <c r="P3148">
        <v>-0.10445699999999999</v>
      </c>
      <c r="Q3148">
        <v>0.3754325</v>
      </c>
      <c r="R3148">
        <v>-0.92094520000000002</v>
      </c>
      <c r="S3148">
        <v>-9.4970700000000005E-2</v>
      </c>
      <c r="T3148">
        <v>-0.34847349999999999</v>
      </c>
      <c r="U3148">
        <v>-3.3898929999999998</v>
      </c>
      <c r="V3148">
        <v>-0.2396016</v>
      </c>
      <c r="W3148">
        <v>0.38217240000000002</v>
      </c>
      <c r="X3148">
        <v>0.89248830000000001</v>
      </c>
      <c r="Y3148">
        <v>-0.33257809999999999</v>
      </c>
      <c r="Z3148">
        <v>7.7307550000000003E-2</v>
      </c>
      <c r="AA3148">
        <v>0.93990180000000001</v>
      </c>
      <c r="AB3148">
        <v>26</v>
      </c>
      <c r="AC3148">
        <v>-0.234800000000007</v>
      </c>
      <c r="AD3148">
        <v>-1.117562204088</v>
      </c>
      <c r="AE3148">
        <v>-10.669899999999901</v>
      </c>
      <c r="AF3148">
        <v>-3.5727821764699899</v>
      </c>
      <c r="AG3148">
        <v>-1.117562204088</v>
      </c>
      <c r="AH3148">
        <v>9.9337669537834792</v>
      </c>
      <c r="AI3148">
        <v>96.042970634527094</v>
      </c>
      <c r="AJ3148">
        <v>109.781647093602</v>
      </c>
      <c r="AK3148">
        <v>10.615716822362399</v>
      </c>
      <c r="AL3148">
        <v>67.531689235701606</v>
      </c>
      <c r="AM3148">
        <v>105.027554068257</v>
      </c>
      <c r="AN3148">
        <v>1.0000000178406001</v>
      </c>
    </row>
    <row r="3149" spans="1:40" x14ac:dyDescent="0.25">
      <c r="A3149" t="str">
        <f>"20190304164913292"</f>
        <v>20190304164913292</v>
      </c>
      <c r="B3149" t="str">
        <f>"1551689353289272"</f>
        <v>1551689353289272</v>
      </c>
      <c r="C3149" t="s">
        <v>40</v>
      </c>
      <c r="D3149">
        <v>4.2013939999999996</v>
      </c>
      <c r="E3149">
        <v>0.48032079999999999</v>
      </c>
      <c r="F3149" t="s">
        <v>42</v>
      </c>
      <c r="G3149">
        <v>-492.26100000000002</v>
      </c>
      <c r="H3149" s="1">
        <v>-3.4186690000000002E-6</v>
      </c>
      <c r="I3149">
        <v>256.1558</v>
      </c>
      <c r="J3149">
        <v>-491.74770000000001</v>
      </c>
      <c r="K3149">
        <v>1.1175660000000001</v>
      </c>
      <c r="L3149">
        <v>268.85879999999997</v>
      </c>
      <c r="M3149">
        <v>-0.35338930000000002</v>
      </c>
      <c r="N3149">
        <v>-1.193074E-2</v>
      </c>
      <c r="O3149">
        <v>-0.93540020000000001</v>
      </c>
      <c r="P3149">
        <v>-9.9029909999999999E-2</v>
      </c>
      <c r="Q3149">
        <v>0.37553769999999997</v>
      </c>
      <c r="R3149">
        <v>-0.92150100000000001</v>
      </c>
      <c r="S3149">
        <v>-0.14697270000000001</v>
      </c>
      <c r="T3149">
        <v>-0.29229070000000001</v>
      </c>
      <c r="U3149">
        <v>-3.359985</v>
      </c>
      <c r="V3149">
        <v>-0.23946239999999999</v>
      </c>
      <c r="W3149">
        <v>0.38225999999999999</v>
      </c>
      <c r="X3149">
        <v>0.89248809999999901</v>
      </c>
      <c r="Y3149">
        <v>-0.31206970000000001</v>
      </c>
      <c r="Z3149">
        <v>6.4310999999999993E-2</v>
      </c>
      <c r="AA3149">
        <v>0.9478801</v>
      </c>
      <c r="AB3149">
        <v>26</v>
      </c>
      <c r="AC3149">
        <v>-0.51329999999995801</v>
      </c>
      <c r="AD3149">
        <v>-1.1175694186689999</v>
      </c>
      <c r="AE3149">
        <v>-12.7029999999999</v>
      </c>
      <c r="AF3149">
        <v>-3.9785058447964001</v>
      </c>
      <c r="AG3149">
        <v>-1.1175694186689999</v>
      </c>
      <c r="AH3149">
        <v>11.9721306447502</v>
      </c>
      <c r="AI3149">
        <v>95.062295004010295</v>
      </c>
      <c r="AJ3149">
        <v>108.382366256569</v>
      </c>
      <c r="AK3149">
        <v>12.6652825605112</v>
      </c>
      <c r="AL3149">
        <v>67.526256797541905</v>
      </c>
      <c r="AM3149">
        <v>105.01922139488001</v>
      </c>
      <c r="AN3149">
        <v>0.99999997862768397</v>
      </c>
    </row>
    <row r="3150" spans="1:40" x14ac:dyDescent="0.25">
      <c r="A3150" t="str">
        <f>"20190304164913304"</f>
        <v>20190304164913304</v>
      </c>
      <c r="B3150" t="str">
        <f>"1551689353299032"</f>
        <v>1551689353299032</v>
      </c>
      <c r="C3150" t="s">
        <v>40</v>
      </c>
      <c r="D3150">
        <v>4.2347970000000004</v>
      </c>
      <c r="E3150">
        <v>0.4814696</v>
      </c>
      <c r="F3150" t="s">
        <v>42</v>
      </c>
      <c r="G3150">
        <v>-492.33139999999997</v>
      </c>
      <c r="H3150" s="1">
        <v>-3.1185969999999998E-6</v>
      </c>
      <c r="I3150">
        <v>255.4127</v>
      </c>
      <c r="J3150">
        <v>-491.79320000000001</v>
      </c>
      <c r="K3150">
        <v>1.1175710000000001</v>
      </c>
      <c r="L3150">
        <v>268.721</v>
      </c>
      <c r="M3150">
        <v>-0.34797739999999999</v>
      </c>
      <c r="N3150">
        <v>-1.1915739999999999E-2</v>
      </c>
      <c r="O3150">
        <v>-0.93742720000000002</v>
      </c>
      <c r="P3150">
        <v>-9.3803830000000005E-2</v>
      </c>
      <c r="Q3150">
        <v>0.37576739999999997</v>
      </c>
      <c r="R3150">
        <v>-0.92195439999999995</v>
      </c>
      <c r="S3150">
        <v>-0.1455688</v>
      </c>
      <c r="T3150">
        <v>-0.27872529999999901</v>
      </c>
      <c r="U3150">
        <v>-3.3535159999999999</v>
      </c>
      <c r="V3150">
        <v>-0.2393412</v>
      </c>
      <c r="W3150">
        <v>0.38247379999999997</v>
      </c>
      <c r="X3150">
        <v>0.89242909999999998</v>
      </c>
      <c r="Y3150">
        <v>-0.30689699999999998</v>
      </c>
      <c r="Z3150">
        <v>6.1271150000000003E-2</v>
      </c>
      <c r="AA3150">
        <v>0.94976839999999996</v>
      </c>
      <c r="AB3150">
        <v>26</v>
      </c>
      <c r="AC3150">
        <v>-0.53819999999996004</v>
      </c>
      <c r="AD3150">
        <v>-1.1175741185969901</v>
      </c>
      <c r="AE3150">
        <v>-13.308299999999999</v>
      </c>
      <c r="AF3150">
        <v>-4.0979063379616703</v>
      </c>
      <c r="AG3150">
        <v>-1.1175741185969901</v>
      </c>
      <c r="AH3150">
        <v>12.575208240695799</v>
      </c>
      <c r="AI3150">
        <v>94.829898611499104</v>
      </c>
      <c r="AJ3150">
        <v>108.04933094833</v>
      </c>
      <c r="AK3150">
        <v>13.2731936835913</v>
      </c>
      <c r="AL3150">
        <v>67.513001434158298</v>
      </c>
      <c r="AM3150">
        <v>105.01291055375</v>
      </c>
      <c r="AN3150">
        <v>1.0000000581153401</v>
      </c>
    </row>
    <row r="3151" spans="1:40" x14ac:dyDescent="0.25">
      <c r="A3151" t="str">
        <f>"20190304164913323"</f>
        <v>20190304164913323</v>
      </c>
      <c r="B3151" t="str">
        <f>"1551689353318553"</f>
        <v>1551689353318553</v>
      </c>
      <c r="C3151" t="s">
        <v>40</v>
      </c>
      <c r="D3151">
        <v>4.2367520000000001</v>
      </c>
      <c r="E3151">
        <v>0.48327510000000001</v>
      </c>
      <c r="F3151" t="s">
        <v>42</v>
      </c>
      <c r="G3151">
        <v>-492.34140000000002</v>
      </c>
      <c r="H3151" s="1">
        <v>-3.030567E-6</v>
      </c>
      <c r="I3151">
        <v>255.2012</v>
      </c>
      <c r="J3151">
        <v>-491.85309999999998</v>
      </c>
      <c r="K3151">
        <v>1.1175839999999999</v>
      </c>
      <c r="L3151">
        <v>268.53640000000001</v>
      </c>
      <c r="M3151">
        <v>-0.34072950000000002</v>
      </c>
      <c r="N3151">
        <v>-1.1897329999999999E-2</v>
      </c>
      <c r="O3151">
        <v>-0.94008619999999998</v>
      </c>
      <c r="P3151">
        <v>-8.6907650000000003E-2</v>
      </c>
      <c r="Q3151">
        <v>0.37639149999999999</v>
      </c>
      <c r="R3151">
        <v>-0.92237559999999996</v>
      </c>
      <c r="S3151">
        <v>-0.13595579999999999</v>
      </c>
      <c r="T3151">
        <v>-0.27717389999999997</v>
      </c>
      <c r="U3151">
        <v>-3.3530880000000001</v>
      </c>
      <c r="V3151">
        <v>-0.23905370000000001</v>
      </c>
      <c r="W3151">
        <v>0.38307950000000002</v>
      </c>
      <c r="X3151">
        <v>0.89224629999999905</v>
      </c>
      <c r="Y3151">
        <v>-0.30226380000000003</v>
      </c>
      <c r="Z3151">
        <v>6.1277110000000003E-2</v>
      </c>
      <c r="AA3151">
        <v>0.95125269999999995</v>
      </c>
      <c r="AB3151">
        <v>26</v>
      </c>
      <c r="AC3151">
        <v>-0.48830000000003698</v>
      </c>
      <c r="AD3151">
        <v>-1.1175870305669999</v>
      </c>
      <c r="AE3151">
        <v>-13.3352</v>
      </c>
      <c r="AF3151">
        <v>-4.0564873912405899</v>
      </c>
      <c r="AG3151">
        <v>-1.1175870305669999</v>
      </c>
      <c r="AH3151">
        <v>12.6150284663668</v>
      </c>
      <c r="AI3151">
        <v>94.820838205075106</v>
      </c>
      <c r="AJ3151">
        <v>107.825709021173</v>
      </c>
      <c r="AK3151">
        <v>13.298234241185201</v>
      </c>
      <c r="AL3151">
        <v>67.475435499487901</v>
      </c>
      <c r="AM3151">
        <v>104.99862344409</v>
      </c>
      <c r="AN3151">
        <v>1.0000000173338099</v>
      </c>
    </row>
    <row r="3152" spans="1:40" x14ac:dyDescent="0.25">
      <c r="A3152" t="str">
        <f>"20190304164913336"</f>
        <v>20190304164913336</v>
      </c>
      <c r="B3152" t="str">
        <f>"1551689353329288"</f>
        <v>1551689353329288</v>
      </c>
      <c r="C3152" t="s">
        <v>40</v>
      </c>
      <c r="D3152">
        <v>4.2666130000000004</v>
      </c>
      <c r="E3152">
        <v>0.48411569999999998</v>
      </c>
      <c r="F3152" t="s">
        <v>42</v>
      </c>
      <c r="G3152">
        <v>-492.36110000000002</v>
      </c>
      <c r="H3152" s="1">
        <v>-2.898421E-6</v>
      </c>
      <c r="I3152">
        <v>254.881</v>
      </c>
      <c r="J3152">
        <v>-491.90039999999999</v>
      </c>
      <c r="K3152">
        <v>1.117588</v>
      </c>
      <c r="L3152">
        <v>268.38720000000001</v>
      </c>
      <c r="M3152">
        <v>-0.33486569999999999</v>
      </c>
      <c r="N3152">
        <v>-1.188378E-2</v>
      </c>
      <c r="O3152">
        <v>-0.94219109999999995</v>
      </c>
      <c r="P3152">
        <v>-8.1578709999999999E-2</v>
      </c>
      <c r="Q3152">
        <v>0.37679849999999998</v>
      </c>
      <c r="R3152">
        <v>-0.92269619999999997</v>
      </c>
      <c r="S3152">
        <v>-0.1247253</v>
      </c>
      <c r="T3152">
        <v>-0.27439059999999998</v>
      </c>
      <c r="U3152">
        <v>-3.3526919999999998</v>
      </c>
      <c r="V3152">
        <v>-0.23860300000000001</v>
      </c>
      <c r="W3152">
        <v>0.38347750000000003</v>
      </c>
      <c r="X3152">
        <v>0.89219590000000004</v>
      </c>
      <c r="Y3152">
        <v>-0.299504299999999</v>
      </c>
      <c r="Z3152">
        <v>6.0856159999999999E-2</v>
      </c>
      <c r="AA3152">
        <v>0.95215209999999995</v>
      </c>
      <c r="AB3152">
        <v>26</v>
      </c>
      <c r="AC3152">
        <v>-0.46070000000003097</v>
      </c>
      <c r="AD3152">
        <v>-1.1175908984209999</v>
      </c>
      <c r="AE3152">
        <v>-13.5062</v>
      </c>
      <c r="AF3152">
        <v>-4.0612090244141799</v>
      </c>
      <c r="AG3152">
        <v>-1.1175908984209999</v>
      </c>
      <c r="AH3152">
        <v>12.793109070583901</v>
      </c>
      <c r="AI3152">
        <v>94.759695953319095</v>
      </c>
      <c r="AJ3152">
        <v>107.612189524458</v>
      </c>
      <c r="AK3152">
        <v>13.4687069850106</v>
      </c>
      <c r="AL3152">
        <v>67.450744838162294</v>
      </c>
      <c r="AM3152">
        <v>104.972424392929</v>
      </c>
      <c r="AN3152">
        <v>0.99999995429602895</v>
      </c>
    </row>
    <row r="3153" spans="1:40" x14ac:dyDescent="0.25">
      <c r="A3153" t="str">
        <f>"20190304164913347"</f>
        <v>20190304164913347</v>
      </c>
      <c r="B3153" t="str">
        <f>"1551689353339048"</f>
        <v>1551689353339048</v>
      </c>
      <c r="C3153" t="s">
        <v>40</v>
      </c>
      <c r="D3153">
        <v>4.2599559999999999</v>
      </c>
      <c r="E3153">
        <v>0.48477419999999999</v>
      </c>
      <c r="F3153" t="s">
        <v>42</v>
      </c>
      <c r="G3153">
        <v>-492.35640000000001</v>
      </c>
      <c r="H3153" s="1">
        <v>-2.8274319999999999E-6</v>
      </c>
      <c r="I3153">
        <v>254.7184</v>
      </c>
      <c r="J3153">
        <v>-491.93990000000002</v>
      </c>
      <c r="K3153">
        <v>1.11759599999999</v>
      </c>
      <c r="L3153">
        <v>268.25900000000001</v>
      </c>
      <c r="M3153">
        <v>-0.32983079999999998</v>
      </c>
      <c r="N3153">
        <v>-1.1873770000000001E-2</v>
      </c>
      <c r="O3153">
        <v>-0.94396559999999896</v>
      </c>
      <c r="P3153">
        <v>-7.7137949999999997E-2</v>
      </c>
      <c r="Q3153">
        <v>0.37694159999999999</v>
      </c>
      <c r="R3153">
        <v>-0.92301940000000005</v>
      </c>
      <c r="S3153">
        <v>-0.1118774</v>
      </c>
      <c r="T3153">
        <v>-0.27418589999999998</v>
      </c>
      <c r="U3153">
        <v>-3.3534549999999999</v>
      </c>
      <c r="V3153">
        <v>-0.2381182</v>
      </c>
      <c r="W3153">
        <v>0.3836176</v>
      </c>
      <c r="X3153">
        <v>0.89226519999999998</v>
      </c>
      <c r="Y3153">
        <v>-0.29806379999999999</v>
      </c>
      <c r="Z3153">
        <v>6.1024580000000002E-2</v>
      </c>
      <c r="AA3153">
        <v>0.95259329999999998</v>
      </c>
      <c r="AB3153">
        <v>26</v>
      </c>
      <c r="AC3153">
        <v>-0.41649999999998399</v>
      </c>
      <c r="AD3153">
        <v>-1.1175988274319999</v>
      </c>
      <c r="AE3153">
        <v>-13.5406</v>
      </c>
      <c r="AF3153">
        <v>-4.0456969991053002</v>
      </c>
      <c r="AG3153">
        <v>-1.1175988274319999</v>
      </c>
      <c r="AH3153">
        <v>12.832804639050501</v>
      </c>
      <c r="AI3153">
        <v>94.748050389841893</v>
      </c>
      <c r="AJ3153">
        <v>107.49808818631</v>
      </c>
      <c r="AK3153">
        <v>13.5017615980909</v>
      </c>
      <c r="AL3153">
        <v>67.442053176501105</v>
      </c>
      <c r="AM3153">
        <v>104.942256514421</v>
      </c>
      <c r="AN3153">
        <v>0.99999996366601895</v>
      </c>
    </row>
    <row r="3154" spans="1:40" x14ac:dyDescent="0.25">
      <c r="A3154" t="str">
        <f>"20190304164913358"</f>
        <v>20190304164913358</v>
      </c>
      <c r="B3154" t="str">
        <f>"1551689353348808"</f>
        <v>1551689353348808</v>
      </c>
      <c r="C3154" t="s">
        <v>40</v>
      </c>
      <c r="D3154">
        <v>4.268281</v>
      </c>
      <c r="E3154">
        <v>0.48477419999999999</v>
      </c>
      <c r="F3154" t="s">
        <v>42</v>
      </c>
      <c r="G3154">
        <v>-492.3451</v>
      </c>
      <c r="H3154" s="1">
        <v>-2.78012E-6</v>
      </c>
      <c r="I3154">
        <v>254.61510000000001</v>
      </c>
      <c r="J3154">
        <v>-491.9742</v>
      </c>
      <c r="K3154">
        <v>1.117599</v>
      </c>
      <c r="L3154">
        <v>268.14670000000001</v>
      </c>
      <c r="M3154">
        <v>-0.32541890000000001</v>
      </c>
      <c r="N3154">
        <v>-1.186537E-2</v>
      </c>
      <c r="O3154">
        <v>-0.94549570000000005</v>
      </c>
      <c r="P3154">
        <v>-7.3221579999999994E-2</v>
      </c>
      <c r="Q3154">
        <v>0.3768397</v>
      </c>
      <c r="R3154">
        <v>-0.92338030000000004</v>
      </c>
      <c r="S3154">
        <v>-9.9609379999999997E-2</v>
      </c>
      <c r="T3154">
        <v>-0.27473829999999999</v>
      </c>
      <c r="U3154">
        <v>-3.3540649999999999</v>
      </c>
      <c r="V3154">
        <v>-0.23775070000000001</v>
      </c>
      <c r="W3154">
        <v>0.38351370000000001</v>
      </c>
      <c r="X3154">
        <v>0.89240789999999903</v>
      </c>
      <c r="Y3154">
        <v>-0.29709400000000002</v>
      </c>
      <c r="Z3154">
        <v>6.1359160000000003E-2</v>
      </c>
      <c r="AA3154">
        <v>0.95287469999999996</v>
      </c>
      <c r="AB3154">
        <v>26</v>
      </c>
      <c r="AC3154">
        <v>-0.370900000000006</v>
      </c>
      <c r="AD3154">
        <v>-1.11760178012</v>
      </c>
      <c r="AE3154">
        <v>-13.5315999999999</v>
      </c>
      <c r="AF3154">
        <v>-4.0255988545291901</v>
      </c>
      <c r="AG3154">
        <v>-1.11760178012</v>
      </c>
      <c r="AH3154">
        <v>12.828233043187399</v>
      </c>
      <c r="AI3154">
        <v>94.751715716765403</v>
      </c>
      <c r="AJ3154">
        <v>107.422261133483</v>
      </c>
      <c r="AK3154">
        <v>13.491406260536399</v>
      </c>
      <c r="AL3154">
        <v>67.448500268878504</v>
      </c>
      <c r="AM3154">
        <v>104.91794517112</v>
      </c>
      <c r="AN3154">
        <v>1.0000000067102901</v>
      </c>
    </row>
    <row r="3155" spans="1:40" x14ac:dyDescent="0.25">
      <c r="A3155" t="str">
        <f>"20190304164913370"</f>
        <v>20190304164913370</v>
      </c>
      <c r="B3155" t="str">
        <f>"1551689353358568"</f>
        <v>1551689353358568</v>
      </c>
      <c r="C3155" t="s">
        <v>40</v>
      </c>
      <c r="D3155">
        <v>4.2798160000000003</v>
      </c>
      <c r="E3155">
        <v>0.4934829</v>
      </c>
      <c r="F3155" t="s">
        <v>42</v>
      </c>
      <c r="G3155">
        <v>-492.322</v>
      </c>
      <c r="H3155" s="1">
        <v>-2.7304140000000001E-6</v>
      </c>
      <c r="I3155">
        <v>254.5136</v>
      </c>
      <c r="J3155">
        <v>-492.01209999999998</v>
      </c>
      <c r="K3155">
        <v>1.1176029999999999</v>
      </c>
      <c r="L3155">
        <v>268.02</v>
      </c>
      <c r="M3155">
        <v>-0.32043630000000001</v>
      </c>
      <c r="N3155">
        <v>-1.185684E-2</v>
      </c>
      <c r="O3155">
        <v>-0.94719609999999999</v>
      </c>
      <c r="P3155">
        <v>-6.8601029999999993E-2</v>
      </c>
      <c r="Q3155">
        <v>0.37691799999999998</v>
      </c>
      <c r="R3155">
        <v>-0.92370289999999999</v>
      </c>
      <c r="S3155">
        <v>-8.5571289999999994E-2</v>
      </c>
      <c r="T3155">
        <v>-0.27498099999999998</v>
      </c>
      <c r="U3155">
        <v>-3.3543699999999999</v>
      </c>
      <c r="V3155">
        <v>-0.23751140000000001</v>
      </c>
      <c r="W3155">
        <v>0.38358599999999998</v>
      </c>
      <c r="X3155">
        <v>0.89244059999999903</v>
      </c>
      <c r="Y3155">
        <v>-0.29605540000000002</v>
      </c>
      <c r="Z3155">
        <v>6.1639699999999902E-2</v>
      </c>
      <c r="AA3155">
        <v>0.95317980000000002</v>
      </c>
      <c r="AB3155">
        <v>26</v>
      </c>
      <c r="AC3155">
        <v>-0.30989999999996998</v>
      </c>
      <c r="AD3155">
        <v>-1.1176057304139999</v>
      </c>
      <c r="AE3155">
        <v>-13.5063999999999</v>
      </c>
      <c r="AF3155">
        <v>-4.0072643066464204</v>
      </c>
      <c r="AG3155">
        <v>-1.1176057304139999</v>
      </c>
      <c r="AH3155">
        <v>12.805781411666301</v>
      </c>
      <c r="AI3155">
        <v>94.761217152361695</v>
      </c>
      <c r="AJ3155">
        <v>107.37626799754899</v>
      </c>
      <c r="AK3155">
        <v>13.464592357563401</v>
      </c>
      <c r="AL3155">
        <v>67.444015868847799</v>
      </c>
      <c r="AM3155">
        <v>104.903076727102</v>
      </c>
      <c r="AN3155">
        <v>1.0000000545271499</v>
      </c>
    </row>
    <row r="3156" spans="1:40" x14ac:dyDescent="0.25">
      <c r="A3156" t="str">
        <f>"20190304164913383"</f>
        <v>20190304164913383</v>
      </c>
      <c r="B3156" t="str">
        <f>"1551689353379064"</f>
        <v>1551689353379064</v>
      </c>
      <c r="C3156" t="s">
        <v>40</v>
      </c>
      <c r="D3156">
        <v>4.3012509999999997</v>
      </c>
      <c r="E3156">
        <v>0.49421290000000001</v>
      </c>
      <c r="F3156" t="s">
        <v>42</v>
      </c>
      <c r="G3156">
        <v>-492.52280000000002</v>
      </c>
      <c r="H3156" s="1">
        <v>-3.2469370000000002E-6</v>
      </c>
      <c r="I3156">
        <v>255.59309999999999</v>
      </c>
      <c r="J3156">
        <v>-492.05270000000002</v>
      </c>
      <c r="K3156">
        <v>1.117607</v>
      </c>
      <c r="L3156">
        <v>267.88139999999999</v>
      </c>
      <c r="M3156">
        <v>-0.31498949999999998</v>
      </c>
      <c r="N3156">
        <v>-1.1848320000000001E-2</v>
      </c>
      <c r="O3156">
        <v>-0.94902129999999996</v>
      </c>
      <c r="P3156">
        <v>-6.3749210000000001E-2</v>
      </c>
      <c r="Q3156">
        <v>0.37694440000000001</v>
      </c>
      <c r="R3156">
        <v>-0.92403939999999996</v>
      </c>
      <c r="S3156">
        <v>-0.13812260000000001</v>
      </c>
      <c r="T3156">
        <v>-0.30225879999999999</v>
      </c>
      <c r="U3156">
        <v>-3.3608699999999998</v>
      </c>
      <c r="V3156">
        <v>-0.23707039999999999</v>
      </c>
      <c r="W3156">
        <v>0.38361109999999998</v>
      </c>
      <c r="X3156">
        <v>0.89254699999999998</v>
      </c>
      <c r="Y3156">
        <v>-0.27568280000000001</v>
      </c>
      <c r="Z3156">
        <v>6.9259260000000003E-2</v>
      </c>
      <c r="AA3156">
        <v>0.95875030000000006</v>
      </c>
      <c r="AB3156">
        <v>26</v>
      </c>
      <c r="AC3156">
        <v>-0.47010000000000202</v>
      </c>
      <c r="AD3156">
        <v>-1.117610246937</v>
      </c>
      <c r="AE3156">
        <v>-12.2882999999999</v>
      </c>
      <c r="AF3156">
        <v>-3.3967347600421598</v>
      </c>
      <c r="AG3156">
        <v>-1.117610246937</v>
      </c>
      <c r="AH3156">
        <v>11.714009194747799</v>
      </c>
      <c r="AI3156">
        <v>95.235581025230104</v>
      </c>
      <c r="AJ3156">
        <v>106.17067956364799</v>
      </c>
      <c r="AK3156">
        <v>12.2476475744844</v>
      </c>
      <c r="AL3156">
        <v>67.442457291027694</v>
      </c>
      <c r="AM3156">
        <v>104.874938647768</v>
      </c>
      <c r="AN3156">
        <v>0.99999999890418501</v>
      </c>
    </row>
    <row r="3157" spans="1:40" x14ac:dyDescent="0.25">
      <c r="A3157" t="str">
        <f>"20190304164913394"</f>
        <v>20190304164913394</v>
      </c>
      <c r="B3157" t="str">
        <f>"1551689353388825"</f>
        <v>1551689353388825</v>
      </c>
      <c r="C3157" t="s">
        <v>40</v>
      </c>
      <c r="D3157">
        <v>4.3109840000000004</v>
      </c>
      <c r="E3157">
        <v>0.49482280000000001</v>
      </c>
      <c r="F3157" t="s">
        <v>42</v>
      </c>
      <c r="G3157">
        <v>-492.51429999999999</v>
      </c>
      <c r="H3157" s="1">
        <v>-3.2536449999999998E-6</v>
      </c>
      <c r="I3157">
        <v>255.614</v>
      </c>
      <c r="J3157">
        <v>-492.08949999999999</v>
      </c>
      <c r="K3157">
        <v>1.1176090000000001</v>
      </c>
      <c r="L3157">
        <v>267.75360000000001</v>
      </c>
      <c r="M3157">
        <v>-0.30996600000000002</v>
      </c>
      <c r="N3157">
        <v>-1.184092E-2</v>
      </c>
      <c r="O3157">
        <v>-0.95067400000000002</v>
      </c>
      <c r="P3157">
        <v>-5.88131E-2</v>
      </c>
      <c r="Q3157">
        <v>0.37710900000000003</v>
      </c>
      <c r="R3157">
        <v>-0.92430000000000001</v>
      </c>
      <c r="S3157">
        <v>-0.12655640000000001</v>
      </c>
      <c r="T3157">
        <v>-0.30636940000000001</v>
      </c>
      <c r="U3157">
        <v>-3.362854</v>
      </c>
      <c r="V3157">
        <v>-0.23710349999999999</v>
      </c>
      <c r="W3157">
        <v>0.3837643</v>
      </c>
      <c r="X3157">
        <v>0.89247240000000005</v>
      </c>
      <c r="Y3157">
        <v>-0.27391700000000002</v>
      </c>
      <c r="Z3157">
        <v>7.0555560000000003E-2</v>
      </c>
      <c r="AA3157">
        <v>0.95916179999999995</v>
      </c>
      <c r="AB3157">
        <v>26</v>
      </c>
      <c r="AC3157">
        <v>-0.42480000000000401</v>
      </c>
      <c r="AD3157">
        <v>-1.1176122536449999</v>
      </c>
      <c r="AE3157">
        <v>-12.1396</v>
      </c>
      <c r="AF3157">
        <v>-3.3310537833571199</v>
      </c>
      <c r="AG3157">
        <v>-1.1176122536449999</v>
      </c>
      <c r="AH3157">
        <v>11.575304584284099</v>
      </c>
      <c r="AI3157">
        <v>95.301062744099895</v>
      </c>
      <c r="AJ3157">
        <v>106.054360830075</v>
      </c>
      <c r="AK3157">
        <v>12.096803407349499</v>
      </c>
      <c r="AL3157">
        <v>67.432953202616702</v>
      </c>
      <c r="AM3157">
        <v>104.87811179496499</v>
      </c>
      <c r="AN3157">
        <v>1.00000004621424</v>
      </c>
    </row>
    <row r="3158" spans="1:40" x14ac:dyDescent="0.25">
      <c r="A3158" t="str">
        <f>"20190304164913413"</f>
        <v>20190304164913413</v>
      </c>
      <c r="B3158" t="str">
        <f>"1551689353409322"</f>
        <v>1551689353409322</v>
      </c>
      <c r="C3158" t="s">
        <v>40</v>
      </c>
      <c r="D3158">
        <v>4.3537689999999998</v>
      </c>
      <c r="E3158">
        <v>0.49553209999999998</v>
      </c>
      <c r="F3158" t="s">
        <v>42</v>
      </c>
      <c r="G3158">
        <v>-492.50380000000001</v>
      </c>
      <c r="H3158" s="1">
        <v>-3.213798E-6</v>
      </c>
      <c r="I3158">
        <v>255.52760000000001</v>
      </c>
      <c r="J3158">
        <v>-492.14210000000003</v>
      </c>
      <c r="K3158">
        <v>1.1176159999999999</v>
      </c>
      <c r="L3158">
        <v>267.56560000000002</v>
      </c>
      <c r="M3158">
        <v>-0.30257009999999901</v>
      </c>
      <c r="N3158">
        <v>-1.183156E-2</v>
      </c>
      <c r="O3158">
        <v>-0.95305390000000001</v>
      </c>
      <c r="P3158">
        <v>-5.1933809999999997E-2</v>
      </c>
      <c r="Q3158">
        <v>0.377413</v>
      </c>
      <c r="R3158">
        <v>-0.92458779999999996</v>
      </c>
      <c r="S3158">
        <v>-0.11398320000000001</v>
      </c>
      <c r="T3158">
        <v>-0.307508</v>
      </c>
      <c r="U3158">
        <v>-3.363953</v>
      </c>
      <c r="V3158">
        <v>-0.2367824</v>
      </c>
      <c r="W3158">
        <v>0.3840615</v>
      </c>
      <c r="X3158">
        <v>0.89242980000000005</v>
      </c>
      <c r="Y3158">
        <v>-0.27003909999999998</v>
      </c>
      <c r="Z3158">
        <v>7.1210720000000005E-2</v>
      </c>
      <c r="AA3158">
        <v>0.96021239999999997</v>
      </c>
      <c r="AB3158">
        <v>26</v>
      </c>
      <c r="AC3158">
        <v>-0.36169999999998398</v>
      </c>
      <c r="AD3158">
        <v>-1.1176192137980001</v>
      </c>
      <c r="AE3158">
        <v>-12.038</v>
      </c>
      <c r="AF3158">
        <v>-3.2696919705471199</v>
      </c>
      <c r="AG3158">
        <v>-1.1176192137980001</v>
      </c>
      <c r="AH3158">
        <v>11.484212776706601</v>
      </c>
      <c r="AI3158">
        <v>95.347203929830101</v>
      </c>
      <c r="AJ3158">
        <v>105.892283589351</v>
      </c>
      <c r="AK3158">
        <v>11.9927937274841</v>
      </c>
      <c r="AL3158">
        <v>67.414511668860698</v>
      </c>
      <c r="AM3158">
        <v>104.859532752479</v>
      </c>
      <c r="AN3158">
        <v>1.0000000443300201</v>
      </c>
    </row>
    <row r="3159" spans="1:40" x14ac:dyDescent="0.25">
      <c r="A3159" t="str">
        <f>"20190304164913424"</f>
        <v>20190304164913424</v>
      </c>
      <c r="B3159" t="str">
        <f>"1551689353419080"</f>
        <v>1551689353419080</v>
      </c>
      <c r="C3159" t="s">
        <v>40</v>
      </c>
      <c r="D3159">
        <v>4.3323869999999998</v>
      </c>
      <c r="E3159">
        <v>0.49664409999999998</v>
      </c>
      <c r="F3159" t="s">
        <v>42</v>
      </c>
      <c r="G3159">
        <v>-492.48989999999998</v>
      </c>
      <c r="H3159" s="1">
        <v>-3.1379539999999999E-6</v>
      </c>
      <c r="I3159">
        <v>255.35939999999999</v>
      </c>
      <c r="J3159">
        <v>-492.17829999999998</v>
      </c>
      <c r="K3159">
        <v>1.117621</v>
      </c>
      <c r="L3159">
        <v>267.43259999999998</v>
      </c>
      <c r="M3159">
        <v>-0.29734329999999998</v>
      </c>
      <c r="N3159">
        <v>-1.18257E-2</v>
      </c>
      <c r="O3159">
        <v>-0.95469760000000004</v>
      </c>
      <c r="P3159">
        <v>-4.7221720000000002E-2</v>
      </c>
      <c r="Q3159">
        <v>0.37760919999999998</v>
      </c>
      <c r="R3159">
        <v>-0.92476060000000004</v>
      </c>
      <c r="S3159">
        <v>-9.5886230000000003E-2</v>
      </c>
      <c r="T3159">
        <v>-0.30811430000000001</v>
      </c>
      <c r="U3159">
        <v>-3.3650820000000001</v>
      </c>
      <c r="V3159">
        <v>-0.23642170000000001</v>
      </c>
      <c r="W3159">
        <v>0.38425559999999997</v>
      </c>
      <c r="X3159">
        <v>0.89244179999999995</v>
      </c>
      <c r="Y3159">
        <v>-0.2699337</v>
      </c>
      <c r="Z3159">
        <v>7.1570889999999998E-2</v>
      </c>
      <c r="AA3159">
        <v>0.96021529999999999</v>
      </c>
      <c r="AB3159">
        <v>26</v>
      </c>
      <c r="AC3159">
        <v>-0.31159999999999799</v>
      </c>
      <c r="AD3159">
        <v>-1.117624137954</v>
      </c>
      <c r="AE3159">
        <v>-12.0731999999999</v>
      </c>
      <c r="AF3159">
        <v>-3.2646735169074002</v>
      </c>
      <c r="AG3159">
        <v>-1.117624137954</v>
      </c>
      <c r="AH3159">
        <v>11.5210554950951</v>
      </c>
      <c r="AI3159">
        <v>95.332101559923601</v>
      </c>
      <c r="AJ3159">
        <v>105.820917786135</v>
      </c>
      <c r="AK3159">
        <v>12.026715952694399</v>
      </c>
      <c r="AL3159">
        <v>67.402464661033505</v>
      </c>
      <c r="AM3159">
        <v>104.837705213992</v>
      </c>
      <c r="AN3159">
        <v>0.99999997637474403</v>
      </c>
    </row>
    <row r="3160" spans="1:40" x14ac:dyDescent="0.25">
      <c r="A3160" t="str">
        <f>"20190304164913438"</f>
        <v>20190304164913438</v>
      </c>
      <c r="B3160" t="str">
        <f>"1551689353428841"</f>
        <v>1551689353428841</v>
      </c>
      <c r="C3160" t="s">
        <v>40</v>
      </c>
      <c r="D3160">
        <v>4.3409360000000001</v>
      </c>
      <c r="E3160">
        <v>0.49664409999999998</v>
      </c>
      <c r="F3160" t="s">
        <v>42</v>
      </c>
      <c r="G3160">
        <v>-492.49099999999999</v>
      </c>
      <c r="H3160" s="1">
        <v>-3.1404839999999998E-6</v>
      </c>
      <c r="I3160">
        <v>255.3647</v>
      </c>
      <c r="J3160">
        <v>-492.21839999999997</v>
      </c>
      <c r="K3160">
        <v>1.117626</v>
      </c>
      <c r="L3160">
        <v>267.2824</v>
      </c>
      <c r="M3160">
        <v>-0.2914349</v>
      </c>
      <c r="N3160">
        <v>-1.181955E-2</v>
      </c>
      <c r="O3160">
        <v>-0.95651779999999997</v>
      </c>
      <c r="P3160">
        <v>-4.1540670000000002E-2</v>
      </c>
      <c r="Q3160">
        <v>0.37773210000000002</v>
      </c>
      <c r="R3160">
        <v>-0.92498279999999999</v>
      </c>
      <c r="S3160">
        <v>-8.7249759999999996E-2</v>
      </c>
      <c r="T3160">
        <v>-0.31181490000000001</v>
      </c>
      <c r="U3160">
        <v>-3.366943</v>
      </c>
      <c r="V3160">
        <v>-0.23637839999999999</v>
      </c>
      <c r="W3160">
        <v>0.38437009999999999</v>
      </c>
      <c r="X3160">
        <v>0.89240399999999998</v>
      </c>
      <c r="Y3160">
        <v>-0.26645869999999999</v>
      </c>
      <c r="Z3160">
        <v>7.2816110000000003E-2</v>
      </c>
      <c r="AA3160">
        <v>0.9610919</v>
      </c>
      <c r="AB3160">
        <v>26</v>
      </c>
      <c r="AC3160">
        <v>-0.272600000000011</v>
      </c>
      <c r="AD3160">
        <v>-1.117629140484</v>
      </c>
      <c r="AE3160">
        <v>-11.9176999999999</v>
      </c>
      <c r="AF3160">
        <v>-3.1847175721343199</v>
      </c>
      <c r="AG3160">
        <v>-1.117629140484</v>
      </c>
      <c r="AH3160">
        <v>11.3797110958803</v>
      </c>
      <c r="AI3160">
        <v>95.402877200654103</v>
      </c>
      <c r="AJ3160">
        <v>105.634768831198</v>
      </c>
      <c r="AK3160">
        <v>11.8696817790378</v>
      </c>
      <c r="AL3160">
        <v>67.395359380602997</v>
      </c>
      <c r="AM3160">
        <v>104.835708240374</v>
      </c>
      <c r="AN3160">
        <v>1.00000001048828</v>
      </c>
    </row>
    <row r="3161" spans="1:40" x14ac:dyDescent="0.25">
      <c r="A3161" t="str">
        <f>"20190304164913449"</f>
        <v>20190304164913449</v>
      </c>
      <c r="B3161" t="str">
        <f>"1551689353438601"</f>
        <v>1551689353438601</v>
      </c>
      <c r="C3161" t="s">
        <v>40</v>
      </c>
      <c r="D3161">
        <v>4.311178</v>
      </c>
      <c r="E3161">
        <v>0.50278690000000004</v>
      </c>
      <c r="F3161" t="s">
        <v>42</v>
      </c>
      <c r="G3161">
        <v>-492.45949999999999</v>
      </c>
      <c r="H3161" s="1">
        <v>-3.0607030000000001E-6</v>
      </c>
      <c r="I3161">
        <v>255.19820000000001</v>
      </c>
      <c r="J3161">
        <v>-492.25029999999998</v>
      </c>
      <c r="K3161">
        <v>1.117632</v>
      </c>
      <c r="L3161">
        <v>267.15980000000002</v>
      </c>
      <c r="M3161">
        <v>-0.28661110000000001</v>
      </c>
      <c r="N3161">
        <v>-1.181515E-2</v>
      </c>
      <c r="O3161">
        <v>-0.95797410000000005</v>
      </c>
      <c r="P3161">
        <v>-3.7408190000000001E-2</v>
      </c>
      <c r="Q3161">
        <v>0.37786690000000001</v>
      </c>
      <c r="R3161">
        <v>-0.92510409999999998</v>
      </c>
      <c r="S3161">
        <v>-6.7169190000000004E-2</v>
      </c>
      <c r="T3161">
        <v>-0.31144670000000002</v>
      </c>
      <c r="U3161">
        <v>-3.3674620000000002</v>
      </c>
      <c r="V3161">
        <v>-0.2358555</v>
      </c>
      <c r="W3161">
        <v>0.38450869999999998</v>
      </c>
      <c r="X3161">
        <v>0.89248259999999902</v>
      </c>
      <c r="Y3161">
        <v>-0.2673334</v>
      </c>
      <c r="Z3161">
        <v>7.2890730000000001E-2</v>
      </c>
      <c r="AA3161">
        <v>0.96084329999999996</v>
      </c>
      <c r="AB3161">
        <v>26</v>
      </c>
      <c r="AC3161">
        <v>-0.20920000000000899</v>
      </c>
      <c r="AD3161">
        <v>-1.1176350607029999</v>
      </c>
      <c r="AE3161">
        <v>-11.961600000000001</v>
      </c>
      <c r="AF3161">
        <v>-3.2002148492190798</v>
      </c>
      <c r="AG3161">
        <v>-1.1176350607029999</v>
      </c>
      <c r="AH3161">
        <v>11.419998952759499</v>
      </c>
      <c r="AI3161">
        <v>95.383443437826898</v>
      </c>
      <c r="AJ3161">
        <v>105.654412412357</v>
      </c>
      <c r="AK3161">
        <v>11.9124665494222</v>
      </c>
      <c r="AL3161">
        <v>67.386756238419395</v>
      </c>
      <c r="AM3161">
        <v>104.803085963976</v>
      </c>
      <c r="AN3161">
        <v>0.99999997427934895</v>
      </c>
    </row>
    <row r="3162" spans="1:40" x14ac:dyDescent="0.25">
      <c r="A3162" t="str">
        <f>"20190304164913461"</f>
        <v>20190304164913461</v>
      </c>
      <c r="B3162" t="str">
        <f>"1551689353449337"</f>
        <v>1551689353449337</v>
      </c>
      <c r="C3162" t="s">
        <v>40</v>
      </c>
      <c r="D3162">
        <v>4.3213900000000001</v>
      </c>
      <c r="E3162">
        <v>0.50291759999999996</v>
      </c>
      <c r="F3162" t="s">
        <v>42</v>
      </c>
      <c r="G3162">
        <v>-492.59949999999998</v>
      </c>
      <c r="H3162" s="1">
        <v>-3.2208990000000001E-6</v>
      </c>
      <c r="I3162">
        <v>255.48480000000001</v>
      </c>
      <c r="J3162">
        <v>-492.28059999999999</v>
      </c>
      <c r="K3162">
        <v>1.1176360000000001</v>
      </c>
      <c r="L3162">
        <v>267.04129999999998</v>
      </c>
      <c r="M3162">
        <v>-0.28194720000000001</v>
      </c>
      <c r="N3162">
        <v>-1.1811230000000001E-2</v>
      </c>
      <c r="O3162">
        <v>-0.95935740000000003</v>
      </c>
      <c r="P3162">
        <v>-3.3459990000000002E-2</v>
      </c>
      <c r="Q3162">
        <v>0.37792530000000002</v>
      </c>
      <c r="R3162">
        <v>-0.92523140000000004</v>
      </c>
      <c r="S3162">
        <v>-0.1007996</v>
      </c>
      <c r="T3162">
        <v>-0.32266899999999998</v>
      </c>
      <c r="U3162">
        <v>-3.3706360000000002</v>
      </c>
      <c r="V3162">
        <v>-0.23531769999999999</v>
      </c>
      <c r="W3162">
        <v>0.38457160000000001</v>
      </c>
      <c r="X3162">
        <v>0.89259750000000004</v>
      </c>
      <c r="Y3162">
        <v>-0.25306780000000001</v>
      </c>
      <c r="Z3162">
        <v>7.622748E-2</v>
      </c>
      <c r="AA3162">
        <v>0.96444079999999999</v>
      </c>
      <c r="AB3162">
        <v>26</v>
      </c>
      <c r="AC3162">
        <v>-0.31889999999998497</v>
      </c>
      <c r="AD3162">
        <v>-1.117639220899</v>
      </c>
      <c r="AE3162">
        <v>-11.5564999999999</v>
      </c>
      <c r="AF3162">
        <v>-2.92525015664032</v>
      </c>
      <c r="AG3162">
        <v>-1.117639220899</v>
      </c>
      <c r="AH3162">
        <v>11.0740081740975</v>
      </c>
      <c r="AI3162">
        <v>95.573140077053196</v>
      </c>
      <c r="AJ3162">
        <v>104.796957879871</v>
      </c>
      <c r="AK3162">
        <v>11.5082519501006</v>
      </c>
      <c r="AL3162">
        <v>67.382853142396598</v>
      </c>
      <c r="AM3162">
        <v>104.76899092095</v>
      </c>
      <c r="AN3162">
        <v>1.00000001623304</v>
      </c>
    </row>
    <row r="3163" spans="1:40" x14ac:dyDescent="0.25">
      <c r="A3163" t="str">
        <f>"20190304164913480"</f>
        <v>20190304164913480</v>
      </c>
      <c r="B3163" t="str">
        <f>"1551689353468856"</f>
        <v>1551689353468856</v>
      </c>
      <c r="C3163" t="s">
        <v>40</v>
      </c>
      <c r="D3163">
        <v>4.3272879999999896</v>
      </c>
      <c r="E3163">
        <v>0.50628549999999894</v>
      </c>
      <c r="F3163" t="s">
        <v>42</v>
      </c>
      <c r="G3163">
        <v>-492.58170000000001</v>
      </c>
      <c r="H3163" s="1">
        <v>-3.18161E-6</v>
      </c>
      <c r="I3163">
        <v>255.40430000000001</v>
      </c>
      <c r="J3163">
        <v>-492.33449999999999</v>
      </c>
      <c r="K3163">
        <v>1.1176429999999999</v>
      </c>
      <c r="L3163">
        <v>266.82400000000001</v>
      </c>
      <c r="M3163">
        <v>-0.27339590000000003</v>
      </c>
      <c r="N3163">
        <v>-1.1805059999999999E-2</v>
      </c>
      <c r="O3163">
        <v>-0.9618293</v>
      </c>
      <c r="P3163">
        <v>-2.6299119999999999E-2</v>
      </c>
      <c r="Q3163">
        <v>0.37772109999999998</v>
      </c>
      <c r="R3163">
        <v>-0.92554579999999997</v>
      </c>
      <c r="S3163">
        <v>-8.7249759999999996E-2</v>
      </c>
      <c r="T3163">
        <v>-0.32381310000000002</v>
      </c>
      <c r="U3163">
        <v>-3.3715820000000001</v>
      </c>
      <c r="V3163">
        <v>-0.2342998</v>
      </c>
      <c r="W3163">
        <v>0.38437890000000002</v>
      </c>
      <c r="X3163">
        <v>0.89294819999999997</v>
      </c>
      <c r="Y3163">
        <v>-0.2483389</v>
      </c>
      <c r="Z3163">
        <v>7.6925750000000001E-2</v>
      </c>
      <c r="AA3163">
        <v>0.96561390000000002</v>
      </c>
      <c r="AB3163">
        <v>26</v>
      </c>
      <c r="AC3163">
        <v>-0.24720000000001999</v>
      </c>
      <c r="AD3163">
        <v>-1.1176461816099901</v>
      </c>
      <c r="AE3163">
        <v>-11.419700000000001</v>
      </c>
      <c r="AF3163">
        <v>-2.8571807529300601</v>
      </c>
      <c r="AG3163">
        <v>-1.1176461816099901</v>
      </c>
      <c r="AH3163">
        <v>10.947343665082</v>
      </c>
      <c r="AI3163">
        <v>95.641596411458096</v>
      </c>
      <c r="AJ3163">
        <v>104.62749882710401</v>
      </c>
      <c r="AK3163">
        <v>11.3691225766808</v>
      </c>
      <c r="AL3163">
        <v>67.3948132434911</v>
      </c>
      <c r="AM3163">
        <v>104.702354773295</v>
      </c>
      <c r="AN3163">
        <v>1.00000001146424</v>
      </c>
    </row>
    <row r="3164" spans="1:40" x14ac:dyDescent="0.25">
      <c r="A3164" t="str">
        <f>"20190304164913494"</f>
        <v>20190304164913494</v>
      </c>
      <c r="B3164" t="str">
        <f>"1551689353489352"</f>
        <v>1551689353489352</v>
      </c>
      <c r="C3164" t="s">
        <v>40</v>
      </c>
      <c r="D3164">
        <v>4.3249789999999999</v>
      </c>
      <c r="E3164">
        <v>0.50876929999999998</v>
      </c>
      <c r="F3164" t="s">
        <v>42</v>
      </c>
      <c r="G3164">
        <v>-492.6336</v>
      </c>
      <c r="H3164" s="1">
        <v>-3.1770569999999999E-6</v>
      </c>
      <c r="I3164">
        <v>255.36150000000001</v>
      </c>
      <c r="J3164">
        <v>-492.37290000000002</v>
      </c>
      <c r="K3164">
        <v>1.1176489999999999</v>
      </c>
      <c r="L3164">
        <v>266.66460000000001</v>
      </c>
      <c r="M3164">
        <v>-0.26711770000000001</v>
      </c>
      <c r="N3164">
        <v>-1.180109E-2</v>
      </c>
      <c r="O3164">
        <v>-0.9635918</v>
      </c>
      <c r="P3164">
        <v>-2.0864790000000001E-2</v>
      </c>
      <c r="Q3164">
        <v>0.37755260000000002</v>
      </c>
      <c r="R3164">
        <v>-0.9257533</v>
      </c>
      <c r="S3164">
        <v>-8.8012699999999999E-2</v>
      </c>
      <c r="T3164">
        <v>-0.32889239999999997</v>
      </c>
      <c r="U3164">
        <v>-3.3731080000000002</v>
      </c>
      <c r="V3164">
        <v>-0.23373730000000001</v>
      </c>
      <c r="W3164">
        <v>0.38421640000000001</v>
      </c>
      <c r="X3164">
        <v>0.89316549999999995</v>
      </c>
      <c r="Y3164">
        <v>-0.24181610000000001</v>
      </c>
      <c r="Z3164">
        <v>7.8603389999999995E-2</v>
      </c>
      <c r="AA3164">
        <v>0.96713309999999997</v>
      </c>
      <c r="AB3164">
        <v>26</v>
      </c>
      <c r="AC3164">
        <v>-0.260699999999985</v>
      </c>
      <c r="AD3164">
        <v>-1.11765217705699</v>
      </c>
      <c r="AE3164">
        <v>-11.303100000000001</v>
      </c>
      <c r="AF3164">
        <v>-2.7414523558316999</v>
      </c>
      <c r="AG3164">
        <v>-1.11765217705699</v>
      </c>
      <c r="AH3164">
        <v>10.8558891489769</v>
      </c>
      <c r="AI3164">
        <v>95.700374112484994</v>
      </c>
      <c r="AJ3164">
        <v>104.17266618384301</v>
      </c>
      <c r="AK3164">
        <v>11.2523347187617</v>
      </c>
      <c r="AL3164">
        <v>67.404897704522995</v>
      </c>
      <c r="AM3164">
        <v>104.66516684694</v>
      </c>
      <c r="AN3164">
        <v>0.99999998891524999</v>
      </c>
    </row>
    <row r="3165" spans="1:40" x14ac:dyDescent="0.25">
      <c r="A3165" t="str">
        <f>"20190304164913513"</f>
        <v>20190304164913513</v>
      </c>
      <c r="B3165" t="str">
        <f>"1551689353508872"</f>
        <v>1551689353508872</v>
      </c>
      <c r="C3165" t="s">
        <v>40</v>
      </c>
      <c r="D3165">
        <v>4.3357320000000001</v>
      </c>
      <c r="E3165">
        <v>0.509434099999999</v>
      </c>
      <c r="F3165" t="s">
        <v>42</v>
      </c>
      <c r="G3165">
        <v>-492.65300000000002</v>
      </c>
      <c r="H3165" s="1">
        <v>-3.352986E-6</v>
      </c>
      <c r="I3165">
        <v>255.7595</v>
      </c>
      <c r="J3165">
        <v>-492.4221</v>
      </c>
      <c r="K3165">
        <v>1.117651</v>
      </c>
      <c r="L3165">
        <v>266.45240000000001</v>
      </c>
      <c r="M3165">
        <v>-0.25876559999999998</v>
      </c>
      <c r="N3165">
        <v>-1.179677E-2</v>
      </c>
      <c r="O3165">
        <v>-0.96586830000000001</v>
      </c>
      <c r="P3165">
        <v>-1.419491E-2</v>
      </c>
      <c r="Q3165">
        <v>0.3777798</v>
      </c>
      <c r="R3165">
        <v>-0.92578689999999997</v>
      </c>
      <c r="S3165">
        <v>-8.6822510000000006E-2</v>
      </c>
      <c r="T3165">
        <v>-0.34640549999999998</v>
      </c>
      <c r="U3165">
        <v>-3.3799130000000002</v>
      </c>
      <c r="V3165">
        <v>-0.2324194</v>
      </c>
      <c r="W3165">
        <v>0.38446079999999999</v>
      </c>
      <c r="X3165">
        <v>0.89340419999999998</v>
      </c>
      <c r="Y3165">
        <v>-0.23380809999999999</v>
      </c>
      <c r="Z3165">
        <v>8.3630049999999997E-2</v>
      </c>
      <c r="AA3165">
        <v>0.96867939999999997</v>
      </c>
      <c r="AB3165">
        <v>26</v>
      </c>
      <c r="AC3165">
        <v>-0.23090000000001901</v>
      </c>
      <c r="AD3165">
        <v>-1.1176543529859999</v>
      </c>
      <c r="AE3165">
        <v>-10.6929</v>
      </c>
      <c r="AF3165">
        <v>-2.5166307113020299</v>
      </c>
      <c r="AG3165">
        <v>-1.1176543529859999</v>
      </c>
      <c r="AH3165">
        <v>10.276187370524299</v>
      </c>
      <c r="AI3165">
        <v>96.030348424569695</v>
      </c>
      <c r="AJ3165">
        <v>103.76085557660601</v>
      </c>
      <c r="AK3165">
        <v>10.6387315157372</v>
      </c>
      <c r="AL3165">
        <v>67.389729239733498</v>
      </c>
      <c r="AM3165">
        <v>104.582283941066</v>
      </c>
      <c r="AN3165">
        <v>0.99999997440531896</v>
      </c>
    </row>
    <row r="3166" spans="1:40" x14ac:dyDescent="0.25">
      <c r="A3166" t="str">
        <f>"20190304164913527"</f>
        <v>20190304164913527</v>
      </c>
      <c r="B3166" t="str">
        <f>"1551689353518633"</f>
        <v>1551689353518633</v>
      </c>
      <c r="C3166" t="s">
        <v>40</v>
      </c>
      <c r="D3166">
        <v>4.3285289999999996</v>
      </c>
      <c r="E3166">
        <v>0.51031340000000003</v>
      </c>
      <c r="F3166" t="s">
        <v>42</v>
      </c>
      <c r="G3166">
        <v>-492.64319999999998</v>
      </c>
      <c r="H3166" s="1">
        <v>-3.1777090000000001E-6</v>
      </c>
      <c r="I3166">
        <v>255.357</v>
      </c>
      <c r="J3166">
        <v>-492.45549999999997</v>
      </c>
      <c r="K3166">
        <v>1.117656</v>
      </c>
      <c r="L3166">
        <v>266.30250000000001</v>
      </c>
      <c r="M3166">
        <v>-0.25286310000000001</v>
      </c>
      <c r="N3166">
        <v>-1.179675E-2</v>
      </c>
      <c r="O3166">
        <v>-0.96743020000000002</v>
      </c>
      <c r="P3166">
        <v>-9.1802849999999998E-3</v>
      </c>
      <c r="Q3166">
        <v>0.37786750000000002</v>
      </c>
      <c r="R3166">
        <v>-0.92581440000000004</v>
      </c>
      <c r="S3166">
        <v>-6.7321779999999998E-2</v>
      </c>
      <c r="T3166">
        <v>-0.34030389999999999</v>
      </c>
      <c r="U3166">
        <v>-3.3783259999999999</v>
      </c>
      <c r="V3166">
        <v>-0.23179659999999999</v>
      </c>
      <c r="W3166">
        <v>0.3845576</v>
      </c>
      <c r="X3166">
        <v>0.89352430000000005</v>
      </c>
      <c r="Y3166">
        <v>-0.2334494</v>
      </c>
      <c r="Z3166">
        <v>8.2242700000000002E-2</v>
      </c>
      <c r="AA3166">
        <v>0.96888470000000004</v>
      </c>
      <c r="AB3166">
        <v>26</v>
      </c>
      <c r="AC3166">
        <v>-0.187700000000006</v>
      </c>
      <c r="AD3166">
        <v>-1.1176591777089999</v>
      </c>
      <c r="AE3166">
        <v>-10.945499999999999</v>
      </c>
      <c r="AF3166">
        <v>-2.5596256011707399</v>
      </c>
      <c r="AG3166">
        <v>-1.1176591777089999</v>
      </c>
      <c r="AH3166">
        <v>10.5274745700431</v>
      </c>
      <c r="AI3166">
        <v>95.889826876330403</v>
      </c>
      <c r="AJ3166">
        <v>103.66559580764699</v>
      </c>
      <c r="AK3166">
        <v>10.891674163258401</v>
      </c>
      <c r="AL3166">
        <v>67.3837203625949</v>
      </c>
      <c r="AM3166">
        <v>104.54299590763701</v>
      </c>
      <c r="AN3166">
        <v>0.99999994308990303</v>
      </c>
    </row>
    <row r="3167" spans="1:40" x14ac:dyDescent="0.25">
      <c r="A3167" t="str">
        <f>"20190304164913539"</f>
        <v>20190304164913539</v>
      </c>
      <c r="B3167" t="str">
        <f>"1551689353529368"</f>
        <v>1551689353529368</v>
      </c>
      <c r="C3167" t="s">
        <v>40</v>
      </c>
      <c r="D3167">
        <v>4.3133720000000002</v>
      </c>
      <c r="E3167">
        <v>0.51089989999999996</v>
      </c>
      <c r="F3167" t="s">
        <v>42</v>
      </c>
      <c r="G3167">
        <v>-492.64089999999999</v>
      </c>
      <c r="H3167" s="1">
        <v>-3.1111000000000002E-6</v>
      </c>
      <c r="I3167">
        <v>255.20320000000001</v>
      </c>
      <c r="J3167">
        <v>-492.48540000000003</v>
      </c>
      <c r="K3167">
        <v>1.117658</v>
      </c>
      <c r="L3167">
        <v>266.166</v>
      </c>
      <c r="M3167">
        <v>-0.24748980000000001</v>
      </c>
      <c r="N3167">
        <v>-1.1798960000000001E-2</v>
      </c>
      <c r="O3167">
        <v>-0.96881870000000003</v>
      </c>
      <c r="P3167">
        <v>-4.8837569999999999E-3</v>
      </c>
      <c r="Q3167">
        <v>0.37817329999999999</v>
      </c>
      <c r="R3167">
        <v>-0.92572169999999998</v>
      </c>
      <c r="S3167">
        <v>-5.6426999999999998E-2</v>
      </c>
      <c r="T3167">
        <v>-0.340227</v>
      </c>
      <c r="U3167">
        <v>-3.3787229999999999</v>
      </c>
      <c r="V3167">
        <v>-0.2309573</v>
      </c>
      <c r="W3167">
        <v>0.38487890000000002</v>
      </c>
      <c r="X3167">
        <v>0.89360339999999905</v>
      </c>
      <c r="Y3167">
        <v>-0.23117989999999999</v>
      </c>
      <c r="Z3167">
        <v>8.2440379999999994E-2</v>
      </c>
      <c r="AA3167">
        <v>0.96941189999999999</v>
      </c>
      <c r="AB3167">
        <v>26</v>
      </c>
      <c r="AC3167">
        <v>-0.15549999999996</v>
      </c>
      <c r="AD3167">
        <v>-1.1176611111000001</v>
      </c>
      <c r="AE3167">
        <v>-10.9627999999999</v>
      </c>
      <c r="AF3167">
        <v>-2.53635094661895</v>
      </c>
      <c r="AG3167">
        <v>-1.1176611111000001</v>
      </c>
      <c r="AH3167">
        <v>10.5505528655621</v>
      </c>
      <c r="AI3167">
        <v>95.880694559381794</v>
      </c>
      <c r="AJ3167">
        <v>103.517391352141</v>
      </c>
      <c r="AK3167">
        <v>10.908547485925901</v>
      </c>
      <c r="AL3167">
        <v>67.363778504913199</v>
      </c>
      <c r="AM3167">
        <v>104.491330343613</v>
      </c>
      <c r="AN3167">
        <v>1.0000000392900199</v>
      </c>
    </row>
    <row r="3168" spans="1:40" x14ac:dyDescent="0.25">
      <c r="A3168" t="str">
        <f>"20190304164913550"</f>
        <v>20190304164913550</v>
      </c>
      <c r="B3168" t="str">
        <f>"1551689353539128"</f>
        <v>1551689353539128</v>
      </c>
      <c r="C3168" t="s">
        <v>40</v>
      </c>
      <c r="D3168">
        <v>4.3295130000000004</v>
      </c>
      <c r="E3168">
        <v>0.51144599999999996</v>
      </c>
      <c r="F3168" t="s">
        <v>42</v>
      </c>
      <c r="G3168">
        <v>-492.63299999999998</v>
      </c>
      <c r="H3168" s="1">
        <v>-3.0286909999999999E-6</v>
      </c>
      <c r="I3168">
        <v>255.01599999999999</v>
      </c>
      <c r="J3168">
        <v>-492.5136</v>
      </c>
      <c r="K3168">
        <v>1.1176630000000001</v>
      </c>
      <c r="L3168">
        <v>266.03300000000002</v>
      </c>
      <c r="M3168">
        <v>-0.24225650000000001</v>
      </c>
      <c r="N3168">
        <v>-1.180469E-2</v>
      </c>
      <c r="O3168">
        <v>-0.97014060000000002</v>
      </c>
      <c r="P3168">
        <v>-6.5354539999999998E-4</v>
      </c>
      <c r="Q3168">
        <v>0.37848399999999999</v>
      </c>
      <c r="R3168">
        <v>-0.92560790000000004</v>
      </c>
      <c r="S3168">
        <v>-4.4738769999999997E-2</v>
      </c>
      <c r="T3168">
        <v>-0.33869470000000002</v>
      </c>
      <c r="U3168">
        <v>-3.378876</v>
      </c>
      <c r="V3168">
        <v>-0.23019010000000001</v>
      </c>
      <c r="W3168">
        <v>0.38520759999999998</v>
      </c>
      <c r="X3168">
        <v>0.89365969999999995</v>
      </c>
      <c r="Y3168">
        <v>-0.2292835</v>
      </c>
      <c r="Z3168">
        <v>8.2225870000000006E-2</v>
      </c>
      <c r="AA3168">
        <v>0.96988039999999998</v>
      </c>
      <c r="AB3168">
        <v>26</v>
      </c>
      <c r="AC3168">
        <v>-0.119400000000041</v>
      </c>
      <c r="AD3168">
        <v>-1.1176660286909901</v>
      </c>
      <c r="AE3168">
        <v>-11.016999999999999</v>
      </c>
      <c r="AF3168">
        <v>-2.52727502033818</v>
      </c>
      <c r="AG3168">
        <v>-1.1176660286909901</v>
      </c>
      <c r="AH3168">
        <v>10.6085396762884</v>
      </c>
      <c r="AI3168">
        <v>95.851652415189704</v>
      </c>
      <c r="AJ3168">
        <v>103.399817943977</v>
      </c>
      <c r="AK3168">
        <v>10.9625458012042</v>
      </c>
      <c r="AL3168">
        <v>67.343371510786895</v>
      </c>
      <c r="AM3168">
        <v>104.444337896031</v>
      </c>
      <c r="AN3168">
        <v>1.00000001831992</v>
      </c>
    </row>
    <row r="3169" spans="1:40" x14ac:dyDescent="0.25">
      <c r="A3169" t="str">
        <f>"20190304164913570"</f>
        <v>20190304164913570</v>
      </c>
      <c r="B3169" t="str">
        <f>"1551689353558652"</f>
        <v>1551689353558652</v>
      </c>
      <c r="C3169" t="s">
        <v>40</v>
      </c>
      <c r="D3169">
        <v>4.3193260000000002</v>
      </c>
      <c r="E3169">
        <v>0.51262070000000004</v>
      </c>
      <c r="F3169" t="s">
        <v>42</v>
      </c>
      <c r="G3169">
        <v>-492.62560000000002</v>
      </c>
      <c r="H3169" s="1">
        <v>-2.9897229999999999E-6</v>
      </c>
      <c r="I3169">
        <v>254.9298</v>
      </c>
      <c r="J3169">
        <v>-492.55540000000002</v>
      </c>
      <c r="K3169">
        <v>1.1176680000000001</v>
      </c>
      <c r="L3169">
        <v>265.82889999999998</v>
      </c>
      <c r="M3169">
        <v>-0.23423260000000001</v>
      </c>
      <c r="N3169">
        <v>-1.1820239999999999E-2</v>
      </c>
      <c r="O3169">
        <v>-0.97210870000000005</v>
      </c>
      <c r="P3169">
        <v>5.3712229999999996E-3</v>
      </c>
      <c r="Q3169">
        <v>0.37914789999999998</v>
      </c>
      <c r="R3169">
        <v>-0.92532060000000005</v>
      </c>
      <c r="S3169">
        <v>-3.4088130000000001E-2</v>
      </c>
      <c r="T3169">
        <v>-0.34025840000000002</v>
      </c>
      <c r="U3169">
        <v>-3.3802189999999999</v>
      </c>
      <c r="V3169">
        <v>-0.2285633</v>
      </c>
      <c r="W3169">
        <v>0.38591419999999999</v>
      </c>
      <c r="X3169">
        <v>0.89377240000000002</v>
      </c>
      <c r="Y3169">
        <v>-0.22430330000000001</v>
      </c>
      <c r="Z3169">
        <v>8.2952399999999996E-2</v>
      </c>
      <c r="AA3169">
        <v>0.97098240000000002</v>
      </c>
      <c r="AB3169">
        <v>26</v>
      </c>
      <c r="AC3169">
        <v>-7.0199999999999804E-2</v>
      </c>
      <c r="AD3169">
        <v>-1.1176709897229999</v>
      </c>
      <c r="AE3169">
        <v>-10.899099999999899</v>
      </c>
      <c r="AF3169">
        <v>-2.4589986283446601</v>
      </c>
      <c r="AG3169">
        <v>-1.1176709897229999</v>
      </c>
      <c r="AH3169">
        <v>10.5018626813218</v>
      </c>
      <c r="AI3169">
        <v>95.916061284528496</v>
      </c>
      <c r="AJ3169">
        <v>103.178325082481</v>
      </c>
      <c r="AK3169">
        <v>10.8436609349799</v>
      </c>
      <c r="AL3169">
        <v>67.299494010459497</v>
      </c>
      <c r="AM3169">
        <v>104.34475007759499</v>
      </c>
      <c r="AN3169">
        <v>1.0000000274351399</v>
      </c>
    </row>
    <row r="3170" spans="1:40" x14ac:dyDescent="0.25">
      <c r="A3170" t="str">
        <f>"20190304164913583"</f>
        <v>20190304164913583</v>
      </c>
      <c r="B3170" t="str">
        <f>"1551689353579144"</f>
        <v>1551689353579144</v>
      </c>
      <c r="C3170" t="s">
        <v>40</v>
      </c>
      <c r="D3170">
        <v>4.4838009999999997</v>
      </c>
      <c r="E3170">
        <v>0.49370979999999998</v>
      </c>
      <c r="F3170" t="s">
        <v>42</v>
      </c>
      <c r="G3170">
        <v>-492.62110000000001</v>
      </c>
      <c r="H3170" s="1">
        <v>-2.8841640000000001E-6</v>
      </c>
      <c r="I3170">
        <v>254.6865</v>
      </c>
      <c r="J3170">
        <v>-492.5831</v>
      </c>
      <c r="K3170">
        <v>1.117667</v>
      </c>
      <c r="L3170">
        <v>265.6893</v>
      </c>
      <c r="M3170">
        <v>-0.22874820000000001</v>
      </c>
      <c r="N3170">
        <v>-1.18333E-2</v>
      </c>
      <c r="O3170">
        <v>-0.9734138</v>
      </c>
      <c r="P3170">
        <v>9.9570270000000002E-3</v>
      </c>
      <c r="Q3170">
        <v>0.37920910000000002</v>
      </c>
      <c r="R3170">
        <v>-0.92525749999999995</v>
      </c>
      <c r="S3170">
        <v>-1.9927980000000001E-2</v>
      </c>
      <c r="T3170">
        <v>-0.33916000000000002</v>
      </c>
      <c r="U3170">
        <v>-3.3811949999999902</v>
      </c>
      <c r="V3170">
        <v>-0.2279437</v>
      </c>
      <c r="W3170">
        <v>0.38600050000000002</v>
      </c>
      <c r="X3170">
        <v>0.89389339999999995</v>
      </c>
      <c r="Y3170">
        <v>-0.22287960000000001</v>
      </c>
      <c r="Z3170">
        <v>8.2815369999999999E-2</v>
      </c>
      <c r="AA3170">
        <v>0.97132189999999996</v>
      </c>
      <c r="AB3170">
        <v>26</v>
      </c>
      <c r="AC3170">
        <v>-3.80000000000109E-2</v>
      </c>
      <c r="AD3170">
        <v>-1.117669884164</v>
      </c>
      <c r="AE3170">
        <v>-11.002800000000001</v>
      </c>
      <c r="AF3170">
        <v>-2.4547253556739599</v>
      </c>
      <c r="AG3170">
        <v>-1.117669884164</v>
      </c>
      <c r="AH3170">
        <v>10.610237847368801</v>
      </c>
      <c r="AI3170">
        <v>95.859638767235197</v>
      </c>
      <c r="AJ3170">
        <v>103.02644595431499</v>
      </c>
      <c r="AK3170">
        <v>10.9476942649808</v>
      </c>
      <c r="AL3170">
        <v>67.294134943119104</v>
      </c>
      <c r="AM3170">
        <v>104.30560498859801</v>
      </c>
      <c r="AN3170">
        <v>1.0000000634667401</v>
      </c>
    </row>
    <row r="3171" spans="1:40" x14ac:dyDescent="0.25">
      <c r="A3171" t="str">
        <f>"20190304164913594"</f>
        <v>20190304164913594</v>
      </c>
      <c r="B3171" t="str">
        <f>"1551689353588905"</f>
        <v>1551689353588905</v>
      </c>
      <c r="C3171" t="s">
        <v>40</v>
      </c>
      <c r="D3171">
        <v>4.3228419999999996</v>
      </c>
      <c r="E3171">
        <v>0.48575829999999998</v>
      </c>
      <c r="F3171" t="s">
        <v>42</v>
      </c>
      <c r="G3171">
        <v>-492.03190000000001</v>
      </c>
      <c r="H3171" s="1">
        <v>-1.9931769999999998E-6</v>
      </c>
      <c r="I3171">
        <v>252.97499999999999</v>
      </c>
      <c r="J3171">
        <v>-492.6103</v>
      </c>
      <c r="K3171">
        <v>1.117666</v>
      </c>
      <c r="L3171">
        <v>265.5489</v>
      </c>
      <c r="M3171">
        <v>-0.22323680000000001</v>
      </c>
      <c r="N3171">
        <v>-1.1847399999999999E-2</v>
      </c>
      <c r="O3171">
        <v>-0.97469229999999996</v>
      </c>
      <c r="P3171">
        <v>1.4746250000000001E-2</v>
      </c>
      <c r="Q3171">
        <v>0.37930079999999999</v>
      </c>
      <c r="R3171">
        <v>-0.92515590000000003</v>
      </c>
      <c r="S3171">
        <v>0.14575199999999999</v>
      </c>
      <c r="T3171">
        <v>-0.295535099999999</v>
      </c>
      <c r="U3171">
        <v>-3.3619080000000001</v>
      </c>
      <c r="V3171">
        <v>-0.22749949999999999</v>
      </c>
      <c r="W3171">
        <v>0.38611610000000002</v>
      </c>
      <c r="X3171">
        <v>0.89395650000000004</v>
      </c>
      <c r="Y3171">
        <v>-0.2649782</v>
      </c>
      <c r="Z3171">
        <v>7.0782869999999998E-2</v>
      </c>
      <c r="AA3171">
        <v>0.96165290000000003</v>
      </c>
      <c r="AB3171">
        <v>26</v>
      </c>
      <c r="AC3171">
        <v>0.57839999999998704</v>
      </c>
      <c r="AD3171">
        <v>-1.1176679931769999</v>
      </c>
      <c r="AE3171">
        <v>-12.5739</v>
      </c>
      <c r="AF3171">
        <v>-3.34458563597429</v>
      </c>
      <c r="AG3171">
        <v>-1.1176679931769999</v>
      </c>
      <c r="AH3171">
        <v>12.032544647842901</v>
      </c>
      <c r="AI3171">
        <v>95.114011671123293</v>
      </c>
      <c r="AJ3171">
        <v>105.533889521734</v>
      </c>
      <c r="AK3171">
        <v>12.5386428899491</v>
      </c>
      <c r="AL3171">
        <v>67.286952063143403</v>
      </c>
      <c r="AM3171">
        <v>104.277901668613</v>
      </c>
      <c r="AN3171">
        <v>0.99999994453585295</v>
      </c>
    </row>
    <row r="3172" spans="1:40" x14ac:dyDescent="0.25">
      <c r="A3172" t="str">
        <f>"20190304164913607"</f>
        <v>20190304164913607</v>
      </c>
      <c r="B3172" t="str">
        <f>"1551689353598664"</f>
        <v>1551689353598664</v>
      </c>
      <c r="C3172" t="s">
        <v>40</v>
      </c>
      <c r="D3172">
        <v>4.2797470000000004</v>
      </c>
      <c r="E3172">
        <v>0.4818114</v>
      </c>
      <c r="F3172" t="s">
        <v>42</v>
      </c>
      <c r="G3172">
        <v>-491.69459999999998</v>
      </c>
      <c r="H3172" s="1">
        <v>-1.4399E-6</v>
      </c>
      <c r="I3172">
        <v>251.89449999999999</v>
      </c>
      <c r="J3172">
        <v>-492.63560000000001</v>
      </c>
      <c r="K3172">
        <v>1.117661</v>
      </c>
      <c r="L3172">
        <v>265.41219999999998</v>
      </c>
      <c r="M3172">
        <v>-0.2178958</v>
      </c>
      <c r="N3172">
        <v>-1.1862960000000001E-2</v>
      </c>
      <c r="O3172">
        <v>-0.97589999999999999</v>
      </c>
      <c r="P3172">
        <v>1.9724749999999999E-2</v>
      </c>
      <c r="Q3172">
        <v>0.37928529999999999</v>
      </c>
      <c r="R3172">
        <v>-0.92506960000000005</v>
      </c>
      <c r="S3172">
        <v>0.22476199999999999</v>
      </c>
      <c r="T3172">
        <v>-0.27434229999999998</v>
      </c>
      <c r="U3172">
        <v>-3.3515929999999998</v>
      </c>
      <c r="V3172">
        <v>-0.22740560000000001</v>
      </c>
      <c r="W3172">
        <v>0.38612180000000002</v>
      </c>
      <c r="X3172">
        <v>0.89397800000000005</v>
      </c>
      <c r="Y3172">
        <v>-0.2824081</v>
      </c>
      <c r="Z3172">
        <v>6.4973260000000005E-2</v>
      </c>
      <c r="AA3172">
        <v>0.95709149999999998</v>
      </c>
      <c r="AB3172">
        <v>26</v>
      </c>
      <c r="AC3172">
        <v>0.94100000000003003</v>
      </c>
      <c r="AD3172">
        <v>-1.1176624398999999</v>
      </c>
      <c r="AE3172">
        <v>-13.5176999999999</v>
      </c>
      <c r="AF3172">
        <v>-3.8379332194895102</v>
      </c>
      <c r="AG3172">
        <v>-1.1176624398999999</v>
      </c>
      <c r="AH3172">
        <v>12.9000345015083</v>
      </c>
      <c r="AI3172">
        <v>94.747117872783903</v>
      </c>
      <c r="AJ3172">
        <v>106.568447364061</v>
      </c>
      <c r="AK3172">
        <v>13.5051764470861</v>
      </c>
      <c r="AL3172">
        <v>67.286599540879394</v>
      </c>
      <c r="AM3172">
        <v>104.271920088174</v>
      </c>
      <c r="AN3172">
        <v>1.0000000079153</v>
      </c>
    </row>
    <row r="3173" spans="1:40" x14ac:dyDescent="0.25">
      <c r="A3173" t="str">
        <f>"20190304164913626"</f>
        <v>20190304164913626</v>
      </c>
      <c r="B3173" t="str">
        <f>"1551689353619160"</f>
        <v>1551689353619160</v>
      </c>
      <c r="C3173" t="s">
        <v>40</v>
      </c>
      <c r="D3173">
        <v>4.2713720000000004</v>
      </c>
      <c r="E3173">
        <v>0.47827700000000001</v>
      </c>
      <c r="F3173" t="s">
        <v>42</v>
      </c>
      <c r="G3173">
        <v>-491.48970000000003</v>
      </c>
      <c r="H3173" s="1">
        <v>-1.1700480000000001E-6</v>
      </c>
      <c r="I3173">
        <v>251.39259999999999</v>
      </c>
      <c r="J3173">
        <v>-492.67270000000002</v>
      </c>
      <c r="K3173">
        <v>1.1176469999999901</v>
      </c>
      <c r="L3173">
        <v>265.20569999999998</v>
      </c>
      <c r="M3173">
        <v>-0.20985599999999999</v>
      </c>
      <c r="N3173">
        <v>-1.188907E-2</v>
      </c>
      <c r="O3173">
        <v>-0.97766019999999998</v>
      </c>
      <c r="P3173">
        <v>2.6940080000000002E-2</v>
      </c>
      <c r="Q3173">
        <v>0.37926219999999999</v>
      </c>
      <c r="R3173">
        <v>-0.92489730000000003</v>
      </c>
      <c r="S3173">
        <v>0.27352910000000002</v>
      </c>
      <c r="T3173">
        <v>-0.26679180000000002</v>
      </c>
      <c r="U3173">
        <v>-3.3465579999999999</v>
      </c>
      <c r="V3173">
        <v>-0.22699739999999999</v>
      </c>
      <c r="W3173">
        <v>0.3861443</v>
      </c>
      <c r="X3173">
        <v>0.89407209999999904</v>
      </c>
      <c r="Y3173">
        <v>-0.28848439999999997</v>
      </c>
      <c r="Z3173">
        <v>6.3035270000000004E-2</v>
      </c>
      <c r="AA3173">
        <v>0.95540740000000002</v>
      </c>
      <c r="AB3173">
        <v>26</v>
      </c>
      <c r="AC3173">
        <v>1.1829999999999901</v>
      </c>
      <c r="AD3173">
        <v>-1.1176481700480001</v>
      </c>
      <c r="AE3173">
        <v>-13.813099999999899</v>
      </c>
      <c r="AF3173">
        <v>-4.0294321122564796</v>
      </c>
      <c r="AG3173">
        <v>-1.1176481700480001</v>
      </c>
      <c r="AH3173">
        <v>13.1715894298646</v>
      </c>
      <c r="AI3173">
        <v>94.638874954701294</v>
      </c>
      <c r="AJ3173">
        <v>107.009837753765</v>
      </c>
      <c r="AK3173">
        <v>13.8194149184478</v>
      </c>
      <c r="AL3173">
        <v>67.2852037259143</v>
      </c>
      <c r="AM3173">
        <v>104.24590703096401</v>
      </c>
      <c r="AN3173">
        <v>1.00000008001382</v>
      </c>
    </row>
    <row r="3174" spans="1:40" x14ac:dyDescent="0.25">
      <c r="A3174" t="str">
        <f>"20190304164913637"</f>
        <v>20190304164913637</v>
      </c>
      <c r="B3174" t="str">
        <f>"1551689353628946"</f>
        <v>1551689353628946</v>
      </c>
      <c r="C3174" t="s">
        <v>40</v>
      </c>
      <c r="D3174">
        <v>4.277844</v>
      </c>
      <c r="E3174">
        <v>0.4778521</v>
      </c>
      <c r="F3174" t="s">
        <v>42</v>
      </c>
      <c r="G3174">
        <v>-491.27760000000001</v>
      </c>
      <c r="H3174" s="1">
        <v>-8.862505E-7</v>
      </c>
      <c r="I3174">
        <v>250.86259999999999</v>
      </c>
      <c r="J3174">
        <v>-492.69709999999998</v>
      </c>
      <c r="K3174">
        <v>1.117626</v>
      </c>
      <c r="L3174">
        <v>265.06509999999997</v>
      </c>
      <c r="M3174">
        <v>-0.20440520000000001</v>
      </c>
      <c r="N3174">
        <v>-1.1909080000000001E-2</v>
      </c>
      <c r="O3174">
        <v>-0.97881410000000002</v>
      </c>
      <c r="P3174">
        <v>3.19481E-2</v>
      </c>
      <c r="Q3174">
        <v>0.37940010000000002</v>
      </c>
      <c r="R3174">
        <v>-0.92468139999999999</v>
      </c>
      <c r="S3174">
        <v>0.3249512</v>
      </c>
      <c r="T3174">
        <v>-0.26032909999999998</v>
      </c>
      <c r="U3174">
        <v>-3.3408809999999902</v>
      </c>
      <c r="V3174">
        <v>-0.2268251</v>
      </c>
      <c r="W3174">
        <v>0.38631490000000002</v>
      </c>
      <c r="X3174">
        <v>0.894042</v>
      </c>
      <c r="Y3174">
        <v>-0.29786420000000002</v>
      </c>
      <c r="Z3174">
        <v>6.1286500000000001E-2</v>
      </c>
      <c r="AA3174">
        <v>0.95263889999999996</v>
      </c>
      <c r="AB3174">
        <v>26</v>
      </c>
      <c r="AC3174">
        <v>1.41949999999997</v>
      </c>
      <c r="AD3174">
        <v>-1.1176268862504899</v>
      </c>
      <c r="AE3174">
        <v>-14.202499999999899</v>
      </c>
      <c r="AF3174">
        <v>-4.2666354318071198</v>
      </c>
      <c r="AG3174">
        <v>-1.1176268862504899</v>
      </c>
      <c r="AH3174">
        <v>13.5294648023236</v>
      </c>
      <c r="AI3174">
        <v>94.504585041143201</v>
      </c>
      <c r="AJ3174">
        <v>107.50312605848301</v>
      </c>
      <c r="AK3174">
        <v>14.2302384239385</v>
      </c>
      <c r="AL3174">
        <v>67.274603960110198</v>
      </c>
      <c r="AM3174">
        <v>104.235993313761</v>
      </c>
      <c r="AN3174">
        <v>0.99999996285800896</v>
      </c>
    </row>
    <row r="3175" spans="1:40" x14ac:dyDescent="0.25">
      <c r="A3175" t="str">
        <f>"20190304164913650"</f>
        <v>20190304164913650</v>
      </c>
      <c r="B3175" t="str">
        <f>"1551689353638706"</f>
        <v>1551689353638706</v>
      </c>
      <c r="C3175" t="s">
        <v>40</v>
      </c>
      <c r="D3175">
        <v>4.2765829999999996</v>
      </c>
      <c r="E3175">
        <v>0.4777729</v>
      </c>
      <c r="F3175" t="s">
        <v>42</v>
      </c>
      <c r="G3175">
        <v>-491.21359999999999</v>
      </c>
      <c r="H3175" s="1">
        <v>-8.2431939999999995E-7</v>
      </c>
      <c r="I3175">
        <v>250.75790000000001</v>
      </c>
      <c r="J3175">
        <v>-492.71969999999999</v>
      </c>
      <c r="K3175">
        <v>1.11759599999999</v>
      </c>
      <c r="L3175">
        <v>264.92950000000002</v>
      </c>
      <c r="M3175">
        <v>-0.19918830000000001</v>
      </c>
      <c r="N3175">
        <v>-1.1931010000000001E-2</v>
      </c>
      <c r="O3175">
        <v>-0.97988869999999895</v>
      </c>
      <c r="P3175">
        <v>3.6588349999999999E-2</v>
      </c>
      <c r="Q3175">
        <v>0.37919839999999999</v>
      </c>
      <c r="R3175">
        <v>-0.92459179999999996</v>
      </c>
      <c r="S3175">
        <v>0.34625240000000002</v>
      </c>
      <c r="T3175">
        <v>-0.2608663</v>
      </c>
      <c r="U3175">
        <v>-3.3394469999999998</v>
      </c>
      <c r="V3175">
        <v>-0.2265336</v>
      </c>
      <c r="W3175">
        <v>0.38615569999999999</v>
      </c>
      <c r="X3175">
        <v>0.89418469999999906</v>
      </c>
      <c r="Y3175">
        <v>-0.2988324</v>
      </c>
      <c r="Z3175">
        <v>6.1531740000000001E-2</v>
      </c>
      <c r="AA3175">
        <v>0.95231980000000005</v>
      </c>
      <c r="AB3175">
        <v>26</v>
      </c>
      <c r="AC3175">
        <v>1.5061</v>
      </c>
      <c r="AD3175">
        <v>-1.1175968243194001</v>
      </c>
      <c r="AE3175">
        <v>-14.1716</v>
      </c>
      <c r="AF3175">
        <v>-4.2726572383164196</v>
      </c>
      <c r="AG3175">
        <v>-1.1175968243194001</v>
      </c>
      <c r="AH3175">
        <v>13.504510152502601</v>
      </c>
      <c r="AI3175">
        <v>94.511426140192199</v>
      </c>
      <c r="AJ3175">
        <v>107.556716575675</v>
      </c>
      <c r="AK3175">
        <v>14.2083221035038</v>
      </c>
      <c r="AL3175">
        <v>67.284493403886998</v>
      </c>
      <c r="AM3175">
        <v>104.216263474771</v>
      </c>
      <c r="AN3175">
        <v>0.99999998714276905</v>
      </c>
    </row>
    <row r="3176" spans="1:40" x14ac:dyDescent="0.25">
      <c r="A3176" t="str">
        <f>"20190304164913662"</f>
        <v>20190304164913662</v>
      </c>
      <c r="B3176" t="str">
        <f>"1551689353659203"</f>
        <v>1551689353659203</v>
      </c>
      <c r="C3176" t="s">
        <v>40</v>
      </c>
      <c r="D3176">
        <v>4.2550759999999999</v>
      </c>
      <c r="E3176">
        <v>0.47808709999999999</v>
      </c>
      <c r="F3176" t="s">
        <v>42</v>
      </c>
      <c r="G3176">
        <v>-491.1893</v>
      </c>
      <c r="H3176" s="1">
        <v>-8.5460339999999999E-7</v>
      </c>
      <c r="I3176">
        <v>250.84360000000001</v>
      </c>
      <c r="J3176">
        <v>-492.7407</v>
      </c>
      <c r="K3176">
        <v>1.1175660000000001</v>
      </c>
      <c r="L3176">
        <v>264.8</v>
      </c>
      <c r="M3176">
        <v>-0.19422629999999999</v>
      </c>
      <c r="N3176">
        <v>-1.1953760000000001E-2</v>
      </c>
      <c r="O3176">
        <v>-0.98088410000000004</v>
      </c>
      <c r="P3176">
        <v>4.1203799999999999E-2</v>
      </c>
      <c r="Q3176">
        <v>0.37904149999999998</v>
      </c>
      <c r="R3176">
        <v>-0.92446200000000001</v>
      </c>
      <c r="S3176">
        <v>0.36276249999999999</v>
      </c>
      <c r="T3176">
        <v>-0.26491690000000001</v>
      </c>
      <c r="U3176">
        <v>-3.338959</v>
      </c>
      <c r="V3176">
        <v>-0.2264496</v>
      </c>
      <c r="W3176">
        <v>0.38603999999999999</v>
      </c>
      <c r="X3176">
        <v>0.89425589999999999</v>
      </c>
      <c r="Y3176">
        <v>-0.29866290000000001</v>
      </c>
      <c r="Z3176">
        <v>6.2753799999999998E-2</v>
      </c>
      <c r="AA3176">
        <v>0.95229319999999895</v>
      </c>
      <c r="AB3176">
        <v>26</v>
      </c>
      <c r="AC3176">
        <v>1.5513999999999999</v>
      </c>
      <c r="AD3176">
        <v>-1.1175668546033899</v>
      </c>
      <c r="AE3176">
        <v>-13.9564</v>
      </c>
      <c r="AF3176">
        <v>-4.2061044098934302</v>
      </c>
      <c r="AG3176">
        <v>-1.1175668546033899</v>
      </c>
      <c r="AH3176">
        <v>13.304970892583899</v>
      </c>
      <c r="AI3176">
        <v>94.579014764071403</v>
      </c>
      <c r="AJ3176">
        <v>107.543323635145</v>
      </c>
      <c r="AK3176">
        <v>13.998661380072701</v>
      </c>
      <c r="AL3176">
        <v>67.291679092995807</v>
      </c>
      <c r="AM3176">
        <v>104.21011994083899</v>
      </c>
      <c r="AN3176">
        <v>0.99999995881248405</v>
      </c>
    </row>
    <row r="3177" spans="1:40" x14ac:dyDescent="0.25">
      <c r="A3177" t="str">
        <f>"20190304164913682"</f>
        <v>20190304164913682</v>
      </c>
      <c r="B3177" t="str">
        <f>"1551689353678722"</f>
        <v>1551689353678722</v>
      </c>
      <c r="C3177" t="s">
        <v>40</v>
      </c>
      <c r="D3177">
        <v>4.2533289999999999</v>
      </c>
      <c r="E3177">
        <v>0.478682</v>
      </c>
      <c r="F3177" t="s">
        <v>42</v>
      </c>
      <c r="G3177">
        <v>-491.17430000000002</v>
      </c>
      <c r="H3177" s="1">
        <v>-8.6759100000000003E-7</v>
      </c>
      <c r="I3177">
        <v>250.88310000000001</v>
      </c>
      <c r="J3177">
        <v>-492.7758</v>
      </c>
      <c r="K3177">
        <v>1.1174949999999999</v>
      </c>
      <c r="L3177">
        <v>264.57440000000003</v>
      </c>
      <c r="M3177">
        <v>-0.18566350000000001</v>
      </c>
      <c r="N3177">
        <v>-1.1997290000000001E-2</v>
      </c>
      <c r="O3177">
        <v>-0.98254039999999998</v>
      </c>
      <c r="P3177">
        <v>4.9393739999999998E-2</v>
      </c>
      <c r="Q3177">
        <v>0.37911109999999998</v>
      </c>
      <c r="R3177">
        <v>-0.92403230000000003</v>
      </c>
      <c r="S3177">
        <v>0.37573240000000002</v>
      </c>
      <c r="T3177">
        <v>-0.26807520000000001</v>
      </c>
      <c r="U3177">
        <v>-3.3382869999999998</v>
      </c>
      <c r="V3177">
        <v>-0.2265037</v>
      </c>
      <c r="W3177">
        <v>0.38618520000000001</v>
      </c>
      <c r="X3177">
        <v>0.89417959999999996</v>
      </c>
      <c r="Y3177">
        <v>-0.29400549999999998</v>
      </c>
      <c r="Z3177">
        <v>6.3853900000000005E-2</v>
      </c>
      <c r="AA3177">
        <v>0.95366839999999997</v>
      </c>
      <c r="AB3177">
        <v>26</v>
      </c>
      <c r="AC3177">
        <v>1.6014999999999799</v>
      </c>
      <c r="AD3177">
        <v>-1.1174958675910001</v>
      </c>
      <c r="AE3177">
        <v>-13.6913</v>
      </c>
      <c r="AF3177">
        <v>-4.0889356282440703</v>
      </c>
      <c r="AG3177">
        <v>-1.1174958675910001</v>
      </c>
      <c r="AH3177">
        <v>13.069962387041301</v>
      </c>
      <c r="AI3177">
        <v>94.665053095152103</v>
      </c>
      <c r="AJ3177">
        <v>107.372283813607</v>
      </c>
      <c r="AK3177">
        <v>13.740164059598399</v>
      </c>
      <c r="AL3177">
        <v>67.282662447253003</v>
      </c>
      <c r="AM3177">
        <v>104.214540922816</v>
      </c>
      <c r="AN3177">
        <v>1.00000004593444</v>
      </c>
    </row>
    <row r="3178" spans="1:40" x14ac:dyDescent="0.25">
      <c r="A3178" t="str">
        <f>"20190304164913705"</f>
        <v>20190304164913705</v>
      </c>
      <c r="B3178" t="str">
        <f>"1551689353699218"</f>
        <v>1551689353699218</v>
      </c>
      <c r="C3178" t="s">
        <v>40</v>
      </c>
      <c r="D3178">
        <v>4.2631050000000004</v>
      </c>
      <c r="E3178">
        <v>0.47970649999999998</v>
      </c>
      <c r="F3178" t="s">
        <v>42</v>
      </c>
      <c r="G3178">
        <v>-491.13080000000002</v>
      </c>
      <c r="H3178" s="1">
        <v>-8.3386330000000004E-7</v>
      </c>
      <c r="I3178">
        <v>250.83150000000001</v>
      </c>
      <c r="J3178">
        <v>-492.81270000000001</v>
      </c>
      <c r="K3178">
        <v>1.1173999999999999</v>
      </c>
      <c r="L3178">
        <v>264.32130000000001</v>
      </c>
      <c r="M3178">
        <v>-0.17620079999999999</v>
      </c>
      <c r="N3178">
        <v>-1.20511E-2</v>
      </c>
      <c r="O3178">
        <v>-0.98428059999999995</v>
      </c>
      <c r="P3178">
        <v>5.8523400000000003E-2</v>
      </c>
      <c r="Q3178">
        <v>0.37873790000000002</v>
      </c>
      <c r="R3178">
        <v>-0.92365189999999997</v>
      </c>
      <c r="S3178">
        <v>0.3993835</v>
      </c>
      <c r="T3178">
        <v>-0.27131490000000003</v>
      </c>
      <c r="U3178">
        <v>-3.3366090000000002</v>
      </c>
      <c r="V3178">
        <v>-0.2266657</v>
      </c>
      <c r="W3178">
        <v>0.38591199999999998</v>
      </c>
      <c r="X3178">
        <v>0.89425650000000001</v>
      </c>
      <c r="Y3178">
        <v>-0.29152319999999998</v>
      </c>
      <c r="Z3178">
        <v>6.4960450000000003E-2</v>
      </c>
      <c r="AA3178">
        <v>0.95435550000000002</v>
      </c>
      <c r="AB3178">
        <v>26</v>
      </c>
      <c r="AC3178">
        <v>1.68189999999998</v>
      </c>
      <c r="AD3178">
        <v>-1.1174008338632999</v>
      </c>
      <c r="AE3178">
        <v>-13.489800000000001</v>
      </c>
      <c r="AF3178">
        <v>-4.0056044329835601</v>
      </c>
      <c r="AG3178">
        <v>-1.1174008338632999</v>
      </c>
      <c r="AH3178">
        <v>12.8952137179972</v>
      </c>
      <c r="AI3178">
        <v>94.730559204644294</v>
      </c>
      <c r="AJ3178">
        <v>107.256216848539</v>
      </c>
      <c r="AK3178">
        <v>13.5491692856012</v>
      </c>
      <c r="AL3178">
        <v>67.299631175549095</v>
      </c>
      <c r="AM3178">
        <v>104.223121418289</v>
      </c>
      <c r="AN3178">
        <v>1.0000000495463599</v>
      </c>
    </row>
    <row r="3179" spans="1:40" x14ac:dyDescent="0.25">
      <c r="A3179" t="str">
        <f>"20190304164913719"</f>
        <v>20190304164913719</v>
      </c>
      <c r="B3179" t="str">
        <f>"1551689353708978"</f>
        <v>1551689353708978</v>
      </c>
      <c r="C3179" t="s">
        <v>40</v>
      </c>
      <c r="D3179">
        <v>4.2404380000000002</v>
      </c>
      <c r="E3179">
        <v>0.48017480000000001</v>
      </c>
      <c r="F3179" t="s">
        <v>42</v>
      </c>
      <c r="G3179">
        <v>-491.09829999999999</v>
      </c>
      <c r="H3179" s="1">
        <v>-8.1853860000000003E-7</v>
      </c>
      <c r="I3179">
        <v>250.816</v>
      </c>
      <c r="J3179">
        <v>-492.83659999999998</v>
      </c>
      <c r="K3179">
        <v>1.117335</v>
      </c>
      <c r="L3179">
        <v>264.1499</v>
      </c>
      <c r="M3179">
        <v>-0.1698762</v>
      </c>
      <c r="N3179">
        <v>-1.20911E-2</v>
      </c>
      <c r="O3179">
        <v>-0.98539129999999997</v>
      </c>
      <c r="P3179">
        <v>6.4529089999999997E-2</v>
      </c>
      <c r="Q3179">
        <v>0.37846259999999998</v>
      </c>
      <c r="R3179">
        <v>-0.92336439999999997</v>
      </c>
      <c r="S3179">
        <v>0.42327880000000001</v>
      </c>
      <c r="T3179">
        <v>-0.27587089999999997</v>
      </c>
      <c r="U3179">
        <v>-3.3342900000000002</v>
      </c>
      <c r="V3179">
        <v>-0.226683</v>
      </c>
      <c r="W3179">
        <v>0.38571450000000002</v>
      </c>
      <c r="X3179">
        <v>0.8943373</v>
      </c>
      <c r="Y3179">
        <v>-0.29218129999999998</v>
      </c>
      <c r="Z3179">
        <v>6.6353369999999995E-2</v>
      </c>
      <c r="AA3179">
        <v>0.95405830000000003</v>
      </c>
      <c r="AB3179">
        <v>26</v>
      </c>
      <c r="AC3179">
        <v>1.73829999999998</v>
      </c>
      <c r="AD3179">
        <v>-1.1173358185386</v>
      </c>
      <c r="AE3179">
        <v>-13.3339</v>
      </c>
      <c r="AF3179">
        <v>-3.95102852385725</v>
      </c>
      <c r="AG3179">
        <v>-1.1173358185386</v>
      </c>
      <c r="AH3179">
        <v>12.7566725546772</v>
      </c>
      <c r="AI3179">
        <v>94.782639061649405</v>
      </c>
      <c r="AJ3179">
        <v>107.208929496442</v>
      </c>
      <c r="AK3179">
        <v>13.401185036965099</v>
      </c>
      <c r="AL3179">
        <v>67.311896310260593</v>
      </c>
      <c r="AM3179">
        <v>104.222929975254</v>
      </c>
      <c r="AN3179">
        <v>1.00000003208526</v>
      </c>
    </row>
    <row r="3180" spans="1:40" x14ac:dyDescent="0.25">
      <c r="A3180" t="str">
        <f>"20190304164913738"</f>
        <v>20190304164913738</v>
      </c>
      <c r="B3180" t="str">
        <f>"1551689353729498"</f>
        <v>1551689353729498</v>
      </c>
      <c r="C3180" t="s">
        <v>40</v>
      </c>
      <c r="D3180">
        <v>4.2741110000000004</v>
      </c>
      <c r="E3180">
        <v>0.4811995</v>
      </c>
      <c r="F3180" t="s">
        <v>42</v>
      </c>
      <c r="G3180">
        <v>-491.06180000000001</v>
      </c>
      <c r="H3180" s="1">
        <v>-7.8167830000000002E-7</v>
      </c>
      <c r="I3180">
        <v>250.7526</v>
      </c>
      <c r="J3180">
        <v>-492.86399999999998</v>
      </c>
      <c r="K3180">
        <v>1.117248</v>
      </c>
      <c r="L3180">
        <v>263.94279999999998</v>
      </c>
      <c r="M3180">
        <v>-0.16235479999999899</v>
      </c>
      <c r="N3180">
        <v>-1.214704E-2</v>
      </c>
      <c r="O3180">
        <v>-0.98665780000000003</v>
      </c>
      <c r="P3180">
        <v>7.1241949999999998E-2</v>
      </c>
      <c r="Q3180">
        <v>0.37806630000000002</v>
      </c>
      <c r="R3180">
        <v>-0.9230334</v>
      </c>
      <c r="S3180">
        <v>0.44140629999999997</v>
      </c>
      <c r="T3180">
        <v>-0.277893099999999</v>
      </c>
      <c r="U3180">
        <v>-3.3320310000000002</v>
      </c>
      <c r="V3180">
        <v>-0.22628889999999999</v>
      </c>
      <c r="W3180">
        <v>0.38543159999999999</v>
      </c>
      <c r="X3180">
        <v>0.89455899999999999</v>
      </c>
      <c r="Y3180">
        <v>-0.29006559999999998</v>
      </c>
      <c r="Z3180">
        <v>6.7079600000000003E-2</v>
      </c>
      <c r="AA3180">
        <v>0.95465299999999997</v>
      </c>
      <c r="AB3180">
        <v>26</v>
      </c>
      <c r="AC3180">
        <v>1.80220000000002</v>
      </c>
      <c r="AD3180">
        <v>-1.1172487816783001</v>
      </c>
      <c r="AE3180">
        <v>-13.1901999999999</v>
      </c>
      <c r="AF3180">
        <v>-3.8925202583500602</v>
      </c>
      <c r="AG3180">
        <v>-1.1172487816783001</v>
      </c>
      <c r="AH3180">
        <v>12.6335753563986</v>
      </c>
      <c r="AI3180">
        <v>94.830832734781893</v>
      </c>
      <c r="AJ3180">
        <v>107.12454452245299</v>
      </c>
      <c r="AK3180">
        <v>13.2667699568369</v>
      </c>
      <c r="AL3180">
        <v>67.329462739580904</v>
      </c>
      <c r="AM3180">
        <v>104.195826833301</v>
      </c>
      <c r="AN3180">
        <v>0.99999999451138499</v>
      </c>
    </row>
    <row r="3181" spans="1:40" x14ac:dyDescent="0.25">
      <c r="A3181" t="str">
        <f>"20190304164913749"</f>
        <v>20190304164913749</v>
      </c>
      <c r="B3181" t="str">
        <f>"1551689353739257"</f>
        <v>1551689353739257</v>
      </c>
      <c r="C3181" t="s">
        <v>40</v>
      </c>
      <c r="D3181">
        <v>4.2899729999999998</v>
      </c>
      <c r="E3181">
        <v>0.48169600000000001</v>
      </c>
      <c r="F3181" t="s">
        <v>42</v>
      </c>
      <c r="G3181">
        <v>-491.04739999999998</v>
      </c>
      <c r="H3181" s="1">
        <v>-7.7227450000000004E-7</v>
      </c>
      <c r="I3181">
        <v>250.7397</v>
      </c>
      <c r="J3181">
        <v>-492.8818</v>
      </c>
      <c r="K3181">
        <v>1.1171739999999999</v>
      </c>
      <c r="L3181">
        <v>263.80099999999999</v>
      </c>
      <c r="M3181">
        <v>-0.1572943</v>
      </c>
      <c r="N3181">
        <v>-1.219428E-2</v>
      </c>
      <c r="O3181">
        <v>-0.98747660000000004</v>
      </c>
      <c r="P3181">
        <v>7.5789220000000004E-2</v>
      </c>
      <c r="Q3181">
        <v>0.37804759999999998</v>
      </c>
      <c r="R3181">
        <v>-0.92267889999999997</v>
      </c>
      <c r="S3181">
        <v>0.45819090000000001</v>
      </c>
      <c r="T3181">
        <v>-0.2817984</v>
      </c>
      <c r="U3181">
        <v>-3.3301699999999999</v>
      </c>
      <c r="V3181">
        <v>-0.22603999999999999</v>
      </c>
      <c r="W3181">
        <v>0.38550020000000002</v>
      </c>
      <c r="X3181">
        <v>0.89459230000000001</v>
      </c>
      <c r="Y3181">
        <v>-0.28994130000000001</v>
      </c>
      <c r="Z3181">
        <v>6.8261730000000007E-2</v>
      </c>
      <c r="AA3181">
        <v>0.95460699999999998</v>
      </c>
      <c r="AB3181">
        <v>26</v>
      </c>
      <c r="AC3181">
        <v>1.83440000000001</v>
      </c>
      <c r="AD3181">
        <v>-1.11717477227449</v>
      </c>
      <c r="AE3181">
        <v>-13.0612999999999</v>
      </c>
      <c r="AF3181">
        <v>-3.83864212228867</v>
      </c>
      <c r="AG3181">
        <v>-1.11717477227449</v>
      </c>
      <c r="AH3181">
        <v>12.520297791857599</v>
      </c>
      <c r="AI3181">
        <v>94.8760737354811</v>
      </c>
      <c r="AJ3181">
        <v>107.04519995205099</v>
      </c>
      <c r="AK3181">
        <v>13.143101217430001</v>
      </c>
      <c r="AL3181">
        <v>67.325201634433</v>
      </c>
      <c r="AM3181">
        <v>104.18033618906099</v>
      </c>
      <c r="AN3181">
        <v>0.99999993450966296</v>
      </c>
    </row>
    <row r="3182" spans="1:40" x14ac:dyDescent="0.25">
      <c r="A3182" t="str">
        <f>"20190304164913761"</f>
        <v>20190304164913761</v>
      </c>
      <c r="B3182" t="str">
        <f>"1551689353749018"</f>
        <v>1551689353749018</v>
      </c>
      <c r="C3182" t="s">
        <v>40</v>
      </c>
      <c r="D3182">
        <v>4.2701849999999997</v>
      </c>
      <c r="E3182">
        <v>0.48222219999999999</v>
      </c>
      <c r="F3182" t="s">
        <v>42</v>
      </c>
      <c r="G3182">
        <v>-491.01639999999998</v>
      </c>
      <c r="H3182" s="1">
        <v>-7.1916929999999995E-7</v>
      </c>
      <c r="I3182">
        <v>250.63509999999999</v>
      </c>
      <c r="J3182">
        <v>-492.8974</v>
      </c>
      <c r="K3182">
        <v>1.117113</v>
      </c>
      <c r="L3182">
        <v>263.67329999999998</v>
      </c>
      <c r="M3182">
        <v>-0.1527868</v>
      </c>
      <c r="N3182">
        <v>-1.2240559999999999E-2</v>
      </c>
      <c r="O3182">
        <v>-0.98818349999999999</v>
      </c>
      <c r="P3182">
        <v>7.9564560000000006E-2</v>
      </c>
      <c r="Q3182">
        <v>0.37835839999999998</v>
      </c>
      <c r="R3182">
        <v>-0.92223359999999999</v>
      </c>
      <c r="S3182">
        <v>0.47158810000000001</v>
      </c>
      <c r="T3182">
        <v>-0.28242859999999997</v>
      </c>
      <c r="U3182">
        <v>-3.32843</v>
      </c>
      <c r="V3182">
        <v>-0.22553519999999999</v>
      </c>
      <c r="W3182">
        <v>0.38589879999999999</v>
      </c>
      <c r="X3182">
        <v>0.89454789999999995</v>
      </c>
      <c r="Y3182">
        <v>-0.28940850000000001</v>
      </c>
      <c r="Z3182">
        <v>6.8509769999999998E-2</v>
      </c>
      <c r="AA3182">
        <v>0.95475080000000001</v>
      </c>
      <c r="AB3182">
        <v>26</v>
      </c>
      <c r="AC3182">
        <v>1.88100000000002</v>
      </c>
      <c r="AD3182">
        <v>-1.1171137191692999</v>
      </c>
      <c r="AE3182">
        <v>-13.0381999999999</v>
      </c>
      <c r="AF3182">
        <v>-3.8236287999170102</v>
      </c>
      <c r="AG3182">
        <v>-1.1171137191692999</v>
      </c>
      <c r="AH3182">
        <v>12.5077361827547</v>
      </c>
      <c r="AI3182">
        <v>94.881895147323306</v>
      </c>
      <c r="AJ3182">
        <v>106.998450354394</v>
      </c>
      <c r="AK3182">
        <v>13.126749204525201</v>
      </c>
      <c r="AL3182">
        <v>67.300449264826995</v>
      </c>
      <c r="AM3182">
        <v>104.150615653233</v>
      </c>
      <c r="AN3182">
        <v>0.99999997783744399</v>
      </c>
    </row>
    <row r="3183" spans="1:40" x14ac:dyDescent="0.25">
      <c r="A3183" t="str">
        <f>"20190304164913782"</f>
        <v>20190304164913782</v>
      </c>
      <c r="B3183" t="str">
        <f>"1551689353779274"</f>
        <v>1551689353779274</v>
      </c>
      <c r="C3183" t="s">
        <v>40</v>
      </c>
      <c r="D3183">
        <v>4.3101250000000002</v>
      </c>
      <c r="E3183">
        <v>0.49443409999999899</v>
      </c>
      <c r="F3183" t="s">
        <v>42</v>
      </c>
      <c r="G3183">
        <v>-490.99099999999999</v>
      </c>
      <c r="H3183" s="1">
        <v>-6.6240940000000001E-7</v>
      </c>
      <c r="I3183">
        <v>250.51849999999999</v>
      </c>
      <c r="J3183">
        <v>-492.92410000000001</v>
      </c>
      <c r="K3183">
        <v>1.1169960000000001</v>
      </c>
      <c r="L3183">
        <v>263.44240000000002</v>
      </c>
      <c r="M3183">
        <v>-0.14478669999999999</v>
      </c>
      <c r="N3183">
        <v>-1.2333439999999999E-2</v>
      </c>
      <c r="O3183">
        <v>-0.98938610000000005</v>
      </c>
      <c r="P3183">
        <v>8.5953760000000004E-2</v>
      </c>
      <c r="Q3183">
        <v>0.37902269999999999</v>
      </c>
      <c r="R3183">
        <v>-0.92138710000000001</v>
      </c>
      <c r="S3183">
        <v>0.48217769999999999</v>
      </c>
      <c r="T3183">
        <v>-0.28255219999999998</v>
      </c>
      <c r="U3183">
        <v>-3.3272400000000002</v>
      </c>
      <c r="V3183">
        <v>-0.2243327</v>
      </c>
      <c r="W3183">
        <v>0.38673879999999999</v>
      </c>
      <c r="X3183">
        <v>0.89448749999999999</v>
      </c>
      <c r="Y3183">
        <v>-0.28468779999999999</v>
      </c>
      <c r="Z3183">
        <v>6.8678039999999996E-2</v>
      </c>
      <c r="AA3183">
        <v>0.95615700000000003</v>
      </c>
      <c r="AB3183">
        <v>26</v>
      </c>
      <c r="AC3183">
        <v>1.93310000000002</v>
      </c>
      <c r="AD3183">
        <v>-1.1169966624094001</v>
      </c>
      <c r="AE3183">
        <v>-12.9239</v>
      </c>
      <c r="AF3183">
        <v>-3.7566309314021198</v>
      </c>
      <c r="AG3183">
        <v>-1.1169966624094001</v>
      </c>
      <c r="AH3183">
        <v>12.417065361201701</v>
      </c>
      <c r="AI3183">
        <v>94.921166790752693</v>
      </c>
      <c r="AJ3183">
        <v>106.832547192924</v>
      </c>
      <c r="AK3183">
        <v>13.0208859023861</v>
      </c>
      <c r="AL3183">
        <v>67.248269776371004</v>
      </c>
      <c r="AM3183">
        <v>104.07908853558099</v>
      </c>
      <c r="AN3183">
        <v>0.99999997368548899</v>
      </c>
    </row>
    <row r="3184" spans="1:40" x14ac:dyDescent="0.25">
      <c r="A3184" t="str">
        <f>"20190304164913796"</f>
        <v>20190304164913796</v>
      </c>
      <c r="B3184" t="str">
        <f>"1551689353789035"</f>
        <v>1551689353789035</v>
      </c>
      <c r="C3184" t="s">
        <v>40</v>
      </c>
      <c r="D3184">
        <v>4.3468749999999998</v>
      </c>
      <c r="E3184">
        <v>0.49472050000000001</v>
      </c>
      <c r="F3184" t="s">
        <v>42</v>
      </c>
      <c r="G3184">
        <v>-491.42700000000002</v>
      </c>
      <c r="H3184" s="1">
        <v>-1.1117380000000001E-6</v>
      </c>
      <c r="I3184">
        <v>251.2955</v>
      </c>
      <c r="J3184">
        <v>-492.94209999999998</v>
      </c>
      <c r="K3184">
        <v>1.116905</v>
      </c>
      <c r="L3184">
        <v>263.27850000000001</v>
      </c>
      <c r="M3184">
        <v>-0.13921129999999901</v>
      </c>
      <c r="N3184">
        <v>-1.240602E-2</v>
      </c>
      <c r="O3184">
        <v>-0.99018519999999999</v>
      </c>
      <c r="P3184">
        <v>9.064258E-2</v>
      </c>
      <c r="Q3184">
        <v>0.37927929999999999</v>
      </c>
      <c r="R3184">
        <v>-0.92083170000000003</v>
      </c>
      <c r="S3184">
        <v>0.4121399</v>
      </c>
      <c r="T3184">
        <v>-0.30750450000000001</v>
      </c>
      <c r="U3184">
        <v>-3.3439939999999999</v>
      </c>
      <c r="V3184">
        <v>-0.2237336</v>
      </c>
      <c r="W3184">
        <v>0.38712669999999999</v>
      </c>
      <c r="X3184">
        <v>0.89446979999999998</v>
      </c>
      <c r="Y3184">
        <v>-0.25877529999999999</v>
      </c>
      <c r="Z3184">
        <v>7.5871709999999995E-2</v>
      </c>
      <c r="AA3184">
        <v>0.96295319999999995</v>
      </c>
      <c r="AB3184">
        <v>26</v>
      </c>
      <c r="AC3184">
        <v>1.5151000000000101</v>
      </c>
      <c r="AD3184">
        <v>-1.1169061117379999</v>
      </c>
      <c r="AE3184">
        <v>-11.983000000000001</v>
      </c>
      <c r="AF3184">
        <v>-3.1417766099903601</v>
      </c>
      <c r="AG3184">
        <v>-1.1169061117379999</v>
      </c>
      <c r="AH3184">
        <v>11.5565452716633</v>
      </c>
      <c r="AI3184">
        <v>95.328110371808094</v>
      </c>
      <c r="AJ3184">
        <v>105.20892322629901</v>
      </c>
      <c r="AK3184">
        <v>12.0279665008481</v>
      </c>
      <c r="AL3184">
        <v>67.224168333901801</v>
      </c>
      <c r="AM3184">
        <v>104.04324565895099</v>
      </c>
      <c r="AN3184">
        <v>1.0000000143669401</v>
      </c>
    </row>
    <row r="3185" spans="1:40" x14ac:dyDescent="0.25">
      <c r="A3185" t="str">
        <f>"20190304164913818"</f>
        <v>20190304164913818</v>
      </c>
      <c r="B3185" t="str">
        <f>"1551689353808554"</f>
        <v>1551689353808554</v>
      </c>
      <c r="C3185" t="s">
        <v>40</v>
      </c>
      <c r="D3185">
        <v>4.3180940000000003</v>
      </c>
      <c r="E3185">
        <v>0.49578949999999999</v>
      </c>
      <c r="F3185" t="s">
        <v>42</v>
      </c>
      <c r="G3185">
        <v>-491.39850000000001</v>
      </c>
      <c r="H3185" s="1">
        <v>-1.071369E-6</v>
      </c>
      <c r="I3185">
        <v>251.2191</v>
      </c>
      <c r="J3185">
        <v>-492.9667</v>
      </c>
      <c r="K3185">
        <v>1.116771</v>
      </c>
      <c r="L3185">
        <v>263.041</v>
      </c>
      <c r="M3185">
        <v>-0.13134560000000001</v>
      </c>
      <c r="N3185">
        <v>-1.251787E-2</v>
      </c>
      <c r="O3185">
        <v>-0.99125779999999997</v>
      </c>
      <c r="P3185">
        <v>9.6956879999999995E-2</v>
      </c>
      <c r="Q3185">
        <v>0.3797508</v>
      </c>
      <c r="R3185">
        <v>-0.91999439999999999</v>
      </c>
      <c r="S3185">
        <v>0.427948</v>
      </c>
      <c r="T3185">
        <v>-0.30965100000000001</v>
      </c>
      <c r="U3185">
        <v>-3.343353</v>
      </c>
      <c r="V3185">
        <v>-0.22259229999999999</v>
      </c>
      <c r="W3185">
        <v>0.38780100000000001</v>
      </c>
      <c r="X3185">
        <v>0.89446250000000005</v>
      </c>
      <c r="Y3185">
        <v>-0.25560480000000002</v>
      </c>
      <c r="Z3185">
        <v>7.6551569999999999E-2</v>
      </c>
      <c r="AA3185">
        <v>0.96374579999999999</v>
      </c>
      <c r="AB3185">
        <v>26</v>
      </c>
      <c r="AC3185">
        <v>1.56819999999999</v>
      </c>
      <c r="AD3185">
        <v>-1.1167720713689999</v>
      </c>
      <c r="AE3185">
        <v>-11.821899999999999</v>
      </c>
      <c r="AF3185">
        <v>-3.0804734376449598</v>
      </c>
      <c r="AG3185">
        <v>-1.1167720713689999</v>
      </c>
      <c r="AH3185">
        <v>11.4133836687617</v>
      </c>
      <c r="AI3185">
        <v>95.396561507548896</v>
      </c>
      <c r="AJ3185">
        <v>105.104240262777</v>
      </c>
      <c r="AK3185">
        <v>11.8744188586129</v>
      </c>
      <c r="AL3185">
        <v>67.182261122993197</v>
      </c>
      <c r="AM3185">
        <v>103.974532565594</v>
      </c>
      <c r="AN3185">
        <v>1.00000005576326</v>
      </c>
    </row>
    <row r="3186" spans="1:40" x14ac:dyDescent="0.25">
      <c r="A3186" t="str">
        <f>"20190304164913839"</f>
        <v>20190304164913839</v>
      </c>
      <c r="B3186" t="str">
        <f>"1551689353828582"</f>
        <v>1551689353828582</v>
      </c>
      <c r="C3186" t="s">
        <v>40</v>
      </c>
      <c r="D3186">
        <v>4.3422450000000001</v>
      </c>
      <c r="E3186">
        <v>0.49697190000000002</v>
      </c>
      <c r="F3186" t="s">
        <v>42</v>
      </c>
      <c r="G3186">
        <v>-491.37689999999998</v>
      </c>
      <c r="H3186" s="1">
        <v>-9.899430999999999E-7</v>
      </c>
      <c r="I3186">
        <v>251.0427</v>
      </c>
      <c r="J3186">
        <v>-492.99009999999998</v>
      </c>
      <c r="K3186">
        <v>1.116622</v>
      </c>
      <c r="L3186">
        <v>262.7971</v>
      </c>
      <c r="M3186">
        <v>-0.1234929</v>
      </c>
      <c r="N3186">
        <v>-1.263454E-2</v>
      </c>
      <c r="O3186">
        <v>-0.99226510000000001</v>
      </c>
      <c r="P3186">
        <v>0.1036931</v>
      </c>
      <c r="Q3186">
        <v>0.38026070000000001</v>
      </c>
      <c r="R3186">
        <v>-0.91904839999999999</v>
      </c>
      <c r="S3186">
        <v>0.44290160000000001</v>
      </c>
      <c r="T3186">
        <v>-0.31112459999999997</v>
      </c>
      <c r="U3186">
        <v>-3.342651</v>
      </c>
      <c r="V3186">
        <v>-0.22188040000000001</v>
      </c>
      <c r="W3186">
        <v>0.3885151</v>
      </c>
      <c r="X3186">
        <v>0.89432939999999905</v>
      </c>
      <c r="Y3186">
        <v>-0.25221060000000001</v>
      </c>
      <c r="Z3186">
        <v>7.7032249999999997E-2</v>
      </c>
      <c r="AA3186">
        <v>0.96460140000000005</v>
      </c>
      <c r="AB3186">
        <v>26</v>
      </c>
      <c r="AC3186">
        <v>1.6132</v>
      </c>
      <c r="AD3186">
        <v>-1.1166229899430999</v>
      </c>
      <c r="AE3186">
        <v>-11.7544</v>
      </c>
      <c r="AF3186">
        <v>-3.0257500198163698</v>
      </c>
      <c r="AG3186">
        <v>-1.1166229899430999</v>
      </c>
      <c r="AH3186">
        <v>11.364515881887099</v>
      </c>
      <c r="AI3186">
        <v>95.423835667512293</v>
      </c>
      <c r="AJ3186">
        <v>104.908880188719</v>
      </c>
      <c r="AK3186">
        <v>11.813307382513599</v>
      </c>
      <c r="AL3186">
        <v>67.137863550028001</v>
      </c>
      <c r="AM3186">
        <v>103.93357501256</v>
      </c>
      <c r="AN3186">
        <v>0.99999998526826395</v>
      </c>
    </row>
    <row r="3187" spans="1:40" x14ac:dyDescent="0.25">
      <c r="A3187" t="str">
        <f>"20190304164913852"</f>
        <v>20190304164913852</v>
      </c>
      <c r="B3187" t="str">
        <f>"1551689353849078"</f>
        <v>1551689353849078</v>
      </c>
      <c r="C3187" t="s">
        <v>40</v>
      </c>
      <c r="D3187">
        <v>4.3541869999999996</v>
      </c>
      <c r="E3187">
        <v>0.49760840000000001</v>
      </c>
      <c r="F3187" t="s">
        <v>42</v>
      </c>
      <c r="G3187">
        <v>-491.35449999999997</v>
      </c>
      <c r="H3187" s="1">
        <v>-9.033838E-7</v>
      </c>
      <c r="I3187">
        <v>250.85480000000001</v>
      </c>
      <c r="J3187">
        <v>-493.00360000000001</v>
      </c>
      <c r="K3187">
        <v>1.1165369999999999</v>
      </c>
      <c r="L3187">
        <v>262.64789999999999</v>
      </c>
      <c r="M3187">
        <v>-0.1187907</v>
      </c>
      <c r="N3187">
        <v>-1.270603E-2</v>
      </c>
      <c r="O3187">
        <v>-0.992838</v>
      </c>
      <c r="P3187">
        <v>0.1078857</v>
      </c>
      <c r="Q3187">
        <v>0.38033159999999999</v>
      </c>
      <c r="R3187">
        <v>-0.91853629999999997</v>
      </c>
      <c r="S3187">
        <v>0.45770260000000001</v>
      </c>
      <c r="T3187">
        <v>-0.31247439999999999</v>
      </c>
      <c r="U3187">
        <v>-3.3419189999999999</v>
      </c>
      <c r="V3187">
        <v>-0.22162370000000001</v>
      </c>
      <c r="W3187">
        <v>0.38870840000000001</v>
      </c>
      <c r="X3187">
        <v>0.89430900000000002</v>
      </c>
      <c r="Y3187">
        <v>-0.25184529999999999</v>
      </c>
      <c r="Z3187">
        <v>7.7424820000000005E-2</v>
      </c>
      <c r="AA3187">
        <v>0.96466540000000001</v>
      </c>
      <c r="AB3187">
        <v>26</v>
      </c>
      <c r="AC3187">
        <v>1.64910000000003</v>
      </c>
      <c r="AD3187">
        <v>-1.1165379033838001</v>
      </c>
      <c r="AE3187">
        <v>-11.7930999999999</v>
      </c>
      <c r="AF3187">
        <v>-3.01196431219274</v>
      </c>
      <c r="AG3187">
        <v>-1.1165379033838001</v>
      </c>
      <c r="AH3187">
        <v>11.4133253549495</v>
      </c>
      <c r="AI3187">
        <v>95.403489544932796</v>
      </c>
      <c r="AJ3187">
        <v>104.783263727212</v>
      </c>
      <c r="AK3187">
        <v>11.8567525725027</v>
      </c>
      <c r="AL3187">
        <v>67.125842330978401</v>
      </c>
      <c r="AM3187">
        <v>103.918387036216</v>
      </c>
      <c r="AN3187">
        <v>0.99999993605662296</v>
      </c>
    </row>
    <row r="3188" spans="1:40" x14ac:dyDescent="0.25">
      <c r="A3188" t="str">
        <f>"20190304164913870"</f>
        <v>20190304164913870</v>
      </c>
      <c r="B3188" t="str">
        <f>"1551689353858838"</f>
        <v>1551689353858838</v>
      </c>
      <c r="C3188" t="s">
        <v>40</v>
      </c>
      <c r="D3188">
        <v>4.3479590000000004</v>
      </c>
      <c r="E3188">
        <v>0.49760840000000001</v>
      </c>
      <c r="F3188" t="s">
        <v>42</v>
      </c>
      <c r="G3188">
        <v>-491.33980000000003</v>
      </c>
      <c r="H3188" s="1">
        <v>-8.5760589999999996E-7</v>
      </c>
      <c r="I3188">
        <v>250.75720000000001</v>
      </c>
      <c r="J3188">
        <v>-493.02120000000002</v>
      </c>
      <c r="K3188">
        <v>1.116411</v>
      </c>
      <c r="L3188">
        <v>262.44060000000002</v>
      </c>
      <c r="M3188">
        <v>-0.1124259</v>
      </c>
      <c r="N3188">
        <v>-1.281212E-2</v>
      </c>
      <c r="O3188">
        <v>-0.9935775</v>
      </c>
      <c r="P3188">
        <v>0.1125766</v>
      </c>
      <c r="Q3188">
        <v>0.38064789999999998</v>
      </c>
      <c r="R3188">
        <v>-0.91784200000000005</v>
      </c>
      <c r="S3188">
        <v>0.46749879999999999</v>
      </c>
      <c r="T3188">
        <v>-0.3137276</v>
      </c>
      <c r="U3188">
        <v>-3.3410639999999998</v>
      </c>
      <c r="V3188">
        <v>-0.220306</v>
      </c>
      <c r="W3188">
        <v>0.38921670000000003</v>
      </c>
      <c r="X3188">
        <v>0.89441360000000003</v>
      </c>
      <c r="Y3188">
        <v>-0.24844820000000001</v>
      </c>
      <c r="Z3188">
        <v>7.7829980000000007E-2</v>
      </c>
      <c r="AA3188">
        <v>0.96551330000000002</v>
      </c>
      <c r="AB3188">
        <v>26</v>
      </c>
      <c r="AC3188">
        <v>1.68139999999999</v>
      </c>
      <c r="AD3188">
        <v>-1.1164118576058999</v>
      </c>
      <c r="AE3188">
        <v>-11.683400000000001</v>
      </c>
      <c r="AF3188">
        <v>-2.9579028497662998</v>
      </c>
      <c r="AG3188">
        <v>-1.1164118576058999</v>
      </c>
      <c r="AH3188">
        <v>11.319013005466701</v>
      </c>
      <c r="AI3188">
        <v>95.451060920301302</v>
      </c>
      <c r="AJ3188">
        <v>104.64512198549301</v>
      </c>
      <c r="AK3188">
        <v>11.752260213354001</v>
      </c>
      <c r="AL3188">
        <v>67.094231771751296</v>
      </c>
      <c r="AM3188">
        <v>103.83726683419501</v>
      </c>
      <c r="AN3188">
        <v>1.0000000305299199</v>
      </c>
    </row>
    <row r="3189" spans="1:40" x14ac:dyDescent="0.25">
      <c r="A3189" t="str">
        <f>"20190304164913886"</f>
        <v>20190304164913886</v>
      </c>
      <c r="B3189" t="str">
        <f>"1551689353879334"</f>
        <v>1551689353879334</v>
      </c>
      <c r="C3189" t="s">
        <v>40</v>
      </c>
      <c r="D3189">
        <v>4.3619370000000002</v>
      </c>
      <c r="E3189">
        <v>0.50307639999999998</v>
      </c>
      <c r="F3189" t="s">
        <v>42</v>
      </c>
      <c r="G3189">
        <v>-491.28739999999999</v>
      </c>
      <c r="H3189" s="1">
        <v>-7.3922049999999999E-7</v>
      </c>
      <c r="I3189">
        <v>250.5138</v>
      </c>
      <c r="J3189">
        <v>-493.03429999999997</v>
      </c>
      <c r="K3189">
        <v>1.116295</v>
      </c>
      <c r="L3189">
        <v>262.27569999999997</v>
      </c>
      <c r="M3189">
        <v>-0.1075117</v>
      </c>
      <c r="N3189">
        <v>-1.290063E-2</v>
      </c>
      <c r="O3189">
        <v>-0.99412009999999995</v>
      </c>
      <c r="P3189">
        <v>0.11638950000000001</v>
      </c>
      <c r="Q3189">
        <v>0.38057380000000002</v>
      </c>
      <c r="R3189">
        <v>-0.91739680000000001</v>
      </c>
      <c r="S3189">
        <v>0.485321</v>
      </c>
      <c r="T3189">
        <v>-0.31250609999999901</v>
      </c>
      <c r="U3189">
        <v>-3.338562</v>
      </c>
      <c r="V3189">
        <v>-0.21947659999999999</v>
      </c>
      <c r="W3189">
        <v>0.38930369999999997</v>
      </c>
      <c r="X3189">
        <v>0.89457960000000003</v>
      </c>
      <c r="Y3189">
        <v>-0.24881349999999999</v>
      </c>
      <c r="Z3189">
        <v>7.7495620000000001E-2</v>
      </c>
      <c r="AA3189">
        <v>0.96544620000000003</v>
      </c>
      <c r="AB3189">
        <v>26</v>
      </c>
      <c r="AC3189">
        <v>1.7468999999999799</v>
      </c>
      <c r="AD3189">
        <v>-1.1162957392205</v>
      </c>
      <c r="AE3189">
        <v>-11.761899999999899</v>
      </c>
      <c r="AF3189">
        <v>-2.9751994172911602</v>
      </c>
      <c r="AG3189">
        <v>-1.1162957392205</v>
      </c>
      <c r="AH3189">
        <v>11.405370258416401</v>
      </c>
      <c r="AI3189">
        <v>95.410081361061302</v>
      </c>
      <c r="AJ3189">
        <v>104.620335140305</v>
      </c>
      <c r="AK3189">
        <v>11.839780339247</v>
      </c>
      <c r="AL3189">
        <v>67.088819594116799</v>
      </c>
      <c r="AM3189">
        <v>103.784703336482</v>
      </c>
      <c r="AN3189">
        <v>1.0000000047587001</v>
      </c>
    </row>
    <row r="3190" spans="1:40" x14ac:dyDescent="0.25">
      <c r="A3190" t="str">
        <f>"20190304164913906"</f>
        <v>20190304164913906</v>
      </c>
      <c r="B3190" t="str">
        <f>"1551689353898854"</f>
        <v>1551689353898854</v>
      </c>
      <c r="C3190" t="s">
        <v>40</v>
      </c>
      <c r="D3190">
        <v>4.3563000000000001</v>
      </c>
      <c r="E3190">
        <v>0.50426579999999999</v>
      </c>
      <c r="F3190" t="s">
        <v>42</v>
      </c>
      <c r="G3190">
        <v>-491.49470000000002</v>
      </c>
      <c r="H3190" s="1">
        <v>-1.0117589999999999E-6</v>
      </c>
      <c r="I3190">
        <v>251.0205</v>
      </c>
      <c r="J3190">
        <v>-493.0523</v>
      </c>
      <c r="K3190">
        <v>1.1161030000000001</v>
      </c>
      <c r="L3190">
        <v>262.0367</v>
      </c>
      <c r="M3190">
        <v>-0.1006181</v>
      </c>
      <c r="N3190">
        <v>-1.302713E-2</v>
      </c>
      <c r="O3190">
        <v>-0.9948399</v>
      </c>
      <c r="P3190">
        <v>0.1208156</v>
      </c>
      <c r="Q3190">
        <v>0.3804785</v>
      </c>
      <c r="R3190">
        <v>-0.91686409999999996</v>
      </c>
      <c r="S3190">
        <v>0.4582214</v>
      </c>
      <c r="T3190">
        <v>-0.33223609999999998</v>
      </c>
      <c r="U3190">
        <v>-3.3498230000000002</v>
      </c>
      <c r="V3190">
        <v>-0.217387</v>
      </c>
      <c r="W3190">
        <v>0.38946350000000002</v>
      </c>
      <c r="X3190">
        <v>0.89502009999999899</v>
      </c>
      <c r="Y3190">
        <v>-0.2338914</v>
      </c>
      <c r="Z3190">
        <v>8.3069500000000004E-2</v>
      </c>
      <c r="AA3190">
        <v>0.9687076</v>
      </c>
      <c r="AB3190">
        <v>26</v>
      </c>
      <c r="AC3190">
        <v>1.5575999999999699</v>
      </c>
      <c r="AD3190">
        <v>-1.116104011759</v>
      </c>
      <c r="AE3190">
        <v>-11.0161999999999</v>
      </c>
      <c r="AF3190">
        <v>-2.6317326845111202</v>
      </c>
      <c r="AG3190">
        <v>-1.116104011759</v>
      </c>
      <c r="AH3190">
        <v>10.6959102721049</v>
      </c>
      <c r="AI3190">
        <v>95.7858360649563</v>
      </c>
      <c r="AJ3190">
        <v>103.823060824179</v>
      </c>
      <c r="AK3190">
        <v>11.071323391388599</v>
      </c>
      <c r="AL3190">
        <v>67.078877922842594</v>
      </c>
      <c r="AM3190">
        <v>103.6519289277</v>
      </c>
      <c r="AN3190">
        <v>0.99999995250262796</v>
      </c>
    </row>
    <row r="3191" spans="1:40" x14ac:dyDescent="0.25">
      <c r="A3191" t="str">
        <f>"20190304164913928"</f>
        <v>20190304164913928</v>
      </c>
      <c r="B3191" t="str">
        <f>"1551689353919350"</f>
        <v>1551689353919350</v>
      </c>
      <c r="C3191" t="s">
        <v>40</v>
      </c>
      <c r="D3191">
        <v>4.3695950000000003</v>
      </c>
      <c r="E3191">
        <v>0.5051156</v>
      </c>
      <c r="F3191" t="s">
        <v>42</v>
      </c>
      <c r="G3191">
        <v>-491.51179999999999</v>
      </c>
      <c r="H3191" s="1">
        <v>-1.003552E-6</v>
      </c>
      <c r="I3191">
        <v>250.9907</v>
      </c>
      <c r="J3191">
        <v>-493.06979999999999</v>
      </c>
      <c r="K3191">
        <v>1.115882</v>
      </c>
      <c r="L3191">
        <v>261.78440000000001</v>
      </c>
      <c r="M3191">
        <v>-9.3642230000000007E-2</v>
      </c>
      <c r="N3191">
        <v>-1.314802E-2</v>
      </c>
      <c r="O3191">
        <v>-0.99551900000000004</v>
      </c>
      <c r="P3191">
        <v>0.1256053</v>
      </c>
      <c r="Q3191">
        <v>0.37992930000000003</v>
      </c>
      <c r="R3191">
        <v>-0.91644820000000005</v>
      </c>
      <c r="S3191">
        <v>0.4673157</v>
      </c>
      <c r="T3191">
        <v>-0.33858490000000002</v>
      </c>
      <c r="U3191">
        <v>-3.3509519999999902</v>
      </c>
      <c r="V3191">
        <v>-0.2155686</v>
      </c>
      <c r="W3191">
        <v>0.38917760000000001</v>
      </c>
      <c r="X3191">
        <v>0.89558419999999905</v>
      </c>
      <c r="Y3191">
        <v>-0.2295894</v>
      </c>
      <c r="Z3191">
        <v>8.4877259999999996E-2</v>
      </c>
      <c r="AA3191">
        <v>0.96957959999999999</v>
      </c>
      <c r="AB3191">
        <v>26</v>
      </c>
      <c r="AC3191">
        <v>1.5579999999999901</v>
      </c>
      <c r="AD3191">
        <v>-1.115883003552</v>
      </c>
      <c r="AE3191">
        <v>-10.793699999999999</v>
      </c>
      <c r="AF3191">
        <v>-2.53544070838851</v>
      </c>
      <c r="AG3191">
        <v>-1.115883003552</v>
      </c>
      <c r="AH3191">
        <v>10.4905217452876</v>
      </c>
      <c r="AI3191">
        <v>95.903044883494005</v>
      </c>
      <c r="AJ3191">
        <v>103.58718470914</v>
      </c>
      <c r="AK3191">
        <v>10.8501014258726</v>
      </c>
      <c r="AL3191">
        <v>67.096664079420407</v>
      </c>
      <c r="AM3191">
        <v>103.53373963447</v>
      </c>
      <c r="AN3191">
        <v>1.0000000424686699</v>
      </c>
    </row>
    <row r="3192" spans="1:40" x14ac:dyDescent="0.25">
      <c r="A3192" t="str">
        <f>"20190304164913950"</f>
        <v>20190304164913950</v>
      </c>
      <c r="B3192" t="str">
        <f>"1551689353939377"</f>
        <v>1551689353939377</v>
      </c>
      <c r="C3192" t="s">
        <v>40</v>
      </c>
      <c r="D3192">
        <v>4.3617239999999997</v>
      </c>
      <c r="E3192">
        <v>0.50557969999999997</v>
      </c>
      <c r="F3192" t="s">
        <v>42</v>
      </c>
      <c r="G3192">
        <v>-491.51940000000002</v>
      </c>
      <c r="H3192" s="1">
        <v>-9.7920119999999999E-7</v>
      </c>
      <c r="I3192">
        <v>250.92930000000001</v>
      </c>
      <c r="J3192">
        <v>-493.08530000000002</v>
      </c>
      <c r="K3192">
        <v>1.1156520000000001</v>
      </c>
      <c r="L3192">
        <v>261.5419</v>
      </c>
      <c r="M3192">
        <v>-8.7241100000000002E-2</v>
      </c>
      <c r="N3192">
        <v>-1.3253030000000001E-2</v>
      </c>
      <c r="O3192">
        <v>-0.99609919999999996</v>
      </c>
      <c r="P3192">
        <v>0.13011249999999999</v>
      </c>
      <c r="Q3192">
        <v>0.37989830000000002</v>
      </c>
      <c r="R3192">
        <v>-0.91583210000000004</v>
      </c>
      <c r="S3192">
        <v>0.47857670000000002</v>
      </c>
      <c r="T3192">
        <v>-0.34444399999999997</v>
      </c>
      <c r="U3192">
        <v>-3.3506770000000001</v>
      </c>
      <c r="V3192">
        <v>-0.2139838</v>
      </c>
      <c r="W3192">
        <v>0.38938709999999999</v>
      </c>
      <c r="X3192">
        <v>0.89587309999999998</v>
      </c>
      <c r="Y3192">
        <v>-0.2265171</v>
      </c>
      <c r="Z3192">
        <v>8.6567950000000005E-2</v>
      </c>
      <c r="AA3192">
        <v>0.97015260000000003</v>
      </c>
      <c r="AB3192">
        <v>26</v>
      </c>
      <c r="AC3192">
        <v>1.5658999999999901</v>
      </c>
      <c r="AD3192">
        <v>-1.1156529792012</v>
      </c>
      <c r="AE3192">
        <v>-10.612599999999899</v>
      </c>
      <c r="AF3192">
        <v>-2.4592655566094401</v>
      </c>
      <c r="AG3192">
        <v>-1.1156529792012</v>
      </c>
      <c r="AH3192">
        <v>10.323845388058899</v>
      </c>
      <c r="AI3192">
        <v>96.001129004116393</v>
      </c>
      <c r="AJ3192">
        <v>103.398837570867</v>
      </c>
      <c r="AK3192">
        <v>10.6711973200982</v>
      </c>
      <c r="AL3192">
        <v>67.083631547098506</v>
      </c>
      <c r="AM3192">
        <v>103.433688341362</v>
      </c>
      <c r="AN3192">
        <v>0.999999995806229</v>
      </c>
    </row>
    <row r="3193" spans="1:40" x14ac:dyDescent="0.25">
      <c r="A3193" t="str">
        <f>"20190304164913962"</f>
        <v>20190304164913962</v>
      </c>
      <c r="B3193" t="str">
        <f>"1551689353958897"</f>
        <v>1551689353958897</v>
      </c>
      <c r="C3193" t="s">
        <v>40</v>
      </c>
      <c r="D3193">
        <v>4.3735720000000002</v>
      </c>
      <c r="E3193">
        <v>0.5063723</v>
      </c>
      <c r="F3193" t="s">
        <v>42</v>
      </c>
      <c r="G3193">
        <v>-491.50130000000001</v>
      </c>
      <c r="H3193" s="1">
        <v>-8.8816769999999996E-7</v>
      </c>
      <c r="I3193">
        <v>250.72829999999999</v>
      </c>
      <c r="J3193">
        <v>-493.09339999999997</v>
      </c>
      <c r="K3193">
        <v>1.115521</v>
      </c>
      <c r="L3193">
        <v>261.40550000000002</v>
      </c>
      <c r="M3193">
        <v>-8.3784990000000004E-2</v>
      </c>
      <c r="N3193">
        <v>-1.330865E-2</v>
      </c>
      <c r="O3193">
        <v>-0.99639509999999998</v>
      </c>
      <c r="P3193">
        <v>0.1327335</v>
      </c>
      <c r="Q3193">
        <v>0.3794882</v>
      </c>
      <c r="R3193">
        <v>-0.91562600000000005</v>
      </c>
      <c r="S3193">
        <v>0.49063109999999999</v>
      </c>
      <c r="T3193">
        <v>-0.34555849999999999</v>
      </c>
      <c r="U3193">
        <v>-3.3493650000000001</v>
      </c>
      <c r="V3193">
        <v>-0.2133169</v>
      </c>
      <c r="W3193">
        <v>0.38910820000000002</v>
      </c>
      <c r="X3193">
        <v>0.89615330000000004</v>
      </c>
      <c r="Y3193">
        <v>-0.2266068</v>
      </c>
      <c r="Z3193">
        <v>8.6891029999999994E-2</v>
      </c>
      <c r="AA3193">
        <v>0.97010269999999998</v>
      </c>
      <c r="AB3193">
        <v>26</v>
      </c>
      <c r="AC3193">
        <v>1.5920999999999501</v>
      </c>
      <c r="AD3193">
        <v>-1.1155218881677</v>
      </c>
      <c r="AE3193">
        <v>-10.677199999999999</v>
      </c>
      <c r="AF3193">
        <v>-2.45495510638685</v>
      </c>
      <c r="AG3193">
        <v>-1.1155218881677</v>
      </c>
      <c r="AH3193">
        <v>10.3952442155194</v>
      </c>
      <c r="AI3193">
        <v>95.962238506410202</v>
      </c>
      <c r="AJ3193">
        <v>103.287593971769</v>
      </c>
      <c r="AK3193">
        <v>10.739287497671601</v>
      </c>
      <c r="AL3193">
        <v>67.100979963446207</v>
      </c>
      <c r="AM3193">
        <v>103.38929496702499</v>
      </c>
      <c r="AN3193">
        <v>1.0000000141168699</v>
      </c>
    </row>
    <row r="3194" spans="1:40" x14ac:dyDescent="0.25">
      <c r="A3194" t="str">
        <f>"20190304164913975"</f>
        <v>20190304164913975</v>
      </c>
      <c r="B3194" t="str">
        <f>"1551689353968658"</f>
        <v>1551689353968658</v>
      </c>
      <c r="C3194" t="s">
        <v>40</v>
      </c>
      <c r="D3194">
        <v>4.357075</v>
      </c>
      <c r="E3194">
        <v>0.50675919999999997</v>
      </c>
      <c r="F3194" t="s">
        <v>42</v>
      </c>
      <c r="G3194">
        <v>-491.51650000000001</v>
      </c>
      <c r="H3194" s="1">
        <v>-8.8481639999999997E-7</v>
      </c>
      <c r="I3194">
        <v>250.71100000000001</v>
      </c>
      <c r="J3194">
        <v>-493.1019</v>
      </c>
      <c r="K3194">
        <v>1.1153789999999999</v>
      </c>
      <c r="L3194">
        <v>261.25700000000001</v>
      </c>
      <c r="M3194">
        <v>-8.0107040000000004E-2</v>
      </c>
      <c r="N3194">
        <v>-1.3367850000000001E-2</v>
      </c>
      <c r="O3194">
        <v>-0.99669680000000005</v>
      </c>
      <c r="P3194">
        <v>0.1353047</v>
      </c>
      <c r="Q3194">
        <v>0.378967</v>
      </c>
      <c r="R3194">
        <v>-0.91546519999999998</v>
      </c>
      <c r="S3194">
        <v>0.49389650000000002</v>
      </c>
      <c r="T3194">
        <v>-0.34940300000000002</v>
      </c>
      <c r="U3194">
        <v>-3.349701</v>
      </c>
      <c r="V3194">
        <v>-0.2123901</v>
      </c>
      <c r="W3194">
        <v>0.388733</v>
      </c>
      <c r="X3194">
        <v>0.89653619999999901</v>
      </c>
      <c r="Y3194">
        <v>-0.22390950000000001</v>
      </c>
      <c r="Z3194">
        <v>8.8001510000000005E-2</v>
      </c>
      <c r="AA3194">
        <v>0.97062879999999996</v>
      </c>
      <c r="AB3194">
        <v>26</v>
      </c>
      <c r="AC3194">
        <v>1.5853999999999899</v>
      </c>
      <c r="AD3194">
        <v>-1.1153798848164</v>
      </c>
      <c r="AE3194">
        <v>-10.545999999999999</v>
      </c>
      <c r="AF3194">
        <v>-2.3989469439753202</v>
      </c>
      <c r="AG3194">
        <v>-1.1153798848164</v>
      </c>
      <c r="AH3194">
        <v>10.272719027905501</v>
      </c>
      <c r="AI3194">
        <v>96.035580908278206</v>
      </c>
      <c r="AJ3194">
        <v>103.14449065735</v>
      </c>
      <c r="AK3194">
        <v>10.607910960870401</v>
      </c>
      <c r="AL3194">
        <v>67.124314789841605</v>
      </c>
      <c r="AM3194">
        <v>103.327712955289</v>
      </c>
      <c r="AN3194">
        <v>1.0000000288887201</v>
      </c>
    </row>
    <row r="3195" spans="1:40" x14ac:dyDescent="0.25">
      <c r="A3195" t="str">
        <f>"20190304164913994"</f>
        <v>20190304164913994</v>
      </c>
      <c r="B3195" t="str">
        <f>"1551689353989154"</f>
        <v>1551689353989154</v>
      </c>
      <c r="C3195" t="s">
        <v>40</v>
      </c>
      <c r="D3195">
        <v>4.5917570000000003</v>
      </c>
      <c r="E3195">
        <v>0.50693089999999996</v>
      </c>
      <c r="F3195" t="s">
        <v>42</v>
      </c>
      <c r="G3195">
        <v>-491.51990000000001</v>
      </c>
      <c r="H3195" s="1">
        <v>-8.5977479999999997E-7</v>
      </c>
      <c r="I3195">
        <v>250.6506</v>
      </c>
      <c r="J3195">
        <v>-493.11329999999998</v>
      </c>
      <c r="K3195">
        <v>1.1151580000000001</v>
      </c>
      <c r="L3195">
        <v>261.0446</v>
      </c>
      <c r="M3195">
        <v>-7.5126280000000004E-2</v>
      </c>
      <c r="N3195">
        <v>-1.344268E-2</v>
      </c>
      <c r="O3195">
        <v>-0.99708339999999995</v>
      </c>
      <c r="P3195">
        <v>0.13794389999999901</v>
      </c>
      <c r="Q3195">
        <v>0.37857439999999998</v>
      </c>
      <c r="R3195">
        <v>-0.91523399999999999</v>
      </c>
      <c r="S3195">
        <v>0.49954219999999999</v>
      </c>
      <c r="T3195">
        <v>-0.35218270000000002</v>
      </c>
      <c r="U3195">
        <v>-3.3489990000000001</v>
      </c>
      <c r="V3195">
        <v>-0.2102793</v>
      </c>
      <c r="W3195">
        <v>0.3885516</v>
      </c>
      <c r="X3195">
        <v>0.89711219999999903</v>
      </c>
      <c r="Y3195">
        <v>-0.22066</v>
      </c>
      <c r="Z3195">
        <v>8.8837269999999996E-2</v>
      </c>
      <c r="AA3195">
        <v>0.97129659999999995</v>
      </c>
      <c r="AB3195">
        <v>26</v>
      </c>
      <c r="AC3195">
        <v>1.59339999999997</v>
      </c>
      <c r="AD3195">
        <v>-1.1151588597747999</v>
      </c>
      <c r="AE3195">
        <v>-10.394</v>
      </c>
      <c r="AF3195">
        <v>-2.34347338795556</v>
      </c>
      <c r="AG3195">
        <v>-1.1151588597747999</v>
      </c>
      <c r="AH3195">
        <v>10.130965946246601</v>
      </c>
      <c r="AI3195">
        <v>96.121148452681695</v>
      </c>
      <c r="AJ3195">
        <v>103.02445811207799</v>
      </c>
      <c r="AK3195">
        <v>10.458102973608501</v>
      </c>
      <c r="AL3195">
        <v>67.135594650876001</v>
      </c>
      <c r="AM3195">
        <v>103.191738477412</v>
      </c>
      <c r="AN3195">
        <v>1.0000000146299399</v>
      </c>
    </row>
    <row r="3196" spans="1:40" x14ac:dyDescent="0.25">
      <c r="A3196" t="str">
        <f>"20190304164914008"</f>
        <v>20190304164914008</v>
      </c>
      <c r="B3196" t="str">
        <f>"1551689353998914"</f>
        <v>1551689353998914</v>
      </c>
      <c r="C3196" t="s">
        <v>40</v>
      </c>
      <c r="D3196">
        <v>4.3484489999999996</v>
      </c>
      <c r="E3196">
        <v>0.5072662</v>
      </c>
      <c r="F3196" t="s">
        <v>42</v>
      </c>
      <c r="G3196">
        <v>-491.51420000000002</v>
      </c>
      <c r="H3196" s="1">
        <v>-7.9544880000000003E-7</v>
      </c>
      <c r="I3196">
        <v>250.5042</v>
      </c>
      <c r="J3196">
        <v>-493.12090000000001</v>
      </c>
      <c r="K3196">
        <v>1.1149979999999999</v>
      </c>
      <c r="L3196">
        <v>260.89060000000001</v>
      </c>
      <c r="M3196">
        <v>-7.1701440000000005E-2</v>
      </c>
      <c r="N3196">
        <v>-1.3490520000000001E-2</v>
      </c>
      <c r="O3196">
        <v>-0.99733499999999997</v>
      </c>
      <c r="P3196">
        <v>0.14033809999999999</v>
      </c>
      <c r="Q3196">
        <v>0.3786158</v>
      </c>
      <c r="R3196">
        <v>-0.91485260000000002</v>
      </c>
      <c r="S3196">
        <v>0.50790409999999997</v>
      </c>
      <c r="T3196">
        <v>-0.35419400000000001</v>
      </c>
      <c r="U3196">
        <v>-3.3478089999999998</v>
      </c>
      <c r="V3196">
        <v>-0.20938599999999999</v>
      </c>
      <c r="W3196">
        <v>0.38872950000000001</v>
      </c>
      <c r="X3196">
        <v>0.89724400000000004</v>
      </c>
      <c r="Y3196">
        <v>-0.2197249</v>
      </c>
      <c r="Z3196">
        <v>8.9437829999999996E-2</v>
      </c>
      <c r="AA3196">
        <v>0.97145349999999997</v>
      </c>
      <c r="AB3196">
        <v>26</v>
      </c>
      <c r="AC3196">
        <v>1.60669999999998</v>
      </c>
      <c r="AD3196">
        <v>-1.1149987954488001</v>
      </c>
      <c r="AE3196">
        <v>-10.3864</v>
      </c>
      <c r="AF3196">
        <v>-2.3212257886611001</v>
      </c>
      <c r="AG3196">
        <v>-1.1149987954488001</v>
      </c>
      <c r="AH3196">
        <v>10.1304300278026</v>
      </c>
      <c r="AI3196">
        <v>96.123498776790697</v>
      </c>
      <c r="AJ3196">
        <v>102.905629498211</v>
      </c>
      <c r="AK3196">
        <v>10.452603695922001</v>
      </c>
      <c r="AL3196">
        <v>67.124530738083706</v>
      </c>
      <c r="AM3196">
        <v>103.13578258124301</v>
      </c>
      <c r="AN3196">
        <v>0.99999995835112399</v>
      </c>
    </row>
    <row r="3197" spans="1:40" x14ac:dyDescent="0.25">
      <c r="A3197" t="str">
        <f>"20190304164914029"</f>
        <v>20190304164914029</v>
      </c>
      <c r="B3197" t="str">
        <f>"1551689354019409"</f>
        <v>1551689354019409</v>
      </c>
      <c r="C3197" t="s">
        <v>40</v>
      </c>
      <c r="D3197">
        <v>4.3575439999999999</v>
      </c>
      <c r="E3197">
        <v>0.50782989999999995</v>
      </c>
      <c r="F3197" t="s">
        <v>42</v>
      </c>
      <c r="G3197">
        <v>-491.5093</v>
      </c>
      <c r="H3197" s="1">
        <v>-7.4907060000000003E-7</v>
      </c>
      <c r="I3197">
        <v>250.3991</v>
      </c>
      <c r="J3197">
        <v>-493.13189999999997</v>
      </c>
      <c r="K3197">
        <v>1.114741</v>
      </c>
      <c r="L3197">
        <v>260.65730000000002</v>
      </c>
      <c r="M3197">
        <v>-6.6758339999999999E-2</v>
      </c>
      <c r="N3197">
        <v>-1.355643E-2</v>
      </c>
      <c r="O3197">
        <v>-0.99767720000000004</v>
      </c>
      <c r="P3197">
        <v>0.1440729</v>
      </c>
      <c r="Q3197">
        <v>0.37830639999999999</v>
      </c>
      <c r="R3197">
        <v>-0.91439999999999999</v>
      </c>
      <c r="S3197">
        <v>0.51422120000000004</v>
      </c>
      <c r="T3197">
        <v>-0.35576809999999998</v>
      </c>
      <c r="U3197">
        <v>-3.3475649999999999</v>
      </c>
      <c r="V3197">
        <v>-0.2083585</v>
      </c>
      <c r="W3197">
        <v>0.3886232</v>
      </c>
      <c r="X3197">
        <v>0.89752919999999903</v>
      </c>
      <c r="Y3197">
        <v>-0.2166873</v>
      </c>
      <c r="Z3197">
        <v>8.9911829999999998E-2</v>
      </c>
      <c r="AA3197">
        <v>0.97209179999999995</v>
      </c>
      <c r="AB3197">
        <v>26</v>
      </c>
      <c r="AC3197">
        <v>1.6225999999999701</v>
      </c>
      <c r="AD3197">
        <v>-1.1147417490706</v>
      </c>
      <c r="AE3197">
        <v>-10.2582</v>
      </c>
      <c r="AF3197">
        <v>-2.2776233272728899</v>
      </c>
      <c r="AG3197">
        <v>-1.1147417490706</v>
      </c>
      <c r="AH3197">
        <v>10.011639695219101</v>
      </c>
      <c r="AI3197">
        <v>96.196359403646696</v>
      </c>
      <c r="AJ3197">
        <v>102.81651323048099</v>
      </c>
      <c r="AK3197">
        <v>10.3277851727727</v>
      </c>
      <c r="AL3197">
        <v>67.131141068600897</v>
      </c>
      <c r="AM3197">
        <v>103.069530334044</v>
      </c>
      <c r="AN3197">
        <v>0.99999996047656403</v>
      </c>
    </row>
    <row r="3198" spans="1:40" x14ac:dyDescent="0.25">
      <c r="A3198" t="str">
        <f>"20190304164914041"</f>
        <v>20190304164914041</v>
      </c>
      <c r="B3198" t="str">
        <f>"1551689354038929"</f>
        <v>1551689354038929</v>
      </c>
      <c r="C3198" t="s">
        <v>40</v>
      </c>
      <c r="D3198">
        <v>4.4055150000000003</v>
      </c>
      <c r="E3198">
        <v>0.51574129999999996</v>
      </c>
      <c r="F3198" t="s">
        <v>42</v>
      </c>
      <c r="G3198">
        <v>-491.51440000000002</v>
      </c>
      <c r="H3198" s="1">
        <v>-6.8994640000000002E-7</v>
      </c>
      <c r="I3198">
        <v>250.25810000000001</v>
      </c>
      <c r="J3198">
        <v>-493.1386</v>
      </c>
      <c r="K3198">
        <v>1.1145670000000001</v>
      </c>
      <c r="L3198">
        <v>260.50810000000001</v>
      </c>
      <c r="M3198">
        <v>-6.3787720000000006E-2</v>
      </c>
      <c r="N3198">
        <v>-1.359339E-2</v>
      </c>
      <c r="O3198">
        <v>-0.99787099999999995</v>
      </c>
      <c r="P3198">
        <v>0.14656179999999999</v>
      </c>
      <c r="Q3198">
        <v>0.37834719999999999</v>
      </c>
      <c r="R3198">
        <v>-0.91398749999999995</v>
      </c>
      <c r="S3198">
        <v>0.52062989999999998</v>
      </c>
      <c r="T3198">
        <v>-0.35880669999999998</v>
      </c>
      <c r="U3198">
        <v>-3.347229</v>
      </c>
      <c r="V3198">
        <v>-0.20796100000000001</v>
      </c>
      <c r="W3198">
        <v>0.38878879999999999</v>
      </c>
      <c r="X3198">
        <v>0.89754969999999901</v>
      </c>
      <c r="Y3198">
        <v>-0.2156006</v>
      </c>
      <c r="Z3198">
        <v>9.0791090000000005E-2</v>
      </c>
      <c r="AA3198">
        <v>0.97225170000000005</v>
      </c>
      <c r="AB3198">
        <v>25</v>
      </c>
      <c r="AC3198">
        <v>1.6241999999999699</v>
      </c>
      <c r="AD3198">
        <v>-1.1145676899463901</v>
      </c>
      <c r="AE3198">
        <v>-10.25</v>
      </c>
      <c r="AF3198">
        <v>-2.24883718145544</v>
      </c>
      <c r="AG3198">
        <v>-1.1145676899463901</v>
      </c>
      <c r="AH3198">
        <v>10.0100484127342</v>
      </c>
      <c r="AI3198">
        <v>96.200132706013093</v>
      </c>
      <c r="AJ3198">
        <v>102.66172967657999</v>
      </c>
      <c r="AK3198">
        <v>10.3199127433061</v>
      </c>
      <c r="AL3198">
        <v>67.120843694653104</v>
      </c>
      <c r="AM3198">
        <v>103.04516251851901</v>
      </c>
      <c r="AN3198">
        <v>0.99999998624826403</v>
      </c>
    </row>
    <row r="3199" spans="1:40" x14ac:dyDescent="0.25">
      <c r="A3199" t="str">
        <f>"20190304164914061"</f>
        <v>20190304164914061</v>
      </c>
      <c r="B3199" t="str">
        <f>"1551689354048689"</f>
        <v>1551689354048689</v>
      </c>
      <c r="C3199" t="s">
        <v>40</v>
      </c>
      <c r="D3199">
        <v>4.4001989999999997</v>
      </c>
      <c r="E3199">
        <v>0.51615829999999996</v>
      </c>
      <c r="F3199" t="s">
        <v>42</v>
      </c>
      <c r="G3199">
        <v>-491.7876</v>
      </c>
      <c r="H3199" s="1">
        <v>-9.847556999999999E-7</v>
      </c>
      <c r="I3199">
        <v>250.77590000000001</v>
      </c>
      <c r="J3199">
        <v>-493.14749999999998</v>
      </c>
      <c r="K3199">
        <v>1.1143130000000001</v>
      </c>
      <c r="L3199">
        <v>260.2953</v>
      </c>
      <c r="M3199">
        <v>-5.9803759999999997E-2</v>
      </c>
      <c r="N3199">
        <v>-1.3639500000000001E-2</v>
      </c>
      <c r="O3199">
        <v>-0.99811709999999998</v>
      </c>
      <c r="P3199">
        <v>0.1499183</v>
      </c>
      <c r="Q3199">
        <v>0.3784013</v>
      </c>
      <c r="R3199">
        <v>-0.91342069999999997</v>
      </c>
      <c r="S3199">
        <v>0.46740720000000002</v>
      </c>
      <c r="T3199">
        <v>-0.3856058</v>
      </c>
      <c r="U3199">
        <v>-3.367035</v>
      </c>
      <c r="V3199">
        <v>-0.20742669999999999</v>
      </c>
      <c r="W3199">
        <v>0.38901950000000002</v>
      </c>
      <c r="X3199">
        <v>0.89757339999999997</v>
      </c>
      <c r="Y3199">
        <v>-0.19565640000000001</v>
      </c>
      <c r="Z3199">
        <v>9.8226910000000001E-2</v>
      </c>
      <c r="AA3199">
        <v>0.97574079999999996</v>
      </c>
      <c r="AB3199">
        <v>25</v>
      </c>
      <c r="AC3199">
        <v>1.3598999999999799</v>
      </c>
      <c r="AD3199">
        <v>-1.1143139847557</v>
      </c>
      <c r="AE3199">
        <v>-9.5193999999999903</v>
      </c>
      <c r="AF3199">
        <v>-1.9012832583978401</v>
      </c>
      <c r="AG3199">
        <v>-1.1143139847557</v>
      </c>
      <c r="AH3199">
        <v>9.2961914749325505</v>
      </c>
      <c r="AI3199">
        <v>96.697953570997996</v>
      </c>
      <c r="AJ3199">
        <v>101.55888578431301</v>
      </c>
      <c r="AK3199">
        <v>9.5538342891163204</v>
      </c>
      <c r="AL3199">
        <v>67.106496610962793</v>
      </c>
      <c r="AM3199">
        <v>103.012456670818</v>
      </c>
      <c r="AN3199">
        <v>1.0000000078203499</v>
      </c>
    </row>
    <row r="3200" spans="1:40" x14ac:dyDescent="0.25">
      <c r="A3200" t="str">
        <f>"20190304164914074"</f>
        <v>20190304164914074</v>
      </c>
      <c r="B3200" t="str">
        <f>"1551689354069185"</f>
        <v>1551689354069185</v>
      </c>
      <c r="C3200" t="s">
        <v>40</v>
      </c>
      <c r="D3200">
        <v>4.3930669999999896</v>
      </c>
      <c r="E3200">
        <v>0.51659390000000005</v>
      </c>
      <c r="F3200" t="s">
        <v>42</v>
      </c>
      <c r="G3200">
        <v>-491.78469999999999</v>
      </c>
      <c r="H3200" s="1">
        <v>-9.092354E-7</v>
      </c>
      <c r="I3200">
        <v>250.60159999999999</v>
      </c>
      <c r="J3200">
        <v>-493.15359999999998</v>
      </c>
      <c r="K3200">
        <v>1.1141239999999999</v>
      </c>
      <c r="L3200">
        <v>260.1429</v>
      </c>
      <c r="M3200">
        <v>-5.711625E-2</v>
      </c>
      <c r="N3200">
        <v>-1.3668659999999999E-2</v>
      </c>
      <c r="O3200">
        <v>-0.9982742</v>
      </c>
      <c r="P3200">
        <v>0.15203559999999999</v>
      </c>
      <c r="Q3200">
        <v>0.37812040000000002</v>
      </c>
      <c r="R3200">
        <v>-0.91318730000000004</v>
      </c>
      <c r="S3200">
        <v>0.47335820000000001</v>
      </c>
      <c r="T3200">
        <v>-0.38705060000000002</v>
      </c>
      <c r="U3200">
        <v>-3.367035</v>
      </c>
      <c r="V3200">
        <v>-0.20691219999999999</v>
      </c>
      <c r="W3200">
        <v>0.38886609999999999</v>
      </c>
      <c r="X3200">
        <v>0.89775859999999996</v>
      </c>
      <c r="Y3200">
        <v>-0.1947024</v>
      </c>
      <c r="Z3200">
        <v>9.8638089999999998E-2</v>
      </c>
      <c r="AA3200">
        <v>0.97589009999999998</v>
      </c>
      <c r="AB3200">
        <v>25</v>
      </c>
      <c r="AC3200">
        <v>1.36889999999999</v>
      </c>
      <c r="AD3200">
        <v>-1.1141249092354</v>
      </c>
      <c r="AE3200">
        <v>-9.5412999999999997</v>
      </c>
      <c r="AF3200">
        <v>-1.8864757924437501</v>
      </c>
      <c r="AG3200">
        <v>-1.1141249092354</v>
      </c>
      <c r="AH3200">
        <v>9.3229733294535997</v>
      </c>
      <c r="AI3200">
        <v>96.680576871689496</v>
      </c>
      <c r="AJ3200">
        <v>101.43917570864301</v>
      </c>
      <c r="AK3200">
        <v>9.5769461171376609</v>
      </c>
      <c r="AL3200">
        <v>67.116036858217896</v>
      </c>
      <c r="AM3200">
        <v>102.97868793332999</v>
      </c>
      <c r="AN3200">
        <v>1.0000000030559999</v>
      </c>
    </row>
    <row r="3201" spans="1:40" x14ac:dyDescent="0.25">
      <c r="A3201" t="str">
        <f>"20190304164914097"</f>
        <v>20190304164914097</v>
      </c>
      <c r="B3201" t="str">
        <f>"1551689354088705"</f>
        <v>1551689354088705</v>
      </c>
      <c r="C3201" t="s">
        <v>40</v>
      </c>
      <c r="D3201">
        <v>4.3736290000000002</v>
      </c>
      <c r="E3201">
        <v>0.51698789999999994</v>
      </c>
      <c r="F3201" t="s">
        <v>42</v>
      </c>
      <c r="G3201">
        <v>-491.78820000000002</v>
      </c>
      <c r="H3201" s="1">
        <v>-8.6644669999999902E-7</v>
      </c>
      <c r="I3201">
        <v>250.49969999999999</v>
      </c>
      <c r="J3201">
        <v>-493.16329999999999</v>
      </c>
      <c r="K3201">
        <v>1.1138159999999999</v>
      </c>
      <c r="L3201">
        <v>259.88729999999998</v>
      </c>
      <c r="M3201">
        <v>-5.29957E-2</v>
      </c>
      <c r="N3201">
        <v>-1.3709020000000001E-2</v>
      </c>
      <c r="O3201">
        <v>-0.99850090000000002</v>
      </c>
      <c r="P3201">
        <v>0.1555483</v>
      </c>
      <c r="Q3201">
        <v>0.37771329999999997</v>
      </c>
      <c r="R3201">
        <v>-0.91276389999999996</v>
      </c>
      <c r="S3201">
        <v>0.4767151</v>
      </c>
      <c r="T3201">
        <v>-0.38899820000000002</v>
      </c>
      <c r="U3201">
        <v>-3.366943</v>
      </c>
      <c r="V3201">
        <v>-0.20636570000000001</v>
      </c>
      <c r="W3201">
        <v>0.38866010000000001</v>
      </c>
      <c r="X3201">
        <v>0.89797349999999998</v>
      </c>
      <c r="Y3201">
        <v>-0.19160530000000001</v>
      </c>
      <c r="Z3201">
        <v>9.922889E-2</v>
      </c>
      <c r="AA3201">
        <v>0.97644310000000001</v>
      </c>
      <c r="AB3201">
        <v>25</v>
      </c>
      <c r="AC3201">
        <v>1.37509999999997</v>
      </c>
      <c r="AD3201">
        <v>-1.1138168664467001</v>
      </c>
      <c r="AE3201">
        <v>-9.3875999999999902</v>
      </c>
      <c r="AF3201">
        <v>-1.84528540232535</v>
      </c>
      <c r="AG3201">
        <v>-1.1138168664467001</v>
      </c>
      <c r="AH3201">
        <v>9.1750773690670293</v>
      </c>
      <c r="AI3201">
        <v>96.7870072550119</v>
      </c>
      <c r="AJ3201">
        <v>101.37158534947299</v>
      </c>
      <c r="AK3201">
        <v>9.4248454075588004</v>
      </c>
      <c r="AL3201">
        <v>67.128846005161407</v>
      </c>
      <c r="AM3201">
        <v>102.94257088835001</v>
      </c>
      <c r="AN3201">
        <v>0.99999994108537305</v>
      </c>
    </row>
    <row r="3202" spans="1:40" x14ac:dyDescent="0.25">
      <c r="A3202" t="str">
        <f>"20190304164914117"</f>
        <v>20190304164914117</v>
      </c>
      <c r="B3202" t="str">
        <f>"1551689354109201"</f>
        <v>1551689354109201</v>
      </c>
      <c r="C3202" t="s">
        <v>40</v>
      </c>
      <c r="D3202">
        <v>4.3966059999999896</v>
      </c>
      <c r="E3202">
        <v>0.51704810000000001</v>
      </c>
      <c r="F3202" t="s">
        <v>42</v>
      </c>
      <c r="G3202">
        <v>-491.77620000000002</v>
      </c>
      <c r="H3202" s="1">
        <v>-7.7373340000000003E-7</v>
      </c>
      <c r="I3202">
        <v>250.2911</v>
      </c>
      <c r="J3202">
        <v>-493.17180000000002</v>
      </c>
      <c r="K3202">
        <v>1.1135109999999999</v>
      </c>
      <c r="L3202">
        <v>259.64890000000003</v>
      </c>
      <c r="M3202">
        <v>-4.9591120000000002E-2</v>
      </c>
      <c r="N3202">
        <v>-1.373924E-2</v>
      </c>
      <c r="O3202">
        <v>-0.99867519999999999</v>
      </c>
      <c r="P3202">
        <v>0.15905050000000001</v>
      </c>
      <c r="Q3202">
        <v>0.37756099999999998</v>
      </c>
      <c r="R3202">
        <v>-0.91222320000000001</v>
      </c>
      <c r="S3202">
        <v>0.4864502</v>
      </c>
      <c r="T3202">
        <v>-0.39061709999999999</v>
      </c>
      <c r="U3202">
        <v>-3.3654169999999999</v>
      </c>
      <c r="V3202">
        <v>-0.20646519999999999</v>
      </c>
      <c r="W3202">
        <v>0.38868599999999998</v>
      </c>
      <c r="X3202">
        <v>0.8979395</v>
      </c>
      <c r="Y3202">
        <v>-0.19108140000000001</v>
      </c>
      <c r="Z3202">
        <v>9.9728880000000006E-2</v>
      </c>
      <c r="AA3202">
        <v>0.9764948</v>
      </c>
      <c r="AB3202">
        <v>25</v>
      </c>
      <c r="AC3202">
        <v>1.3956</v>
      </c>
      <c r="AD3202">
        <v>-1.1135117737333999</v>
      </c>
      <c r="AE3202">
        <v>-9.3578000000000205</v>
      </c>
      <c r="AF3202">
        <v>-1.8326062243615899</v>
      </c>
      <c r="AG3202">
        <v>-1.1135117737333999</v>
      </c>
      <c r="AH3202">
        <v>9.1503248646870201</v>
      </c>
      <c r="AI3202">
        <v>96.804442613310201</v>
      </c>
      <c r="AJ3202">
        <v>101.32523197304999</v>
      </c>
      <c r="AK3202">
        <v>9.3982338326475592</v>
      </c>
      <c r="AL3202">
        <v>67.127237212195695</v>
      </c>
      <c r="AM3202">
        <v>102.94907469344101</v>
      </c>
      <c r="AN3202">
        <v>1.0000000155336399</v>
      </c>
    </row>
    <row r="3203" spans="1:40" x14ac:dyDescent="0.25">
      <c r="A3203" t="str">
        <f>"20190304164914130"</f>
        <v>20190304164914130</v>
      </c>
      <c r="B3203" t="str">
        <f>"1551689354118961"</f>
        <v>1551689354118961</v>
      </c>
      <c r="C3203" t="s">
        <v>40</v>
      </c>
      <c r="D3203">
        <v>4.3974719999999996</v>
      </c>
      <c r="E3203">
        <v>0.51991390000000004</v>
      </c>
      <c r="F3203" t="s">
        <v>42</v>
      </c>
      <c r="G3203">
        <v>-491.75240000000002</v>
      </c>
      <c r="H3203" s="1">
        <v>-6.7004939999999999E-7</v>
      </c>
      <c r="I3203">
        <v>250.0641</v>
      </c>
      <c r="J3203">
        <v>-493.17689999999999</v>
      </c>
      <c r="K3203">
        <v>1.113335</v>
      </c>
      <c r="L3203">
        <v>259.50080000000003</v>
      </c>
      <c r="M3203">
        <v>-4.7660760000000003E-2</v>
      </c>
      <c r="N3203">
        <v>-1.375497E-2</v>
      </c>
      <c r="O3203">
        <v>-0.99876900000000002</v>
      </c>
      <c r="P3203">
        <v>0.16099349999999901</v>
      </c>
      <c r="Q3203">
        <v>0.3773842</v>
      </c>
      <c r="R3203">
        <v>-0.91195530000000002</v>
      </c>
      <c r="S3203">
        <v>0.4980774</v>
      </c>
      <c r="T3203">
        <v>-0.39075880000000002</v>
      </c>
      <c r="U3203">
        <v>-3.3635559999999902</v>
      </c>
      <c r="V3203">
        <v>-0.2064763</v>
      </c>
      <c r="W3203">
        <v>0.3886136</v>
      </c>
      <c r="X3203">
        <v>0.89796830000000005</v>
      </c>
      <c r="Y3203">
        <v>-0.19256329999999999</v>
      </c>
      <c r="Z3203">
        <v>9.9787669999999995E-2</v>
      </c>
      <c r="AA3203">
        <v>0.97619769999999995</v>
      </c>
      <c r="AB3203">
        <v>25</v>
      </c>
      <c r="AC3203">
        <v>1.4244999999999599</v>
      </c>
      <c r="AD3203">
        <v>-1.1133356700493999</v>
      </c>
      <c r="AE3203">
        <v>-9.4367000000000303</v>
      </c>
      <c r="AF3203">
        <v>-1.8475404398075601</v>
      </c>
      <c r="AG3203">
        <v>-1.1133356700493999</v>
      </c>
      <c r="AH3203">
        <v>9.23243043547048</v>
      </c>
      <c r="AI3203">
        <v>96.743642935019693</v>
      </c>
      <c r="AJ3203">
        <v>101.316223907797</v>
      </c>
      <c r="AK3203">
        <v>9.4810702843471404</v>
      </c>
      <c r="AL3203">
        <v>67.131739714538099</v>
      </c>
      <c r="AM3203">
        <v>102.949346066296</v>
      </c>
      <c r="AN3203">
        <v>1.0000000301857599</v>
      </c>
    </row>
    <row r="3204" spans="1:40" x14ac:dyDescent="0.25">
      <c r="A3204" t="str">
        <f>"20190304164914150"</f>
        <v>20190304164914150</v>
      </c>
      <c r="B3204" t="str">
        <f>"1551689354139457"</f>
        <v>1551689354139457</v>
      </c>
      <c r="C3204" t="s">
        <v>40</v>
      </c>
      <c r="D3204">
        <v>4.5608779999999998</v>
      </c>
      <c r="E3204">
        <v>0.52648530000000004</v>
      </c>
      <c r="F3204" t="s">
        <v>42</v>
      </c>
      <c r="G3204">
        <v>-491.84230000000002</v>
      </c>
      <c r="H3204" s="1">
        <v>-7.5607659999999998E-7</v>
      </c>
      <c r="I3204">
        <v>250.2089</v>
      </c>
      <c r="J3204">
        <v>-493.18400000000003</v>
      </c>
      <c r="K3204">
        <v>1.1131</v>
      </c>
      <c r="L3204">
        <v>259.28980000000001</v>
      </c>
      <c r="M3204">
        <v>-4.5137200000000002E-2</v>
      </c>
      <c r="N3204">
        <v>-1.377425E-2</v>
      </c>
      <c r="O3204">
        <v>-0.99888589999999999</v>
      </c>
      <c r="P3204">
        <v>0.16347909999999999</v>
      </c>
      <c r="Q3204">
        <v>0.37710159999999998</v>
      </c>
      <c r="R3204">
        <v>-0.91163000000000005</v>
      </c>
      <c r="S3204">
        <v>0.4842224</v>
      </c>
      <c r="T3204">
        <v>-0.40394639999999998</v>
      </c>
      <c r="U3204">
        <v>-3.3713380000000002</v>
      </c>
      <c r="V3204">
        <v>-0.20643300000000001</v>
      </c>
      <c r="W3204">
        <v>0.38846900000000001</v>
      </c>
      <c r="X3204">
        <v>0.89804079999999997</v>
      </c>
      <c r="Y3204">
        <v>-0.18577350000000001</v>
      </c>
      <c r="Z3204">
        <v>0.1034238</v>
      </c>
      <c r="AA3204">
        <v>0.97713450000000002</v>
      </c>
      <c r="AB3204">
        <v>25</v>
      </c>
      <c r="AC3204">
        <v>1.3416999999999999</v>
      </c>
      <c r="AD3204">
        <v>-1.1131007560766</v>
      </c>
      <c r="AE3204">
        <v>-9.0809000000000104</v>
      </c>
      <c r="AF3204">
        <v>-1.7248948556219501</v>
      </c>
      <c r="AG3204">
        <v>-1.1131007560766</v>
      </c>
      <c r="AH3204">
        <v>8.8804986795988992</v>
      </c>
      <c r="AI3204">
        <v>97.014566069086399</v>
      </c>
      <c r="AJ3204">
        <v>100.991922554529</v>
      </c>
      <c r="AK3204">
        <v>9.1146866295274798</v>
      </c>
      <c r="AL3204">
        <v>67.140730711369301</v>
      </c>
      <c r="AM3204">
        <v>102.945711982261</v>
      </c>
      <c r="AN3204">
        <v>1.0000000129573201</v>
      </c>
    </row>
    <row r="3205" spans="1:40" x14ac:dyDescent="0.25">
      <c r="A3205" t="str">
        <f>"20190304164914162"</f>
        <v>20190304164914162</v>
      </c>
      <c r="B3205" t="str">
        <f>"1551689354158978"</f>
        <v>1551689354158978</v>
      </c>
      <c r="C3205" t="s">
        <v>40</v>
      </c>
      <c r="D3205">
        <v>4.554792</v>
      </c>
      <c r="E3205">
        <v>0.56052380000000002</v>
      </c>
      <c r="F3205" t="s">
        <v>42</v>
      </c>
      <c r="G3205">
        <v>-492.00580000000002</v>
      </c>
      <c r="H3205" s="1">
        <v>-8.3433409999999897E-7</v>
      </c>
      <c r="I3205">
        <v>250.28989999999999</v>
      </c>
      <c r="J3205">
        <v>-493.18860000000001</v>
      </c>
      <c r="K3205">
        <v>1.1129439999999999</v>
      </c>
      <c r="L3205">
        <v>259.14659999999998</v>
      </c>
      <c r="M3205">
        <v>-4.3594670000000002E-2</v>
      </c>
      <c r="N3205">
        <v>-1.3785199999999999E-2</v>
      </c>
      <c r="O3205">
        <v>-0.99895409999999996</v>
      </c>
      <c r="P3205">
        <v>0.16491120000000001</v>
      </c>
      <c r="Q3205">
        <v>0.37686720000000001</v>
      </c>
      <c r="R3205">
        <v>-0.91146870000000002</v>
      </c>
      <c r="S3205">
        <v>0.44305420000000001</v>
      </c>
      <c r="T3205">
        <v>-0.41859629999999998</v>
      </c>
      <c r="U3205">
        <v>-3.3845209999999999</v>
      </c>
      <c r="V3205">
        <v>-0.20630899999999999</v>
      </c>
      <c r="W3205">
        <v>0.38832620000000001</v>
      </c>
      <c r="X3205">
        <v>0.89813099999999901</v>
      </c>
      <c r="Y3205">
        <v>-0.1719898</v>
      </c>
      <c r="Z3205">
        <v>0.1074132</v>
      </c>
      <c r="AA3205">
        <v>0.97922520000000002</v>
      </c>
      <c r="AB3205">
        <v>25</v>
      </c>
      <c r="AC3205">
        <v>1.1827999999999801</v>
      </c>
      <c r="AD3205">
        <v>-1.1129448343341</v>
      </c>
      <c r="AE3205">
        <v>-8.8566999999999894</v>
      </c>
      <c r="AF3205">
        <v>-1.54386529400943</v>
      </c>
      <c r="AG3205">
        <v>-1.1129448343341</v>
      </c>
      <c r="AH3205">
        <v>8.6623217345032408</v>
      </c>
      <c r="AI3205">
        <v>97.208938606337895</v>
      </c>
      <c r="AJ3205">
        <v>100.105582450605</v>
      </c>
      <c r="AK3205">
        <v>8.8689336496765492</v>
      </c>
      <c r="AL3205">
        <v>67.149608507862297</v>
      </c>
      <c r="AM3205">
        <v>102.93694182912699</v>
      </c>
      <c r="AN3205">
        <v>0.99999996712421901</v>
      </c>
    </row>
    <row r="3206" spans="1:40" x14ac:dyDescent="0.25">
      <c r="A3206" t="str">
        <f>"20190304164914178"</f>
        <v>20190304164914178</v>
      </c>
      <c r="B3206" t="str">
        <f>"1551689354168738"</f>
        <v>1551689354168738</v>
      </c>
      <c r="C3206" t="s">
        <v>40</v>
      </c>
      <c r="D3206">
        <v>4.5597409999999998</v>
      </c>
      <c r="E3206">
        <v>0.56016619999999995</v>
      </c>
      <c r="F3206" t="s">
        <v>42</v>
      </c>
      <c r="G3206">
        <v>-492.78219999999999</v>
      </c>
      <c r="H3206" s="1">
        <v>-1.684565E-6</v>
      </c>
      <c r="I3206">
        <v>251.7903</v>
      </c>
      <c r="J3206">
        <v>-493.19400000000002</v>
      </c>
      <c r="K3206">
        <v>1.11276</v>
      </c>
      <c r="L3206">
        <v>258.97629999999998</v>
      </c>
      <c r="M3206">
        <v>-4.1909120000000001E-2</v>
      </c>
      <c r="N3206">
        <v>-1.3796579999999999E-2</v>
      </c>
      <c r="O3206">
        <v>-0.99902630000000003</v>
      </c>
      <c r="P3206">
        <v>0.1664795</v>
      </c>
      <c r="Q3206">
        <v>0.37657950000000001</v>
      </c>
      <c r="R3206">
        <v>-0.91130290000000003</v>
      </c>
      <c r="S3206">
        <v>0.19192500000000001</v>
      </c>
      <c r="T3206">
        <v>-0.5255879</v>
      </c>
      <c r="U3206">
        <v>-3.47403</v>
      </c>
      <c r="V3206">
        <v>-0.20616509999999999</v>
      </c>
      <c r="W3206">
        <v>0.38814419999999999</v>
      </c>
      <c r="X3206">
        <v>0.89824280000000001</v>
      </c>
      <c r="Y3206">
        <v>-9.6344289999999999E-2</v>
      </c>
      <c r="Z3206">
        <v>0.13526070000000001</v>
      </c>
      <c r="AA3206">
        <v>0.98611470000000001</v>
      </c>
      <c r="AB3206">
        <v>25</v>
      </c>
      <c r="AC3206">
        <v>0.41180000000002698</v>
      </c>
      <c r="AD3206">
        <v>-1.1127616845649999</v>
      </c>
      <c r="AE3206">
        <v>-7.1859999999999697</v>
      </c>
      <c r="AF3206">
        <v>-0.69599119599577297</v>
      </c>
      <c r="AG3206">
        <v>-1.1127616845649999</v>
      </c>
      <c r="AH3206">
        <v>6.9952362800689896</v>
      </c>
      <c r="AI3206">
        <v>98.994869395708307</v>
      </c>
      <c r="AJ3206">
        <v>95.681945134065899</v>
      </c>
      <c r="AK3206">
        <v>7.1173009579146704</v>
      </c>
      <c r="AL3206">
        <v>67.160925871276802</v>
      </c>
      <c r="AM3206">
        <v>102.926666559174</v>
      </c>
      <c r="AN3206">
        <v>1.0000000481017399</v>
      </c>
    </row>
    <row r="3207" spans="1:40" x14ac:dyDescent="0.25">
      <c r="A3207" t="str">
        <f>"20190304164914197"</f>
        <v>20190304164914197</v>
      </c>
      <c r="B3207" t="str">
        <f>"1551689354189233"</f>
        <v>1551689354189233</v>
      </c>
      <c r="C3207" t="s">
        <v>40</v>
      </c>
      <c r="D3207">
        <v>4.5323589999999996</v>
      </c>
      <c r="E3207">
        <v>0.56072429999999995</v>
      </c>
      <c r="F3207" t="s">
        <v>42</v>
      </c>
      <c r="G3207">
        <v>-492.77530000000002</v>
      </c>
      <c r="H3207" s="1">
        <v>-1.6709280000000001E-6</v>
      </c>
      <c r="I3207">
        <v>251.7628</v>
      </c>
      <c r="J3207">
        <v>-493.20060000000001</v>
      </c>
      <c r="K3207">
        <v>1.1125419999999999</v>
      </c>
      <c r="L3207">
        <v>258.76369999999997</v>
      </c>
      <c r="M3207">
        <v>-4.0073890000000001E-2</v>
      </c>
      <c r="N3207">
        <v>-1.380782E-2</v>
      </c>
      <c r="O3207">
        <v>-0.99910160000000003</v>
      </c>
      <c r="P3207">
        <v>0.16819110000000001</v>
      </c>
      <c r="Q3207">
        <v>0.37563410000000003</v>
      </c>
      <c r="R3207">
        <v>-0.91137880000000004</v>
      </c>
      <c r="S3207">
        <v>0.20181270000000001</v>
      </c>
      <c r="T3207">
        <v>-0.53632800000000003</v>
      </c>
      <c r="U3207">
        <v>-3.476791</v>
      </c>
      <c r="V3207">
        <v>-0.20599709999999999</v>
      </c>
      <c r="W3207">
        <v>0.3873298</v>
      </c>
      <c r="X3207">
        <v>0.89863280000000001</v>
      </c>
      <c r="Y3207">
        <v>-9.7242339999999997E-2</v>
      </c>
      <c r="Z3207">
        <v>0.13810939999999999</v>
      </c>
      <c r="AA3207">
        <v>0.98563160000000005</v>
      </c>
      <c r="AB3207">
        <v>25</v>
      </c>
      <c r="AC3207">
        <v>0.42529999999999202</v>
      </c>
      <c r="AD3207">
        <v>-1.1125436709280001</v>
      </c>
      <c r="AE3207">
        <v>-7.0008999999999704</v>
      </c>
      <c r="AF3207">
        <v>-0.68822196288929405</v>
      </c>
      <c r="AG3207">
        <v>-1.1125436709280001</v>
      </c>
      <c r="AH3207">
        <v>6.8069607746262202</v>
      </c>
      <c r="AI3207">
        <v>99.236195493717602</v>
      </c>
      <c r="AJ3207">
        <v>95.773306184387906</v>
      </c>
      <c r="AK3207">
        <v>6.9315307023214698</v>
      </c>
      <c r="AL3207">
        <v>67.211547603076596</v>
      </c>
      <c r="AM3207">
        <v>102.911068506218</v>
      </c>
      <c r="AN3207">
        <v>1.0000000442061401</v>
      </c>
    </row>
    <row r="3208" spans="1:40" x14ac:dyDescent="0.25">
      <c r="A3208" t="str">
        <f>"20190304164914209"</f>
        <v>20190304164914209</v>
      </c>
      <c r="B3208" t="str">
        <f>"1551689354198994"</f>
        <v>1551689354198994</v>
      </c>
      <c r="C3208" t="s">
        <v>40</v>
      </c>
      <c r="D3208">
        <v>4.4970619999999997</v>
      </c>
      <c r="E3208">
        <v>0.56121790000000005</v>
      </c>
      <c r="F3208" t="s">
        <v>41</v>
      </c>
      <c r="G3208">
        <v>-493.1465</v>
      </c>
      <c r="H3208">
        <v>0.96808649999999996</v>
      </c>
      <c r="I3208">
        <v>257.84739999999999</v>
      </c>
      <c r="J3208">
        <v>-493.20510000000002</v>
      </c>
      <c r="K3208">
        <v>1.1123970000000001</v>
      </c>
      <c r="L3208">
        <v>258.61720000000003</v>
      </c>
      <c r="M3208">
        <v>-3.8965649999999998E-2</v>
      </c>
      <c r="N3208">
        <v>-1.3813999999999899E-2</v>
      </c>
      <c r="O3208">
        <v>-0.99914530000000001</v>
      </c>
      <c r="P3208">
        <v>0.1693366</v>
      </c>
      <c r="Q3208">
        <v>0.37553829999999999</v>
      </c>
      <c r="R3208">
        <v>-0.91120630000000002</v>
      </c>
      <c r="S3208">
        <v>0.20651249999999999</v>
      </c>
      <c r="T3208">
        <v>-0.54876579999999997</v>
      </c>
      <c r="U3208">
        <v>-3.4797519999999902</v>
      </c>
      <c r="V3208">
        <v>-0.2059935</v>
      </c>
      <c r="W3208">
        <v>0.38731310000000002</v>
      </c>
      <c r="X3208">
        <v>0.89864080000000002</v>
      </c>
      <c r="Y3208">
        <v>-9.7386319999999998E-2</v>
      </c>
      <c r="Z3208">
        <v>0.1414203</v>
      </c>
      <c r="AA3208">
        <v>0.98514780000000002</v>
      </c>
      <c r="AB3208">
        <v>25</v>
      </c>
      <c r="AC3208">
        <v>5.86000000000126E-2</v>
      </c>
      <c r="AD3208">
        <v>-0.14431049999999901</v>
      </c>
      <c r="AE3208">
        <v>-0.76980000000003201</v>
      </c>
      <c r="AF3208">
        <v>-8.55644259399823E-2</v>
      </c>
      <c r="AG3208">
        <v>-0.14431049999999901</v>
      </c>
      <c r="AH3208">
        <v>0.74103928503739702</v>
      </c>
      <c r="AI3208">
        <v>100.948924862037</v>
      </c>
      <c r="AJ3208">
        <v>96.586514589561105</v>
      </c>
      <c r="AK3208">
        <v>0.75979340176486498</v>
      </c>
      <c r="AL3208">
        <v>67.212584952506504</v>
      </c>
      <c r="AM3208">
        <v>102.91073934821</v>
      </c>
      <c r="AN3208">
        <v>1.0000000234492401</v>
      </c>
    </row>
    <row r="3209" spans="1:40" x14ac:dyDescent="0.25">
      <c r="A3209" t="str">
        <f>"20190304164914230"</f>
        <v>20190304164914230</v>
      </c>
      <c r="B3209" t="str">
        <f>"1551689354218513"</f>
        <v>1551689354218513</v>
      </c>
      <c r="C3209" t="s">
        <v>40</v>
      </c>
      <c r="D3209">
        <v>4.4591310000000002</v>
      </c>
      <c r="E3209">
        <v>0.56184999999999996</v>
      </c>
      <c r="F3209" t="s">
        <v>42</v>
      </c>
      <c r="G3209">
        <v>-492.78370000000001</v>
      </c>
      <c r="H3209" s="1">
        <v>-1.583325E-6</v>
      </c>
      <c r="I3209">
        <v>251.55340000000001</v>
      </c>
      <c r="J3209">
        <v>-493.21170000000001</v>
      </c>
      <c r="K3209">
        <v>1.1122019999999999</v>
      </c>
      <c r="L3209">
        <v>258.39999999999998</v>
      </c>
      <c r="M3209">
        <v>-3.747611E-2</v>
      </c>
      <c r="N3209">
        <v>-1.382189E-2</v>
      </c>
      <c r="O3209">
        <v>-0.99920209999999998</v>
      </c>
      <c r="P3209">
        <v>0.1711019</v>
      </c>
      <c r="Q3209">
        <v>0.37680209999999997</v>
      </c>
      <c r="R3209">
        <v>-0.91035410000000005</v>
      </c>
      <c r="S3209">
        <v>0.20761109999999999</v>
      </c>
      <c r="T3209">
        <v>-0.54796840000000002</v>
      </c>
      <c r="U3209">
        <v>-3.4796299999999998</v>
      </c>
      <c r="V3209">
        <v>-0.2061962</v>
      </c>
      <c r="W3209">
        <v>0.38867289999999999</v>
      </c>
      <c r="X3209">
        <v>0.898007</v>
      </c>
      <c r="Y3209">
        <v>-9.621797E-2</v>
      </c>
      <c r="Z3209">
        <v>0.1412185</v>
      </c>
      <c r="AA3209">
        <v>0.98529149999999999</v>
      </c>
      <c r="AB3209">
        <v>25</v>
      </c>
      <c r="AC3209">
        <v>0.42799999999999699</v>
      </c>
      <c r="AD3209">
        <v>-1.1122035833249999</v>
      </c>
      <c r="AE3209">
        <v>-6.8465999999999596</v>
      </c>
      <c r="AF3209">
        <v>-0.66678067730308299</v>
      </c>
      <c r="AG3209">
        <v>-1.1122035833249999</v>
      </c>
      <c r="AH3209">
        <v>6.65092194310657</v>
      </c>
      <c r="AI3209">
        <v>99.446975019988599</v>
      </c>
      <c r="AJ3209">
        <v>95.724994552745002</v>
      </c>
      <c r="AK3209">
        <v>6.7761608581616599</v>
      </c>
      <c r="AL3209">
        <v>67.128052286469895</v>
      </c>
      <c r="AM3209">
        <v>102.93183172108201</v>
      </c>
      <c r="AN3209">
        <v>1.0000000340689199</v>
      </c>
    </row>
    <row r="3210" spans="1:40" x14ac:dyDescent="0.25">
      <c r="A3210" t="str">
        <f>"20190304164914242"</f>
        <v>20190304164914242</v>
      </c>
      <c r="B3210" t="str">
        <f>"1551689354239009"</f>
        <v>1551689354239009</v>
      </c>
      <c r="C3210" t="s">
        <v>40</v>
      </c>
      <c r="D3210">
        <v>4.5001579999999999</v>
      </c>
      <c r="E3210">
        <v>0.56245540000000005</v>
      </c>
      <c r="F3210" t="s">
        <v>42</v>
      </c>
      <c r="G3210">
        <v>-492.78100000000001</v>
      </c>
      <c r="H3210" s="1">
        <v>-1.4577170000000001E-6</v>
      </c>
      <c r="I3210">
        <v>251.26220000000001</v>
      </c>
      <c r="J3210">
        <v>-493.21609999999998</v>
      </c>
      <c r="K3210">
        <v>1.1120859999999999</v>
      </c>
      <c r="L3210">
        <v>258.25279999999998</v>
      </c>
      <c r="M3210">
        <v>-3.6583619999999997E-2</v>
      </c>
      <c r="N3210">
        <v>-1.382394E-2</v>
      </c>
      <c r="O3210">
        <v>-0.99923510000000004</v>
      </c>
      <c r="P3210">
        <v>0.17212769999999999</v>
      </c>
      <c r="Q3210">
        <v>0.37763390000000002</v>
      </c>
      <c r="R3210">
        <v>-0.90981610000000002</v>
      </c>
      <c r="S3210">
        <v>0.2099915</v>
      </c>
      <c r="T3210">
        <v>-0.54231260000000003</v>
      </c>
      <c r="U3210">
        <v>-3.4804080000000002</v>
      </c>
      <c r="V3210">
        <v>-0.20628389999999999</v>
      </c>
      <c r="W3210">
        <v>0.38956059999999998</v>
      </c>
      <c r="X3210">
        <v>0.89760209999999996</v>
      </c>
      <c r="Y3210">
        <v>-9.6002329999999997E-2</v>
      </c>
      <c r="Z3210">
        <v>0.13962539999999901</v>
      </c>
      <c r="AA3210">
        <v>0.98553959999999996</v>
      </c>
      <c r="AB3210">
        <v>25</v>
      </c>
      <c r="AC3210">
        <v>0.43509999999997701</v>
      </c>
      <c r="AD3210">
        <v>-1.1120874577169999</v>
      </c>
      <c r="AE3210">
        <v>-6.9905999999999704</v>
      </c>
      <c r="AF3210">
        <v>-0.673593377959812</v>
      </c>
      <c r="AG3210">
        <v>-1.1120874577169999</v>
      </c>
      <c r="AH3210">
        <v>6.7986087829196498</v>
      </c>
      <c r="AI3210">
        <v>99.245444964338503</v>
      </c>
      <c r="AJ3210">
        <v>95.658291523062601</v>
      </c>
      <c r="AK3210">
        <v>6.9218168088757599</v>
      </c>
      <c r="AL3210">
        <v>67.072839049038606</v>
      </c>
      <c r="AM3210">
        <v>102.94278627184499</v>
      </c>
      <c r="AN3210">
        <v>1.0000000191979801</v>
      </c>
    </row>
    <row r="3211" spans="1:40" x14ac:dyDescent="0.25">
      <c r="A3211" t="str">
        <f>"20190304164914262"</f>
        <v>20190304164914262</v>
      </c>
      <c r="B3211" t="str">
        <f>"1551689354258529"</f>
        <v>1551689354258529</v>
      </c>
      <c r="C3211" t="s">
        <v>40</v>
      </c>
      <c r="D3211">
        <v>4.5280589999999998</v>
      </c>
      <c r="E3211">
        <v>0.56255140000000003</v>
      </c>
      <c r="F3211" t="s">
        <v>41</v>
      </c>
      <c r="G3211">
        <v>-493.1644</v>
      </c>
      <c r="H3211">
        <v>0.97922770000000003</v>
      </c>
      <c r="I3211">
        <v>257.39010000000002</v>
      </c>
      <c r="J3211">
        <v>-493.22269999999997</v>
      </c>
      <c r="K3211">
        <v>1.111939</v>
      </c>
      <c r="L3211">
        <v>258.03070000000002</v>
      </c>
      <c r="M3211">
        <v>-3.5405190000000003E-2</v>
      </c>
      <c r="N3211">
        <v>-1.382076E-2</v>
      </c>
      <c r="O3211">
        <v>-0.99927770000000005</v>
      </c>
      <c r="P3211">
        <v>0.17352339999999999</v>
      </c>
      <c r="Q3211">
        <v>0.379409</v>
      </c>
      <c r="R3211">
        <v>-0.90881190000000001</v>
      </c>
      <c r="S3211">
        <v>0.21035770000000001</v>
      </c>
      <c r="T3211">
        <v>-0.53628799999999999</v>
      </c>
      <c r="U3211">
        <v>-3.4801639999999998</v>
      </c>
      <c r="V3211">
        <v>-0.20642849999999999</v>
      </c>
      <c r="W3211">
        <v>0.39140170000000002</v>
      </c>
      <c r="X3211">
        <v>0.8967676</v>
      </c>
      <c r="Y3211">
        <v>-9.4952320000000007E-2</v>
      </c>
      <c r="Z3211">
        <v>0.13798929999999901</v>
      </c>
      <c r="AA3211">
        <v>0.98587170000000002</v>
      </c>
      <c r="AB3211">
        <v>25</v>
      </c>
      <c r="AC3211">
        <v>5.8299999999974199E-2</v>
      </c>
      <c r="AD3211">
        <v>-0.13271129999999901</v>
      </c>
      <c r="AE3211">
        <v>-0.64060000000000605</v>
      </c>
      <c r="AF3211">
        <v>-7.7641311069479704E-2</v>
      </c>
      <c r="AG3211">
        <v>-0.13271129999999901</v>
      </c>
      <c r="AH3211">
        <v>0.61208035001210004</v>
      </c>
      <c r="AI3211">
        <v>102.139162988181</v>
      </c>
      <c r="AJ3211">
        <v>97.229259323133405</v>
      </c>
      <c r="AK3211">
        <v>0.63109651972040903</v>
      </c>
      <c r="AL3211">
        <v>66.958256342839206</v>
      </c>
      <c r="AM3211">
        <v>102.96319836446099</v>
      </c>
      <c r="AN3211">
        <v>1.00000007239244</v>
      </c>
    </row>
    <row r="3212" spans="1:40" x14ac:dyDescent="0.25">
      <c r="A3212" t="str">
        <f>"20190304164914274"</f>
        <v>20190304164914274</v>
      </c>
      <c r="B3212" t="str">
        <f>"1551689354269265"</f>
        <v>1551689354269265</v>
      </c>
      <c r="C3212" t="s">
        <v>40</v>
      </c>
      <c r="D3212">
        <v>4.5070059999999996</v>
      </c>
      <c r="E3212">
        <v>0.56255859999999902</v>
      </c>
      <c r="F3212" t="s">
        <v>42</v>
      </c>
      <c r="G3212">
        <v>-492.76859999999999</v>
      </c>
      <c r="H3212" s="1">
        <v>-1.2292349999999999E-6</v>
      </c>
      <c r="I3212">
        <v>250.7373</v>
      </c>
      <c r="J3212">
        <v>-493.22669999999999</v>
      </c>
      <c r="K3212">
        <v>1.1118490000000001</v>
      </c>
      <c r="L3212">
        <v>257.8956</v>
      </c>
      <c r="M3212">
        <v>-3.4766270000000002E-2</v>
      </c>
      <c r="N3212">
        <v>-1.381605E-2</v>
      </c>
      <c r="O3212">
        <v>-0.99929979999999996</v>
      </c>
      <c r="P3212">
        <v>0.174181</v>
      </c>
      <c r="Q3212">
        <v>0.38014300000000001</v>
      </c>
      <c r="R3212">
        <v>-0.90837860000000004</v>
      </c>
      <c r="S3212">
        <v>0.2167664</v>
      </c>
      <c r="T3212">
        <v>-0.53073870000000001</v>
      </c>
      <c r="U3212">
        <v>-3.481201</v>
      </c>
      <c r="V3212">
        <v>-0.20640919999999999</v>
      </c>
      <c r="W3212">
        <v>0.39217210000000002</v>
      </c>
      <c r="X3212">
        <v>0.89643530000000005</v>
      </c>
      <c r="Y3212">
        <v>-9.611973E-2</v>
      </c>
      <c r="Z3212">
        <v>0.13640160000000001</v>
      </c>
      <c r="AA3212">
        <v>0.98597950000000001</v>
      </c>
      <c r="AB3212">
        <v>25</v>
      </c>
      <c r="AC3212">
        <v>0.45810000000000101</v>
      </c>
      <c r="AD3212">
        <v>-1.1118502292350001</v>
      </c>
      <c r="AE3212">
        <v>-7.1582999999999899</v>
      </c>
      <c r="AF3212">
        <v>-0.69013245428175596</v>
      </c>
      <c r="AG3212">
        <v>-1.1118502292350001</v>
      </c>
      <c r="AH3212">
        <v>6.9705627823151204</v>
      </c>
      <c r="AI3212">
        <v>99.019339028486101</v>
      </c>
      <c r="AJ3212">
        <v>95.654239493341606</v>
      </c>
      <c r="AK3212">
        <v>7.0923366557785101</v>
      </c>
      <c r="AL3212">
        <v>66.910278031767504</v>
      </c>
      <c r="AM3212">
        <v>102.9666698458</v>
      </c>
      <c r="AN3212">
        <v>0.99999998047456895</v>
      </c>
    </row>
    <row r="3213" spans="1:40" x14ac:dyDescent="0.25">
      <c r="A3213" t="str">
        <f>"20190304164914288"</f>
        <v>20190304164914288</v>
      </c>
      <c r="B3213" t="str">
        <f>"1551689354279026"</f>
        <v>1551689354279026</v>
      </c>
      <c r="C3213" t="s">
        <v>40</v>
      </c>
      <c r="D3213">
        <v>4.5115059999999998</v>
      </c>
      <c r="E3213">
        <v>0.5626409</v>
      </c>
      <c r="F3213" t="s">
        <v>42</v>
      </c>
      <c r="G3213">
        <v>-492.76409999999998</v>
      </c>
      <c r="H3213" s="1">
        <v>-1.1622549999999999E-6</v>
      </c>
      <c r="I3213">
        <v>250.584</v>
      </c>
      <c r="J3213">
        <v>-493.23140000000001</v>
      </c>
      <c r="K3213">
        <v>1.1117619999999999</v>
      </c>
      <c r="L3213">
        <v>257.73649999999998</v>
      </c>
      <c r="M3213">
        <v>-3.4117059999999998E-2</v>
      </c>
      <c r="N3213">
        <v>-1.3809159999999999E-2</v>
      </c>
      <c r="O3213">
        <v>-0.99932259999999995</v>
      </c>
      <c r="P3213">
        <v>0.174454</v>
      </c>
      <c r="Q3213">
        <v>0.38082559999999999</v>
      </c>
      <c r="R3213">
        <v>-0.90804090000000004</v>
      </c>
      <c r="S3213">
        <v>0.2203369</v>
      </c>
      <c r="T3213">
        <v>-0.52948379999999995</v>
      </c>
      <c r="U3213">
        <v>-3.4819179999999998</v>
      </c>
      <c r="V3213">
        <v>-0.20599970000000001</v>
      </c>
      <c r="W3213">
        <v>0.3928913</v>
      </c>
      <c r="X3213">
        <v>0.89621450000000003</v>
      </c>
      <c r="Y3213">
        <v>-9.6470790000000001E-2</v>
      </c>
      <c r="Z3213">
        <v>0.1360285</v>
      </c>
      <c r="AA3213">
        <v>0.98599680000000001</v>
      </c>
      <c r="AB3213">
        <v>25</v>
      </c>
      <c r="AC3213">
        <v>0.46730000000002198</v>
      </c>
      <c r="AD3213">
        <v>-1.1117631622549999</v>
      </c>
      <c r="AE3213">
        <v>-7.1524999999999697</v>
      </c>
      <c r="AF3213">
        <v>-0.69436831613601102</v>
      </c>
      <c r="AG3213">
        <v>-1.1117631622549999</v>
      </c>
      <c r="AH3213">
        <v>6.9648312117298499</v>
      </c>
      <c r="AI3213">
        <v>99.025341638922995</v>
      </c>
      <c r="AJ3213">
        <v>95.693367550030601</v>
      </c>
      <c r="AK3213">
        <v>7.0871036746535001</v>
      </c>
      <c r="AL3213">
        <v>66.865473949680805</v>
      </c>
      <c r="AM3213">
        <v>102.94489297653</v>
      </c>
      <c r="AN3213">
        <v>0.99999994001301296</v>
      </c>
    </row>
    <row r="3214" spans="1:40" x14ac:dyDescent="0.25">
      <c r="A3214" t="str">
        <f>"20190304164914310"</f>
        <v>20190304164914310</v>
      </c>
      <c r="B3214" t="str">
        <f>"1551689354298545"</f>
        <v>1551689354298545</v>
      </c>
      <c r="C3214" t="s">
        <v>40</v>
      </c>
      <c r="D3214">
        <v>4.5081179999999996</v>
      </c>
      <c r="E3214">
        <v>0.56286510000000001</v>
      </c>
      <c r="F3214" t="s">
        <v>42</v>
      </c>
      <c r="G3214">
        <v>-492.76119999999997</v>
      </c>
      <c r="H3214" s="1">
        <v>-1.0843130000000001E-6</v>
      </c>
      <c r="I3214">
        <v>250.4041</v>
      </c>
      <c r="J3214">
        <v>-493.23829999999998</v>
      </c>
      <c r="K3214">
        <v>1.1116490000000001</v>
      </c>
      <c r="L3214">
        <v>257.5009</v>
      </c>
      <c r="M3214">
        <v>-3.325579E-2</v>
      </c>
      <c r="N3214">
        <v>-1.37959E-2</v>
      </c>
      <c r="O3214">
        <v>-0.99935189999999996</v>
      </c>
      <c r="P3214">
        <v>0.17459749999999999</v>
      </c>
      <c r="Q3214">
        <v>0.3823319</v>
      </c>
      <c r="R3214">
        <v>-0.90737999999999996</v>
      </c>
      <c r="S3214">
        <v>0.22332759999999999</v>
      </c>
      <c r="T3214">
        <v>-0.52799799999999997</v>
      </c>
      <c r="U3214">
        <v>-3.4823</v>
      </c>
      <c r="V3214">
        <v>-0.20523330000000001</v>
      </c>
      <c r="W3214">
        <v>0.39443859999999997</v>
      </c>
      <c r="X3214">
        <v>0.89571060000000002</v>
      </c>
      <c r="Y3214">
        <v>-9.6453700000000003E-2</v>
      </c>
      <c r="Z3214">
        <v>0.13561699999999999</v>
      </c>
      <c r="AA3214">
        <v>0.98605509999999996</v>
      </c>
      <c r="AB3214">
        <v>25</v>
      </c>
      <c r="AC3214">
        <v>0.47710000000000702</v>
      </c>
      <c r="AD3214">
        <v>-1.1116500843129999</v>
      </c>
      <c r="AE3214">
        <v>-7.0968</v>
      </c>
      <c r="AF3214">
        <v>-0.69587079462729295</v>
      </c>
      <c r="AG3214">
        <v>-1.1116500843129999</v>
      </c>
      <c r="AH3214">
        <v>6.9082645787450296</v>
      </c>
      <c r="AI3214">
        <v>99.0961849577468</v>
      </c>
      <c r="AJ3214">
        <v>95.752012641694904</v>
      </c>
      <c r="AK3214">
        <v>7.03165141077909</v>
      </c>
      <c r="AL3214">
        <v>66.769034361968806</v>
      </c>
      <c r="AM3214">
        <v>102.905359774066</v>
      </c>
      <c r="AN3214">
        <v>0.999999997775605</v>
      </c>
    </row>
    <row r="3215" spans="1:40" x14ac:dyDescent="0.25">
      <c r="A3215" t="str">
        <f>"20190304164914329"</f>
        <v>20190304164914329</v>
      </c>
      <c r="B3215" t="str">
        <f>"1551689354319041"</f>
        <v>1551689354319041</v>
      </c>
      <c r="C3215" t="s">
        <v>40</v>
      </c>
      <c r="D3215">
        <v>4.5205229999999998</v>
      </c>
      <c r="E3215">
        <v>0.56310899999999997</v>
      </c>
      <c r="F3215" t="s">
        <v>42</v>
      </c>
      <c r="G3215">
        <v>-492.75409999999999</v>
      </c>
      <c r="H3215" s="1">
        <v>-9.6855520000000004E-7</v>
      </c>
      <c r="I3215">
        <v>250.1386</v>
      </c>
      <c r="J3215">
        <v>-493.2448</v>
      </c>
      <c r="K3215">
        <v>1.111564</v>
      </c>
      <c r="L3215">
        <v>257.27859999999998</v>
      </c>
      <c r="M3215">
        <v>-3.2546659999999998E-2</v>
      </c>
      <c r="N3215">
        <v>-1.377597E-2</v>
      </c>
      <c r="O3215">
        <v>-0.99937540000000002</v>
      </c>
      <c r="P3215">
        <v>0.17468110000000001</v>
      </c>
      <c r="Q3215">
        <v>0.3834651</v>
      </c>
      <c r="R3215">
        <v>-0.90688539999999995</v>
      </c>
      <c r="S3215">
        <v>0.229126</v>
      </c>
      <c r="T3215">
        <v>-0.52602360000000004</v>
      </c>
      <c r="U3215">
        <v>-3.4837799999999999</v>
      </c>
      <c r="V3215">
        <v>-0.20457890000000001</v>
      </c>
      <c r="W3215">
        <v>0.3955938</v>
      </c>
      <c r="X3215">
        <v>0.8953508</v>
      </c>
      <c r="Y3215">
        <v>-9.7359890000000004E-2</v>
      </c>
      <c r="Z3215">
        <v>0.1350189</v>
      </c>
      <c r="AA3215">
        <v>0.98604820000000004</v>
      </c>
      <c r="AB3215">
        <v>25</v>
      </c>
      <c r="AC3215">
        <v>0.49070000000000302</v>
      </c>
      <c r="AD3215">
        <v>-1.1115649685552</v>
      </c>
      <c r="AE3215">
        <v>-7.1399999999999801</v>
      </c>
      <c r="AF3215">
        <v>-0.70581886944127104</v>
      </c>
      <c r="AG3215">
        <v>-1.1115649685552</v>
      </c>
      <c r="AH3215">
        <v>6.9525303091175301</v>
      </c>
      <c r="AI3215">
        <v>99.037846878138197</v>
      </c>
      <c r="AJ3215">
        <v>95.796791033978295</v>
      </c>
      <c r="AK3215">
        <v>7.0761172018965599</v>
      </c>
      <c r="AL3215">
        <v>66.696987453072893</v>
      </c>
      <c r="AM3215">
        <v>102.870579517078</v>
      </c>
      <c r="AN3215">
        <v>1.00000001799214</v>
      </c>
    </row>
    <row r="3216" spans="1:40" x14ac:dyDescent="0.25">
      <c r="A3216" t="str">
        <f>"20190304164914343"</f>
        <v>20190304164914343</v>
      </c>
      <c r="B3216" t="str">
        <f>"1551689354338561"</f>
        <v>1551689354338561</v>
      </c>
      <c r="C3216" t="s">
        <v>40</v>
      </c>
      <c r="D3216">
        <v>4.5061600000000004</v>
      </c>
      <c r="E3216">
        <v>0.56326949999999998</v>
      </c>
      <c r="F3216" t="s">
        <v>42</v>
      </c>
      <c r="G3216">
        <v>-492.74779999999998</v>
      </c>
      <c r="H3216" s="1">
        <v>-8.6734259999999904E-7</v>
      </c>
      <c r="I3216">
        <v>249.9067</v>
      </c>
      <c r="J3216">
        <v>-493.24900000000002</v>
      </c>
      <c r="K3216">
        <v>1.111521</v>
      </c>
      <c r="L3216">
        <v>257.13159999999999</v>
      </c>
      <c r="M3216">
        <v>-3.2116529999999997E-2</v>
      </c>
      <c r="N3216">
        <v>-1.375753E-2</v>
      </c>
      <c r="O3216">
        <v>-0.99938950000000004</v>
      </c>
      <c r="P3216">
        <v>0.1747541</v>
      </c>
      <c r="Q3216">
        <v>0.38416410000000001</v>
      </c>
      <c r="R3216">
        <v>-0.90657549999999998</v>
      </c>
      <c r="S3216">
        <v>0.23495479999999999</v>
      </c>
      <c r="T3216">
        <v>-0.52547749999999904</v>
      </c>
      <c r="U3216">
        <v>-3.4849700000000001</v>
      </c>
      <c r="V3216">
        <v>-0.2042128</v>
      </c>
      <c r="W3216">
        <v>0.39629520000000001</v>
      </c>
      <c r="X3216">
        <v>0.89512409999999998</v>
      </c>
      <c r="Y3216">
        <v>-9.8552119999999993E-2</v>
      </c>
      <c r="Z3216">
        <v>0.13482239999999901</v>
      </c>
      <c r="AA3216">
        <v>0.98595659999999896</v>
      </c>
      <c r="AB3216">
        <v>25</v>
      </c>
      <c r="AC3216">
        <v>0.50120000000003895</v>
      </c>
      <c r="AD3216">
        <v>-1.1115218673425999</v>
      </c>
      <c r="AE3216">
        <v>-7.2248999999999901</v>
      </c>
      <c r="AF3216">
        <v>-0.71613337680742395</v>
      </c>
      <c r="AG3216">
        <v>-1.1115218673425999</v>
      </c>
      <c r="AH3216">
        <v>7.0392624130466199</v>
      </c>
      <c r="AI3216">
        <v>98.927764582375104</v>
      </c>
      <c r="AJ3216">
        <v>95.808951860350206</v>
      </c>
      <c r="AK3216">
        <v>7.1623699426020497</v>
      </c>
      <c r="AL3216">
        <v>66.653221977304099</v>
      </c>
      <c r="AM3216">
        <v>102.851458230727</v>
      </c>
      <c r="AN3216">
        <v>0.99999995381384399</v>
      </c>
    </row>
    <row r="3217" spans="1:40" x14ac:dyDescent="0.25">
      <c r="A3217" t="str">
        <f>"20190304164914356"</f>
        <v>20190304164914356</v>
      </c>
      <c r="B3217" t="str">
        <f>"1551689354349298"</f>
        <v>1551689354349298</v>
      </c>
      <c r="C3217" t="s">
        <v>40</v>
      </c>
      <c r="D3217">
        <v>4.5405069999999998</v>
      </c>
      <c r="E3217">
        <v>0.56329770000000001</v>
      </c>
      <c r="F3217" t="s">
        <v>42</v>
      </c>
      <c r="G3217">
        <v>-492.74849999999998</v>
      </c>
      <c r="H3217" s="1">
        <v>-8.0690799999999996E-7</v>
      </c>
      <c r="I3217">
        <v>249.7654</v>
      </c>
      <c r="J3217">
        <v>-493.2534</v>
      </c>
      <c r="K3217">
        <v>1.11148799999999</v>
      </c>
      <c r="L3217">
        <v>256.9796</v>
      </c>
      <c r="M3217">
        <v>-3.1690599999999999E-2</v>
      </c>
      <c r="N3217">
        <v>-1.373482E-2</v>
      </c>
      <c r="O3217">
        <v>-0.99940370000000001</v>
      </c>
      <c r="P3217">
        <v>0.1745216</v>
      </c>
      <c r="Q3217">
        <v>0.38482690000000003</v>
      </c>
      <c r="R3217">
        <v>-0.90633949999999996</v>
      </c>
      <c r="S3217">
        <v>0.23690800000000001</v>
      </c>
      <c r="T3217">
        <v>-0.52607109999999901</v>
      </c>
      <c r="U3217">
        <v>-3.4863740000000001</v>
      </c>
      <c r="V3217">
        <v>-0.20355500000000001</v>
      </c>
      <c r="W3217">
        <v>0.39695449999999999</v>
      </c>
      <c r="X3217">
        <v>0.8949819</v>
      </c>
      <c r="Y3217">
        <v>-9.8650050000000003E-2</v>
      </c>
      <c r="Z3217">
        <v>0.1349504</v>
      </c>
      <c r="AA3217">
        <v>0.98592930000000001</v>
      </c>
      <c r="AB3217">
        <v>25</v>
      </c>
      <c r="AC3217">
        <v>0.50490000000002</v>
      </c>
      <c r="AD3217">
        <v>-1.11148880690799</v>
      </c>
      <c r="AE3217">
        <v>-7.2141999999999999</v>
      </c>
      <c r="AF3217">
        <v>-0.716368307407237</v>
      </c>
      <c r="AG3217">
        <v>-1.11148880690799</v>
      </c>
      <c r="AH3217">
        <v>7.02854725844825</v>
      </c>
      <c r="AI3217">
        <v>98.940726627363205</v>
      </c>
      <c r="AJ3217">
        <v>95.819642458614396</v>
      </c>
      <c r="AK3217">
        <v>7.1518576247000096</v>
      </c>
      <c r="AL3217">
        <v>66.612074320168603</v>
      </c>
      <c r="AM3217">
        <v>102.81339830451201</v>
      </c>
      <c r="AN3217">
        <v>1.00000005721142</v>
      </c>
    </row>
    <row r="3218" spans="1:40" x14ac:dyDescent="0.25">
      <c r="A3218" t="str">
        <f>"20190304164914373"</f>
        <v>20190304164914373</v>
      </c>
      <c r="B3218" t="str">
        <f>"1551689354368818"</f>
        <v>1551689354368818</v>
      </c>
      <c r="C3218" t="s">
        <v>40</v>
      </c>
      <c r="D3218">
        <v>4.5307269999999997</v>
      </c>
      <c r="E3218">
        <v>0.56336439999999999</v>
      </c>
      <c r="F3218" t="s">
        <v>42</v>
      </c>
      <c r="G3218">
        <v>-492.74810000000002</v>
      </c>
      <c r="H3218" s="1">
        <v>-4.7811080000000001E-6</v>
      </c>
      <c r="I3218">
        <v>249.60390000000001</v>
      </c>
      <c r="J3218">
        <v>-493.25900000000001</v>
      </c>
      <c r="K3218">
        <v>1.1114649999999999</v>
      </c>
      <c r="L3218">
        <v>256.78129999999999</v>
      </c>
      <c r="M3218">
        <v>-3.1160409999999999E-2</v>
      </c>
      <c r="N3218">
        <v>-1.369395E-2</v>
      </c>
      <c r="O3218">
        <v>-0.9994208</v>
      </c>
      <c r="P3218">
        <v>0.17413699999999999</v>
      </c>
      <c r="Q3218">
        <v>0.38613350000000002</v>
      </c>
      <c r="R3218">
        <v>-0.90585709999999997</v>
      </c>
      <c r="S3218">
        <v>0.2389221</v>
      </c>
      <c r="T3218">
        <v>-0.52549360000000001</v>
      </c>
      <c r="U3218">
        <v>-3.4871370000000002</v>
      </c>
      <c r="V3218">
        <v>-0.202655</v>
      </c>
      <c r="W3218">
        <v>0.39823249999999999</v>
      </c>
      <c r="X3218">
        <v>0.89461829999999998</v>
      </c>
      <c r="Y3218">
        <v>-9.867629E-2</v>
      </c>
      <c r="Z3218">
        <v>0.13480020000000001</v>
      </c>
      <c r="AA3218">
        <v>0.98594720000000002</v>
      </c>
      <c r="AB3218">
        <v>25</v>
      </c>
      <c r="AC3218">
        <v>0.51089999999999203</v>
      </c>
      <c r="AD3218">
        <v>-1.1114697811080001</v>
      </c>
      <c r="AE3218">
        <v>-7.1773999999999702</v>
      </c>
      <c r="AF3218">
        <v>-0.71721102717426599</v>
      </c>
      <c r="AG3218">
        <v>-1.1114697811080001</v>
      </c>
      <c r="AH3218">
        <v>6.9911846460428402</v>
      </c>
      <c r="AI3218">
        <v>98.986983621295593</v>
      </c>
      <c r="AJ3218">
        <v>95.857363495944796</v>
      </c>
      <c r="AK3218">
        <v>7.1152244860497396</v>
      </c>
      <c r="AL3218">
        <v>66.532271017200799</v>
      </c>
      <c r="AM3218">
        <v>102.76361891278501</v>
      </c>
      <c r="AN3218">
        <v>1.00000003788806</v>
      </c>
    </row>
    <row r="3219" spans="1:40" x14ac:dyDescent="0.25">
      <c r="A3219" t="str">
        <f>"20190304164914387"</f>
        <v>20190304164914387</v>
      </c>
      <c r="B3219" t="str">
        <f>"1551689354378578"</f>
        <v>1551689354378578</v>
      </c>
      <c r="C3219" t="s">
        <v>40</v>
      </c>
      <c r="D3219">
        <v>4.5384859999999998</v>
      </c>
      <c r="E3219">
        <v>0.56336549999999996</v>
      </c>
      <c r="F3219" t="s">
        <v>42</v>
      </c>
      <c r="G3219">
        <v>-492.74489999999997</v>
      </c>
      <c r="H3219" s="1">
        <v>-4.7052640000000004E-6</v>
      </c>
      <c r="I3219">
        <v>249.3827</v>
      </c>
      <c r="J3219">
        <v>-493.26319999999998</v>
      </c>
      <c r="K3219">
        <v>1.1114569999999999</v>
      </c>
      <c r="L3219">
        <v>256.63240000000002</v>
      </c>
      <c r="M3219">
        <v>-3.0769100000000001E-2</v>
      </c>
      <c r="N3219">
        <v>-1.365652E-2</v>
      </c>
      <c r="O3219">
        <v>-0.99943349999999997</v>
      </c>
      <c r="P3219">
        <v>0.17404600000000001</v>
      </c>
      <c r="Q3219">
        <v>0.38678829999999997</v>
      </c>
      <c r="R3219">
        <v>-0.9055957</v>
      </c>
      <c r="S3219">
        <v>0.2424316</v>
      </c>
      <c r="T3219">
        <v>-0.5240667</v>
      </c>
      <c r="U3219">
        <v>-3.4885250000000001</v>
      </c>
      <c r="V3219">
        <v>-0.20219960000000001</v>
      </c>
      <c r="W3219">
        <v>0.39885350000000003</v>
      </c>
      <c r="X3219">
        <v>0.89444460000000003</v>
      </c>
      <c r="Y3219">
        <v>-9.9251049999999993E-2</v>
      </c>
      <c r="Z3219">
        <v>0.13437839999999901</v>
      </c>
      <c r="AA3219">
        <v>0.98594709999999997</v>
      </c>
      <c r="AB3219">
        <v>25</v>
      </c>
      <c r="AC3219">
        <v>0.51830000000000997</v>
      </c>
      <c r="AD3219">
        <v>-1.1114617052639999</v>
      </c>
      <c r="AE3219">
        <v>-7.2497000000000096</v>
      </c>
      <c r="AF3219">
        <v>-0.72420656389610505</v>
      </c>
      <c r="AG3219">
        <v>-1.1114617052639999</v>
      </c>
      <c r="AH3219">
        <v>7.0651012364245203</v>
      </c>
      <c r="AI3219">
        <v>98.894481190587001</v>
      </c>
      <c r="AJ3219">
        <v>95.8526493408378</v>
      </c>
      <c r="AK3219">
        <v>7.1885657644891703</v>
      </c>
      <c r="AL3219">
        <v>66.493474420115007</v>
      </c>
      <c r="AM3219">
        <v>102.738265991476</v>
      </c>
      <c r="AN3219">
        <v>0.99999996758578402</v>
      </c>
    </row>
    <row r="3220" spans="1:40" x14ac:dyDescent="0.25">
      <c r="A3220" t="str">
        <f>"20190304164914400"</f>
        <v>20190304164914400</v>
      </c>
      <c r="B3220" t="str">
        <f>"1551689354389314"</f>
        <v>1551689354389314</v>
      </c>
      <c r="C3220" t="s">
        <v>40</v>
      </c>
      <c r="D3220">
        <v>4.5489290000000002</v>
      </c>
      <c r="E3220">
        <v>0.5633861</v>
      </c>
      <c r="F3220" t="s">
        <v>42</v>
      </c>
      <c r="G3220">
        <v>-492.74610000000001</v>
      </c>
      <c r="H3220" s="1">
        <v>-4.6526269999999998E-6</v>
      </c>
      <c r="I3220">
        <v>249.22730000000001</v>
      </c>
      <c r="J3220">
        <v>-493.26710000000003</v>
      </c>
      <c r="K3220">
        <v>1.1114539999999999</v>
      </c>
      <c r="L3220">
        <v>256.49079999999998</v>
      </c>
      <c r="M3220">
        <v>-3.0394359999999999E-2</v>
      </c>
      <c r="N3220">
        <v>-1.361616E-2</v>
      </c>
      <c r="O3220">
        <v>-0.99944540000000004</v>
      </c>
      <c r="P3220">
        <v>0.1737011</v>
      </c>
      <c r="Q3220">
        <v>0.3875151</v>
      </c>
      <c r="R3220">
        <v>-0.90535100000000002</v>
      </c>
      <c r="S3220">
        <v>0.24368290000000001</v>
      </c>
      <c r="T3220">
        <v>-0.52377209999999996</v>
      </c>
      <c r="U3220">
        <v>-3.4896240000000001</v>
      </c>
      <c r="V3220">
        <v>-0.2015122</v>
      </c>
      <c r="W3220">
        <v>0.39954210000000001</v>
      </c>
      <c r="X3220">
        <v>0.89429239999999999</v>
      </c>
      <c r="Y3220">
        <v>-9.9209619999999998E-2</v>
      </c>
      <c r="Z3220">
        <v>0.13429260000000001</v>
      </c>
      <c r="AA3220">
        <v>0.98596289999999998</v>
      </c>
      <c r="AB3220">
        <v>25</v>
      </c>
      <c r="AC3220">
        <v>0.52100000000001501</v>
      </c>
      <c r="AD3220">
        <v>-1.1114586526270001</v>
      </c>
      <c r="AE3220">
        <v>-7.2634999999999597</v>
      </c>
      <c r="AF3220">
        <v>-0.72466784520462002</v>
      </c>
      <c r="AG3220">
        <v>-1.1114586526270001</v>
      </c>
      <c r="AH3220">
        <v>7.0793909316058201</v>
      </c>
      <c r="AI3220">
        <v>98.876915476252094</v>
      </c>
      <c r="AJ3220">
        <v>95.844612182430694</v>
      </c>
      <c r="AK3220">
        <v>7.2026564394586901</v>
      </c>
      <c r="AL3220">
        <v>66.450443353814507</v>
      </c>
      <c r="AM3220">
        <v>102.69845762061099</v>
      </c>
      <c r="AN3220">
        <v>0.99999997655950401</v>
      </c>
    </row>
    <row r="3221" spans="1:40" x14ac:dyDescent="0.25">
      <c r="A3221" t="str">
        <f>"20190304164914418"</f>
        <v>20190304164914418</v>
      </c>
      <c r="B3221" t="str">
        <f>"1551689354408837"</f>
        <v>1551689354408837</v>
      </c>
      <c r="C3221" t="s">
        <v>40</v>
      </c>
      <c r="D3221">
        <v>4.5470759999999997</v>
      </c>
      <c r="E3221">
        <v>0.56347049999999999</v>
      </c>
      <c r="F3221" t="s">
        <v>42</v>
      </c>
      <c r="G3221">
        <v>-492.74790000000002</v>
      </c>
      <c r="H3221" s="1">
        <v>-4.5996580000000003E-6</v>
      </c>
      <c r="I3221">
        <v>249.07069999999999</v>
      </c>
      <c r="J3221">
        <v>-493.27280000000002</v>
      </c>
      <c r="K3221">
        <v>1.111462</v>
      </c>
      <c r="L3221">
        <v>256.27949999999998</v>
      </c>
      <c r="M3221">
        <v>-2.9822890000000001E-2</v>
      </c>
      <c r="N3221">
        <v>-1.354344E-2</v>
      </c>
      <c r="O3221">
        <v>-0.99946349999999995</v>
      </c>
      <c r="P3221">
        <v>0.17330499999999999</v>
      </c>
      <c r="Q3221">
        <v>0.38876929999999998</v>
      </c>
      <c r="R3221">
        <v>-0.90488900000000005</v>
      </c>
      <c r="S3221">
        <v>0.24423220000000001</v>
      </c>
      <c r="T3221">
        <v>-0.52285909999999902</v>
      </c>
      <c r="U3221">
        <v>-3.4905849999999998</v>
      </c>
      <c r="V3221">
        <v>-0.20060510000000001</v>
      </c>
      <c r="W3221">
        <v>0.40071980000000001</v>
      </c>
      <c r="X3221">
        <v>0.89396939999999903</v>
      </c>
      <c r="Y3221">
        <v>-9.8779580000000006E-2</v>
      </c>
      <c r="Z3221">
        <v>0.13407910000000001</v>
      </c>
      <c r="AA3221">
        <v>0.9860352</v>
      </c>
      <c r="AB3221">
        <v>25</v>
      </c>
      <c r="AC3221">
        <v>0.52490000000000203</v>
      </c>
      <c r="AD3221">
        <v>-1.111466599658</v>
      </c>
      <c r="AE3221">
        <v>-7.2087999999999903</v>
      </c>
      <c r="AF3221">
        <v>-0.72258665329587402</v>
      </c>
      <c r="AG3221">
        <v>-1.111466599658</v>
      </c>
      <c r="AH3221">
        <v>7.0238467168231704</v>
      </c>
      <c r="AI3221">
        <v>98.945586931569295</v>
      </c>
      <c r="AJ3221">
        <v>95.873708691007806</v>
      </c>
      <c r="AK3221">
        <v>7.1478606712151498</v>
      </c>
      <c r="AL3221">
        <v>66.376816291299903</v>
      </c>
      <c r="AM3221">
        <v>102.64755865597</v>
      </c>
      <c r="AN3221">
        <v>1.0000000261972</v>
      </c>
    </row>
    <row r="3222" spans="1:40" x14ac:dyDescent="0.25">
      <c r="A3222" t="str">
        <f>"20190304164914431"</f>
        <v>20190304164914431</v>
      </c>
      <c r="B3222" t="str">
        <f>"1551689354429330"</f>
        <v>1551689354429330</v>
      </c>
      <c r="C3222" t="s">
        <v>40</v>
      </c>
      <c r="D3222">
        <v>4.5734830000000004</v>
      </c>
      <c r="E3222">
        <v>0.56350699999999998</v>
      </c>
      <c r="F3222" t="s">
        <v>42</v>
      </c>
      <c r="G3222">
        <v>-492.75319999999999</v>
      </c>
      <c r="H3222" s="1">
        <v>-4.5146260000000002E-6</v>
      </c>
      <c r="I3222">
        <v>248.81809999999999</v>
      </c>
      <c r="J3222">
        <v>-493.27659999999997</v>
      </c>
      <c r="K3222">
        <v>1.1114710000000001</v>
      </c>
      <c r="L3222">
        <v>256.1377</v>
      </c>
      <c r="M3222">
        <v>-2.942517E-2</v>
      </c>
      <c r="N3222">
        <v>-1.348773E-2</v>
      </c>
      <c r="O3222">
        <v>-0.99947620000000004</v>
      </c>
      <c r="P3222">
        <v>0.17346120000000001</v>
      </c>
      <c r="Q3222">
        <v>0.38948539999999998</v>
      </c>
      <c r="R3222">
        <v>-0.9045512</v>
      </c>
      <c r="S3222">
        <v>0.24319460000000001</v>
      </c>
      <c r="T3222">
        <v>-0.52021030000000001</v>
      </c>
      <c r="U3222">
        <v>-3.4922490000000002</v>
      </c>
      <c r="V3222">
        <v>-0.20041030000000001</v>
      </c>
      <c r="W3222">
        <v>0.40137410000000001</v>
      </c>
      <c r="X3222">
        <v>0.8937195</v>
      </c>
      <c r="Y3222">
        <v>-9.8068089999999997E-2</v>
      </c>
      <c r="Z3222">
        <v>0.13334309999999999</v>
      </c>
      <c r="AA3222">
        <v>0.98620600000000003</v>
      </c>
      <c r="AB3222">
        <v>25</v>
      </c>
      <c r="AC3222">
        <v>0.52339999999998099</v>
      </c>
      <c r="AD3222">
        <v>-1.11147551462599</v>
      </c>
      <c r="AE3222">
        <v>-7.3196000000000003</v>
      </c>
      <c r="AF3222">
        <v>-0.72200979827852396</v>
      </c>
      <c r="AG3222">
        <v>-1.11147551462599</v>
      </c>
      <c r="AH3222">
        <v>7.1372916322083704</v>
      </c>
      <c r="AI3222">
        <v>98.807217117758995</v>
      </c>
      <c r="AJ3222">
        <v>95.776401545579404</v>
      </c>
      <c r="AK3222">
        <v>7.2593118001374597</v>
      </c>
      <c r="AL3222">
        <v>66.335891766778403</v>
      </c>
      <c r="AM3222">
        <v>102.639091295889</v>
      </c>
      <c r="AN3222">
        <v>1.0000000005885701</v>
      </c>
    </row>
    <row r="3223" spans="1:40" x14ac:dyDescent="0.25">
      <c r="A3223" t="str">
        <f>"20190304164914452"</f>
        <v>20190304164914452</v>
      </c>
      <c r="B3223" t="str">
        <f>"1551689354448850"</f>
        <v>1551689354448850</v>
      </c>
      <c r="C3223" t="s">
        <v>40</v>
      </c>
      <c r="D3223">
        <v>4.5585570000000004</v>
      </c>
      <c r="E3223">
        <v>0.5635308</v>
      </c>
      <c r="F3223" t="s">
        <v>42</v>
      </c>
      <c r="G3223">
        <v>-492.75659999999999</v>
      </c>
      <c r="H3223" s="1">
        <v>-4.4639959999999998E-6</v>
      </c>
      <c r="I3223">
        <v>248.66759999999999</v>
      </c>
      <c r="J3223">
        <v>-493.28230000000002</v>
      </c>
      <c r="K3223">
        <v>1.111494</v>
      </c>
      <c r="L3223">
        <v>255.91589999999999</v>
      </c>
      <c r="M3223">
        <v>-2.8772220000000001E-2</v>
      </c>
      <c r="N3223">
        <v>-1.339534E-2</v>
      </c>
      <c r="O3223">
        <v>-0.9994963</v>
      </c>
      <c r="P3223">
        <v>0.17429420000000001</v>
      </c>
      <c r="Q3223">
        <v>0.39057229999999998</v>
      </c>
      <c r="R3223">
        <v>-0.903922</v>
      </c>
      <c r="S3223">
        <v>0.24319460000000001</v>
      </c>
      <c r="T3223">
        <v>-0.51983230000000002</v>
      </c>
      <c r="U3223">
        <v>-3.4937589999999998</v>
      </c>
      <c r="V3223">
        <v>-0.2006674</v>
      </c>
      <c r="W3223">
        <v>0.40235650000000001</v>
      </c>
      <c r="X3223">
        <v>0.89321989999999996</v>
      </c>
      <c r="Y3223">
        <v>-9.7390699999999997E-2</v>
      </c>
      <c r="Z3223">
        <v>0.1332776</v>
      </c>
      <c r="AA3223">
        <v>0.98628199999999999</v>
      </c>
      <c r="AB3223">
        <v>25</v>
      </c>
      <c r="AC3223">
        <v>0.52570000000002803</v>
      </c>
      <c r="AD3223">
        <v>-1.1114984639959999</v>
      </c>
      <c r="AE3223">
        <v>-7.2483000000000004</v>
      </c>
      <c r="AF3223">
        <v>-0.71727228344196803</v>
      </c>
      <c r="AG3223">
        <v>-1.1114984639959999</v>
      </c>
      <c r="AH3223">
        <v>7.0649095126652197</v>
      </c>
      <c r="AI3223">
        <v>98.895873133927594</v>
      </c>
      <c r="AJ3223">
        <v>95.797149926596703</v>
      </c>
      <c r="AK3223">
        <v>7.1876877218064399</v>
      </c>
      <c r="AL3223">
        <v>66.274421785186405</v>
      </c>
      <c r="AM3223">
        <v>102.66163369921399</v>
      </c>
      <c r="AN3223">
        <v>0.99999997413550901</v>
      </c>
    </row>
    <row r="3224" spans="1:40" x14ac:dyDescent="0.25">
      <c r="A3224" t="str">
        <f>"20190304164914465"</f>
        <v>20190304164914465</v>
      </c>
      <c r="B3224" t="str">
        <f>"1551689354458610"</f>
        <v>1551689354458610</v>
      </c>
      <c r="C3224" t="s">
        <v>40</v>
      </c>
      <c r="D3224">
        <v>4.5601880000000001</v>
      </c>
      <c r="E3224">
        <v>0.56355759999999999</v>
      </c>
      <c r="F3224" t="s">
        <v>42</v>
      </c>
      <c r="G3224">
        <v>-492.76029999999997</v>
      </c>
      <c r="H3224" s="1">
        <v>-4.376325E-6</v>
      </c>
      <c r="I3224">
        <v>248.40799999999999</v>
      </c>
      <c r="J3224">
        <v>-493.28620000000001</v>
      </c>
      <c r="K3224">
        <v>1.1115090000000001</v>
      </c>
      <c r="L3224">
        <v>255.76249999999999</v>
      </c>
      <c r="M3224">
        <v>-2.8291670000000001E-2</v>
      </c>
      <c r="N3224">
        <v>-1.332683E-2</v>
      </c>
      <c r="O3224">
        <v>-0.99951089999999998</v>
      </c>
      <c r="P3224">
        <v>0.1755332</v>
      </c>
      <c r="Q3224">
        <v>0.39105869999999998</v>
      </c>
      <c r="R3224">
        <v>-0.90347189999999999</v>
      </c>
      <c r="S3224">
        <v>0.2430725</v>
      </c>
      <c r="T3224">
        <v>-0.5175071</v>
      </c>
      <c r="U3224">
        <v>-3.4956209999999999</v>
      </c>
      <c r="V3224">
        <v>-0.20148260000000001</v>
      </c>
      <c r="W3224">
        <v>0.40276519999999999</v>
      </c>
      <c r="X3224">
        <v>0.89285219999999899</v>
      </c>
      <c r="Y3224">
        <v>-9.6849199999999996E-2</v>
      </c>
      <c r="Z3224">
        <v>0.13263420000000001</v>
      </c>
      <c r="AA3224">
        <v>0.98642200000000002</v>
      </c>
      <c r="AB3224">
        <v>25</v>
      </c>
      <c r="AC3224">
        <v>0.52590000000003501</v>
      </c>
      <c r="AD3224">
        <v>-1.111513376325</v>
      </c>
      <c r="AE3224">
        <v>-7.3544999999999998</v>
      </c>
      <c r="AF3224">
        <v>-0.71747425140059096</v>
      </c>
      <c r="AG3224">
        <v>-1.111513376325</v>
      </c>
      <c r="AH3224">
        <v>7.173652810369</v>
      </c>
      <c r="AI3224">
        <v>98.764548181763104</v>
      </c>
      <c r="AJ3224">
        <v>95.711454862418606</v>
      </c>
      <c r="AK3224">
        <v>7.2946230835381298</v>
      </c>
      <c r="AL3224">
        <v>66.248842518598806</v>
      </c>
      <c r="AM3224">
        <v>102.716467489115</v>
      </c>
      <c r="AN3224">
        <v>1.0000000477393101</v>
      </c>
    </row>
    <row r="3225" spans="1:40" x14ac:dyDescent="0.25">
      <c r="A3225" t="str">
        <f>"20190304164914478"</f>
        <v>20190304164914478</v>
      </c>
      <c r="B3225" t="str">
        <f>"1551689354469345"</f>
        <v>1551689354469345</v>
      </c>
      <c r="C3225" t="s">
        <v>40</v>
      </c>
      <c r="D3225">
        <v>4.5503989999999996</v>
      </c>
      <c r="E3225">
        <v>0.56355759999999999</v>
      </c>
      <c r="F3225" t="s">
        <v>42</v>
      </c>
      <c r="G3225">
        <v>-492.75729999999999</v>
      </c>
      <c r="H3225" s="1">
        <v>-4.3153050000000004E-6</v>
      </c>
      <c r="I3225">
        <v>248.2303</v>
      </c>
      <c r="J3225">
        <v>-493.28960000000001</v>
      </c>
      <c r="K3225">
        <v>1.111523</v>
      </c>
      <c r="L3225">
        <v>255.626</v>
      </c>
      <c r="M3225">
        <v>-2.7850280000000002E-2</v>
      </c>
      <c r="N3225">
        <v>-1.326315E-2</v>
      </c>
      <c r="O3225">
        <v>-0.99952410000000003</v>
      </c>
      <c r="P3225">
        <v>0.17671300000000001</v>
      </c>
      <c r="Q3225">
        <v>0.3914068</v>
      </c>
      <c r="R3225">
        <v>-0.90309110000000004</v>
      </c>
      <c r="S3225">
        <v>0.24548339999999999</v>
      </c>
      <c r="T3225">
        <v>-0.51591629999999999</v>
      </c>
      <c r="U3225">
        <v>-3.49614</v>
      </c>
      <c r="V3225">
        <v>-0.2022747</v>
      </c>
      <c r="W3225">
        <v>0.40304180000000001</v>
      </c>
      <c r="X3225">
        <v>0.89254820000000001</v>
      </c>
      <c r="Y3225">
        <v>-9.7080819999999998E-2</v>
      </c>
      <c r="Z3225">
        <v>0.1322345</v>
      </c>
      <c r="AA3225">
        <v>0.98645289999999997</v>
      </c>
      <c r="AB3225">
        <v>25</v>
      </c>
      <c r="AC3225">
        <v>0.53230000000001998</v>
      </c>
      <c r="AD3225">
        <v>-1.111527315305</v>
      </c>
      <c r="AE3225">
        <v>-7.3956999999999704</v>
      </c>
      <c r="AF3225">
        <v>-0.72186238201360198</v>
      </c>
      <c r="AG3225">
        <v>-1.111527315305</v>
      </c>
      <c r="AH3225">
        <v>7.2158516074377399</v>
      </c>
      <c r="AI3225">
        <v>98.7141693757209</v>
      </c>
      <c r="AJ3225">
        <v>95.712772545603798</v>
      </c>
      <c r="AK3225">
        <v>7.3365586409294998</v>
      </c>
      <c r="AL3225">
        <v>66.231526126814103</v>
      </c>
      <c r="AM3225">
        <v>102.76903075218399</v>
      </c>
      <c r="AN3225">
        <v>1.0000000180652799</v>
      </c>
    </row>
    <row r="3226" spans="1:40" x14ac:dyDescent="0.25">
      <c r="A3226" t="str">
        <f>"20190304164914498"</f>
        <v>20190304164914498</v>
      </c>
      <c r="B3226" t="str">
        <f>"1551689354488865"</f>
        <v>1551689354488865</v>
      </c>
      <c r="C3226" t="s">
        <v>40</v>
      </c>
      <c r="D3226">
        <v>5.2587549999999998</v>
      </c>
      <c r="E3226">
        <v>0.56276899999999996</v>
      </c>
      <c r="F3226" t="s">
        <v>42</v>
      </c>
      <c r="G3226">
        <v>-492.7534</v>
      </c>
      <c r="H3226" s="1">
        <v>-4.2588779999999998E-6</v>
      </c>
      <c r="I3226">
        <v>248.06649999999999</v>
      </c>
      <c r="J3226">
        <v>-493.29520000000002</v>
      </c>
      <c r="K3226">
        <v>1.111537</v>
      </c>
      <c r="L3226">
        <v>255.39349999999999</v>
      </c>
      <c r="M3226">
        <v>-2.7050250000000001E-2</v>
      </c>
      <c r="N3226">
        <v>-1.3144060000000001E-2</v>
      </c>
      <c r="O3226">
        <v>-0.99954779999999999</v>
      </c>
      <c r="P3226">
        <v>0.17999780000000001</v>
      </c>
      <c r="Q3226">
        <v>0.39200550000000001</v>
      </c>
      <c r="R3226">
        <v>-0.90218220000000005</v>
      </c>
      <c r="S3226">
        <v>0.2480164</v>
      </c>
      <c r="T3226">
        <v>-0.514067099999999</v>
      </c>
      <c r="U3226">
        <v>-3.4961549999999999</v>
      </c>
      <c r="V3226">
        <v>-0.20485010000000001</v>
      </c>
      <c r="W3226">
        <v>0.40350209999999997</v>
      </c>
      <c r="X3226">
        <v>0.89175249999999995</v>
      </c>
      <c r="Y3226">
        <v>-9.7000210000000003E-2</v>
      </c>
      <c r="Z3226">
        <v>0.13184290000000001</v>
      </c>
      <c r="AA3226">
        <v>0.98651330000000004</v>
      </c>
      <c r="AB3226">
        <v>25</v>
      </c>
      <c r="AC3226">
        <v>0.54180000000002304</v>
      </c>
      <c r="AD3226">
        <v>-1.111541258878</v>
      </c>
      <c r="AE3226">
        <v>-7.3269999999999902</v>
      </c>
      <c r="AF3226">
        <v>-0.72326111795536796</v>
      </c>
      <c r="AG3226">
        <v>-1.111541258878</v>
      </c>
      <c r="AH3226">
        <v>7.1460929863425804</v>
      </c>
      <c r="AI3226">
        <v>98.797007993565103</v>
      </c>
      <c r="AJ3226">
        <v>95.779266414583205</v>
      </c>
      <c r="AK3226">
        <v>7.2680998606505698</v>
      </c>
      <c r="AL3226">
        <v>66.202705346693705</v>
      </c>
      <c r="AM3226">
        <v>102.937326348355</v>
      </c>
      <c r="AN3226">
        <v>1.0000000147153301</v>
      </c>
    </row>
    <row r="3227" spans="1:40" x14ac:dyDescent="0.25">
      <c r="A3227" t="str">
        <f>"20190304164914521"</f>
        <v>20190304164914521</v>
      </c>
      <c r="B3227" t="str">
        <f>"1551689354509361"</f>
        <v>1551689354509361</v>
      </c>
      <c r="C3227" t="s">
        <v>40</v>
      </c>
      <c r="D3227">
        <v>4.4933769999999997</v>
      </c>
      <c r="E3227">
        <v>0.54089449999999994</v>
      </c>
      <c r="F3227" t="s">
        <v>42</v>
      </c>
      <c r="G3227">
        <v>-492.76670000000001</v>
      </c>
      <c r="H3227" s="1">
        <v>-4.3954539999999997E-6</v>
      </c>
      <c r="I3227">
        <v>248.46090000000001</v>
      </c>
      <c r="J3227">
        <v>-493.30090000000001</v>
      </c>
      <c r="K3227">
        <v>1.111553</v>
      </c>
      <c r="L3227">
        <v>255.14500000000001</v>
      </c>
      <c r="M3227">
        <v>-2.6142749999999999E-2</v>
      </c>
      <c r="N3227">
        <v>-1.3014299999999999E-2</v>
      </c>
      <c r="O3227">
        <v>-0.99957370000000001</v>
      </c>
      <c r="P3227">
        <v>0.18373700000000001</v>
      </c>
      <c r="Q3227">
        <v>0.39197690000000002</v>
      </c>
      <c r="R3227">
        <v>-0.90144069999999998</v>
      </c>
      <c r="S3227">
        <v>0.26806639999999998</v>
      </c>
      <c r="T3227">
        <v>-0.56386590000000003</v>
      </c>
      <c r="U3227">
        <v>-3.516785</v>
      </c>
      <c r="V3227">
        <v>-0.20779039999999999</v>
      </c>
      <c r="W3227">
        <v>0.40332669999999998</v>
      </c>
      <c r="X3227">
        <v>0.89115140000000004</v>
      </c>
      <c r="Y3227">
        <v>-0.1011325</v>
      </c>
      <c r="Z3227">
        <v>0.14472670000000001</v>
      </c>
      <c r="AA3227">
        <v>0.98428979999999999</v>
      </c>
      <c r="AB3227">
        <v>25</v>
      </c>
      <c r="AC3227">
        <v>0.53419999999999801</v>
      </c>
      <c r="AD3227">
        <v>-1.1115573954539999</v>
      </c>
      <c r="AE3227">
        <v>-6.6840999999999999</v>
      </c>
      <c r="AF3227">
        <v>-0.68981691637629095</v>
      </c>
      <c r="AG3227">
        <v>-1.1115573954539999</v>
      </c>
      <c r="AH3227">
        <v>6.4895181666308597</v>
      </c>
      <c r="AI3227">
        <v>99.666169471392706</v>
      </c>
      <c r="AJ3227">
        <v>96.067590544488198</v>
      </c>
      <c r="AK3227">
        <v>6.6200644450442701</v>
      </c>
      <c r="AL3227">
        <v>66.213689222118305</v>
      </c>
      <c r="AM3227">
        <v>103.12518517392699</v>
      </c>
      <c r="AN3227">
        <v>1.0000000474935</v>
      </c>
    </row>
    <row r="3228" spans="1:40" x14ac:dyDescent="0.25">
      <c r="A3228" t="str">
        <f>"20190304164914541"</f>
        <v>20190304164914541</v>
      </c>
      <c r="B3228" t="str">
        <f>"1551689354528882"</f>
        <v>1551689354528882</v>
      </c>
      <c r="C3228" t="s">
        <v>40</v>
      </c>
      <c r="D3228">
        <v>4.4957900000000004</v>
      </c>
      <c r="E3228">
        <v>0.53013929999999998</v>
      </c>
      <c r="F3228" t="s">
        <v>42</v>
      </c>
      <c r="G3228">
        <v>-492.29419999999999</v>
      </c>
      <c r="H3228" s="1">
        <v>-3.9027090000000004E-6</v>
      </c>
      <c r="I3228">
        <v>247.26349999999999</v>
      </c>
      <c r="J3228">
        <v>-493.30579999999998</v>
      </c>
      <c r="K3228">
        <v>1.1115679999999999</v>
      </c>
      <c r="L3228">
        <v>254.92269999999999</v>
      </c>
      <c r="M3228">
        <v>-2.5293119999999999E-2</v>
      </c>
      <c r="N3228">
        <v>-1.290006E-2</v>
      </c>
      <c r="O3228">
        <v>-0.99959699999999996</v>
      </c>
      <c r="P3228">
        <v>0.18731919999999999</v>
      </c>
      <c r="Q3228">
        <v>0.39139689999999999</v>
      </c>
      <c r="R3228">
        <v>-0.90095519999999996</v>
      </c>
      <c r="S3228">
        <v>0.44064330000000002</v>
      </c>
      <c r="T3228">
        <v>-0.48653390000000002</v>
      </c>
      <c r="U3228">
        <v>-3.4497529999999998</v>
      </c>
      <c r="V3228">
        <v>-0.21062819999999999</v>
      </c>
      <c r="W3228">
        <v>0.40261940000000002</v>
      </c>
      <c r="X3228">
        <v>0.89080490000000001</v>
      </c>
      <c r="Y3228">
        <v>-0.1506026</v>
      </c>
      <c r="Z3228">
        <v>0.1254313</v>
      </c>
      <c r="AA3228">
        <v>0.98060480000000005</v>
      </c>
      <c r="AB3228">
        <v>25</v>
      </c>
      <c r="AC3228">
        <v>1.0115999999999801</v>
      </c>
      <c r="AD3228">
        <v>-1.1115719027089901</v>
      </c>
      <c r="AE3228">
        <v>-7.6591999999999896</v>
      </c>
      <c r="AF3228">
        <v>-1.18057796472954</v>
      </c>
      <c r="AG3228">
        <v>-1.1115719027089901</v>
      </c>
      <c r="AH3228">
        <v>7.4763895857576799</v>
      </c>
      <c r="AI3228">
        <v>98.354621369191307</v>
      </c>
      <c r="AJ3228">
        <v>98.973339922969799</v>
      </c>
      <c r="AK3228">
        <v>7.6502129162346098</v>
      </c>
      <c r="AL3228">
        <v>66.257967594192706</v>
      </c>
      <c r="AM3228">
        <v>103.30309718166799</v>
      </c>
      <c r="AN3228">
        <v>0.999999994877805</v>
      </c>
    </row>
    <row r="3229" spans="1:40" x14ac:dyDescent="0.25">
      <c r="A3229" t="str">
        <f>"20190304164914555"</f>
        <v>20190304164914555</v>
      </c>
      <c r="B3229" t="str">
        <f>"1551689354549377"</f>
        <v>1551689354549377</v>
      </c>
      <c r="C3229" t="s">
        <v>40</v>
      </c>
      <c r="D3229">
        <v>4.4031560000000001</v>
      </c>
      <c r="E3229">
        <v>0.52402910000000003</v>
      </c>
      <c r="F3229" t="s">
        <v>42</v>
      </c>
      <c r="G3229">
        <v>-492.01929999999999</v>
      </c>
      <c r="H3229" s="1">
        <v>-3.5711110000000001E-6</v>
      </c>
      <c r="I3229">
        <v>246.6611</v>
      </c>
      <c r="J3229">
        <v>-493.3091</v>
      </c>
      <c r="K3229">
        <v>1.1115820000000001</v>
      </c>
      <c r="L3229">
        <v>254.76259999999999</v>
      </c>
      <c r="M3229">
        <v>-2.4663190000000002E-2</v>
      </c>
      <c r="N3229">
        <v>-1.2818309999999999E-2</v>
      </c>
      <c r="O3229">
        <v>-0.99961369999999905</v>
      </c>
      <c r="P3229">
        <v>0.1894006</v>
      </c>
      <c r="Q3229">
        <v>0.39107399999999998</v>
      </c>
      <c r="R3229">
        <v>-0.90065989999999996</v>
      </c>
      <c r="S3229">
        <v>0.53240969999999999</v>
      </c>
      <c r="T3229">
        <v>-0.4600012</v>
      </c>
      <c r="U3229">
        <v>-3.4189150000000001</v>
      </c>
      <c r="V3229">
        <v>-0.2121595</v>
      </c>
      <c r="W3229">
        <v>0.40220679999999998</v>
      </c>
      <c r="X3229">
        <v>0.89062790000000003</v>
      </c>
      <c r="Y3229">
        <v>-0.17694009999999999</v>
      </c>
      <c r="Z3229">
        <v>0.1187131</v>
      </c>
      <c r="AA3229">
        <v>0.97703609999999996</v>
      </c>
      <c r="AB3229">
        <v>25</v>
      </c>
      <c r="AC3229">
        <v>1.28980000000001</v>
      </c>
      <c r="AD3229">
        <v>-1.1115855711110001</v>
      </c>
      <c r="AE3229">
        <v>-8.1014999999999802</v>
      </c>
      <c r="AF3229">
        <v>-1.4623827675760399</v>
      </c>
      <c r="AG3229">
        <v>-1.1115855711110001</v>
      </c>
      <c r="AH3229">
        <v>7.9217743687817297</v>
      </c>
      <c r="AI3229">
        <v>97.856559316364496</v>
      </c>
      <c r="AJ3229">
        <v>100.459219072338</v>
      </c>
      <c r="AK3229">
        <v>8.1319551763824105</v>
      </c>
      <c r="AL3229">
        <v>66.283791366318596</v>
      </c>
      <c r="AM3229">
        <v>103.398904542789</v>
      </c>
      <c r="AN3229">
        <v>1.00000000983245</v>
      </c>
    </row>
    <row r="3230" spans="1:40" x14ac:dyDescent="0.25">
      <c r="A3230" t="str">
        <f>"20190304164914568"</f>
        <v>20190304164914568</v>
      </c>
      <c r="B3230" t="str">
        <f>"1551689354559138"</f>
        <v>1551689354559138</v>
      </c>
      <c r="C3230" t="s">
        <v>40</v>
      </c>
      <c r="D3230">
        <v>4.3852840000000004</v>
      </c>
      <c r="E3230">
        <v>0.52153209999999905</v>
      </c>
      <c r="F3230" t="s">
        <v>42</v>
      </c>
      <c r="G3230">
        <v>-491.82499999999999</v>
      </c>
      <c r="H3230" s="1">
        <v>-3.2937680000000001E-6</v>
      </c>
      <c r="I3230">
        <v>246.13509999999999</v>
      </c>
      <c r="J3230">
        <v>-493.31229999999999</v>
      </c>
      <c r="K3230">
        <v>1.1115930000000001</v>
      </c>
      <c r="L3230">
        <v>254.60849999999999</v>
      </c>
      <c r="M3230">
        <v>-2.403046E-2</v>
      </c>
      <c r="N3230">
        <v>-1.2735410000000001E-2</v>
      </c>
      <c r="O3230">
        <v>-0.99963020000000002</v>
      </c>
      <c r="P3230">
        <v>0.19158220000000001</v>
      </c>
      <c r="Q3230">
        <v>0.39094509999999899</v>
      </c>
      <c r="R3230">
        <v>-0.90025469999999896</v>
      </c>
      <c r="S3230">
        <v>0.58456419999999998</v>
      </c>
      <c r="T3230">
        <v>-0.43780590000000003</v>
      </c>
      <c r="U3230">
        <v>-3.3980260000000002</v>
      </c>
      <c r="V3230">
        <v>-0.21378639999999999</v>
      </c>
      <c r="W3230">
        <v>0.40198499999999998</v>
      </c>
      <c r="X3230">
        <v>0.89033890000000004</v>
      </c>
      <c r="Y3230">
        <v>-0.19191839999999999</v>
      </c>
      <c r="Z3230">
        <v>0.1129655</v>
      </c>
      <c r="AA3230">
        <v>0.97488770000000002</v>
      </c>
      <c r="AB3230">
        <v>25</v>
      </c>
      <c r="AC3230">
        <v>1.4873000000000001</v>
      </c>
      <c r="AD3230">
        <v>-1.111596293768</v>
      </c>
      <c r="AE3230">
        <v>-8.4733999999999892</v>
      </c>
      <c r="AF3230">
        <v>-1.66274618956719</v>
      </c>
      <c r="AG3230">
        <v>-1.111596293768</v>
      </c>
      <c r="AH3230">
        <v>8.2966915783998392</v>
      </c>
      <c r="AI3230">
        <v>97.484002999538504</v>
      </c>
      <c r="AJ3230">
        <v>101.332559815736</v>
      </c>
      <c r="AK3230">
        <v>8.5343694763192506</v>
      </c>
      <c r="AL3230">
        <v>66.297669819713605</v>
      </c>
      <c r="AM3230">
        <v>103.502126036985</v>
      </c>
      <c r="AN3230">
        <v>0.99999996095158405</v>
      </c>
    </row>
    <row r="3231" spans="1:40" x14ac:dyDescent="0.25">
      <c r="A3231" t="str">
        <f>"20190304164914587"</f>
        <v>20190304164914587</v>
      </c>
      <c r="B3231" t="str">
        <f>"1551689354579635"</f>
        <v>1551689354579635</v>
      </c>
      <c r="C3231" t="s">
        <v>40</v>
      </c>
      <c r="D3231">
        <v>4.4547100000000004</v>
      </c>
      <c r="E3231">
        <v>0.51884160000000001</v>
      </c>
      <c r="F3231" t="s">
        <v>42</v>
      </c>
      <c r="G3231">
        <v>-491.71980000000002</v>
      </c>
      <c r="H3231" s="1">
        <v>-3.1055569999999998E-6</v>
      </c>
      <c r="I3231">
        <v>245.76159999999999</v>
      </c>
      <c r="J3231">
        <v>-493.31619999999998</v>
      </c>
      <c r="K3231">
        <v>1.1116189999999999</v>
      </c>
      <c r="L3231">
        <v>254.4067</v>
      </c>
      <c r="M3231">
        <v>-2.3176559999999999E-2</v>
      </c>
      <c r="N3231">
        <v>-1.262668E-2</v>
      </c>
      <c r="O3231">
        <v>-0.99965159999999997</v>
      </c>
      <c r="P3231">
        <v>0.19519310000000001</v>
      </c>
      <c r="Q3231">
        <v>0.39111950000000001</v>
      </c>
      <c r="R3231">
        <v>-0.89940259999999905</v>
      </c>
      <c r="S3231">
        <v>0.60974119999999998</v>
      </c>
      <c r="T3231">
        <v>-0.42562480000000003</v>
      </c>
      <c r="U3231">
        <v>-3.387451</v>
      </c>
      <c r="V3231">
        <v>-0.21664359999999999</v>
      </c>
      <c r="W3231">
        <v>0.40203179999999999</v>
      </c>
      <c r="X3231">
        <v>0.8896269</v>
      </c>
      <c r="Y3231">
        <v>-0.1986733</v>
      </c>
      <c r="Z3231">
        <v>0.1098406</v>
      </c>
      <c r="AA3231">
        <v>0.97389110000000001</v>
      </c>
      <c r="AB3231">
        <v>25</v>
      </c>
      <c r="AC3231">
        <v>1.5963999999999601</v>
      </c>
      <c r="AD3231">
        <v>-1.1116221055569999</v>
      </c>
      <c r="AE3231">
        <v>-8.64510000000001</v>
      </c>
      <c r="AF3231">
        <v>-1.76808152242018</v>
      </c>
      <c r="AG3231">
        <v>-1.1116221055569999</v>
      </c>
      <c r="AH3231">
        <v>8.4703459342974998</v>
      </c>
      <c r="AI3231">
        <v>97.3205763280002</v>
      </c>
      <c r="AJ3231">
        <v>101.790498335838</v>
      </c>
      <c r="AK3231">
        <v>8.7240229379659997</v>
      </c>
      <c r="AL3231">
        <v>66.2947427876869</v>
      </c>
      <c r="AM3231">
        <v>103.686378132504</v>
      </c>
      <c r="AN3231">
        <v>1.0000000194179</v>
      </c>
    </row>
    <row r="3232" spans="1:40" x14ac:dyDescent="0.25">
      <c r="A3232" t="str">
        <f>"20190304164914608"</f>
        <v>20190304164914608</v>
      </c>
      <c r="B3232" t="str">
        <f>"1551689354599157"</f>
        <v>1551689354599157</v>
      </c>
      <c r="C3232" t="s">
        <v>40</v>
      </c>
      <c r="D3232">
        <v>4.4642609999999996</v>
      </c>
      <c r="E3232">
        <v>0.51764779999999999</v>
      </c>
      <c r="F3232" t="s">
        <v>42</v>
      </c>
      <c r="G3232">
        <v>-491.59100000000001</v>
      </c>
      <c r="H3232" s="1">
        <v>-2.8810270000000001E-6</v>
      </c>
      <c r="I3232">
        <v>245.31800000000001</v>
      </c>
      <c r="J3232">
        <v>-493.32060000000001</v>
      </c>
      <c r="K3232">
        <v>1.11165</v>
      </c>
      <c r="L3232">
        <v>254.16399999999999</v>
      </c>
      <c r="M3232">
        <v>-2.2097060000000002E-2</v>
      </c>
      <c r="N3232">
        <v>-1.249833E-2</v>
      </c>
      <c r="O3232">
        <v>-0.99967799999999996</v>
      </c>
      <c r="P3232">
        <v>0.1987709</v>
      </c>
      <c r="Q3232">
        <v>0.39087369999999999</v>
      </c>
      <c r="R3232">
        <v>-0.89872600000000002</v>
      </c>
      <c r="S3232">
        <v>0.64080809999999999</v>
      </c>
      <c r="T3232">
        <v>-0.41291899999999998</v>
      </c>
      <c r="U3232">
        <v>-3.3760379999999999</v>
      </c>
      <c r="V3232">
        <v>-0.2192819</v>
      </c>
      <c r="W3232">
        <v>0.40163749999999998</v>
      </c>
      <c r="X3232">
        <v>0.88915840000000002</v>
      </c>
      <c r="Y3232">
        <v>-0.2069127</v>
      </c>
      <c r="Z3232">
        <v>0.1065566</v>
      </c>
      <c r="AA3232">
        <v>0.97253940000000005</v>
      </c>
      <c r="AB3232">
        <v>25</v>
      </c>
      <c r="AC3232">
        <v>1.7296</v>
      </c>
      <c r="AD3232">
        <v>-1.1116528810269899</v>
      </c>
      <c r="AE3232">
        <v>-8.8460000000000303</v>
      </c>
      <c r="AF3232">
        <v>-1.8958264416591799</v>
      </c>
      <c r="AG3232">
        <v>-1.1116528810269899</v>
      </c>
      <c r="AH3232">
        <v>8.6736842708015196</v>
      </c>
      <c r="AI3232">
        <v>97.136745985680093</v>
      </c>
      <c r="AJ3232">
        <v>102.329366128083</v>
      </c>
      <c r="AK3232">
        <v>8.9477778724295192</v>
      </c>
      <c r="AL3232">
        <v>66.319412166209801</v>
      </c>
      <c r="AM3232">
        <v>103.85368860630901</v>
      </c>
      <c r="AN3232">
        <v>0.99999994668220804</v>
      </c>
    </row>
    <row r="3233" spans="1:40" x14ac:dyDescent="0.25">
      <c r="A3233" t="str">
        <f>"20190304164914622"</f>
        <v>20190304164914622</v>
      </c>
      <c r="B3233" t="str">
        <f>"1551689354618674"</f>
        <v>1551689354618674</v>
      </c>
      <c r="C3233" t="s">
        <v>40</v>
      </c>
      <c r="D3233">
        <v>4.4551550000000004</v>
      </c>
      <c r="E3233">
        <v>0.51675930000000003</v>
      </c>
      <c r="F3233" t="s">
        <v>42</v>
      </c>
      <c r="G3233">
        <v>-491.54050000000001</v>
      </c>
      <c r="H3233" s="1">
        <v>-2.7695470000000001E-6</v>
      </c>
      <c r="I3233">
        <v>245.08949999999999</v>
      </c>
      <c r="J3233">
        <v>-493.32319999999999</v>
      </c>
      <c r="K3233">
        <v>1.1116760000000001</v>
      </c>
      <c r="L3233">
        <v>254.01240000000001</v>
      </c>
      <c r="M3233">
        <v>-2.1387920000000001E-2</v>
      </c>
      <c r="N3233">
        <v>-1.2421659999999999E-2</v>
      </c>
      <c r="O3233">
        <v>-0.99969410000000003</v>
      </c>
      <c r="P3233">
        <v>0.20079839999999999</v>
      </c>
      <c r="Q3233">
        <v>0.3910343</v>
      </c>
      <c r="R3233">
        <v>-0.89820489999999997</v>
      </c>
      <c r="S3233">
        <v>0.6613464</v>
      </c>
      <c r="T3233">
        <v>-0.41300819999999999</v>
      </c>
      <c r="U3233">
        <v>-3.3714140000000001</v>
      </c>
      <c r="V3233">
        <v>-0.22069440000000001</v>
      </c>
      <c r="W3233">
        <v>0.4017056</v>
      </c>
      <c r="X3233">
        <v>0.88877819999999996</v>
      </c>
      <c r="Y3233">
        <v>-0.21216570000000001</v>
      </c>
      <c r="Z3233">
        <v>0.1066843</v>
      </c>
      <c r="AA3233">
        <v>0.9713929</v>
      </c>
      <c r="AB3233">
        <v>25</v>
      </c>
      <c r="AC3233">
        <v>1.78269999999997</v>
      </c>
      <c r="AD3233">
        <v>-1.1116787695469901</v>
      </c>
      <c r="AE3233">
        <v>-8.9229000000000198</v>
      </c>
      <c r="AF3233">
        <v>-1.94413071432686</v>
      </c>
      <c r="AG3233">
        <v>-1.1116787695469901</v>
      </c>
      <c r="AH3233">
        <v>8.7520921823935502</v>
      </c>
      <c r="AI3233">
        <v>97.068385199381893</v>
      </c>
      <c r="AJ3233">
        <v>102.52394998743701</v>
      </c>
      <c r="AK3233">
        <v>9.0340794489624106</v>
      </c>
      <c r="AL3233">
        <v>66.315154053977395</v>
      </c>
      <c r="AM3233">
        <v>103.945187768604</v>
      </c>
      <c r="AN3233">
        <v>1.0000000480289699</v>
      </c>
    </row>
    <row r="3234" spans="1:40" x14ac:dyDescent="0.25">
      <c r="A3234" t="str">
        <f>"20190304164914642"</f>
        <v>20190304164914642</v>
      </c>
      <c r="B3234" t="str">
        <f>"1551689354639170"</f>
        <v>1551689354639170</v>
      </c>
      <c r="C3234" t="s">
        <v>40</v>
      </c>
      <c r="D3234">
        <v>4.4664729999999997</v>
      </c>
      <c r="E3234">
        <v>0.5162253</v>
      </c>
      <c r="F3234" t="s">
        <v>42</v>
      </c>
      <c r="G3234">
        <v>-491.50330000000002</v>
      </c>
      <c r="H3234" s="1">
        <v>-2.6904769999999999E-6</v>
      </c>
      <c r="I3234">
        <v>244.92830000000001</v>
      </c>
      <c r="J3234">
        <v>-493.32659999999998</v>
      </c>
      <c r="K3234">
        <v>1.11171</v>
      </c>
      <c r="L3234">
        <v>253.80019999999999</v>
      </c>
      <c r="M3234">
        <v>-2.0350509999999999E-2</v>
      </c>
      <c r="N3234">
        <v>-1.2318910000000001E-2</v>
      </c>
      <c r="O3234">
        <v>-0.99971719999999997</v>
      </c>
      <c r="P3234">
        <v>0.20432110000000001</v>
      </c>
      <c r="Q3234">
        <v>0.39049119999999998</v>
      </c>
      <c r="R3234">
        <v>-0.89764690000000003</v>
      </c>
      <c r="S3234">
        <v>0.67486569999999901</v>
      </c>
      <c r="T3234">
        <v>-0.41223929999999998</v>
      </c>
      <c r="U3234">
        <v>-3.3686069999999999</v>
      </c>
      <c r="V3234">
        <v>-0.22332270000000001</v>
      </c>
      <c r="W3234">
        <v>0.40103519999999998</v>
      </c>
      <c r="X3234">
        <v>0.88842429999999994</v>
      </c>
      <c r="Y3234">
        <v>-0.21505640000000001</v>
      </c>
      <c r="Z3234">
        <v>0.1065852</v>
      </c>
      <c r="AA3234">
        <v>0.97076790000000002</v>
      </c>
      <c r="AB3234">
        <v>25</v>
      </c>
      <c r="AC3234">
        <v>1.82329999999996</v>
      </c>
      <c r="AD3234">
        <v>-1.1117126904770001</v>
      </c>
      <c r="AE3234">
        <v>-8.8718999999999806</v>
      </c>
      <c r="AF3234">
        <v>-1.9737480531609899</v>
      </c>
      <c r="AG3234">
        <v>-1.1117126904770001</v>
      </c>
      <c r="AH3234">
        <v>8.7018560362131296</v>
      </c>
      <c r="AI3234">
        <v>97.101946830320202</v>
      </c>
      <c r="AJ3234">
        <v>102.779554911511</v>
      </c>
      <c r="AK3234">
        <v>8.9918788336199995</v>
      </c>
      <c r="AL3234">
        <v>66.357090166981493</v>
      </c>
      <c r="AM3234">
        <v>104.110066154617</v>
      </c>
      <c r="AN3234">
        <v>0.99999999840241005</v>
      </c>
    </row>
    <row r="3235" spans="1:40" x14ac:dyDescent="0.25">
      <c r="A3235" t="str">
        <f>"20190304164914654"</f>
        <v>20190304164914654</v>
      </c>
      <c r="B3235" t="str">
        <f>"1551689354648930"</f>
        <v>1551689354648930</v>
      </c>
      <c r="C3235" t="s">
        <v>40</v>
      </c>
      <c r="D3235">
        <v>4.4856040000000004</v>
      </c>
      <c r="E3235">
        <v>0.51601839999999999</v>
      </c>
      <c r="F3235" t="s">
        <v>42</v>
      </c>
      <c r="G3235">
        <v>-491.47770000000003</v>
      </c>
      <c r="H3235" s="1">
        <v>-2.6102340000000001E-6</v>
      </c>
      <c r="I3235">
        <v>244.75710000000001</v>
      </c>
      <c r="J3235">
        <v>-493.32889999999998</v>
      </c>
      <c r="K3235">
        <v>1.1117319999999999</v>
      </c>
      <c r="L3235">
        <v>253.65209999999999</v>
      </c>
      <c r="M3235">
        <v>-1.9598919999999999E-2</v>
      </c>
      <c r="N3235">
        <v>-1.224915E-2</v>
      </c>
      <c r="O3235">
        <v>-0.99973310000000004</v>
      </c>
      <c r="P3235">
        <v>0.20615020000000001</v>
      </c>
      <c r="Q3235">
        <v>0.39007989999999998</v>
      </c>
      <c r="R3235">
        <v>-0.89740759999999897</v>
      </c>
      <c r="S3235">
        <v>0.68811040000000001</v>
      </c>
      <c r="T3235">
        <v>-0.4137323</v>
      </c>
      <c r="U3235">
        <v>-3.3654329999999999</v>
      </c>
      <c r="V3235">
        <v>-0.22450899999999999</v>
      </c>
      <c r="W3235">
        <v>0.40053939999999999</v>
      </c>
      <c r="X3235">
        <v>0.88834899999999895</v>
      </c>
      <c r="Y3235">
        <v>-0.2181543</v>
      </c>
      <c r="Z3235">
        <v>0.1071044</v>
      </c>
      <c r="AA3235">
        <v>0.97001919999999997</v>
      </c>
      <c r="AB3235">
        <v>25</v>
      </c>
      <c r="AC3235">
        <v>1.85119999999994</v>
      </c>
      <c r="AD3235">
        <v>-1.111734610234</v>
      </c>
      <c r="AE3235">
        <v>-8.89499999999998</v>
      </c>
      <c r="AF3235">
        <v>-1.99531485087536</v>
      </c>
      <c r="AG3235">
        <v>-1.111734610234</v>
      </c>
      <c r="AH3235">
        <v>8.7263512213588807</v>
      </c>
      <c r="AI3235">
        <v>97.079568060171397</v>
      </c>
      <c r="AJ3235">
        <v>102.879495944867</v>
      </c>
      <c r="AK3235">
        <v>9.0203348516686201</v>
      </c>
      <c r="AL3235">
        <v>66.388097292850006</v>
      </c>
      <c r="AM3235">
        <v>104.183156373299</v>
      </c>
      <c r="AN3235">
        <v>1.00000002391717</v>
      </c>
    </row>
    <row r="3236" spans="1:40" x14ac:dyDescent="0.25">
      <c r="A3236" t="str">
        <f>"20190304164914668"</f>
        <v>20190304164914668</v>
      </c>
      <c r="B3236" t="str">
        <f>"1551689354658691"</f>
        <v>1551689354658691</v>
      </c>
      <c r="C3236" t="s">
        <v>40</v>
      </c>
      <c r="D3236">
        <v>4.4836179999999999</v>
      </c>
      <c r="E3236">
        <v>0.51580320000000002</v>
      </c>
      <c r="F3236" t="s">
        <v>42</v>
      </c>
      <c r="G3236">
        <v>-491.4708</v>
      </c>
      <c r="H3236" s="1">
        <v>-2.5632840000000001E-6</v>
      </c>
      <c r="I3236">
        <v>244.65190000000001</v>
      </c>
      <c r="J3236">
        <v>-493.33089999999999</v>
      </c>
      <c r="K3236">
        <v>1.1117619999999999</v>
      </c>
      <c r="L3236">
        <v>253.50200000000001</v>
      </c>
      <c r="M3236">
        <v>-1.8795829999999999E-2</v>
      </c>
      <c r="N3236">
        <v>-1.2181930000000001E-2</v>
      </c>
      <c r="O3236">
        <v>-0.9997492</v>
      </c>
      <c r="P3236">
        <v>0.20809279999999999</v>
      </c>
      <c r="Q3236">
        <v>0.3898836</v>
      </c>
      <c r="R3236">
        <v>-0.89704419999999996</v>
      </c>
      <c r="S3236">
        <v>0.69448849999999995</v>
      </c>
      <c r="T3236">
        <v>-0.41554020000000003</v>
      </c>
      <c r="U3236">
        <v>-3.3640590000000001</v>
      </c>
      <c r="V3236">
        <v>-0.22576189999999999</v>
      </c>
      <c r="W3236">
        <v>0.4002579</v>
      </c>
      <c r="X3236">
        <v>0.88815829999999996</v>
      </c>
      <c r="Y3236">
        <v>-0.21919930000000001</v>
      </c>
      <c r="Z3236">
        <v>0.10770009999999999</v>
      </c>
      <c r="AA3236">
        <v>0.96971770000000002</v>
      </c>
      <c r="AB3236">
        <v>25</v>
      </c>
      <c r="AC3236">
        <v>1.8600999999999801</v>
      </c>
      <c r="AD3236">
        <v>-1.1117645632840001</v>
      </c>
      <c r="AE3236">
        <v>-8.8500999999999905</v>
      </c>
      <c r="AF3236">
        <v>-1.99596329419036</v>
      </c>
      <c r="AG3236">
        <v>-1.1117645632840001</v>
      </c>
      <c r="AH3236">
        <v>8.6823535958505396</v>
      </c>
      <c r="AI3236">
        <v>97.113374838240205</v>
      </c>
      <c r="AJ3236">
        <v>102.946634489481</v>
      </c>
      <c r="AK3236">
        <v>8.9779259230241006</v>
      </c>
      <c r="AL3236">
        <v>66.405697807356006</v>
      </c>
      <c r="AM3236">
        <v>104.26202441765901</v>
      </c>
      <c r="AN3236">
        <v>0.999999993931455</v>
      </c>
    </row>
    <row r="3237" spans="1:40" x14ac:dyDescent="0.25">
      <c r="A3237" t="str">
        <f>"20190304164914690"</f>
        <v>20190304164914690</v>
      </c>
      <c r="B3237" t="str">
        <f>"1551689354679186"</f>
        <v>1551689354679186</v>
      </c>
      <c r="C3237" t="s">
        <v>40</v>
      </c>
      <c r="D3237">
        <v>4.4716519999999997</v>
      </c>
      <c r="E3237">
        <v>0.51549940000000005</v>
      </c>
      <c r="F3237" t="s">
        <v>42</v>
      </c>
      <c r="G3237">
        <v>-491.4554</v>
      </c>
      <c r="H3237" s="1">
        <v>-2.5026270000000001E-6</v>
      </c>
      <c r="I3237">
        <v>244.52010000000001</v>
      </c>
      <c r="J3237">
        <v>-493.334</v>
      </c>
      <c r="K3237">
        <v>1.111815</v>
      </c>
      <c r="L3237">
        <v>253.2568</v>
      </c>
      <c r="M3237">
        <v>-1.742668E-2</v>
      </c>
      <c r="N3237">
        <v>-1.207478E-2</v>
      </c>
      <c r="O3237">
        <v>-0.99977539999999998</v>
      </c>
      <c r="P3237">
        <v>0.21090349999999999</v>
      </c>
      <c r="Q3237">
        <v>0.38994230000000002</v>
      </c>
      <c r="R3237">
        <v>-0.89636209999999905</v>
      </c>
      <c r="S3237">
        <v>0.70208740000000003</v>
      </c>
      <c r="T3237">
        <v>-0.41618369999999999</v>
      </c>
      <c r="U3237">
        <v>-3.3623500000000002</v>
      </c>
      <c r="V3237">
        <v>-0.22739770000000001</v>
      </c>
      <c r="W3237">
        <v>0.4001788</v>
      </c>
      <c r="X3237">
        <v>0.88777659999999903</v>
      </c>
      <c r="Y3237">
        <v>-0.2200558</v>
      </c>
      <c r="Z3237">
        <v>0.10801620000000001</v>
      </c>
      <c r="AA3237">
        <v>0.96948849999999998</v>
      </c>
      <c r="AB3237">
        <v>25</v>
      </c>
      <c r="AC3237">
        <v>1.8786</v>
      </c>
      <c r="AD3237">
        <v>-1.1118175026270001</v>
      </c>
      <c r="AE3237">
        <v>-8.7366999999999795</v>
      </c>
      <c r="AF3237">
        <v>-1.9996252398149199</v>
      </c>
      <c r="AG3237">
        <v>-1.1118175026270001</v>
      </c>
      <c r="AH3237">
        <v>8.5699782822648505</v>
      </c>
      <c r="AI3237">
        <v>97.200623108498505</v>
      </c>
      <c r="AJ3237">
        <v>103.133791771811</v>
      </c>
      <c r="AK3237">
        <v>8.8701277903615292</v>
      </c>
      <c r="AL3237">
        <v>66.410644364684103</v>
      </c>
      <c r="AM3237">
        <v>104.367021912141</v>
      </c>
      <c r="AN3237">
        <v>1.0000000387211401</v>
      </c>
    </row>
    <row r="3238" spans="1:40" x14ac:dyDescent="0.25">
      <c r="A3238" t="str">
        <f>"20190304164914712"</f>
        <v>20190304164914712</v>
      </c>
      <c r="B3238" t="str">
        <f>"1551689354698705"</f>
        <v>1551689354698705</v>
      </c>
      <c r="C3238" t="s">
        <v>40</v>
      </c>
      <c r="D3238">
        <v>4.5258459999999996</v>
      </c>
      <c r="E3238">
        <v>0.51529959999999997</v>
      </c>
      <c r="F3238" t="s">
        <v>42</v>
      </c>
      <c r="G3238">
        <v>-491.42439999999999</v>
      </c>
      <c r="H3238" s="1">
        <v>-2.3808429999999998E-6</v>
      </c>
      <c r="I3238">
        <v>244.25550000000001</v>
      </c>
      <c r="J3238">
        <v>-493.3365</v>
      </c>
      <c r="K3238">
        <v>1.1118680000000001</v>
      </c>
      <c r="L3238">
        <v>253.0257</v>
      </c>
      <c r="M3238">
        <v>-1.605417E-2</v>
      </c>
      <c r="N3238">
        <v>-1.1979119999999999E-2</v>
      </c>
      <c r="O3238">
        <v>-0.99979949999999995</v>
      </c>
      <c r="P3238">
        <v>0.21353140000000001</v>
      </c>
      <c r="Q3238">
        <v>0.39003949999999998</v>
      </c>
      <c r="R3238">
        <v>-0.89569739999999998</v>
      </c>
      <c r="S3238">
        <v>0.71276859999999997</v>
      </c>
      <c r="T3238">
        <v>-0.41497460000000003</v>
      </c>
      <c r="U3238">
        <v>-3.3596650000000001</v>
      </c>
      <c r="V3238">
        <v>-0.2288453</v>
      </c>
      <c r="W3238">
        <v>0.40015050000000002</v>
      </c>
      <c r="X3238">
        <v>0.88741729999999996</v>
      </c>
      <c r="Y3238">
        <v>-0.22182859999999999</v>
      </c>
      <c r="Z3238">
        <v>0.1078027</v>
      </c>
      <c r="AA3238">
        <v>0.96910819999999998</v>
      </c>
      <c r="AB3238">
        <v>25</v>
      </c>
      <c r="AC3238">
        <v>1.9120999999999999</v>
      </c>
      <c r="AD3238">
        <v>-1.1118703808429999</v>
      </c>
      <c r="AE3238">
        <v>-8.7701999999999796</v>
      </c>
      <c r="AF3238">
        <v>-2.0216430497253799</v>
      </c>
      <c r="AG3238">
        <v>-1.1118703808429999</v>
      </c>
      <c r="AH3238">
        <v>8.6063200712586791</v>
      </c>
      <c r="AI3238">
        <v>97.168394614624304</v>
      </c>
      <c r="AJ3238">
        <v>103.219237850339</v>
      </c>
      <c r="AK3238">
        <v>8.9102211831833298</v>
      </c>
      <c r="AL3238">
        <v>66.412413433610396</v>
      </c>
      <c r="AM3238">
        <v>104.460268358634</v>
      </c>
      <c r="AN3238">
        <v>1.00000002916081</v>
      </c>
    </row>
    <row r="3239" spans="1:40" x14ac:dyDescent="0.25">
      <c r="A3239" t="str">
        <f>"20190304164914731"</f>
        <v>20190304164914731</v>
      </c>
      <c r="B3239" t="str">
        <f>"1551689354719202"</f>
        <v>1551689354719202</v>
      </c>
      <c r="C3239" t="s">
        <v>40</v>
      </c>
      <c r="D3239">
        <v>4.4984330000000003</v>
      </c>
      <c r="E3239">
        <v>0.51521539999999999</v>
      </c>
      <c r="F3239" t="s">
        <v>42</v>
      </c>
      <c r="G3239">
        <v>-491.39850000000001</v>
      </c>
      <c r="H3239" s="1">
        <v>-2.27487E-6</v>
      </c>
      <c r="I3239">
        <v>244.02449999999999</v>
      </c>
      <c r="J3239">
        <v>-493.33859999999999</v>
      </c>
      <c r="K3239">
        <v>1.1119159999999999</v>
      </c>
      <c r="L3239">
        <v>252.8006</v>
      </c>
      <c r="M3239">
        <v>-1.464125E-2</v>
      </c>
      <c r="N3239">
        <v>-1.189378E-2</v>
      </c>
      <c r="O3239">
        <v>-0.99982230000000005</v>
      </c>
      <c r="P3239">
        <v>0.21626679999999901</v>
      </c>
      <c r="Q3239">
        <v>0.38992569999999999</v>
      </c>
      <c r="R3239">
        <v>-0.89509050000000001</v>
      </c>
      <c r="S3239">
        <v>0.72293090000000004</v>
      </c>
      <c r="T3239">
        <v>-0.41474630000000001</v>
      </c>
      <c r="U3239">
        <v>-3.357605</v>
      </c>
      <c r="V3239">
        <v>-0.23036499999999999</v>
      </c>
      <c r="W3239">
        <v>0.3999219</v>
      </c>
      <c r="X3239">
        <v>0.88712709999999995</v>
      </c>
      <c r="Y3239">
        <v>-0.22337580000000001</v>
      </c>
      <c r="Z3239">
        <v>0.1078407</v>
      </c>
      <c r="AA3239">
        <v>0.96874850000000001</v>
      </c>
      <c r="AB3239">
        <v>25</v>
      </c>
      <c r="AC3239">
        <v>1.94009999999997</v>
      </c>
      <c r="AD3239">
        <v>-1.1119182748699901</v>
      </c>
      <c r="AE3239">
        <v>-8.7761000000000102</v>
      </c>
      <c r="AF3239">
        <v>-2.03721546352384</v>
      </c>
      <c r="AG3239">
        <v>-1.1119182748699901</v>
      </c>
      <c r="AH3239">
        <v>8.6149043640808696</v>
      </c>
      <c r="AI3239">
        <v>97.159141472926194</v>
      </c>
      <c r="AJ3239">
        <v>103.304650735986</v>
      </c>
      <c r="AK3239">
        <v>8.9220617738878101</v>
      </c>
      <c r="AL3239">
        <v>66.426704474499303</v>
      </c>
      <c r="AM3239">
        <v>104.556789127076</v>
      </c>
      <c r="AN3239">
        <v>1.0000000254395001</v>
      </c>
    </row>
    <row r="3240" spans="1:40" x14ac:dyDescent="0.25">
      <c r="A3240" t="str">
        <f>"20190304164914754"</f>
        <v>20190304164914754</v>
      </c>
      <c r="B3240" t="str">
        <f>"1551689354749458"</f>
        <v>1551689354749458</v>
      </c>
      <c r="C3240" t="s">
        <v>40</v>
      </c>
      <c r="D3240">
        <v>4.4828140000000003</v>
      </c>
      <c r="E3240">
        <v>0.51500639999999998</v>
      </c>
      <c r="F3240" t="s">
        <v>42</v>
      </c>
      <c r="G3240">
        <v>-491.37610000000001</v>
      </c>
      <c r="H3240" s="1">
        <v>-2.1751460000000001E-6</v>
      </c>
      <c r="I3240">
        <v>243.80590000000001</v>
      </c>
      <c r="J3240">
        <v>-493.34050000000002</v>
      </c>
      <c r="K3240">
        <v>1.1119709999999901</v>
      </c>
      <c r="L3240">
        <v>252.54409999999999</v>
      </c>
      <c r="M3240">
        <v>-1.294504E-2</v>
      </c>
      <c r="N3240">
        <v>-1.1806809999999999E-2</v>
      </c>
      <c r="O3240">
        <v>-0.99984669999999998</v>
      </c>
      <c r="P3240">
        <v>0.21941379999999999</v>
      </c>
      <c r="Q3240">
        <v>0.38970110000000002</v>
      </c>
      <c r="R3240">
        <v>-0.89442199999999905</v>
      </c>
      <c r="S3240">
        <v>0.73211669999999995</v>
      </c>
      <c r="T3240">
        <v>-0.41479490000000002</v>
      </c>
      <c r="U3240">
        <v>-3.3554080000000002</v>
      </c>
      <c r="V3240">
        <v>-0.2320507</v>
      </c>
      <c r="W3240">
        <v>0.39957700000000002</v>
      </c>
      <c r="X3240">
        <v>0.8868431</v>
      </c>
      <c r="Y3240">
        <v>-0.22438369999999999</v>
      </c>
      <c r="Z3240">
        <v>0.107975</v>
      </c>
      <c r="AA3240">
        <v>0.96850060000000004</v>
      </c>
      <c r="AB3240">
        <v>25</v>
      </c>
      <c r="AC3240">
        <v>1.9644000000000099</v>
      </c>
      <c r="AD3240">
        <v>-1.11197317514599</v>
      </c>
      <c r="AE3240">
        <v>-8.7381999999999707</v>
      </c>
      <c r="AF3240">
        <v>-2.0458239781588299</v>
      </c>
      <c r="AG3240">
        <v>-1.11197317514599</v>
      </c>
      <c r="AH3240">
        <v>8.5797825743335192</v>
      </c>
      <c r="AI3240">
        <v>97.185341573449406</v>
      </c>
      <c r="AJ3240">
        <v>103.411573020717</v>
      </c>
      <c r="AK3240">
        <v>8.8901377444160605</v>
      </c>
      <c r="AL3240">
        <v>66.448262508218804</v>
      </c>
      <c r="AM3240">
        <v>104.663228485985</v>
      </c>
      <c r="AN3240">
        <v>0.99999999515854998</v>
      </c>
    </row>
    <row r="3241" spans="1:40" x14ac:dyDescent="0.25">
      <c r="A3241" t="str">
        <f>"20190304164914768"</f>
        <v>20190304164914768</v>
      </c>
      <c r="B3241" t="str">
        <f>"1551689354759220"</f>
        <v>1551689354759220</v>
      </c>
      <c r="C3241" t="s">
        <v>40</v>
      </c>
      <c r="D3241">
        <v>4.4826110000000003</v>
      </c>
      <c r="E3241">
        <v>0.51504799999999995</v>
      </c>
      <c r="F3241" t="s">
        <v>42</v>
      </c>
      <c r="G3241">
        <v>-491.34339999999997</v>
      </c>
      <c r="H3241" s="1">
        <v>-2.0451659999999998E-6</v>
      </c>
      <c r="I3241">
        <v>243.5232</v>
      </c>
      <c r="J3241">
        <v>-493.34140000000002</v>
      </c>
      <c r="K3241">
        <v>1.112001</v>
      </c>
      <c r="L3241">
        <v>252.3897</v>
      </c>
      <c r="M3241">
        <v>-1.187034E-2</v>
      </c>
      <c r="N3241">
        <v>-1.176059E-2</v>
      </c>
      <c r="O3241">
        <v>-0.99986050000000004</v>
      </c>
      <c r="P3241">
        <v>0.22105159999999999</v>
      </c>
      <c r="Q3241">
        <v>0.38933259999999997</v>
      </c>
      <c r="R3241">
        <v>-0.89417919999999995</v>
      </c>
      <c r="S3241">
        <v>0.74209590000000003</v>
      </c>
      <c r="T3241">
        <v>-0.41319909999999999</v>
      </c>
      <c r="U3241">
        <v>-3.3520810000000001</v>
      </c>
      <c r="V3241">
        <v>-0.232763</v>
      </c>
      <c r="W3241">
        <v>0.39914379999999999</v>
      </c>
      <c r="X3241">
        <v>0.88685149999999902</v>
      </c>
      <c r="Y3241">
        <v>-0.22629479999999999</v>
      </c>
      <c r="Z3241">
        <v>0.1076203</v>
      </c>
      <c r="AA3241">
        <v>0.96809529999999999</v>
      </c>
      <c r="AB3241">
        <v>25</v>
      </c>
      <c r="AC3241">
        <v>1.99800000000004</v>
      </c>
      <c r="AD3241">
        <v>-1.1120030451659999</v>
      </c>
      <c r="AE3241">
        <v>-8.8665000000000003</v>
      </c>
      <c r="AF3241">
        <v>-2.0720973916270302</v>
      </c>
      <c r="AG3241">
        <v>-1.1120030451659999</v>
      </c>
      <c r="AH3241">
        <v>8.7117495004173104</v>
      </c>
      <c r="AI3241">
        <v>97.078738697691904</v>
      </c>
      <c r="AJ3241">
        <v>103.37924811036901</v>
      </c>
      <c r="AK3241">
        <v>9.0235645800796007</v>
      </c>
      <c r="AL3241">
        <v>66.475335441552602</v>
      </c>
      <c r="AM3241">
        <v>104.706157087477</v>
      </c>
      <c r="AN3241">
        <v>0.99999998514984401</v>
      </c>
    </row>
    <row r="3242" spans="1:40" x14ac:dyDescent="0.25">
      <c r="A3242" t="str">
        <f>"20190304164914789"</f>
        <v>20190304164914789</v>
      </c>
      <c r="B3242" t="str">
        <f>"1551689354778738"</f>
        <v>1551689354778738</v>
      </c>
      <c r="C3242" t="s">
        <v>40</v>
      </c>
      <c r="D3242">
        <v>4.5081389999999999</v>
      </c>
      <c r="E3242">
        <v>0.51490800000000003</v>
      </c>
      <c r="F3242" t="s">
        <v>42</v>
      </c>
      <c r="G3242">
        <v>-491.33819999999997</v>
      </c>
      <c r="H3242" s="1">
        <v>-1.9943620000000001E-6</v>
      </c>
      <c r="I3242">
        <v>243.40799999999999</v>
      </c>
      <c r="J3242">
        <v>-493.34230000000002</v>
      </c>
      <c r="K3242">
        <v>1.112058</v>
      </c>
      <c r="L3242">
        <v>252.15309999999999</v>
      </c>
      <c r="M3242">
        <v>-1.016891E-2</v>
      </c>
      <c r="N3242">
        <v>-1.169534E-2</v>
      </c>
      <c r="O3242">
        <v>-0.99987999999999999</v>
      </c>
      <c r="P3242">
        <v>0.22425529999999999</v>
      </c>
      <c r="Q3242">
        <v>0.38838539999999999</v>
      </c>
      <c r="R3242">
        <v>-0.89379319999999896</v>
      </c>
      <c r="S3242">
        <v>0.74734500000000004</v>
      </c>
      <c r="T3242">
        <v>-0.41487289999999999</v>
      </c>
      <c r="U3242">
        <v>-3.3509370000000001</v>
      </c>
      <c r="V3242">
        <v>-0.23449809999999999</v>
      </c>
      <c r="W3242">
        <v>0.39810079999999998</v>
      </c>
      <c r="X3242">
        <v>0.88686319999999996</v>
      </c>
      <c r="Y3242">
        <v>-0.2261398</v>
      </c>
      <c r="Z3242">
        <v>0.10818940000000001</v>
      </c>
      <c r="AA3242">
        <v>0.96806809999999999</v>
      </c>
      <c r="AB3242">
        <v>25</v>
      </c>
      <c r="AC3242">
        <v>2.00410000000005</v>
      </c>
      <c r="AD3242">
        <v>-1.112059994362</v>
      </c>
      <c r="AE3242">
        <v>-8.7451000000000008</v>
      </c>
      <c r="AF3242">
        <v>-2.0612618565499399</v>
      </c>
      <c r="AG3242">
        <v>-1.112059994362</v>
      </c>
      <c r="AH3242">
        <v>8.5922575558317291</v>
      </c>
      <c r="AI3242">
        <v>97.173242667834799</v>
      </c>
      <c r="AJ3242">
        <v>103.49018491134601</v>
      </c>
      <c r="AK3242">
        <v>8.9057491418788306</v>
      </c>
      <c r="AL3242">
        <v>66.540495385880803</v>
      </c>
      <c r="AM3242">
        <v>104.810793162576</v>
      </c>
      <c r="AN3242">
        <v>0.99999997068924396</v>
      </c>
    </row>
    <row r="3243" spans="1:40" x14ac:dyDescent="0.25">
      <c r="A3243" t="str">
        <f>"20190304164914811"</f>
        <v>20190304164914811</v>
      </c>
      <c r="B3243" t="str">
        <f>"1551689354799234"</f>
        <v>1551689354799234</v>
      </c>
      <c r="C3243" t="s">
        <v>40</v>
      </c>
      <c r="D3243">
        <v>4.4751500000000002</v>
      </c>
      <c r="E3243">
        <v>0.474941</v>
      </c>
      <c r="F3243" t="s">
        <v>42</v>
      </c>
      <c r="G3243">
        <v>-491.33539999999999</v>
      </c>
      <c r="H3243" s="1">
        <v>-1.9373020000000001E-6</v>
      </c>
      <c r="I3243">
        <v>243.27670000000001</v>
      </c>
      <c r="J3243">
        <v>-493.34280000000001</v>
      </c>
      <c r="K3243">
        <v>1.1121030000000001</v>
      </c>
      <c r="L3243">
        <v>251.90870000000001</v>
      </c>
      <c r="M3243">
        <v>-8.3331350000000002E-3</v>
      </c>
      <c r="N3243">
        <v>-1.163201E-2</v>
      </c>
      <c r="O3243">
        <v>-0.99989779999999995</v>
      </c>
      <c r="P3243">
        <v>0.22716410000000001</v>
      </c>
      <c r="Q3243">
        <v>0.38784000000000002</v>
      </c>
      <c r="R3243">
        <v>-0.89329550000000002</v>
      </c>
      <c r="S3243">
        <v>0.75714110000000001</v>
      </c>
      <c r="T3243">
        <v>-0.41954829999999999</v>
      </c>
      <c r="U3243">
        <v>-3.3488009999999999</v>
      </c>
      <c r="V3243">
        <v>-0.23582040000000001</v>
      </c>
      <c r="W3243">
        <v>0.39746120000000001</v>
      </c>
      <c r="X3243">
        <v>0.88679949999999996</v>
      </c>
      <c r="Y3243">
        <v>-0.22714319999999999</v>
      </c>
      <c r="Z3243">
        <v>0.109612</v>
      </c>
      <c r="AA3243">
        <v>0.96767309999999995</v>
      </c>
      <c r="AB3243">
        <v>25</v>
      </c>
      <c r="AC3243">
        <v>2.0074000000000098</v>
      </c>
      <c r="AD3243">
        <v>-1.112104937302</v>
      </c>
      <c r="AE3243">
        <v>-8.6319999999999997</v>
      </c>
      <c r="AF3243">
        <v>-2.0470323816724298</v>
      </c>
      <c r="AG3243">
        <v>-1.112104937302</v>
      </c>
      <c r="AH3243">
        <v>8.4814153048215708</v>
      </c>
      <c r="AI3243">
        <v>97.263900916058702</v>
      </c>
      <c r="AJ3243">
        <v>103.569120678928</v>
      </c>
      <c r="AK3243">
        <v>8.7955400366349696</v>
      </c>
      <c r="AL3243">
        <v>66.580438773844406</v>
      </c>
      <c r="AM3243">
        <v>104.89163066677401</v>
      </c>
      <c r="AN3243">
        <v>1.0000000098809201</v>
      </c>
    </row>
    <row r="3244" spans="1:40" x14ac:dyDescent="0.25">
      <c r="A3244" t="str">
        <f>"20190304164914828"</f>
        <v>20190304164914828</v>
      </c>
      <c r="B3244" t="str">
        <f>"1551689354818754"</f>
        <v>1551689354818754</v>
      </c>
      <c r="C3244" t="s">
        <v>40</v>
      </c>
      <c r="D3244">
        <v>4.4588099999999997</v>
      </c>
      <c r="E3244">
        <v>0.46703119999999998</v>
      </c>
      <c r="F3244" t="s">
        <v>42</v>
      </c>
      <c r="G3244">
        <v>-489.93630000000002</v>
      </c>
      <c r="H3244" s="1">
        <v>-8.3630449999999996E-7</v>
      </c>
      <c r="I3244">
        <v>241.55590000000001</v>
      </c>
      <c r="J3244">
        <v>-493.34269999999998</v>
      </c>
      <c r="K3244">
        <v>1.112142</v>
      </c>
      <c r="L3244">
        <v>251.7244</v>
      </c>
      <c r="M3244">
        <v>-6.8946429999999998E-3</v>
      </c>
      <c r="N3244">
        <v>-1.1585979999999999E-2</v>
      </c>
      <c r="O3244">
        <v>-0.9999093</v>
      </c>
      <c r="P3244">
        <v>0.22909260000000001</v>
      </c>
      <c r="Q3244">
        <v>0.38749919999999999</v>
      </c>
      <c r="R3244">
        <v>-0.89295100000000005</v>
      </c>
      <c r="S3244">
        <v>1.065582</v>
      </c>
      <c r="T3244">
        <v>-0.3478752</v>
      </c>
      <c r="U3244">
        <v>-3.2384490000000001</v>
      </c>
      <c r="V3244">
        <v>-0.23650409999999999</v>
      </c>
      <c r="W3244">
        <v>0.39705249999999997</v>
      </c>
      <c r="X3244">
        <v>0.88680049999999899</v>
      </c>
      <c r="Y3244">
        <v>-0.31762869999999999</v>
      </c>
      <c r="Z3244">
        <v>8.9850959999999994E-2</v>
      </c>
      <c r="AA3244">
        <v>0.94394849999999997</v>
      </c>
      <c r="AB3244">
        <v>25</v>
      </c>
      <c r="AC3244">
        <v>3.4063999999999601</v>
      </c>
      <c r="AD3244">
        <v>-1.1121428363045001</v>
      </c>
      <c r="AE3244">
        <v>-10.1684999999999</v>
      </c>
      <c r="AF3244">
        <v>-3.4394402458711899</v>
      </c>
      <c r="AG3244">
        <v>-1.1121428363045001</v>
      </c>
      <c r="AH3244">
        <v>10.0368233912248</v>
      </c>
      <c r="AI3244">
        <v>95.984025513404603</v>
      </c>
      <c r="AJ3244">
        <v>108.91567235474901</v>
      </c>
      <c r="AK3244">
        <v>10.6679161357736</v>
      </c>
      <c r="AL3244">
        <v>66.605955188654605</v>
      </c>
      <c r="AM3244">
        <v>104.932862840558</v>
      </c>
      <c r="AN3244">
        <v>1.00000000193665</v>
      </c>
    </row>
    <row r="3245" spans="1:40" x14ac:dyDescent="0.25">
      <c r="A3245" t="str">
        <f>"20190304164914845"</f>
        <v>20190304164914845</v>
      </c>
      <c r="B3245" t="str">
        <f>"1551689354839250"</f>
        <v>1551689354839250</v>
      </c>
      <c r="C3245" t="s">
        <v>40</v>
      </c>
      <c r="D3245">
        <v>4.3678039999999996</v>
      </c>
      <c r="E3245">
        <v>0.46468680000000001</v>
      </c>
      <c r="F3245" t="s">
        <v>42</v>
      </c>
      <c r="G3245">
        <v>-489.78289999999998</v>
      </c>
      <c r="H3245" s="1">
        <v>-8.8530649999999999E-7</v>
      </c>
      <c r="I3245">
        <v>241.60669999999999</v>
      </c>
      <c r="J3245">
        <v>-493.34249999999997</v>
      </c>
      <c r="K3245">
        <v>1.1121799999999999</v>
      </c>
      <c r="L3245">
        <v>251.53219999999999</v>
      </c>
      <c r="M3245">
        <v>-5.3489380000000001E-3</v>
      </c>
      <c r="N3245">
        <v>-1.154084E-2</v>
      </c>
      <c r="O3245">
        <v>-0.99991920000000001</v>
      </c>
      <c r="P3245">
        <v>0.23111670000000001</v>
      </c>
      <c r="Q3245">
        <v>0.38686150000000002</v>
      </c>
      <c r="R3245">
        <v>-0.89270579999999999</v>
      </c>
      <c r="S3245">
        <v>1.1337889999999999</v>
      </c>
      <c r="T3245">
        <v>-0.35421320000000001</v>
      </c>
      <c r="U3245">
        <v>-3.222458</v>
      </c>
      <c r="V3245">
        <v>-0.2371885</v>
      </c>
      <c r="W3245">
        <v>0.39634910000000001</v>
      </c>
      <c r="X3245">
        <v>0.88693239999999995</v>
      </c>
      <c r="Y3245">
        <v>-0.33532610000000002</v>
      </c>
      <c r="Z3245">
        <v>9.1545230000000005E-2</v>
      </c>
      <c r="AA3245">
        <v>0.93764380000000003</v>
      </c>
      <c r="AB3245">
        <v>25</v>
      </c>
      <c r="AC3245">
        <v>3.5595999999999801</v>
      </c>
      <c r="AD3245">
        <v>-1.1121808853065001</v>
      </c>
      <c r="AE3245">
        <v>-9.9254999999999995</v>
      </c>
      <c r="AF3245">
        <v>-3.5728950692002401</v>
      </c>
      <c r="AG3245">
        <v>-1.1121808853065001</v>
      </c>
      <c r="AH3245">
        <v>9.7973215559428599</v>
      </c>
      <c r="AI3245">
        <v>96.087497246823105</v>
      </c>
      <c r="AJ3245">
        <v>110.03594178929001</v>
      </c>
      <c r="AK3245">
        <v>10.487613416201899</v>
      </c>
      <c r="AL3245">
        <v>66.649860366653201</v>
      </c>
      <c r="AM3245">
        <v>104.972010562647</v>
      </c>
      <c r="AN3245">
        <v>1.0000000378864</v>
      </c>
    </row>
    <row r="3246" spans="1:40" x14ac:dyDescent="0.25">
      <c r="A3246" t="str">
        <f>"20190304164914868"</f>
        <v>20190304164914868</v>
      </c>
      <c r="B3246" t="str">
        <f>"1551689354858770"</f>
        <v>1551689354858770</v>
      </c>
      <c r="C3246" t="s">
        <v>40</v>
      </c>
      <c r="D3246">
        <v>4.3903600000000003</v>
      </c>
      <c r="E3246">
        <v>0.46359840000000002</v>
      </c>
      <c r="F3246" t="s">
        <v>42</v>
      </c>
      <c r="G3246">
        <v>-489.75869999999998</v>
      </c>
      <c r="H3246" s="1">
        <v>-8.78767E-7</v>
      </c>
      <c r="I3246">
        <v>241.5814</v>
      </c>
      <c r="J3246">
        <v>-493.34129999999999</v>
      </c>
      <c r="K3246">
        <v>1.1122399999999999</v>
      </c>
      <c r="L3246">
        <v>251.261</v>
      </c>
      <c r="M3246">
        <v>-3.0871430000000001E-3</v>
      </c>
      <c r="N3246">
        <v>-1.148424E-2</v>
      </c>
      <c r="O3246">
        <v>-0.99992939999999997</v>
      </c>
      <c r="P3246">
        <v>0.23330590000000001</v>
      </c>
      <c r="Q3246">
        <v>0.3865653</v>
      </c>
      <c r="R3246">
        <v>-0.89226439999999996</v>
      </c>
      <c r="S3246">
        <v>1.158417</v>
      </c>
      <c r="T3246">
        <v>-0.3594984</v>
      </c>
      <c r="U3246">
        <v>-3.2164760000000001</v>
      </c>
      <c r="V3246">
        <v>-0.23741760000000001</v>
      </c>
      <c r="W3246">
        <v>0.39596730000000002</v>
      </c>
      <c r="X3246">
        <v>0.88704159999999899</v>
      </c>
      <c r="Y3246">
        <v>-0.3400551</v>
      </c>
      <c r="Z3246">
        <v>9.3090099999999995E-2</v>
      </c>
      <c r="AA3246">
        <v>0.93578669999999997</v>
      </c>
      <c r="AB3246">
        <v>25</v>
      </c>
      <c r="AC3246">
        <v>3.58260000000001</v>
      </c>
      <c r="AD3246">
        <v>-1.112240878767</v>
      </c>
      <c r="AE3246">
        <v>-9.67959999999999</v>
      </c>
      <c r="AF3246">
        <v>-3.5709988485555302</v>
      </c>
      <c r="AG3246">
        <v>-1.112240878767</v>
      </c>
      <c r="AH3246">
        <v>9.5575062525513896</v>
      </c>
      <c r="AI3246">
        <v>96.221409919522202</v>
      </c>
      <c r="AJ3246">
        <v>110.487342692341</v>
      </c>
      <c r="AK3246">
        <v>10.2632859414684</v>
      </c>
      <c r="AL3246">
        <v>66.673684493230098</v>
      </c>
      <c r="AM3246">
        <v>104.984059864393</v>
      </c>
      <c r="AN3246">
        <v>1.0000000097948001</v>
      </c>
    </row>
    <row r="3247" spans="1:40" x14ac:dyDescent="0.25">
      <c r="A3247" t="str">
        <f>"20190304164914890"</f>
        <v>20190304164914890</v>
      </c>
      <c r="B3247" t="str">
        <f>"1551689354879266"</f>
        <v>1551689354879266</v>
      </c>
      <c r="C3247" t="s">
        <v>40</v>
      </c>
      <c r="D3247">
        <v>4.3892559999999996</v>
      </c>
      <c r="E3247">
        <v>0.46310440000000003</v>
      </c>
      <c r="F3247" t="s">
        <v>42</v>
      </c>
      <c r="G3247">
        <v>-489.74380000000002</v>
      </c>
      <c r="H3247" s="1">
        <v>-8.2116009999999997E-7</v>
      </c>
      <c r="I3247">
        <v>241.441</v>
      </c>
      <c r="J3247">
        <v>-493.33980000000003</v>
      </c>
      <c r="K3247">
        <v>1.1122890000000001</v>
      </c>
      <c r="L3247">
        <v>251.01249999999999</v>
      </c>
      <c r="M3247">
        <v>-9.3711710000000004E-4</v>
      </c>
      <c r="N3247">
        <v>-1.1439710000000001E-2</v>
      </c>
      <c r="O3247">
        <v>-0.99993410000000005</v>
      </c>
      <c r="P3247">
        <v>0.23554369999999999</v>
      </c>
      <c r="Q3247">
        <v>0.38653389999999999</v>
      </c>
      <c r="R3247">
        <v>-0.89168979999999998</v>
      </c>
      <c r="S3247">
        <v>1.1767879999999999</v>
      </c>
      <c r="T3247">
        <v>-0.36382209999999998</v>
      </c>
      <c r="U3247">
        <v>-3.212189</v>
      </c>
      <c r="V3247">
        <v>-0.23778959999999999</v>
      </c>
      <c r="W3247">
        <v>0.39586349999999998</v>
      </c>
      <c r="X3247">
        <v>0.88698829999999995</v>
      </c>
      <c r="Y3247">
        <v>-0.34311399999999997</v>
      </c>
      <c r="Z3247">
        <v>9.435491E-2</v>
      </c>
      <c r="AA3247">
        <v>0.93454269999999995</v>
      </c>
      <c r="AB3247">
        <v>25</v>
      </c>
      <c r="AC3247">
        <v>3.5960000000000001</v>
      </c>
      <c r="AD3247">
        <v>-1.11228982116009</v>
      </c>
      <c r="AE3247">
        <v>-9.5715000000000092</v>
      </c>
      <c r="AF3247">
        <v>-3.5628062002906198</v>
      </c>
      <c r="AG3247">
        <v>-1.11228982116009</v>
      </c>
      <c r="AH3247">
        <v>9.4562203259096904</v>
      </c>
      <c r="AI3247">
        <v>96.281361783909801</v>
      </c>
      <c r="AJ3247">
        <v>110.644830010893</v>
      </c>
      <c r="AK3247">
        <v>10.1661634611702</v>
      </c>
      <c r="AL3247">
        <v>66.680161372020507</v>
      </c>
      <c r="AM3247">
        <v>105.00734056312599</v>
      </c>
      <c r="AN3247">
        <v>1.00000002441864</v>
      </c>
    </row>
    <row r="3248" spans="1:40" x14ac:dyDescent="0.25">
      <c r="A3248" t="str">
        <f>"20190304164914911"</f>
        <v>20190304164914911</v>
      </c>
      <c r="B3248" t="str">
        <f>"1551689354898786"</f>
        <v>1551689354898786</v>
      </c>
      <c r="C3248" t="s">
        <v>40</v>
      </c>
      <c r="D3248">
        <v>4.3835709999999999</v>
      </c>
      <c r="E3248">
        <v>0.46267340000000001</v>
      </c>
      <c r="F3248" t="s">
        <v>42</v>
      </c>
      <c r="G3248">
        <v>-489.69420000000002</v>
      </c>
      <c r="H3248" s="1">
        <v>-7.1460109999999997E-7</v>
      </c>
      <c r="I3248">
        <v>241.1721</v>
      </c>
      <c r="J3248">
        <v>-493.33780000000002</v>
      </c>
      <c r="K3248">
        <v>1.1123379999999901</v>
      </c>
      <c r="L3248">
        <v>250.7826</v>
      </c>
      <c r="M3248">
        <v>1.11604E-3</v>
      </c>
      <c r="N3248">
        <v>-1.1403369999999999E-2</v>
      </c>
      <c r="O3248">
        <v>-0.99993449999999995</v>
      </c>
      <c r="P3248">
        <v>0.23764850000000001</v>
      </c>
      <c r="Q3248">
        <v>0.38672200000000001</v>
      </c>
      <c r="R3248">
        <v>-0.89104969999999994</v>
      </c>
      <c r="S3248">
        <v>1.1883239999999999</v>
      </c>
      <c r="T3248">
        <v>-0.36257080000000003</v>
      </c>
      <c r="U3248">
        <v>-3.2076570000000002</v>
      </c>
      <c r="V3248">
        <v>-0.2381115</v>
      </c>
      <c r="W3248">
        <v>0.3959879</v>
      </c>
      <c r="X3248">
        <v>0.88684640000000003</v>
      </c>
      <c r="Y3248">
        <v>-0.34458100000000003</v>
      </c>
      <c r="Z3248">
        <v>9.4081709999999999E-2</v>
      </c>
      <c r="AA3248">
        <v>0.93403029999999998</v>
      </c>
      <c r="AB3248">
        <v>25</v>
      </c>
      <c r="AC3248">
        <v>3.64359999999999</v>
      </c>
      <c r="AD3248">
        <v>-1.1123387146010999</v>
      </c>
      <c r="AE3248">
        <v>-9.6105</v>
      </c>
      <c r="AF3248">
        <v>-3.5908133250499499</v>
      </c>
      <c r="AG3248">
        <v>-1.1123387146010999</v>
      </c>
      <c r="AH3248">
        <v>9.5032522352802999</v>
      </c>
      <c r="AI3248">
        <v>96.248577606239493</v>
      </c>
      <c r="AJ3248">
        <v>110.699121820952</v>
      </c>
      <c r="AK3248">
        <v>10.219737804793001</v>
      </c>
      <c r="AL3248">
        <v>66.672399394456505</v>
      </c>
      <c r="AM3248">
        <v>105.029033569546</v>
      </c>
      <c r="AN3248">
        <v>1.0000000202858099</v>
      </c>
    </row>
    <row r="3249" spans="1:40" x14ac:dyDescent="0.25">
      <c r="A3249" t="str">
        <f>"20190304164914933"</f>
        <v>20190304164914933</v>
      </c>
      <c r="B3249" t="str">
        <f>"1551689354929044"</f>
        <v>1551689354929044</v>
      </c>
      <c r="C3249" t="s">
        <v>40</v>
      </c>
      <c r="D3249">
        <v>4.384334</v>
      </c>
      <c r="E3249">
        <v>0.4622887</v>
      </c>
      <c r="F3249" t="s">
        <v>42</v>
      </c>
      <c r="G3249">
        <v>-489.64699999999999</v>
      </c>
      <c r="H3249" s="1">
        <v>-6.1397329999999999E-7</v>
      </c>
      <c r="I3249">
        <v>240.91800000000001</v>
      </c>
      <c r="J3249">
        <v>-493.33499999999998</v>
      </c>
      <c r="K3249">
        <v>1.112382</v>
      </c>
      <c r="L3249">
        <v>250.53909999999999</v>
      </c>
      <c r="M3249">
        <v>3.3500539999999999E-3</v>
      </c>
      <c r="N3249">
        <v>-1.1369249999999999E-2</v>
      </c>
      <c r="O3249">
        <v>-0.99992979999999998</v>
      </c>
      <c r="P3249">
        <v>0.23960680000000001</v>
      </c>
      <c r="Q3249">
        <v>0.38713950000000003</v>
      </c>
      <c r="R3249">
        <v>-0.89034349999999995</v>
      </c>
      <c r="S3249">
        <v>1.1987300000000001</v>
      </c>
      <c r="T3249">
        <v>-0.36127609999999999</v>
      </c>
      <c r="U3249">
        <v>-3.2039339999999998</v>
      </c>
      <c r="V3249">
        <v>-0.2381259</v>
      </c>
      <c r="W3249">
        <v>0.39634649999999999</v>
      </c>
      <c r="X3249">
        <v>0.88668230000000003</v>
      </c>
      <c r="Y3249">
        <v>-0.34551349999999997</v>
      </c>
      <c r="Z3249">
        <v>9.3784709999999993E-2</v>
      </c>
      <c r="AA3249">
        <v>0.93371559999999998</v>
      </c>
      <c r="AB3249">
        <v>25</v>
      </c>
      <c r="AC3249">
        <v>3.6879999999999802</v>
      </c>
      <c r="AD3249">
        <v>-1.1123826139733</v>
      </c>
      <c r="AE3249">
        <v>-9.6210999999999807</v>
      </c>
      <c r="AF3249">
        <v>-3.6136285033372002</v>
      </c>
      <c r="AG3249">
        <v>-1.1123826139733</v>
      </c>
      <c r="AH3249">
        <v>9.5224162686098808</v>
      </c>
      <c r="AI3249">
        <v>96.232995169298903</v>
      </c>
      <c r="AJ3249">
        <v>110.781078058688</v>
      </c>
      <c r="AK3249">
        <v>10.245590155412501</v>
      </c>
      <c r="AL3249">
        <v>66.650021606359303</v>
      </c>
      <c r="AM3249">
        <v>105.032557057234</v>
      </c>
      <c r="AN3249">
        <v>0.99999999672317497</v>
      </c>
    </row>
    <row r="3250" spans="1:40" x14ac:dyDescent="0.25">
      <c r="A3250" t="str">
        <f>"20190304164914947"</f>
        <v>20190304164914947</v>
      </c>
      <c r="B3250" t="str">
        <f>"1551689354939308"</f>
        <v>1551689354939308</v>
      </c>
      <c r="C3250" t="s">
        <v>40</v>
      </c>
      <c r="D3250">
        <v>4.3804189999999998</v>
      </c>
      <c r="E3250">
        <v>0.46218619999999999</v>
      </c>
      <c r="F3250" t="s">
        <v>42</v>
      </c>
      <c r="G3250">
        <v>-489.58449999999999</v>
      </c>
      <c r="H3250" s="1">
        <v>-4.9203670000000005E-7</v>
      </c>
      <c r="I3250">
        <v>240.6079</v>
      </c>
      <c r="J3250">
        <v>-493.3329</v>
      </c>
      <c r="K3250">
        <v>1.1124069999999999</v>
      </c>
      <c r="L3250">
        <v>250.3861</v>
      </c>
      <c r="M3250">
        <v>4.7831929999999998E-3</v>
      </c>
      <c r="N3250">
        <v>-1.135047E-2</v>
      </c>
      <c r="O3250">
        <v>-0.99992440000000005</v>
      </c>
      <c r="P3250">
        <v>0.24112610000000001</v>
      </c>
      <c r="Q3250">
        <v>0.38706180000000001</v>
      </c>
      <c r="R3250">
        <v>-0.88996710000000001</v>
      </c>
      <c r="S3250">
        <v>1.2085269999999999</v>
      </c>
      <c r="T3250">
        <v>-0.3584386</v>
      </c>
      <c r="U3250">
        <v>-3.2001040000000001</v>
      </c>
      <c r="V3250">
        <v>-0.23839350000000001</v>
      </c>
      <c r="W3250">
        <v>0.39623700000000001</v>
      </c>
      <c r="X3250">
        <v>0.88665930000000004</v>
      </c>
      <c r="Y3250">
        <v>-0.34706619999999999</v>
      </c>
      <c r="Z3250">
        <v>9.3019779999999996E-2</v>
      </c>
      <c r="AA3250">
        <v>0.93321620000000005</v>
      </c>
      <c r="AB3250">
        <v>25</v>
      </c>
      <c r="AC3250">
        <v>3.7484000000000002</v>
      </c>
      <c r="AD3250">
        <v>-1.1124074920367</v>
      </c>
      <c r="AE3250">
        <v>-9.7781999999999893</v>
      </c>
      <c r="AF3250">
        <v>-3.66028031700945</v>
      </c>
      <c r="AG3250">
        <v>-1.1124074920367</v>
      </c>
      <c r="AH3250">
        <v>9.6867132613863305</v>
      </c>
      <c r="AI3250">
        <v>96.131488809335096</v>
      </c>
      <c r="AJ3250">
        <v>110.699877813215</v>
      </c>
      <c r="AK3250">
        <v>10.4147739406932</v>
      </c>
      <c r="AL3250">
        <v>66.656854260089304</v>
      </c>
      <c r="AM3250">
        <v>105.049057064046</v>
      </c>
      <c r="AN3250">
        <v>0.999999967643869</v>
      </c>
    </row>
    <row r="3251" spans="1:40" x14ac:dyDescent="0.25">
      <c r="A3251" t="str">
        <f>"20190304164914967"</f>
        <v>20190304164914967</v>
      </c>
      <c r="B3251" t="str">
        <f>"1551689354958831"</f>
        <v>1551689354958831</v>
      </c>
      <c r="C3251" t="s">
        <v>40</v>
      </c>
      <c r="D3251">
        <v>4.3815730000000004</v>
      </c>
      <c r="E3251">
        <v>0.46209220000000001</v>
      </c>
      <c r="F3251" t="s">
        <v>42</v>
      </c>
      <c r="G3251">
        <v>-489.56740000000002</v>
      </c>
      <c r="H3251" s="1">
        <v>-4.3460970000000002E-7</v>
      </c>
      <c r="I3251">
        <v>240.46700000000001</v>
      </c>
      <c r="J3251">
        <v>-493.32940000000002</v>
      </c>
      <c r="K3251">
        <v>1.1124240000000001</v>
      </c>
      <c r="L3251">
        <v>250.15629999999999</v>
      </c>
      <c r="M3251">
        <v>6.9597499999999998E-3</v>
      </c>
      <c r="N3251">
        <v>-1.1324839999999999E-2</v>
      </c>
      <c r="O3251">
        <v>-0.99991169999999996</v>
      </c>
      <c r="P3251">
        <v>0.2437626</v>
      </c>
      <c r="Q3251">
        <v>0.38740730000000001</v>
      </c>
      <c r="R3251">
        <v>-0.88909830000000001</v>
      </c>
      <c r="S3251">
        <v>1.2140200000000001</v>
      </c>
      <c r="T3251">
        <v>-0.35864190000000001</v>
      </c>
      <c r="U3251">
        <v>-3.1979519999999999</v>
      </c>
      <c r="V3251">
        <v>-0.23912510000000001</v>
      </c>
      <c r="W3251">
        <v>0.39653559999999999</v>
      </c>
      <c r="X3251">
        <v>0.88632880000000003</v>
      </c>
      <c r="Y3251">
        <v>-0.3466322</v>
      </c>
      <c r="Z3251">
        <v>9.3149640000000006E-2</v>
      </c>
      <c r="AA3251">
        <v>0.93336450000000004</v>
      </c>
      <c r="AB3251">
        <v>25</v>
      </c>
      <c r="AC3251">
        <v>3.762</v>
      </c>
      <c r="AD3251">
        <v>-1.1124244346097001</v>
      </c>
      <c r="AE3251">
        <v>-9.6892999999999692</v>
      </c>
      <c r="AF3251">
        <v>-3.6526304208646501</v>
      </c>
      <c r="AG3251">
        <v>-1.1124244346097001</v>
      </c>
      <c r="AH3251">
        <v>9.6052265647508595</v>
      </c>
      <c r="AI3251">
        <v>96.178300714538295</v>
      </c>
      <c r="AJ3251">
        <v>110.82057302080101</v>
      </c>
      <c r="AK3251">
        <v>10.3363230635627</v>
      </c>
      <c r="AL3251">
        <v>66.638220490428907</v>
      </c>
      <c r="AM3251">
        <v>105.098507773912</v>
      </c>
      <c r="AN3251">
        <v>1.0000000186133999</v>
      </c>
    </row>
    <row r="3252" spans="1:40" x14ac:dyDescent="0.25">
      <c r="A3252" t="str">
        <f>"20190304164914979"</f>
        <v>20190304164914979</v>
      </c>
      <c r="B3252" t="str">
        <f>"1551689354969564"</f>
        <v>1551689354969564</v>
      </c>
      <c r="C3252" t="s">
        <v>40</v>
      </c>
      <c r="D3252">
        <v>4.3907350000000003</v>
      </c>
      <c r="E3252">
        <v>0.46204109999999998</v>
      </c>
      <c r="F3252" t="s">
        <v>42</v>
      </c>
      <c r="G3252">
        <v>-489.52859999999998</v>
      </c>
      <c r="H3252" s="1">
        <v>-3.3396839999999999E-7</v>
      </c>
      <c r="I3252">
        <v>240.21629999999999</v>
      </c>
      <c r="J3252">
        <v>-493.32709999999997</v>
      </c>
      <c r="K3252">
        <v>1.112436</v>
      </c>
      <c r="L3252">
        <v>250.0164</v>
      </c>
      <c r="M3252">
        <v>8.2940449999999999E-3</v>
      </c>
      <c r="N3252">
        <v>-1.131073E-2</v>
      </c>
      <c r="O3252">
        <v>-0.99990179999999995</v>
      </c>
      <c r="P3252">
        <v>0.24581649999999999</v>
      </c>
      <c r="Q3252">
        <v>0.38727539999999999</v>
      </c>
      <c r="R3252">
        <v>-0.88858999999999999</v>
      </c>
      <c r="S3252">
        <v>1.221741</v>
      </c>
      <c r="T3252">
        <v>-0.35757549999999999</v>
      </c>
      <c r="U3252">
        <v>-3.195068</v>
      </c>
      <c r="V3252">
        <v>-0.2400062</v>
      </c>
      <c r="W3252">
        <v>0.39637850000000002</v>
      </c>
      <c r="X3252">
        <v>0.88616090000000003</v>
      </c>
      <c r="Y3252">
        <v>-0.34763929999999998</v>
      </c>
      <c r="Z3252">
        <v>9.2881790000000006E-2</v>
      </c>
      <c r="AA3252">
        <v>0.93301650000000003</v>
      </c>
      <c r="AB3252">
        <v>25</v>
      </c>
      <c r="AC3252">
        <v>3.79849999999999</v>
      </c>
      <c r="AD3252">
        <v>-1.11243633396839</v>
      </c>
      <c r="AE3252">
        <v>-9.8001000000000094</v>
      </c>
      <c r="AF3252">
        <v>-3.6759034253071099</v>
      </c>
      <c r="AG3252">
        <v>-1.11243633396839</v>
      </c>
      <c r="AH3252">
        <v>9.7223579020923498</v>
      </c>
      <c r="AI3252">
        <v>96.108892418086299</v>
      </c>
      <c r="AJ3252">
        <v>110.710985998664</v>
      </c>
      <c r="AK3252">
        <v>10.453421629576299</v>
      </c>
      <c r="AL3252">
        <v>66.648025049270302</v>
      </c>
      <c r="AM3252">
        <v>105.154326444646</v>
      </c>
      <c r="AN3252">
        <v>1.00000001599475</v>
      </c>
    </row>
    <row r="3253" spans="1:40" x14ac:dyDescent="0.25">
      <c r="A3253" t="str">
        <f>"20190304164915000"</f>
        <v>20190304164915000</v>
      </c>
      <c r="B3253" t="str">
        <f>"1551689354989087"</f>
        <v>1551689354989087</v>
      </c>
      <c r="C3253" t="s">
        <v>40</v>
      </c>
      <c r="D3253">
        <v>4.361637</v>
      </c>
      <c r="E3253">
        <v>0.46205950000000001</v>
      </c>
      <c r="F3253" t="s">
        <v>42</v>
      </c>
      <c r="G3253">
        <v>-489.51900000000001</v>
      </c>
      <c r="H3253" s="1">
        <v>-2.887986E-7</v>
      </c>
      <c r="I3253">
        <v>240.1071</v>
      </c>
      <c r="J3253">
        <v>-493.3227</v>
      </c>
      <c r="K3253">
        <v>1.112447</v>
      </c>
      <c r="L3253">
        <v>249.78710000000001</v>
      </c>
      <c r="M3253">
        <v>1.049719E-2</v>
      </c>
      <c r="N3253">
        <v>-1.128999E-2</v>
      </c>
      <c r="O3253">
        <v>-0.99988129999999997</v>
      </c>
      <c r="P3253">
        <v>0.24935869999999999</v>
      </c>
      <c r="Q3253">
        <v>0.38724599999999998</v>
      </c>
      <c r="R3253">
        <v>-0.8876155</v>
      </c>
      <c r="S3253">
        <v>1.22702</v>
      </c>
      <c r="T3253">
        <v>-0.35844169999999997</v>
      </c>
      <c r="U3253">
        <v>-3.1929319999999999</v>
      </c>
      <c r="V3253">
        <v>-0.24160709999999999</v>
      </c>
      <c r="W3253">
        <v>0.39631230000000001</v>
      </c>
      <c r="X3253">
        <v>0.88575539999999997</v>
      </c>
      <c r="Y3253">
        <v>-0.34711779999999998</v>
      </c>
      <c r="Z3253">
        <v>9.3198810000000007E-2</v>
      </c>
      <c r="AA3253">
        <v>0.93317910000000004</v>
      </c>
      <c r="AB3253">
        <v>25</v>
      </c>
      <c r="AC3253">
        <v>3.8036999999999899</v>
      </c>
      <c r="AD3253">
        <v>-1.1124472887986001</v>
      </c>
      <c r="AE3253">
        <v>-9.68</v>
      </c>
      <c r="AF3253">
        <v>-3.6599984533701102</v>
      </c>
      <c r="AG3253">
        <v>-1.1124472887986001</v>
      </c>
      <c r="AH3253">
        <v>9.6094590361989294</v>
      </c>
      <c r="AI3253">
        <v>96.174505782376201</v>
      </c>
      <c r="AJ3253">
        <v>110.850564053447</v>
      </c>
      <c r="AK3253">
        <v>10.3428637532074</v>
      </c>
      <c r="AL3253">
        <v>66.652156707868897</v>
      </c>
      <c r="AM3253">
        <v>105.257373177351</v>
      </c>
      <c r="AN3253">
        <v>1.0000000292654201</v>
      </c>
    </row>
    <row r="3254" spans="1:40" x14ac:dyDescent="0.25">
      <c r="A3254" t="str">
        <f>"20190304164915014"</f>
        <v>20190304164915014</v>
      </c>
      <c r="B3254" t="str">
        <f>"1551689355008604"</f>
        <v>1551689355008604</v>
      </c>
      <c r="C3254" t="s">
        <v>40</v>
      </c>
      <c r="D3254">
        <v>4.3682420000000004</v>
      </c>
      <c r="E3254">
        <v>0.4620225</v>
      </c>
      <c r="F3254" t="s">
        <v>42</v>
      </c>
      <c r="G3254">
        <v>-489.49579999999997</v>
      </c>
      <c r="H3254" s="1">
        <v>-2.268209E-7</v>
      </c>
      <c r="I3254">
        <v>239.9204</v>
      </c>
      <c r="J3254">
        <v>-493.31950000000001</v>
      </c>
      <c r="K3254">
        <v>1.1124480000000001</v>
      </c>
      <c r="L3254">
        <v>249.63130000000001</v>
      </c>
      <c r="M3254">
        <v>1.199822E-2</v>
      </c>
      <c r="N3254">
        <v>-1.1277189999999999E-2</v>
      </c>
      <c r="O3254">
        <v>-0.99986439999999999</v>
      </c>
      <c r="P3254">
        <v>0.2516853</v>
      </c>
      <c r="Q3254">
        <v>0.38709890000000002</v>
      </c>
      <c r="R3254">
        <v>-0.88702250000000005</v>
      </c>
      <c r="S3254">
        <v>1.236969</v>
      </c>
      <c r="T3254">
        <v>-0.35957719999999999</v>
      </c>
      <c r="U3254">
        <v>-3.1892239999999998</v>
      </c>
      <c r="V3254">
        <v>-0.24260760000000001</v>
      </c>
      <c r="W3254">
        <v>0.39614500000000002</v>
      </c>
      <c r="X3254">
        <v>0.88555669999999898</v>
      </c>
      <c r="Y3254">
        <v>-0.34859309999999899</v>
      </c>
      <c r="Z3254">
        <v>9.3566070000000001E-2</v>
      </c>
      <c r="AA3254">
        <v>0.93259219999999998</v>
      </c>
      <c r="AB3254">
        <v>25</v>
      </c>
      <c r="AC3254">
        <v>3.8237000000000299</v>
      </c>
      <c r="AD3254">
        <v>-1.1124482268208999</v>
      </c>
      <c r="AE3254">
        <v>-9.7109000000000094</v>
      </c>
      <c r="AF3254">
        <v>-3.6652602492894202</v>
      </c>
      <c r="AG3254">
        <v>-1.1124482268208999</v>
      </c>
      <c r="AH3254">
        <v>9.6464810844917803</v>
      </c>
      <c r="AI3254">
        <v>96.152854833094295</v>
      </c>
      <c r="AJ3254">
        <v>110.804701641804</v>
      </c>
      <c r="AK3254">
        <v>10.3791267005387</v>
      </c>
      <c r="AL3254">
        <v>66.662595791587705</v>
      </c>
      <c r="AM3254">
        <v>105.320867682197</v>
      </c>
      <c r="AN3254">
        <v>0.99999998875882401</v>
      </c>
    </row>
    <row r="3255" spans="1:40" x14ac:dyDescent="0.25">
      <c r="A3255" t="str">
        <f>"20190304164915033"</f>
        <v>20190304164915033</v>
      </c>
      <c r="B3255" t="str">
        <f>"1551689355029099"</f>
        <v>1551689355029099</v>
      </c>
      <c r="C3255" t="s">
        <v>40</v>
      </c>
      <c r="D3255">
        <v>4.368303</v>
      </c>
      <c r="E3255">
        <v>0.4619953</v>
      </c>
      <c r="F3255" t="s">
        <v>42</v>
      </c>
      <c r="G3255">
        <v>-489.47669999999999</v>
      </c>
      <c r="H3255" s="1">
        <v>-1.8979729999999999E-7</v>
      </c>
      <c r="I3255">
        <v>239.79660000000001</v>
      </c>
      <c r="J3255">
        <v>-493.31450000000001</v>
      </c>
      <c r="K3255">
        <v>1.112439</v>
      </c>
      <c r="L3255">
        <v>249.41</v>
      </c>
      <c r="M3255">
        <v>1.413175E-2</v>
      </c>
      <c r="N3255">
        <v>-1.1261169999999999E-2</v>
      </c>
      <c r="O3255">
        <v>-0.99983699999999998</v>
      </c>
      <c r="P3255">
        <v>0.25559080000000001</v>
      </c>
      <c r="Q3255">
        <v>0.38669979999999998</v>
      </c>
      <c r="R3255">
        <v>-0.88607930000000001</v>
      </c>
      <c r="S3255">
        <v>1.2449650000000001</v>
      </c>
      <c r="T3255">
        <v>-0.36039850000000001</v>
      </c>
      <c r="U3255">
        <v>-3.1861269999999999</v>
      </c>
      <c r="V3255">
        <v>-0.24462539999999999</v>
      </c>
      <c r="W3255">
        <v>0.39571909999999999</v>
      </c>
      <c r="X3255">
        <v>0.88519199999999998</v>
      </c>
      <c r="Y3255">
        <v>-0.34892210000000001</v>
      </c>
      <c r="Z3255">
        <v>9.3860849999999996E-2</v>
      </c>
      <c r="AA3255">
        <v>0.93243960000000004</v>
      </c>
      <c r="AB3255">
        <v>25</v>
      </c>
      <c r="AC3255">
        <v>3.8378000000000099</v>
      </c>
      <c r="AD3255">
        <v>-1.1124391897973001</v>
      </c>
      <c r="AE3255">
        <v>-9.6133999999999808</v>
      </c>
      <c r="AF3255">
        <v>-3.6592897665474302</v>
      </c>
      <c r="AG3255">
        <v>-1.1124391897973001</v>
      </c>
      <c r="AH3255">
        <v>9.5563043836072605</v>
      </c>
      <c r="AI3255">
        <v>96.204341831298294</v>
      </c>
      <c r="AJ3255">
        <v>110.952788541904</v>
      </c>
      <c r="AK3255">
        <v>10.293244193096101</v>
      </c>
      <c r="AL3255">
        <v>66.689170821530595</v>
      </c>
      <c r="AM3255">
        <v>105.44829322675299</v>
      </c>
      <c r="AN3255">
        <v>1.00000003464698</v>
      </c>
    </row>
    <row r="3256" spans="1:40" x14ac:dyDescent="0.25">
      <c r="A3256" t="str">
        <f>"20190304164915056"</f>
        <v>20190304164915056</v>
      </c>
      <c r="B3256" t="str">
        <f>"1551689355048619"</f>
        <v>1551689355048619</v>
      </c>
      <c r="C3256" t="s">
        <v>40</v>
      </c>
      <c r="D3256">
        <v>4.293126</v>
      </c>
      <c r="E3256">
        <v>0.4384672</v>
      </c>
      <c r="F3256" t="s">
        <v>42</v>
      </c>
      <c r="G3256">
        <v>-489.45249999999999</v>
      </c>
      <c r="H3256" s="1">
        <v>-1.45774799999999E-7</v>
      </c>
      <c r="I3256">
        <v>239.64840000000001</v>
      </c>
      <c r="J3256">
        <v>-493.3082</v>
      </c>
      <c r="K3256">
        <v>1.11243</v>
      </c>
      <c r="L3256">
        <v>249.1576</v>
      </c>
      <c r="M3256">
        <v>1.6553910000000002E-2</v>
      </c>
      <c r="N3256">
        <v>-1.124529E-2</v>
      </c>
      <c r="O3256">
        <v>-0.99980009999999997</v>
      </c>
      <c r="P3256">
        <v>0.25966479999999997</v>
      </c>
      <c r="Q3256">
        <v>0.3861889</v>
      </c>
      <c r="R3256">
        <v>-0.88511779999999995</v>
      </c>
      <c r="S3256">
        <v>1.258453</v>
      </c>
      <c r="T3256">
        <v>-0.36249779999999998</v>
      </c>
      <c r="U3256">
        <v>-3.1808930000000002</v>
      </c>
      <c r="V3256">
        <v>-0.24655160000000001</v>
      </c>
      <c r="W3256">
        <v>0.3951865</v>
      </c>
      <c r="X3256">
        <v>0.8848954</v>
      </c>
      <c r="Y3256">
        <v>-0.35057169999999999</v>
      </c>
      <c r="Z3256">
        <v>9.452969E-2</v>
      </c>
      <c r="AA3256">
        <v>0.93175300000000005</v>
      </c>
      <c r="AB3256">
        <v>25</v>
      </c>
      <c r="AC3256">
        <v>3.8557000000000099</v>
      </c>
      <c r="AD3256">
        <v>-1.1124301457748</v>
      </c>
      <c r="AE3256">
        <v>-9.5091999999999892</v>
      </c>
      <c r="AF3256">
        <v>-3.6547920761246901</v>
      </c>
      <c r="AG3256">
        <v>-1.1124301457748</v>
      </c>
      <c r="AH3256">
        <v>9.4605369801970394</v>
      </c>
      <c r="AI3256">
        <v>96.2595198335422</v>
      </c>
      <c r="AJ3256">
        <v>111.122530133347</v>
      </c>
      <c r="AK3256">
        <v>10.2027822628246</v>
      </c>
      <c r="AL3256">
        <v>66.722393044774606</v>
      </c>
      <c r="AM3256">
        <v>105.56902311224999</v>
      </c>
      <c r="AN3256">
        <v>0.99999996509298394</v>
      </c>
    </row>
    <row r="3257" spans="1:40" x14ac:dyDescent="0.25">
      <c r="A3257" t="str">
        <f>"20190304164915069"</f>
        <v>20190304164915069</v>
      </c>
      <c r="B3257" t="str">
        <f>"1551689355059356"</f>
        <v>1551689355059356</v>
      </c>
      <c r="C3257" t="s">
        <v>40</v>
      </c>
      <c r="D3257">
        <v>4.2721689999999999</v>
      </c>
      <c r="E3257">
        <v>0.4328883</v>
      </c>
      <c r="F3257" t="s">
        <v>41</v>
      </c>
      <c r="G3257">
        <v>-492.86840000000001</v>
      </c>
      <c r="H3257">
        <v>1.028853</v>
      </c>
      <c r="I3257">
        <v>248.2157</v>
      </c>
      <c r="J3257">
        <v>-493.30419999999998</v>
      </c>
      <c r="K3257">
        <v>1.1124210000000001</v>
      </c>
      <c r="L3257">
        <v>249.0068</v>
      </c>
      <c r="M3257">
        <v>1.7988580000000001E-2</v>
      </c>
      <c r="N3257">
        <v>-1.1236950000000001E-2</v>
      </c>
      <c r="O3257">
        <v>-0.99977499999999997</v>
      </c>
      <c r="P3257">
        <v>0.26181510000000002</v>
      </c>
      <c r="Q3257">
        <v>0.38580419999999999</v>
      </c>
      <c r="R3257">
        <v>-0.88465130000000003</v>
      </c>
      <c r="S3257">
        <v>1.440887</v>
      </c>
      <c r="T3257">
        <v>-0.27384389999999997</v>
      </c>
      <c r="U3257">
        <v>-3.0861969999999999</v>
      </c>
      <c r="V3257">
        <v>-0.2474257</v>
      </c>
      <c r="W3257">
        <v>0.39479399999999998</v>
      </c>
      <c r="X3257">
        <v>0.88482669999999997</v>
      </c>
      <c r="Y3257">
        <v>-0.40546310000000002</v>
      </c>
      <c r="Z3257">
        <v>6.9275790000000004E-2</v>
      </c>
      <c r="AA3257">
        <v>0.91148260000000003</v>
      </c>
      <c r="AB3257">
        <v>25</v>
      </c>
      <c r="AC3257">
        <v>0.43579999999997199</v>
      </c>
      <c r="AD3257">
        <v>-8.3567999999999795E-2</v>
      </c>
      <c r="AE3257">
        <v>-0.79110000000000003</v>
      </c>
      <c r="AF3257">
        <v>-0.41792005735954602</v>
      </c>
      <c r="AG3257">
        <v>-8.3567999999999795E-2</v>
      </c>
      <c r="AH3257">
        <v>0.79203142984872499</v>
      </c>
      <c r="AI3257">
        <v>95.331230139718002</v>
      </c>
      <c r="AJ3257">
        <v>117.818634410149</v>
      </c>
      <c r="AK3257">
        <v>0.899419018497843</v>
      </c>
      <c r="AL3257">
        <v>66.746873852764296</v>
      </c>
      <c r="AM3257">
        <v>105.622683021724</v>
      </c>
      <c r="AN3257">
        <v>1.00000003424468</v>
      </c>
    </row>
    <row r="3258" spans="1:40" x14ac:dyDescent="0.25">
      <c r="A3258" t="str">
        <f>"20190304164915081"</f>
        <v>20190304164915081</v>
      </c>
      <c r="B3258" t="str">
        <f>"1551689355078877"</f>
        <v>1551689355078877</v>
      </c>
      <c r="C3258" t="s">
        <v>40</v>
      </c>
      <c r="D3258">
        <v>4.2474160000000003</v>
      </c>
      <c r="E3258">
        <v>0.42723149999999999</v>
      </c>
      <c r="F3258" t="s">
        <v>42</v>
      </c>
      <c r="G3258">
        <v>-487.11779999999999</v>
      </c>
      <c r="H3258" s="1">
        <v>-3.3589320000000002E-6</v>
      </c>
      <c r="I3258">
        <v>236.27080000000001</v>
      </c>
      <c r="J3258">
        <v>-493.30040000000002</v>
      </c>
      <c r="K3258">
        <v>1.112411</v>
      </c>
      <c r="L3258">
        <v>248.8741</v>
      </c>
      <c r="M3258">
        <v>1.9246079999999999E-2</v>
      </c>
      <c r="N3258">
        <v>-1.123008E-2</v>
      </c>
      <c r="O3258">
        <v>-0.99975179999999997</v>
      </c>
      <c r="P3258">
        <v>0.26385530000000001</v>
      </c>
      <c r="Q3258">
        <v>0.3853453</v>
      </c>
      <c r="R3258">
        <v>-0.88424519999999995</v>
      </c>
      <c r="S3258">
        <v>1.4898070000000001</v>
      </c>
      <c r="T3258">
        <v>-0.26789489999999999</v>
      </c>
      <c r="U3258">
        <v>-3.0671080000000002</v>
      </c>
      <c r="V3258">
        <v>-0.2483466</v>
      </c>
      <c r="W3258">
        <v>0.39432810000000001</v>
      </c>
      <c r="X3258">
        <v>0.88477640000000002</v>
      </c>
      <c r="Y3258">
        <v>-0.41833239999999999</v>
      </c>
      <c r="Z3258">
        <v>6.7492490000000002E-2</v>
      </c>
      <c r="AA3258">
        <v>0.90578289999999995</v>
      </c>
      <c r="AB3258">
        <v>25</v>
      </c>
      <c r="AC3258">
        <v>6.1826000000000301</v>
      </c>
      <c r="AD3258">
        <v>-1.1124143589319999</v>
      </c>
      <c r="AE3258">
        <v>-12.6032999999999</v>
      </c>
      <c r="AF3258">
        <v>-5.9018154808307202</v>
      </c>
      <c r="AG3258">
        <v>-1.1124143589319999</v>
      </c>
      <c r="AH3258">
        <v>12.6405883650226</v>
      </c>
      <c r="AI3258">
        <v>94.559131277858896</v>
      </c>
      <c r="AJ3258">
        <v>115.027590750602</v>
      </c>
      <c r="AK3258">
        <v>13.994762087641</v>
      </c>
      <c r="AL3258">
        <v>66.775923566100701</v>
      </c>
      <c r="AM3258">
        <v>105.678822534573</v>
      </c>
      <c r="AN3258">
        <v>0.99999998108906496</v>
      </c>
    </row>
    <row r="3259" spans="1:40" x14ac:dyDescent="0.25">
      <c r="A3259" t="str">
        <f>"20190304164915103"</f>
        <v>20190304164915103</v>
      </c>
      <c r="B3259" t="str">
        <f>"1551689355099371"</f>
        <v>1551689355099371</v>
      </c>
      <c r="C3259" t="s">
        <v>40</v>
      </c>
      <c r="D3259">
        <v>4.2091519999999996</v>
      </c>
      <c r="E3259">
        <v>0.4250332</v>
      </c>
      <c r="F3259" t="s">
        <v>41</v>
      </c>
      <c r="G3259">
        <v>-492.85579999999999</v>
      </c>
      <c r="H3259">
        <v>1.03617</v>
      </c>
      <c r="I3259">
        <v>247.99289999999999</v>
      </c>
      <c r="J3259">
        <v>-493.29320000000001</v>
      </c>
      <c r="K3259">
        <v>1.1123879999999999</v>
      </c>
      <c r="L3259">
        <v>248.63130000000001</v>
      </c>
      <c r="M3259">
        <v>2.1526199999999999E-2</v>
      </c>
      <c r="N3259">
        <v>-1.1218779999999999E-2</v>
      </c>
      <c r="O3259">
        <v>-0.99970539999999997</v>
      </c>
      <c r="P3259">
        <v>0.26760800000000001</v>
      </c>
      <c r="Q3259">
        <v>0.3842526</v>
      </c>
      <c r="R3259">
        <v>-0.88359279999999996</v>
      </c>
      <c r="S3259">
        <v>1.538605</v>
      </c>
      <c r="T3259">
        <v>-0.26375729999999997</v>
      </c>
      <c r="U3259">
        <v>-3.0485690000000001</v>
      </c>
      <c r="V3259">
        <v>-0.2500655</v>
      </c>
      <c r="W3259">
        <v>0.39322760000000001</v>
      </c>
      <c r="X3259">
        <v>0.88478210000000002</v>
      </c>
      <c r="Y3259">
        <v>-0.43005389999999999</v>
      </c>
      <c r="Z3259">
        <v>6.6235799999999997E-2</v>
      </c>
      <c r="AA3259">
        <v>0.90037019999999901</v>
      </c>
      <c r="AB3259">
        <v>25</v>
      </c>
      <c r="AC3259">
        <v>0.43740000000002499</v>
      </c>
      <c r="AD3259">
        <v>-7.6217999999999897E-2</v>
      </c>
      <c r="AE3259">
        <v>-0.63840000000001795</v>
      </c>
      <c r="AF3259">
        <v>-0.41948634852848798</v>
      </c>
      <c r="AG3259">
        <v>-7.6217999999999897E-2</v>
      </c>
      <c r="AH3259">
        <v>0.64144605902317897</v>
      </c>
      <c r="AI3259">
        <v>95.679101256864996</v>
      </c>
      <c r="AJ3259">
        <v>123.183473980687</v>
      </c>
      <c r="AK3259">
        <v>0.77021492244835998</v>
      </c>
      <c r="AL3259">
        <v>66.844521014469706</v>
      </c>
      <c r="AM3259">
        <v>105.781855792513</v>
      </c>
      <c r="AN3259">
        <v>1.0000000320861999</v>
      </c>
    </row>
    <row r="3260" spans="1:40" x14ac:dyDescent="0.25">
      <c r="A3260" t="str">
        <f>"20190304164915123"</f>
        <v>20190304164915123</v>
      </c>
      <c r="B3260" t="str">
        <f>"1551689355118892"</f>
        <v>1551689355118892</v>
      </c>
      <c r="C3260" t="s">
        <v>40</v>
      </c>
      <c r="D3260">
        <v>4.2097439999999997</v>
      </c>
      <c r="E3260">
        <v>0.42433209999999999</v>
      </c>
      <c r="F3260" t="s">
        <v>41</v>
      </c>
      <c r="G3260">
        <v>-492.84820000000002</v>
      </c>
      <c r="H3260">
        <v>1.03664</v>
      </c>
      <c r="I3260">
        <v>247.76820000000001</v>
      </c>
      <c r="J3260">
        <v>-493.28570000000002</v>
      </c>
      <c r="K3260">
        <v>1.112358</v>
      </c>
      <c r="L3260">
        <v>248.39779999999999</v>
      </c>
      <c r="M3260">
        <v>2.3686189999999999E-2</v>
      </c>
      <c r="N3260">
        <v>-1.1209230000000001E-2</v>
      </c>
      <c r="O3260">
        <v>-0.99965669999999995</v>
      </c>
      <c r="P3260">
        <v>0.27135789999999999</v>
      </c>
      <c r="Q3260">
        <v>0.38334370000000001</v>
      </c>
      <c r="R3260">
        <v>-0.88284359999999995</v>
      </c>
      <c r="S3260">
        <v>1.565674</v>
      </c>
      <c r="T3260">
        <v>-0.26652340000000002</v>
      </c>
      <c r="U3260">
        <v>-3.0369570000000001</v>
      </c>
      <c r="V3260">
        <v>-0.25188850000000002</v>
      </c>
      <c r="W3260">
        <v>0.39231369999999999</v>
      </c>
      <c r="X3260">
        <v>0.88467059999999997</v>
      </c>
      <c r="Y3260">
        <v>-0.4358129</v>
      </c>
      <c r="Z3260">
        <v>6.7055290000000004E-2</v>
      </c>
      <c r="AA3260">
        <v>0.89753590000000005</v>
      </c>
      <c r="AB3260">
        <v>25</v>
      </c>
      <c r="AC3260">
        <v>0.4375</v>
      </c>
      <c r="AD3260">
        <v>-7.5717999999999896E-2</v>
      </c>
      <c r="AE3260">
        <v>-0.62959999999998195</v>
      </c>
      <c r="AF3260">
        <v>-0.418382723951572</v>
      </c>
      <c r="AG3260">
        <v>-7.5717999999999896E-2</v>
      </c>
      <c r="AH3260">
        <v>0.63360672273018304</v>
      </c>
      <c r="AI3260">
        <v>95.694925120351201</v>
      </c>
      <c r="AJ3260">
        <v>123.437551302782</v>
      </c>
      <c r="AK3260">
        <v>0.76304311694295501</v>
      </c>
      <c r="AL3260">
        <v>66.901457712417098</v>
      </c>
      <c r="AM3260">
        <v>105.89301794464301</v>
      </c>
      <c r="AN3260">
        <v>0.999999963072149</v>
      </c>
    </row>
    <row r="3261" spans="1:40" x14ac:dyDescent="0.25">
      <c r="A3261" t="str">
        <f>"20190304164915146"</f>
        <v>20190304164915146</v>
      </c>
      <c r="B3261" t="str">
        <f>"1551689355139388"</f>
        <v>1551689355139388</v>
      </c>
      <c r="C3261" t="s">
        <v>40</v>
      </c>
      <c r="D3261">
        <v>4.2220519999999997</v>
      </c>
      <c r="E3261">
        <v>0.42385869999999998</v>
      </c>
      <c r="F3261" t="s">
        <v>41</v>
      </c>
      <c r="G3261">
        <v>-492.84010000000001</v>
      </c>
      <c r="H3261">
        <v>1.036165</v>
      </c>
      <c r="I3261">
        <v>247.54329999999999</v>
      </c>
      <c r="J3261">
        <v>-493.27690000000001</v>
      </c>
      <c r="K3261">
        <v>1.1123270000000001</v>
      </c>
      <c r="L3261">
        <v>248.14080000000001</v>
      </c>
      <c r="M3261">
        <v>2.6024350000000002E-2</v>
      </c>
      <c r="N3261">
        <v>-1.119991E-2</v>
      </c>
      <c r="O3261">
        <v>-0.99959849999999995</v>
      </c>
      <c r="P3261">
        <v>0.27495170000000002</v>
      </c>
      <c r="Q3261">
        <v>0.38272139999999999</v>
      </c>
      <c r="R3261">
        <v>-0.88200100000000003</v>
      </c>
      <c r="S3261">
        <v>1.5808719999999901</v>
      </c>
      <c r="T3261">
        <v>-0.27013100000000001</v>
      </c>
      <c r="U3261">
        <v>-3.0295260000000002</v>
      </c>
      <c r="V3261">
        <v>-0.2533956</v>
      </c>
      <c r="W3261">
        <v>0.39169130000000002</v>
      </c>
      <c r="X3261">
        <v>0.88451610000000003</v>
      </c>
      <c r="Y3261">
        <v>-0.43811240000000001</v>
      </c>
      <c r="Z3261">
        <v>6.8155380000000002E-2</v>
      </c>
      <c r="AA3261">
        <v>0.89633269999999998</v>
      </c>
      <c r="AB3261">
        <v>25</v>
      </c>
      <c r="AC3261">
        <v>0.43680000000000502</v>
      </c>
      <c r="AD3261">
        <v>-7.6161999999999994E-2</v>
      </c>
      <c r="AE3261">
        <v>-0.59750000000002501</v>
      </c>
      <c r="AF3261">
        <v>-0.41668920079456501</v>
      </c>
      <c r="AG3261">
        <v>-7.6161999999999994E-2</v>
      </c>
      <c r="AH3261">
        <v>0.60228813768373302</v>
      </c>
      <c r="AI3261">
        <v>95.936986534359704</v>
      </c>
      <c r="AJ3261">
        <v>124.677174903145</v>
      </c>
      <c r="AK3261">
        <v>0.73632977740775396</v>
      </c>
      <c r="AL3261">
        <v>66.940223622414706</v>
      </c>
      <c r="AM3261">
        <v>105.985914517948</v>
      </c>
      <c r="AN3261">
        <v>1.0000000678771199</v>
      </c>
    </row>
    <row r="3262" spans="1:40" x14ac:dyDescent="0.25">
      <c r="A3262" t="str">
        <f>"20190304164915168"</f>
        <v>20190304164915168</v>
      </c>
      <c r="B3262" t="str">
        <f>"1551689355158911"</f>
        <v>1551689355158911</v>
      </c>
      <c r="C3262" t="s">
        <v>40</v>
      </c>
      <c r="D3262">
        <v>4.1941660000000001</v>
      </c>
      <c r="E3262">
        <v>0.42355890000000002</v>
      </c>
      <c r="F3262" t="s">
        <v>41</v>
      </c>
      <c r="G3262">
        <v>-492.8252</v>
      </c>
      <c r="H3262">
        <v>1.0345249999999999</v>
      </c>
      <c r="I3262">
        <v>247.28319999999999</v>
      </c>
      <c r="J3262">
        <v>-493.26799999999997</v>
      </c>
      <c r="K3262">
        <v>1.112298</v>
      </c>
      <c r="L3262">
        <v>247.89320000000001</v>
      </c>
      <c r="M3262">
        <v>2.8234869999999999E-2</v>
      </c>
      <c r="N3262">
        <v>-1.119203E-2</v>
      </c>
      <c r="O3262">
        <v>-0.99953879999999995</v>
      </c>
      <c r="P3262">
        <v>0.27860679999999999</v>
      </c>
      <c r="Q3262">
        <v>0.38243909999999998</v>
      </c>
      <c r="R3262">
        <v>-0.88097610000000004</v>
      </c>
      <c r="S3262">
        <v>1.593445</v>
      </c>
      <c r="T3262">
        <v>-0.27429389999999998</v>
      </c>
      <c r="U3262">
        <v>-3.0236510000000001</v>
      </c>
      <c r="V3262">
        <v>-0.255082899999999</v>
      </c>
      <c r="W3262">
        <v>0.39140960000000002</v>
      </c>
      <c r="X3262">
        <v>0.88415569999999899</v>
      </c>
      <c r="Y3262">
        <v>-0.43971769999999999</v>
      </c>
      <c r="Z3262">
        <v>6.9407819999999995E-2</v>
      </c>
      <c r="AA3262">
        <v>0.89545010000000003</v>
      </c>
      <c r="AB3262">
        <v>25</v>
      </c>
      <c r="AC3262">
        <v>0.442800000000033</v>
      </c>
      <c r="AD3262">
        <v>-7.7772999999999995E-2</v>
      </c>
      <c r="AE3262">
        <v>-0.61000000000001298</v>
      </c>
      <c r="AF3262">
        <v>-0.42091808720691898</v>
      </c>
      <c r="AG3262">
        <v>-7.7772999999999995E-2</v>
      </c>
      <c r="AH3262">
        <v>0.61570528378257205</v>
      </c>
      <c r="AI3262">
        <v>95.953109180907703</v>
      </c>
      <c r="AJ3262">
        <v>124.357903930869</v>
      </c>
      <c r="AK3262">
        <v>0.74987577114126702</v>
      </c>
      <c r="AL3262">
        <v>66.9577634628168</v>
      </c>
      <c r="AM3262">
        <v>106.09308885961001</v>
      </c>
      <c r="AN3262">
        <v>1.00000003134352</v>
      </c>
    </row>
    <row r="3263" spans="1:40" x14ac:dyDescent="0.25">
      <c r="A3263" t="str">
        <f>"20190304164915181"</f>
        <v>20190304164915181</v>
      </c>
      <c r="B3263" t="str">
        <f>"1551689355168668"</f>
        <v>1551689355168668</v>
      </c>
      <c r="C3263" t="s">
        <v>40</v>
      </c>
      <c r="D3263">
        <v>4.1968480000000001</v>
      </c>
      <c r="E3263">
        <v>0.4236434</v>
      </c>
      <c r="F3263" t="s">
        <v>41</v>
      </c>
      <c r="G3263">
        <v>-492.80829999999997</v>
      </c>
      <c r="H3263">
        <v>1.032926</v>
      </c>
      <c r="I3263">
        <v>247.0291</v>
      </c>
      <c r="J3263">
        <v>-493.26260000000002</v>
      </c>
      <c r="K3263">
        <v>1.112279</v>
      </c>
      <c r="L3263">
        <v>247.75110000000001</v>
      </c>
      <c r="M3263">
        <v>2.948342E-2</v>
      </c>
      <c r="N3263">
        <v>-1.118799E-2</v>
      </c>
      <c r="O3263">
        <v>-0.99950269999999997</v>
      </c>
      <c r="P3263">
        <v>0.28051100000000001</v>
      </c>
      <c r="Q3263">
        <v>0.3823743</v>
      </c>
      <c r="R3263">
        <v>-0.88039959999999995</v>
      </c>
      <c r="S3263">
        <v>1.606079</v>
      </c>
      <c r="T3263">
        <v>-0.27715220000000002</v>
      </c>
      <c r="U3263">
        <v>-3.0177</v>
      </c>
      <c r="V3263">
        <v>-0.2558761</v>
      </c>
      <c r="W3263">
        <v>0.39134730000000001</v>
      </c>
      <c r="X3263">
        <v>0.88395400000000002</v>
      </c>
      <c r="Y3263">
        <v>-0.44221840000000001</v>
      </c>
      <c r="Z3263">
        <v>7.0258559999999998E-2</v>
      </c>
      <c r="AA3263">
        <v>0.89415129999999998</v>
      </c>
      <c r="AB3263">
        <v>25</v>
      </c>
      <c r="AC3263">
        <v>0.454300000000046</v>
      </c>
      <c r="AD3263">
        <v>-7.9352999999999896E-2</v>
      </c>
      <c r="AE3263">
        <v>-0.72200000000000797</v>
      </c>
      <c r="AF3263">
        <v>-0.42910090091568498</v>
      </c>
      <c r="AG3263">
        <v>-7.9352999999999896E-2</v>
      </c>
      <c r="AH3263">
        <v>0.72877480330484601</v>
      </c>
      <c r="AI3263">
        <v>95.360315315027606</v>
      </c>
      <c r="AJ3263">
        <v>120.48947726574301</v>
      </c>
      <c r="AK3263">
        <v>0.84943345572662099</v>
      </c>
      <c r="AL3263">
        <v>66.961641186373498</v>
      </c>
      <c r="AM3263">
        <v>106.14402054812</v>
      </c>
      <c r="AN3263">
        <v>0.99999998094224996</v>
      </c>
    </row>
    <row r="3264" spans="1:40" x14ac:dyDescent="0.25">
      <c r="A3264" t="str">
        <f>"20190304164915200"</f>
        <v>20190304164915200</v>
      </c>
      <c r="B3264" t="str">
        <f>"1551689355189167"</f>
        <v>1551689355189167</v>
      </c>
      <c r="C3264" t="s">
        <v>40</v>
      </c>
      <c r="D3264">
        <v>4.1956009999999999</v>
      </c>
      <c r="E3264">
        <v>0.42361959999999999</v>
      </c>
      <c r="F3264" t="s">
        <v>41</v>
      </c>
      <c r="G3264">
        <v>-492.79379999999998</v>
      </c>
      <c r="H3264">
        <v>1.031455</v>
      </c>
      <c r="I3264">
        <v>246.87370000000001</v>
      </c>
      <c r="J3264">
        <v>-493.25389999999999</v>
      </c>
      <c r="K3264">
        <v>1.112249</v>
      </c>
      <c r="L3264">
        <v>247.52850000000001</v>
      </c>
      <c r="M3264">
        <v>3.1408409999999998E-2</v>
      </c>
      <c r="N3264">
        <v>-1.118223E-2</v>
      </c>
      <c r="O3264">
        <v>-0.9994442</v>
      </c>
      <c r="P3264">
        <v>0.2839758</v>
      </c>
      <c r="Q3264">
        <v>0.38256479999999998</v>
      </c>
      <c r="R3264">
        <v>-0.87920580000000004</v>
      </c>
      <c r="S3264">
        <v>1.61084</v>
      </c>
      <c r="T3264">
        <v>-0.27771839999999998</v>
      </c>
      <c r="U3264">
        <v>-3.014923</v>
      </c>
      <c r="V3264">
        <v>-0.25763829999999999</v>
      </c>
      <c r="W3264">
        <v>0.39153769999999999</v>
      </c>
      <c r="X3264">
        <v>0.88335759999999997</v>
      </c>
      <c r="Y3264">
        <v>-0.44192589999999998</v>
      </c>
      <c r="Z3264">
        <v>7.0471320000000004E-2</v>
      </c>
      <c r="AA3264">
        <v>0.89427919999999905</v>
      </c>
      <c r="AB3264">
        <v>25</v>
      </c>
      <c r="AC3264">
        <v>0.460100000000011</v>
      </c>
      <c r="AD3264">
        <v>-8.0794000000000005E-2</v>
      </c>
      <c r="AE3264">
        <v>-0.65479999999999405</v>
      </c>
      <c r="AF3264">
        <v>-0.43487313313174297</v>
      </c>
      <c r="AG3264">
        <v>-8.0794000000000005E-2</v>
      </c>
      <c r="AH3264">
        <v>0.66217972155697302</v>
      </c>
      <c r="AI3264">
        <v>95.823210349422894</v>
      </c>
      <c r="AJ3264">
        <v>123.294097580642</v>
      </c>
      <c r="AK3264">
        <v>0.79631921739782796</v>
      </c>
      <c r="AL3264">
        <v>66.949785472879796</v>
      </c>
      <c r="AM3264">
        <v>106.259746422783</v>
      </c>
      <c r="AN3264">
        <v>0.99999995681296805</v>
      </c>
    </row>
    <row r="3265" spans="1:40" x14ac:dyDescent="0.25">
      <c r="A3265" t="str">
        <f>"20190304164915214"</f>
        <v>20190304164915214</v>
      </c>
      <c r="B3265" t="str">
        <f>"1551689355208684"</f>
        <v>1551689355208684</v>
      </c>
      <c r="C3265" t="s">
        <v>40</v>
      </c>
      <c r="D3265">
        <v>4.195227</v>
      </c>
      <c r="E3265">
        <v>0.42367680000000002</v>
      </c>
      <c r="F3265" t="s">
        <v>41</v>
      </c>
      <c r="G3265">
        <v>-492.7801</v>
      </c>
      <c r="H3265">
        <v>1.0313460000000001</v>
      </c>
      <c r="I3265">
        <v>246.64930000000001</v>
      </c>
      <c r="J3265">
        <v>-493.24740000000003</v>
      </c>
      <c r="K3265">
        <v>1.1122270000000001</v>
      </c>
      <c r="L3265">
        <v>247.36949999999999</v>
      </c>
      <c r="M3265">
        <v>3.2763830000000001E-2</v>
      </c>
      <c r="N3265">
        <v>-1.1178489999999999E-2</v>
      </c>
      <c r="O3265">
        <v>-0.99940059999999997</v>
      </c>
      <c r="P3265">
        <v>0.28587800000000002</v>
      </c>
      <c r="Q3265">
        <v>0.3827449</v>
      </c>
      <c r="R3265">
        <v>-0.87851039999999903</v>
      </c>
      <c r="S3265">
        <v>1.6220399999999999</v>
      </c>
      <c r="T3265">
        <v>-0.27682760000000001</v>
      </c>
      <c r="U3265">
        <v>-3.0087280000000001</v>
      </c>
      <c r="V3265">
        <v>-0.25833869999999998</v>
      </c>
      <c r="W3265">
        <v>0.3917215</v>
      </c>
      <c r="X3265">
        <v>0.88307150000000001</v>
      </c>
      <c r="Y3265">
        <v>-0.44406430000000002</v>
      </c>
      <c r="Z3265">
        <v>7.0248630000000006E-2</v>
      </c>
      <c r="AA3265">
        <v>0.89323680000000005</v>
      </c>
      <c r="AB3265">
        <v>25</v>
      </c>
      <c r="AC3265">
        <v>0.46730000000002198</v>
      </c>
      <c r="AD3265">
        <v>-8.0881000000000203E-2</v>
      </c>
      <c r="AE3265">
        <v>-0.72019999999997697</v>
      </c>
      <c r="AF3265">
        <v>-0.43954988504075998</v>
      </c>
      <c r="AG3265">
        <v>-8.0881000000000203E-2</v>
      </c>
      <c r="AH3265">
        <v>0.72865760182380301</v>
      </c>
      <c r="AI3265">
        <v>95.429419537882396</v>
      </c>
      <c r="AJ3265">
        <v>121.099741581928</v>
      </c>
      <c r="AK3265">
        <v>0.85480274817992996</v>
      </c>
      <c r="AL3265">
        <v>66.938340032866407</v>
      </c>
      <c r="AM3265">
        <v>106.30660583447001</v>
      </c>
      <c r="AN3265">
        <v>0.99999994579609297</v>
      </c>
    </row>
    <row r="3266" spans="1:40" x14ac:dyDescent="0.25">
      <c r="A3266" t="str">
        <f>"20190304164915227"</f>
        <v>20190304164915227</v>
      </c>
      <c r="B3266" t="str">
        <f>"1551689355219420"</f>
        <v>1551689355219420</v>
      </c>
      <c r="C3266" t="s">
        <v>40</v>
      </c>
      <c r="D3266">
        <v>4.1991870000000002</v>
      </c>
      <c r="E3266">
        <v>0.4237398</v>
      </c>
      <c r="F3266" t="s">
        <v>42</v>
      </c>
      <c r="G3266">
        <v>-486.67970000000003</v>
      </c>
      <c r="H3266" s="1">
        <v>-2.9976080000000001E-6</v>
      </c>
      <c r="I3266">
        <v>235.2474</v>
      </c>
      <c r="J3266">
        <v>-493.24149999999997</v>
      </c>
      <c r="K3266">
        <v>1.1122160000000001</v>
      </c>
      <c r="L3266">
        <v>247.2304</v>
      </c>
      <c r="M3266">
        <v>3.3930410000000001E-2</v>
      </c>
      <c r="N3266">
        <v>-1.1175559999999999E-2</v>
      </c>
      <c r="O3266">
        <v>-0.99936179999999997</v>
      </c>
      <c r="P3266">
        <v>0.28763329999999998</v>
      </c>
      <c r="Q3266">
        <v>0.38273459999999998</v>
      </c>
      <c r="R3266">
        <v>-0.87794169999999905</v>
      </c>
      <c r="S3266">
        <v>1.628204</v>
      </c>
      <c r="T3266">
        <v>-0.27573350000000002</v>
      </c>
      <c r="U3266">
        <v>-3.0052029999999998</v>
      </c>
      <c r="V3266">
        <v>-0.25906079999999998</v>
      </c>
      <c r="W3266">
        <v>0.39171400000000001</v>
      </c>
      <c r="X3266">
        <v>0.88286330000000002</v>
      </c>
      <c r="Y3266">
        <v>-0.44488440000000001</v>
      </c>
      <c r="Z3266">
        <v>6.9959889999999997E-2</v>
      </c>
      <c r="AA3266">
        <v>0.89285139999999996</v>
      </c>
      <c r="AB3266">
        <v>25</v>
      </c>
      <c r="AC3266">
        <v>6.5617999999999403</v>
      </c>
      <c r="AD3266">
        <v>-1.1122189976079999</v>
      </c>
      <c r="AE3266">
        <v>-11.983000000000001</v>
      </c>
      <c r="AF3266">
        <v>-6.1109073554476403</v>
      </c>
      <c r="AG3266">
        <v>-1.1122189976079999</v>
      </c>
      <c r="AH3266">
        <v>12.118442031759001</v>
      </c>
      <c r="AI3266">
        <v>94.684885205411504</v>
      </c>
      <c r="AJ3266">
        <v>116.76021514281901</v>
      </c>
      <c r="AK3266">
        <v>13.617520225158801</v>
      </c>
      <c r="AL3266">
        <v>66.938807938037996</v>
      </c>
      <c r="AM3266">
        <v>106.35340396184699</v>
      </c>
      <c r="AN3266">
        <v>0.99999998118976396</v>
      </c>
    </row>
    <row r="3267" spans="1:40" x14ac:dyDescent="0.25">
      <c r="A3267" t="str">
        <f>"20190304164915246"</f>
        <v>20190304164915246</v>
      </c>
      <c r="B3267" t="str">
        <f>"1551689355238940"</f>
        <v>1551689355238940</v>
      </c>
      <c r="C3267" t="s">
        <v>40</v>
      </c>
      <c r="D3267">
        <v>4.2112720000000001</v>
      </c>
      <c r="E3267">
        <v>0.42383399999999999</v>
      </c>
      <c r="F3267" t="s">
        <v>41</v>
      </c>
      <c r="G3267">
        <v>-492.78620000000001</v>
      </c>
      <c r="H3267">
        <v>1.0355829999999999</v>
      </c>
      <c r="I3267">
        <v>246.39330000000001</v>
      </c>
      <c r="J3267">
        <v>-493.23200000000003</v>
      </c>
      <c r="K3267">
        <v>1.1121890000000001</v>
      </c>
      <c r="L3267">
        <v>247.0103</v>
      </c>
      <c r="M3267">
        <v>3.5760769999999997E-2</v>
      </c>
      <c r="N3267">
        <v>-1.117137E-2</v>
      </c>
      <c r="O3267">
        <v>-0.99929809999999997</v>
      </c>
      <c r="P3267">
        <v>0.29043909999999901</v>
      </c>
      <c r="Q3267">
        <v>0.38302550000000002</v>
      </c>
      <c r="R3267">
        <v>-0.87689050000000002</v>
      </c>
      <c r="S3267">
        <v>1.6334229999999901</v>
      </c>
      <c r="T3267">
        <v>-0.27478770000000002</v>
      </c>
      <c r="U3267">
        <v>-3.0017239999999998</v>
      </c>
      <c r="V3267">
        <v>-0.2602563</v>
      </c>
      <c r="W3267">
        <v>0.39200620000000003</v>
      </c>
      <c r="X3267">
        <v>0.88238189999999905</v>
      </c>
      <c r="Y3267">
        <v>-0.44488539999999999</v>
      </c>
      <c r="Z3267">
        <v>6.9735909999999998E-2</v>
      </c>
      <c r="AA3267">
        <v>0.89286840000000001</v>
      </c>
      <c r="AB3267">
        <v>25</v>
      </c>
      <c r="AC3267">
        <v>0.445799999999962</v>
      </c>
      <c r="AD3267">
        <v>-7.6605999999999896E-2</v>
      </c>
      <c r="AE3267">
        <v>-0.61699999999999</v>
      </c>
      <c r="AF3267">
        <v>-0.41920332829710399</v>
      </c>
      <c r="AG3267">
        <v>-7.6605999999999896E-2</v>
      </c>
      <c r="AH3267">
        <v>0.62620618214846901</v>
      </c>
      <c r="AI3267">
        <v>95.804612744686096</v>
      </c>
      <c r="AJ3267">
        <v>123.799673193224</v>
      </c>
      <c r="AK3267">
        <v>0.757452369626191</v>
      </c>
      <c r="AL3267">
        <v>66.920611493653297</v>
      </c>
      <c r="AM3267">
        <v>106.43328985572499</v>
      </c>
      <c r="AN3267">
        <v>1.0000000099878701</v>
      </c>
    </row>
    <row r="3268" spans="1:40" x14ac:dyDescent="0.25">
      <c r="A3268" t="str">
        <f>"20190304164915269"</f>
        <v>20190304164915269</v>
      </c>
      <c r="B3268" t="str">
        <f>"1551689355259436"</f>
        <v>1551689355259436</v>
      </c>
      <c r="C3268" t="s">
        <v>40</v>
      </c>
      <c r="D3268">
        <v>4.2051059999999998</v>
      </c>
      <c r="E3268">
        <v>0.42392459999999998</v>
      </c>
      <c r="F3268" t="s">
        <v>41</v>
      </c>
      <c r="G3268">
        <v>-492.77890000000002</v>
      </c>
      <c r="H3268">
        <v>1.0369429999999999</v>
      </c>
      <c r="I3268">
        <v>246.18379999999999</v>
      </c>
      <c r="J3268">
        <v>-493.22019999999998</v>
      </c>
      <c r="K3268">
        <v>1.1121639999999999</v>
      </c>
      <c r="L3268">
        <v>246.74799999999999</v>
      </c>
      <c r="M3268">
        <v>3.7914820000000002E-2</v>
      </c>
      <c r="N3268">
        <v>-1.116719E-2</v>
      </c>
      <c r="O3268">
        <v>-0.99921879999999996</v>
      </c>
      <c r="P3268">
        <v>0.29328219999999999</v>
      </c>
      <c r="Q3268">
        <v>0.3835807</v>
      </c>
      <c r="R3268">
        <v>-0.87570059999999905</v>
      </c>
      <c r="S3268">
        <v>1.6437679999999999</v>
      </c>
      <c r="T3268">
        <v>-0.27270850000000002</v>
      </c>
      <c r="U3268">
        <v>-2.9958499999999999</v>
      </c>
      <c r="V3268">
        <v>-0.261214</v>
      </c>
      <c r="W3268">
        <v>0.39256020000000003</v>
      </c>
      <c r="X3268">
        <v>0.88185239999999998</v>
      </c>
      <c r="Y3268">
        <v>-0.44608350000000002</v>
      </c>
      <c r="Z3268">
        <v>6.9179710000000005E-2</v>
      </c>
      <c r="AA3268">
        <v>0.89231369999999899</v>
      </c>
      <c r="AB3268">
        <v>25</v>
      </c>
      <c r="AC3268">
        <v>0.44129999999995501</v>
      </c>
      <c r="AD3268">
        <v>-7.5220999999999899E-2</v>
      </c>
      <c r="AE3268">
        <v>-0.56419999999999904</v>
      </c>
      <c r="AF3268">
        <v>-0.41501294665484501</v>
      </c>
      <c r="AG3268">
        <v>-7.5220999999999899E-2</v>
      </c>
      <c r="AH3268">
        <v>0.57419480158208502</v>
      </c>
      <c r="AI3268">
        <v>96.060575034010995</v>
      </c>
      <c r="AJ3268">
        <v>125.85841629807101</v>
      </c>
      <c r="AK3268">
        <v>0.71245604418520203</v>
      </c>
      <c r="AL3268">
        <v>66.886102411822193</v>
      </c>
      <c r="AM3268">
        <v>106.499845807293</v>
      </c>
      <c r="AN3268">
        <v>0.99999995990289903</v>
      </c>
    </row>
    <row r="3269" spans="1:40" x14ac:dyDescent="0.25">
      <c r="A3269" t="str">
        <f>"20190304164915282"</f>
        <v>20190304164915282</v>
      </c>
      <c r="B3269" t="str">
        <f>"1551689355278959"</f>
        <v>1551689355278959</v>
      </c>
      <c r="C3269" t="s">
        <v>40</v>
      </c>
      <c r="D3269">
        <v>4.1983940000000004</v>
      </c>
      <c r="E3269">
        <v>0.42397030000000002</v>
      </c>
      <c r="F3269" t="s">
        <v>41</v>
      </c>
      <c r="G3269">
        <v>-492.75360000000001</v>
      </c>
      <c r="H3269">
        <v>1.036044</v>
      </c>
      <c r="I3269">
        <v>245.90479999999999</v>
      </c>
      <c r="J3269">
        <v>-493.21350000000001</v>
      </c>
      <c r="K3269">
        <v>1.112158</v>
      </c>
      <c r="L3269">
        <v>246.60470000000001</v>
      </c>
      <c r="M3269">
        <v>3.908354E-2</v>
      </c>
      <c r="N3269">
        <v>-1.116524E-2</v>
      </c>
      <c r="O3269">
        <v>-0.9991738</v>
      </c>
      <c r="P3269">
        <v>0.29505679999999901</v>
      </c>
      <c r="Q3269">
        <v>0.3838452</v>
      </c>
      <c r="R3269">
        <v>-0.87498849999999995</v>
      </c>
      <c r="S3269">
        <v>1.654266</v>
      </c>
      <c r="T3269">
        <v>-0.26993850000000003</v>
      </c>
      <c r="U3269">
        <v>-2.9900359999999999</v>
      </c>
      <c r="V3269">
        <v>-0.2619727</v>
      </c>
      <c r="W3269">
        <v>0.39282070000000002</v>
      </c>
      <c r="X3269">
        <v>0.8815113</v>
      </c>
      <c r="Y3269">
        <v>-0.44819690000000001</v>
      </c>
      <c r="Z3269">
        <v>6.8398020000000004E-2</v>
      </c>
      <c r="AA3269">
        <v>0.89131439999999995</v>
      </c>
      <c r="AB3269">
        <v>25</v>
      </c>
      <c r="AC3269">
        <v>0.45990000000000397</v>
      </c>
      <c r="AD3269">
        <v>-7.6114000000000001E-2</v>
      </c>
      <c r="AE3269">
        <v>-0.69990000000001296</v>
      </c>
      <c r="AF3269">
        <v>-0.42865161224913001</v>
      </c>
      <c r="AG3269">
        <v>-7.6114000000000001E-2</v>
      </c>
      <c r="AH3269">
        <v>0.71146407387368105</v>
      </c>
      <c r="AI3269">
        <v>95.235709725628098</v>
      </c>
      <c r="AJ3269">
        <v>121.06863899349101</v>
      </c>
      <c r="AK3269">
        <v>0.83409632183142601</v>
      </c>
      <c r="AL3269">
        <v>66.869873790845105</v>
      </c>
      <c r="AM3269">
        <v>106.551205185361</v>
      </c>
      <c r="AN3269">
        <v>0.99999998496073506</v>
      </c>
    </row>
    <row r="3270" spans="1:40" x14ac:dyDescent="0.25">
      <c r="A3270" t="str">
        <f>"20190304164915304"</f>
        <v>20190304164915304</v>
      </c>
      <c r="B3270" t="str">
        <f>"1551689355299452"</f>
        <v>1551689355299452</v>
      </c>
      <c r="C3270" t="s">
        <v>40</v>
      </c>
      <c r="D3270">
        <v>4.1936739999999997</v>
      </c>
      <c r="E3270">
        <v>0.42401179999999999</v>
      </c>
      <c r="F3270" t="s">
        <v>41</v>
      </c>
      <c r="G3270">
        <v>-492.7364</v>
      </c>
      <c r="H3270">
        <v>1.03494</v>
      </c>
      <c r="I3270">
        <v>245.7465</v>
      </c>
      <c r="J3270">
        <v>-493.20159999999998</v>
      </c>
      <c r="K3270">
        <v>1.112158</v>
      </c>
      <c r="L3270">
        <v>246.35820000000001</v>
      </c>
      <c r="M3270">
        <v>4.108411E-2</v>
      </c>
      <c r="N3270">
        <v>-1.1162439999999999E-2</v>
      </c>
      <c r="O3270">
        <v>-0.99909340000000002</v>
      </c>
      <c r="P3270">
        <v>0.29804239999999999</v>
      </c>
      <c r="Q3270">
        <v>0.38413770000000003</v>
      </c>
      <c r="R3270">
        <v>-0.87384719999999905</v>
      </c>
      <c r="S3270">
        <v>1.6605829999999999</v>
      </c>
      <c r="T3270">
        <v>-0.26872929999999901</v>
      </c>
      <c r="U3270">
        <v>-2.9865110000000001</v>
      </c>
      <c r="V3270">
        <v>-0.26322440000000003</v>
      </c>
      <c r="W3270">
        <v>0.39310440000000002</v>
      </c>
      <c r="X3270">
        <v>0.88101180000000001</v>
      </c>
      <c r="Y3270">
        <v>-0.44830639999999999</v>
      </c>
      <c r="Z3270">
        <v>6.8084640000000002E-2</v>
      </c>
      <c r="AA3270">
        <v>0.8912833</v>
      </c>
      <c r="AB3270">
        <v>25</v>
      </c>
      <c r="AC3270">
        <v>0.46519999999998102</v>
      </c>
      <c r="AD3270">
        <v>-7.7217999999999995E-2</v>
      </c>
      <c r="AE3270">
        <v>-0.61170000000001301</v>
      </c>
      <c r="AF3270">
        <v>-0.435279846857275</v>
      </c>
      <c r="AG3270">
        <v>-7.7217999999999995E-2</v>
      </c>
      <c r="AH3270">
        <v>0.62399706909183195</v>
      </c>
      <c r="AI3270">
        <v>95.795314088008695</v>
      </c>
      <c r="AJ3270">
        <v>124.898360899609</v>
      </c>
      <c r="AK3270">
        <v>0.76472446465330801</v>
      </c>
      <c r="AL3270">
        <v>66.852196660023694</v>
      </c>
      <c r="AM3270">
        <v>106.63483643577</v>
      </c>
      <c r="AN3270">
        <v>0.99999997289697895</v>
      </c>
    </row>
    <row r="3271" spans="1:40" x14ac:dyDescent="0.25">
      <c r="A3271" t="str">
        <f>"20190304164915325"</f>
        <v>20190304164915325</v>
      </c>
      <c r="B3271" t="str">
        <f>"1551689355318972"</f>
        <v>1551689355318972</v>
      </c>
      <c r="C3271" t="s">
        <v>40</v>
      </c>
      <c r="D3271">
        <v>4.1913900000000002</v>
      </c>
      <c r="E3271">
        <v>0.4241103</v>
      </c>
      <c r="F3271" t="s">
        <v>41</v>
      </c>
      <c r="G3271">
        <v>-492.73090000000002</v>
      </c>
      <c r="H3271">
        <v>1.0367470000000001</v>
      </c>
      <c r="I3271">
        <v>245.5189</v>
      </c>
      <c r="J3271">
        <v>-493.18920000000003</v>
      </c>
      <c r="K3271">
        <v>1.1121509999999999</v>
      </c>
      <c r="L3271">
        <v>246.1129</v>
      </c>
      <c r="M3271">
        <v>4.307213E-2</v>
      </c>
      <c r="N3271">
        <v>-1.116026E-2</v>
      </c>
      <c r="O3271">
        <v>-0.99900999999999995</v>
      </c>
      <c r="P3271">
        <v>0.30123860000000002</v>
      </c>
      <c r="Q3271">
        <v>0.38439810000000002</v>
      </c>
      <c r="R3271">
        <v>-0.87263649999999904</v>
      </c>
      <c r="S3271">
        <v>1.6717219999999999</v>
      </c>
      <c r="T3271">
        <v>-0.267789099999999</v>
      </c>
      <c r="U3271">
        <v>-2.9805760000000001</v>
      </c>
      <c r="V3271">
        <v>-0.26470749999999998</v>
      </c>
      <c r="W3271">
        <v>0.39335209999999998</v>
      </c>
      <c r="X3271">
        <v>0.88045669999999898</v>
      </c>
      <c r="Y3271">
        <v>-0.4498277</v>
      </c>
      <c r="Z3271">
        <v>6.784577E-2</v>
      </c>
      <c r="AA3271">
        <v>0.89053459999999995</v>
      </c>
      <c r="AB3271">
        <v>25</v>
      </c>
      <c r="AC3271">
        <v>0.45830000000000798</v>
      </c>
      <c r="AD3271">
        <v>-7.5404000000000193E-2</v>
      </c>
      <c r="AE3271">
        <v>-0.59399999999999398</v>
      </c>
      <c r="AF3271">
        <v>-0.42796519861006999</v>
      </c>
      <c r="AG3271">
        <v>-7.5404000000000193E-2</v>
      </c>
      <c r="AH3271">
        <v>0.60705779077128097</v>
      </c>
      <c r="AI3271">
        <v>95.796830799744797</v>
      </c>
      <c r="AJ3271">
        <v>125.183171856927</v>
      </c>
      <c r="AK3271">
        <v>0.746564890530934</v>
      </c>
      <c r="AL3271">
        <v>66.836760889211007</v>
      </c>
      <c r="AM3271">
        <v>106.73329749241501</v>
      </c>
      <c r="AN3271">
        <v>0.99999996785277401</v>
      </c>
    </row>
    <row r="3272" spans="1:40" x14ac:dyDescent="0.25">
      <c r="A3272" t="str">
        <f>"20190304164915347"</f>
        <v>20190304164915347</v>
      </c>
      <c r="B3272" t="str">
        <f>"1551689355339468"</f>
        <v>1551689355339468</v>
      </c>
      <c r="C3272" t="s">
        <v>40</v>
      </c>
      <c r="D3272">
        <v>4.1636230000000003</v>
      </c>
      <c r="E3272">
        <v>0.42420940000000001</v>
      </c>
      <c r="F3272" t="s">
        <v>41</v>
      </c>
      <c r="G3272">
        <v>-492.72489999999999</v>
      </c>
      <c r="H3272">
        <v>1.0382279999999999</v>
      </c>
      <c r="I3272">
        <v>245.2911</v>
      </c>
      <c r="J3272">
        <v>-493.1764</v>
      </c>
      <c r="K3272">
        <v>1.1121559999999999</v>
      </c>
      <c r="L3272">
        <v>245.8682</v>
      </c>
      <c r="M3272">
        <v>4.5057119999999999E-2</v>
      </c>
      <c r="N3272">
        <v>-1.115853E-2</v>
      </c>
      <c r="O3272">
        <v>-0.99892219999999998</v>
      </c>
      <c r="P3272">
        <v>0.30475980000000003</v>
      </c>
      <c r="Q3272">
        <v>0.38426290000000002</v>
      </c>
      <c r="R3272">
        <v>-0.87147209999999997</v>
      </c>
      <c r="S3272">
        <v>1.6817629999999999</v>
      </c>
      <c r="T3272">
        <v>-0.26763019999999998</v>
      </c>
      <c r="U3272">
        <v>-2.9751889999999999</v>
      </c>
      <c r="V3272">
        <v>-0.26652120000000001</v>
      </c>
      <c r="W3272">
        <v>0.3932022</v>
      </c>
      <c r="X3272">
        <v>0.87997649999999905</v>
      </c>
      <c r="Y3272">
        <v>-0.45102239999999999</v>
      </c>
      <c r="Z3272">
        <v>6.7834740000000004E-2</v>
      </c>
      <c r="AA3272">
        <v>0.88993099999999903</v>
      </c>
      <c r="AB3272">
        <v>25</v>
      </c>
      <c r="AC3272">
        <v>0.45150000000001</v>
      </c>
      <c r="AD3272">
        <v>-7.3927999999999702E-2</v>
      </c>
      <c r="AE3272">
        <v>-0.57710000000000095</v>
      </c>
      <c r="AF3272">
        <v>-0.42075424959066099</v>
      </c>
      <c r="AG3272">
        <v>-7.3927999999999702E-2</v>
      </c>
      <c r="AH3272">
        <v>0.59084387962155105</v>
      </c>
      <c r="AI3272">
        <v>95.819527608414205</v>
      </c>
      <c r="AJ3272">
        <v>125.455589599707</v>
      </c>
      <c r="AK3272">
        <v>0.72910628705206404</v>
      </c>
      <c r="AL3272">
        <v>66.846105010668495</v>
      </c>
      <c r="AM3272">
        <v>106.850148245765</v>
      </c>
      <c r="AN3272">
        <v>1.00000008034326</v>
      </c>
    </row>
    <row r="3273" spans="1:40" x14ac:dyDescent="0.25">
      <c r="A3273" t="str">
        <f>"20190304164915359"</f>
        <v>20190304164915359</v>
      </c>
      <c r="B3273" t="str">
        <f>"1551689355349228"</f>
        <v>1551689355349228</v>
      </c>
      <c r="C3273" t="s">
        <v>40</v>
      </c>
      <c r="D3273">
        <v>4.1759139999999997</v>
      </c>
      <c r="E3273">
        <v>0.42427860000000001</v>
      </c>
      <c r="F3273" t="s">
        <v>41</v>
      </c>
      <c r="G3273">
        <v>-492.71749999999997</v>
      </c>
      <c r="H3273">
        <v>1.0390440000000001</v>
      </c>
      <c r="I3273">
        <v>245.0625</v>
      </c>
      <c r="J3273">
        <v>-493.1687</v>
      </c>
      <c r="K3273">
        <v>1.1121570000000001</v>
      </c>
      <c r="L3273">
        <v>245.72550000000001</v>
      </c>
      <c r="M3273">
        <v>4.6218099999999998E-2</v>
      </c>
      <c r="N3273">
        <v>-1.115771E-2</v>
      </c>
      <c r="O3273">
        <v>-0.99886920000000001</v>
      </c>
      <c r="P3273">
        <v>0.30647089999999999</v>
      </c>
      <c r="Q3273">
        <v>0.38414480000000001</v>
      </c>
      <c r="R3273">
        <v>-0.87092400000000003</v>
      </c>
      <c r="S3273">
        <v>1.691681</v>
      </c>
      <c r="T3273">
        <v>-0.26945970000000002</v>
      </c>
      <c r="U3273">
        <v>-2.9696039999999999</v>
      </c>
      <c r="V3273">
        <v>-0.26723019999999997</v>
      </c>
      <c r="W3273">
        <v>0.39307720000000002</v>
      </c>
      <c r="X3273">
        <v>0.87981719999999897</v>
      </c>
      <c r="Y3273">
        <v>-0.45292769999999999</v>
      </c>
      <c r="Z3273">
        <v>6.8396719999999994E-2</v>
      </c>
      <c r="AA3273">
        <v>0.88891980000000004</v>
      </c>
      <c r="AB3273">
        <v>25</v>
      </c>
      <c r="AC3273">
        <v>0.45120000000002802</v>
      </c>
      <c r="AD3273">
        <v>-7.31129999999999E-2</v>
      </c>
      <c r="AE3273">
        <v>-0.66300000000001003</v>
      </c>
      <c r="AF3273">
        <v>-0.41661063469763299</v>
      </c>
      <c r="AG3273">
        <v>-7.31129999999999E-2</v>
      </c>
      <c r="AH3273">
        <v>0.67751518243210096</v>
      </c>
      <c r="AI3273">
        <v>95.252146313726598</v>
      </c>
      <c r="AJ3273">
        <v>121.58776018058199</v>
      </c>
      <c r="AK3273">
        <v>0.7987094303551</v>
      </c>
      <c r="AL3273">
        <v>66.853891844961296</v>
      </c>
      <c r="AM3273">
        <v>106.895307657719</v>
      </c>
      <c r="AN3273">
        <v>0.99999998518385902</v>
      </c>
    </row>
    <row r="3274" spans="1:40" x14ac:dyDescent="0.25">
      <c r="A3274" t="str">
        <f>"20190304164915380"</f>
        <v>20190304164915380</v>
      </c>
      <c r="B3274" t="str">
        <f>"1551689355368751"</f>
        <v>1551689355368751</v>
      </c>
      <c r="C3274" t="s">
        <v>40</v>
      </c>
      <c r="D3274">
        <v>4.1283399999999997</v>
      </c>
      <c r="E3274">
        <v>0.42437900000000001</v>
      </c>
      <c r="F3274" t="s">
        <v>41</v>
      </c>
      <c r="G3274">
        <v>-492.66699999999997</v>
      </c>
      <c r="H3274">
        <v>1.0319290000000001</v>
      </c>
      <c r="I3274">
        <v>244.84710000000001</v>
      </c>
      <c r="J3274">
        <v>-493.1558</v>
      </c>
      <c r="K3274">
        <v>1.112168</v>
      </c>
      <c r="L3274">
        <v>245.49350000000001</v>
      </c>
      <c r="M3274">
        <v>4.8112259999999997E-2</v>
      </c>
      <c r="N3274">
        <v>-1.1156660000000001E-2</v>
      </c>
      <c r="O3274">
        <v>-0.99877969999999905</v>
      </c>
      <c r="P3274">
        <v>0.31006810000000001</v>
      </c>
      <c r="Q3274">
        <v>0.3844708</v>
      </c>
      <c r="R3274">
        <v>-0.86950569999999905</v>
      </c>
      <c r="S3274">
        <v>1.69577</v>
      </c>
      <c r="T3274">
        <v>-0.271018599999999</v>
      </c>
      <c r="U3274">
        <v>-2.9674070000000001</v>
      </c>
      <c r="V3274">
        <v>-0.26922079999999998</v>
      </c>
      <c r="W3274">
        <v>0.3933837</v>
      </c>
      <c r="X3274">
        <v>0.87907299999999999</v>
      </c>
      <c r="Y3274">
        <v>-0.45242789999999999</v>
      </c>
      <c r="Z3274">
        <v>6.8885450000000001E-2</v>
      </c>
      <c r="AA3274">
        <v>0.88913659999999906</v>
      </c>
      <c r="AB3274">
        <v>25</v>
      </c>
      <c r="AC3274">
        <v>0.48880000000002599</v>
      </c>
      <c r="AD3274">
        <v>-8.0238999999999894E-2</v>
      </c>
      <c r="AE3274">
        <v>-0.64639999999999898</v>
      </c>
      <c r="AF3274">
        <v>-0.45269434123089702</v>
      </c>
      <c r="AG3274">
        <v>-8.0238999999999894E-2</v>
      </c>
      <c r="AH3274">
        <v>0.66267378165046098</v>
      </c>
      <c r="AI3274">
        <v>95.709540522287</v>
      </c>
      <c r="AJ3274">
        <v>124.33827282083899</v>
      </c>
      <c r="AK3274">
        <v>0.80654014443820399</v>
      </c>
      <c r="AL3274">
        <v>66.834791311778503</v>
      </c>
      <c r="AM3274">
        <v>107.02748702922101</v>
      </c>
      <c r="AN3274">
        <v>0.99999995695366395</v>
      </c>
    </row>
    <row r="3275" spans="1:40" x14ac:dyDescent="0.25">
      <c r="A3275" t="str">
        <f>"20190304164915393"</f>
        <v>20190304164915393</v>
      </c>
      <c r="B3275" t="str">
        <f>"1551689355389245"</f>
        <v>1551689355389245</v>
      </c>
      <c r="C3275" t="s">
        <v>40</v>
      </c>
      <c r="D3275">
        <v>4.1568569999999996</v>
      </c>
      <c r="E3275">
        <v>0.4244021</v>
      </c>
      <c r="F3275" t="s">
        <v>41</v>
      </c>
      <c r="G3275">
        <v>-492.65300000000002</v>
      </c>
      <c r="H3275">
        <v>1.03224</v>
      </c>
      <c r="I3275">
        <v>244.6208</v>
      </c>
      <c r="J3275">
        <v>-493.14729999999997</v>
      </c>
      <c r="K3275">
        <v>1.1121730000000001</v>
      </c>
      <c r="L3275">
        <v>245.3426</v>
      </c>
      <c r="M3275">
        <v>4.934914E-2</v>
      </c>
      <c r="N3275">
        <v>-1.115616E-2</v>
      </c>
      <c r="O3275">
        <v>-0.99871949999999998</v>
      </c>
      <c r="P3275">
        <v>0.31195309999999998</v>
      </c>
      <c r="Q3275">
        <v>0.38447779999999998</v>
      </c>
      <c r="R3275">
        <v>-0.8688283</v>
      </c>
      <c r="S3275">
        <v>1.7065429999999999</v>
      </c>
      <c r="T3275">
        <v>-0.27125559999999999</v>
      </c>
      <c r="U3275">
        <v>-2.9616389999999999</v>
      </c>
      <c r="V3275">
        <v>-0.27004719999999999</v>
      </c>
      <c r="W3275">
        <v>0.3933815</v>
      </c>
      <c r="X3275">
        <v>0.8788205</v>
      </c>
      <c r="Y3275">
        <v>-0.45449630000000002</v>
      </c>
      <c r="Z3275">
        <v>6.89752E-2</v>
      </c>
      <c r="AA3275">
        <v>0.88807400000000003</v>
      </c>
      <c r="AB3275">
        <v>26</v>
      </c>
      <c r="AC3275">
        <v>0.494299999999952</v>
      </c>
      <c r="AD3275">
        <v>-7.9932999999999796E-2</v>
      </c>
      <c r="AE3275">
        <v>-0.721800000000001</v>
      </c>
      <c r="AF3275">
        <v>-0.45428269931994403</v>
      </c>
      <c r="AG3275">
        <v>-7.9932999999999796E-2</v>
      </c>
      <c r="AH3275">
        <v>0.73914453847513895</v>
      </c>
      <c r="AI3275">
        <v>95.263944736285197</v>
      </c>
      <c r="AJ3275">
        <v>121.57513514340501</v>
      </c>
      <c r="AK3275">
        <v>0.87126155897528301</v>
      </c>
      <c r="AL3275">
        <v>66.834929055019998</v>
      </c>
      <c r="AM3275">
        <v>107.081338909092</v>
      </c>
      <c r="AN3275">
        <v>0.99999998299516901</v>
      </c>
    </row>
    <row r="3276" spans="1:40" x14ac:dyDescent="0.25">
      <c r="A3276" t="str">
        <f>"20190304164915418"</f>
        <v>20190304164915418</v>
      </c>
      <c r="B3276" t="str">
        <f>"1551689355408764"</f>
        <v>1551689355408764</v>
      </c>
      <c r="C3276" t="s">
        <v>40</v>
      </c>
      <c r="D3276">
        <v>4.1090220000000004</v>
      </c>
      <c r="E3276">
        <v>0.42437039999999998</v>
      </c>
      <c r="F3276" t="s">
        <v>42</v>
      </c>
      <c r="G3276">
        <v>-486.13830000000002</v>
      </c>
      <c r="H3276" s="1">
        <v>-2.246601E-6</v>
      </c>
      <c r="I3276">
        <v>233.2304</v>
      </c>
      <c r="J3276">
        <v>-493.1309</v>
      </c>
      <c r="K3276">
        <v>1.1121799999999999</v>
      </c>
      <c r="L3276">
        <v>245.06440000000001</v>
      </c>
      <c r="M3276">
        <v>5.163885E-2</v>
      </c>
      <c r="N3276">
        <v>-1.115566E-2</v>
      </c>
      <c r="O3276">
        <v>-0.99860380000000004</v>
      </c>
      <c r="P3276">
        <v>0.3158591</v>
      </c>
      <c r="Q3276">
        <v>0.38444879999999998</v>
      </c>
      <c r="R3276">
        <v>-0.86742839999999999</v>
      </c>
      <c r="S3276">
        <v>1.711975</v>
      </c>
      <c r="T3276">
        <v>-0.27165339999999999</v>
      </c>
      <c r="U3276">
        <v>-2.95845</v>
      </c>
      <c r="V3276">
        <v>-0.27200150000000001</v>
      </c>
      <c r="W3276">
        <v>0.39333420000000002</v>
      </c>
      <c r="X3276">
        <v>0.87823879999999999</v>
      </c>
      <c r="Y3276">
        <v>-0.45408680000000001</v>
      </c>
      <c r="Z3276">
        <v>6.9134180000000003E-2</v>
      </c>
      <c r="AA3276">
        <v>0.88827119999999904</v>
      </c>
      <c r="AB3276">
        <v>26</v>
      </c>
      <c r="AC3276">
        <v>6.9925999999999799</v>
      </c>
      <c r="AD3276">
        <v>-1.1121822466009901</v>
      </c>
      <c r="AE3276">
        <v>-11.834</v>
      </c>
      <c r="AF3276">
        <v>-6.33069181388184</v>
      </c>
      <c r="AG3276">
        <v>-1.1121822466009901</v>
      </c>
      <c r="AH3276">
        <v>12.100104834035699</v>
      </c>
      <c r="AI3276">
        <v>94.656001835712402</v>
      </c>
      <c r="AJ3276">
        <v>117.61825570987899</v>
      </c>
      <c r="AK3276">
        <v>13.7013555966795</v>
      </c>
      <c r="AL3276">
        <v>66.837877175639207</v>
      </c>
      <c r="AM3276">
        <v>107.208404609385</v>
      </c>
      <c r="AN3276">
        <v>0.99999999935866501</v>
      </c>
    </row>
    <row r="3277" spans="1:40" x14ac:dyDescent="0.25">
      <c r="A3277" t="str">
        <f>"20190304164915436"</f>
        <v>20190304164915436</v>
      </c>
      <c r="B3277" t="str">
        <f>"1551689355429260"</f>
        <v>1551689355429260</v>
      </c>
      <c r="C3277" t="s">
        <v>40</v>
      </c>
      <c r="D3277">
        <v>4.0805230000000003</v>
      </c>
      <c r="E3277">
        <v>0.42437009999999997</v>
      </c>
      <c r="F3277" t="s">
        <v>41</v>
      </c>
      <c r="G3277">
        <v>-492.60919999999999</v>
      </c>
      <c r="H3277">
        <v>1.0298769999999999</v>
      </c>
      <c r="I3277">
        <v>244.172</v>
      </c>
      <c r="J3277">
        <v>-493.11829999999998</v>
      </c>
      <c r="K3277">
        <v>1.112174</v>
      </c>
      <c r="L3277">
        <v>244.8569</v>
      </c>
      <c r="M3277">
        <v>5.3354499999999999E-2</v>
      </c>
      <c r="N3277">
        <v>-1.1155480000000001E-2</v>
      </c>
      <c r="O3277">
        <v>-0.99851350000000005</v>
      </c>
      <c r="P3277">
        <v>0.31949420000000001</v>
      </c>
      <c r="Q3277">
        <v>0.38443850000000002</v>
      </c>
      <c r="R3277">
        <v>-0.86610100000000001</v>
      </c>
      <c r="S3277">
        <v>1.7255860000000001</v>
      </c>
      <c r="T3277">
        <v>-0.27212120000000001</v>
      </c>
      <c r="U3277">
        <v>-2.9507750000000001</v>
      </c>
      <c r="V3277">
        <v>-0.27419179999999999</v>
      </c>
      <c r="W3277">
        <v>0.39330389999999998</v>
      </c>
      <c r="X3277">
        <v>0.87757099999999899</v>
      </c>
      <c r="Y3277">
        <v>-0.45660810000000002</v>
      </c>
      <c r="Z3277">
        <v>6.9305140000000001E-2</v>
      </c>
      <c r="AA3277">
        <v>0.88696439999999999</v>
      </c>
      <c r="AB3277">
        <v>26</v>
      </c>
      <c r="AC3277">
        <v>0.50909999999998901</v>
      </c>
      <c r="AD3277">
        <v>-8.2296999999999801E-2</v>
      </c>
      <c r="AE3277">
        <v>-0.68489999999999895</v>
      </c>
      <c r="AF3277">
        <v>-0.46748249224807897</v>
      </c>
      <c r="AG3277">
        <v>-8.2296999999999801E-2</v>
      </c>
      <c r="AH3277">
        <v>0.70453671907647797</v>
      </c>
      <c r="AI3277">
        <v>95.559228624542897</v>
      </c>
      <c r="AJ3277">
        <v>123.565537537873</v>
      </c>
      <c r="AK3277">
        <v>0.84952025596481395</v>
      </c>
      <c r="AL3277">
        <v>66.839764964521706</v>
      </c>
      <c r="AM3277">
        <v>107.351101870614</v>
      </c>
      <c r="AN3277">
        <v>0.99999998049172401</v>
      </c>
    </row>
    <row r="3278" spans="1:40" x14ac:dyDescent="0.25">
      <c r="A3278" t="str">
        <f>"20190304164915449"</f>
        <v>20190304164915449</v>
      </c>
      <c r="B3278" t="str">
        <f>"1551689355438677"</f>
        <v>1551689355438677</v>
      </c>
      <c r="C3278" t="s">
        <v>40</v>
      </c>
      <c r="D3278">
        <v>4.0823780000000003</v>
      </c>
      <c r="E3278">
        <v>0.42438350000000002</v>
      </c>
      <c r="F3278" t="s">
        <v>41</v>
      </c>
      <c r="G3278">
        <v>-492.58249999999998</v>
      </c>
      <c r="H3278">
        <v>1.0280549999999999</v>
      </c>
      <c r="I3278">
        <v>243.9487</v>
      </c>
      <c r="J3278">
        <v>-493.10860000000002</v>
      </c>
      <c r="K3278">
        <v>1.1121780000000001</v>
      </c>
      <c r="L3278">
        <v>244.70089999999999</v>
      </c>
      <c r="M3278">
        <v>5.464902E-2</v>
      </c>
      <c r="N3278">
        <v>-1.1155470000000001E-2</v>
      </c>
      <c r="O3278">
        <v>-0.99844350000000004</v>
      </c>
      <c r="P3278">
        <v>0.32175039999999999</v>
      </c>
      <c r="Q3278">
        <v>0.38449159999999999</v>
      </c>
      <c r="R3278">
        <v>-0.86524179999999995</v>
      </c>
      <c r="S3278">
        <v>1.7376400000000001</v>
      </c>
      <c r="T3278">
        <v>-0.2726153</v>
      </c>
      <c r="U3278">
        <v>-2.9437869999999999</v>
      </c>
      <c r="V3278">
        <v>-0.27535340000000003</v>
      </c>
      <c r="W3278">
        <v>0.3933451</v>
      </c>
      <c r="X3278">
        <v>0.87718879999999999</v>
      </c>
      <c r="Y3278">
        <v>-0.45906170000000002</v>
      </c>
      <c r="Z3278">
        <v>6.9479120000000005E-2</v>
      </c>
      <c r="AA3278">
        <v>0.88568340000000001</v>
      </c>
      <c r="AB3278">
        <v>26</v>
      </c>
      <c r="AC3278">
        <v>0.52610000000004198</v>
      </c>
      <c r="AD3278">
        <v>-8.41230000000001E-2</v>
      </c>
      <c r="AE3278">
        <v>-0.75219999999998699</v>
      </c>
      <c r="AF3278">
        <v>-0.48017132473615098</v>
      </c>
      <c r="AG3278">
        <v>-8.41230000000001E-2</v>
      </c>
      <c r="AH3278">
        <v>0.77333338262391604</v>
      </c>
      <c r="AI3278">
        <v>95.2799614702909</v>
      </c>
      <c r="AJ3278">
        <v>121.836607206872</v>
      </c>
      <c r="AK3278">
        <v>0.91415846597207595</v>
      </c>
      <c r="AL3278">
        <v>66.837198567802403</v>
      </c>
      <c r="AM3278">
        <v>107.427301152357</v>
      </c>
      <c r="AN3278">
        <v>1.0000000267155</v>
      </c>
    </row>
    <row r="3279" spans="1:40" x14ac:dyDescent="0.25">
      <c r="A3279" t="str">
        <f>"20190304164915468"</f>
        <v>20190304164915468</v>
      </c>
      <c r="B3279" t="str">
        <f>"1551689355459176"</f>
        <v>1551689355459176</v>
      </c>
      <c r="C3279" t="s">
        <v>40</v>
      </c>
      <c r="D3279">
        <v>4.0463449999999996</v>
      </c>
      <c r="E3279">
        <v>0.42441099999999998</v>
      </c>
      <c r="F3279" t="s">
        <v>41</v>
      </c>
      <c r="G3279">
        <v>-492.63889999999998</v>
      </c>
      <c r="H3279">
        <v>1.038632</v>
      </c>
      <c r="I3279">
        <v>243.90880000000001</v>
      </c>
      <c r="J3279">
        <v>-493.09440000000001</v>
      </c>
      <c r="K3279">
        <v>1.1121840000000001</v>
      </c>
      <c r="L3279">
        <v>244.47989999999999</v>
      </c>
      <c r="M3279">
        <v>5.6489190000000002E-2</v>
      </c>
      <c r="N3279">
        <v>-1.115565E-2</v>
      </c>
      <c r="O3279">
        <v>-0.99834100000000003</v>
      </c>
      <c r="P3279">
        <v>0.32584360000000001</v>
      </c>
      <c r="Q3279">
        <v>0.38433689999999998</v>
      </c>
      <c r="R3279">
        <v>-0.86377719999999902</v>
      </c>
      <c r="S3279">
        <v>1.744354</v>
      </c>
      <c r="T3279">
        <v>-0.27294289999999999</v>
      </c>
      <c r="U3279">
        <v>-2.9399410000000001</v>
      </c>
      <c r="V3279">
        <v>-0.27790479999999901</v>
      </c>
      <c r="W3279">
        <v>0.39316790000000001</v>
      </c>
      <c r="X3279">
        <v>0.87646329999999995</v>
      </c>
      <c r="Y3279">
        <v>-0.45942519999999998</v>
      </c>
      <c r="Z3279">
        <v>6.9607290000000002E-2</v>
      </c>
      <c r="AA3279">
        <v>0.88548479999999996</v>
      </c>
      <c r="AB3279">
        <v>26</v>
      </c>
      <c r="AC3279">
        <v>0.45550000000002899</v>
      </c>
      <c r="AD3279">
        <v>-7.3552000000000006E-2</v>
      </c>
      <c r="AE3279">
        <v>-0.57109999999997196</v>
      </c>
      <c r="AF3279">
        <v>-0.41826925613405103</v>
      </c>
      <c r="AG3279">
        <v>-7.3552000000000006E-2</v>
      </c>
      <c r="AH3279">
        <v>0.58993968620939996</v>
      </c>
      <c r="AI3279">
        <v>95.807437860173593</v>
      </c>
      <c r="AJ3279">
        <v>125.33677126102199</v>
      </c>
      <c r="AK3279">
        <v>0.72690295135993099</v>
      </c>
      <c r="AL3279">
        <v>66.848240332560096</v>
      </c>
      <c r="AM3279">
        <v>107.59253162661</v>
      </c>
      <c r="AN3279">
        <v>0.99999999585016897</v>
      </c>
    </row>
    <row r="3280" spans="1:40" x14ac:dyDescent="0.25">
      <c r="A3280" t="str">
        <f>"20190304164915495"</f>
        <v>20190304164915495</v>
      </c>
      <c r="B3280" t="str">
        <f>"1551689355489429"</f>
        <v>1551689355489429</v>
      </c>
      <c r="C3280" t="s">
        <v>40</v>
      </c>
      <c r="D3280">
        <v>4.0260930000000004</v>
      </c>
      <c r="E3280">
        <v>0.42454140000000001</v>
      </c>
      <c r="F3280" t="s">
        <v>41</v>
      </c>
      <c r="G3280">
        <v>-492.62830000000002</v>
      </c>
      <c r="H3280">
        <v>1.0394570000000001</v>
      </c>
      <c r="I3280">
        <v>243.702</v>
      </c>
      <c r="J3280">
        <v>-493.0754</v>
      </c>
      <c r="K3280">
        <v>1.112209</v>
      </c>
      <c r="L3280">
        <v>244.19159999999999</v>
      </c>
      <c r="M3280">
        <v>5.8915500000000003E-2</v>
      </c>
      <c r="N3280">
        <v>-1.115615E-2</v>
      </c>
      <c r="O3280">
        <v>-0.998201</v>
      </c>
      <c r="P3280">
        <v>0.3306095</v>
      </c>
      <c r="Q3280">
        <v>0.3843144</v>
      </c>
      <c r="R3280">
        <v>-0.86197449999999998</v>
      </c>
      <c r="S3280">
        <v>1.7575989999999999</v>
      </c>
      <c r="T3280">
        <v>-0.2740998</v>
      </c>
      <c r="U3280">
        <v>-2.9320680000000001</v>
      </c>
      <c r="V3280">
        <v>-0.28064420000000001</v>
      </c>
      <c r="W3280">
        <v>0.39311449999999998</v>
      </c>
      <c r="X3280">
        <v>0.875613999999999</v>
      </c>
      <c r="Y3280">
        <v>-0.46124280000000001</v>
      </c>
      <c r="Z3280">
        <v>6.9995950000000001E-2</v>
      </c>
      <c r="AA3280">
        <v>0.88450869999999904</v>
      </c>
      <c r="AB3280">
        <v>26</v>
      </c>
      <c r="AC3280">
        <v>0.44709999999997702</v>
      </c>
      <c r="AD3280">
        <v>-7.27519999999999E-2</v>
      </c>
      <c r="AE3280">
        <v>-0.48959999999999498</v>
      </c>
      <c r="AF3280">
        <v>-0.412509856089813</v>
      </c>
      <c r="AG3280">
        <v>-7.27519999999999E-2</v>
      </c>
      <c r="AH3280">
        <v>0.50896427737358696</v>
      </c>
      <c r="AI3280">
        <v>96.336616591611303</v>
      </c>
      <c r="AJ3280">
        <v>129.02438008869299</v>
      </c>
      <c r="AK3280">
        <v>0.65916755875699495</v>
      </c>
      <c r="AL3280">
        <v>66.851568630790794</v>
      </c>
      <c r="AM3280">
        <v>107.771242921216</v>
      </c>
      <c r="AN3280">
        <v>1.0000000270499401</v>
      </c>
    </row>
    <row r="3281" spans="1:40" x14ac:dyDescent="0.25">
      <c r="A3281" t="str">
        <f>"20190304164915516"</f>
        <v>20190304164915516</v>
      </c>
      <c r="B3281" t="str">
        <f>"1551689355508948"</f>
        <v>1551689355508948</v>
      </c>
      <c r="C3281" t="s">
        <v>40</v>
      </c>
      <c r="D3281">
        <v>4.0064199999999897</v>
      </c>
      <c r="E3281">
        <v>0.42457339999999999</v>
      </c>
      <c r="F3281" t="s">
        <v>41</v>
      </c>
      <c r="G3281">
        <v>-492.58699999999999</v>
      </c>
      <c r="H3281">
        <v>1.0364960000000001</v>
      </c>
      <c r="I3281">
        <v>243.3854</v>
      </c>
      <c r="J3281">
        <v>-493.05919999999998</v>
      </c>
      <c r="K3281">
        <v>1.1122339999999999</v>
      </c>
      <c r="L3281">
        <v>243.95480000000001</v>
      </c>
      <c r="M3281">
        <v>6.0952039999999999E-2</v>
      </c>
      <c r="N3281">
        <v>-1.115726E-2</v>
      </c>
      <c r="O3281">
        <v>-0.99807849999999998</v>
      </c>
      <c r="P3281">
        <v>0.3351499</v>
      </c>
      <c r="Q3281">
        <v>0.38468809999999998</v>
      </c>
      <c r="R3281">
        <v>-0.86005229999999999</v>
      </c>
      <c r="S3281">
        <v>1.7719119999999999</v>
      </c>
      <c r="T3281">
        <v>-0.27450910000000001</v>
      </c>
      <c r="U3281">
        <v>-2.9231720000000001</v>
      </c>
      <c r="V3281">
        <v>-0.28352500000000003</v>
      </c>
      <c r="W3281">
        <v>0.39344810000000002</v>
      </c>
      <c r="X3281">
        <v>0.87453539999999996</v>
      </c>
      <c r="Y3281">
        <v>-0.46378449999999999</v>
      </c>
      <c r="Z3281">
        <v>7.0166010000000001E-2</v>
      </c>
      <c r="AA3281">
        <v>0.88316510000000004</v>
      </c>
      <c r="AB3281">
        <v>26</v>
      </c>
      <c r="AC3281">
        <v>0.47219999999998602</v>
      </c>
      <c r="AD3281">
        <v>-7.5738E-2</v>
      </c>
      <c r="AE3281">
        <v>-0.56940000000000102</v>
      </c>
      <c r="AF3281">
        <v>-0.432084096049898</v>
      </c>
      <c r="AG3281">
        <v>-7.5738E-2</v>
      </c>
      <c r="AH3281">
        <v>0.59092973929651404</v>
      </c>
      <c r="AI3281">
        <v>95.906828146340203</v>
      </c>
      <c r="AJ3281">
        <v>126.174035750268</v>
      </c>
      <c r="AK3281">
        <v>0.73595575103962896</v>
      </c>
      <c r="AL3281">
        <v>66.830778859357096</v>
      </c>
      <c r="AM3281">
        <v>107.962731156424</v>
      </c>
      <c r="AN3281">
        <v>0.99999999943588402</v>
      </c>
    </row>
    <row r="3282" spans="1:40" x14ac:dyDescent="0.25">
      <c r="A3282" t="str">
        <f>"20190304164915541"</f>
        <v>20190304164915541</v>
      </c>
      <c r="B3282" t="str">
        <f>"1551689355529445"</f>
        <v>1551689355529445</v>
      </c>
      <c r="C3282" t="s">
        <v>40</v>
      </c>
      <c r="D3282">
        <v>4.0075820000000002</v>
      </c>
      <c r="E3282">
        <v>0.42464360000000001</v>
      </c>
      <c r="F3282" t="s">
        <v>41</v>
      </c>
      <c r="G3282">
        <v>-492.50290000000001</v>
      </c>
      <c r="H3282">
        <v>1.0268619999999999</v>
      </c>
      <c r="I3282">
        <v>243.04589999999999</v>
      </c>
      <c r="J3282">
        <v>-493.03820000000002</v>
      </c>
      <c r="K3282">
        <v>1.1122989999999999</v>
      </c>
      <c r="L3282">
        <v>243.66079999999999</v>
      </c>
      <c r="M3282">
        <v>6.3573160000000004E-2</v>
      </c>
      <c r="N3282">
        <v>-1.1159550000000001E-2</v>
      </c>
      <c r="O3282">
        <v>-0.997915</v>
      </c>
      <c r="P3282">
        <v>0.33960040000000002</v>
      </c>
      <c r="Q3282">
        <v>0.3848819</v>
      </c>
      <c r="R3282">
        <v>-0.85821769999999997</v>
      </c>
      <c r="S3282">
        <v>1.7852779999999999</v>
      </c>
      <c r="T3282">
        <v>-0.27377620000000003</v>
      </c>
      <c r="U3282">
        <v>-2.9149479999999999</v>
      </c>
      <c r="V3282">
        <v>-0.28583049999999999</v>
      </c>
      <c r="W3282">
        <v>0.3935862</v>
      </c>
      <c r="X3282">
        <v>0.87372240000000001</v>
      </c>
      <c r="Y3282">
        <v>-0.46551940000000003</v>
      </c>
      <c r="Z3282">
        <v>7.0003620000000003E-2</v>
      </c>
      <c r="AA3282">
        <v>0.88226479999999996</v>
      </c>
      <c r="AB3282">
        <v>26</v>
      </c>
      <c r="AC3282">
        <v>0.53530000000000599</v>
      </c>
      <c r="AD3282">
        <v>-8.5436999999999694E-2</v>
      </c>
      <c r="AE3282">
        <v>-0.614900000000005</v>
      </c>
      <c r="AF3282">
        <v>-0.48974487754602603</v>
      </c>
      <c r="AG3282">
        <v>-8.5436999999999694E-2</v>
      </c>
      <c r="AH3282">
        <v>0.64065288424568501</v>
      </c>
      <c r="AI3282">
        <v>96.047825155062398</v>
      </c>
      <c r="AJ3282">
        <v>127.39597904566899</v>
      </c>
      <c r="AK3282">
        <v>0.81091654573321403</v>
      </c>
      <c r="AL3282">
        <v>66.822171938158704</v>
      </c>
      <c r="AM3282">
        <v>108.115047501961</v>
      </c>
      <c r="AN3282">
        <v>1.0000000019112201</v>
      </c>
    </row>
    <row r="3283" spans="1:40" x14ac:dyDescent="0.25">
      <c r="A3283" t="str">
        <f>"20190304164915559"</f>
        <v>20190304164915559</v>
      </c>
      <c r="B3283" t="str">
        <f>"1551689355548968"</f>
        <v>1551689355548968</v>
      </c>
      <c r="C3283" t="s">
        <v>40</v>
      </c>
      <c r="D3283">
        <v>3.9857469999999999</v>
      </c>
      <c r="E3283">
        <v>0.42473650000000002</v>
      </c>
      <c r="F3283" t="s">
        <v>41</v>
      </c>
      <c r="G3283">
        <v>-492.51249999999999</v>
      </c>
      <c r="H3283">
        <v>1.032394</v>
      </c>
      <c r="I3283">
        <v>242.81139999999999</v>
      </c>
      <c r="J3283">
        <v>-493.0231</v>
      </c>
      <c r="K3283">
        <v>1.1123499999999999</v>
      </c>
      <c r="L3283">
        <v>243.45609999999999</v>
      </c>
      <c r="M3283">
        <v>6.544991E-2</v>
      </c>
      <c r="N3283">
        <v>-1.1161630000000001E-2</v>
      </c>
      <c r="O3283">
        <v>-0.9977935</v>
      </c>
      <c r="P3283">
        <v>0.34337250000000002</v>
      </c>
      <c r="Q3283">
        <v>0.38560240000000001</v>
      </c>
      <c r="R3283">
        <v>-0.85639129999999997</v>
      </c>
      <c r="S3283">
        <v>1.7987979999999999</v>
      </c>
      <c r="T3283">
        <v>-0.27340759999999997</v>
      </c>
      <c r="U3283">
        <v>-2.906479</v>
      </c>
      <c r="V3283">
        <v>-0.28811140000000002</v>
      </c>
      <c r="W3283">
        <v>0.39425460000000001</v>
      </c>
      <c r="X3283">
        <v>0.87267119999999998</v>
      </c>
      <c r="Y3283">
        <v>-0.46797339999999998</v>
      </c>
      <c r="Z3283">
        <v>6.9938799999999995E-2</v>
      </c>
      <c r="AA3283">
        <v>0.8809707</v>
      </c>
      <c r="AB3283">
        <v>26</v>
      </c>
      <c r="AC3283">
        <v>0.51060000000001005</v>
      </c>
      <c r="AD3283">
        <v>-7.9955999999999902E-2</v>
      </c>
      <c r="AE3283">
        <v>-0.64470000000000005</v>
      </c>
      <c r="AF3283">
        <v>-0.46293118869306299</v>
      </c>
      <c r="AG3283">
        <v>-7.9955999999999902E-2</v>
      </c>
      <c r="AH3283">
        <v>0.67040156941995099</v>
      </c>
      <c r="AI3283">
        <v>95.605121003615807</v>
      </c>
      <c r="AJ3283">
        <v>124.626172897383</v>
      </c>
      <c r="AK3283">
        <v>0.818618660721527</v>
      </c>
      <c r="AL3283">
        <v>66.780505188321001</v>
      </c>
      <c r="AM3283">
        <v>108.270580943559</v>
      </c>
      <c r="AN3283">
        <v>0.99999994587027796</v>
      </c>
    </row>
    <row r="3284" spans="1:40" x14ac:dyDescent="0.25">
      <c r="A3284" t="str">
        <f>"20190304164915581"</f>
        <v>20190304164915581</v>
      </c>
      <c r="B3284" t="str">
        <f>"1551689355569461"</f>
        <v>1551689355569461</v>
      </c>
      <c r="C3284" t="s">
        <v>40</v>
      </c>
      <c r="D3284">
        <v>3.9883980000000001</v>
      </c>
      <c r="E3284">
        <v>0.42478779999999999</v>
      </c>
      <c r="F3284" t="s">
        <v>41</v>
      </c>
      <c r="G3284">
        <v>-492.48160000000001</v>
      </c>
      <c r="H3284">
        <v>1.03108</v>
      </c>
      <c r="I3284">
        <v>242.5882</v>
      </c>
      <c r="J3284">
        <v>-493.00470000000001</v>
      </c>
      <c r="K3284">
        <v>1.1124270000000001</v>
      </c>
      <c r="L3284">
        <v>243.2133</v>
      </c>
      <c r="M3284">
        <v>6.7765190000000003E-2</v>
      </c>
      <c r="N3284">
        <v>-1.116458E-2</v>
      </c>
      <c r="O3284">
        <v>-0.9976389</v>
      </c>
      <c r="P3284">
        <v>0.34697080000000002</v>
      </c>
      <c r="Q3284">
        <v>0.38589909999999999</v>
      </c>
      <c r="R3284">
        <v>-0.85480599999999995</v>
      </c>
      <c r="S3284">
        <v>1.810028</v>
      </c>
      <c r="T3284">
        <v>-0.2714859</v>
      </c>
      <c r="U3284">
        <v>-2.8995820000000001</v>
      </c>
      <c r="V3284">
        <v>-0.28983989999999998</v>
      </c>
      <c r="W3284">
        <v>0.39449119999999999</v>
      </c>
      <c r="X3284">
        <v>0.87199169999999904</v>
      </c>
      <c r="Y3284">
        <v>-0.4693407</v>
      </c>
      <c r="Z3284">
        <v>6.9415560000000001E-2</v>
      </c>
      <c r="AA3284">
        <v>0.88028449999999903</v>
      </c>
      <c r="AB3284">
        <v>26</v>
      </c>
      <c r="AC3284">
        <v>0.52309999999999901</v>
      </c>
      <c r="AD3284">
        <v>-8.1347000000000003E-2</v>
      </c>
      <c r="AE3284">
        <v>-0.62510000000000299</v>
      </c>
      <c r="AF3284">
        <v>-0.47480562471454002</v>
      </c>
      <c r="AG3284">
        <v>-8.1347000000000003E-2</v>
      </c>
      <c r="AH3284">
        <v>0.65261298218655395</v>
      </c>
      <c r="AI3284">
        <v>95.755653386098601</v>
      </c>
      <c r="AJ3284">
        <v>126.03759330302</v>
      </c>
      <c r="AK3284">
        <v>0.81114821098735801</v>
      </c>
      <c r="AL3284">
        <v>66.765754702971506</v>
      </c>
      <c r="AM3284">
        <v>108.38620685800301</v>
      </c>
      <c r="AN3284">
        <v>0.99999999968916897</v>
      </c>
    </row>
    <row r="3285" spans="1:40" x14ac:dyDescent="0.25">
      <c r="A3285" t="str">
        <f>"20190304164915594"</f>
        <v>20190304164915594</v>
      </c>
      <c r="B3285" t="str">
        <f>"1551689355588981"</f>
        <v>1551689355588981</v>
      </c>
      <c r="C3285" t="s">
        <v>40</v>
      </c>
      <c r="D3285">
        <v>3.9425859999999999</v>
      </c>
      <c r="E3285">
        <v>0.42487340000000001</v>
      </c>
      <c r="F3285" t="s">
        <v>41</v>
      </c>
      <c r="G3285">
        <v>-492.46789999999999</v>
      </c>
      <c r="H3285">
        <v>1.032419</v>
      </c>
      <c r="I3285">
        <v>242.35990000000001</v>
      </c>
      <c r="J3285">
        <v>-492.99189999999999</v>
      </c>
      <c r="K3285">
        <v>1.112482</v>
      </c>
      <c r="L3285">
        <v>243.04910000000001</v>
      </c>
      <c r="M3285">
        <v>6.9388889999999995E-2</v>
      </c>
      <c r="N3285">
        <v>-1.1166870000000001E-2</v>
      </c>
      <c r="O3285">
        <v>-0.99752739999999995</v>
      </c>
      <c r="P3285">
        <v>0.34893039999999997</v>
      </c>
      <c r="Q3285">
        <v>0.3864783</v>
      </c>
      <c r="R3285">
        <v>-0.85374640000000002</v>
      </c>
      <c r="S3285">
        <v>1.8202510000000001</v>
      </c>
      <c r="T3285">
        <v>-0.27125630000000001</v>
      </c>
      <c r="U3285">
        <v>-2.8931580000000001</v>
      </c>
      <c r="V3285">
        <v>-0.29049779999999997</v>
      </c>
      <c r="W3285">
        <v>0.39502530000000002</v>
      </c>
      <c r="X3285">
        <v>0.8715309</v>
      </c>
      <c r="Y3285">
        <v>-0.47101389999999999</v>
      </c>
      <c r="Z3285">
        <v>6.9381449999999997E-2</v>
      </c>
      <c r="AA3285">
        <v>0.87939299999999998</v>
      </c>
      <c r="AB3285">
        <v>26</v>
      </c>
      <c r="AC3285">
        <v>0.52400000000000002</v>
      </c>
      <c r="AD3285">
        <v>-8.0062999999999995E-2</v>
      </c>
      <c r="AE3285">
        <v>-0.68919999999999904</v>
      </c>
      <c r="AF3285">
        <v>-0.47088420608426801</v>
      </c>
      <c r="AG3285">
        <v>-8.0062999999999995E-2</v>
      </c>
      <c r="AH3285">
        <v>0.71776258726537401</v>
      </c>
      <c r="AI3285">
        <v>95.328331697172104</v>
      </c>
      <c r="AJ3285">
        <v>123.266657735678</v>
      </c>
      <c r="AK3285">
        <v>0.86216306531102105</v>
      </c>
      <c r="AL3285">
        <v>66.7324488843729</v>
      </c>
      <c r="AM3285">
        <v>108.434209227466</v>
      </c>
      <c r="AN3285">
        <v>1.0000000345498601</v>
      </c>
    </row>
    <row r="3286" spans="1:40" x14ac:dyDescent="0.25">
      <c r="A3286" t="str">
        <f>"20190304164915616"</f>
        <v>20190304164915616</v>
      </c>
      <c r="B3286" t="str">
        <f>"1551689355609477"</f>
        <v>1551689355609477</v>
      </c>
      <c r="C3286" t="s">
        <v>40</v>
      </c>
      <c r="D3286">
        <v>3.9341059999999999</v>
      </c>
      <c r="E3286">
        <v>0.42499320000000002</v>
      </c>
      <c r="F3286" t="s">
        <v>41</v>
      </c>
      <c r="G3286">
        <v>-492.50150000000002</v>
      </c>
      <c r="H3286">
        <v>1.040103</v>
      </c>
      <c r="I3286">
        <v>242.2732</v>
      </c>
      <c r="J3286">
        <v>-492.97309999999999</v>
      </c>
      <c r="K3286">
        <v>1.112581</v>
      </c>
      <c r="L3286">
        <v>242.81700000000001</v>
      </c>
      <c r="M3286">
        <v>7.1825120000000006E-2</v>
      </c>
      <c r="N3286">
        <v>-1.1171510000000001E-2</v>
      </c>
      <c r="O3286">
        <v>-0.99735479999999999</v>
      </c>
      <c r="P3286">
        <v>0.35145890000000002</v>
      </c>
      <c r="Q3286">
        <v>0.38706089999999999</v>
      </c>
      <c r="R3286">
        <v>-0.85244409999999904</v>
      </c>
      <c r="S3286">
        <v>1.8263849999999999</v>
      </c>
      <c r="T3286">
        <v>-0.26952549999999997</v>
      </c>
      <c r="U3286">
        <v>-2.8894500000000001</v>
      </c>
      <c r="V3286">
        <v>-0.29107149999999998</v>
      </c>
      <c r="W3286">
        <v>0.39553470000000002</v>
      </c>
      <c r="X3286">
        <v>0.8711084</v>
      </c>
      <c r="Y3286">
        <v>-0.47072370000000002</v>
      </c>
      <c r="Z3286">
        <v>6.8906190000000006E-2</v>
      </c>
      <c r="AA3286">
        <v>0.87958570000000003</v>
      </c>
      <c r="AB3286">
        <v>26</v>
      </c>
      <c r="AC3286">
        <v>0.47159999999996599</v>
      </c>
      <c r="AD3286">
        <v>-7.2478000000000001E-2</v>
      </c>
      <c r="AE3286">
        <v>-0.54380000000000395</v>
      </c>
      <c r="AF3286">
        <v>-0.42699178826640399</v>
      </c>
      <c r="AG3286">
        <v>-7.2478000000000001E-2</v>
      </c>
      <c r="AH3286">
        <v>0.57048622677785099</v>
      </c>
      <c r="AI3286">
        <v>95.807665197036002</v>
      </c>
      <c r="AJ3286">
        <v>126.81374996439</v>
      </c>
      <c r="AK3286">
        <v>0.71626083424557796</v>
      </c>
      <c r="AL3286">
        <v>66.700675891868798</v>
      </c>
      <c r="AM3286">
        <v>108.476496391159</v>
      </c>
      <c r="AN3286">
        <v>1.0000000807834399</v>
      </c>
    </row>
    <row r="3287" spans="1:40" x14ac:dyDescent="0.25">
      <c r="A3287" t="str">
        <f>"20190304164915637"</f>
        <v>20190304164915637</v>
      </c>
      <c r="B3287" t="str">
        <f>"1551689355629000"</f>
        <v>1551689355629000</v>
      </c>
      <c r="C3287" t="s">
        <v>40</v>
      </c>
      <c r="D3287">
        <v>3.9657650000000002</v>
      </c>
      <c r="E3287">
        <v>0.42507859999999997</v>
      </c>
      <c r="F3287" t="s">
        <v>41</v>
      </c>
      <c r="G3287">
        <v>-492.39909999999998</v>
      </c>
      <c r="H3287">
        <v>1.029002</v>
      </c>
      <c r="I3287">
        <v>241.91499999999999</v>
      </c>
      <c r="J3287">
        <v>-492.95179999999999</v>
      </c>
      <c r="K3287">
        <v>1.1127370000000001</v>
      </c>
      <c r="L3287">
        <v>242.565</v>
      </c>
      <c r="M3287">
        <v>7.4702279999999996E-2</v>
      </c>
      <c r="N3287">
        <v>-1.1184680000000001E-2</v>
      </c>
      <c r="O3287">
        <v>-0.99714340000000001</v>
      </c>
      <c r="P3287">
        <v>0.35411169999999997</v>
      </c>
      <c r="Q3287">
        <v>0.38777080000000003</v>
      </c>
      <c r="R3287">
        <v>-0.85102219999999995</v>
      </c>
      <c r="S3287">
        <v>1.8354490000000001</v>
      </c>
      <c r="T3287">
        <v>-0.26722420000000002</v>
      </c>
      <c r="U3287">
        <v>-2.8838499999999998</v>
      </c>
      <c r="V3287">
        <v>-0.29144419999999999</v>
      </c>
      <c r="W3287">
        <v>0.3961442</v>
      </c>
      <c r="X3287">
        <v>0.870706599999999</v>
      </c>
      <c r="Y3287">
        <v>-0.4709467</v>
      </c>
      <c r="Z3287">
        <v>6.8263480000000001E-2</v>
      </c>
      <c r="AA3287">
        <v>0.87951650000000003</v>
      </c>
      <c r="AB3287">
        <v>26</v>
      </c>
      <c r="AC3287">
        <v>0.55270000000001496</v>
      </c>
      <c r="AD3287">
        <v>-8.3735000000000101E-2</v>
      </c>
      <c r="AE3287">
        <v>-0.65000000000000502</v>
      </c>
      <c r="AF3287">
        <v>-0.497801390830441</v>
      </c>
      <c r="AG3287">
        <v>-8.3735000000000101E-2</v>
      </c>
      <c r="AH3287">
        <v>0.68289676405245303</v>
      </c>
      <c r="AI3287">
        <v>95.6587221229601</v>
      </c>
      <c r="AJ3287">
        <v>126.090386173759</v>
      </c>
      <c r="AK3287">
        <v>0.84921479337740702</v>
      </c>
      <c r="AL3287">
        <v>66.6626451520861</v>
      </c>
      <c r="AM3287">
        <v>108.50650033289899</v>
      </c>
      <c r="AN3287">
        <v>0.99999996609541897</v>
      </c>
    </row>
    <row r="3288" spans="1:40" x14ac:dyDescent="0.25">
      <c r="A3288" t="str">
        <f>"20190304164915660"</f>
        <v>20190304164915660</v>
      </c>
      <c r="B3288" t="str">
        <f>"1551689355649493"</f>
        <v>1551689355649493</v>
      </c>
      <c r="C3288" t="s">
        <v>40</v>
      </c>
      <c r="D3288">
        <v>3.956232</v>
      </c>
      <c r="E3288">
        <v>0.42514380000000002</v>
      </c>
      <c r="F3288" t="s">
        <v>41</v>
      </c>
      <c r="G3288">
        <v>-492.3879</v>
      </c>
      <c r="H3288">
        <v>1.0319640000000001</v>
      </c>
      <c r="I3288">
        <v>241.68559999999999</v>
      </c>
      <c r="J3288">
        <v>-492.92910000000001</v>
      </c>
      <c r="K3288">
        <v>1.112914</v>
      </c>
      <c r="L3288">
        <v>242.3083</v>
      </c>
      <c r="M3288">
        <v>7.7850559999999999E-2</v>
      </c>
      <c r="N3288">
        <v>-1.1204530000000001E-2</v>
      </c>
      <c r="O3288">
        <v>-0.99690210000000001</v>
      </c>
      <c r="P3288">
        <v>0.35717789999999999</v>
      </c>
      <c r="Q3288">
        <v>0.38881739999999998</v>
      </c>
      <c r="R3288">
        <v>-0.84926139999999894</v>
      </c>
      <c r="S3288">
        <v>1.846069</v>
      </c>
      <c r="T3288">
        <v>-0.26427790000000001</v>
      </c>
      <c r="U3288">
        <v>-2.8774259999999998</v>
      </c>
      <c r="V3288">
        <v>-0.29204170000000002</v>
      </c>
      <c r="W3288">
        <v>0.39707880000000001</v>
      </c>
      <c r="X3288">
        <v>0.87008050000000003</v>
      </c>
      <c r="Y3288">
        <v>-0.47138799999999997</v>
      </c>
      <c r="Z3288">
        <v>6.7424250000000005E-2</v>
      </c>
      <c r="AA3288">
        <v>0.87934480000000004</v>
      </c>
      <c r="AB3288">
        <v>26</v>
      </c>
      <c r="AC3288">
        <v>0.54120000000000301</v>
      </c>
      <c r="AD3288">
        <v>-8.0949999999999994E-2</v>
      </c>
      <c r="AE3288">
        <v>-0.62270000000000802</v>
      </c>
      <c r="AF3288">
        <v>-0.48639398743627599</v>
      </c>
      <c r="AG3288">
        <v>-8.0949999999999994E-2</v>
      </c>
      <c r="AH3288">
        <v>0.65662369381216701</v>
      </c>
      <c r="AI3288">
        <v>95.657481527004194</v>
      </c>
      <c r="AJ3288">
        <v>126.52919714717</v>
      </c>
      <c r="AK3288">
        <v>0.821149614132342</v>
      </c>
      <c r="AL3288">
        <v>66.604313339934905</v>
      </c>
      <c r="AM3288">
        <v>108.554278862144</v>
      </c>
      <c r="AN3288">
        <v>1.0000000022142801</v>
      </c>
    </row>
    <row r="3289" spans="1:40" x14ac:dyDescent="0.25">
      <c r="A3289" t="str">
        <f>"20190304164915681"</f>
        <v>20190304164915681</v>
      </c>
      <c r="B3289" t="str">
        <f>"1551689355678774"</f>
        <v>1551689355678774</v>
      </c>
      <c r="C3289" t="s">
        <v>40</v>
      </c>
      <c r="D3289">
        <v>3.965614</v>
      </c>
      <c r="E3289">
        <v>0.42526649999999999</v>
      </c>
      <c r="F3289" t="s">
        <v>41</v>
      </c>
      <c r="G3289">
        <v>-492.37740000000002</v>
      </c>
      <c r="H3289">
        <v>1.035601</v>
      </c>
      <c r="I3289">
        <v>241.45570000000001</v>
      </c>
      <c r="J3289">
        <v>-492.90660000000003</v>
      </c>
      <c r="K3289">
        <v>1.1130739999999999</v>
      </c>
      <c r="L3289">
        <v>242.06290000000001</v>
      </c>
      <c r="M3289">
        <v>8.1073779999999998E-2</v>
      </c>
      <c r="N3289">
        <v>-1.1225799999999999E-2</v>
      </c>
      <c r="O3289">
        <v>-0.99664509999999995</v>
      </c>
      <c r="P3289">
        <v>0.36015839999999999</v>
      </c>
      <c r="Q3289">
        <v>0.38884350000000001</v>
      </c>
      <c r="R3289">
        <v>-0.84798989999999996</v>
      </c>
      <c r="S3289">
        <v>1.857788</v>
      </c>
      <c r="T3289">
        <v>-0.26027610000000001</v>
      </c>
      <c r="U3289">
        <v>-2.8702700000000001</v>
      </c>
      <c r="V3289">
        <v>-0.29244629999999999</v>
      </c>
      <c r="W3289">
        <v>0.39700350000000001</v>
      </c>
      <c r="X3289">
        <v>0.86997899999999995</v>
      </c>
      <c r="Y3289">
        <v>-0.472113</v>
      </c>
      <c r="Z3289">
        <v>6.627247E-2</v>
      </c>
      <c r="AA3289">
        <v>0.87904340000000003</v>
      </c>
      <c r="AB3289">
        <v>26</v>
      </c>
      <c r="AC3289">
        <v>0.529200000000003</v>
      </c>
      <c r="AD3289">
        <v>-7.7472999999999903E-2</v>
      </c>
      <c r="AE3289">
        <v>-0.60720000000000596</v>
      </c>
      <c r="AF3289">
        <v>-0.47384271169695802</v>
      </c>
      <c r="AG3289">
        <v>-7.7472999999999903E-2</v>
      </c>
      <c r="AH3289">
        <v>0.642166638544581</v>
      </c>
      <c r="AI3289">
        <v>95.544686711949296</v>
      </c>
      <c r="AJ3289">
        <v>126.42291993631601</v>
      </c>
      <c r="AK3289">
        <v>0.80181479957467305</v>
      </c>
      <c r="AL3289">
        <v>66.609015021417804</v>
      </c>
      <c r="AM3289">
        <v>108.580239868308</v>
      </c>
      <c r="AN3289">
        <v>1.00000003891846</v>
      </c>
    </row>
    <row r="3290" spans="1:40" x14ac:dyDescent="0.25">
      <c r="A3290" t="str">
        <f>"20190304164915707"</f>
        <v>20190304164915707</v>
      </c>
      <c r="B3290" t="str">
        <f>"1551689355699270"</f>
        <v>1551689355699270</v>
      </c>
      <c r="C3290" t="s">
        <v>40</v>
      </c>
      <c r="D3290">
        <v>3.9830930000000002</v>
      </c>
      <c r="E3290">
        <v>0.42572450000000001</v>
      </c>
      <c r="F3290" t="s">
        <v>41</v>
      </c>
      <c r="G3290">
        <v>-492.36189999999999</v>
      </c>
      <c r="H3290">
        <v>1.037034</v>
      </c>
      <c r="I3290">
        <v>241.22720000000001</v>
      </c>
      <c r="J3290">
        <v>-492.87950000000001</v>
      </c>
      <c r="K3290">
        <v>1.1132629999999999</v>
      </c>
      <c r="L3290">
        <v>241.78440000000001</v>
      </c>
      <c r="M3290">
        <v>8.5018339999999998E-2</v>
      </c>
      <c r="N3290">
        <v>-1.1258010000000001E-2</v>
      </c>
      <c r="O3290">
        <v>-0.99631599999999998</v>
      </c>
      <c r="P3290">
        <v>0.36400769999999999</v>
      </c>
      <c r="Q3290">
        <v>0.38808530000000002</v>
      </c>
      <c r="R3290">
        <v>-0.84669289999999997</v>
      </c>
      <c r="S3290">
        <v>1.867737</v>
      </c>
      <c r="T3290">
        <v>-0.2605845</v>
      </c>
      <c r="U3290">
        <v>-2.8639830000000002</v>
      </c>
      <c r="V3290">
        <v>-0.29310740000000002</v>
      </c>
      <c r="W3290">
        <v>0.39613720000000002</v>
      </c>
      <c r="X3290">
        <v>0.87015129999999996</v>
      </c>
      <c r="Y3290">
        <v>-0.47164669999999997</v>
      </c>
      <c r="Z3290">
        <v>6.6391919999999993E-2</v>
      </c>
      <c r="AA3290">
        <v>0.87928470000000003</v>
      </c>
      <c r="AB3290">
        <v>26</v>
      </c>
      <c r="AC3290">
        <v>0.51760000000001505</v>
      </c>
      <c r="AD3290">
        <v>-7.6228999999999797E-2</v>
      </c>
      <c r="AE3290">
        <v>-0.55719999999999403</v>
      </c>
      <c r="AF3290">
        <v>-0.46369192126547698</v>
      </c>
      <c r="AG3290">
        <v>-7.6228999999999797E-2</v>
      </c>
      <c r="AH3290">
        <v>0.59323056663683205</v>
      </c>
      <c r="AI3290">
        <v>95.780958621944293</v>
      </c>
      <c r="AJ3290">
        <v>128.01255679683001</v>
      </c>
      <c r="AK3290">
        <v>0.75679823168406402</v>
      </c>
      <c r="AL3290">
        <v>66.663081733494806</v>
      </c>
      <c r="AM3290">
        <v>108.61591697297099</v>
      </c>
      <c r="AN3290">
        <v>0.99999995702514399</v>
      </c>
    </row>
    <row r="3291" spans="1:40" x14ac:dyDescent="0.25">
      <c r="A3291" t="str">
        <f>"20190304164915729"</f>
        <v>20190304164915729</v>
      </c>
      <c r="B3291" t="str">
        <f>"1551689355718789"</f>
        <v>1551689355718789</v>
      </c>
      <c r="C3291" t="s">
        <v>40</v>
      </c>
      <c r="D3291">
        <v>3.9770409999999998</v>
      </c>
      <c r="E3291">
        <v>0.42637069999999999</v>
      </c>
      <c r="F3291" t="s">
        <v>41</v>
      </c>
      <c r="G3291">
        <v>-492.36040000000003</v>
      </c>
      <c r="H3291">
        <v>1.0403629999999999</v>
      </c>
      <c r="I3291">
        <v>240.99430000000001</v>
      </c>
      <c r="J3291">
        <v>-492.85309999999998</v>
      </c>
      <c r="K3291">
        <v>1.113445</v>
      </c>
      <c r="L3291">
        <v>241.52520000000001</v>
      </c>
      <c r="M3291">
        <v>8.8971869999999995E-2</v>
      </c>
      <c r="N3291">
        <v>-1.130076E-2</v>
      </c>
      <c r="O3291">
        <v>-0.99597020000000003</v>
      </c>
      <c r="P3291">
        <v>0.36765300000000001</v>
      </c>
      <c r="Q3291">
        <v>0.38722990000000002</v>
      </c>
      <c r="R3291">
        <v>-0.845508499999999</v>
      </c>
      <c r="S3291">
        <v>1.8776550000000001</v>
      </c>
      <c r="T3291">
        <v>-0.26360339999999999</v>
      </c>
      <c r="U3291">
        <v>-2.8567499999999999</v>
      </c>
      <c r="V3291">
        <v>-0.29353829999999997</v>
      </c>
      <c r="W3291">
        <v>0.39519209999999999</v>
      </c>
      <c r="X3291">
        <v>0.87043579999999998</v>
      </c>
      <c r="Y3291">
        <v>-0.47126610000000002</v>
      </c>
      <c r="Z3291">
        <v>6.7319069999999995E-2</v>
      </c>
      <c r="AA3291">
        <v>0.87941819999999904</v>
      </c>
      <c r="AB3291">
        <v>26</v>
      </c>
      <c r="AC3291">
        <v>0.49269999999995601</v>
      </c>
      <c r="AD3291">
        <v>-7.3081999999999994E-2</v>
      </c>
      <c r="AE3291">
        <v>-0.53090000000000204</v>
      </c>
      <c r="AF3291">
        <v>-0.43903780009506199</v>
      </c>
      <c r="AG3291">
        <v>-7.3081999999999994E-2</v>
      </c>
      <c r="AH3291">
        <v>0.56686232357616795</v>
      </c>
      <c r="AI3291">
        <v>95.819925702672194</v>
      </c>
      <c r="AJ3291">
        <v>127.757967174475</v>
      </c>
      <c r="AK3291">
        <v>0.72071357870272201</v>
      </c>
      <c r="AL3291">
        <v>66.722044757027305</v>
      </c>
      <c r="AM3291">
        <v>108.6357226823</v>
      </c>
      <c r="AN3291">
        <v>1.0000000056954601</v>
      </c>
    </row>
    <row r="3292" spans="1:40" x14ac:dyDescent="0.25">
      <c r="A3292" t="str">
        <f>"20190304164915749"</f>
        <v>20190304164915749</v>
      </c>
      <c r="B3292" t="str">
        <f>"1551689355738815"</f>
        <v>1551689355738815</v>
      </c>
      <c r="C3292" t="s">
        <v>40</v>
      </c>
      <c r="D3292">
        <v>3.9842970000000002</v>
      </c>
      <c r="E3292">
        <v>0.42697030000000002</v>
      </c>
      <c r="F3292" t="s">
        <v>41</v>
      </c>
      <c r="G3292">
        <v>-492.34969999999998</v>
      </c>
      <c r="H3292">
        <v>1.042079</v>
      </c>
      <c r="I3292">
        <v>240.76400000000001</v>
      </c>
      <c r="J3292">
        <v>-492.82780000000002</v>
      </c>
      <c r="K3292">
        <v>1.1136250000000001</v>
      </c>
      <c r="L3292">
        <v>241.28800000000001</v>
      </c>
      <c r="M3292">
        <v>9.2839119999999997E-2</v>
      </c>
      <c r="N3292">
        <v>-1.135474E-2</v>
      </c>
      <c r="O3292">
        <v>-0.99561630000000001</v>
      </c>
      <c r="P3292">
        <v>0.37137959999999998</v>
      </c>
      <c r="Q3292">
        <v>0.38598450000000001</v>
      </c>
      <c r="R3292">
        <v>-0.84444859999999899</v>
      </c>
      <c r="S3292">
        <v>1.8854059999999999</v>
      </c>
      <c r="T3292">
        <v>-0.26725690000000002</v>
      </c>
      <c r="U3292">
        <v>-2.8506469999999999</v>
      </c>
      <c r="V3292">
        <v>-0.29410249999999999</v>
      </c>
      <c r="W3292">
        <v>0.39387420000000001</v>
      </c>
      <c r="X3292">
        <v>0.87084259999999902</v>
      </c>
      <c r="Y3292">
        <v>-0.47032819999999997</v>
      </c>
      <c r="Z3292">
        <v>6.8423789999999998E-2</v>
      </c>
      <c r="AA3292">
        <v>0.87983489999999998</v>
      </c>
      <c r="AB3292">
        <v>26</v>
      </c>
      <c r="AC3292">
        <v>0.47810000000003999</v>
      </c>
      <c r="AD3292">
        <v>-7.1546000000000096E-2</v>
      </c>
      <c r="AE3292">
        <v>-0.52399999999997204</v>
      </c>
      <c r="AF3292">
        <v>-0.42307985544954901</v>
      </c>
      <c r="AG3292">
        <v>-7.1546000000000096E-2</v>
      </c>
      <c r="AH3292">
        <v>0.56042441208820304</v>
      </c>
      <c r="AI3292">
        <v>95.817771018051403</v>
      </c>
      <c r="AJ3292">
        <v>127.050162254353</v>
      </c>
      <c r="AK3292">
        <v>0.70582640632638505</v>
      </c>
      <c r="AL3292">
        <v>66.804220718468898</v>
      </c>
      <c r="AM3292">
        <v>108.660944876111</v>
      </c>
      <c r="AN3292">
        <v>0.999999999953324</v>
      </c>
    </row>
    <row r="3293" spans="1:40" x14ac:dyDescent="0.25">
      <c r="A3293" t="str">
        <f>"20190304164915771"</f>
        <v>20190304164915771</v>
      </c>
      <c r="B3293" t="str">
        <f>"1551689355759311"</f>
        <v>1551689355759311</v>
      </c>
      <c r="C3293" t="s">
        <v>40</v>
      </c>
      <c r="D3293">
        <v>3.975762</v>
      </c>
      <c r="E3293">
        <v>0.42755100000000001</v>
      </c>
      <c r="F3293" t="s">
        <v>41</v>
      </c>
      <c r="G3293">
        <v>-492.3279</v>
      </c>
      <c r="H3293">
        <v>1.041752</v>
      </c>
      <c r="I3293">
        <v>240.53700000000001</v>
      </c>
      <c r="J3293">
        <v>-492.80079999999998</v>
      </c>
      <c r="K3293">
        <v>1.1138140000000001</v>
      </c>
      <c r="L3293">
        <v>241.04660000000001</v>
      </c>
      <c r="M3293">
        <v>9.7009109999999996E-2</v>
      </c>
      <c r="N3293">
        <v>-1.1427680000000001E-2</v>
      </c>
      <c r="O3293">
        <v>-0.99521789999999999</v>
      </c>
      <c r="P3293">
        <v>0.37418469999999998</v>
      </c>
      <c r="Q3293">
        <v>0.38607639999999999</v>
      </c>
      <c r="R3293">
        <v>-0.84316740000000001</v>
      </c>
      <c r="S3293">
        <v>1.8930659999999999</v>
      </c>
      <c r="T3293">
        <v>-0.27226820000000002</v>
      </c>
      <c r="U3293">
        <v>-2.8445279999999999</v>
      </c>
      <c r="V3293">
        <v>-0.29352060000000002</v>
      </c>
      <c r="W3293">
        <v>0.39391100000000001</v>
      </c>
      <c r="X3293">
        <v>0.87102230000000003</v>
      </c>
      <c r="Y3293">
        <v>-0.46908680000000003</v>
      </c>
      <c r="Z3293">
        <v>6.9916199999999998E-2</v>
      </c>
      <c r="AA3293">
        <v>0.88038019999999995</v>
      </c>
      <c r="AB3293">
        <v>26</v>
      </c>
      <c r="AC3293">
        <v>0.472899999999981</v>
      </c>
      <c r="AD3293">
        <v>-7.2061999999999807E-2</v>
      </c>
      <c r="AE3293">
        <v>-0.50960000000000605</v>
      </c>
      <c r="AF3293">
        <v>-0.41675255133838901</v>
      </c>
      <c r="AG3293">
        <v>-7.2061999999999807E-2</v>
      </c>
      <c r="AH3293">
        <v>0.54719560680960999</v>
      </c>
      <c r="AI3293">
        <v>95.980925249507607</v>
      </c>
      <c r="AJ3293">
        <v>127.293453663829</v>
      </c>
      <c r="AK3293">
        <v>0.69159139164885097</v>
      </c>
      <c r="AL3293">
        <v>66.801927591093403</v>
      </c>
      <c r="AM3293">
        <v>108.622994469636</v>
      </c>
      <c r="AN3293">
        <v>1.0000000328213201</v>
      </c>
    </row>
    <row r="3294" spans="1:40" x14ac:dyDescent="0.25">
      <c r="A3294" t="str">
        <f>"20190304164915795"</f>
        <v>20190304164915795</v>
      </c>
      <c r="B3294" t="str">
        <f>"1551689355789566"</f>
        <v>1551689355789566</v>
      </c>
      <c r="C3294" t="s">
        <v>40</v>
      </c>
      <c r="D3294">
        <v>3.9912969999999999</v>
      </c>
      <c r="E3294">
        <v>0.42825740000000001</v>
      </c>
      <c r="F3294" t="s">
        <v>41</v>
      </c>
      <c r="G3294">
        <v>-492.3032</v>
      </c>
      <c r="H3294">
        <v>1.0425120000000001</v>
      </c>
      <c r="I3294">
        <v>240.3023</v>
      </c>
      <c r="J3294">
        <v>-492.76949999999999</v>
      </c>
      <c r="K3294">
        <v>1.114025</v>
      </c>
      <c r="L3294">
        <v>240.7792</v>
      </c>
      <c r="M3294">
        <v>0.10188560000000001</v>
      </c>
      <c r="N3294">
        <v>-1.152982E-2</v>
      </c>
      <c r="O3294">
        <v>-0.99472950000000004</v>
      </c>
      <c r="P3294">
        <v>0.37790689999999999</v>
      </c>
      <c r="Q3294">
        <v>0.38561699999999999</v>
      </c>
      <c r="R3294">
        <v>-0.84171609999999997</v>
      </c>
      <c r="S3294">
        <v>1.89978</v>
      </c>
      <c r="T3294">
        <v>-0.27199640000000003</v>
      </c>
      <c r="U3294">
        <v>-2.8394620000000002</v>
      </c>
      <c r="V3294">
        <v>-0.29325970000000001</v>
      </c>
      <c r="W3294">
        <v>0.39340960000000003</v>
      </c>
      <c r="X3294">
        <v>0.87133669999999996</v>
      </c>
      <c r="Y3294">
        <v>-0.46692729999999999</v>
      </c>
      <c r="Z3294">
        <v>6.9813829999999993E-2</v>
      </c>
      <c r="AA3294">
        <v>0.88153559999999997</v>
      </c>
      <c r="AB3294">
        <v>26</v>
      </c>
      <c r="AC3294">
        <v>0.466299999999989</v>
      </c>
      <c r="AD3294">
        <v>-7.1512999999999896E-2</v>
      </c>
      <c r="AE3294">
        <v>-0.47689999999999999</v>
      </c>
      <c r="AF3294">
        <v>-0.41056093750127198</v>
      </c>
      <c r="AG3294">
        <v>-7.1512999999999896E-2</v>
      </c>
      <c r="AH3294">
        <v>0.51599855123069904</v>
      </c>
      <c r="AI3294">
        <v>96.189583544655207</v>
      </c>
      <c r="AJ3294">
        <v>128.50796677838699</v>
      </c>
      <c r="AK3294">
        <v>0.66327136033685696</v>
      </c>
      <c r="AL3294">
        <v>66.833178378938896</v>
      </c>
      <c r="AM3294">
        <v>108.601329160004</v>
      </c>
      <c r="AN3294">
        <v>1.00000000489157</v>
      </c>
    </row>
    <row r="3295" spans="1:40" x14ac:dyDescent="0.25">
      <c r="A3295" t="str">
        <f>"20190304164915818"</f>
        <v>20190304164915818</v>
      </c>
      <c r="B3295" t="str">
        <f>"1551689355809088"</f>
        <v>1551689355809088</v>
      </c>
      <c r="C3295" t="s">
        <v>40</v>
      </c>
      <c r="D3295">
        <v>3.9884059999999999</v>
      </c>
      <c r="E3295">
        <v>0.42868990000000001</v>
      </c>
      <c r="F3295" t="s">
        <v>41</v>
      </c>
      <c r="G3295">
        <v>-492.25139999999999</v>
      </c>
      <c r="H3295">
        <v>1.039444</v>
      </c>
      <c r="I3295">
        <v>240.0093</v>
      </c>
      <c r="J3295">
        <v>-492.73660000000001</v>
      </c>
      <c r="K3295">
        <v>1.114228</v>
      </c>
      <c r="L3295">
        <v>240.51390000000001</v>
      </c>
      <c r="M3295">
        <v>0.1070083</v>
      </c>
      <c r="N3295">
        <v>-1.164773E-2</v>
      </c>
      <c r="O3295">
        <v>-0.99419000000000002</v>
      </c>
      <c r="P3295">
        <v>0.38226850000000001</v>
      </c>
      <c r="Q3295">
        <v>0.3853858</v>
      </c>
      <c r="R3295">
        <v>-0.8398504</v>
      </c>
      <c r="S3295">
        <v>1.9069210000000001</v>
      </c>
      <c r="T3295">
        <v>-0.27454129999999999</v>
      </c>
      <c r="U3295">
        <v>-2.8337859999999999</v>
      </c>
      <c r="V3295">
        <v>-0.29345399999999999</v>
      </c>
      <c r="W3295">
        <v>0.3931518</v>
      </c>
      <c r="X3295">
        <v>0.87138769999999999</v>
      </c>
      <c r="Y3295">
        <v>-0.46468930000000003</v>
      </c>
      <c r="Z3295">
        <v>7.0537370000000002E-2</v>
      </c>
      <c r="AA3295">
        <v>0.88265979999999999</v>
      </c>
      <c r="AB3295">
        <v>26</v>
      </c>
      <c r="AC3295">
        <v>0.48520000000002</v>
      </c>
      <c r="AD3295">
        <v>-7.4783999999999906E-2</v>
      </c>
      <c r="AE3295">
        <v>-0.50460000000001004</v>
      </c>
      <c r="AF3295">
        <v>-0.42357946391356199</v>
      </c>
      <c r="AG3295">
        <v>-7.4783999999999906E-2</v>
      </c>
      <c r="AH3295">
        <v>0.54737916667518205</v>
      </c>
      <c r="AI3295">
        <v>96.166833984975</v>
      </c>
      <c r="AJ3295">
        <v>127.733847703644</v>
      </c>
      <c r="AK3295">
        <v>0.69615814368239504</v>
      </c>
      <c r="AL3295">
        <v>66.849245056077706</v>
      </c>
      <c r="AM3295">
        <v>108.611790498983</v>
      </c>
      <c r="AN3295">
        <v>1.00000005583526</v>
      </c>
    </row>
    <row r="3296" spans="1:40" x14ac:dyDescent="0.25">
      <c r="A3296" t="str">
        <f>"20190304164915840"</f>
        <v>20190304164915840</v>
      </c>
      <c r="B3296" t="str">
        <f>"1551689355829583"</f>
        <v>1551689355829583</v>
      </c>
      <c r="C3296" t="s">
        <v>40</v>
      </c>
      <c r="D3296">
        <v>4.019342</v>
      </c>
      <c r="E3296">
        <v>0.42899280000000001</v>
      </c>
      <c r="F3296" t="s">
        <v>41</v>
      </c>
      <c r="G3296">
        <v>-492.15499999999997</v>
      </c>
      <c r="H3296">
        <v>1.030551</v>
      </c>
      <c r="I3296">
        <v>239.65690000000001</v>
      </c>
      <c r="J3296">
        <v>-492.70479999999998</v>
      </c>
      <c r="K3296">
        <v>1.114401</v>
      </c>
      <c r="L3296">
        <v>240.2688</v>
      </c>
      <c r="M3296">
        <v>0.1119568</v>
      </c>
      <c r="N3296">
        <v>-1.176194E-2</v>
      </c>
      <c r="O3296">
        <v>-0.99364359999999996</v>
      </c>
      <c r="P3296">
        <v>0.3863432</v>
      </c>
      <c r="Q3296">
        <v>0.38577489999999998</v>
      </c>
      <c r="R3296">
        <v>-0.83780469999999896</v>
      </c>
      <c r="S3296">
        <v>1.918121</v>
      </c>
      <c r="T3296">
        <v>-0.27588459999999998</v>
      </c>
      <c r="U3296">
        <v>-2.8255919999999999</v>
      </c>
      <c r="V3296">
        <v>-0.2935178</v>
      </c>
      <c r="W3296">
        <v>0.39352999999999999</v>
      </c>
      <c r="X3296">
        <v>0.87119539999999995</v>
      </c>
      <c r="Y3296">
        <v>-0.4638506</v>
      </c>
      <c r="Z3296">
        <v>7.0907579999999998E-2</v>
      </c>
      <c r="AA3296">
        <v>0.88307119999999995</v>
      </c>
      <c r="AB3296">
        <v>26</v>
      </c>
      <c r="AC3296">
        <v>0.54980000000000395</v>
      </c>
      <c r="AD3296">
        <v>-8.3849999999999897E-2</v>
      </c>
      <c r="AE3296">
        <v>-0.61189999999999101</v>
      </c>
      <c r="AF3296">
        <v>-0.47291832769082298</v>
      </c>
      <c r="AG3296">
        <v>-8.3849999999999897E-2</v>
      </c>
      <c r="AH3296">
        <v>0.66272498880238395</v>
      </c>
      <c r="AI3296">
        <v>95.880138619894794</v>
      </c>
      <c r="AJ3296">
        <v>125.511526553992</v>
      </c>
      <c r="AK3296">
        <v>0.81846623506960003</v>
      </c>
      <c r="AL3296">
        <v>66.8256743957011</v>
      </c>
      <c r="AM3296">
        <v>108.619383935234</v>
      </c>
      <c r="AN3296">
        <v>0.99999999239899895</v>
      </c>
    </row>
    <row r="3297" spans="1:40" x14ac:dyDescent="0.25">
      <c r="A3297" t="str">
        <f>"20190304164915864"</f>
        <v>20190304164915864</v>
      </c>
      <c r="B3297" t="str">
        <f>"1551689355858863"</f>
        <v>1551689355858863</v>
      </c>
      <c r="C3297" t="s">
        <v>40</v>
      </c>
      <c r="D3297">
        <v>4.0306329999999999</v>
      </c>
      <c r="E3297">
        <v>0.42942279999999999</v>
      </c>
      <c r="F3297" t="s">
        <v>41</v>
      </c>
      <c r="G3297">
        <v>-492.13060000000002</v>
      </c>
      <c r="H3297">
        <v>1.0328059999999999</v>
      </c>
      <c r="I3297">
        <v>239.4307</v>
      </c>
      <c r="J3297">
        <v>-492.66699999999997</v>
      </c>
      <c r="K3297">
        <v>1.114552</v>
      </c>
      <c r="L3297">
        <v>239.99119999999999</v>
      </c>
      <c r="M3297">
        <v>0.1177598</v>
      </c>
      <c r="N3297">
        <v>-1.188912E-2</v>
      </c>
      <c r="O3297">
        <v>-0.99297100000000005</v>
      </c>
      <c r="P3297">
        <v>0.39144309999999899</v>
      </c>
      <c r="Q3297">
        <v>0.3857254</v>
      </c>
      <c r="R3297">
        <v>-0.83545689999999995</v>
      </c>
      <c r="S3297">
        <v>1.9306639999999999</v>
      </c>
      <c r="T3297">
        <v>-0.27421570000000001</v>
      </c>
      <c r="U3297">
        <v>-2.816681</v>
      </c>
      <c r="V3297">
        <v>-0.29387390000000002</v>
      </c>
      <c r="W3297">
        <v>0.39348709999999998</v>
      </c>
      <c r="X3297">
        <v>0.8710947</v>
      </c>
      <c r="Y3297">
        <v>-0.46267730000000001</v>
      </c>
      <c r="Z3297">
        <v>7.0375350000000003E-2</v>
      </c>
      <c r="AA3297">
        <v>0.88372909999999905</v>
      </c>
      <c r="AB3297">
        <v>26</v>
      </c>
      <c r="AC3297">
        <v>0.53639999999995702</v>
      </c>
      <c r="AD3297">
        <v>-8.1746000000000096E-2</v>
      </c>
      <c r="AE3297">
        <v>-0.56049999999999001</v>
      </c>
      <c r="AF3297">
        <v>-0.461534063968497</v>
      </c>
      <c r="AG3297">
        <v>-8.1746000000000096E-2</v>
      </c>
      <c r="AH3297">
        <v>0.61296494569985704</v>
      </c>
      <c r="AI3297">
        <v>96.081243156295002</v>
      </c>
      <c r="AJ3297">
        <v>126.978044746862</v>
      </c>
      <c r="AK3297">
        <v>0.77163600575407698</v>
      </c>
      <c r="AL3297">
        <v>66.8283475878697</v>
      </c>
      <c r="AM3297">
        <v>108.642419498666</v>
      </c>
      <c r="AN3297">
        <v>0.99999997166785404</v>
      </c>
    </row>
    <row r="3298" spans="1:40" x14ac:dyDescent="0.25">
      <c r="A3298" t="str">
        <f>"20190304164915883"</f>
        <v>20190304164915883</v>
      </c>
      <c r="B3298" t="str">
        <f>"1551689355879360"</f>
        <v>1551689355879360</v>
      </c>
      <c r="C3298" t="s">
        <v>40</v>
      </c>
      <c r="D3298">
        <v>4.0257550000000002</v>
      </c>
      <c r="E3298">
        <v>0.42971569999999998</v>
      </c>
      <c r="F3298" t="s">
        <v>41</v>
      </c>
      <c r="G3298">
        <v>-492.11880000000002</v>
      </c>
      <c r="H3298">
        <v>1.037058</v>
      </c>
      <c r="I3298">
        <v>239.20009999999999</v>
      </c>
      <c r="J3298">
        <v>-492.63650000000001</v>
      </c>
      <c r="K3298">
        <v>1.1146560000000001</v>
      </c>
      <c r="L3298">
        <v>239.77690000000001</v>
      </c>
      <c r="M3298">
        <v>0.12236809999999999</v>
      </c>
      <c r="N3298">
        <v>-1.198716E-2</v>
      </c>
      <c r="O3298">
        <v>-0.99241259999999998</v>
      </c>
      <c r="P3298">
        <v>0.39627010000000001</v>
      </c>
      <c r="Q3298">
        <v>0.38499499999999998</v>
      </c>
      <c r="R3298">
        <v>-0.83351609999999998</v>
      </c>
      <c r="S3298">
        <v>1.944855</v>
      </c>
      <c r="T3298">
        <v>-0.2749183</v>
      </c>
      <c r="U3298">
        <v>-2.8065950000000002</v>
      </c>
      <c r="V3298">
        <v>-0.29491469999999997</v>
      </c>
      <c r="W3298">
        <v>0.39276860000000002</v>
      </c>
      <c r="X3298">
        <v>0.87106729999999999</v>
      </c>
      <c r="Y3298">
        <v>-0.46306009999999997</v>
      </c>
      <c r="Z3298">
        <v>7.056461E-2</v>
      </c>
      <c r="AA3298">
        <v>0.88351349999999995</v>
      </c>
      <c r="AB3298">
        <v>26</v>
      </c>
      <c r="AC3298">
        <v>0.51769999999998995</v>
      </c>
      <c r="AD3298">
        <v>-7.7597999999999806E-2</v>
      </c>
      <c r="AE3298">
        <v>-0.57680000000001996</v>
      </c>
      <c r="AF3298">
        <v>-0.438823133744208</v>
      </c>
      <c r="AG3298">
        <v>-7.7597999999999806E-2</v>
      </c>
      <c r="AH3298">
        <v>0.62950899318493203</v>
      </c>
      <c r="AI3298">
        <v>95.774281999729695</v>
      </c>
      <c r="AJ3298">
        <v>124.879888306591</v>
      </c>
      <c r="AK3298">
        <v>0.771277359199525</v>
      </c>
      <c r="AL3298">
        <v>66.873121319522198</v>
      </c>
      <c r="AM3298">
        <v>108.70440746152499</v>
      </c>
      <c r="AN3298">
        <v>1.0000000472756601</v>
      </c>
    </row>
    <row r="3299" spans="1:40" x14ac:dyDescent="0.25">
      <c r="A3299" t="str">
        <f>"20190304164915905"</f>
        <v>20190304164915905</v>
      </c>
      <c r="B3299" t="str">
        <f>"1551689355898879"</f>
        <v>1551689355898879</v>
      </c>
      <c r="C3299" t="s">
        <v>40</v>
      </c>
      <c r="D3299">
        <v>4.041658</v>
      </c>
      <c r="E3299">
        <v>0.42996190000000001</v>
      </c>
      <c r="F3299" t="s">
        <v>41</v>
      </c>
      <c r="G3299">
        <v>-492.07819999999998</v>
      </c>
      <c r="H3299">
        <v>1.035288</v>
      </c>
      <c r="I3299">
        <v>238.97929999999999</v>
      </c>
      <c r="J3299">
        <v>-492.59890000000001</v>
      </c>
      <c r="K3299">
        <v>1.1147640000000001</v>
      </c>
      <c r="L3299">
        <v>239.52279999999999</v>
      </c>
      <c r="M3299">
        <v>0.12797339999999999</v>
      </c>
      <c r="N3299">
        <v>-1.2106520000000001E-2</v>
      </c>
      <c r="O3299">
        <v>-0.99170369999999997</v>
      </c>
      <c r="P3299">
        <v>0.40156609999999998</v>
      </c>
      <c r="Q3299">
        <v>0.38454319999999997</v>
      </c>
      <c r="R3299">
        <v>-0.83118639999999999</v>
      </c>
      <c r="S3299">
        <v>1.958618</v>
      </c>
      <c r="T3299">
        <v>-0.27825529999999998</v>
      </c>
      <c r="U3299">
        <v>-2.79657</v>
      </c>
      <c r="V3299">
        <v>-0.29559920000000001</v>
      </c>
      <c r="W3299">
        <v>0.39234750000000002</v>
      </c>
      <c r="X3299">
        <v>0.87102500000000005</v>
      </c>
      <c r="Y3299">
        <v>-0.46241759999999899</v>
      </c>
      <c r="Z3299">
        <v>7.152464E-2</v>
      </c>
      <c r="AA3299">
        <v>0.88377269999999897</v>
      </c>
      <c r="AB3299">
        <v>26</v>
      </c>
      <c r="AC3299">
        <v>0.52070000000003303</v>
      </c>
      <c r="AD3299">
        <v>-7.9475999999999797E-2</v>
      </c>
      <c r="AE3299">
        <v>-0.54349999999999399</v>
      </c>
      <c r="AF3299">
        <v>-0.44193199545609801</v>
      </c>
      <c r="AG3299">
        <v>-7.9475999999999797E-2</v>
      </c>
      <c r="AH3299">
        <v>0.59899262120277597</v>
      </c>
      <c r="AI3299">
        <v>96.094301713514099</v>
      </c>
      <c r="AJ3299">
        <v>126.41961139407201</v>
      </c>
      <c r="AK3299">
        <v>0.74860702871344997</v>
      </c>
      <c r="AL3299">
        <v>66.8993531962833</v>
      </c>
      <c r="AM3299">
        <v>108.745638330327</v>
      </c>
      <c r="AN3299">
        <v>0.99999999921094496</v>
      </c>
    </row>
    <row r="3300" spans="1:40" x14ac:dyDescent="0.25">
      <c r="A3300" t="str">
        <f>"20190304164915930"</f>
        <v>20190304164915930</v>
      </c>
      <c r="B3300" t="str">
        <f>"1551689355919375"</f>
        <v>1551689355919375</v>
      </c>
      <c r="C3300" t="s">
        <v>40</v>
      </c>
      <c r="D3300">
        <v>4.044359</v>
      </c>
      <c r="E3300">
        <v>0.430255</v>
      </c>
      <c r="F3300" t="s">
        <v>41</v>
      </c>
      <c r="G3300">
        <v>-492.05329999999998</v>
      </c>
      <c r="H3300">
        <v>1.0372749999999999</v>
      </c>
      <c r="I3300">
        <v>238.75299999999999</v>
      </c>
      <c r="J3300">
        <v>-492.55840000000001</v>
      </c>
      <c r="K3300">
        <v>1.1148659999999999</v>
      </c>
      <c r="L3300">
        <v>239.25989999999999</v>
      </c>
      <c r="M3300">
        <v>0.13391239999999999</v>
      </c>
      <c r="N3300">
        <v>-1.2237390000000001E-2</v>
      </c>
      <c r="O3300">
        <v>-0.99091770000000001</v>
      </c>
      <c r="P3300">
        <v>0.40768100000000002</v>
      </c>
      <c r="Q3300">
        <v>0.38446439999999998</v>
      </c>
      <c r="R3300">
        <v>-0.82824109999999995</v>
      </c>
      <c r="S3300">
        <v>1.974548</v>
      </c>
      <c r="T3300">
        <v>-0.28032649999999998</v>
      </c>
      <c r="U3300">
        <v>-2.7850190000000001</v>
      </c>
      <c r="V3300">
        <v>-0.29688540000000002</v>
      </c>
      <c r="W3300">
        <v>0.39230359999999997</v>
      </c>
      <c r="X3300">
        <v>0.87060729999999997</v>
      </c>
      <c r="Y3300">
        <v>-0.46217510000000001</v>
      </c>
      <c r="Z3300">
        <v>7.2101830000000006E-2</v>
      </c>
      <c r="AA3300">
        <v>0.88385270000000005</v>
      </c>
      <c r="AB3300">
        <v>26</v>
      </c>
      <c r="AC3300">
        <v>0.50510000000002697</v>
      </c>
      <c r="AD3300">
        <v>-7.7590999999999896E-2</v>
      </c>
      <c r="AE3300">
        <v>-0.50690000000000102</v>
      </c>
      <c r="AF3300">
        <v>-0.42763703850149698</v>
      </c>
      <c r="AG3300">
        <v>-7.7590999999999896E-2</v>
      </c>
      <c r="AH3300">
        <v>0.56335469959346496</v>
      </c>
      <c r="AI3300">
        <v>96.260524425087993</v>
      </c>
      <c r="AJ3300">
        <v>127.201777536647</v>
      </c>
      <c r="AK3300">
        <v>0.71152112936537204</v>
      </c>
      <c r="AL3300">
        <v>66.902089277542302</v>
      </c>
      <c r="AM3300">
        <v>108.829866236135</v>
      </c>
      <c r="AN3300">
        <v>1.0000000630596999</v>
      </c>
    </row>
    <row r="3301" spans="1:40" x14ac:dyDescent="0.25">
      <c r="A3301" t="str">
        <f>"20190304164915951"</f>
        <v>20190304164915951</v>
      </c>
      <c r="B3301" t="str">
        <f>"1551689355948655"</f>
        <v>1551689355948655</v>
      </c>
      <c r="C3301" t="s">
        <v>40</v>
      </c>
      <c r="D3301">
        <v>4.0616320000000004</v>
      </c>
      <c r="E3301">
        <v>0.43070229999999998</v>
      </c>
      <c r="F3301" t="s">
        <v>41</v>
      </c>
      <c r="G3301">
        <v>-492.03059999999999</v>
      </c>
      <c r="H3301">
        <v>1.040184</v>
      </c>
      <c r="I3301">
        <v>238.5247</v>
      </c>
      <c r="J3301">
        <v>-492.51839999999999</v>
      </c>
      <c r="K3301">
        <v>1.1149519999999999</v>
      </c>
      <c r="L3301">
        <v>239.0111</v>
      </c>
      <c r="M3301">
        <v>0.1396454</v>
      </c>
      <c r="N3301">
        <v>-1.2369089999999999E-2</v>
      </c>
      <c r="O3301">
        <v>-0.99012449999999996</v>
      </c>
      <c r="P3301">
        <v>0.41377439999999999</v>
      </c>
      <c r="Q3301">
        <v>0.38530110000000001</v>
      </c>
      <c r="R3301">
        <v>-0.82482389999999906</v>
      </c>
      <c r="S3301">
        <v>1.9915769999999999</v>
      </c>
      <c r="T3301">
        <v>-0.28158699999999998</v>
      </c>
      <c r="U3301">
        <v>-2.7725680000000001</v>
      </c>
      <c r="V3301">
        <v>-0.29840689999999997</v>
      </c>
      <c r="W3301">
        <v>0.39317459999999999</v>
      </c>
      <c r="X3301">
        <v>0.86969370000000001</v>
      </c>
      <c r="Y3301">
        <v>-0.46249020000000002</v>
      </c>
      <c r="Z3301">
        <v>7.2436979999999998E-2</v>
      </c>
      <c r="AA3301">
        <v>0.88366039999999901</v>
      </c>
      <c r="AB3301">
        <v>26</v>
      </c>
      <c r="AC3301">
        <v>0.48779999999999202</v>
      </c>
      <c r="AD3301">
        <v>-7.4767999999999904E-2</v>
      </c>
      <c r="AE3301">
        <v>-0.486400000000003</v>
      </c>
      <c r="AF3301">
        <v>-0.41025783908325703</v>
      </c>
      <c r="AG3301">
        <v>-7.4767999999999904E-2</v>
      </c>
      <c r="AH3301">
        <v>0.54335652003110102</v>
      </c>
      <c r="AI3301">
        <v>96.266923120748103</v>
      </c>
      <c r="AJ3301">
        <v>127.054394022065</v>
      </c>
      <c r="AK3301">
        <v>0.684936534442114</v>
      </c>
      <c r="AL3301">
        <v>66.847823858272307</v>
      </c>
      <c r="AM3301">
        <v>108.937978168071</v>
      </c>
      <c r="AN3301">
        <v>1.0000000379362199</v>
      </c>
    </row>
    <row r="3302" spans="1:40" x14ac:dyDescent="0.25">
      <c r="A3302" t="str">
        <f>"20190304164915974"</f>
        <v>20190304164915974</v>
      </c>
      <c r="B3302" t="str">
        <f>"1551689355969151"</f>
        <v>1551689355969151</v>
      </c>
      <c r="C3302" t="s">
        <v>40</v>
      </c>
      <c r="D3302">
        <v>4.0666840000000004</v>
      </c>
      <c r="E3302">
        <v>0.43097069999999998</v>
      </c>
      <c r="F3302" t="s">
        <v>41</v>
      </c>
      <c r="G3302">
        <v>-491.98050000000001</v>
      </c>
      <c r="H3302">
        <v>1.0395730000000001</v>
      </c>
      <c r="I3302">
        <v>238.27019999999999</v>
      </c>
      <c r="J3302">
        <v>-492.47840000000002</v>
      </c>
      <c r="K3302">
        <v>1.1150340000000001</v>
      </c>
      <c r="L3302">
        <v>238.77199999999999</v>
      </c>
      <c r="M3302">
        <v>0.1452502</v>
      </c>
      <c r="N3302">
        <v>-1.2494419999999999E-2</v>
      </c>
      <c r="O3302">
        <v>-0.98931610000000003</v>
      </c>
      <c r="P3302">
        <v>0.41967559999999898</v>
      </c>
      <c r="Q3302">
        <v>0.38554440000000001</v>
      </c>
      <c r="R3302">
        <v>-0.82172250000000002</v>
      </c>
      <c r="S3302">
        <v>2.0052189999999999</v>
      </c>
      <c r="T3302">
        <v>-0.2810705</v>
      </c>
      <c r="U3302">
        <v>-2.762527</v>
      </c>
      <c r="V3302">
        <v>-0.29980580000000001</v>
      </c>
      <c r="W3302">
        <v>0.39345859999999999</v>
      </c>
      <c r="X3302">
        <v>0.86908390000000002</v>
      </c>
      <c r="Y3302">
        <v>-0.46186450000000001</v>
      </c>
      <c r="Z3302">
        <v>7.2236629999999996E-2</v>
      </c>
      <c r="AA3302">
        <v>0.88400400000000001</v>
      </c>
      <c r="AB3302">
        <v>26</v>
      </c>
      <c r="AC3302">
        <v>0.497900000000015</v>
      </c>
      <c r="AD3302">
        <v>-7.5461000000000195E-2</v>
      </c>
      <c r="AE3302">
        <v>-0.501800000000031</v>
      </c>
      <c r="AF3302">
        <v>-0.41499762394415801</v>
      </c>
      <c r="AG3302">
        <v>-7.5461000000000195E-2</v>
      </c>
      <c r="AH3302">
        <v>0.56239456726418702</v>
      </c>
      <c r="AI3302">
        <v>96.162105921704295</v>
      </c>
      <c r="AJ3302">
        <v>126.424056246044</v>
      </c>
      <c r="AK3302">
        <v>0.702997183272145</v>
      </c>
      <c r="AL3302">
        <v>66.830124645531697</v>
      </c>
      <c r="AM3302">
        <v>109.032776164257</v>
      </c>
      <c r="AN3302">
        <v>1.0000000064334</v>
      </c>
    </row>
    <row r="3303" spans="1:40" x14ac:dyDescent="0.25">
      <c r="A3303" t="str">
        <f>"20190304164915995"</f>
        <v>20190304164915995</v>
      </c>
      <c r="B3303" t="str">
        <f>"1551689355988671"</f>
        <v>1551689355988671</v>
      </c>
      <c r="C3303" t="s">
        <v>40</v>
      </c>
      <c r="D3303">
        <v>4.0827</v>
      </c>
      <c r="E3303">
        <v>0.43123089999999997</v>
      </c>
      <c r="F3303" t="s">
        <v>41</v>
      </c>
      <c r="G3303">
        <v>-491.93020000000001</v>
      </c>
      <c r="H3303">
        <v>1.038556</v>
      </c>
      <c r="I3303">
        <v>238.02549999999999</v>
      </c>
      <c r="J3303">
        <v>-492.43619999999999</v>
      </c>
      <c r="K3303">
        <v>1.115102</v>
      </c>
      <c r="L3303">
        <v>238.52879999999999</v>
      </c>
      <c r="M3303">
        <v>0.15103529999999901</v>
      </c>
      <c r="N3303">
        <v>-1.2617049999999999E-2</v>
      </c>
      <c r="O3303">
        <v>-0.98844799999999999</v>
      </c>
      <c r="P3303">
        <v>0.42523830000000001</v>
      </c>
      <c r="Q3303">
        <v>0.3851231</v>
      </c>
      <c r="R3303">
        <v>-0.81905589999999995</v>
      </c>
      <c r="S3303">
        <v>2.0204770000000001</v>
      </c>
      <c r="T3303">
        <v>-0.28186139999999998</v>
      </c>
      <c r="U3303">
        <v>-2.7511749999999999</v>
      </c>
      <c r="V3303">
        <v>-0.30064410000000003</v>
      </c>
      <c r="W3303">
        <v>0.39309040000000001</v>
      </c>
      <c r="X3303">
        <v>0.86896090000000004</v>
      </c>
      <c r="Y3303">
        <v>-0.4615938</v>
      </c>
      <c r="Z3303">
        <v>7.2431599999999999E-2</v>
      </c>
      <c r="AA3303">
        <v>0.88412939999999995</v>
      </c>
      <c r="AB3303">
        <v>26</v>
      </c>
      <c r="AC3303">
        <v>0.50599999999997103</v>
      </c>
      <c r="AD3303">
        <v>-7.6546000000000003E-2</v>
      </c>
      <c r="AE3303">
        <v>-0.50329999999999497</v>
      </c>
      <c r="AF3303">
        <v>-0.41934833260105497</v>
      </c>
      <c r="AG3303">
        <v>-7.6546000000000003E-2</v>
      </c>
      <c r="AH3303">
        <v>0.56742791250551705</v>
      </c>
      <c r="AI3303">
        <v>96.191708407360807</v>
      </c>
      <c r="AJ3303">
        <v>126.46564878280699</v>
      </c>
      <c r="AK3303">
        <v>0.709708919249049</v>
      </c>
      <c r="AL3303">
        <v>66.853069487157896</v>
      </c>
      <c r="AM3303">
        <v>109.084656021859</v>
      </c>
      <c r="AN3303">
        <v>0.99999999158288999</v>
      </c>
    </row>
    <row r="3304" spans="1:40" x14ac:dyDescent="0.25">
      <c r="A3304" t="str">
        <f>"20190304164916018"</f>
        <v>20190304164916018</v>
      </c>
      <c r="B3304" t="str">
        <f>"1551689356009168"</f>
        <v>1551689356009168</v>
      </c>
      <c r="C3304" t="s">
        <v>40</v>
      </c>
      <c r="D3304">
        <v>4.081626</v>
      </c>
      <c r="E3304">
        <v>0.43148730000000002</v>
      </c>
      <c r="F3304" t="s">
        <v>41</v>
      </c>
      <c r="G3304">
        <v>-491.87619999999998</v>
      </c>
      <c r="H3304">
        <v>1.036894</v>
      </c>
      <c r="I3304">
        <v>237.77539999999999</v>
      </c>
      <c r="J3304">
        <v>-492.38889999999998</v>
      </c>
      <c r="K3304">
        <v>1.115156</v>
      </c>
      <c r="L3304">
        <v>238.26750000000001</v>
      </c>
      <c r="M3304">
        <v>0.15733810000000001</v>
      </c>
      <c r="N3304">
        <v>-1.274774E-2</v>
      </c>
      <c r="O3304">
        <v>-0.98746259999999997</v>
      </c>
      <c r="P3304">
        <v>0.43132470000000001</v>
      </c>
      <c r="Q3304">
        <v>0.38426339999999998</v>
      </c>
      <c r="R3304">
        <v>-0.81627269999999996</v>
      </c>
      <c r="S3304">
        <v>2.0362550000000001</v>
      </c>
      <c r="T3304">
        <v>-0.2843424</v>
      </c>
      <c r="U3304">
        <v>-2.739258</v>
      </c>
      <c r="V3304">
        <v>-0.30155279999999901</v>
      </c>
      <c r="W3304">
        <v>0.39229930000000002</v>
      </c>
      <c r="X3304">
        <v>0.86900350000000004</v>
      </c>
      <c r="Y3304">
        <v>-0.46102599999999999</v>
      </c>
      <c r="Z3304">
        <v>7.3125270000000006E-2</v>
      </c>
      <c r="AA3304">
        <v>0.88436859999999995</v>
      </c>
      <c r="AB3304">
        <v>26</v>
      </c>
      <c r="AC3304">
        <v>0.51269999999999505</v>
      </c>
      <c r="AD3304">
        <v>-7.8261999999999998E-2</v>
      </c>
      <c r="AE3304">
        <v>-0.49210000000002202</v>
      </c>
      <c r="AF3304">
        <v>-0.42374165887366499</v>
      </c>
      <c r="AG3304">
        <v>-7.8261999999999998E-2</v>
      </c>
      <c r="AH3304">
        <v>0.559853664603013</v>
      </c>
      <c r="AI3304">
        <v>96.360103733097901</v>
      </c>
      <c r="AJ3304">
        <v>127.121325498091</v>
      </c>
      <c r="AK3304">
        <v>0.70648288010285698</v>
      </c>
      <c r="AL3304">
        <v>66.902354540865403</v>
      </c>
      <c r="AM3304">
        <v>109.13727940944</v>
      </c>
      <c r="AN3304">
        <v>0.99999995749028903</v>
      </c>
    </row>
    <row r="3305" spans="1:40" x14ac:dyDescent="0.25">
      <c r="A3305" t="str">
        <f>"20190304164916039"</f>
        <v>20190304164916039</v>
      </c>
      <c r="B3305" t="str">
        <f>"1551689356028687"</f>
        <v>1551689356028687</v>
      </c>
      <c r="C3305" t="s">
        <v>40</v>
      </c>
      <c r="D3305">
        <v>4.0753079999999997</v>
      </c>
      <c r="E3305">
        <v>0.43171130000000002</v>
      </c>
      <c r="F3305" t="s">
        <v>41</v>
      </c>
      <c r="G3305">
        <v>-491.76960000000003</v>
      </c>
      <c r="H3305">
        <v>1.02799</v>
      </c>
      <c r="I3305">
        <v>237.44450000000001</v>
      </c>
      <c r="J3305">
        <v>-492.346</v>
      </c>
      <c r="K3305">
        <v>1.1152010000000001</v>
      </c>
      <c r="L3305">
        <v>238.0378</v>
      </c>
      <c r="M3305">
        <v>0.16293489999999999</v>
      </c>
      <c r="N3305">
        <v>-1.2863039999999999E-2</v>
      </c>
      <c r="O3305">
        <v>-0.98655300000000001</v>
      </c>
      <c r="P3305">
        <v>0.43758330000000001</v>
      </c>
      <c r="Q3305">
        <v>0.38300269999999997</v>
      </c>
      <c r="R3305">
        <v>-0.81352950000000002</v>
      </c>
      <c r="S3305">
        <v>2.052063</v>
      </c>
      <c r="T3305">
        <v>-0.28881980000000002</v>
      </c>
      <c r="U3305">
        <v>-2.7268370000000002</v>
      </c>
      <c r="V3305">
        <v>-0.3032321</v>
      </c>
      <c r="W3305">
        <v>0.391098</v>
      </c>
      <c r="X3305">
        <v>0.86896070000000003</v>
      </c>
      <c r="Y3305">
        <v>-0.46114240000000001</v>
      </c>
      <c r="Z3305">
        <v>7.4431209999999998E-2</v>
      </c>
      <c r="AA3305">
        <v>0.88419890000000001</v>
      </c>
      <c r="AB3305">
        <v>26</v>
      </c>
      <c r="AC3305">
        <v>0.57639999999997804</v>
      </c>
      <c r="AD3305">
        <v>-8.7211000000000094E-2</v>
      </c>
      <c r="AE3305">
        <v>-0.59329999999999905</v>
      </c>
      <c r="AF3305">
        <v>-0.466829816414643</v>
      </c>
      <c r="AG3305">
        <v>-8.7211000000000094E-2</v>
      </c>
      <c r="AH3305">
        <v>0.671826001091134</v>
      </c>
      <c r="AI3305">
        <v>96.084891213882003</v>
      </c>
      <c r="AJ3305">
        <v>124.794167480504</v>
      </c>
      <c r="AK3305">
        <v>0.82273082582144297</v>
      </c>
      <c r="AL3305">
        <v>66.9771631781487</v>
      </c>
      <c r="AM3305">
        <v>109.236919251503</v>
      </c>
      <c r="AN3305">
        <v>1.0000000251094401</v>
      </c>
    </row>
    <row r="3306" spans="1:40" x14ac:dyDescent="0.25">
      <c r="A3306" t="str">
        <f>"20190304164916061"</f>
        <v>20190304164916061</v>
      </c>
      <c r="B3306" t="str">
        <f>"1551689356049187"</f>
        <v>1551689356049187</v>
      </c>
      <c r="C3306" t="s">
        <v>40</v>
      </c>
      <c r="D3306">
        <v>4.0837589999999997</v>
      </c>
      <c r="E3306">
        <v>0.43195349999999999</v>
      </c>
      <c r="F3306" t="s">
        <v>41</v>
      </c>
      <c r="G3306">
        <v>-491.72680000000003</v>
      </c>
      <c r="H3306">
        <v>1.0268729999999999</v>
      </c>
      <c r="I3306">
        <v>237.22499999999999</v>
      </c>
      <c r="J3306">
        <v>-492.29840000000002</v>
      </c>
      <c r="K3306">
        <v>1.1152390000000001</v>
      </c>
      <c r="L3306">
        <v>237.79179999999999</v>
      </c>
      <c r="M3306">
        <v>0.16897319999999999</v>
      </c>
      <c r="N3306">
        <v>-1.298143E-2</v>
      </c>
      <c r="O3306">
        <v>-0.9855351</v>
      </c>
      <c r="P3306">
        <v>0.44282719999999998</v>
      </c>
      <c r="Q3306">
        <v>0.38306469999999998</v>
      </c>
      <c r="R3306">
        <v>-0.81065769999999904</v>
      </c>
      <c r="S3306">
        <v>2.0680239999999999</v>
      </c>
      <c r="T3306">
        <v>-0.29493649999999999</v>
      </c>
      <c r="U3306">
        <v>-2.7140810000000002</v>
      </c>
      <c r="V3306">
        <v>-0.30354890000000001</v>
      </c>
      <c r="W3306">
        <v>0.39124370000000003</v>
      </c>
      <c r="X3306">
        <v>0.86878449999999996</v>
      </c>
      <c r="Y3306">
        <v>-0.46091650000000001</v>
      </c>
      <c r="Z3306">
        <v>7.6225600000000004E-2</v>
      </c>
      <c r="AA3306">
        <v>0.88416380000000006</v>
      </c>
      <c r="AB3306">
        <v>25</v>
      </c>
      <c r="AC3306">
        <v>0.57159999999998901</v>
      </c>
      <c r="AD3306">
        <v>-8.8365999999999903E-2</v>
      </c>
      <c r="AE3306">
        <v>-0.56679999999999997</v>
      </c>
      <c r="AF3306">
        <v>-0.46202961914389801</v>
      </c>
      <c r="AG3306">
        <v>-8.8365999999999903E-2</v>
      </c>
      <c r="AH3306">
        <v>0.64743969003590995</v>
      </c>
      <c r="AI3306">
        <v>96.339411528659497</v>
      </c>
      <c r="AJ3306">
        <v>125.51263063281201</v>
      </c>
      <c r="AK3306">
        <v>0.800286243263028</v>
      </c>
      <c r="AL3306">
        <v>66.968092707673406</v>
      </c>
      <c r="AM3306">
        <v>109.259155825517</v>
      </c>
      <c r="AN3306">
        <v>1.00000003746057</v>
      </c>
    </row>
    <row r="3307" spans="1:40" x14ac:dyDescent="0.25">
      <c r="A3307" t="str">
        <f>"20190304164916084"</f>
        <v>20190304164916084</v>
      </c>
      <c r="B3307" t="str">
        <f>"1551689356079439"</f>
        <v>1551689356079439</v>
      </c>
      <c r="C3307" t="s">
        <v>40</v>
      </c>
      <c r="D3307">
        <v>4.0782389999999999</v>
      </c>
      <c r="E3307">
        <v>0.43237720000000002</v>
      </c>
      <c r="F3307" t="s">
        <v>41</v>
      </c>
      <c r="G3307">
        <v>-491.68970000000002</v>
      </c>
      <c r="H3307">
        <v>1.0290950000000001</v>
      </c>
      <c r="I3307">
        <v>237.00319999999999</v>
      </c>
      <c r="J3307">
        <v>-492.24790000000002</v>
      </c>
      <c r="K3307">
        <v>1.115256</v>
      </c>
      <c r="L3307">
        <v>237.53899999999999</v>
      </c>
      <c r="M3307">
        <v>0.17521800000000001</v>
      </c>
      <c r="N3307">
        <v>-1.3099029999999999E-2</v>
      </c>
      <c r="O3307">
        <v>-0.98444259999999995</v>
      </c>
      <c r="P3307">
        <v>0.44705499999999998</v>
      </c>
      <c r="Q3307">
        <v>0.38392310000000002</v>
      </c>
      <c r="R3307">
        <v>-0.80792629999999999</v>
      </c>
      <c r="S3307">
        <v>2.0844119999999999</v>
      </c>
      <c r="T3307">
        <v>-0.295072</v>
      </c>
      <c r="U3307">
        <v>-2.701492</v>
      </c>
      <c r="V3307">
        <v>-0.30266349999999997</v>
      </c>
      <c r="W3307">
        <v>0.39220460000000001</v>
      </c>
      <c r="X3307">
        <v>0.86866010000000005</v>
      </c>
      <c r="Y3307">
        <v>-0.46064749999999999</v>
      </c>
      <c r="Z3307">
        <v>7.6225059999999997E-2</v>
      </c>
      <c r="AA3307">
        <v>0.88430399999999998</v>
      </c>
      <c r="AB3307">
        <v>25</v>
      </c>
      <c r="AC3307">
        <v>0.55819999999999903</v>
      </c>
      <c r="AD3307">
        <v>-8.6160999999999904E-2</v>
      </c>
      <c r="AE3307">
        <v>-0.53580000000002304</v>
      </c>
      <c r="AF3307">
        <v>-0.45009180563234502</v>
      </c>
      <c r="AG3307">
        <v>-8.6160999999999904E-2</v>
      </c>
      <c r="AH3307">
        <v>0.61766535022929403</v>
      </c>
      <c r="AI3307">
        <v>96.432242941272094</v>
      </c>
      <c r="AJ3307">
        <v>126.080766810254</v>
      </c>
      <c r="AK3307">
        <v>0.76910131731278497</v>
      </c>
      <c r="AL3307">
        <v>66.908254364285</v>
      </c>
      <c r="AM3307">
        <v>109.20964959549001</v>
      </c>
      <c r="AN3307">
        <v>1.0000000059127001</v>
      </c>
    </row>
    <row r="3308" spans="1:40" x14ac:dyDescent="0.25">
      <c r="A3308" t="str">
        <f>"20190304164916106"</f>
        <v>20190304164916106</v>
      </c>
      <c r="B3308" t="str">
        <f>"1551689356098959"</f>
        <v>1551689356098959</v>
      </c>
      <c r="C3308" t="s">
        <v>40</v>
      </c>
      <c r="D3308">
        <v>4.0900720000000002</v>
      </c>
      <c r="E3308">
        <v>0.43269869999999999</v>
      </c>
      <c r="F3308" t="s">
        <v>41</v>
      </c>
      <c r="G3308">
        <v>-491.65530000000001</v>
      </c>
      <c r="H3308">
        <v>1.0331509999999999</v>
      </c>
      <c r="I3308">
        <v>236.78020000000001</v>
      </c>
      <c r="J3308">
        <v>-492.19630000000001</v>
      </c>
      <c r="K3308">
        <v>1.115273</v>
      </c>
      <c r="L3308">
        <v>237.2895</v>
      </c>
      <c r="M3308">
        <v>0.1814064</v>
      </c>
      <c r="N3308">
        <v>-1.3212379999999999E-2</v>
      </c>
      <c r="O3308">
        <v>-0.98331939999999995</v>
      </c>
      <c r="P3308">
        <v>0.4506906</v>
      </c>
      <c r="Q3308">
        <v>0.38430360000000002</v>
      </c>
      <c r="R3308">
        <v>-0.80572279999999996</v>
      </c>
      <c r="S3308">
        <v>2.100616</v>
      </c>
      <c r="T3308">
        <v>-0.290931099999999</v>
      </c>
      <c r="U3308">
        <v>-2.6891020000000001</v>
      </c>
      <c r="V3308">
        <v>-0.3011452</v>
      </c>
      <c r="W3308">
        <v>0.39270139999999998</v>
      </c>
      <c r="X3308">
        <v>0.86896319999999905</v>
      </c>
      <c r="Y3308">
        <v>-0.46041700000000002</v>
      </c>
      <c r="Z3308">
        <v>7.494576E-2</v>
      </c>
      <c r="AA3308">
        <v>0.88453340000000003</v>
      </c>
      <c r="AB3308">
        <v>25</v>
      </c>
      <c r="AC3308">
        <v>0.54099999999999604</v>
      </c>
      <c r="AD3308">
        <v>-8.2122000000000001E-2</v>
      </c>
      <c r="AE3308">
        <v>-0.50929999999999598</v>
      </c>
      <c r="AF3308">
        <v>-0.43431830731800802</v>
      </c>
      <c r="AG3308">
        <v>-8.2122000000000001E-2</v>
      </c>
      <c r="AH3308">
        <v>0.59176873932590102</v>
      </c>
      <c r="AI3308">
        <v>96.383473784985696</v>
      </c>
      <c r="AJ3308">
        <v>126.276155414028</v>
      </c>
      <c r="AK3308">
        <v>0.73862484103836201</v>
      </c>
      <c r="AL3308">
        <v>66.877305167114201</v>
      </c>
      <c r="AM3308">
        <v>109.114112126438</v>
      </c>
      <c r="AN3308">
        <v>0.99999993199961701</v>
      </c>
    </row>
    <row r="3309" spans="1:40" x14ac:dyDescent="0.25">
      <c r="A3309" t="str">
        <f>"20190304164916131"</f>
        <v>20190304164916131</v>
      </c>
      <c r="B3309" t="str">
        <f>"1551689356119455"</f>
        <v>1551689356119455</v>
      </c>
      <c r="C3309" t="s">
        <v>40</v>
      </c>
      <c r="D3309">
        <v>4.0771379999999997</v>
      </c>
      <c r="E3309">
        <v>0.44921270000000002</v>
      </c>
      <c r="F3309" t="s">
        <v>41</v>
      </c>
      <c r="G3309">
        <v>-491.61810000000003</v>
      </c>
      <c r="H3309">
        <v>1.0365009999999999</v>
      </c>
      <c r="I3309">
        <v>236.5582</v>
      </c>
      <c r="J3309">
        <v>-492.14109999999999</v>
      </c>
      <c r="K3309">
        <v>1.1152879999999901</v>
      </c>
      <c r="L3309">
        <v>237.0309</v>
      </c>
      <c r="M3309">
        <v>0.1878397</v>
      </c>
      <c r="N3309">
        <v>-1.332183E-2</v>
      </c>
      <c r="O3309">
        <v>-0.98210949999999997</v>
      </c>
      <c r="P3309">
        <v>0.45441759999999898</v>
      </c>
      <c r="Q3309">
        <v>0.38562489999999999</v>
      </c>
      <c r="R3309">
        <v>-0.80299339999999997</v>
      </c>
      <c r="S3309">
        <v>2.1156619999999999</v>
      </c>
      <c r="T3309">
        <v>-0.28837869999999999</v>
      </c>
      <c r="U3309">
        <v>-2.67746</v>
      </c>
      <c r="V3309">
        <v>-0.29960369999999997</v>
      </c>
      <c r="W3309">
        <v>0.39413399999999998</v>
      </c>
      <c r="X3309">
        <v>0.86884749999999999</v>
      </c>
      <c r="Y3309">
        <v>-0.45957940000000003</v>
      </c>
      <c r="Z3309">
        <v>7.4136850000000004E-2</v>
      </c>
      <c r="AA3309">
        <v>0.88503699999999996</v>
      </c>
      <c r="AB3309">
        <v>25</v>
      </c>
      <c r="AC3309">
        <v>0.52299999999996705</v>
      </c>
      <c r="AD3309">
        <v>-7.8786999999999704E-2</v>
      </c>
      <c r="AE3309">
        <v>-0.47270000000000301</v>
      </c>
      <c r="AF3309">
        <v>-0.41964753251421699</v>
      </c>
      <c r="AG3309">
        <v>-7.8786999999999704E-2</v>
      </c>
      <c r="AH3309">
        <v>0.55559359198283198</v>
      </c>
      <c r="AI3309">
        <v>96.455913801758498</v>
      </c>
      <c r="AJ3309">
        <v>127.06425614884201</v>
      </c>
      <c r="AK3309">
        <v>0.70071084076575896</v>
      </c>
      <c r="AL3309">
        <v>66.788024772283507</v>
      </c>
      <c r="AM3309">
        <v>109.02567168077699</v>
      </c>
      <c r="AN3309">
        <v>0.99999998263296896</v>
      </c>
    </row>
    <row r="3310" spans="1:40" x14ac:dyDescent="0.25">
      <c r="A3310" t="str">
        <f>"20190304164916153"</f>
        <v>20190304164916153</v>
      </c>
      <c r="B3310" t="str">
        <f>"1551689356148736"</f>
        <v>1551689356148736</v>
      </c>
      <c r="C3310" t="s">
        <v>40</v>
      </c>
      <c r="D3310">
        <v>4.0743679999999998</v>
      </c>
      <c r="E3310">
        <v>0.45093739999999999</v>
      </c>
      <c r="F3310" t="s">
        <v>45</v>
      </c>
      <c r="G3310">
        <v>-484.96519999999998</v>
      </c>
      <c r="H3310" s="1">
        <v>4.5931400000000004E-6</v>
      </c>
      <c r="I3310">
        <v>227.3202</v>
      </c>
      <c r="J3310">
        <v>-492.08769999999998</v>
      </c>
      <c r="K3310">
        <v>1.115307</v>
      </c>
      <c r="L3310">
        <v>236.7884</v>
      </c>
      <c r="M3310">
        <v>0.19388089999999999</v>
      </c>
      <c r="N3310">
        <v>-1.341323E-2</v>
      </c>
      <c r="O3310">
        <v>-0.98093350000000001</v>
      </c>
      <c r="P3310">
        <v>0.45981749999999999</v>
      </c>
      <c r="Q3310">
        <v>0.38820250000000001</v>
      </c>
      <c r="R3310">
        <v>-0.79866550000000003</v>
      </c>
      <c r="S3310">
        <v>2.0255130000000001</v>
      </c>
      <c r="T3310">
        <v>-0.31480799999999998</v>
      </c>
      <c r="U3310">
        <v>-2.741028</v>
      </c>
      <c r="V3310">
        <v>-0.30037750000000002</v>
      </c>
      <c r="W3310">
        <v>0.3967676</v>
      </c>
      <c r="X3310">
        <v>0.86738040000000005</v>
      </c>
      <c r="Y3310">
        <v>-0.4248209</v>
      </c>
      <c r="Z3310">
        <v>8.1693169999999996E-2</v>
      </c>
      <c r="AA3310">
        <v>0.90158389999999999</v>
      </c>
      <c r="AB3310">
        <v>25</v>
      </c>
      <c r="AC3310">
        <v>7.1224999999999996</v>
      </c>
      <c r="AD3310">
        <v>-1.1153024068599999</v>
      </c>
      <c r="AE3310">
        <v>-9.4681999999999906</v>
      </c>
      <c r="AF3310">
        <v>-5.1062116199632399</v>
      </c>
      <c r="AG3310">
        <v>-1.1153024068599999</v>
      </c>
      <c r="AH3310">
        <v>10.5758357677646</v>
      </c>
      <c r="AI3310">
        <v>95.424983603467098</v>
      </c>
      <c r="AJ3310">
        <v>115.77212074101401</v>
      </c>
      <c r="AK3310">
        <v>11.796846983551299</v>
      </c>
      <c r="AL3310">
        <v>66.623738688755495</v>
      </c>
      <c r="AM3310">
        <v>109.10118594981699</v>
      </c>
      <c r="AN3310">
        <v>0.999999964610084</v>
      </c>
    </row>
    <row r="3311" spans="1:40" x14ac:dyDescent="0.25">
      <c r="A3311" t="str">
        <f>"20190304164916175"</f>
        <v>20190304164916175</v>
      </c>
      <c r="B3311" t="str">
        <f>"1551689356169232"</f>
        <v>1551689356169232</v>
      </c>
      <c r="C3311" t="s">
        <v>40</v>
      </c>
      <c r="D3311">
        <v>4.1171170000000004</v>
      </c>
      <c r="E3311">
        <v>0.45060660000000002</v>
      </c>
      <c r="F3311" t="s">
        <v>45</v>
      </c>
      <c r="G3311">
        <v>-484.37990000000002</v>
      </c>
      <c r="H3311" s="1">
        <v>4.244883E-6</v>
      </c>
      <c r="I3311">
        <v>226.41540000000001</v>
      </c>
      <c r="J3311">
        <v>-492.03250000000003</v>
      </c>
      <c r="K3311">
        <v>1.115316</v>
      </c>
      <c r="L3311">
        <v>236.5444</v>
      </c>
      <c r="M3311">
        <v>0.1999619</v>
      </c>
      <c r="N3311">
        <v>-1.349478E-2</v>
      </c>
      <c r="O3311">
        <v>-0.97971090000000005</v>
      </c>
      <c r="P3311">
        <v>0.46611520000000001</v>
      </c>
      <c r="Q3311">
        <v>0.3909377</v>
      </c>
      <c r="R3311">
        <v>-0.79366510000000001</v>
      </c>
      <c r="S3311">
        <v>2.0291139999999999</v>
      </c>
      <c r="T3311">
        <v>-0.29360649999999999</v>
      </c>
      <c r="U3311">
        <v>-2.730728</v>
      </c>
      <c r="V3311">
        <v>-0.30215029999999998</v>
      </c>
      <c r="W3311">
        <v>0.39953640000000001</v>
      </c>
      <c r="X3311">
        <v>0.86549169999999997</v>
      </c>
      <c r="Y3311">
        <v>-0.4219058</v>
      </c>
      <c r="Z3311">
        <v>7.5481399999999907E-2</v>
      </c>
      <c r="AA3311">
        <v>0.90349219999999997</v>
      </c>
      <c r="AB3311">
        <v>25</v>
      </c>
      <c r="AC3311">
        <v>7.6525999999999996</v>
      </c>
      <c r="AD3311">
        <v>-1.115311755117</v>
      </c>
      <c r="AE3311">
        <v>-10.1289999999999</v>
      </c>
      <c r="AF3311">
        <v>-5.4305031407990096</v>
      </c>
      <c r="AG3311">
        <v>-1.115311755117</v>
      </c>
      <c r="AH3311">
        <v>11.367023934249699</v>
      </c>
      <c r="AI3311">
        <v>95.059413069898696</v>
      </c>
      <c r="AJ3311">
        <v>115.535758826738</v>
      </c>
      <c r="AK3311">
        <v>12.6468777884162</v>
      </c>
      <c r="AL3311">
        <v>66.450800463776602</v>
      </c>
      <c r="AM3311">
        <v>109.24451639047901</v>
      </c>
      <c r="AN3311">
        <v>1.00000001074197</v>
      </c>
    </row>
    <row r="3312" spans="1:40" x14ac:dyDescent="0.25">
      <c r="A3312" t="str">
        <f>"20190304164916197"</f>
        <v>20190304164916197</v>
      </c>
      <c r="B3312" t="str">
        <f>"1551689356188752"</f>
        <v>1551689356188752</v>
      </c>
      <c r="C3312" t="s">
        <v>40</v>
      </c>
      <c r="D3312">
        <v>4.0968749999999998</v>
      </c>
      <c r="E3312">
        <v>0.45082290000000003</v>
      </c>
      <c r="F3312" t="s">
        <v>45</v>
      </c>
      <c r="G3312">
        <v>-484.1814</v>
      </c>
      <c r="H3312" s="1">
        <v>4.1392269999999998E-6</v>
      </c>
      <c r="I3312">
        <v>226.13650000000001</v>
      </c>
      <c r="J3312">
        <v>-491.97559999999999</v>
      </c>
      <c r="K3312">
        <v>1.1153090000000001</v>
      </c>
      <c r="L3312">
        <v>236.30080000000001</v>
      </c>
      <c r="M3312">
        <v>0.20603270000000001</v>
      </c>
      <c r="N3312">
        <v>-1.3566450000000001E-2</v>
      </c>
      <c r="O3312">
        <v>-0.97845110000000002</v>
      </c>
      <c r="P3312">
        <v>0.47202690000000003</v>
      </c>
      <c r="Q3312">
        <v>0.39078210000000002</v>
      </c>
      <c r="R3312">
        <v>-0.79024050000000001</v>
      </c>
      <c r="S3312">
        <v>2.050964</v>
      </c>
      <c r="T3312">
        <v>-0.29135749999999999</v>
      </c>
      <c r="U3312">
        <v>-2.7189030000000001</v>
      </c>
      <c r="V3312">
        <v>-0.30322080000000001</v>
      </c>
      <c r="W3312">
        <v>0.39943709999999999</v>
      </c>
      <c r="X3312">
        <v>0.86516309999999996</v>
      </c>
      <c r="Y3312">
        <v>-0.42284719999999998</v>
      </c>
      <c r="Z3312">
        <v>7.4705540000000001E-2</v>
      </c>
      <c r="AA3312">
        <v>0.90311649999999999</v>
      </c>
      <c r="AB3312">
        <v>25</v>
      </c>
      <c r="AC3312">
        <v>7.7941999999999796</v>
      </c>
      <c r="AD3312">
        <v>-1.1153048607730001</v>
      </c>
      <c r="AE3312">
        <v>-10.1642999999999</v>
      </c>
      <c r="AF3312">
        <v>-5.4909425848288302</v>
      </c>
      <c r="AG3312">
        <v>-1.1153048607730001</v>
      </c>
      <c r="AH3312">
        <v>11.465264843225301</v>
      </c>
      <c r="AI3312">
        <v>95.013964526030705</v>
      </c>
      <c r="AJ3312">
        <v>115.59068415573201</v>
      </c>
      <c r="AK3312">
        <v>12.7611384024956</v>
      </c>
      <c r="AL3312">
        <v>66.4570069009729</v>
      </c>
      <c r="AM3312">
        <v>109.31445099295701</v>
      </c>
      <c r="AN3312">
        <v>1.0000000200053201</v>
      </c>
    </row>
    <row r="3313" spans="1:40" x14ac:dyDescent="0.25">
      <c r="A3313" t="str">
        <f>"20190304164916219"</f>
        <v>20190304164916219</v>
      </c>
      <c r="B3313" t="str">
        <f>"1551689356209254"</f>
        <v>1551689356209254</v>
      </c>
      <c r="C3313" t="s">
        <v>40</v>
      </c>
      <c r="D3313">
        <v>4.104692</v>
      </c>
      <c r="E3313">
        <v>0.45119939999999997</v>
      </c>
      <c r="F3313" t="s">
        <v>41</v>
      </c>
      <c r="G3313">
        <v>-491.35109999999997</v>
      </c>
      <c r="H3313">
        <v>1.0246189999999999</v>
      </c>
      <c r="I3313">
        <v>235.483</v>
      </c>
      <c r="J3313">
        <v>-491.91739999999999</v>
      </c>
      <c r="K3313">
        <v>1.115294</v>
      </c>
      <c r="L3313">
        <v>236.05850000000001</v>
      </c>
      <c r="M3313">
        <v>0.21206929999999999</v>
      </c>
      <c r="N3313">
        <v>-1.3629169999999999E-2</v>
      </c>
      <c r="O3313">
        <v>-0.97715960000000002</v>
      </c>
      <c r="P3313">
        <v>0.47656090000000001</v>
      </c>
      <c r="Q3313">
        <v>0.38958549999999997</v>
      </c>
      <c r="R3313">
        <v>-0.78810690000000005</v>
      </c>
      <c r="S3313">
        <v>2.069458</v>
      </c>
      <c r="T3313">
        <v>-0.30038290000000001</v>
      </c>
      <c r="U3313">
        <v>-2.7087249999999998</v>
      </c>
      <c r="V3313">
        <v>-0.30269600000000002</v>
      </c>
      <c r="W3313">
        <v>0.39832210000000001</v>
      </c>
      <c r="X3313">
        <v>0.86586059999999998</v>
      </c>
      <c r="Y3313">
        <v>-0.42266369999999998</v>
      </c>
      <c r="Z3313">
        <v>7.7292910000000006E-2</v>
      </c>
      <c r="AA3313">
        <v>0.90298460000000003</v>
      </c>
      <c r="AB3313">
        <v>25</v>
      </c>
      <c r="AC3313">
        <v>0.56630000000001202</v>
      </c>
      <c r="AD3313">
        <v>-9.0675000000000006E-2</v>
      </c>
      <c r="AE3313">
        <v>-0.57550000000000501</v>
      </c>
      <c r="AF3313">
        <v>-0.425986952097407</v>
      </c>
      <c r="AG3313">
        <v>-9.0675000000000006E-2</v>
      </c>
      <c r="AH3313">
        <v>0.67401267811169197</v>
      </c>
      <c r="AI3313">
        <v>96.487875741920902</v>
      </c>
      <c r="AJ3313">
        <v>122.293551007521</v>
      </c>
      <c r="AK3313">
        <v>0.802483600603485</v>
      </c>
      <c r="AL3313">
        <v>66.526672609641096</v>
      </c>
      <c r="AM3313">
        <v>109.26910369503101</v>
      </c>
      <c r="AN3313">
        <v>0.99999997119838402</v>
      </c>
    </row>
    <row r="3314" spans="1:40" x14ac:dyDescent="0.25">
      <c r="A3314" t="str">
        <f>"20190304164916241"</f>
        <v>20190304164916241</v>
      </c>
      <c r="B3314" t="str">
        <f>"1551689356228767"</f>
        <v>1551689356228767</v>
      </c>
      <c r="C3314" t="s">
        <v>40</v>
      </c>
      <c r="D3314">
        <v>4.1010939999999998</v>
      </c>
      <c r="E3314">
        <v>0.45146219999999998</v>
      </c>
      <c r="F3314" t="s">
        <v>41</v>
      </c>
      <c r="G3314">
        <v>-491.30369999999999</v>
      </c>
      <c r="H3314">
        <v>1.024114</v>
      </c>
      <c r="I3314">
        <v>235.26429999999999</v>
      </c>
      <c r="J3314">
        <v>-491.86070000000001</v>
      </c>
      <c r="K3314">
        <v>1.1152740000000001</v>
      </c>
      <c r="L3314">
        <v>235.82859999999999</v>
      </c>
      <c r="M3314">
        <v>0.21779490000000001</v>
      </c>
      <c r="N3314">
        <v>-1.368135E-2</v>
      </c>
      <c r="O3314">
        <v>-0.97589890000000001</v>
      </c>
      <c r="P3314">
        <v>0.48040719999999998</v>
      </c>
      <c r="Q3314">
        <v>0.38867740000000001</v>
      </c>
      <c r="R3314">
        <v>-0.78621839999999998</v>
      </c>
      <c r="S3314">
        <v>2.0850520000000001</v>
      </c>
      <c r="T3314">
        <v>-0.30985279999999998</v>
      </c>
      <c r="U3314">
        <v>-2.69902</v>
      </c>
      <c r="V3314">
        <v>-0.30172159999999998</v>
      </c>
      <c r="W3314">
        <v>0.39749230000000002</v>
      </c>
      <c r="X3314">
        <v>0.86658169999999901</v>
      </c>
      <c r="Y3314">
        <v>-0.42205320000000002</v>
      </c>
      <c r="Z3314">
        <v>8.0040120000000006E-2</v>
      </c>
      <c r="AA3314">
        <v>0.90303080000000002</v>
      </c>
      <c r="AB3314">
        <v>25</v>
      </c>
      <c r="AC3314">
        <v>0.55700000000001604</v>
      </c>
      <c r="AD3314">
        <v>-9.1159999999999894E-2</v>
      </c>
      <c r="AE3314">
        <v>-0.56430000000000202</v>
      </c>
      <c r="AF3314">
        <v>-0.41522472723230902</v>
      </c>
      <c r="AG3314">
        <v>-9.1159999999999894E-2</v>
      </c>
      <c r="AH3314">
        <v>0.66330645252076803</v>
      </c>
      <c r="AI3314">
        <v>96.644479169843706</v>
      </c>
      <c r="AJ3314">
        <v>122.046248899424</v>
      </c>
      <c r="AK3314">
        <v>0.78784336619713402</v>
      </c>
      <c r="AL3314">
        <v>66.578495342179906</v>
      </c>
      <c r="AM3314">
        <v>109.196811263188</v>
      </c>
      <c r="AN3314">
        <v>0.99999994762036803</v>
      </c>
    </row>
    <row r="3315" spans="1:40" x14ac:dyDescent="0.25">
      <c r="A3315" t="str">
        <f>"20190304164916263"</f>
        <v>20190304164916263</v>
      </c>
      <c r="B3315" t="str">
        <f>"1551689356259024"</f>
        <v>1551689356259024</v>
      </c>
      <c r="C3315" t="s">
        <v>40</v>
      </c>
      <c r="D3315">
        <v>4.0932659999999998</v>
      </c>
      <c r="E3315">
        <v>0.45254339999999998</v>
      </c>
      <c r="F3315" t="s">
        <v>41</v>
      </c>
      <c r="G3315">
        <v>-491.24180000000001</v>
      </c>
      <c r="H3315">
        <v>1.0215879999999999</v>
      </c>
      <c r="I3315">
        <v>235.03460000000001</v>
      </c>
      <c r="J3315">
        <v>-491.80009999999999</v>
      </c>
      <c r="K3315">
        <v>1.1152470000000001</v>
      </c>
      <c r="L3315">
        <v>235.58869999999999</v>
      </c>
      <c r="M3315">
        <v>0.2237574</v>
      </c>
      <c r="N3315">
        <v>-1.37284E-2</v>
      </c>
      <c r="O3315">
        <v>-0.97454819999999998</v>
      </c>
      <c r="P3315">
        <v>0.48433900000000002</v>
      </c>
      <c r="Q3315">
        <v>0.38772649999999997</v>
      </c>
      <c r="R3315">
        <v>-0.78427279999999999</v>
      </c>
      <c r="S3315">
        <v>2.098328</v>
      </c>
      <c r="T3315">
        <v>-0.31747059999999999</v>
      </c>
      <c r="U3315">
        <v>-2.6905060000000001</v>
      </c>
      <c r="V3315">
        <v>-0.30062220000000001</v>
      </c>
      <c r="W3315">
        <v>0.39662009999999998</v>
      </c>
      <c r="X3315">
        <v>0.8673632</v>
      </c>
      <c r="Y3315">
        <v>-0.42055540000000002</v>
      </c>
      <c r="Z3315">
        <v>8.2234230000000005E-2</v>
      </c>
      <c r="AA3315">
        <v>0.90353229999999995</v>
      </c>
      <c r="AB3315">
        <v>25</v>
      </c>
      <c r="AC3315">
        <v>0.55829999999997404</v>
      </c>
      <c r="AD3315">
        <v>-9.3658999999999895E-2</v>
      </c>
      <c r="AE3315">
        <v>-0.55409999999997595</v>
      </c>
      <c r="AF3315">
        <v>-0.41427250603903398</v>
      </c>
      <c r="AG3315">
        <v>-9.3658999999999895E-2</v>
      </c>
      <c r="AH3315">
        <v>0.65568753288399295</v>
      </c>
      <c r="AI3315">
        <v>96.8855599383038</v>
      </c>
      <c r="AJ3315">
        <v>122.28526702107401</v>
      </c>
      <c r="AK3315">
        <v>0.781229709061527</v>
      </c>
      <c r="AL3315">
        <v>66.632947706656196</v>
      </c>
      <c r="AM3315">
        <v>109.11596927435301</v>
      </c>
      <c r="AN3315">
        <v>1.0000000657855399</v>
      </c>
    </row>
    <row r="3316" spans="1:40" x14ac:dyDescent="0.25">
      <c r="A3316" t="str">
        <f>"20190304164916287"</f>
        <v>20190304164916287</v>
      </c>
      <c r="B3316" t="str">
        <f>"1551689356279520"</f>
        <v>1551689356279520</v>
      </c>
      <c r="C3316" t="s">
        <v>40</v>
      </c>
      <c r="D3316">
        <v>4.0866179999999996</v>
      </c>
      <c r="E3316">
        <v>0.45322420000000002</v>
      </c>
      <c r="F3316" t="s">
        <v>41</v>
      </c>
      <c r="G3316">
        <v>-491.1576</v>
      </c>
      <c r="H3316">
        <v>1.0169649999999999</v>
      </c>
      <c r="I3316">
        <v>234.76840000000001</v>
      </c>
      <c r="J3316">
        <v>-491.73379999999997</v>
      </c>
      <c r="K3316">
        <v>1.1152169999999999</v>
      </c>
      <c r="L3316">
        <v>235.33279999999999</v>
      </c>
      <c r="M3316">
        <v>0.2300951</v>
      </c>
      <c r="N3316">
        <v>-1.3771129999999999E-2</v>
      </c>
      <c r="O3316">
        <v>-0.97307069999999996</v>
      </c>
      <c r="P3316">
        <v>0.48804110000000001</v>
      </c>
      <c r="Q3316">
        <v>0.38734160000000001</v>
      </c>
      <c r="R3316">
        <v>-0.78216490000000005</v>
      </c>
      <c r="S3316">
        <v>2.103577</v>
      </c>
      <c r="T3316">
        <v>-0.32170460000000001</v>
      </c>
      <c r="U3316">
        <v>-2.6851500000000001</v>
      </c>
      <c r="V3316">
        <v>-0.29899399999999998</v>
      </c>
      <c r="W3316">
        <v>0.396318</v>
      </c>
      <c r="X3316">
        <v>0.86806369999999899</v>
      </c>
      <c r="Y3316">
        <v>-0.41655500000000001</v>
      </c>
      <c r="Z3316">
        <v>8.3454329999999993E-2</v>
      </c>
      <c r="AA3316">
        <v>0.90527190000000002</v>
      </c>
      <c r="AB3316">
        <v>25</v>
      </c>
      <c r="AC3316">
        <v>0.57619999999997096</v>
      </c>
      <c r="AD3316">
        <v>-9.8251999999999895E-2</v>
      </c>
      <c r="AE3316">
        <v>-0.56439999999997703</v>
      </c>
      <c r="AF3316">
        <v>-0.42455857133845998</v>
      </c>
      <c r="AG3316">
        <v>-9.8251999999999895E-2</v>
      </c>
      <c r="AH3316">
        <v>0.67187669918780502</v>
      </c>
      <c r="AI3316">
        <v>97.047281964382194</v>
      </c>
      <c r="AJ3316">
        <v>122.288772884018</v>
      </c>
      <c r="AK3316">
        <v>0.80082565825056695</v>
      </c>
      <c r="AL3316">
        <v>66.651799731391407</v>
      </c>
      <c r="AM3316">
        <v>109.00564675922</v>
      </c>
      <c r="AN3316">
        <v>0.99999997820884401</v>
      </c>
    </row>
    <row r="3317" spans="1:40" x14ac:dyDescent="0.25">
      <c r="A3317" t="str">
        <f>"20190304164916308"</f>
        <v>20190304164916308</v>
      </c>
      <c r="B3317" t="str">
        <f>"1551689356299043"</f>
        <v>1551689356299043</v>
      </c>
      <c r="C3317" t="s">
        <v>40</v>
      </c>
      <c r="D3317">
        <v>4.0883059999999896</v>
      </c>
      <c r="E3317">
        <v>0.45384950000000002</v>
      </c>
      <c r="F3317" t="s">
        <v>45</v>
      </c>
      <c r="G3317">
        <v>-484.43209999999999</v>
      </c>
      <c r="H3317" s="1">
        <v>4.181781E-6</v>
      </c>
      <c r="I3317">
        <v>226.07759999999999</v>
      </c>
      <c r="J3317">
        <v>-491.67200000000003</v>
      </c>
      <c r="K3317">
        <v>1.1151869999999999</v>
      </c>
      <c r="L3317">
        <v>235.1001</v>
      </c>
      <c r="M3317">
        <v>0.23583180000000001</v>
      </c>
      <c r="N3317">
        <v>-1.3803930000000001E-2</v>
      </c>
      <c r="O3317">
        <v>-0.97169589999999995</v>
      </c>
      <c r="P3317">
        <v>0.49121490000000001</v>
      </c>
      <c r="Q3317">
        <v>0.38664340000000003</v>
      </c>
      <c r="R3317">
        <v>-0.78052219999999894</v>
      </c>
      <c r="S3317">
        <v>2.112244</v>
      </c>
      <c r="T3317">
        <v>-0.3226115</v>
      </c>
      <c r="U3317">
        <v>-2.677368</v>
      </c>
      <c r="V3317">
        <v>-0.29727209999999898</v>
      </c>
      <c r="W3317">
        <v>0.39569929999999998</v>
      </c>
      <c r="X3317">
        <v>0.86893690000000001</v>
      </c>
      <c r="Y3317">
        <v>-0.41426610000000003</v>
      </c>
      <c r="Z3317">
        <v>8.3706160000000002E-2</v>
      </c>
      <c r="AA3317">
        <v>0.90629850000000001</v>
      </c>
      <c r="AB3317">
        <v>25</v>
      </c>
      <c r="AC3317">
        <v>7.2398999999999702</v>
      </c>
      <c r="AD3317">
        <v>-1.115182818219</v>
      </c>
      <c r="AE3317">
        <v>-9.0225000000000009</v>
      </c>
      <c r="AF3317">
        <v>-4.8624681248344697</v>
      </c>
      <c r="AG3317">
        <v>-1.115182818219</v>
      </c>
      <c r="AH3317">
        <v>10.3790675830674</v>
      </c>
      <c r="AI3317">
        <v>95.5572250971058</v>
      </c>
      <c r="AJ3317">
        <v>115.102524171431</v>
      </c>
      <c r="AK3317">
        <v>11.5157402227109</v>
      </c>
      <c r="AL3317">
        <v>66.690404926338303</v>
      </c>
      <c r="AM3317">
        <v>108.886336068863</v>
      </c>
      <c r="AN3317">
        <v>0.99999998682025404</v>
      </c>
    </row>
    <row r="3318" spans="1:40" x14ac:dyDescent="0.25">
      <c r="A3318" t="str">
        <f>"20190304164916332"</f>
        <v>20190304164916332</v>
      </c>
      <c r="B3318" t="str">
        <f>"1551689356329296"</f>
        <v>1551689356329296</v>
      </c>
      <c r="C3318" t="s">
        <v>40</v>
      </c>
      <c r="D3318">
        <v>4.0851059999999997</v>
      </c>
      <c r="E3318">
        <v>0.4545556</v>
      </c>
      <c r="F3318" t="s">
        <v>45</v>
      </c>
      <c r="G3318">
        <v>-484.38670000000002</v>
      </c>
      <c r="H3318" s="1">
        <v>4.1360470000000001E-6</v>
      </c>
      <c r="I3318">
        <v>225.91630000000001</v>
      </c>
      <c r="J3318">
        <v>-491.60430000000002</v>
      </c>
      <c r="K3318">
        <v>1.115151</v>
      </c>
      <c r="L3318">
        <v>234.85120000000001</v>
      </c>
      <c r="M3318">
        <v>0.2419365</v>
      </c>
      <c r="N3318">
        <v>-1.3837210000000001E-2</v>
      </c>
      <c r="O3318">
        <v>-0.97019350000000004</v>
      </c>
      <c r="P3318">
        <v>0.4949655</v>
      </c>
      <c r="Q3318">
        <v>0.38597379999999998</v>
      </c>
      <c r="R3318">
        <v>-0.77848169999999905</v>
      </c>
      <c r="S3318">
        <v>2.1187130000000001</v>
      </c>
      <c r="T3318">
        <v>-0.32431659999999901</v>
      </c>
      <c r="U3318">
        <v>-2.6708370000000001</v>
      </c>
      <c r="V3318">
        <v>-0.29585929999999999</v>
      </c>
      <c r="W3318">
        <v>0.39510980000000001</v>
      </c>
      <c r="X3318">
        <v>0.86968699999999999</v>
      </c>
      <c r="Y3318">
        <v>-0.41094510000000001</v>
      </c>
      <c r="Z3318">
        <v>8.4185179999999998E-2</v>
      </c>
      <c r="AA3318">
        <v>0.90776480000000004</v>
      </c>
      <c r="AB3318">
        <v>25</v>
      </c>
      <c r="AC3318">
        <v>7.2176</v>
      </c>
      <c r="AD3318">
        <v>-1.115146863953</v>
      </c>
      <c r="AE3318">
        <v>-8.9348999999999901</v>
      </c>
      <c r="AF3318">
        <v>-4.7960451523553997</v>
      </c>
      <c r="AG3318">
        <v>-1.115146863953</v>
      </c>
      <c r="AH3318">
        <v>10.318515514877999</v>
      </c>
      <c r="AI3318">
        <v>95.597306239920499</v>
      </c>
      <c r="AJ3318">
        <v>114.929001108237</v>
      </c>
      <c r="AK3318">
        <v>11.4331694670548</v>
      </c>
      <c r="AL3318">
        <v>66.727177294144099</v>
      </c>
      <c r="AM3318">
        <v>108.787819124132</v>
      </c>
      <c r="AN3318">
        <v>0.99999997871076396</v>
      </c>
    </row>
    <row r="3319" spans="1:40" x14ac:dyDescent="0.25">
      <c r="A3319" t="str">
        <f>"20190304164916353"</f>
        <v>20190304164916353</v>
      </c>
      <c r="B3319" t="str">
        <f>"1551689356348815"</f>
        <v>1551689356348815</v>
      </c>
      <c r="C3319" t="s">
        <v>40</v>
      </c>
      <c r="D3319">
        <v>4.0949140000000002</v>
      </c>
      <c r="E3319">
        <v>0.45486900000000002</v>
      </c>
      <c r="F3319" t="s">
        <v>45</v>
      </c>
      <c r="G3319">
        <v>-484.33479999999997</v>
      </c>
      <c r="H3319" s="1">
        <v>4.0867140000000002E-6</v>
      </c>
      <c r="I3319">
        <v>225.74520000000001</v>
      </c>
      <c r="J3319">
        <v>-491.53910000000002</v>
      </c>
      <c r="K3319">
        <v>1.115113</v>
      </c>
      <c r="L3319">
        <v>234.61709999999999</v>
      </c>
      <c r="M3319">
        <v>0.2476399</v>
      </c>
      <c r="N3319">
        <v>-1.386919E-2</v>
      </c>
      <c r="O3319">
        <v>-0.96875290000000003</v>
      </c>
      <c r="P3319">
        <v>0.4986236</v>
      </c>
      <c r="Q3319">
        <v>0.38554270000000002</v>
      </c>
      <c r="R3319">
        <v>-0.77635779999999999</v>
      </c>
      <c r="S3319">
        <v>2.1262819999999998</v>
      </c>
      <c r="T3319">
        <v>-0.3261732</v>
      </c>
      <c r="U3319">
        <v>-2.6634370000000001</v>
      </c>
      <c r="V3319">
        <v>-0.29473460000000001</v>
      </c>
      <c r="W3319">
        <v>0.39475320000000003</v>
      </c>
      <c r="X3319">
        <v>0.87023069999999902</v>
      </c>
      <c r="Y3319">
        <v>-0.40835939999999998</v>
      </c>
      <c r="Z3319">
        <v>8.4713849999999993E-2</v>
      </c>
      <c r="AA3319">
        <v>0.90888179999999996</v>
      </c>
      <c r="AB3319">
        <v>25</v>
      </c>
      <c r="AC3319">
        <v>7.2043000000000399</v>
      </c>
      <c r="AD3319">
        <v>-1.1151089132859999</v>
      </c>
      <c r="AE3319">
        <v>-8.8718999999999806</v>
      </c>
      <c r="AF3319">
        <v>-4.7375075621529597</v>
      </c>
      <c r="AG3319">
        <v>-1.1151089132859999</v>
      </c>
      <c r="AH3319">
        <v>10.281862836993501</v>
      </c>
      <c r="AI3319">
        <v>95.625534833532299</v>
      </c>
      <c r="AJ3319">
        <v>114.738527271518</v>
      </c>
      <c r="AK3319">
        <v>11.3755944542997</v>
      </c>
      <c r="AL3319">
        <v>66.749417879846604</v>
      </c>
      <c r="AM3319">
        <v>108.710499909555</v>
      </c>
      <c r="AN3319">
        <v>1.0000000222849399</v>
      </c>
    </row>
    <row r="3320" spans="1:40" x14ac:dyDescent="0.25">
      <c r="A3320" t="str">
        <f>"20190304164916376"</f>
        <v>20190304164916376</v>
      </c>
      <c r="B3320" t="str">
        <f>"1551689356369312"</f>
        <v>1551689356369312</v>
      </c>
      <c r="C3320" t="s">
        <v>40</v>
      </c>
      <c r="D3320">
        <v>4.1146849999999997</v>
      </c>
      <c r="E3320">
        <v>0.45501560000000002</v>
      </c>
      <c r="F3320" t="s">
        <v>45</v>
      </c>
      <c r="G3320">
        <v>-484.24149999999997</v>
      </c>
      <c r="H3320" s="1">
        <v>4.0240389999999999E-6</v>
      </c>
      <c r="I3320">
        <v>225.55520000000001</v>
      </c>
      <c r="J3320">
        <v>-491.4726</v>
      </c>
      <c r="K3320">
        <v>1.115083</v>
      </c>
      <c r="L3320">
        <v>234.38329999999999</v>
      </c>
      <c r="M3320">
        <v>0.25330439999999999</v>
      </c>
      <c r="N3320">
        <v>-1.389846E-2</v>
      </c>
      <c r="O3320">
        <v>-0.96728689999999995</v>
      </c>
      <c r="P3320">
        <v>0.50195479999999904</v>
      </c>
      <c r="Q3320">
        <v>0.38531910000000003</v>
      </c>
      <c r="R3320">
        <v>-0.7743196</v>
      </c>
      <c r="S3320">
        <v>2.1370849999999999</v>
      </c>
      <c r="T3320">
        <v>-0.32655810000000002</v>
      </c>
      <c r="U3320">
        <v>-2.653778</v>
      </c>
      <c r="V3320">
        <v>-0.29330479999999998</v>
      </c>
      <c r="W3320">
        <v>0.39460430000000002</v>
      </c>
      <c r="X3320">
        <v>0.87078109999999997</v>
      </c>
      <c r="Y3320">
        <v>-0.4068753</v>
      </c>
      <c r="Z3320">
        <v>8.4813070000000004E-2</v>
      </c>
      <c r="AA3320">
        <v>0.90953790000000001</v>
      </c>
      <c r="AB3320">
        <v>25</v>
      </c>
      <c r="AC3320">
        <v>7.2311000000000201</v>
      </c>
      <c r="AD3320">
        <v>-1.115078975961</v>
      </c>
      <c r="AE3320">
        <v>-8.8280999999999707</v>
      </c>
      <c r="AF3320">
        <v>-4.7138026758540201</v>
      </c>
      <c r="AG3320">
        <v>-1.115078975961</v>
      </c>
      <c r="AH3320">
        <v>10.273878888110101</v>
      </c>
      <c r="AI3320">
        <v>95.633868042130999</v>
      </c>
      <c r="AJ3320">
        <v>114.646334586029</v>
      </c>
      <c r="AK3320">
        <v>11.358517693654999</v>
      </c>
      <c r="AL3320">
        <v>66.758702241841405</v>
      </c>
      <c r="AM3320">
        <v>108.615045586734</v>
      </c>
      <c r="AN3320">
        <v>0.99999999169937004</v>
      </c>
    </row>
    <row r="3321" spans="1:40" x14ac:dyDescent="0.25">
      <c r="A3321" t="str">
        <f>"20190304164916398"</f>
        <v>20190304164916398</v>
      </c>
      <c r="B3321" t="str">
        <f>"1551689356389808"</f>
        <v>1551689356389808</v>
      </c>
      <c r="C3321" t="s">
        <v>40</v>
      </c>
      <c r="D3321">
        <v>4.1066120000000002</v>
      </c>
      <c r="E3321">
        <v>0.45503719999999998</v>
      </c>
      <c r="F3321" t="s">
        <v>41</v>
      </c>
      <c r="G3321">
        <v>-490.81540000000001</v>
      </c>
      <c r="H3321">
        <v>1.0147600000000001</v>
      </c>
      <c r="I3321">
        <v>233.57499999999999</v>
      </c>
      <c r="J3321">
        <v>-491.40170000000001</v>
      </c>
      <c r="K3321">
        <v>1.1150450000000001</v>
      </c>
      <c r="L3321">
        <v>234.14009999999999</v>
      </c>
      <c r="M3321">
        <v>0.25916060000000002</v>
      </c>
      <c r="N3321">
        <v>-1.392408E-2</v>
      </c>
      <c r="O3321">
        <v>-0.96573399999999998</v>
      </c>
      <c r="P3321">
        <v>0.50541420000000004</v>
      </c>
      <c r="Q3321">
        <v>0.38510810000000001</v>
      </c>
      <c r="R3321">
        <v>-0.77217150000000001</v>
      </c>
      <c r="S3321">
        <v>2.1495060000000001</v>
      </c>
      <c r="T3321">
        <v>-0.32817079999999998</v>
      </c>
      <c r="U3321">
        <v>-2.6442260000000002</v>
      </c>
      <c r="V3321">
        <v>-0.291852099999999</v>
      </c>
      <c r="W3321">
        <v>0.39446320000000001</v>
      </c>
      <c r="X3321">
        <v>0.87133300000000002</v>
      </c>
      <c r="Y3321">
        <v>-0.40550049999999999</v>
      </c>
      <c r="Z3321">
        <v>8.5244239999999999E-2</v>
      </c>
      <c r="AA3321">
        <v>0.91011140000000001</v>
      </c>
      <c r="AB3321">
        <v>25</v>
      </c>
      <c r="AC3321">
        <v>0.58629999999999405</v>
      </c>
      <c r="AD3321">
        <v>-0.100284999999999</v>
      </c>
      <c r="AE3321">
        <v>-0.56510000000000005</v>
      </c>
      <c r="AF3321">
        <v>-0.413526833646919</v>
      </c>
      <c r="AG3321">
        <v>-0.100284999999999</v>
      </c>
      <c r="AH3321">
        <v>0.68732497667841796</v>
      </c>
      <c r="AI3321">
        <v>97.126293779435002</v>
      </c>
      <c r="AJ3321">
        <v>121.03308218258501</v>
      </c>
      <c r="AK3321">
        <v>0.80837933356626301</v>
      </c>
      <c r="AL3321">
        <v>66.767501325850702</v>
      </c>
      <c r="AM3321">
        <v>108.518221188543</v>
      </c>
      <c r="AN3321">
        <v>1.0000000306588199</v>
      </c>
    </row>
    <row r="3322" spans="1:40" x14ac:dyDescent="0.25">
      <c r="A3322" t="str">
        <f>"20190304164916420"</f>
        <v>20190304164916420</v>
      </c>
      <c r="B3322" t="str">
        <f>"1551689356409327"</f>
        <v>1551689356409327</v>
      </c>
      <c r="C3322" t="s">
        <v>40</v>
      </c>
      <c r="D3322">
        <v>4.1025429999999998</v>
      </c>
      <c r="E3322">
        <v>0.4550459</v>
      </c>
      <c r="F3322" t="s">
        <v>41</v>
      </c>
      <c r="G3322">
        <v>-490.72449999999998</v>
      </c>
      <c r="H3322">
        <v>1.0120480000000001</v>
      </c>
      <c r="I3322">
        <v>233.31630000000001</v>
      </c>
      <c r="J3322">
        <v>-491.33449999999999</v>
      </c>
      <c r="K3322">
        <v>1.1150329999999999</v>
      </c>
      <c r="L3322">
        <v>233.91399999999999</v>
      </c>
      <c r="M3322">
        <v>0.26458219999999999</v>
      </c>
      <c r="N3322">
        <v>-1.3944730000000001E-2</v>
      </c>
      <c r="O3322">
        <v>-0.96426250000000002</v>
      </c>
      <c r="P3322">
        <v>0.50849569999999999</v>
      </c>
      <c r="Q3322">
        <v>0.38601740000000001</v>
      </c>
      <c r="R3322">
        <v>-0.76969019999999899</v>
      </c>
      <c r="S3322">
        <v>2.1647340000000002</v>
      </c>
      <c r="T3322">
        <v>-0.32912469999999999</v>
      </c>
      <c r="U3322">
        <v>-2.6323850000000002</v>
      </c>
      <c r="V3322">
        <v>-0.29053220000000002</v>
      </c>
      <c r="W3322">
        <v>0.39542300000000002</v>
      </c>
      <c r="X3322">
        <v>0.87133899999999997</v>
      </c>
      <c r="Y3322">
        <v>-0.40550330000000001</v>
      </c>
      <c r="Z3322">
        <v>8.5500660000000006E-2</v>
      </c>
      <c r="AA3322">
        <v>0.91008610000000001</v>
      </c>
      <c r="AB3322">
        <v>25</v>
      </c>
      <c r="AC3322">
        <v>0.61000000000001298</v>
      </c>
      <c r="AD3322">
        <v>-0.10298499999999899</v>
      </c>
      <c r="AE3322">
        <v>-0.59770000000000301</v>
      </c>
      <c r="AF3322">
        <v>-0.42393633625623101</v>
      </c>
      <c r="AG3322">
        <v>-0.10298499999999899</v>
      </c>
      <c r="AH3322">
        <v>0.72723127348826599</v>
      </c>
      <c r="AI3322">
        <v>96.9750454675155</v>
      </c>
      <c r="AJ3322">
        <v>120.239862916899</v>
      </c>
      <c r="AK3322">
        <v>0.84805262369897905</v>
      </c>
      <c r="AL3322">
        <v>66.7076414232085</v>
      </c>
      <c r="AM3322">
        <v>108.440030297446</v>
      </c>
      <c r="AN3322">
        <v>0.99999998054341899</v>
      </c>
    </row>
    <row r="3323" spans="1:40" x14ac:dyDescent="0.25">
      <c r="A3323" t="str">
        <f>"20190304164916441"</f>
        <v>20190304164916441</v>
      </c>
      <c r="B3323" t="str">
        <f>"1551689356439584"</f>
        <v>1551689356439584</v>
      </c>
      <c r="C3323" t="s">
        <v>40</v>
      </c>
      <c r="D3323">
        <v>4.1050940000000002</v>
      </c>
      <c r="E3323">
        <v>0.45496360000000002</v>
      </c>
      <c r="F3323" t="s">
        <v>41</v>
      </c>
      <c r="G3323">
        <v>-490.64620000000002</v>
      </c>
      <c r="H3323">
        <v>1.012086</v>
      </c>
      <c r="I3323">
        <v>233.08709999999999</v>
      </c>
      <c r="J3323">
        <v>-491.2647</v>
      </c>
      <c r="K3323">
        <v>1.1150180000000001</v>
      </c>
      <c r="L3323">
        <v>233.6842</v>
      </c>
      <c r="M3323">
        <v>0.27007809999999999</v>
      </c>
      <c r="N3323">
        <v>-1.3963430000000001E-2</v>
      </c>
      <c r="O3323">
        <v>-0.96273739999999997</v>
      </c>
      <c r="P3323">
        <v>0.51137650000000001</v>
      </c>
      <c r="Q3323">
        <v>0.38731369999999998</v>
      </c>
      <c r="R3323">
        <v>-0.76712609999999903</v>
      </c>
      <c r="S3323">
        <v>2.1809690000000002</v>
      </c>
      <c r="T3323">
        <v>-0.32622719999999999</v>
      </c>
      <c r="U3323">
        <v>-2.6204070000000002</v>
      </c>
      <c r="V3323">
        <v>-0.28898479999999999</v>
      </c>
      <c r="W3323">
        <v>0.39676410000000001</v>
      </c>
      <c r="X3323">
        <v>0.87124400000000002</v>
      </c>
      <c r="Y3323">
        <v>-0.40572320000000001</v>
      </c>
      <c r="Z3323">
        <v>8.4602269999999993E-2</v>
      </c>
      <c r="AA3323">
        <v>0.91007210000000005</v>
      </c>
      <c r="AB3323">
        <v>25</v>
      </c>
      <c r="AC3323">
        <v>0.61849999999998295</v>
      </c>
      <c r="AD3323">
        <v>-0.102932</v>
      </c>
      <c r="AE3323">
        <v>-0.59710000000001096</v>
      </c>
      <c r="AF3323">
        <v>-0.42809470339502997</v>
      </c>
      <c r="AG3323">
        <v>-0.102932</v>
      </c>
      <c r="AH3323">
        <v>0.73147979568558497</v>
      </c>
      <c r="AI3323">
        <v>96.924525654044402</v>
      </c>
      <c r="AJ3323">
        <v>120.33808029372</v>
      </c>
      <c r="AK3323">
        <v>0.85376973663576505</v>
      </c>
      <c r="AL3323">
        <v>66.623958938872704</v>
      </c>
      <c r="AM3323">
        <v>108.350277870217</v>
      </c>
      <c r="AN3323">
        <v>1.00000003660792</v>
      </c>
    </row>
    <row r="3324" spans="1:40" x14ac:dyDescent="0.25">
      <c r="A3324" t="str">
        <f>"20190304164916456"</f>
        <v>20190304164916456</v>
      </c>
      <c r="B3324" t="str">
        <f>"1551689356449343"</f>
        <v>1551689356449343</v>
      </c>
      <c r="C3324" t="s">
        <v>40</v>
      </c>
      <c r="D3324">
        <v>4.1175249999999997</v>
      </c>
      <c r="E3324">
        <v>0.45494709999999999</v>
      </c>
      <c r="F3324" t="s">
        <v>45</v>
      </c>
      <c r="G3324">
        <v>-483.68860000000001</v>
      </c>
      <c r="H3324" s="1">
        <v>3.7083850000000002E-6</v>
      </c>
      <c r="I3324">
        <v>224.68209999999999</v>
      </c>
      <c r="J3324">
        <v>-491.2176</v>
      </c>
      <c r="K3324">
        <v>1.1150070000000001</v>
      </c>
      <c r="L3324">
        <v>233.53100000000001</v>
      </c>
      <c r="M3324">
        <v>0.27373309999999901</v>
      </c>
      <c r="N3324">
        <v>-1.397496E-2</v>
      </c>
      <c r="O3324">
        <v>-0.96170440000000001</v>
      </c>
      <c r="P3324">
        <v>0.51357699999999995</v>
      </c>
      <c r="Q3324">
        <v>0.38753569999999998</v>
      </c>
      <c r="R3324">
        <v>-0.76554270000000002</v>
      </c>
      <c r="S3324">
        <v>2.1963810000000001</v>
      </c>
      <c r="T3324">
        <v>-0.32325100000000001</v>
      </c>
      <c r="U3324">
        <v>-2.609772</v>
      </c>
      <c r="V3324">
        <v>-0.28819349999999999</v>
      </c>
      <c r="W3324">
        <v>0.39701360000000002</v>
      </c>
      <c r="X3324">
        <v>0.87139239999999996</v>
      </c>
      <c r="Y3324">
        <v>-0.4072808</v>
      </c>
      <c r="Z3324">
        <v>8.3690790000000001E-2</v>
      </c>
      <c r="AA3324">
        <v>0.90946039999999995</v>
      </c>
      <c r="AB3324">
        <v>25</v>
      </c>
      <c r="AC3324">
        <v>7.5289999999999901</v>
      </c>
      <c r="AD3324">
        <v>-1.1150032916149999</v>
      </c>
      <c r="AE3324">
        <v>-8.8488999999999791</v>
      </c>
      <c r="AF3324">
        <v>-4.7749285174029499</v>
      </c>
      <c r="AG3324">
        <v>-1.1150032916149999</v>
      </c>
      <c r="AH3324">
        <v>10.475514224248199</v>
      </c>
      <c r="AI3324">
        <v>95.531957603697705</v>
      </c>
      <c r="AJ3324">
        <v>114.50435504779399</v>
      </c>
      <c r="AK3324">
        <v>11.5663119856351</v>
      </c>
      <c r="AL3324">
        <v>66.608383635688</v>
      </c>
      <c r="AM3324">
        <v>108.300475165291</v>
      </c>
      <c r="AN3324">
        <v>1.0000000034024801</v>
      </c>
    </row>
    <row r="3325" spans="1:40" x14ac:dyDescent="0.25">
      <c r="A3325" t="str">
        <f>"20190304164916476"</f>
        <v>20190304164916476</v>
      </c>
      <c r="B3325" t="str">
        <f>"1551689356468864"</f>
        <v>1551689356468864</v>
      </c>
      <c r="C3325" t="s">
        <v>40</v>
      </c>
      <c r="D3325">
        <v>4.1301069999999998</v>
      </c>
      <c r="E3325">
        <v>0.45487309999999997</v>
      </c>
      <c r="F3325" t="s">
        <v>41</v>
      </c>
      <c r="G3325">
        <v>-490.54050000000001</v>
      </c>
      <c r="H3325">
        <v>1.0158910000000001</v>
      </c>
      <c r="I3325">
        <v>232.73240000000001</v>
      </c>
      <c r="J3325">
        <v>-491.15219999999999</v>
      </c>
      <c r="K3325">
        <v>1.1149979999999999</v>
      </c>
      <c r="L3325">
        <v>233.3227</v>
      </c>
      <c r="M3325">
        <v>0.27870460000000002</v>
      </c>
      <c r="N3325">
        <v>-1.398893E-2</v>
      </c>
      <c r="O3325">
        <v>-0.9602752</v>
      </c>
      <c r="P3325">
        <v>0.51626899999999998</v>
      </c>
      <c r="Q3325">
        <v>0.38810879999999998</v>
      </c>
      <c r="R3325">
        <v>-0.76343819999999996</v>
      </c>
      <c r="S3325">
        <v>2.2064509999999999</v>
      </c>
      <c r="T3325">
        <v>-0.32292409999999999</v>
      </c>
      <c r="U3325">
        <v>-2.6020660000000002</v>
      </c>
      <c r="V3325">
        <v>-0.2868193</v>
      </c>
      <c r="W3325">
        <v>0.39762310000000001</v>
      </c>
      <c r="X3325">
        <v>0.87156789999999995</v>
      </c>
      <c r="Y3325">
        <v>-0.40594429999999998</v>
      </c>
      <c r="Z3325">
        <v>8.3541779999999996E-2</v>
      </c>
      <c r="AA3325">
        <v>0.91007139999999997</v>
      </c>
      <c r="AB3325">
        <v>25</v>
      </c>
      <c r="AC3325">
        <v>0.61169999999998403</v>
      </c>
      <c r="AD3325">
        <v>-9.9107000000000001E-2</v>
      </c>
      <c r="AE3325">
        <v>-0.59029999999998495</v>
      </c>
      <c r="AF3325">
        <v>-0.41725092352383297</v>
      </c>
      <c r="AG3325">
        <v>-9.9107000000000001E-2</v>
      </c>
      <c r="AH3325">
        <v>0.72751744489755799</v>
      </c>
      <c r="AI3325">
        <v>96.739420541180806</v>
      </c>
      <c r="AJ3325">
        <v>119.835436654395</v>
      </c>
      <c r="AK3325">
        <v>0.84451297400381198</v>
      </c>
      <c r="AL3325">
        <v>66.570329724347303</v>
      </c>
      <c r="AM3325">
        <v>108.21556300399899</v>
      </c>
      <c r="AN3325">
        <v>1.0000000224082499</v>
      </c>
    </row>
    <row r="3326" spans="1:40" x14ac:dyDescent="0.25">
      <c r="A3326" t="str">
        <f>"20190304164916499"</f>
        <v>20190304164916499</v>
      </c>
      <c r="B3326" t="str">
        <f>"1551689356489360"</f>
        <v>1551689356489360</v>
      </c>
      <c r="C3326" t="s">
        <v>40</v>
      </c>
      <c r="D3326">
        <v>4.1294149999999998</v>
      </c>
      <c r="E3326">
        <v>0.45480720000000002</v>
      </c>
      <c r="F3326" t="s">
        <v>41</v>
      </c>
      <c r="G3326">
        <v>-490.47039999999998</v>
      </c>
      <c r="H3326">
        <v>1.015976</v>
      </c>
      <c r="I3326">
        <v>232.52590000000001</v>
      </c>
      <c r="J3326">
        <v>-491.07659999999998</v>
      </c>
      <c r="K3326">
        <v>1.1150009999999999</v>
      </c>
      <c r="L3326">
        <v>233.08619999999999</v>
      </c>
      <c r="M3326">
        <v>0.28434910000000002</v>
      </c>
      <c r="N3326">
        <v>-1.400247E-2</v>
      </c>
      <c r="O3326">
        <v>-0.95861870000000005</v>
      </c>
      <c r="P3326">
        <v>0.51934950000000002</v>
      </c>
      <c r="Q3326">
        <v>0.38868560000000002</v>
      </c>
      <c r="R3326">
        <v>-0.7610519</v>
      </c>
      <c r="S3326">
        <v>2.2192080000000001</v>
      </c>
      <c r="T3326">
        <v>-0.32219680000000001</v>
      </c>
      <c r="U3326">
        <v>-2.5927280000000001</v>
      </c>
      <c r="V3326">
        <v>-0.28528140000000002</v>
      </c>
      <c r="W3326">
        <v>0.39823730000000002</v>
      </c>
      <c r="X3326">
        <v>0.87179219999999902</v>
      </c>
      <c r="Y3326">
        <v>-0.40479270000000001</v>
      </c>
      <c r="Z3326">
        <v>8.3259490000000005E-2</v>
      </c>
      <c r="AA3326">
        <v>0.91061009999999998</v>
      </c>
      <c r="AB3326">
        <v>25</v>
      </c>
      <c r="AC3326">
        <v>0.60620000000000096</v>
      </c>
      <c r="AD3326">
        <v>-9.9025000000000099E-2</v>
      </c>
      <c r="AE3326">
        <v>-0.56029999999998303</v>
      </c>
      <c r="AF3326">
        <v>-0.41585081549058101</v>
      </c>
      <c r="AG3326">
        <v>-9.9025000000000099E-2</v>
      </c>
      <c r="AH3326">
        <v>0.69948987754887104</v>
      </c>
      <c r="AI3326">
        <v>96.938043015443</v>
      </c>
      <c r="AJ3326">
        <v>120.731730447861</v>
      </c>
      <c r="AK3326">
        <v>0.81977066315068703</v>
      </c>
      <c r="AL3326">
        <v>66.531971054413205</v>
      </c>
      <c r="AM3326">
        <v>108.119936200043</v>
      </c>
      <c r="AN3326">
        <v>1.0000000321390401</v>
      </c>
    </row>
    <row r="3327" spans="1:40" x14ac:dyDescent="0.25">
      <c r="A3327" t="str">
        <f>"20190304164916520"</f>
        <v>20190304164916520</v>
      </c>
      <c r="B3327" t="str">
        <f>"1551689356508883"</f>
        <v>1551689356508883</v>
      </c>
      <c r="C3327" t="s">
        <v>40</v>
      </c>
      <c r="D3327">
        <v>4.1144850000000002</v>
      </c>
      <c r="E3327">
        <v>0.45261820000000003</v>
      </c>
      <c r="F3327" t="s">
        <v>41</v>
      </c>
      <c r="G3327">
        <v>-490.37329999999997</v>
      </c>
      <c r="H3327">
        <v>1.013719</v>
      </c>
      <c r="I3327">
        <v>232.27279999999999</v>
      </c>
      <c r="J3327">
        <v>-491.00360000000001</v>
      </c>
      <c r="K3327">
        <v>1.1149979999999999</v>
      </c>
      <c r="L3327">
        <v>232.8622</v>
      </c>
      <c r="M3327">
        <v>0.28970200000000002</v>
      </c>
      <c r="N3327">
        <v>-1.401343E-2</v>
      </c>
      <c r="O3327">
        <v>-0.95701440000000004</v>
      </c>
      <c r="P3327">
        <v>0.52241870000000001</v>
      </c>
      <c r="Q3327">
        <v>0.3888683</v>
      </c>
      <c r="R3327">
        <v>-0.75885440000000004</v>
      </c>
      <c r="S3327">
        <v>2.232605</v>
      </c>
      <c r="T3327">
        <v>-0.32155590000000001</v>
      </c>
      <c r="U3327">
        <v>-2.5825499999999999</v>
      </c>
      <c r="V3327">
        <v>-0.2839412</v>
      </c>
      <c r="W3327">
        <v>0.39845380000000002</v>
      </c>
      <c r="X3327">
        <v>0.87213069999999904</v>
      </c>
      <c r="Y3327">
        <v>-0.40418009999999999</v>
      </c>
      <c r="Z3327">
        <v>8.3015829999999999E-2</v>
      </c>
      <c r="AA3327">
        <v>0.91090439999999995</v>
      </c>
      <c r="AB3327">
        <v>25</v>
      </c>
      <c r="AC3327">
        <v>0.63030000000003295</v>
      </c>
      <c r="AD3327">
        <v>-0.10127899999999899</v>
      </c>
      <c r="AE3327">
        <v>-0.58940000000001103</v>
      </c>
      <c r="AF3327">
        <v>-0.42662175958135801</v>
      </c>
      <c r="AG3327">
        <v>-0.10127899999999899</v>
      </c>
      <c r="AH3327">
        <v>0.73659057259705596</v>
      </c>
      <c r="AI3327">
        <v>96.785227562807094</v>
      </c>
      <c r="AJ3327">
        <v>120.07875283116201</v>
      </c>
      <c r="AK3327">
        <v>0.85722181098485495</v>
      </c>
      <c r="AL3327">
        <v>66.518446345831407</v>
      </c>
      <c r="AM3327">
        <v>108.03379075196101</v>
      </c>
      <c r="AN3327">
        <v>0.99999999683718499</v>
      </c>
    </row>
    <row r="3328" spans="1:40" x14ac:dyDescent="0.25">
      <c r="A3328" t="str">
        <f>"20190304164916544"</f>
        <v>20190304164916544</v>
      </c>
      <c r="B3328" t="str">
        <f>"1551689356539135"</f>
        <v>1551689356539135</v>
      </c>
      <c r="C3328" t="s">
        <v>40</v>
      </c>
      <c r="D3328">
        <v>4.1027699999999996</v>
      </c>
      <c r="E3328">
        <v>0.4386159</v>
      </c>
      <c r="F3328" t="s">
        <v>41</v>
      </c>
      <c r="G3328">
        <v>-490.2953</v>
      </c>
      <c r="H3328">
        <v>1.001477</v>
      </c>
      <c r="I3328">
        <v>232.05779999999999</v>
      </c>
      <c r="J3328">
        <v>-490.92290000000003</v>
      </c>
      <c r="K3328">
        <v>1.1149899999999999</v>
      </c>
      <c r="L3328">
        <v>232.6198</v>
      </c>
      <c r="M3328">
        <v>0.29550149999999997</v>
      </c>
      <c r="N3328">
        <v>-1.402341E-2</v>
      </c>
      <c r="O3328">
        <v>-0.95523950000000002</v>
      </c>
      <c r="P3328">
        <v>0.52633200000000002</v>
      </c>
      <c r="Q3328">
        <v>0.38853840000000001</v>
      </c>
      <c r="R3328">
        <v>-0.75631550000000003</v>
      </c>
      <c r="S3328">
        <v>2.2692570000000001</v>
      </c>
      <c r="T3328">
        <v>-0.36373030000000001</v>
      </c>
      <c r="U3328">
        <v>-2.577423</v>
      </c>
      <c r="V3328">
        <v>-0.28308949999999999</v>
      </c>
      <c r="W3328">
        <v>0.39815200000000001</v>
      </c>
      <c r="X3328">
        <v>0.87254529999999997</v>
      </c>
      <c r="Y3328">
        <v>-0.40613260000000001</v>
      </c>
      <c r="Z3328">
        <v>9.4822500000000004E-2</v>
      </c>
      <c r="AA3328">
        <v>0.90888119999999994</v>
      </c>
      <c r="AB3328">
        <v>25</v>
      </c>
      <c r="AC3328">
        <v>0.62760000000002902</v>
      </c>
      <c r="AD3328">
        <v>-0.113512999999999</v>
      </c>
      <c r="AE3328">
        <v>-0.56200000000001105</v>
      </c>
      <c r="AF3328">
        <v>-0.42574946891687798</v>
      </c>
      <c r="AG3328">
        <v>-0.113512999999999</v>
      </c>
      <c r="AH3328">
        <v>0.70949132189964503</v>
      </c>
      <c r="AI3328">
        <v>97.811498665746399</v>
      </c>
      <c r="AJ3328">
        <v>120.967003042746</v>
      </c>
      <c r="AK3328">
        <v>0.83518006878930595</v>
      </c>
      <c r="AL3328">
        <v>66.537297960669605</v>
      </c>
      <c r="AM3328">
        <v>107.975190110203</v>
      </c>
      <c r="AN3328">
        <v>0.99999999033317</v>
      </c>
    </row>
    <row r="3329" spans="1:40" x14ac:dyDescent="0.25">
      <c r="A3329" t="str">
        <f>"20190304164916567"</f>
        <v>20190304164916567</v>
      </c>
      <c r="B3329" t="str">
        <f>"1551689356558656"</f>
        <v>1551689356558656</v>
      </c>
      <c r="C3329" t="s">
        <v>40</v>
      </c>
      <c r="D3329">
        <v>4.0889119999999997</v>
      </c>
      <c r="E3329">
        <v>0.43742900000000001</v>
      </c>
      <c r="F3329" t="s">
        <v>41</v>
      </c>
      <c r="G3329">
        <v>-490.26089999999999</v>
      </c>
      <c r="H3329">
        <v>1.0309710000000001</v>
      </c>
      <c r="I3329">
        <v>231.92359999999999</v>
      </c>
      <c r="J3329">
        <v>-490.8415</v>
      </c>
      <c r="K3329">
        <v>1.1149770000000001</v>
      </c>
      <c r="L3329">
        <v>232.37989999999999</v>
      </c>
      <c r="M3329">
        <v>0.30124810000000002</v>
      </c>
      <c r="N3329">
        <v>-1.40316E-2</v>
      </c>
      <c r="O3329">
        <v>-0.95344269999999998</v>
      </c>
      <c r="P3329">
        <v>0.53072710000000001</v>
      </c>
      <c r="Q3329">
        <v>0.38804660000000002</v>
      </c>
      <c r="R3329">
        <v>-0.75349100000000002</v>
      </c>
      <c r="S3329">
        <v>2.3571780000000002</v>
      </c>
      <c r="T3329">
        <v>-0.29929919999999999</v>
      </c>
      <c r="U3329">
        <v>-2.4800110000000002</v>
      </c>
      <c r="V3329">
        <v>-0.28282550000000001</v>
      </c>
      <c r="W3329">
        <v>0.39768049999999999</v>
      </c>
      <c r="X3329">
        <v>0.87284589999999995</v>
      </c>
      <c r="Y3329">
        <v>-0.436193</v>
      </c>
      <c r="Z3329">
        <v>7.6782699999999995E-2</v>
      </c>
      <c r="AA3329">
        <v>0.89657129999999996</v>
      </c>
      <c r="AB3329">
        <v>25</v>
      </c>
      <c r="AC3329">
        <v>0.580600000000004</v>
      </c>
      <c r="AD3329">
        <v>-8.4006000000000206E-2</v>
      </c>
      <c r="AE3329">
        <v>-0.45629999999999798</v>
      </c>
      <c r="AF3329">
        <v>-0.41083348453797103</v>
      </c>
      <c r="AG3329">
        <v>-8.4006000000000206E-2</v>
      </c>
      <c r="AH3329">
        <v>0.60222687726058499</v>
      </c>
      <c r="AI3329">
        <v>96.573335542323903</v>
      </c>
      <c r="AJ3329">
        <v>124.30143890539</v>
      </c>
      <c r="AK3329">
        <v>0.73383811004106902</v>
      </c>
      <c r="AL3329">
        <v>66.566744919008798</v>
      </c>
      <c r="AM3329">
        <v>107.953716092025</v>
      </c>
      <c r="AN3329">
        <v>1.0000000043386501</v>
      </c>
    </row>
    <row r="3330" spans="1:40" x14ac:dyDescent="0.25">
      <c r="A3330" t="str">
        <f>"20190304164916587"</f>
        <v>20190304164916587</v>
      </c>
      <c r="B3330" t="str">
        <f>"1551689356579152"</f>
        <v>1551689356579152</v>
      </c>
      <c r="C3330" t="s">
        <v>40</v>
      </c>
      <c r="D3330">
        <v>4.2856550000000002</v>
      </c>
      <c r="E3330">
        <v>0.43707750000000001</v>
      </c>
      <c r="F3330" t="s">
        <v>41</v>
      </c>
      <c r="G3330">
        <v>-490.16500000000002</v>
      </c>
      <c r="H3330">
        <v>1.0302309999999999</v>
      </c>
      <c r="I3330">
        <v>231.67959999999999</v>
      </c>
      <c r="J3330">
        <v>-490.7654</v>
      </c>
      <c r="K3330">
        <v>1.114968</v>
      </c>
      <c r="L3330">
        <v>232.15989999999999</v>
      </c>
      <c r="M3330">
        <v>0.3065213</v>
      </c>
      <c r="N3330">
        <v>-1.403781E-2</v>
      </c>
      <c r="O3330">
        <v>-0.9517603</v>
      </c>
      <c r="P3330">
        <v>0.53508639999999996</v>
      </c>
      <c r="Q3330">
        <v>0.38799240000000002</v>
      </c>
      <c r="R3330">
        <v>-0.75042959999999903</v>
      </c>
      <c r="S3330">
        <v>2.3777469999999998</v>
      </c>
      <c r="T3330">
        <v>-0.29771199999999998</v>
      </c>
      <c r="U3330">
        <v>-2.4600680000000001</v>
      </c>
      <c r="V3330">
        <v>-0.2830375</v>
      </c>
      <c r="W3330">
        <v>0.39763540000000003</v>
      </c>
      <c r="X3330">
        <v>0.87279769999999901</v>
      </c>
      <c r="Y3330">
        <v>-0.43874449999999998</v>
      </c>
      <c r="Z3330">
        <v>7.6358090000000003E-2</v>
      </c>
      <c r="AA3330">
        <v>0.89536179999999999</v>
      </c>
      <c r="AB3330">
        <v>25</v>
      </c>
      <c r="AC3330">
        <v>0.60039999999997895</v>
      </c>
      <c r="AD3330">
        <v>-8.4737000000000007E-2</v>
      </c>
      <c r="AE3330">
        <v>-0.48029999999999901</v>
      </c>
      <c r="AF3330">
        <v>-0.41916529744931003</v>
      </c>
      <c r="AG3330">
        <v>-8.4737000000000007E-2</v>
      </c>
      <c r="AH3330">
        <v>0.63353409562153595</v>
      </c>
      <c r="AI3330">
        <v>96.364901632504896</v>
      </c>
      <c r="AJ3330">
        <v>123.489825271923</v>
      </c>
      <c r="AK3330">
        <v>0.76435944166979897</v>
      </c>
      <c r="AL3330">
        <v>66.569560638670893</v>
      </c>
      <c r="AM3330">
        <v>107.96723753125001</v>
      </c>
      <c r="AN3330">
        <v>0.99999998143234903</v>
      </c>
    </row>
    <row r="3331" spans="1:40" x14ac:dyDescent="0.25">
      <c r="A3331" t="str">
        <f>"20190304164916610"</f>
        <v>20190304164916610</v>
      </c>
      <c r="B3331" t="str">
        <f>"1551689356598671"</f>
        <v>1551689356598671</v>
      </c>
      <c r="C3331" t="s">
        <v>40</v>
      </c>
      <c r="D3331">
        <v>4.0950049999999996</v>
      </c>
      <c r="E3331">
        <v>0.43646380000000001</v>
      </c>
      <c r="F3331" t="s">
        <v>41</v>
      </c>
      <c r="G3331">
        <v>-490.08049999999997</v>
      </c>
      <c r="H3331">
        <v>1.0296970000000001</v>
      </c>
      <c r="I3331">
        <v>231.46010000000001</v>
      </c>
      <c r="J3331">
        <v>-490.68540000000002</v>
      </c>
      <c r="K3331">
        <v>1.1149549999999999</v>
      </c>
      <c r="L3331">
        <v>231.9324</v>
      </c>
      <c r="M3331">
        <v>0.31197900000000001</v>
      </c>
      <c r="N3331">
        <v>-1.404424E-2</v>
      </c>
      <c r="O3331">
        <v>-0.94998530000000003</v>
      </c>
      <c r="P3331">
        <v>0.54046179999999999</v>
      </c>
      <c r="Q3331">
        <v>0.38732430000000001</v>
      </c>
      <c r="R3331">
        <v>-0.74691430000000003</v>
      </c>
      <c r="S3331">
        <v>2.3928530000000001</v>
      </c>
      <c r="T3331">
        <v>-0.29800339999999997</v>
      </c>
      <c r="U3331">
        <v>-2.4456630000000001</v>
      </c>
      <c r="V3331">
        <v>-0.2841803</v>
      </c>
      <c r="W3331">
        <v>0.39696710000000002</v>
      </c>
      <c r="X3331">
        <v>0.87273060000000002</v>
      </c>
      <c r="Y3331">
        <v>-0.43904739999999998</v>
      </c>
      <c r="Z3331">
        <v>7.6437759999999993E-2</v>
      </c>
      <c r="AA3331">
        <v>0.89520650000000002</v>
      </c>
      <c r="AB3331">
        <v>25</v>
      </c>
      <c r="AC3331">
        <v>0.60490000000004296</v>
      </c>
      <c r="AD3331">
        <v>-8.5258E-2</v>
      </c>
      <c r="AE3331">
        <v>-0.47229999999999001</v>
      </c>
      <c r="AF3331">
        <v>-0.42213070404515501</v>
      </c>
      <c r="AG3331">
        <v>-8.5258E-2</v>
      </c>
      <c r="AH3331">
        <v>0.62968554659422704</v>
      </c>
      <c r="AI3331">
        <v>96.416774601760807</v>
      </c>
      <c r="AJ3331">
        <v>123.837241715646</v>
      </c>
      <c r="AK3331">
        <v>0.76286771163244804</v>
      </c>
      <c r="AL3331">
        <v>66.611286616153393</v>
      </c>
      <c r="AM3331">
        <v>108.036390022921</v>
      </c>
      <c r="AN3331">
        <v>1.0000000107834299</v>
      </c>
    </row>
    <row r="3332" spans="1:40" x14ac:dyDescent="0.25">
      <c r="A3332" t="str">
        <f>"20190304164916632"</f>
        <v>20190304164916632</v>
      </c>
      <c r="B3332" t="str">
        <f>"1551689356628929"</f>
        <v>1551689356628929</v>
      </c>
      <c r="C3332" t="s">
        <v>40</v>
      </c>
      <c r="D3332">
        <v>4.080857</v>
      </c>
      <c r="E3332">
        <v>0.43608449999999999</v>
      </c>
      <c r="F3332" t="s">
        <v>41</v>
      </c>
      <c r="G3332">
        <v>-489.98849999999999</v>
      </c>
      <c r="H3332">
        <v>1.027901</v>
      </c>
      <c r="I3332">
        <v>231.23060000000001</v>
      </c>
      <c r="J3332">
        <v>-490.60379999999998</v>
      </c>
      <c r="K3332">
        <v>1.114943</v>
      </c>
      <c r="L3332">
        <v>231.70480000000001</v>
      </c>
      <c r="M3332">
        <v>0.31744299999999998</v>
      </c>
      <c r="N3332">
        <v>-1.4051579999999999E-2</v>
      </c>
      <c r="O3332">
        <v>-0.94817320000000005</v>
      </c>
      <c r="P3332">
        <v>0.54631730000000001</v>
      </c>
      <c r="Q3332">
        <v>0.3857314</v>
      </c>
      <c r="R3332">
        <v>-0.74347079999999999</v>
      </c>
      <c r="S3332">
        <v>2.4111940000000001</v>
      </c>
      <c r="T3332">
        <v>-0.30113420000000002</v>
      </c>
      <c r="U3332">
        <v>-2.4279790000000001</v>
      </c>
      <c r="V3332">
        <v>-0.28574110000000003</v>
      </c>
      <c r="W3332">
        <v>0.39537529999999999</v>
      </c>
      <c r="X3332">
        <v>0.87294349999999998</v>
      </c>
      <c r="Y3332">
        <v>-0.44048759999999998</v>
      </c>
      <c r="Z3332">
        <v>7.7373849999999994E-2</v>
      </c>
      <c r="AA3332">
        <v>0.89441819999999905</v>
      </c>
      <c r="AB3332">
        <v>25</v>
      </c>
      <c r="AC3332">
        <v>0.61529999999998997</v>
      </c>
      <c r="AD3332">
        <v>-8.7041999999999994E-2</v>
      </c>
      <c r="AE3332">
        <v>-0.47419999999999601</v>
      </c>
      <c r="AF3332">
        <v>-0.42755440242056902</v>
      </c>
      <c r="AG3332">
        <v>-8.7041999999999994E-2</v>
      </c>
      <c r="AH3332">
        <v>0.63701255671923795</v>
      </c>
      <c r="AI3332">
        <v>96.472808772401706</v>
      </c>
      <c r="AJ3332">
        <v>123.868989616614</v>
      </c>
      <c r="AK3332">
        <v>0.77211661956675404</v>
      </c>
      <c r="AL3332">
        <v>66.710616871111398</v>
      </c>
      <c r="AM3332">
        <v>108.124854102326</v>
      </c>
      <c r="AN3332">
        <v>0.99999997913577399</v>
      </c>
    </row>
    <row r="3333" spans="1:40" x14ac:dyDescent="0.25">
      <c r="A3333" t="str">
        <f>"20190304164916654"</f>
        <v>20190304164916654</v>
      </c>
      <c r="B3333" t="str">
        <f>"1551689356649424"</f>
        <v>1551689356649424</v>
      </c>
      <c r="C3333" t="s">
        <v>40</v>
      </c>
      <c r="D3333">
        <v>4.0890040000000001</v>
      </c>
      <c r="E3333">
        <v>0.44004280000000001</v>
      </c>
      <c r="F3333" t="s">
        <v>45</v>
      </c>
      <c r="G3333">
        <v>-481.78829999999999</v>
      </c>
      <c r="H3333" s="1">
        <v>2.8232969999999998E-6</v>
      </c>
      <c r="I3333">
        <v>222.95179999999999</v>
      </c>
      <c r="J3333">
        <v>-490.52260000000001</v>
      </c>
      <c r="K3333">
        <v>1.1149370000000001</v>
      </c>
      <c r="L3333">
        <v>231.48240000000001</v>
      </c>
      <c r="M3333">
        <v>0.32278410000000002</v>
      </c>
      <c r="N3333">
        <v>-1.405848E-2</v>
      </c>
      <c r="O3333">
        <v>-0.9463684</v>
      </c>
      <c r="P3333">
        <v>0.55261179999999999</v>
      </c>
      <c r="Q3333">
        <v>0.38411459999999997</v>
      </c>
      <c r="R3333">
        <v>-0.73964629999999998</v>
      </c>
      <c r="S3333">
        <v>2.4277340000000001</v>
      </c>
      <c r="T3333">
        <v>-0.3070486</v>
      </c>
      <c r="U3333">
        <v>-2.4105379999999998</v>
      </c>
      <c r="V3333">
        <v>-0.2879525</v>
      </c>
      <c r="W3333">
        <v>0.39374969999999998</v>
      </c>
      <c r="X3333">
        <v>0.87295159999999905</v>
      </c>
      <c r="Y3333">
        <v>-0.44160300000000002</v>
      </c>
      <c r="Z3333">
        <v>7.9148999999999997E-2</v>
      </c>
      <c r="AA3333">
        <v>0.89371259999999997</v>
      </c>
      <c r="AB3333">
        <v>25</v>
      </c>
      <c r="AC3333">
        <v>8.7343000000000099</v>
      </c>
      <c r="AD3333">
        <v>-1.1149341767030001</v>
      </c>
      <c r="AE3333">
        <v>-8.5306000000000193</v>
      </c>
      <c r="AF3333">
        <v>-5.4672729708894696</v>
      </c>
      <c r="AG3333">
        <v>-1.1149341767030001</v>
      </c>
      <c r="AH3333">
        <v>10.8033633825557</v>
      </c>
      <c r="AI3333">
        <v>95.261097443420297</v>
      </c>
      <c r="AJ3333">
        <v>116.842666167229</v>
      </c>
      <c r="AK3333">
        <v>12.159227456222</v>
      </c>
      <c r="AL3333">
        <v>66.811980720880598</v>
      </c>
      <c r="AM3333">
        <v>108.25569653864299</v>
      </c>
      <c r="AN3333">
        <v>0.99999998222444897</v>
      </c>
    </row>
    <row r="3334" spans="1:40" x14ac:dyDescent="0.25">
      <c r="A3334" t="str">
        <f>"20190304164916678"</f>
        <v>20190304164916678</v>
      </c>
      <c r="B3334" t="str">
        <f>"1551689356668944"</f>
        <v>1551689356668944</v>
      </c>
      <c r="C3334" t="s">
        <v>40</v>
      </c>
      <c r="D3334">
        <v>4.0981430000000003</v>
      </c>
      <c r="E3334">
        <v>0.44054529999999997</v>
      </c>
      <c r="F3334" t="s">
        <v>45</v>
      </c>
      <c r="G3334">
        <v>-481.01510000000002</v>
      </c>
      <c r="H3334" s="1">
        <v>2.4757179999999999E-6</v>
      </c>
      <c r="I3334">
        <v>222</v>
      </c>
      <c r="J3334">
        <v>-490.43220000000002</v>
      </c>
      <c r="K3334">
        <v>1.114938</v>
      </c>
      <c r="L3334">
        <v>231.23939999999999</v>
      </c>
      <c r="M3334">
        <v>0.32863140000000002</v>
      </c>
      <c r="N3334">
        <v>-1.4064739999999999E-2</v>
      </c>
      <c r="O3334">
        <v>-0.94435349999999996</v>
      </c>
      <c r="P3334">
        <v>0.55886880000000005</v>
      </c>
      <c r="Q3334">
        <v>0.3830326</v>
      </c>
      <c r="R3334">
        <v>-0.73549419999999899</v>
      </c>
      <c r="S3334">
        <v>2.4091490000000002</v>
      </c>
      <c r="T3334">
        <v>-0.2825165</v>
      </c>
      <c r="U3334">
        <v>-2.402771</v>
      </c>
      <c r="V3334">
        <v>-0.28977190000000003</v>
      </c>
      <c r="W3334">
        <v>0.39265850000000002</v>
      </c>
      <c r="X3334">
        <v>0.87284110000000004</v>
      </c>
      <c r="Y3334">
        <v>-0.4344558</v>
      </c>
      <c r="Z3334">
        <v>7.22029E-2</v>
      </c>
      <c r="AA3334">
        <v>0.89779449999999905</v>
      </c>
      <c r="AB3334">
        <v>25</v>
      </c>
      <c r="AC3334">
        <v>9.4170999999999996</v>
      </c>
      <c r="AD3334">
        <v>-1.114935524282</v>
      </c>
      <c r="AE3334">
        <v>-9.2393999999999892</v>
      </c>
      <c r="AF3334">
        <v>-5.8157568243207196</v>
      </c>
      <c r="AG3334">
        <v>-1.114935524282</v>
      </c>
      <c r="AH3334">
        <v>11.7373539758511</v>
      </c>
      <c r="AI3334">
        <v>94.864999629139007</v>
      </c>
      <c r="AJ3334">
        <v>116.358015279759</v>
      </c>
      <c r="AK3334">
        <v>13.1465427781363</v>
      </c>
      <c r="AL3334">
        <v>66.879979960169294</v>
      </c>
      <c r="AM3334">
        <v>108.365495611239</v>
      </c>
      <c r="AN3334">
        <v>1.00000001875053</v>
      </c>
    </row>
    <row r="3335" spans="1:40" x14ac:dyDescent="0.25">
      <c r="A3335" t="str">
        <f>"20190304164916700"</f>
        <v>20190304164916700</v>
      </c>
      <c r="B3335" t="str">
        <f>"1551689356689440"</f>
        <v>1551689356689440</v>
      </c>
      <c r="C3335" t="s">
        <v>40</v>
      </c>
      <c r="D3335">
        <v>4.0563180000000001</v>
      </c>
      <c r="E3335">
        <v>0.4405926</v>
      </c>
      <c r="F3335" t="s">
        <v>41</v>
      </c>
      <c r="G3335">
        <v>-489.70679999999999</v>
      </c>
      <c r="H3335">
        <v>1.029018</v>
      </c>
      <c r="I3335">
        <v>230.52459999999999</v>
      </c>
      <c r="J3335">
        <v>-490.34800000000001</v>
      </c>
      <c r="K3335">
        <v>1.1149560000000001</v>
      </c>
      <c r="L3335">
        <v>231.0171</v>
      </c>
      <c r="M3335">
        <v>0.33400340000000001</v>
      </c>
      <c r="N3335">
        <v>-1.407018E-2</v>
      </c>
      <c r="O3335">
        <v>-0.94246700000000005</v>
      </c>
      <c r="P3335">
        <v>0.5642433</v>
      </c>
      <c r="Q3335">
        <v>0.3833646</v>
      </c>
      <c r="R3335">
        <v>-0.73120549999999995</v>
      </c>
      <c r="S3335">
        <v>2.423279</v>
      </c>
      <c r="T3335">
        <v>-0.28694269999999999</v>
      </c>
      <c r="U3335">
        <v>-2.386978</v>
      </c>
      <c r="V3335">
        <v>-0.29126960000000002</v>
      </c>
      <c r="W3335">
        <v>0.39297070000000001</v>
      </c>
      <c r="X3335">
        <v>0.87220189999999997</v>
      </c>
      <c r="Y3335">
        <v>-0.43483939999999999</v>
      </c>
      <c r="Z3335">
        <v>7.3536809999999994E-2</v>
      </c>
      <c r="AA3335">
        <v>0.89750049999999904</v>
      </c>
      <c r="AB3335">
        <v>25</v>
      </c>
      <c r="AC3335">
        <v>0.64120000000002597</v>
      </c>
      <c r="AD3335">
        <v>-8.5938000000000001E-2</v>
      </c>
      <c r="AE3335">
        <v>-0.49250000000000599</v>
      </c>
      <c r="AF3335">
        <v>-0.43494272205714801</v>
      </c>
      <c r="AG3335">
        <v>-8.5938000000000001E-2</v>
      </c>
      <c r="AH3335">
        <v>0.67081624628590297</v>
      </c>
      <c r="AI3335">
        <v>96.135294800049707</v>
      </c>
      <c r="AJ3335">
        <v>122.95850142663301</v>
      </c>
      <c r="AK3335">
        <v>0.80408640555327804</v>
      </c>
      <c r="AL3335">
        <v>66.860529509221905</v>
      </c>
      <c r="AM3335">
        <v>108.46661062723901</v>
      </c>
      <c r="AN3335">
        <v>1.0000000526531201</v>
      </c>
    </row>
    <row r="3336" spans="1:40" x14ac:dyDescent="0.25">
      <c r="A3336" t="str">
        <f>"20190304164916721"</f>
        <v>20190304164916721</v>
      </c>
      <c r="B3336" t="str">
        <f>"1551689356708963"</f>
        <v>1551689356708963</v>
      </c>
      <c r="C3336" t="s">
        <v>40</v>
      </c>
      <c r="D3336">
        <v>4.0730890000000004</v>
      </c>
      <c r="E3336">
        <v>0.4373418</v>
      </c>
      <c r="F3336" t="s">
        <v>41</v>
      </c>
      <c r="G3336">
        <v>-489.63240000000002</v>
      </c>
      <c r="H3336">
        <v>1.0306679999999999</v>
      </c>
      <c r="I3336">
        <v>230.32210000000001</v>
      </c>
      <c r="J3336">
        <v>-490.26600000000002</v>
      </c>
      <c r="K3336">
        <v>1.1149690000000001</v>
      </c>
      <c r="L3336">
        <v>230.80410000000001</v>
      </c>
      <c r="M3336">
        <v>0.33917609999999998</v>
      </c>
      <c r="N3336">
        <v>-1.407547E-2</v>
      </c>
      <c r="O3336">
        <v>-0.94061760000000005</v>
      </c>
      <c r="P3336">
        <v>0.56883149999999905</v>
      </c>
      <c r="Q3336">
        <v>0.38393509999999997</v>
      </c>
      <c r="R3336">
        <v>-0.72734100000000002</v>
      </c>
      <c r="S3336">
        <v>2.440369</v>
      </c>
      <c r="T3336">
        <v>-0.28746709999999998</v>
      </c>
      <c r="U3336">
        <v>-2.370422</v>
      </c>
      <c r="V3336">
        <v>-0.29208600000000001</v>
      </c>
      <c r="W3336">
        <v>0.39352350000000003</v>
      </c>
      <c r="X3336">
        <v>0.87167939999999999</v>
      </c>
      <c r="Y3336">
        <v>-0.43616090000000002</v>
      </c>
      <c r="Z3336">
        <v>7.3684959999999994E-2</v>
      </c>
      <c r="AA3336">
        <v>0.89684680000000006</v>
      </c>
      <c r="AB3336">
        <v>24</v>
      </c>
      <c r="AC3336">
        <v>0.63359999999994399</v>
      </c>
      <c r="AD3336">
        <v>-8.4300999999999904E-2</v>
      </c>
      <c r="AE3336">
        <v>-0.48199999999999898</v>
      </c>
      <c r="AF3336">
        <v>-0.427738930481113</v>
      </c>
      <c r="AG3336">
        <v>-8.4300999999999904E-2</v>
      </c>
      <c r="AH3336">
        <v>0.66093463493097904</v>
      </c>
      <c r="AI3336">
        <v>96.111946669981904</v>
      </c>
      <c r="AJ3336">
        <v>122.909846542607</v>
      </c>
      <c r="AK3336">
        <v>0.791771332457468</v>
      </c>
      <c r="AL3336">
        <v>66.826079113286895</v>
      </c>
      <c r="AM3336">
        <v>108.525187223872</v>
      </c>
      <c r="AN3336">
        <v>0.999999976416304</v>
      </c>
    </row>
    <row r="3337" spans="1:40" x14ac:dyDescent="0.25">
      <c r="A3337" t="str">
        <f>"20190304164916746"</f>
        <v>20190304164916746</v>
      </c>
      <c r="B3337" t="str">
        <f>"1551689356739216"</f>
        <v>1551689356739216</v>
      </c>
      <c r="C3337" t="s">
        <v>40</v>
      </c>
      <c r="D3337">
        <v>4.0329959999999998</v>
      </c>
      <c r="E3337">
        <v>0.43814799999999998</v>
      </c>
      <c r="F3337" t="s">
        <v>41</v>
      </c>
      <c r="G3337">
        <v>-489.54829999999998</v>
      </c>
      <c r="H3337">
        <v>1.021712</v>
      </c>
      <c r="I3337">
        <v>230.1258</v>
      </c>
      <c r="J3337">
        <v>-490.17290000000003</v>
      </c>
      <c r="K3337">
        <v>1.1149990000000001</v>
      </c>
      <c r="L3337">
        <v>230.5669</v>
      </c>
      <c r="M3337">
        <v>0.34500320000000001</v>
      </c>
      <c r="N3337">
        <v>-1.408176E-2</v>
      </c>
      <c r="O3337">
        <v>-0.93849610000000006</v>
      </c>
      <c r="P3337">
        <v>0.57272670000000003</v>
      </c>
      <c r="Q3337">
        <v>0.38496190000000002</v>
      </c>
      <c r="R3337">
        <v>-0.72373259999999995</v>
      </c>
      <c r="S3337">
        <v>2.4869690000000002</v>
      </c>
      <c r="T3337">
        <v>-0.32310240000000001</v>
      </c>
      <c r="U3337">
        <v>-2.3501590000000001</v>
      </c>
      <c r="V3337">
        <v>-0.29157959999999999</v>
      </c>
      <c r="W3337">
        <v>0.39453589999999999</v>
      </c>
      <c r="X3337">
        <v>0.87139129999999998</v>
      </c>
      <c r="Y3337">
        <v>-0.44225880000000001</v>
      </c>
      <c r="Z3337">
        <v>8.3805889999999994E-2</v>
      </c>
      <c r="AA3337">
        <v>0.89296350000000002</v>
      </c>
      <c r="AB3337">
        <v>24</v>
      </c>
      <c r="AC3337">
        <v>0.62460000000004301</v>
      </c>
      <c r="AD3337">
        <v>-9.3286999999999898E-2</v>
      </c>
      <c r="AE3337">
        <v>-0.44110000000000499</v>
      </c>
      <c r="AF3337">
        <v>-0.42768118132263899</v>
      </c>
      <c r="AG3337">
        <v>-9.3286999999999898E-2</v>
      </c>
      <c r="AH3337">
        <v>0.620289653963361</v>
      </c>
      <c r="AI3337">
        <v>97.058151202176603</v>
      </c>
      <c r="AJ3337">
        <v>124.58572884057401</v>
      </c>
      <c r="AK3337">
        <v>0.75919227606747597</v>
      </c>
      <c r="AL3337">
        <v>66.762967978713107</v>
      </c>
      <c r="AM3337">
        <v>108.50095495078899</v>
      </c>
      <c r="AN3337">
        <v>1.0000000186203299</v>
      </c>
    </row>
    <row r="3338" spans="1:40" x14ac:dyDescent="0.25">
      <c r="A3338" t="str">
        <f>"20190304164916768"</f>
        <v>20190304164916768</v>
      </c>
      <c r="B3338" t="str">
        <f>"1551689356758737"</f>
        <v>1551689356758737</v>
      </c>
      <c r="C3338" t="s">
        <v>40</v>
      </c>
      <c r="D3338">
        <v>4.0301410000000004</v>
      </c>
      <c r="E3338">
        <v>0.43819599999999997</v>
      </c>
      <c r="F3338" t="s">
        <v>41</v>
      </c>
      <c r="G3338">
        <v>-489.47989999999999</v>
      </c>
      <c r="H3338">
        <v>1.0268469999999901</v>
      </c>
      <c r="I3338">
        <v>229.91839999999999</v>
      </c>
      <c r="J3338">
        <v>-490.07709999999997</v>
      </c>
      <c r="K3338">
        <v>1.115073</v>
      </c>
      <c r="L3338">
        <v>230.32730000000001</v>
      </c>
      <c r="M3338">
        <v>0.35100130000000002</v>
      </c>
      <c r="N3338">
        <v>-1.408979E-2</v>
      </c>
      <c r="O3338">
        <v>-0.93626900000000002</v>
      </c>
      <c r="P3338">
        <v>0.57592379999999999</v>
      </c>
      <c r="Q3338">
        <v>0.38748349999999998</v>
      </c>
      <c r="R3338">
        <v>-0.71983920000000001</v>
      </c>
      <c r="S3338">
        <v>2.498383</v>
      </c>
      <c r="T3338">
        <v>-0.31768299999999999</v>
      </c>
      <c r="U3338">
        <v>-2.3370820000000001</v>
      </c>
      <c r="V3338">
        <v>-0.29040460000000001</v>
      </c>
      <c r="W3338">
        <v>0.39702359999999998</v>
      </c>
      <c r="X3338">
        <v>0.87065349999999997</v>
      </c>
      <c r="Y3338">
        <v>-0.44115860000000001</v>
      </c>
      <c r="Z3338">
        <v>8.2170779999999999E-2</v>
      </c>
      <c r="AA3338">
        <v>0.89365939999999999</v>
      </c>
      <c r="AB3338">
        <v>24</v>
      </c>
      <c r="AC3338">
        <v>0.59719999999998596</v>
      </c>
      <c r="AD3338">
        <v>-8.8226000000000096E-2</v>
      </c>
      <c r="AE3338">
        <v>-0.40890000000001597</v>
      </c>
      <c r="AF3338">
        <v>-0.40957085948878802</v>
      </c>
      <c r="AG3338">
        <v>-8.8226000000000096E-2</v>
      </c>
      <c r="AH3338">
        <v>0.58384187666946996</v>
      </c>
      <c r="AI3338">
        <v>97.052153630300793</v>
      </c>
      <c r="AJ3338">
        <v>125.05004022280301</v>
      </c>
      <c r="AK3338">
        <v>0.71861217146059597</v>
      </c>
      <c r="AL3338">
        <v>66.607760372576294</v>
      </c>
      <c r="AM3338">
        <v>108.446009741778</v>
      </c>
      <c r="AN3338">
        <v>1.0000000438601799</v>
      </c>
    </row>
    <row r="3339" spans="1:40" x14ac:dyDescent="0.25">
      <c r="A3339" t="str">
        <f>"20190304164916802"</f>
        <v>20190304164916802</v>
      </c>
      <c r="B3339" t="str">
        <f>"1551689356798752"</f>
        <v>1551689356798752</v>
      </c>
      <c r="C3339" t="s">
        <v>40</v>
      </c>
      <c r="D3339">
        <v>4.0145210000000002</v>
      </c>
      <c r="E3339">
        <v>0.43845210000000001</v>
      </c>
      <c r="F3339" t="s">
        <v>41</v>
      </c>
      <c r="G3339">
        <v>-489.36540000000002</v>
      </c>
      <c r="H3339">
        <v>1.02864</v>
      </c>
      <c r="I3339">
        <v>229.6712</v>
      </c>
      <c r="J3339">
        <v>-489.94170000000003</v>
      </c>
      <c r="K3339">
        <v>1.1152519999999999</v>
      </c>
      <c r="L3339">
        <v>229.99680000000001</v>
      </c>
      <c r="M3339">
        <v>0.35957879999999998</v>
      </c>
      <c r="N3339">
        <v>-1.410642E-2</v>
      </c>
      <c r="O3339">
        <v>-0.93300819999999995</v>
      </c>
      <c r="P3339">
        <v>0.57892270000000001</v>
      </c>
      <c r="Q3339">
        <v>0.39250560000000001</v>
      </c>
      <c r="R3339">
        <v>-0.71469450000000001</v>
      </c>
      <c r="S3339">
        <v>2.5160830000000001</v>
      </c>
      <c r="T3339">
        <v>-0.30550369999999999</v>
      </c>
      <c r="U3339">
        <v>-2.3189389999999999</v>
      </c>
      <c r="V3339">
        <v>-0.28719450000000002</v>
      </c>
      <c r="W3339">
        <v>0.40197149999999998</v>
      </c>
      <c r="X3339">
        <v>0.86944709999999903</v>
      </c>
      <c r="Y3339">
        <v>-0.4397836</v>
      </c>
      <c r="Z3339">
        <v>7.8484719999999994E-2</v>
      </c>
      <c r="AA3339">
        <v>0.89466789999999996</v>
      </c>
      <c r="AB3339">
        <v>24</v>
      </c>
      <c r="AC3339">
        <v>0.57630000000000303</v>
      </c>
      <c r="AD3339">
        <v>-8.6612000000000106E-2</v>
      </c>
      <c r="AE3339">
        <v>-0.32560000000000799</v>
      </c>
      <c r="AF3339">
        <v>-0.41357449400131702</v>
      </c>
      <c r="AG3339">
        <v>-8.6612000000000106E-2</v>
      </c>
      <c r="AH3339">
        <v>0.50246056620544599</v>
      </c>
      <c r="AI3339">
        <v>97.580954147895099</v>
      </c>
      <c r="AJ3339">
        <v>129.45774187898999</v>
      </c>
      <c r="AK3339">
        <v>0.65651513404029205</v>
      </c>
      <c r="AL3339">
        <v>66.298515893979499</v>
      </c>
      <c r="AM3339">
        <v>108.279347229558</v>
      </c>
      <c r="AN3339">
        <v>1.0000000136704501</v>
      </c>
    </row>
    <row r="3340" spans="1:40" x14ac:dyDescent="0.25">
      <c r="A3340" t="str">
        <f>"20190304164916826"</f>
        <v>20190304164916826</v>
      </c>
      <c r="B3340" t="str">
        <f>"1551689356819248"</f>
        <v>1551689356819248</v>
      </c>
      <c r="C3340" t="s">
        <v>40</v>
      </c>
      <c r="D3340">
        <v>3.980286</v>
      </c>
      <c r="E3340">
        <v>0.43867040000000002</v>
      </c>
      <c r="F3340" t="s">
        <v>41</v>
      </c>
      <c r="G3340">
        <v>-489.21719999999999</v>
      </c>
      <c r="H3340">
        <v>1.033493</v>
      </c>
      <c r="I3340">
        <v>229.33850000000001</v>
      </c>
      <c r="J3340">
        <v>-489.84300000000002</v>
      </c>
      <c r="K3340">
        <v>1.115416</v>
      </c>
      <c r="L3340">
        <v>229.762</v>
      </c>
      <c r="M3340">
        <v>0.3659443</v>
      </c>
      <c r="N3340">
        <v>-1.4122890000000001E-2</v>
      </c>
      <c r="O3340">
        <v>-0.93052970000000002</v>
      </c>
      <c r="P3340">
        <v>0.58120139999999998</v>
      </c>
      <c r="Q3340">
        <v>0.39550869999999999</v>
      </c>
      <c r="R3340">
        <v>-0.71118059999999905</v>
      </c>
      <c r="S3340">
        <v>2.5345460000000002</v>
      </c>
      <c r="T3340">
        <v>-0.28585700000000003</v>
      </c>
      <c r="U3340">
        <v>-2.3015439999999998</v>
      </c>
      <c r="V3340">
        <v>-0.28479149999999998</v>
      </c>
      <c r="W3340">
        <v>0.40490480000000001</v>
      </c>
      <c r="X3340">
        <v>0.86887619999999899</v>
      </c>
      <c r="Y3340">
        <v>-0.44062269999999998</v>
      </c>
      <c r="Z3340">
        <v>7.2630849999999997E-2</v>
      </c>
      <c r="AA3340">
        <v>0.89474929999999997</v>
      </c>
      <c r="AB3340">
        <v>24</v>
      </c>
      <c r="AC3340">
        <v>0.625800000000026</v>
      </c>
      <c r="AD3340">
        <v>-8.1922999999999899E-2</v>
      </c>
      <c r="AE3340">
        <v>-0.42349999999999</v>
      </c>
      <c r="AF3340">
        <v>-0.42242539058089201</v>
      </c>
      <c r="AG3340">
        <v>-8.1922999999999899E-2</v>
      </c>
      <c r="AH3340">
        <v>0.61590983799875998</v>
      </c>
      <c r="AI3340">
        <v>96.259808233863794</v>
      </c>
      <c r="AJ3340">
        <v>124.4445074793</v>
      </c>
      <c r="AK3340">
        <v>0.75133182887461802</v>
      </c>
      <c r="AL3340">
        <v>66.114837763401994</v>
      </c>
      <c r="AM3340">
        <v>108.147588560388</v>
      </c>
      <c r="AN3340">
        <v>0.99999997323086398</v>
      </c>
    </row>
    <row r="3341" spans="1:40" x14ac:dyDescent="0.25">
      <c r="A3341" t="str">
        <f>"20190304164916845"</f>
        <v>20190304164916845</v>
      </c>
      <c r="B3341" t="str">
        <f>"1551689356838768"</f>
        <v>1551689356838768</v>
      </c>
      <c r="C3341" t="s">
        <v>40</v>
      </c>
      <c r="D3341">
        <v>4.0011010000000002</v>
      </c>
      <c r="E3341">
        <v>0.4386719</v>
      </c>
      <c r="F3341" t="s">
        <v>41</v>
      </c>
      <c r="G3341">
        <v>-489.12700000000001</v>
      </c>
      <c r="H3341">
        <v>1.037992</v>
      </c>
      <c r="I3341">
        <v>229.11779999999999</v>
      </c>
      <c r="J3341">
        <v>-489.75779999999997</v>
      </c>
      <c r="K3341">
        <v>1.115564</v>
      </c>
      <c r="L3341">
        <v>229.56360000000001</v>
      </c>
      <c r="M3341">
        <v>0.3715117</v>
      </c>
      <c r="N3341">
        <v>-1.413878E-2</v>
      </c>
      <c r="O3341">
        <v>-0.9283207</v>
      </c>
      <c r="P3341">
        <v>0.5837253</v>
      </c>
      <c r="Q3341">
        <v>0.39782580000000001</v>
      </c>
      <c r="R3341">
        <v>-0.70781340000000004</v>
      </c>
      <c r="S3341">
        <v>2.5464169999999999</v>
      </c>
      <c r="T3341">
        <v>-0.27530779999999999</v>
      </c>
      <c r="U3341">
        <v>-2.2904659999999999</v>
      </c>
      <c r="V3341">
        <v>-0.28330129999999998</v>
      </c>
      <c r="W3341">
        <v>0.40715119999999999</v>
      </c>
      <c r="X3341">
        <v>0.86831349999999996</v>
      </c>
      <c r="Y3341">
        <v>-0.43966070000000002</v>
      </c>
      <c r="Z3341">
        <v>6.9436999999999999E-2</v>
      </c>
      <c r="AA3341">
        <v>0.89547589999999999</v>
      </c>
      <c r="AB3341">
        <v>24</v>
      </c>
      <c r="AC3341">
        <v>0.63080000000002201</v>
      </c>
      <c r="AD3341">
        <v>-7.7571999999999905E-2</v>
      </c>
      <c r="AE3341">
        <v>-0.44580000000001901</v>
      </c>
      <c r="AF3341">
        <v>-0.41581308827831298</v>
      </c>
      <c r="AG3341">
        <v>-7.7571999999999905E-2</v>
      </c>
      <c r="AH3341">
        <v>0.64178701418220596</v>
      </c>
      <c r="AI3341">
        <v>95.792209171840895</v>
      </c>
      <c r="AJ3341">
        <v>122.939156934089</v>
      </c>
      <c r="AK3341">
        <v>0.76864069053131701</v>
      </c>
      <c r="AL3341">
        <v>65.973997947691899</v>
      </c>
      <c r="AM3341">
        <v>108.06975152597199</v>
      </c>
      <c r="AN3341">
        <v>1.0000000302626799</v>
      </c>
    </row>
    <row r="3342" spans="1:40" x14ac:dyDescent="0.25">
      <c r="A3342" t="str">
        <f>"20190304164916867"</f>
        <v>20190304164916867</v>
      </c>
      <c r="B3342" t="str">
        <f>"1551689356859264"</f>
        <v>1551689356859264</v>
      </c>
      <c r="C3342" t="s">
        <v>40</v>
      </c>
      <c r="D3342">
        <v>4.013147</v>
      </c>
      <c r="E3342">
        <v>0.4411389</v>
      </c>
      <c r="F3342" t="s">
        <v>41</v>
      </c>
      <c r="G3342">
        <v>-489.03469999999999</v>
      </c>
      <c r="H3342">
        <v>1.040068</v>
      </c>
      <c r="I3342">
        <v>228.91970000000001</v>
      </c>
      <c r="J3342">
        <v>-489.66480000000001</v>
      </c>
      <c r="K3342">
        <v>1.1157300000000001</v>
      </c>
      <c r="L3342">
        <v>229.35140000000001</v>
      </c>
      <c r="M3342">
        <v>0.37770969999999998</v>
      </c>
      <c r="N3342">
        <v>-1.4157599999999999E-2</v>
      </c>
      <c r="O3342">
        <v>-0.92581590000000002</v>
      </c>
      <c r="P3342">
        <v>0.58745349999999996</v>
      </c>
      <c r="Q3342">
        <v>0.39929759999999997</v>
      </c>
      <c r="R3342">
        <v>-0.70388899999999999</v>
      </c>
      <c r="S3342">
        <v>2.5590820000000001</v>
      </c>
      <c r="T3342">
        <v>-0.26710060000000002</v>
      </c>
      <c r="U3342">
        <v>-2.278076</v>
      </c>
      <c r="V3342">
        <v>-0.28256239999999999</v>
      </c>
      <c r="W3342">
        <v>0.40853309999999998</v>
      </c>
      <c r="X3342">
        <v>0.86790509999999998</v>
      </c>
      <c r="Y3342">
        <v>-0.43842039999999999</v>
      </c>
      <c r="Z3342">
        <v>6.6929039999999995E-2</v>
      </c>
      <c r="AA3342">
        <v>0.89627459999999903</v>
      </c>
      <c r="AB3342">
        <v>24</v>
      </c>
      <c r="AC3342">
        <v>0.63010000000002697</v>
      </c>
      <c r="AD3342">
        <v>-7.5661999999999896E-2</v>
      </c>
      <c r="AE3342">
        <v>-0.43170000000000602</v>
      </c>
      <c r="AF3342">
        <v>-0.416256748014809</v>
      </c>
      <c r="AG3342">
        <v>-7.5661999999999896E-2</v>
      </c>
      <c r="AH3342">
        <v>0.63153629610142403</v>
      </c>
      <c r="AI3342">
        <v>95.712407666831396</v>
      </c>
      <c r="AJ3342">
        <v>123.389583514546</v>
      </c>
      <c r="AK3342">
        <v>0.76015295290182905</v>
      </c>
      <c r="AL3342">
        <v>65.887281155943896</v>
      </c>
      <c r="AM3342">
        <v>108.033607886639</v>
      </c>
      <c r="AN3342">
        <v>1.0000000331476799</v>
      </c>
    </row>
    <row r="3343" spans="1:40" x14ac:dyDescent="0.25">
      <c r="A3343" t="str">
        <f>"20190304164916890"</f>
        <v>20190304164916890</v>
      </c>
      <c r="B3343" t="str">
        <f>"1551689356879764"</f>
        <v>1551689356879764</v>
      </c>
      <c r="C3343" t="s">
        <v>40</v>
      </c>
      <c r="D3343">
        <v>3.976658</v>
      </c>
      <c r="E3343">
        <v>0.44132349999999998</v>
      </c>
      <c r="F3343" t="s">
        <v>41</v>
      </c>
      <c r="G3343">
        <v>-488.91359999999997</v>
      </c>
      <c r="H3343">
        <v>1.028459</v>
      </c>
      <c r="I3343">
        <v>228.68299999999999</v>
      </c>
      <c r="J3343">
        <v>-489.56459999999998</v>
      </c>
      <c r="K3343">
        <v>1.115928</v>
      </c>
      <c r="L3343">
        <v>229.12739999999999</v>
      </c>
      <c r="M3343">
        <v>0.38454050000000001</v>
      </c>
      <c r="N3343">
        <v>-1.418094E-2</v>
      </c>
      <c r="O3343">
        <v>-0.92299940000000003</v>
      </c>
      <c r="P3343">
        <v>0.59239919999999902</v>
      </c>
      <c r="Q3343">
        <v>0.40049489999999999</v>
      </c>
      <c r="R3343">
        <v>-0.69904769999999905</v>
      </c>
      <c r="S3343">
        <v>2.5700069999999999</v>
      </c>
      <c r="T3343">
        <v>-0.29856149999999998</v>
      </c>
      <c r="U3343">
        <v>-2.2864689999999999</v>
      </c>
      <c r="V3343">
        <v>-0.28272439999999999</v>
      </c>
      <c r="W3343">
        <v>0.40961520000000001</v>
      </c>
      <c r="X3343">
        <v>0.8673421</v>
      </c>
      <c r="Y3343">
        <v>-0.4315215</v>
      </c>
      <c r="Z3343">
        <v>7.5588139999999998E-2</v>
      </c>
      <c r="AA3343">
        <v>0.89893029999999996</v>
      </c>
      <c r="AB3343">
        <v>24</v>
      </c>
      <c r="AC3343">
        <v>0.65100000000001002</v>
      </c>
      <c r="AD3343">
        <v>-8.7469000000000005E-2</v>
      </c>
      <c r="AE3343">
        <v>-0.44440000000000102</v>
      </c>
      <c r="AF3343">
        <v>-0.42479488619158101</v>
      </c>
      <c r="AG3343">
        <v>-8.7469000000000005E-2</v>
      </c>
      <c r="AH3343">
        <v>0.65254738350191499</v>
      </c>
      <c r="AI3343">
        <v>96.409545578105295</v>
      </c>
      <c r="AJ3343">
        <v>123.063297290192</v>
      </c>
      <c r="AK3343">
        <v>0.78353022214252499</v>
      </c>
      <c r="AL3343">
        <v>65.819335655850495</v>
      </c>
      <c r="AM3343">
        <v>108.054229302406</v>
      </c>
      <c r="AN3343">
        <v>1.0000000084294001</v>
      </c>
    </row>
    <row r="3344" spans="1:40" x14ac:dyDescent="0.25">
      <c r="A3344" t="str">
        <f>"20190304164916910"</f>
        <v>20190304164916910</v>
      </c>
      <c r="B3344" t="str">
        <f>"1551689356899280"</f>
        <v>1551689356899280</v>
      </c>
      <c r="C3344" t="s">
        <v>40</v>
      </c>
      <c r="D3344">
        <v>4.0278749999999999</v>
      </c>
      <c r="E3344">
        <v>0.44169209999999898</v>
      </c>
      <c r="F3344" t="s">
        <v>45</v>
      </c>
      <c r="G3344">
        <v>-480.0462</v>
      </c>
      <c r="H3344" s="1">
        <v>2.0331539999999999E-6</v>
      </c>
      <c r="I3344">
        <v>220.7757</v>
      </c>
      <c r="J3344">
        <v>-489.47219999999999</v>
      </c>
      <c r="K3344">
        <v>1.1161080000000001</v>
      </c>
      <c r="L3344">
        <v>228.92580000000001</v>
      </c>
      <c r="M3344">
        <v>0.3909551</v>
      </c>
      <c r="N3344">
        <v>-1.420545E-2</v>
      </c>
      <c r="O3344">
        <v>-0.92030009999999995</v>
      </c>
      <c r="P3344">
        <v>0.59674309999999997</v>
      </c>
      <c r="Q3344">
        <v>0.40100409999999997</v>
      </c>
      <c r="R3344">
        <v>-0.69504900000000003</v>
      </c>
      <c r="S3344">
        <v>2.5888979999999999</v>
      </c>
      <c r="T3344">
        <v>-0.3035197</v>
      </c>
      <c r="U3344">
        <v>-2.2715909999999999</v>
      </c>
      <c r="V3344">
        <v>-0.28238159999999901</v>
      </c>
      <c r="W3344">
        <v>0.41003139999999999</v>
      </c>
      <c r="X3344">
        <v>0.8672571</v>
      </c>
      <c r="Y3344">
        <v>-0.43134339999999999</v>
      </c>
      <c r="Z3344">
        <v>7.6847020000000002E-2</v>
      </c>
      <c r="AA3344">
        <v>0.89890899999999996</v>
      </c>
      <c r="AB3344">
        <v>24</v>
      </c>
      <c r="AC3344">
        <v>9.4259999999999806</v>
      </c>
      <c r="AD3344">
        <v>-1.1161059668460001</v>
      </c>
      <c r="AE3344">
        <v>-8.1501000000000001</v>
      </c>
      <c r="AF3344">
        <v>-5.4452943208674798</v>
      </c>
      <c r="AG3344">
        <v>-1.1161059668460001</v>
      </c>
      <c r="AH3344">
        <v>11.097776991068301</v>
      </c>
      <c r="AI3344">
        <v>95.159095297827406</v>
      </c>
      <c r="AJ3344">
        <v>116.135585498955</v>
      </c>
      <c r="AK3344">
        <v>12.4119932691565</v>
      </c>
      <c r="AL3344">
        <v>65.793192613840802</v>
      </c>
      <c r="AM3344">
        <v>108.035409939945</v>
      </c>
      <c r="AN3344">
        <v>0.99999999725246502</v>
      </c>
    </row>
    <row r="3345" spans="1:40" x14ac:dyDescent="0.25">
      <c r="A3345" t="str">
        <f>"20190304164916933"</f>
        <v>20190304164916933</v>
      </c>
      <c r="B3345" t="str">
        <f>"1551689356929536"</f>
        <v>1551689356929536</v>
      </c>
      <c r="C3345" t="s">
        <v>40</v>
      </c>
      <c r="D3345">
        <v>3.9821330000000001</v>
      </c>
      <c r="E3345">
        <v>0.46372550000000001</v>
      </c>
      <c r="F3345" t="s">
        <v>45</v>
      </c>
      <c r="G3345">
        <v>-479.8854</v>
      </c>
      <c r="H3345" s="1">
        <v>2.0062189999999998E-6</v>
      </c>
      <c r="I3345">
        <v>220.6086</v>
      </c>
      <c r="J3345">
        <v>-489.37040000000002</v>
      </c>
      <c r="K3345">
        <v>1.1162909999999999</v>
      </c>
      <c r="L3345">
        <v>228.70820000000001</v>
      </c>
      <c r="M3345">
        <v>0.39813110000000002</v>
      </c>
      <c r="N3345">
        <v>-1.423346E-2</v>
      </c>
      <c r="O3345">
        <v>-0.91721830000000004</v>
      </c>
      <c r="P3345">
        <v>0.60147919999999999</v>
      </c>
      <c r="Q3345">
        <v>0.40124169999999998</v>
      </c>
      <c r="R3345">
        <v>-0.69081709999999996</v>
      </c>
      <c r="S3345">
        <v>2.601807</v>
      </c>
      <c r="T3345">
        <v>-0.3029037</v>
      </c>
      <c r="U3345">
        <v>-2.2572169999999998</v>
      </c>
      <c r="V3345">
        <v>-0.28176909999999999</v>
      </c>
      <c r="W3345">
        <v>0.41017969999999998</v>
      </c>
      <c r="X3345">
        <v>0.867386199999999</v>
      </c>
      <c r="Y3345">
        <v>-0.42936059999999998</v>
      </c>
      <c r="Z3345">
        <v>7.6531429999999998E-2</v>
      </c>
      <c r="AA3345">
        <v>0.89988469999999998</v>
      </c>
      <c r="AB3345">
        <v>24</v>
      </c>
      <c r="AC3345">
        <v>9.4850000000000101</v>
      </c>
      <c r="AD3345">
        <v>-1.1162889937810001</v>
      </c>
      <c r="AE3345">
        <v>-8.0996000000000095</v>
      </c>
      <c r="AF3345">
        <v>-5.43215517858272</v>
      </c>
      <c r="AG3345">
        <v>-1.1162889937810001</v>
      </c>
      <c r="AH3345">
        <v>11.117457448328899</v>
      </c>
      <c r="AI3345">
        <v>95.155002153402293</v>
      </c>
      <c r="AJ3345">
        <v>116.040823091341</v>
      </c>
      <c r="AK3345">
        <v>12.4238589462873</v>
      </c>
      <c r="AL3345">
        <v>65.783876638631199</v>
      </c>
      <c r="AM3345">
        <v>107.996309854297</v>
      </c>
      <c r="AN3345">
        <v>1.00000001597866</v>
      </c>
    </row>
    <row r="3346" spans="1:40" x14ac:dyDescent="0.25">
      <c r="A3346" t="str">
        <f>"20190304164916958"</f>
        <v>20190304164916958</v>
      </c>
      <c r="B3346" t="str">
        <f>"1551689356949056"</f>
        <v>1551689356949056</v>
      </c>
      <c r="C3346" t="s">
        <v>40</v>
      </c>
      <c r="D3346">
        <v>3.974065</v>
      </c>
      <c r="E3346">
        <v>0.46530880000000002</v>
      </c>
      <c r="F3346" t="s">
        <v>45</v>
      </c>
      <c r="G3346">
        <v>-480.7774</v>
      </c>
      <c r="H3346" s="1">
        <v>2.1182779999999999E-6</v>
      </c>
      <c r="I3346">
        <v>220.57400000000001</v>
      </c>
      <c r="J3346">
        <v>-489.2595</v>
      </c>
      <c r="K3346">
        <v>1.1164639999999999</v>
      </c>
      <c r="L3346">
        <v>228.47720000000001</v>
      </c>
      <c r="M3346">
        <v>0.40603850000000002</v>
      </c>
      <c r="N3346">
        <v>-1.426267E-2</v>
      </c>
      <c r="O3346">
        <v>-0.91374469999999997</v>
      </c>
      <c r="P3346">
        <v>0.60684979999999999</v>
      </c>
      <c r="Q3346">
        <v>0.4013892</v>
      </c>
      <c r="R3346">
        <v>-0.68601749999999995</v>
      </c>
      <c r="S3346">
        <v>2.4931950000000001</v>
      </c>
      <c r="T3346">
        <v>-0.32388169999999999</v>
      </c>
      <c r="U3346">
        <v>-2.3600620000000001</v>
      </c>
      <c r="V3346">
        <v>-0.28124880000000002</v>
      </c>
      <c r="W3346">
        <v>0.41024500000000003</v>
      </c>
      <c r="X3346">
        <v>0.86752410000000002</v>
      </c>
      <c r="Y3346">
        <v>-0.3816562</v>
      </c>
      <c r="Z3346">
        <v>8.1608E-2</v>
      </c>
      <c r="AA3346">
        <v>0.92069460000000003</v>
      </c>
      <c r="AB3346">
        <v>24</v>
      </c>
      <c r="AC3346">
        <v>8.4821000000000009</v>
      </c>
      <c r="AD3346">
        <v>-1.116461881722</v>
      </c>
      <c r="AE3346">
        <v>-7.9031999999999902</v>
      </c>
      <c r="AF3346">
        <v>-4.5001974483172402</v>
      </c>
      <c r="AG3346">
        <v>-1.116461881722</v>
      </c>
      <c r="AH3346">
        <v>10.5686373376737</v>
      </c>
      <c r="AI3346">
        <v>95.5514104204684</v>
      </c>
      <c r="AJ3346">
        <v>113.064633768028</v>
      </c>
      <c r="AK3346">
        <v>11.540986066296499</v>
      </c>
      <c r="AL3346">
        <v>65.779772614864697</v>
      </c>
      <c r="AM3346">
        <v>107.96254400380499</v>
      </c>
      <c r="AN3346">
        <v>0.999999955803624</v>
      </c>
    </row>
    <row r="3347" spans="1:40" x14ac:dyDescent="0.25">
      <c r="A3347" t="str">
        <f>"20190304164916981"</f>
        <v>20190304164916981</v>
      </c>
      <c r="B3347" t="str">
        <f>"1551689356969554"</f>
        <v>1551689356969554</v>
      </c>
      <c r="C3347" t="s">
        <v>40</v>
      </c>
      <c r="D3347">
        <v>3.991104</v>
      </c>
      <c r="E3347">
        <v>0.46642309999999998</v>
      </c>
      <c r="F3347" t="s">
        <v>45</v>
      </c>
      <c r="G3347">
        <v>-480.71710000000002</v>
      </c>
      <c r="H3347" s="1">
        <v>2.081796E-6</v>
      </c>
      <c r="I3347">
        <v>220.45740000000001</v>
      </c>
      <c r="J3347">
        <v>-489.15379999999999</v>
      </c>
      <c r="K3347">
        <v>1.116587</v>
      </c>
      <c r="L3347">
        <v>228.26230000000001</v>
      </c>
      <c r="M3347">
        <v>0.41361340000000002</v>
      </c>
      <c r="N3347">
        <v>-1.4287670000000001E-2</v>
      </c>
      <c r="O3347">
        <v>-0.9103405</v>
      </c>
      <c r="P3347">
        <v>0.61306240000000001</v>
      </c>
      <c r="Q3347">
        <v>0.40152320000000002</v>
      </c>
      <c r="R3347">
        <v>-0.68039229999999995</v>
      </c>
      <c r="S3347">
        <v>2.5032350000000001</v>
      </c>
      <c r="T3347">
        <v>-0.32716450000000002</v>
      </c>
      <c r="U3347">
        <v>-2.350098</v>
      </c>
      <c r="V3347">
        <v>-0.28210010000000002</v>
      </c>
      <c r="W3347">
        <v>0.410298</v>
      </c>
      <c r="X3347">
        <v>0.86722269999999901</v>
      </c>
      <c r="Y3347">
        <v>-0.37772210000000001</v>
      </c>
      <c r="Z3347">
        <v>8.2305929999999999E-2</v>
      </c>
      <c r="AA3347">
        <v>0.92225360000000001</v>
      </c>
      <c r="AB3347">
        <v>24</v>
      </c>
      <c r="AC3347">
        <v>8.4366999999999699</v>
      </c>
      <c r="AD3347">
        <v>-1.116584918204</v>
      </c>
      <c r="AE3347">
        <v>-7.8048999999999999</v>
      </c>
      <c r="AF3347">
        <v>-4.4108811980675604</v>
      </c>
      <c r="AG3347">
        <v>-1.116584918204</v>
      </c>
      <c r="AH3347">
        <v>10.496658396574899</v>
      </c>
      <c r="AI3347">
        <v>95.600999929426493</v>
      </c>
      <c r="AJ3347">
        <v>112.79300574759</v>
      </c>
      <c r="AK3347">
        <v>11.4403877695388</v>
      </c>
      <c r="AL3347">
        <v>65.776445563518806</v>
      </c>
      <c r="AM3347">
        <v>108.01926208906001</v>
      </c>
      <c r="AN3347">
        <v>1.00000006330964</v>
      </c>
    </row>
    <row r="3348" spans="1:40" x14ac:dyDescent="0.25">
      <c r="A3348" t="str">
        <f>"20190304164917002"</f>
        <v>20190304164917002</v>
      </c>
      <c r="B3348" t="str">
        <f>"1551689356998833"</f>
        <v>1551689356998833</v>
      </c>
      <c r="C3348" t="s">
        <v>40</v>
      </c>
      <c r="D3348">
        <v>4.0236150000000004</v>
      </c>
      <c r="E3348">
        <v>0.46737889999999999</v>
      </c>
      <c r="F3348" t="s">
        <v>45</v>
      </c>
      <c r="G3348">
        <v>-480.6465</v>
      </c>
      <c r="H3348" s="1">
        <v>2.0481630000000002E-6</v>
      </c>
      <c r="I3348">
        <v>220.36189999999999</v>
      </c>
      <c r="J3348">
        <v>-489.05360000000002</v>
      </c>
      <c r="K3348">
        <v>1.1166720000000001</v>
      </c>
      <c r="L3348">
        <v>228.06309999999999</v>
      </c>
      <c r="M3348">
        <v>0.42077059999999999</v>
      </c>
      <c r="N3348">
        <v>-1.4308019999999999E-2</v>
      </c>
      <c r="O3348">
        <v>-0.90705420000000003</v>
      </c>
      <c r="P3348">
        <v>0.61939160000000004</v>
      </c>
      <c r="Q3348">
        <v>0.40052179999999998</v>
      </c>
      <c r="R3348">
        <v>-0.67523089999999997</v>
      </c>
      <c r="S3348">
        <v>2.5162960000000001</v>
      </c>
      <c r="T3348">
        <v>-0.33026480000000003</v>
      </c>
      <c r="U3348">
        <v>-2.336792</v>
      </c>
      <c r="V3348">
        <v>-0.2832017</v>
      </c>
      <c r="W3348">
        <v>0.40924359999999999</v>
      </c>
      <c r="X3348">
        <v>0.86736179999999996</v>
      </c>
      <c r="Y3348">
        <v>-0.37538890000000003</v>
      </c>
      <c r="Z3348">
        <v>8.2989270000000004E-2</v>
      </c>
      <c r="AA3348">
        <v>0.92314459999999998</v>
      </c>
      <c r="AB3348">
        <v>24</v>
      </c>
      <c r="AC3348">
        <v>8.4071000000000105</v>
      </c>
      <c r="AD3348">
        <v>-1.11666995183699</v>
      </c>
      <c r="AE3348">
        <v>-7.7012</v>
      </c>
      <c r="AF3348">
        <v>-4.3440342873053597</v>
      </c>
      <c r="AG3348">
        <v>-1.11666995183699</v>
      </c>
      <c r="AH3348">
        <v>10.423948688527499</v>
      </c>
      <c r="AI3348">
        <v>95.647196393137506</v>
      </c>
      <c r="AJ3348">
        <v>112.6232478809</v>
      </c>
      <c r="AK3348">
        <v>11.3479642197036</v>
      </c>
      <c r="AL3348">
        <v>65.842672455885094</v>
      </c>
      <c r="AM3348">
        <v>108.082342275004</v>
      </c>
      <c r="AN3348">
        <v>1.00000000956154</v>
      </c>
    </row>
    <row r="3349" spans="1:40" x14ac:dyDescent="0.25">
      <c r="A3349" t="str">
        <f>"20190304164917024"</f>
        <v>20190304164917024</v>
      </c>
      <c r="B3349" t="str">
        <f>"1551689357019329"</f>
        <v>1551689357019329</v>
      </c>
      <c r="C3349" t="s">
        <v>40</v>
      </c>
      <c r="D3349">
        <v>4.034592</v>
      </c>
      <c r="E3349">
        <v>0.46789150000000002</v>
      </c>
      <c r="F3349" t="s">
        <v>45</v>
      </c>
      <c r="G3349">
        <v>-480.73869999999999</v>
      </c>
      <c r="H3349" s="1">
        <v>2.0795979999999999E-6</v>
      </c>
      <c r="I3349">
        <v>220.43010000000001</v>
      </c>
      <c r="J3349">
        <v>-488.947</v>
      </c>
      <c r="K3349">
        <v>1.116724</v>
      </c>
      <c r="L3349">
        <v>227.85560000000001</v>
      </c>
      <c r="M3349">
        <v>0.42833310000000002</v>
      </c>
      <c r="N3349">
        <v>-1.432566E-2</v>
      </c>
      <c r="O3349">
        <v>-0.90350719999999995</v>
      </c>
      <c r="P3349">
        <v>0.62632869999999996</v>
      </c>
      <c r="Q3349">
        <v>0.3985341</v>
      </c>
      <c r="R3349">
        <v>-0.66998719999999901</v>
      </c>
      <c r="S3349">
        <v>2.5306700000000002</v>
      </c>
      <c r="T3349">
        <v>-0.33986149999999998</v>
      </c>
      <c r="U3349">
        <v>-2.3231350000000002</v>
      </c>
      <c r="V3349">
        <v>-0.28444009999999997</v>
      </c>
      <c r="W3349">
        <v>0.40722530000000001</v>
      </c>
      <c r="X3349">
        <v>0.86790630000000002</v>
      </c>
      <c r="Y3349">
        <v>-0.37279000000000001</v>
      </c>
      <c r="Z3349">
        <v>8.5470240000000003E-2</v>
      </c>
      <c r="AA3349">
        <v>0.92397110000000005</v>
      </c>
      <c r="AB3349">
        <v>24</v>
      </c>
      <c r="AC3349">
        <v>8.2082999999999497</v>
      </c>
      <c r="AD3349">
        <v>-1.116721920402</v>
      </c>
      <c r="AE3349">
        <v>-7.4254999999999898</v>
      </c>
      <c r="AF3349">
        <v>-4.1934213090510397</v>
      </c>
      <c r="AG3349">
        <v>-1.116721920402</v>
      </c>
      <c r="AH3349">
        <v>10.122889527994101</v>
      </c>
      <c r="AI3349">
        <v>95.819366751309502</v>
      </c>
      <c r="AJ3349">
        <v>112.50185114946299</v>
      </c>
      <c r="AK3349">
        <v>11.0138432219949</v>
      </c>
      <c r="AL3349">
        <v>65.969348246488394</v>
      </c>
      <c r="AM3349">
        <v>108.14559178439799</v>
      </c>
      <c r="AN3349">
        <v>0.99999998051389405</v>
      </c>
    </row>
    <row r="3350" spans="1:40" x14ac:dyDescent="0.25">
      <c r="A3350" t="str">
        <f>"20190304164917045"</f>
        <v>20190304164917045</v>
      </c>
      <c r="B3350" t="str">
        <f>"1551689357038848"</f>
        <v>1551689357038848</v>
      </c>
      <c r="C3350" t="s">
        <v>40</v>
      </c>
      <c r="D3350">
        <v>4.0532380000000003</v>
      </c>
      <c r="E3350">
        <v>0.4684701</v>
      </c>
      <c r="F3350" t="s">
        <v>45</v>
      </c>
      <c r="G3350">
        <v>-480.86130000000003</v>
      </c>
      <c r="H3350" s="1">
        <v>2.1282089999999998E-6</v>
      </c>
      <c r="I3350">
        <v>220.55170000000001</v>
      </c>
      <c r="J3350">
        <v>-488.8381</v>
      </c>
      <c r="K3350">
        <v>1.1167450000000001</v>
      </c>
      <c r="L3350">
        <v>227.6481</v>
      </c>
      <c r="M3350">
        <v>0.4359613</v>
      </c>
      <c r="N3350">
        <v>-1.4339630000000001E-2</v>
      </c>
      <c r="O3350">
        <v>-0.89985119999999896</v>
      </c>
      <c r="P3350">
        <v>0.63348090000000001</v>
      </c>
      <c r="Q3350">
        <v>0.39707720000000002</v>
      </c>
      <c r="R3350">
        <v>-0.66410190000000002</v>
      </c>
      <c r="S3350">
        <v>2.5499269999999998</v>
      </c>
      <c r="T3350">
        <v>-0.35217209999999899</v>
      </c>
      <c r="U3350">
        <v>-2.303391</v>
      </c>
      <c r="V3350">
        <v>-0.28604600000000002</v>
      </c>
      <c r="W3350">
        <v>0.40574440000000001</v>
      </c>
      <c r="X3350">
        <v>0.86807219999999996</v>
      </c>
      <c r="Y3350">
        <v>-0.37211319999999998</v>
      </c>
      <c r="Z3350">
        <v>8.8757900000000001E-2</v>
      </c>
      <c r="AA3350">
        <v>0.92393389999999997</v>
      </c>
      <c r="AB3350">
        <v>24</v>
      </c>
      <c r="AC3350">
        <v>7.9767999999999599</v>
      </c>
      <c r="AD3350">
        <v>-1.116742871791</v>
      </c>
      <c r="AE3350">
        <v>-7.0963999999999796</v>
      </c>
      <c r="AF3350">
        <v>-4.0403922775312999</v>
      </c>
      <c r="AG3350">
        <v>-1.116742871791</v>
      </c>
      <c r="AH3350">
        <v>9.7575394512989106</v>
      </c>
      <c r="AI3350">
        <v>96.036158282039906</v>
      </c>
      <c r="AJ3350">
        <v>112.493419409776</v>
      </c>
      <c r="AK3350">
        <v>10.6198616065222</v>
      </c>
      <c r="AL3350">
        <v>66.062218758917695</v>
      </c>
      <c r="AM3350">
        <v>108.23801672013499</v>
      </c>
      <c r="AN3350">
        <v>1.0000000883300899</v>
      </c>
    </row>
    <row r="3351" spans="1:40" x14ac:dyDescent="0.25">
      <c r="A3351" t="str">
        <f>"20190304164917069"</f>
        <v>20190304164917069</v>
      </c>
      <c r="B3351" t="str">
        <f>"1551689357059345"</f>
        <v>1551689357059345</v>
      </c>
      <c r="C3351" t="s">
        <v>40</v>
      </c>
      <c r="D3351">
        <v>4.0622959999999999</v>
      </c>
      <c r="E3351">
        <v>0.46896280000000001</v>
      </c>
      <c r="F3351" t="s">
        <v>45</v>
      </c>
      <c r="G3351">
        <v>-480.88279999999997</v>
      </c>
      <c r="H3351" s="1">
        <v>2.1372180000000001E-6</v>
      </c>
      <c r="I3351">
        <v>220.57509999999999</v>
      </c>
      <c r="J3351">
        <v>-488.72390000000001</v>
      </c>
      <c r="K3351">
        <v>1.116744</v>
      </c>
      <c r="L3351">
        <v>227.43520000000001</v>
      </c>
      <c r="M3351">
        <v>0.44382450000000001</v>
      </c>
      <c r="N3351">
        <v>-1.435053E-2</v>
      </c>
      <c r="O3351">
        <v>-0.89599899999999999</v>
      </c>
      <c r="P3351">
        <v>0.64094859999999998</v>
      </c>
      <c r="Q3351">
        <v>0.39808680000000002</v>
      </c>
      <c r="R3351">
        <v>-0.65628649999999999</v>
      </c>
      <c r="S3351">
        <v>2.568085</v>
      </c>
      <c r="T3351">
        <v>-0.36050379999999999</v>
      </c>
      <c r="U3351">
        <v>-2.2832949999999999</v>
      </c>
      <c r="V3351">
        <v>-0.28855730000000002</v>
      </c>
      <c r="W3351">
        <v>0.40671079999999998</v>
      </c>
      <c r="X3351">
        <v>0.8667878</v>
      </c>
      <c r="Y3351">
        <v>-0.37110399999999999</v>
      </c>
      <c r="Z3351">
        <v>9.0907279999999993E-2</v>
      </c>
      <c r="AA3351">
        <v>0.92413080000000003</v>
      </c>
      <c r="AB3351">
        <v>24</v>
      </c>
      <c r="AC3351">
        <v>7.8411000000000399</v>
      </c>
      <c r="AD3351">
        <v>-1.116741862782</v>
      </c>
      <c r="AE3351">
        <v>-6.8601000000000099</v>
      </c>
      <c r="AF3351">
        <v>-3.9361226065191799</v>
      </c>
      <c r="AG3351">
        <v>-1.116741862782</v>
      </c>
      <c r="AH3351">
        <v>9.5183439795218092</v>
      </c>
      <c r="AI3351">
        <v>96.187869424673295</v>
      </c>
      <c r="AJ3351">
        <v>112.466571659222</v>
      </c>
      <c r="AK3351">
        <v>10.3604558622746</v>
      </c>
      <c r="AL3351">
        <v>66.001621842860303</v>
      </c>
      <c r="AM3351">
        <v>108.412817250678</v>
      </c>
      <c r="AN3351">
        <v>1.00000004022438</v>
      </c>
    </row>
    <row r="3352" spans="1:40" x14ac:dyDescent="0.25">
      <c r="A3352" t="str">
        <f>"20190304164917090"</f>
        <v>20190304164917090</v>
      </c>
      <c r="B3352" t="str">
        <f>"1551689357078864"</f>
        <v>1551689357078864</v>
      </c>
      <c r="C3352" t="s">
        <v>40</v>
      </c>
      <c r="D3352">
        <v>4.0708479999999998</v>
      </c>
      <c r="E3352">
        <v>0.44415519999999997</v>
      </c>
      <c r="F3352" t="s">
        <v>45</v>
      </c>
      <c r="G3352">
        <v>-480.65030000000002</v>
      </c>
      <c r="H3352" s="1">
        <v>2.0535520000000001E-6</v>
      </c>
      <c r="I3352">
        <v>220.38329999999999</v>
      </c>
      <c r="J3352">
        <v>-488.61369999999999</v>
      </c>
      <c r="K3352">
        <v>1.116736</v>
      </c>
      <c r="L3352">
        <v>227.2337</v>
      </c>
      <c r="M3352">
        <v>0.4512661</v>
      </c>
      <c r="N3352">
        <v>-1.4357969999999999E-2</v>
      </c>
      <c r="O3352">
        <v>-0.89227400000000001</v>
      </c>
      <c r="P3352">
        <v>0.6476151</v>
      </c>
      <c r="Q3352">
        <v>0.39850400000000002</v>
      </c>
      <c r="R3352">
        <v>-0.6494529</v>
      </c>
      <c r="S3352">
        <v>2.588165</v>
      </c>
      <c r="T3352">
        <v>-0.35799309999999901</v>
      </c>
      <c r="U3352">
        <v>-2.2606199999999999</v>
      </c>
      <c r="V3352">
        <v>-0.29030729999999999</v>
      </c>
      <c r="W3352">
        <v>0.40711160000000002</v>
      </c>
      <c r="X3352">
        <v>0.86601489999999903</v>
      </c>
      <c r="Y3352">
        <v>-0.37158679999999999</v>
      </c>
      <c r="Z3352">
        <v>9.0043579999999998E-2</v>
      </c>
      <c r="AA3352">
        <v>0.92402130000000005</v>
      </c>
      <c r="AB3352">
        <v>24</v>
      </c>
      <c r="AC3352">
        <v>7.9633999999999698</v>
      </c>
      <c r="AD3352">
        <v>-1.1167339464479999</v>
      </c>
      <c r="AE3352">
        <v>-6.8503999999999996</v>
      </c>
      <c r="AF3352">
        <v>-3.9697295139611599</v>
      </c>
      <c r="AG3352">
        <v>-1.1167339464479999</v>
      </c>
      <c r="AH3352">
        <v>9.5985641241376598</v>
      </c>
      <c r="AI3352">
        <v>96.136410148281996</v>
      </c>
      <c r="AJ3352">
        <v>112.468781162124</v>
      </c>
      <c r="AK3352">
        <v>10.446926838374299</v>
      </c>
      <c r="AL3352">
        <v>65.976481163558802</v>
      </c>
      <c r="AM3352">
        <v>108.532288108293</v>
      </c>
      <c r="AN3352">
        <v>0.99999999515492899</v>
      </c>
    </row>
    <row r="3353" spans="1:40" x14ac:dyDescent="0.25">
      <c r="A3353" t="str">
        <f>"20190304164917113"</f>
        <v>20190304164917113</v>
      </c>
      <c r="B3353" t="str">
        <f>"1551689357109120"</f>
        <v>1551689357109120</v>
      </c>
      <c r="C3353" t="s">
        <v>40</v>
      </c>
      <c r="D3353">
        <v>4.0455019999999999</v>
      </c>
      <c r="E3353">
        <v>0.4332838</v>
      </c>
      <c r="F3353" t="s">
        <v>45</v>
      </c>
      <c r="G3353">
        <v>-480.42720000000003</v>
      </c>
      <c r="H3353" s="1">
        <v>2.1483499999999999E-6</v>
      </c>
      <c r="I3353">
        <v>220.99100000000001</v>
      </c>
      <c r="J3353">
        <v>-488.50069999999999</v>
      </c>
      <c r="K3353">
        <v>1.1167119999999999</v>
      </c>
      <c r="L3353">
        <v>227.03110000000001</v>
      </c>
      <c r="M3353">
        <v>0.4587446</v>
      </c>
      <c r="N3353">
        <v>-1.4362990000000001E-2</v>
      </c>
      <c r="O3353">
        <v>-0.88845239999999903</v>
      </c>
      <c r="P3353">
        <v>0.65305800000000003</v>
      </c>
      <c r="Q3353">
        <v>0.39963510000000002</v>
      </c>
      <c r="R3353">
        <v>-0.64327849999999998</v>
      </c>
      <c r="S3353">
        <v>2.7561040000000001</v>
      </c>
      <c r="T3353">
        <v>-0.37596439999999998</v>
      </c>
      <c r="U3353">
        <v>-2.1017000000000001</v>
      </c>
      <c r="V3353">
        <v>-0.29063369999999999</v>
      </c>
      <c r="W3353">
        <v>0.40825139999999999</v>
      </c>
      <c r="X3353">
        <v>0.86536859999999904</v>
      </c>
      <c r="Y3353">
        <v>-0.4240622</v>
      </c>
      <c r="Z3353">
        <v>9.5694500000000002E-2</v>
      </c>
      <c r="AA3353">
        <v>0.90056309999999995</v>
      </c>
      <c r="AB3353">
        <v>24</v>
      </c>
      <c r="AC3353">
        <v>8.0734999999999602</v>
      </c>
      <c r="AD3353">
        <v>-1.11670985165</v>
      </c>
      <c r="AE3353">
        <v>-6.0401000000000202</v>
      </c>
      <c r="AF3353">
        <v>-4.3491620627965197</v>
      </c>
      <c r="AG3353">
        <v>-1.11670985165</v>
      </c>
      <c r="AH3353">
        <v>8.9610305361686908</v>
      </c>
      <c r="AI3353">
        <v>96.396817797682203</v>
      </c>
      <c r="AJ3353">
        <v>115.889234207721</v>
      </c>
      <c r="AK3353">
        <v>10.023089334700501</v>
      </c>
      <c r="AL3353">
        <v>65.904961857395193</v>
      </c>
      <c r="AM3353">
        <v>108.56460514999399</v>
      </c>
      <c r="AN3353">
        <v>0.99999998352180397</v>
      </c>
    </row>
    <row r="3354" spans="1:40" x14ac:dyDescent="0.25">
      <c r="A3354" t="str">
        <f>"20190304164917135"</f>
        <v>20190304164917135</v>
      </c>
      <c r="B3354" t="str">
        <f>"1551689357129616"</f>
        <v>1551689357129616</v>
      </c>
      <c r="C3354" t="s">
        <v>40</v>
      </c>
      <c r="D3354">
        <v>4.0601529999999997</v>
      </c>
      <c r="E3354">
        <v>0.43068479999999998</v>
      </c>
      <c r="F3354" t="s">
        <v>45</v>
      </c>
      <c r="G3354">
        <v>-479.6472</v>
      </c>
      <c r="H3354" s="1">
        <v>2.1220959999999999E-6</v>
      </c>
      <c r="I3354">
        <v>220.75059999999999</v>
      </c>
      <c r="J3354">
        <v>-488.38279999999997</v>
      </c>
      <c r="K3354">
        <v>1.1166830000000001</v>
      </c>
      <c r="L3354">
        <v>226.82390000000001</v>
      </c>
      <c r="M3354">
        <v>0.46637060000000002</v>
      </c>
      <c r="N3354">
        <v>-1.436599E-2</v>
      </c>
      <c r="O3354">
        <v>-0.88447289999999901</v>
      </c>
      <c r="P3354">
        <v>0.65805829999999998</v>
      </c>
      <c r="Q3354">
        <v>0.40135700000000002</v>
      </c>
      <c r="R3354">
        <v>-0.63708100000000001</v>
      </c>
      <c r="S3354">
        <v>2.832916</v>
      </c>
      <c r="T3354">
        <v>-0.35732390000000003</v>
      </c>
      <c r="U3354">
        <v>-2.0096129999999999</v>
      </c>
      <c r="V3354">
        <v>-0.29043429999999998</v>
      </c>
      <c r="W3354">
        <v>0.40998879999999999</v>
      </c>
      <c r="X3354">
        <v>0.86461379999999999</v>
      </c>
      <c r="Y3354">
        <v>-0.44761869999999998</v>
      </c>
      <c r="Z3354">
        <v>9.0823459999999995E-2</v>
      </c>
      <c r="AA3354">
        <v>0.88960030000000001</v>
      </c>
      <c r="AB3354">
        <v>24</v>
      </c>
      <c r="AC3354">
        <v>8.7355999999999696</v>
      </c>
      <c r="AD3354">
        <v>-1.1166808779040001</v>
      </c>
      <c r="AE3354">
        <v>-6.0733000000000104</v>
      </c>
      <c r="AF3354">
        <v>-4.8411666041192802</v>
      </c>
      <c r="AG3354">
        <v>-1.1166808779040001</v>
      </c>
      <c r="AH3354">
        <v>9.3437383953087298</v>
      </c>
      <c r="AI3354">
        <v>96.057210769233805</v>
      </c>
      <c r="AJ3354">
        <v>117.389523475687</v>
      </c>
      <c r="AK3354">
        <v>10.5825005302094</v>
      </c>
      <c r="AL3354">
        <v>65.795867757183501</v>
      </c>
      <c r="AM3354">
        <v>108.567826727633</v>
      </c>
      <c r="AN3354">
        <v>0.99999996094618404</v>
      </c>
    </row>
    <row r="3355" spans="1:40" x14ac:dyDescent="0.25">
      <c r="A3355" t="str">
        <f>"20190304164917159"</f>
        <v>20190304164917159</v>
      </c>
      <c r="B3355" t="str">
        <f>"1551689357149655"</f>
        <v>1551689357149655</v>
      </c>
      <c r="C3355" t="s">
        <v>40</v>
      </c>
      <c r="D3355">
        <v>4.0313790000000003</v>
      </c>
      <c r="E3355">
        <v>0.42955070000000001</v>
      </c>
      <c r="F3355" t="s">
        <v>41</v>
      </c>
      <c r="G3355">
        <v>-487.52120000000002</v>
      </c>
      <c r="H3355">
        <v>1.008381</v>
      </c>
      <c r="I3355">
        <v>226.23269999999999</v>
      </c>
      <c r="J3355">
        <v>-488.25839999999999</v>
      </c>
      <c r="K3355">
        <v>1.1166480000000001</v>
      </c>
      <c r="L3355">
        <v>226.61009999999999</v>
      </c>
      <c r="M3355">
        <v>0.47422130000000001</v>
      </c>
      <c r="N3355">
        <v>-1.436749E-2</v>
      </c>
      <c r="O3355">
        <v>-0.88028869999999904</v>
      </c>
      <c r="P3355">
        <v>0.66320900000000005</v>
      </c>
      <c r="Q3355">
        <v>0.40265780000000001</v>
      </c>
      <c r="R3355">
        <v>-0.63088919999999904</v>
      </c>
      <c r="S3355">
        <v>2.871429</v>
      </c>
      <c r="T3355">
        <v>-0.3609618</v>
      </c>
      <c r="U3355">
        <v>-1.970383</v>
      </c>
      <c r="V3355">
        <v>-0.29013460000000002</v>
      </c>
      <c r="W3355">
        <v>0.4113096</v>
      </c>
      <c r="X3355">
        <v>0.86408700000000005</v>
      </c>
      <c r="Y3355">
        <v>-0.45345370000000002</v>
      </c>
      <c r="Z3355">
        <v>9.1625940000000003E-2</v>
      </c>
      <c r="AA3355">
        <v>0.88655759999999995</v>
      </c>
      <c r="AB3355">
        <v>24</v>
      </c>
      <c r="AC3355">
        <v>0.73719999999997299</v>
      </c>
      <c r="AD3355">
        <v>-0.108266999999999</v>
      </c>
      <c r="AE3355">
        <v>-0.37739999999999402</v>
      </c>
      <c r="AF3355">
        <v>-0.46212847362798698</v>
      </c>
      <c r="AG3355">
        <v>-0.108266999999999</v>
      </c>
      <c r="AH3355">
        <v>0.67042967114870999</v>
      </c>
      <c r="AI3355">
        <v>97.573723235313096</v>
      </c>
      <c r="AJ3355">
        <v>124.578571096237</v>
      </c>
      <c r="AK3355">
        <v>0.82143801554548301</v>
      </c>
      <c r="AL3355">
        <v>65.712871806069799</v>
      </c>
      <c r="AM3355">
        <v>108.56051291989</v>
      </c>
      <c r="AN3355">
        <v>1.00000000836916</v>
      </c>
    </row>
    <row r="3356" spans="1:40" x14ac:dyDescent="0.25">
      <c r="A3356" t="str">
        <f>"20190304164917182"</f>
        <v>20190304164917182</v>
      </c>
      <c r="B3356" t="str">
        <f>"1551689357178933"</f>
        <v>1551689357178933</v>
      </c>
      <c r="C3356" t="s">
        <v>40</v>
      </c>
      <c r="D3356">
        <v>4.0427679999999997</v>
      </c>
      <c r="E3356">
        <v>0.42883959999999999</v>
      </c>
      <c r="F3356" t="s">
        <v>41</v>
      </c>
      <c r="G3356">
        <v>-487.42129999999997</v>
      </c>
      <c r="H3356">
        <v>1.0120209999999901</v>
      </c>
      <c r="I3356">
        <v>226.0505</v>
      </c>
      <c r="J3356">
        <v>-488.13389999999998</v>
      </c>
      <c r="K3356">
        <v>1.1166199999999999</v>
      </c>
      <c r="L3356">
        <v>226.40029999999999</v>
      </c>
      <c r="M3356">
        <v>0.48191119999999998</v>
      </c>
      <c r="N3356">
        <v>-1.436782E-2</v>
      </c>
      <c r="O3356">
        <v>-0.87610219999999905</v>
      </c>
      <c r="P3356">
        <v>0.66868700000000003</v>
      </c>
      <c r="Q3356">
        <v>0.40379409999999999</v>
      </c>
      <c r="R3356">
        <v>-0.62434590000000001</v>
      </c>
      <c r="S3356">
        <v>2.8998409999999999</v>
      </c>
      <c r="T3356">
        <v>-0.36236010000000002</v>
      </c>
      <c r="U3356">
        <v>-1.9380649999999999</v>
      </c>
      <c r="V3356">
        <v>-0.29044379999999997</v>
      </c>
      <c r="W3356">
        <v>0.4124546</v>
      </c>
      <c r="X3356">
        <v>0.86343709999999996</v>
      </c>
      <c r="Y3356">
        <v>-0.45649319999999999</v>
      </c>
      <c r="Z3356">
        <v>9.1811370000000003E-2</v>
      </c>
      <c r="AA3356">
        <v>0.88497719999999902</v>
      </c>
      <c r="AB3356">
        <v>24</v>
      </c>
      <c r="AC3356">
        <v>0.712600000000009</v>
      </c>
      <c r="AD3356">
        <v>-0.104599</v>
      </c>
      <c r="AE3356">
        <v>-0.34979999999998701</v>
      </c>
      <c r="AF3356">
        <v>-0.44800657393076798</v>
      </c>
      <c r="AG3356">
        <v>-0.104599</v>
      </c>
      <c r="AH3356">
        <v>0.63884581353037095</v>
      </c>
      <c r="AI3356">
        <v>97.635180871136598</v>
      </c>
      <c r="AJ3356">
        <v>125.041017664252</v>
      </c>
      <c r="AK3356">
        <v>0.78725778151217196</v>
      </c>
      <c r="AL3356">
        <v>65.640877822776503</v>
      </c>
      <c r="AM3356">
        <v>108.591959371995</v>
      </c>
      <c r="AN3356">
        <v>1.0000000118379999</v>
      </c>
    </row>
    <row r="3357" spans="1:40" x14ac:dyDescent="0.25">
      <c r="A3357" t="str">
        <f>"20190304164917202"</f>
        <v>20190304164917202</v>
      </c>
      <c r="B3357" t="str">
        <f>"1551689357199429"</f>
        <v>1551689357199429</v>
      </c>
      <c r="C3357" t="s">
        <v>40</v>
      </c>
      <c r="D3357">
        <v>4.0502229999999999</v>
      </c>
      <c r="E3357">
        <v>0.42888340000000003</v>
      </c>
      <c r="F3357" t="s">
        <v>41</v>
      </c>
      <c r="G3357">
        <v>-487.31959999999998</v>
      </c>
      <c r="H3357">
        <v>1.01444</v>
      </c>
      <c r="I3357">
        <v>225.86949999999999</v>
      </c>
      <c r="J3357">
        <v>-488.02960000000002</v>
      </c>
      <c r="K3357">
        <v>1.1165989999999999</v>
      </c>
      <c r="L3357">
        <v>226.2276</v>
      </c>
      <c r="M3357">
        <v>0.48823270000000002</v>
      </c>
      <c r="N3357">
        <v>-1.436756E-2</v>
      </c>
      <c r="O3357">
        <v>-0.87259540000000002</v>
      </c>
      <c r="P3357">
        <v>0.67346510000000004</v>
      </c>
      <c r="Q3357">
        <v>0.40524700000000002</v>
      </c>
      <c r="R3357">
        <v>-0.61823919999999999</v>
      </c>
      <c r="S3357">
        <v>2.926758</v>
      </c>
      <c r="T3357">
        <v>-0.36727500000000002</v>
      </c>
      <c r="U3357">
        <v>-1.907959</v>
      </c>
      <c r="V3357">
        <v>-0.29129820000000001</v>
      </c>
      <c r="W3357">
        <v>0.41389890000000001</v>
      </c>
      <c r="X3357">
        <v>0.86245759999999905</v>
      </c>
      <c r="Y3357">
        <v>-0.46008179999999999</v>
      </c>
      <c r="Z3357">
        <v>9.3011700000000003E-2</v>
      </c>
      <c r="AA3357">
        <v>0.88299130000000003</v>
      </c>
      <c r="AB3357">
        <v>24</v>
      </c>
      <c r="AC3357">
        <v>0.71000000000003605</v>
      </c>
      <c r="AD3357">
        <v>-0.102158999999999</v>
      </c>
      <c r="AE3357">
        <v>-0.35810000000000702</v>
      </c>
      <c r="AF3357">
        <v>-0.43753115091481998</v>
      </c>
      <c r="AG3357">
        <v>-0.102158999999999</v>
      </c>
      <c r="AH3357">
        <v>0.64848653600989303</v>
      </c>
      <c r="AI3357">
        <v>97.440190435730798</v>
      </c>
      <c r="AJ3357">
        <v>124.00737502039399</v>
      </c>
      <c r="AK3357">
        <v>0.78892633159754399</v>
      </c>
      <c r="AL3357">
        <v>65.550006590769996</v>
      </c>
      <c r="AM3357">
        <v>108.662584555672</v>
      </c>
      <c r="AN3357">
        <v>1.0000000262711</v>
      </c>
    </row>
    <row r="3358" spans="1:40" x14ac:dyDescent="0.25">
      <c r="A3358" t="str">
        <f>"20190304164917224"</f>
        <v>20190304164917224</v>
      </c>
      <c r="B3358" t="str">
        <f>"1551689357218949"</f>
        <v>1551689357218949</v>
      </c>
      <c r="C3358" t="s">
        <v>40</v>
      </c>
      <c r="D3358">
        <v>4.0541010000000002</v>
      </c>
      <c r="E3358">
        <v>0.4289113</v>
      </c>
      <c r="F3358" t="s">
        <v>41</v>
      </c>
      <c r="G3358">
        <v>-487.20549999999997</v>
      </c>
      <c r="H3358">
        <v>1.01384599999999</v>
      </c>
      <c r="I3358">
        <v>225.6994</v>
      </c>
      <c r="J3358">
        <v>-487.9042</v>
      </c>
      <c r="K3358">
        <v>1.11659</v>
      </c>
      <c r="L3358">
        <v>226.02369999999999</v>
      </c>
      <c r="M3358">
        <v>0.49569580000000002</v>
      </c>
      <c r="N3358">
        <v>-1.436669E-2</v>
      </c>
      <c r="O3358">
        <v>-0.86837730000000002</v>
      </c>
      <c r="P3358">
        <v>0.67891789999999996</v>
      </c>
      <c r="Q3358">
        <v>0.40699429999999998</v>
      </c>
      <c r="R3358">
        <v>-0.61108589999999996</v>
      </c>
      <c r="S3358">
        <v>2.943695</v>
      </c>
      <c r="T3358">
        <v>-0.36695119999999998</v>
      </c>
      <c r="U3358">
        <v>-1.886398</v>
      </c>
      <c r="V3358">
        <v>-0.29212100000000002</v>
      </c>
      <c r="W3358">
        <v>0.41563660000000002</v>
      </c>
      <c r="X3358">
        <v>0.86134290000000002</v>
      </c>
      <c r="Y3358">
        <v>-0.459401</v>
      </c>
      <c r="Z3358">
        <v>9.2661610000000005E-2</v>
      </c>
      <c r="AA3358">
        <v>0.88338240000000001</v>
      </c>
      <c r="AB3358">
        <v>24</v>
      </c>
      <c r="AC3358">
        <v>0.69870000000002996</v>
      </c>
      <c r="AD3358">
        <v>-0.102744</v>
      </c>
      <c r="AE3358">
        <v>-0.32429999999999298</v>
      </c>
      <c r="AF3358">
        <v>-0.438230574073251</v>
      </c>
      <c r="AG3358">
        <v>-0.102744</v>
      </c>
      <c r="AH3358">
        <v>0.61704443418700605</v>
      </c>
      <c r="AI3358">
        <v>97.730979802646601</v>
      </c>
      <c r="AJ3358">
        <v>125.382716429325</v>
      </c>
      <c r="AK3358">
        <v>0.76377103856439499</v>
      </c>
      <c r="AL3358">
        <v>65.440588083026299</v>
      </c>
      <c r="AM3358">
        <v>108.73416152195701</v>
      </c>
      <c r="AN3358">
        <v>1.00000002664048</v>
      </c>
    </row>
    <row r="3359" spans="1:40" x14ac:dyDescent="0.25">
      <c r="A3359" t="str">
        <f>"20190304164917247"</f>
        <v>20190304164917247</v>
      </c>
      <c r="B3359" t="str">
        <f>"1551689357239445"</f>
        <v>1551689357239445</v>
      </c>
      <c r="C3359" t="s">
        <v>40</v>
      </c>
      <c r="D3359">
        <v>4.0597000000000003</v>
      </c>
      <c r="E3359">
        <v>0.42900470000000002</v>
      </c>
      <c r="F3359" t="s">
        <v>41</v>
      </c>
      <c r="G3359">
        <v>-487.10210000000001</v>
      </c>
      <c r="H3359">
        <v>1.0170629999999901</v>
      </c>
      <c r="I3359">
        <v>225.5197</v>
      </c>
      <c r="J3359">
        <v>-487.77749999999997</v>
      </c>
      <c r="K3359">
        <v>1.116574</v>
      </c>
      <c r="L3359">
        <v>225.82140000000001</v>
      </c>
      <c r="M3359">
        <v>0.5031002</v>
      </c>
      <c r="N3359">
        <v>-1.4365309999999999E-2</v>
      </c>
      <c r="O3359">
        <v>-0.86410859999999901</v>
      </c>
      <c r="P3359">
        <v>0.68436989999999998</v>
      </c>
      <c r="Q3359">
        <v>0.40766239999999998</v>
      </c>
      <c r="R3359">
        <v>-0.6045239</v>
      </c>
      <c r="S3359">
        <v>2.9631959999999999</v>
      </c>
      <c r="T3359">
        <v>-0.36767230000000001</v>
      </c>
      <c r="U3359">
        <v>-1.862061</v>
      </c>
      <c r="V3359">
        <v>-0.292695599999999</v>
      </c>
      <c r="W3359">
        <v>0.41630519999999999</v>
      </c>
      <c r="X3359">
        <v>0.860824699999999</v>
      </c>
      <c r="Y3359">
        <v>-0.45964470000000002</v>
      </c>
      <c r="Z3359">
        <v>9.2603809999999995E-2</v>
      </c>
      <c r="AA3359">
        <v>0.88326170000000004</v>
      </c>
      <c r="AB3359">
        <v>24</v>
      </c>
      <c r="AC3359">
        <v>0.67539999999996703</v>
      </c>
      <c r="AD3359">
        <v>-9.9511000000000099E-2</v>
      </c>
      <c r="AE3359">
        <v>-0.30170000000001002</v>
      </c>
      <c r="AF3359">
        <v>-0.42420145935513298</v>
      </c>
      <c r="AG3359">
        <v>-9.9511000000000099E-2</v>
      </c>
      <c r="AH3359">
        <v>0.58988237872177596</v>
      </c>
      <c r="AI3359">
        <v>97.798676414185394</v>
      </c>
      <c r="AJ3359">
        <v>125.72100288133301</v>
      </c>
      <c r="AK3359">
        <v>0.73335566948547204</v>
      </c>
      <c r="AL3359">
        <v>65.398460590931094</v>
      </c>
      <c r="AM3359">
        <v>108.778940202627</v>
      </c>
      <c r="AN3359">
        <v>0.99999994896824296</v>
      </c>
    </row>
    <row r="3360" spans="1:40" x14ac:dyDescent="0.25">
      <c r="A3360" t="str">
        <f>"20190304164917270"</f>
        <v>20190304164917270</v>
      </c>
      <c r="B3360" t="str">
        <f>"1551689357259515"</f>
        <v>1551689357259515</v>
      </c>
      <c r="C3360" t="s">
        <v>40</v>
      </c>
      <c r="D3360">
        <v>4.0550810000000004</v>
      </c>
      <c r="E3360">
        <v>0.42907079999999997</v>
      </c>
      <c r="F3360" t="s">
        <v>41</v>
      </c>
      <c r="G3360">
        <v>-486.99810000000002</v>
      </c>
      <c r="H3360">
        <v>1.019476</v>
      </c>
      <c r="I3360">
        <v>225.34030000000001</v>
      </c>
      <c r="J3360">
        <v>-487.65260000000001</v>
      </c>
      <c r="K3360">
        <v>1.116557</v>
      </c>
      <c r="L3360">
        <v>225.6259</v>
      </c>
      <c r="M3360">
        <v>0.51026009999999999</v>
      </c>
      <c r="N3360">
        <v>-1.436374E-2</v>
      </c>
      <c r="O3360">
        <v>-0.85990009999999995</v>
      </c>
      <c r="P3360">
        <v>0.68941850000000005</v>
      </c>
      <c r="Q3360">
        <v>0.40779860000000001</v>
      </c>
      <c r="R3360">
        <v>-0.59866750000000002</v>
      </c>
      <c r="S3360">
        <v>2.9807130000000002</v>
      </c>
      <c r="T3360">
        <v>-0.3711544</v>
      </c>
      <c r="U3360">
        <v>-1.8384400000000001</v>
      </c>
      <c r="V3360">
        <v>-0.29279670000000002</v>
      </c>
      <c r="W3360">
        <v>0.41645219999999999</v>
      </c>
      <c r="X3360">
        <v>0.86071929999999996</v>
      </c>
      <c r="Y3360">
        <v>-0.45959800000000001</v>
      </c>
      <c r="Z3360">
        <v>9.3330380000000004E-2</v>
      </c>
      <c r="AA3360">
        <v>0.88320949999999998</v>
      </c>
      <c r="AB3360">
        <v>24</v>
      </c>
      <c r="AC3360">
        <v>0.65449999999998398</v>
      </c>
      <c r="AD3360">
        <v>-9.7080999999999903E-2</v>
      </c>
      <c r="AE3360">
        <v>-0.28559999999998797</v>
      </c>
      <c r="AF3360">
        <v>-0.40954807902754098</v>
      </c>
      <c r="AG3360">
        <v>-9.7080999999999903E-2</v>
      </c>
      <c r="AH3360">
        <v>0.56909447319861495</v>
      </c>
      <c r="AI3360">
        <v>97.883138763994907</v>
      </c>
      <c r="AJ3360">
        <v>125.740627736151</v>
      </c>
      <c r="AK3360">
        <v>0.70782968927656398</v>
      </c>
      <c r="AL3360">
        <v>65.389198957233702</v>
      </c>
      <c r="AM3360">
        <v>108.78711073565999</v>
      </c>
      <c r="AN3360">
        <v>1.0000000279040999</v>
      </c>
    </row>
    <row r="3361" spans="1:40" x14ac:dyDescent="0.25">
      <c r="A3361" t="str">
        <f>"20190304164917292"</f>
        <v>20190304164917292</v>
      </c>
      <c r="B3361" t="str">
        <f>"1551689357288795"</f>
        <v>1551689357288795</v>
      </c>
      <c r="C3361" t="s">
        <v>40</v>
      </c>
      <c r="D3361">
        <v>4.016394</v>
      </c>
      <c r="E3361">
        <v>0.42923109999999998</v>
      </c>
      <c r="F3361" t="s">
        <v>41</v>
      </c>
      <c r="G3361">
        <v>-486.87689999999998</v>
      </c>
      <c r="H3361">
        <v>1.0188600000000001</v>
      </c>
      <c r="I3361">
        <v>225.1557</v>
      </c>
      <c r="J3361">
        <v>-487.52980000000002</v>
      </c>
      <c r="K3361">
        <v>1.116525</v>
      </c>
      <c r="L3361">
        <v>225.43680000000001</v>
      </c>
      <c r="M3361">
        <v>0.51718489999999995</v>
      </c>
      <c r="N3361">
        <v>-1.4361789999999999E-2</v>
      </c>
      <c r="O3361">
        <v>-0.8557534</v>
      </c>
      <c r="P3361">
        <v>0.69433869999999998</v>
      </c>
      <c r="Q3361">
        <v>0.40649279999999999</v>
      </c>
      <c r="R3361">
        <v>-0.59384969999999904</v>
      </c>
      <c r="S3361">
        <v>2.9972840000000001</v>
      </c>
      <c r="T3361">
        <v>-0.37748120000000002</v>
      </c>
      <c r="U3361">
        <v>-1.8166960000000001</v>
      </c>
      <c r="V3361">
        <v>-0.29245759999999998</v>
      </c>
      <c r="W3361">
        <v>0.41517290000000001</v>
      </c>
      <c r="X3361">
        <v>0.86145229999999995</v>
      </c>
      <c r="Y3361">
        <v>-0.45914739999999998</v>
      </c>
      <c r="Z3361">
        <v>9.4809790000000005E-2</v>
      </c>
      <c r="AA3361">
        <v>0.88328629999999997</v>
      </c>
      <c r="AB3361">
        <v>24</v>
      </c>
      <c r="AC3361">
        <v>0.652900000000045</v>
      </c>
      <c r="AD3361">
        <v>-9.7664999999999794E-2</v>
      </c>
      <c r="AE3361">
        <v>-0.28110000000000901</v>
      </c>
      <c r="AF3361">
        <v>-0.40572442951142701</v>
      </c>
      <c r="AG3361">
        <v>-9.7664999999999794E-2</v>
      </c>
      <c r="AH3361">
        <v>0.56756787448924095</v>
      </c>
      <c r="AI3361">
        <v>97.9688840069403</v>
      </c>
      <c r="AJ3361">
        <v>125.558982655606</v>
      </c>
      <c r="AK3361">
        <v>0.70447431257612803</v>
      </c>
      <c r="AL3361">
        <v>65.469795361598301</v>
      </c>
      <c r="AM3361">
        <v>108.752024583561</v>
      </c>
      <c r="AN3361">
        <v>1.00000002493372</v>
      </c>
    </row>
    <row r="3362" spans="1:40" x14ac:dyDescent="0.25">
      <c r="A3362" t="str">
        <f>"20190304164917315"</f>
        <v>20190304164917315</v>
      </c>
      <c r="B3362" t="str">
        <f>"1551689357309291"</f>
        <v>1551689357309291</v>
      </c>
      <c r="C3362" t="s">
        <v>40</v>
      </c>
      <c r="D3362">
        <v>4.0236010000000002</v>
      </c>
      <c r="E3362">
        <v>0.4293729</v>
      </c>
      <c r="F3362" t="s">
        <v>41</v>
      </c>
      <c r="G3362">
        <v>-486.73869999999999</v>
      </c>
      <c r="H3362">
        <v>1.0139579999999999</v>
      </c>
      <c r="I3362">
        <v>224.96449999999999</v>
      </c>
      <c r="J3362">
        <v>-487.40050000000002</v>
      </c>
      <c r="K3362">
        <v>1.1164940000000001</v>
      </c>
      <c r="L3362">
        <v>225.2414</v>
      </c>
      <c r="M3362">
        <v>0.52434499999999995</v>
      </c>
      <c r="N3362">
        <v>-1.435926E-2</v>
      </c>
      <c r="O3362">
        <v>-0.85138499999999995</v>
      </c>
      <c r="P3362">
        <v>0.69926189999999999</v>
      </c>
      <c r="Q3362">
        <v>0.40565990000000002</v>
      </c>
      <c r="R3362">
        <v>-0.58861929999999996</v>
      </c>
      <c r="S3362">
        <v>3.0124209999999998</v>
      </c>
      <c r="T3362">
        <v>-0.39031480000000002</v>
      </c>
      <c r="U3362">
        <v>-1.796783</v>
      </c>
      <c r="V3362">
        <v>-0.29207519999999998</v>
      </c>
      <c r="W3362">
        <v>0.41436410000000001</v>
      </c>
      <c r="X3362">
        <v>0.8619713</v>
      </c>
      <c r="Y3362">
        <v>-0.45764939999999998</v>
      </c>
      <c r="Z3362">
        <v>9.8017099999999996E-2</v>
      </c>
      <c r="AA3362">
        <v>0.88371359999999999</v>
      </c>
      <c r="AB3362">
        <v>24</v>
      </c>
      <c r="AC3362">
        <v>0.66180000000002703</v>
      </c>
      <c r="AD3362">
        <v>-0.102536</v>
      </c>
      <c r="AE3362">
        <v>-0.27690000000001103</v>
      </c>
      <c r="AF3362">
        <v>-0.40992435319579701</v>
      </c>
      <c r="AG3362">
        <v>-0.102536</v>
      </c>
      <c r="AH3362">
        <v>0.57115219945585904</v>
      </c>
      <c r="AI3362">
        <v>98.297992668275199</v>
      </c>
      <c r="AJ3362">
        <v>125.667561116873</v>
      </c>
      <c r="AK3362">
        <v>0.71046917004346999</v>
      </c>
      <c r="AL3362">
        <v>65.520723460841594</v>
      </c>
      <c r="AM3362">
        <v>108.71872493305</v>
      </c>
      <c r="AN3362">
        <v>1.00000002592376</v>
      </c>
    </row>
    <row r="3363" spans="1:40" x14ac:dyDescent="0.25">
      <c r="A3363" t="str">
        <f>"20190304164917336"</f>
        <v>20190304164917336</v>
      </c>
      <c r="B3363" t="str">
        <f>"1551689357328811"</f>
        <v>1551689357328811</v>
      </c>
      <c r="C3363" t="s">
        <v>40</v>
      </c>
      <c r="D3363">
        <v>4.035101</v>
      </c>
      <c r="E3363">
        <v>0.42937989999999998</v>
      </c>
      <c r="F3363" t="s">
        <v>41</v>
      </c>
      <c r="G3363">
        <v>-486.59160000000003</v>
      </c>
      <c r="H3363">
        <v>1.0099400000000001</v>
      </c>
      <c r="I3363">
        <v>224.76689999999999</v>
      </c>
      <c r="J3363">
        <v>-487.27249999999998</v>
      </c>
      <c r="K3363">
        <v>1.116474</v>
      </c>
      <c r="L3363">
        <v>225.0513</v>
      </c>
      <c r="M3363">
        <v>0.53130880000000003</v>
      </c>
      <c r="N3363">
        <v>-1.4356270000000001E-2</v>
      </c>
      <c r="O3363">
        <v>-0.84705680000000005</v>
      </c>
      <c r="P3363">
        <v>0.70413230000000004</v>
      </c>
      <c r="Q3363">
        <v>0.4047365</v>
      </c>
      <c r="R3363">
        <v>-0.58342649999999996</v>
      </c>
      <c r="S3363">
        <v>3.026764</v>
      </c>
      <c r="T3363">
        <v>-0.39875100000000002</v>
      </c>
      <c r="U3363">
        <v>-1.7757719999999999</v>
      </c>
      <c r="V3363">
        <v>-0.29180009999999901</v>
      </c>
      <c r="W3363">
        <v>0.41346480000000002</v>
      </c>
      <c r="X3363">
        <v>0.86249609999999999</v>
      </c>
      <c r="Y3363">
        <v>-0.45655069999999998</v>
      </c>
      <c r="Z3363">
        <v>0.1000356</v>
      </c>
      <c r="AA3363">
        <v>0.884055699999999</v>
      </c>
      <c r="AB3363">
        <v>24</v>
      </c>
      <c r="AC3363">
        <v>0.68089999999995099</v>
      </c>
      <c r="AD3363">
        <v>-0.106533999999999</v>
      </c>
      <c r="AE3363">
        <v>-0.28440000000000498</v>
      </c>
      <c r="AF3363">
        <v>-0.41700859859856199</v>
      </c>
      <c r="AG3363">
        <v>-0.106533999999999</v>
      </c>
      <c r="AH3363">
        <v>0.59042652563424303</v>
      </c>
      <c r="AI3363">
        <v>98.384024889620207</v>
      </c>
      <c r="AJ3363">
        <v>125.23293599262</v>
      </c>
      <c r="AK3363">
        <v>0.73064981121852102</v>
      </c>
      <c r="AL3363">
        <v>65.577324730180194</v>
      </c>
      <c r="AM3363">
        <v>108.691731452906</v>
      </c>
      <c r="AN3363">
        <v>0.99999998085712904</v>
      </c>
    </row>
    <row r="3364" spans="1:40" x14ac:dyDescent="0.25">
      <c r="A3364" t="str">
        <f>"20190304164917360"</f>
        <v>20190304164917360</v>
      </c>
      <c r="B3364" t="str">
        <f>"1551689357348944"</f>
        <v>1551689357348944</v>
      </c>
      <c r="C3364" t="s">
        <v>40</v>
      </c>
      <c r="D3364">
        <v>3.9891610000000002</v>
      </c>
      <c r="E3364">
        <v>0.42950090000000002</v>
      </c>
      <c r="F3364" t="s">
        <v>41</v>
      </c>
      <c r="G3364">
        <v>-486.38010000000003</v>
      </c>
      <c r="H3364">
        <v>0.9967509</v>
      </c>
      <c r="I3364">
        <v>224.53649999999999</v>
      </c>
      <c r="J3364">
        <v>-487.13279999999997</v>
      </c>
      <c r="K3364">
        <v>1.116444</v>
      </c>
      <c r="L3364">
        <v>224.84800000000001</v>
      </c>
      <c r="M3364">
        <v>0.53875289999999998</v>
      </c>
      <c r="N3364">
        <v>-1.4352119999999999E-2</v>
      </c>
      <c r="O3364">
        <v>-0.84234169999999997</v>
      </c>
      <c r="P3364">
        <v>0.70903930000000004</v>
      </c>
      <c r="Q3364">
        <v>0.40386329999999998</v>
      </c>
      <c r="R3364">
        <v>-0.57806369999999996</v>
      </c>
      <c r="S3364">
        <v>3.0407410000000001</v>
      </c>
      <c r="T3364">
        <v>-0.40809630000000002</v>
      </c>
      <c r="U3364">
        <v>-1.7553559999999999</v>
      </c>
      <c r="V3364">
        <v>-0.29112059999999901</v>
      </c>
      <c r="W3364">
        <v>0.4126244</v>
      </c>
      <c r="X3364">
        <v>0.86312789999999995</v>
      </c>
      <c r="Y3364">
        <v>-0.45469739999999997</v>
      </c>
      <c r="Z3364">
        <v>0.10222440000000001</v>
      </c>
      <c r="AA3364">
        <v>0.88476010000000005</v>
      </c>
      <c r="AB3364">
        <v>23</v>
      </c>
      <c r="AC3364">
        <v>0.75269999999994697</v>
      </c>
      <c r="AD3364">
        <v>-0.1196931</v>
      </c>
      <c r="AE3364">
        <v>-0.311499999999995</v>
      </c>
      <c r="AF3364">
        <v>-0.45640360582193101</v>
      </c>
      <c r="AG3364">
        <v>-0.1196931</v>
      </c>
      <c r="AH3364">
        <v>0.65386106958663004</v>
      </c>
      <c r="AI3364">
        <v>98.536659436499207</v>
      </c>
      <c r="AJ3364">
        <v>124.91554631945699</v>
      </c>
      <c r="AK3364">
        <v>0.806328089499456</v>
      </c>
      <c r="AL3364">
        <v>65.630195855358195</v>
      </c>
      <c r="AM3364">
        <v>108.638509293521</v>
      </c>
      <c r="AN3364">
        <v>0.99999993548906296</v>
      </c>
    </row>
    <row r="3365" spans="1:40" x14ac:dyDescent="0.25">
      <c r="A3365" t="str">
        <f>"20190304164917385"</f>
        <v>20190304164917385</v>
      </c>
      <c r="B3365" t="str">
        <f>"1551689357379200"</f>
        <v>1551689357379200</v>
      </c>
      <c r="C3365" t="s">
        <v>40</v>
      </c>
      <c r="D3365">
        <v>4.0253030000000001</v>
      </c>
      <c r="E3365">
        <v>0.42936790000000002</v>
      </c>
      <c r="F3365" t="s">
        <v>41</v>
      </c>
      <c r="G3365">
        <v>-486.27300000000002</v>
      </c>
      <c r="H3365">
        <v>0.99935669999999999</v>
      </c>
      <c r="I3365">
        <v>224.3597</v>
      </c>
      <c r="J3365">
        <v>-486.99160000000001</v>
      </c>
      <c r="K3365">
        <v>1.116406</v>
      </c>
      <c r="L3365">
        <v>224.64609999999999</v>
      </c>
      <c r="M3365">
        <v>0.54612749999999999</v>
      </c>
      <c r="N3365">
        <v>-1.434712E-2</v>
      </c>
      <c r="O3365">
        <v>-0.83757919999999997</v>
      </c>
      <c r="P3365">
        <v>0.71383090000000005</v>
      </c>
      <c r="Q3365">
        <v>0.40352179999999999</v>
      </c>
      <c r="R3365">
        <v>-0.57237709999999997</v>
      </c>
      <c r="S3365">
        <v>3.0544739999999999</v>
      </c>
      <c r="T3365">
        <v>-0.4157748</v>
      </c>
      <c r="U3365">
        <v>-1.733582</v>
      </c>
      <c r="V3365">
        <v>-0.2905644</v>
      </c>
      <c r="W3365">
        <v>0.41231210000000001</v>
      </c>
      <c r="X3365">
        <v>0.86346460000000003</v>
      </c>
      <c r="Y3365">
        <v>-0.4531712</v>
      </c>
      <c r="Z3365">
        <v>0.1039668</v>
      </c>
      <c r="AA3365">
        <v>0.88533989999999996</v>
      </c>
      <c r="AB3365">
        <v>23</v>
      </c>
      <c r="AC3365">
        <v>0.71859999999998003</v>
      </c>
      <c r="AD3365">
        <v>-0.1170493</v>
      </c>
      <c r="AE3365">
        <v>-0.286399999999986</v>
      </c>
      <c r="AF3365">
        <v>-0.43554754842499799</v>
      </c>
      <c r="AG3365">
        <v>-0.1170493</v>
      </c>
      <c r="AH3365">
        <v>0.61824045971096098</v>
      </c>
      <c r="AI3365">
        <v>98.798128553632694</v>
      </c>
      <c r="AJ3365">
        <v>125.16451871356399</v>
      </c>
      <c r="AK3365">
        <v>0.76526039463253104</v>
      </c>
      <c r="AL3365">
        <v>65.649840403500903</v>
      </c>
      <c r="AM3365">
        <v>108.59859672633699</v>
      </c>
      <c r="AN3365">
        <v>1.0000000269034599</v>
      </c>
    </row>
    <row r="3366" spans="1:40" x14ac:dyDescent="0.25">
      <c r="A3366" t="str">
        <f>"20190304164917405"</f>
        <v>20190304164917405</v>
      </c>
      <c r="B3366" t="str">
        <f>"1551689357399696"</f>
        <v>1551689357399696</v>
      </c>
      <c r="C3366" t="s">
        <v>40</v>
      </c>
      <c r="D3366">
        <v>4.0302639999999998</v>
      </c>
      <c r="E3366">
        <v>0.42922779999999999</v>
      </c>
      <c r="F3366" t="s">
        <v>41</v>
      </c>
      <c r="G3366">
        <v>-486.16390000000001</v>
      </c>
      <c r="H3366">
        <v>1.0020990000000001</v>
      </c>
      <c r="I3366">
        <v>224.18459999999999</v>
      </c>
      <c r="J3366">
        <v>-486.87009999999998</v>
      </c>
      <c r="K3366">
        <v>1.116368</v>
      </c>
      <c r="L3366">
        <v>224.4752</v>
      </c>
      <c r="M3366">
        <v>0.55234939999999999</v>
      </c>
      <c r="N3366">
        <v>-1.434126E-2</v>
      </c>
      <c r="O3366">
        <v>-0.83348949999999999</v>
      </c>
      <c r="P3366">
        <v>0.71794969999999902</v>
      </c>
      <c r="Q3366">
        <v>0.40335690000000002</v>
      </c>
      <c r="R3366">
        <v>-0.56731989999999999</v>
      </c>
      <c r="S3366">
        <v>3.070068</v>
      </c>
      <c r="T3366">
        <v>-0.42400719999999997</v>
      </c>
      <c r="U3366">
        <v>-1.7114720000000001</v>
      </c>
      <c r="V3366">
        <v>-0.29027639999999999</v>
      </c>
      <c r="W3366">
        <v>0.4121705</v>
      </c>
      <c r="X3366">
        <v>0.86362899999999998</v>
      </c>
      <c r="Y3366">
        <v>-0.45310519999999999</v>
      </c>
      <c r="Z3366">
        <v>0.10588549999999999</v>
      </c>
      <c r="AA3366">
        <v>0.88514629999999905</v>
      </c>
      <c r="AB3366">
        <v>23</v>
      </c>
      <c r="AC3366">
        <v>0.70619999999996697</v>
      </c>
      <c r="AD3366">
        <v>-0.114268999999999</v>
      </c>
      <c r="AE3366">
        <v>-0.29060000000001202</v>
      </c>
      <c r="AF3366">
        <v>-0.41876515330544201</v>
      </c>
      <c r="AG3366">
        <v>-0.114268999999999</v>
      </c>
      <c r="AH3366">
        <v>0.61849765784843602</v>
      </c>
      <c r="AI3366">
        <v>98.697956207598097</v>
      </c>
      <c r="AJ3366">
        <v>124.100683313902</v>
      </c>
      <c r="AK3366">
        <v>0.75561962040958996</v>
      </c>
      <c r="AL3366">
        <v>65.658744134419806</v>
      </c>
      <c r="AM3366">
        <v>108.57813411148901</v>
      </c>
      <c r="AN3366">
        <v>0.99999997955410402</v>
      </c>
    </row>
    <row r="3367" spans="1:40" x14ac:dyDescent="0.25">
      <c r="A3367" t="str">
        <f>"20190304164917426"</f>
        <v>20190304164917426</v>
      </c>
      <c r="B3367" t="str">
        <f>"1551689357419215"</f>
        <v>1551689357419215</v>
      </c>
      <c r="C3367" t="s">
        <v>40</v>
      </c>
      <c r="D3367">
        <v>4.0136209999999997</v>
      </c>
      <c r="E3367">
        <v>0.42896489999999998</v>
      </c>
      <c r="F3367" t="s">
        <v>41</v>
      </c>
      <c r="G3367">
        <v>-486.04309999999998</v>
      </c>
      <c r="H3367">
        <v>1.001336</v>
      </c>
      <c r="I3367">
        <v>224.0213</v>
      </c>
      <c r="J3367">
        <v>-486.74110000000002</v>
      </c>
      <c r="K3367">
        <v>1.1163259999999999</v>
      </c>
      <c r="L3367">
        <v>224.29660000000001</v>
      </c>
      <c r="M3367">
        <v>0.55881479999999994</v>
      </c>
      <c r="N3367">
        <v>-1.4329369999999999E-2</v>
      </c>
      <c r="O3367">
        <v>-0.82916880000000004</v>
      </c>
      <c r="P3367">
        <v>0.72209419999999902</v>
      </c>
      <c r="Q3367">
        <v>0.40271869999999999</v>
      </c>
      <c r="R3367">
        <v>-0.5624924</v>
      </c>
      <c r="S3367">
        <v>3.0827939999999998</v>
      </c>
      <c r="T3367">
        <v>-0.42876599999999998</v>
      </c>
      <c r="U3367">
        <v>-1.691513</v>
      </c>
      <c r="V3367">
        <v>-0.28959000000000001</v>
      </c>
      <c r="W3367">
        <v>0.4115666</v>
      </c>
      <c r="X3367">
        <v>0.86414729999999995</v>
      </c>
      <c r="Y3367">
        <v>-0.45201229999999998</v>
      </c>
      <c r="Z3367">
        <v>0.10683479999999999</v>
      </c>
      <c r="AA3367">
        <v>0.88559089999999996</v>
      </c>
      <c r="AB3367">
        <v>23</v>
      </c>
      <c r="AC3367">
        <v>0.69800000000003504</v>
      </c>
      <c r="AD3367">
        <v>-0.114989999999999</v>
      </c>
      <c r="AE3367">
        <v>-0.27530000000001498</v>
      </c>
      <c r="AF3367">
        <v>-0.415209911456632</v>
      </c>
      <c r="AG3367">
        <v>-0.114989999999999</v>
      </c>
      <c r="AH3367">
        <v>0.60419594313122404</v>
      </c>
      <c r="AI3367">
        <v>98.914329490363002</v>
      </c>
      <c r="AJ3367">
        <v>124.49726548263401</v>
      </c>
      <c r="AK3367">
        <v>0.742074597576318</v>
      </c>
      <c r="AL3367">
        <v>65.696715654792399</v>
      </c>
      <c r="AM3367">
        <v>108.52684960057</v>
      </c>
      <c r="AN3367">
        <v>0.99999999521642402</v>
      </c>
    </row>
    <row r="3368" spans="1:40" x14ac:dyDescent="0.25">
      <c r="A3368" t="str">
        <f>"20190304164917450"</f>
        <v>20190304164917450</v>
      </c>
      <c r="B3368" t="str">
        <f>"1551689357439712"</f>
        <v>1551689357439712</v>
      </c>
      <c r="C3368" t="s">
        <v>40</v>
      </c>
      <c r="D3368">
        <v>4.0186289999999998</v>
      </c>
      <c r="E3368">
        <v>0.42895339999999998</v>
      </c>
      <c r="F3368" t="s">
        <v>41</v>
      </c>
      <c r="G3368">
        <v>-485.92329999999998</v>
      </c>
      <c r="H3368">
        <v>1.001342</v>
      </c>
      <c r="I3368">
        <v>223.8554</v>
      </c>
      <c r="J3368">
        <v>-486.59829999999999</v>
      </c>
      <c r="K3368">
        <v>1.1162639999999999</v>
      </c>
      <c r="L3368">
        <v>224.10210000000001</v>
      </c>
      <c r="M3368">
        <v>0.56580900000000001</v>
      </c>
      <c r="N3368">
        <v>-1.430742E-2</v>
      </c>
      <c r="O3368">
        <v>-0.82441229999999999</v>
      </c>
      <c r="P3368">
        <v>0.72693779999999997</v>
      </c>
      <c r="Q3368">
        <v>0.401837</v>
      </c>
      <c r="R3368">
        <v>-0.55685620000000002</v>
      </c>
      <c r="S3368">
        <v>3.096222</v>
      </c>
      <c r="T3368">
        <v>-0.43525419999999998</v>
      </c>
      <c r="U3368">
        <v>-1.6702269999999999</v>
      </c>
      <c r="V3368">
        <v>-0.28933429999999999</v>
      </c>
      <c r="W3368">
        <v>0.41071580000000002</v>
      </c>
      <c r="X3368">
        <v>0.86463760000000001</v>
      </c>
      <c r="Y3368">
        <v>-0.45063229999999999</v>
      </c>
      <c r="Z3368">
        <v>0.1081968</v>
      </c>
      <c r="AA3368">
        <v>0.88612869999999999</v>
      </c>
      <c r="AB3368">
        <v>23</v>
      </c>
      <c r="AC3368">
        <v>0.67500000000001104</v>
      </c>
      <c r="AD3368">
        <v>-0.114921999999999</v>
      </c>
      <c r="AE3368">
        <v>-0.246700000000004</v>
      </c>
      <c r="AF3368">
        <v>-0.40654021920696198</v>
      </c>
      <c r="AG3368">
        <v>-0.114921999999999</v>
      </c>
      <c r="AH3368">
        <v>0.570768333161361</v>
      </c>
      <c r="AI3368">
        <v>99.313511111810499</v>
      </c>
      <c r="AJ3368">
        <v>125.461067780538</v>
      </c>
      <c r="AK3368">
        <v>0.71011161521034405</v>
      </c>
      <c r="AL3368">
        <v>65.750191632891102</v>
      </c>
      <c r="AM3368">
        <v>108.50182390942901</v>
      </c>
      <c r="AN3368">
        <v>0.99999999242994497</v>
      </c>
    </row>
    <row r="3369" spans="1:40" x14ac:dyDescent="0.25">
      <c r="A3369" t="str">
        <f>"20190304164917471"</f>
        <v>20190304164917471</v>
      </c>
      <c r="B3369" t="str">
        <f>"1551689357458940"</f>
        <v>1551689357458940</v>
      </c>
      <c r="C3369" t="s">
        <v>40</v>
      </c>
      <c r="D3369">
        <v>4.0148799999999998</v>
      </c>
      <c r="E3369">
        <v>0.42912800000000001</v>
      </c>
      <c r="F3369" t="s">
        <v>41</v>
      </c>
      <c r="G3369">
        <v>-485.77359999999999</v>
      </c>
      <c r="H3369">
        <v>0.99859140000000002</v>
      </c>
      <c r="I3369">
        <v>223.6652</v>
      </c>
      <c r="J3369">
        <v>-486.46589999999998</v>
      </c>
      <c r="K3369">
        <v>1.116198</v>
      </c>
      <c r="L3369">
        <v>223.9247</v>
      </c>
      <c r="M3369">
        <v>0.57212319999999905</v>
      </c>
      <c r="N3369">
        <v>-1.4275919999999999E-2</v>
      </c>
      <c r="O3369">
        <v>-0.82004339999999998</v>
      </c>
      <c r="P3369">
        <v>0.73133840000000006</v>
      </c>
      <c r="Q3369">
        <v>0.40107379999999998</v>
      </c>
      <c r="R3369">
        <v>-0.55161959999999999</v>
      </c>
      <c r="S3369">
        <v>3.1103209999999999</v>
      </c>
      <c r="T3369">
        <v>-0.44374390000000002</v>
      </c>
      <c r="U3369">
        <v>-1.64727799999999</v>
      </c>
      <c r="V3369">
        <v>-0.28917470000000001</v>
      </c>
      <c r="W3369">
        <v>0.40997660000000002</v>
      </c>
      <c r="X3369">
        <v>0.86504169999999903</v>
      </c>
      <c r="Y3369">
        <v>-0.45031709999999903</v>
      </c>
      <c r="Z3369">
        <v>0.1101548</v>
      </c>
      <c r="AA3369">
        <v>0.88604769999999899</v>
      </c>
      <c r="AB3369">
        <v>23</v>
      </c>
      <c r="AC3369">
        <v>0.69229999999998804</v>
      </c>
      <c r="AD3369">
        <v>-0.11760660000000001</v>
      </c>
      <c r="AE3369">
        <v>-0.25950000000000201</v>
      </c>
      <c r="AF3369">
        <v>-0.40894513052687798</v>
      </c>
      <c r="AG3369">
        <v>-0.11760660000000001</v>
      </c>
      <c r="AH3369">
        <v>0.59391615267936504</v>
      </c>
      <c r="AI3369">
        <v>99.263114925572694</v>
      </c>
      <c r="AJ3369">
        <v>124.549627186401</v>
      </c>
      <c r="AK3369">
        <v>0.73061879838850696</v>
      </c>
      <c r="AL3369">
        <v>65.796634657214398</v>
      </c>
      <c r="AM3369">
        <v>108.484260967222</v>
      </c>
      <c r="AN3369">
        <v>0.99999998120326905</v>
      </c>
    </row>
    <row r="3370" spans="1:40" x14ac:dyDescent="0.25">
      <c r="A3370" t="str">
        <f>"20190304164917493"</f>
        <v>20190304164917493</v>
      </c>
      <c r="B3370" t="str">
        <f>"1551689357489193"</f>
        <v>1551689357489193</v>
      </c>
      <c r="C3370" t="s">
        <v>40</v>
      </c>
      <c r="D3370">
        <v>4.3775729999999999</v>
      </c>
      <c r="E3370">
        <v>0.42907099999999998</v>
      </c>
      <c r="F3370" t="s">
        <v>41</v>
      </c>
      <c r="G3370">
        <v>-485.62849999999997</v>
      </c>
      <c r="H3370">
        <v>0.99496410000000002</v>
      </c>
      <c r="I3370">
        <v>223.48869999999999</v>
      </c>
      <c r="J3370">
        <v>-486.33640000000003</v>
      </c>
      <c r="K3370">
        <v>1.116134</v>
      </c>
      <c r="L3370">
        <v>223.75370000000001</v>
      </c>
      <c r="M3370">
        <v>0.57815280000000002</v>
      </c>
      <c r="N3370">
        <v>-1.4235630000000001E-2</v>
      </c>
      <c r="O3370">
        <v>-0.81580430000000004</v>
      </c>
      <c r="P3370">
        <v>0.73455700000000002</v>
      </c>
      <c r="Q3370">
        <v>0.40168209999999999</v>
      </c>
      <c r="R3370">
        <v>-0.54687959999999902</v>
      </c>
      <c r="S3370">
        <v>3.12323</v>
      </c>
      <c r="T3370">
        <v>-0.4522526</v>
      </c>
      <c r="U3370">
        <v>-1.626587</v>
      </c>
      <c r="V3370">
        <v>-0.28805429999999999</v>
      </c>
      <c r="W3370">
        <v>0.41061059999999999</v>
      </c>
      <c r="X3370">
        <v>0.86511479999999996</v>
      </c>
      <c r="Y3370">
        <v>-0.44962249999999998</v>
      </c>
      <c r="Z3370">
        <v>0.11208609999999999</v>
      </c>
      <c r="AA3370">
        <v>0.88615820000000001</v>
      </c>
      <c r="AB3370">
        <v>23</v>
      </c>
      <c r="AC3370">
        <v>0.70790000000005104</v>
      </c>
      <c r="AD3370">
        <v>-0.1211699</v>
      </c>
      <c r="AE3370">
        <v>-0.265000000000014</v>
      </c>
      <c r="AF3370">
        <v>-0.41370912745579302</v>
      </c>
      <c r="AG3370">
        <v>-0.1211699</v>
      </c>
      <c r="AH3370">
        <v>0.60985423187670895</v>
      </c>
      <c r="AI3370">
        <v>99.337226230722493</v>
      </c>
      <c r="AJ3370">
        <v>124.151940259879</v>
      </c>
      <c r="AK3370">
        <v>0.74683302748618097</v>
      </c>
      <c r="AL3370">
        <v>65.756801996505303</v>
      </c>
      <c r="AM3370">
        <v>108.416033696638</v>
      </c>
      <c r="AN3370">
        <v>0.99999998087994402</v>
      </c>
    </row>
    <row r="3371" spans="1:40" x14ac:dyDescent="0.25">
      <c r="A3371" t="str">
        <f>"20190304164917515"</f>
        <v>20190304164917515</v>
      </c>
      <c r="B3371" t="str">
        <f>"1551689357509689"</f>
        <v>1551689357509689</v>
      </c>
      <c r="C3371" t="s">
        <v>40</v>
      </c>
      <c r="D3371">
        <v>4.1245820000000002</v>
      </c>
      <c r="E3371">
        <v>0.48339019999999999</v>
      </c>
      <c r="F3371" t="s">
        <v>41</v>
      </c>
      <c r="G3371">
        <v>-485.48849999999999</v>
      </c>
      <c r="H3371">
        <v>0.99423530000000004</v>
      </c>
      <c r="I3371">
        <v>223.31899999999999</v>
      </c>
      <c r="J3371">
        <v>-486.1925</v>
      </c>
      <c r="K3371">
        <v>1.116053</v>
      </c>
      <c r="L3371">
        <v>223.56649999999999</v>
      </c>
      <c r="M3371">
        <v>0.58468229999999999</v>
      </c>
      <c r="N3371">
        <v>-1.418411E-2</v>
      </c>
      <c r="O3371">
        <v>-0.81113849999999998</v>
      </c>
      <c r="P3371">
        <v>0.73739080000000001</v>
      </c>
      <c r="Q3371">
        <v>0.40259260000000002</v>
      </c>
      <c r="R3371">
        <v>-0.54237819999999903</v>
      </c>
      <c r="S3371">
        <v>3.1349490000000002</v>
      </c>
      <c r="T3371">
        <v>-0.45042680000000002</v>
      </c>
      <c r="U3371">
        <v>-1.605667</v>
      </c>
      <c r="V3371">
        <v>-0.28592139999999999</v>
      </c>
      <c r="W3371">
        <v>0.41155730000000001</v>
      </c>
      <c r="X3371">
        <v>0.86537249999999999</v>
      </c>
      <c r="Y3371">
        <v>-0.44858019999999998</v>
      </c>
      <c r="Z3371">
        <v>0.1112522</v>
      </c>
      <c r="AA3371">
        <v>0.8867912</v>
      </c>
      <c r="AB3371">
        <v>23</v>
      </c>
      <c r="AC3371">
        <v>0.70400000000000695</v>
      </c>
      <c r="AD3371">
        <v>-0.121817699999999</v>
      </c>
      <c r="AE3371">
        <v>-0.24749999999997299</v>
      </c>
      <c r="AF3371">
        <v>-0.41530832388228101</v>
      </c>
      <c r="AG3371">
        <v>-0.121817699999999</v>
      </c>
      <c r="AH3371">
        <v>0.59653808429536603</v>
      </c>
      <c r="AI3371">
        <v>99.513918685441396</v>
      </c>
      <c r="AJ3371">
        <v>124.845539304662</v>
      </c>
      <c r="AK3371">
        <v>0.73700626994211205</v>
      </c>
      <c r="AL3371">
        <v>65.697300724596602</v>
      </c>
      <c r="AM3371">
        <v>108.28369393645499</v>
      </c>
      <c r="AN3371">
        <v>1.0000000109587499</v>
      </c>
    </row>
    <row r="3372" spans="1:40" x14ac:dyDescent="0.25">
      <c r="A3372" t="str">
        <f>"20190304164917539"</f>
        <v>20190304164917539</v>
      </c>
      <c r="B3372" t="str">
        <f>"1551689357529209"</f>
        <v>1551689357529209</v>
      </c>
      <c r="C3372" t="s">
        <v>40</v>
      </c>
      <c r="D3372">
        <v>4.10222</v>
      </c>
      <c r="E3372">
        <v>0.49321490000000001</v>
      </c>
      <c r="F3372" t="s">
        <v>45</v>
      </c>
      <c r="G3372">
        <v>-479.40469999999999</v>
      </c>
      <c r="H3372" s="1">
        <v>1.98058E-6</v>
      </c>
      <c r="I3372">
        <v>219.02539999999999</v>
      </c>
      <c r="J3372">
        <v>-486.04169999999999</v>
      </c>
      <c r="K3372">
        <v>1.115974</v>
      </c>
      <c r="L3372">
        <v>223.37370000000001</v>
      </c>
      <c r="M3372">
        <v>0.59132929999999995</v>
      </c>
      <c r="N3372">
        <v>-1.412796E-2</v>
      </c>
      <c r="O3372">
        <v>-0.80630649999999904</v>
      </c>
      <c r="P3372">
        <v>0.74046499999999904</v>
      </c>
      <c r="Q3372">
        <v>0.40325519999999998</v>
      </c>
      <c r="R3372">
        <v>-0.53767739999999997</v>
      </c>
      <c r="S3372">
        <v>2.9012150000000001</v>
      </c>
      <c r="T3372">
        <v>-0.47701729999999998</v>
      </c>
      <c r="U3372">
        <v>-1.940933</v>
      </c>
      <c r="V3372">
        <v>-0.28394599999999998</v>
      </c>
      <c r="W3372">
        <v>0.41224739999999999</v>
      </c>
      <c r="X3372">
        <v>0.86569439999999998</v>
      </c>
      <c r="Y3372">
        <v>-0.33462380000000003</v>
      </c>
      <c r="Z3372">
        <v>0.1133627</v>
      </c>
      <c r="AA3372">
        <v>0.93550840000000002</v>
      </c>
      <c r="AB3372">
        <v>23</v>
      </c>
      <c r="AC3372">
        <v>6.6369999999999996</v>
      </c>
      <c r="AD3372">
        <v>-1.11597201942</v>
      </c>
      <c r="AE3372">
        <v>-4.3483000000000196</v>
      </c>
      <c r="AF3372">
        <v>-2.72652169746083</v>
      </c>
      <c r="AG3372">
        <v>-1.11597201942</v>
      </c>
      <c r="AH3372">
        <v>7.2873026041942097</v>
      </c>
      <c r="AI3372">
        <v>98.162205597937103</v>
      </c>
      <c r="AJ3372">
        <v>110.51318048668</v>
      </c>
      <c r="AK3372">
        <v>7.86028583194968</v>
      </c>
      <c r="AL3372">
        <v>65.653909214512694</v>
      </c>
      <c r="AM3372">
        <v>108.159385104984</v>
      </c>
      <c r="AN3372">
        <v>1.00000002195705</v>
      </c>
    </row>
    <row r="3373" spans="1:40" x14ac:dyDescent="0.25">
      <c r="A3373" t="str">
        <f>"20190304164917563"</f>
        <v>20190304164917563</v>
      </c>
      <c r="B3373" t="str">
        <f>"1551689357559464"</f>
        <v>1551689357559464</v>
      </c>
      <c r="C3373" t="s">
        <v>40</v>
      </c>
      <c r="D3373">
        <v>4.0835150000000002</v>
      </c>
      <c r="E3373">
        <v>0.49959049999999999</v>
      </c>
      <c r="F3373" t="s">
        <v>45</v>
      </c>
      <c r="G3373">
        <v>-479.26560000000001</v>
      </c>
      <c r="H3373" s="1">
        <v>2.0274319999999999E-6</v>
      </c>
      <c r="I3373">
        <v>218.68639999999999</v>
      </c>
      <c r="J3373">
        <v>-485.89600000000002</v>
      </c>
      <c r="K3373">
        <v>1.115918</v>
      </c>
      <c r="L3373">
        <v>223.19030000000001</v>
      </c>
      <c r="M3373">
        <v>0.59759600000000002</v>
      </c>
      <c r="N3373">
        <v>-1.4075610000000001E-2</v>
      </c>
      <c r="O3373">
        <v>-0.80167390000000005</v>
      </c>
      <c r="P3373">
        <v>0.74333209999999905</v>
      </c>
      <c r="Q3373">
        <v>0.40360940000000001</v>
      </c>
      <c r="R3373">
        <v>-0.53343839999999998</v>
      </c>
      <c r="S3373">
        <v>2.868134</v>
      </c>
      <c r="T3373">
        <v>-0.47236450000000002</v>
      </c>
      <c r="U3373">
        <v>-1.984024</v>
      </c>
      <c r="V3373">
        <v>-0.28192509999999998</v>
      </c>
      <c r="W3373">
        <v>0.4126244</v>
      </c>
      <c r="X3373">
        <v>0.86617509999999998</v>
      </c>
      <c r="Y3373">
        <v>-0.31291200000000002</v>
      </c>
      <c r="Z3373">
        <v>0.1108729</v>
      </c>
      <c r="AA3373">
        <v>0.94328860000000003</v>
      </c>
      <c r="AB3373">
        <v>23</v>
      </c>
      <c r="AC3373">
        <v>6.6303999999999501</v>
      </c>
      <c r="AD3373">
        <v>-1.1159159725679999</v>
      </c>
      <c r="AE3373">
        <v>-4.5039000000000096</v>
      </c>
      <c r="AF3373">
        <v>-2.57427019633906</v>
      </c>
      <c r="AG3373">
        <v>-1.1159159725679999</v>
      </c>
      <c r="AH3373">
        <v>7.4297037209355796</v>
      </c>
      <c r="AI3373">
        <v>98.077429585656503</v>
      </c>
      <c r="AJ3373">
        <v>109.11036011741101</v>
      </c>
      <c r="AK3373">
        <v>7.9418280567181698</v>
      </c>
      <c r="AL3373">
        <v>65.630197028059399</v>
      </c>
      <c r="AM3373">
        <v>108.02917794001399</v>
      </c>
      <c r="AN3373">
        <v>0.99999998067268903</v>
      </c>
    </row>
    <row r="3374" spans="1:40" x14ac:dyDescent="0.25">
      <c r="A3374" t="str">
        <f>"20190304164917584"</f>
        <v>20190304164917584</v>
      </c>
      <c r="B3374" t="str">
        <f>"1551689357578985"</f>
        <v>1551689357578985</v>
      </c>
      <c r="C3374" t="s">
        <v>40</v>
      </c>
      <c r="D3374">
        <v>4.0944919999999998</v>
      </c>
      <c r="E3374">
        <v>0.50149129999999997</v>
      </c>
      <c r="F3374" t="s">
        <v>45</v>
      </c>
      <c r="G3374">
        <v>-479.07310000000001</v>
      </c>
      <c r="H3374" s="1">
        <v>2.0996339999999999E-6</v>
      </c>
      <c r="I3374">
        <v>218.38499999999999</v>
      </c>
      <c r="J3374">
        <v>-485.75369999999998</v>
      </c>
      <c r="K3374">
        <v>1.1158709999999901</v>
      </c>
      <c r="L3374">
        <v>223.01390000000001</v>
      </c>
      <c r="M3374">
        <v>0.60358849999999997</v>
      </c>
      <c r="N3374">
        <v>-1.402319E-2</v>
      </c>
      <c r="O3374">
        <v>-0.79717280000000001</v>
      </c>
      <c r="P3374">
        <v>0.7460774</v>
      </c>
      <c r="Q3374">
        <v>0.40371499999999999</v>
      </c>
      <c r="R3374">
        <v>-0.52951239999999999</v>
      </c>
      <c r="S3374">
        <v>2.848938</v>
      </c>
      <c r="T3374">
        <v>-0.46595530000000002</v>
      </c>
      <c r="U3374">
        <v>-2.0064700000000002</v>
      </c>
      <c r="V3374">
        <v>-0.27990080000000001</v>
      </c>
      <c r="W3374">
        <v>0.41274339999999998</v>
      </c>
      <c r="X3374">
        <v>0.86677469999999901</v>
      </c>
      <c r="Y3374">
        <v>-0.29807250000000002</v>
      </c>
      <c r="Z3374">
        <v>0.1082878</v>
      </c>
      <c r="AA3374">
        <v>0.94838100000000003</v>
      </c>
      <c r="AB3374">
        <v>23</v>
      </c>
      <c r="AC3374">
        <v>6.6805999999999699</v>
      </c>
      <c r="AD3374">
        <v>-1.1158689003659901</v>
      </c>
      <c r="AE3374">
        <v>-4.6289000000000096</v>
      </c>
      <c r="AF3374">
        <v>-2.4850478633617099</v>
      </c>
      <c r="AG3374">
        <v>-1.1158689003659901</v>
      </c>
      <c r="AH3374">
        <v>7.5802391902910298</v>
      </c>
      <c r="AI3374">
        <v>97.963009173311207</v>
      </c>
      <c r="AJ3374">
        <v>108.150819043279</v>
      </c>
      <c r="AK3374">
        <v>8.0548527278918503</v>
      </c>
      <c r="AL3374">
        <v>65.622711581624699</v>
      </c>
      <c r="AM3374">
        <v>107.896420441214</v>
      </c>
      <c r="AN3374">
        <v>0.99999997632214399</v>
      </c>
    </row>
    <row r="3375" spans="1:40" x14ac:dyDescent="0.25">
      <c r="A3375" t="str">
        <f>"20190304164917605"</f>
        <v>20190304164917605</v>
      </c>
      <c r="B3375" t="str">
        <f>"1551689357599481"</f>
        <v>1551689357599481</v>
      </c>
      <c r="C3375" t="s">
        <v>40</v>
      </c>
      <c r="D3375">
        <v>4.0908759999999997</v>
      </c>
      <c r="E3375">
        <v>0.50285489999999999</v>
      </c>
      <c r="F3375" t="s">
        <v>45</v>
      </c>
      <c r="G3375">
        <v>-478.92649999999998</v>
      </c>
      <c r="H3375" s="1">
        <v>2.1576470000000001E-6</v>
      </c>
      <c r="I3375">
        <v>218.2253</v>
      </c>
      <c r="J3375">
        <v>-485.61880000000002</v>
      </c>
      <c r="K3375">
        <v>1.115842</v>
      </c>
      <c r="L3375">
        <v>222.84880000000001</v>
      </c>
      <c r="M3375">
        <v>0.60916479999999995</v>
      </c>
      <c r="N3375">
        <v>-1.3973960000000001E-2</v>
      </c>
      <c r="O3375">
        <v>-0.79292050000000003</v>
      </c>
      <c r="P3375">
        <v>0.74818379999999995</v>
      </c>
      <c r="Q3375">
        <v>0.40395619999999999</v>
      </c>
      <c r="R3375">
        <v>-0.52634609999999904</v>
      </c>
      <c r="S3375">
        <v>2.853119</v>
      </c>
      <c r="T3375">
        <v>-0.46632790000000002</v>
      </c>
      <c r="U3375">
        <v>-2.00116</v>
      </c>
      <c r="V3375">
        <v>-0.2773486</v>
      </c>
      <c r="W3375">
        <v>0.41299920000000001</v>
      </c>
      <c r="X3375">
        <v>0.86747299999999905</v>
      </c>
      <c r="Y3375">
        <v>-0.2932495</v>
      </c>
      <c r="Z3375">
        <v>0.1077934</v>
      </c>
      <c r="AA3375">
        <v>0.9499396</v>
      </c>
      <c r="AB3375">
        <v>23</v>
      </c>
      <c r="AC3375">
        <v>6.6923000000000403</v>
      </c>
      <c r="AD3375">
        <v>-1.115839842353</v>
      </c>
      <c r="AE3375">
        <v>-4.6234999999999999</v>
      </c>
      <c r="AF3375">
        <v>-2.4442348569723502</v>
      </c>
      <c r="AG3375">
        <v>-1.115839842353</v>
      </c>
      <c r="AH3375">
        <v>7.6005078645586703</v>
      </c>
      <c r="AI3375">
        <v>97.956233915845004</v>
      </c>
      <c r="AJ3375">
        <v>107.827186414099</v>
      </c>
      <c r="AK3375">
        <v>8.0614578327396398</v>
      </c>
      <c r="AL3375">
        <v>65.606620255592901</v>
      </c>
      <c r="AM3375">
        <v>107.73012574971099</v>
      </c>
      <c r="AN3375">
        <v>0.99999999542579898</v>
      </c>
    </row>
    <row r="3376" spans="1:40" x14ac:dyDescent="0.25">
      <c r="A3376" t="str">
        <f>"20190304164917627"</f>
        <v>20190304164917627</v>
      </c>
      <c r="B3376" t="str">
        <f>"1551689357619001"</f>
        <v>1551689357619001</v>
      </c>
      <c r="C3376" t="s">
        <v>40</v>
      </c>
      <c r="D3376">
        <v>4.1153719999999998</v>
      </c>
      <c r="E3376">
        <v>0.50386609999999998</v>
      </c>
      <c r="F3376" t="s">
        <v>45</v>
      </c>
      <c r="G3376">
        <v>-478.69049999999999</v>
      </c>
      <c r="H3376" s="1">
        <v>2.252951E-6</v>
      </c>
      <c r="I3376">
        <v>218.011</v>
      </c>
      <c r="J3376">
        <v>-485.47309999999999</v>
      </c>
      <c r="K3376">
        <v>1.115815</v>
      </c>
      <c r="L3376">
        <v>222.67330000000001</v>
      </c>
      <c r="M3376">
        <v>0.6150757</v>
      </c>
      <c r="N3376">
        <v>-1.392502E-2</v>
      </c>
      <c r="O3376">
        <v>-0.78834519999999997</v>
      </c>
      <c r="P3376">
        <v>0.75069280000000005</v>
      </c>
      <c r="Q3376">
        <v>0.40388239999999997</v>
      </c>
      <c r="R3376">
        <v>-0.52281889999999998</v>
      </c>
      <c r="S3376">
        <v>2.8554080000000002</v>
      </c>
      <c r="T3376">
        <v>-0.45988059999999997</v>
      </c>
      <c r="U3376">
        <v>-1.993835</v>
      </c>
      <c r="V3376">
        <v>-0.27493899999999999</v>
      </c>
      <c r="W3376">
        <v>0.41293459999999899</v>
      </c>
      <c r="X3376">
        <v>0.86827049999999995</v>
      </c>
      <c r="Y3376">
        <v>-0.28831210000000002</v>
      </c>
      <c r="Z3376">
        <v>0.10565720000000001</v>
      </c>
      <c r="AA3376">
        <v>0.95168940000000002</v>
      </c>
      <c r="AB3376">
        <v>23</v>
      </c>
      <c r="AC3376">
        <v>6.7826000000000004</v>
      </c>
      <c r="AD3376">
        <v>-1.115812747049</v>
      </c>
      <c r="AE3376">
        <v>-4.6623000000000099</v>
      </c>
      <c r="AF3376">
        <v>-2.4348516372446598</v>
      </c>
      <c r="AG3376">
        <v>-1.115812747049</v>
      </c>
      <c r="AH3376">
        <v>7.70643434344779</v>
      </c>
      <c r="AI3376">
        <v>97.860711518142907</v>
      </c>
      <c r="AJ3376">
        <v>107.53395649553499</v>
      </c>
      <c r="AK3376">
        <v>8.1585949079324696</v>
      </c>
      <c r="AL3376">
        <v>65.610685696276704</v>
      </c>
      <c r="AM3376">
        <v>107.57045961713899</v>
      </c>
      <c r="AN3376">
        <v>1.0000000493842001</v>
      </c>
    </row>
    <row r="3377" spans="1:40" x14ac:dyDescent="0.25">
      <c r="A3377" t="str">
        <f>"20190304164917650"</f>
        <v>20190304164917650</v>
      </c>
      <c r="B3377" t="str">
        <f>"1551689357639497"</f>
        <v>1551689357639497</v>
      </c>
      <c r="C3377" t="s">
        <v>40</v>
      </c>
      <c r="D3377">
        <v>4.1538209999999998</v>
      </c>
      <c r="E3377">
        <v>0.50473359999999901</v>
      </c>
      <c r="F3377" t="s">
        <v>45</v>
      </c>
      <c r="G3377">
        <v>-478.55099999999999</v>
      </c>
      <c r="H3377" s="1">
        <v>2.3090069999999998E-6</v>
      </c>
      <c r="I3377">
        <v>217.8777</v>
      </c>
      <c r="J3377">
        <v>-485.32569999999998</v>
      </c>
      <c r="K3377">
        <v>1.115801</v>
      </c>
      <c r="L3377">
        <v>222.4982</v>
      </c>
      <c r="M3377">
        <v>0.62096479999999998</v>
      </c>
      <c r="N3377">
        <v>-1.3881269999999999E-2</v>
      </c>
      <c r="O3377">
        <v>-0.78371569999999902</v>
      </c>
      <c r="P3377">
        <v>0.7534575</v>
      </c>
      <c r="Q3377">
        <v>0.40390029999999999</v>
      </c>
      <c r="R3377">
        <v>-0.51881239999999995</v>
      </c>
      <c r="S3377">
        <v>2.8631899999999999</v>
      </c>
      <c r="T3377">
        <v>-0.4615301</v>
      </c>
      <c r="U3377">
        <v>-1.983582</v>
      </c>
      <c r="V3377">
        <v>-0.27302459999999901</v>
      </c>
      <c r="W3377">
        <v>0.41295409999999999</v>
      </c>
      <c r="X3377">
        <v>0.86886509999999995</v>
      </c>
      <c r="Y3377">
        <v>-0.2846514</v>
      </c>
      <c r="Z3377">
        <v>0.1054858</v>
      </c>
      <c r="AA3377">
        <v>0.95280969999999998</v>
      </c>
      <c r="AB3377">
        <v>23</v>
      </c>
      <c r="AC3377">
        <v>6.7746999999999904</v>
      </c>
      <c r="AD3377">
        <v>-1.115798690993</v>
      </c>
      <c r="AE3377">
        <v>-4.6204999999999901</v>
      </c>
      <c r="AF3377">
        <v>-2.3961427331323399</v>
      </c>
      <c r="AG3377">
        <v>-1.115798690993</v>
      </c>
      <c r="AH3377">
        <v>7.6864523601072596</v>
      </c>
      <c r="AI3377">
        <v>97.890167702344101</v>
      </c>
      <c r="AJ3377">
        <v>107.314128457507</v>
      </c>
      <c r="AK3377">
        <v>8.1282259196311095</v>
      </c>
      <c r="AL3377">
        <v>65.609458743145296</v>
      </c>
      <c r="AM3377">
        <v>107.444350345701</v>
      </c>
      <c r="AN3377">
        <v>1.0000000414549799</v>
      </c>
    </row>
    <row r="3378" spans="1:40" x14ac:dyDescent="0.25">
      <c r="A3378" t="str">
        <f>"20190304164917672"</f>
        <v>20190304164917672</v>
      </c>
      <c r="B3378" t="str">
        <f>"1551689357669285"</f>
        <v>1551689357669285</v>
      </c>
      <c r="C3378" t="s">
        <v>40</v>
      </c>
      <c r="D3378">
        <v>4.0967070000000003</v>
      </c>
      <c r="E3378">
        <v>0.50483579999999995</v>
      </c>
      <c r="F3378" t="s">
        <v>45</v>
      </c>
      <c r="G3378">
        <v>-478.44819999999999</v>
      </c>
      <c r="H3378" s="1">
        <v>2.3502879999999998E-6</v>
      </c>
      <c r="I3378">
        <v>217.779</v>
      </c>
      <c r="J3378">
        <v>-485.18279999999999</v>
      </c>
      <c r="K3378">
        <v>1.115791</v>
      </c>
      <c r="L3378">
        <v>222.33109999999999</v>
      </c>
      <c r="M3378">
        <v>0.62659229999999999</v>
      </c>
      <c r="N3378">
        <v>-1.383968E-2</v>
      </c>
      <c r="O3378">
        <v>-0.77922440000000004</v>
      </c>
      <c r="P3378">
        <v>0.75637030000000005</v>
      </c>
      <c r="Q3378">
        <v>0.403914</v>
      </c>
      <c r="R3378">
        <v>-0.5145459</v>
      </c>
      <c r="S3378">
        <v>2.8737789999999999</v>
      </c>
      <c r="T3378">
        <v>-0.46623599999999998</v>
      </c>
      <c r="U3378">
        <v>-1.9719390000000001</v>
      </c>
      <c r="V3378">
        <v>-0.27165529999999999</v>
      </c>
      <c r="W3378">
        <v>0.41295799999999999</v>
      </c>
      <c r="X3378">
        <v>0.86929230000000002</v>
      </c>
      <c r="Y3378">
        <v>-0.2819296</v>
      </c>
      <c r="Z3378">
        <v>0.1060586</v>
      </c>
      <c r="AA3378">
        <v>0.95355509999999999</v>
      </c>
      <c r="AB3378">
        <v>23</v>
      </c>
      <c r="AC3378">
        <v>6.7346000000000004</v>
      </c>
      <c r="AD3378">
        <v>-1.115788649712</v>
      </c>
      <c r="AE3378">
        <v>-4.5520999999999603</v>
      </c>
      <c r="AF3378">
        <v>-2.35137945352594</v>
      </c>
      <c r="AG3378">
        <v>-1.115788649712</v>
      </c>
      <c r="AH3378">
        <v>7.62405028957523</v>
      </c>
      <c r="AI3378">
        <v>97.961231194805194</v>
      </c>
      <c r="AJ3378">
        <v>107.140602121166</v>
      </c>
      <c r="AK3378">
        <v>8.0560606044928793</v>
      </c>
      <c r="AL3378">
        <v>65.609212505237593</v>
      </c>
      <c r="AM3378">
        <v>107.354112079488</v>
      </c>
      <c r="AN3378">
        <v>1.0000000073106901</v>
      </c>
    </row>
    <row r="3379" spans="1:40" x14ac:dyDescent="0.25">
      <c r="A3379" t="str">
        <f>"20190304164917694"</f>
        <v>20190304164917694</v>
      </c>
      <c r="B3379" t="str">
        <f>"1551689357688804"</f>
        <v>1551689357688804</v>
      </c>
      <c r="C3379" t="s">
        <v>40</v>
      </c>
      <c r="D3379">
        <v>4.1193569999999999</v>
      </c>
      <c r="E3379">
        <v>0.50469579999999903</v>
      </c>
      <c r="F3379" t="s">
        <v>45</v>
      </c>
      <c r="G3379">
        <v>-478.22899999999998</v>
      </c>
      <c r="H3379" s="1">
        <v>2.4402919999999999E-6</v>
      </c>
      <c r="I3379">
        <v>217.61490000000001</v>
      </c>
      <c r="J3379">
        <v>-485.0333</v>
      </c>
      <c r="K3379">
        <v>1.115775</v>
      </c>
      <c r="L3379">
        <v>222.15870000000001</v>
      </c>
      <c r="M3379">
        <v>0.63240240000000003</v>
      </c>
      <c r="N3379">
        <v>-1.3795170000000001E-2</v>
      </c>
      <c r="O3379">
        <v>-0.77451719999999902</v>
      </c>
      <c r="P3379">
        <v>0.75973469999999999</v>
      </c>
      <c r="Q3379">
        <v>0.40411960000000002</v>
      </c>
      <c r="R3379">
        <v>-0.50940220000000003</v>
      </c>
      <c r="S3379">
        <v>2.8831479999999998</v>
      </c>
      <c r="T3379">
        <v>-0.46262300000000001</v>
      </c>
      <c r="U3379">
        <v>-1.9553830000000001</v>
      </c>
      <c r="V3379">
        <v>-0.2709607</v>
      </c>
      <c r="W3379">
        <v>0.41313699999999998</v>
      </c>
      <c r="X3379">
        <v>0.86942399999999997</v>
      </c>
      <c r="Y3379">
        <v>-0.28007140000000003</v>
      </c>
      <c r="Z3379">
        <v>0.1047337</v>
      </c>
      <c r="AA3379">
        <v>0.95424880000000001</v>
      </c>
      <c r="AB3379">
        <v>23</v>
      </c>
      <c r="AC3379">
        <v>6.8042999999999498</v>
      </c>
      <c r="AD3379">
        <v>-1.1157725597079999</v>
      </c>
      <c r="AE3379">
        <v>-4.5438000000000001</v>
      </c>
      <c r="AF3379">
        <v>-2.3530072844179801</v>
      </c>
      <c r="AG3379">
        <v>-1.1157725597079999</v>
      </c>
      <c r="AH3379">
        <v>7.6802245779391596</v>
      </c>
      <c r="AI3379">
        <v>97.908108398642597</v>
      </c>
      <c r="AJ3379">
        <v>107.033608190039</v>
      </c>
      <c r="AK3379">
        <v>8.1097127725402398</v>
      </c>
      <c r="AL3379">
        <v>65.597950482060099</v>
      </c>
      <c r="AM3379">
        <v>107.309928297261</v>
      </c>
      <c r="AN3379">
        <v>0.999999986744744</v>
      </c>
    </row>
    <row r="3380" spans="1:40" x14ac:dyDescent="0.25">
      <c r="A3380" t="str">
        <f>"20190304164917718"</f>
        <v>20190304164917718</v>
      </c>
      <c r="B3380" t="str">
        <f>"1551689357709300"</f>
        <v>1551689357709300</v>
      </c>
      <c r="C3380" t="s">
        <v>40</v>
      </c>
      <c r="D3380">
        <v>4.2063739999999896</v>
      </c>
      <c r="E3380">
        <v>0.50496719999999995</v>
      </c>
      <c r="F3380" t="s">
        <v>45</v>
      </c>
      <c r="G3380">
        <v>-477.99369999999999</v>
      </c>
      <c r="H3380" s="1">
        <v>2.537407E-6</v>
      </c>
      <c r="I3380">
        <v>217.44990000000001</v>
      </c>
      <c r="J3380">
        <v>-484.8759</v>
      </c>
      <c r="K3380">
        <v>1.115769</v>
      </c>
      <c r="L3380">
        <v>221.9803</v>
      </c>
      <c r="M3380">
        <v>0.638428199999999</v>
      </c>
      <c r="N3380">
        <v>-1.375153E-2</v>
      </c>
      <c r="O3380">
        <v>-0.76955869999999904</v>
      </c>
      <c r="P3380">
        <v>0.76345059999999998</v>
      </c>
      <c r="Q3380">
        <v>0.40500890000000001</v>
      </c>
      <c r="R3380">
        <v>-0.50310159999999904</v>
      </c>
      <c r="S3380">
        <v>2.8945620000000001</v>
      </c>
      <c r="T3380">
        <v>-0.45879189999999997</v>
      </c>
      <c r="U3380">
        <v>-1.9362029999999999</v>
      </c>
      <c r="V3380">
        <v>-0.27101370000000002</v>
      </c>
      <c r="W3380">
        <v>0.4139835</v>
      </c>
      <c r="X3380">
        <v>0.86900469999999896</v>
      </c>
      <c r="Y3380">
        <v>-0.27881869999999997</v>
      </c>
      <c r="Z3380">
        <v>0.1033548</v>
      </c>
      <c r="AA3380">
        <v>0.95476589999999995</v>
      </c>
      <c r="AB3380">
        <v>23</v>
      </c>
      <c r="AC3380">
        <v>6.8822000000000099</v>
      </c>
      <c r="AD3380">
        <v>-1.1157664625929999</v>
      </c>
      <c r="AE3380">
        <v>-4.5303999999999798</v>
      </c>
      <c r="AF3380">
        <v>-2.3608560057184498</v>
      </c>
      <c r="AG3380">
        <v>-1.1157664625929999</v>
      </c>
      <c r="AH3380">
        <v>7.7390271491927498</v>
      </c>
      <c r="AI3380">
        <v>97.851577799750601</v>
      </c>
      <c r="AJ3380">
        <v>106.964772321513</v>
      </c>
      <c r="AK3380">
        <v>8.1676873773869794</v>
      </c>
      <c r="AL3380">
        <v>65.544680184726104</v>
      </c>
      <c r="AM3380">
        <v>107.320965823427</v>
      </c>
      <c r="AN3380">
        <v>0.99999996624101395</v>
      </c>
    </row>
    <row r="3381" spans="1:40" x14ac:dyDescent="0.25">
      <c r="A3381" t="str">
        <f>"20190304164917739"</f>
        <v>20190304164917739</v>
      </c>
      <c r="B3381" t="str">
        <f>"1551689357729796"</f>
        <v>1551689357729796</v>
      </c>
      <c r="C3381" t="s">
        <v>40</v>
      </c>
      <c r="D3381">
        <v>4.2048800000000002</v>
      </c>
      <c r="E3381">
        <v>0.50543249999999995</v>
      </c>
      <c r="F3381" t="s">
        <v>45</v>
      </c>
      <c r="G3381">
        <v>-477.77839999999998</v>
      </c>
      <c r="H3381" s="1">
        <v>2.6265059999999999E-6</v>
      </c>
      <c r="I3381">
        <v>217.3039</v>
      </c>
      <c r="J3381">
        <v>-484.72739999999999</v>
      </c>
      <c r="K3381">
        <v>1.115766</v>
      </c>
      <c r="L3381">
        <v>221.81450000000001</v>
      </c>
      <c r="M3381">
        <v>0.64403869999999996</v>
      </c>
      <c r="N3381">
        <v>-1.371577E-2</v>
      </c>
      <c r="O3381">
        <v>-0.76486999999999905</v>
      </c>
      <c r="P3381">
        <v>0.76688369999999995</v>
      </c>
      <c r="Q3381">
        <v>0.40553529999999999</v>
      </c>
      <c r="R3381">
        <v>-0.49742380000000003</v>
      </c>
      <c r="S3381">
        <v>2.9090579999999999</v>
      </c>
      <c r="T3381">
        <v>-0.4573197</v>
      </c>
      <c r="U3381">
        <v>-1.916733</v>
      </c>
      <c r="V3381">
        <v>-0.27089730000000001</v>
      </c>
      <c r="W3381">
        <v>0.41447869999999998</v>
      </c>
      <c r="X3381">
        <v>0.86880489999999999</v>
      </c>
      <c r="Y3381">
        <v>-0.27851300000000001</v>
      </c>
      <c r="Z3381">
        <v>0.10253569999999999</v>
      </c>
      <c r="AA3381">
        <v>0.9549434</v>
      </c>
      <c r="AB3381">
        <v>23</v>
      </c>
      <c r="AC3381">
        <v>6.9490000000000096</v>
      </c>
      <c r="AD3381">
        <v>-1.115763373494</v>
      </c>
      <c r="AE3381">
        <v>-4.5106000000000099</v>
      </c>
      <c r="AF3381">
        <v>-2.3673665374326802</v>
      </c>
      <c r="AG3381">
        <v>-1.115763373494</v>
      </c>
      <c r="AH3381">
        <v>7.7849839448469602</v>
      </c>
      <c r="AI3381">
        <v>97.807852488435799</v>
      </c>
      <c r="AJ3381">
        <v>106.9141993631</v>
      </c>
      <c r="AK3381">
        <v>8.2131192156032693</v>
      </c>
      <c r="AL3381">
        <v>65.513506587996105</v>
      </c>
      <c r="AM3381">
        <v>107.31771489624001</v>
      </c>
      <c r="AN3381">
        <v>0.99999994708249296</v>
      </c>
    </row>
    <row r="3382" spans="1:40" x14ac:dyDescent="0.25">
      <c r="A3382" t="str">
        <f>"20190304164917765"</f>
        <v>20190304164917765</v>
      </c>
      <c r="B3382" t="str">
        <f>"1551689357759076"</f>
        <v>1551689357759076</v>
      </c>
      <c r="C3382" t="s">
        <v>40</v>
      </c>
      <c r="D3382">
        <v>4.1654650000000002</v>
      </c>
      <c r="E3382">
        <v>0.50619349999999996</v>
      </c>
      <c r="F3382" t="s">
        <v>45</v>
      </c>
      <c r="G3382">
        <v>-477.65089999999998</v>
      </c>
      <c r="H3382" s="1">
        <v>2.6793950000000002E-6</v>
      </c>
      <c r="I3382">
        <v>217.2201</v>
      </c>
      <c r="J3382">
        <v>-484.55489999999998</v>
      </c>
      <c r="K3382">
        <v>1.115767</v>
      </c>
      <c r="L3382">
        <v>221.62479999999999</v>
      </c>
      <c r="M3382">
        <v>0.65046219999999999</v>
      </c>
      <c r="N3382">
        <v>-1.367935E-2</v>
      </c>
      <c r="O3382">
        <v>-0.75941559999999997</v>
      </c>
      <c r="P3382">
        <v>0.77098429999999996</v>
      </c>
      <c r="Q3382">
        <v>0.40636280000000002</v>
      </c>
      <c r="R3382">
        <v>-0.49036010000000002</v>
      </c>
      <c r="S3382">
        <v>2.9242859999999999</v>
      </c>
      <c r="T3382">
        <v>-0.46108090000000002</v>
      </c>
      <c r="U3382">
        <v>-1.89859</v>
      </c>
      <c r="V3382">
        <v>-0.27123259999999899</v>
      </c>
      <c r="W3382">
        <v>0.41526659999999999</v>
      </c>
      <c r="X3382">
        <v>0.86832399999999998</v>
      </c>
      <c r="Y3382">
        <v>-0.27681</v>
      </c>
      <c r="Z3382">
        <v>0.1027865</v>
      </c>
      <c r="AA3382">
        <v>0.95541149999999997</v>
      </c>
      <c r="AB3382">
        <v>23</v>
      </c>
      <c r="AC3382">
        <v>6.9039999999999901</v>
      </c>
      <c r="AD3382">
        <v>-1.1157643206050001</v>
      </c>
      <c r="AE3382">
        <v>-4.4046999999999903</v>
      </c>
      <c r="AF3382">
        <v>-2.3347967807378498</v>
      </c>
      <c r="AG3382">
        <v>-1.1157643206050001</v>
      </c>
      <c r="AH3382">
        <v>7.6937060327992199</v>
      </c>
      <c r="AI3382">
        <v>97.900685620105804</v>
      </c>
      <c r="AJ3382">
        <v>106.881386792434</v>
      </c>
      <c r="AK3382">
        <v>8.1172235737110405</v>
      </c>
      <c r="AL3382">
        <v>65.463893865629998</v>
      </c>
      <c r="AM3382">
        <v>107.346891851672</v>
      </c>
      <c r="AN3382">
        <v>1.00000002067715</v>
      </c>
    </row>
    <row r="3383" spans="1:40" x14ac:dyDescent="0.25">
      <c r="A3383" t="str">
        <f>"20190304164917787"</f>
        <v>20190304164917787</v>
      </c>
      <c r="B3383" t="str">
        <f>"1551689357779572"</f>
        <v>1551689357779572</v>
      </c>
      <c r="C3383" t="s">
        <v>40</v>
      </c>
      <c r="D3383">
        <v>4.2616849999999999</v>
      </c>
      <c r="E3383">
        <v>0.50624480000000005</v>
      </c>
      <c r="F3383" t="s">
        <v>45</v>
      </c>
      <c r="G3383">
        <v>-477.50110000000001</v>
      </c>
      <c r="H3383" s="1">
        <v>2.7414729999999998E-6</v>
      </c>
      <c r="I3383">
        <v>217.1207</v>
      </c>
      <c r="J3383">
        <v>-484.40390000000002</v>
      </c>
      <c r="K3383">
        <v>1.1157629999999901</v>
      </c>
      <c r="L3383">
        <v>221.4614</v>
      </c>
      <c r="M3383">
        <v>0.65600649999999905</v>
      </c>
      <c r="N3383">
        <v>-1.3647919999999999E-2</v>
      </c>
      <c r="O3383">
        <v>-0.75463219999999998</v>
      </c>
      <c r="P3383">
        <v>0.77523350000000002</v>
      </c>
      <c r="Q3383">
        <v>0.4059798</v>
      </c>
      <c r="R3383">
        <v>-0.48393550000000002</v>
      </c>
      <c r="S3383">
        <v>2.9416500000000001</v>
      </c>
      <c r="T3383">
        <v>-0.465312</v>
      </c>
      <c r="U3383">
        <v>-1.878387</v>
      </c>
      <c r="V3383">
        <v>-0.27223809999999998</v>
      </c>
      <c r="W3383">
        <v>0.41484579999999999</v>
      </c>
      <c r="X3383">
        <v>0.86821039999999905</v>
      </c>
      <c r="Y3383">
        <v>-0.2769239</v>
      </c>
      <c r="Z3383">
        <v>0.1032597</v>
      </c>
      <c r="AA3383">
        <v>0.9553275</v>
      </c>
      <c r="AB3383">
        <v>23</v>
      </c>
      <c r="AC3383">
        <v>6.9028000000000098</v>
      </c>
      <c r="AD3383">
        <v>-1.1157602585269999</v>
      </c>
      <c r="AE3383">
        <v>-4.3406999999999902</v>
      </c>
      <c r="AF3383">
        <v>-2.3183596176497598</v>
      </c>
      <c r="AG3383">
        <v>-1.1157602585269999</v>
      </c>
      <c r="AH3383">
        <v>7.6611952463348603</v>
      </c>
      <c r="AI3383">
        <v>97.935623023940593</v>
      </c>
      <c r="AJ3383">
        <v>106.83637644826899</v>
      </c>
      <c r="AK3383">
        <v>8.0816845319352399</v>
      </c>
      <c r="AL3383">
        <v>65.490392797448607</v>
      </c>
      <c r="AM3383">
        <v>107.409461107499</v>
      </c>
      <c r="AN3383">
        <v>0.99999995976870404</v>
      </c>
    </row>
    <row r="3384" spans="1:40" x14ac:dyDescent="0.25">
      <c r="A3384" t="str">
        <f>"20190304164917807"</f>
        <v>20190304164917807</v>
      </c>
      <c r="B3384" t="str">
        <f>"1551689357799092"</f>
        <v>1551689357799092</v>
      </c>
      <c r="C3384" t="s">
        <v>40</v>
      </c>
      <c r="D3384">
        <v>4.1553519999999997</v>
      </c>
      <c r="E3384">
        <v>0.48193859999999999</v>
      </c>
      <c r="F3384" t="s">
        <v>45</v>
      </c>
      <c r="G3384">
        <v>-477.37889999999999</v>
      </c>
      <c r="H3384" s="1">
        <v>2.792702E-6</v>
      </c>
      <c r="I3384">
        <v>217.05279999999999</v>
      </c>
      <c r="J3384">
        <v>-484.25900000000001</v>
      </c>
      <c r="K3384">
        <v>1.1157509999999999</v>
      </c>
      <c r="L3384">
        <v>221.30690000000001</v>
      </c>
      <c r="M3384">
        <v>0.66125009999999995</v>
      </c>
      <c r="N3384">
        <v>-1.3615449999999999E-2</v>
      </c>
      <c r="O3384">
        <v>-0.75004219999999999</v>
      </c>
      <c r="P3384">
        <v>0.77999300000000005</v>
      </c>
      <c r="Q3384">
        <v>0.40504820000000002</v>
      </c>
      <c r="R3384">
        <v>-0.47701929999999998</v>
      </c>
      <c r="S3384">
        <v>2.957306</v>
      </c>
      <c r="T3384">
        <v>-0.46970339999999999</v>
      </c>
      <c r="U3384">
        <v>-1.8558809999999999</v>
      </c>
      <c r="V3384">
        <v>-0.27427040000000003</v>
      </c>
      <c r="W3384">
        <v>0.41386329999999999</v>
      </c>
      <c r="X3384">
        <v>0.86803969999999897</v>
      </c>
      <c r="Y3384">
        <v>-0.2776284</v>
      </c>
      <c r="Z3384">
        <v>0.1038874</v>
      </c>
      <c r="AA3384">
        <v>0.95505490000000004</v>
      </c>
      <c r="AB3384">
        <v>23</v>
      </c>
      <c r="AC3384">
        <v>6.8801000000000201</v>
      </c>
      <c r="AD3384">
        <v>-1.1157482072979901</v>
      </c>
      <c r="AE3384">
        <v>-4.2541000000000198</v>
      </c>
      <c r="AF3384">
        <v>-2.3037290046576899</v>
      </c>
      <c r="AG3384">
        <v>-1.1157482072979901</v>
      </c>
      <c r="AH3384">
        <v>7.5964123630808</v>
      </c>
      <c r="AI3384">
        <v>98.000905586963398</v>
      </c>
      <c r="AJ3384">
        <v>106.8707349349</v>
      </c>
      <c r="AK3384">
        <v>8.0160802253318693</v>
      </c>
      <c r="AL3384">
        <v>65.5522466072036</v>
      </c>
      <c r="AM3384">
        <v>107.53472704235401</v>
      </c>
      <c r="AN3384">
        <v>1.0000000020895601</v>
      </c>
    </row>
    <row r="3385" spans="1:40" x14ac:dyDescent="0.25">
      <c r="A3385" t="str">
        <f>"20190304164917843"</f>
        <v>20190304164917843</v>
      </c>
      <c r="B3385" t="str">
        <f>"1551689357839109"</f>
        <v>1551689357839109</v>
      </c>
      <c r="C3385" t="s">
        <v>40</v>
      </c>
      <c r="D3385">
        <v>4.1081180000000002</v>
      </c>
      <c r="E3385">
        <v>0.4791646</v>
      </c>
      <c r="F3385" t="s">
        <v>45</v>
      </c>
      <c r="G3385">
        <v>-476.15390000000002</v>
      </c>
      <c r="H3385" s="1">
        <v>3.329822E-6</v>
      </c>
      <c r="I3385">
        <v>216.91249999999999</v>
      </c>
      <c r="J3385">
        <v>-484.02030000000002</v>
      </c>
      <c r="K3385">
        <v>1.1157379999999999</v>
      </c>
      <c r="L3385">
        <v>221.05690000000001</v>
      </c>
      <c r="M3385">
        <v>0.66973959999999999</v>
      </c>
      <c r="N3385">
        <v>-1.355495E-2</v>
      </c>
      <c r="O3385">
        <v>-0.74247229999999997</v>
      </c>
      <c r="P3385">
        <v>0.78785959999999999</v>
      </c>
      <c r="Q3385">
        <v>0.40336939999999999</v>
      </c>
      <c r="R3385">
        <v>-0.4653718</v>
      </c>
      <c r="S3385">
        <v>3.0523380000000002</v>
      </c>
      <c r="T3385">
        <v>-0.42018519999999998</v>
      </c>
      <c r="U3385">
        <v>-1.65489199999999</v>
      </c>
      <c r="V3385">
        <v>-0.27793109999999999</v>
      </c>
      <c r="W3385">
        <v>0.41209099999999999</v>
      </c>
      <c r="X3385">
        <v>0.86771849999999995</v>
      </c>
      <c r="Y3385">
        <v>-0.32814779999999999</v>
      </c>
      <c r="Z3385">
        <v>9.451611E-2</v>
      </c>
      <c r="AA3385">
        <v>0.939886</v>
      </c>
      <c r="AB3385">
        <v>23</v>
      </c>
      <c r="AC3385">
        <v>7.8663999999999898</v>
      </c>
      <c r="AD3385">
        <v>-1.115734670178</v>
      </c>
      <c r="AE3385">
        <v>-4.1444000000000099</v>
      </c>
      <c r="AF3385">
        <v>-3.0176789065717302</v>
      </c>
      <c r="AG3385">
        <v>-1.115734670178</v>
      </c>
      <c r="AH3385">
        <v>8.2169205138851105</v>
      </c>
      <c r="AI3385">
        <v>97.263821543607904</v>
      </c>
      <c r="AJ3385">
        <v>110.165850691152</v>
      </c>
      <c r="AK3385">
        <v>8.8243431805948607</v>
      </c>
      <c r="AL3385">
        <v>65.663745082556702</v>
      </c>
      <c r="AM3385">
        <v>107.760314138406</v>
      </c>
      <c r="AN3385">
        <v>1.00000004193522</v>
      </c>
    </row>
    <row r="3386" spans="1:40" x14ac:dyDescent="0.25">
      <c r="A3386" t="str">
        <f>"20190304164917862"</f>
        <v>20190304164917862</v>
      </c>
      <c r="B3386" t="str">
        <f>"1551689357859605"</f>
        <v>1551689357859605</v>
      </c>
      <c r="C3386" t="s">
        <v>40</v>
      </c>
      <c r="D3386">
        <v>4.097467</v>
      </c>
      <c r="E3386">
        <v>0.47911819999999999</v>
      </c>
      <c r="F3386" t="s">
        <v>45</v>
      </c>
      <c r="G3386">
        <v>-475.86579999999998</v>
      </c>
      <c r="H3386" s="1">
        <v>3.454305E-6</v>
      </c>
      <c r="I3386">
        <v>216.8382</v>
      </c>
      <c r="J3386">
        <v>-483.87950000000001</v>
      </c>
      <c r="K3386">
        <v>1.1157269999999999</v>
      </c>
      <c r="L3386">
        <v>220.91210000000001</v>
      </c>
      <c r="M3386">
        <v>0.67466150000000003</v>
      </c>
      <c r="N3386">
        <v>-1.351366E-2</v>
      </c>
      <c r="O3386">
        <v>-0.73800359999999998</v>
      </c>
      <c r="P3386">
        <v>0.79200179999999998</v>
      </c>
      <c r="Q3386">
        <v>0.40336680000000003</v>
      </c>
      <c r="R3386">
        <v>-0.45828809999999898</v>
      </c>
      <c r="S3386">
        <v>3.081909</v>
      </c>
      <c r="T3386">
        <v>-0.42168139999999998</v>
      </c>
      <c r="U3386">
        <v>-1.5944370000000001</v>
      </c>
      <c r="V3386">
        <v>-0.27995209999999998</v>
      </c>
      <c r="W3386">
        <v>0.4120241</v>
      </c>
      <c r="X3386">
        <v>0.86710030000000005</v>
      </c>
      <c r="Y3386">
        <v>-0.33996850000000001</v>
      </c>
      <c r="Z3386">
        <v>9.5191579999999998E-2</v>
      </c>
      <c r="AA3386">
        <v>0.93560670000000001</v>
      </c>
      <c r="AB3386">
        <v>23</v>
      </c>
      <c r="AC3386">
        <v>8.0137000000000196</v>
      </c>
      <c r="AD3386">
        <v>-1.1157235456950001</v>
      </c>
      <c r="AE3386">
        <v>-4.0739000000000001</v>
      </c>
      <c r="AF3386">
        <v>-3.1178988116197699</v>
      </c>
      <c r="AG3386">
        <v>-1.1157235456950001</v>
      </c>
      <c r="AH3386">
        <v>8.2862200598657108</v>
      </c>
      <c r="AI3386">
        <v>97.182664852231198</v>
      </c>
      <c r="AJ3386">
        <v>110.620072279927</v>
      </c>
      <c r="AK3386">
        <v>8.9234284280448595</v>
      </c>
      <c r="AL3386">
        <v>65.667950407050498</v>
      </c>
      <c r="AM3386">
        <v>107.893198515566</v>
      </c>
      <c r="AN3386">
        <v>0.99999998376765498</v>
      </c>
    </row>
    <row r="3387" spans="1:40" x14ac:dyDescent="0.25">
      <c r="A3387" t="str">
        <f>"20190304164917885"</f>
        <v>20190304164917885</v>
      </c>
      <c r="B3387" t="str">
        <f>"1551689357879124"</f>
        <v>1551689357879124</v>
      </c>
      <c r="C3387" t="s">
        <v>40</v>
      </c>
      <c r="D3387">
        <v>4.0806639999999996</v>
      </c>
      <c r="E3387">
        <v>0.47969590000000001</v>
      </c>
      <c r="F3387" t="s">
        <v>45</v>
      </c>
      <c r="G3387">
        <v>-475.67099999999999</v>
      </c>
      <c r="H3387" s="1">
        <v>3.5367930000000002E-6</v>
      </c>
      <c r="I3387">
        <v>216.74860000000001</v>
      </c>
      <c r="J3387">
        <v>-483.71199999999999</v>
      </c>
      <c r="K3387">
        <v>1.115713</v>
      </c>
      <c r="L3387">
        <v>220.7422</v>
      </c>
      <c r="M3387">
        <v>0.68043819999999999</v>
      </c>
      <c r="N3387">
        <v>-1.346437E-2</v>
      </c>
      <c r="O3387">
        <v>-0.73268199999999895</v>
      </c>
      <c r="P3387">
        <v>0.79615059999999904</v>
      </c>
      <c r="Q3387">
        <v>0.40351160000000003</v>
      </c>
      <c r="R3387">
        <v>-0.45091379999999998</v>
      </c>
      <c r="S3387">
        <v>3.0939939999999999</v>
      </c>
      <c r="T3387">
        <v>-0.42054439999999998</v>
      </c>
      <c r="U3387">
        <v>-1.569321</v>
      </c>
      <c r="V3387">
        <v>-0.28114270000000002</v>
      </c>
      <c r="W3387">
        <v>0.41210970000000002</v>
      </c>
      <c r="X3387">
        <v>0.86667430000000001</v>
      </c>
      <c r="Y3387">
        <v>-0.34015079999999998</v>
      </c>
      <c r="Z3387">
        <v>9.4543299999999997E-2</v>
      </c>
      <c r="AA3387">
        <v>0.93560620000000005</v>
      </c>
      <c r="AB3387">
        <v>23</v>
      </c>
      <c r="AC3387">
        <v>8.0409999999999897</v>
      </c>
      <c r="AD3387">
        <v>-1.1157094632069999</v>
      </c>
      <c r="AE3387">
        <v>-3.9935999999999798</v>
      </c>
      <c r="AF3387">
        <v>-3.1261086328341898</v>
      </c>
      <c r="AG3387">
        <v>-1.1157094632069999</v>
      </c>
      <c r="AH3387">
        <v>8.2704810821754293</v>
      </c>
      <c r="AI3387">
        <v>97.192084467112593</v>
      </c>
      <c r="AJ3387">
        <v>110.705784624695</v>
      </c>
      <c r="AK3387">
        <v>8.9116900822005594</v>
      </c>
      <c r="AL3387">
        <v>65.662567615128495</v>
      </c>
      <c r="AM3387">
        <v>107.9726774945</v>
      </c>
      <c r="AN3387">
        <v>0.99999998243893495</v>
      </c>
    </row>
    <row r="3388" spans="1:40" x14ac:dyDescent="0.25">
      <c r="A3388" t="str">
        <f>"20190304164917908"</f>
        <v>20190304164917908</v>
      </c>
      <c r="B3388" t="str">
        <f>"1551689357899620"</f>
        <v>1551689357899620</v>
      </c>
      <c r="C3388" t="s">
        <v>40</v>
      </c>
      <c r="D3388">
        <v>4.0803940000000001</v>
      </c>
      <c r="E3388">
        <v>0.48054400000000003</v>
      </c>
      <c r="F3388" t="s">
        <v>45</v>
      </c>
      <c r="G3388">
        <v>-475.45699999999999</v>
      </c>
      <c r="H3388" s="1">
        <v>3.6264679999999999E-6</v>
      </c>
      <c r="I3388">
        <v>216.62880000000001</v>
      </c>
      <c r="J3388">
        <v>-483.55290000000002</v>
      </c>
      <c r="K3388">
        <v>1.115702</v>
      </c>
      <c r="L3388">
        <v>220.58340000000001</v>
      </c>
      <c r="M3388">
        <v>0.68583830000000001</v>
      </c>
      <c r="N3388">
        <v>-1.342192E-2</v>
      </c>
      <c r="O3388">
        <v>-0.72763040000000001</v>
      </c>
      <c r="P3388">
        <v>0.79982949999999997</v>
      </c>
      <c r="Q3388">
        <v>0.40404109999999999</v>
      </c>
      <c r="R3388">
        <v>-0.44387349999999998</v>
      </c>
      <c r="S3388">
        <v>3.1046140000000002</v>
      </c>
      <c r="T3388">
        <v>-0.41960629999999999</v>
      </c>
      <c r="U3388">
        <v>-1.5470120000000001</v>
      </c>
      <c r="V3388">
        <v>-0.28219050000000001</v>
      </c>
      <c r="W3388">
        <v>0.41258709999999998</v>
      </c>
      <c r="X3388">
        <v>0.8661065</v>
      </c>
      <c r="Y3388">
        <v>-0.3399105</v>
      </c>
      <c r="Z3388">
        <v>9.3934459999999997E-2</v>
      </c>
      <c r="AA3388">
        <v>0.93575489999999995</v>
      </c>
      <c r="AB3388">
        <v>23</v>
      </c>
      <c r="AC3388">
        <v>8.0959000000000199</v>
      </c>
      <c r="AD3388">
        <v>-1.1156983735320001</v>
      </c>
      <c r="AE3388">
        <v>-3.9545999999999899</v>
      </c>
      <c r="AF3388">
        <v>-3.1308863013675001</v>
      </c>
      <c r="AG3388">
        <v>-1.1156983735320001</v>
      </c>
      <c r="AH3388">
        <v>8.3034061658961598</v>
      </c>
      <c r="AI3388">
        <v>97.165955905086903</v>
      </c>
      <c r="AJ3388">
        <v>110.659476819902</v>
      </c>
      <c r="AK3388">
        <v>8.9439245216311498</v>
      </c>
      <c r="AL3388">
        <v>65.632544495439603</v>
      </c>
      <c r="AM3388">
        <v>108.046387112033</v>
      </c>
      <c r="AN3388">
        <v>1.0000000313594499</v>
      </c>
    </row>
    <row r="3389" spans="1:40" x14ac:dyDescent="0.25">
      <c r="A3389" t="str">
        <f>"20190304164917929"</f>
        <v>20190304164917929</v>
      </c>
      <c r="B3389" t="str">
        <f>"1551689357920117"</f>
        <v>1551689357920117</v>
      </c>
      <c r="C3389" t="s">
        <v>40</v>
      </c>
      <c r="D3389">
        <v>4.0651919999999997</v>
      </c>
      <c r="E3389">
        <v>0.48134959999999999</v>
      </c>
      <c r="F3389" t="s">
        <v>45</v>
      </c>
      <c r="G3389">
        <v>-475.25009999999997</v>
      </c>
      <c r="H3389" s="1">
        <v>3.7130510000000002E-6</v>
      </c>
      <c r="I3389">
        <v>216.5112</v>
      </c>
      <c r="J3389">
        <v>-483.39690000000002</v>
      </c>
      <c r="K3389">
        <v>1.1156999999999999</v>
      </c>
      <c r="L3389">
        <v>220.4299</v>
      </c>
      <c r="M3389">
        <v>0.69106339999999999</v>
      </c>
      <c r="N3389">
        <v>-1.338117E-2</v>
      </c>
      <c r="O3389">
        <v>-0.72267029999999999</v>
      </c>
      <c r="P3389">
        <v>0.80338100000000001</v>
      </c>
      <c r="Q3389">
        <v>0.40447850000000002</v>
      </c>
      <c r="R3389">
        <v>-0.43700820000000001</v>
      </c>
      <c r="S3389">
        <v>3.1145320000000001</v>
      </c>
      <c r="T3389">
        <v>-0.41852</v>
      </c>
      <c r="U3389">
        <v>-1.5275879999999999</v>
      </c>
      <c r="V3389">
        <v>-0.28321269999999998</v>
      </c>
      <c r="W3389">
        <v>0.41297539999999999</v>
      </c>
      <c r="X3389">
        <v>0.86558769999999996</v>
      </c>
      <c r="Y3389">
        <v>-0.3390785</v>
      </c>
      <c r="Z3389">
        <v>9.3242320000000004E-2</v>
      </c>
      <c r="AA3389">
        <v>0.93612589999999996</v>
      </c>
      <c r="AB3389">
        <v>23</v>
      </c>
      <c r="AC3389">
        <v>8.1468000000000398</v>
      </c>
      <c r="AD3389">
        <v>-1.1156962869489999</v>
      </c>
      <c r="AE3389">
        <v>-3.9186999999999999</v>
      </c>
      <c r="AF3389">
        <v>-3.1319619213277101</v>
      </c>
      <c r="AG3389">
        <v>-1.1156962869489999</v>
      </c>
      <c r="AH3389">
        <v>8.3356800719497599</v>
      </c>
      <c r="AI3389">
        <v>97.141584947825095</v>
      </c>
      <c r="AJ3389">
        <v>110.592686729058</v>
      </c>
      <c r="AK3389">
        <v>8.9742702178650102</v>
      </c>
      <c r="AL3389">
        <v>65.608120016305506</v>
      </c>
      <c r="AM3389">
        <v>108.117642190561</v>
      </c>
      <c r="AN3389">
        <v>1.00000009041886</v>
      </c>
    </row>
    <row r="3390" spans="1:40" x14ac:dyDescent="0.25">
      <c r="A3390" t="str">
        <f>"20190304164917952"</f>
        <v>20190304164917952</v>
      </c>
      <c r="B3390" t="str">
        <f>"1551689357939636"</f>
        <v>1551689357939636</v>
      </c>
      <c r="C3390" t="s">
        <v>40</v>
      </c>
      <c r="D3390">
        <v>4.0783940000000003</v>
      </c>
      <c r="E3390">
        <v>0.4821047</v>
      </c>
      <c r="F3390" t="s">
        <v>45</v>
      </c>
      <c r="G3390">
        <v>-475.03289999999998</v>
      </c>
      <c r="H3390" s="1">
        <v>3.804241E-6</v>
      </c>
      <c r="I3390">
        <v>216.3937</v>
      </c>
      <c r="J3390">
        <v>-483.23770000000002</v>
      </c>
      <c r="K3390">
        <v>1.1156889999999999</v>
      </c>
      <c r="L3390">
        <v>220.27539999999999</v>
      </c>
      <c r="M3390">
        <v>0.69632450000000001</v>
      </c>
      <c r="N3390">
        <v>-1.3333619999999999E-2</v>
      </c>
      <c r="O3390">
        <v>-0.7176034</v>
      </c>
      <c r="P3390">
        <v>0.80656890000000003</v>
      </c>
      <c r="Q3390">
        <v>0.40523330000000002</v>
      </c>
      <c r="R3390">
        <v>-0.43038700000000002</v>
      </c>
      <c r="S3390">
        <v>3.123993</v>
      </c>
      <c r="T3390">
        <v>-0.41671819999999998</v>
      </c>
      <c r="U3390">
        <v>-1.5075379999999901</v>
      </c>
      <c r="V3390">
        <v>-0.28374359999999998</v>
      </c>
      <c r="W3390">
        <v>0.41367959999999898</v>
      </c>
      <c r="X3390">
        <v>0.86507730000000005</v>
      </c>
      <c r="Y3390">
        <v>-0.33826780000000001</v>
      </c>
      <c r="Z3390">
        <v>9.2391509999999996E-2</v>
      </c>
      <c r="AA3390">
        <v>0.93650350000000004</v>
      </c>
      <c r="AB3390">
        <v>23</v>
      </c>
      <c r="AC3390">
        <v>8.2048000000000307</v>
      </c>
      <c r="AD3390">
        <v>-1.1156851957589999</v>
      </c>
      <c r="AE3390">
        <v>-3.8816999999999902</v>
      </c>
      <c r="AF3390">
        <v>-3.13774497920142</v>
      </c>
      <c r="AG3390">
        <v>-1.1156851957589999</v>
      </c>
      <c r="AH3390">
        <v>8.3729738995537808</v>
      </c>
      <c r="AI3390">
        <v>97.112307507300798</v>
      </c>
      <c r="AJ3390">
        <v>110.543324262849</v>
      </c>
      <c r="AK3390">
        <v>9.0109316351389808</v>
      </c>
      <c r="AL3390">
        <v>65.563807607142707</v>
      </c>
      <c r="AM3390">
        <v>108.159385556053</v>
      </c>
      <c r="AN3390">
        <v>0.99999998848620497</v>
      </c>
    </row>
    <row r="3391" spans="1:40" x14ac:dyDescent="0.25">
      <c r="A3391" t="str">
        <f>"20190304164917992"</f>
        <v>20190304164917992</v>
      </c>
      <c r="B3391" t="str">
        <f>"1551689357989412"</f>
        <v>1551689357989412</v>
      </c>
      <c r="C3391" t="s">
        <v>40</v>
      </c>
      <c r="D3391">
        <v>4.0597000000000003</v>
      </c>
      <c r="E3391">
        <v>0.49041869999999999</v>
      </c>
      <c r="F3391" t="s">
        <v>45</v>
      </c>
      <c r="G3391">
        <v>-474.82209999999998</v>
      </c>
      <c r="H3391" s="1">
        <v>3.8925730000000001E-6</v>
      </c>
      <c r="I3391">
        <v>216.27510000000001</v>
      </c>
      <c r="J3391">
        <v>-482.94940000000003</v>
      </c>
      <c r="K3391">
        <v>1.115675</v>
      </c>
      <c r="L3391">
        <v>220.00149999999999</v>
      </c>
      <c r="M3391">
        <v>0.70566049999999902</v>
      </c>
      <c r="N3391">
        <v>-1.3242820000000001E-2</v>
      </c>
      <c r="O3391">
        <v>-0.70842640000000001</v>
      </c>
      <c r="P3391">
        <v>0.81232859999999996</v>
      </c>
      <c r="Q3391">
        <v>0.40521069999999998</v>
      </c>
      <c r="R3391">
        <v>-0.41943609999999998</v>
      </c>
      <c r="S3391">
        <v>3.1333920000000002</v>
      </c>
      <c r="T3391">
        <v>-0.4154003</v>
      </c>
      <c r="U3391">
        <v>-1.489441</v>
      </c>
      <c r="V3391">
        <v>-0.28412459999999901</v>
      </c>
      <c r="W3391">
        <v>0.41357630000000001</v>
      </c>
      <c r="X3391">
        <v>0.86500169999999998</v>
      </c>
      <c r="Y3391">
        <v>-0.3315611</v>
      </c>
      <c r="Z3391">
        <v>9.1015769999999996E-2</v>
      </c>
      <c r="AA3391">
        <v>0.93903320000000001</v>
      </c>
      <c r="AB3391">
        <v>23</v>
      </c>
      <c r="AC3391">
        <v>8.1273000000000408</v>
      </c>
      <c r="AD3391">
        <v>-1.115671107427</v>
      </c>
      <c r="AE3391">
        <v>-3.72639999999998</v>
      </c>
      <c r="AF3391">
        <v>-3.0803313046257501</v>
      </c>
      <c r="AG3391">
        <v>-1.115671107427</v>
      </c>
      <c r="AH3391">
        <v>8.2473109228411001</v>
      </c>
      <c r="AI3391">
        <v>97.222386031469398</v>
      </c>
      <c r="AJ3391">
        <v>110.480420458886</v>
      </c>
      <c r="AK3391">
        <v>8.8741929449510408</v>
      </c>
      <c r="AL3391">
        <v>65.570309845558896</v>
      </c>
      <c r="AM3391">
        <v>108.183650406371</v>
      </c>
      <c r="AN3391">
        <v>1.0000000426248601</v>
      </c>
    </row>
    <row r="3392" spans="1:40" x14ac:dyDescent="0.25">
      <c r="A3392" t="str">
        <f>"20190304164918019"</f>
        <v>20190304164918019</v>
      </c>
      <c r="B3392" t="str">
        <f>"1551689358008932"</f>
        <v>1551689358008932</v>
      </c>
      <c r="C3392" t="s">
        <v>40</v>
      </c>
      <c r="D3392">
        <v>4.2107400000000004</v>
      </c>
      <c r="E3392">
        <v>0.49041109999999999</v>
      </c>
      <c r="F3392" t="s">
        <v>45</v>
      </c>
      <c r="G3392">
        <v>-474.8793</v>
      </c>
      <c r="H3392" s="1">
        <v>3.859896E-6</v>
      </c>
      <c r="I3392">
        <v>216.108</v>
      </c>
      <c r="J3392">
        <v>-482.74270000000001</v>
      </c>
      <c r="K3392">
        <v>1.1156649999999999</v>
      </c>
      <c r="L3392">
        <v>219.80940000000001</v>
      </c>
      <c r="M3392">
        <v>0.71220930000000005</v>
      </c>
      <c r="N3392">
        <v>-1.318749E-2</v>
      </c>
      <c r="O3392">
        <v>-0.70184340000000001</v>
      </c>
      <c r="P3392">
        <v>0.81711269999999903</v>
      </c>
      <c r="Q3392">
        <v>0.40497820000000001</v>
      </c>
      <c r="R3392">
        <v>-0.41026770000000001</v>
      </c>
      <c r="S3392">
        <v>3.1293030000000002</v>
      </c>
      <c r="T3392">
        <v>-0.43261440000000001</v>
      </c>
      <c r="U3392">
        <v>-1.5097499999999999</v>
      </c>
      <c r="V3392">
        <v>-0.28590939999999998</v>
      </c>
      <c r="W3392">
        <v>0.41327370000000002</v>
      </c>
      <c r="X3392">
        <v>0.8645581</v>
      </c>
      <c r="Y3392">
        <v>-0.31699189999999999</v>
      </c>
      <c r="Z3392">
        <v>9.3605190000000005E-2</v>
      </c>
      <c r="AA3392">
        <v>0.94379780000000002</v>
      </c>
      <c r="AB3392">
        <v>23</v>
      </c>
      <c r="AC3392">
        <v>7.8634000000000102</v>
      </c>
      <c r="AD3392">
        <v>-1.115661140104</v>
      </c>
      <c r="AE3392">
        <v>-3.7014</v>
      </c>
      <c r="AF3392">
        <v>-2.8362169254112701</v>
      </c>
      <c r="AG3392">
        <v>-1.115661140104</v>
      </c>
      <c r="AH3392">
        <v>8.0659843964277798</v>
      </c>
      <c r="AI3392">
        <v>97.434244863174698</v>
      </c>
      <c r="AJ3392">
        <v>109.37304489894299</v>
      </c>
      <c r="AK3392">
        <v>8.6225825893953605</v>
      </c>
      <c r="AL3392">
        <v>65.589350473321005</v>
      </c>
      <c r="AM3392">
        <v>108.29905289092</v>
      </c>
      <c r="AN3392">
        <v>1.00000002219782</v>
      </c>
    </row>
    <row r="3393" spans="1:40" x14ac:dyDescent="0.25">
      <c r="A3393" t="str">
        <f>"20190304164918042"</f>
        <v>20190304164918042</v>
      </c>
      <c r="B3393" t="str">
        <f>"1551689358039188"</f>
        <v>1551689358039188</v>
      </c>
      <c r="C3393" t="s">
        <v>40</v>
      </c>
      <c r="D3393">
        <v>4.0253290000000002</v>
      </c>
      <c r="E3393">
        <v>0.49158970000000002</v>
      </c>
      <c r="F3393" t="s">
        <v>45</v>
      </c>
      <c r="G3393">
        <v>-474.77710000000002</v>
      </c>
      <c r="H3393" s="1">
        <v>3.9032619999999998E-6</v>
      </c>
      <c r="I3393">
        <v>216.06379999999999</v>
      </c>
      <c r="J3393">
        <v>-482.57440000000003</v>
      </c>
      <c r="K3393">
        <v>1.1156549999999901</v>
      </c>
      <c r="L3393">
        <v>219.6557</v>
      </c>
      <c r="M3393">
        <v>0.7174566</v>
      </c>
      <c r="N3393">
        <v>-1.3147999999999899E-2</v>
      </c>
      <c r="O3393">
        <v>-0.69647959999999998</v>
      </c>
      <c r="P3393">
        <v>0.82050509999999999</v>
      </c>
      <c r="Q3393">
        <v>0.4049838</v>
      </c>
      <c r="R3393">
        <v>-0.40343489999999999</v>
      </c>
      <c r="S3393">
        <v>3.146973</v>
      </c>
      <c r="T3393">
        <v>-0.44076340000000003</v>
      </c>
      <c r="U3393">
        <v>-1.479797</v>
      </c>
      <c r="V3393">
        <v>-0.28663300000000003</v>
      </c>
      <c r="W3393">
        <v>0.41323720000000003</v>
      </c>
      <c r="X3393">
        <v>0.86433590000000005</v>
      </c>
      <c r="Y3393">
        <v>-0.31908019999999998</v>
      </c>
      <c r="Z3393">
        <v>9.5056650000000006E-2</v>
      </c>
      <c r="AA3393">
        <v>0.94294860000000003</v>
      </c>
      <c r="AB3393">
        <v>23</v>
      </c>
      <c r="AC3393">
        <v>7.7972999999999999</v>
      </c>
      <c r="AD3393">
        <v>-1.11565109673799</v>
      </c>
      <c r="AE3393">
        <v>-3.5918999999999999</v>
      </c>
      <c r="AF3393">
        <v>-2.8064765225649699</v>
      </c>
      <c r="AG3393">
        <v>-1.11565109673799</v>
      </c>
      <c r="AH3393">
        <v>7.9621378593865701</v>
      </c>
      <c r="AI3393">
        <v>97.528050060587901</v>
      </c>
      <c r="AJ3393">
        <v>109.41642074295601</v>
      </c>
      <c r="AK3393">
        <v>8.5156695058719905</v>
      </c>
      <c r="AL3393">
        <v>65.591646577453005</v>
      </c>
      <c r="AM3393">
        <v>108.346668558321</v>
      </c>
      <c r="AN3393">
        <v>1.0000000040908199</v>
      </c>
    </row>
    <row r="3394" spans="1:40" x14ac:dyDescent="0.25">
      <c r="A3394" t="str">
        <f>"20190304164918062"</f>
        <v>20190304164918062</v>
      </c>
      <c r="B3394" t="str">
        <f>"1551689358059685"</f>
        <v>1551689358059685</v>
      </c>
      <c r="C3394" t="s">
        <v>40</v>
      </c>
      <c r="D3394">
        <v>4.0247760000000001</v>
      </c>
      <c r="E3394">
        <v>0.492255</v>
      </c>
      <c r="F3394" t="s">
        <v>45</v>
      </c>
      <c r="G3394">
        <v>-474.62520000000001</v>
      </c>
      <c r="H3394" s="1">
        <v>3.9663529999999996E-6</v>
      </c>
      <c r="I3394">
        <v>215.96549999999999</v>
      </c>
      <c r="J3394">
        <v>-482.4212</v>
      </c>
      <c r="K3394">
        <v>1.115648</v>
      </c>
      <c r="L3394">
        <v>219.51769999999999</v>
      </c>
      <c r="M3394">
        <v>0.72217129999999996</v>
      </c>
      <c r="N3394">
        <v>-1.311494E-2</v>
      </c>
      <c r="O3394">
        <v>-0.69158980000000003</v>
      </c>
      <c r="P3394">
        <v>0.8236561</v>
      </c>
      <c r="Q3394">
        <v>0.40495779999999998</v>
      </c>
      <c r="R3394">
        <v>-0.39698810000000001</v>
      </c>
      <c r="S3394">
        <v>3.154785</v>
      </c>
      <c r="T3394">
        <v>-0.44276209999999999</v>
      </c>
      <c r="U3394">
        <v>-1.464523</v>
      </c>
      <c r="V3394">
        <v>-0.28754950000000001</v>
      </c>
      <c r="W3394">
        <v>0.41317120000000002</v>
      </c>
      <c r="X3394">
        <v>0.86406299999999903</v>
      </c>
      <c r="Y3394">
        <v>-0.3172759</v>
      </c>
      <c r="Z3394">
        <v>9.4974950000000002E-2</v>
      </c>
      <c r="AA3394">
        <v>0.94356549999999995</v>
      </c>
      <c r="AB3394">
        <v>23</v>
      </c>
      <c r="AC3394">
        <v>7.7959999999999896</v>
      </c>
      <c r="AD3394">
        <v>-1.1156440336469999</v>
      </c>
      <c r="AE3394">
        <v>-3.5521999999999898</v>
      </c>
      <c r="AF3394">
        <v>-2.7794460383430399</v>
      </c>
      <c r="AG3394">
        <v>-1.1156440336469999</v>
      </c>
      <c r="AH3394">
        <v>7.9525478357380299</v>
      </c>
      <c r="AI3394">
        <v>97.543903612956498</v>
      </c>
      <c r="AJ3394">
        <v>109.264717007323</v>
      </c>
      <c r="AK3394">
        <v>8.4978231900631194</v>
      </c>
      <c r="AL3394">
        <v>65.595799380490504</v>
      </c>
      <c r="AM3394">
        <v>108.406805686452</v>
      </c>
      <c r="AN3394">
        <v>1.0000000117143399</v>
      </c>
    </row>
    <row r="3395" spans="1:40" x14ac:dyDescent="0.25">
      <c r="A3395" t="str">
        <f>"20190304164918086"</f>
        <v>20190304164918086</v>
      </c>
      <c r="B3395" t="str">
        <f>"1551689358079204"</f>
        <v>1551689358079204</v>
      </c>
      <c r="C3395" t="s">
        <v>40</v>
      </c>
      <c r="D3395">
        <v>4.0477660000000002</v>
      </c>
      <c r="E3395">
        <v>0.49284460000000002</v>
      </c>
      <c r="F3395" t="s">
        <v>45</v>
      </c>
      <c r="G3395">
        <v>-474.50290000000001</v>
      </c>
      <c r="H3395" s="1">
        <v>4.0175790000000003E-6</v>
      </c>
      <c r="I3395">
        <v>215.89689999999999</v>
      </c>
      <c r="J3395">
        <v>-482.24579999999997</v>
      </c>
      <c r="K3395">
        <v>1.115642</v>
      </c>
      <c r="L3395">
        <v>219.36199999999999</v>
      </c>
      <c r="M3395">
        <v>0.72748979999999996</v>
      </c>
      <c r="N3395">
        <v>-1.308089E-2</v>
      </c>
      <c r="O3395">
        <v>-0.68599399999999999</v>
      </c>
      <c r="P3395">
        <v>0.82689199999999996</v>
      </c>
      <c r="Q3395">
        <v>0.40498679999999998</v>
      </c>
      <c r="R3395">
        <v>-0.3901734</v>
      </c>
      <c r="S3395">
        <v>3.1641539999999999</v>
      </c>
      <c r="T3395">
        <v>-0.44581159999999997</v>
      </c>
      <c r="U3395">
        <v>-1.446869</v>
      </c>
      <c r="V3395">
        <v>-0.28800300000000001</v>
      </c>
      <c r="W3395">
        <v>0.41316599999999998</v>
      </c>
      <c r="X3395">
        <v>0.86391439999999997</v>
      </c>
      <c r="Y3395">
        <v>-0.31532939999999998</v>
      </c>
      <c r="Z3395">
        <v>9.5036609999999994E-2</v>
      </c>
      <c r="AA3395">
        <v>0.94421149999999998</v>
      </c>
      <c r="AB3395">
        <v>23</v>
      </c>
      <c r="AC3395">
        <v>7.7428999999999597</v>
      </c>
      <c r="AD3395">
        <v>-1.1156379824210001</v>
      </c>
      <c r="AE3395">
        <v>-3.4651000000000001</v>
      </c>
      <c r="AF3395">
        <v>-2.7435426667749798</v>
      </c>
      <c r="AG3395">
        <v>-1.1156379824210001</v>
      </c>
      <c r="AH3395">
        <v>7.8744029751975804</v>
      </c>
      <c r="AI3395">
        <v>97.620408443163498</v>
      </c>
      <c r="AJ3395">
        <v>109.208989900123</v>
      </c>
      <c r="AK3395">
        <v>8.4129600431736105</v>
      </c>
      <c r="AL3395">
        <v>65.596125752387707</v>
      </c>
      <c r="AM3395">
        <v>108.436830995989</v>
      </c>
      <c r="AN3395">
        <v>0.99999998104617904</v>
      </c>
    </row>
    <row r="3396" spans="1:40" x14ac:dyDescent="0.25">
      <c r="A3396" t="str">
        <f>"20190304164918108"</f>
        <v>20190304164918108</v>
      </c>
      <c r="B3396" t="str">
        <f>"1551689358099700"</f>
        <v>1551689358099700</v>
      </c>
      <c r="C3396" t="s">
        <v>40</v>
      </c>
      <c r="D3396">
        <v>4.0417959999999997</v>
      </c>
      <c r="E3396">
        <v>0.49842130000000001</v>
      </c>
      <c r="F3396" t="s">
        <v>45</v>
      </c>
      <c r="G3396">
        <v>-474.32279999999997</v>
      </c>
      <c r="H3396" s="1">
        <v>4.0933139999999901E-6</v>
      </c>
      <c r="I3396">
        <v>215.8031</v>
      </c>
      <c r="J3396">
        <v>-482.07299999999998</v>
      </c>
      <c r="K3396">
        <v>1.115642</v>
      </c>
      <c r="L3396">
        <v>219.21090000000001</v>
      </c>
      <c r="M3396">
        <v>0.73265899999999995</v>
      </c>
      <c r="N3396">
        <v>-1.305153E-2</v>
      </c>
      <c r="O3396">
        <v>-0.680471099999999</v>
      </c>
      <c r="P3396">
        <v>0.83029569999999997</v>
      </c>
      <c r="Q3396">
        <v>0.40434629999999999</v>
      </c>
      <c r="R3396">
        <v>-0.3835537</v>
      </c>
      <c r="S3396">
        <v>3.1741329999999999</v>
      </c>
      <c r="T3396">
        <v>-0.4469495</v>
      </c>
      <c r="U3396">
        <v>-1.4258120000000001</v>
      </c>
      <c r="V3396">
        <v>-0.28857749999999999</v>
      </c>
      <c r="W3396">
        <v>0.41249540000000001</v>
      </c>
      <c r="X3396">
        <v>0.86404319999999901</v>
      </c>
      <c r="Y3396">
        <v>-0.31448120000000002</v>
      </c>
      <c r="Z3396">
        <v>9.4740039999999998E-2</v>
      </c>
      <c r="AA3396">
        <v>0.94452420000000004</v>
      </c>
      <c r="AB3396">
        <v>23</v>
      </c>
      <c r="AC3396">
        <v>7.7502000000000599</v>
      </c>
      <c r="AD3396">
        <v>-1.1156379066859901</v>
      </c>
      <c r="AE3396">
        <v>-3.4077999999999999</v>
      </c>
      <c r="AF3396">
        <v>-2.72986557025899</v>
      </c>
      <c r="AG3396">
        <v>-1.1156379066859901</v>
      </c>
      <c r="AH3396">
        <v>7.8613362059702796</v>
      </c>
      <c r="AI3396">
        <v>97.635642070932704</v>
      </c>
      <c r="AJ3396">
        <v>109.149665547154</v>
      </c>
      <c r="AK3396">
        <v>8.39627422812163</v>
      </c>
      <c r="AL3396">
        <v>65.638312419941101</v>
      </c>
      <c r="AM3396">
        <v>108.468548125411</v>
      </c>
      <c r="AN3396">
        <v>1.0000000399968201</v>
      </c>
    </row>
    <row r="3397" spans="1:40" x14ac:dyDescent="0.25">
      <c r="A3397" t="str">
        <f>"20190304164918131"</f>
        <v>20190304164918131</v>
      </c>
      <c r="B3397" t="str">
        <f>"1551689358119223"</f>
        <v>1551689358119223</v>
      </c>
      <c r="C3397" t="s">
        <v>40</v>
      </c>
      <c r="D3397">
        <v>4.0300349999999998</v>
      </c>
      <c r="E3397">
        <v>0.49915989999999999</v>
      </c>
      <c r="F3397" t="s">
        <v>45</v>
      </c>
      <c r="G3397">
        <v>-474.4975</v>
      </c>
      <c r="H3397" s="1">
        <v>4.0143849999999999E-6</v>
      </c>
      <c r="I3397">
        <v>215.7696</v>
      </c>
      <c r="J3397">
        <v>-481.89929999999998</v>
      </c>
      <c r="K3397">
        <v>1.115658</v>
      </c>
      <c r="L3397">
        <v>219.06139999999999</v>
      </c>
      <c r="M3397">
        <v>0.73778469999999996</v>
      </c>
      <c r="N3397">
        <v>-1.302645E-2</v>
      </c>
      <c r="O3397">
        <v>-0.67491049999999997</v>
      </c>
      <c r="P3397">
        <v>0.83327099999999898</v>
      </c>
      <c r="Q3397">
        <v>0.40423130000000002</v>
      </c>
      <c r="R3397">
        <v>-0.37716929999999999</v>
      </c>
      <c r="S3397">
        <v>3.1746829999999999</v>
      </c>
      <c r="T3397">
        <v>-0.46753699999999998</v>
      </c>
      <c r="U3397">
        <v>-1.442169</v>
      </c>
      <c r="V3397">
        <v>-0.28871599999999997</v>
      </c>
      <c r="W3397">
        <v>0.41235430000000001</v>
      </c>
      <c r="X3397">
        <v>0.86406430000000001</v>
      </c>
      <c r="Y3397">
        <v>-0.30284620000000001</v>
      </c>
      <c r="Z3397">
        <v>9.7960259999999993E-2</v>
      </c>
      <c r="AA3397">
        <v>0.94799149999999999</v>
      </c>
      <c r="AB3397">
        <v>23</v>
      </c>
      <c r="AC3397">
        <v>7.4017999999999802</v>
      </c>
      <c r="AD3397">
        <v>-1.1156539856150001</v>
      </c>
      <c r="AE3397">
        <v>-3.2917999999999901</v>
      </c>
      <c r="AF3397">
        <v>-2.5193453097938598</v>
      </c>
      <c r="AG3397">
        <v>-1.1156539856150001</v>
      </c>
      <c r="AH3397">
        <v>7.5402385463611701</v>
      </c>
      <c r="AI3397">
        <v>97.9883817557116</v>
      </c>
      <c r="AJ3397">
        <v>108.47551017100901</v>
      </c>
      <c r="AK3397">
        <v>8.0278877633926697</v>
      </c>
      <c r="AL3397">
        <v>65.647187157098898</v>
      </c>
      <c r="AM3397">
        <v>108.47638963174199</v>
      </c>
      <c r="AN3397">
        <v>1.0000000559594799</v>
      </c>
    </row>
    <row r="3398" spans="1:40" x14ac:dyDescent="0.25">
      <c r="A3398" t="str">
        <f>"20190304164918152"</f>
        <v>20190304164918152</v>
      </c>
      <c r="B3398" t="str">
        <f>"1551689358149476"</f>
        <v>1551689358149476</v>
      </c>
      <c r="C3398" t="s">
        <v>40</v>
      </c>
      <c r="D3398">
        <v>4.2155990000000001</v>
      </c>
      <c r="E3398">
        <v>0.49931110000000001</v>
      </c>
      <c r="F3398" t="s">
        <v>45</v>
      </c>
      <c r="G3398">
        <v>-474.44049999999999</v>
      </c>
      <c r="H3398" s="1">
        <v>4.0380600000000001E-6</v>
      </c>
      <c r="I3398">
        <v>215.73249999999999</v>
      </c>
      <c r="J3398">
        <v>-481.74119999999999</v>
      </c>
      <c r="K3398">
        <v>1.1156729999999999</v>
      </c>
      <c r="L3398">
        <v>218.9273</v>
      </c>
      <c r="M3398">
        <v>0.74240810000000002</v>
      </c>
      <c r="N3398">
        <v>-1.301158E-2</v>
      </c>
      <c r="O3398">
        <v>-0.66982169999999996</v>
      </c>
      <c r="P3398">
        <v>0.83502140000000002</v>
      </c>
      <c r="Q3398">
        <v>0.40622900000000001</v>
      </c>
      <c r="R3398">
        <v>-0.37110290000000001</v>
      </c>
      <c r="S3398">
        <v>3.1876530000000001</v>
      </c>
      <c r="T3398">
        <v>-0.47679480000000002</v>
      </c>
      <c r="U3398">
        <v>-1.422668</v>
      </c>
      <c r="V3398">
        <v>-0.28844500000000001</v>
      </c>
      <c r="W3398">
        <v>0.4143212</v>
      </c>
      <c r="X3398">
        <v>0.86321349999999997</v>
      </c>
      <c r="Y3398">
        <v>-0.3023535</v>
      </c>
      <c r="Z3398">
        <v>9.9368289999999998E-2</v>
      </c>
      <c r="AA3398">
        <v>0.94800229999999996</v>
      </c>
      <c r="AB3398">
        <v>23</v>
      </c>
      <c r="AC3398">
        <v>7.3007</v>
      </c>
      <c r="AD3398">
        <v>-1.11566896194</v>
      </c>
      <c r="AE3398">
        <v>-3.1948000000000101</v>
      </c>
      <c r="AF3398">
        <v>-2.4701212185430999</v>
      </c>
      <c r="AG3398">
        <v>-1.11566896194</v>
      </c>
      <c r="AH3398">
        <v>7.4153459545238301</v>
      </c>
      <c r="AI3398">
        <v>98.123684664892593</v>
      </c>
      <c r="AJ3398">
        <v>108.423399103804</v>
      </c>
      <c r="AK3398">
        <v>7.8951612834828202</v>
      </c>
      <c r="AL3398">
        <v>65.523425095267299</v>
      </c>
      <c r="AM3398">
        <v>108.47718279207299</v>
      </c>
      <c r="AN3398">
        <v>1.0000000606883399</v>
      </c>
    </row>
    <row r="3399" spans="1:40" x14ac:dyDescent="0.25">
      <c r="A3399" t="str">
        <f>"20190304164918177"</f>
        <v>20190304164918177</v>
      </c>
      <c r="B3399" t="str">
        <f>"1551689358168996"</f>
        <v>1551689358168996</v>
      </c>
      <c r="C3399" t="s">
        <v>40</v>
      </c>
      <c r="D3399">
        <v>4.0126480000000004</v>
      </c>
      <c r="E3399">
        <v>0.50008949999999996</v>
      </c>
      <c r="F3399" t="s">
        <v>45</v>
      </c>
      <c r="G3399">
        <v>-474.15629999999999</v>
      </c>
      <c r="H3399" s="1">
        <v>4.1585479999999997E-6</v>
      </c>
      <c r="I3399">
        <v>215.60570000000001</v>
      </c>
      <c r="J3399">
        <v>-481.55090000000001</v>
      </c>
      <c r="K3399">
        <v>1.115718</v>
      </c>
      <c r="L3399">
        <v>218.76840000000001</v>
      </c>
      <c r="M3399">
        <v>0.74793790000000004</v>
      </c>
      <c r="N3399">
        <v>-1.301042E-2</v>
      </c>
      <c r="O3399">
        <v>-0.66364119999999904</v>
      </c>
      <c r="P3399">
        <v>0.83677999999999997</v>
      </c>
      <c r="Q3399">
        <v>0.40883730000000001</v>
      </c>
      <c r="R3399">
        <v>-0.36421330000000002</v>
      </c>
      <c r="S3399">
        <v>3.1990660000000002</v>
      </c>
      <c r="T3399">
        <v>-0.47055209999999997</v>
      </c>
      <c r="U3399">
        <v>-1.400909</v>
      </c>
      <c r="V3399">
        <v>-0.28762130000000002</v>
      </c>
      <c r="W3399">
        <v>0.41689779999999999</v>
      </c>
      <c r="X3399">
        <v>0.86224719999999999</v>
      </c>
      <c r="Y3399">
        <v>-0.30134719999999998</v>
      </c>
      <c r="Z3399">
        <v>9.7262520000000005E-2</v>
      </c>
      <c r="AA3399">
        <v>0.94854090000000002</v>
      </c>
      <c r="AB3399">
        <v>23</v>
      </c>
      <c r="AC3399">
        <v>7.39460000000002</v>
      </c>
      <c r="AD3399">
        <v>-1.115713841452</v>
      </c>
      <c r="AE3399">
        <v>-3.1627000000000001</v>
      </c>
      <c r="AF3399">
        <v>-2.49407479606562</v>
      </c>
      <c r="AG3399">
        <v>-1.115713841452</v>
      </c>
      <c r="AH3399">
        <v>7.4861742686413599</v>
      </c>
      <c r="AI3399">
        <v>98.048041348604301</v>
      </c>
      <c r="AJ3399">
        <v>108.425879166897</v>
      </c>
      <c r="AK3399">
        <v>7.9691926595386899</v>
      </c>
      <c r="AL3399">
        <v>65.361113317943193</v>
      </c>
      <c r="AM3399">
        <v>108.447241740661</v>
      </c>
      <c r="AN3399">
        <v>1.0000000108831799</v>
      </c>
    </row>
    <row r="3400" spans="1:40" x14ac:dyDescent="0.25">
      <c r="A3400" t="str">
        <f>"20190304164918199"</f>
        <v>20190304164918199</v>
      </c>
      <c r="B3400" t="str">
        <f>"1551689358189492"</f>
        <v>1551689358189492</v>
      </c>
      <c r="C3400" t="s">
        <v>40</v>
      </c>
      <c r="D3400">
        <v>4.0673399999999997</v>
      </c>
      <c r="E3400">
        <v>0.50100500000000003</v>
      </c>
      <c r="F3400" t="s">
        <v>45</v>
      </c>
      <c r="G3400">
        <v>-473.8066</v>
      </c>
      <c r="H3400" s="1">
        <v>4.3064160000000004E-6</v>
      </c>
      <c r="I3400">
        <v>215.44120000000001</v>
      </c>
      <c r="J3400">
        <v>-481.37479999999999</v>
      </c>
      <c r="K3400">
        <v>1.115802</v>
      </c>
      <c r="L3400">
        <v>218.62389999999999</v>
      </c>
      <c r="M3400">
        <v>0.75304740000000003</v>
      </c>
      <c r="N3400">
        <v>-1.3022189999999999E-2</v>
      </c>
      <c r="O3400">
        <v>-0.65783760000000002</v>
      </c>
      <c r="P3400">
        <v>0.83740650000000005</v>
      </c>
      <c r="Q3400">
        <v>0.4121977</v>
      </c>
      <c r="R3400">
        <v>-0.35894759999999998</v>
      </c>
      <c r="S3400">
        <v>3.2107540000000001</v>
      </c>
      <c r="T3400">
        <v>-0.46257189999999998</v>
      </c>
      <c r="U3400">
        <v>-1.37944</v>
      </c>
      <c r="V3400">
        <v>-0.28538269999999999</v>
      </c>
      <c r="W3400">
        <v>0.42023969999999999</v>
      </c>
      <c r="X3400">
        <v>0.86136829999999998</v>
      </c>
      <c r="Y3400">
        <v>-0.3008691</v>
      </c>
      <c r="Z3400">
        <v>9.4842319999999994E-2</v>
      </c>
      <c r="AA3400">
        <v>0.9489377</v>
      </c>
      <c r="AB3400">
        <v>23</v>
      </c>
      <c r="AC3400">
        <v>7.5681999999999903</v>
      </c>
      <c r="AD3400">
        <v>-1.1157976935839999</v>
      </c>
      <c r="AE3400">
        <v>-3.1826999999999801</v>
      </c>
      <c r="AF3400">
        <v>-2.5353141713890399</v>
      </c>
      <c r="AG3400">
        <v>-1.1157976935839999</v>
      </c>
      <c r="AH3400">
        <v>7.6522368237828404</v>
      </c>
      <c r="AI3400">
        <v>97.880473845126303</v>
      </c>
      <c r="AJ3400">
        <v>108.33089801967201</v>
      </c>
      <c r="AK3400">
        <v>8.1381540196725002</v>
      </c>
      <c r="AL3400">
        <v>65.150278844510197</v>
      </c>
      <c r="AM3400">
        <v>108.330715893579</v>
      </c>
      <c r="AN3400">
        <v>1.00000001958013</v>
      </c>
    </row>
    <row r="3401" spans="1:40" x14ac:dyDescent="0.25">
      <c r="A3401" t="str">
        <f>"20190304164918221"</f>
        <v>20190304164918221</v>
      </c>
      <c r="B3401" t="str">
        <f>"1551689358218773"</f>
        <v>1551689358218773</v>
      </c>
      <c r="C3401" t="s">
        <v>40</v>
      </c>
      <c r="D3401">
        <v>4.0758580000000002</v>
      </c>
      <c r="E3401">
        <v>0.50172470000000002</v>
      </c>
      <c r="F3401" t="s">
        <v>45</v>
      </c>
      <c r="G3401">
        <v>-473.44819999999999</v>
      </c>
      <c r="H3401" s="1">
        <v>4.4578309999999997E-6</v>
      </c>
      <c r="I3401">
        <v>215.2687</v>
      </c>
      <c r="J3401">
        <v>-481.20609999999999</v>
      </c>
      <c r="K3401">
        <v>1.1158790000000001</v>
      </c>
      <c r="L3401">
        <v>218.4879</v>
      </c>
      <c r="M3401">
        <v>0.75793080000000002</v>
      </c>
      <c r="N3401">
        <v>-1.303879E-2</v>
      </c>
      <c r="O3401">
        <v>-0.65220459999999902</v>
      </c>
      <c r="P3401">
        <v>0.83817319999999995</v>
      </c>
      <c r="Q3401">
        <v>0.41492000000000001</v>
      </c>
      <c r="R3401">
        <v>-0.3539873</v>
      </c>
      <c r="S3401">
        <v>3.2212519999999998</v>
      </c>
      <c r="T3401">
        <v>-0.45344519999999999</v>
      </c>
      <c r="U3401">
        <v>-1.3635409999999999</v>
      </c>
      <c r="V3401">
        <v>-0.2832752</v>
      </c>
      <c r="W3401">
        <v>0.42294559999999998</v>
      </c>
      <c r="X3401">
        <v>0.86073940000000004</v>
      </c>
      <c r="Y3401">
        <v>-0.29916700000000002</v>
      </c>
      <c r="Z3401">
        <v>9.2105190000000003E-2</v>
      </c>
      <c r="AA3401">
        <v>0.94974510000000001</v>
      </c>
      <c r="AB3401">
        <v>23</v>
      </c>
      <c r="AC3401">
        <v>7.7579000000000002</v>
      </c>
      <c r="AD3401">
        <v>-1.1158745421689999</v>
      </c>
      <c r="AE3401">
        <v>-3.2191999999999998</v>
      </c>
      <c r="AF3401">
        <v>-2.57458856985882</v>
      </c>
      <c r="AG3401">
        <v>-1.1158745421689999</v>
      </c>
      <c r="AH3401">
        <v>7.8417993283704499</v>
      </c>
      <c r="AI3401">
        <v>97.699595606918393</v>
      </c>
      <c r="AJ3401">
        <v>108.17583826438</v>
      </c>
      <c r="AK3401">
        <v>8.3287153273683092</v>
      </c>
      <c r="AL3401">
        <v>64.979306087126005</v>
      </c>
      <c r="AM3401">
        <v>108.2167275369</v>
      </c>
      <c r="AN3401">
        <v>1.00000006710337</v>
      </c>
    </row>
    <row r="3402" spans="1:40" x14ac:dyDescent="0.25">
      <c r="A3402" t="str">
        <f>"20190304164918243"</f>
        <v>20190304164918243</v>
      </c>
      <c r="B3402" t="str">
        <f>"1551689358239268"</f>
        <v>1551689358239268</v>
      </c>
      <c r="C3402" t="s">
        <v>40</v>
      </c>
      <c r="D3402">
        <v>4.1497010000000003</v>
      </c>
      <c r="E3402">
        <v>0.50628720000000005</v>
      </c>
      <c r="F3402" t="s">
        <v>45</v>
      </c>
      <c r="G3402">
        <v>-473.1438</v>
      </c>
      <c r="H3402" s="1">
        <v>4.5866280000000002E-6</v>
      </c>
      <c r="I3402">
        <v>215.12739999999999</v>
      </c>
      <c r="J3402">
        <v>-481.03649999999999</v>
      </c>
      <c r="K3402">
        <v>1.1159699999999999</v>
      </c>
      <c r="L3402">
        <v>218.35329999999999</v>
      </c>
      <c r="M3402">
        <v>0.76284259999999904</v>
      </c>
      <c r="N3402">
        <v>-1.30686E-2</v>
      </c>
      <c r="O3402">
        <v>-0.64645220000000003</v>
      </c>
      <c r="P3402">
        <v>0.840172899999999</v>
      </c>
      <c r="Q3402">
        <v>0.4153849</v>
      </c>
      <c r="R3402">
        <v>-0.34866160000000002</v>
      </c>
      <c r="S3402">
        <v>3.2317809999999998</v>
      </c>
      <c r="T3402">
        <v>-0.44730160000000002</v>
      </c>
      <c r="U3402">
        <v>-1.347046</v>
      </c>
      <c r="V3402">
        <v>-0.28215869999999998</v>
      </c>
      <c r="W3402">
        <v>0.42339710000000003</v>
      </c>
      <c r="X3402">
        <v>0.86088410000000004</v>
      </c>
      <c r="Y3402">
        <v>-0.29741420000000002</v>
      </c>
      <c r="Z3402">
        <v>9.0019630000000003E-2</v>
      </c>
      <c r="AA3402">
        <v>0.95049530000000004</v>
      </c>
      <c r="AB3402">
        <v>23</v>
      </c>
      <c r="AC3402">
        <v>7.8926999999999898</v>
      </c>
      <c r="AD3402">
        <v>-1.1159654133720001</v>
      </c>
      <c r="AE3402">
        <v>-3.22589999999999</v>
      </c>
      <c r="AF3402">
        <v>-2.5971356091877298</v>
      </c>
      <c r="AG3402">
        <v>-1.1159654133720001</v>
      </c>
      <c r="AH3402">
        <v>7.9704355243815703</v>
      </c>
      <c r="AI3402">
        <v>97.582863217385096</v>
      </c>
      <c r="AJ3402">
        <v>108.04799915920501</v>
      </c>
      <c r="AK3402">
        <v>8.4568513422359004</v>
      </c>
      <c r="AL3402">
        <v>64.950753764242506</v>
      </c>
      <c r="AM3402">
        <v>108.146793467769</v>
      </c>
      <c r="AN3402">
        <v>1.0000000349534499</v>
      </c>
    </row>
    <row r="3403" spans="1:40" x14ac:dyDescent="0.25">
      <c r="A3403" t="str">
        <f>"20190304164918265"</f>
        <v>20190304164918265</v>
      </c>
      <c r="B3403" t="str">
        <f>"1551689358259764"</f>
        <v>1551689358259764</v>
      </c>
      <c r="C3403" t="s">
        <v>40</v>
      </c>
      <c r="D3403">
        <v>4.1368289999999996</v>
      </c>
      <c r="E3403">
        <v>0.48476829999999999</v>
      </c>
      <c r="F3403" t="s">
        <v>45</v>
      </c>
      <c r="G3403">
        <v>-473.54430000000002</v>
      </c>
      <c r="H3403" s="1">
        <v>4.4121980000000002E-6</v>
      </c>
      <c r="I3403">
        <v>215.19980000000001</v>
      </c>
      <c r="J3403">
        <v>-480.86380000000003</v>
      </c>
      <c r="K3403">
        <v>1.116072</v>
      </c>
      <c r="L3403">
        <v>218.21860000000001</v>
      </c>
      <c r="M3403">
        <v>0.76786759999999998</v>
      </c>
      <c r="N3403">
        <v>-1.311612E-2</v>
      </c>
      <c r="O3403">
        <v>-0.64047449999999995</v>
      </c>
      <c r="P3403">
        <v>0.84236520000000004</v>
      </c>
      <c r="Q3403">
        <v>0.41578670000000001</v>
      </c>
      <c r="R3403">
        <v>-0.3428447</v>
      </c>
      <c r="S3403">
        <v>3.243042</v>
      </c>
      <c r="T3403">
        <v>-0.48305229999999999</v>
      </c>
      <c r="U3403">
        <v>-1.3649899999999999</v>
      </c>
      <c r="V3403">
        <v>-0.28135549999999998</v>
      </c>
      <c r="W3403">
        <v>0.42378840000000001</v>
      </c>
      <c r="X3403">
        <v>0.86095440000000001</v>
      </c>
      <c r="Y3403">
        <v>-0.28582239999999998</v>
      </c>
      <c r="Z3403">
        <v>9.5813350000000005E-2</v>
      </c>
      <c r="AA3403">
        <v>0.95348069999999896</v>
      </c>
      <c r="AB3403">
        <v>23</v>
      </c>
      <c r="AC3403">
        <v>7.3194999999999997</v>
      </c>
      <c r="AD3403">
        <v>-1.1160675878020001</v>
      </c>
      <c r="AE3403">
        <v>-3.0187999999999899</v>
      </c>
      <c r="AF3403">
        <v>-2.3239415416000999</v>
      </c>
      <c r="AG3403">
        <v>-1.1160675878020001</v>
      </c>
      <c r="AH3403">
        <v>7.4073373358474699</v>
      </c>
      <c r="AI3403">
        <v>98.180868826177701</v>
      </c>
      <c r="AJ3403">
        <v>107.418470800866</v>
      </c>
      <c r="AK3403">
        <v>7.8431471716624497</v>
      </c>
      <c r="AL3403">
        <v>64.9260029031839</v>
      </c>
      <c r="AM3403">
        <v>108.097127488879</v>
      </c>
      <c r="AN3403">
        <v>1.0000000021170801</v>
      </c>
    </row>
    <row r="3404" spans="1:40" x14ac:dyDescent="0.25">
      <c r="A3404" t="str">
        <f>"20190304164918288"</f>
        <v>20190304164918288</v>
      </c>
      <c r="B3404" t="str">
        <f>"1551689358279284"</f>
        <v>1551689358279284</v>
      </c>
      <c r="C3404" t="s">
        <v>40</v>
      </c>
      <c r="D3404">
        <v>4.1228199999999999</v>
      </c>
      <c r="E3404">
        <v>0.4725549</v>
      </c>
      <c r="F3404" t="s">
        <v>45</v>
      </c>
      <c r="G3404">
        <v>-472.0521</v>
      </c>
      <c r="H3404" s="1">
        <v>5.0685179999999999E-6</v>
      </c>
      <c r="I3404">
        <v>215.07589999999999</v>
      </c>
      <c r="J3404">
        <v>-480.68119999999999</v>
      </c>
      <c r="K3404">
        <v>1.1162049999999999</v>
      </c>
      <c r="L3404">
        <v>218.0787</v>
      </c>
      <c r="M3404">
        <v>0.77321779999999996</v>
      </c>
      <c r="N3404">
        <v>-1.318472E-2</v>
      </c>
      <c r="O3404">
        <v>-0.63400369999999995</v>
      </c>
      <c r="P3404">
        <v>0.84462099999999996</v>
      </c>
      <c r="Q3404">
        <v>0.41677120000000001</v>
      </c>
      <c r="R3404">
        <v>-0.33603189999999999</v>
      </c>
      <c r="S3404">
        <v>3.2895509999999999</v>
      </c>
      <c r="T3404">
        <v>-0.4166435</v>
      </c>
      <c r="U3404">
        <v>-1.173233</v>
      </c>
      <c r="V3404">
        <v>-0.280893</v>
      </c>
      <c r="W3404">
        <v>0.42476079999999999</v>
      </c>
      <c r="X3404">
        <v>0.86062619999999901</v>
      </c>
      <c r="Y3404">
        <v>-0.332144299999999</v>
      </c>
      <c r="Z3404">
        <v>8.4419220000000003E-2</v>
      </c>
      <c r="AA3404">
        <v>0.93944320000000003</v>
      </c>
      <c r="AB3404">
        <v>23</v>
      </c>
      <c r="AC3404">
        <v>8.6290999999999904</v>
      </c>
      <c r="AD3404">
        <v>-1.1161999314819999</v>
      </c>
      <c r="AE3404">
        <v>-3.0028000000000001</v>
      </c>
      <c r="AF3404">
        <v>-3.1030239209549801</v>
      </c>
      <c r="AG3404">
        <v>-1.1161999314819999</v>
      </c>
      <c r="AH3404">
        <v>8.4505803178523404</v>
      </c>
      <c r="AI3404">
        <v>97.068075319193397</v>
      </c>
      <c r="AJ3404">
        <v>110.16306080792999</v>
      </c>
      <c r="AK3404">
        <v>9.0712164261212802</v>
      </c>
      <c r="AL3404">
        <v>64.8644771779812</v>
      </c>
      <c r="AM3404">
        <v>108.075756583195</v>
      </c>
      <c r="AN3404">
        <v>1.0000000353960301</v>
      </c>
    </row>
    <row r="3405" spans="1:40" x14ac:dyDescent="0.25">
      <c r="A3405" t="str">
        <f>"20190304164918310"</f>
        <v>20190304164918310</v>
      </c>
      <c r="B3405" t="str">
        <f>"1551689358299780"</f>
        <v>1551689358299780</v>
      </c>
      <c r="C3405" t="s">
        <v>40</v>
      </c>
      <c r="D3405">
        <v>4.1102480000000003</v>
      </c>
      <c r="E3405">
        <v>0.46593570000000001</v>
      </c>
      <c r="F3405" t="s">
        <v>45</v>
      </c>
      <c r="G3405">
        <v>-470.74209999999999</v>
      </c>
      <c r="H3405" s="1">
        <v>5.642954E-6</v>
      </c>
      <c r="I3405">
        <v>214.92740000000001</v>
      </c>
      <c r="J3405">
        <v>-480.50599999999997</v>
      </c>
      <c r="K3405">
        <v>1.1163259999999999</v>
      </c>
      <c r="L3405">
        <v>217.947</v>
      </c>
      <c r="M3405">
        <v>0.77837939999999906</v>
      </c>
      <c r="N3405">
        <v>-1.3267040000000001E-2</v>
      </c>
      <c r="O3405">
        <v>-0.62765409999999999</v>
      </c>
      <c r="P3405">
        <v>0.84695489999999996</v>
      </c>
      <c r="Q3405">
        <v>0.41732639999999999</v>
      </c>
      <c r="R3405">
        <v>-0.32940269999999999</v>
      </c>
      <c r="S3405">
        <v>3.317291</v>
      </c>
      <c r="T3405">
        <v>-0.37254599999999999</v>
      </c>
      <c r="U3405">
        <v>-1.0517729999999901</v>
      </c>
      <c r="V3405">
        <v>-0.28054079999999998</v>
      </c>
      <c r="W3405">
        <v>0.42531679999999999</v>
      </c>
      <c r="X3405">
        <v>0.86046650000000002</v>
      </c>
      <c r="Y3405">
        <v>-0.35869889999999999</v>
      </c>
      <c r="Z3405">
        <v>7.5983319999999993E-2</v>
      </c>
      <c r="AA3405">
        <v>0.93035570000000001</v>
      </c>
      <c r="AB3405">
        <v>23</v>
      </c>
      <c r="AC3405">
        <v>9.7638999999999694</v>
      </c>
      <c r="AD3405">
        <v>-1.1163203570460001</v>
      </c>
      <c r="AE3405">
        <v>-3.0195999999999898</v>
      </c>
      <c r="AF3405">
        <v>-3.73374385179492</v>
      </c>
      <c r="AG3405">
        <v>-1.1163203570460001</v>
      </c>
      <c r="AH3405">
        <v>9.3841592879594202</v>
      </c>
      <c r="AI3405">
        <v>96.307323346020596</v>
      </c>
      <c r="AJ3405">
        <v>111.696485894551</v>
      </c>
      <c r="AK3405">
        <v>10.1611741364946</v>
      </c>
      <c r="AL3405">
        <v>64.829284129694003</v>
      </c>
      <c r="AM3405">
        <v>108.057697139444</v>
      </c>
      <c r="AN3405">
        <v>1.0000000592245599</v>
      </c>
    </row>
    <row r="3406" spans="1:40" x14ac:dyDescent="0.25">
      <c r="A3406" t="str">
        <f>"20190304164918331"</f>
        <v>20190304164918331</v>
      </c>
      <c r="B3406" t="str">
        <f>"1551689358319300"</f>
        <v>1551689358319300</v>
      </c>
      <c r="C3406" t="s">
        <v>40</v>
      </c>
      <c r="D3406">
        <v>4.1344750000000001</v>
      </c>
      <c r="E3406">
        <v>0.46240680000000001</v>
      </c>
      <c r="F3406" t="s">
        <v>46</v>
      </c>
      <c r="G3406">
        <v>-469.87849999999997</v>
      </c>
      <c r="H3406" s="1">
        <v>3.710368E-6</v>
      </c>
      <c r="I3406">
        <v>214.8382</v>
      </c>
      <c r="J3406">
        <v>-480.334</v>
      </c>
      <c r="K3406">
        <v>1.116449</v>
      </c>
      <c r="L3406">
        <v>217.8201</v>
      </c>
      <c r="M3406">
        <v>0.78347069999999996</v>
      </c>
      <c r="N3406">
        <v>-1.3358500000000001E-2</v>
      </c>
      <c r="O3406">
        <v>-0.62128509999999904</v>
      </c>
      <c r="P3406">
        <v>0.8501339</v>
      </c>
      <c r="Q3406">
        <v>0.41655310000000001</v>
      </c>
      <c r="R3406">
        <v>-0.32211139999999999</v>
      </c>
      <c r="S3406">
        <v>3.3352659999999998</v>
      </c>
      <c r="T3406">
        <v>-0.3503405</v>
      </c>
      <c r="U3406">
        <v>-0.97564700000000004</v>
      </c>
      <c r="V3406">
        <v>-0.28125899999999998</v>
      </c>
      <c r="W3406">
        <v>0.42454459999999999</v>
      </c>
      <c r="X3406">
        <v>0.86061330000000003</v>
      </c>
      <c r="Y3406">
        <v>-0.37242619999999999</v>
      </c>
      <c r="Z3406">
        <v>7.1406040000000004E-2</v>
      </c>
      <c r="AA3406">
        <v>0.92531070000000004</v>
      </c>
      <c r="AB3406">
        <v>23</v>
      </c>
      <c r="AC3406">
        <v>10.455500000000001</v>
      </c>
      <c r="AD3406">
        <v>-1.1164452896320001</v>
      </c>
      <c r="AE3406">
        <v>-2.9818999999999898</v>
      </c>
      <c r="AF3406">
        <v>-4.1165793204363696</v>
      </c>
      <c r="AG3406">
        <v>-1.1164452896320001</v>
      </c>
      <c r="AH3406">
        <v>9.9402698462944006</v>
      </c>
      <c r="AI3406">
        <v>95.9243163727282</v>
      </c>
      <c r="AJ3406">
        <v>112.49598887896499</v>
      </c>
      <c r="AK3406">
        <v>10.816729635307301</v>
      </c>
      <c r="AL3406">
        <v>64.878158443687894</v>
      </c>
      <c r="AM3406">
        <v>108.098027938431</v>
      </c>
      <c r="AN3406">
        <v>0.99999999730352496</v>
      </c>
    </row>
    <row r="3407" spans="1:40" x14ac:dyDescent="0.25">
      <c r="A3407" t="str">
        <f>"20190304164918354"</f>
        <v>20190304164918354</v>
      </c>
      <c r="B3407" t="str">
        <f>"1551689358349557"</f>
        <v>1551689358349557</v>
      </c>
      <c r="C3407" t="s">
        <v>40</v>
      </c>
      <c r="D3407">
        <v>4.1582280000000003</v>
      </c>
      <c r="E3407">
        <v>0.45948749999999999</v>
      </c>
      <c r="F3407" t="s">
        <v>46</v>
      </c>
      <c r="G3407">
        <v>-469.4889</v>
      </c>
      <c r="H3407" s="1">
        <v>3.5030909999999999E-6</v>
      </c>
      <c r="I3407">
        <v>214.8364</v>
      </c>
      <c r="J3407">
        <v>-480.15339999999998</v>
      </c>
      <c r="K3407">
        <v>1.1165510000000001</v>
      </c>
      <c r="L3407">
        <v>217.68950000000001</v>
      </c>
      <c r="M3407">
        <v>0.78882659999999905</v>
      </c>
      <c r="N3407">
        <v>-1.3460929999999999E-2</v>
      </c>
      <c r="O3407">
        <v>-0.61446840000000003</v>
      </c>
      <c r="P3407">
        <v>0.85386899999999999</v>
      </c>
      <c r="Q3407">
        <v>0.41473779999999999</v>
      </c>
      <c r="R3407">
        <v>-0.3144844</v>
      </c>
      <c r="S3407">
        <v>3.3486940000000001</v>
      </c>
      <c r="T3407">
        <v>-0.34472969999999997</v>
      </c>
      <c r="U3407">
        <v>-0.92129519999999998</v>
      </c>
      <c r="V3407">
        <v>-0.28213300000000002</v>
      </c>
      <c r="W3407">
        <v>0.42274590000000001</v>
      </c>
      <c r="X3407">
        <v>0.86121239999999999</v>
      </c>
      <c r="Y3407">
        <v>-0.37939980000000001</v>
      </c>
      <c r="Z3407">
        <v>7.0045380000000004E-2</v>
      </c>
      <c r="AA3407">
        <v>0.9225776</v>
      </c>
      <c r="AB3407">
        <v>23</v>
      </c>
      <c r="AC3407">
        <v>10.664499999999901</v>
      </c>
      <c r="AD3407">
        <v>-1.1165474969089999</v>
      </c>
      <c r="AE3407">
        <v>-2.8531000000000102</v>
      </c>
      <c r="AF3407">
        <v>-4.2592175242504604</v>
      </c>
      <c r="AG3407">
        <v>-1.1165474969089999</v>
      </c>
      <c r="AH3407">
        <v>10.0635576469267</v>
      </c>
      <c r="AI3407">
        <v>95.833965080177293</v>
      </c>
      <c r="AJ3407">
        <v>112.93962615055401</v>
      </c>
      <c r="AK3407">
        <v>10.984662249916999</v>
      </c>
      <c r="AL3407">
        <v>64.991929563518696</v>
      </c>
      <c r="AM3407">
        <v>108.138784901251</v>
      </c>
      <c r="AN3407">
        <v>0.99999996178478401</v>
      </c>
    </row>
    <row r="3408" spans="1:40" x14ac:dyDescent="0.25">
      <c r="A3408" t="str">
        <f>"20190304164918378"</f>
        <v>20190304164918378</v>
      </c>
      <c r="B3408" t="str">
        <f>"1551689358369076"</f>
        <v>1551689358369076</v>
      </c>
      <c r="C3408" t="s">
        <v>40</v>
      </c>
      <c r="D3408">
        <v>4.1497000000000002</v>
      </c>
      <c r="E3408">
        <v>0.45853050000000001</v>
      </c>
      <c r="F3408" t="s">
        <v>46</v>
      </c>
      <c r="G3408">
        <v>-469.31880000000001</v>
      </c>
      <c r="H3408" s="1">
        <v>3.4104509999999999E-6</v>
      </c>
      <c r="I3408">
        <v>214.88499999999999</v>
      </c>
      <c r="J3408">
        <v>-479.95760000000001</v>
      </c>
      <c r="K3408">
        <v>1.1166480000000001</v>
      </c>
      <c r="L3408">
        <v>217.55090000000001</v>
      </c>
      <c r="M3408">
        <v>0.79463050000000002</v>
      </c>
      <c r="N3408">
        <v>-1.357331E-2</v>
      </c>
      <c r="O3408">
        <v>-0.60694179999999998</v>
      </c>
      <c r="P3408">
        <v>0.85781679999999905</v>
      </c>
      <c r="Q3408">
        <v>0.4129234</v>
      </c>
      <c r="R3408">
        <v>-0.30601479999999998</v>
      </c>
      <c r="S3408">
        <v>3.3612060000000001</v>
      </c>
      <c r="T3408">
        <v>-0.34638580000000002</v>
      </c>
      <c r="U3408">
        <v>-0.87001039999999996</v>
      </c>
      <c r="V3408">
        <v>-0.28307670000000001</v>
      </c>
      <c r="W3408">
        <v>0.4209639</v>
      </c>
      <c r="X3408">
        <v>0.86177549999999903</v>
      </c>
      <c r="Y3408">
        <v>-0.3845886</v>
      </c>
      <c r="Z3408">
        <v>7.0130520000000002E-2</v>
      </c>
      <c r="AA3408">
        <v>0.92042020000000002</v>
      </c>
      <c r="AB3408">
        <v>23</v>
      </c>
      <c r="AC3408">
        <v>10.6388</v>
      </c>
      <c r="AD3408">
        <v>-1.11664458954899</v>
      </c>
      <c r="AE3408">
        <v>-2.6659000000000201</v>
      </c>
      <c r="AF3408">
        <v>-4.2946098171675402</v>
      </c>
      <c r="AG3408">
        <v>-1.11664458954899</v>
      </c>
      <c r="AH3408">
        <v>9.9695471351104992</v>
      </c>
      <c r="AI3408">
        <v>95.873197036891497</v>
      </c>
      <c r="AJ3408">
        <v>113.305063435121</v>
      </c>
      <c r="AK3408">
        <v>10.9124900320811</v>
      </c>
      <c r="AL3408">
        <v>65.104542983270406</v>
      </c>
      <c r="AM3408">
        <v>108.18435856800301</v>
      </c>
      <c r="AN3408">
        <v>1.00000001779317</v>
      </c>
    </row>
    <row r="3409" spans="1:40" x14ac:dyDescent="0.25">
      <c r="A3409" t="str">
        <f>"20190304164918411"</f>
        <v>20190304164918411</v>
      </c>
      <c r="B3409" t="str">
        <f>"1551689358399333"</f>
        <v>1551689358399333</v>
      </c>
      <c r="C3409" t="s">
        <v>40</v>
      </c>
      <c r="D3409">
        <v>4.1728489999999896</v>
      </c>
      <c r="E3409">
        <v>0.45783570000000001</v>
      </c>
      <c r="F3409" t="s">
        <v>46</v>
      </c>
      <c r="G3409">
        <v>-469.23020000000002</v>
      </c>
      <c r="H3409" s="1">
        <v>3.3621369999999999E-6</v>
      </c>
      <c r="I3409">
        <v>214.91220000000001</v>
      </c>
      <c r="J3409">
        <v>-479.69200000000001</v>
      </c>
      <c r="K3409">
        <v>1.116735</v>
      </c>
      <c r="L3409">
        <v>217.36760000000001</v>
      </c>
      <c r="M3409">
        <v>0.80246139999999999</v>
      </c>
      <c r="N3409">
        <v>-1.3713589999999999E-2</v>
      </c>
      <c r="O3409">
        <v>-0.59654669999999999</v>
      </c>
      <c r="P3409">
        <v>0.86283359999999998</v>
      </c>
      <c r="Q3409">
        <v>0.4108019</v>
      </c>
      <c r="R3409">
        <v>-0.29455049999999999</v>
      </c>
      <c r="S3409">
        <v>3.3703919999999998</v>
      </c>
      <c r="T3409">
        <v>-0.35083249999999999</v>
      </c>
      <c r="U3409">
        <v>-0.82904049999999996</v>
      </c>
      <c r="V3409">
        <v>-0.28400940000000002</v>
      </c>
      <c r="W3409">
        <v>0.41890830000000001</v>
      </c>
      <c r="X3409">
        <v>0.86246999999999996</v>
      </c>
      <c r="Y3409">
        <v>-0.38364559999999998</v>
      </c>
      <c r="Z3409">
        <v>7.0293060000000004E-2</v>
      </c>
      <c r="AA3409">
        <v>0.92080130000000004</v>
      </c>
      <c r="AB3409">
        <v>22</v>
      </c>
      <c r="AC3409">
        <v>10.461799999999901</v>
      </c>
      <c r="AD3409">
        <v>-1.1167316378629999</v>
      </c>
      <c r="AE3409">
        <v>-2.4553999999999898</v>
      </c>
      <c r="AF3409">
        <v>-4.2253583664016396</v>
      </c>
      <c r="AG3409">
        <v>-1.1167316378629999</v>
      </c>
      <c r="AH3409">
        <v>9.7555238305869096</v>
      </c>
      <c r="AI3409">
        <v>95.996482665500906</v>
      </c>
      <c r="AJ3409">
        <v>113.418628198883</v>
      </c>
      <c r="AK3409">
        <v>10.689760899322</v>
      </c>
      <c r="AL3409">
        <v>65.234316976361896</v>
      </c>
      <c r="AM3409">
        <v>108.22659596670201</v>
      </c>
      <c r="AN3409">
        <v>1.0000000019986199</v>
      </c>
    </row>
    <row r="3410" spans="1:40" x14ac:dyDescent="0.25">
      <c r="A3410" t="str">
        <f>"20190304164918433"</f>
        <v>20190304164918433</v>
      </c>
      <c r="B3410" t="str">
        <f>"1551689358429588"</f>
        <v>1551689358429588</v>
      </c>
      <c r="C3410" t="s">
        <v>40</v>
      </c>
      <c r="D3410">
        <v>4.1910920000000003</v>
      </c>
      <c r="E3410">
        <v>0.45773009999999997</v>
      </c>
      <c r="F3410" t="s">
        <v>46</v>
      </c>
      <c r="G3410">
        <v>-469.12639999999999</v>
      </c>
      <c r="H3410" s="1">
        <v>3.3059509999999999E-6</v>
      </c>
      <c r="I3410">
        <v>214.9342</v>
      </c>
      <c r="J3410">
        <v>-479.51249999999999</v>
      </c>
      <c r="K3410">
        <v>1.1167689999999999</v>
      </c>
      <c r="L3410">
        <v>217.2467</v>
      </c>
      <c r="M3410">
        <v>0.80769380000000002</v>
      </c>
      <c r="N3410">
        <v>-1.3796849999999999E-2</v>
      </c>
      <c r="O3410">
        <v>-0.58944079999999999</v>
      </c>
      <c r="P3410">
        <v>0.86633179999999999</v>
      </c>
      <c r="Q3410">
        <v>0.40906670000000001</v>
      </c>
      <c r="R3410">
        <v>-0.28659010000000001</v>
      </c>
      <c r="S3410">
        <v>3.3812259999999998</v>
      </c>
      <c r="T3410">
        <v>-0.35738150000000002</v>
      </c>
      <c r="U3410">
        <v>-0.77876279999999998</v>
      </c>
      <c r="V3410">
        <v>-0.28483350000000002</v>
      </c>
      <c r="W3410">
        <v>0.41722369999999998</v>
      </c>
      <c r="X3410">
        <v>0.86301459999999997</v>
      </c>
      <c r="Y3410">
        <v>-0.3889765</v>
      </c>
      <c r="Z3410">
        <v>7.1472729999999998E-2</v>
      </c>
      <c r="AA3410">
        <v>0.91847100000000004</v>
      </c>
      <c r="AB3410">
        <v>22</v>
      </c>
      <c r="AC3410">
        <v>10.386100000000001</v>
      </c>
      <c r="AD3410">
        <v>-1.1167656940490001</v>
      </c>
      <c r="AE3410">
        <v>-2.3125</v>
      </c>
      <c r="AF3410">
        <v>-4.2082478299907198</v>
      </c>
      <c r="AG3410">
        <v>-1.1167656940490001</v>
      </c>
      <c r="AH3410">
        <v>9.6465364735595198</v>
      </c>
      <c r="AI3410">
        <v>96.057051969205801</v>
      </c>
      <c r="AJ3410">
        <v>113.568968552447</v>
      </c>
      <c r="AK3410">
        <v>10.58358074329</v>
      </c>
      <c r="AL3410">
        <v>65.340567459542598</v>
      </c>
      <c r="AM3410">
        <v>108.265205817828</v>
      </c>
      <c r="AN3410">
        <v>0.99999996918854905</v>
      </c>
    </row>
    <row r="3411" spans="1:40" x14ac:dyDescent="0.25">
      <c r="A3411" t="str">
        <f>"20190304164918454"</f>
        <v>20190304164918454</v>
      </c>
      <c r="B3411" t="str">
        <f>"1551689358449108"</f>
        <v>1551689358449108</v>
      </c>
      <c r="C3411" t="s">
        <v>40</v>
      </c>
      <c r="D3411">
        <v>4.228942</v>
      </c>
      <c r="E3411">
        <v>0.45786189999999999</v>
      </c>
      <c r="F3411" t="s">
        <v>46</v>
      </c>
      <c r="G3411">
        <v>-469.14920000000001</v>
      </c>
      <c r="H3411" s="1">
        <v>3.3165689999999999E-6</v>
      </c>
      <c r="I3411">
        <v>214.96860000000001</v>
      </c>
      <c r="J3411">
        <v>-479.33390000000003</v>
      </c>
      <c r="K3411">
        <v>1.116781</v>
      </c>
      <c r="L3411">
        <v>217.12870000000001</v>
      </c>
      <c r="M3411">
        <v>0.81284209999999901</v>
      </c>
      <c r="N3411">
        <v>-1.3870810000000001E-2</v>
      </c>
      <c r="O3411">
        <v>-0.58231899999999903</v>
      </c>
      <c r="P3411">
        <v>0.86940799999999996</v>
      </c>
      <c r="Q3411">
        <v>0.40805419999999998</v>
      </c>
      <c r="R3411">
        <v>-0.27860669999999998</v>
      </c>
      <c r="S3411">
        <v>3.388855</v>
      </c>
      <c r="T3411">
        <v>-0.36519049999999997</v>
      </c>
      <c r="U3411">
        <v>-0.74496459999999998</v>
      </c>
      <c r="V3411">
        <v>-0.28546939999999998</v>
      </c>
      <c r="W3411">
        <v>0.4162614</v>
      </c>
      <c r="X3411">
        <v>0.86326919999999996</v>
      </c>
      <c r="Y3411">
        <v>-0.38988719999999999</v>
      </c>
      <c r="Z3411">
        <v>7.2648009999999999E-2</v>
      </c>
      <c r="AA3411">
        <v>0.91799249999999999</v>
      </c>
      <c r="AB3411">
        <v>22</v>
      </c>
      <c r="AC3411">
        <v>10.184699999999999</v>
      </c>
      <c r="AD3411">
        <v>-1.1167776834309999</v>
      </c>
      <c r="AE3411">
        <v>-2.1600999999999999</v>
      </c>
      <c r="AF3411">
        <v>-4.1278304088804898</v>
      </c>
      <c r="AG3411">
        <v>-1.1167776834309999</v>
      </c>
      <c r="AH3411">
        <v>9.4288481397962798</v>
      </c>
      <c r="AI3411">
        <v>96.192404948784898</v>
      </c>
      <c r="AJ3411">
        <v>113.64319502572</v>
      </c>
      <c r="AK3411">
        <v>10.353229135010301</v>
      </c>
      <c r="AL3411">
        <v>65.401222568725899</v>
      </c>
      <c r="AM3411">
        <v>108.29822961391</v>
      </c>
      <c r="AN3411">
        <v>1.00000002156747</v>
      </c>
    </row>
    <row r="3412" spans="1:40" x14ac:dyDescent="0.25">
      <c r="A3412" t="str">
        <f>"20190304164918477"</f>
        <v>20190304164918477</v>
      </c>
      <c r="B3412" t="str">
        <f>"1551689358469605"</f>
        <v>1551689358469605</v>
      </c>
      <c r="C3412" t="s">
        <v>40</v>
      </c>
      <c r="D3412">
        <v>4.2128809999999897</v>
      </c>
      <c r="E3412">
        <v>0.4581712</v>
      </c>
      <c r="F3412" t="s">
        <v>46</v>
      </c>
      <c r="G3412">
        <v>-469.04930000000002</v>
      </c>
      <c r="H3412" s="1">
        <v>3.263363E-6</v>
      </c>
      <c r="I3412">
        <v>214.96969999999999</v>
      </c>
      <c r="J3412">
        <v>-479.14679999999998</v>
      </c>
      <c r="K3412">
        <v>1.1167929999999999</v>
      </c>
      <c r="L3412">
        <v>217.0077</v>
      </c>
      <c r="M3412">
        <v>0.81816739999999999</v>
      </c>
      <c r="N3412">
        <v>-1.3940330000000001E-2</v>
      </c>
      <c r="O3412">
        <v>-0.57481110000000002</v>
      </c>
      <c r="P3412">
        <v>0.87212479999999903</v>
      </c>
      <c r="Q3412">
        <v>0.40788390000000002</v>
      </c>
      <c r="R3412">
        <v>-0.2702386</v>
      </c>
      <c r="S3412">
        <v>3.3953250000000001</v>
      </c>
      <c r="T3412">
        <v>-0.36869030000000003</v>
      </c>
      <c r="U3412">
        <v>-0.71276859999999997</v>
      </c>
      <c r="V3412">
        <v>-0.2858734</v>
      </c>
      <c r="W3412">
        <v>0.4161396</v>
      </c>
      <c r="X3412">
        <v>0.86319419999999902</v>
      </c>
      <c r="Y3412">
        <v>-0.3900457</v>
      </c>
      <c r="Z3412">
        <v>7.2825710000000002E-2</v>
      </c>
      <c r="AA3412">
        <v>0.91791109999999998</v>
      </c>
      <c r="AB3412">
        <v>22</v>
      </c>
      <c r="AC3412">
        <v>10.097499999999901</v>
      </c>
      <c r="AD3412">
        <v>-1.1167897366370001</v>
      </c>
      <c r="AE3412">
        <v>-2.03800000000001</v>
      </c>
      <c r="AF3412">
        <v>-4.0890701868214503</v>
      </c>
      <c r="AG3412">
        <v>-1.1167897366370001</v>
      </c>
      <c r="AH3412">
        <v>9.3242327142201997</v>
      </c>
      <c r="AI3412">
        <v>96.259676806268601</v>
      </c>
      <c r="AJ3412">
        <v>113.679482259137</v>
      </c>
      <c r="AK3412">
        <v>10.2425109234769</v>
      </c>
      <c r="AL3412">
        <v>65.408896882355407</v>
      </c>
      <c r="AM3412">
        <v>108.323882517271</v>
      </c>
      <c r="AN3412">
        <v>0.99999999721467903</v>
      </c>
    </row>
    <row r="3413" spans="1:40" x14ac:dyDescent="0.25">
      <c r="A3413" t="str">
        <f>"20190304164918499"</f>
        <v>20190304164918499</v>
      </c>
      <c r="B3413" t="str">
        <f>"1551689358489125"</f>
        <v>1551689358489125</v>
      </c>
      <c r="C3413" t="s">
        <v>40</v>
      </c>
      <c r="D3413">
        <v>4.2640479999999998</v>
      </c>
      <c r="E3413">
        <v>0.45853080000000002</v>
      </c>
      <c r="F3413" t="s">
        <v>46</v>
      </c>
      <c r="G3413">
        <v>-468.86880000000002</v>
      </c>
      <c r="H3413" s="1">
        <v>3.1683709999999999E-6</v>
      </c>
      <c r="I3413">
        <v>214.94550000000001</v>
      </c>
      <c r="J3413">
        <v>-478.96109999999999</v>
      </c>
      <c r="K3413">
        <v>1.116808</v>
      </c>
      <c r="L3413">
        <v>216.89019999999999</v>
      </c>
      <c r="M3413">
        <v>0.82338519999999904</v>
      </c>
      <c r="N3413">
        <v>-1.400201E-2</v>
      </c>
      <c r="O3413">
        <v>-0.56730999999999998</v>
      </c>
      <c r="P3413">
        <v>0.87420869999999995</v>
      </c>
      <c r="Q3413">
        <v>0.40871239999999998</v>
      </c>
      <c r="R3413">
        <v>-0.26213189999999997</v>
      </c>
      <c r="S3413">
        <v>3.4012449999999999</v>
      </c>
      <c r="T3413">
        <v>-0.36957489999999998</v>
      </c>
      <c r="U3413">
        <v>-0.68243409999999904</v>
      </c>
      <c r="V3413">
        <v>-0.28580070000000002</v>
      </c>
      <c r="W3413">
        <v>0.41701050000000001</v>
      </c>
      <c r="X3413">
        <v>0.86279789999999901</v>
      </c>
      <c r="Y3413">
        <v>-0.38982480000000003</v>
      </c>
      <c r="Z3413">
        <v>7.241976E-2</v>
      </c>
      <c r="AA3413">
        <v>0.91803710000000005</v>
      </c>
      <c r="AB3413">
        <v>22</v>
      </c>
      <c r="AC3413">
        <v>10.0922999999999</v>
      </c>
      <c r="AD3413">
        <v>-1.116804831629</v>
      </c>
      <c r="AE3413">
        <v>-1.9446999999999799</v>
      </c>
      <c r="AF3413">
        <v>-4.0764987244730904</v>
      </c>
      <c r="AG3413">
        <v>-1.116804831629</v>
      </c>
      <c r="AH3413">
        <v>9.3041669799213498</v>
      </c>
      <c r="AI3413">
        <v>96.274080946862796</v>
      </c>
      <c r="AJ3413">
        <v>113.65999885839</v>
      </c>
      <c r="AK3413">
        <v>10.219227860892399</v>
      </c>
      <c r="AL3413">
        <v>65.354008974435502</v>
      </c>
      <c r="AM3413">
        <v>108.32738609024599</v>
      </c>
      <c r="AN3413">
        <v>1.0000000067375701</v>
      </c>
    </row>
    <row r="3414" spans="1:40" x14ac:dyDescent="0.25">
      <c r="A3414" t="str">
        <f>"20190304164918523"</f>
        <v>20190304164918523</v>
      </c>
      <c r="B3414" t="str">
        <f>"1551689358519381"</f>
        <v>1551689358519381</v>
      </c>
      <c r="C3414" t="s">
        <v>40</v>
      </c>
      <c r="D3414">
        <v>4.2066309999999998</v>
      </c>
      <c r="E3414">
        <v>0.45923340000000001</v>
      </c>
      <c r="F3414" t="s">
        <v>46</v>
      </c>
      <c r="G3414">
        <v>-468.57889999999998</v>
      </c>
      <c r="H3414" s="1">
        <v>3.0161319999999998E-6</v>
      </c>
      <c r="I3414">
        <v>214.89830000000001</v>
      </c>
      <c r="J3414">
        <v>-478.7697</v>
      </c>
      <c r="K3414">
        <v>1.116822</v>
      </c>
      <c r="L3414">
        <v>216.7715</v>
      </c>
      <c r="M3414">
        <v>0.82868519999999901</v>
      </c>
      <c r="N3414">
        <v>-1.4057989999999999E-2</v>
      </c>
      <c r="O3414">
        <v>-0.55953889999999995</v>
      </c>
      <c r="P3414">
        <v>0.87621610000000005</v>
      </c>
      <c r="Q3414">
        <v>0.40923959999999998</v>
      </c>
      <c r="R3414">
        <v>-0.2544978</v>
      </c>
      <c r="S3414">
        <v>3.4070130000000001</v>
      </c>
      <c r="T3414">
        <v>-0.3664888</v>
      </c>
      <c r="U3414">
        <v>-0.65364069999999996</v>
      </c>
      <c r="V3414">
        <v>-0.285085799999999</v>
      </c>
      <c r="W3414">
        <v>0.41758859999999998</v>
      </c>
      <c r="X3414">
        <v>0.86275480000000004</v>
      </c>
      <c r="Y3414">
        <v>-0.38905390000000001</v>
      </c>
      <c r="Z3414">
        <v>7.112475E-2</v>
      </c>
      <c r="AA3414">
        <v>0.91846519999999998</v>
      </c>
      <c r="AB3414">
        <v>22</v>
      </c>
      <c r="AC3414">
        <v>10.190799999999999</v>
      </c>
      <c r="AD3414">
        <v>-1.116818983868</v>
      </c>
      <c r="AE3414">
        <v>-1.87319999999999</v>
      </c>
      <c r="AF3414">
        <v>-4.1026022954724297</v>
      </c>
      <c r="AG3414">
        <v>-1.116818983868</v>
      </c>
      <c r="AH3414">
        <v>9.3849973772529705</v>
      </c>
      <c r="AI3414">
        <v>96.222797091597201</v>
      </c>
      <c r="AJ3414">
        <v>113.612291027316</v>
      </c>
      <c r="AK3414">
        <v>10.3032424997468</v>
      </c>
      <c r="AL3414">
        <v>65.317560893036301</v>
      </c>
      <c r="AM3414">
        <v>108.285447936314</v>
      </c>
      <c r="AN3414">
        <v>0.99999999856732003</v>
      </c>
    </row>
    <row r="3415" spans="1:40" x14ac:dyDescent="0.25">
      <c r="A3415" t="str">
        <f>"20190304164918545"</f>
        <v>20190304164918545</v>
      </c>
      <c r="B3415" t="str">
        <f>"1551689358538901"</f>
        <v>1551689358538901</v>
      </c>
      <c r="C3415" t="s">
        <v>40</v>
      </c>
      <c r="D3415">
        <v>4.2266659999999998</v>
      </c>
      <c r="E3415">
        <v>0.45975050000000001</v>
      </c>
      <c r="F3415" t="s">
        <v>46</v>
      </c>
      <c r="G3415">
        <v>-468.31009999999998</v>
      </c>
      <c r="H3415" s="1">
        <v>2.875262E-6</v>
      </c>
      <c r="I3415">
        <v>214.8493</v>
      </c>
      <c r="J3415">
        <v>-478.58170000000001</v>
      </c>
      <c r="K3415">
        <v>1.1168359999999999</v>
      </c>
      <c r="L3415">
        <v>216.6574</v>
      </c>
      <c r="M3415">
        <v>0.83381550000000004</v>
      </c>
      <c r="N3415">
        <v>-1.4105980000000001E-2</v>
      </c>
      <c r="O3415">
        <v>-0.55186329999999995</v>
      </c>
      <c r="P3415">
        <v>0.87801759999999995</v>
      </c>
      <c r="Q3415">
        <v>0.40987230000000002</v>
      </c>
      <c r="R3415">
        <v>-0.24716379999999999</v>
      </c>
      <c r="S3415">
        <v>3.4118650000000001</v>
      </c>
      <c r="T3415">
        <v>-0.36430289999999999</v>
      </c>
      <c r="U3415">
        <v>-0.62701419999999997</v>
      </c>
      <c r="V3415">
        <v>-0.28418680000000002</v>
      </c>
      <c r="W3415">
        <v>0.41826609999999997</v>
      </c>
      <c r="X3415">
        <v>0.86272320000000002</v>
      </c>
      <c r="Y3415">
        <v>-0.38781199999999999</v>
      </c>
      <c r="Z3415">
        <v>7.0014649999999998E-2</v>
      </c>
      <c r="AA3415">
        <v>0.91907550000000005</v>
      </c>
      <c r="AB3415">
        <v>22</v>
      </c>
      <c r="AC3415">
        <v>10.271599999999999</v>
      </c>
      <c r="AD3415">
        <v>-1.1168331247379999</v>
      </c>
      <c r="AE3415">
        <v>-1.80809999999999</v>
      </c>
      <c r="AF3415">
        <v>-4.1141340016286296</v>
      </c>
      <c r="AG3415">
        <v>-1.1168331247379999</v>
      </c>
      <c r="AH3415">
        <v>9.4549734564307002</v>
      </c>
      <c r="AI3415">
        <v>96.1817061127785</v>
      </c>
      <c r="AJ3415">
        <v>113.515259397682</v>
      </c>
      <c r="AK3415">
        <v>10.3715928320426</v>
      </c>
      <c r="AL3415">
        <v>65.274832392587697</v>
      </c>
      <c r="AM3415">
        <v>108.232229161014</v>
      </c>
      <c r="AN3415">
        <v>0.99999999376084503</v>
      </c>
    </row>
    <row r="3416" spans="1:40" x14ac:dyDescent="0.25">
      <c r="A3416" t="str">
        <f>"20190304164918567"</f>
        <v>20190304164918567</v>
      </c>
      <c r="B3416" t="str">
        <f>"1551689358559397"</f>
        <v>1551689358559397</v>
      </c>
      <c r="C3416" t="s">
        <v>40</v>
      </c>
      <c r="D3416">
        <v>4.2138299999999997</v>
      </c>
      <c r="E3416">
        <v>0.46029490000000001</v>
      </c>
      <c r="F3416" t="s">
        <v>46</v>
      </c>
      <c r="G3416">
        <v>-468.06200000000001</v>
      </c>
      <c r="H3416" s="1">
        <v>2.7453140000000002E-6</v>
      </c>
      <c r="I3416">
        <v>214.8013</v>
      </c>
      <c r="J3416">
        <v>-478.39699999999999</v>
      </c>
      <c r="K3416">
        <v>1.116857</v>
      </c>
      <c r="L3416">
        <v>216.54769999999999</v>
      </c>
      <c r="M3416">
        <v>0.83879349999999997</v>
      </c>
      <c r="N3416">
        <v>-1.414806E-2</v>
      </c>
      <c r="O3416">
        <v>-0.54426600000000003</v>
      </c>
      <c r="P3416">
        <v>0.88014969999999904</v>
      </c>
      <c r="Q3416">
        <v>0.40958539999999999</v>
      </c>
      <c r="R3416">
        <v>-0.239951</v>
      </c>
      <c r="S3416">
        <v>3.4164119999999998</v>
      </c>
      <c r="T3416">
        <v>-0.3627069</v>
      </c>
      <c r="U3416">
        <v>-0.60281370000000001</v>
      </c>
      <c r="V3416">
        <v>-0.2835124</v>
      </c>
      <c r="W3416">
        <v>0.41801700000000003</v>
      </c>
      <c r="X3416">
        <v>0.86306579999999999</v>
      </c>
      <c r="Y3416">
        <v>-0.386048</v>
      </c>
      <c r="Z3416">
        <v>6.9002759999999996E-2</v>
      </c>
      <c r="AA3416">
        <v>0.91989430000000005</v>
      </c>
      <c r="AB3416">
        <v>22</v>
      </c>
      <c r="AC3416">
        <v>10.335000000000001</v>
      </c>
      <c r="AD3416">
        <v>-1.1168542546860001</v>
      </c>
      <c r="AE3416">
        <v>-1.74639999999999</v>
      </c>
      <c r="AF3416">
        <v>-4.1138282033378202</v>
      </c>
      <c r="AG3416">
        <v>-1.1168542546860001</v>
      </c>
      <c r="AH3416">
        <v>9.5123962144074099</v>
      </c>
      <c r="AI3416">
        <v>96.150713312127294</v>
      </c>
      <c r="AJ3416">
        <v>113.38704562645999</v>
      </c>
      <c r="AK3416">
        <v>10.423848984547901</v>
      </c>
      <c r="AL3416">
        <v>65.2905453292788</v>
      </c>
      <c r="AM3416">
        <v>108.18506930078399</v>
      </c>
      <c r="AN3416">
        <v>1.0000000341861901</v>
      </c>
    </row>
    <row r="3417" spans="1:40" x14ac:dyDescent="0.25">
      <c r="A3417" t="str">
        <f>"20190304164918590"</f>
        <v>20190304164918590</v>
      </c>
      <c r="B3417" t="str">
        <f>"1551689358578917"</f>
        <v>1551689358578917</v>
      </c>
      <c r="C3417" t="s">
        <v>40</v>
      </c>
      <c r="D3417">
        <v>4.2143560000000004</v>
      </c>
      <c r="E3417">
        <v>0.46085100000000001</v>
      </c>
      <c r="F3417" t="s">
        <v>46</v>
      </c>
      <c r="G3417">
        <v>-467.92509999999999</v>
      </c>
      <c r="H3417" s="1">
        <v>2.6734959999999998E-6</v>
      </c>
      <c r="I3417">
        <v>214.77799999999999</v>
      </c>
      <c r="J3417">
        <v>-478.20030000000003</v>
      </c>
      <c r="K3417">
        <v>1.1168910000000001</v>
      </c>
      <c r="L3417">
        <v>216.43340000000001</v>
      </c>
      <c r="M3417">
        <v>0.84404120000000005</v>
      </c>
      <c r="N3417">
        <v>-1.418927E-2</v>
      </c>
      <c r="O3417">
        <v>-0.53609069999999903</v>
      </c>
      <c r="P3417">
        <v>0.88222040000000002</v>
      </c>
      <c r="Q3417">
        <v>0.40954119999999999</v>
      </c>
      <c r="R3417">
        <v>-0.23229949999999999</v>
      </c>
      <c r="S3417">
        <v>3.420715</v>
      </c>
      <c r="T3417">
        <v>-0.36482700000000001</v>
      </c>
      <c r="U3417">
        <v>-0.57809449999999996</v>
      </c>
      <c r="V3417">
        <v>-0.28265689999999999</v>
      </c>
      <c r="W3417">
        <v>0.41800359999999998</v>
      </c>
      <c r="X3417">
        <v>0.86335280000000003</v>
      </c>
      <c r="Y3417">
        <v>-0.38373829999999998</v>
      </c>
      <c r="Z3417">
        <v>6.8673219999999993E-2</v>
      </c>
      <c r="AA3417">
        <v>0.92088479999999995</v>
      </c>
      <c r="AB3417">
        <v>22</v>
      </c>
      <c r="AC3417">
        <v>10.2752</v>
      </c>
      <c r="AD3417">
        <v>-1.1168883265039999</v>
      </c>
      <c r="AE3417">
        <v>-1.65540000000001</v>
      </c>
      <c r="AF3417">
        <v>-4.0648156655642804</v>
      </c>
      <c r="AG3417">
        <v>-1.1168883265039999</v>
      </c>
      <c r="AH3417">
        <v>9.4522443786443802</v>
      </c>
      <c r="AI3417">
        <v>96.195175720074104</v>
      </c>
      <c r="AJ3417">
        <v>113.269498265889</v>
      </c>
      <c r="AK3417">
        <v>10.3496420093891</v>
      </c>
      <c r="AL3417">
        <v>65.291389438921698</v>
      </c>
      <c r="AM3417">
        <v>108.128158593042</v>
      </c>
      <c r="AN3417">
        <v>0.999999994999204</v>
      </c>
    </row>
    <row r="3418" spans="1:40" x14ac:dyDescent="0.25">
      <c r="A3418" t="str">
        <f>"20190304164918614"</f>
        <v>20190304164918614</v>
      </c>
      <c r="B3418" t="str">
        <f>"1551689358609172"</f>
        <v>1551689358609172</v>
      </c>
      <c r="C3418" t="s">
        <v>40</v>
      </c>
      <c r="D3418">
        <v>4.2056420000000001</v>
      </c>
      <c r="E3418">
        <v>0.44591039999999998</v>
      </c>
      <c r="F3418" t="s">
        <v>46</v>
      </c>
      <c r="G3418">
        <v>-467.75130000000001</v>
      </c>
      <c r="H3418" s="1">
        <v>2.582267E-6</v>
      </c>
      <c r="I3418">
        <v>214.74940000000001</v>
      </c>
      <c r="J3418">
        <v>-477.99860000000001</v>
      </c>
      <c r="K3418">
        <v>1.1169370000000001</v>
      </c>
      <c r="L3418">
        <v>216.31890000000001</v>
      </c>
      <c r="M3418">
        <v>0.84936460000000003</v>
      </c>
      <c r="N3418">
        <v>-1.4228859999999999E-2</v>
      </c>
      <c r="O3418">
        <v>-0.52761480000000005</v>
      </c>
      <c r="P3418">
        <v>0.88461119999999904</v>
      </c>
      <c r="Q3418">
        <v>0.40912799999999999</v>
      </c>
      <c r="R3418">
        <v>-0.22377929999999999</v>
      </c>
      <c r="S3418">
        <v>3.4250790000000002</v>
      </c>
      <c r="T3418">
        <v>-0.36610759999999998</v>
      </c>
      <c r="U3418">
        <v>-0.55198669999999905</v>
      </c>
      <c r="V3418">
        <v>-0.2824797</v>
      </c>
      <c r="W3418">
        <v>0.41760160000000002</v>
      </c>
      <c r="X3418">
        <v>0.86360530000000002</v>
      </c>
      <c r="Y3418">
        <v>-0.38154260000000001</v>
      </c>
      <c r="Z3418">
        <v>6.8146970000000001E-2</v>
      </c>
      <c r="AA3418">
        <v>0.92183579999999998</v>
      </c>
      <c r="AB3418">
        <v>22</v>
      </c>
      <c r="AC3418">
        <v>10.2472999999999</v>
      </c>
      <c r="AD3418">
        <v>-1.1169344177330001</v>
      </c>
      <c r="AE3418">
        <v>-1.5694999999999999</v>
      </c>
      <c r="AF3418">
        <v>-4.0272128775898004</v>
      </c>
      <c r="AG3418">
        <v>-1.1169344177330001</v>
      </c>
      <c r="AH3418">
        <v>9.4233614743787992</v>
      </c>
      <c r="AI3418">
        <v>96.220239914487905</v>
      </c>
      <c r="AJ3418">
        <v>113.140157495975</v>
      </c>
      <c r="AK3418">
        <v>10.308526933163</v>
      </c>
      <c r="AL3418">
        <v>65.316741075478703</v>
      </c>
      <c r="AM3418">
        <v>108.112585451355</v>
      </c>
      <c r="AN3418">
        <v>0.99999999571136999</v>
      </c>
    </row>
    <row r="3419" spans="1:40" x14ac:dyDescent="0.25">
      <c r="A3419" t="str">
        <f>"20190304164918633"</f>
        <v>20190304164918633</v>
      </c>
      <c r="B3419" t="str">
        <f>"1551689358629669"</f>
        <v>1551689358629669</v>
      </c>
      <c r="C3419" t="s">
        <v>40</v>
      </c>
      <c r="D3419">
        <v>4.1983459999999999</v>
      </c>
      <c r="E3419">
        <v>0.44114049999999999</v>
      </c>
      <c r="F3419" t="s">
        <v>46</v>
      </c>
      <c r="G3419">
        <v>-464.1696</v>
      </c>
      <c r="H3419" s="1">
        <v>6.775855E-7</v>
      </c>
      <c r="I3419">
        <v>214.71879999999999</v>
      </c>
      <c r="J3419">
        <v>-477.83760000000001</v>
      </c>
      <c r="K3419">
        <v>1.116981</v>
      </c>
      <c r="L3419">
        <v>216.22970000000001</v>
      </c>
      <c r="M3419">
        <v>0.85358429999999996</v>
      </c>
      <c r="N3419">
        <v>-1.4258659999999999E-2</v>
      </c>
      <c r="O3419">
        <v>-0.52075930000000004</v>
      </c>
      <c r="P3419">
        <v>0.88643959999999999</v>
      </c>
      <c r="Q3419">
        <v>0.40895160000000003</v>
      </c>
      <c r="R3419">
        <v>-0.216756</v>
      </c>
      <c r="S3419">
        <v>3.4190369999999999</v>
      </c>
      <c r="T3419">
        <v>-0.27614840000000002</v>
      </c>
      <c r="U3419">
        <v>-0.39559939999999999</v>
      </c>
      <c r="V3419">
        <v>-0.28246159999999998</v>
      </c>
      <c r="W3419">
        <v>0.41742299999999899</v>
      </c>
      <c r="X3419">
        <v>0.86369750000000001</v>
      </c>
      <c r="Y3419">
        <v>-0.41671930000000001</v>
      </c>
      <c r="Z3419">
        <v>5.1885140000000003E-2</v>
      </c>
      <c r="AA3419">
        <v>0.90755330000000001</v>
      </c>
      <c r="AB3419">
        <v>22</v>
      </c>
      <c r="AC3419">
        <v>13.667999999999999</v>
      </c>
      <c r="AD3419">
        <v>-1.1169803224145001</v>
      </c>
      <c r="AE3419">
        <v>-1.5109000000000199</v>
      </c>
      <c r="AF3419">
        <v>-5.7904461282645903</v>
      </c>
      <c r="AG3419">
        <v>-1.1169803224145001</v>
      </c>
      <c r="AH3419">
        <v>12.373235891820199</v>
      </c>
      <c r="AI3419">
        <v>94.674302467200206</v>
      </c>
      <c r="AJ3419">
        <v>115.07872690539</v>
      </c>
      <c r="AK3419">
        <v>13.706709227222399</v>
      </c>
      <c r="AL3419">
        <v>65.328001240559502</v>
      </c>
      <c r="AM3419">
        <v>108.10969348058801</v>
      </c>
      <c r="AN3419">
        <v>0.99999994395490299</v>
      </c>
    </row>
    <row r="3420" spans="1:40" x14ac:dyDescent="0.25">
      <c r="A3420" t="str">
        <f>"20190304164918656"</f>
        <v>20190304164918656</v>
      </c>
      <c r="B3420" t="str">
        <f>"1551689358649190"</f>
        <v>1551689358649190</v>
      </c>
      <c r="C3420" t="s">
        <v>40</v>
      </c>
      <c r="D3420">
        <v>4.2133050000000001</v>
      </c>
      <c r="E3420">
        <v>0.44040020000000002</v>
      </c>
      <c r="F3420" t="s">
        <v>46</v>
      </c>
      <c r="G3420">
        <v>-464.89049999999997</v>
      </c>
      <c r="H3420" s="1">
        <v>1.0503389999999999E-6</v>
      </c>
      <c r="I3420">
        <v>214.96770000000001</v>
      </c>
      <c r="J3420">
        <v>-477.63510000000002</v>
      </c>
      <c r="K3420">
        <v>1.1170439999999999</v>
      </c>
      <c r="L3420">
        <v>216.1199</v>
      </c>
      <c r="M3420">
        <v>0.85885210000000001</v>
      </c>
      <c r="N3420">
        <v>-1.4294370000000001E-2</v>
      </c>
      <c r="O3420">
        <v>-0.51202440000000005</v>
      </c>
      <c r="P3420">
        <v>0.88873869999999899</v>
      </c>
      <c r="Q3420">
        <v>0.40855760000000002</v>
      </c>
      <c r="R3420">
        <v>-0.2079049</v>
      </c>
      <c r="S3420">
        <v>3.43927</v>
      </c>
      <c r="T3420">
        <v>-0.29671609999999998</v>
      </c>
      <c r="U3420">
        <v>-0.33523560000000002</v>
      </c>
      <c r="V3420">
        <v>-0.28241709999999998</v>
      </c>
      <c r="W3420">
        <v>0.41701919999999998</v>
      </c>
      <c r="X3420">
        <v>0.86390719999999999</v>
      </c>
      <c r="Y3420">
        <v>-0.423404</v>
      </c>
      <c r="Z3420">
        <v>5.5662250000000003E-2</v>
      </c>
      <c r="AA3420">
        <v>0.90422930000000001</v>
      </c>
      <c r="AB3420">
        <v>22</v>
      </c>
      <c r="AC3420">
        <v>12.7446</v>
      </c>
      <c r="AD3420">
        <v>-1.1170429496609999</v>
      </c>
      <c r="AE3420">
        <v>-1.1521999999999899</v>
      </c>
      <c r="AF3420">
        <v>-5.4946726402833503</v>
      </c>
      <c r="AG3420">
        <v>-1.1170429496609999</v>
      </c>
      <c r="AH3420">
        <v>11.4496128222514</v>
      </c>
      <c r="AI3420">
        <v>95.026656329471706</v>
      </c>
      <c r="AJ3420">
        <v>115.636362983493</v>
      </c>
      <c r="AK3420">
        <v>12.748837051069801</v>
      </c>
      <c r="AL3420">
        <v>65.353461435916202</v>
      </c>
      <c r="AM3420">
        <v>108.10291819013401</v>
      </c>
      <c r="AN3420">
        <v>1.00000004087644</v>
      </c>
    </row>
    <row r="3421" spans="1:40" x14ac:dyDescent="0.25">
      <c r="A3421" t="str">
        <f>"20190304164918678"</f>
        <v>20190304164918678</v>
      </c>
      <c r="B3421" t="str">
        <f>"1551689358669685"</f>
        <v>1551689358669685</v>
      </c>
      <c r="C3421" t="s">
        <v>40</v>
      </c>
      <c r="D3421">
        <v>4.215808</v>
      </c>
      <c r="E3421">
        <v>0.44075969999999998</v>
      </c>
      <c r="F3421" t="s">
        <v>41</v>
      </c>
      <c r="G3421">
        <v>-476.6309</v>
      </c>
      <c r="H3421">
        <v>1.027641</v>
      </c>
      <c r="I3421">
        <v>216.03360000000001</v>
      </c>
      <c r="J3421">
        <v>-477.45030000000003</v>
      </c>
      <c r="K3421">
        <v>1.1171070000000001</v>
      </c>
      <c r="L3421">
        <v>216.0224</v>
      </c>
      <c r="M3421">
        <v>0.86362209999999995</v>
      </c>
      <c r="N3421">
        <v>-1.43252E-2</v>
      </c>
      <c r="O3421">
        <v>-0.5039363</v>
      </c>
      <c r="P3421">
        <v>0.89083369999999995</v>
      </c>
      <c r="Q3421">
        <v>0.40809709999999899</v>
      </c>
      <c r="R3421">
        <v>-0.19968050000000001</v>
      </c>
      <c r="S3421">
        <v>3.4473880000000001</v>
      </c>
      <c r="T3421">
        <v>-0.30689569999999999</v>
      </c>
      <c r="U3421">
        <v>-0.29614259999999998</v>
      </c>
      <c r="V3421">
        <v>-0.28245310000000001</v>
      </c>
      <c r="W3421">
        <v>0.41654629999999998</v>
      </c>
      <c r="X3421">
        <v>0.86412350000000004</v>
      </c>
      <c r="Y3421">
        <v>-0.42508299999999999</v>
      </c>
      <c r="Z3421">
        <v>5.7227449999999999E-2</v>
      </c>
      <c r="AA3421">
        <v>0.90334349999999997</v>
      </c>
      <c r="AB3421">
        <v>22</v>
      </c>
      <c r="AC3421">
        <v>0.81940000000002999</v>
      </c>
      <c r="AD3421">
        <v>-8.9466000000000004E-2</v>
      </c>
      <c r="AE3421">
        <v>1.12000000000023E-2</v>
      </c>
      <c r="AF3421">
        <v>-0.41766314692423301</v>
      </c>
      <c r="AG3421">
        <v>-8.9466000000000004E-2</v>
      </c>
      <c r="AH3421">
        <v>0.69381027002193296</v>
      </c>
      <c r="AI3421">
        <v>96.304234350808002</v>
      </c>
      <c r="AJ3421">
        <v>121.04729601367001</v>
      </c>
      <c r="AK3421">
        <v>0.814751103247219</v>
      </c>
      <c r="AL3421">
        <v>65.383267793844098</v>
      </c>
      <c r="AM3421">
        <v>108.10083892496</v>
      </c>
      <c r="AN3421">
        <v>0.99999999849777499</v>
      </c>
    </row>
    <row r="3422" spans="1:40" x14ac:dyDescent="0.25">
      <c r="A3422" t="str">
        <f>"20190304164918700"</f>
        <v>20190304164918700</v>
      </c>
      <c r="B3422" t="str">
        <f>"1551689358689208"</f>
        <v>1551689358689208</v>
      </c>
      <c r="C3422" t="s">
        <v>40</v>
      </c>
      <c r="D3422">
        <v>4.22079</v>
      </c>
      <c r="E3422">
        <v>0.4416659</v>
      </c>
      <c r="F3422" t="s">
        <v>41</v>
      </c>
      <c r="G3422">
        <v>-476.4513</v>
      </c>
      <c r="H3422">
        <v>1.0259210000000001</v>
      </c>
      <c r="I3422">
        <v>215.94489999999999</v>
      </c>
      <c r="J3422">
        <v>-477.26010000000002</v>
      </c>
      <c r="K3422">
        <v>1.1171709999999999</v>
      </c>
      <c r="L3422">
        <v>215.92449999999999</v>
      </c>
      <c r="M3422">
        <v>0.86848400000000003</v>
      </c>
      <c r="N3422">
        <v>-1.4354399999999899E-2</v>
      </c>
      <c r="O3422">
        <v>-0.4955097</v>
      </c>
      <c r="P3422">
        <v>0.89296439999999999</v>
      </c>
      <c r="Q3422">
        <v>0.40760540000000001</v>
      </c>
      <c r="R3422">
        <v>-0.19097919999999999</v>
      </c>
      <c r="S3422">
        <v>3.4520870000000001</v>
      </c>
      <c r="T3422">
        <v>-0.31505569999999999</v>
      </c>
      <c r="U3422">
        <v>-0.26702880000000001</v>
      </c>
      <c r="V3422">
        <v>-0.28263820000000001</v>
      </c>
      <c r="W3422">
        <v>0.41604209999999903</v>
      </c>
      <c r="X3422">
        <v>0.86430589999999996</v>
      </c>
      <c r="Y3422">
        <v>-0.42381269999999999</v>
      </c>
      <c r="Z3422">
        <v>5.8213470000000003E-2</v>
      </c>
      <c r="AA3422">
        <v>0.90387720000000005</v>
      </c>
      <c r="AB3422">
        <v>22</v>
      </c>
      <c r="AC3422">
        <v>0.80880000000001895</v>
      </c>
      <c r="AD3422">
        <v>-9.1249999999999998E-2</v>
      </c>
      <c r="AE3422">
        <v>2.0399999999994999E-2</v>
      </c>
      <c r="AF3422">
        <v>-0.41327130748004598</v>
      </c>
      <c r="AG3422">
        <v>-9.1249999999999998E-2</v>
      </c>
      <c r="AH3422">
        <v>0.68369565801557997</v>
      </c>
      <c r="AI3422">
        <v>96.516101693973894</v>
      </c>
      <c r="AJ3422">
        <v>121.15156750695</v>
      </c>
      <c r="AK3422">
        <v>0.80408922942396399</v>
      </c>
      <c r="AL3422">
        <v>65.415041274489099</v>
      </c>
      <c r="AM3422">
        <v>108.10835383684299</v>
      </c>
      <c r="AN3422">
        <v>1.0000000349232201</v>
      </c>
    </row>
    <row r="3423" spans="1:40" x14ac:dyDescent="0.25">
      <c r="A3423" t="str">
        <f>"20190304164918723"</f>
        <v>20190304164918723</v>
      </c>
      <c r="B3423" t="str">
        <f>"1551689358719461"</f>
        <v>1551689358719461</v>
      </c>
      <c r="C3423" t="s">
        <v>40</v>
      </c>
      <c r="D3423">
        <v>4.282165</v>
      </c>
      <c r="E3423">
        <v>0.44330789999999998</v>
      </c>
      <c r="F3423" t="s">
        <v>41</v>
      </c>
      <c r="G3423">
        <v>-476.24059999999997</v>
      </c>
      <c r="H3423">
        <v>1.0222709999999999</v>
      </c>
      <c r="I3423">
        <v>215.85339999999999</v>
      </c>
      <c r="J3423">
        <v>-477.06900000000002</v>
      </c>
      <c r="K3423">
        <v>1.1172169999999999</v>
      </c>
      <c r="L3423">
        <v>215.82849999999999</v>
      </c>
      <c r="M3423">
        <v>0.873316599999999</v>
      </c>
      <c r="N3423">
        <v>-1.4380560000000001E-2</v>
      </c>
      <c r="O3423">
        <v>-0.48694110000000002</v>
      </c>
      <c r="P3423">
        <v>0.89487709999999998</v>
      </c>
      <c r="Q3423">
        <v>0.40758290000000003</v>
      </c>
      <c r="R3423">
        <v>-0.1818553</v>
      </c>
      <c r="S3423">
        <v>3.4549259999999999</v>
      </c>
      <c r="T3423">
        <v>-0.32162750000000001</v>
      </c>
      <c r="U3423">
        <v>-0.24072270000000001</v>
      </c>
      <c r="V3423">
        <v>-0.28301079999999901</v>
      </c>
      <c r="W3423">
        <v>0.41600389999999998</v>
      </c>
      <c r="X3423">
        <v>0.86420229999999998</v>
      </c>
      <c r="Y3423">
        <v>-0.42170249999999998</v>
      </c>
      <c r="Z3423">
        <v>5.8819339999999998E-2</v>
      </c>
      <c r="AA3423">
        <v>0.90482439999999997</v>
      </c>
      <c r="AB3423">
        <v>22</v>
      </c>
      <c r="AC3423">
        <v>0.82840000000004399</v>
      </c>
      <c r="AD3423">
        <v>-9.4945999999999905E-2</v>
      </c>
      <c r="AE3423">
        <v>2.4900000000002299E-2</v>
      </c>
      <c r="AF3423">
        <v>-0.41966363528432898</v>
      </c>
      <c r="AG3423">
        <v>-9.4945999999999905E-2</v>
      </c>
      <c r="AH3423">
        <v>0.70218825610898195</v>
      </c>
      <c r="AI3423">
        <v>96.620442895298098</v>
      </c>
      <c r="AJ3423">
        <v>120.864699685494</v>
      </c>
      <c r="AK3423">
        <v>0.82352939031550698</v>
      </c>
      <c r="AL3423">
        <v>65.417446877782098</v>
      </c>
      <c r="AM3423">
        <v>108.132696133718</v>
      </c>
      <c r="AN3423">
        <v>0.99999998652857003</v>
      </c>
    </row>
    <row r="3424" spans="1:40" x14ac:dyDescent="0.25">
      <c r="A3424" t="str">
        <f>"20190304164918745"</f>
        <v>20190304164918745</v>
      </c>
      <c r="B3424" t="str">
        <f>"1551689358738981"</f>
        <v>1551689358738981</v>
      </c>
      <c r="C3424" t="s">
        <v>40</v>
      </c>
      <c r="D3424">
        <v>4.2776339999999999</v>
      </c>
      <c r="E3424">
        <v>0.44456570000000001</v>
      </c>
      <c r="F3424" t="s">
        <v>46</v>
      </c>
      <c r="G3424">
        <v>-465.31169999999997</v>
      </c>
      <c r="H3424" s="1">
        <v>1.2694150000000001E-6</v>
      </c>
      <c r="I3424">
        <v>215.08330000000001</v>
      </c>
      <c r="J3424">
        <v>-476.88170000000002</v>
      </c>
      <c r="K3424">
        <v>1.117265</v>
      </c>
      <c r="L3424">
        <v>215.73679999999999</v>
      </c>
      <c r="M3424">
        <v>0.87799910000000003</v>
      </c>
      <c r="N3424">
        <v>-1.44037E-2</v>
      </c>
      <c r="O3424">
        <v>-0.47844560000000003</v>
      </c>
      <c r="P3424">
        <v>0.89672169999999896</v>
      </c>
      <c r="Q3424">
        <v>0.40742</v>
      </c>
      <c r="R3424">
        <v>-0.17291379999999901</v>
      </c>
      <c r="S3424">
        <v>3.4575499999999999</v>
      </c>
      <c r="T3424">
        <v>-0.3285478</v>
      </c>
      <c r="U3424">
        <v>-0.2191467</v>
      </c>
      <c r="V3424">
        <v>-0.28332869999999999</v>
      </c>
      <c r="W3424">
        <v>0.41582910000000001</v>
      </c>
      <c r="X3424">
        <v>0.86418229999999996</v>
      </c>
      <c r="Y3424">
        <v>-0.41847050000000002</v>
      </c>
      <c r="Z3424">
        <v>5.9394669999999997E-2</v>
      </c>
      <c r="AA3424">
        <v>0.90628620000000004</v>
      </c>
      <c r="AB3424">
        <v>22</v>
      </c>
      <c r="AC3424">
        <v>11.57</v>
      </c>
      <c r="AD3424">
        <v>-1.1172637305849999</v>
      </c>
      <c r="AE3424">
        <v>-0.65349999999997899</v>
      </c>
      <c r="AF3424">
        <v>-4.9166561933960304</v>
      </c>
      <c r="AG3424">
        <v>-1.1172637305849999</v>
      </c>
      <c r="AH3424">
        <v>10.3757544487903</v>
      </c>
      <c r="AI3424">
        <v>95.557844465656203</v>
      </c>
      <c r="AJ3424">
        <v>115.354406972197</v>
      </c>
      <c r="AK3424">
        <v>11.5359467209818</v>
      </c>
      <c r="AL3424">
        <v>65.428460812622603</v>
      </c>
      <c r="AM3424">
        <v>108.152121659386</v>
      </c>
      <c r="AN3424">
        <v>1.0000000201418899</v>
      </c>
    </row>
    <row r="3425" spans="1:40" x14ac:dyDescent="0.25">
      <c r="A3425" t="str">
        <f>"20190304164918768"</f>
        <v>20190304164918768</v>
      </c>
      <c r="B3425" t="str">
        <f>"1551689358759479"</f>
        <v>1551689358759479</v>
      </c>
      <c r="C3425" t="s">
        <v>40</v>
      </c>
      <c r="D3425">
        <v>4.295013</v>
      </c>
      <c r="E3425">
        <v>0.45554729999999999</v>
      </c>
      <c r="F3425" t="s">
        <v>46</v>
      </c>
      <c r="G3425">
        <v>-465.3143</v>
      </c>
      <c r="H3425" s="1">
        <v>1.2709209999999999E-6</v>
      </c>
      <c r="I3425">
        <v>215.08019999999999</v>
      </c>
      <c r="J3425">
        <v>-476.68009999999998</v>
      </c>
      <c r="K3425">
        <v>1.1173139999999999</v>
      </c>
      <c r="L3425">
        <v>215.64070000000001</v>
      </c>
      <c r="M3425">
        <v>0.88297440000000005</v>
      </c>
      <c r="N3425">
        <v>-1.442715E-2</v>
      </c>
      <c r="O3425">
        <v>-0.46919919999999998</v>
      </c>
      <c r="P3425">
        <v>0.89804349999999999</v>
      </c>
      <c r="Q3425">
        <v>0.4082518</v>
      </c>
      <c r="R3425">
        <v>-0.16385469999999999</v>
      </c>
      <c r="S3425">
        <v>3.459473</v>
      </c>
      <c r="T3425">
        <v>-0.33413949999999998</v>
      </c>
      <c r="U3425">
        <v>-0.1963654</v>
      </c>
      <c r="V3425">
        <v>-0.28284920000000002</v>
      </c>
      <c r="W3425">
        <v>0.41665809999999998</v>
      </c>
      <c r="X3425">
        <v>0.86393999999999904</v>
      </c>
      <c r="Y3425">
        <v>-0.4148404</v>
      </c>
      <c r="Z3425">
        <v>5.9614670000000002E-2</v>
      </c>
      <c r="AA3425">
        <v>0.9079391</v>
      </c>
      <c r="AB3425">
        <v>22</v>
      </c>
      <c r="AC3425">
        <v>11.365799999999901</v>
      </c>
      <c r="AD3425">
        <v>-1.1173127290789999</v>
      </c>
      <c r="AE3425">
        <v>-0.56050000000001798</v>
      </c>
      <c r="AF3425">
        <v>-4.7922222226574798</v>
      </c>
      <c r="AG3425">
        <v>-1.1173127290789999</v>
      </c>
      <c r="AH3425">
        <v>10.201423766510599</v>
      </c>
      <c r="AI3425">
        <v>95.661350376774806</v>
      </c>
      <c r="AJ3425">
        <v>115.162266906262</v>
      </c>
      <c r="AK3425">
        <v>11.3262009707502</v>
      </c>
      <c r="AL3425">
        <v>65.376221134062703</v>
      </c>
      <c r="AM3425">
        <v>108.128161826932</v>
      </c>
      <c r="AN3425">
        <v>0.99999998291812398</v>
      </c>
    </row>
    <row r="3426" spans="1:40" x14ac:dyDescent="0.25">
      <c r="A3426" t="str">
        <f>"20190304164918792"</f>
        <v>20190304164918792</v>
      </c>
      <c r="B3426" t="str">
        <f>"1551689358789736"</f>
        <v>1551689358789736</v>
      </c>
      <c r="C3426" t="s">
        <v>40</v>
      </c>
      <c r="D3426">
        <v>4.321898</v>
      </c>
      <c r="E3426">
        <v>0.45737319999999998</v>
      </c>
      <c r="F3426" t="s">
        <v>46</v>
      </c>
      <c r="G3426">
        <v>-466.17579999999998</v>
      </c>
      <c r="H3426" s="1">
        <v>1.738179E-6</v>
      </c>
      <c r="I3426">
        <v>214.87880000000001</v>
      </c>
      <c r="J3426">
        <v>-476.46980000000002</v>
      </c>
      <c r="K3426">
        <v>1.117362</v>
      </c>
      <c r="L3426">
        <v>215.54329999999999</v>
      </c>
      <c r="M3426">
        <v>0.8880844</v>
      </c>
      <c r="N3426">
        <v>-1.445011E-2</v>
      </c>
      <c r="O3426">
        <v>-0.45945330000000001</v>
      </c>
      <c r="P3426">
        <v>0.8992694</v>
      </c>
      <c r="Q3426">
        <v>0.40916229999999998</v>
      </c>
      <c r="R3426">
        <v>-0.1545977</v>
      </c>
      <c r="S3426">
        <v>3.4621580000000001</v>
      </c>
      <c r="T3426">
        <v>-0.36825859999999999</v>
      </c>
      <c r="U3426">
        <v>-0.2511292</v>
      </c>
      <c r="V3426">
        <v>-0.2820957</v>
      </c>
      <c r="W3426">
        <v>0.41757169999999999</v>
      </c>
      <c r="X3426">
        <v>0.86374530000000005</v>
      </c>
      <c r="Y3426">
        <v>-0.38983679999999998</v>
      </c>
      <c r="Z3426">
        <v>6.3663880000000006E-2</v>
      </c>
      <c r="AA3426">
        <v>0.91868070000000002</v>
      </c>
      <c r="AB3426">
        <v>22</v>
      </c>
      <c r="AC3426">
        <v>10.294</v>
      </c>
      <c r="AD3426">
        <v>-1.1173602618209999</v>
      </c>
      <c r="AE3426">
        <v>-0.664499999999975</v>
      </c>
      <c r="AF3426">
        <v>-4.0919017140556297</v>
      </c>
      <c r="AG3426">
        <v>-1.1173602618209999</v>
      </c>
      <c r="AH3426">
        <v>9.3386624953668402</v>
      </c>
      <c r="AI3426">
        <v>96.254102950770402</v>
      </c>
      <c r="AJ3426">
        <v>113.66148758914299</v>
      </c>
      <c r="AK3426">
        <v>10.2568401954285</v>
      </c>
      <c r="AL3426">
        <v>65.318627270661807</v>
      </c>
      <c r="AM3426">
        <v>108.08682719678799</v>
      </c>
      <c r="AN3426">
        <v>1.00000002593573</v>
      </c>
    </row>
    <row r="3427" spans="1:40" x14ac:dyDescent="0.25">
      <c r="A3427" t="str">
        <f>"20190304164918818"</f>
        <v>20190304164918818</v>
      </c>
      <c r="B3427" t="str">
        <f>"1551689358809257"</f>
        <v>1551689358809257</v>
      </c>
      <c r="C3427" t="s">
        <v>40</v>
      </c>
      <c r="D3427">
        <v>4.3181620000000001</v>
      </c>
      <c r="E3427">
        <v>0.45837470000000002</v>
      </c>
      <c r="F3427" t="s">
        <v>46</v>
      </c>
      <c r="G3427">
        <v>-465.97969999999998</v>
      </c>
      <c r="H3427" s="1">
        <v>1.6352480000000001E-6</v>
      </c>
      <c r="I3427">
        <v>214.84649999999999</v>
      </c>
      <c r="J3427">
        <v>-476.2491</v>
      </c>
      <c r="K3427">
        <v>1.117402</v>
      </c>
      <c r="L3427">
        <v>215.4443</v>
      </c>
      <c r="M3427">
        <v>0.89334639999999998</v>
      </c>
      <c r="N3427">
        <v>-1.447143E-2</v>
      </c>
      <c r="O3427">
        <v>-0.44913589999999998</v>
      </c>
      <c r="P3427">
        <v>0.90035580000000004</v>
      </c>
      <c r="Q3427">
        <v>0.41007369999999999</v>
      </c>
      <c r="R3427">
        <v>-0.14560010000000001</v>
      </c>
      <c r="S3427">
        <v>3.4643860000000002</v>
      </c>
      <c r="T3427">
        <v>-0.36901299999999998</v>
      </c>
      <c r="U3427">
        <v>-0.23011780000000001</v>
      </c>
      <c r="V3427">
        <v>-0.2805783</v>
      </c>
      <c r="W3427">
        <v>0.41850209999999999</v>
      </c>
      <c r="X3427">
        <v>0.86378920000000003</v>
      </c>
      <c r="Y3427">
        <v>-0.38481900000000002</v>
      </c>
      <c r="Z3427">
        <v>6.2661099999999997E-2</v>
      </c>
      <c r="AA3427">
        <v>0.92086259999999998</v>
      </c>
      <c r="AB3427">
        <v>22</v>
      </c>
      <c r="AC3427">
        <v>10.269399999999999</v>
      </c>
      <c r="AD3427">
        <v>-1.1174003647519899</v>
      </c>
      <c r="AE3427">
        <v>-0.59780000000000599</v>
      </c>
      <c r="AF3427">
        <v>-4.03117502627099</v>
      </c>
      <c r="AG3427">
        <v>-1.1174003647519899</v>
      </c>
      <c r="AH3427">
        <v>9.3334834965998201</v>
      </c>
      <c r="AI3427">
        <v>96.272007846015896</v>
      </c>
      <c r="AJ3427">
        <v>113.35974090536</v>
      </c>
      <c r="AK3427">
        <v>10.2280433049963</v>
      </c>
      <c r="AL3427">
        <v>65.2599447652442</v>
      </c>
      <c r="AM3427">
        <v>107.99497066306</v>
      </c>
      <c r="AN3427">
        <v>0.99999998608596996</v>
      </c>
    </row>
    <row r="3428" spans="1:40" x14ac:dyDescent="0.25">
      <c r="A3428" t="str">
        <f>"20190304164918847"</f>
        <v>20190304164918847</v>
      </c>
      <c r="B3428" t="str">
        <f>"1551689358839512"</f>
        <v>1551689358839512</v>
      </c>
      <c r="C3428" t="s">
        <v>40</v>
      </c>
      <c r="D3428">
        <v>4.3316410000000003</v>
      </c>
      <c r="E3428">
        <v>0.46471050000000003</v>
      </c>
      <c r="F3428" t="s">
        <v>46</v>
      </c>
      <c r="G3428">
        <v>-465.76409999999998</v>
      </c>
      <c r="H3428" s="1">
        <v>1.5210830000000001E-6</v>
      </c>
      <c r="I3428">
        <v>214.834</v>
      </c>
      <c r="J3428">
        <v>-475.98500000000001</v>
      </c>
      <c r="K3428">
        <v>1.1174269999999999</v>
      </c>
      <c r="L3428">
        <v>215.33009999999999</v>
      </c>
      <c r="M3428">
        <v>0.8994953</v>
      </c>
      <c r="N3428">
        <v>-1.4491779999999999E-2</v>
      </c>
      <c r="O3428">
        <v>-0.43669010000000003</v>
      </c>
      <c r="P3428">
        <v>0.90177300000000005</v>
      </c>
      <c r="Q3428">
        <v>0.4107114</v>
      </c>
      <c r="R3428">
        <v>-0.13461709999999999</v>
      </c>
      <c r="S3428">
        <v>3.4676209999999998</v>
      </c>
      <c r="T3428">
        <v>-0.36954949999999998</v>
      </c>
      <c r="U3428">
        <v>-0.2018433</v>
      </c>
      <c r="V3428">
        <v>-0.2790089</v>
      </c>
      <c r="W3428">
        <v>0.4191685</v>
      </c>
      <c r="X3428">
        <v>0.86397449999999998</v>
      </c>
      <c r="Y3428">
        <v>-0.37962089999999998</v>
      </c>
      <c r="Z3428">
        <v>6.1415589999999999E-2</v>
      </c>
      <c r="AA3428">
        <v>0.92310139999999996</v>
      </c>
      <c r="AB3428">
        <v>22</v>
      </c>
      <c r="AC3428">
        <v>10.2209</v>
      </c>
      <c r="AD3428">
        <v>-1.1174254789169999</v>
      </c>
      <c r="AE3428">
        <v>-0.496099999999984</v>
      </c>
      <c r="AF3428">
        <v>-3.9702056525850198</v>
      </c>
      <c r="AG3428">
        <v>-1.1174254789169999</v>
      </c>
      <c r="AH3428">
        <v>9.3003799826625002</v>
      </c>
      <c r="AI3428">
        <v>96.305663485395698</v>
      </c>
      <c r="AJ3428">
        <v>113.11697647531599</v>
      </c>
      <c r="AK3428">
        <v>10.1738999624854</v>
      </c>
      <c r="AL3428">
        <v>65.217899229934304</v>
      </c>
      <c r="AM3428">
        <v>107.89716191265499</v>
      </c>
      <c r="AN3428">
        <v>1.00000006716085</v>
      </c>
    </row>
    <row r="3429" spans="1:40" x14ac:dyDescent="0.25">
      <c r="A3429" t="str">
        <f>"20190304164918869"</f>
        <v>20190304164918869</v>
      </c>
      <c r="B3429" t="str">
        <f>"1551689358859032"</f>
        <v>1551689358859032</v>
      </c>
      <c r="C3429" t="s">
        <v>40</v>
      </c>
      <c r="D3429">
        <v>4.3451599999999999</v>
      </c>
      <c r="E3429">
        <v>0.46566869999999999</v>
      </c>
      <c r="F3429" t="s">
        <v>46</v>
      </c>
      <c r="G3429">
        <v>-465.98219999999998</v>
      </c>
      <c r="H3429" s="1">
        <v>1.6418680000000001E-6</v>
      </c>
      <c r="I3429">
        <v>214.72579999999999</v>
      </c>
      <c r="J3429">
        <v>-475.79320000000001</v>
      </c>
      <c r="K3429">
        <v>1.117437</v>
      </c>
      <c r="L3429">
        <v>215.2499</v>
      </c>
      <c r="M3429">
        <v>0.90384889999999996</v>
      </c>
      <c r="N3429">
        <v>-1.450303E-2</v>
      </c>
      <c r="O3429">
        <v>-0.42760629999999999</v>
      </c>
      <c r="P3429">
        <v>0.90278389999999997</v>
      </c>
      <c r="Q3429">
        <v>0.41115299999999999</v>
      </c>
      <c r="R3429">
        <v>-0.1262335</v>
      </c>
      <c r="S3429">
        <v>3.4721069999999998</v>
      </c>
      <c r="T3429">
        <v>-0.38787509999999997</v>
      </c>
      <c r="U3429">
        <v>-0.20976259999999999</v>
      </c>
      <c r="V3429">
        <v>-0.27824919999999997</v>
      </c>
      <c r="W3429">
        <v>0.41963030000000001</v>
      </c>
      <c r="X3429">
        <v>0.86399530000000002</v>
      </c>
      <c r="Y3429">
        <v>-0.36795519999999998</v>
      </c>
      <c r="Z3429">
        <v>6.301698E-2</v>
      </c>
      <c r="AA3429">
        <v>0.92770569999999997</v>
      </c>
      <c r="AB3429">
        <v>22</v>
      </c>
      <c r="AC3429">
        <v>9.8110000000000301</v>
      </c>
      <c r="AD3429">
        <v>-1.117435358132</v>
      </c>
      <c r="AE3429">
        <v>-0.52410000000000401</v>
      </c>
      <c r="AF3429">
        <v>-3.6743991429051301</v>
      </c>
      <c r="AG3429">
        <v>-1.117435358132</v>
      </c>
      <c r="AH3429">
        <v>8.9766086401357992</v>
      </c>
      <c r="AI3429">
        <v>96.571800215011194</v>
      </c>
      <c r="AJ3429">
        <v>112.260779135749</v>
      </c>
      <c r="AK3429">
        <v>9.7636762297377597</v>
      </c>
      <c r="AL3429">
        <v>65.188752130951599</v>
      </c>
      <c r="AM3429">
        <v>107.851124950005</v>
      </c>
      <c r="AN3429">
        <v>1.0000000422004001</v>
      </c>
    </row>
    <row r="3430" spans="1:40" x14ac:dyDescent="0.25">
      <c r="A3430" t="str">
        <f>"20190304164918892"</f>
        <v>20190304164918892</v>
      </c>
      <c r="B3430" t="str">
        <f>"1551689358889288"</f>
        <v>1551689358889288</v>
      </c>
      <c r="C3430" t="s">
        <v>40</v>
      </c>
      <c r="D3430">
        <v>4.4071009999999999</v>
      </c>
      <c r="E3430">
        <v>0.46878700000000001</v>
      </c>
      <c r="F3430" t="s">
        <v>46</v>
      </c>
      <c r="G3430">
        <v>-465.8304</v>
      </c>
      <c r="H3430" s="1">
        <v>1.561447E-6</v>
      </c>
      <c r="I3430">
        <v>214.71789999999999</v>
      </c>
      <c r="J3430">
        <v>-475.601</v>
      </c>
      <c r="K3430">
        <v>1.117434</v>
      </c>
      <c r="L3430">
        <v>215.17169999999999</v>
      </c>
      <c r="M3430">
        <v>0.90811299999999995</v>
      </c>
      <c r="N3430">
        <v>-1.451155E-2</v>
      </c>
      <c r="O3430">
        <v>-0.41847390000000001</v>
      </c>
      <c r="P3430">
        <v>0.90370640000000002</v>
      </c>
      <c r="Q3430">
        <v>0.41135050000000001</v>
      </c>
      <c r="R3430">
        <v>-0.1187666</v>
      </c>
      <c r="S3430">
        <v>3.4746090000000001</v>
      </c>
      <c r="T3430">
        <v>-0.38971610000000001</v>
      </c>
      <c r="U3430">
        <v>-0.18554689999999999</v>
      </c>
      <c r="V3430">
        <v>-0.27662560000000003</v>
      </c>
      <c r="W3430">
        <v>0.41987269999999999</v>
      </c>
      <c r="X3430">
        <v>0.86439880000000002</v>
      </c>
      <c r="Y3430">
        <v>-0.36509520000000001</v>
      </c>
      <c r="Z3430">
        <v>6.2341720000000003E-2</v>
      </c>
      <c r="AA3430">
        <v>0.9288805</v>
      </c>
      <c r="AB3430">
        <v>22</v>
      </c>
      <c r="AC3430">
        <v>9.7706</v>
      </c>
      <c r="AD3430">
        <v>-1.1174324385529999</v>
      </c>
      <c r="AE3430">
        <v>-0.45380000000000098</v>
      </c>
      <c r="AF3430">
        <v>-3.6296533674912599</v>
      </c>
      <c r="AG3430">
        <v>-1.1174324385529999</v>
      </c>
      <c r="AH3430">
        <v>8.9468943484884793</v>
      </c>
      <c r="AI3430">
        <v>96.601740233384405</v>
      </c>
      <c r="AJ3430">
        <v>112.081835480199</v>
      </c>
      <c r="AK3430">
        <v>9.7195656953325997</v>
      </c>
      <c r="AL3430">
        <v>65.173450451338894</v>
      </c>
      <c r="AM3430">
        <v>107.745752941839</v>
      </c>
      <c r="AN3430">
        <v>1.0000000461110401</v>
      </c>
    </row>
    <row r="3431" spans="1:40" x14ac:dyDescent="0.25">
      <c r="A3431" t="str">
        <f>"20190304164918913"</f>
        <v>20190304164918913</v>
      </c>
      <c r="B3431" t="str">
        <f>"1551689358908808"</f>
        <v>1551689358908808</v>
      </c>
      <c r="C3431" t="s">
        <v>40</v>
      </c>
      <c r="D3431">
        <v>4.3605309999999999</v>
      </c>
      <c r="E3431">
        <v>0.50388920000000004</v>
      </c>
      <c r="F3431" t="s">
        <v>46</v>
      </c>
      <c r="G3431">
        <v>-465.79349999999999</v>
      </c>
      <c r="H3431" s="1">
        <v>1.5440820000000001E-6</v>
      </c>
      <c r="I3431">
        <v>214.6652</v>
      </c>
      <c r="J3431">
        <v>-475.40249999999997</v>
      </c>
      <c r="K3431">
        <v>1.1174189999999999</v>
      </c>
      <c r="L3431">
        <v>215.0934</v>
      </c>
      <c r="M3431">
        <v>0.9124063</v>
      </c>
      <c r="N3431">
        <v>-1.4517800000000001E-2</v>
      </c>
      <c r="O3431">
        <v>-0.40902840000000001</v>
      </c>
      <c r="P3431">
        <v>0.90440960000000004</v>
      </c>
      <c r="Q3431">
        <v>0.41177710000000001</v>
      </c>
      <c r="R3431">
        <v>-0.1117276</v>
      </c>
      <c r="S3431">
        <v>3.4763489999999999</v>
      </c>
      <c r="T3431">
        <v>-0.39608470000000001</v>
      </c>
      <c r="U3431">
        <v>-0.1795349</v>
      </c>
      <c r="V3431">
        <v>-0.27427400000000002</v>
      </c>
      <c r="W3431">
        <v>0.42036129999999999</v>
      </c>
      <c r="X3431">
        <v>0.86491049999999903</v>
      </c>
      <c r="Y3431">
        <v>-0.357014099999999</v>
      </c>
      <c r="Z3431">
        <v>6.2029510000000003E-2</v>
      </c>
      <c r="AA3431">
        <v>0.93203720000000001</v>
      </c>
      <c r="AB3431">
        <v>22</v>
      </c>
      <c r="AC3431">
        <v>9.6089999999999804</v>
      </c>
      <c r="AD3431">
        <v>-1.1174174559179999</v>
      </c>
      <c r="AE3431">
        <v>-0.42820000000000302</v>
      </c>
      <c r="AF3431">
        <v>-3.4928932051777202</v>
      </c>
      <c r="AG3431">
        <v>-1.1174174559179999</v>
      </c>
      <c r="AH3431">
        <v>8.8243045184732303</v>
      </c>
      <c r="AI3431">
        <v>96.7151594469358</v>
      </c>
      <c r="AJ3431">
        <v>111.594969900501</v>
      </c>
      <c r="AK3431">
        <v>9.5560072702104009</v>
      </c>
      <c r="AL3431">
        <v>65.1426003332043</v>
      </c>
      <c r="AM3431">
        <v>107.59447624620501</v>
      </c>
      <c r="AN3431">
        <v>1.00000001131197</v>
      </c>
    </row>
    <row r="3432" spans="1:40" x14ac:dyDescent="0.25">
      <c r="A3432" t="str">
        <f>"20190304164918946"</f>
        <v>20190304164918946</v>
      </c>
      <c r="B3432" t="str">
        <f>"1551689358939065"</f>
        <v>1551689358939065</v>
      </c>
      <c r="C3432" t="s">
        <v>40</v>
      </c>
      <c r="D3432">
        <v>4.3303469999999997</v>
      </c>
      <c r="E3432">
        <v>0.50620810000000005</v>
      </c>
      <c r="F3432" t="s">
        <v>46</v>
      </c>
      <c r="G3432">
        <v>-466.339</v>
      </c>
      <c r="H3432" s="1">
        <v>1.864648E-6</v>
      </c>
      <c r="I3432">
        <v>213.9725</v>
      </c>
      <c r="J3432">
        <v>-475.11169999999998</v>
      </c>
      <c r="K3432">
        <v>1.1173729999999999</v>
      </c>
      <c r="L3432">
        <v>214.98320000000001</v>
      </c>
      <c r="M3432">
        <v>0.91848640000000004</v>
      </c>
      <c r="N3432">
        <v>-1.452291E-2</v>
      </c>
      <c r="O3432">
        <v>-0.39518589999999998</v>
      </c>
      <c r="P3432">
        <v>0.90583049999999998</v>
      </c>
      <c r="Q3432">
        <v>0.4119968</v>
      </c>
      <c r="R3432">
        <v>-9.8639690000000002E-2</v>
      </c>
      <c r="S3432">
        <v>3.4583740000000001</v>
      </c>
      <c r="T3432">
        <v>-0.42637589999999997</v>
      </c>
      <c r="U3432">
        <v>-0.42768859999999997</v>
      </c>
      <c r="V3432">
        <v>-0.27361869999999999</v>
      </c>
      <c r="W3432">
        <v>0.42062349999999998</v>
      </c>
      <c r="X3432">
        <v>0.86499059999999905</v>
      </c>
      <c r="Y3432">
        <v>-0.275101599999999</v>
      </c>
      <c r="Z3432">
        <v>6.0026500000000003E-2</v>
      </c>
      <c r="AA3432">
        <v>0.95953940000000004</v>
      </c>
      <c r="AB3432">
        <v>22</v>
      </c>
      <c r="AC3432">
        <v>8.7726999999999808</v>
      </c>
      <c r="AD3432">
        <v>-1.1173711353519999</v>
      </c>
      <c r="AE3432">
        <v>-1.0107000000000099</v>
      </c>
      <c r="AF3432">
        <v>-2.4987941375542402</v>
      </c>
      <c r="AG3432">
        <v>-1.1173711353519999</v>
      </c>
      <c r="AH3432">
        <v>8.3246311566455997</v>
      </c>
      <c r="AI3432">
        <v>97.325648369523705</v>
      </c>
      <c r="AJ3432">
        <v>106.70811421195501</v>
      </c>
      <c r="AK3432">
        <v>8.7631030057958306</v>
      </c>
      <c r="AL3432">
        <v>65.126042887895295</v>
      </c>
      <c r="AM3432">
        <v>107.55349813014099</v>
      </c>
      <c r="AN3432">
        <v>1.0000000299151399</v>
      </c>
    </row>
    <row r="3433" spans="1:40" x14ac:dyDescent="0.25">
      <c r="A3433" t="str">
        <f>"20190304164918968"</f>
        <v>20190304164918968</v>
      </c>
      <c r="B3433" t="str">
        <f>"1551689358959560"</f>
        <v>1551689358959560</v>
      </c>
      <c r="C3433" t="s">
        <v>40</v>
      </c>
      <c r="D3433">
        <v>4.3702079999999999</v>
      </c>
      <c r="E3433">
        <v>0.50707029999999997</v>
      </c>
      <c r="F3433" t="s">
        <v>46</v>
      </c>
      <c r="G3433">
        <v>-466.1096</v>
      </c>
      <c r="H3433" s="1">
        <v>1.743474E-6</v>
      </c>
      <c r="I3433">
        <v>213.9522</v>
      </c>
      <c r="J3433">
        <v>-474.91829999999999</v>
      </c>
      <c r="K3433">
        <v>1.1173470000000001</v>
      </c>
      <c r="L3433">
        <v>214.9126</v>
      </c>
      <c r="M3433">
        <v>0.92239249999999995</v>
      </c>
      <c r="N3433">
        <v>-1.452444E-2</v>
      </c>
      <c r="O3433">
        <v>-0.38598070000000001</v>
      </c>
      <c r="P3433">
        <v>0.9062943</v>
      </c>
      <c r="Q3433">
        <v>0.4128638</v>
      </c>
      <c r="R3433">
        <v>-9.0410110000000002E-2</v>
      </c>
      <c r="S3433">
        <v>3.4642029999999999</v>
      </c>
      <c r="T3433">
        <v>-0.42998969999999997</v>
      </c>
      <c r="U3433">
        <v>-0.39675899999999997</v>
      </c>
      <c r="V3433">
        <v>-0.27264820000000001</v>
      </c>
      <c r="W3433">
        <v>0.42152309999999998</v>
      </c>
      <c r="X3433">
        <v>0.86485909999999999</v>
      </c>
      <c r="Y3433">
        <v>-0.27412409999999998</v>
      </c>
      <c r="Z3433">
        <v>5.9538109999999998E-2</v>
      </c>
      <c r="AA3433">
        <v>0.95984950000000002</v>
      </c>
      <c r="AB3433">
        <v>22</v>
      </c>
      <c r="AC3433">
        <v>8.8086999999999804</v>
      </c>
      <c r="AD3433">
        <v>-1.11734525652599</v>
      </c>
      <c r="AE3433">
        <v>-0.96039999999999204</v>
      </c>
      <c r="AF3433">
        <v>-2.47503268154597</v>
      </c>
      <c r="AG3433">
        <v>-1.11734525652599</v>
      </c>
      <c r="AH3433">
        <v>8.3636817730784898</v>
      </c>
      <c r="AI3433">
        <v>97.300027763941998</v>
      </c>
      <c r="AJ3433">
        <v>106.48486656574801</v>
      </c>
      <c r="AK3433">
        <v>8.7934873627206098</v>
      </c>
      <c r="AL3433">
        <v>65.069215808258306</v>
      </c>
      <c r="AM3433">
        <v>107.497539817673</v>
      </c>
      <c r="AN3433">
        <v>1.0000000138248299</v>
      </c>
    </row>
    <row r="3434" spans="1:40" x14ac:dyDescent="0.25">
      <c r="A3434" t="str">
        <f>"20190304164918994"</f>
        <v>20190304164918994</v>
      </c>
      <c r="B3434" t="str">
        <f>"1551689358988840"</f>
        <v>1551689358988840</v>
      </c>
      <c r="C3434" t="s">
        <v>40</v>
      </c>
      <c r="D3434">
        <v>4.3482200000000004</v>
      </c>
      <c r="E3434">
        <v>0.50846559999999996</v>
      </c>
      <c r="F3434" t="s">
        <v>46</v>
      </c>
      <c r="G3434">
        <v>-465.83049999999997</v>
      </c>
      <c r="H3434" s="1">
        <v>1.5955870000000001E-6</v>
      </c>
      <c r="I3434">
        <v>213.93719999999999</v>
      </c>
      <c r="J3434">
        <v>-474.69040000000001</v>
      </c>
      <c r="K3434">
        <v>1.1173120000000001</v>
      </c>
      <c r="L3434">
        <v>214.83199999999999</v>
      </c>
      <c r="M3434">
        <v>0.92685660000000003</v>
      </c>
      <c r="N3434">
        <v>-1.452466E-2</v>
      </c>
      <c r="O3434">
        <v>-0.37513439999999998</v>
      </c>
      <c r="P3434">
        <v>0.90699529999999995</v>
      </c>
      <c r="Q3434">
        <v>0.41331679999999998</v>
      </c>
      <c r="R3434">
        <v>-8.0798640000000005E-2</v>
      </c>
      <c r="S3434">
        <v>3.4672550000000002</v>
      </c>
      <c r="T3434">
        <v>-0.42629640000000002</v>
      </c>
      <c r="U3434">
        <v>-0.3721313</v>
      </c>
      <c r="V3434">
        <v>-0.27155790000000002</v>
      </c>
      <c r="W3434">
        <v>0.422016</v>
      </c>
      <c r="X3434">
        <v>0.8649618</v>
      </c>
      <c r="Y3434">
        <v>-0.26985170000000003</v>
      </c>
      <c r="Z3434">
        <v>5.7629220000000002E-2</v>
      </c>
      <c r="AA3434">
        <v>0.96117580000000002</v>
      </c>
      <c r="AB3434">
        <v>22</v>
      </c>
      <c r="AC3434">
        <v>8.8599000000000299</v>
      </c>
      <c r="AD3434">
        <v>-1.117310404413</v>
      </c>
      <c r="AE3434">
        <v>-0.89480000000000304</v>
      </c>
      <c r="AF3434">
        <v>-2.4559023590027498</v>
      </c>
      <c r="AG3434">
        <v>-1.117310404413</v>
      </c>
      <c r="AH3434">
        <v>8.4159383974231901</v>
      </c>
      <c r="AI3434">
        <v>97.2629461664947</v>
      </c>
      <c r="AJ3434">
        <v>106.268070181277</v>
      </c>
      <c r="AK3434">
        <v>8.8378650162800607</v>
      </c>
      <c r="AL3434">
        <v>65.038069932900399</v>
      </c>
      <c r="AM3434">
        <v>107.42987038990999</v>
      </c>
      <c r="AN3434">
        <v>1.0000000563838201</v>
      </c>
    </row>
    <row r="3435" spans="1:40" x14ac:dyDescent="0.25">
      <c r="A3435" t="str">
        <f>"20190304164919017"</f>
        <v>20190304164919017</v>
      </c>
      <c r="B3435" t="str">
        <f>"1551689359009336"</f>
        <v>1551689359009336</v>
      </c>
      <c r="C3435" t="s">
        <v>40</v>
      </c>
      <c r="D3435">
        <v>4.38103</v>
      </c>
      <c r="E3435">
        <v>0.50875530000000002</v>
      </c>
      <c r="F3435" t="s">
        <v>46</v>
      </c>
      <c r="G3435">
        <v>-465.66550000000001</v>
      </c>
      <c r="H3435" s="1">
        <v>1.507909E-6</v>
      </c>
      <c r="I3435">
        <v>213.9348</v>
      </c>
      <c r="J3435">
        <v>-474.49189999999999</v>
      </c>
      <c r="K3435">
        <v>1.1172839999999999</v>
      </c>
      <c r="L3435">
        <v>214.76429999999999</v>
      </c>
      <c r="M3435">
        <v>0.9306198</v>
      </c>
      <c r="N3435">
        <v>-1.452355E-2</v>
      </c>
      <c r="O3435">
        <v>-0.3656992</v>
      </c>
      <c r="P3435">
        <v>0.90755989999999997</v>
      </c>
      <c r="Q3435">
        <v>0.41358060000000002</v>
      </c>
      <c r="R3435">
        <v>-7.2706610000000005E-2</v>
      </c>
      <c r="S3435">
        <v>3.4727779999999999</v>
      </c>
      <c r="T3435">
        <v>-0.42994329999999997</v>
      </c>
      <c r="U3435">
        <v>-0.34523009999999998</v>
      </c>
      <c r="V3435">
        <v>-0.27040900000000001</v>
      </c>
      <c r="W3435">
        <v>0.42231600000000002</v>
      </c>
      <c r="X3435">
        <v>0.86517520000000003</v>
      </c>
      <c r="Y3435">
        <v>-0.26760630000000002</v>
      </c>
      <c r="Z3435">
        <v>5.7000639999999998E-2</v>
      </c>
      <c r="AA3435">
        <v>0.96184080000000005</v>
      </c>
      <c r="AB3435">
        <v>22</v>
      </c>
      <c r="AC3435">
        <v>8.8263999999999694</v>
      </c>
      <c r="AD3435">
        <v>-1.1172824920909901</v>
      </c>
      <c r="AE3435">
        <v>-0.82949999999999502</v>
      </c>
      <c r="AF3435">
        <v>-2.4177160525403001</v>
      </c>
      <c r="AG3435">
        <v>-1.1172824920909901</v>
      </c>
      <c r="AH3435">
        <v>8.3850857493130402</v>
      </c>
      <c r="AI3435">
        <v>97.295920653432802</v>
      </c>
      <c r="AJ3435">
        <v>106.08413778760099</v>
      </c>
      <c r="AK3435">
        <v>8.7979164636393801</v>
      </c>
      <c r="AL3435">
        <v>65.019106606041305</v>
      </c>
      <c r="AM3435">
        <v>107.356543488716</v>
      </c>
      <c r="AN3435">
        <v>0.99999997891601899</v>
      </c>
    </row>
    <row r="3436" spans="1:40" x14ac:dyDescent="0.25">
      <c r="A3436" t="str">
        <f>"20190304164919037"</f>
        <v>20190304164919037</v>
      </c>
      <c r="B3436" t="str">
        <f>"1551689359028856"</f>
        <v>1551689359028856</v>
      </c>
      <c r="C3436" t="s">
        <v>40</v>
      </c>
      <c r="D3436">
        <v>4.3926220000000002</v>
      </c>
      <c r="E3436">
        <v>0.51583849999999998</v>
      </c>
      <c r="F3436" t="s">
        <v>46</v>
      </c>
      <c r="G3436">
        <v>-465.45819999999998</v>
      </c>
      <c r="H3436" s="1">
        <v>1.397141E-6</v>
      </c>
      <c r="I3436">
        <v>213.94470000000001</v>
      </c>
      <c r="J3436">
        <v>-474.30399999999997</v>
      </c>
      <c r="K3436">
        <v>1.117264</v>
      </c>
      <c r="L3436">
        <v>214.70249999999999</v>
      </c>
      <c r="M3436">
        <v>0.93407839999999998</v>
      </c>
      <c r="N3436">
        <v>-1.452146E-2</v>
      </c>
      <c r="O3436">
        <v>-0.3567728</v>
      </c>
      <c r="P3436">
        <v>0.90776159999999995</v>
      </c>
      <c r="Q3436">
        <v>0.41433779999999998</v>
      </c>
      <c r="R3436">
        <v>-6.5522189999999994E-2</v>
      </c>
      <c r="S3436">
        <v>3.4761959999999998</v>
      </c>
      <c r="T3436">
        <v>-0.4299325</v>
      </c>
      <c r="U3436">
        <v>-0.31539919999999999</v>
      </c>
      <c r="V3436">
        <v>-0.26882309999999998</v>
      </c>
      <c r="W3436">
        <v>0.4231124</v>
      </c>
      <c r="X3436">
        <v>0.8652803</v>
      </c>
      <c r="Y3436">
        <v>-0.2667195</v>
      </c>
      <c r="Z3436">
        <v>5.6029370000000002E-2</v>
      </c>
      <c r="AA3436">
        <v>0.9621442</v>
      </c>
      <c r="AB3436">
        <v>21</v>
      </c>
      <c r="AC3436">
        <v>8.8458000000000503</v>
      </c>
      <c r="AD3436">
        <v>-1.117262602859</v>
      </c>
      <c r="AE3436">
        <v>-0.75779999999997405</v>
      </c>
      <c r="AF3436">
        <v>-2.41018515991014</v>
      </c>
      <c r="AG3436">
        <v>-1.117262602859</v>
      </c>
      <c r="AH3436">
        <v>8.4008911286698194</v>
      </c>
      <c r="AI3436">
        <v>97.284967543856297</v>
      </c>
      <c r="AJ3436">
        <v>106.00799312932701</v>
      </c>
      <c r="AK3436">
        <v>8.8109159560491594</v>
      </c>
      <c r="AL3436">
        <v>64.968756610963098</v>
      </c>
      <c r="AM3436">
        <v>107.258842722151</v>
      </c>
      <c r="AN3436">
        <v>0.99999997984772904</v>
      </c>
    </row>
    <row r="3437" spans="1:40" x14ac:dyDescent="0.25">
      <c r="A3437" t="str">
        <f>"20190304164919059"</f>
        <v>20190304164919059</v>
      </c>
      <c r="B3437" t="str">
        <f>"1551689359049352"</f>
        <v>1551689359049352</v>
      </c>
      <c r="C3437" t="s">
        <v>40</v>
      </c>
      <c r="D3437">
        <v>4.368239</v>
      </c>
      <c r="E3437">
        <v>0.51641819999999905</v>
      </c>
      <c r="F3437" t="s">
        <v>46</v>
      </c>
      <c r="G3437">
        <v>-465.78370000000001</v>
      </c>
      <c r="H3437" s="1">
        <v>1.57386E-6</v>
      </c>
      <c r="I3437">
        <v>213.8648</v>
      </c>
      <c r="J3437">
        <v>-474.10939999999999</v>
      </c>
      <c r="K3437">
        <v>1.117243</v>
      </c>
      <c r="L3437">
        <v>214.6404</v>
      </c>
      <c r="M3437">
        <v>0.93755849999999996</v>
      </c>
      <c r="N3437">
        <v>-1.4518710000000001E-2</v>
      </c>
      <c r="O3437">
        <v>-0.34752460000000002</v>
      </c>
      <c r="P3437">
        <v>0.90792859999999997</v>
      </c>
      <c r="Q3437">
        <v>0.41508640000000002</v>
      </c>
      <c r="R3437">
        <v>-5.8043499999999998E-2</v>
      </c>
      <c r="S3437">
        <v>3.488861</v>
      </c>
      <c r="T3437">
        <v>-0.45749000000000001</v>
      </c>
      <c r="U3437">
        <v>-0.34300229999999998</v>
      </c>
      <c r="V3437">
        <v>-0.26725480000000001</v>
      </c>
      <c r="W3437">
        <v>0.42389900000000003</v>
      </c>
      <c r="X3437">
        <v>0.86538110000000001</v>
      </c>
      <c r="Y3437">
        <v>-0.2496111</v>
      </c>
      <c r="Z3437">
        <v>5.7312050000000003E-2</v>
      </c>
      <c r="AA3437">
        <v>0.96664870000000003</v>
      </c>
      <c r="AB3437">
        <v>21</v>
      </c>
      <c r="AC3437">
        <v>8.3256999999999799</v>
      </c>
      <c r="AD3437">
        <v>-1.1172414261400001</v>
      </c>
      <c r="AE3437">
        <v>-0.77559999999999696</v>
      </c>
      <c r="AF3437">
        <v>-2.1284453063848101</v>
      </c>
      <c r="AG3437">
        <v>-1.1172414261400001</v>
      </c>
      <c r="AH3437">
        <v>7.9345696291142804</v>
      </c>
      <c r="AI3437">
        <v>97.744638143953395</v>
      </c>
      <c r="AJ3437">
        <v>105.01605908199799</v>
      </c>
      <c r="AK3437">
        <v>8.2907118527794399</v>
      </c>
      <c r="AL3437">
        <v>64.919005593460994</v>
      </c>
      <c r="AM3437">
        <v>107.162206178353</v>
      </c>
      <c r="AN3437">
        <v>0.99999996928062396</v>
      </c>
    </row>
    <row r="3438" spans="1:40" x14ac:dyDescent="0.25">
      <c r="A3438" t="str">
        <f>"20190304164919081"</f>
        <v>20190304164919081</v>
      </c>
      <c r="B3438" t="str">
        <f>"1551689359068872"</f>
        <v>1551689359068872</v>
      </c>
      <c r="C3438" t="s">
        <v>40</v>
      </c>
      <c r="D3438">
        <v>4.3990549999999997</v>
      </c>
      <c r="E3438">
        <v>0.51701039999999998</v>
      </c>
      <c r="F3438" t="s">
        <v>46</v>
      </c>
      <c r="G3438">
        <v>-465.56549999999999</v>
      </c>
      <c r="H3438" s="1">
        <v>1.457799E-6</v>
      </c>
      <c r="I3438">
        <v>213.86330000000001</v>
      </c>
      <c r="J3438">
        <v>-473.91329999999999</v>
      </c>
      <c r="K3438">
        <v>1.117224</v>
      </c>
      <c r="L3438">
        <v>214.58</v>
      </c>
      <c r="M3438">
        <v>0.94096009999999997</v>
      </c>
      <c r="N3438">
        <v>-1.4515729999999999E-2</v>
      </c>
      <c r="O3438">
        <v>-0.33820609999999901</v>
      </c>
      <c r="P3438">
        <v>0.90764940000000005</v>
      </c>
      <c r="Q3438">
        <v>0.41673870000000002</v>
      </c>
      <c r="R3438">
        <v>-5.0014820000000001E-2</v>
      </c>
      <c r="S3438">
        <v>3.4926759999999999</v>
      </c>
      <c r="T3438">
        <v>-0.4567196</v>
      </c>
      <c r="U3438">
        <v>-0.31767269999999997</v>
      </c>
      <c r="V3438">
        <v>-0.26605580000000001</v>
      </c>
      <c r="W3438">
        <v>0.42557519999999999</v>
      </c>
      <c r="X3438">
        <v>0.86492780000000002</v>
      </c>
      <c r="Y3438">
        <v>-0.24716179999999999</v>
      </c>
      <c r="Z3438">
        <v>5.6002700000000002E-2</v>
      </c>
      <c r="AA3438">
        <v>0.96735450000000001</v>
      </c>
      <c r="AB3438">
        <v>21</v>
      </c>
      <c r="AC3438">
        <v>8.3477999999999994</v>
      </c>
      <c r="AD3438">
        <v>-1.117222542201</v>
      </c>
      <c r="AE3438">
        <v>-0.716700000000003</v>
      </c>
      <c r="AF3438">
        <v>-2.1115722537307402</v>
      </c>
      <c r="AG3438">
        <v>-1.117222542201</v>
      </c>
      <c r="AH3438">
        <v>7.9567173028902802</v>
      </c>
      <c r="AI3438">
        <v>97.728663533726603</v>
      </c>
      <c r="AJ3438">
        <v>104.862694131015</v>
      </c>
      <c r="AK3438">
        <v>8.3076033745985498</v>
      </c>
      <c r="AL3438">
        <v>64.812923395289602</v>
      </c>
      <c r="AM3438">
        <v>107.09814001282</v>
      </c>
      <c r="AN3438">
        <v>1.0000000193907499</v>
      </c>
    </row>
    <row r="3439" spans="1:40" x14ac:dyDescent="0.25">
      <c r="A3439" t="str">
        <f>"20190304164919103"</f>
        <v>20190304164919103</v>
      </c>
      <c r="B3439" t="str">
        <f>"1551689359099129"</f>
        <v>1551689359099129</v>
      </c>
      <c r="C3439" t="s">
        <v>40</v>
      </c>
      <c r="D3439">
        <v>4.4126519999999996</v>
      </c>
      <c r="E3439">
        <v>0.51846389999999998</v>
      </c>
      <c r="F3439" t="s">
        <v>46</v>
      </c>
      <c r="G3439">
        <v>-465.22239999999999</v>
      </c>
      <c r="H3439" s="1">
        <v>1.2754629999999999E-6</v>
      </c>
      <c r="I3439">
        <v>213.85820000000001</v>
      </c>
      <c r="J3439">
        <v>-473.71120000000002</v>
      </c>
      <c r="K3439">
        <v>1.117211</v>
      </c>
      <c r="L3439">
        <v>214.52010000000001</v>
      </c>
      <c r="M3439">
        <v>0.94435809999999998</v>
      </c>
      <c r="N3439">
        <v>-1.451247E-2</v>
      </c>
      <c r="O3439">
        <v>-0.32859909999999998</v>
      </c>
      <c r="P3439">
        <v>0.90760079999999999</v>
      </c>
      <c r="Q3439">
        <v>0.41778359999999898</v>
      </c>
      <c r="R3439">
        <v>-4.1447079999999997E-2</v>
      </c>
      <c r="S3439">
        <v>3.4954830000000001</v>
      </c>
      <c r="T3439">
        <v>-0.44935039999999998</v>
      </c>
      <c r="U3439">
        <v>-0.290329</v>
      </c>
      <c r="V3439">
        <v>-0.26523279999999999</v>
      </c>
      <c r="W3439">
        <v>0.4266394</v>
      </c>
      <c r="X3439">
        <v>0.86465619999999999</v>
      </c>
      <c r="Y3439">
        <v>-0.24509880000000001</v>
      </c>
      <c r="Z3439">
        <v>5.3878629999999997E-2</v>
      </c>
      <c r="AA3439">
        <v>0.96799979999999997</v>
      </c>
      <c r="AB3439">
        <v>21</v>
      </c>
      <c r="AC3439">
        <v>8.4888000000000208</v>
      </c>
      <c r="AD3439">
        <v>-1.1172097245369901</v>
      </c>
      <c r="AE3439">
        <v>-0.66190000000000204</v>
      </c>
      <c r="AF3439">
        <v>-2.1279336227845702</v>
      </c>
      <c r="AG3439">
        <v>-1.1172097245369901</v>
      </c>
      <c r="AH3439">
        <v>8.0954578870150407</v>
      </c>
      <c r="AI3439">
        <v>97.602369914526307</v>
      </c>
      <c r="AJ3439">
        <v>104.727344543104</v>
      </c>
      <c r="AK3439">
        <v>8.4446845691246004</v>
      </c>
      <c r="AL3439">
        <v>64.745523173675807</v>
      </c>
      <c r="AM3439">
        <v>107.05336545037299</v>
      </c>
      <c r="AN3439">
        <v>0.99999998001331902</v>
      </c>
    </row>
    <row r="3440" spans="1:40" x14ac:dyDescent="0.25">
      <c r="A3440" t="str">
        <f>"20190304164919124"</f>
        <v>20190304164919124</v>
      </c>
      <c r="B3440" t="str">
        <f>"1551689359119624"</f>
        <v>1551689359119624</v>
      </c>
      <c r="C3440" t="s">
        <v>40</v>
      </c>
      <c r="D3440">
        <v>4.4364089999999896</v>
      </c>
      <c r="E3440">
        <v>0.5186347</v>
      </c>
      <c r="F3440" t="s">
        <v>46</v>
      </c>
      <c r="G3440">
        <v>-465.0797</v>
      </c>
      <c r="H3440" s="1">
        <v>1.1995440000000001E-6</v>
      </c>
      <c r="I3440">
        <v>213.858</v>
      </c>
      <c r="J3440">
        <v>-473.52359999999999</v>
      </c>
      <c r="K3440">
        <v>1.1171949999999999</v>
      </c>
      <c r="L3440">
        <v>214.46629999999999</v>
      </c>
      <c r="M3440">
        <v>0.94741620000000004</v>
      </c>
      <c r="N3440">
        <v>-1.4509279999999999E-2</v>
      </c>
      <c r="O3440">
        <v>-0.31967519999999999</v>
      </c>
      <c r="P3440">
        <v>0.90708489999999997</v>
      </c>
      <c r="Q3440">
        <v>0.41957689999999997</v>
      </c>
      <c r="R3440">
        <v>-3.3946990000000003E-2</v>
      </c>
      <c r="S3440">
        <v>3.5018310000000001</v>
      </c>
      <c r="T3440">
        <v>-0.45325910000000003</v>
      </c>
      <c r="U3440">
        <v>-0.26860050000000002</v>
      </c>
      <c r="V3440">
        <v>-0.26395200000000002</v>
      </c>
      <c r="W3440">
        <v>0.4284538</v>
      </c>
      <c r="X3440">
        <v>0.86415090000000006</v>
      </c>
      <c r="Y3440">
        <v>-0.24208789999999999</v>
      </c>
      <c r="Z3440">
        <v>5.3119840000000002E-2</v>
      </c>
      <c r="AA3440">
        <v>0.96879910000000002</v>
      </c>
      <c r="AB3440">
        <v>21</v>
      </c>
      <c r="AC3440">
        <v>8.4438999999999798</v>
      </c>
      <c r="AD3440">
        <v>-1.117193800456</v>
      </c>
      <c r="AE3440">
        <v>-0.60829999999998496</v>
      </c>
      <c r="AF3440">
        <v>-2.0868725959768901</v>
      </c>
      <c r="AG3440">
        <v>-1.117193800456</v>
      </c>
      <c r="AH3440">
        <v>8.0549314759324293</v>
      </c>
      <c r="AI3440">
        <v>97.647027876249993</v>
      </c>
      <c r="AJ3440">
        <v>104.52483706507699</v>
      </c>
      <c r="AK3440">
        <v>8.3955393097515501</v>
      </c>
      <c r="AL3440">
        <v>64.630526928375801</v>
      </c>
      <c r="AM3440">
        <v>106.98511627066</v>
      </c>
      <c r="AN3440">
        <v>1.00000004750462</v>
      </c>
    </row>
    <row r="3441" spans="1:40" x14ac:dyDescent="0.25">
      <c r="A3441" t="str">
        <f>"20190304164919147"</f>
        <v>20190304164919147</v>
      </c>
      <c r="B3441" t="str">
        <f>"1551689359139144"</f>
        <v>1551689359139144</v>
      </c>
      <c r="C3441" t="s">
        <v>40</v>
      </c>
      <c r="D3441">
        <v>4.4349439999999998</v>
      </c>
      <c r="E3441">
        <v>0.4973959</v>
      </c>
      <c r="F3441" t="s">
        <v>46</v>
      </c>
      <c r="G3441">
        <v>-464.80309999999997</v>
      </c>
      <c r="H3441" s="1">
        <v>1.051601E-6</v>
      </c>
      <c r="I3441">
        <v>213.8749</v>
      </c>
      <c r="J3441">
        <v>-473.30959999999999</v>
      </c>
      <c r="K3441">
        <v>1.1171770000000001</v>
      </c>
      <c r="L3441">
        <v>214.40729999999999</v>
      </c>
      <c r="M3441">
        <v>0.95079069999999999</v>
      </c>
      <c r="N3441">
        <v>-1.450517E-2</v>
      </c>
      <c r="O3441">
        <v>-0.3094943</v>
      </c>
      <c r="P3441">
        <v>0.90696500000000002</v>
      </c>
      <c r="Q3441">
        <v>0.4204079</v>
      </c>
      <c r="R3441">
        <v>-2.5920539999999999E-2</v>
      </c>
      <c r="S3441">
        <v>3.5062259999999998</v>
      </c>
      <c r="T3441">
        <v>-0.44918989999999998</v>
      </c>
      <c r="U3441">
        <v>-0.237793</v>
      </c>
      <c r="V3441">
        <v>-0.26218390000000003</v>
      </c>
      <c r="W3441">
        <v>0.42932209999999899</v>
      </c>
      <c r="X3441">
        <v>0.86425810000000003</v>
      </c>
      <c r="Y3441">
        <v>-0.2404076</v>
      </c>
      <c r="Z3441">
        <v>5.1379809999999998E-2</v>
      </c>
      <c r="AA3441">
        <v>0.96931120000000004</v>
      </c>
      <c r="AB3441">
        <v>21</v>
      </c>
      <c r="AC3441">
        <v>8.5065000000000097</v>
      </c>
      <c r="AD3441">
        <v>-1.117175948399</v>
      </c>
      <c r="AE3441">
        <v>-0.53239999999999499</v>
      </c>
      <c r="AF3441">
        <v>-2.0908140922757501</v>
      </c>
      <c r="AG3441">
        <v>-1.117175948399</v>
      </c>
      <c r="AH3441">
        <v>8.1141364772919395</v>
      </c>
      <c r="AI3441">
        <v>97.594317497099993</v>
      </c>
      <c r="AJ3441">
        <v>104.44939431367099</v>
      </c>
      <c r="AK3441">
        <v>8.45333049396862</v>
      </c>
      <c r="AL3441">
        <v>64.575452398831999</v>
      </c>
      <c r="AM3441">
        <v>106.87585425971299</v>
      </c>
      <c r="AN3441">
        <v>0.99999996319161399</v>
      </c>
    </row>
    <row r="3442" spans="1:40" x14ac:dyDescent="0.25">
      <c r="A3442" t="str">
        <f>"20190304164919170"</f>
        <v>20190304164919170</v>
      </c>
      <c r="B3442" t="str">
        <f>"1551689359159777"</f>
        <v>1551689359159777</v>
      </c>
      <c r="C3442" t="s">
        <v>40</v>
      </c>
      <c r="D3442">
        <v>4.4060379999999997</v>
      </c>
      <c r="E3442">
        <v>0.49360169999999998</v>
      </c>
      <c r="F3442" t="s">
        <v>46</v>
      </c>
      <c r="G3442">
        <v>-462.66930000000002</v>
      </c>
      <c r="H3442" s="1">
        <v>-1.025105E-7</v>
      </c>
      <c r="I3442">
        <v>214.30080000000001</v>
      </c>
      <c r="J3442">
        <v>-473.10550000000001</v>
      </c>
      <c r="K3442">
        <v>1.1171580000000001</v>
      </c>
      <c r="L3442">
        <v>214.35339999999999</v>
      </c>
      <c r="M3442">
        <v>0.95389310000000005</v>
      </c>
      <c r="N3442">
        <v>-1.450047E-2</v>
      </c>
      <c r="O3442">
        <v>-0.29979600000000001</v>
      </c>
      <c r="P3442">
        <v>0.90706399999999998</v>
      </c>
      <c r="Q3442">
        <v>0.42060399999999998</v>
      </c>
      <c r="R3442">
        <v>-1.809005E-2</v>
      </c>
      <c r="S3442">
        <v>3.4759220000000002</v>
      </c>
      <c r="T3442">
        <v>-0.36495650000000002</v>
      </c>
      <c r="U3442">
        <v>-3.4790040000000001E-2</v>
      </c>
      <c r="V3442">
        <v>-0.26078179999999901</v>
      </c>
      <c r="W3442">
        <v>0.42955559999999998</v>
      </c>
      <c r="X3442">
        <v>0.86456630000000001</v>
      </c>
      <c r="Y3442">
        <v>-0.28728870000000001</v>
      </c>
      <c r="Z3442">
        <v>4.3748059999999998E-2</v>
      </c>
      <c r="AA3442">
        <v>0.95684440000000004</v>
      </c>
      <c r="AB3442">
        <v>21</v>
      </c>
      <c r="AC3442">
        <v>10.4361999999999</v>
      </c>
      <c r="AD3442">
        <v>-1.1171581025105</v>
      </c>
      <c r="AE3442">
        <v>-5.2599999999983903E-2</v>
      </c>
      <c r="AF3442">
        <v>-3.0439998882980199</v>
      </c>
      <c r="AG3442">
        <v>-1.1171581025105</v>
      </c>
      <c r="AH3442">
        <v>9.8588677773814695</v>
      </c>
      <c r="AI3442">
        <v>96.179438467955507</v>
      </c>
      <c r="AJ3442">
        <v>107.158467690408</v>
      </c>
      <c r="AK3442">
        <v>10.378403123691699</v>
      </c>
      <c r="AL3442">
        <v>64.5606399404831</v>
      </c>
      <c r="AM3442">
        <v>106.78504859493999</v>
      </c>
      <c r="AN3442">
        <v>1.00000002389914</v>
      </c>
    </row>
    <row r="3443" spans="1:40" x14ac:dyDescent="0.25">
      <c r="A3443" t="str">
        <f>"20190304164919196"</f>
        <v>20190304164919196</v>
      </c>
      <c r="B3443" t="str">
        <f>"1551689359189057"</f>
        <v>1551689359189057</v>
      </c>
      <c r="C3443" t="s">
        <v>40</v>
      </c>
      <c r="D3443">
        <v>4.4075879999999996</v>
      </c>
      <c r="E3443">
        <v>0.49359999999999998</v>
      </c>
      <c r="F3443" t="s">
        <v>46</v>
      </c>
      <c r="G3443">
        <v>-462.07040000000001</v>
      </c>
      <c r="H3443" s="1">
        <v>-4.2745640000000001E-7</v>
      </c>
      <c r="I3443">
        <v>214.44300000000001</v>
      </c>
      <c r="J3443">
        <v>-472.87759999999997</v>
      </c>
      <c r="K3443">
        <v>1.1171120000000001</v>
      </c>
      <c r="L3443">
        <v>214.29560000000001</v>
      </c>
      <c r="M3443">
        <v>0.95722220000000002</v>
      </c>
      <c r="N3443">
        <v>-1.449317E-2</v>
      </c>
      <c r="O3443">
        <v>-0.2889909</v>
      </c>
      <c r="P3443">
        <v>0.9072886</v>
      </c>
      <c r="Q3443">
        <v>0.4203923</v>
      </c>
      <c r="R3443">
        <v>-9.8913049999999995E-3</v>
      </c>
      <c r="S3443">
        <v>3.470825</v>
      </c>
      <c r="T3443">
        <v>-0.35137590000000002</v>
      </c>
      <c r="U3443">
        <v>2.8198239999999999E-2</v>
      </c>
      <c r="V3443">
        <v>-0.2587875</v>
      </c>
      <c r="W3443">
        <v>0.42940010000000001</v>
      </c>
      <c r="X3443">
        <v>0.86524249999999903</v>
      </c>
      <c r="Y3443">
        <v>-0.29402099999999998</v>
      </c>
      <c r="Z3443">
        <v>4.1629060000000002E-2</v>
      </c>
      <c r="AA3443">
        <v>0.95489199999999996</v>
      </c>
      <c r="AB3443">
        <v>21</v>
      </c>
      <c r="AC3443">
        <v>10.8071999999999</v>
      </c>
      <c r="AD3443">
        <v>-1.1171124274563999</v>
      </c>
      <c r="AE3443">
        <v>0.14739999999997599</v>
      </c>
      <c r="AF3443">
        <v>-3.2301129083520901</v>
      </c>
      <c r="AG3443">
        <v>-1.1171124274563999</v>
      </c>
      <c r="AH3443">
        <v>10.1944701338127</v>
      </c>
      <c r="AI3443">
        <v>95.963600325222401</v>
      </c>
      <c r="AJ3443">
        <v>107.580779859955</v>
      </c>
      <c r="AK3443">
        <v>10.7521528488708</v>
      </c>
      <c r="AL3443">
        <v>64.570504990421199</v>
      </c>
      <c r="AM3443">
        <v>106.651527069447</v>
      </c>
      <c r="AN3443">
        <v>0.99999999992125399</v>
      </c>
    </row>
    <row r="3444" spans="1:40" x14ac:dyDescent="0.25">
      <c r="A3444" t="str">
        <f>"20190304164919217"</f>
        <v>20190304164919217</v>
      </c>
      <c r="B3444" t="str">
        <f>"1551689359209553"</f>
        <v>1551689359209553</v>
      </c>
      <c r="C3444" t="s">
        <v>40</v>
      </c>
      <c r="D3444">
        <v>4.3912079999999998</v>
      </c>
      <c r="E3444">
        <v>0.49427660000000001</v>
      </c>
      <c r="F3444" t="s">
        <v>46</v>
      </c>
      <c r="G3444">
        <v>-461.82679999999999</v>
      </c>
      <c r="H3444" s="1">
        <v>-5.5924020000000001E-7</v>
      </c>
      <c r="I3444">
        <v>214.49260000000001</v>
      </c>
      <c r="J3444">
        <v>-472.6848</v>
      </c>
      <c r="K3444">
        <v>1.117057</v>
      </c>
      <c r="L3444">
        <v>214.24889999999999</v>
      </c>
      <c r="M3444">
        <v>0.95992200000000005</v>
      </c>
      <c r="N3444">
        <v>-1.448458E-2</v>
      </c>
      <c r="O3444">
        <v>-0.27989370000000002</v>
      </c>
      <c r="P3444">
        <v>0.90787479999999998</v>
      </c>
      <c r="Q3444">
        <v>0.4192244</v>
      </c>
      <c r="R3444">
        <v>-3.8522029999999998E-3</v>
      </c>
      <c r="S3444">
        <v>3.469757</v>
      </c>
      <c r="T3444">
        <v>-0.35075339999999999</v>
      </c>
      <c r="U3444">
        <v>6.1843870000000002E-2</v>
      </c>
      <c r="V3444">
        <v>-0.25640010000000002</v>
      </c>
      <c r="W3444">
        <v>0.42830639999999998</v>
      </c>
      <c r="X3444">
        <v>0.8664944</v>
      </c>
      <c r="Y3444">
        <v>-0.2942553</v>
      </c>
      <c r="Z3444">
        <v>4.0836560000000001E-2</v>
      </c>
      <c r="AA3444">
        <v>0.95485399999999998</v>
      </c>
      <c r="AB3444">
        <v>21</v>
      </c>
      <c r="AC3444">
        <v>10.858000000000001</v>
      </c>
      <c r="AD3444">
        <v>-1.1170575592401999</v>
      </c>
      <c r="AE3444">
        <v>0.24370000000001801</v>
      </c>
      <c r="AF3444">
        <v>-3.2390958574819799</v>
      </c>
      <c r="AG3444">
        <v>-1.1170575592401999</v>
      </c>
      <c r="AH3444">
        <v>10.2473033604362</v>
      </c>
      <c r="AI3444">
        <v>95.934066494221895</v>
      </c>
      <c r="AJ3444">
        <v>107.541355339169</v>
      </c>
      <c r="AK3444">
        <v>10.804942652574301</v>
      </c>
      <c r="AL3444">
        <v>64.639871074879807</v>
      </c>
      <c r="AM3444">
        <v>106.48375349551399</v>
      </c>
      <c r="AN3444">
        <v>0.99999996439616401</v>
      </c>
    </row>
    <row r="3445" spans="1:40" x14ac:dyDescent="0.25">
      <c r="A3445" t="str">
        <f>"20190304164919236"</f>
        <v>20190304164919236</v>
      </c>
      <c r="B3445" t="str">
        <f>"1551689359229073"</f>
        <v>1551689359229073</v>
      </c>
      <c r="C3445" t="s">
        <v>40</v>
      </c>
      <c r="D3445">
        <v>4.3802059999999896</v>
      </c>
      <c r="E3445">
        <v>0.49527349999999998</v>
      </c>
      <c r="F3445" t="s">
        <v>46</v>
      </c>
      <c r="G3445">
        <v>-461.85379999999998</v>
      </c>
      <c r="H3445" s="1">
        <v>-5.4534040000000001E-7</v>
      </c>
      <c r="I3445">
        <v>214.50280000000001</v>
      </c>
      <c r="J3445">
        <v>-472.50479999999999</v>
      </c>
      <c r="K3445">
        <v>1.1170040000000001</v>
      </c>
      <c r="L3445">
        <v>214.20699999999999</v>
      </c>
      <c r="M3445">
        <v>0.96234640000000005</v>
      </c>
      <c r="N3445">
        <v>-1.447494E-2</v>
      </c>
      <c r="O3445">
        <v>-0.27144099999999999</v>
      </c>
      <c r="P3445">
        <v>0.90866259999999999</v>
      </c>
      <c r="Q3445">
        <v>0.4175257</v>
      </c>
      <c r="R3445">
        <v>2.119232E-3</v>
      </c>
      <c r="S3445">
        <v>3.4700319999999998</v>
      </c>
      <c r="T3445">
        <v>-0.35788330000000002</v>
      </c>
      <c r="U3445">
        <v>8.1329349999999995E-2</v>
      </c>
      <c r="V3445">
        <v>-0.25459850000000001</v>
      </c>
      <c r="W3445">
        <v>0.42667569999999999</v>
      </c>
      <c r="X3445">
        <v>0.86782909999999902</v>
      </c>
      <c r="Y3445">
        <v>-0.29114859999999998</v>
      </c>
      <c r="Z3445">
        <v>4.0803480000000003E-2</v>
      </c>
      <c r="AA3445">
        <v>0.95580730000000003</v>
      </c>
      <c r="AB3445">
        <v>21</v>
      </c>
      <c r="AC3445">
        <v>10.651</v>
      </c>
      <c r="AD3445">
        <v>-1.1170045453403901</v>
      </c>
      <c r="AE3445">
        <v>0.295800000000014</v>
      </c>
      <c r="AF3445">
        <v>-3.1415866136403601</v>
      </c>
      <c r="AG3445">
        <v>-1.1170045453403901</v>
      </c>
      <c r="AH3445">
        <v>10.060162801424701</v>
      </c>
      <c r="AI3445">
        <v>96.0499020015789</v>
      </c>
      <c r="AJ3445">
        <v>107.342534969135</v>
      </c>
      <c r="AK3445">
        <v>10.598308412029001</v>
      </c>
      <c r="AL3445">
        <v>64.743222654842199</v>
      </c>
      <c r="AM3445">
        <v>106.350317291566</v>
      </c>
      <c r="AN3445">
        <v>0.99999994798977299</v>
      </c>
    </row>
    <row r="3446" spans="1:40" x14ac:dyDescent="0.25">
      <c r="A3446" t="str">
        <f>"20190304164919259"</f>
        <v>20190304164919259</v>
      </c>
      <c r="B3446" t="str">
        <f>"1551689359249569"</f>
        <v>1551689359249569</v>
      </c>
      <c r="C3446" t="s">
        <v>40</v>
      </c>
      <c r="D3446">
        <v>4.3613629999999999</v>
      </c>
      <c r="E3446">
        <v>0.4963651</v>
      </c>
      <c r="F3446" t="s">
        <v>46</v>
      </c>
      <c r="G3446">
        <v>-461.95190000000002</v>
      </c>
      <c r="H3446" s="1">
        <v>-4.9278820000000004E-7</v>
      </c>
      <c r="I3446">
        <v>214.49469999999999</v>
      </c>
      <c r="J3446">
        <v>-472.30329999999998</v>
      </c>
      <c r="K3446">
        <v>1.1169249999999999</v>
      </c>
      <c r="L3446">
        <v>214.16210000000001</v>
      </c>
      <c r="M3446">
        <v>0.96494440000000004</v>
      </c>
      <c r="N3446">
        <v>-1.44622E-2</v>
      </c>
      <c r="O3446">
        <v>-0.26205580000000001</v>
      </c>
      <c r="P3446">
        <v>0.90935869999999996</v>
      </c>
      <c r="Q3446">
        <v>0.4159175</v>
      </c>
      <c r="R3446">
        <v>8.92704699999999E-3</v>
      </c>
      <c r="S3446">
        <v>3.470154</v>
      </c>
      <c r="T3446">
        <v>-0.36730930000000001</v>
      </c>
      <c r="U3446">
        <v>9.4604489999999999E-2</v>
      </c>
      <c r="V3446">
        <v>-0.25273089999999998</v>
      </c>
      <c r="W3446">
        <v>0.42514370000000001</v>
      </c>
      <c r="X3446">
        <v>0.86912599999999995</v>
      </c>
      <c r="Y3446">
        <v>-0.28540759999999998</v>
      </c>
      <c r="Z3446">
        <v>4.0754100000000001E-2</v>
      </c>
      <c r="AA3446">
        <v>0.95753940000000004</v>
      </c>
      <c r="AB3446">
        <v>21</v>
      </c>
      <c r="AC3446">
        <v>10.3513999999999</v>
      </c>
      <c r="AD3446">
        <v>-1.1169254927882</v>
      </c>
      <c r="AE3446">
        <v>0.33259999999998502</v>
      </c>
      <c r="AF3446">
        <v>-2.9990216508455201</v>
      </c>
      <c r="AG3446">
        <v>-1.1169254927882</v>
      </c>
      <c r="AH3446">
        <v>9.7885541176600999</v>
      </c>
      <c r="AI3446">
        <v>96.226318955729894</v>
      </c>
      <c r="AJ3446">
        <v>107.03404061673599</v>
      </c>
      <c r="AK3446">
        <v>10.2984195453982</v>
      </c>
      <c r="AL3446">
        <v>64.840241548941293</v>
      </c>
      <c r="AM3446">
        <v>106.213765749098</v>
      </c>
      <c r="AN3446">
        <v>1.0000000386702399</v>
      </c>
    </row>
    <row r="3447" spans="1:40" x14ac:dyDescent="0.25">
      <c r="A3447" t="str">
        <f>"20190304164919281"</f>
        <v>20190304164919281</v>
      </c>
      <c r="B3447" t="str">
        <f>"1551689359269093"</f>
        <v>1551689359269093</v>
      </c>
      <c r="C3447" t="s">
        <v>40</v>
      </c>
      <c r="D3447">
        <v>4.3631589999999996</v>
      </c>
      <c r="E3447">
        <v>0.49740410000000002</v>
      </c>
      <c r="F3447" t="s">
        <v>46</v>
      </c>
      <c r="G3447">
        <v>-462.00069999999999</v>
      </c>
      <c r="H3447" s="1">
        <v>-4.6644020000000002E-7</v>
      </c>
      <c r="I3447">
        <v>214.48689999999999</v>
      </c>
      <c r="J3447">
        <v>-472.10039999999998</v>
      </c>
      <c r="K3447">
        <v>1.1168229999999999</v>
      </c>
      <c r="L3447">
        <v>214.11879999999999</v>
      </c>
      <c r="M3447">
        <v>0.96743389999999996</v>
      </c>
      <c r="N3447">
        <v>-1.444604E-2</v>
      </c>
      <c r="O3447">
        <v>-0.25271100000000002</v>
      </c>
      <c r="P3447">
        <v>0.90996239999999995</v>
      </c>
      <c r="Q3447">
        <v>0.41441149999999999</v>
      </c>
      <c r="R3447">
        <v>1.521956E-2</v>
      </c>
      <c r="S3447">
        <v>3.4700319999999998</v>
      </c>
      <c r="T3447">
        <v>-0.37619279999999999</v>
      </c>
      <c r="U3447">
        <v>0.1093903</v>
      </c>
      <c r="V3447">
        <v>-0.25038359999999998</v>
      </c>
      <c r="W3447">
        <v>0.42372799999999999</v>
      </c>
      <c r="X3447">
        <v>0.87049569999999998</v>
      </c>
      <c r="Y3447">
        <v>-0.28014850000000002</v>
      </c>
      <c r="Z3447">
        <v>4.0612580000000002E-2</v>
      </c>
      <c r="AA3447">
        <v>0.95909719999999998</v>
      </c>
      <c r="AB3447">
        <v>21</v>
      </c>
      <c r="AC3447">
        <v>10.099699999999901</v>
      </c>
      <c r="AD3447">
        <v>-1.1168234664401999</v>
      </c>
      <c r="AE3447">
        <v>0.36809999999999798</v>
      </c>
      <c r="AF3447">
        <v>-2.8736295319896001</v>
      </c>
      <c r="AG3447">
        <v>-1.1168234664401999</v>
      </c>
      <c r="AH3447">
        <v>9.5620114825182405</v>
      </c>
      <c r="AI3447">
        <v>96.382344782139</v>
      </c>
      <c r="AJ3447">
        <v>106.72686998146401</v>
      </c>
      <c r="AK3447">
        <v>10.0467459873396</v>
      </c>
      <c r="AL3447">
        <v>64.9298252392216</v>
      </c>
      <c r="AM3447">
        <v>106.047000479888</v>
      </c>
      <c r="AN3447">
        <v>1.0000000644257201</v>
      </c>
    </row>
    <row r="3448" spans="1:40" x14ac:dyDescent="0.25">
      <c r="A3448" t="str">
        <f>"20190304164919303"</f>
        <v>20190304164919303</v>
      </c>
      <c r="B3448" t="str">
        <f>"1551689359299345"</f>
        <v>1551689359299345</v>
      </c>
      <c r="C3448" t="s">
        <v>40</v>
      </c>
      <c r="D3448">
        <v>4.3536089999999996</v>
      </c>
      <c r="E3448">
        <v>0.49840210000000001</v>
      </c>
      <c r="F3448" t="s">
        <v>46</v>
      </c>
      <c r="G3448">
        <v>-461.99130000000002</v>
      </c>
      <c r="H3448" s="1">
        <v>-4.7116180000000001E-7</v>
      </c>
      <c r="I3448">
        <v>214.47980000000001</v>
      </c>
      <c r="J3448">
        <v>-471.90949999999998</v>
      </c>
      <c r="K3448">
        <v>1.116708</v>
      </c>
      <c r="L3448">
        <v>214.0797</v>
      </c>
      <c r="M3448">
        <v>0.96965730000000006</v>
      </c>
      <c r="N3448">
        <v>-1.4423500000000001E-2</v>
      </c>
      <c r="O3448">
        <v>-0.2440428</v>
      </c>
      <c r="P3448">
        <v>0.91047699999999998</v>
      </c>
      <c r="Q3448">
        <v>0.41305340000000001</v>
      </c>
      <c r="R3448">
        <v>2.0462729999999998E-2</v>
      </c>
      <c r="S3448">
        <v>3.4693299999999998</v>
      </c>
      <c r="T3448">
        <v>-0.38327939999999999</v>
      </c>
      <c r="U3448">
        <v>0.12390139999999999</v>
      </c>
      <c r="V3448">
        <v>-0.24761620000000001</v>
      </c>
      <c r="W3448">
        <v>0.42246709999999899</v>
      </c>
      <c r="X3448">
        <v>0.87189889999999903</v>
      </c>
      <c r="Y3448">
        <v>-0.2755281</v>
      </c>
      <c r="Z3448">
        <v>4.0323480000000002E-2</v>
      </c>
      <c r="AA3448">
        <v>0.96044689999999999</v>
      </c>
      <c r="AB3448">
        <v>21</v>
      </c>
      <c r="AC3448">
        <v>9.9181999999999508</v>
      </c>
      <c r="AD3448">
        <v>-1.1167084711618001</v>
      </c>
      <c r="AE3448">
        <v>0.400100000000008</v>
      </c>
      <c r="AF3448">
        <v>-2.7736133097403202</v>
      </c>
      <c r="AG3448">
        <v>-1.1167084711618001</v>
      </c>
      <c r="AH3448">
        <v>9.4016130018060995</v>
      </c>
      <c r="AI3448">
        <v>96.499354180564396</v>
      </c>
      <c r="AJ3448">
        <v>106.436829951028</v>
      </c>
      <c r="AK3448">
        <v>9.8656117720728602</v>
      </c>
      <c r="AL3448">
        <v>65.0095549043929</v>
      </c>
      <c r="AM3448">
        <v>105.854358677828</v>
      </c>
      <c r="AN3448">
        <v>0.99999996245302902</v>
      </c>
    </row>
    <row r="3449" spans="1:40" x14ac:dyDescent="0.25">
      <c r="A3449" t="str">
        <f>"20190304164919325"</f>
        <v>20190304164919325</v>
      </c>
      <c r="B3449" t="str">
        <f>"1551689359319841"</f>
        <v>1551689359319841</v>
      </c>
      <c r="C3449" t="s">
        <v>40</v>
      </c>
      <c r="D3449">
        <v>4.3348469999999999</v>
      </c>
      <c r="E3449">
        <v>0.50828799999999996</v>
      </c>
      <c r="F3449" t="s">
        <v>46</v>
      </c>
      <c r="G3449">
        <v>-461.95370000000003</v>
      </c>
      <c r="H3449" s="1">
        <v>-4.9050959999999999E-7</v>
      </c>
      <c r="I3449">
        <v>214.46469999999999</v>
      </c>
      <c r="J3449">
        <v>-471.70170000000002</v>
      </c>
      <c r="K3449">
        <v>1.116563</v>
      </c>
      <c r="L3449">
        <v>214.03899999999999</v>
      </c>
      <c r="M3449">
        <v>0.97193949999999996</v>
      </c>
      <c r="N3449">
        <v>-1.438736E-2</v>
      </c>
      <c r="O3449">
        <v>-0.23479069999999999</v>
      </c>
      <c r="P3449">
        <v>0.91067580000000004</v>
      </c>
      <c r="Q3449">
        <v>0.41228819999999999</v>
      </c>
      <c r="R3449">
        <v>2.6233079999999999E-2</v>
      </c>
      <c r="S3449">
        <v>3.4685060000000001</v>
      </c>
      <c r="T3449">
        <v>-0.38905040000000002</v>
      </c>
      <c r="U3449">
        <v>0.13410949999999999</v>
      </c>
      <c r="V3449">
        <v>-0.24474660000000001</v>
      </c>
      <c r="W3449">
        <v>0.42180200000000001</v>
      </c>
      <c r="X3449">
        <v>0.87303050000000004</v>
      </c>
      <c r="Y3449">
        <v>-0.26919189999999998</v>
      </c>
      <c r="Z3449">
        <v>3.9687439999999997E-2</v>
      </c>
      <c r="AA3449">
        <v>0.96226849999999997</v>
      </c>
      <c r="AB3449">
        <v>21</v>
      </c>
      <c r="AC3449">
        <v>9.7479999999999905</v>
      </c>
      <c r="AD3449">
        <v>-1.1165634905096</v>
      </c>
      <c r="AE3449">
        <v>0.42569999999997699</v>
      </c>
      <c r="AF3449">
        <v>-2.6678384796305399</v>
      </c>
      <c r="AG3449">
        <v>-1.1165634905096</v>
      </c>
      <c r="AH3449">
        <v>9.2543001026514702</v>
      </c>
      <c r="AI3449">
        <v>96.612909382872701</v>
      </c>
      <c r="AJ3449">
        <v>106.081264076929</v>
      </c>
      <c r="AK3449">
        <v>9.6956766948816693</v>
      </c>
      <c r="AL3449">
        <v>65.051593400593305</v>
      </c>
      <c r="AM3449">
        <v>105.660384003057</v>
      </c>
      <c r="AN3449">
        <v>1.0000000396729001</v>
      </c>
    </row>
    <row r="3450" spans="1:40" x14ac:dyDescent="0.25">
      <c r="A3450" t="str">
        <f>"20190304164919349"</f>
        <v>20190304164919349</v>
      </c>
      <c r="B3450" t="str">
        <f>"1551689359339361"</f>
        <v>1551689359339361</v>
      </c>
      <c r="C3450" t="s">
        <v>40</v>
      </c>
      <c r="D3450">
        <v>4.3380479999999997</v>
      </c>
      <c r="E3450">
        <v>0.50952980000000003</v>
      </c>
      <c r="F3450" t="s">
        <v>46</v>
      </c>
      <c r="G3450">
        <v>-461.96730000000002</v>
      </c>
      <c r="H3450" s="1">
        <v>-4.742054E-7</v>
      </c>
      <c r="I3450">
        <v>214.25700000000001</v>
      </c>
      <c r="J3450">
        <v>-471.49310000000003</v>
      </c>
      <c r="K3450">
        <v>1.1163970000000001</v>
      </c>
      <c r="L3450">
        <v>214</v>
      </c>
      <c r="M3450">
        <v>0.97408870000000003</v>
      </c>
      <c r="N3450">
        <v>-1.4340769999999999E-2</v>
      </c>
      <c r="O3450">
        <v>-0.22571160000000001</v>
      </c>
      <c r="P3450">
        <v>0.91069940000000005</v>
      </c>
      <c r="Q3450">
        <v>0.41190060000000001</v>
      </c>
      <c r="R3450">
        <v>3.1062389999999999E-2</v>
      </c>
      <c r="S3450">
        <v>3.4722900000000001</v>
      </c>
      <c r="T3450">
        <v>-0.39828039999999998</v>
      </c>
      <c r="U3450">
        <v>7.7758789999999994E-2</v>
      </c>
      <c r="V3450">
        <v>-0.2410785</v>
      </c>
      <c r="W3450">
        <v>0.42152659999999997</v>
      </c>
      <c r="X3450">
        <v>0.87418340000000005</v>
      </c>
      <c r="Y3450">
        <v>-0.24457010000000001</v>
      </c>
      <c r="Z3450">
        <v>3.8141700000000001E-2</v>
      </c>
      <c r="AA3450">
        <v>0.96888110000000005</v>
      </c>
      <c r="AB3450">
        <v>21</v>
      </c>
      <c r="AC3450">
        <v>9.5258000000000003</v>
      </c>
      <c r="AD3450">
        <v>-1.1163974742053999</v>
      </c>
      <c r="AE3450">
        <v>0.257000000000005</v>
      </c>
      <c r="AF3450">
        <v>-2.3681674322723998</v>
      </c>
      <c r="AG3450">
        <v>-1.1163974742053999</v>
      </c>
      <c r="AH3450">
        <v>9.0970548342434192</v>
      </c>
      <c r="AI3450">
        <v>96.772870809074405</v>
      </c>
      <c r="AJ3450">
        <v>104.591519029192</v>
      </c>
      <c r="AK3450">
        <v>9.4663069338004995</v>
      </c>
      <c r="AL3450">
        <v>65.068996089303496</v>
      </c>
      <c r="AM3450">
        <v>105.41756021501401</v>
      </c>
      <c r="AN3450">
        <v>1.0000000672526801</v>
      </c>
    </row>
    <row r="3451" spans="1:40" x14ac:dyDescent="0.25">
      <c r="A3451" t="str">
        <f>"20190304164919370"</f>
        <v>20190304164919370</v>
      </c>
      <c r="B3451" t="str">
        <f>"1551689359358881"</f>
        <v>1551689359358881</v>
      </c>
      <c r="C3451" t="s">
        <v>40</v>
      </c>
      <c r="D3451">
        <v>4.2940880000000003</v>
      </c>
      <c r="E3451">
        <v>0.51065890000000003</v>
      </c>
      <c r="F3451" t="s">
        <v>46</v>
      </c>
      <c r="G3451">
        <v>-461.87380000000002</v>
      </c>
      <c r="H3451" s="1">
        <v>-5.235689E-7</v>
      </c>
      <c r="I3451">
        <v>214.2484</v>
      </c>
      <c r="J3451">
        <v>-471.2937</v>
      </c>
      <c r="K3451">
        <v>1.1162259999999999</v>
      </c>
      <c r="L3451">
        <v>213.96420000000001</v>
      </c>
      <c r="M3451">
        <v>0.97601099999999996</v>
      </c>
      <c r="N3451">
        <v>-1.4282009999999999E-2</v>
      </c>
      <c r="O3451">
        <v>-0.21725230000000001</v>
      </c>
      <c r="P3451">
        <v>0.91063729999999998</v>
      </c>
      <c r="Q3451">
        <v>0.41166399999999997</v>
      </c>
      <c r="R3451">
        <v>3.5673700000000003E-2</v>
      </c>
      <c r="S3451">
        <v>3.4734799999999999</v>
      </c>
      <c r="T3451">
        <v>-0.40312490000000001</v>
      </c>
      <c r="U3451">
        <v>8.9721679999999998E-2</v>
      </c>
      <c r="V3451">
        <v>-0.2377495</v>
      </c>
      <c r="W3451">
        <v>0.42138599999999998</v>
      </c>
      <c r="X3451">
        <v>0.875162199999999</v>
      </c>
      <c r="Y3451">
        <v>-0.2394966</v>
      </c>
      <c r="Z3451">
        <v>3.7446670000000001E-2</v>
      </c>
      <c r="AA3451">
        <v>0.9701748</v>
      </c>
      <c r="AB3451">
        <v>21</v>
      </c>
      <c r="AC3451">
        <v>9.4198999999999806</v>
      </c>
      <c r="AD3451">
        <v>-1.1162265235689</v>
      </c>
      <c r="AE3451">
        <v>0.28419999999999801</v>
      </c>
      <c r="AF3451">
        <v>-2.2919610992914099</v>
      </c>
      <c r="AG3451">
        <v>-1.1162265235689</v>
      </c>
      <c r="AH3451">
        <v>9.0067613685271102</v>
      </c>
      <c r="AI3451">
        <v>96.848667012619799</v>
      </c>
      <c r="AJ3451">
        <v>104.277098441807</v>
      </c>
      <c r="AK3451">
        <v>9.3605981476707001</v>
      </c>
      <c r="AL3451">
        <v>65.077875737023902</v>
      </c>
      <c r="AM3451">
        <v>105.198365602902</v>
      </c>
      <c r="AN3451">
        <v>0.99999993102754203</v>
      </c>
    </row>
    <row r="3452" spans="1:40" x14ac:dyDescent="0.25">
      <c r="A3452" t="str">
        <f>"20190304164919394"</f>
        <v>20190304164919394</v>
      </c>
      <c r="B3452" t="str">
        <f>"1551689359389137"</f>
        <v>1551689359389137</v>
      </c>
      <c r="C3452" t="s">
        <v>40</v>
      </c>
      <c r="D3452">
        <v>4.2698989999999997</v>
      </c>
      <c r="E3452">
        <v>0.51196989999999998</v>
      </c>
      <c r="F3452" t="s">
        <v>46</v>
      </c>
      <c r="G3452">
        <v>-461.66739999999999</v>
      </c>
      <c r="H3452" s="1">
        <v>-6.3306500000000001E-7</v>
      </c>
      <c r="I3452">
        <v>214.24029999999999</v>
      </c>
      <c r="J3452">
        <v>-471.07920000000001</v>
      </c>
      <c r="K3452">
        <v>1.1160429999999999</v>
      </c>
      <c r="L3452">
        <v>213.92740000000001</v>
      </c>
      <c r="M3452">
        <v>0.9779388</v>
      </c>
      <c r="N3452">
        <v>-1.4200300000000001E-2</v>
      </c>
      <c r="O3452">
        <v>-0.20840900000000001</v>
      </c>
      <c r="P3452">
        <v>0.90987949999999995</v>
      </c>
      <c r="Q3452">
        <v>0.41283379999999997</v>
      </c>
      <c r="R3452">
        <v>4.1080470000000001E-2</v>
      </c>
      <c r="S3452">
        <v>3.4725039999999998</v>
      </c>
      <c r="T3452">
        <v>-0.4026573</v>
      </c>
      <c r="U3452">
        <v>9.9594119999999994E-2</v>
      </c>
      <c r="V3452">
        <v>-0.23471839999999999</v>
      </c>
      <c r="W3452">
        <v>0.42262630000000001</v>
      </c>
      <c r="X3452">
        <v>0.8753824</v>
      </c>
      <c r="Y3452">
        <v>-0.23356589999999999</v>
      </c>
      <c r="Z3452">
        <v>3.6158610000000001E-2</v>
      </c>
      <c r="AA3452">
        <v>0.97166839999999999</v>
      </c>
      <c r="AB3452">
        <v>21</v>
      </c>
      <c r="AC3452">
        <v>9.4118000000000208</v>
      </c>
      <c r="AD3452">
        <v>-1.1160436330650001</v>
      </c>
      <c r="AE3452">
        <v>0.31289999999998402</v>
      </c>
      <c r="AF3452">
        <v>-2.2363190194531599</v>
      </c>
      <c r="AG3452">
        <v>-1.1160436330650001</v>
      </c>
      <c r="AH3452">
        <v>9.0132776209699301</v>
      </c>
      <c r="AI3452">
        <v>96.852843987279797</v>
      </c>
      <c r="AJ3452">
        <v>103.934486994208</v>
      </c>
      <c r="AK3452">
        <v>9.3533870667448706</v>
      </c>
      <c r="AL3452">
        <v>64.999492670406994</v>
      </c>
      <c r="AM3452">
        <v>105.00979439216999</v>
      </c>
      <c r="AN3452">
        <v>1.0000000314899999</v>
      </c>
    </row>
    <row r="3453" spans="1:40" x14ac:dyDescent="0.25">
      <c r="A3453" t="str">
        <f>"20190304164919416"</f>
        <v>20190304164919416</v>
      </c>
      <c r="B3453" t="str">
        <f>"1551689359409633"</f>
        <v>1551689359409633</v>
      </c>
      <c r="C3453" t="s">
        <v>40</v>
      </c>
      <c r="D3453">
        <v>4.2528100000000002</v>
      </c>
      <c r="E3453">
        <v>0.51285919999999996</v>
      </c>
      <c r="F3453" t="s">
        <v>46</v>
      </c>
      <c r="G3453">
        <v>-461.37220000000002</v>
      </c>
      <c r="H3453" s="1">
        <v>-7.8952439999999896E-7</v>
      </c>
      <c r="I3453">
        <v>214.2261</v>
      </c>
      <c r="J3453">
        <v>-470.88159999999999</v>
      </c>
      <c r="K3453">
        <v>1.115864</v>
      </c>
      <c r="L3453">
        <v>213.89500000000001</v>
      </c>
      <c r="M3453">
        <v>0.97958679999999998</v>
      </c>
      <c r="N3453">
        <v>-1.411106E-2</v>
      </c>
      <c r="O3453">
        <v>-0.20052539999999999</v>
      </c>
      <c r="P3453">
        <v>0.90895159999999997</v>
      </c>
      <c r="Q3453">
        <v>0.41448230000000003</v>
      </c>
      <c r="R3453">
        <v>4.4848489999999998E-2</v>
      </c>
      <c r="S3453">
        <v>3.4735109999999998</v>
      </c>
      <c r="T3453">
        <v>-0.39935979999999999</v>
      </c>
      <c r="U3453">
        <v>0.10688780000000001</v>
      </c>
      <c r="V3453">
        <v>-0.23096</v>
      </c>
      <c r="W3453">
        <v>0.42433599999999999</v>
      </c>
      <c r="X3453">
        <v>0.87555490000000002</v>
      </c>
      <c r="Y3453">
        <v>-0.2278936</v>
      </c>
      <c r="Z3453">
        <v>3.4709089999999998E-2</v>
      </c>
      <c r="AA3453">
        <v>0.97306720000000002</v>
      </c>
      <c r="AB3453">
        <v>21</v>
      </c>
      <c r="AC3453">
        <v>9.5093999999999692</v>
      </c>
      <c r="AD3453">
        <v>-1.1158647895244</v>
      </c>
      <c r="AE3453">
        <v>0.33109999999999201</v>
      </c>
      <c r="AF3453">
        <v>-2.2011675732609501</v>
      </c>
      <c r="AG3453">
        <v>-1.1158647895244</v>
      </c>
      <c r="AH3453">
        <v>9.1243254739274207</v>
      </c>
      <c r="AI3453">
        <v>96.779792909961301</v>
      </c>
      <c r="AJ3453">
        <v>103.562982471038</v>
      </c>
      <c r="AK3453">
        <v>9.45217479039807</v>
      </c>
      <c r="AL3453">
        <v>64.891357652328793</v>
      </c>
      <c r="AM3453">
        <v>104.77726813984501</v>
      </c>
      <c r="AN3453">
        <v>0.99999997270500396</v>
      </c>
    </row>
    <row r="3454" spans="1:40" x14ac:dyDescent="0.25">
      <c r="A3454" t="str">
        <f>"20190304164919437"</f>
        <v>20190304164919437</v>
      </c>
      <c r="B3454" t="str">
        <f>"1551689359429153"</f>
        <v>1551689359429153</v>
      </c>
      <c r="C3454" t="s">
        <v>40</v>
      </c>
      <c r="D3454">
        <v>4.21312</v>
      </c>
      <c r="E3454">
        <v>0.51365870000000002</v>
      </c>
      <c r="F3454" t="s">
        <v>46</v>
      </c>
      <c r="G3454">
        <v>-460.99340000000001</v>
      </c>
      <c r="H3454" s="1">
        <v>-9.9086469999999997E-7</v>
      </c>
      <c r="I3454">
        <v>214.22049999999999</v>
      </c>
      <c r="J3454">
        <v>-470.67899999999997</v>
      </c>
      <c r="K3454">
        <v>1.1156759999999999</v>
      </c>
      <c r="L3454">
        <v>213.86320000000001</v>
      </c>
      <c r="M3454">
        <v>0.98115399999999997</v>
      </c>
      <c r="N3454">
        <v>-1.4011579999999999E-2</v>
      </c>
      <c r="O3454">
        <v>-0.19271920000000001</v>
      </c>
      <c r="P3454">
        <v>0.90882470000000004</v>
      </c>
      <c r="Q3454">
        <v>0.41423470000000001</v>
      </c>
      <c r="R3454">
        <v>4.9469600000000002E-2</v>
      </c>
      <c r="S3454">
        <v>3.473633</v>
      </c>
      <c r="T3454">
        <v>-0.39199220000000001</v>
      </c>
      <c r="U3454">
        <v>0.1143646</v>
      </c>
      <c r="V3454">
        <v>-0.22826080000000001</v>
      </c>
      <c r="W3454">
        <v>0.42413650000000003</v>
      </c>
      <c r="X3454">
        <v>0.87635909999999995</v>
      </c>
      <c r="Y3454">
        <v>-0.22240799999999999</v>
      </c>
      <c r="Z3454">
        <v>3.2955020000000002E-2</v>
      </c>
      <c r="AA3454">
        <v>0.97439659999999995</v>
      </c>
      <c r="AB3454">
        <v>21</v>
      </c>
      <c r="AC3454">
        <v>9.6856000000000204</v>
      </c>
      <c r="AD3454">
        <v>-1.1156769908647</v>
      </c>
      <c r="AE3454">
        <v>0.35729999999998002</v>
      </c>
      <c r="AF3454">
        <v>-2.1883875779098498</v>
      </c>
      <c r="AG3454">
        <v>-1.1156769908647</v>
      </c>
      <c r="AH3454">
        <v>9.3117463687110593</v>
      </c>
      <c r="AI3454">
        <v>96.652704682097394</v>
      </c>
      <c r="AJ3454">
        <v>103.225292789674</v>
      </c>
      <c r="AK3454">
        <v>9.6302853423093602</v>
      </c>
      <c r="AL3454">
        <v>64.903981565675494</v>
      </c>
      <c r="AM3454">
        <v>104.599164445139</v>
      </c>
      <c r="AN3454">
        <v>1.0000000178008499</v>
      </c>
    </row>
    <row r="3455" spans="1:40" x14ac:dyDescent="0.25">
      <c r="A3455" t="str">
        <f>"20190304164919460"</f>
        <v>20190304164919460</v>
      </c>
      <c r="B3455" t="str">
        <f>"1551689359449651"</f>
        <v>1551689359449651</v>
      </c>
      <c r="C3455" t="s">
        <v>40</v>
      </c>
      <c r="D3455">
        <v>4.1239150000000002</v>
      </c>
      <c r="E3455">
        <v>0.51407590000000003</v>
      </c>
      <c r="F3455" t="s">
        <v>46</v>
      </c>
      <c r="G3455">
        <v>-460.84289999999999</v>
      </c>
      <c r="H3455" s="1">
        <v>-1.0714029999999999E-6</v>
      </c>
      <c r="I3455">
        <v>214.23089999999999</v>
      </c>
      <c r="J3455">
        <v>-470.47539999999998</v>
      </c>
      <c r="K3455">
        <v>1.1155109999999999</v>
      </c>
      <c r="L3455">
        <v>213.83260000000001</v>
      </c>
      <c r="M3455">
        <v>0.98262169999999904</v>
      </c>
      <c r="N3455">
        <v>-1.391062E-2</v>
      </c>
      <c r="O3455">
        <v>-0.18509780000000001</v>
      </c>
      <c r="P3455">
        <v>0.90897050000000001</v>
      </c>
      <c r="Q3455">
        <v>0.41353299999999998</v>
      </c>
      <c r="R3455">
        <v>5.2564859999999998E-2</v>
      </c>
      <c r="S3455">
        <v>3.4734799999999999</v>
      </c>
      <c r="T3455">
        <v>-0.39398420000000001</v>
      </c>
      <c r="U3455">
        <v>0.12983699999999901</v>
      </c>
      <c r="V3455">
        <v>-0.2243088</v>
      </c>
      <c r="W3455">
        <v>0.42348859999999999</v>
      </c>
      <c r="X3455">
        <v>0.87769180000000002</v>
      </c>
      <c r="Y3455">
        <v>-0.2192124</v>
      </c>
      <c r="Z3455">
        <v>3.2190360000000001E-2</v>
      </c>
      <c r="AA3455">
        <v>0.97514599999999996</v>
      </c>
      <c r="AB3455">
        <v>21</v>
      </c>
      <c r="AC3455">
        <v>9.6324999999999896</v>
      </c>
      <c r="AD3455">
        <v>-1.115512071403</v>
      </c>
      <c r="AE3455">
        <v>0.39829999999997701</v>
      </c>
      <c r="AF3455">
        <v>-2.14581405775334</v>
      </c>
      <c r="AG3455">
        <v>-1.115512071403</v>
      </c>
      <c r="AH3455">
        <v>9.2682009873461393</v>
      </c>
      <c r="AI3455">
        <v>96.687814264034202</v>
      </c>
      <c r="AJ3455">
        <v>103.035686682281</v>
      </c>
      <c r="AK3455">
        <v>9.5785403216639295</v>
      </c>
      <c r="AL3455">
        <v>64.944964875074803</v>
      </c>
      <c r="AM3455">
        <v>104.336034989875</v>
      </c>
      <c r="AN3455">
        <v>0.99999996393731905</v>
      </c>
    </row>
    <row r="3456" spans="1:40" x14ac:dyDescent="0.25">
      <c r="A3456" t="str">
        <f>"20190304164919482"</f>
        <v>20190304164919482</v>
      </c>
      <c r="B3456" t="str">
        <f>"1551689359478930"</f>
        <v>1551689359478930</v>
      </c>
      <c r="C3456" t="s">
        <v>40</v>
      </c>
      <c r="D3456">
        <v>4.1869540000000001</v>
      </c>
      <c r="E3456">
        <v>0.51517800000000002</v>
      </c>
      <c r="F3456" t="s">
        <v>46</v>
      </c>
      <c r="G3456">
        <v>-460.70510000000002</v>
      </c>
      <c r="H3456" s="1">
        <v>-1.144938E-6</v>
      </c>
      <c r="I3456">
        <v>214.23560000000001</v>
      </c>
      <c r="J3456">
        <v>-470.27359999999999</v>
      </c>
      <c r="K3456">
        <v>1.1153580000000001</v>
      </c>
      <c r="L3456">
        <v>213.80359999999999</v>
      </c>
      <c r="M3456">
        <v>0.98397880000000004</v>
      </c>
      <c r="N3456">
        <v>-1.3802139999999999E-2</v>
      </c>
      <c r="O3456">
        <v>-0.1777504</v>
      </c>
      <c r="P3456">
        <v>0.90895060000000005</v>
      </c>
      <c r="Q3456">
        <v>0.41307660000000002</v>
      </c>
      <c r="R3456">
        <v>5.6361439999999999E-2</v>
      </c>
      <c r="S3456">
        <v>3.4725039999999998</v>
      </c>
      <c r="T3456">
        <v>-0.39646690000000001</v>
      </c>
      <c r="U3456">
        <v>0.14323429999999901</v>
      </c>
      <c r="V3456">
        <v>-0.22129099999999999</v>
      </c>
      <c r="W3456">
        <v>0.4230506</v>
      </c>
      <c r="X3456">
        <v>0.87866860000000002</v>
      </c>
      <c r="Y3456">
        <v>-0.21571860000000001</v>
      </c>
      <c r="Z3456">
        <v>3.1468540000000003E-2</v>
      </c>
      <c r="AA3456">
        <v>0.97594840000000005</v>
      </c>
      <c r="AB3456">
        <v>21</v>
      </c>
      <c r="AC3456">
        <v>9.56849999999997</v>
      </c>
      <c r="AD3456">
        <v>-1.115359144938</v>
      </c>
      <c r="AE3456">
        <v>0.43200000000001598</v>
      </c>
      <c r="AF3456">
        <v>-2.09764220269623</v>
      </c>
      <c r="AG3456">
        <v>-1.115359144938</v>
      </c>
      <c r="AH3456">
        <v>9.2143566461352293</v>
      </c>
      <c r="AI3456">
        <v>96.731257977779407</v>
      </c>
      <c r="AJ3456">
        <v>102.824782838077</v>
      </c>
      <c r="AK3456">
        <v>9.5156974119034299</v>
      </c>
      <c r="AL3456">
        <v>64.972665350707899</v>
      </c>
      <c r="AM3456">
        <v>104.13585858515</v>
      </c>
      <c r="AN3456">
        <v>1.0000000127336599</v>
      </c>
    </row>
    <row r="3457" spans="1:40" x14ac:dyDescent="0.25">
      <c r="A3457" t="str">
        <f>"20190304164919504"</f>
        <v>20190304164919504</v>
      </c>
      <c r="B3457" t="str">
        <f>"1551689359499426"</f>
        <v>1551689359499426</v>
      </c>
      <c r="C3457" t="s">
        <v>40</v>
      </c>
      <c r="D3457">
        <v>4.1927909999999997</v>
      </c>
      <c r="E3457">
        <v>0.5156037</v>
      </c>
      <c r="F3457" t="s">
        <v>46</v>
      </c>
      <c r="G3457">
        <v>-460.45839999999998</v>
      </c>
      <c r="H3457" s="1">
        <v>-1.2758989999999999E-6</v>
      </c>
      <c r="I3457">
        <v>214.22900000000001</v>
      </c>
      <c r="J3457">
        <v>-470.0761</v>
      </c>
      <c r="K3457">
        <v>1.115219</v>
      </c>
      <c r="L3457">
        <v>213.7765</v>
      </c>
      <c r="M3457">
        <v>0.98521570000000003</v>
      </c>
      <c r="N3457">
        <v>-1.3679190000000001E-2</v>
      </c>
      <c r="O3457">
        <v>-0.1707727</v>
      </c>
      <c r="P3457">
        <v>0.90881230000000002</v>
      </c>
      <c r="Q3457">
        <v>0.41284460000000001</v>
      </c>
      <c r="R3457">
        <v>6.0167169999999999E-2</v>
      </c>
      <c r="S3457">
        <v>3.4704280000000001</v>
      </c>
      <c r="T3457">
        <v>-0.39436599999999999</v>
      </c>
      <c r="U3457">
        <v>0.15039060000000001</v>
      </c>
      <c r="V3457">
        <v>-0.21861369999999999</v>
      </c>
      <c r="W3457">
        <v>0.4228112</v>
      </c>
      <c r="X3457">
        <v>0.8794537</v>
      </c>
      <c r="Y3457">
        <v>-0.21092350000000001</v>
      </c>
      <c r="Z3457">
        <v>3.0334659999999999E-2</v>
      </c>
      <c r="AA3457">
        <v>0.97703180000000001</v>
      </c>
      <c r="AB3457">
        <v>21</v>
      </c>
      <c r="AC3457">
        <v>9.6177000000000099</v>
      </c>
      <c r="AD3457">
        <v>-1.115220275899</v>
      </c>
      <c r="AE3457">
        <v>0.452500000000014</v>
      </c>
      <c r="AF3457">
        <v>-2.0607982910938998</v>
      </c>
      <c r="AG3457">
        <v>-1.115220275899</v>
      </c>
      <c r="AH3457">
        <v>9.2746840036569491</v>
      </c>
      <c r="AI3457">
        <v>96.694787911024605</v>
      </c>
      <c r="AJ3457">
        <v>102.527379537812</v>
      </c>
      <c r="AK3457">
        <v>9.5661052277320096</v>
      </c>
      <c r="AL3457">
        <v>64.987803000866805</v>
      </c>
      <c r="AM3457">
        <v>103.95958852823701</v>
      </c>
      <c r="AN3457">
        <v>1.0000000355584</v>
      </c>
    </row>
    <row r="3458" spans="1:40" x14ac:dyDescent="0.25">
      <c r="A3458" t="str">
        <f>"20190304164919526"</f>
        <v>20190304164919526</v>
      </c>
      <c r="B3458" t="str">
        <f>"1551689359518946"</f>
        <v>1551689359518946</v>
      </c>
      <c r="C3458" t="s">
        <v>40</v>
      </c>
      <c r="D3458">
        <v>4.1872959999999999</v>
      </c>
      <c r="E3458">
        <v>0.51630810000000005</v>
      </c>
      <c r="F3458" t="s">
        <v>46</v>
      </c>
      <c r="G3458">
        <v>-460.2253</v>
      </c>
      <c r="H3458" s="1">
        <v>-1.4001900000000001E-6</v>
      </c>
      <c r="I3458">
        <v>214.23349999999999</v>
      </c>
      <c r="J3458">
        <v>-469.86649999999997</v>
      </c>
      <c r="K3458">
        <v>1.1150629999999999</v>
      </c>
      <c r="L3458">
        <v>213.74889999999999</v>
      </c>
      <c r="M3458">
        <v>0.98643170000000002</v>
      </c>
      <c r="N3458">
        <v>-1.352924E-2</v>
      </c>
      <c r="O3458">
        <v>-0.16361310000000001</v>
      </c>
      <c r="P3458">
        <v>0.90887430000000002</v>
      </c>
      <c r="Q3458">
        <v>0.41213430000000001</v>
      </c>
      <c r="R3458">
        <v>6.3972840000000003E-2</v>
      </c>
      <c r="S3458">
        <v>3.46875</v>
      </c>
      <c r="T3458">
        <v>-0.39269890000000002</v>
      </c>
      <c r="U3458">
        <v>0.16093440000000001</v>
      </c>
      <c r="V3458">
        <v>-0.2157945</v>
      </c>
      <c r="W3458">
        <v>0.42208079999999998</v>
      </c>
      <c r="X3458">
        <v>0.88050019999999996</v>
      </c>
      <c r="Y3458">
        <v>-0.20689089999999999</v>
      </c>
      <c r="Z3458">
        <v>2.9269839999999998E-2</v>
      </c>
      <c r="AA3458">
        <v>0.97792610000000002</v>
      </c>
      <c r="AB3458">
        <v>21</v>
      </c>
      <c r="AC3458">
        <v>9.6411999999999694</v>
      </c>
      <c r="AD3458">
        <v>-1.1150644001900001</v>
      </c>
      <c r="AE3458">
        <v>0.48459999999999998</v>
      </c>
      <c r="AF3458">
        <v>-2.0285732526623699</v>
      </c>
      <c r="AG3458">
        <v>-1.1150644001900001</v>
      </c>
      <c r="AH3458">
        <v>9.3077723717885092</v>
      </c>
      <c r="AI3458">
        <v>96.676181618630295</v>
      </c>
      <c r="AJ3458">
        <v>102.29500901398799</v>
      </c>
      <c r="AK3458">
        <v>9.5913035914320695</v>
      </c>
      <c r="AL3458">
        <v>65.033973980062498</v>
      </c>
      <c r="AM3458">
        <v>103.770717464744</v>
      </c>
      <c r="AN3458">
        <v>1.00000003507946</v>
      </c>
    </row>
    <row r="3459" spans="1:40" x14ac:dyDescent="0.25">
      <c r="A3459" t="str">
        <f>"20190304164919550"</f>
        <v>20190304164919550</v>
      </c>
      <c r="B3459" t="str">
        <f>"1551689359539441"</f>
        <v>1551689359539441</v>
      </c>
      <c r="C3459" t="s">
        <v>40</v>
      </c>
      <c r="D3459">
        <v>4.1837910000000003</v>
      </c>
      <c r="E3459">
        <v>0.51706770000000002</v>
      </c>
      <c r="F3459" t="s">
        <v>46</v>
      </c>
      <c r="G3459">
        <v>-460.12580000000003</v>
      </c>
      <c r="H3459" s="1">
        <v>-1.4529019999999999E-6</v>
      </c>
      <c r="I3459">
        <v>214.2285</v>
      </c>
      <c r="J3459">
        <v>-469.65519999999998</v>
      </c>
      <c r="K3459">
        <v>1.1148720000000001</v>
      </c>
      <c r="L3459">
        <v>213.72239999999999</v>
      </c>
      <c r="M3459">
        <v>0.98756259999999996</v>
      </c>
      <c r="N3459">
        <v>-1.336155E-2</v>
      </c>
      <c r="O3459">
        <v>-0.15665770000000001</v>
      </c>
      <c r="P3459">
        <v>0.90948150000000005</v>
      </c>
      <c r="Q3459">
        <v>0.41021780000000002</v>
      </c>
      <c r="R3459">
        <v>6.7563499999999999E-2</v>
      </c>
      <c r="S3459">
        <v>3.46875</v>
      </c>
      <c r="T3459">
        <v>-0.39708209999999999</v>
      </c>
      <c r="U3459">
        <v>0.17080689999999901</v>
      </c>
      <c r="V3459">
        <v>-0.21300530000000001</v>
      </c>
      <c r="W3459">
        <v>0.42014370000000001</v>
      </c>
      <c r="X3459">
        <v>0.88210429999999995</v>
      </c>
      <c r="Y3459">
        <v>-0.20278669999999999</v>
      </c>
      <c r="Z3459">
        <v>2.8657950000000001E-2</v>
      </c>
      <c r="AA3459">
        <v>0.97880350000000005</v>
      </c>
      <c r="AB3459">
        <v>21</v>
      </c>
      <c r="AC3459">
        <v>9.5293999999999492</v>
      </c>
      <c r="AD3459">
        <v>-1.1148734529019999</v>
      </c>
      <c r="AE3459">
        <v>0.50610000000000299</v>
      </c>
      <c r="AF3459">
        <v>-1.9660034322390201</v>
      </c>
      <c r="AG3459">
        <v>-1.1148734529019999</v>
      </c>
      <c r="AH3459">
        <v>9.2067654523799494</v>
      </c>
      <c r="AI3459">
        <v>96.753682170275695</v>
      </c>
      <c r="AJ3459">
        <v>102.05384521991201</v>
      </c>
      <c r="AK3459">
        <v>9.48011826965773</v>
      </c>
      <c r="AL3459">
        <v>65.156339566472496</v>
      </c>
      <c r="AM3459">
        <v>103.57556373407699</v>
      </c>
      <c r="AN3459">
        <v>0.99999999127813499</v>
      </c>
    </row>
    <row r="3460" spans="1:40" x14ac:dyDescent="0.25">
      <c r="A3460" t="str">
        <f>"20190304164919572"</f>
        <v>20190304164919572</v>
      </c>
      <c r="B3460" t="str">
        <f>"1551689359569697"</f>
        <v>1551689359569697</v>
      </c>
      <c r="C3460" t="s">
        <v>40</v>
      </c>
      <c r="D3460">
        <v>4.2289570000000003</v>
      </c>
      <c r="E3460">
        <v>0.51831159999999998</v>
      </c>
      <c r="F3460" t="s">
        <v>46</v>
      </c>
      <c r="G3460">
        <v>-460.12990000000002</v>
      </c>
      <c r="H3460" s="1">
        <v>-1.450052E-6</v>
      </c>
      <c r="I3460">
        <v>214.21350000000001</v>
      </c>
      <c r="J3460">
        <v>-469.4538</v>
      </c>
      <c r="K3460">
        <v>1.114665</v>
      </c>
      <c r="L3460">
        <v>213.69810000000001</v>
      </c>
      <c r="M3460">
        <v>0.9885526</v>
      </c>
      <c r="N3460">
        <v>-1.318921E-2</v>
      </c>
      <c r="O3460">
        <v>-0.1502984</v>
      </c>
      <c r="P3460">
        <v>0.91017979999999998</v>
      </c>
      <c r="Q3460">
        <v>0.40809980000000001</v>
      </c>
      <c r="R3460">
        <v>7.0903560000000004E-2</v>
      </c>
      <c r="S3460">
        <v>3.4684140000000001</v>
      </c>
      <c r="T3460">
        <v>-0.40595710000000002</v>
      </c>
      <c r="U3460">
        <v>0.17883299999999999</v>
      </c>
      <c r="V3460">
        <v>-0.21050060000000001</v>
      </c>
      <c r="W3460">
        <v>0.41800229999999999</v>
      </c>
      <c r="X3460">
        <v>0.88372139999999999</v>
      </c>
      <c r="Y3460">
        <v>-0.198709</v>
      </c>
      <c r="Z3460">
        <v>2.8405989999999999E-2</v>
      </c>
      <c r="AA3460">
        <v>0.97964680000000004</v>
      </c>
      <c r="AB3460">
        <v>21</v>
      </c>
      <c r="AC3460">
        <v>9.3238999999999805</v>
      </c>
      <c r="AD3460">
        <v>-1.114666450052</v>
      </c>
      <c r="AE3460">
        <v>0.51539999999999897</v>
      </c>
      <c r="AF3460">
        <v>-1.8841868037727201</v>
      </c>
      <c r="AG3460">
        <v>-1.114666450052</v>
      </c>
      <c r="AH3460">
        <v>9.0120888304235507</v>
      </c>
      <c r="AI3460">
        <v>96.903086436082006</v>
      </c>
      <c r="AJ3460">
        <v>101.808914169483</v>
      </c>
      <c r="AK3460">
        <v>9.2741784700224397</v>
      </c>
      <c r="AL3460">
        <v>65.291470747600101</v>
      </c>
      <c r="AM3460">
        <v>103.39806528077</v>
      </c>
      <c r="AN3460">
        <v>0.999999969111804</v>
      </c>
    </row>
    <row r="3461" spans="1:40" x14ac:dyDescent="0.25">
      <c r="A3461" t="str">
        <f>"20190304164919593"</f>
        <v>20190304164919593</v>
      </c>
      <c r="B3461" t="str">
        <f>"1551689359589217"</f>
        <v>1551689359589217</v>
      </c>
      <c r="C3461" t="s">
        <v>40</v>
      </c>
      <c r="D3461">
        <v>4.2141159999999998</v>
      </c>
      <c r="E3461">
        <v>0.5191074</v>
      </c>
      <c r="F3461" t="s">
        <v>46</v>
      </c>
      <c r="G3461">
        <v>-460.0401</v>
      </c>
      <c r="H3461" s="1">
        <v>-1.496829E-6</v>
      </c>
      <c r="I3461">
        <v>214.19</v>
      </c>
      <c r="J3461">
        <v>-469.26209999999998</v>
      </c>
      <c r="K3461">
        <v>1.114455</v>
      </c>
      <c r="L3461">
        <v>213.67590000000001</v>
      </c>
      <c r="M3461">
        <v>0.98941840000000003</v>
      </c>
      <c r="N3461">
        <v>-1.301419E-2</v>
      </c>
      <c r="O3461">
        <v>-0.14450579999999999</v>
      </c>
      <c r="P3461">
        <v>0.91075830000000002</v>
      </c>
      <c r="Q3461">
        <v>0.4064586</v>
      </c>
      <c r="R3461">
        <v>7.2877540000000005E-2</v>
      </c>
      <c r="S3461">
        <v>3.4659420000000001</v>
      </c>
      <c r="T3461">
        <v>-0.41039789999999998</v>
      </c>
      <c r="U3461">
        <v>0.18110660000000001</v>
      </c>
      <c r="V3461">
        <v>-0.2071298</v>
      </c>
      <c r="W3461">
        <v>0.41634300000000002</v>
      </c>
      <c r="X3461">
        <v>0.88529979999999997</v>
      </c>
      <c r="Y3461">
        <v>-0.19366059999999999</v>
      </c>
      <c r="Z3461">
        <v>2.7817689999999999E-2</v>
      </c>
      <c r="AA3461">
        <v>0.98067409999999999</v>
      </c>
      <c r="AB3461">
        <v>21</v>
      </c>
      <c r="AC3461">
        <v>9.22199999999998</v>
      </c>
      <c r="AD3461">
        <v>-1.1144564968290001</v>
      </c>
      <c r="AE3461">
        <v>0.51409999999998401</v>
      </c>
      <c r="AF3461">
        <v>-1.81502363640266</v>
      </c>
      <c r="AG3461">
        <v>-1.1144564968290001</v>
      </c>
      <c r="AH3461">
        <v>8.9210121771914608</v>
      </c>
      <c r="AI3461">
        <v>96.979248064785097</v>
      </c>
      <c r="AJ3461">
        <v>101.50014305479399</v>
      </c>
      <c r="AK3461">
        <v>9.17173824035679</v>
      </c>
      <c r="AL3461">
        <v>65.396079684239993</v>
      </c>
      <c r="AM3461">
        <v>103.168379433258</v>
      </c>
      <c r="AN3461">
        <v>0.99999999178853904</v>
      </c>
    </row>
    <row r="3462" spans="1:40" x14ac:dyDescent="0.25">
      <c r="A3462" t="str">
        <f>"20190304164919618"</f>
        <v>20190304164919618</v>
      </c>
      <c r="B3462" t="str">
        <f>"1551689359609714"</f>
        <v>1551689359609714</v>
      </c>
      <c r="C3462" t="s">
        <v>40</v>
      </c>
      <c r="D3462">
        <v>4.1713950000000004</v>
      </c>
      <c r="E3462">
        <v>0.51988069999999997</v>
      </c>
      <c r="F3462" t="s">
        <v>46</v>
      </c>
      <c r="G3462">
        <v>-459.91950000000003</v>
      </c>
      <c r="H3462" s="1">
        <v>3.7610259999999999E-6</v>
      </c>
      <c r="I3462">
        <v>214.17760000000001</v>
      </c>
      <c r="J3462">
        <v>-469.02659999999997</v>
      </c>
      <c r="K3462">
        <v>1.1141909999999999</v>
      </c>
      <c r="L3462">
        <v>213.6498</v>
      </c>
      <c r="M3462">
        <v>0.99038090000000001</v>
      </c>
      <c r="N3462">
        <v>-1.2785339999999999E-2</v>
      </c>
      <c r="O3462">
        <v>-0.13777609999999901</v>
      </c>
      <c r="P3462">
        <v>0.91146309999999997</v>
      </c>
      <c r="Q3462">
        <v>0.4043466</v>
      </c>
      <c r="R3462">
        <v>7.5756970000000007E-2</v>
      </c>
      <c r="S3462">
        <v>3.46347</v>
      </c>
      <c r="T3462">
        <v>-0.4131457</v>
      </c>
      <c r="U3462">
        <v>0.1859741</v>
      </c>
      <c r="V3462">
        <v>-0.2037697</v>
      </c>
      <c r="W3462">
        <v>0.41418880000000002</v>
      </c>
      <c r="X3462">
        <v>0.88708819999999999</v>
      </c>
      <c r="Y3462">
        <v>-0.1884449</v>
      </c>
      <c r="Z3462">
        <v>2.698559E-2</v>
      </c>
      <c r="AA3462">
        <v>0.9817129</v>
      </c>
      <c r="AB3462">
        <v>21</v>
      </c>
      <c r="AC3462">
        <v>9.1070999999999405</v>
      </c>
      <c r="AD3462">
        <v>-1.114187238974</v>
      </c>
      <c r="AE3462">
        <v>0.52780000000001304</v>
      </c>
      <c r="AF3462">
        <v>-1.75148106214651</v>
      </c>
      <c r="AG3462">
        <v>-1.114187238974</v>
      </c>
      <c r="AH3462">
        <v>8.8159969928302608</v>
      </c>
      <c r="AI3462">
        <v>97.066324808914004</v>
      </c>
      <c r="AJ3462">
        <v>101.236684669379</v>
      </c>
      <c r="AK3462">
        <v>9.0570912600096101</v>
      </c>
      <c r="AL3462">
        <v>65.531757311878096</v>
      </c>
      <c r="AM3462">
        <v>102.936778225042</v>
      </c>
      <c r="AN3462">
        <v>0.99999996363138399</v>
      </c>
    </row>
    <row r="3463" spans="1:40" x14ac:dyDescent="0.25">
      <c r="A3463" t="str">
        <f>"20190304164919639"</f>
        <v>20190304164919639</v>
      </c>
      <c r="B3463" t="str">
        <f>"1551689359629234"</f>
        <v>1551689359629234</v>
      </c>
      <c r="C3463" t="s">
        <v>40</v>
      </c>
      <c r="D3463">
        <v>4.1524219999999996</v>
      </c>
      <c r="E3463">
        <v>0.52055839999999998</v>
      </c>
      <c r="F3463" t="s">
        <v>46</v>
      </c>
      <c r="G3463">
        <v>-459.80549999999999</v>
      </c>
      <c r="H3463" s="1">
        <v>3.7009940000000001E-6</v>
      </c>
      <c r="I3463">
        <v>214.16319999999999</v>
      </c>
      <c r="J3463">
        <v>-468.82429999999999</v>
      </c>
      <c r="K3463">
        <v>1.1139730000000001</v>
      </c>
      <c r="L3463">
        <v>213.62819999999999</v>
      </c>
      <c r="M3463">
        <v>0.99112469999999997</v>
      </c>
      <c r="N3463">
        <v>-1.258105E-2</v>
      </c>
      <c r="O3463">
        <v>-0.13233929999999999</v>
      </c>
      <c r="P3463">
        <v>0.91184770000000004</v>
      </c>
      <c r="Q3463">
        <v>0.40302900000000003</v>
      </c>
      <c r="R3463">
        <v>7.8115249999999997E-2</v>
      </c>
      <c r="S3463">
        <v>3.4609380000000001</v>
      </c>
      <c r="T3463">
        <v>-0.41818620000000001</v>
      </c>
      <c r="U3463">
        <v>0.19271849999999999</v>
      </c>
      <c r="V3463">
        <v>-0.20105919999999999</v>
      </c>
      <c r="W3463">
        <v>0.41281519999999999</v>
      </c>
      <c r="X3463">
        <v>0.88834609999999903</v>
      </c>
      <c r="Y3463">
        <v>-0.18500179999999999</v>
      </c>
      <c r="Z3463">
        <v>2.6536529999999999E-2</v>
      </c>
      <c r="AA3463">
        <v>0.98237989999999997</v>
      </c>
      <c r="AB3463">
        <v>21</v>
      </c>
      <c r="AC3463">
        <v>9.0188000000000006</v>
      </c>
      <c r="AD3463">
        <v>-1.1139692990059999</v>
      </c>
      <c r="AE3463">
        <v>0.53499999999999603</v>
      </c>
      <c r="AF3463">
        <v>-1.6981136396744501</v>
      </c>
      <c r="AG3463">
        <v>-1.1139692990059999</v>
      </c>
      <c r="AH3463">
        <v>8.7358459336260594</v>
      </c>
      <c r="AI3463">
        <v>97.134838002144406</v>
      </c>
      <c r="AJ3463">
        <v>101.000235141609</v>
      </c>
      <c r="AK3463">
        <v>8.9688082657857802</v>
      </c>
      <c r="AL3463">
        <v>65.618195421836504</v>
      </c>
      <c r="AM3463">
        <v>102.752883677553</v>
      </c>
      <c r="AN3463">
        <v>0.99999999232044501</v>
      </c>
    </row>
    <row r="3464" spans="1:40" x14ac:dyDescent="0.25">
      <c r="A3464" t="str">
        <f>"20190304164919661"</f>
        <v>20190304164919661</v>
      </c>
      <c r="B3464" t="str">
        <f>"1551689359649732"</f>
        <v>1551689359649732</v>
      </c>
      <c r="C3464" t="s">
        <v>40</v>
      </c>
      <c r="D3464">
        <v>4.1553959999999996</v>
      </c>
      <c r="E3464">
        <v>0.52129320000000001</v>
      </c>
      <c r="F3464" t="s">
        <v>46</v>
      </c>
      <c r="G3464">
        <v>-459.6542</v>
      </c>
      <c r="H3464" s="1">
        <v>3.6214600000000001E-6</v>
      </c>
      <c r="I3464">
        <v>214.14189999999999</v>
      </c>
      <c r="J3464">
        <v>-468.63339999999999</v>
      </c>
      <c r="K3464">
        <v>1.113804</v>
      </c>
      <c r="L3464">
        <v>213.60849999999999</v>
      </c>
      <c r="M3464">
        <v>0.99176759999999997</v>
      </c>
      <c r="N3464">
        <v>-1.239288E-2</v>
      </c>
      <c r="O3464">
        <v>-0.12745000000000001</v>
      </c>
      <c r="P3464">
        <v>0.91208860000000003</v>
      </c>
      <c r="Q3464">
        <v>0.40218480000000001</v>
      </c>
      <c r="R3464">
        <v>7.9635800000000007E-2</v>
      </c>
      <c r="S3464">
        <v>3.4591669999999999</v>
      </c>
      <c r="T3464">
        <v>-0.42021760000000002</v>
      </c>
      <c r="U3464">
        <v>0.1937866</v>
      </c>
      <c r="V3464">
        <v>-0.19803460000000001</v>
      </c>
      <c r="W3464">
        <v>0.4119081</v>
      </c>
      <c r="X3464">
        <v>0.88944590000000001</v>
      </c>
      <c r="Y3464">
        <v>-0.1805254</v>
      </c>
      <c r="Z3464">
        <v>2.5861479999999999E-2</v>
      </c>
      <c r="AA3464">
        <v>0.9832303</v>
      </c>
      <c r="AB3464">
        <v>21</v>
      </c>
      <c r="AC3464">
        <v>8.9791999999999899</v>
      </c>
      <c r="AD3464">
        <v>-1.1138003785399999</v>
      </c>
      <c r="AE3464">
        <v>0.53339999999999999</v>
      </c>
      <c r="AF3464">
        <v>-1.64826452932721</v>
      </c>
      <c r="AG3464">
        <v>-1.1138003785399999</v>
      </c>
      <c r="AH3464">
        <v>8.7045153176309604</v>
      </c>
      <c r="AI3464">
        <v>97.165772339268997</v>
      </c>
      <c r="AJ3464">
        <v>100.722428359308</v>
      </c>
      <c r="AK3464">
        <v>8.9289368995836291</v>
      </c>
      <c r="AL3464">
        <v>65.6752447845506</v>
      </c>
      <c r="AM3464">
        <v>102.552129541958</v>
      </c>
      <c r="AN3464">
        <v>0.99999999733478995</v>
      </c>
    </row>
    <row r="3465" spans="1:40" x14ac:dyDescent="0.25">
      <c r="A3465" t="str">
        <f>"20190304164919682"</f>
        <v>20190304164919682</v>
      </c>
      <c r="B3465" t="str">
        <f>"1551689359679009"</f>
        <v>1551689359679009</v>
      </c>
      <c r="C3465" t="s">
        <v>40</v>
      </c>
      <c r="D3465">
        <v>4.1444239999999999</v>
      </c>
      <c r="E3465">
        <v>0.52198699999999998</v>
      </c>
      <c r="F3465" t="s">
        <v>46</v>
      </c>
      <c r="G3465">
        <v>-459.47730000000001</v>
      </c>
      <c r="H3465" s="1">
        <v>3.5284559999999998E-6</v>
      </c>
      <c r="I3465">
        <v>214.1148</v>
      </c>
      <c r="J3465">
        <v>-468.43169999999998</v>
      </c>
      <c r="K3465">
        <v>1.1136440000000001</v>
      </c>
      <c r="L3465">
        <v>213.58850000000001</v>
      </c>
      <c r="M3465">
        <v>0.99238879999999996</v>
      </c>
      <c r="N3465">
        <v>-1.2194999999999999E-2</v>
      </c>
      <c r="O3465">
        <v>-0.1225393</v>
      </c>
      <c r="P3465">
        <v>0.91257270000000001</v>
      </c>
      <c r="Q3465">
        <v>0.40106760000000002</v>
      </c>
      <c r="R3465">
        <v>7.9724729999999994E-2</v>
      </c>
      <c r="S3465">
        <v>3.457916</v>
      </c>
      <c r="T3465">
        <v>-0.4206376</v>
      </c>
      <c r="U3465">
        <v>0.19122310000000001</v>
      </c>
      <c r="V3465">
        <v>-0.19361039999999999</v>
      </c>
      <c r="W3465">
        <v>0.41072370000000002</v>
      </c>
      <c r="X3465">
        <v>0.89096640000000005</v>
      </c>
      <c r="Y3465">
        <v>-0.1750158</v>
      </c>
      <c r="Z3465">
        <v>2.5004849999999999E-2</v>
      </c>
      <c r="AA3465">
        <v>0.98424800000000001</v>
      </c>
      <c r="AB3465">
        <v>21</v>
      </c>
      <c r="AC3465">
        <v>8.9543999999999606</v>
      </c>
      <c r="AD3465">
        <v>-1.113640471544</v>
      </c>
      <c r="AE3465">
        <v>0.526299999999992</v>
      </c>
      <c r="AF3465">
        <v>-1.5950934765910401</v>
      </c>
      <c r="AG3465">
        <v>-1.113640471544</v>
      </c>
      <c r="AH3465">
        <v>8.6884838098014008</v>
      </c>
      <c r="AI3465">
        <v>97.185226169787398</v>
      </c>
      <c r="AJ3465">
        <v>100.402923692071</v>
      </c>
      <c r="AK3465">
        <v>8.9036098977945493</v>
      </c>
      <c r="AL3465">
        <v>65.749696298256197</v>
      </c>
      <c r="AM3465">
        <v>102.259987216388</v>
      </c>
      <c r="AN3465">
        <v>1.0000000353294001</v>
      </c>
    </row>
    <row r="3466" spans="1:40" x14ac:dyDescent="0.25">
      <c r="A3466" t="str">
        <f>"20190304164919705"</f>
        <v>20190304164919705</v>
      </c>
      <c r="B3466" t="str">
        <f>"1551689359699506"</f>
        <v>1551689359699506</v>
      </c>
      <c r="C3466" t="s">
        <v>40</v>
      </c>
      <c r="D3466">
        <v>4.1306820000000002</v>
      </c>
      <c r="E3466">
        <v>0.53544659999999999</v>
      </c>
      <c r="F3466" t="s">
        <v>46</v>
      </c>
      <c r="G3466">
        <v>-459.30939999999998</v>
      </c>
      <c r="H3466" s="1">
        <v>3.440578E-6</v>
      </c>
      <c r="I3466">
        <v>214.0821</v>
      </c>
      <c r="J3466">
        <v>-468.21940000000001</v>
      </c>
      <c r="K3466">
        <v>1.1134770000000001</v>
      </c>
      <c r="L3466">
        <v>213.56809999999999</v>
      </c>
      <c r="M3466">
        <v>0.99298090000000006</v>
      </c>
      <c r="N3466">
        <v>-1.197497E-2</v>
      </c>
      <c r="O3466">
        <v>-0.11766649999999999</v>
      </c>
      <c r="P3466">
        <v>0.91280059999999996</v>
      </c>
      <c r="Q3466">
        <v>0.40058719999999998</v>
      </c>
      <c r="R3466">
        <v>7.9530749999999997E-2</v>
      </c>
      <c r="S3466">
        <v>3.456512</v>
      </c>
      <c r="T3466">
        <v>-0.42196869999999997</v>
      </c>
      <c r="U3466">
        <v>0.18705749999999999</v>
      </c>
      <c r="V3466">
        <v>-0.18890599999999999</v>
      </c>
      <c r="W3466">
        <v>0.41015279999999998</v>
      </c>
      <c r="X3466">
        <v>0.89223829999999904</v>
      </c>
      <c r="Y3466">
        <v>-0.1690818</v>
      </c>
      <c r="Z3466">
        <v>2.4175120000000001E-2</v>
      </c>
      <c r="AA3466">
        <v>0.98530549999999995</v>
      </c>
      <c r="AB3466">
        <v>21</v>
      </c>
      <c r="AC3466">
        <v>8.9100000000000197</v>
      </c>
      <c r="AD3466">
        <v>-1.113473559422</v>
      </c>
      <c r="AE3466">
        <v>0.51400000000001</v>
      </c>
      <c r="AF3466">
        <v>-1.53501931714444</v>
      </c>
      <c r="AG3466">
        <v>-1.113473559422</v>
      </c>
      <c r="AH3466">
        <v>8.6529232957389208</v>
      </c>
      <c r="AI3466">
        <v>97.221098912673796</v>
      </c>
      <c r="AJ3466">
        <v>100.059555138607</v>
      </c>
      <c r="AK3466">
        <v>8.8582836505431306</v>
      </c>
      <c r="AL3466">
        <v>65.785565925642103</v>
      </c>
      <c r="AM3466">
        <v>101.954213036144</v>
      </c>
      <c r="AN3466">
        <v>0.999999990085364</v>
      </c>
    </row>
    <row r="3467" spans="1:40" x14ac:dyDescent="0.25">
      <c r="A3467" t="str">
        <f>"20190304164919727"</f>
        <v>20190304164919727</v>
      </c>
      <c r="B3467" t="str">
        <f>"1551689359719026"</f>
        <v>1551689359719026</v>
      </c>
      <c r="C3467" t="s">
        <v>40</v>
      </c>
      <c r="D3467">
        <v>4.1318729999999997</v>
      </c>
      <c r="E3467">
        <v>0.53594770000000003</v>
      </c>
      <c r="F3467" t="s">
        <v>46</v>
      </c>
      <c r="G3467">
        <v>-457.76440000000002</v>
      </c>
      <c r="H3467" s="1">
        <v>2.6303879999999999E-6</v>
      </c>
      <c r="I3467">
        <v>213.80799999999999</v>
      </c>
      <c r="J3467">
        <v>-468.00650000000002</v>
      </c>
      <c r="K3467">
        <v>1.1133</v>
      </c>
      <c r="L3467">
        <v>213.54849999999999</v>
      </c>
      <c r="M3467">
        <v>0.99351599999999995</v>
      </c>
      <c r="N3467">
        <v>-1.174529E-2</v>
      </c>
      <c r="O3467">
        <v>-0.1130849</v>
      </c>
      <c r="P3467">
        <v>0.91282180000000002</v>
      </c>
      <c r="Q3467">
        <v>0.4004934</v>
      </c>
      <c r="R3467">
        <v>7.9758200000000001E-2</v>
      </c>
      <c r="S3467">
        <v>3.4404910000000002</v>
      </c>
      <c r="T3467">
        <v>-0.36642029999999998</v>
      </c>
      <c r="U3467">
        <v>7.8933719999999999E-2</v>
      </c>
      <c r="V3467">
        <v>-0.1848477</v>
      </c>
      <c r="W3467">
        <v>0.40995280000000001</v>
      </c>
      <c r="X3467">
        <v>0.89317979999999997</v>
      </c>
      <c r="Y3467">
        <v>-0.13450319999999999</v>
      </c>
      <c r="Z3467">
        <v>1.8600140000000001E-2</v>
      </c>
      <c r="AA3467">
        <v>0.99073860000000002</v>
      </c>
      <c r="AB3467">
        <v>21</v>
      </c>
      <c r="AC3467">
        <v>10.242099999999899</v>
      </c>
      <c r="AD3467">
        <v>-1.1132973696120001</v>
      </c>
      <c r="AE3467">
        <v>0.25950000000000201</v>
      </c>
      <c r="AF3467">
        <v>-1.3996155526423999</v>
      </c>
      <c r="AG3467">
        <v>-1.1132973696120001</v>
      </c>
      <c r="AH3467">
        <v>10.0286285335954</v>
      </c>
      <c r="AI3467">
        <v>96.274261122399693</v>
      </c>
      <c r="AJ3467">
        <v>97.944996326403498</v>
      </c>
      <c r="AK3467">
        <v>10.1868417575433</v>
      </c>
      <c r="AL3467">
        <v>65.798131810496102</v>
      </c>
      <c r="AM3467">
        <v>101.692560487923</v>
      </c>
      <c r="AN3467">
        <v>1.0000000627755801</v>
      </c>
    </row>
    <row r="3468" spans="1:40" x14ac:dyDescent="0.25">
      <c r="A3468" t="str">
        <f>"20190304164919750"</f>
        <v>20190304164919750</v>
      </c>
      <c r="B3468" t="str">
        <f>"1551689359739521"</f>
        <v>1551689359739521</v>
      </c>
      <c r="C3468" t="s">
        <v>40</v>
      </c>
      <c r="D3468">
        <v>4.1205299999999996</v>
      </c>
      <c r="E3468">
        <v>0.53622499999999995</v>
      </c>
      <c r="F3468" t="s">
        <v>46</v>
      </c>
      <c r="G3468">
        <v>-457.45749999999998</v>
      </c>
      <c r="H3468" s="1">
        <v>2.468089E-6</v>
      </c>
      <c r="I3468">
        <v>213.78450000000001</v>
      </c>
      <c r="J3468">
        <v>-467.79719999999998</v>
      </c>
      <c r="K3468">
        <v>1.113116</v>
      </c>
      <c r="L3468">
        <v>213.52979999999999</v>
      </c>
      <c r="M3468">
        <v>0.99398850000000005</v>
      </c>
      <c r="N3468">
        <v>-1.1520549999999999E-2</v>
      </c>
      <c r="O3468">
        <v>-0.1088771</v>
      </c>
      <c r="P3468">
        <v>0.91249170000000002</v>
      </c>
      <c r="Q3468">
        <v>0.40116010000000002</v>
      </c>
      <c r="R3468">
        <v>8.0182459999999997E-2</v>
      </c>
      <c r="S3468">
        <v>3.4390260000000001</v>
      </c>
      <c r="T3468">
        <v>-0.36294009999999999</v>
      </c>
      <c r="U3468">
        <v>7.6950069999999995E-2</v>
      </c>
      <c r="V3468">
        <v>-0.1812674</v>
      </c>
      <c r="W3468">
        <v>0.41051589999999999</v>
      </c>
      <c r="X3468">
        <v>0.89365479999999997</v>
      </c>
      <c r="Y3468">
        <v>-0.12981599999999999</v>
      </c>
      <c r="Z3468">
        <v>1.777142E-2</v>
      </c>
      <c r="AA3468">
        <v>0.9913788</v>
      </c>
      <c r="AB3468">
        <v>21</v>
      </c>
      <c r="AC3468">
        <v>10.339699999999899</v>
      </c>
      <c r="AD3468">
        <v>-1.1131135319109999</v>
      </c>
      <c r="AE3468">
        <v>0.25470000000001303</v>
      </c>
      <c r="AF3468">
        <v>-1.36322739766394</v>
      </c>
      <c r="AG3468">
        <v>-1.1131135319109999</v>
      </c>
      <c r="AH3468">
        <v>10.133125531325399</v>
      </c>
      <c r="AI3468">
        <v>96.2132190325366</v>
      </c>
      <c r="AJ3468">
        <v>97.6620991831266</v>
      </c>
      <c r="AK3468">
        <v>10.284825895768201</v>
      </c>
      <c r="AL3468">
        <v>65.762754028704194</v>
      </c>
      <c r="AM3468">
        <v>101.466213420976</v>
      </c>
      <c r="AN3468">
        <v>1.0000000380092999</v>
      </c>
    </row>
    <row r="3469" spans="1:40" x14ac:dyDescent="0.25">
      <c r="A3469" t="str">
        <f>"20190304164919771"</f>
        <v>20190304164919771</v>
      </c>
      <c r="B3469" t="str">
        <f>"1551689359769778"</f>
        <v>1551689359769778</v>
      </c>
      <c r="C3469" t="s">
        <v>40</v>
      </c>
      <c r="D3469">
        <v>4.12303</v>
      </c>
      <c r="E3469">
        <v>0.53672989999999998</v>
      </c>
      <c r="F3469" t="s">
        <v>46</v>
      </c>
      <c r="G3469">
        <v>-457.07889999999998</v>
      </c>
      <c r="H3469" s="1">
        <v>2.2672219999999998E-6</v>
      </c>
      <c r="I3469">
        <v>213.7705</v>
      </c>
      <c r="J3469">
        <v>-467.60019999999997</v>
      </c>
      <c r="K3469">
        <v>1.112922</v>
      </c>
      <c r="L3469">
        <v>213.51259999999999</v>
      </c>
      <c r="M3469">
        <v>0.99438740000000003</v>
      </c>
      <c r="N3469">
        <v>-1.131745E-2</v>
      </c>
      <c r="O3469">
        <v>-0.10519340000000001</v>
      </c>
      <c r="P3469">
        <v>0.91223390000000004</v>
      </c>
      <c r="Q3469">
        <v>0.40170329999999999</v>
      </c>
      <c r="R3469">
        <v>8.0396229999999999E-2</v>
      </c>
      <c r="S3469">
        <v>3.437897</v>
      </c>
      <c r="T3469">
        <v>-0.35703190000000001</v>
      </c>
      <c r="U3469">
        <v>7.7209470000000002E-2</v>
      </c>
      <c r="V3469">
        <v>-0.1779529</v>
      </c>
      <c r="W3469">
        <v>0.41097329999999999</v>
      </c>
      <c r="X3469">
        <v>0.89411059999999998</v>
      </c>
      <c r="Y3469">
        <v>-0.12630050000000001</v>
      </c>
      <c r="Z3469">
        <v>1.6949820000000001E-2</v>
      </c>
      <c r="AA3469">
        <v>0.99184720000000004</v>
      </c>
      <c r="AB3469">
        <v>21</v>
      </c>
      <c r="AC3469">
        <v>10.521299999999901</v>
      </c>
      <c r="AD3469">
        <v>-1.112919732778</v>
      </c>
      <c r="AE3469">
        <v>0.25790000000000601</v>
      </c>
      <c r="AF3469">
        <v>-1.3482348587688</v>
      </c>
      <c r="AG3469">
        <v>-1.112919732778</v>
      </c>
      <c r="AH3469">
        <v>10.320382154275</v>
      </c>
      <c r="AI3469">
        <v>96.103360299966397</v>
      </c>
      <c r="AJ3469">
        <v>97.442860621588395</v>
      </c>
      <c r="AK3469">
        <v>10.467407290073499</v>
      </c>
      <c r="AL3469">
        <v>65.734010022697404</v>
      </c>
      <c r="AM3469">
        <v>101.256364054372</v>
      </c>
      <c r="AN3469">
        <v>1.0000000264818201</v>
      </c>
    </row>
    <row r="3470" spans="1:40" x14ac:dyDescent="0.25">
      <c r="A3470" t="str">
        <f>"20190304164919797"</f>
        <v>20190304164919797</v>
      </c>
      <c r="B3470" t="str">
        <f>"1551689359789297"</f>
        <v>1551689359789297</v>
      </c>
      <c r="C3470" t="s">
        <v>40</v>
      </c>
      <c r="D3470">
        <v>4.1366230000000002</v>
      </c>
      <c r="E3470">
        <v>0.53700760000000003</v>
      </c>
      <c r="F3470" t="s">
        <v>46</v>
      </c>
      <c r="G3470">
        <v>-456.75099999999998</v>
      </c>
      <c r="H3470" s="1">
        <v>2.093555E-6</v>
      </c>
      <c r="I3470">
        <v>213.7518</v>
      </c>
      <c r="J3470">
        <v>-467.36860000000001</v>
      </c>
      <c r="K3470">
        <v>1.112687</v>
      </c>
      <c r="L3470">
        <v>213.49289999999999</v>
      </c>
      <c r="M3470">
        <v>0.9948053</v>
      </c>
      <c r="N3470">
        <v>-1.109195E-2</v>
      </c>
      <c r="O3470">
        <v>-0.10119069999999999</v>
      </c>
      <c r="P3470">
        <v>0.91198210000000002</v>
      </c>
      <c r="Q3470">
        <v>0.40211340000000001</v>
      </c>
      <c r="R3470">
        <v>8.1202800000000006E-2</v>
      </c>
      <c r="S3470">
        <v>3.4372250000000002</v>
      </c>
      <c r="T3470">
        <v>-0.3525932</v>
      </c>
      <c r="U3470">
        <v>7.5775149999999999E-2</v>
      </c>
      <c r="V3470">
        <v>-0.17490429999999901</v>
      </c>
      <c r="W3470">
        <v>0.4112884</v>
      </c>
      <c r="X3470">
        <v>0.89456709999999995</v>
      </c>
      <c r="Y3470">
        <v>-0.1219686</v>
      </c>
      <c r="Z3470">
        <v>1.613771E-2</v>
      </c>
      <c r="AA3470">
        <v>0.99240269999999997</v>
      </c>
      <c r="AB3470">
        <v>21</v>
      </c>
      <c r="AC3470">
        <v>10.617599999999999</v>
      </c>
      <c r="AD3470">
        <v>-1.112684906445</v>
      </c>
      <c r="AE3470">
        <v>0.25890000000001101</v>
      </c>
      <c r="AF3470">
        <v>-1.3175779132344601</v>
      </c>
      <c r="AG3470">
        <v>-1.112684906445</v>
      </c>
      <c r="AH3470">
        <v>10.4224992015425</v>
      </c>
      <c r="AI3470">
        <v>96.045942288105607</v>
      </c>
      <c r="AJ3470">
        <v>97.2049242863675</v>
      </c>
      <c r="AK3470">
        <v>10.564211701051301</v>
      </c>
      <c r="AL3470">
        <v>65.714203659163005</v>
      </c>
      <c r="AM3470">
        <v>101.06281856365599</v>
      </c>
      <c r="AN3470">
        <v>0.99999997926772899</v>
      </c>
    </row>
    <row r="3471" spans="1:40" x14ac:dyDescent="0.25">
      <c r="A3471" t="str">
        <f>"20190304164919819"</f>
        <v>20190304164919819</v>
      </c>
      <c r="B3471" t="str">
        <f>"1551689359809795"</f>
        <v>1551689359809795</v>
      </c>
      <c r="C3471" t="s">
        <v>40</v>
      </c>
      <c r="D3471">
        <v>4.1209410000000002</v>
      </c>
      <c r="E3471">
        <v>0.53743920000000001</v>
      </c>
      <c r="F3471" t="s">
        <v>46</v>
      </c>
      <c r="G3471">
        <v>-456.48559999999998</v>
      </c>
      <c r="H3471" s="1">
        <v>1.9525860000000002E-6</v>
      </c>
      <c r="I3471">
        <v>213.7457</v>
      </c>
      <c r="J3471">
        <v>-467.154</v>
      </c>
      <c r="K3471">
        <v>1.1124969999999901</v>
      </c>
      <c r="L3471">
        <v>213.4752</v>
      </c>
      <c r="M3471">
        <v>0.99514380000000002</v>
      </c>
      <c r="N3471">
        <v>-1.0900170000000001E-2</v>
      </c>
      <c r="O3471">
        <v>-9.7826620000000003E-2</v>
      </c>
      <c r="P3471">
        <v>0.91196500000000003</v>
      </c>
      <c r="Q3471">
        <v>0.40213179999999998</v>
      </c>
      <c r="R3471">
        <v>8.1300819999999996E-2</v>
      </c>
      <c r="S3471">
        <v>3.4374389999999999</v>
      </c>
      <c r="T3471">
        <v>-0.35144769999999997</v>
      </c>
      <c r="U3471">
        <v>7.9849240000000002E-2</v>
      </c>
      <c r="V3471">
        <v>-0.17178389999999999</v>
      </c>
      <c r="W3471">
        <v>0.41122710000000001</v>
      </c>
      <c r="X3471">
        <v>0.89519979999999999</v>
      </c>
      <c r="Y3471">
        <v>-0.11982039999999999</v>
      </c>
      <c r="Z3471">
        <v>1.566422E-2</v>
      </c>
      <c r="AA3471">
        <v>0.992672</v>
      </c>
      <c r="AB3471">
        <v>21</v>
      </c>
      <c r="AC3471">
        <v>10.6684</v>
      </c>
      <c r="AD3471">
        <v>-1.1124950474139901</v>
      </c>
      <c r="AE3471">
        <v>0.27049999999999802</v>
      </c>
      <c r="AF3471">
        <v>-1.2988034965455899</v>
      </c>
      <c r="AG3471">
        <v>-1.1124950474139901</v>
      </c>
      <c r="AH3471">
        <v>10.4769041376945</v>
      </c>
      <c r="AI3471">
        <v>96.015560500855798</v>
      </c>
      <c r="AJ3471">
        <v>97.066803652206204</v>
      </c>
      <c r="AK3471">
        <v>10.6155572658057</v>
      </c>
      <c r="AL3471">
        <v>65.718058882714104</v>
      </c>
      <c r="AM3471">
        <v>100.86269431868</v>
      </c>
      <c r="AN3471">
        <v>1.0000000589968201</v>
      </c>
    </row>
    <row r="3472" spans="1:40" x14ac:dyDescent="0.25">
      <c r="A3472" t="str">
        <f>"20190304164919842"</f>
        <v>20190304164919842</v>
      </c>
      <c r="B3472" t="str">
        <f>"1551689359830290"</f>
        <v>1551689359830290</v>
      </c>
      <c r="C3472" t="s">
        <v>40</v>
      </c>
      <c r="D3472">
        <v>4.128711</v>
      </c>
      <c r="E3472">
        <v>0.53789849999999995</v>
      </c>
      <c r="F3472" t="s">
        <v>46</v>
      </c>
      <c r="G3472">
        <v>-456.22309999999999</v>
      </c>
      <c r="H3472" s="1">
        <v>1.8134789999999999E-6</v>
      </c>
      <c r="I3472">
        <v>213.73269999999999</v>
      </c>
      <c r="J3472">
        <v>-466.94049999999999</v>
      </c>
      <c r="K3472">
        <v>1.1123479999999999</v>
      </c>
      <c r="L3472">
        <v>213.4579</v>
      </c>
      <c r="M3472">
        <v>0.9954461</v>
      </c>
      <c r="N3472">
        <v>-1.072644E-2</v>
      </c>
      <c r="O3472">
        <v>-9.4721570000000005E-2</v>
      </c>
      <c r="P3472">
        <v>0.91201330000000003</v>
      </c>
      <c r="Q3472">
        <v>0.40190629999999999</v>
      </c>
      <c r="R3472">
        <v>8.1872780000000006E-2</v>
      </c>
      <c r="S3472">
        <v>3.4366150000000002</v>
      </c>
      <c r="T3472">
        <v>-0.34976380000000001</v>
      </c>
      <c r="U3472">
        <v>8.094788E-2</v>
      </c>
      <c r="V3472">
        <v>-0.16941909999999999</v>
      </c>
      <c r="W3472">
        <v>0.41091450000000002</v>
      </c>
      <c r="X3472">
        <v>0.89579370000000003</v>
      </c>
      <c r="Y3472">
        <v>-0.1170836</v>
      </c>
      <c r="Z3472">
        <v>1.5163370000000001E-2</v>
      </c>
      <c r="AA3472">
        <v>0.99300630000000001</v>
      </c>
      <c r="AB3472">
        <v>21</v>
      </c>
      <c r="AC3472">
        <v>10.7173999999999</v>
      </c>
      <c r="AD3472">
        <v>-1.11234618652099</v>
      </c>
      <c r="AE3472">
        <v>0.27479999999999899</v>
      </c>
      <c r="AF3472">
        <v>-1.27506544682745</v>
      </c>
      <c r="AG3472">
        <v>-1.11234618652099</v>
      </c>
      <c r="AH3472">
        <v>10.5298219881654</v>
      </c>
      <c r="AI3472">
        <v>95.986818139432401</v>
      </c>
      <c r="AJ3472">
        <v>96.904381187795806</v>
      </c>
      <c r="AK3472">
        <v>10.6649077368167</v>
      </c>
      <c r="AL3472">
        <v>65.737703630930895</v>
      </c>
      <c r="AM3472">
        <v>100.709702997064</v>
      </c>
      <c r="AN3472">
        <v>0.99999995535737396</v>
      </c>
    </row>
    <row r="3473" spans="1:40" x14ac:dyDescent="0.25">
      <c r="A3473" t="str">
        <f>"20190304164919863"</f>
        <v>20190304164919863</v>
      </c>
      <c r="B3473" t="str">
        <f>"1551689359859570"</f>
        <v>1551689359859570</v>
      </c>
      <c r="C3473" t="s">
        <v>40</v>
      </c>
      <c r="D3473">
        <v>4.127929</v>
      </c>
      <c r="E3473">
        <v>0.53809019999999996</v>
      </c>
      <c r="F3473" t="s">
        <v>46</v>
      </c>
      <c r="G3473">
        <v>-455.99549999999999</v>
      </c>
      <c r="H3473" s="1">
        <v>1.692697E-6</v>
      </c>
      <c r="I3473">
        <v>213.7243</v>
      </c>
      <c r="J3473">
        <v>-466.73250000000002</v>
      </c>
      <c r="K3473">
        <v>1.1122479999999999</v>
      </c>
      <c r="L3473">
        <v>213.44149999999999</v>
      </c>
      <c r="M3473">
        <v>0.99571129999999997</v>
      </c>
      <c r="N3473">
        <v>-1.056985E-2</v>
      </c>
      <c r="O3473">
        <v>-9.1911199999999998E-2</v>
      </c>
      <c r="P3473">
        <v>0.91192980000000001</v>
      </c>
      <c r="Q3473">
        <v>0.40191090000000002</v>
      </c>
      <c r="R3473">
        <v>8.2776000000000002E-2</v>
      </c>
      <c r="S3473">
        <v>3.435791</v>
      </c>
      <c r="T3473">
        <v>-0.34918090000000002</v>
      </c>
      <c r="U3473">
        <v>8.363342E-2</v>
      </c>
      <c r="V3473">
        <v>-0.16767560000000001</v>
      </c>
      <c r="W3473">
        <v>0.41082580000000002</v>
      </c>
      <c r="X3473">
        <v>0.89616240000000003</v>
      </c>
      <c r="Y3473">
        <v>-0.11508699999999999</v>
      </c>
      <c r="Z3473">
        <v>1.478075E-2</v>
      </c>
      <c r="AA3473">
        <v>0.99324539999999994</v>
      </c>
      <c r="AB3473">
        <v>21</v>
      </c>
      <c r="AC3473">
        <v>10.737</v>
      </c>
      <c r="AD3473">
        <v>-1.112246307303</v>
      </c>
      <c r="AE3473">
        <v>0.28280000000000799</v>
      </c>
      <c r="AF3473">
        <v>-1.2550498543226201</v>
      </c>
      <c r="AG3473">
        <v>-1.112246307303</v>
      </c>
      <c r="AH3473">
        <v>10.552395330906799</v>
      </c>
      <c r="AI3473">
        <v>95.975084248785507</v>
      </c>
      <c r="AJ3473">
        <v>96.782615896145998</v>
      </c>
      <c r="AK3473">
        <v>10.684815824556299</v>
      </c>
      <c r="AL3473">
        <v>65.743279068235793</v>
      </c>
      <c r="AM3473">
        <v>100.597737022762</v>
      </c>
      <c r="AN3473">
        <v>0.99999999597737999</v>
      </c>
    </row>
    <row r="3474" spans="1:40" x14ac:dyDescent="0.25">
      <c r="A3474" t="str">
        <f>"20190304164919883"</f>
        <v>20190304164919883</v>
      </c>
      <c r="B3474" t="str">
        <f>"1551689359879091"</f>
        <v>1551689359879091</v>
      </c>
      <c r="C3474" t="s">
        <v>40</v>
      </c>
      <c r="D3474">
        <v>4.0762409999999996</v>
      </c>
      <c r="E3474">
        <v>0.53818219999999894</v>
      </c>
      <c r="F3474" t="s">
        <v>46</v>
      </c>
      <c r="G3474">
        <v>-455.78370000000001</v>
      </c>
      <c r="H3474" s="1">
        <v>1.580165E-6</v>
      </c>
      <c r="I3474">
        <v>213.72040000000001</v>
      </c>
      <c r="J3474">
        <v>-466.53339999999997</v>
      </c>
      <c r="K3474">
        <v>1.1121669999999999</v>
      </c>
      <c r="L3474">
        <v>213.42609999999999</v>
      </c>
      <c r="M3474">
        <v>0.99594090000000002</v>
      </c>
      <c r="N3474">
        <v>-1.043205E-2</v>
      </c>
      <c r="O3474">
        <v>-8.9405280000000004E-2</v>
      </c>
      <c r="P3474">
        <v>0.91190919999999998</v>
      </c>
      <c r="Q3474">
        <v>0.40187970000000001</v>
      </c>
      <c r="R3474">
        <v>8.3154450000000005E-2</v>
      </c>
      <c r="S3474">
        <v>3.4356080000000002</v>
      </c>
      <c r="T3474">
        <v>-0.34900829999999999</v>
      </c>
      <c r="U3474">
        <v>8.7524409999999997E-2</v>
      </c>
      <c r="V3474">
        <v>-0.1657122</v>
      </c>
      <c r="W3474">
        <v>0.41071020000000003</v>
      </c>
      <c r="X3474">
        <v>0.8965805</v>
      </c>
      <c r="Y3474">
        <v>-0.113731399999999</v>
      </c>
      <c r="Z3474">
        <v>1.4475899999999899E-2</v>
      </c>
      <c r="AA3474">
        <v>0.99340609999999996</v>
      </c>
      <c r="AB3474">
        <v>21</v>
      </c>
      <c r="AC3474">
        <v>10.749699999999899</v>
      </c>
      <c r="AD3474">
        <v>-1.1121654198349999</v>
      </c>
      <c r="AE3474">
        <v>0.29430000000002099</v>
      </c>
      <c r="AF3474">
        <v>-1.2409798410213599</v>
      </c>
      <c r="AG3474">
        <v>-1.1121654198349999</v>
      </c>
      <c r="AH3474">
        <v>10.567305199463499</v>
      </c>
      <c r="AI3474">
        <v>95.967318996495194</v>
      </c>
      <c r="AJ3474">
        <v>96.697896992795805</v>
      </c>
      <c r="AK3474">
        <v>10.697891477553201</v>
      </c>
      <c r="AL3474">
        <v>65.750543665489204</v>
      </c>
      <c r="AM3474">
        <v>100.471628500151</v>
      </c>
      <c r="AN3474">
        <v>0.99999999729656497</v>
      </c>
    </row>
    <row r="3475" spans="1:40" x14ac:dyDescent="0.25">
      <c r="A3475" t="str">
        <f>"20190304164919906"</f>
        <v>20190304164919906</v>
      </c>
      <c r="B3475" t="str">
        <f>"1551689359899586"</f>
        <v>1551689359899586</v>
      </c>
      <c r="C3475" t="s">
        <v>40</v>
      </c>
      <c r="D3475">
        <v>4.0853429999999999</v>
      </c>
      <c r="E3475">
        <v>0.53561780000000003</v>
      </c>
      <c r="F3475" t="s">
        <v>46</v>
      </c>
      <c r="G3475">
        <v>-455.60570000000001</v>
      </c>
      <c r="H3475" s="1">
        <v>1.4856030000000001E-6</v>
      </c>
      <c r="I3475">
        <v>213.7166</v>
      </c>
      <c r="J3475">
        <v>-466.31740000000002</v>
      </c>
      <c r="K3475">
        <v>1.1120810000000001</v>
      </c>
      <c r="L3475">
        <v>213.40979999999999</v>
      </c>
      <c r="M3475">
        <v>0.99616660000000001</v>
      </c>
      <c r="N3475">
        <v>-1.0296E-2</v>
      </c>
      <c r="O3475">
        <v>-8.6868630000000002E-2</v>
      </c>
      <c r="P3475">
        <v>0.91212729999999997</v>
      </c>
      <c r="Q3475">
        <v>0.40132699999999999</v>
      </c>
      <c r="R3475">
        <v>8.343101E-2</v>
      </c>
      <c r="S3475">
        <v>3.4355769999999999</v>
      </c>
      <c r="T3475">
        <v>-0.34965550000000001</v>
      </c>
      <c r="U3475">
        <v>9.1339110000000001E-2</v>
      </c>
      <c r="V3475">
        <v>-0.16363710000000001</v>
      </c>
      <c r="W3475">
        <v>0.410078</v>
      </c>
      <c r="X3475">
        <v>0.89725080000000002</v>
      </c>
      <c r="Y3475">
        <v>-0.11231820000000001</v>
      </c>
      <c r="Z3475">
        <v>1.4197950000000001E-2</v>
      </c>
      <c r="AA3475">
        <v>0.99357090000000003</v>
      </c>
      <c r="AB3475">
        <v>21</v>
      </c>
      <c r="AC3475">
        <v>10.7117</v>
      </c>
      <c r="AD3475">
        <v>-1.1120795143969999</v>
      </c>
      <c r="AE3475">
        <v>0.30680000000000901</v>
      </c>
      <c r="AF3475">
        <v>-1.22302859988323</v>
      </c>
      <c r="AG3475">
        <v>-1.1120795143969999</v>
      </c>
      <c r="AH3475">
        <v>10.5311344706673</v>
      </c>
      <c r="AI3475">
        <v>95.988097995998999</v>
      </c>
      <c r="AJ3475">
        <v>96.624344770274206</v>
      </c>
      <c r="AK3475">
        <v>10.6600803487474</v>
      </c>
      <c r="AL3475">
        <v>65.790266100038195</v>
      </c>
      <c r="AM3475">
        <v>100.335786760831</v>
      </c>
      <c r="AN3475">
        <v>1.00000003234052</v>
      </c>
    </row>
    <row r="3476" spans="1:40" x14ac:dyDescent="0.25">
      <c r="A3476" t="str">
        <f>"20190304164919927"</f>
        <v>20190304164919927</v>
      </c>
      <c r="B3476" t="str">
        <f>"1551689359919106"</f>
        <v>1551689359919106</v>
      </c>
      <c r="C3476" t="s">
        <v>40</v>
      </c>
      <c r="D3476">
        <v>4.1802000000000001</v>
      </c>
      <c r="E3476">
        <v>0.53569440000000002</v>
      </c>
      <c r="F3476" t="s">
        <v>46</v>
      </c>
      <c r="G3476">
        <v>-450.5215</v>
      </c>
      <c r="H3476" s="1">
        <v>-1.228064E-6</v>
      </c>
      <c r="I3476">
        <v>213.9023</v>
      </c>
      <c r="J3476">
        <v>-466.11070000000001</v>
      </c>
      <c r="K3476">
        <v>1.111993</v>
      </c>
      <c r="L3476">
        <v>213.39449999999999</v>
      </c>
      <c r="M3476">
        <v>0.99636499999999995</v>
      </c>
      <c r="N3476">
        <v>-1.0176019999999999E-2</v>
      </c>
      <c r="O3476">
        <v>-8.4576470000000001E-2</v>
      </c>
      <c r="P3476">
        <v>0.91256309999999996</v>
      </c>
      <c r="Q3476">
        <v>0.40038590000000002</v>
      </c>
      <c r="R3476">
        <v>8.318507E-2</v>
      </c>
      <c r="S3476">
        <v>3.3841860000000001</v>
      </c>
      <c r="T3476">
        <v>-0.23825740000000001</v>
      </c>
      <c r="U3476">
        <v>0.10552980000000001</v>
      </c>
      <c r="V3476">
        <v>-0.1612837</v>
      </c>
      <c r="W3476">
        <v>0.40907090000000002</v>
      </c>
      <c r="X3476">
        <v>0.89813609999999899</v>
      </c>
      <c r="Y3476">
        <v>-0.11511730000000001</v>
      </c>
      <c r="Z3476">
        <v>9.7152490000000005E-3</v>
      </c>
      <c r="AA3476">
        <v>0.99330439999999998</v>
      </c>
      <c r="AB3476">
        <v>22</v>
      </c>
      <c r="AC3476">
        <v>15.5892</v>
      </c>
      <c r="AD3476">
        <v>-1.1119942280640001</v>
      </c>
      <c r="AE3476">
        <v>0.50780000000000303</v>
      </c>
      <c r="AF3476">
        <v>-1.8153014898287601</v>
      </c>
      <c r="AG3476">
        <v>-1.1119942280640001</v>
      </c>
      <c r="AH3476">
        <v>15.412052541313001</v>
      </c>
      <c r="AI3476">
        <v>94.098559205539004</v>
      </c>
      <c r="AJ3476">
        <v>96.717606130764395</v>
      </c>
      <c r="AK3476">
        <v>15.558380834727499</v>
      </c>
      <c r="AL3476">
        <v>65.853515006094</v>
      </c>
      <c r="AM3476">
        <v>100.18044170094799</v>
      </c>
      <c r="AN3476">
        <v>0.99999994361785305</v>
      </c>
    </row>
    <row r="3477" spans="1:40" x14ac:dyDescent="0.25">
      <c r="A3477" t="str">
        <f>"20190304164919951"</f>
        <v>20190304164919951</v>
      </c>
      <c r="B3477" t="str">
        <f>"1551689359939605"</f>
        <v>1551689359939605</v>
      </c>
      <c r="C3477" t="s">
        <v>40</v>
      </c>
      <c r="D3477">
        <v>4.198124</v>
      </c>
      <c r="E3477">
        <v>0.54026569999999996</v>
      </c>
      <c r="F3477" t="s">
        <v>46</v>
      </c>
      <c r="G3477">
        <v>-450.613</v>
      </c>
      <c r="H3477" s="1">
        <v>-1.178668E-6</v>
      </c>
      <c r="I3477">
        <v>213.88579999999999</v>
      </c>
      <c r="J3477">
        <v>-465.88729999999998</v>
      </c>
      <c r="K3477">
        <v>1.111915</v>
      </c>
      <c r="L3477">
        <v>213.3783</v>
      </c>
      <c r="M3477">
        <v>0.99656440000000002</v>
      </c>
      <c r="N3477">
        <v>-1.0055089999999999E-2</v>
      </c>
      <c r="O3477">
        <v>-8.2209539999999998E-2</v>
      </c>
      <c r="P3477">
        <v>0.9131996</v>
      </c>
      <c r="Q3477">
        <v>0.39901700000000001</v>
      </c>
      <c r="R3477">
        <v>8.2777749999999997E-2</v>
      </c>
      <c r="S3477">
        <v>3.3842469999999998</v>
      </c>
      <c r="T3477">
        <v>-0.24282629999999999</v>
      </c>
      <c r="U3477">
        <v>0.1072845</v>
      </c>
      <c r="V3477">
        <v>-0.1587179</v>
      </c>
      <c r="W3477">
        <v>0.40763680000000002</v>
      </c>
      <c r="X3477">
        <v>0.89924470000000001</v>
      </c>
      <c r="Y3477">
        <v>-0.1132626</v>
      </c>
      <c r="Z3477">
        <v>9.6882080000000002E-3</v>
      </c>
      <c r="AA3477">
        <v>0.99351789999999995</v>
      </c>
      <c r="AB3477">
        <v>22</v>
      </c>
      <c r="AC3477">
        <v>15.274299999999901</v>
      </c>
      <c r="AD3477">
        <v>-1.1119161786679901</v>
      </c>
      <c r="AE3477">
        <v>0.50749999999999296</v>
      </c>
      <c r="AF3477">
        <v>-1.75226296870855</v>
      </c>
      <c r="AG3477">
        <v>-1.1119161786679901</v>
      </c>
      <c r="AH3477">
        <v>15.100932167751701</v>
      </c>
      <c r="AI3477">
        <v>94.183251666904198</v>
      </c>
      <c r="AJ3477">
        <v>96.618815095265603</v>
      </c>
      <c r="AK3477">
        <v>15.2428650664804</v>
      </c>
      <c r="AL3477">
        <v>65.943533608935596</v>
      </c>
      <c r="AM3477">
        <v>100.00968886314</v>
      </c>
      <c r="AN3477">
        <v>1.0000000814863601</v>
      </c>
    </row>
    <row r="3478" spans="1:40" x14ac:dyDescent="0.25">
      <c r="A3478" t="str">
        <f>"20190304164919972"</f>
        <v>20190304164919972</v>
      </c>
      <c r="B3478" t="str">
        <f>"1551689359968882"</f>
        <v>1551689359968882</v>
      </c>
      <c r="C3478" t="s">
        <v>40</v>
      </c>
      <c r="D3478">
        <v>4.1675630000000004</v>
      </c>
      <c r="E3478">
        <v>0.54045120000000002</v>
      </c>
      <c r="F3478" t="s">
        <v>46</v>
      </c>
      <c r="G3478">
        <v>-455.46089999999998</v>
      </c>
      <c r="H3478" s="1">
        <v>1.4122129999999999E-6</v>
      </c>
      <c r="I3478">
        <v>213.63310000000001</v>
      </c>
      <c r="J3478">
        <v>-465.68029999999999</v>
      </c>
      <c r="K3478">
        <v>1.111853</v>
      </c>
      <c r="L3478">
        <v>213.36369999999999</v>
      </c>
      <c r="M3478">
        <v>0.99673710000000004</v>
      </c>
      <c r="N3478">
        <v>-9.9512950000000006E-3</v>
      </c>
      <c r="O3478">
        <v>-8.0102380000000001E-2</v>
      </c>
      <c r="P3478">
        <v>0.91426099999999999</v>
      </c>
      <c r="Q3478">
        <v>0.397177</v>
      </c>
      <c r="R3478">
        <v>7.9858589999999993E-2</v>
      </c>
      <c r="S3478">
        <v>3.4377749999999998</v>
      </c>
      <c r="T3478">
        <v>-0.36661729999999998</v>
      </c>
      <c r="U3478">
        <v>8.3999630000000006E-2</v>
      </c>
      <c r="V3478">
        <v>-0.15393319999999999</v>
      </c>
      <c r="W3478">
        <v>0.40574959999999999</v>
      </c>
      <c r="X3478">
        <v>0.90092830000000002</v>
      </c>
      <c r="Y3478">
        <v>-0.103417</v>
      </c>
      <c r="Z3478">
        <v>1.373102E-2</v>
      </c>
      <c r="AA3478">
        <v>0.99454330000000002</v>
      </c>
      <c r="AB3478">
        <v>22</v>
      </c>
      <c r="AC3478">
        <v>10.2194</v>
      </c>
      <c r="AD3478">
        <v>-1.1118515877870001</v>
      </c>
      <c r="AE3478">
        <v>0.26940000000001801</v>
      </c>
      <c r="AF3478">
        <v>-1.07446329927344</v>
      </c>
      <c r="AG3478">
        <v>-1.1118515877870001</v>
      </c>
      <c r="AH3478">
        <v>10.046143561561999</v>
      </c>
      <c r="AI3478">
        <v>96.279950658333206</v>
      </c>
      <c r="AJ3478">
        <v>96.104738120483404</v>
      </c>
      <c r="AK3478">
        <v>10.164432389182601</v>
      </c>
      <c r="AL3478">
        <v>66.061890150108397</v>
      </c>
      <c r="AM3478">
        <v>99.695965339035894</v>
      </c>
      <c r="AN3478">
        <v>0.99999998485164399</v>
      </c>
    </row>
    <row r="3479" spans="1:40" x14ac:dyDescent="0.25">
      <c r="A3479" t="str">
        <f>"20190304164920006"</f>
        <v>20190304164920006</v>
      </c>
      <c r="B3479" t="str">
        <f>"1551689359999138"</f>
        <v>1551689359999138</v>
      </c>
      <c r="C3479" t="s">
        <v>40</v>
      </c>
      <c r="D3479">
        <v>4.1883839999999903</v>
      </c>
      <c r="E3479">
        <v>0.5404004</v>
      </c>
      <c r="F3479" t="s">
        <v>46</v>
      </c>
      <c r="G3479">
        <v>-455.43549999999999</v>
      </c>
      <c r="H3479" s="1">
        <v>1.4001740000000001E-6</v>
      </c>
      <c r="I3479">
        <v>213.59899999999999</v>
      </c>
      <c r="J3479">
        <v>-465.35539999999997</v>
      </c>
      <c r="K3479">
        <v>1.111799</v>
      </c>
      <c r="L3479">
        <v>213.3415</v>
      </c>
      <c r="M3479">
        <v>0.99698900000000001</v>
      </c>
      <c r="N3479">
        <v>-9.7989359999999994E-3</v>
      </c>
      <c r="O3479">
        <v>-7.6924199999999998E-2</v>
      </c>
      <c r="P3479">
        <v>0.91480850000000002</v>
      </c>
      <c r="Q3479">
        <v>0.39659729999999999</v>
      </c>
      <c r="R3479">
        <v>7.6395539999999998E-2</v>
      </c>
      <c r="S3479">
        <v>3.4364620000000001</v>
      </c>
      <c r="T3479">
        <v>-0.37295200000000001</v>
      </c>
      <c r="U3479">
        <v>7.8918459999999996E-2</v>
      </c>
      <c r="V3479">
        <v>-0.14760519999999999</v>
      </c>
      <c r="W3479">
        <v>0.40507270000000001</v>
      </c>
      <c r="X3479">
        <v>0.90229090000000001</v>
      </c>
      <c r="Y3479">
        <v>-9.8792749999999999E-2</v>
      </c>
      <c r="Z3479">
        <v>1.33966E-2</v>
      </c>
      <c r="AA3479">
        <v>0.99501779999999995</v>
      </c>
      <c r="AB3479">
        <v>22</v>
      </c>
      <c r="AC3479">
        <v>9.9198999999999806</v>
      </c>
      <c r="AD3479">
        <v>-1.1117975998259999</v>
      </c>
      <c r="AE3479">
        <v>0.25750000000002099</v>
      </c>
      <c r="AF3479">
        <v>-1.0072103709586899</v>
      </c>
      <c r="AG3479">
        <v>-1.1117975998259999</v>
      </c>
      <c r="AH3479">
        <v>9.7483252085932701</v>
      </c>
      <c r="AI3479">
        <v>96.472315941088596</v>
      </c>
      <c r="AJ3479">
        <v>95.898947159949003</v>
      </c>
      <c r="AK3479">
        <v>9.8630832403889102</v>
      </c>
      <c r="AL3479">
        <v>66.104317728941595</v>
      </c>
      <c r="AM3479">
        <v>99.290686267157</v>
      </c>
      <c r="AN3479">
        <v>1.00000002778756</v>
      </c>
    </row>
    <row r="3480" spans="1:40" x14ac:dyDescent="0.25">
      <c r="A3480" t="str">
        <f>"20190304164920031"</f>
        <v>20190304164920031</v>
      </c>
      <c r="B3480" t="str">
        <f>"1551689360019634"</f>
        <v>1551689360019634</v>
      </c>
      <c r="C3480" t="s">
        <v>40</v>
      </c>
      <c r="D3480">
        <v>4.2061989999999998</v>
      </c>
      <c r="E3480">
        <v>0.54132429999999998</v>
      </c>
      <c r="F3480" t="s">
        <v>46</v>
      </c>
      <c r="G3480">
        <v>-455.05619999999999</v>
      </c>
      <c r="H3480" s="1">
        <v>1.1998379999999999E-6</v>
      </c>
      <c r="I3480">
        <v>213.5652</v>
      </c>
      <c r="J3480">
        <v>-465.11610000000002</v>
      </c>
      <c r="K3480">
        <v>1.1117870000000001</v>
      </c>
      <c r="L3480">
        <v>213.32560000000001</v>
      </c>
      <c r="M3480">
        <v>0.99716380000000004</v>
      </c>
      <c r="N3480">
        <v>-9.6912630000000003E-3</v>
      </c>
      <c r="O3480">
        <v>-7.4636830000000001E-2</v>
      </c>
      <c r="P3480">
        <v>0.91496840000000002</v>
      </c>
      <c r="Q3480">
        <v>0.39673059999999899</v>
      </c>
      <c r="R3480">
        <v>7.3740910000000007E-2</v>
      </c>
      <c r="S3480">
        <v>3.4338679999999999</v>
      </c>
      <c r="T3480">
        <v>-0.37068810000000002</v>
      </c>
      <c r="U3480">
        <v>7.4584960000000006E-2</v>
      </c>
      <c r="V3480">
        <v>-0.142897</v>
      </c>
      <c r="W3480">
        <v>0.40512589999999998</v>
      </c>
      <c r="X3480">
        <v>0.90302459999999996</v>
      </c>
      <c r="Y3480">
        <v>-9.5315129999999998E-2</v>
      </c>
      <c r="Z3480">
        <v>1.289965E-2</v>
      </c>
      <c r="AA3480">
        <v>0.99536360000000002</v>
      </c>
      <c r="AB3480">
        <v>22</v>
      </c>
      <c r="AC3480">
        <v>10.059900000000001</v>
      </c>
      <c r="AD3480">
        <v>-1.111785800162</v>
      </c>
      <c r="AE3480">
        <v>0.23959999999999501</v>
      </c>
      <c r="AF3480">
        <v>-0.977869027361017</v>
      </c>
      <c r="AG3480">
        <v>-1.111785800162</v>
      </c>
      <c r="AH3480">
        <v>9.8931882290813693</v>
      </c>
      <c r="AI3480">
        <v>96.381098781137496</v>
      </c>
      <c r="AJ3480">
        <v>95.644931411263002</v>
      </c>
      <c r="AK3480">
        <v>10.003372872993699</v>
      </c>
      <c r="AL3480">
        <v>66.100982768986697</v>
      </c>
      <c r="AM3480">
        <v>98.992074293357803</v>
      </c>
      <c r="AN3480">
        <v>0.99999998783248401</v>
      </c>
    </row>
    <row r="3481" spans="1:40" x14ac:dyDescent="0.25">
      <c r="A3481" t="str">
        <f>"20190304164920052"</f>
        <v>20190304164920052</v>
      </c>
      <c r="B3481" t="str">
        <f>"1551689360048914"</f>
        <v>1551689360048914</v>
      </c>
      <c r="C3481" t="s">
        <v>40</v>
      </c>
      <c r="D3481">
        <v>4.1661349999999997</v>
      </c>
      <c r="E3481">
        <v>0.54417680000000002</v>
      </c>
      <c r="F3481" t="s">
        <v>46</v>
      </c>
      <c r="G3481">
        <v>-454.6814</v>
      </c>
      <c r="H3481" s="1">
        <v>1.0025370000000001E-6</v>
      </c>
      <c r="I3481">
        <v>213.51499999999999</v>
      </c>
      <c r="J3481">
        <v>-464.9058</v>
      </c>
      <c r="K3481">
        <v>1.1117900000000001</v>
      </c>
      <c r="L3481">
        <v>213.31219999999999</v>
      </c>
      <c r="M3481">
        <v>0.99731219999999998</v>
      </c>
      <c r="N3481">
        <v>-9.6014510000000004E-3</v>
      </c>
      <c r="O3481">
        <v>-7.2638099999999997E-2</v>
      </c>
      <c r="P3481">
        <v>0.91520089999999998</v>
      </c>
      <c r="Q3481">
        <v>0.39670460000000002</v>
      </c>
      <c r="R3481">
        <v>7.0943590000000001E-2</v>
      </c>
      <c r="S3481">
        <v>3.4323429999999999</v>
      </c>
      <c r="T3481">
        <v>-0.36570469999999999</v>
      </c>
      <c r="U3481">
        <v>6.2286380000000002E-2</v>
      </c>
      <c r="V3481">
        <v>-0.1383269</v>
      </c>
      <c r="W3481">
        <v>0.40503030000000001</v>
      </c>
      <c r="X3481">
        <v>0.90377879999999999</v>
      </c>
      <c r="Y3481">
        <v>-8.9831149999999999E-2</v>
      </c>
      <c r="Z3481">
        <v>1.222142E-2</v>
      </c>
      <c r="AA3481">
        <v>0.99588200000000004</v>
      </c>
      <c r="AB3481">
        <v>22</v>
      </c>
      <c r="AC3481">
        <v>10.224399999999999</v>
      </c>
      <c r="AD3481">
        <v>-1.111788997463</v>
      </c>
      <c r="AE3481">
        <v>0.20279999999999601</v>
      </c>
      <c r="AF3481">
        <v>-0.93394072198307598</v>
      </c>
      <c r="AG3481">
        <v>-1.111788997463</v>
      </c>
      <c r="AH3481">
        <v>10.0637089083907</v>
      </c>
      <c r="AI3481">
        <v>96.277434364096393</v>
      </c>
      <c r="AJ3481">
        <v>95.3020246064861</v>
      </c>
      <c r="AK3481">
        <v>10.167918028774601</v>
      </c>
      <c r="AL3481">
        <v>66.106974021971496</v>
      </c>
      <c r="AM3481">
        <v>98.701815587374099</v>
      </c>
      <c r="AN3481">
        <v>0.99999999725556998</v>
      </c>
    </row>
    <row r="3482" spans="1:40" x14ac:dyDescent="0.25">
      <c r="A3482" t="str">
        <f>"20190304164920073"</f>
        <v>20190304164920073</v>
      </c>
      <c r="B3482" t="str">
        <f>"1551689360069410"</f>
        <v>1551689360069410</v>
      </c>
      <c r="C3482" t="s">
        <v>40</v>
      </c>
      <c r="D3482">
        <v>4.1585169999999998</v>
      </c>
      <c r="E3482">
        <v>0.54566840000000005</v>
      </c>
      <c r="F3482" t="s">
        <v>46</v>
      </c>
      <c r="G3482">
        <v>-454.49189999999999</v>
      </c>
      <c r="H3482" s="1">
        <v>9.0596090000000003E-7</v>
      </c>
      <c r="I3482">
        <v>213.41800000000001</v>
      </c>
      <c r="J3482">
        <v>-464.71179999999998</v>
      </c>
      <c r="K3482">
        <v>1.111799</v>
      </c>
      <c r="L3482">
        <v>213.30009999999999</v>
      </c>
      <c r="M3482">
        <v>0.99744600000000005</v>
      </c>
      <c r="N3482">
        <v>-9.5195939999999993E-3</v>
      </c>
      <c r="O3482">
        <v>-7.0788030000000002E-2</v>
      </c>
      <c r="P3482">
        <v>0.91575419999999996</v>
      </c>
      <c r="Q3482">
        <v>0.39594089999999998</v>
      </c>
      <c r="R3482">
        <v>6.8009050000000001E-2</v>
      </c>
      <c r="S3482">
        <v>3.4342350000000001</v>
      </c>
      <c r="T3482">
        <v>-0.36664079999999999</v>
      </c>
      <c r="U3482">
        <v>3.489685E-2</v>
      </c>
      <c r="V3482">
        <v>-0.13377929999999999</v>
      </c>
      <c r="W3482">
        <v>0.4042058</v>
      </c>
      <c r="X3482">
        <v>0.90483190000000002</v>
      </c>
      <c r="Y3482">
        <v>-8.0093810000000001E-2</v>
      </c>
      <c r="Z3482">
        <v>1.1504830000000001E-2</v>
      </c>
      <c r="AA3482">
        <v>0.99672090000000002</v>
      </c>
      <c r="AB3482">
        <v>22</v>
      </c>
      <c r="AC3482">
        <v>10.2198999999999</v>
      </c>
      <c r="AD3482">
        <v>-1.1117980940390999</v>
      </c>
      <c r="AE3482">
        <v>0.11790000000002</v>
      </c>
      <c r="AF3482">
        <v>-0.83124726206057797</v>
      </c>
      <c r="AG3482">
        <v>-1.1117980940390999</v>
      </c>
      <c r="AH3482">
        <v>10.066791589415001</v>
      </c>
      <c r="AI3482">
        <v>96.281122379763403</v>
      </c>
      <c r="AJ3482">
        <v>94.720387285183193</v>
      </c>
      <c r="AK3482">
        <v>10.162054906233699</v>
      </c>
      <c r="AL3482">
        <v>66.158631909244306</v>
      </c>
      <c r="AM3482">
        <v>98.410246569582796</v>
      </c>
      <c r="AN3482">
        <v>0.99999999855986899</v>
      </c>
    </row>
    <row r="3483" spans="1:40" x14ac:dyDescent="0.25">
      <c r="A3483" t="str">
        <f>"20190304164920097"</f>
        <v>20190304164920097</v>
      </c>
      <c r="B3483" t="str">
        <f>"1551689360088930"</f>
        <v>1551689360088930</v>
      </c>
      <c r="C3483" t="s">
        <v>40</v>
      </c>
      <c r="D3483">
        <v>4.1741929999999998</v>
      </c>
      <c r="E3483">
        <v>0.54677259999999905</v>
      </c>
      <c r="F3483" t="s">
        <v>46</v>
      </c>
      <c r="G3483">
        <v>-454.33069999999998</v>
      </c>
      <c r="H3483" s="1">
        <v>8.2330359999999995E-7</v>
      </c>
      <c r="I3483">
        <v>213.34710000000001</v>
      </c>
      <c r="J3483">
        <v>-464.4796</v>
      </c>
      <c r="K3483">
        <v>1.1118250000000001</v>
      </c>
      <c r="L3483">
        <v>213.28620000000001</v>
      </c>
      <c r="M3483">
        <v>0.99760300000000002</v>
      </c>
      <c r="N3483">
        <v>-9.4195939999999999E-3</v>
      </c>
      <c r="O3483">
        <v>-6.8555179999999993E-2</v>
      </c>
      <c r="P3483">
        <v>0.91631890000000005</v>
      </c>
      <c r="Q3483">
        <v>0.39497749999999998</v>
      </c>
      <c r="R3483">
        <v>6.5975339999999993E-2</v>
      </c>
      <c r="S3483">
        <v>3.4338069999999998</v>
      </c>
      <c r="T3483">
        <v>-0.36775609999999997</v>
      </c>
      <c r="U3483">
        <v>1.5533450000000001E-2</v>
      </c>
      <c r="V3483">
        <v>-0.1297854</v>
      </c>
      <c r="W3483">
        <v>0.40316229999999997</v>
      </c>
      <c r="X3483">
        <v>0.90587850000000003</v>
      </c>
      <c r="Y3483">
        <v>-7.2294860000000002E-2</v>
      </c>
      <c r="Z3483">
        <v>1.087455E-2</v>
      </c>
      <c r="AA3483">
        <v>0.99732399999999999</v>
      </c>
      <c r="AB3483">
        <v>22</v>
      </c>
      <c r="AC3483">
        <v>10.148899999999999</v>
      </c>
      <c r="AD3483">
        <v>-1.1118241766963901</v>
      </c>
      <c r="AE3483">
        <v>6.0900000000003701E-2</v>
      </c>
      <c r="AF3483">
        <v>-0.74757546678157505</v>
      </c>
      <c r="AG3483">
        <v>-1.1118241766963901</v>
      </c>
      <c r="AH3483">
        <v>10.000825399259799</v>
      </c>
      <c r="AI3483">
        <v>96.326201754660104</v>
      </c>
      <c r="AJ3483">
        <v>94.274987681244696</v>
      </c>
      <c r="AK3483">
        <v>10.090170005748201</v>
      </c>
      <c r="AL3483">
        <v>66.223980770021896</v>
      </c>
      <c r="AM3483">
        <v>98.153294493993798</v>
      </c>
      <c r="AN3483">
        <v>0.99999997347834901</v>
      </c>
    </row>
    <row r="3484" spans="1:40" x14ac:dyDescent="0.25">
      <c r="A3484" t="str">
        <f>"20190304164920119"</f>
        <v>20190304164920119</v>
      </c>
      <c r="B3484" t="str">
        <f>"1551689360109427"</f>
        <v>1551689360109427</v>
      </c>
      <c r="C3484" t="s">
        <v>40</v>
      </c>
      <c r="D3484">
        <v>4.1669330000000002</v>
      </c>
      <c r="E3484">
        <v>0.54768399999999995</v>
      </c>
      <c r="F3484" t="s">
        <v>46</v>
      </c>
      <c r="G3484">
        <v>-454.2509</v>
      </c>
      <c r="H3484" s="1">
        <v>7.8348019999999996E-7</v>
      </c>
      <c r="I3484">
        <v>213.28569999999999</v>
      </c>
      <c r="J3484">
        <v>-464.25869999999998</v>
      </c>
      <c r="K3484">
        <v>1.1118399999999999</v>
      </c>
      <c r="L3484">
        <v>213.27350000000001</v>
      </c>
      <c r="M3484">
        <v>0.997749</v>
      </c>
      <c r="N3484">
        <v>-9.3226260000000005E-3</v>
      </c>
      <c r="O3484">
        <v>-6.6409770000000007E-2</v>
      </c>
      <c r="P3484">
        <v>0.91663870000000003</v>
      </c>
      <c r="Q3484">
        <v>0.394511</v>
      </c>
      <c r="R3484">
        <v>6.4303470000000001E-2</v>
      </c>
      <c r="S3484">
        <v>3.4349059999999998</v>
      </c>
      <c r="T3484">
        <v>-0.37336340000000001</v>
      </c>
      <c r="U3484">
        <v>-1.5258789999999999E-4</v>
      </c>
      <c r="V3484">
        <v>-0.12620990000000001</v>
      </c>
      <c r="W3484">
        <v>0.402615</v>
      </c>
      <c r="X3484">
        <v>0.90662690000000001</v>
      </c>
      <c r="Y3484">
        <v>-6.5622E-2</v>
      </c>
      <c r="Z3484">
        <v>1.0438380000000001E-2</v>
      </c>
      <c r="AA3484">
        <v>0.99778999999999995</v>
      </c>
      <c r="AB3484">
        <v>22</v>
      </c>
      <c r="AC3484">
        <v>10.0077999999999</v>
      </c>
      <c r="AD3484">
        <v>-1.1118392165198001</v>
      </c>
      <c r="AE3484">
        <v>1.2199999999978599E-2</v>
      </c>
      <c r="AF3484">
        <v>-0.66856573751742798</v>
      </c>
      <c r="AG3484">
        <v>-1.1118392165198001</v>
      </c>
      <c r="AH3484">
        <v>9.8631581162376598</v>
      </c>
      <c r="AI3484">
        <v>96.416999346852805</v>
      </c>
      <c r="AJ3484">
        <v>93.877813554540197</v>
      </c>
      <c r="AK3484">
        <v>9.9481181443868198</v>
      </c>
      <c r="AL3484">
        <v>66.258244555489398</v>
      </c>
      <c r="AM3484">
        <v>97.925110936291603</v>
      </c>
      <c r="AN3484">
        <v>1.0000000564433</v>
      </c>
    </row>
    <row r="3485" spans="1:40" x14ac:dyDescent="0.25">
      <c r="A3485" t="str">
        <f>"20190304164920141"</f>
        <v>20190304164920141</v>
      </c>
      <c r="B3485" t="str">
        <f>"1551689360128946"</f>
        <v>1551689360128946</v>
      </c>
      <c r="C3485" t="s">
        <v>40</v>
      </c>
      <c r="D3485">
        <v>4.1978989999999996</v>
      </c>
      <c r="E3485">
        <v>0.54835290000000003</v>
      </c>
      <c r="F3485" t="s">
        <v>46</v>
      </c>
      <c r="G3485">
        <v>-454.05459999999999</v>
      </c>
      <c r="H3485" s="1">
        <v>6.8159730000000001E-7</v>
      </c>
      <c r="I3485">
        <v>213.22730000000001</v>
      </c>
      <c r="J3485">
        <v>-464.04230000000001</v>
      </c>
      <c r="K3485">
        <v>1.1118539999999999</v>
      </c>
      <c r="L3485">
        <v>213.26150000000001</v>
      </c>
      <c r="M3485">
        <v>0.99788869999999996</v>
      </c>
      <c r="N3485">
        <v>-9.2313619999999999E-3</v>
      </c>
      <c r="O3485">
        <v>-6.4290299999999995E-2</v>
      </c>
      <c r="P3485">
        <v>0.91678340000000003</v>
      </c>
      <c r="Q3485">
        <v>0.39423360000000002</v>
      </c>
      <c r="R3485">
        <v>6.3940209999999997E-2</v>
      </c>
      <c r="S3485">
        <v>3.435028</v>
      </c>
      <c r="T3485">
        <v>-0.37428299999999998</v>
      </c>
      <c r="U3485">
        <v>-1.554871E-2</v>
      </c>
      <c r="V3485">
        <v>-0.123946</v>
      </c>
      <c r="W3485">
        <v>0.40225840000000002</v>
      </c>
      <c r="X3485">
        <v>0.9070973</v>
      </c>
      <c r="Y3485">
        <v>-5.9077530000000003E-2</v>
      </c>
      <c r="Z3485">
        <v>9.8709179999999994E-3</v>
      </c>
      <c r="AA3485">
        <v>0.9982046</v>
      </c>
      <c r="AB3485">
        <v>22</v>
      </c>
      <c r="AC3485">
        <v>9.9877000000000091</v>
      </c>
      <c r="AD3485">
        <v>-1.1118533184027</v>
      </c>
      <c r="AE3485">
        <v>-3.4199999999998398E-2</v>
      </c>
      <c r="AF3485">
        <v>-0.60056771099288897</v>
      </c>
      <c r="AG3485">
        <v>-1.1118533184027</v>
      </c>
      <c r="AH3485">
        <v>9.8472034317033295</v>
      </c>
      <c r="AI3485">
        <v>96.430167965666897</v>
      </c>
      <c r="AJ3485">
        <v>93.490069679326695</v>
      </c>
      <c r="AK3485">
        <v>9.9279562248470992</v>
      </c>
      <c r="AL3485">
        <v>66.280561191510202</v>
      </c>
      <c r="AM3485">
        <v>97.780724792415498</v>
      </c>
      <c r="AN3485">
        <v>0.99999997147692399</v>
      </c>
    </row>
    <row r="3486" spans="1:40" x14ac:dyDescent="0.25">
      <c r="A3486" t="str">
        <f>"20190304164920162"</f>
        <v>20190304164920162</v>
      </c>
      <c r="B3486" t="str">
        <f>"1551689360149442"</f>
        <v>1551689360149442</v>
      </c>
      <c r="C3486" t="s">
        <v>40</v>
      </c>
      <c r="D3486">
        <v>4.175713</v>
      </c>
      <c r="E3486">
        <v>0.54880030000000002</v>
      </c>
      <c r="F3486" t="s">
        <v>41</v>
      </c>
      <c r="G3486">
        <v>-463.1737</v>
      </c>
      <c r="H3486">
        <v>1.0173719999999999</v>
      </c>
      <c r="I3486">
        <v>213.25450000000001</v>
      </c>
      <c r="J3486">
        <v>-463.83699999999999</v>
      </c>
      <c r="K3486">
        <v>1.1118629999999901</v>
      </c>
      <c r="L3486">
        <v>213.25049999999999</v>
      </c>
      <c r="M3486">
        <v>0.99801759999999995</v>
      </c>
      <c r="N3486">
        <v>-9.146955E-3</v>
      </c>
      <c r="O3486">
        <v>-6.2267690000000001E-2</v>
      </c>
      <c r="P3486">
        <v>0.91661570000000003</v>
      </c>
      <c r="Q3486">
        <v>0.39460420000000002</v>
      </c>
      <c r="R3486">
        <v>6.4056829999999995E-2</v>
      </c>
      <c r="S3486">
        <v>3.4349980000000002</v>
      </c>
      <c r="T3486">
        <v>-0.37412620000000002</v>
      </c>
      <c r="U3486">
        <v>-2.6168819999999999E-2</v>
      </c>
      <c r="V3486">
        <v>-0.1222261</v>
      </c>
      <c r="W3486">
        <v>0.40255210000000002</v>
      </c>
      <c r="X3486">
        <v>0.90720040000000002</v>
      </c>
      <c r="Y3486">
        <v>-5.4010330000000002E-2</v>
      </c>
      <c r="Z3486">
        <v>9.3702230000000004E-3</v>
      </c>
      <c r="AA3486">
        <v>0.99849639999999995</v>
      </c>
      <c r="AB3486">
        <v>22</v>
      </c>
      <c r="AC3486">
        <v>0.66329999999999201</v>
      </c>
      <c r="AD3486">
        <v>-9.4490999999999797E-2</v>
      </c>
      <c r="AE3486">
        <v>4.0000000000190898E-3</v>
      </c>
      <c r="AF3486">
        <v>-4.43952130386433E-2</v>
      </c>
      <c r="AG3486">
        <v>-9.4490999999999797E-2</v>
      </c>
      <c r="AH3486">
        <v>0.64860162931389898</v>
      </c>
      <c r="AI3486">
        <v>98.269696311112796</v>
      </c>
      <c r="AJ3486">
        <v>93.915650139119705</v>
      </c>
      <c r="AK3486">
        <v>0.65695019413224298</v>
      </c>
      <c r="AL3486">
        <v>66.262179906613198</v>
      </c>
      <c r="AM3486">
        <v>97.673191613431797</v>
      </c>
      <c r="AN3486">
        <v>0.99999998924789002</v>
      </c>
    </row>
    <row r="3487" spans="1:40" x14ac:dyDescent="0.25">
      <c r="A3487" t="str">
        <f>"20190304164920185"</f>
        <v>20190304164920185</v>
      </c>
      <c r="B3487" t="str">
        <f>"1551689360179735"</f>
        <v>1551689360179735</v>
      </c>
      <c r="C3487" t="s">
        <v>40</v>
      </c>
      <c r="D3487">
        <v>4.2217200000000004</v>
      </c>
      <c r="E3487">
        <v>0.5491163</v>
      </c>
      <c r="F3487" t="s">
        <v>41</v>
      </c>
      <c r="G3487">
        <v>-462.97949999999997</v>
      </c>
      <c r="H3487">
        <v>1.0191250000000001</v>
      </c>
      <c r="I3487">
        <v>213.24180000000001</v>
      </c>
      <c r="J3487">
        <v>-463.60849999999999</v>
      </c>
      <c r="K3487">
        <v>1.1118570000000001</v>
      </c>
      <c r="L3487">
        <v>213.2388</v>
      </c>
      <c r="M3487">
        <v>0.99815670000000001</v>
      </c>
      <c r="N3487">
        <v>-9.0510320000000005E-3</v>
      </c>
      <c r="O3487">
        <v>-6.0010239999999999E-2</v>
      </c>
      <c r="P3487">
        <v>0.91665839999999998</v>
      </c>
      <c r="Q3487">
        <v>0.39448329999999998</v>
      </c>
      <c r="R3487">
        <v>6.4189049999999997E-2</v>
      </c>
      <c r="S3487">
        <v>3.435333</v>
      </c>
      <c r="T3487">
        <v>-0.37192710000000001</v>
      </c>
      <c r="U3487">
        <v>-3.3645630000000003E-2</v>
      </c>
      <c r="V3487">
        <v>-0.1203169</v>
      </c>
      <c r="W3487">
        <v>0.40234779999999998</v>
      </c>
      <c r="X3487">
        <v>0.90754619999999997</v>
      </c>
      <c r="Y3487">
        <v>-4.9625570000000001E-2</v>
      </c>
      <c r="Z3487">
        <v>8.8363219999999902E-3</v>
      </c>
      <c r="AA3487">
        <v>0.99872879999999997</v>
      </c>
      <c r="AB3487">
        <v>22</v>
      </c>
      <c r="AC3487">
        <v>0.62900000000001899</v>
      </c>
      <c r="AD3487">
        <v>-9.2731999999999801E-2</v>
      </c>
      <c r="AE3487">
        <v>3.0000000000143202E-3</v>
      </c>
      <c r="AF3487">
        <v>-3.9875901353536802E-2</v>
      </c>
      <c r="AG3487">
        <v>-9.2731999999999801E-2</v>
      </c>
      <c r="AH3487">
        <v>0.61433406542322</v>
      </c>
      <c r="AI3487">
        <v>98.5660758541364</v>
      </c>
      <c r="AJ3487">
        <v>93.713810460792004</v>
      </c>
      <c r="AK3487">
        <v>0.62257180732199702</v>
      </c>
      <c r="AL3487">
        <v>66.274967100243799</v>
      </c>
      <c r="AM3487">
        <v>97.551884408674596</v>
      </c>
      <c r="AN3487">
        <v>1.0000000068624399</v>
      </c>
    </row>
    <row r="3488" spans="1:40" x14ac:dyDescent="0.25">
      <c r="A3488" t="str">
        <f>"20190304164920208"</f>
        <v>20190304164920208</v>
      </c>
      <c r="B3488" t="str">
        <f>"1551689360199255"</f>
        <v>1551689360199255</v>
      </c>
      <c r="C3488" t="s">
        <v>40</v>
      </c>
      <c r="D3488">
        <v>4.2193129999999996</v>
      </c>
      <c r="E3488">
        <v>0.54942829999999998</v>
      </c>
      <c r="F3488" t="s">
        <v>41</v>
      </c>
      <c r="G3488">
        <v>-462.77969999999999</v>
      </c>
      <c r="H3488">
        <v>1.0227010000000001</v>
      </c>
      <c r="I3488">
        <v>213.2295</v>
      </c>
      <c r="J3488">
        <v>-463.38409999999999</v>
      </c>
      <c r="K3488">
        <v>1.111853</v>
      </c>
      <c r="L3488">
        <v>213.2278</v>
      </c>
      <c r="M3488">
        <v>0.99828850000000002</v>
      </c>
      <c r="N3488">
        <v>-8.955991E-3</v>
      </c>
      <c r="O3488">
        <v>-5.7793820000000003E-2</v>
      </c>
      <c r="P3488">
        <v>0.91662149999999998</v>
      </c>
      <c r="Q3488">
        <v>0.39451629999999999</v>
      </c>
      <c r="R3488">
        <v>6.451163E-2</v>
      </c>
      <c r="S3488">
        <v>3.4345400000000001</v>
      </c>
      <c r="T3488">
        <v>-0.36964829999999999</v>
      </c>
      <c r="U3488">
        <v>-3.779602E-2</v>
      </c>
      <c r="V3488">
        <v>-0.1186258</v>
      </c>
      <c r="W3488">
        <v>0.40229759999999998</v>
      </c>
      <c r="X3488">
        <v>0.90779100000000001</v>
      </c>
      <c r="Y3488">
        <v>-4.6237569999999999E-2</v>
      </c>
      <c r="Z3488">
        <v>8.3711540000000004E-3</v>
      </c>
      <c r="AA3488">
        <v>0.99889539999999999</v>
      </c>
      <c r="AB3488">
        <v>22</v>
      </c>
      <c r="AC3488">
        <v>0.60439999999999805</v>
      </c>
      <c r="AD3488">
        <v>-8.9151999999999898E-2</v>
      </c>
      <c r="AE3488">
        <v>1.6999999999995901E-3</v>
      </c>
      <c r="AF3488">
        <v>-3.5849150054497701E-2</v>
      </c>
      <c r="AG3488">
        <v>-8.9151999999999898E-2</v>
      </c>
      <c r="AH3488">
        <v>0.59044480770210905</v>
      </c>
      <c r="AI3488">
        <v>98.570754312974998</v>
      </c>
      <c r="AJ3488">
        <v>93.474476524230695</v>
      </c>
      <c r="AK3488">
        <v>0.59821259733142595</v>
      </c>
      <c r="AL3488">
        <v>66.278107891371604</v>
      </c>
      <c r="AM3488">
        <v>97.444953851675294</v>
      </c>
      <c r="AN3488">
        <v>0.99999996953619896</v>
      </c>
    </row>
    <row r="3489" spans="1:40" x14ac:dyDescent="0.25">
      <c r="A3489" t="str">
        <f>"20190304164920231"</f>
        <v>20190304164920231</v>
      </c>
      <c r="B3489" t="str">
        <f>"1551689360219751"</f>
        <v>1551689360219751</v>
      </c>
      <c r="C3489" t="s">
        <v>40</v>
      </c>
      <c r="D3489">
        <v>4.6852960000000001</v>
      </c>
      <c r="E3489">
        <v>0.54956629999999995</v>
      </c>
      <c r="F3489" t="s">
        <v>41</v>
      </c>
      <c r="G3489">
        <v>-462.57170000000002</v>
      </c>
      <c r="H3489">
        <v>1.0272220000000001</v>
      </c>
      <c r="I3489">
        <v>213.21700000000001</v>
      </c>
      <c r="J3489">
        <v>-463.14690000000002</v>
      </c>
      <c r="K3489">
        <v>1.1118490000000001</v>
      </c>
      <c r="L3489">
        <v>213.2167</v>
      </c>
      <c r="M3489">
        <v>0.99842160000000002</v>
      </c>
      <c r="N3489">
        <v>-8.8586250000000002E-3</v>
      </c>
      <c r="O3489">
        <v>-5.5462049999999999E-2</v>
      </c>
      <c r="P3489">
        <v>0.91658539999999999</v>
      </c>
      <c r="Q3489">
        <v>0.39442349999999998</v>
      </c>
      <c r="R3489">
        <v>6.5585690000000002E-2</v>
      </c>
      <c r="S3489">
        <v>3.4300839999999901</v>
      </c>
      <c r="T3489">
        <v>-0.35823759999999999</v>
      </c>
      <c r="U3489">
        <v>-4.2907710000000002E-2</v>
      </c>
      <c r="V3489">
        <v>-0.11757570000000001</v>
      </c>
      <c r="W3489">
        <v>0.40211859999999999</v>
      </c>
      <c r="X3489">
        <v>0.90800689999999995</v>
      </c>
      <c r="Y3489">
        <v>-4.2467959999999999E-2</v>
      </c>
      <c r="Z3489">
        <v>7.683708E-3</v>
      </c>
      <c r="AA3489">
        <v>0.99906830000000002</v>
      </c>
      <c r="AB3489">
        <v>22</v>
      </c>
      <c r="AC3489">
        <v>0.57519999999999505</v>
      </c>
      <c r="AD3489">
        <v>-8.4627000000000202E-2</v>
      </c>
      <c r="AE3489">
        <v>3.0000000000995799E-4</v>
      </c>
      <c r="AF3489">
        <v>-3.15202665035485E-2</v>
      </c>
      <c r="AG3489">
        <v>-8.4627000000000202E-2</v>
      </c>
      <c r="AH3489">
        <v>0.56213000879133002</v>
      </c>
      <c r="AI3489">
        <v>98.548186539537198</v>
      </c>
      <c r="AJ3489">
        <v>93.209380402874601</v>
      </c>
      <c r="AK3489">
        <v>0.56933768811944596</v>
      </c>
      <c r="AL3489">
        <v>66.289309925858404</v>
      </c>
      <c r="AM3489">
        <v>97.378043872338296</v>
      </c>
      <c r="AN3489">
        <v>0.99999997207202895</v>
      </c>
    </row>
    <row r="3490" spans="1:40" x14ac:dyDescent="0.25">
      <c r="A3490" t="str">
        <f>"20190304164920253"</f>
        <v>20190304164920253</v>
      </c>
      <c r="B3490" t="str">
        <f>"1551689360249032"</f>
        <v>1551689360249032</v>
      </c>
      <c r="C3490" t="s">
        <v>40</v>
      </c>
      <c r="D3490">
        <v>4.2560520000000004</v>
      </c>
      <c r="E3490">
        <v>0.5497959</v>
      </c>
      <c r="F3490" t="s">
        <v>46</v>
      </c>
      <c r="G3490">
        <v>-452.32380000000001</v>
      </c>
      <c r="H3490" s="1">
        <v>-2.3286529999999999E-7</v>
      </c>
      <c r="I3490">
        <v>213.07679999999999</v>
      </c>
      <c r="J3490">
        <v>-462.92509999999999</v>
      </c>
      <c r="K3490">
        <v>1.1118300000000001</v>
      </c>
      <c r="L3490">
        <v>213.20679999999999</v>
      </c>
      <c r="M3490">
        <v>0.99854030000000005</v>
      </c>
      <c r="N3490">
        <v>-8.7684049999999999E-3</v>
      </c>
      <c r="O3490">
        <v>-5.3296629999999998E-2</v>
      </c>
      <c r="P3490">
        <v>0.91692019999999996</v>
      </c>
      <c r="Q3490">
        <v>0.39340180000000002</v>
      </c>
      <c r="R3490">
        <v>6.7026909999999995E-2</v>
      </c>
      <c r="S3490">
        <v>3.4277039999999999</v>
      </c>
      <c r="T3490">
        <v>-0.35212529999999997</v>
      </c>
      <c r="U3490">
        <v>-4.431152E-2</v>
      </c>
      <c r="V3490">
        <v>-0.1170553</v>
      </c>
      <c r="W3490">
        <v>0.4010203</v>
      </c>
      <c r="X3490">
        <v>0.90855969999999997</v>
      </c>
      <c r="Y3490">
        <v>-3.9923790000000001E-2</v>
      </c>
      <c r="Z3490">
        <v>7.2124550000000004E-3</v>
      </c>
      <c r="AA3490">
        <v>0.99917670000000003</v>
      </c>
      <c r="AB3490">
        <v>22</v>
      </c>
      <c r="AC3490">
        <v>10.601299999999901</v>
      </c>
      <c r="AD3490">
        <v>-1.11183023286529</v>
      </c>
      <c r="AE3490">
        <v>-0.12999999999999501</v>
      </c>
      <c r="AF3490">
        <v>-0.43048576295900598</v>
      </c>
      <c r="AG3490">
        <v>-1.11183023286529</v>
      </c>
      <c r="AH3490">
        <v>10.4779294241103</v>
      </c>
      <c r="AI3490">
        <v>96.052015414426606</v>
      </c>
      <c r="AJ3490">
        <v>92.352674121078607</v>
      </c>
      <c r="AK3490">
        <v>10.5455435836879</v>
      </c>
      <c r="AL3490">
        <v>66.358021541911398</v>
      </c>
      <c r="AM3490">
        <v>97.341324835116396</v>
      </c>
      <c r="AN3490">
        <v>0.999999976367134</v>
      </c>
    </row>
    <row r="3491" spans="1:40" x14ac:dyDescent="0.25">
      <c r="A3491" t="str">
        <f>"20190304164920275"</f>
        <v>20190304164920275</v>
      </c>
      <c r="B3491" t="str">
        <f>"1551689360269795"</f>
        <v>1551689360269795</v>
      </c>
      <c r="C3491" t="s">
        <v>40</v>
      </c>
      <c r="D3491">
        <v>4.1944269999999904</v>
      </c>
      <c r="E3491">
        <v>0.54984060000000001</v>
      </c>
      <c r="F3491" t="s">
        <v>46</v>
      </c>
      <c r="G3491">
        <v>-452.16699999999997</v>
      </c>
      <c r="H3491" s="1">
        <v>-3.158008E-7</v>
      </c>
      <c r="I3491">
        <v>213.065</v>
      </c>
      <c r="J3491">
        <v>-462.7079</v>
      </c>
      <c r="K3491">
        <v>1.1118140000000001</v>
      </c>
      <c r="L3491">
        <v>213.19759999999999</v>
      </c>
      <c r="M3491">
        <v>0.99865079999999995</v>
      </c>
      <c r="N3491">
        <v>-8.6773189999999993E-3</v>
      </c>
      <c r="O3491">
        <v>-5.1199429999999997E-2</v>
      </c>
      <c r="P3491">
        <v>0.91674040000000001</v>
      </c>
      <c r="Q3491">
        <v>0.39365420000000001</v>
      </c>
      <c r="R3491">
        <v>6.799608E-2</v>
      </c>
      <c r="S3491">
        <v>3.4270939999999999</v>
      </c>
      <c r="T3491">
        <v>-0.3541839</v>
      </c>
      <c r="U3491">
        <v>-4.5196529999999999E-2</v>
      </c>
      <c r="V3491">
        <v>-0.1160964</v>
      </c>
      <c r="W3491">
        <v>0.40119379999999999</v>
      </c>
      <c r="X3491">
        <v>0.90860620000000003</v>
      </c>
      <c r="Y3491">
        <v>-3.7581789999999997E-2</v>
      </c>
      <c r="Z3491">
        <v>6.9318399999999999E-3</v>
      </c>
      <c r="AA3491">
        <v>0.99926950000000003</v>
      </c>
      <c r="AB3491">
        <v>22</v>
      </c>
      <c r="AC3491">
        <v>10.540900000000001</v>
      </c>
      <c r="AD3491">
        <v>-1.11181431580079</v>
      </c>
      <c r="AE3491">
        <v>-0.132599999999996</v>
      </c>
      <c r="AF3491">
        <v>-0.40280173495791599</v>
      </c>
      <c r="AG3491">
        <v>-1.11181431580079</v>
      </c>
      <c r="AH3491">
        <v>10.417979218638701</v>
      </c>
      <c r="AI3491">
        <v>96.087076778524093</v>
      </c>
      <c r="AJ3491">
        <v>92.214186545587197</v>
      </c>
      <c r="AK3491">
        <v>10.484878221061599</v>
      </c>
      <c r="AL3491">
        <v>66.347170910245495</v>
      </c>
      <c r="AM3491">
        <v>97.281465227802599</v>
      </c>
      <c r="AN3491">
        <v>1.0000000329649099</v>
      </c>
    </row>
    <row r="3492" spans="1:40" x14ac:dyDescent="0.25">
      <c r="A3492" t="str">
        <f>"20190304164920297"</f>
        <v>20190304164920297</v>
      </c>
      <c r="B3492" t="str">
        <f>"1551689360289315"</f>
        <v>1551689360289315</v>
      </c>
      <c r="C3492" t="s">
        <v>40</v>
      </c>
      <c r="D3492">
        <v>4.2219680000000004</v>
      </c>
      <c r="E3492">
        <v>0.55008169999999901</v>
      </c>
      <c r="F3492" t="s">
        <v>46</v>
      </c>
      <c r="G3492">
        <v>-451.85199999999998</v>
      </c>
      <c r="H3492" s="1">
        <v>-4.8305399999999998E-7</v>
      </c>
      <c r="I3492">
        <v>213.05590000000001</v>
      </c>
      <c r="J3492">
        <v>-462.48829999999998</v>
      </c>
      <c r="K3492">
        <v>1.1117889999999999</v>
      </c>
      <c r="L3492">
        <v>213.18870000000001</v>
      </c>
      <c r="M3492">
        <v>0.99875659999999999</v>
      </c>
      <c r="N3492">
        <v>-8.5818609999999997E-3</v>
      </c>
      <c r="O3492">
        <v>-4.9111439999999999E-2</v>
      </c>
      <c r="P3492">
        <v>0.91698959999999996</v>
      </c>
      <c r="Q3492">
        <v>0.39294479999999998</v>
      </c>
      <c r="R3492">
        <v>6.8736619999999998E-2</v>
      </c>
      <c r="S3492">
        <v>3.4264220000000001</v>
      </c>
      <c r="T3492">
        <v>-0.3509178</v>
      </c>
      <c r="U3492">
        <v>-4.4723510000000001E-2</v>
      </c>
      <c r="V3492">
        <v>-0.1149302</v>
      </c>
      <c r="W3492">
        <v>0.40040789999999998</v>
      </c>
      <c r="X3492">
        <v>0.90910100000000005</v>
      </c>
      <c r="Y3492">
        <v>-3.5655829999999999E-2</v>
      </c>
      <c r="Z3492">
        <v>6.5683460000000001E-3</v>
      </c>
      <c r="AA3492">
        <v>0.99934259999999997</v>
      </c>
      <c r="AB3492">
        <v>22</v>
      </c>
      <c r="AC3492">
        <v>10.6363</v>
      </c>
      <c r="AD3492">
        <v>-1.1117894830539901</v>
      </c>
      <c r="AE3492">
        <v>-0.132800000000003</v>
      </c>
      <c r="AF3492">
        <v>-0.38553173111954298</v>
      </c>
      <c r="AG3492">
        <v>-1.1117894830539901</v>
      </c>
      <c r="AH3492">
        <v>10.5151155501998</v>
      </c>
      <c r="AI3492">
        <v>96.031578608780805</v>
      </c>
      <c r="AJ3492">
        <v>92.0997820509333</v>
      </c>
      <c r="AK3492">
        <v>10.5807544912631</v>
      </c>
      <c r="AL3492">
        <v>66.396320068007398</v>
      </c>
      <c r="AM3492">
        <v>97.205213066040201</v>
      </c>
      <c r="AN3492">
        <v>1.0000000327277201</v>
      </c>
    </row>
    <row r="3493" spans="1:40" x14ac:dyDescent="0.25">
      <c r="A3493" t="str">
        <f>"20190304164920319"</f>
        <v>20190304164920319</v>
      </c>
      <c r="B3493" t="str">
        <f>"1551689360308834"</f>
        <v>1551689360308834</v>
      </c>
      <c r="C3493" t="s">
        <v>40</v>
      </c>
      <c r="D3493">
        <v>4.159332</v>
      </c>
      <c r="E3493">
        <v>0.55024469999999903</v>
      </c>
      <c r="F3493" t="s">
        <v>41</v>
      </c>
      <c r="G3493">
        <v>-461.58350000000002</v>
      </c>
      <c r="H3493">
        <v>1.0182230000000001</v>
      </c>
      <c r="I3493">
        <v>213.1772</v>
      </c>
      <c r="J3493">
        <v>-462.2627</v>
      </c>
      <c r="K3493">
        <v>1.1117549999999901</v>
      </c>
      <c r="L3493">
        <v>213.18</v>
      </c>
      <c r="M3493">
        <v>0.99885889999999999</v>
      </c>
      <c r="N3493">
        <v>-8.4827779999999998E-3</v>
      </c>
      <c r="O3493">
        <v>-4.7003110000000001E-2</v>
      </c>
      <c r="P3493">
        <v>0.91738520000000001</v>
      </c>
      <c r="Q3493">
        <v>0.39186009999999999</v>
      </c>
      <c r="R3493">
        <v>6.9644650000000002E-2</v>
      </c>
      <c r="S3493">
        <v>3.426666</v>
      </c>
      <c r="T3493">
        <v>-0.3544292</v>
      </c>
      <c r="U3493">
        <v>-4.3365479999999998E-2</v>
      </c>
      <c r="V3493">
        <v>-0.1139107</v>
      </c>
      <c r="W3493">
        <v>0.39924530000000003</v>
      </c>
      <c r="X3493">
        <v>0.9097404</v>
      </c>
      <c r="Y3493">
        <v>-3.3953619999999997E-2</v>
      </c>
      <c r="Z3493">
        <v>6.3446020000000004E-3</v>
      </c>
      <c r="AA3493">
        <v>0.99940329999999999</v>
      </c>
      <c r="AB3493">
        <v>23</v>
      </c>
      <c r="AC3493">
        <v>0.67919999999998004</v>
      </c>
      <c r="AD3493">
        <v>-9.3531999999999907E-2</v>
      </c>
      <c r="AE3493">
        <v>-2.80000000000768E-3</v>
      </c>
      <c r="AF3493">
        <v>-2.8586648379265799E-2</v>
      </c>
      <c r="AG3493">
        <v>-9.3531999999999907E-2</v>
      </c>
      <c r="AH3493">
        <v>0.66595210922547199</v>
      </c>
      <c r="AI3493">
        <v>97.987553499351705</v>
      </c>
      <c r="AJ3493">
        <v>92.457968634927596</v>
      </c>
      <c r="AK3493">
        <v>0.67309556771042101</v>
      </c>
      <c r="AL3493">
        <v>66.468993642926094</v>
      </c>
      <c r="AM3493">
        <v>97.136993544062193</v>
      </c>
      <c r="AN3493">
        <v>1.00000002626936</v>
      </c>
    </row>
    <row r="3494" spans="1:40" x14ac:dyDescent="0.25">
      <c r="A3494" t="str">
        <f>"20190304164920455"</f>
        <v>20190304164920455</v>
      </c>
      <c r="B3494" t="str">
        <f>"1551689360449379"</f>
        <v>1551689360449379</v>
      </c>
      <c r="C3494" t="s">
        <v>40</v>
      </c>
      <c r="D3494">
        <v>4.2877580000000002</v>
      </c>
      <c r="E3494">
        <v>0.54076400000000002</v>
      </c>
      <c r="F3494" t="s">
        <v>41</v>
      </c>
      <c r="G3494">
        <v>-460.40390000000002</v>
      </c>
      <c r="H3494">
        <v>0.90693780000000002</v>
      </c>
      <c r="I3494">
        <v>213.1859</v>
      </c>
      <c r="J3494">
        <v>-460.87169999999998</v>
      </c>
      <c r="K3494">
        <v>1.1114580000000001</v>
      </c>
      <c r="L3494">
        <v>213.1353</v>
      </c>
      <c r="M3494">
        <v>0.99935189999999996</v>
      </c>
      <c r="N3494">
        <v>-7.8787089999999994E-3</v>
      </c>
      <c r="O3494">
        <v>-3.5128550000000001E-2</v>
      </c>
      <c r="P3494">
        <v>0.91629740000000004</v>
      </c>
      <c r="Q3494">
        <v>0.39126420000000001</v>
      </c>
      <c r="R3494">
        <v>8.5509169999999995E-2</v>
      </c>
      <c r="S3494">
        <v>3.7247620000000001</v>
      </c>
      <c r="T3494">
        <v>-1.1096870000000001</v>
      </c>
      <c r="U3494">
        <v>0.2421112</v>
      </c>
      <c r="V3494">
        <v>-0.1186777</v>
      </c>
      <c r="W3494">
        <v>0.39813710000000002</v>
      </c>
      <c r="X3494">
        <v>0.9096166</v>
      </c>
      <c r="Y3494">
        <v>-9.4246579999999996E-2</v>
      </c>
      <c r="Z3494">
        <v>2.407026E-2</v>
      </c>
      <c r="AA3494">
        <v>0.99525790000000003</v>
      </c>
      <c r="AB3494">
        <v>23</v>
      </c>
      <c r="AC3494">
        <v>0.46779999999995397</v>
      </c>
      <c r="AD3494">
        <v>-0.20452020000000001</v>
      </c>
      <c r="AE3494">
        <v>5.0600000000002802E-2</v>
      </c>
      <c r="AF3494">
        <v>-5.6355232465433502E-2</v>
      </c>
      <c r="AG3494">
        <v>-0.20452020000000001</v>
      </c>
      <c r="AH3494">
        <v>0.39172516882689801</v>
      </c>
      <c r="AI3494">
        <v>117.32905054424801</v>
      </c>
      <c r="AJ3494">
        <v>98.186641121282193</v>
      </c>
      <c r="AK3494">
        <v>0.44548067559293197</v>
      </c>
      <c r="AL3494">
        <v>66.538227681494504</v>
      </c>
      <c r="AM3494">
        <v>97.433393389772405</v>
      </c>
      <c r="AN3494">
        <v>0.99999995293462896</v>
      </c>
    </row>
    <row r="3495" spans="1:40" x14ac:dyDescent="0.25">
      <c r="A3495" t="str">
        <f>"20190304164920475"</f>
        <v>20190304164920475</v>
      </c>
      <c r="B3495" t="str">
        <f>"1551689360468899"</f>
        <v>1551689360468899</v>
      </c>
      <c r="C3495" t="s">
        <v>40</v>
      </c>
      <c r="D3495">
        <v>4.3008959999999998</v>
      </c>
      <c r="E3495">
        <v>0.54286969999999901</v>
      </c>
      <c r="F3495" t="s">
        <v>41</v>
      </c>
      <c r="G3495">
        <v>-460.14859999999999</v>
      </c>
      <c r="H3495">
        <v>1.013889</v>
      </c>
      <c r="I3495">
        <v>213.15520000000001</v>
      </c>
      <c r="J3495">
        <v>-460.65910000000002</v>
      </c>
      <c r="K3495">
        <v>1.1113710000000001</v>
      </c>
      <c r="L3495">
        <v>213.12960000000001</v>
      </c>
      <c r="M3495">
        <v>0.99940510000000005</v>
      </c>
      <c r="N3495">
        <v>-7.7668040000000004E-3</v>
      </c>
      <c r="O3495">
        <v>-3.3603670000000002E-2</v>
      </c>
      <c r="P3495">
        <v>0.91622210000000004</v>
      </c>
      <c r="Q3495">
        <v>0.3908548</v>
      </c>
      <c r="R3495">
        <v>8.8147370000000003E-2</v>
      </c>
      <c r="S3495">
        <v>3.4647519999999998</v>
      </c>
      <c r="T3495">
        <v>-0.46794269999999999</v>
      </c>
      <c r="U3495">
        <v>9.7488400000000003E-2</v>
      </c>
      <c r="V3495">
        <v>-0.1198529</v>
      </c>
      <c r="W3495">
        <v>0.39764240000000001</v>
      </c>
      <c r="X3495">
        <v>0.90967900000000002</v>
      </c>
      <c r="Y3495">
        <v>-6.0846600000000001E-2</v>
      </c>
      <c r="Z3495">
        <v>8.5841210000000001E-3</v>
      </c>
      <c r="AA3495">
        <v>0.99811019999999995</v>
      </c>
      <c r="AB3495">
        <v>23</v>
      </c>
      <c r="AC3495">
        <v>0.51050000000003504</v>
      </c>
      <c r="AD3495">
        <v>-9.7481999999999805E-2</v>
      </c>
      <c r="AE3495">
        <v>2.5599999999997101E-2</v>
      </c>
      <c r="AF3495">
        <v>-4.1240725741061898E-2</v>
      </c>
      <c r="AG3495">
        <v>-9.7481999999999805E-2</v>
      </c>
      <c r="AH3495">
        <v>0.49147546900280498</v>
      </c>
      <c r="AI3495">
        <v>101.18046141931799</v>
      </c>
      <c r="AJ3495">
        <v>94.796570800870896</v>
      </c>
      <c r="AK3495">
        <v>0.50274414408839896</v>
      </c>
      <c r="AL3495">
        <v>66.569124965986205</v>
      </c>
      <c r="AM3495">
        <v>97.505657876254105</v>
      </c>
      <c r="AN3495">
        <v>1.00000003947858</v>
      </c>
    </row>
    <row r="3496" spans="1:40" x14ac:dyDescent="0.25">
      <c r="A3496" t="str">
        <f>"20190304164920499"</f>
        <v>20190304164920499</v>
      </c>
      <c r="B3496" t="str">
        <f>"1551689360489395"</f>
        <v>1551689360489395</v>
      </c>
      <c r="C3496" t="s">
        <v>40</v>
      </c>
      <c r="D3496">
        <v>4.3421320000000003</v>
      </c>
      <c r="E3496">
        <v>0.54386190000000001</v>
      </c>
      <c r="F3496" t="s">
        <v>41</v>
      </c>
      <c r="G3496">
        <v>-459.74259999999998</v>
      </c>
      <c r="H3496">
        <v>0.99508940000000001</v>
      </c>
      <c r="I3496">
        <v>213.15170000000001</v>
      </c>
      <c r="J3496">
        <v>-460.41489999999999</v>
      </c>
      <c r="K3496">
        <v>1.1112649999999999</v>
      </c>
      <c r="L3496">
        <v>213.1232</v>
      </c>
      <c r="M3496">
        <v>0.99945890000000004</v>
      </c>
      <c r="N3496">
        <v>-7.6347169999999897E-3</v>
      </c>
      <c r="O3496">
        <v>-3.1992899999999998E-2</v>
      </c>
      <c r="P3496">
        <v>0.91602570000000005</v>
      </c>
      <c r="Q3496">
        <v>0.3906848</v>
      </c>
      <c r="R3496">
        <v>9.0897629999999993E-2</v>
      </c>
      <c r="S3496">
        <v>3.453125</v>
      </c>
      <c r="T3496">
        <v>-0.43820979999999998</v>
      </c>
      <c r="U3496">
        <v>8.4289550000000005E-2</v>
      </c>
      <c r="V3496">
        <v>-0.1210415</v>
      </c>
      <c r="W3496">
        <v>0.39737329999999998</v>
      </c>
      <c r="X3496">
        <v>0.90963919999999998</v>
      </c>
      <c r="Y3496">
        <v>-5.5674309999999998E-2</v>
      </c>
      <c r="Z3496">
        <v>7.5311600000000003E-3</v>
      </c>
      <c r="AA3496">
        <v>0.99842059999999999</v>
      </c>
      <c r="AB3496">
        <v>23</v>
      </c>
      <c r="AC3496">
        <v>0.672300000000007</v>
      </c>
      <c r="AD3496">
        <v>-0.116175599999999</v>
      </c>
      <c r="AE3496">
        <v>2.8500000000008099E-2</v>
      </c>
      <c r="AF3496">
        <v>-4.8547781826084699E-2</v>
      </c>
      <c r="AG3496">
        <v>-0.116175599999999</v>
      </c>
      <c r="AH3496">
        <v>0.65162088826357001</v>
      </c>
      <c r="AI3496">
        <v>100.081517996424</v>
      </c>
      <c r="AJ3496">
        <v>94.260841750497306</v>
      </c>
      <c r="AK3496">
        <v>0.66367419655806803</v>
      </c>
      <c r="AL3496">
        <v>66.585927582400402</v>
      </c>
      <c r="AM3496">
        <v>97.579559290090302</v>
      </c>
      <c r="AN3496">
        <v>1.0000000292258799</v>
      </c>
    </row>
    <row r="3497" spans="1:40" x14ac:dyDescent="0.25">
      <c r="A3497" t="str">
        <f>"20190304164920520"</f>
        <v>20190304164920520</v>
      </c>
      <c r="B3497" t="str">
        <f>"1551689360509891"</f>
        <v>1551689360509891</v>
      </c>
      <c r="C3497" t="s">
        <v>40</v>
      </c>
      <c r="D3497">
        <v>4.290788</v>
      </c>
      <c r="E3497">
        <v>0.54443649999999999</v>
      </c>
      <c r="F3497" t="s">
        <v>41</v>
      </c>
      <c r="G3497">
        <v>-459.52929999999998</v>
      </c>
      <c r="H3497">
        <v>1.00342</v>
      </c>
      <c r="I3497">
        <v>213.14439999999999</v>
      </c>
      <c r="J3497">
        <v>-460.18959999999998</v>
      </c>
      <c r="K3497">
        <v>1.1111770000000001</v>
      </c>
      <c r="L3497">
        <v>213.11760000000001</v>
      </c>
      <c r="M3497">
        <v>0.99950309999999998</v>
      </c>
      <c r="N3497">
        <v>-7.5167810000000002E-3</v>
      </c>
      <c r="O3497">
        <v>-3.061084E-2</v>
      </c>
      <c r="P3497">
        <v>0.91603089999999998</v>
      </c>
      <c r="Q3497">
        <v>0.39016129999999999</v>
      </c>
      <c r="R3497">
        <v>9.3067179999999999E-2</v>
      </c>
      <c r="S3497">
        <v>3.4458310000000001</v>
      </c>
      <c r="T3497">
        <v>-0.4198096</v>
      </c>
      <c r="U3497">
        <v>8.3038329999999994E-2</v>
      </c>
      <c r="V3497">
        <v>-0.121879399999999</v>
      </c>
      <c r="W3497">
        <v>0.39676230000000001</v>
      </c>
      <c r="X3497">
        <v>0.90979399999999999</v>
      </c>
      <c r="Y3497">
        <v>-5.405919E-2</v>
      </c>
      <c r="Z3497">
        <v>6.9701600000000004E-3</v>
      </c>
      <c r="AA3497">
        <v>0.9985134</v>
      </c>
      <c r="AB3497">
        <v>23</v>
      </c>
      <c r="AC3497">
        <v>0.66030000000000599</v>
      </c>
      <c r="AD3497">
        <v>-0.10775700000000001</v>
      </c>
      <c r="AE3497">
        <v>2.67999999999801E-2</v>
      </c>
      <c r="AF3497">
        <v>-4.5783047477239103E-2</v>
      </c>
      <c r="AG3497">
        <v>-0.10775700000000001</v>
      </c>
      <c r="AH3497">
        <v>0.642097753499696</v>
      </c>
      <c r="AI3497">
        <v>99.5029345074784</v>
      </c>
      <c r="AJ3497">
        <v>94.078418693962902</v>
      </c>
      <c r="AK3497">
        <v>0.65268459728620798</v>
      </c>
      <c r="AL3497">
        <v>66.624070798706597</v>
      </c>
      <c r="AM3497">
        <v>97.630128739038597</v>
      </c>
      <c r="AN3497">
        <v>1.0000000166408201</v>
      </c>
    </row>
    <row r="3498" spans="1:40" x14ac:dyDescent="0.25">
      <c r="A3498" t="str">
        <f>"20190304164920543"</f>
        <v>20190304164920543</v>
      </c>
      <c r="B3498" t="str">
        <f>"1551689360529411"</f>
        <v>1551689360529411</v>
      </c>
      <c r="C3498" t="s">
        <v>40</v>
      </c>
      <c r="D3498">
        <v>4.4007550000000002</v>
      </c>
      <c r="E3498">
        <v>0.54397530000000005</v>
      </c>
      <c r="F3498" t="s">
        <v>41</v>
      </c>
      <c r="G3498">
        <v>-459.31670000000003</v>
      </c>
      <c r="H3498">
        <v>1.007514</v>
      </c>
      <c r="I3498">
        <v>213.13820000000001</v>
      </c>
      <c r="J3498">
        <v>-459.95710000000003</v>
      </c>
      <c r="K3498">
        <v>1.111097</v>
      </c>
      <c r="L3498">
        <v>213.11199999999999</v>
      </c>
      <c r="M3498">
        <v>0.99954370000000003</v>
      </c>
      <c r="N3498">
        <v>-7.3993380000000001E-3</v>
      </c>
      <c r="O3498">
        <v>-2.9286409999999999E-2</v>
      </c>
      <c r="P3498">
        <v>0.91631390000000001</v>
      </c>
      <c r="Q3498">
        <v>0.38912360000000001</v>
      </c>
      <c r="R3498">
        <v>9.4612879999999996E-2</v>
      </c>
      <c r="S3498">
        <v>3.4407350000000001</v>
      </c>
      <c r="T3498">
        <v>-0.40909649999999997</v>
      </c>
      <c r="U3498">
        <v>8.3724980000000004E-2</v>
      </c>
      <c r="V3498">
        <v>-0.1221626</v>
      </c>
      <c r="W3498">
        <v>0.39563799999999999</v>
      </c>
      <c r="X3498">
        <v>0.91024550000000004</v>
      </c>
      <c r="Y3498">
        <v>-5.3016420000000002E-2</v>
      </c>
      <c r="Z3498">
        <v>6.5904980000000002E-3</v>
      </c>
      <c r="AA3498">
        <v>0.99857189999999996</v>
      </c>
      <c r="AB3498">
        <v>24</v>
      </c>
      <c r="AC3498">
        <v>0.64039999999999897</v>
      </c>
      <c r="AD3498">
        <v>-0.103582999999999</v>
      </c>
      <c r="AE3498">
        <v>2.6200000000017099E-2</v>
      </c>
      <c r="AF3498">
        <v>-4.3800293700671199E-2</v>
      </c>
      <c r="AG3498">
        <v>-0.103582999999999</v>
      </c>
      <c r="AH3498">
        <v>0.62308395733914101</v>
      </c>
      <c r="AI3498">
        <v>99.415853287524698</v>
      </c>
      <c r="AJ3498">
        <v>94.021047967301101</v>
      </c>
      <c r="AK3498">
        <v>0.63315205244132999</v>
      </c>
      <c r="AL3498">
        <v>66.694229550307398</v>
      </c>
      <c r="AM3498">
        <v>97.643900054855393</v>
      </c>
      <c r="AN3498">
        <v>0.99999999907650505</v>
      </c>
    </row>
    <row r="3499" spans="1:40" x14ac:dyDescent="0.25">
      <c r="A3499" t="str">
        <f>"20190304164920564"</f>
        <v>20190304164920564</v>
      </c>
      <c r="B3499" t="str">
        <f>"1551689360559667"</f>
        <v>1551689360559667</v>
      </c>
      <c r="C3499" t="s">
        <v>40</v>
      </c>
      <c r="D3499">
        <v>4.3163980000000004</v>
      </c>
      <c r="E3499">
        <v>0.54407059999999996</v>
      </c>
      <c r="F3499" t="s">
        <v>41</v>
      </c>
      <c r="G3499">
        <v>-459.10129999999998</v>
      </c>
      <c r="H3499">
        <v>1.012572</v>
      </c>
      <c r="I3499">
        <v>213.13509999999999</v>
      </c>
      <c r="J3499">
        <v>-459.7278</v>
      </c>
      <c r="K3499">
        <v>1.1110310000000001</v>
      </c>
      <c r="L3499">
        <v>213.10659999999999</v>
      </c>
      <c r="M3499">
        <v>0.99957929999999995</v>
      </c>
      <c r="N3499">
        <v>-7.2844700000000004E-3</v>
      </c>
      <c r="O3499">
        <v>-2.8078619999999999E-2</v>
      </c>
      <c r="P3499">
        <v>0.9165835</v>
      </c>
      <c r="Q3499">
        <v>0.38828689999999999</v>
      </c>
      <c r="R3499">
        <v>9.5435809999999996E-2</v>
      </c>
      <c r="S3499">
        <v>3.43222</v>
      </c>
      <c r="T3499">
        <v>-0.39517089999999999</v>
      </c>
      <c r="U3499">
        <v>9.3002319999999999E-2</v>
      </c>
      <c r="V3499">
        <v>-0.1218394</v>
      </c>
      <c r="W3499">
        <v>0.39471460000000003</v>
      </c>
      <c r="X3499">
        <v>0.91068959999999999</v>
      </c>
      <c r="Y3499">
        <v>-5.4599160000000001E-2</v>
      </c>
      <c r="Z3499">
        <v>6.3495699999999997E-3</v>
      </c>
      <c r="AA3499">
        <v>0.99848820000000005</v>
      </c>
      <c r="AB3499">
        <v>24</v>
      </c>
      <c r="AC3499">
        <v>0.62650000000002104</v>
      </c>
      <c r="AD3499">
        <v>-9.8458999999999797E-2</v>
      </c>
      <c r="AE3499">
        <v>2.8500000000008099E-2</v>
      </c>
      <c r="AF3499">
        <v>-4.49720390956578E-2</v>
      </c>
      <c r="AG3499">
        <v>-9.8458999999999797E-2</v>
      </c>
      <c r="AH3499">
        <v>0.61040775130847602</v>
      </c>
      <c r="AI3499">
        <v>99.138559299631297</v>
      </c>
      <c r="AJ3499">
        <v>94.213676802297499</v>
      </c>
      <c r="AK3499">
        <v>0.61993086859656499</v>
      </c>
      <c r="AL3499">
        <v>66.751824443817995</v>
      </c>
      <c r="AM3499">
        <v>97.620240989123204</v>
      </c>
      <c r="AN3499">
        <v>1.00000000119684</v>
      </c>
    </row>
    <row r="3500" spans="1:40" x14ac:dyDescent="0.25">
      <c r="A3500" t="str">
        <f>"20190304164920587"</f>
        <v>20190304164920587</v>
      </c>
      <c r="B3500" t="str">
        <f>"1551689360579187"</f>
        <v>1551689360579187</v>
      </c>
      <c r="C3500" t="s">
        <v>40</v>
      </c>
      <c r="D3500">
        <v>4.3474719999999998</v>
      </c>
      <c r="E3500">
        <v>0.54425000000000001</v>
      </c>
      <c r="F3500" t="s">
        <v>41</v>
      </c>
      <c r="G3500">
        <v>-458.88690000000003</v>
      </c>
      <c r="H3500">
        <v>1.015706</v>
      </c>
      <c r="I3500">
        <v>213.1301</v>
      </c>
      <c r="J3500">
        <v>-459.47449999999998</v>
      </c>
      <c r="K3500">
        <v>1.1109629999999999</v>
      </c>
      <c r="L3500">
        <v>213.101</v>
      </c>
      <c r="M3500">
        <v>0.99961390000000006</v>
      </c>
      <c r="N3500">
        <v>-7.1598740000000001E-3</v>
      </c>
      <c r="O3500">
        <v>-2.6844920000000001E-2</v>
      </c>
      <c r="P3500">
        <v>0.91695979999999999</v>
      </c>
      <c r="Q3500">
        <v>0.38724930000000002</v>
      </c>
      <c r="R3500">
        <v>9.6034800000000003E-2</v>
      </c>
      <c r="S3500">
        <v>3.427673</v>
      </c>
      <c r="T3500">
        <v>-0.38873279999999999</v>
      </c>
      <c r="U3500">
        <v>9.6221920000000002E-2</v>
      </c>
      <c r="V3500">
        <v>-0.1212738</v>
      </c>
      <c r="W3500">
        <v>0.39358179999999998</v>
      </c>
      <c r="X3500">
        <v>0.91125520000000004</v>
      </c>
      <c r="Y3500">
        <v>-5.4364599999999999E-2</v>
      </c>
      <c r="Z3500">
        <v>6.1102040000000002E-3</v>
      </c>
      <c r="AA3500">
        <v>0.99850240000000001</v>
      </c>
      <c r="AB3500">
        <v>24</v>
      </c>
      <c r="AC3500">
        <v>0.58759999999995205</v>
      </c>
      <c r="AD3500">
        <v>-9.5256999999999897E-2</v>
      </c>
      <c r="AE3500">
        <v>2.9099999999999598E-2</v>
      </c>
      <c r="AF3500">
        <v>-4.3717884569237003E-2</v>
      </c>
      <c r="AG3500">
        <v>-9.5256999999999897E-2</v>
      </c>
      <c r="AH3500">
        <v>0.57162139175146898</v>
      </c>
      <c r="AI3500">
        <v>99.433978448028697</v>
      </c>
      <c r="AJ3500">
        <v>94.373495350679903</v>
      </c>
      <c r="AK3500">
        <v>0.58115072484519503</v>
      </c>
      <c r="AL3500">
        <v>66.822446217181906</v>
      </c>
      <c r="AM3500">
        <v>97.580626030715493</v>
      </c>
      <c r="AN3500">
        <v>1.00000000369236</v>
      </c>
    </row>
    <row r="3501" spans="1:40" x14ac:dyDescent="0.25">
      <c r="A3501" t="str">
        <f>"20190304164920610"</f>
        <v>20190304164920610</v>
      </c>
      <c r="B3501" t="str">
        <f>"1551689360599683"</f>
        <v>1551689360599683</v>
      </c>
      <c r="C3501" t="s">
        <v>40</v>
      </c>
      <c r="D3501">
        <v>4.3350479999999996</v>
      </c>
      <c r="E3501">
        <v>0.54450699999999996</v>
      </c>
      <c r="F3501" t="s">
        <v>41</v>
      </c>
      <c r="G3501">
        <v>-458.67079999999999</v>
      </c>
      <c r="H3501">
        <v>1.020246</v>
      </c>
      <c r="I3501">
        <v>213.124</v>
      </c>
      <c r="J3501">
        <v>-459.2405</v>
      </c>
      <c r="K3501">
        <v>1.110908</v>
      </c>
      <c r="L3501">
        <v>213.0959</v>
      </c>
      <c r="M3501">
        <v>0.99964280000000005</v>
      </c>
      <c r="N3501">
        <v>-7.0502230000000004E-3</v>
      </c>
      <c r="O3501">
        <v>-2.5779400000000001E-2</v>
      </c>
      <c r="P3501">
        <v>0.91707899999999998</v>
      </c>
      <c r="Q3501">
        <v>0.38696930000000002</v>
      </c>
      <c r="R3501">
        <v>9.602579E-2</v>
      </c>
      <c r="S3501">
        <v>3.4246219999999998</v>
      </c>
      <c r="T3501">
        <v>-0.38659789999999999</v>
      </c>
      <c r="U3501">
        <v>9.8587040000000001E-2</v>
      </c>
      <c r="V3501">
        <v>-0.120257</v>
      </c>
      <c r="W3501">
        <v>0.39321660000000003</v>
      </c>
      <c r="X3501">
        <v>0.91154749999999996</v>
      </c>
      <c r="Y3501">
        <v>-5.4027270000000002E-2</v>
      </c>
      <c r="Z3501">
        <v>5.9495879999999996E-3</v>
      </c>
      <c r="AA3501">
        <v>0.99852169999999896</v>
      </c>
      <c r="AB3501">
        <v>24</v>
      </c>
      <c r="AC3501">
        <v>0.56970000000001098</v>
      </c>
      <c r="AD3501">
        <v>-9.0662000000000006E-2</v>
      </c>
      <c r="AE3501">
        <v>2.8100000000023301E-2</v>
      </c>
      <c r="AF3501">
        <v>-4.1723446837162802E-2</v>
      </c>
      <c r="AG3501">
        <v>-9.0662000000000006E-2</v>
      </c>
      <c r="AH3501">
        <v>0.55477048965587294</v>
      </c>
      <c r="AI3501">
        <v>99.255690864281405</v>
      </c>
      <c r="AJ3501">
        <v>94.301031513489505</v>
      </c>
      <c r="AK3501">
        <v>0.563676095335779</v>
      </c>
      <c r="AL3501">
        <v>66.845204296055002</v>
      </c>
      <c r="AM3501">
        <v>97.515414407522101</v>
      </c>
      <c r="AN3501">
        <v>0.99999994266040304</v>
      </c>
    </row>
    <row r="3502" spans="1:40" x14ac:dyDescent="0.25">
      <c r="A3502" t="str">
        <f>"20190304164920632"</f>
        <v>20190304164920632</v>
      </c>
      <c r="B3502" t="str">
        <f>"1551689360619203"</f>
        <v>1551689360619203</v>
      </c>
      <c r="C3502" t="s">
        <v>40</v>
      </c>
      <c r="D3502">
        <v>4.3304220000000004</v>
      </c>
      <c r="E3502">
        <v>0.54478530000000003</v>
      </c>
      <c r="F3502" t="s">
        <v>41</v>
      </c>
      <c r="G3502">
        <v>-458.4495</v>
      </c>
      <c r="H3502">
        <v>1.0225799999999901</v>
      </c>
      <c r="I3502">
        <v>213.11799999999999</v>
      </c>
      <c r="J3502">
        <v>-458.99430000000001</v>
      </c>
      <c r="K3502">
        <v>1.110862</v>
      </c>
      <c r="L3502">
        <v>213.0908</v>
      </c>
      <c r="M3502">
        <v>0.99967059999999996</v>
      </c>
      <c r="N3502">
        <v>-6.9422199999999998E-3</v>
      </c>
      <c r="O3502">
        <v>-2.471479E-2</v>
      </c>
      <c r="P3502">
        <v>0.917269</v>
      </c>
      <c r="Q3502">
        <v>0.38656810000000003</v>
      </c>
      <c r="R3502">
        <v>9.5826770000000006E-2</v>
      </c>
      <c r="S3502">
        <v>3.4223940000000002</v>
      </c>
      <c r="T3502">
        <v>-0.38260650000000002</v>
      </c>
      <c r="U3502">
        <v>9.8495479999999996E-2</v>
      </c>
      <c r="V3502">
        <v>-0.119058</v>
      </c>
      <c r="W3502">
        <v>0.39273039999999998</v>
      </c>
      <c r="X3502">
        <v>0.91191449999999996</v>
      </c>
      <c r="Y3502">
        <v>-5.2978400000000002E-2</v>
      </c>
      <c r="Z3502">
        <v>5.7189370000000003E-3</v>
      </c>
      <c r="AA3502">
        <v>0.99857929999999995</v>
      </c>
      <c r="AB3502">
        <v>24</v>
      </c>
      <c r="AC3502">
        <v>0.54480000000000905</v>
      </c>
      <c r="AD3502">
        <v>-8.8282000000000194E-2</v>
      </c>
      <c r="AE3502">
        <v>2.71999999999934E-2</v>
      </c>
      <c r="AF3502">
        <v>-3.9618884802875502E-2</v>
      </c>
      <c r="AG3502">
        <v>-8.8282000000000194E-2</v>
      </c>
      <c r="AH3502">
        <v>0.53007689868221597</v>
      </c>
      <c r="AI3502">
        <v>99.429747716001202</v>
      </c>
      <c r="AJ3502">
        <v>94.274440225377603</v>
      </c>
      <c r="AK3502">
        <v>0.53883660424434798</v>
      </c>
      <c r="AL3502">
        <v>66.875500464206993</v>
      </c>
      <c r="AM3502">
        <v>97.438366073103595</v>
      </c>
      <c r="AN3502">
        <v>1.0000000148792001</v>
      </c>
    </row>
    <row r="3503" spans="1:40" x14ac:dyDescent="0.25">
      <c r="A3503" t="str">
        <f>"20190304164920655"</f>
        <v>20190304164920655</v>
      </c>
      <c r="B3503" t="str">
        <f>"1551689360639699"</f>
        <v>1551689360639699</v>
      </c>
      <c r="C3503" t="s">
        <v>40</v>
      </c>
      <c r="D3503">
        <v>4.7781719999999996</v>
      </c>
      <c r="E3503">
        <v>0.54502309999999998</v>
      </c>
      <c r="F3503" t="s">
        <v>46</v>
      </c>
      <c r="G3503">
        <v>-449.01850000000002</v>
      </c>
      <c r="H3503" s="1">
        <v>3.3165770000000001E-6</v>
      </c>
      <c r="I3503">
        <v>213.37649999999999</v>
      </c>
      <c r="J3503">
        <v>-458.75110000000001</v>
      </c>
      <c r="K3503">
        <v>1.110822</v>
      </c>
      <c r="L3503">
        <v>213.08590000000001</v>
      </c>
      <c r="M3503">
        <v>0.99969569999999996</v>
      </c>
      <c r="N3503">
        <v>-6.8452180000000001E-3</v>
      </c>
      <c r="O3503">
        <v>-2.369974E-2</v>
      </c>
      <c r="P3503">
        <v>0.91725080000000003</v>
      </c>
      <c r="Q3503">
        <v>0.3869552</v>
      </c>
      <c r="R3503">
        <v>9.4427659999999997E-2</v>
      </c>
      <c r="S3503">
        <v>3.420868</v>
      </c>
      <c r="T3503">
        <v>-0.38092910000000002</v>
      </c>
      <c r="U3503">
        <v>9.7976679999999997E-2</v>
      </c>
      <c r="V3503">
        <v>-0.1167102</v>
      </c>
      <c r="W3503">
        <v>0.39303900000000003</v>
      </c>
      <c r="X3503">
        <v>0.91208500000000003</v>
      </c>
      <c r="Y3503">
        <v>-5.1842720000000002E-2</v>
      </c>
      <c r="Z3503">
        <v>5.5237580000000001E-3</v>
      </c>
      <c r="AA3503">
        <v>0.99863999999999997</v>
      </c>
      <c r="AB3503">
        <v>24</v>
      </c>
      <c r="AC3503">
        <v>9.7325999999999908</v>
      </c>
      <c r="AD3503">
        <v>-1.1108186834230001</v>
      </c>
      <c r="AE3503">
        <v>0.29059999999998298</v>
      </c>
      <c r="AF3503">
        <v>-0.51448784405693504</v>
      </c>
      <c r="AG3503">
        <v>-1.1108186834230001</v>
      </c>
      <c r="AH3503">
        <v>9.5980608707374202</v>
      </c>
      <c r="AI3503">
        <v>96.592299117728302</v>
      </c>
      <c r="AJ3503">
        <v>93.0683070122288</v>
      </c>
      <c r="AK3503">
        <v>9.6758146100214599</v>
      </c>
      <c r="AL3503">
        <v>66.856272162482099</v>
      </c>
      <c r="AM3503">
        <v>97.291929258922394</v>
      </c>
      <c r="AN3503">
        <v>0.99999998676502</v>
      </c>
    </row>
    <row r="3504" spans="1:40" x14ac:dyDescent="0.25">
      <c r="A3504" t="str">
        <f>"20190304164920677"</f>
        <v>20190304164920677</v>
      </c>
      <c r="B3504" t="str">
        <f>"1551689360669578"</f>
        <v>1551689360669578</v>
      </c>
      <c r="C3504" t="s">
        <v>40</v>
      </c>
      <c r="D3504">
        <v>4.4314099999999996</v>
      </c>
      <c r="E3504">
        <v>0.54067430000000005</v>
      </c>
      <c r="F3504" t="s">
        <v>46</v>
      </c>
      <c r="G3504">
        <v>-448.67700000000002</v>
      </c>
      <c r="H3504" s="1">
        <v>3.1354000000000001E-6</v>
      </c>
      <c r="I3504">
        <v>213.36490000000001</v>
      </c>
      <c r="J3504">
        <v>-458.52120000000002</v>
      </c>
      <c r="K3504">
        <v>1.1108039999999999</v>
      </c>
      <c r="L3504">
        <v>213.08150000000001</v>
      </c>
      <c r="M3504">
        <v>0.99971810000000005</v>
      </c>
      <c r="N3504">
        <v>-6.7649290000000003E-3</v>
      </c>
      <c r="O3504">
        <v>-2.2761650000000001E-2</v>
      </c>
      <c r="P3504">
        <v>0.91726779999999997</v>
      </c>
      <c r="Q3504">
        <v>0.38740439999999998</v>
      </c>
      <c r="R3504">
        <v>9.2400659999999996E-2</v>
      </c>
      <c r="S3504">
        <v>3.4199830000000002</v>
      </c>
      <c r="T3504">
        <v>-0.37710640000000001</v>
      </c>
      <c r="U3504">
        <v>9.4726560000000001E-2</v>
      </c>
      <c r="V3504">
        <v>-0.1138193</v>
      </c>
      <c r="W3504">
        <v>0.39342270000000001</v>
      </c>
      <c r="X3504">
        <v>0.91228489999999995</v>
      </c>
      <c r="Y3504">
        <v>-4.9990670000000001E-2</v>
      </c>
      <c r="Z3504">
        <v>5.2652319999999999E-3</v>
      </c>
      <c r="AA3504">
        <v>0.99873579999999995</v>
      </c>
      <c r="AB3504">
        <v>24</v>
      </c>
      <c r="AC3504">
        <v>9.8442000000000505</v>
      </c>
      <c r="AD3504">
        <v>-1.1108008645999901</v>
      </c>
      <c r="AE3504">
        <v>0.28339999999999999</v>
      </c>
      <c r="AF3504">
        <v>-0.50102789658231195</v>
      </c>
      <c r="AG3504">
        <v>-1.1108008645999901</v>
      </c>
      <c r="AH3504">
        <v>9.7116480917464294</v>
      </c>
      <c r="AI3504">
        <v>96.516441100029098</v>
      </c>
      <c r="AJ3504">
        <v>92.9532944193883</v>
      </c>
      <c r="AK3504">
        <v>9.7877993528612901</v>
      </c>
      <c r="AL3504">
        <v>66.832361759894496</v>
      </c>
      <c r="AM3504">
        <v>97.111639523884406</v>
      </c>
      <c r="AN3504">
        <v>0.99999999634789405</v>
      </c>
    </row>
    <row r="3505" spans="1:40" x14ac:dyDescent="0.25">
      <c r="A3505" t="str">
        <f>"20190304164920698"</f>
        <v>20190304164920698</v>
      </c>
      <c r="B3505" t="str">
        <f>"1551689360690074"</f>
        <v>1551689360690074</v>
      </c>
      <c r="C3505" t="s">
        <v>40</v>
      </c>
      <c r="D3505">
        <v>4.4492029999999998</v>
      </c>
      <c r="E3505">
        <v>0.53663039999999995</v>
      </c>
      <c r="F3505" t="s">
        <v>41</v>
      </c>
      <c r="G3505">
        <v>-457.66199999999998</v>
      </c>
      <c r="H3505">
        <v>0.86729339999999999</v>
      </c>
      <c r="I3505">
        <v>213.1276</v>
      </c>
      <c r="J3505">
        <v>-458.27319999999997</v>
      </c>
      <c r="K3505">
        <v>1.1108049999999901</v>
      </c>
      <c r="L3505">
        <v>213.077</v>
      </c>
      <c r="M3505">
        <v>0.99974110000000005</v>
      </c>
      <c r="N3505">
        <v>-6.6890519999999896E-3</v>
      </c>
      <c r="O3505">
        <v>-2.1758070000000001E-2</v>
      </c>
      <c r="P3505">
        <v>0.91765850000000004</v>
      </c>
      <c r="Q3505">
        <v>0.38698569999999999</v>
      </c>
      <c r="R3505">
        <v>9.0252440000000003E-2</v>
      </c>
      <c r="S3505">
        <v>3.6924739999999998</v>
      </c>
      <c r="T3505">
        <v>-1.046594</v>
      </c>
      <c r="U3505">
        <v>0.2004089</v>
      </c>
      <c r="V3505">
        <v>-0.1107631</v>
      </c>
      <c r="W3505">
        <v>0.3929417</v>
      </c>
      <c r="X3505">
        <v>0.91286820000000002</v>
      </c>
      <c r="Y3505">
        <v>-7.2187940000000006E-2</v>
      </c>
      <c r="Z3505">
        <v>1.617387E-2</v>
      </c>
      <c r="AA3505">
        <v>0.99725989999999998</v>
      </c>
      <c r="AB3505">
        <v>24</v>
      </c>
      <c r="AC3505">
        <v>0.61119999999999597</v>
      </c>
      <c r="AD3505">
        <v>-0.243511599999999</v>
      </c>
      <c r="AE3505">
        <v>5.0600000000002802E-2</v>
      </c>
      <c r="AF3505">
        <v>-5.5186458073767299E-2</v>
      </c>
      <c r="AG3505">
        <v>-0.243511599999999</v>
      </c>
      <c r="AH3505">
        <v>0.52688807790568204</v>
      </c>
      <c r="AI3505">
        <v>114.686115374138</v>
      </c>
      <c r="AJ3505">
        <v>95.979379694394396</v>
      </c>
      <c r="AK3505">
        <v>0.58305616464319499</v>
      </c>
      <c r="AL3505">
        <v>66.862335084879703</v>
      </c>
      <c r="AM3505">
        <v>96.918180166594496</v>
      </c>
      <c r="AN3505">
        <v>0.99999999724586996</v>
      </c>
    </row>
    <row r="3506" spans="1:40" x14ac:dyDescent="0.25">
      <c r="A3506" t="str">
        <f>"20190304164920721"</f>
        <v>20190304164920721</v>
      </c>
      <c r="B3506" t="str">
        <f>"1551689360709594"</f>
        <v>1551689360709594</v>
      </c>
      <c r="C3506" t="s">
        <v>40</v>
      </c>
      <c r="D3506">
        <v>4.463444</v>
      </c>
      <c r="E3506">
        <v>0.53481029999999996</v>
      </c>
      <c r="F3506" t="s">
        <v>41</v>
      </c>
      <c r="G3506">
        <v>-457.44720000000001</v>
      </c>
      <c r="H3506">
        <v>0.857657</v>
      </c>
      <c r="I3506">
        <v>213.12960000000001</v>
      </c>
      <c r="J3506">
        <v>-458.0394</v>
      </c>
      <c r="K3506">
        <v>1.1108039999999999</v>
      </c>
      <c r="L3506">
        <v>213.0729</v>
      </c>
      <c r="M3506">
        <v>0.99976149999999997</v>
      </c>
      <c r="N3506">
        <v>-6.6262169999999898E-3</v>
      </c>
      <c r="O3506">
        <v>-2.081324E-2</v>
      </c>
      <c r="P3506">
        <v>0.91792320000000005</v>
      </c>
      <c r="Q3506">
        <v>0.38686039999999999</v>
      </c>
      <c r="R3506">
        <v>8.8068430000000003E-2</v>
      </c>
      <c r="S3506">
        <v>3.7274780000000001</v>
      </c>
      <c r="T3506">
        <v>-1.142498</v>
      </c>
      <c r="U3506">
        <v>0.2388458</v>
      </c>
      <c r="V3506">
        <v>-0.1077287</v>
      </c>
      <c r="W3506">
        <v>0.3927641</v>
      </c>
      <c r="X3506">
        <v>0.91330769999999994</v>
      </c>
      <c r="Y3506">
        <v>-8.0046510000000001E-2</v>
      </c>
      <c r="Z3506">
        <v>1.834831E-2</v>
      </c>
      <c r="AA3506">
        <v>0.99662229999999996</v>
      </c>
      <c r="AB3506">
        <v>24</v>
      </c>
      <c r="AC3506">
        <v>0.59219999999999096</v>
      </c>
      <c r="AD3506">
        <v>-0.25314700000000001</v>
      </c>
      <c r="AE3506">
        <v>5.6700000000006398E-2</v>
      </c>
      <c r="AF3506">
        <v>-5.8433121627998803E-2</v>
      </c>
      <c r="AG3506">
        <v>-0.25314700000000001</v>
      </c>
      <c r="AH3506">
        <v>0.500302050172442</v>
      </c>
      <c r="AI3506">
        <v>116.682825847052</v>
      </c>
      <c r="AJ3506">
        <v>96.661717988346496</v>
      </c>
      <c r="AK3506">
        <v>0.56373750515549403</v>
      </c>
      <c r="AL3506">
        <v>66.873401330665502</v>
      </c>
      <c r="AM3506">
        <v>96.727207504859805</v>
      </c>
      <c r="AN3506">
        <v>1.00000003296589</v>
      </c>
    </row>
    <row r="3507" spans="1:40" x14ac:dyDescent="0.25">
      <c r="A3507" t="str">
        <f>"20190304164920742"</f>
        <v>20190304164920742</v>
      </c>
      <c r="B3507" t="str">
        <f>"1551689360739851"</f>
        <v>1551689360739851</v>
      </c>
      <c r="C3507" t="s">
        <v>40</v>
      </c>
      <c r="D3507">
        <v>4.4546349999999997</v>
      </c>
      <c r="E3507">
        <v>0.53360509999999906</v>
      </c>
      <c r="F3507" t="s">
        <v>41</v>
      </c>
      <c r="G3507">
        <v>-457.2296</v>
      </c>
      <c r="H3507">
        <v>0.85385069999999996</v>
      </c>
      <c r="I3507">
        <v>213.1268</v>
      </c>
      <c r="J3507">
        <v>-457.79919999999998</v>
      </c>
      <c r="K3507">
        <v>1.1108119999999999</v>
      </c>
      <c r="L3507">
        <v>213.06890000000001</v>
      </c>
      <c r="M3507">
        <v>0.9997817</v>
      </c>
      <c r="N3507">
        <v>-6.5700269999999896E-3</v>
      </c>
      <c r="O3507">
        <v>-1.983826E-2</v>
      </c>
      <c r="P3507">
        <v>0.91820409999999997</v>
      </c>
      <c r="Q3507">
        <v>0.38648709999999997</v>
      </c>
      <c r="R3507">
        <v>8.6771070000000006E-2</v>
      </c>
      <c r="S3507">
        <v>3.7448730000000001</v>
      </c>
      <c r="T3507">
        <v>-1.188528</v>
      </c>
      <c r="U3507">
        <v>0.25253300000000001</v>
      </c>
      <c r="V3507">
        <v>-0.1055555</v>
      </c>
      <c r="W3507">
        <v>0.39234180000000002</v>
      </c>
      <c r="X3507">
        <v>0.91374279999999997</v>
      </c>
      <c r="Y3507">
        <v>-8.2027600000000006E-2</v>
      </c>
      <c r="Z3507">
        <v>1.8979650000000001E-2</v>
      </c>
      <c r="AA3507">
        <v>0.99644929999999998</v>
      </c>
      <c r="AB3507">
        <v>24</v>
      </c>
      <c r="AC3507">
        <v>0.56959999999997901</v>
      </c>
      <c r="AD3507">
        <v>-0.2569613</v>
      </c>
      <c r="AE3507">
        <v>5.7899999999989397E-2</v>
      </c>
      <c r="AF3507">
        <v>-5.7588487787666703E-2</v>
      </c>
      <c r="AG3507">
        <v>-0.2569613</v>
      </c>
      <c r="AH3507">
        <v>0.47305105492294702</v>
      </c>
      <c r="AI3507">
        <v>118.334387261827</v>
      </c>
      <c r="AJ3507">
        <v>96.940943292261395</v>
      </c>
      <c r="AK3507">
        <v>0.54140820476519702</v>
      </c>
      <c r="AL3507">
        <v>66.899707734705203</v>
      </c>
      <c r="AM3507">
        <v>96.589595364245795</v>
      </c>
      <c r="AN3507">
        <v>0.99999997807966401</v>
      </c>
    </row>
    <row r="3508" spans="1:40" x14ac:dyDescent="0.25">
      <c r="A3508" t="str">
        <f>"20190304164920765"</f>
        <v>20190304164920765</v>
      </c>
      <c r="B3508" t="str">
        <f>"1551689360759371"</f>
        <v>1551689360759371</v>
      </c>
      <c r="C3508" t="s">
        <v>40</v>
      </c>
      <c r="D3508">
        <v>4.453627</v>
      </c>
      <c r="E3508">
        <v>0.53323759999999998</v>
      </c>
      <c r="F3508" t="s">
        <v>41</v>
      </c>
      <c r="G3508">
        <v>-457.0093</v>
      </c>
      <c r="H3508">
        <v>0.8545661</v>
      </c>
      <c r="I3508">
        <v>213.12309999999999</v>
      </c>
      <c r="J3508">
        <v>-457.5487</v>
      </c>
      <c r="K3508">
        <v>1.1108209999999901</v>
      </c>
      <c r="L3508">
        <v>213.0651</v>
      </c>
      <c r="M3508">
        <v>0.99980190000000002</v>
      </c>
      <c r="N3508">
        <v>-6.5199699999999999E-3</v>
      </c>
      <c r="O3508">
        <v>-1.8813340000000001E-2</v>
      </c>
      <c r="P3508">
        <v>0.91813670000000003</v>
      </c>
      <c r="Q3508">
        <v>0.38679730000000001</v>
      </c>
      <c r="R3508">
        <v>8.6099460000000003E-2</v>
      </c>
      <c r="S3508">
        <v>3.7557369999999999</v>
      </c>
      <c r="T3508">
        <v>-1.218596</v>
      </c>
      <c r="U3508">
        <v>0.25842290000000001</v>
      </c>
      <c r="V3508">
        <v>-0.10395749999999999</v>
      </c>
      <c r="W3508">
        <v>0.39260539999999999</v>
      </c>
      <c r="X3508">
        <v>0.91381279999999998</v>
      </c>
      <c r="Y3508">
        <v>-8.2190219999999994E-2</v>
      </c>
      <c r="Z3508">
        <v>1.908721E-2</v>
      </c>
      <c r="AA3508">
        <v>0.99643389999999998</v>
      </c>
      <c r="AB3508">
        <v>25</v>
      </c>
      <c r="AC3508">
        <v>0.53939999999999999</v>
      </c>
      <c r="AD3508">
        <v>-0.25625489999999901</v>
      </c>
      <c r="AE3508">
        <v>5.7999999999992703E-2</v>
      </c>
      <c r="AF3508">
        <v>-5.5708441368675199E-2</v>
      </c>
      <c r="AG3508">
        <v>-0.25625489999999901</v>
      </c>
      <c r="AH3508">
        <v>0.440034718632416</v>
      </c>
      <c r="AI3508">
        <v>120.016747364856</v>
      </c>
      <c r="AJ3508">
        <v>97.215267286249897</v>
      </c>
      <c r="AK3508">
        <v>0.51225048347038804</v>
      </c>
      <c r="AL3508">
        <v>66.883287501892596</v>
      </c>
      <c r="AM3508">
        <v>96.490200574149</v>
      </c>
      <c r="AN3508">
        <v>0.999999997679625</v>
      </c>
    </row>
    <row r="3509" spans="1:40" x14ac:dyDescent="0.25">
      <c r="A3509" t="str">
        <f>"20190304164920789"</f>
        <v>20190304164920789</v>
      </c>
      <c r="B3509" t="str">
        <f>"1551689360778891"</f>
        <v>1551689360778891</v>
      </c>
      <c r="C3509" t="s">
        <v>40</v>
      </c>
      <c r="D3509">
        <v>4.5563630000000002</v>
      </c>
      <c r="E3509">
        <v>0.53277249999999998</v>
      </c>
      <c r="F3509" t="s">
        <v>41</v>
      </c>
      <c r="G3509">
        <v>-456.78559999999999</v>
      </c>
      <c r="H3509">
        <v>0.86195100000000002</v>
      </c>
      <c r="I3509">
        <v>213.11750000000001</v>
      </c>
      <c r="J3509">
        <v>-457.28739999999999</v>
      </c>
      <c r="K3509">
        <v>1.110825</v>
      </c>
      <c r="L3509">
        <v>213.06129999999999</v>
      </c>
      <c r="M3509">
        <v>0.99982179999999998</v>
      </c>
      <c r="N3509">
        <v>-6.4757490000000003E-3</v>
      </c>
      <c r="O3509">
        <v>-1.7734199999999999E-2</v>
      </c>
      <c r="P3509">
        <v>0.91833759999999998</v>
      </c>
      <c r="Q3509">
        <v>0.38650089999999998</v>
      </c>
      <c r="R3509">
        <v>8.5283739999999997E-2</v>
      </c>
      <c r="S3509">
        <v>3.759735</v>
      </c>
      <c r="T3509">
        <v>-1.2263139999999999</v>
      </c>
      <c r="U3509">
        <v>0.259903</v>
      </c>
      <c r="V3509">
        <v>-0.1021683</v>
      </c>
      <c r="W3509">
        <v>0.39227030000000002</v>
      </c>
      <c r="X3509">
        <v>0.91415840000000004</v>
      </c>
      <c r="Y3509">
        <v>-8.1471349999999998E-2</v>
      </c>
      <c r="Z3509">
        <v>1.872832E-2</v>
      </c>
      <c r="AA3509">
        <v>0.99649969999999999</v>
      </c>
      <c r="AB3509">
        <v>25</v>
      </c>
      <c r="AC3509">
        <v>0.50180000000000202</v>
      </c>
      <c r="AD3509">
        <v>-0.24887399999999901</v>
      </c>
      <c r="AE3509">
        <v>5.6200000000018201E-2</v>
      </c>
      <c r="AF3509">
        <v>-5.2368421060522898E-2</v>
      </c>
      <c r="AG3509">
        <v>-0.24887399999999901</v>
      </c>
      <c r="AH3509">
        <v>0.40285754182094502</v>
      </c>
      <c r="AI3509">
        <v>121.492360556287</v>
      </c>
      <c r="AJ3509">
        <v>97.406484244352299</v>
      </c>
      <c r="AK3509">
        <v>0.47641884765654102</v>
      </c>
      <c r="AL3509">
        <v>66.904161094678997</v>
      </c>
      <c r="AM3509">
        <v>96.377035479852907</v>
      </c>
      <c r="AN3509">
        <v>0.99999996503876898</v>
      </c>
    </row>
    <row r="3510" spans="1:40" x14ac:dyDescent="0.25">
      <c r="A3510" t="str">
        <f>"20190304164920812"</f>
        <v>20190304164920812</v>
      </c>
      <c r="B3510" t="str">
        <f>"1551689360799386"</f>
        <v>1551689360799386</v>
      </c>
      <c r="C3510" t="s">
        <v>40</v>
      </c>
      <c r="D3510">
        <v>4.7280519999999999</v>
      </c>
      <c r="E3510">
        <v>0.53148359999999994</v>
      </c>
      <c r="F3510" t="s">
        <v>41</v>
      </c>
      <c r="G3510">
        <v>-456.56</v>
      </c>
      <c r="H3510">
        <v>0.87158080000000004</v>
      </c>
      <c r="I3510">
        <v>213.11189999999999</v>
      </c>
      <c r="J3510">
        <v>-457.03100000000001</v>
      </c>
      <c r="K3510">
        <v>1.1108279999999999</v>
      </c>
      <c r="L3510">
        <v>213.05789999999999</v>
      </c>
      <c r="M3510">
        <v>0.99984039999999996</v>
      </c>
      <c r="N3510">
        <v>-6.4394040000000001E-3</v>
      </c>
      <c r="O3510">
        <v>-1.6670109999999998E-2</v>
      </c>
      <c r="P3510">
        <v>0.91850270000000001</v>
      </c>
      <c r="Q3510">
        <v>0.38611499999999999</v>
      </c>
      <c r="R3510">
        <v>8.5253720000000005E-2</v>
      </c>
      <c r="S3510">
        <v>3.763458</v>
      </c>
      <c r="T3510">
        <v>-1.238067</v>
      </c>
      <c r="U3510">
        <v>0.26303100000000001</v>
      </c>
      <c r="V3510">
        <v>-0.10117569999999999</v>
      </c>
      <c r="W3510">
        <v>0.39185179999999997</v>
      </c>
      <c r="X3510">
        <v>0.91444829999999999</v>
      </c>
      <c r="Y3510">
        <v>-8.1152399999999902E-2</v>
      </c>
      <c r="Z3510">
        <v>1.8492459999999999E-2</v>
      </c>
      <c r="AA3510">
        <v>0.99653009999999997</v>
      </c>
      <c r="AB3510">
        <v>25</v>
      </c>
      <c r="AC3510">
        <v>0.47100000000000303</v>
      </c>
      <c r="AD3510">
        <v>-0.23924719999999999</v>
      </c>
      <c r="AE3510">
        <v>5.4000000000001998E-2</v>
      </c>
      <c r="AF3510">
        <v>-4.9291209276457797E-2</v>
      </c>
      <c r="AG3510">
        <v>-0.23924719999999999</v>
      </c>
      <c r="AH3510">
        <v>0.37462739095949599</v>
      </c>
      <c r="AI3510">
        <v>122.34076292815899</v>
      </c>
      <c r="AJ3510">
        <v>97.495576735968498</v>
      </c>
      <c r="AK3510">
        <v>0.44722983808875499</v>
      </c>
      <c r="AL3510">
        <v>66.930227619192607</v>
      </c>
      <c r="AM3510">
        <v>96.313597439341194</v>
      </c>
      <c r="AN3510">
        <v>1.0000000244033</v>
      </c>
    </row>
    <row r="3511" spans="1:40" x14ac:dyDescent="0.25">
      <c r="A3511" t="str">
        <f>"20190304164920836"</f>
        <v>20190304164920836</v>
      </c>
      <c r="B3511" t="str">
        <f>"1551689360829643"</f>
        <v>1551689360829643</v>
      </c>
      <c r="C3511" t="s">
        <v>40</v>
      </c>
      <c r="D3511">
        <v>4.5308000000000002</v>
      </c>
      <c r="E3511">
        <v>0.52985380000000004</v>
      </c>
      <c r="F3511" t="s">
        <v>41</v>
      </c>
      <c r="G3511">
        <v>-456.33449999999999</v>
      </c>
      <c r="H3511">
        <v>0.87869050000000004</v>
      </c>
      <c r="I3511">
        <v>213.1086</v>
      </c>
      <c r="J3511">
        <v>-456.7629</v>
      </c>
      <c r="K3511">
        <v>1.1108290000000001</v>
      </c>
      <c r="L3511">
        <v>213.0547</v>
      </c>
      <c r="M3511">
        <v>0.99985840000000004</v>
      </c>
      <c r="N3511">
        <v>-6.4078709999999999E-3</v>
      </c>
      <c r="O3511">
        <v>-1.555981E-2</v>
      </c>
      <c r="P3511">
        <v>0.91872730000000002</v>
      </c>
      <c r="Q3511">
        <v>0.38542690000000002</v>
      </c>
      <c r="R3511">
        <v>8.5943820000000004E-2</v>
      </c>
      <c r="S3511">
        <v>3.7686459999999999</v>
      </c>
      <c r="T3511">
        <v>-1.2561659999999999</v>
      </c>
      <c r="U3511">
        <v>0.27592470000000002</v>
      </c>
      <c r="V3511">
        <v>-0.1008559</v>
      </c>
      <c r="W3511">
        <v>0.39113569999999998</v>
      </c>
      <c r="X3511">
        <v>0.91479010000000005</v>
      </c>
      <c r="Y3511">
        <v>-8.3157759999999997E-2</v>
      </c>
      <c r="Z3511">
        <v>1.8698530000000001E-2</v>
      </c>
      <c r="AA3511">
        <v>0.99636100000000005</v>
      </c>
      <c r="AB3511">
        <v>25</v>
      </c>
      <c r="AC3511">
        <v>0.42840000000001</v>
      </c>
      <c r="AD3511">
        <v>-0.2321385</v>
      </c>
      <c r="AE3511">
        <v>5.3899999999998699E-2</v>
      </c>
      <c r="AF3511">
        <v>-4.6979860097044399E-2</v>
      </c>
      <c r="AG3511">
        <v>-0.2321385</v>
      </c>
      <c r="AH3511">
        <v>0.33164665758712297</v>
      </c>
      <c r="AI3511">
        <v>124.723445727401</v>
      </c>
      <c r="AJ3511">
        <v>98.062667555744397</v>
      </c>
      <c r="AK3511">
        <v>0.40753514685938202</v>
      </c>
      <c r="AL3511">
        <v>66.974815256338601</v>
      </c>
      <c r="AM3511">
        <v>96.291468838646594</v>
      </c>
      <c r="AN3511">
        <v>0.99999998771865495</v>
      </c>
    </row>
    <row r="3512" spans="1:40" x14ac:dyDescent="0.25">
      <c r="A3512" t="str">
        <f>"20190304164920856"</f>
        <v>20190304164920856</v>
      </c>
      <c r="B3512" t="str">
        <f>"1551689360849163"</f>
        <v>1551689360849163</v>
      </c>
      <c r="C3512" t="s">
        <v>40</v>
      </c>
      <c r="D3512">
        <v>4.5039339999999903</v>
      </c>
      <c r="E3512">
        <v>0.52911509999999995</v>
      </c>
      <c r="F3512" t="s">
        <v>41</v>
      </c>
      <c r="G3512">
        <v>-455.90890000000002</v>
      </c>
      <c r="H3512">
        <v>0.82169799999999904</v>
      </c>
      <c r="I3512">
        <v>213.12039999999999</v>
      </c>
      <c r="J3512">
        <v>-456.5351</v>
      </c>
      <c r="K3512">
        <v>1.1108209999999901</v>
      </c>
      <c r="L3512">
        <v>213.0521</v>
      </c>
      <c r="M3512">
        <v>0.99987269999999995</v>
      </c>
      <c r="N3512">
        <v>-6.3858630000000003E-3</v>
      </c>
      <c r="O3512">
        <v>-1.462946E-2</v>
      </c>
      <c r="P3512">
        <v>0.91876000000000002</v>
      </c>
      <c r="Q3512">
        <v>0.38519059999999999</v>
      </c>
      <c r="R3512">
        <v>8.6651430000000002E-2</v>
      </c>
      <c r="S3512">
        <v>3.7742309999999999</v>
      </c>
      <c r="T3512">
        <v>-1.2779370000000001</v>
      </c>
      <c r="U3512">
        <v>0.29183959999999998</v>
      </c>
      <c r="V3512">
        <v>-0.1007094</v>
      </c>
      <c r="W3512">
        <v>0.39088030000000001</v>
      </c>
      <c r="X3512">
        <v>0.91491540000000005</v>
      </c>
      <c r="Y3512">
        <v>-8.6024589999999998E-2</v>
      </c>
      <c r="Z3512">
        <v>1.9154060000000001E-2</v>
      </c>
      <c r="AA3512">
        <v>0.99610889999999996</v>
      </c>
      <c r="AB3512">
        <v>25</v>
      </c>
      <c r="AC3512">
        <v>0.62619999999998299</v>
      </c>
      <c r="AD3512">
        <v>-0.28912299999999902</v>
      </c>
      <c r="AE3512">
        <v>6.8299999999993505E-2</v>
      </c>
      <c r="AF3512">
        <v>-6.3976006100718005E-2</v>
      </c>
      <c r="AG3512">
        <v>-0.28912299999999902</v>
      </c>
      <c r="AH3512">
        <v>0.51635348003266901</v>
      </c>
      <c r="AI3512">
        <v>119.060200271464</v>
      </c>
      <c r="AJ3512">
        <v>97.062931461746601</v>
      </c>
      <c r="AK3512">
        <v>0.59523604967058796</v>
      </c>
      <c r="AL3512">
        <v>66.990714442173896</v>
      </c>
      <c r="AM3512">
        <v>96.281549668575096</v>
      </c>
      <c r="AN3512">
        <v>0.99999999066680501</v>
      </c>
    </row>
    <row r="3513" spans="1:40" x14ac:dyDescent="0.25">
      <c r="A3513" t="str">
        <f>"20190304164920877"</f>
        <v>20190304164920877</v>
      </c>
      <c r="B3513" t="str">
        <f>"1551689360869144"</f>
        <v>1551689360869144</v>
      </c>
      <c r="C3513" t="s">
        <v>40</v>
      </c>
      <c r="D3513">
        <v>4.5306199999999999</v>
      </c>
      <c r="E3513">
        <v>0.52860339999999995</v>
      </c>
      <c r="F3513" t="s">
        <v>41</v>
      </c>
      <c r="G3513">
        <v>-455.68380000000002</v>
      </c>
      <c r="H3513">
        <v>0.82050540000000005</v>
      </c>
      <c r="I3513">
        <v>213.11940000000001</v>
      </c>
      <c r="J3513">
        <v>-456.2921</v>
      </c>
      <c r="K3513">
        <v>1.110811</v>
      </c>
      <c r="L3513">
        <v>213.0496</v>
      </c>
      <c r="M3513">
        <v>0.99988659999999996</v>
      </c>
      <c r="N3513">
        <v>-6.3663640000000002E-3</v>
      </c>
      <c r="O3513">
        <v>-1.3653719999999999E-2</v>
      </c>
      <c r="P3513">
        <v>0.91887289999999999</v>
      </c>
      <c r="Q3513">
        <v>0.3847892</v>
      </c>
      <c r="R3513">
        <v>8.7235690000000005E-2</v>
      </c>
      <c r="S3513">
        <v>3.7770079999999999</v>
      </c>
      <c r="T3513">
        <v>-1.2881880000000001</v>
      </c>
      <c r="U3513">
        <v>0.30056759999999999</v>
      </c>
      <c r="V3513">
        <v>-0.1003954</v>
      </c>
      <c r="W3513">
        <v>0.39046380000000003</v>
      </c>
      <c r="X3513">
        <v>0.91512780000000005</v>
      </c>
      <c r="Y3513">
        <v>-8.719172E-2</v>
      </c>
      <c r="Z3513">
        <v>1.9162740000000001E-2</v>
      </c>
      <c r="AA3513">
        <v>0.99600719999999998</v>
      </c>
      <c r="AB3513">
        <v>25</v>
      </c>
      <c r="AC3513">
        <v>0.60829999999998496</v>
      </c>
      <c r="AD3513">
        <v>-0.290305599999999</v>
      </c>
      <c r="AE3513">
        <v>6.9800000000014906E-2</v>
      </c>
      <c r="AF3513">
        <v>-6.3764928699592299E-2</v>
      </c>
      <c r="AG3513">
        <v>-0.290305599999999</v>
      </c>
      <c r="AH3513">
        <v>0.495828509158251</v>
      </c>
      <c r="AI3513">
        <v>120.144316206079</v>
      </c>
      <c r="AJ3513">
        <v>97.328174203380001</v>
      </c>
      <c r="AK3513">
        <v>0.57809101188093004</v>
      </c>
      <c r="AL3513">
        <v>67.016639818386395</v>
      </c>
      <c r="AM3513">
        <v>96.260678487228205</v>
      </c>
      <c r="AN3513">
        <v>1.0000000528922099</v>
      </c>
    </row>
    <row r="3514" spans="1:40" x14ac:dyDescent="0.25">
      <c r="A3514" t="str">
        <f>"20190304164920901"</f>
        <v>20190304164920901</v>
      </c>
      <c r="B3514" t="str">
        <f>"1551689360889643"</f>
        <v>1551689360889643</v>
      </c>
      <c r="C3514" t="s">
        <v>40</v>
      </c>
      <c r="D3514">
        <v>4.549982</v>
      </c>
      <c r="E3514">
        <v>0.52815570000000001</v>
      </c>
      <c r="F3514" t="s">
        <v>41</v>
      </c>
      <c r="G3514">
        <v>-455.45690000000002</v>
      </c>
      <c r="H3514">
        <v>0.82423539999999995</v>
      </c>
      <c r="I3514">
        <v>213.1173</v>
      </c>
      <c r="J3514">
        <v>-456.02929999999998</v>
      </c>
      <c r="K3514">
        <v>1.1107880000000001</v>
      </c>
      <c r="L3514">
        <v>213.0471</v>
      </c>
      <c r="M3514">
        <v>0.99990020000000002</v>
      </c>
      <c r="N3514">
        <v>-6.3493229999999996E-3</v>
      </c>
      <c r="O3514">
        <v>-1.262868E-2</v>
      </c>
      <c r="P3514">
        <v>0.91908259999999997</v>
      </c>
      <c r="Q3514">
        <v>0.38406030000000002</v>
      </c>
      <c r="R3514">
        <v>8.8233019999999995E-2</v>
      </c>
      <c r="S3514">
        <v>3.7787169999999999</v>
      </c>
      <c r="T3514">
        <v>-1.2965819999999999</v>
      </c>
      <c r="U3514">
        <v>0.30667109999999997</v>
      </c>
      <c r="V3514">
        <v>-0.1004422</v>
      </c>
      <c r="W3514">
        <v>0.38972400000000001</v>
      </c>
      <c r="X3514">
        <v>0.91543790000000003</v>
      </c>
      <c r="Y3514">
        <v>-8.7694430000000004E-2</v>
      </c>
      <c r="Z3514">
        <v>1.9020180000000001E-2</v>
      </c>
      <c r="AA3514">
        <v>0.99596580000000001</v>
      </c>
      <c r="AB3514">
        <v>25</v>
      </c>
      <c r="AC3514">
        <v>0.57239999999995905</v>
      </c>
      <c r="AD3514">
        <v>-0.28655259999999899</v>
      </c>
      <c r="AE3514">
        <v>7.0199999999999804E-2</v>
      </c>
      <c r="AF3514">
        <v>-6.2092415886490997E-2</v>
      </c>
      <c r="AG3514">
        <v>-0.28655259999999899</v>
      </c>
      <c r="AH3514">
        <v>0.458309847167572</v>
      </c>
      <c r="AI3514">
        <v>121.781416988182</v>
      </c>
      <c r="AJ3514">
        <v>97.715529157309803</v>
      </c>
      <c r="AK3514">
        <v>0.544073319220989</v>
      </c>
      <c r="AL3514">
        <v>67.062672795223705</v>
      </c>
      <c r="AM3514">
        <v>96.261468855438594</v>
      </c>
      <c r="AN3514">
        <v>0.999999990236625</v>
      </c>
    </row>
    <row r="3515" spans="1:40" x14ac:dyDescent="0.25">
      <c r="A3515" t="str">
        <f>"20190304164920922"</f>
        <v>20190304164920922</v>
      </c>
      <c r="B3515" t="str">
        <f>"1551689360918921"</f>
        <v>1551689360918921</v>
      </c>
      <c r="C3515" t="s">
        <v>40</v>
      </c>
      <c r="D3515">
        <v>4.5433389999999996</v>
      </c>
      <c r="E3515">
        <v>0.52766099999999905</v>
      </c>
      <c r="F3515" t="s">
        <v>41</v>
      </c>
      <c r="G3515">
        <v>-455.22660000000002</v>
      </c>
      <c r="H3515">
        <v>0.83348080000000002</v>
      </c>
      <c r="I3515">
        <v>213.1131</v>
      </c>
      <c r="J3515">
        <v>-455.78960000000001</v>
      </c>
      <c r="K3515">
        <v>1.110752</v>
      </c>
      <c r="L3515">
        <v>213.04509999999999</v>
      </c>
      <c r="M3515">
        <v>0.99991110000000005</v>
      </c>
      <c r="N3515">
        <v>-6.3382300000000003E-3</v>
      </c>
      <c r="O3515">
        <v>-1.1731719999999999E-2</v>
      </c>
      <c r="P3515">
        <v>0.91944369999999997</v>
      </c>
      <c r="Q3515">
        <v>0.38286819999999999</v>
      </c>
      <c r="R3515">
        <v>8.964126E-2</v>
      </c>
      <c r="S3515">
        <v>3.7798769999999999</v>
      </c>
      <c r="T3515">
        <v>-1.3059419999999999</v>
      </c>
      <c r="U3515">
        <v>0.31240839999999998</v>
      </c>
      <c r="V3515">
        <v>-0.1010127</v>
      </c>
      <c r="W3515">
        <v>0.38852829999999999</v>
      </c>
      <c r="X3515">
        <v>0.91588329999999996</v>
      </c>
      <c r="Y3515">
        <v>-8.8220750000000001E-2</v>
      </c>
      <c r="Z3515">
        <v>1.893653E-2</v>
      </c>
      <c r="AA3515">
        <v>0.99592099999999995</v>
      </c>
      <c r="AB3515">
        <v>25</v>
      </c>
      <c r="AC3515">
        <v>0.56299999999998795</v>
      </c>
      <c r="AD3515">
        <v>-0.277271199999999</v>
      </c>
      <c r="AE3515">
        <v>6.8000000000011995E-2</v>
      </c>
      <c r="AF3515">
        <v>-6.0207369256852002E-2</v>
      </c>
      <c r="AG3515">
        <v>-0.277271199999999</v>
      </c>
      <c r="AH3515">
        <v>0.45370238236802102</v>
      </c>
      <c r="AI3515">
        <v>121.208286079309</v>
      </c>
      <c r="AJ3515">
        <v>97.559118859893104</v>
      </c>
      <c r="AK3515">
        <v>0.535116900713002</v>
      </c>
      <c r="AL3515">
        <v>67.137043418501804</v>
      </c>
      <c r="AM3515">
        <v>96.293710826191997</v>
      </c>
      <c r="AN3515">
        <v>1.0000000123405299</v>
      </c>
    </row>
    <row r="3516" spans="1:40" x14ac:dyDescent="0.25">
      <c r="A3516" t="str">
        <f>"20190304164920945"</f>
        <v>20190304164920945</v>
      </c>
      <c r="B3516" t="str">
        <f>"1551689360939416"</f>
        <v>1551689360939416</v>
      </c>
      <c r="C3516" t="s">
        <v>40</v>
      </c>
      <c r="D3516">
        <v>4.5433269999999997</v>
      </c>
      <c r="E3516">
        <v>0.52741000000000005</v>
      </c>
      <c r="F3516" t="s">
        <v>41</v>
      </c>
      <c r="G3516">
        <v>-454.99829999999997</v>
      </c>
      <c r="H3516">
        <v>0.83497679999999996</v>
      </c>
      <c r="I3516">
        <v>213.1113</v>
      </c>
      <c r="J3516">
        <v>-455.52960000000002</v>
      </c>
      <c r="K3516">
        <v>1.110714</v>
      </c>
      <c r="L3516">
        <v>213.04300000000001</v>
      </c>
      <c r="M3516">
        <v>0.99992159999999997</v>
      </c>
      <c r="N3516">
        <v>-6.3359890000000002E-3</v>
      </c>
      <c r="O3516">
        <v>-1.081231E-2</v>
      </c>
      <c r="P3516">
        <v>0.92012099999999997</v>
      </c>
      <c r="Q3516">
        <v>0.38092520000000002</v>
      </c>
      <c r="R3516">
        <v>9.0960879999999994E-2</v>
      </c>
      <c r="S3516">
        <v>3.7804570000000002</v>
      </c>
      <c r="T3516">
        <v>-1.3176000000000001</v>
      </c>
      <c r="U3516">
        <v>0.31813049999999998</v>
      </c>
      <c r="V3516">
        <v>-0.1014655</v>
      </c>
      <c r="W3516">
        <v>0.3865942</v>
      </c>
      <c r="X3516">
        <v>0.91665140000000001</v>
      </c>
      <c r="Y3516">
        <v>-8.8713849999999997E-2</v>
      </c>
      <c r="Z3516">
        <v>1.887051E-2</v>
      </c>
      <c r="AA3516">
        <v>0.99587840000000005</v>
      </c>
      <c r="AB3516">
        <v>25</v>
      </c>
      <c r="AC3516">
        <v>0.53130000000004396</v>
      </c>
      <c r="AD3516">
        <v>-0.27573720000000002</v>
      </c>
      <c r="AE3516">
        <v>6.8299999999993505E-2</v>
      </c>
      <c r="AF3516">
        <v>-5.8531700699174197E-2</v>
      </c>
      <c r="AG3516">
        <v>-0.27573720000000002</v>
      </c>
      <c r="AH3516">
        <v>0.419402414417614</v>
      </c>
      <c r="AI3516">
        <v>123.069842812237</v>
      </c>
      <c r="AJ3516">
        <v>97.944869944488005</v>
      </c>
      <c r="AK3516">
        <v>0.50532697203879995</v>
      </c>
      <c r="AL3516">
        <v>67.257255484595504</v>
      </c>
      <c r="AM3516">
        <v>96.3164407633883</v>
      </c>
      <c r="AN3516">
        <v>1.0000000561429201</v>
      </c>
    </row>
    <row r="3517" spans="1:40" x14ac:dyDescent="0.25">
      <c r="A3517" t="str">
        <f>"20190304164920967"</f>
        <v>20190304164920967</v>
      </c>
      <c r="B3517" t="str">
        <f>"1551689360958936"</f>
        <v>1551689360958936</v>
      </c>
      <c r="C3517" t="s">
        <v>40</v>
      </c>
      <c r="D3517">
        <v>4.529344</v>
      </c>
      <c r="E3517">
        <v>0.52805170000000001</v>
      </c>
      <c r="F3517" t="s">
        <v>41</v>
      </c>
      <c r="G3517">
        <v>-454.76679999999999</v>
      </c>
      <c r="H3517">
        <v>0.8423754</v>
      </c>
      <c r="I3517">
        <v>213.10810000000001</v>
      </c>
      <c r="J3517">
        <v>-455.2724</v>
      </c>
      <c r="K3517">
        <v>1.1106769999999999</v>
      </c>
      <c r="L3517">
        <v>213.0412</v>
      </c>
      <c r="M3517">
        <v>0.99993030000000005</v>
      </c>
      <c r="N3517">
        <v>-6.3444510000000001E-3</v>
      </c>
      <c r="O3517">
        <v>-9.9647360000000001E-3</v>
      </c>
      <c r="P3517">
        <v>0.92046559999999999</v>
      </c>
      <c r="Q3517">
        <v>0.37978489999999998</v>
      </c>
      <c r="R3517">
        <v>9.2230809999999996E-2</v>
      </c>
      <c r="S3517">
        <v>3.77887</v>
      </c>
      <c r="T3517">
        <v>-1.329261</v>
      </c>
      <c r="U3517">
        <v>0.32260129999999998</v>
      </c>
      <c r="V3517">
        <v>-0.1019234</v>
      </c>
      <c r="W3517">
        <v>0.38547300000000001</v>
      </c>
      <c r="X3517">
        <v>0.91707269999999996</v>
      </c>
      <c r="Y3517">
        <v>-8.9000460000000003E-2</v>
      </c>
      <c r="Z3517">
        <v>1.8799320000000001E-2</v>
      </c>
      <c r="AA3517">
        <v>0.99585409999999996</v>
      </c>
      <c r="AB3517">
        <v>26</v>
      </c>
      <c r="AC3517">
        <v>0.50560000000001504</v>
      </c>
      <c r="AD3517">
        <v>-0.26830159999999997</v>
      </c>
      <c r="AE3517">
        <v>6.6900000000003901E-2</v>
      </c>
      <c r="AF3517">
        <v>-5.6342041853139103E-2</v>
      </c>
      <c r="AG3517">
        <v>-0.26830159999999997</v>
      </c>
      <c r="AH3517">
        <v>0.39546230812003003</v>
      </c>
      <c r="AI3517">
        <v>123.88799265069299</v>
      </c>
      <c r="AJ3517">
        <v>98.108437966336297</v>
      </c>
      <c r="AK3517">
        <v>0.48119706086629699</v>
      </c>
      <c r="AL3517">
        <v>67.3268939814009</v>
      </c>
      <c r="AM3517">
        <v>96.341823071286996</v>
      </c>
      <c r="AN3517">
        <v>1.0000000751409199</v>
      </c>
    </row>
    <row r="3518" spans="1:40" x14ac:dyDescent="0.25">
      <c r="A3518" t="str">
        <f>"20190304164920989"</f>
        <v>20190304164920989</v>
      </c>
      <c r="B3518" t="str">
        <f>"1551689360979432"</f>
        <v>1551689360979432</v>
      </c>
      <c r="C3518" t="s">
        <v>40</v>
      </c>
      <c r="D3518">
        <v>4.5476869999999998</v>
      </c>
      <c r="E3518">
        <v>0.52776279999999998</v>
      </c>
      <c r="F3518" t="s">
        <v>41</v>
      </c>
      <c r="G3518">
        <v>-454.53359999999998</v>
      </c>
      <c r="H3518">
        <v>0.85175499999999904</v>
      </c>
      <c r="I3518">
        <v>213.10409999999999</v>
      </c>
      <c r="J3518">
        <v>-455.0215</v>
      </c>
      <c r="K3518">
        <v>1.1106339999999999</v>
      </c>
      <c r="L3518">
        <v>213.03960000000001</v>
      </c>
      <c r="M3518">
        <v>0.99993750000000003</v>
      </c>
      <c r="N3518">
        <v>-6.357461E-3</v>
      </c>
      <c r="O3518">
        <v>-9.2023209999999994E-3</v>
      </c>
      <c r="P3518">
        <v>0.92082450000000005</v>
      </c>
      <c r="Q3518">
        <v>0.37866030000000001</v>
      </c>
      <c r="R3518">
        <v>9.3266189999999999E-2</v>
      </c>
      <c r="S3518">
        <v>3.7724609999999998</v>
      </c>
      <c r="T3518">
        <v>-1.322171</v>
      </c>
      <c r="U3518">
        <v>0.32267760000000001</v>
      </c>
      <c r="V3518">
        <v>-0.1022221</v>
      </c>
      <c r="W3518">
        <v>0.3843723</v>
      </c>
      <c r="X3518">
        <v>0.91750129999999996</v>
      </c>
      <c r="Y3518">
        <v>-8.8519459999999994E-2</v>
      </c>
      <c r="Z3518">
        <v>1.8398069999999999E-2</v>
      </c>
      <c r="AA3518">
        <v>0.99590449999999997</v>
      </c>
      <c r="AB3518">
        <v>26</v>
      </c>
      <c r="AC3518">
        <v>0.48790000000002398</v>
      </c>
      <c r="AD3518">
        <v>-0.25887900000000003</v>
      </c>
      <c r="AE3518">
        <v>6.44999999999811E-2</v>
      </c>
      <c r="AF3518">
        <v>-5.4035581307468002E-2</v>
      </c>
      <c r="AG3518">
        <v>-0.25887900000000003</v>
      </c>
      <c r="AH3518">
        <v>0.38167632697782999</v>
      </c>
      <c r="AI3518">
        <v>123.884186251147</v>
      </c>
      <c r="AJ3518">
        <v>98.058061310861703</v>
      </c>
      <c r="AK3518">
        <v>0.464343621969252</v>
      </c>
      <c r="AL3518">
        <v>67.395223285146002</v>
      </c>
      <c r="AM3518">
        <v>96.357309747281406</v>
      </c>
      <c r="AN3518">
        <v>1.0000000291186899</v>
      </c>
    </row>
    <row r="3519" spans="1:40" x14ac:dyDescent="0.25">
      <c r="A3519" t="str">
        <f>"20190304164921011"</f>
        <v>20190304164921011</v>
      </c>
      <c r="B3519" t="str">
        <f>"1551689360998952"</f>
        <v>1551689360998952</v>
      </c>
      <c r="C3519" t="s">
        <v>40</v>
      </c>
      <c r="D3519">
        <v>4.528816</v>
      </c>
      <c r="E3519">
        <v>0.5275164</v>
      </c>
      <c r="F3519" t="s">
        <v>41</v>
      </c>
      <c r="G3519">
        <v>-454.3014</v>
      </c>
      <c r="H3519">
        <v>0.85650369999999998</v>
      </c>
      <c r="I3519">
        <v>213.1027</v>
      </c>
      <c r="J3519">
        <v>-454.77030000000002</v>
      </c>
      <c r="K3519">
        <v>1.1105830000000001</v>
      </c>
      <c r="L3519">
        <v>213.03800000000001</v>
      </c>
      <c r="M3519">
        <v>0.99994369999999999</v>
      </c>
      <c r="N3519">
        <v>-6.3714870000000003E-3</v>
      </c>
      <c r="O3519">
        <v>-8.5044200000000004E-3</v>
      </c>
      <c r="P3519">
        <v>0.92121280000000005</v>
      </c>
      <c r="Q3519">
        <v>0.37732260000000001</v>
      </c>
      <c r="R3519">
        <v>9.4842659999999995E-2</v>
      </c>
      <c r="S3519">
        <v>3.7718509999999998</v>
      </c>
      <c r="T3519">
        <v>-1.3312619999999999</v>
      </c>
      <c r="U3519">
        <v>0.33125310000000002</v>
      </c>
      <c r="V3519">
        <v>-0.1031186</v>
      </c>
      <c r="W3519">
        <v>0.38306010000000001</v>
      </c>
      <c r="X3519">
        <v>0.91794960000000003</v>
      </c>
      <c r="Y3519">
        <v>-8.9959059999999993E-2</v>
      </c>
      <c r="Z3519">
        <v>1.8534220000000001E-2</v>
      </c>
      <c r="AA3519">
        <v>0.99577300000000002</v>
      </c>
      <c r="AB3519">
        <v>26</v>
      </c>
      <c r="AC3519">
        <v>0.46890000000001902</v>
      </c>
      <c r="AD3519">
        <v>-0.25407930000000001</v>
      </c>
      <c r="AE3519">
        <v>6.4700000000016106E-2</v>
      </c>
      <c r="AF3519">
        <v>-5.3321875431221202E-2</v>
      </c>
      <c r="AG3519">
        <v>-0.25407930000000001</v>
      </c>
      <c r="AH3519">
        <v>0.363575957541933</v>
      </c>
      <c r="AI3519">
        <v>124.661441492618</v>
      </c>
      <c r="AJ3519">
        <v>98.343490734785803</v>
      </c>
      <c r="AK3519">
        <v>0.44675159763623201</v>
      </c>
      <c r="AL3519">
        <v>67.476637870108505</v>
      </c>
      <c r="AM3519">
        <v>96.409496010364407</v>
      </c>
      <c r="AN3519">
        <v>0.99999997700906396</v>
      </c>
    </row>
    <row r="3520" spans="1:40" x14ac:dyDescent="0.25">
      <c r="A3520" t="str">
        <f>"20190304164921046"</f>
        <v>20190304164921046</v>
      </c>
      <c r="B3520" t="str">
        <f>"1551689361038968"</f>
        <v>1551689361038968</v>
      </c>
      <c r="C3520" t="s">
        <v>40</v>
      </c>
      <c r="D3520">
        <v>4.7985540000000002</v>
      </c>
      <c r="E3520">
        <v>0.52755560000000001</v>
      </c>
      <c r="F3520" t="s">
        <v>41</v>
      </c>
      <c r="G3520">
        <v>-454.0684</v>
      </c>
      <c r="H3520">
        <v>0.86117960000000005</v>
      </c>
      <c r="I3520">
        <v>213.1009</v>
      </c>
      <c r="J3520">
        <v>-454.3648</v>
      </c>
      <c r="K3520">
        <v>1.1105100000000001</v>
      </c>
      <c r="L3520">
        <v>213.03579999999999</v>
      </c>
      <c r="M3520">
        <v>0.99995140000000005</v>
      </c>
      <c r="N3520">
        <v>-6.4035990000000003E-3</v>
      </c>
      <c r="O3520">
        <v>-7.5131109999999899E-3</v>
      </c>
      <c r="P3520">
        <v>0.92125919999999895</v>
      </c>
      <c r="Q3520">
        <v>0.376527</v>
      </c>
      <c r="R3520">
        <v>9.7513710000000003E-2</v>
      </c>
      <c r="S3520">
        <v>3.770416</v>
      </c>
      <c r="T3520">
        <v>-1.33975</v>
      </c>
      <c r="U3520">
        <v>0.33918759999999998</v>
      </c>
      <c r="V3520">
        <v>-0.1048161</v>
      </c>
      <c r="W3520">
        <v>0.38230900000000001</v>
      </c>
      <c r="X3520">
        <v>0.91807050000000001</v>
      </c>
      <c r="Y3520">
        <v>-9.100047E-2</v>
      </c>
      <c r="Z3520">
        <v>1.849816E-2</v>
      </c>
      <c r="AA3520">
        <v>0.99567899999999998</v>
      </c>
      <c r="AB3520">
        <v>26</v>
      </c>
      <c r="AC3520">
        <v>0.29640000000000499</v>
      </c>
      <c r="AD3520">
        <v>-0.24933040000000001</v>
      </c>
      <c r="AE3520">
        <v>6.5100000000001004E-2</v>
      </c>
      <c r="AF3520">
        <v>-4.0192980245034503E-2</v>
      </c>
      <c r="AG3520">
        <v>-0.24933040000000001</v>
      </c>
      <c r="AH3520">
        <v>0.17665336138590701</v>
      </c>
      <c r="AI3520">
        <v>143.99714609327401</v>
      </c>
      <c r="AJ3520">
        <v>102.81798617266</v>
      </c>
      <c r="AK3520">
        <v>0.30820047714771198</v>
      </c>
      <c r="AL3520">
        <v>67.523219385390107</v>
      </c>
      <c r="AM3520">
        <v>96.513256651204301</v>
      </c>
      <c r="AN3520">
        <v>1.0000000146352299</v>
      </c>
    </row>
    <row r="3521" spans="1:40" x14ac:dyDescent="0.25">
      <c r="A3521" t="str">
        <f>"20190304164921089"</f>
        <v>20190304164921089</v>
      </c>
      <c r="B3521" t="str">
        <f>"1551689361078984"</f>
        <v>1551689361078984</v>
      </c>
      <c r="C3521" t="s">
        <v>40</v>
      </c>
      <c r="D3521">
        <v>4.4317330000000004</v>
      </c>
      <c r="E3521">
        <v>0.52775909999999904</v>
      </c>
      <c r="F3521" t="s">
        <v>41</v>
      </c>
      <c r="G3521">
        <v>-453.6114</v>
      </c>
      <c r="H3521">
        <v>0.84213939999999998</v>
      </c>
      <c r="I3521">
        <v>213.10480000000001</v>
      </c>
      <c r="J3521">
        <v>-453.85239999999999</v>
      </c>
      <c r="K3521">
        <v>1.110444</v>
      </c>
      <c r="L3521">
        <v>213.0333</v>
      </c>
      <c r="M3521">
        <v>0.99995849999999997</v>
      </c>
      <c r="N3521">
        <v>-6.4530419999999896E-3</v>
      </c>
      <c r="O3521">
        <v>-6.4355200000000001E-3</v>
      </c>
      <c r="P3521">
        <v>0.92098550000000001</v>
      </c>
      <c r="Q3521">
        <v>0.37646109999999999</v>
      </c>
      <c r="R3521">
        <v>0.1003135</v>
      </c>
      <c r="S3521">
        <v>3.7684329999999999</v>
      </c>
      <c r="T3521">
        <v>-1.3423780000000001</v>
      </c>
      <c r="U3521">
        <v>0.34590149999999997</v>
      </c>
      <c r="V3521">
        <v>-0.10656740000000001</v>
      </c>
      <c r="W3521">
        <v>0.38230059999999999</v>
      </c>
      <c r="X3521">
        <v>0.91787240000000003</v>
      </c>
      <c r="Y3521">
        <v>-9.1723849999999996E-2</v>
      </c>
      <c r="Z3521">
        <v>1.8303779999999999E-2</v>
      </c>
      <c r="AA3521">
        <v>0.99561630000000001</v>
      </c>
      <c r="AB3521">
        <v>26</v>
      </c>
      <c r="AC3521">
        <v>0.240999999999985</v>
      </c>
      <c r="AD3521">
        <v>-0.2683046</v>
      </c>
      <c r="AE3521">
        <v>7.1500000000014496E-2</v>
      </c>
      <c r="AF3521">
        <v>-3.4148655797200597E-2</v>
      </c>
      <c r="AG3521">
        <v>-0.2683046</v>
      </c>
      <c r="AH3521">
        <v>0.11244349108839</v>
      </c>
      <c r="AI3521">
        <v>156.347094604369</v>
      </c>
      <c r="AJ3521">
        <v>106.893334146361</v>
      </c>
      <c r="AK3521">
        <v>0.29291129674708699</v>
      </c>
      <c r="AL3521">
        <v>67.523741099869099</v>
      </c>
      <c r="AM3521">
        <v>96.622540043196494</v>
      </c>
      <c r="AN3521">
        <v>1.0000000510924301</v>
      </c>
    </row>
    <row r="3522" spans="1:40" x14ac:dyDescent="0.25">
      <c r="A3522" t="str">
        <f>"20190304164921111"</f>
        <v>20190304164921111</v>
      </c>
      <c r="B3522" t="str">
        <f>"1551689361099480"</f>
        <v>1551689361099480</v>
      </c>
      <c r="C3522" t="s">
        <v>40</v>
      </c>
      <c r="D3522">
        <v>4.3718669999999999</v>
      </c>
      <c r="E3522">
        <v>0.50351559999999995</v>
      </c>
      <c r="F3522" t="s">
        <v>41</v>
      </c>
      <c r="G3522">
        <v>-453.10449999999997</v>
      </c>
      <c r="H3522">
        <v>0.93565810000000005</v>
      </c>
      <c r="I3522">
        <v>213.09549999999999</v>
      </c>
      <c r="J3522">
        <v>-453.5985</v>
      </c>
      <c r="K3522">
        <v>1.1104270000000001</v>
      </c>
      <c r="L3522">
        <v>213.03219999999999</v>
      </c>
      <c r="M3522">
        <v>0.9999614</v>
      </c>
      <c r="N3522">
        <v>-6.4763629999999997E-3</v>
      </c>
      <c r="O3522">
        <v>-5.9518409999999898E-3</v>
      </c>
      <c r="P3522">
        <v>0.92100629999999994</v>
      </c>
      <c r="Q3522">
        <v>0.37609399999999998</v>
      </c>
      <c r="R3522">
        <v>0.10149270000000001</v>
      </c>
      <c r="S3522">
        <v>3.5655519999999998</v>
      </c>
      <c r="T3522">
        <v>-0.83339059999999898</v>
      </c>
      <c r="U3522">
        <v>0.29820249999999998</v>
      </c>
      <c r="V3522">
        <v>-0.1072845</v>
      </c>
      <c r="W3522">
        <v>0.38195950000000001</v>
      </c>
      <c r="X3522">
        <v>0.91793080000000005</v>
      </c>
      <c r="Y3522">
        <v>-8.6734119999999998E-2</v>
      </c>
      <c r="Z3522">
        <v>1.160244E-2</v>
      </c>
      <c r="AA3522">
        <v>0.99616389999999999</v>
      </c>
      <c r="AB3522">
        <v>26</v>
      </c>
      <c r="AC3522">
        <v>0.49400000000002797</v>
      </c>
      <c r="AD3522">
        <v>-0.17476889999999901</v>
      </c>
      <c r="AE3522">
        <v>6.3299999999998094E-2</v>
      </c>
      <c r="AF3522">
        <v>-5.8976717005509001E-2</v>
      </c>
      <c r="AG3522">
        <v>-0.17476889999999901</v>
      </c>
      <c r="AH3522">
        <v>0.43949480433702898</v>
      </c>
      <c r="AI3522">
        <v>111.51068152175</v>
      </c>
      <c r="AJ3522">
        <v>97.642980413144301</v>
      </c>
      <c r="AK3522">
        <v>0.47663204318971403</v>
      </c>
      <c r="AL3522">
        <v>67.544888205786094</v>
      </c>
      <c r="AM3522">
        <v>96.666283470221202</v>
      </c>
      <c r="AN3522">
        <v>0.99999998858456995</v>
      </c>
    </row>
    <row r="3523" spans="1:40" x14ac:dyDescent="0.25">
      <c r="A3523" t="str">
        <f>"20190304164921133"</f>
        <v>20190304164921133</v>
      </c>
      <c r="B3523" t="str">
        <f>"1551689361129737"</f>
        <v>1551689361129737</v>
      </c>
      <c r="C3523" t="s">
        <v>40</v>
      </c>
      <c r="D3523">
        <v>4.6415579999999999</v>
      </c>
      <c r="E3523">
        <v>0.50654949999999999</v>
      </c>
      <c r="F3523" t="s">
        <v>46</v>
      </c>
      <c r="G3523">
        <v>-439.9907</v>
      </c>
      <c r="H3523" s="1">
        <v>-1.5498519999999999E-6</v>
      </c>
      <c r="I3523">
        <v>214.80240000000001</v>
      </c>
      <c r="J3523">
        <v>-453.33789999999999</v>
      </c>
      <c r="K3523">
        <v>1.1104259999999999</v>
      </c>
      <c r="L3523">
        <v>213.03120000000001</v>
      </c>
      <c r="M3523">
        <v>0.99996379999999996</v>
      </c>
      <c r="N3523">
        <v>-6.5030959999999999E-3</v>
      </c>
      <c r="O3523">
        <v>-5.4752849999999999E-3</v>
      </c>
      <c r="P3523">
        <v>0.92101429999999995</v>
      </c>
      <c r="Q3523">
        <v>0.37608989999999998</v>
      </c>
      <c r="R3523">
        <v>0.10143489999999999</v>
      </c>
      <c r="S3523">
        <v>3.3203740000000002</v>
      </c>
      <c r="T3523">
        <v>-0.27095019999999997</v>
      </c>
      <c r="U3523">
        <v>0.43193049999999999</v>
      </c>
      <c r="V3523">
        <v>-0.10677730000000001</v>
      </c>
      <c r="W3523">
        <v>0.38198379999999998</v>
      </c>
      <c r="X3523">
        <v>0.91797980000000001</v>
      </c>
      <c r="Y3523">
        <v>-0.13393729999999901</v>
      </c>
      <c r="Z3523">
        <v>6.2798860000000001E-3</v>
      </c>
      <c r="AA3523">
        <v>0.99096989999999996</v>
      </c>
      <c r="AB3523">
        <v>26</v>
      </c>
      <c r="AC3523">
        <v>13.3471999999999</v>
      </c>
      <c r="AD3523">
        <v>-1.110427549852</v>
      </c>
      <c r="AE3523">
        <v>1.7711999999999899</v>
      </c>
      <c r="AF3523">
        <v>-1.83179536202417</v>
      </c>
      <c r="AG3523">
        <v>-1.110427549852</v>
      </c>
      <c r="AH3523">
        <v>13.247198143857901</v>
      </c>
      <c r="AI3523">
        <v>94.746580784124305</v>
      </c>
      <c r="AJ3523">
        <v>97.872817912864306</v>
      </c>
      <c r="AK3523">
        <v>13.419269065580099</v>
      </c>
      <c r="AL3523">
        <v>67.543381108243906</v>
      </c>
      <c r="AM3523">
        <v>96.634698490336405</v>
      </c>
      <c r="AN3523">
        <v>0.99999996423288395</v>
      </c>
    </row>
    <row r="3524" spans="1:40" x14ac:dyDescent="0.25">
      <c r="A3524" t="str">
        <f>"20190304164921157"</f>
        <v>20190304164921157</v>
      </c>
      <c r="B3524" t="str">
        <f>"1551689361149257"</f>
        <v>1551689361149257</v>
      </c>
      <c r="C3524" t="s">
        <v>40</v>
      </c>
      <c r="D3524">
        <v>4.3584849999999999</v>
      </c>
      <c r="E3524">
        <v>0.50766859999999903</v>
      </c>
      <c r="F3524" t="s">
        <v>47</v>
      </c>
      <c r="G3524">
        <v>-439.43380000000002</v>
      </c>
      <c r="H3524" s="1">
        <v>6.389831E-6</v>
      </c>
      <c r="I3524">
        <v>214.7381</v>
      </c>
      <c r="J3524">
        <v>-453.06180000000001</v>
      </c>
      <c r="K3524">
        <v>1.1104259999999999</v>
      </c>
      <c r="L3524">
        <v>213.03020000000001</v>
      </c>
      <c r="M3524">
        <v>0.99996629999999997</v>
      </c>
      <c r="N3524">
        <v>-6.5352020000000004E-3</v>
      </c>
      <c r="O3524">
        <v>-4.982017E-3</v>
      </c>
      <c r="P3524">
        <v>0.92123469999999996</v>
      </c>
      <c r="Q3524">
        <v>0.37563849999999999</v>
      </c>
      <c r="R3524">
        <v>0.10110619999999999</v>
      </c>
      <c r="S3524">
        <v>3.3206790000000002</v>
      </c>
      <c r="T3524">
        <v>-0.2651985</v>
      </c>
      <c r="U3524">
        <v>0.40766910000000001</v>
      </c>
      <c r="V3524">
        <v>-0.1059895</v>
      </c>
      <c r="W3524">
        <v>0.3815655</v>
      </c>
      <c r="X3524">
        <v>0.91824510000000004</v>
      </c>
      <c r="Y3524">
        <v>-0.12635299999999999</v>
      </c>
      <c r="Z3524">
        <v>5.7972049999999997E-3</v>
      </c>
      <c r="AA3524">
        <v>0.99196839999999997</v>
      </c>
      <c r="AB3524">
        <v>26</v>
      </c>
      <c r="AC3524">
        <v>13.627999999999901</v>
      </c>
      <c r="AD3524">
        <v>-1.11041961016899</v>
      </c>
      <c r="AE3524">
        <v>1.70789999999999</v>
      </c>
      <c r="AF3524">
        <v>-1.7642432856729999</v>
      </c>
      <c r="AG3524">
        <v>-1.11041961016899</v>
      </c>
      <c r="AH3524">
        <v>13.530877966949401</v>
      </c>
      <c r="AI3524">
        <v>94.652295030636296</v>
      </c>
      <c r="AJ3524">
        <v>97.428685617609304</v>
      </c>
      <c r="AK3524">
        <v>13.6905165950072</v>
      </c>
      <c r="AL3524">
        <v>67.569313719795204</v>
      </c>
      <c r="AM3524">
        <v>96.58429334166</v>
      </c>
      <c r="AN3524">
        <v>1.0000000342872499</v>
      </c>
    </row>
    <row r="3525" spans="1:40" x14ac:dyDescent="0.25">
      <c r="A3525" t="str">
        <f>"20190304164921179"</f>
        <v>20190304164921179</v>
      </c>
      <c r="B3525" t="str">
        <f>"1551689361169753"</f>
        <v>1551689361169753</v>
      </c>
      <c r="C3525" t="s">
        <v>40</v>
      </c>
      <c r="D3525">
        <v>4.3079609999999997</v>
      </c>
      <c r="E3525">
        <v>0.50856259999999998</v>
      </c>
      <c r="F3525" t="s">
        <v>47</v>
      </c>
      <c r="G3525">
        <v>-439.18900000000002</v>
      </c>
      <c r="H3525" s="1">
        <v>6.2856329999999999E-6</v>
      </c>
      <c r="I3525">
        <v>214.68809999999999</v>
      </c>
      <c r="J3525">
        <v>-452.7953</v>
      </c>
      <c r="K3525">
        <v>1.110425</v>
      </c>
      <c r="L3525">
        <v>213.02940000000001</v>
      </c>
      <c r="M3525">
        <v>0.99996830000000003</v>
      </c>
      <c r="N3525">
        <v>-6.5659219999999897E-3</v>
      </c>
      <c r="O3525">
        <v>-4.5082630000000002E-3</v>
      </c>
      <c r="P3525">
        <v>0.92121189999999997</v>
      </c>
      <c r="Q3525">
        <v>0.37581239999999999</v>
      </c>
      <c r="R3525">
        <v>0.1006662</v>
      </c>
      <c r="S3525">
        <v>3.3213810000000001</v>
      </c>
      <c r="T3525">
        <v>-0.26585170000000002</v>
      </c>
      <c r="U3525">
        <v>0.39692690000000003</v>
      </c>
      <c r="V3525">
        <v>-0.105111999999999</v>
      </c>
      <c r="W3525">
        <v>0.38176919999999998</v>
      </c>
      <c r="X3525">
        <v>0.91826129999999995</v>
      </c>
      <c r="Y3525">
        <v>-0.12270639999999899</v>
      </c>
      <c r="Z3525">
        <v>5.6202630000000003E-3</v>
      </c>
      <c r="AA3525">
        <v>0.99242710000000001</v>
      </c>
      <c r="AB3525">
        <v>26</v>
      </c>
      <c r="AC3525">
        <v>13.6062999999999</v>
      </c>
      <c r="AD3525">
        <v>-1.1104187143669999</v>
      </c>
      <c r="AE3525">
        <v>1.6586999999999801</v>
      </c>
      <c r="AF3525">
        <v>-1.7088107216677699</v>
      </c>
      <c r="AG3525">
        <v>-1.1104187143669999</v>
      </c>
      <c r="AH3525">
        <v>13.510020629425499</v>
      </c>
      <c r="AI3525">
        <v>94.661729608516694</v>
      </c>
      <c r="AJ3525">
        <v>97.208758536086194</v>
      </c>
      <c r="AK3525">
        <v>13.662859188735201</v>
      </c>
      <c r="AL3525">
        <v>67.556686714747997</v>
      </c>
      <c r="AM3525">
        <v>96.530139756700805</v>
      </c>
      <c r="AN3525">
        <v>1.0000000348451601</v>
      </c>
    </row>
    <row r="3526" spans="1:40" x14ac:dyDescent="0.25">
      <c r="A3526" t="str">
        <f>"20190304164921200"</f>
        <v>20190304164921200</v>
      </c>
      <c r="B3526" t="str">
        <f>"1551689361189272"</f>
        <v>1551689361189272</v>
      </c>
      <c r="C3526" t="s">
        <v>40</v>
      </c>
      <c r="D3526">
        <v>4.3258489999999998</v>
      </c>
      <c r="E3526">
        <v>0.50929399999999903</v>
      </c>
      <c r="F3526" t="s">
        <v>47</v>
      </c>
      <c r="G3526">
        <v>-439.1463</v>
      </c>
      <c r="H3526" s="1">
        <v>6.2731159999999997E-6</v>
      </c>
      <c r="I3526">
        <v>214.61500000000001</v>
      </c>
      <c r="J3526">
        <v>-452.53739999999999</v>
      </c>
      <c r="K3526">
        <v>1.1104320000000001</v>
      </c>
      <c r="L3526">
        <v>213.02879999999999</v>
      </c>
      <c r="M3526">
        <v>0.99997009999999997</v>
      </c>
      <c r="N3526">
        <v>-6.5940479999999999E-3</v>
      </c>
      <c r="O3526">
        <v>-4.0486669999999997E-3</v>
      </c>
      <c r="P3526">
        <v>0.92139269999999995</v>
      </c>
      <c r="Q3526">
        <v>0.37561050000000001</v>
      </c>
      <c r="R3526">
        <v>9.9761710000000003E-2</v>
      </c>
      <c r="S3526">
        <v>3.3247070000000001</v>
      </c>
      <c r="T3526">
        <v>-0.27048299999999997</v>
      </c>
      <c r="U3526">
        <v>0.38621519999999998</v>
      </c>
      <c r="V3526">
        <v>-0.1037867</v>
      </c>
      <c r="W3526">
        <v>0.38159500000000002</v>
      </c>
      <c r="X3526">
        <v>0.91848439999999998</v>
      </c>
      <c r="Y3526">
        <v>-0.1189791</v>
      </c>
      <c r="Z3526">
        <v>5.5111839999999997E-3</v>
      </c>
      <c r="AA3526">
        <v>0.99288149999999997</v>
      </c>
      <c r="AB3526">
        <v>27</v>
      </c>
      <c r="AC3526">
        <v>13.3910999999999</v>
      </c>
      <c r="AD3526">
        <v>-1.1104257268840001</v>
      </c>
      <c r="AE3526">
        <v>1.58620000000001</v>
      </c>
      <c r="AF3526">
        <v>-1.62935557911781</v>
      </c>
      <c r="AG3526">
        <v>-1.1104257268840001</v>
      </c>
      <c r="AH3526">
        <v>13.294418321413501</v>
      </c>
      <c r="AI3526">
        <v>94.739289901920401</v>
      </c>
      <c r="AJ3526">
        <v>96.987288986782005</v>
      </c>
      <c r="AK3526">
        <v>13.439843875687799</v>
      </c>
      <c r="AL3526">
        <v>67.567484516035407</v>
      </c>
      <c r="AM3526">
        <v>96.446949523082793</v>
      </c>
      <c r="AN3526">
        <v>1.0000000080826199</v>
      </c>
    </row>
    <row r="3527" spans="1:40" x14ac:dyDescent="0.25">
      <c r="A3527" t="str">
        <f>"20190304164921222"</f>
        <v>20190304164921222</v>
      </c>
      <c r="B3527" t="str">
        <f>"1551689361219528"</f>
        <v>1551689361219528</v>
      </c>
      <c r="C3527" t="s">
        <v>40</v>
      </c>
      <c r="D3527">
        <v>4.3983249999999998</v>
      </c>
      <c r="E3527">
        <v>0.51035819999999998</v>
      </c>
      <c r="F3527" t="s">
        <v>47</v>
      </c>
      <c r="G3527">
        <v>-439.27440000000001</v>
      </c>
      <c r="H3527" s="1">
        <v>6.33667299999999E-6</v>
      </c>
      <c r="I3527">
        <v>214.53790000000001</v>
      </c>
      <c r="J3527">
        <v>-452.28100000000001</v>
      </c>
      <c r="K3527">
        <v>1.1104369999999999</v>
      </c>
      <c r="L3527">
        <v>213.0282</v>
      </c>
      <c r="M3527">
        <v>0.99997170000000002</v>
      </c>
      <c r="N3527">
        <v>-6.621615E-3</v>
      </c>
      <c r="O3527">
        <v>-3.588702E-3</v>
      </c>
      <c r="P3527">
        <v>0.92134459999999996</v>
      </c>
      <c r="Q3527">
        <v>0.37586449999999999</v>
      </c>
      <c r="R3527">
        <v>9.9247310000000005E-2</v>
      </c>
      <c r="S3527">
        <v>3.3285520000000002</v>
      </c>
      <c r="T3527">
        <v>-0.27867890000000001</v>
      </c>
      <c r="U3527">
        <v>0.37875370000000003</v>
      </c>
      <c r="V3527">
        <v>-0.1028515</v>
      </c>
      <c r="W3527">
        <v>0.38187450000000001</v>
      </c>
      <c r="X3527">
        <v>0.9184734</v>
      </c>
      <c r="Y3527">
        <v>-0.1161807</v>
      </c>
      <c r="Z3527">
        <v>5.5014690000000002E-3</v>
      </c>
      <c r="AA3527">
        <v>0.99321289999999995</v>
      </c>
      <c r="AB3527">
        <v>27</v>
      </c>
      <c r="AC3527">
        <v>13.006599999999899</v>
      </c>
      <c r="AD3527">
        <v>-1.110430663327</v>
      </c>
      <c r="AE3527">
        <v>1.5097</v>
      </c>
      <c r="AF3527">
        <v>-1.54525480102724</v>
      </c>
      <c r="AG3527">
        <v>-1.110430663327</v>
      </c>
      <c r="AH3527">
        <v>12.9082633969987</v>
      </c>
      <c r="AI3527">
        <v>94.882066110080004</v>
      </c>
      <c r="AJ3527">
        <v>96.8264217824198</v>
      </c>
      <c r="AK3527">
        <v>13.0477635089103</v>
      </c>
      <c r="AL3527">
        <v>67.550157494046204</v>
      </c>
      <c r="AM3527">
        <v>96.389415878410304</v>
      </c>
      <c r="AN3527">
        <v>0.99999997565502896</v>
      </c>
    </row>
    <row r="3528" spans="1:40" x14ac:dyDescent="0.25">
      <c r="A3528" t="str">
        <f>"20190304164921247"</f>
        <v>20190304164921247</v>
      </c>
      <c r="B3528" t="str">
        <f>"1551689361239048"</f>
        <v>1551689361239048</v>
      </c>
      <c r="C3528" t="s">
        <v>40</v>
      </c>
      <c r="D3528">
        <v>4.3249890000000004</v>
      </c>
      <c r="E3528">
        <v>0.51068279999999999</v>
      </c>
      <c r="F3528" t="s">
        <v>47</v>
      </c>
      <c r="G3528">
        <v>-439.34350000000001</v>
      </c>
      <c r="H3528" s="1">
        <v>6.3740939999999999E-6</v>
      </c>
      <c r="I3528">
        <v>214.46029999999999</v>
      </c>
      <c r="J3528">
        <v>-451.98160000000001</v>
      </c>
      <c r="K3528">
        <v>1.1104449999999999</v>
      </c>
      <c r="L3528">
        <v>213.02770000000001</v>
      </c>
      <c r="M3528">
        <v>0.99997320000000001</v>
      </c>
      <c r="N3528">
        <v>-6.6575000000000002E-3</v>
      </c>
      <c r="O3528">
        <v>-3.0478089999999998E-3</v>
      </c>
      <c r="P3528">
        <v>0.92143339999999996</v>
      </c>
      <c r="Q3528">
        <v>0.37556329999999999</v>
      </c>
      <c r="R3528">
        <v>9.9561999999999998E-2</v>
      </c>
      <c r="S3528">
        <v>3.3330989999999998</v>
      </c>
      <c r="T3528">
        <v>-0.2860818</v>
      </c>
      <c r="U3528">
        <v>0.36895749999999999</v>
      </c>
      <c r="V3528">
        <v>-0.102672</v>
      </c>
      <c r="W3528">
        <v>0.3816061</v>
      </c>
      <c r="X3528">
        <v>0.91860509999999995</v>
      </c>
      <c r="Y3528">
        <v>-0.1126013</v>
      </c>
      <c r="Z3528">
        <v>5.4256829999999997E-3</v>
      </c>
      <c r="AA3528">
        <v>0.99362550000000005</v>
      </c>
      <c r="AB3528">
        <v>27</v>
      </c>
      <c r="AC3528">
        <v>12.6381</v>
      </c>
      <c r="AD3528">
        <v>-1.110438625906</v>
      </c>
      <c r="AE3528">
        <v>1.4325999999999699</v>
      </c>
      <c r="AF3528">
        <v>-1.4599844136863001</v>
      </c>
      <c r="AG3528">
        <v>-1.110438625906</v>
      </c>
      <c r="AH3528">
        <v>12.538106889561501</v>
      </c>
      <c r="AI3528">
        <v>95.027407651282601</v>
      </c>
      <c r="AJ3528">
        <v>96.641825082917293</v>
      </c>
      <c r="AK3528">
        <v>12.6715726255339</v>
      </c>
      <c r="AL3528">
        <v>67.566797279124302</v>
      </c>
      <c r="AM3528">
        <v>96.377449901419794</v>
      </c>
      <c r="AN3528">
        <v>1.0000000424436</v>
      </c>
    </row>
    <row r="3529" spans="1:40" x14ac:dyDescent="0.25">
      <c r="A3529" t="str">
        <f>"20190304164921269"</f>
        <v>20190304164921269</v>
      </c>
      <c r="B3529" t="str">
        <f>"1551689361259544"</f>
        <v>1551689361259544</v>
      </c>
      <c r="C3529" t="s">
        <v>40</v>
      </c>
      <c r="D3529">
        <v>4.3264680000000002</v>
      </c>
      <c r="E3529">
        <v>0.51096079999999999</v>
      </c>
      <c r="F3529" t="s">
        <v>47</v>
      </c>
      <c r="G3529">
        <v>-439.19869999999997</v>
      </c>
      <c r="H3529" s="1">
        <v>6.3123739999999996E-6</v>
      </c>
      <c r="I3529">
        <v>214.4316</v>
      </c>
      <c r="J3529">
        <v>-451.71539999999999</v>
      </c>
      <c r="K3529">
        <v>1.110439</v>
      </c>
      <c r="L3529">
        <v>213.0274</v>
      </c>
      <c r="M3529">
        <v>0.99997440000000004</v>
      </c>
      <c r="N3529">
        <v>-6.6904290000000003E-3</v>
      </c>
      <c r="O3529">
        <v>-2.566764E-3</v>
      </c>
      <c r="P3529">
        <v>0.92160010000000003</v>
      </c>
      <c r="Q3529">
        <v>0.37514760000000003</v>
      </c>
      <c r="R3529">
        <v>9.9587430000000005E-2</v>
      </c>
      <c r="S3529">
        <v>3.3342589999999999</v>
      </c>
      <c r="T3529">
        <v>-0.28964469999999998</v>
      </c>
      <c r="U3529">
        <v>0.36619570000000001</v>
      </c>
      <c r="V3529">
        <v>-0.10225670000000001</v>
      </c>
      <c r="W3529">
        <v>0.38122210000000001</v>
      </c>
      <c r="X3529">
        <v>0.91881080000000004</v>
      </c>
      <c r="Y3529">
        <v>-0.1112683</v>
      </c>
      <c r="Z3529">
        <v>5.3883269999999896E-3</v>
      </c>
      <c r="AA3529">
        <v>0.99377579999999999</v>
      </c>
      <c r="AB3529">
        <v>27</v>
      </c>
      <c r="AC3529">
        <v>12.5167</v>
      </c>
      <c r="AD3529">
        <v>-1.110432687626</v>
      </c>
      <c r="AE3529">
        <v>1.4041999999999999</v>
      </c>
      <c r="AF3529">
        <v>-1.4252454726671999</v>
      </c>
      <c r="AG3529">
        <v>-1.110432687626</v>
      </c>
      <c r="AH3529">
        <v>12.4165441229385</v>
      </c>
      <c r="AI3529">
        <v>95.077300151996596</v>
      </c>
      <c r="AJ3529">
        <v>96.548095026630904</v>
      </c>
      <c r="AK3529">
        <v>12.5473086105342</v>
      </c>
      <c r="AL3529">
        <v>67.590597194123006</v>
      </c>
      <c r="AM3529">
        <v>96.350454478669803</v>
      </c>
      <c r="AN3529">
        <v>1.0000000042099699</v>
      </c>
    </row>
    <row r="3530" spans="1:40" x14ac:dyDescent="0.25">
      <c r="A3530" t="str">
        <f>"20190304164921290"</f>
        <v>20190304164921290</v>
      </c>
      <c r="B3530" t="str">
        <f>"1551689361279064"</f>
        <v>1551689361279064</v>
      </c>
      <c r="C3530" t="s">
        <v>40</v>
      </c>
      <c r="D3530">
        <v>4.3177760000000003</v>
      </c>
      <c r="E3530">
        <v>0.51126490000000002</v>
      </c>
      <c r="F3530" t="s">
        <v>47</v>
      </c>
      <c r="G3530">
        <v>-439.10860000000002</v>
      </c>
      <c r="H3530" s="1">
        <v>6.2752789999999999E-6</v>
      </c>
      <c r="I3530">
        <v>214.399</v>
      </c>
      <c r="J3530">
        <v>-451.4556</v>
      </c>
      <c r="K3530">
        <v>1.1104400000000001</v>
      </c>
      <c r="L3530">
        <v>213.0273</v>
      </c>
      <c r="M3530">
        <v>0.99997519999999995</v>
      </c>
      <c r="N3530">
        <v>-6.7240119999999997E-3</v>
      </c>
      <c r="O3530">
        <v>-2.1051820000000001E-3</v>
      </c>
      <c r="P3530">
        <v>0.92158910000000005</v>
      </c>
      <c r="Q3530">
        <v>0.37522349999999999</v>
      </c>
      <c r="R3530">
        <v>9.9403690000000003E-2</v>
      </c>
      <c r="S3530">
        <v>3.3356020000000002</v>
      </c>
      <c r="T3530">
        <v>-0.29380709999999999</v>
      </c>
      <c r="U3530">
        <v>0.36289979999999999</v>
      </c>
      <c r="V3530">
        <v>-0.1016468</v>
      </c>
      <c r="W3530">
        <v>0.38132969999999999</v>
      </c>
      <c r="X3530">
        <v>0.91883389999999998</v>
      </c>
      <c r="Y3530">
        <v>-0.10979079999999999</v>
      </c>
      <c r="Z3530">
        <v>5.3532619999999897E-3</v>
      </c>
      <c r="AA3530">
        <v>0.9939403</v>
      </c>
      <c r="AB3530">
        <v>27</v>
      </c>
      <c r="AC3530">
        <v>12.3469999999999</v>
      </c>
      <c r="AD3530">
        <v>-1.1104337247210001</v>
      </c>
      <c r="AE3530">
        <v>1.3716999999999999</v>
      </c>
      <c r="AF3530">
        <v>-1.3866115036994899</v>
      </c>
      <c r="AG3530">
        <v>-1.1104337247210001</v>
      </c>
      <c r="AH3530">
        <v>12.246240087917901</v>
      </c>
      <c r="AI3530">
        <v>95.148434451223807</v>
      </c>
      <c r="AJ3530">
        <v>96.459946759139797</v>
      </c>
      <c r="AK3530">
        <v>12.374415170428</v>
      </c>
      <c r="AL3530">
        <v>67.583930065106799</v>
      </c>
      <c r="AM3530">
        <v>96.312727095932303</v>
      </c>
      <c r="AN3530">
        <v>1.00000007392076</v>
      </c>
    </row>
    <row r="3531" spans="1:40" x14ac:dyDescent="0.25">
      <c r="A3531" t="str">
        <f>"20190304164921313"</f>
        <v>20190304164921313</v>
      </c>
      <c r="B3531" t="str">
        <f>"1551689361309321"</f>
        <v>1551689361309321</v>
      </c>
      <c r="C3531" t="s">
        <v>40</v>
      </c>
      <c r="D3531">
        <v>4.3501750000000001</v>
      </c>
      <c r="E3531">
        <v>0.51160209999999995</v>
      </c>
      <c r="F3531" t="s">
        <v>47</v>
      </c>
      <c r="G3531">
        <v>-438.96249999999998</v>
      </c>
      <c r="H3531" s="1">
        <v>6.2126999999999998E-6</v>
      </c>
      <c r="I3531">
        <v>214.37379999999999</v>
      </c>
      <c r="J3531">
        <v>-451.2</v>
      </c>
      <c r="K3531">
        <v>1.1104350000000001</v>
      </c>
      <c r="L3531">
        <v>213.02719999999999</v>
      </c>
      <c r="M3531">
        <v>0.99997579999999997</v>
      </c>
      <c r="N3531">
        <v>-6.7592850000000003E-3</v>
      </c>
      <c r="O3531">
        <v>-1.6713190000000001E-3</v>
      </c>
      <c r="P3531">
        <v>0.92141309999999998</v>
      </c>
      <c r="Q3531">
        <v>0.3756256</v>
      </c>
      <c r="R3531">
        <v>9.9516499999999994E-2</v>
      </c>
      <c r="S3531">
        <v>3.337189</v>
      </c>
      <c r="T3531">
        <v>-0.296622</v>
      </c>
      <c r="U3531">
        <v>0.3596954</v>
      </c>
      <c r="V3531">
        <v>-0.101351</v>
      </c>
      <c r="W3531">
        <v>0.3817661</v>
      </c>
      <c r="X3531">
        <v>0.91868530000000004</v>
      </c>
      <c r="Y3531">
        <v>-0.1083644</v>
      </c>
      <c r="Z3531">
        <v>5.2973059999999999E-3</v>
      </c>
      <c r="AA3531">
        <v>0.99409709999999996</v>
      </c>
      <c r="AB3531">
        <v>27</v>
      </c>
      <c r="AC3531">
        <v>12.237500000000001</v>
      </c>
      <c r="AD3531">
        <v>-1.1104287873000001</v>
      </c>
      <c r="AE3531">
        <v>1.34659999999999</v>
      </c>
      <c r="AF3531">
        <v>-1.3560198416862399</v>
      </c>
      <c r="AG3531">
        <v>-1.1104287873000001</v>
      </c>
      <c r="AH3531">
        <v>12.136499252461901</v>
      </c>
      <c r="AI3531">
        <v>95.195570160349405</v>
      </c>
      <c r="AJ3531">
        <v>96.375257587938606</v>
      </c>
      <c r="AK3531">
        <v>12.2624000916509</v>
      </c>
      <c r="AL3531">
        <v>67.556878781278002</v>
      </c>
      <c r="AM3531">
        <v>96.295514222213299</v>
      </c>
      <c r="AN3531">
        <v>1.00000003037314</v>
      </c>
    </row>
    <row r="3532" spans="1:40" x14ac:dyDescent="0.25">
      <c r="A3532" t="str">
        <f>"20190304164921334"</f>
        <v>20190304164921334</v>
      </c>
      <c r="B3532" t="str">
        <f>"1551689361329817"</f>
        <v>1551689361329817</v>
      </c>
      <c r="C3532" t="s">
        <v>40</v>
      </c>
      <c r="D3532">
        <v>4.3379810000000001</v>
      </c>
      <c r="E3532">
        <v>0.51176650000000001</v>
      </c>
      <c r="F3532" t="s">
        <v>47</v>
      </c>
      <c r="G3532">
        <v>-438.74680000000001</v>
      </c>
      <c r="H3532" s="1">
        <v>6.1182320000000002E-6</v>
      </c>
      <c r="I3532">
        <v>214.36019999999999</v>
      </c>
      <c r="J3532">
        <v>-450.92899999999997</v>
      </c>
      <c r="K3532">
        <v>1.1104179999999999</v>
      </c>
      <c r="L3532">
        <v>213.02719999999999</v>
      </c>
      <c r="M3532">
        <v>0.99997619999999998</v>
      </c>
      <c r="N3532">
        <v>-6.7967399999999999E-3</v>
      </c>
      <c r="O3532">
        <v>-1.2478050000000001E-3</v>
      </c>
      <c r="P3532">
        <v>0.9213382</v>
      </c>
      <c r="Q3532">
        <v>0.37557669999999999</v>
      </c>
      <c r="R3532">
        <v>0.1003913</v>
      </c>
      <c r="S3532">
        <v>3.338654</v>
      </c>
      <c r="T3532">
        <v>-0.29770259999999998</v>
      </c>
      <c r="U3532">
        <v>0.35737609999999997</v>
      </c>
      <c r="V3532">
        <v>-0.1018157</v>
      </c>
      <c r="W3532">
        <v>0.3817564</v>
      </c>
      <c r="X3532">
        <v>0.91863790000000001</v>
      </c>
      <c r="Y3532">
        <v>-0.1072174</v>
      </c>
      <c r="Z3532">
        <v>5.2256960000000002E-3</v>
      </c>
      <c r="AA3532">
        <v>0.99422189999999999</v>
      </c>
      <c r="AB3532">
        <v>27</v>
      </c>
      <c r="AC3532">
        <v>12.1822</v>
      </c>
      <c r="AD3532">
        <v>-1.110411881768</v>
      </c>
      <c r="AE3532">
        <v>1.33299999999999</v>
      </c>
      <c r="AF3532">
        <v>-1.3372216165208199</v>
      </c>
      <c r="AG3532">
        <v>-1.110411881768</v>
      </c>
      <c r="AH3532">
        <v>12.081338315530401</v>
      </c>
      <c r="AI3532">
        <v>95.219678658289894</v>
      </c>
      <c r="AJ3532">
        <v>96.316067826714004</v>
      </c>
      <c r="AK3532">
        <v>12.2057327388881</v>
      </c>
      <c r="AL3532">
        <v>67.557479102429099</v>
      </c>
      <c r="AM3532">
        <v>96.324469828122403</v>
      </c>
      <c r="AN3532">
        <v>0.99999998851192995</v>
      </c>
    </row>
    <row r="3533" spans="1:40" x14ac:dyDescent="0.25">
      <c r="A3533" t="str">
        <f>"20190304164921358"</f>
        <v>20190304164921358</v>
      </c>
      <c r="B3533" t="str">
        <f>"1551689361349337"</f>
        <v>1551689361349337</v>
      </c>
      <c r="C3533" t="s">
        <v>40</v>
      </c>
      <c r="D3533">
        <v>4.3130169999999897</v>
      </c>
      <c r="E3533">
        <v>0.51188710000000004</v>
      </c>
      <c r="F3533" t="s">
        <v>47</v>
      </c>
      <c r="G3533">
        <v>-438.53019999999998</v>
      </c>
      <c r="H3533" s="1">
        <v>6.0226480000000002E-6</v>
      </c>
      <c r="I3533">
        <v>214.3545</v>
      </c>
      <c r="J3533">
        <v>-450.64519999999999</v>
      </c>
      <c r="K3533">
        <v>1.1103769999999999</v>
      </c>
      <c r="L3533">
        <v>213.0273</v>
      </c>
      <c r="M3533">
        <v>0.99997630000000004</v>
      </c>
      <c r="N3533">
        <v>-6.8332269999999999E-3</v>
      </c>
      <c r="O3533">
        <v>-8.6972250000000003E-4</v>
      </c>
      <c r="P3533">
        <v>0.9213597</v>
      </c>
      <c r="Q3533">
        <v>0.37493969999999999</v>
      </c>
      <c r="R3533">
        <v>0.1025512</v>
      </c>
      <c r="S3533">
        <v>3.3390499999999999</v>
      </c>
      <c r="T3533">
        <v>-0.29903809999999997</v>
      </c>
      <c r="U3533">
        <v>0.3574524</v>
      </c>
      <c r="V3533">
        <v>-0.1035909</v>
      </c>
      <c r="W3533">
        <v>0.38116129999999998</v>
      </c>
      <c r="X3533">
        <v>0.91868660000000002</v>
      </c>
      <c r="Y3533">
        <v>-0.10685020000000001</v>
      </c>
      <c r="Z3533">
        <v>5.2000470000000002E-3</v>
      </c>
      <c r="AA3533">
        <v>0.99426150000000002</v>
      </c>
      <c r="AB3533">
        <v>27</v>
      </c>
      <c r="AC3533">
        <v>12.115</v>
      </c>
      <c r="AD3533">
        <v>-1.1103709773520001</v>
      </c>
      <c r="AE3533">
        <v>1.3271999999999999</v>
      </c>
      <c r="AF3533">
        <v>-1.3267238572508699</v>
      </c>
      <c r="AG3533">
        <v>-1.1103709773520001</v>
      </c>
      <c r="AH3533">
        <v>12.014116982467399</v>
      </c>
      <c r="AI3533">
        <v>95.248673915839106</v>
      </c>
      <c r="AJ3533">
        <v>96.301663165487795</v>
      </c>
      <c r="AK3533">
        <v>12.1380446023713</v>
      </c>
      <c r="AL3533">
        <v>67.594366131034803</v>
      </c>
      <c r="AM3533">
        <v>96.433484645763698</v>
      </c>
      <c r="AN3533">
        <v>1.00000004010002</v>
      </c>
    </row>
    <row r="3534" spans="1:40" x14ac:dyDescent="0.25">
      <c r="A3534" t="str">
        <f>"20190304164921381"</f>
        <v>20190304164921381</v>
      </c>
      <c r="B3534" t="str">
        <f>"1551689361369835"</f>
        <v>1551689361369835</v>
      </c>
      <c r="C3534" t="s">
        <v>40</v>
      </c>
      <c r="D3534">
        <v>4.475511</v>
      </c>
      <c r="E3534">
        <v>0.53530789999999995</v>
      </c>
      <c r="F3534" t="s">
        <v>47</v>
      </c>
      <c r="G3534">
        <v>-438.39429999999999</v>
      </c>
      <c r="H3534" s="1">
        <v>5.9626119999999998E-6</v>
      </c>
      <c r="I3534">
        <v>214.3519</v>
      </c>
      <c r="J3534">
        <v>-450.3544</v>
      </c>
      <c r="K3534">
        <v>1.1103209999999999</v>
      </c>
      <c r="L3534">
        <v>213.0274</v>
      </c>
      <c r="M3534">
        <v>0.99997619999999998</v>
      </c>
      <c r="N3534">
        <v>-6.8675430000000003E-3</v>
      </c>
      <c r="O3534">
        <v>-5.7056730000000001E-4</v>
      </c>
      <c r="P3534">
        <v>0.92137599999999997</v>
      </c>
      <c r="Q3534">
        <v>0.37436000000000003</v>
      </c>
      <c r="R3534">
        <v>0.10450329999999999</v>
      </c>
      <c r="S3534">
        <v>3.3390499999999999</v>
      </c>
      <c r="T3534">
        <v>-0.30263699999999999</v>
      </c>
      <c r="U3534">
        <v>0.36103819999999998</v>
      </c>
      <c r="V3534">
        <v>-0.10521510000000001</v>
      </c>
      <c r="W3534">
        <v>0.38062689999999999</v>
      </c>
      <c r="X3534">
        <v>0.91872350000000003</v>
      </c>
      <c r="Y3534">
        <v>-0.1075953</v>
      </c>
      <c r="Z3534">
        <v>5.2708579999999998E-3</v>
      </c>
      <c r="AA3534">
        <v>0.99418079999999998</v>
      </c>
      <c r="AB3534">
        <v>27</v>
      </c>
      <c r="AC3534">
        <v>11.960100000000001</v>
      </c>
      <c r="AD3534">
        <v>-1.110315037388</v>
      </c>
      <c r="AE3534">
        <v>1.3245</v>
      </c>
      <c r="AF3534">
        <v>-1.32008490492621</v>
      </c>
      <c r="AG3534">
        <v>-1.110315037388</v>
      </c>
      <c r="AH3534">
        <v>11.8583811410608</v>
      </c>
      <c r="AI3534">
        <v>95.316430178746899</v>
      </c>
      <c r="AJ3534">
        <v>96.352061295516506</v>
      </c>
      <c r="AK3534">
        <v>11.983181001934801</v>
      </c>
      <c r="AL3534">
        <v>67.627479411936406</v>
      </c>
      <c r="AM3534">
        <v>96.533229494926502</v>
      </c>
      <c r="AN3534">
        <v>0.99999996186193396</v>
      </c>
    </row>
    <row r="3535" spans="1:40" x14ac:dyDescent="0.25">
      <c r="A3535" t="str">
        <f>"20190304164921402"</f>
        <v>20190304164921402</v>
      </c>
      <c r="B3535" t="str">
        <f>"1551689361399112"</f>
        <v>1551689361399112</v>
      </c>
      <c r="C3535" t="s">
        <v>40</v>
      </c>
      <c r="D3535">
        <v>4.2565220000000004</v>
      </c>
      <c r="E3535">
        <v>0.54703199999999996</v>
      </c>
      <c r="F3535" t="s">
        <v>47</v>
      </c>
      <c r="G3535">
        <v>-439.07400000000001</v>
      </c>
      <c r="H3535" s="1">
        <v>6.3263540000000001E-6</v>
      </c>
      <c r="I3535">
        <v>213.63939999999999</v>
      </c>
      <c r="J3535">
        <v>-450.10140000000001</v>
      </c>
      <c r="K3535">
        <v>1.1102609999999999</v>
      </c>
      <c r="L3535">
        <v>213.0274</v>
      </c>
      <c r="M3535">
        <v>0.99997619999999998</v>
      </c>
      <c r="N3535">
        <v>-6.8954749999999999E-3</v>
      </c>
      <c r="O3535">
        <v>-3.766353E-4</v>
      </c>
      <c r="P3535">
        <v>0.92137599999999997</v>
      </c>
      <c r="Q3535">
        <v>0.37379879999999999</v>
      </c>
      <c r="R3535">
        <v>0.1064939</v>
      </c>
      <c r="S3535">
        <v>3.3699949999999999</v>
      </c>
      <c r="T3535">
        <v>-0.33170440000000001</v>
      </c>
      <c r="U3535">
        <v>0.18283079999999999</v>
      </c>
      <c r="V3535">
        <v>-0.106979</v>
      </c>
      <c r="W3535">
        <v>0.38010389999999999</v>
      </c>
      <c r="X3535">
        <v>0.91873640000000001</v>
      </c>
      <c r="Y3535">
        <v>-5.4267469999999998E-2</v>
      </c>
      <c r="Z3535">
        <v>2.8844449999999998E-3</v>
      </c>
      <c r="AA3535">
        <v>0.99852229999999997</v>
      </c>
      <c r="AB3535">
        <v>27</v>
      </c>
      <c r="AC3535">
        <v>11.0274</v>
      </c>
      <c r="AD3535">
        <v>-1.1102546736459999</v>
      </c>
      <c r="AE3535">
        <v>0.61199999999999399</v>
      </c>
      <c r="AF3535">
        <v>-0.60998903997920695</v>
      </c>
      <c r="AG3535">
        <v>-1.1102546736459999</v>
      </c>
      <c r="AH3535">
        <v>10.9168470987804</v>
      </c>
      <c r="AI3535">
        <v>95.798091726167002</v>
      </c>
      <c r="AJ3535">
        <v>93.198129709007205</v>
      </c>
      <c r="AK3535">
        <v>10.9901002109806</v>
      </c>
      <c r="AL3535">
        <v>67.6598820247427</v>
      </c>
      <c r="AM3535">
        <v>96.641694117637797</v>
      </c>
      <c r="AN3535">
        <v>1.00000002696058</v>
      </c>
    </row>
    <row r="3536" spans="1:40" x14ac:dyDescent="0.25">
      <c r="A3536" t="str">
        <f>"20190304164921424"</f>
        <v>20190304164921424</v>
      </c>
      <c r="B3536" t="str">
        <f>"1551689361419609"</f>
        <v>1551689361419609</v>
      </c>
      <c r="C3536" t="s">
        <v>40</v>
      </c>
      <c r="D3536">
        <v>4.2614720000000004</v>
      </c>
      <c r="E3536">
        <v>0.5493574</v>
      </c>
      <c r="F3536" t="s">
        <v>41</v>
      </c>
      <c r="G3536">
        <v>-449.21379999999999</v>
      </c>
      <c r="H3536">
        <v>1.0215890000000001</v>
      </c>
      <c r="I3536">
        <v>213.0523</v>
      </c>
      <c r="J3536">
        <v>-449.83159999999998</v>
      </c>
      <c r="K3536">
        <v>1.1102050000000001</v>
      </c>
      <c r="L3536">
        <v>213.0275</v>
      </c>
      <c r="M3536">
        <v>0.99997599999999998</v>
      </c>
      <c r="N3536">
        <v>-6.9229670000000004E-3</v>
      </c>
      <c r="O3536">
        <v>-2.458087E-4</v>
      </c>
      <c r="P3536">
        <v>0.92161550000000003</v>
      </c>
      <c r="Q3536">
        <v>0.37270120000000001</v>
      </c>
      <c r="R3536">
        <v>0.1082529</v>
      </c>
      <c r="S3536">
        <v>3.3819889999999999</v>
      </c>
      <c r="T3536">
        <v>-0.33792850000000002</v>
      </c>
      <c r="U3536">
        <v>9.6527100000000005E-2</v>
      </c>
      <c r="V3536">
        <v>-0.1085656</v>
      </c>
      <c r="W3536">
        <v>0.37904779999999999</v>
      </c>
      <c r="X3536">
        <v>0.91898659999999999</v>
      </c>
      <c r="Y3536">
        <v>-2.8622229999999999E-2</v>
      </c>
      <c r="Z3536">
        <v>1.5482860000000001E-3</v>
      </c>
      <c r="AA3536">
        <v>0.99958910000000001</v>
      </c>
      <c r="AB3536">
        <v>27</v>
      </c>
      <c r="AC3536">
        <v>0.61779999999998803</v>
      </c>
      <c r="AD3536">
        <v>-8.8616E-2</v>
      </c>
      <c r="AE3536">
        <v>2.4799999999999E-2</v>
      </c>
      <c r="AF3536">
        <v>-2.4449634736051998E-2</v>
      </c>
      <c r="AG3536">
        <v>-8.8616E-2</v>
      </c>
      <c r="AH3536">
        <v>0.60535898772399799</v>
      </c>
      <c r="AI3536">
        <v>98.321451812627103</v>
      </c>
      <c r="AJ3536">
        <v>92.312842361394502</v>
      </c>
      <c r="AK3536">
        <v>0.61229901528007502</v>
      </c>
      <c r="AL3536">
        <v>67.725287449721804</v>
      </c>
      <c r="AM3536">
        <v>96.737479294078298</v>
      </c>
      <c r="AN3536">
        <v>1.00000004758387</v>
      </c>
    </row>
    <row r="3537" spans="1:40" x14ac:dyDescent="0.25">
      <c r="A3537" t="str">
        <f>"20190304164921448"</f>
        <v>20190304164921448</v>
      </c>
      <c r="B3537" t="str">
        <f>"1551689361439128"</f>
        <v>1551689361439128</v>
      </c>
      <c r="C3537" t="s">
        <v>40</v>
      </c>
      <c r="D3537">
        <v>4.2299170000000004</v>
      </c>
      <c r="E3537">
        <v>0.55077640000000005</v>
      </c>
      <c r="F3537" t="s">
        <v>41</v>
      </c>
      <c r="G3537">
        <v>-448.96589999999998</v>
      </c>
      <c r="H3537">
        <v>1.023126</v>
      </c>
      <c r="I3537">
        <v>213.04910000000001</v>
      </c>
      <c r="J3537">
        <v>-449.524</v>
      </c>
      <c r="K3537">
        <v>1.1101379999999901</v>
      </c>
      <c r="L3537">
        <v>213.0275</v>
      </c>
      <c r="M3537">
        <v>0.99997579999999997</v>
      </c>
      <c r="N3537">
        <v>-6.9545029999999999E-3</v>
      </c>
      <c r="O3537">
        <v>-1.8715950000000001E-4</v>
      </c>
      <c r="P3537">
        <v>0.92237990000000003</v>
      </c>
      <c r="Q3537">
        <v>0.37052629999999998</v>
      </c>
      <c r="R3537">
        <v>0.1092055</v>
      </c>
      <c r="S3537">
        <v>3.3827820000000002</v>
      </c>
      <c r="T3537">
        <v>-0.3402731</v>
      </c>
      <c r="U3537">
        <v>8.4655759999999997E-2</v>
      </c>
      <c r="V3537">
        <v>-0.10940950000000001</v>
      </c>
      <c r="W3537">
        <v>0.37692310000000001</v>
      </c>
      <c r="X3537">
        <v>0.91976000000000002</v>
      </c>
      <c r="Y3537">
        <v>-2.5068719999999999E-2</v>
      </c>
      <c r="Z3537">
        <v>1.3623559999999999E-3</v>
      </c>
      <c r="AA3537">
        <v>0.99968480000000004</v>
      </c>
      <c r="AB3537">
        <v>28</v>
      </c>
      <c r="AC3537">
        <v>0.55810000000002402</v>
      </c>
      <c r="AD3537">
        <v>-8.7011999999999798E-2</v>
      </c>
      <c r="AE3537">
        <v>2.1600000000006499E-2</v>
      </c>
      <c r="AF3537">
        <v>-2.1190153737012201E-2</v>
      </c>
      <c r="AG3537">
        <v>-8.7011999999999798E-2</v>
      </c>
      <c r="AH3537">
        <v>0.54487147712420902</v>
      </c>
      <c r="AI3537">
        <v>99.066369218353998</v>
      </c>
      <c r="AJ3537">
        <v>92.227121241956596</v>
      </c>
      <c r="AK3537">
        <v>0.552182069016113</v>
      </c>
      <c r="AL3537">
        <v>67.856776933807097</v>
      </c>
      <c r="AM3537">
        <v>96.783708161170694</v>
      </c>
      <c r="AN3537">
        <v>0.99999995980192902</v>
      </c>
    </row>
    <row r="3538" spans="1:40" x14ac:dyDescent="0.25">
      <c r="A3538" t="str">
        <f>"20190304164921470"</f>
        <v>20190304164921470</v>
      </c>
      <c r="B3538" t="str">
        <f>"1551689361459625"</f>
        <v>1551689361459625</v>
      </c>
      <c r="C3538" t="s">
        <v>40</v>
      </c>
      <c r="D3538">
        <v>4.2881419999999997</v>
      </c>
      <c r="E3538">
        <v>0.55148339999999996</v>
      </c>
      <c r="F3538" t="s">
        <v>41</v>
      </c>
      <c r="G3538">
        <v>-448.71620000000001</v>
      </c>
      <c r="H3538">
        <v>1.0263100000000001</v>
      </c>
      <c r="I3538">
        <v>213.04599999999999</v>
      </c>
      <c r="J3538">
        <v>-449.25630000000001</v>
      </c>
      <c r="K3538">
        <v>1.1100749999999999</v>
      </c>
      <c r="L3538">
        <v>213.0274</v>
      </c>
      <c r="M3538">
        <v>0.99997559999999996</v>
      </c>
      <c r="N3538">
        <v>-6.9846919999999998E-3</v>
      </c>
      <c r="O3538">
        <v>-2.1534209999999999E-4</v>
      </c>
      <c r="P3538">
        <v>0.92290629999999996</v>
      </c>
      <c r="Q3538">
        <v>0.36905349999999998</v>
      </c>
      <c r="R3538">
        <v>0.1097436</v>
      </c>
      <c r="S3538">
        <v>3.3841860000000001</v>
      </c>
      <c r="T3538">
        <v>-0.351298</v>
      </c>
      <c r="U3538">
        <v>7.9513550000000002E-2</v>
      </c>
      <c r="V3538">
        <v>-0.10992780000000001</v>
      </c>
      <c r="W3538">
        <v>0.37549510000000003</v>
      </c>
      <c r="X3538">
        <v>0.92028220000000005</v>
      </c>
      <c r="Y3538">
        <v>-2.3568289999999999E-2</v>
      </c>
      <c r="Z3538">
        <v>1.3231639999999999E-3</v>
      </c>
      <c r="AA3538">
        <v>0.99972130000000003</v>
      </c>
      <c r="AB3538">
        <v>28</v>
      </c>
      <c r="AC3538">
        <v>0.54009999999999503</v>
      </c>
      <c r="AD3538">
        <v>-8.3764999999999798E-2</v>
      </c>
      <c r="AE3538">
        <v>1.8599999999992099E-2</v>
      </c>
      <c r="AF3538">
        <v>-1.8277200275068101E-2</v>
      </c>
      <c r="AG3538">
        <v>-8.3764999999999798E-2</v>
      </c>
      <c r="AH3538">
        <v>0.527424643607453</v>
      </c>
      <c r="AI3538">
        <v>99.018957082940005</v>
      </c>
      <c r="AJ3538">
        <v>91.984714902601795</v>
      </c>
      <c r="AK3538">
        <v>0.53434762651231404</v>
      </c>
      <c r="AL3538">
        <v>67.9450838800268</v>
      </c>
      <c r="AM3538">
        <v>96.811711655221998</v>
      </c>
      <c r="AN3538">
        <v>1.00000000948684</v>
      </c>
    </row>
    <row r="3539" spans="1:40" x14ac:dyDescent="0.25">
      <c r="A3539" t="str">
        <f>"20190304164921491"</f>
        <v>20190304164921491</v>
      </c>
      <c r="B3539" t="str">
        <f>"1551689361488905"</f>
        <v>1551689361488905</v>
      </c>
      <c r="C3539" t="s">
        <v>40</v>
      </c>
      <c r="D3539">
        <v>4.2424429999999997</v>
      </c>
      <c r="E3539">
        <v>0.55300689999999997</v>
      </c>
      <c r="F3539" t="s">
        <v>41</v>
      </c>
      <c r="G3539">
        <v>-448.4674</v>
      </c>
      <c r="H3539">
        <v>1.02651</v>
      </c>
      <c r="I3539">
        <v>213.04580000000001</v>
      </c>
      <c r="J3539">
        <v>-448.98649999999998</v>
      </c>
      <c r="K3539">
        <v>1.110023</v>
      </c>
      <c r="L3539">
        <v>213.0273</v>
      </c>
      <c r="M3539">
        <v>0.99997550000000002</v>
      </c>
      <c r="N3539">
        <v>-7.0152819999999899E-3</v>
      </c>
      <c r="O3539">
        <v>-3.1338850000000001E-4</v>
      </c>
      <c r="P3539">
        <v>0.92334760000000005</v>
      </c>
      <c r="Q3539">
        <v>0.36811460000000001</v>
      </c>
      <c r="R3539">
        <v>0.1091845</v>
      </c>
      <c r="S3539">
        <v>3.3845519999999998</v>
      </c>
      <c r="T3539">
        <v>-0.35844549999999997</v>
      </c>
      <c r="U3539">
        <v>7.9376219999999997E-2</v>
      </c>
      <c r="V3539">
        <v>-0.1094145</v>
      </c>
      <c r="W3539">
        <v>0.3746005</v>
      </c>
      <c r="X3539">
        <v>0.92070790000000002</v>
      </c>
      <c r="Y3539">
        <v>-2.3617030000000001E-2</v>
      </c>
      <c r="Z3539">
        <v>1.360939E-3</v>
      </c>
      <c r="AA3539">
        <v>0.99972019999999995</v>
      </c>
      <c r="AB3539">
        <v>28</v>
      </c>
      <c r="AC3539">
        <v>0.51909999999998002</v>
      </c>
      <c r="AD3539">
        <v>-8.3512999999999907E-2</v>
      </c>
      <c r="AE3539">
        <v>1.8500000000017201E-2</v>
      </c>
      <c r="AF3539">
        <v>-1.8192415263356802E-2</v>
      </c>
      <c r="AG3539">
        <v>-8.3512999999999907E-2</v>
      </c>
      <c r="AH3539">
        <v>0.50601388893964805</v>
      </c>
      <c r="AI3539">
        <v>99.365724051685604</v>
      </c>
      <c r="AJ3539">
        <v>92.059034109159001</v>
      </c>
      <c r="AK3539">
        <v>0.51318168414504095</v>
      </c>
      <c r="AL3539">
        <v>68.000377755007904</v>
      </c>
      <c r="AM3539">
        <v>96.777095908214605</v>
      </c>
      <c r="AN3539">
        <v>1.0000000522664501</v>
      </c>
    </row>
    <row r="3540" spans="1:40" x14ac:dyDescent="0.25">
      <c r="A3540" t="str">
        <f>"20190304164921514"</f>
        <v>20190304164921514</v>
      </c>
      <c r="B3540" t="str">
        <f>"1551689361509401"</f>
        <v>1551689361509401</v>
      </c>
      <c r="C3540" t="s">
        <v>40</v>
      </c>
      <c r="D3540">
        <v>4.1954440000000002</v>
      </c>
      <c r="E3540">
        <v>0.55375559999999902</v>
      </c>
      <c r="F3540" t="s">
        <v>41</v>
      </c>
      <c r="G3540">
        <v>-448.21690000000001</v>
      </c>
      <c r="H3540">
        <v>1.028653</v>
      </c>
      <c r="I3540">
        <v>213.04230000000001</v>
      </c>
      <c r="J3540">
        <v>-448.71550000000002</v>
      </c>
      <c r="K3540">
        <v>1.109979</v>
      </c>
      <c r="L3540">
        <v>213.02709999999999</v>
      </c>
      <c r="M3540">
        <v>0.99997510000000001</v>
      </c>
      <c r="N3540">
        <v>-7.0441810000000001E-3</v>
      </c>
      <c r="O3540">
        <v>-4.6994030000000001E-4</v>
      </c>
      <c r="P3540">
        <v>0.92329419999999995</v>
      </c>
      <c r="Q3540">
        <v>0.36854700000000001</v>
      </c>
      <c r="R3540">
        <v>0.10817300000000001</v>
      </c>
      <c r="S3540">
        <v>3.3837890000000002</v>
      </c>
      <c r="T3540">
        <v>-0.35803479999999999</v>
      </c>
      <c r="U3540">
        <v>6.7764279999999996E-2</v>
      </c>
      <c r="V3540">
        <v>-0.1085058</v>
      </c>
      <c r="W3540">
        <v>0.37507079999999998</v>
      </c>
      <c r="X3540">
        <v>0.92062390000000005</v>
      </c>
      <c r="Y3540">
        <v>-2.0368440000000002E-2</v>
      </c>
      <c r="Z3540">
        <v>1.1927140000000001E-3</v>
      </c>
      <c r="AA3540">
        <v>0.99979180000000001</v>
      </c>
      <c r="AB3540">
        <v>28</v>
      </c>
      <c r="AC3540">
        <v>0.49860000000000998</v>
      </c>
      <c r="AD3540">
        <v>-8.1325999999999996E-2</v>
      </c>
      <c r="AE3540">
        <v>1.52000000000214E-2</v>
      </c>
      <c r="AF3540">
        <v>-1.5034697892073399E-2</v>
      </c>
      <c r="AG3540">
        <v>-8.1325999999999996E-2</v>
      </c>
      <c r="AH3540">
        <v>0.485683458056893</v>
      </c>
      <c r="AI3540">
        <v>99.501322584146394</v>
      </c>
      <c r="AJ3540">
        <v>91.773067876520201</v>
      </c>
      <c r="AK3540">
        <v>0.49267472215124603</v>
      </c>
      <c r="AL3540">
        <v>67.971310979533698</v>
      </c>
      <c r="AM3540">
        <v>96.721936084179404</v>
      </c>
      <c r="AN3540">
        <v>0.99999998944874502</v>
      </c>
    </row>
    <row r="3541" spans="1:40" x14ac:dyDescent="0.25">
      <c r="A3541" t="str">
        <f>"20190304164921536"</f>
        <v>20190304164921536</v>
      </c>
      <c r="B3541" t="str">
        <f>"1551689361528921"</f>
        <v>1551689361528921</v>
      </c>
      <c r="C3541" t="s">
        <v>40</v>
      </c>
      <c r="D3541">
        <v>4.2370989999999997</v>
      </c>
      <c r="E3541">
        <v>0.55440179999999994</v>
      </c>
      <c r="F3541" t="s">
        <v>41</v>
      </c>
      <c r="G3541">
        <v>-447.96480000000003</v>
      </c>
      <c r="H3541">
        <v>1.0312059999999901</v>
      </c>
      <c r="I3541">
        <v>213.04079999999999</v>
      </c>
      <c r="J3541">
        <v>-448.4264</v>
      </c>
      <c r="K3541">
        <v>1.1099540000000001</v>
      </c>
      <c r="L3541">
        <v>213.02670000000001</v>
      </c>
      <c r="M3541">
        <v>0.9999749</v>
      </c>
      <c r="N3541">
        <v>-7.0729900000000004E-3</v>
      </c>
      <c r="O3541">
        <v>-6.8247710000000005E-4</v>
      </c>
      <c r="P3541">
        <v>0.92318860000000003</v>
      </c>
      <c r="Q3541">
        <v>0.36942190000000003</v>
      </c>
      <c r="R3541">
        <v>0.10606839999999999</v>
      </c>
      <c r="S3541">
        <v>3.3836979999999999</v>
      </c>
      <c r="T3541">
        <v>-0.35510910000000001</v>
      </c>
      <c r="U3541">
        <v>6.1889649999999997E-2</v>
      </c>
      <c r="V3541">
        <v>-0.1065605</v>
      </c>
      <c r="W3541">
        <v>0.37598120000000002</v>
      </c>
      <c r="X3541">
        <v>0.92047979999999996</v>
      </c>
      <c r="Y3541">
        <v>-1.8856060000000001E-2</v>
      </c>
      <c r="Z3541">
        <v>1.120146E-3</v>
      </c>
      <c r="AA3541">
        <v>0.99982159999999998</v>
      </c>
      <c r="AB3541">
        <v>28</v>
      </c>
      <c r="AC3541">
        <v>0.46159999999997497</v>
      </c>
      <c r="AD3541">
        <v>-7.8748000000000207E-2</v>
      </c>
      <c r="AE3541">
        <v>1.4099999999984901E-2</v>
      </c>
      <c r="AF3541">
        <v>-1.40077396511729E-2</v>
      </c>
      <c r="AG3541">
        <v>-7.8748000000000207E-2</v>
      </c>
      <c r="AH3541">
        <v>0.44854805270069298</v>
      </c>
      <c r="AI3541">
        <v>99.952731804677498</v>
      </c>
      <c r="AJ3541">
        <v>91.788712719039495</v>
      </c>
      <c r="AK3541">
        <v>0.45562355059381898</v>
      </c>
      <c r="AL3541">
        <v>67.915030784173595</v>
      </c>
      <c r="AM3541">
        <v>96.603522806850194</v>
      </c>
      <c r="AN3541">
        <v>1.00000003256086</v>
      </c>
    </row>
    <row r="3542" spans="1:40" x14ac:dyDescent="0.25">
      <c r="A3542" t="str">
        <f>"20190304164921559"</f>
        <v>20190304164921559</v>
      </c>
      <c r="B3542" t="str">
        <f>"1551689361549417"</f>
        <v>1551689361549417</v>
      </c>
      <c r="C3542" t="s">
        <v>40</v>
      </c>
      <c r="D3542">
        <v>4.2002040000000003</v>
      </c>
      <c r="E3542">
        <v>0.55494109999999996</v>
      </c>
      <c r="F3542" t="s">
        <v>41</v>
      </c>
      <c r="G3542">
        <v>-447.47340000000003</v>
      </c>
      <c r="H3542">
        <v>1.0109900000000001</v>
      </c>
      <c r="I3542">
        <v>213.04150000000001</v>
      </c>
      <c r="J3542">
        <v>-448.13889999999998</v>
      </c>
      <c r="K3542">
        <v>1.1099209999999999</v>
      </c>
      <c r="L3542">
        <v>213.02629999999999</v>
      </c>
      <c r="M3542">
        <v>0.99997440000000004</v>
      </c>
      <c r="N3542">
        <v>-7.0995379999999999E-3</v>
      </c>
      <c r="O3542">
        <v>-9.2505219999999995E-4</v>
      </c>
      <c r="P3542">
        <v>0.9235447</v>
      </c>
      <c r="Q3542">
        <v>0.36930459999999998</v>
      </c>
      <c r="R3542">
        <v>0.1033419</v>
      </c>
      <c r="S3542">
        <v>3.3841860000000001</v>
      </c>
      <c r="T3542">
        <v>-0.35140399999999999</v>
      </c>
      <c r="U3542">
        <v>5.2810669999999997E-2</v>
      </c>
      <c r="V3542">
        <v>-0.1040336</v>
      </c>
      <c r="W3542">
        <v>0.37589679999999998</v>
      </c>
      <c r="X3542">
        <v>0.92080320000000004</v>
      </c>
      <c r="Y3542">
        <v>-1.6429490000000001E-2</v>
      </c>
      <c r="Z3542">
        <v>9.9838990000000001E-4</v>
      </c>
      <c r="AA3542">
        <v>0.99986450000000004</v>
      </c>
      <c r="AB3542">
        <v>28</v>
      </c>
      <c r="AC3542">
        <v>0.66549999999995102</v>
      </c>
      <c r="AD3542">
        <v>-9.8930999999999797E-2</v>
      </c>
      <c r="AE3542">
        <v>1.52000000000214E-2</v>
      </c>
      <c r="AF3542">
        <v>-1.54738558880244E-2</v>
      </c>
      <c r="AG3542">
        <v>-9.8930999999999797E-2</v>
      </c>
      <c r="AH3542">
        <v>0.651104527909245</v>
      </c>
      <c r="AI3542">
        <v>98.637227753753805</v>
      </c>
      <c r="AJ3542">
        <v>91.361409326209795</v>
      </c>
      <c r="AK3542">
        <v>0.65875935609368297</v>
      </c>
      <c r="AL3542">
        <v>67.920247757930596</v>
      </c>
      <c r="AM3542">
        <v>96.446020606170507</v>
      </c>
      <c r="AN3542">
        <v>0.99999996365471899</v>
      </c>
    </row>
    <row r="3543" spans="1:40" x14ac:dyDescent="0.25">
      <c r="A3543" t="str">
        <f>"20190304164921580"</f>
        <v>20190304164921580</v>
      </c>
      <c r="B3543" t="str">
        <f>"1551689361568937"</f>
        <v>1551689361568937</v>
      </c>
      <c r="C3543" t="s">
        <v>40</v>
      </c>
      <c r="D3543">
        <v>4.1942909999999998</v>
      </c>
      <c r="E3543">
        <v>0.55538339999999997</v>
      </c>
      <c r="F3543" t="s">
        <v>41</v>
      </c>
      <c r="G3543">
        <v>-447.21949999999998</v>
      </c>
      <c r="H3543">
        <v>1.014437</v>
      </c>
      <c r="I3543">
        <v>213.03749999999999</v>
      </c>
      <c r="J3543">
        <v>-447.87380000000002</v>
      </c>
      <c r="K3543">
        <v>1.1099049999999999</v>
      </c>
      <c r="L3543">
        <v>213.0258</v>
      </c>
      <c r="M3543">
        <v>0.99997400000000003</v>
      </c>
      <c r="N3543">
        <v>-7.1223390000000001E-3</v>
      </c>
      <c r="O3543">
        <v>-1.1627390000000001E-3</v>
      </c>
      <c r="P3543">
        <v>0.92361780000000004</v>
      </c>
      <c r="Q3543">
        <v>0.36987789999999998</v>
      </c>
      <c r="R3543">
        <v>0.1005996</v>
      </c>
      <c r="S3543">
        <v>3.3841549999999998</v>
      </c>
      <c r="T3543">
        <v>-0.3515993</v>
      </c>
      <c r="U3543">
        <v>4.2694089999999997E-2</v>
      </c>
      <c r="V3543">
        <v>-0.1014965</v>
      </c>
      <c r="W3543">
        <v>0.37649369999999999</v>
      </c>
      <c r="X3543">
        <v>0.92084250000000001</v>
      </c>
      <c r="Y3543">
        <v>-1.369334E-2</v>
      </c>
      <c r="Z3543">
        <v>8.7052349999999995E-4</v>
      </c>
      <c r="AA3543">
        <v>0.99990590000000001</v>
      </c>
      <c r="AB3543">
        <v>28</v>
      </c>
      <c r="AC3543">
        <v>0.65430000000003397</v>
      </c>
      <c r="AD3543">
        <v>-9.5467999999999803E-2</v>
      </c>
      <c r="AE3543">
        <v>1.16999999999904E-2</v>
      </c>
      <c r="AF3543">
        <v>-1.2201120936878199E-2</v>
      </c>
      <c r="AG3543">
        <v>-9.5467999999999803E-2</v>
      </c>
      <c r="AH3543">
        <v>0.64065128231712098</v>
      </c>
      <c r="AI3543">
        <v>98.4741668598149</v>
      </c>
      <c r="AJ3543">
        <v>91.091058822707595</v>
      </c>
      <c r="AK3543">
        <v>0.64784031358868699</v>
      </c>
      <c r="AL3543">
        <v>67.883336740279503</v>
      </c>
      <c r="AM3543">
        <v>96.289828771700599</v>
      </c>
      <c r="AN3543">
        <v>0.99999997772909399</v>
      </c>
    </row>
    <row r="3544" spans="1:40" x14ac:dyDescent="0.25">
      <c r="A3544" t="str">
        <f>"20190304164921602"</f>
        <v>20190304164921602</v>
      </c>
      <c r="B3544" t="str">
        <f>"1551689361599193"</f>
        <v>1551689361599193</v>
      </c>
      <c r="C3544" t="s">
        <v>40</v>
      </c>
      <c r="D3544">
        <v>4.1814920000000004</v>
      </c>
      <c r="E3544">
        <v>0.55587310000000001</v>
      </c>
      <c r="F3544" t="s">
        <v>41</v>
      </c>
      <c r="G3544">
        <v>-446.9658</v>
      </c>
      <c r="H3544">
        <v>1.0162249999999999</v>
      </c>
      <c r="I3544">
        <v>213.0342</v>
      </c>
      <c r="J3544">
        <v>-447.59589999999997</v>
      </c>
      <c r="K3544">
        <v>1.1098969999999999</v>
      </c>
      <c r="L3544">
        <v>213.02520000000001</v>
      </c>
      <c r="M3544">
        <v>0.99997349999999996</v>
      </c>
      <c r="N3544">
        <v>-7.1445099999999997E-3</v>
      </c>
      <c r="O3544">
        <v>-1.418E-3</v>
      </c>
      <c r="P3544">
        <v>0.92398530000000001</v>
      </c>
      <c r="Q3544">
        <v>0.36963509999999999</v>
      </c>
      <c r="R3544">
        <v>9.8087439999999998E-2</v>
      </c>
      <c r="S3544">
        <v>3.3844599999999998</v>
      </c>
      <c r="T3544">
        <v>-0.3493193</v>
      </c>
      <c r="U3544">
        <v>3.2455440000000002E-2</v>
      </c>
      <c r="V3544">
        <v>-9.9213659999999995E-2</v>
      </c>
      <c r="W3544">
        <v>0.37627460000000001</v>
      </c>
      <c r="X3544">
        <v>0.92118080000000002</v>
      </c>
      <c r="Y3544">
        <v>-1.0938389999999999E-2</v>
      </c>
      <c r="Z3544">
        <v>7.3802820000000002E-4</v>
      </c>
      <c r="AA3544">
        <v>0.99993989999999999</v>
      </c>
      <c r="AB3544">
        <v>28</v>
      </c>
      <c r="AC3544">
        <v>0.63009999999997002</v>
      </c>
      <c r="AD3544">
        <v>-9.3671999999999894E-2</v>
      </c>
      <c r="AE3544">
        <v>8.9999999999861302E-3</v>
      </c>
      <c r="AF3544">
        <v>-9.6796155478364506E-3</v>
      </c>
      <c r="AG3544">
        <v>-9.3671999999999894E-2</v>
      </c>
      <c r="AH3544">
        <v>0.61646523932286801</v>
      </c>
      <c r="AI3544">
        <v>98.6389633548809</v>
      </c>
      <c r="AJ3544">
        <v>90.899573100356903</v>
      </c>
      <c r="AK3544">
        <v>0.62361649259344798</v>
      </c>
      <c r="AL3544">
        <v>67.896887072902999</v>
      </c>
      <c r="AM3544">
        <v>96.147214307973897</v>
      </c>
      <c r="AN3544">
        <v>0.99999999561219699</v>
      </c>
    </row>
    <row r="3545" spans="1:40" x14ac:dyDescent="0.25">
      <c r="A3545" t="str">
        <f>"20190304164921624"</f>
        <v>20190304164921624</v>
      </c>
      <c r="B3545" t="str">
        <f>"1551689361619689"</f>
        <v>1551689361619689</v>
      </c>
      <c r="C3545" t="s">
        <v>40</v>
      </c>
      <c r="D3545">
        <v>4.182086</v>
      </c>
      <c r="E3545">
        <v>0.55605349999999998</v>
      </c>
      <c r="F3545" t="s">
        <v>41</v>
      </c>
      <c r="G3545">
        <v>-446.71100000000001</v>
      </c>
      <c r="H3545">
        <v>1.0187520000000001</v>
      </c>
      <c r="I3545">
        <v>213.03020000000001</v>
      </c>
      <c r="J3545">
        <v>-447.31380000000001</v>
      </c>
      <c r="K3545">
        <v>1.1098969999999999</v>
      </c>
      <c r="L3545">
        <v>213.02449999999999</v>
      </c>
      <c r="M3545">
        <v>0.999973</v>
      </c>
      <c r="N3545">
        <v>-7.1655629999999998E-3</v>
      </c>
      <c r="O3545">
        <v>-1.6739120000000001E-3</v>
      </c>
      <c r="P3545">
        <v>0.92450659999999896</v>
      </c>
      <c r="Q3545">
        <v>0.36894529999999998</v>
      </c>
      <c r="R3545">
        <v>9.5744609999999994E-2</v>
      </c>
      <c r="S3545">
        <v>3.3841860000000001</v>
      </c>
      <c r="T3545">
        <v>-0.34866629999999998</v>
      </c>
      <c r="U3545">
        <v>2.0339969999999999E-2</v>
      </c>
      <c r="V3545">
        <v>-9.7107020000000002E-2</v>
      </c>
      <c r="W3545">
        <v>0.37560690000000002</v>
      </c>
      <c r="X3545">
        <v>0.92167759999999999</v>
      </c>
      <c r="Y3545">
        <v>-7.63320699999999E-3</v>
      </c>
      <c r="Z3545">
        <v>5.7964029999999997E-4</v>
      </c>
      <c r="AA3545">
        <v>0.99997069999999999</v>
      </c>
      <c r="AB3545">
        <v>28</v>
      </c>
      <c r="AC3545">
        <v>0.602800000000002</v>
      </c>
      <c r="AD3545">
        <v>-9.1144999999999796E-2</v>
      </c>
      <c r="AE3545">
        <v>5.7000000000186901E-3</v>
      </c>
      <c r="AF3545">
        <v>-6.5591093247157001E-3</v>
      </c>
      <c r="AG3545">
        <v>-9.1144999999999796E-2</v>
      </c>
      <c r="AH3545">
        <v>0.58931768277531105</v>
      </c>
      <c r="AI3545">
        <v>98.791279516450004</v>
      </c>
      <c r="AJ3545">
        <v>90.637676037495396</v>
      </c>
      <c r="AK3545">
        <v>0.59636043142699802</v>
      </c>
      <c r="AL3545">
        <v>67.9381710887899</v>
      </c>
      <c r="AM3545">
        <v>96.014436441550899</v>
      </c>
      <c r="AN3545">
        <v>0.99999995750132398</v>
      </c>
    </row>
    <row r="3546" spans="1:40" x14ac:dyDescent="0.25">
      <c r="A3546" t="str">
        <f>"20190304164921648"</f>
        <v>20190304164921648</v>
      </c>
      <c r="B3546" t="str">
        <f>"1551689361639209"</f>
        <v>1551689361639209</v>
      </c>
      <c r="C3546" t="s">
        <v>40</v>
      </c>
      <c r="D3546">
        <v>4.2166680000000003</v>
      </c>
      <c r="E3546">
        <v>0.55609200000000003</v>
      </c>
      <c r="F3546" t="s">
        <v>41</v>
      </c>
      <c r="G3546">
        <v>-446.4556</v>
      </c>
      <c r="H3546">
        <v>1.0209220000000001</v>
      </c>
      <c r="I3546">
        <v>213.02719999999999</v>
      </c>
      <c r="J3546">
        <v>-446.99810000000002</v>
      </c>
      <c r="K3546">
        <v>1.1099030000000001</v>
      </c>
      <c r="L3546">
        <v>213.02369999999999</v>
      </c>
      <c r="M3546">
        <v>0.99997230000000004</v>
      </c>
      <c r="N3546">
        <v>-7.1873390000000001E-3</v>
      </c>
      <c r="O3546">
        <v>-1.946108E-3</v>
      </c>
      <c r="P3546">
        <v>0.92483839999999995</v>
      </c>
      <c r="Q3546">
        <v>0.36871399999999999</v>
      </c>
      <c r="R3546">
        <v>9.3401860000000003E-2</v>
      </c>
      <c r="S3546">
        <v>3.3838810000000001</v>
      </c>
      <c r="T3546">
        <v>-0.35093570000000002</v>
      </c>
      <c r="U3546">
        <v>1.133728E-2</v>
      </c>
      <c r="V3546">
        <v>-9.5020919999999995E-2</v>
      </c>
      <c r="W3546">
        <v>0.37539610000000001</v>
      </c>
      <c r="X3546">
        <v>0.92198089999999999</v>
      </c>
      <c r="Y3546">
        <v>-5.257299E-3</v>
      </c>
      <c r="Z3546">
        <v>4.7816379999999998E-4</v>
      </c>
      <c r="AA3546">
        <v>0.99998609999999999</v>
      </c>
      <c r="AB3546">
        <v>28</v>
      </c>
      <c r="AC3546">
        <v>0.54250000000001797</v>
      </c>
      <c r="AD3546">
        <v>-8.8981000000000199E-2</v>
      </c>
      <c r="AE3546">
        <v>3.5000000000024998E-3</v>
      </c>
      <c r="AF3546">
        <v>-4.4364372519394299E-3</v>
      </c>
      <c r="AG3546">
        <v>-8.8981000000000199E-2</v>
      </c>
      <c r="AH3546">
        <v>0.52828060384003195</v>
      </c>
      <c r="AI3546">
        <v>99.560548623198002</v>
      </c>
      <c r="AJ3546">
        <v>90.481151784685196</v>
      </c>
      <c r="AK3546">
        <v>0.535740325839001</v>
      </c>
      <c r="AL3546">
        <v>67.951203503902406</v>
      </c>
      <c r="AM3546">
        <v>95.884225669236798</v>
      </c>
      <c r="AN3546">
        <v>0.99999999354883295</v>
      </c>
    </row>
    <row r="3547" spans="1:40" x14ac:dyDescent="0.25">
      <c r="A3547" t="str">
        <f>"20190304164921672"</f>
        <v>20190304164921672</v>
      </c>
      <c r="B3547" t="str">
        <f>"1551689361669465"</f>
        <v>1551689361669465</v>
      </c>
      <c r="C3547" t="s">
        <v>40</v>
      </c>
      <c r="D3547">
        <v>4.2292500000000004</v>
      </c>
      <c r="E3547">
        <v>0.55629510000000004</v>
      </c>
      <c r="F3547" t="s">
        <v>41</v>
      </c>
      <c r="G3547">
        <v>-446.19799999999998</v>
      </c>
      <c r="H3547">
        <v>1.026475</v>
      </c>
      <c r="I3547">
        <v>213.02459999999999</v>
      </c>
      <c r="J3547">
        <v>-446.71019999999999</v>
      </c>
      <c r="K3547">
        <v>1.109907</v>
      </c>
      <c r="L3547">
        <v>213.02289999999999</v>
      </c>
      <c r="M3547">
        <v>0.99997170000000002</v>
      </c>
      <c r="N3547">
        <v>-7.205688E-3</v>
      </c>
      <c r="O3547">
        <v>-2.1757030000000002E-3</v>
      </c>
      <c r="P3547">
        <v>0.92528189999999999</v>
      </c>
      <c r="Q3547">
        <v>0.36817470000000002</v>
      </c>
      <c r="R3547">
        <v>9.1109659999999995E-2</v>
      </c>
      <c r="S3547">
        <v>3.383972</v>
      </c>
      <c r="T3547">
        <v>-0.3529619</v>
      </c>
      <c r="U3547">
        <v>5.386353E-3</v>
      </c>
      <c r="V3547">
        <v>-9.2948749999999997E-2</v>
      </c>
      <c r="W3547">
        <v>0.37487419999999999</v>
      </c>
      <c r="X3547">
        <v>0.92240440000000001</v>
      </c>
      <c r="Y3547">
        <v>-3.7355740000000002E-3</v>
      </c>
      <c r="Z3547">
        <v>4.184708E-4</v>
      </c>
      <c r="AA3547">
        <v>0.99999289999999996</v>
      </c>
      <c r="AB3547">
        <v>28</v>
      </c>
      <c r="AC3547">
        <v>0.51219999999995003</v>
      </c>
      <c r="AD3547">
        <v>-8.3431999999999895E-2</v>
      </c>
      <c r="AE3547">
        <v>1.6999999999995901E-3</v>
      </c>
      <c r="AF3547">
        <v>-2.7416759007755798E-3</v>
      </c>
      <c r="AG3547">
        <v>-8.3431999999999895E-2</v>
      </c>
      <c r="AH3547">
        <v>0.49895642972038701</v>
      </c>
      <c r="AI3547">
        <v>99.492635222980397</v>
      </c>
      <c r="AJ3547">
        <v>90.314826841796005</v>
      </c>
      <c r="AK3547">
        <v>0.50589122760733896</v>
      </c>
      <c r="AL3547">
        <v>67.983462307445393</v>
      </c>
      <c r="AM3547">
        <v>95.754151361550498</v>
      </c>
      <c r="AN3547">
        <v>1.0000000065457799</v>
      </c>
    </row>
    <row r="3548" spans="1:40" x14ac:dyDescent="0.25">
      <c r="A3548" t="str">
        <f>"20190304164921692"</f>
        <v>20190304164921692</v>
      </c>
      <c r="B3548" t="str">
        <f>"1551689361689961"</f>
        <v>1551689361689961</v>
      </c>
      <c r="C3548" t="s">
        <v>40</v>
      </c>
      <c r="D3548">
        <v>4.2070210000000001</v>
      </c>
      <c r="E3548">
        <v>0.55632669999999995</v>
      </c>
      <c r="F3548" t="s">
        <v>41</v>
      </c>
      <c r="G3548">
        <v>-445.91969999999998</v>
      </c>
      <c r="H3548">
        <v>1.0458430000000001</v>
      </c>
      <c r="I3548">
        <v>213.0198</v>
      </c>
      <c r="J3548">
        <v>-446.44909999999999</v>
      </c>
      <c r="K3548">
        <v>1.10992</v>
      </c>
      <c r="L3548">
        <v>213.02209999999999</v>
      </c>
      <c r="M3548">
        <v>0.99997119999999995</v>
      </c>
      <c r="N3548">
        <v>-7.221234E-3</v>
      </c>
      <c r="O3548">
        <v>-2.366651E-3</v>
      </c>
      <c r="P3548">
        <v>0.92561130000000003</v>
      </c>
      <c r="Q3548">
        <v>0.36774240000000002</v>
      </c>
      <c r="R3548">
        <v>8.9494439999999995E-2</v>
      </c>
      <c r="S3548">
        <v>3.3515320000000002</v>
      </c>
      <c r="T3548">
        <v>-0.27166030000000002</v>
      </c>
      <c r="U3548">
        <v>-1.203918E-2</v>
      </c>
      <c r="V3548">
        <v>-9.1519130000000004E-2</v>
      </c>
      <c r="W3548">
        <v>0.37445590000000001</v>
      </c>
      <c r="X3548">
        <v>0.92271720000000002</v>
      </c>
      <c r="Y3548">
        <v>1.2274670000000001E-3</v>
      </c>
      <c r="Z3548">
        <v>1.203456E-4</v>
      </c>
      <c r="AA3548">
        <v>0.99999919999999998</v>
      </c>
      <c r="AB3548">
        <v>29</v>
      </c>
      <c r="AC3548">
        <v>0.52940000000000897</v>
      </c>
      <c r="AD3548">
        <v>-6.4076999999999898E-2</v>
      </c>
      <c r="AE3548">
        <v>-2.29999999999108E-3</v>
      </c>
      <c r="AF3548">
        <v>1.0319383719181599E-3</v>
      </c>
      <c r="AG3548">
        <v>-6.4076999999999898E-2</v>
      </c>
      <c r="AH3548">
        <v>0.52176033648535802</v>
      </c>
      <c r="AI3548">
        <v>97.001380485243899</v>
      </c>
      <c r="AJ3548">
        <v>89.886680469556197</v>
      </c>
      <c r="AK3548">
        <v>0.52568124900467705</v>
      </c>
      <c r="AL3548">
        <v>68.009311906677794</v>
      </c>
      <c r="AM3548">
        <v>95.664320307198295</v>
      </c>
      <c r="AN3548">
        <v>1.0000000016882999</v>
      </c>
    </row>
    <row r="3549" spans="1:40" x14ac:dyDescent="0.25">
      <c r="A3549" t="str">
        <f>"20190304164921715"</f>
        <v>20190304164921715</v>
      </c>
      <c r="B3549" t="str">
        <f>"1551689361709481"</f>
        <v>1551689361709481</v>
      </c>
      <c r="C3549" t="s">
        <v>40</v>
      </c>
      <c r="D3549">
        <v>4.223535</v>
      </c>
      <c r="E3549">
        <v>0.55637479999999995</v>
      </c>
      <c r="F3549" t="s">
        <v>47</v>
      </c>
      <c r="G3549">
        <v>-432.62950000000001</v>
      </c>
      <c r="H3549" s="1">
        <v>3.528717E-6</v>
      </c>
      <c r="I3549">
        <v>212.9502</v>
      </c>
      <c r="J3549">
        <v>-446.1617</v>
      </c>
      <c r="K3549">
        <v>1.109931</v>
      </c>
      <c r="L3549">
        <v>213.02119999999999</v>
      </c>
      <c r="M3549">
        <v>0.99997060000000004</v>
      </c>
      <c r="N3549">
        <v>-7.2373289999999998E-3</v>
      </c>
      <c r="O3549">
        <v>-2.559965E-3</v>
      </c>
      <c r="P3549">
        <v>0.92608809999999997</v>
      </c>
      <c r="Q3549">
        <v>0.3667995</v>
      </c>
      <c r="R3549">
        <v>8.8427290000000006E-2</v>
      </c>
      <c r="S3549">
        <v>3.3496700000000001</v>
      </c>
      <c r="T3549">
        <v>-0.26902749999999997</v>
      </c>
      <c r="U3549">
        <v>-1.7440799999999999E-2</v>
      </c>
      <c r="V3549">
        <v>-9.064266E-2</v>
      </c>
      <c r="W3549">
        <v>0.37352849999999999</v>
      </c>
      <c r="X3549">
        <v>0.92317950000000004</v>
      </c>
      <c r="Y3549">
        <v>2.6441749999999999E-3</v>
      </c>
      <c r="Z3549" s="1">
        <v>7.1172889999999997E-5</v>
      </c>
      <c r="AA3549">
        <v>0.99999649999999995</v>
      </c>
      <c r="AB3549">
        <v>29</v>
      </c>
      <c r="AC3549">
        <v>13.5321999999999</v>
      </c>
      <c r="AD3549">
        <v>-1.1099274712830001</v>
      </c>
      <c r="AE3549">
        <v>-7.0999999999997898E-2</v>
      </c>
      <c r="AF3549">
        <v>3.6113954781840901E-2</v>
      </c>
      <c r="AG3549">
        <v>-1.1099274712830001</v>
      </c>
      <c r="AH3549">
        <v>13.441909735423399</v>
      </c>
      <c r="AI3549">
        <v>94.720310552424493</v>
      </c>
      <c r="AJ3549">
        <v>89.846065607290498</v>
      </c>
      <c r="AK3549">
        <v>13.487704791568801</v>
      </c>
      <c r="AL3549">
        <v>68.066605929310597</v>
      </c>
      <c r="AM3549">
        <v>95.607629785386393</v>
      </c>
      <c r="AN3549">
        <v>1.00000001067218</v>
      </c>
    </row>
    <row r="3550" spans="1:40" x14ac:dyDescent="0.25">
      <c r="A3550" t="str">
        <f>"20190304164921737"</f>
        <v>20190304164921737</v>
      </c>
      <c r="B3550" t="str">
        <f>"1551689361729001"</f>
        <v>1551689361729001</v>
      </c>
      <c r="C3550" t="s">
        <v>40</v>
      </c>
      <c r="D3550">
        <v>4.1627970000000003</v>
      </c>
      <c r="E3550">
        <v>0.5562549</v>
      </c>
      <c r="F3550" t="s">
        <v>41</v>
      </c>
      <c r="G3550">
        <v>-445.4169</v>
      </c>
      <c r="H3550">
        <v>1.044511</v>
      </c>
      <c r="I3550">
        <v>213.01650000000001</v>
      </c>
      <c r="J3550">
        <v>-445.86989999999997</v>
      </c>
      <c r="K3550">
        <v>1.1099380000000001</v>
      </c>
      <c r="L3550">
        <v>213.02029999999999</v>
      </c>
      <c r="M3550">
        <v>0.99997009999999997</v>
      </c>
      <c r="N3550">
        <v>-7.2526609999999997E-3</v>
      </c>
      <c r="O3550">
        <v>-2.7376570000000001E-3</v>
      </c>
      <c r="P3550">
        <v>0.92655109999999996</v>
      </c>
      <c r="Q3550">
        <v>0.36578179999999999</v>
      </c>
      <c r="R3550">
        <v>8.7790119999999999E-2</v>
      </c>
      <c r="S3550">
        <v>3.358215</v>
      </c>
      <c r="T3550">
        <v>-0.29517450000000001</v>
      </c>
      <c r="U3550">
        <v>-1.9592289999999998E-2</v>
      </c>
      <c r="V3550">
        <v>-9.0181769999999994E-2</v>
      </c>
      <c r="W3550">
        <v>0.37252560000000001</v>
      </c>
      <c r="X3550">
        <v>0.92362979999999995</v>
      </c>
      <c r="Y3550">
        <v>3.0923080000000002E-3</v>
      </c>
      <c r="Z3550" s="1">
        <v>7.3467859999999999E-5</v>
      </c>
      <c r="AA3550">
        <v>0.99999519999999997</v>
      </c>
      <c r="AB3550">
        <v>29</v>
      </c>
      <c r="AC3550">
        <v>0.45299999999997398</v>
      </c>
      <c r="AD3550">
        <v>-6.5426999999999902E-2</v>
      </c>
      <c r="AE3550">
        <v>-3.7999999999840301E-3</v>
      </c>
      <c r="AF3550">
        <v>2.5074917091999099E-3</v>
      </c>
      <c r="AG3550">
        <v>-6.5426999999999902E-2</v>
      </c>
      <c r="AH3550">
        <v>0.44375260718109399</v>
      </c>
      <c r="AI3550">
        <v>98.387145050716299</v>
      </c>
      <c r="AJ3550">
        <v>89.676244915076694</v>
      </c>
      <c r="AK3550">
        <v>0.448556970989962</v>
      </c>
      <c r="AL3550">
        <v>68.128538800132603</v>
      </c>
      <c r="AM3550">
        <v>95.576594134167607</v>
      </c>
      <c r="AN3550">
        <v>1.0000000408718599</v>
      </c>
    </row>
    <row r="3551" spans="1:40" x14ac:dyDescent="0.25">
      <c r="A3551" t="str">
        <f>"20190304164921760"</f>
        <v>20190304164921760</v>
      </c>
      <c r="B3551" t="str">
        <f>"1551689361749497"</f>
        <v>1551689361749497</v>
      </c>
      <c r="C3551" t="s">
        <v>40</v>
      </c>
      <c r="D3551">
        <v>4.235074</v>
      </c>
      <c r="E3551">
        <v>0.55548690000000001</v>
      </c>
      <c r="F3551" t="s">
        <v>41</v>
      </c>
      <c r="G3551">
        <v>-444.91460000000001</v>
      </c>
      <c r="H3551">
        <v>1.0222249999999999</v>
      </c>
      <c r="I3551">
        <v>213.01429999999999</v>
      </c>
      <c r="J3551">
        <v>-445.57859999999999</v>
      </c>
      <c r="K3551">
        <v>1.109942</v>
      </c>
      <c r="L3551">
        <v>213.01929999999999</v>
      </c>
      <c r="M3551">
        <v>0.99996949999999996</v>
      </c>
      <c r="N3551">
        <v>-7.2670640000000002E-3</v>
      </c>
      <c r="O3551">
        <v>-2.8996199999999999E-3</v>
      </c>
      <c r="P3551">
        <v>0.92689630000000001</v>
      </c>
      <c r="Q3551">
        <v>0.36487809999999998</v>
      </c>
      <c r="R3551">
        <v>8.7906200000000004E-2</v>
      </c>
      <c r="S3551">
        <v>3.3616329999999999</v>
      </c>
      <c r="T3551">
        <v>-0.30873299999999998</v>
      </c>
      <c r="U3551">
        <v>-2.0446780000000001E-2</v>
      </c>
      <c r="V3551">
        <v>-9.0458769999999994E-2</v>
      </c>
      <c r="W3551">
        <v>0.37163499999999999</v>
      </c>
      <c r="X3551">
        <v>0.92396140000000004</v>
      </c>
      <c r="Y3551">
        <v>3.178522E-3</v>
      </c>
      <c r="Z3551" s="1">
        <v>8.7482099999999994E-5</v>
      </c>
      <c r="AA3551">
        <v>0.99999490000000002</v>
      </c>
      <c r="AB3551">
        <v>29</v>
      </c>
      <c r="AC3551">
        <v>0.66399999999998705</v>
      </c>
      <c r="AD3551">
        <v>-8.7717000000000003E-2</v>
      </c>
      <c r="AE3551">
        <v>-4.9999999999954499E-3</v>
      </c>
      <c r="AF3551">
        <v>3.02184804564109E-3</v>
      </c>
      <c r="AG3551">
        <v>-8.7717000000000003E-2</v>
      </c>
      <c r="AH3551">
        <v>0.65262313623980694</v>
      </c>
      <c r="AI3551">
        <v>97.654985637422399</v>
      </c>
      <c r="AJ3551">
        <v>89.734704621408895</v>
      </c>
      <c r="AK3551">
        <v>0.65849856614125801</v>
      </c>
      <c r="AL3551">
        <v>68.183512999110704</v>
      </c>
      <c r="AM3551">
        <v>95.591619826623798</v>
      </c>
      <c r="AN3551">
        <v>1.00000001549243</v>
      </c>
    </row>
    <row r="3552" spans="1:40" x14ac:dyDescent="0.25">
      <c r="A3552" t="str">
        <f>"20190304164921782"</f>
        <v>20190304164921782</v>
      </c>
      <c r="B3552" t="str">
        <f>"1551689361779754"</f>
        <v>1551689361779754</v>
      </c>
      <c r="C3552" t="s">
        <v>40</v>
      </c>
      <c r="D3552">
        <v>4.3427989999999896</v>
      </c>
      <c r="E3552">
        <v>0.53701880000000002</v>
      </c>
      <c r="F3552" t="s">
        <v>41</v>
      </c>
      <c r="G3552">
        <v>-444.65499999999997</v>
      </c>
      <c r="H3552">
        <v>1.023088</v>
      </c>
      <c r="I3552">
        <v>213.01509999999999</v>
      </c>
      <c r="J3552">
        <v>-445.2835</v>
      </c>
      <c r="K3552">
        <v>1.1099479999999999</v>
      </c>
      <c r="L3552">
        <v>213.01830000000001</v>
      </c>
      <c r="M3552">
        <v>0.99996890000000005</v>
      </c>
      <c r="N3552">
        <v>-7.2809419999999899E-3</v>
      </c>
      <c r="O3552">
        <v>-3.0525389999999999E-3</v>
      </c>
      <c r="P3552">
        <v>0.92732060000000005</v>
      </c>
      <c r="Q3552">
        <v>0.3636144</v>
      </c>
      <c r="R3552">
        <v>8.8664640000000003E-2</v>
      </c>
      <c r="S3552">
        <v>3.362457</v>
      </c>
      <c r="T3552">
        <v>-0.3163359</v>
      </c>
      <c r="U3552">
        <v>-1.4450070000000001E-2</v>
      </c>
      <c r="V3552">
        <v>-9.1367840000000006E-2</v>
      </c>
      <c r="W3552">
        <v>0.37038589999999999</v>
      </c>
      <c r="X3552">
        <v>0.92437340000000001</v>
      </c>
      <c r="Y3552">
        <v>1.2503460000000001E-3</v>
      </c>
      <c r="Z3552">
        <v>2.0111550000000001E-4</v>
      </c>
      <c r="AA3552">
        <v>0.99999919999999998</v>
      </c>
      <c r="AB3552">
        <v>29</v>
      </c>
      <c r="AC3552">
        <v>0.62850000000003003</v>
      </c>
      <c r="AD3552">
        <v>-8.6859999999999896E-2</v>
      </c>
      <c r="AE3552">
        <v>-3.2000000000209599E-3</v>
      </c>
      <c r="AF3552">
        <v>1.2573981547616801E-3</v>
      </c>
      <c r="AG3552">
        <v>-8.6859999999999896E-2</v>
      </c>
      <c r="AH3552">
        <v>0.61672776127411799</v>
      </c>
      <c r="AI3552">
        <v>98.016797422358593</v>
      </c>
      <c r="AJ3552">
        <v>89.883184263566605</v>
      </c>
      <c r="AK3552">
        <v>0.62281568074054205</v>
      </c>
      <c r="AL3552">
        <v>68.260581069359404</v>
      </c>
      <c r="AM3552">
        <v>95.644950779838197</v>
      </c>
      <c r="AN3552">
        <v>0.999999989866317</v>
      </c>
    </row>
    <row r="3553" spans="1:40" x14ac:dyDescent="0.25">
      <c r="A3553" t="str">
        <f>"20190304164921805"</f>
        <v>20190304164921805</v>
      </c>
      <c r="B3553" t="str">
        <f>"1551689361799273"</f>
        <v>1551689361799273</v>
      </c>
      <c r="C3553" t="s">
        <v>40</v>
      </c>
      <c r="D3553">
        <v>4.2085720000000002</v>
      </c>
      <c r="E3553">
        <v>0.53506989999999999</v>
      </c>
      <c r="F3553" t="s">
        <v>47</v>
      </c>
      <c r="G3553">
        <v>-431.05130000000003</v>
      </c>
      <c r="H3553" s="1">
        <v>2.7755130000000001E-6</v>
      </c>
      <c r="I3553">
        <v>213.56039999999999</v>
      </c>
      <c r="J3553">
        <v>-444.9975</v>
      </c>
      <c r="K3553">
        <v>1.1099399999999999</v>
      </c>
      <c r="L3553">
        <v>213.01730000000001</v>
      </c>
      <c r="M3553">
        <v>0.99996830000000003</v>
      </c>
      <c r="N3553">
        <v>-7.2918419999999998E-3</v>
      </c>
      <c r="O3553">
        <v>-3.193432E-3</v>
      </c>
      <c r="P3553">
        <v>0.92743779999999998</v>
      </c>
      <c r="Q3553">
        <v>0.36304059999999999</v>
      </c>
      <c r="R3553">
        <v>8.9782020000000004E-2</v>
      </c>
      <c r="S3553">
        <v>3.3247070000000001</v>
      </c>
      <c r="T3553">
        <v>-0.25928830000000003</v>
      </c>
      <c r="U3553">
        <v>0.12661739999999999</v>
      </c>
      <c r="V3553">
        <v>-9.2621670000000003E-2</v>
      </c>
      <c r="W3553">
        <v>0.3698224</v>
      </c>
      <c r="X3553">
        <v>0.92447420000000002</v>
      </c>
      <c r="Y3553">
        <v>-4.1102920000000001E-2</v>
      </c>
      <c r="Z3553">
        <v>1.9752699999999999E-3</v>
      </c>
      <c r="AA3553">
        <v>0.99915299999999996</v>
      </c>
      <c r="AB3553">
        <v>29</v>
      </c>
      <c r="AC3553">
        <v>13.9461999999999</v>
      </c>
      <c r="AD3553">
        <v>-1.1099372244869901</v>
      </c>
      <c r="AE3553">
        <v>0.54309999999998104</v>
      </c>
      <c r="AF3553">
        <v>-0.583941512267109</v>
      </c>
      <c r="AG3553">
        <v>-1.1099372244869901</v>
      </c>
      <c r="AH3553">
        <v>13.8567572742121</v>
      </c>
      <c r="AI3553">
        <v>94.575615593688795</v>
      </c>
      <c r="AJ3553">
        <v>92.413089803928798</v>
      </c>
      <c r="AK3553">
        <v>13.913398955269001</v>
      </c>
      <c r="AL3553">
        <v>68.295334525258099</v>
      </c>
      <c r="AM3553">
        <v>95.721285437614597</v>
      </c>
      <c r="AN3553">
        <v>0.99999996388049295</v>
      </c>
    </row>
    <row r="3554" spans="1:40" x14ac:dyDescent="0.25">
      <c r="A3554" t="str">
        <f>"20190304164921828"</f>
        <v>20190304164921828</v>
      </c>
      <c r="B3554" t="str">
        <f>"1551689361819769"</f>
        <v>1551689361819769</v>
      </c>
      <c r="C3554" t="s">
        <v>40</v>
      </c>
      <c r="D3554">
        <v>4.1955140000000002</v>
      </c>
      <c r="E3554">
        <v>0.53441159999999999</v>
      </c>
      <c r="F3554" t="s">
        <v>47</v>
      </c>
      <c r="G3554">
        <v>-431.81099999999998</v>
      </c>
      <c r="H3554" s="1">
        <v>3.1090919999999998E-6</v>
      </c>
      <c r="I3554">
        <v>213.59829999999999</v>
      </c>
      <c r="J3554">
        <v>-444.69110000000001</v>
      </c>
      <c r="K3554">
        <v>1.109939</v>
      </c>
      <c r="L3554">
        <v>213.0162</v>
      </c>
      <c r="M3554">
        <v>0.99996790000000002</v>
      </c>
      <c r="N3554">
        <v>-7.2978499999999998E-3</v>
      </c>
      <c r="O3554">
        <v>-3.3400489999999999E-3</v>
      </c>
      <c r="P3554">
        <v>0.92740549999999999</v>
      </c>
      <c r="Q3554">
        <v>0.36280370000000001</v>
      </c>
      <c r="R3554">
        <v>9.1065309999999997E-2</v>
      </c>
      <c r="S3554">
        <v>3.3302309999999999</v>
      </c>
      <c r="T3554">
        <v>-0.28031309999999998</v>
      </c>
      <c r="U3554">
        <v>0.14672850000000001</v>
      </c>
      <c r="V3554">
        <v>-9.4044180000000005E-2</v>
      </c>
      <c r="W3554">
        <v>0.36959019999999998</v>
      </c>
      <c r="X3554">
        <v>0.92442349999999995</v>
      </c>
      <c r="Y3554">
        <v>-4.7162719999999998E-2</v>
      </c>
      <c r="Z3554">
        <v>2.4091350000000002E-3</v>
      </c>
      <c r="AA3554">
        <v>0.99888429999999995</v>
      </c>
      <c r="AB3554">
        <v>29</v>
      </c>
      <c r="AC3554">
        <v>12.880100000000001</v>
      </c>
      <c r="AD3554">
        <v>-1.1099358909079999</v>
      </c>
      <c r="AE3554">
        <v>0.58209999999999695</v>
      </c>
      <c r="AF3554">
        <v>-0.62051944893145805</v>
      </c>
      <c r="AG3554">
        <v>-1.1099358909079999</v>
      </c>
      <c r="AH3554">
        <v>12.783347694218801</v>
      </c>
      <c r="AI3554">
        <v>94.956551329720497</v>
      </c>
      <c r="AJ3554">
        <v>92.779026413352895</v>
      </c>
      <c r="AK3554">
        <v>12.846438430153199</v>
      </c>
      <c r="AL3554">
        <v>68.309654272916504</v>
      </c>
      <c r="AM3554">
        <v>95.808874637456</v>
      </c>
      <c r="AN3554">
        <v>1.0000000155400799</v>
      </c>
    </row>
    <row r="3555" spans="1:40" x14ac:dyDescent="0.25">
      <c r="A3555" t="str">
        <f>"20190304164921851"</f>
        <v>20190304164921851</v>
      </c>
      <c r="B3555" t="str">
        <f>"1551689361839289"</f>
        <v>1551689361839289</v>
      </c>
      <c r="C3555" t="s">
        <v>40</v>
      </c>
      <c r="D3555">
        <v>4.2019630000000001</v>
      </c>
      <c r="E3555">
        <v>0.53403940000000005</v>
      </c>
      <c r="F3555" t="s">
        <v>47</v>
      </c>
      <c r="G3555">
        <v>-431.80020000000002</v>
      </c>
      <c r="H3555" s="1">
        <v>3.1027500000000001E-6</v>
      </c>
      <c r="I3555">
        <v>213.61590000000001</v>
      </c>
      <c r="J3555">
        <v>-444.399</v>
      </c>
      <c r="K3555">
        <v>1.1099410000000001</v>
      </c>
      <c r="L3555">
        <v>213.01509999999999</v>
      </c>
      <c r="M3555">
        <v>0.99996739999999995</v>
      </c>
      <c r="N3555">
        <v>-7.3007430000000002E-3</v>
      </c>
      <c r="O3555">
        <v>-3.4777290000000002E-3</v>
      </c>
      <c r="P3555">
        <v>0.92701100000000003</v>
      </c>
      <c r="Q3555">
        <v>0.36359859999999999</v>
      </c>
      <c r="R3555">
        <v>9.1906470000000004E-2</v>
      </c>
      <c r="S3555">
        <v>3.3318479999999999</v>
      </c>
      <c r="T3555">
        <v>-0.2868791</v>
      </c>
      <c r="U3555">
        <v>0.15499879999999999</v>
      </c>
      <c r="V3555">
        <v>-9.5012830000000006E-2</v>
      </c>
      <c r="W3555">
        <v>0.37038460000000001</v>
      </c>
      <c r="X3555">
        <v>0.92400640000000001</v>
      </c>
      <c r="Y3555">
        <v>-4.9733859999999998E-2</v>
      </c>
      <c r="Z3555">
        <v>2.5914010000000001E-3</v>
      </c>
      <c r="AA3555">
        <v>0.99875919999999896</v>
      </c>
      <c r="AB3555">
        <v>29</v>
      </c>
      <c r="AC3555">
        <v>12.598799999999899</v>
      </c>
      <c r="AD3555">
        <v>-1.10993789725</v>
      </c>
      <c r="AE3555">
        <v>0.60080000000001998</v>
      </c>
      <c r="AF3555">
        <v>-0.63965936642412702</v>
      </c>
      <c r="AG3555">
        <v>-1.10993789725</v>
      </c>
      <c r="AH3555">
        <v>12.499838444256399</v>
      </c>
      <c r="AI3555">
        <v>95.067741041038801</v>
      </c>
      <c r="AJ3555">
        <v>92.929465092203401</v>
      </c>
      <c r="AK3555">
        <v>12.5653128641239</v>
      </c>
      <c r="AL3555">
        <v>68.2606616829286</v>
      </c>
      <c r="AM3555">
        <v>95.870920764546298</v>
      </c>
      <c r="AN3555">
        <v>1.0000000085113601</v>
      </c>
    </row>
    <row r="3556" spans="1:40" x14ac:dyDescent="0.25">
      <c r="A3556" t="str">
        <f>"20190304164921873"</f>
        <v>20190304164921873</v>
      </c>
      <c r="B3556" t="str">
        <f>"1551689361869545"</f>
        <v>1551689361869545</v>
      </c>
      <c r="C3556" t="s">
        <v>40</v>
      </c>
      <c r="D3556">
        <v>4.1961820000000003</v>
      </c>
      <c r="E3556">
        <v>0.53416439999999998</v>
      </c>
      <c r="F3556" t="s">
        <v>47</v>
      </c>
      <c r="G3556">
        <v>-431.4119</v>
      </c>
      <c r="H3556" s="1">
        <v>2.928422E-6</v>
      </c>
      <c r="I3556">
        <v>213.64060000000001</v>
      </c>
      <c r="J3556">
        <v>-444.10669999999999</v>
      </c>
      <c r="K3556">
        <v>1.1099410000000001</v>
      </c>
      <c r="L3556">
        <v>213.01390000000001</v>
      </c>
      <c r="M3556">
        <v>0.99996680000000004</v>
      </c>
      <c r="N3556">
        <v>-7.3032510000000002E-3</v>
      </c>
      <c r="O3556">
        <v>-3.6149390000000002E-3</v>
      </c>
      <c r="P3556">
        <v>0.92685569999999895</v>
      </c>
      <c r="Q3556">
        <v>0.36374499999999999</v>
      </c>
      <c r="R3556">
        <v>9.288892E-2</v>
      </c>
      <c r="S3556">
        <v>3.3320310000000002</v>
      </c>
      <c r="T3556">
        <v>-0.28477190000000002</v>
      </c>
      <c r="U3556">
        <v>0.16049189999999999</v>
      </c>
      <c r="V3556">
        <v>-9.6122700000000005E-2</v>
      </c>
      <c r="W3556">
        <v>0.37053249999999999</v>
      </c>
      <c r="X3556">
        <v>0.92383230000000005</v>
      </c>
      <c r="Y3556">
        <v>-5.1506719999999999E-2</v>
      </c>
      <c r="Z3556">
        <v>2.6661800000000002E-3</v>
      </c>
      <c r="AA3556">
        <v>0.99866909999999998</v>
      </c>
      <c r="AB3556">
        <v>29</v>
      </c>
      <c r="AC3556">
        <v>12.694799999999899</v>
      </c>
      <c r="AD3556">
        <v>-1.1099380715780001</v>
      </c>
      <c r="AE3556">
        <v>0.62669999999999904</v>
      </c>
      <c r="AF3556">
        <v>-0.66749781353204996</v>
      </c>
      <c r="AG3556">
        <v>-1.1099380715780001</v>
      </c>
      <c r="AH3556">
        <v>12.5963932138321</v>
      </c>
      <c r="AI3556">
        <v>95.028623814189203</v>
      </c>
      <c r="AJ3556">
        <v>93.033334154922002</v>
      </c>
      <c r="AK3556">
        <v>12.662805291533299</v>
      </c>
      <c r="AL3556">
        <v>68.2515386119331</v>
      </c>
      <c r="AM3556">
        <v>95.9401243912327</v>
      </c>
      <c r="AN3556">
        <v>1.00000001276741</v>
      </c>
    </row>
    <row r="3557" spans="1:40" x14ac:dyDescent="0.25">
      <c r="A3557" t="str">
        <f>"20190304164921893"</f>
        <v>20190304164921893</v>
      </c>
      <c r="B3557" t="str">
        <f>"1551689361889065"</f>
        <v>1551689361889065</v>
      </c>
      <c r="C3557" t="s">
        <v>40</v>
      </c>
      <c r="D3557">
        <v>4.2232750000000001</v>
      </c>
      <c r="E3557">
        <v>0.53425840000000002</v>
      </c>
      <c r="F3557" t="s">
        <v>47</v>
      </c>
      <c r="G3557">
        <v>-431.19400000000002</v>
      </c>
      <c r="H3557" s="1">
        <v>2.8311849999999999E-6</v>
      </c>
      <c r="I3557">
        <v>213.64750000000001</v>
      </c>
      <c r="J3557">
        <v>-443.82679999999999</v>
      </c>
      <c r="K3557">
        <v>1.109947</v>
      </c>
      <c r="L3557">
        <v>213.0128</v>
      </c>
      <c r="M3557">
        <v>0.99996640000000003</v>
      </c>
      <c r="N3557">
        <v>-7.3018730000000004E-3</v>
      </c>
      <c r="O3557">
        <v>-3.7470120000000001E-3</v>
      </c>
      <c r="P3557">
        <v>0.92666700000000002</v>
      </c>
      <c r="Q3557">
        <v>0.363958</v>
      </c>
      <c r="R3557">
        <v>9.3930509999999995E-2</v>
      </c>
      <c r="S3557">
        <v>3.3327640000000001</v>
      </c>
      <c r="T3557">
        <v>-0.28647460000000002</v>
      </c>
      <c r="U3557">
        <v>0.1635132</v>
      </c>
      <c r="V3557">
        <v>-9.7286049999999999E-2</v>
      </c>
      <c r="W3557">
        <v>0.37074240000000003</v>
      </c>
      <c r="X3557">
        <v>0.92362619999999895</v>
      </c>
      <c r="Y3557">
        <v>-5.2524380000000002E-2</v>
      </c>
      <c r="Z3557">
        <v>2.7381889999999998E-3</v>
      </c>
      <c r="AA3557">
        <v>0.9986159</v>
      </c>
      <c r="AB3557">
        <v>29</v>
      </c>
      <c r="AC3557">
        <v>12.6327999999999</v>
      </c>
      <c r="AD3557">
        <v>-1.109944168815</v>
      </c>
      <c r="AE3557">
        <v>0.63470000000000903</v>
      </c>
      <c r="AF3557">
        <v>-0.67682033014397103</v>
      </c>
      <c r="AG3557">
        <v>-1.109944168815</v>
      </c>
      <c r="AH3557">
        <v>12.5338187488928</v>
      </c>
      <c r="AI3557">
        <v>95.053356493749902</v>
      </c>
      <c r="AJ3557">
        <v>93.090943192012404</v>
      </c>
      <c r="AK3557">
        <v>12.6010584574185</v>
      </c>
      <c r="AL3557">
        <v>68.238588103913102</v>
      </c>
      <c r="AM3557">
        <v>96.012824552411104</v>
      </c>
      <c r="AN3557">
        <v>0.99999993000439802</v>
      </c>
    </row>
    <row r="3558" spans="1:40" x14ac:dyDescent="0.25">
      <c r="A3558" t="str">
        <f>"20190304164921916"</f>
        <v>20190304164921916</v>
      </c>
      <c r="B3558" t="str">
        <f>"1551689361909561"</f>
        <v>1551689361909561</v>
      </c>
      <c r="C3558" t="s">
        <v>40</v>
      </c>
      <c r="D3558">
        <v>4.2043369999999998</v>
      </c>
      <c r="E3558">
        <v>0.53431139999999999</v>
      </c>
      <c r="F3558" t="s">
        <v>47</v>
      </c>
      <c r="G3558">
        <v>-430.92700000000002</v>
      </c>
      <c r="H3558" s="1">
        <v>2.7121959999999999E-6</v>
      </c>
      <c r="I3558">
        <v>213.6542</v>
      </c>
      <c r="J3558">
        <v>-443.52600000000001</v>
      </c>
      <c r="K3558">
        <v>1.1099490000000001</v>
      </c>
      <c r="L3558">
        <v>213.01150000000001</v>
      </c>
      <c r="M3558">
        <v>0.99996580000000002</v>
      </c>
      <c r="N3558">
        <v>-7.2962909999999999E-3</v>
      </c>
      <c r="O3558">
        <v>-3.887167E-3</v>
      </c>
      <c r="P3558">
        <v>0.92628719999999998</v>
      </c>
      <c r="Q3558">
        <v>0.3646373</v>
      </c>
      <c r="R3558">
        <v>9.5036460000000003E-2</v>
      </c>
      <c r="S3558">
        <v>3.3332519999999999</v>
      </c>
      <c r="T3558">
        <v>-0.28680430000000001</v>
      </c>
      <c r="U3558">
        <v>0.165741</v>
      </c>
      <c r="V3558">
        <v>-9.8521049999999999E-2</v>
      </c>
      <c r="W3558">
        <v>0.37141370000000001</v>
      </c>
      <c r="X3558">
        <v>0.92322559999999998</v>
      </c>
      <c r="Y3558">
        <v>-5.3318959999999999E-2</v>
      </c>
      <c r="Z3558">
        <v>2.7886170000000002E-3</v>
      </c>
      <c r="AA3558">
        <v>0.99857370000000001</v>
      </c>
      <c r="AB3558">
        <v>29</v>
      </c>
      <c r="AC3558">
        <v>12.599</v>
      </c>
      <c r="AD3558">
        <v>-1.1099462878039901</v>
      </c>
      <c r="AE3558">
        <v>0.64269999999998995</v>
      </c>
      <c r="AF3558">
        <v>-0.68635769720840201</v>
      </c>
      <c r="AG3558">
        <v>-1.1099462878039901</v>
      </c>
      <c r="AH3558">
        <v>12.4996453586438</v>
      </c>
      <c r="AI3558">
        <v>95.066860688850198</v>
      </c>
      <c r="AJ3558">
        <v>93.142964925292802</v>
      </c>
      <c r="AK3558">
        <v>12.567585358460599</v>
      </c>
      <c r="AL3558">
        <v>68.197170215406999</v>
      </c>
      <c r="AM3558">
        <v>96.091206767366799</v>
      </c>
      <c r="AN3558">
        <v>1.00000002116807</v>
      </c>
    </row>
    <row r="3559" spans="1:40" x14ac:dyDescent="0.25">
      <c r="A3559" t="str">
        <f>"20190304164921938"</f>
        <v>20190304164921938</v>
      </c>
      <c r="B3559" t="str">
        <f>"1551689361929081"</f>
        <v>1551689361929081</v>
      </c>
      <c r="C3559" t="s">
        <v>40</v>
      </c>
      <c r="D3559">
        <v>4.1910379999999998</v>
      </c>
      <c r="E3559">
        <v>0.53435080000000001</v>
      </c>
      <c r="F3559" t="s">
        <v>47</v>
      </c>
      <c r="G3559">
        <v>-430.55579999999998</v>
      </c>
      <c r="H3559" s="1">
        <v>2.546703E-6</v>
      </c>
      <c r="I3559">
        <v>213.66390000000001</v>
      </c>
      <c r="J3559">
        <v>-443.2337</v>
      </c>
      <c r="K3559">
        <v>1.109947</v>
      </c>
      <c r="L3559">
        <v>213.0103</v>
      </c>
      <c r="M3559">
        <v>0.9999654</v>
      </c>
      <c r="N3559">
        <v>-7.2901219999999996E-3</v>
      </c>
      <c r="O3559">
        <v>-4.0175289999999997E-3</v>
      </c>
      <c r="P3559">
        <v>0.92610530000000002</v>
      </c>
      <c r="Q3559">
        <v>0.36490650000000002</v>
      </c>
      <c r="R3559">
        <v>9.5772040000000003E-2</v>
      </c>
      <c r="S3559">
        <v>3.3338320000000001</v>
      </c>
      <c r="T3559">
        <v>-0.2852962</v>
      </c>
      <c r="U3559">
        <v>0.16767879999999999</v>
      </c>
      <c r="V3559">
        <v>-9.9379229999999999E-2</v>
      </c>
      <c r="W3559">
        <v>0.3716758</v>
      </c>
      <c r="X3559">
        <v>0.92302810000000002</v>
      </c>
      <c r="Y3559">
        <v>-5.4018719999999999E-2</v>
      </c>
      <c r="Z3559">
        <v>2.8168550000000001E-3</v>
      </c>
      <c r="AA3559">
        <v>0.99853590000000003</v>
      </c>
      <c r="AB3559">
        <v>30</v>
      </c>
      <c r="AC3559">
        <v>12.677899999999999</v>
      </c>
      <c r="AD3559">
        <v>-1.109944453297</v>
      </c>
      <c r="AE3559">
        <v>0.65360000000001095</v>
      </c>
      <c r="AF3559">
        <v>-0.69918491416807504</v>
      </c>
      <c r="AG3559">
        <v>-1.109944453297</v>
      </c>
      <c r="AH3559">
        <v>12.579010180264399</v>
      </c>
      <c r="AI3559">
        <v>95.034863130335296</v>
      </c>
      <c r="AJ3559">
        <v>93.181424027475998</v>
      </c>
      <c r="AK3559">
        <v>12.6472263104919</v>
      </c>
      <c r="AL3559">
        <v>68.180994669137306</v>
      </c>
      <c r="AM3559">
        <v>96.145165474705706</v>
      </c>
      <c r="AN3559">
        <v>1.00000000252532</v>
      </c>
    </row>
    <row r="3560" spans="1:40" x14ac:dyDescent="0.25">
      <c r="A3560" t="str">
        <f>"20190304164921962"</f>
        <v>20190304164921962</v>
      </c>
      <c r="B3560" t="str">
        <f>"1551689361949577"</f>
        <v>1551689361949577</v>
      </c>
      <c r="C3560" t="s">
        <v>40</v>
      </c>
      <c r="D3560">
        <v>4.1881620000000002</v>
      </c>
      <c r="E3560">
        <v>0.53444159999999996</v>
      </c>
      <c r="F3560" t="s">
        <v>47</v>
      </c>
      <c r="G3560">
        <v>-430.28339999999997</v>
      </c>
      <c r="H3560" s="1">
        <v>2.4256140000000001E-6</v>
      </c>
      <c r="I3560">
        <v>213.66739999999999</v>
      </c>
      <c r="J3560">
        <v>-442.93110000000001</v>
      </c>
      <c r="K3560">
        <v>1.1099460000000001</v>
      </c>
      <c r="L3560">
        <v>213.00890000000001</v>
      </c>
      <c r="M3560">
        <v>0.99996499999999999</v>
      </c>
      <c r="N3560">
        <v>-7.2846999999999903E-3</v>
      </c>
      <c r="O3560">
        <v>-4.1463289999999998E-3</v>
      </c>
      <c r="P3560">
        <v>0.92617950000000004</v>
      </c>
      <c r="Q3560">
        <v>0.36464479999999999</v>
      </c>
      <c r="R3560">
        <v>9.6051579999999998E-2</v>
      </c>
      <c r="S3560">
        <v>3.334473</v>
      </c>
      <c r="T3560">
        <v>-0.28579009999999999</v>
      </c>
      <c r="U3560">
        <v>0.16920470000000001</v>
      </c>
      <c r="V3560">
        <v>-9.9782899999999994E-2</v>
      </c>
      <c r="W3560">
        <v>0.37140830000000002</v>
      </c>
      <c r="X3560">
        <v>0.92309220000000003</v>
      </c>
      <c r="Y3560">
        <v>-5.4590149999999997E-2</v>
      </c>
      <c r="Z3560">
        <v>2.8573560000000001E-3</v>
      </c>
      <c r="AA3560">
        <v>0.99850479999999997</v>
      </c>
      <c r="AB3560">
        <v>30</v>
      </c>
      <c r="AC3560">
        <v>12.6477</v>
      </c>
      <c r="AD3560">
        <v>-1.10994357438599</v>
      </c>
      <c r="AE3560">
        <v>0.65849999999997499</v>
      </c>
      <c r="AF3560">
        <v>-0.70551834670306701</v>
      </c>
      <c r="AG3560">
        <v>-1.10994357438599</v>
      </c>
      <c r="AH3560">
        <v>12.548479246764</v>
      </c>
      <c r="AI3560">
        <v>95.046866910270396</v>
      </c>
      <c r="AJ3560">
        <v>93.2179764468912</v>
      </c>
      <c r="AK3560">
        <v>12.6172129363945</v>
      </c>
      <c r="AL3560">
        <v>68.197502530302998</v>
      </c>
      <c r="AM3560">
        <v>96.169509338251103</v>
      </c>
      <c r="AN3560">
        <v>0.99999998107106902</v>
      </c>
    </row>
    <row r="3561" spans="1:40" x14ac:dyDescent="0.25">
      <c r="A3561" t="str">
        <f>"20190304164921982"</f>
        <v>20190304164921982</v>
      </c>
      <c r="B3561" t="str">
        <f>"1551689361979833"</f>
        <v>1551689361979833</v>
      </c>
      <c r="C3561" t="s">
        <v>40</v>
      </c>
      <c r="D3561">
        <v>4.196491</v>
      </c>
      <c r="E3561">
        <v>0.53460790000000002</v>
      </c>
      <c r="F3561" t="s">
        <v>47</v>
      </c>
      <c r="G3561">
        <v>-430.10660000000001</v>
      </c>
      <c r="H3561" s="1">
        <v>2.3477209999999999E-6</v>
      </c>
      <c r="I3561">
        <v>213.6617</v>
      </c>
      <c r="J3561">
        <v>-442.65530000000001</v>
      </c>
      <c r="K3561">
        <v>1.109944</v>
      </c>
      <c r="L3561">
        <v>213.0077</v>
      </c>
      <c r="M3561">
        <v>0.99996450000000003</v>
      </c>
      <c r="N3561">
        <v>-7.280674E-3</v>
      </c>
      <c r="O3561">
        <v>-4.2532990000000003E-3</v>
      </c>
      <c r="P3561">
        <v>0.92627930000000003</v>
      </c>
      <c r="Q3561">
        <v>0.3644599</v>
      </c>
      <c r="R3561">
        <v>9.5790860000000005E-2</v>
      </c>
      <c r="S3561">
        <v>3.3351440000000001</v>
      </c>
      <c r="T3561">
        <v>-0.28865269999999998</v>
      </c>
      <c r="U3561">
        <v>0.16975399999999999</v>
      </c>
      <c r="V3561">
        <v>-9.9627729999999998E-2</v>
      </c>
      <c r="W3561">
        <v>0.37121890000000002</v>
      </c>
      <c r="X3561">
        <v>0.92318520000000004</v>
      </c>
      <c r="Y3561">
        <v>-5.4845089999999999E-2</v>
      </c>
      <c r="Z3561">
        <v>2.9039349999999998E-3</v>
      </c>
      <c r="AA3561">
        <v>0.99849060000000001</v>
      </c>
      <c r="AB3561">
        <v>30</v>
      </c>
      <c r="AC3561">
        <v>12.548699999999901</v>
      </c>
      <c r="AD3561">
        <v>-1.109941652279</v>
      </c>
      <c r="AE3561">
        <v>0.65399999999999603</v>
      </c>
      <c r="AF3561">
        <v>-0.70189246640221203</v>
      </c>
      <c r="AG3561">
        <v>-1.109941652279</v>
      </c>
      <c r="AH3561">
        <v>12.4486759686373</v>
      </c>
      <c r="AI3561">
        <v>95.087063021161299</v>
      </c>
      <c r="AJ3561">
        <v>93.227085497061793</v>
      </c>
      <c r="AK3561">
        <v>12.5177536674111</v>
      </c>
      <c r="AL3561">
        <v>68.209191144091605</v>
      </c>
      <c r="AM3561">
        <v>96.159373322761596</v>
      </c>
      <c r="AN3561">
        <v>1.0000000349006</v>
      </c>
    </row>
    <row r="3562" spans="1:40" x14ac:dyDescent="0.25">
      <c r="A3562" t="str">
        <f>"20190304164922005"</f>
        <v>20190304164922005</v>
      </c>
      <c r="B3562" t="str">
        <f>"1551689361999353"</f>
        <v>1551689361999353</v>
      </c>
      <c r="C3562" t="s">
        <v>40</v>
      </c>
      <c r="D3562">
        <v>4.2048809999999897</v>
      </c>
      <c r="E3562">
        <v>0.53470139999999999</v>
      </c>
      <c r="F3562" t="s">
        <v>47</v>
      </c>
      <c r="G3562">
        <v>-429.90530000000001</v>
      </c>
      <c r="H3562" s="1">
        <v>2.2920779999999999E-6</v>
      </c>
      <c r="I3562">
        <v>213.64949999999999</v>
      </c>
      <c r="J3562">
        <v>-442.35109999999997</v>
      </c>
      <c r="K3562">
        <v>1.109953</v>
      </c>
      <c r="L3562">
        <v>213.00620000000001</v>
      </c>
      <c r="M3562">
        <v>0.99996410000000002</v>
      </c>
      <c r="N3562">
        <v>-7.27727199999999E-3</v>
      </c>
      <c r="O3562">
        <v>-4.3528330000000004E-3</v>
      </c>
      <c r="P3562">
        <v>0.9265099</v>
      </c>
      <c r="Q3562">
        <v>0.3639426</v>
      </c>
      <c r="R3562">
        <v>9.5526459999999994E-2</v>
      </c>
      <c r="S3562">
        <v>3.3356629999999998</v>
      </c>
      <c r="T3562">
        <v>-0.29038449999999999</v>
      </c>
      <c r="U3562">
        <v>0.16792299999999999</v>
      </c>
      <c r="V3562">
        <v>-9.9467369999999999E-2</v>
      </c>
      <c r="W3562">
        <v>0.37069679999999999</v>
      </c>
      <c r="X3562">
        <v>0.92341229999999996</v>
      </c>
      <c r="Y3562">
        <v>-5.4388770000000003E-2</v>
      </c>
      <c r="Z3562">
        <v>2.9062599999999999E-3</v>
      </c>
      <c r="AA3562">
        <v>0.99851559999999995</v>
      </c>
      <c r="AB3562">
        <v>30</v>
      </c>
      <c r="AC3562">
        <v>12.445799999999901</v>
      </c>
      <c r="AD3562">
        <v>-1.1099507079219999</v>
      </c>
      <c r="AE3562">
        <v>0.643299999999982</v>
      </c>
      <c r="AF3562">
        <v>-0.69198077777101297</v>
      </c>
      <c r="AG3562">
        <v>-1.1099507079219999</v>
      </c>
      <c r="AH3562">
        <v>12.3449570582194</v>
      </c>
      <c r="AI3562">
        <v>95.129711794156705</v>
      </c>
      <c r="AJ3562">
        <v>93.208284281698994</v>
      </c>
      <c r="AK3562">
        <v>12.4140562565224</v>
      </c>
      <c r="AL3562">
        <v>68.241404569772101</v>
      </c>
      <c r="AM3562">
        <v>96.148034461548093</v>
      </c>
      <c r="AN3562">
        <v>1.00000007550812</v>
      </c>
    </row>
    <row r="3563" spans="1:40" x14ac:dyDescent="0.25">
      <c r="A3563" t="str">
        <f>"20190304164922028"</f>
        <v>20190304164922028</v>
      </c>
      <c r="B3563" t="str">
        <f>"1551689362019849"</f>
        <v>1551689362019849</v>
      </c>
      <c r="C3563" t="s">
        <v>40</v>
      </c>
      <c r="D3563">
        <v>4.1651160000000003</v>
      </c>
      <c r="E3563">
        <v>0.53482719999999995</v>
      </c>
      <c r="F3563" t="s">
        <v>47</v>
      </c>
      <c r="G3563">
        <v>-429.69499999999999</v>
      </c>
      <c r="H3563" s="1">
        <v>2.3307770000000002E-6</v>
      </c>
      <c r="I3563">
        <v>213.6336</v>
      </c>
      <c r="J3563">
        <v>-442.03899999999999</v>
      </c>
      <c r="K3563">
        <v>1.1099619999999999</v>
      </c>
      <c r="L3563">
        <v>213.00479999999999</v>
      </c>
      <c r="M3563">
        <v>0.99996370000000001</v>
      </c>
      <c r="N3563">
        <v>-7.2750109999999996E-3</v>
      </c>
      <c r="O3563">
        <v>-4.4283589999999998E-3</v>
      </c>
      <c r="P3563">
        <v>0.92675450000000004</v>
      </c>
      <c r="Q3563">
        <v>0.36343340000000002</v>
      </c>
      <c r="R3563">
        <v>9.5091430000000005E-2</v>
      </c>
      <c r="S3563">
        <v>3.3358150000000002</v>
      </c>
      <c r="T3563">
        <v>-0.29255429999999999</v>
      </c>
      <c r="U3563">
        <v>0.16535949999999999</v>
      </c>
      <c r="V3563">
        <v>-9.9119789999999999E-2</v>
      </c>
      <c r="W3563">
        <v>0.37018299999999998</v>
      </c>
      <c r="X3563">
        <v>0.92365569999999997</v>
      </c>
      <c r="Y3563">
        <v>-5.3695680000000003E-2</v>
      </c>
      <c r="Z3563">
        <v>2.8997440000000001E-3</v>
      </c>
      <c r="AA3563">
        <v>0.99855320000000003</v>
      </c>
      <c r="AB3563">
        <v>30</v>
      </c>
      <c r="AC3563">
        <v>12.3439999999999</v>
      </c>
      <c r="AD3563">
        <v>-1.109959669223</v>
      </c>
      <c r="AE3563">
        <v>0.62880000000001202</v>
      </c>
      <c r="AF3563">
        <v>-0.67799128957619803</v>
      </c>
      <c r="AG3563">
        <v>-1.109959669223</v>
      </c>
      <c r="AH3563">
        <v>12.2423658513197</v>
      </c>
      <c r="AI3563">
        <v>95.172700476602799</v>
      </c>
      <c r="AJ3563">
        <v>93.169844692577897</v>
      </c>
      <c r="AK3563">
        <v>12.3112633102213</v>
      </c>
      <c r="AL3563">
        <v>68.273096631293399</v>
      </c>
      <c r="AM3563">
        <v>96.125112145359594</v>
      </c>
      <c r="AN3563">
        <v>1.00000001920056</v>
      </c>
    </row>
    <row r="3564" spans="1:40" x14ac:dyDescent="0.25">
      <c r="A3564" t="str">
        <f>"20190304164922052"</f>
        <v>20190304164922052</v>
      </c>
      <c r="B3564" t="str">
        <f>"1551689362039369"</f>
        <v>1551689362039369</v>
      </c>
      <c r="C3564" t="s">
        <v>40</v>
      </c>
      <c r="D3564">
        <v>4.1376609999999996</v>
      </c>
      <c r="E3564">
        <v>0.53493409999999997</v>
      </c>
      <c r="F3564" t="s">
        <v>47</v>
      </c>
      <c r="G3564">
        <v>-429.4597</v>
      </c>
      <c r="H3564" s="1">
        <v>2.3740620000000001E-6</v>
      </c>
      <c r="I3564">
        <v>213.61590000000001</v>
      </c>
      <c r="J3564">
        <v>-441.72179999999997</v>
      </c>
      <c r="K3564">
        <v>1.109969</v>
      </c>
      <c r="L3564">
        <v>213.0034</v>
      </c>
      <c r="M3564">
        <v>0.99996350000000001</v>
      </c>
      <c r="N3564">
        <v>-7.2740729999999998E-3</v>
      </c>
      <c r="O3564">
        <v>-4.4779989999999999E-3</v>
      </c>
      <c r="P3564">
        <v>0.92710079999999995</v>
      </c>
      <c r="Q3564">
        <v>0.36268210000000001</v>
      </c>
      <c r="R3564">
        <v>9.4583710000000001E-2</v>
      </c>
      <c r="S3564">
        <v>3.3358759999999998</v>
      </c>
      <c r="T3564">
        <v>-0.2943479</v>
      </c>
      <c r="U3564">
        <v>0.1620636</v>
      </c>
      <c r="V3564">
        <v>-9.8678219999999997E-2</v>
      </c>
      <c r="W3564">
        <v>0.36942809999999998</v>
      </c>
      <c r="X3564">
        <v>0.92400519999999997</v>
      </c>
      <c r="Y3564">
        <v>-5.2761040000000002E-2</v>
      </c>
      <c r="Z3564">
        <v>2.8759179999999999E-3</v>
      </c>
      <c r="AA3564">
        <v>0.99860300000000002</v>
      </c>
      <c r="AB3564">
        <v>30</v>
      </c>
      <c r="AC3564">
        <v>12.262099999999901</v>
      </c>
      <c r="AD3564">
        <v>-1.1099666259380001</v>
      </c>
      <c r="AE3564">
        <v>0.61250000000001104</v>
      </c>
      <c r="AF3564">
        <v>-0.66199417660665205</v>
      </c>
      <c r="AG3564">
        <v>-1.1099666259380001</v>
      </c>
      <c r="AH3564">
        <v>12.1598457445647</v>
      </c>
      <c r="AI3564">
        <v>95.207910413490694</v>
      </c>
      <c r="AJ3564">
        <v>93.116163444622302</v>
      </c>
      <c r="AK3564">
        <v>12.2283322956226</v>
      </c>
      <c r="AL3564">
        <v>68.319650328634594</v>
      </c>
      <c r="AM3564">
        <v>96.095742176895499</v>
      </c>
      <c r="AN3564">
        <v>1.0000000608995001</v>
      </c>
    </row>
    <row r="3565" spans="1:40" x14ac:dyDescent="0.25">
      <c r="A3565" t="str">
        <f>"20190304164922085"</f>
        <v>20190304164922085</v>
      </c>
      <c r="B3565" t="str">
        <f>"1551689362079385"</f>
        <v>1551689362079385</v>
      </c>
      <c r="C3565" t="s">
        <v>40</v>
      </c>
      <c r="D3565">
        <v>4.1056599999999897</v>
      </c>
      <c r="E3565">
        <v>0.53505159999999996</v>
      </c>
      <c r="F3565" t="s">
        <v>47</v>
      </c>
      <c r="G3565">
        <v>-429.24979999999999</v>
      </c>
      <c r="H3565" s="1">
        <v>2.4128800000000001E-6</v>
      </c>
      <c r="I3565">
        <v>213.59790000000001</v>
      </c>
      <c r="J3565">
        <v>-441.28230000000002</v>
      </c>
      <c r="K3565">
        <v>1.109999</v>
      </c>
      <c r="L3565">
        <v>213.00129999999999</v>
      </c>
      <c r="M3565">
        <v>0.99996350000000001</v>
      </c>
      <c r="N3565">
        <v>-7.275073E-3</v>
      </c>
      <c r="O3565">
        <v>-4.5106979999999996E-3</v>
      </c>
      <c r="P3565">
        <v>0.92747219999999997</v>
      </c>
      <c r="Q3565">
        <v>0.36208129999999999</v>
      </c>
      <c r="R3565">
        <v>9.3234549999999999E-2</v>
      </c>
      <c r="S3565">
        <v>3.3358150000000002</v>
      </c>
      <c r="T3565">
        <v>-0.29687560000000002</v>
      </c>
      <c r="U3565">
        <v>0.15901179999999901</v>
      </c>
      <c r="V3565">
        <v>-9.7381850000000006E-2</v>
      </c>
      <c r="W3565">
        <v>0.36882540000000003</v>
      </c>
      <c r="X3565">
        <v>0.92438339999999997</v>
      </c>
      <c r="Y3565">
        <v>-5.1882780000000003E-2</v>
      </c>
      <c r="Z3565">
        <v>2.8597649999999998E-3</v>
      </c>
      <c r="AA3565">
        <v>0.99864909999999996</v>
      </c>
      <c r="AB3565">
        <v>30</v>
      </c>
      <c r="AC3565">
        <v>12.032500000000001</v>
      </c>
      <c r="AD3565">
        <v>-1.1099965871199999</v>
      </c>
      <c r="AE3565">
        <v>0.596600000000023</v>
      </c>
      <c r="AF3565">
        <v>-0.64539149540999496</v>
      </c>
      <c r="AG3565">
        <v>-1.1099965871199999</v>
      </c>
      <c r="AH3565">
        <v>11.9284240227436</v>
      </c>
      <c r="AI3565">
        <v>95.308614956227402</v>
      </c>
      <c r="AJ3565">
        <v>93.096988236099193</v>
      </c>
      <c r="AK3565">
        <v>11.9973297975897</v>
      </c>
      <c r="AL3565">
        <v>68.3568059147063</v>
      </c>
      <c r="AM3565">
        <v>96.013808071544304</v>
      </c>
      <c r="AN3565">
        <v>1.00000003529507</v>
      </c>
    </row>
    <row r="3566" spans="1:40" x14ac:dyDescent="0.25">
      <c r="A3566" t="str">
        <f>"20190304164922105"</f>
        <v>20190304164922105</v>
      </c>
      <c r="B3566" t="str">
        <f>"1551689362099881"</f>
        <v>1551689362099881</v>
      </c>
      <c r="C3566" t="s">
        <v>40</v>
      </c>
      <c r="D3566">
        <v>4.0901680000000002</v>
      </c>
      <c r="E3566">
        <v>0.5350876</v>
      </c>
      <c r="F3566" t="s">
        <v>47</v>
      </c>
      <c r="G3566">
        <v>-428.92399999999998</v>
      </c>
      <c r="H3566" s="1">
        <v>2.4728490000000001E-6</v>
      </c>
      <c r="I3566">
        <v>213.5729</v>
      </c>
      <c r="J3566">
        <v>-440.99250000000001</v>
      </c>
      <c r="K3566">
        <v>1.1100080000000001</v>
      </c>
      <c r="L3566">
        <v>213</v>
      </c>
      <c r="M3566">
        <v>0.99996339999999995</v>
      </c>
      <c r="N3566">
        <v>-7.2771800000000003E-3</v>
      </c>
      <c r="O3566">
        <v>-4.5171769999999998E-3</v>
      </c>
      <c r="P3566">
        <v>0.92761329999999997</v>
      </c>
      <c r="Q3566">
        <v>0.3616413</v>
      </c>
      <c r="R3566">
        <v>9.3538250000000003E-2</v>
      </c>
      <c r="S3566">
        <v>3.3360599999999998</v>
      </c>
      <c r="T3566">
        <v>-0.29963859999999998</v>
      </c>
      <c r="U3566">
        <v>0.15429689999999999</v>
      </c>
      <c r="V3566">
        <v>-9.7700330000000002E-2</v>
      </c>
      <c r="W3566">
        <v>0.36838609999999999</v>
      </c>
      <c r="X3566">
        <v>0.92452489999999998</v>
      </c>
      <c r="Y3566">
        <v>-5.0479209999999997E-2</v>
      </c>
      <c r="Z3566">
        <v>2.8173009999999999E-3</v>
      </c>
      <c r="AA3566">
        <v>0.99872110000000003</v>
      </c>
      <c r="AB3566">
        <v>30</v>
      </c>
      <c r="AC3566">
        <v>12.068499999999901</v>
      </c>
      <c r="AD3566">
        <v>-1.1100055271510001</v>
      </c>
      <c r="AE3566">
        <v>0.57290000000000396</v>
      </c>
      <c r="AF3566">
        <v>-0.62215982912989798</v>
      </c>
      <c r="AG3566">
        <v>-1.1100055271510001</v>
      </c>
      <c r="AH3566">
        <v>11.9648004834149</v>
      </c>
      <c r="AI3566">
        <v>95.293195807368704</v>
      </c>
      <c r="AJ3566">
        <v>92.976652684520204</v>
      </c>
      <c r="AK3566">
        <v>12.032275168529599</v>
      </c>
      <c r="AL3566">
        <v>68.383881315970697</v>
      </c>
      <c r="AM3566">
        <v>96.032414342884493</v>
      </c>
      <c r="AN3566">
        <v>0.99999998193766404</v>
      </c>
    </row>
    <row r="3567" spans="1:40" x14ac:dyDescent="0.25">
      <c r="A3567" t="str">
        <f>"20190304164922128"</f>
        <v>20190304164922128</v>
      </c>
      <c r="B3567" t="str">
        <f>"1551689362119401"</f>
        <v>1551689362119401</v>
      </c>
      <c r="C3567" t="s">
        <v>40</v>
      </c>
      <c r="D3567">
        <v>4.1326530000000004</v>
      </c>
      <c r="E3567">
        <v>0.53449389999999997</v>
      </c>
      <c r="F3567" t="s">
        <v>47</v>
      </c>
      <c r="G3567">
        <v>-428.69450000000001</v>
      </c>
      <c r="H3567" s="1">
        <v>2.5138470000000002E-6</v>
      </c>
      <c r="I3567">
        <v>213.56960000000001</v>
      </c>
      <c r="J3567">
        <v>-440.68950000000001</v>
      </c>
      <c r="K3567">
        <v>1.1100139999999901</v>
      </c>
      <c r="L3567">
        <v>212.99870000000001</v>
      </c>
      <c r="M3567">
        <v>0.99996350000000001</v>
      </c>
      <c r="N3567">
        <v>-7.2803719999999898E-3</v>
      </c>
      <c r="O3567">
        <v>-4.5140329999999998E-3</v>
      </c>
      <c r="P3567">
        <v>0.92771610000000004</v>
      </c>
      <c r="Q3567">
        <v>0.36117179999999999</v>
      </c>
      <c r="R3567">
        <v>9.4328400000000007E-2</v>
      </c>
      <c r="S3567">
        <v>3.3359070000000002</v>
      </c>
      <c r="T3567">
        <v>-0.30109619999999998</v>
      </c>
      <c r="U3567">
        <v>0.1544952</v>
      </c>
      <c r="V3567">
        <v>-9.8493999999999998E-2</v>
      </c>
      <c r="W3567">
        <v>0.3679193</v>
      </c>
      <c r="X3567">
        <v>0.92462659999999997</v>
      </c>
      <c r="Y3567">
        <v>-5.0534969999999999E-2</v>
      </c>
      <c r="Z3567">
        <v>2.8328590000000001E-3</v>
      </c>
      <c r="AA3567">
        <v>0.99871829999999995</v>
      </c>
      <c r="AB3567">
        <v>30</v>
      </c>
      <c r="AC3567">
        <v>11.994999999999999</v>
      </c>
      <c r="AD3567">
        <v>-1.1100114861529999</v>
      </c>
      <c r="AE3567">
        <v>0.57089999999999397</v>
      </c>
      <c r="AF3567">
        <v>-0.619746193967182</v>
      </c>
      <c r="AG3567">
        <v>-1.1100114861529999</v>
      </c>
      <c r="AH3567">
        <v>11.8907040194473</v>
      </c>
      <c r="AI3567">
        <v>95.325986203684593</v>
      </c>
      <c r="AJ3567">
        <v>92.983569354825207</v>
      </c>
      <c r="AK3567">
        <v>11.9584720145355</v>
      </c>
      <c r="AL3567">
        <v>68.412648095780199</v>
      </c>
      <c r="AM3567">
        <v>96.080389181932205</v>
      </c>
      <c r="AN3567">
        <v>1.0000000143880201</v>
      </c>
    </row>
    <row r="3568" spans="1:40" x14ac:dyDescent="0.25">
      <c r="A3568" t="str">
        <f>"20190304164922149"</f>
        <v>20190304164922149</v>
      </c>
      <c r="B3568" t="str">
        <f>"1551689362139897"</f>
        <v>1551689362139897</v>
      </c>
      <c r="C3568" t="s">
        <v>40</v>
      </c>
      <c r="D3568">
        <v>4.1035059999999897</v>
      </c>
      <c r="E3568">
        <v>0.50951950000000001</v>
      </c>
      <c r="F3568" t="s">
        <v>47</v>
      </c>
      <c r="G3568">
        <v>-428.40780000000001</v>
      </c>
      <c r="H3568" s="1">
        <v>2.562912E-6</v>
      </c>
      <c r="I3568">
        <v>213.59010000000001</v>
      </c>
      <c r="J3568">
        <v>-440.39569999999998</v>
      </c>
      <c r="K3568">
        <v>1.1100129999999999</v>
      </c>
      <c r="L3568">
        <v>212.9974</v>
      </c>
      <c r="M3568">
        <v>0.99996339999999995</v>
      </c>
      <c r="N3568">
        <v>-7.2839159999999997E-3</v>
      </c>
      <c r="O3568">
        <v>-4.5037539999999996E-3</v>
      </c>
      <c r="P3568">
        <v>0.9280138</v>
      </c>
      <c r="Q3568">
        <v>0.35999029999999999</v>
      </c>
      <c r="R3568">
        <v>9.590369E-2</v>
      </c>
      <c r="S3568">
        <v>3.3347470000000001</v>
      </c>
      <c r="T3568">
        <v>-0.3013904</v>
      </c>
      <c r="U3568">
        <v>0.16059880000000001</v>
      </c>
      <c r="V3568">
        <v>-0.100064899999999</v>
      </c>
      <c r="W3568">
        <v>0.36674220000000002</v>
      </c>
      <c r="X3568">
        <v>0.92492549999999996</v>
      </c>
      <c r="Y3568">
        <v>-5.235596E-2</v>
      </c>
      <c r="Z3568">
        <v>2.9242399999999998E-3</v>
      </c>
      <c r="AA3568">
        <v>0.99862419999999996</v>
      </c>
      <c r="AB3568">
        <v>30</v>
      </c>
      <c r="AC3568">
        <v>11.9878999999999</v>
      </c>
      <c r="AD3568">
        <v>-1.110010437088</v>
      </c>
      <c r="AE3568">
        <v>0.592700000000007</v>
      </c>
      <c r="AF3568">
        <v>-0.64120190726136606</v>
      </c>
      <c r="AG3568">
        <v>-1.110010437088</v>
      </c>
      <c r="AH3568">
        <v>11.8834721787861</v>
      </c>
      <c r="AI3568">
        <v>95.328688900341305</v>
      </c>
      <c r="AJ3568">
        <v>93.088539397759206</v>
      </c>
      <c r="AK3568">
        <v>11.952412897833799</v>
      </c>
      <c r="AL3568">
        <v>68.485160004094197</v>
      </c>
      <c r="AM3568">
        <v>96.174642088559196</v>
      </c>
      <c r="AN3568">
        <v>1.0000000030115499</v>
      </c>
    </row>
    <row r="3569" spans="1:40" x14ac:dyDescent="0.25">
      <c r="A3569" t="str">
        <f>"20190304164922173"</f>
        <v>20190304164922173</v>
      </c>
      <c r="B3569" t="str">
        <f>"1551689362169177"</f>
        <v>1551689362169177</v>
      </c>
      <c r="C3569" t="s">
        <v>40</v>
      </c>
      <c r="D3569">
        <v>4.0861159999999996</v>
      </c>
      <c r="E3569">
        <v>0.50741599999999998</v>
      </c>
      <c r="F3569" t="s">
        <v>47</v>
      </c>
      <c r="G3569">
        <v>-426.78339999999997</v>
      </c>
      <c r="H3569" s="1">
        <v>2.7735199999999999E-6</v>
      </c>
      <c r="I3569">
        <v>214.4769</v>
      </c>
      <c r="J3569">
        <v>-440.08390000000003</v>
      </c>
      <c r="K3569">
        <v>1.1100129999999999</v>
      </c>
      <c r="L3569">
        <v>212.99600000000001</v>
      </c>
      <c r="M3569">
        <v>0.99996350000000001</v>
      </c>
      <c r="N3569">
        <v>-7.2846630000000002E-3</v>
      </c>
      <c r="O3569">
        <v>-4.4898899999999999E-3</v>
      </c>
      <c r="P3569">
        <v>0.92864480000000005</v>
      </c>
      <c r="Q3569">
        <v>0.35783619999999999</v>
      </c>
      <c r="R3569">
        <v>9.78382E-2</v>
      </c>
      <c r="S3569">
        <v>3.300049</v>
      </c>
      <c r="T3569">
        <v>-0.26910279999999998</v>
      </c>
      <c r="U3569">
        <v>0.35868840000000002</v>
      </c>
      <c r="V3569">
        <v>-0.1019933</v>
      </c>
      <c r="W3569">
        <v>0.36459190000000002</v>
      </c>
      <c r="X3569">
        <v>0.92556479999999997</v>
      </c>
      <c r="Y3569">
        <v>-0.1121048</v>
      </c>
      <c r="Z3569">
        <v>5.2920619999999897E-3</v>
      </c>
      <c r="AA3569">
        <v>0.99368230000000002</v>
      </c>
      <c r="AB3569">
        <v>30</v>
      </c>
      <c r="AC3569">
        <v>13.3005</v>
      </c>
      <c r="AD3569">
        <v>-1.11001022647999</v>
      </c>
      <c r="AE3569">
        <v>1.4809000000000101</v>
      </c>
      <c r="AF3569">
        <v>-1.5300780104137801</v>
      </c>
      <c r="AG3569">
        <v>-1.11001022647999</v>
      </c>
      <c r="AH3569">
        <v>13.2028852691287</v>
      </c>
      <c r="AI3569">
        <v>94.773942135443505</v>
      </c>
      <c r="AJ3569">
        <v>96.610500280044704</v>
      </c>
      <c r="AK3569">
        <v>13.337520041245201</v>
      </c>
      <c r="AL3569">
        <v>68.617531266752593</v>
      </c>
      <c r="AM3569">
        <v>96.288379368581801</v>
      </c>
      <c r="AN3569">
        <v>1.00000004289476</v>
      </c>
    </row>
    <row r="3570" spans="1:40" x14ac:dyDescent="0.25">
      <c r="A3570" t="str">
        <f>"20190304164922195"</f>
        <v>20190304164922195</v>
      </c>
      <c r="B3570" t="str">
        <f>"1551689362189359"</f>
        <v>1551689362189359</v>
      </c>
      <c r="C3570" t="s">
        <v>40</v>
      </c>
      <c r="D3570">
        <v>4.087917</v>
      </c>
      <c r="E3570">
        <v>0.50750090000000003</v>
      </c>
      <c r="F3570" t="s">
        <v>47</v>
      </c>
      <c r="G3570">
        <v>-427.1943</v>
      </c>
      <c r="H3570" s="1">
        <v>2.6998419999999999E-6</v>
      </c>
      <c r="I3570">
        <v>214.48589999999999</v>
      </c>
      <c r="J3570">
        <v>-439.78629999999998</v>
      </c>
      <c r="K3570">
        <v>1.1100030000000001</v>
      </c>
      <c r="L3570">
        <v>212.99459999999999</v>
      </c>
      <c r="M3570">
        <v>0.99996350000000001</v>
      </c>
      <c r="N3570">
        <v>-7.2818750000000002E-3</v>
      </c>
      <c r="O3570">
        <v>-4.4756630000000004E-3</v>
      </c>
      <c r="P3570">
        <v>0.92967080000000002</v>
      </c>
      <c r="Q3570">
        <v>0.35455530000000002</v>
      </c>
      <c r="R3570">
        <v>0.10001450000000001</v>
      </c>
      <c r="S3570">
        <v>3.2998349999999999</v>
      </c>
      <c r="T3570">
        <v>-0.28417160000000002</v>
      </c>
      <c r="U3570">
        <v>0.38143919999999998</v>
      </c>
      <c r="V3570">
        <v>-0.1041641</v>
      </c>
      <c r="W3570">
        <v>0.36131550000000001</v>
      </c>
      <c r="X3570">
        <v>0.92660719999999996</v>
      </c>
      <c r="Y3570">
        <v>-0.11878900000000001</v>
      </c>
      <c r="Z3570">
        <v>5.87442E-3</v>
      </c>
      <c r="AA3570">
        <v>0.99290219999999996</v>
      </c>
      <c r="AB3570">
        <v>30</v>
      </c>
      <c r="AC3570">
        <v>12.591999999999899</v>
      </c>
      <c r="AD3570">
        <v>-1.1100003001579899</v>
      </c>
      <c r="AE3570">
        <v>1.4912999999999901</v>
      </c>
      <c r="AF3570">
        <v>-1.5358744605161401</v>
      </c>
      <c r="AG3570">
        <v>-1.1100003001579899</v>
      </c>
      <c r="AH3570">
        <v>12.4894902483537</v>
      </c>
      <c r="AI3570">
        <v>95.041028555458894</v>
      </c>
      <c r="AJ3570">
        <v>97.010655944221</v>
      </c>
      <c r="AK3570">
        <v>12.632433561611901</v>
      </c>
      <c r="AL3570">
        <v>68.818992103960795</v>
      </c>
      <c r="AM3570">
        <v>96.413950031348506</v>
      </c>
      <c r="AN3570">
        <v>0.99999997668044904</v>
      </c>
    </row>
    <row r="3571" spans="1:40" x14ac:dyDescent="0.25">
      <c r="A3571" t="str">
        <f>"20190304164922218"</f>
        <v>20190304164922218</v>
      </c>
      <c r="B3571" t="str">
        <f>"1551689362209855"</f>
        <v>1551689362209855</v>
      </c>
      <c r="C3571" t="s">
        <v>40</v>
      </c>
      <c r="D3571">
        <v>4.0787940000000003</v>
      </c>
      <c r="E3571">
        <v>0.50795970000000001</v>
      </c>
      <c r="F3571" t="s">
        <v>47</v>
      </c>
      <c r="G3571">
        <v>-427.42329999999998</v>
      </c>
      <c r="H3571" s="1">
        <v>2.6621939999999999E-6</v>
      </c>
      <c r="I3571">
        <v>214.4521</v>
      </c>
      <c r="J3571">
        <v>-439.4624</v>
      </c>
      <c r="K3571">
        <v>1.109998</v>
      </c>
      <c r="L3571">
        <v>212.9932</v>
      </c>
      <c r="M3571">
        <v>0.99996370000000001</v>
      </c>
      <c r="N3571">
        <v>-7.2781919999999898E-3</v>
      </c>
      <c r="O3571">
        <v>-4.4606029999999996E-3</v>
      </c>
      <c r="P3571">
        <v>0.93104299999999995</v>
      </c>
      <c r="Q3571">
        <v>0.3502323</v>
      </c>
      <c r="R3571">
        <v>0.1024526</v>
      </c>
      <c r="S3571">
        <v>3.2980649999999998</v>
      </c>
      <c r="T3571">
        <v>-0.29611209999999999</v>
      </c>
      <c r="U3571">
        <v>0.38879390000000003</v>
      </c>
      <c r="V3571">
        <v>-0.106597</v>
      </c>
      <c r="W3571">
        <v>0.35699839999999999</v>
      </c>
      <c r="X3571">
        <v>0.92800280000000002</v>
      </c>
      <c r="Y3571">
        <v>-0.1209692</v>
      </c>
      <c r="Z3571">
        <v>6.2097680000000001E-3</v>
      </c>
      <c r="AA3571">
        <v>0.99263690000000004</v>
      </c>
      <c r="AB3571">
        <v>31</v>
      </c>
      <c r="AC3571">
        <v>12.039099999999999</v>
      </c>
      <c r="AD3571">
        <v>-1.1099953378059999</v>
      </c>
      <c r="AE3571">
        <v>1.4589000000000001</v>
      </c>
      <c r="AF3571">
        <v>-1.50002185979048</v>
      </c>
      <c r="AG3571">
        <v>-1.1099953378059999</v>
      </c>
      <c r="AH3571">
        <v>11.9325058954435</v>
      </c>
      <c r="AI3571">
        <v>95.273255018383594</v>
      </c>
      <c r="AJ3571">
        <v>97.165003392357406</v>
      </c>
      <c r="AK3571">
        <v>12.0775350206321</v>
      </c>
      <c r="AL3571">
        <v>69.0840282162509</v>
      </c>
      <c r="AM3571">
        <v>96.552681650239805</v>
      </c>
      <c r="AN3571">
        <v>0.99999998740969998</v>
      </c>
    </row>
    <row r="3572" spans="1:40" x14ac:dyDescent="0.25">
      <c r="A3572" t="str">
        <f>"20190304164922241"</f>
        <v>20190304164922241</v>
      </c>
      <c r="B3572" t="str">
        <f>"1551689362229375"</f>
        <v>1551689362229375</v>
      </c>
      <c r="C3572" t="s">
        <v>40</v>
      </c>
      <c r="D3572">
        <v>4.0649930000000003</v>
      </c>
      <c r="E3572">
        <v>0.50843799999999995</v>
      </c>
      <c r="F3572" t="s">
        <v>47</v>
      </c>
      <c r="G3572">
        <v>-427.77949999999998</v>
      </c>
      <c r="H3572" s="1">
        <v>2.6047779999999998E-6</v>
      </c>
      <c r="I3572">
        <v>214.386</v>
      </c>
      <c r="J3572">
        <v>-439.14640000000003</v>
      </c>
      <c r="K3572">
        <v>1.10998</v>
      </c>
      <c r="L3572">
        <v>212.99180000000001</v>
      </c>
      <c r="M3572">
        <v>0.99996359999999995</v>
      </c>
      <c r="N3572">
        <v>-7.27546099999999E-3</v>
      </c>
      <c r="O3572">
        <v>-4.4462700000000004E-3</v>
      </c>
      <c r="P3572">
        <v>0.93282419999999999</v>
      </c>
      <c r="Q3572">
        <v>0.34462150000000003</v>
      </c>
      <c r="R3572">
        <v>0.10523739999999999</v>
      </c>
      <c r="S3572">
        <v>3.2967219999999999</v>
      </c>
      <c r="T3572">
        <v>-0.31322240000000001</v>
      </c>
      <c r="U3572">
        <v>0.39303589999999999</v>
      </c>
      <c r="V3572">
        <v>-0.10937819999999999</v>
      </c>
      <c r="W3572">
        <v>0.35139759999999998</v>
      </c>
      <c r="X3572">
        <v>0.92981510000000001</v>
      </c>
      <c r="Y3572">
        <v>-0.1221941</v>
      </c>
      <c r="Z3572">
        <v>6.6065269999999897E-3</v>
      </c>
      <c r="AA3572">
        <v>0.99248420000000004</v>
      </c>
      <c r="AB3572">
        <v>31</v>
      </c>
      <c r="AC3572">
        <v>11.366899999999999</v>
      </c>
      <c r="AD3572">
        <v>-1.109977395222</v>
      </c>
      <c r="AE3572">
        <v>1.3941999999999799</v>
      </c>
      <c r="AF3572">
        <v>-1.4312821301276899</v>
      </c>
      <c r="AG3572">
        <v>-1.109977395222</v>
      </c>
      <c r="AH3572">
        <v>11.2548582192958</v>
      </c>
      <c r="AI3572">
        <v>95.587701108768101</v>
      </c>
      <c r="AJ3572">
        <v>97.247411589709003</v>
      </c>
      <c r="AK3572">
        <v>11.399668937753299</v>
      </c>
      <c r="AL3572">
        <v>69.427177408774796</v>
      </c>
      <c r="AM3572">
        <v>96.709118894972306</v>
      </c>
      <c r="AN3572">
        <v>0.99999999205450396</v>
      </c>
    </row>
    <row r="3573" spans="1:40" x14ac:dyDescent="0.25">
      <c r="A3573" t="str">
        <f>"20190304164922262"</f>
        <v>20190304164922262</v>
      </c>
      <c r="B3573" t="str">
        <f>"1551689362249873"</f>
        <v>1551689362249873</v>
      </c>
      <c r="C3573" t="s">
        <v>40</v>
      </c>
      <c r="D3573">
        <v>4.0665009999999997</v>
      </c>
      <c r="E3573">
        <v>0.50872070000000003</v>
      </c>
      <c r="F3573" t="s">
        <v>47</v>
      </c>
      <c r="G3573">
        <v>-428.18599999999998</v>
      </c>
      <c r="H3573" s="1">
        <v>2.5390210000000001E-6</v>
      </c>
      <c r="I3573">
        <v>214.3135</v>
      </c>
      <c r="J3573">
        <v>-438.85320000000002</v>
      </c>
      <c r="K3573">
        <v>1.1099570000000001</v>
      </c>
      <c r="L3573">
        <v>212.9905</v>
      </c>
      <c r="M3573">
        <v>0.99996379999999996</v>
      </c>
      <c r="N3573">
        <v>-7.2738079999999997E-3</v>
      </c>
      <c r="O3573">
        <v>-4.433022E-3</v>
      </c>
      <c r="P3573">
        <v>0.93454280000000001</v>
      </c>
      <c r="Q3573">
        <v>0.33918350000000003</v>
      </c>
      <c r="R3573">
        <v>0.1076317</v>
      </c>
      <c r="S3573">
        <v>3.2944339999999999</v>
      </c>
      <c r="T3573">
        <v>-0.33363320000000002</v>
      </c>
      <c r="U3573">
        <v>0.39726260000000002</v>
      </c>
      <c r="V3573">
        <v>-0.1117693</v>
      </c>
      <c r="W3573">
        <v>0.34597030000000001</v>
      </c>
      <c r="X3573">
        <v>0.93156439999999996</v>
      </c>
      <c r="Y3573">
        <v>-0.12343170000000001</v>
      </c>
      <c r="Z3573">
        <v>7.0777180000000002E-3</v>
      </c>
      <c r="AA3573">
        <v>0.99232779999999998</v>
      </c>
      <c r="AB3573">
        <v>31</v>
      </c>
      <c r="AC3573">
        <v>10.667199999999999</v>
      </c>
      <c r="AD3573">
        <v>-1.109954460979</v>
      </c>
      <c r="AE3573">
        <v>1.323</v>
      </c>
      <c r="AF3573">
        <v>-1.3558190642777499</v>
      </c>
      <c r="AG3573">
        <v>-1.109954460979</v>
      </c>
      <c r="AH3573">
        <v>10.548748703651301</v>
      </c>
      <c r="AI3573">
        <v>95.9579879437416</v>
      </c>
      <c r="AJ3573">
        <v>97.3240095489477</v>
      </c>
      <c r="AK3573">
        <v>10.6932849701712</v>
      </c>
      <c r="AL3573">
        <v>69.758962858381494</v>
      </c>
      <c r="AM3573">
        <v>96.841656087085397</v>
      </c>
      <c r="AN3573">
        <v>1.00000002812596</v>
      </c>
    </row>
    <row r="3574" spans="1:40" x14ac:dyDescent="0.25">
      <c r="A3574" t="str">
        <f>"20190304164922286"</f>
        <v>20190304164922286</v>
      </c>
      <c r="B3574" t="str">
        <f>"1551689362279707"</f>
        <v>1551689362279707</v>
      </c>
      <c r="C3574" t="s">
        <v>40</v>
      </c>
      <c r="D3574">
        <v>4.0820259999999999</v>
      </c>
      <c r="E3574">
        <v>0.50925730000000002</v>
      </c>
      <c r="F3574" t="s">
        <v>47</v>
      </c>
      <c r="G3574">
        <v>-428.43290000000002</v>
      </c>
      <c r="H3574" s="1">
        <v>2.4994670000000001E-6</v>
      </c>
      <c r="I3574">
        <v>214.26480000000001</v>
      </c>
      <c r="J3574">
        <v>-438.52969999999999</v>
      </c>
      <c r="K3574">
        <v>1.1099410000000001</v>
      </c>
      <c r="L3574">
        <v>212.98910000000001</v>
      </c>
      <c r="M3574">
        <v>0.99996379999999996</v>
      </c>
      <c r="N3574">
        <v>-7.2731389999999996E-3</v>
      </c>
      <c r="O3574">
        <v>-4.4181109999999997E-3</v>
      </c>
      <c r="P3574">
        <v>0.93638619999999995</v>
      </c>
      <c r="Q3574">
        <v>0.33360109999999998</v>
      </c>
      <c r="R3574">
        <v>0.1090481</v>
      </c>
      <c r="S3574">
        <v>3.2909549999999999</v>
      </c>
      <c r="T3574">
        <v>-0.35054679999999999</v>
      </c>
      <c r="U3574">
        <v>0.40246579999999998</v>
      </c>
      <c r="V3574">
        <v>-0.11318060000000001</v>
      </c>
      <c r="W3574">
        <v>0.34040049999999999</v>
      </c>
      <c r="X3574">
        <v>0.93344400000000005</v>
      </c>
      <c r="Y3574">
        <v>-0.12500790000000001</v>
      </c>
      <c r="Z3574">
        <v>7.5079019999999899E-3</v>
      </c>
      <c r="AA3574">
        <v>0.99212739999999999</v>
      </c>
      <c r="AB3574">
        <v>31</v>
      </c>
      <c r="AC3574">
        <v>10.096799999999901</v>
      </c>
      <c r="AD3574">
        <v>-1.109938500533</v>
      </c>
      <c r="AE3574">
        <v>1.2757000000000001</v>
      </c>
      <c r="AF3574">
        <v>-1.30477761927358</v>
      </c>
      <c r="AG3574">
        <v>-1.109938500533</v>
      </c>
      <c r="AH3574">
        <v>9.9724462161219005</v>
      </c>
      <c r="AI3574">
        <v>96.297673433175703</v>
      </c>
      <c r="AJ3574">
        <v>97.454138232987006</v>
      </c>
      <c r="AK3574">
        <v>10.118502440784701</v>
      </c>
      <c r="AL3574">
        <v>70.098723950668997</v>
      </c>
      <c r="AM3574">
        <v>96.913397132183803</v>
      </c>
      <c r="AN3574">
        <v>1.0000000248762999</v>
      </c>
    </row>
    <row r="3575" spans="1:40" x14ac:dyDescent="0.25">
      <c r="A3575" t="str">
        <f>"20190304164922307"</f>
        <v>20190304164922307</v>
      </c>
      <c r="B3575" t="str">
        <f>"1551689362299227"</f>
        <v>1551689362299227</v>
      </c>
      <c r="C3575" t="s">
        <v>40</v>
      </c>
      <c r="D3575">
        <v>4.0891699999999904</v>
      </c>
      <c r="E3575">
        <v>0.50938859999999997</v>
      </c>
      <c r="F3575" t="s">
        <v>47</v>
      </c>
      <c r="G3575">
        <v>-428.53460000000001</v>
      </c>
      <c r="H3575" s="1">
        <v>2.4858139999999999E-6</v>
      </c>
      <c r="I3575">
        <v>214.21459999999999</v>
      </c>
      <c r="J3575">
        <v>-438.23160000000001</v>
      </c>
      <c r="K3575">
        <v>1.1099209999999999</v>
      </c>
      <c r="L3575">
        <v>212.98769999999999</v>
      </c>
      <c r="M3575">
        <v>0.99996379999999996</v>
      </c>
      <c r="N3575">
        <v>-7.2736750000000003E-3</v>
      </c>
      <c r="O3575">
        <v>-4.4044009999999996E-3</v>
      </c>
      <c r="P3575">
        <v>0.93881460000000005</v>
      </c>
      <c r="Q3575">
        <v>0.32638250000000002</v>
      </c>
      <c r="R3575">
        <v>0.11000799999999999</v>
      </c>
      <c r="S3575">
        <v>3.286896</v>
      </c>
      <c r="T3575">
        <v>-0.36500680000000002</v>
      </c>
      <c r="U3575">
        <v>0.40303040000000001</v>
      </c>
      <c r="V3575">
        <v>-0.11413860000000001</v>
      </c>
      <c r="W3575">
        <v>0.33320029999999901</v>
      </c>
      <c r="X3575">
        <v>0.93592200000000003</v>
      </c>
      <c r="Y3575">
        <v>-0.12524389999999999</v>
      </c>
      <c r="Z3575">
        <v>7.8198520000000004E-3</v>
      </c>
      <c r="AA3575">
        <v>0.99209519999999995</v>
      </c>
      <c r="AB3575">
        <v>31</v>
      </c>
      <c r="AC3575">
        <v>9.6969999999999992</v>
      </c>
      <c r="AD3575">
        <v>-1.109918514186</v>
      </c>
      <c r="AE3575">
        <v>1.2269000000000001</v>
      </c>
      <c r="AF3575">
        <v>-1.2534360653433001</v>
      </c>
      <c r="AG3575">
        <v>-1.109918514186</v>
      </c>
      <c r="AH3575">
        <v>9.5681242496276209</v>
      </c>
      <c r="AI3575">
        <v>96.561267559928694</v>
      </c>
      <c r="AJ3575">
        <v>97.463317883109994</v>
      </c>
      <c r="AK3575">
        <v>9.7134969364461305</v>
      </c>
      <c r="AL3575">
        <v>70.536864285668301</v>
      </c>
      <c r="AM3575">
        <v>96.953064281226801</v>
      </c>
      <c r="AN3575">
        <v>1.00000002500702</v>
      </c>
    </row>
    <row r="3576" spans="1:40" x14ac:dyDescent="0.25">
      <c r="A3576" t="str">
        <f>"20190304164922330"</f>
        <v>20190304164922330</v>
      </c>
      <c r="B3576" t="str">
        <f>"1551689362319726"</f>
        <v>1551689362319726</v>
      </c>
      <c r="C3576" t="s">
        <v>40</v>
      </c>
      <c r="D3576">
        <v>4.0951329999999997</v>
      </c>
      <c r="E3576">
        <v>0.51213949999999997</v>
      </c>
      <c r="F3576" t="s">
        <v>47</v>
      </c>
      <c r="G3576">
        <v>-428.83510000000001</v>
      </c>
      <c r="H3576" s="1">
        <v>2.4382100000000001E-6</v>
      </c>
      <c r="I3576">
        <v>214.14959999999999</v>
      </c>
      <c r="J3576">
        <v>-437.90469999999999</v>
      </c>
      <c r="K3576">
        <v>1.109896</v>
      </c>
      <c r="L3576">
        <v>212.9863</v>
      </c>
      <c r="M3576">
        <v>0.99996410000000002</v>
      </c>
      <c r="N3576">
        <v>-7.2721369999999997E-3</v>
      </c>
      <c r="O3576">
        <v>-4.389731E-3</v>
      </c>
      <c r="P3576">
        <v>0.94153900000000001</v>
      </c>
      <c r="Q3576">
        <v>0.3179978</v>
      </c>
      <c r="R3576">
        <v>0.11127289999999999</v>
      </c>
      <c r="S3576">
        <v>3.2827449999999998</v>
      </c>
      <c r="T3576">
        <v>-0.38775870000000001</v>
      </c>
      <c r="U3576">
        <v>0.40588380000000002</v>
      </c>
      <c r="V3576">
        <v>-0.11540159999999999</v>
      </c>
      <c r="W3576">
        <v>0.32483400000000001</v>
      </c>
      <c r="X3576">
        <v>0.93870410000000004</v>
      </c>
      <c r="Y3576">
        <v>-0.12611829999999999</v>
      </c>
      <c r="Z3576">
        <v>8.3399979999999995E-3</v>
      </c>
      <c r="AA3576">
        <v>0.99198010000000003</v>
      </c>
      <c r="AB3576">
        <v>31</v>
      </c>
      <c r="AC3576">
        <v>9.0695999999999799</v>
      </c>
      <c r="AD3576">
        <v>-1.1098935617899901</v>
      </c>
      <c r="AE3576">
        <v>1.16329999999999</v>
      </c>
      <c r="AF3576">
        <v>-1.1856346432217399</v>
      </c>
      <c r="AG3576">
        <v>-1.1098935617899901</v>
      </c>
      <c r="AH3576">
        <v>8.9327964307265297</v>
      </c>
      <c r="AI3576">
        <v>97.021704135385605</v>
      </c>
      <c r="AJ3576">
        <v>97.560578812611496</v>
      </c>
      <c r="AK3576">
        <v>9.0792315367827907</v>
      </c>
      <c r="AL3576">
        <v>71.044482199362506</v>
      </c>
      <c r="AM3576">
        <v>97.008612298581795</v>
      </c>
      <c r="AN3576">
        <v>1.0000000220976799</v>
      </c>
    </row>
    <row r="3577" spans="1:40" x14ac:dyDescent="0.25">
      <c r="A3577" t="str">
        <f>"20190304164922351"</f>
        <v>20190304164922351</v>
      </c>
      <c r="B3577" t="str">
        <f>"1551689362339246"</f>
        <v>1551689362339246</v>
      </c>
      <c r="C3577" t="s">
        <v>40</v>
      </c>
      <c r="D3577">
        <v>4.0742050000000001</v>
      </c>
      <c r="E3577">
        <v>0.51415659999999996</v>
      </c>
      <c r="F3577" t="s">
        <v>47</v>
      </c>
      <c r="G3577">
        <v>-427.96260000000001</v>
      </c>
      <c r="H3577" s="1">
        <v>2.5929210000000001E-6</v>
      </c>
      <c r="I3577">
        <v>214.15010000000001</v>
      </c>
      <c r="J3577">
        <v>-437.6028</v>
      </c>
      <c r="K3577">
        <v>1.1098539999999999</v>
      </c>
      <c r="L3577">
        <v>212.98500000000001</v>
      </c>
      <c r="M3577">
        <v>0.99996399999999996</v>
      </c>
      <c r="N3577">
        <v>-7.2674239999999998E-3</v>
      </c>
      <c r="O3577">
        <v>-4.3760040000000002E-3</v>
      </c>
      <c r="P3577">
        <v>0.94450109999999998</v>
      </c>
      <c r="Q3577">
        <v>0.30894709999999997</v>
      </c>
      <c r="R3577">
        <v>0.1116654</v>
      </c>
      <c r="S3577">
        <v>3.2641909999999998</v>
      </c>
      <c r="T3577">
        <v>-0.36440109999999998</v>
      </c>
      <c r="U3577">
        <v>0.38208009999999998</v>
      </c>
      <c r="V3577">
        <v>-0.11579449999999999</v>
      </c>
      <c r="W3577">
        <v>0.31580059999999999</v>
      </c>
      <c r="X3577">
        <v>0.9417333</v>
      </c>
      <c r="Y3577">
        <v>-0.1197973</v>
      </c>
      <c r="Z3577">
        <v>7.5356769999999898E-3</v>
      </c>
      <c r="AA3577">
        <v>0.99276980000000004</v>
      </c>
      <c r="AB3577">
        <v>31</v>
      </c>
      <c r="AC3577">
        <v>9.6401999999999894</v>
      </c>
      <c r="AD3577">
        <v>-1.109851407079</v>
      </c>
      <c r="AE3577">
        <v>1.16509999999999</v>
      </c>
      <c r="AF3577">
        <v>-1.1917076298031899</v>
      </c>
      <c r="AG3577">
        <v>-1.109851407079</v>
      </c>
      <c r="AH3577">
        <v>9.5107651158270805</v>
      </c>
      <c r="AI3577">
        <v>96.604797904403199</v>
      </c>
      <c r="AJ3577">
        <v>97.141991977216705</v>
      </c>
      <c r="AK3577">
        <v>9.6491756284751897</v>
      </c>
      <c r="AL3577">
        <v>71.5908478952515</v>
      </c>
      <c r="AM3577">
        <v>97.009840890135393</v>
      </c>
      <c r="AN3577">
        <v>0.99999999675974904</v>
      </c>
    </row>
    <row r="3578" spans="1:40" x14ac:dyDescent="0.25">
      <c r="A3578" t="str">
        <f>"20190304164922373"</f>
        <v>20190304164922373</v>
      </c>
      <c r="B3578" t="str">
        <f>"1551689362369499"</f>
        <v>1551689362369499</v>
      </c>
      <c r="C3578" t="s">
        <v>40</v>
      </c>
      <c r="D3578">
        <v>4.0729579999999999</v>
      </c>
      <c r="E3578">
        <v>0.51364350000000003</v>
      </c>
      <c r="F3578" t="s">
        <v>47</v>
      </c>
      <c r="G3578">
        <v>-427.58580000000001</v>
      </c>
      <c r="H3578" s="1">
        <v>2.6635960000000001E-6</v>
      </c>
      <c r="I3578">
        <v>214.1062</v>
      </c>
      <c r="J3578">
        <v>-437.31049999999999</v>
      </c>
      <c r="K3578">
        <v>1.1098239999999999</v>
      </c>
      <c r="L3578">
        <v>212.9837</v>
      </c>
      <c r="M3578">
        <v>0.99996419999999997</v>
      </c>
      <c r="N3578">
        <v>-7.2623019999999896E-3</v>
      </c>
      <c r="O3578">
        <v>-4.3629910000000001E-3</v>
      </c>
      <c r="P3578">
        <v>0.94740060000000004</v>
      </c>
      <c r="Q3578">
        <v>0.29956650000000001</v>
      </c>
      <c r="R3578">
        <v>0.11265989999999999</v>
      </c>
      <c r="S3578">
        <v>3.2510379999999999</v>
      </c>
      <c r="T3578">
        <v>-0.36020350000000001</v>
      </c>
      <c r="U3578">
        <v>0.36390689999999998</v>
      </c>
      <c r="V3578">
        <v>-0.1167894</v>
      </c>
      <c r="W3578">
        <v>0.30643629999999999</v>
      </c>
      <c r="X3578">
        <v>0.94469939999999997</v>
      </c>
      <c r="Y3578">
        <v>-0.1148126</v>
      </c>
      <c r="Z3578">
        <v>7.1899759999999998E-3</v>
      </c>
      <c r="AA3578">
        <v>0.99336120000000006</v>
      </c>
      <c r="AB3578">
        <v>31</v>
      </c>
      <c r="AC3578">
        <v>9.7246999999999808</v>
      </c>
      <c r="AD3578">
        <v>-1.1098213364039999</v>
      </c>
      <c r="AE3578">
        <v>1.1225000000000001</v>
      </c>
      <c r="AF3578">
        <v>-1.1501364689626901</v>
      </c>
      <c r="AG3578">
        <v>-1.1098213364039999</v>
      </c>
      <c r="AH3578">
        <v>9.5963674366651404</v>
      </c>
      <c r="AI3578">
        <v>96.550491183305994</v>
      </c>
      <c r="AJ3578">
        <v>96.834370538995898</v>
      </c>
      <c r="AK3578">
        <v>9.7285551484001296</v>
      </c>
      <c r="AL3578">
        <v>72.155403282568798</v>
      </c>
      <c r="AM3578">
        <v>97.047489550138707</v>
      </c>
      <c r="AN3578">
        <v>0.99999996313520401</v>
      </c>
    </row>
    <row r="3579" spans="1:40" x14ac:dyDescent="0.25">
      <c r="A3579" t="str">
        <f>"20190304164922396"</f>
        <v>20190304164922396</v>
      </c>
      <c r="B3579" t="str">
        <f>"1551689362389065"</f>
        <v>1551689362389065</v>
      </c>
      <c r="C3579" t="s">
        <v>40</v>
      </c>
      <c r="D3579">
        <v>4.0921260000000004</v>
      </c>
      <c r="E3579">
        <v>0.51354279999999997</v>
      </c>
      <c r="F3579" t="s">
        <v>47</v>
      </c>
      <c r="G3579">
        <v>-427.8039</v>
      </c>
      <c r="H3579" s="1">
        <v>2.627807E-6</v>
      </c>
      <c r="I3579">
        <v>214.07310000000001</v>
      </c>
      <c r="J3579">
        <v>-436.98219999999998</v>
      </c>
      <c r="K3579">
        <v>1.1097919999999999</v>
      </c>
      <c r="L3579">
        <v>212.98230000000001</v>
      </c>
      <c r="M3579">
        <v>0.99996419999999997</v>
      </c>
      <c r="N3579">
        <v>-7.2574850000000002E-3</v>
      </c>
      <c r="O3579">
        <v>-4.3483100000000002E-3</v>
      </c>
      <c r="P3579">
        <v>0.95040480000000005</v>
      </c>
      <c r="Q3579">
        <v>0.28992689999999999</v>
      </c>
      <c r="R3579">
        <v>0.1125738</v>
      </c>
      <c r="S3579">
        <v>3.2420960000000001</v>
      </c>
      <c r="T3579">
        <v>-0.37849090000000002</v>
      </c>
      <c r="U3579">
        <v>0.37152099999999999</v>
      </c>
      <c r="V3579">
        <v>-0.116702399999999</v>
      </c>
      <c r="W3579">
        <v>0.29681419999999997</v>
      </c>
      <c r="X3579">
        <v>0.94777730000000004</v>
      </c>
      <c r="Y3579">
        <v>-0.11730500000000001</v>
      </c>
      <c r="Z3579">
        <v>7.7035790000000003E-3</v>
      </c>
      <c r="AA3579">
        <v>0.99306609999999995</v>
      </c>
      <c r="AB3579">
        <v>31</v>
      </c>
      <c r="AC3579">
        <v>9.1782999999999806</v>
      </c>
      <c r="AD3579">
        <v>-1.1097893721929999</v>
      </c>
      <c r="AE3579">
        <v>1.0908</v>
      </c>
      <c r="AF3579">
        <v>-1.11463153887705</v>
      </c>
      <c r="AG3579">
        <v>-1.1097893721929999</v>
      </c>
      <c r="AH3579">
        <v>9.0430984480922998</v>
      </c>
      <c r="AI3579">
        <v>96.944448895637606</v>
      </c>
      <c r="AJ3579">
        <v>97.0267048637714</v>
      </c>
      <c r="AK3579">
        <v>9.1788705982806693</v>
      </c>
      <c r="AL3579">
        <v>72.733642695415995</v>
      </c>
      <c r="AM3579">
        <v>97.019651131807507</v>
      </c>
      <c r="AN3579">
        <v>0.99999996494134402</v>
      </c>
    </row>
    <row r="3580" spans="1:40" x14ac:dyDescent="0.25">
      <c r="A3580" t="str">
        <f>"20190304164922418"</f>
        <v>20190304164922418</v>
      </c>
      <c r="B3580" t="str">
        <f>"1551689362409561"</f>
        <v>1551689362409561</v>
      </c>
      <c r="C3580" t="s">
        <v>40</v>
      </c>
      <c r="D3580">
        <v>4.1208600000000004</v>
      </c>
      <c r="E3580">
        <v>0.51323640000000004</v>
      </c>
      <c r="F3580" t="s">
        <v>47</v>
      </c>
      <c r="G3580">
        <v>-428.04629999999997</v>
      </c>
      <c r="H3580" s="1">
        <v>2.5896109999999998E-6</v>
      </c>
      <c r="I3580">
        <v>214.01830000000001</v>
      </c>
      <c r="J3580">
        <v>-436.66840000000002</v>
      </c>
      <c r="K3580">
        <v>1.1097589999999999</v>
      </c>
      <c r="L3580">
        <v>212.98089999999999</v>
      </c>
      <c r="M3580">
        <v>0.99996419999999997</v>
      </c>
      <c r="N3580">
        <v>-7.2542010000000001E-3</v>
      </c>
      <c r="O3580">
        <v>-4.3341129999999997E-3</v>
      </c>
      <c r="P3580">
        <v>0.95352999999999999</v>
      </c>
      <c r="Q3580">
        <v>0.27955970000000002</v>
      </c>
      <c r="R3580">
        <v>0.112369899999999</v>
      </c>
      <c r="S3580">
        <v>3.23468</v>
      </c>
      <c r="T3580">
        <v>-0.40172530000000001</v>
      </c>
      <c r="U3580">
        <v>0.37503049999999999</v>
      </c>
      <c r="V3580">
        <v>-0.1164989</v>
      </c>
      <c r="W3580">
        <v>0.28646700000000003</v>
      </c>
      <c r="X3580">
        <v>0.95098090000000002</v>
      </c>
      <c r="Y3580">
        <v>-0.1184924</v>
      </c>
      <c r="Z3580">
        <v>8.2418209999999999E-3</v>
      </c>
      <c r="AA3580">
        <v>0.99292080000000005</v>
      </c>
      <c r="AB3580">
        <v>31</v>
      </c>
      <c r="AC3580">
        <v>8.6221000000000405</v>
      </c>
      <c r="AD3580">
        <v>-1.1097564103890001</v>
      </c>
      <c r="AE3580">
        <v>1.0374000000000101</v>
      </c>
      <c r="AF3580">
        <v>-1.05749152221783</v>
      </c>
      <c r="AG3580">
        <v>-1.1097564103890001</v>
      </c>
      <c r="AH3580">
        <v>8.4790593297554206</v>
      </c>
      <c r="AI3580">
        <v>97.399916113909597</v>
      </c>
      <c r="AJ3580">
        <v>97.109108298464804</v>
      </c>
      <c r="AK3580">
        <v>8.6165129099581002</v>
      </c>
      <c r="AL3580">
        <v>73.353441871771395</v>
      </c>
      <c r="AM3580">
        <v>96.984159445523304</v>
      </c>
      <c r="AN3580">
        <v>1.0000000039775001</v>
      </c>
    </row>
    <row r="3581" spans="1:40" x14ac:dyDescent="0.25">
      <c r="A3581" t="str">
        <f>"20190304164922440"</f>
        <v>20190304164922440</v>
      </c>
      <c r="B3581" t="str">
        <f>"1551689362429081"</f>
        <v>1551689362429081</v>
      </c>
      <c r="C3581" t="s">
        <v>40</v>
      </c>
      <c r="D3581">
        <v>4.1212410000000004</v>
      </c>
      <c r="E3581">
        <v>0.51322719999999999</v>
      </c>
      <c r="F3581" t="s">
        <v>47</v>
      </c>
      <c r="G3581">
        <v>-427.09699999999998</v>
      </c>
      <c r="H3581" s="1">
        <v>2.7510629999999998E-6</v>
      </c>
      <c r="I3581">
        <v>214.0975</v>
      </c>
      <c r="J3581">
        <v>-436.34769999999997</v>
      </c>
      <c r="K3581">
        <v>1.1097319999999999</v>
      </c>
      <c r="L3581">
        <v>212.9795</v>
      </c>
      <c r="M3581">
        <v>0.99996450000000003</v>
      </c>
      <c r="N3581">
        <v>-7.2520809999999996E-3</v>
      </c>
      <c r="O3581">
        <v>-4.320277E-3</v>
      </c>
      <c r="P3581">
        <v>0.95637229999999995</v>
      </c>
      <c r="Q3581">
        <v>0.2697657</v>
      </c>
      <c r="R3581">
        <v>0.1121564</v>
      </c>
      <c r="S3581">
        <v>3.2112120000000002</v>
      </c>
      <c r="T3581">
        <v>-0.37232579999999998</v>
      </c>
      <c r="U3581">
        <v>0.37461850000000002</v>
      </c>
      <c r="V3581">
        <v>-0.1162851</v>
      </c>
      <c r="W3581">
        <v>0.27669199999999999</v>
      </c>
      <c r="X3581">
        <v>0.95389690000000005</v>
      </c>
      <c r="Y3581">
        <v>-0.1193</v>
      </c>
      <c r="Z3581">
        <v>7.7720489999999996E-3</v>
      </c>
      <c r="AA3581">
        <v>0.99282780000000004</v>
      </c>
      <c r="AB3581">
        <v>32</v>
      </c>
      <c r="AC3581">
        <v>9.2506999999999895</v>
      </c>
      <c r="AD3581">
        <v>-1.1097292489370001</v>
      </c>
      <c r="AE3581">
        <v>1.1179999999999899</v>
      </c>
      <c r="AF3581">
        <v>-1.1417618698812999</v>
      </c>
      <c r="AG3581">
        <v>-1.1097292489370001</v>
      </c>
      <c r="AH3581">
        <v>9.1164787048898894</v>
      </c>
      <c r="AI3581">
        <v>96.887065480325305</v>
      </c>
      <c r="AJ3581">
        <v>97.138642487106196</v>
      </c>
      <c r="AK3581">
        <v>9.2544747636033904</v>
      </c>
      <c r="AL3581">
        <v>73.937128136371498</v>
      </c>
      <c r="AM3581">
        <v>96.950365738858196</v>
      </c>
      <c r="AN3581">
        <v>0.99999999158781006</v>
      </c>
    </row>
    <row r="3582" spans="1:40" x14ac:dyDescent="0.25">
      <c r="A3582" t="str">
        <f>"20190304164922464"</f>
        <v>20190304164922464</v>
      </c>
      <c r="B3582" t="str">
        <f>"1551689362459336"</f>
        <v>1551689362459336</v>
      </c>
      <c r="C3582" t="s">
        <v>40</v>
      </c>
      <c r="D3582">
        <v>4.1232509999999998</v>
      </c>
      <c r="E3582">
        <v>0.51436970000000004</v>
      </c>
      <c r="F3582" t="s">
        <v>47</v>
      </c>
      <c r="G3582">
        <v>-427.3141</v>
      </c>
      <c r="H3582" s="1">
        <v>2.7171810000000001E-6</v>
      </c>
      <c r="I3582">
        <v>214.0445</v>
      </c>
      <c r="J3582">
        <v>-436.02289999999999</v>
      </c>
      <c r="K3582">
        <v>1.1097030000000001</v>
      </c>
      <c r="L3582">
        <v>212.97810000000001</v>
      </c>
      <c r="M3582">
        <v>0.99996459999999998</v>
      </c>
      <c r="N3582">
        <v>-7.2495249999999997E-3</v>
      </c>
      <c r="O3582">
        <v>-4.3075199999999996E-3</v>
      </c>
      <c r="P3582">
        <v>0.95860080000000003</v>
      </c>
      <c r="Q3582">
        <v>0.26188299999999998</v>
      </c>
      <c r="R3582">
        <v>0.1118125</v>
      </c>
      <c r="S3582">
        <v>3.2035520000000002</v>
      </c>
      <c r="T3582">
        <v>-0.39354060000000002</v>
      </c>
      <c r="U3582">
        <v>0.37768550000000001</v>
      </c>
      <c r="V3582">
        <v>-0.1159377</v>
      </c>
      <c r="W3582">
        <v>0.26882349999999999</v>
      </c>
      <c r="X3582">
        <v>0.95618639999999999</v>
      </c>
      <c r="Y3582">
        <v>-0.1203872</v>
      </c>
      <c r="Z3582">
        <v>8.2756559999999993E-3</v>
      </c>
      <c r="AA3582">
        <v>0.99269249999999998</v>
      </c>
      <c r="AB3582">
        <v>32</v>
      </c>
      <c r="AC3582">
        <v>8.7087999999999894</v>
      </c>
      <c r="AD3582">
        <v>-1.1097002828189999</v>
      </c>
      <c r="AE3582">
        <v>1.06639999999998</v>
      </c>
      <c r="AF3582">
        <v>-1.0865235924760801</v>
      </c>
      <c r="AG3582">
        <v>-1.1097002828189999</v>
      </c>
      <c r="AH3582">
        <v>8.5670802778180093</v>
      </c>
      <c r="AI3582">
        <v>97.322460324448798</v>
      </c>
      <c r="AJ3582">
        <v>97.227973160104199</v>
      </c>
      <c r="AK3582">
        <v>8.7067119351264797</v>
      </c>
      <c r="AL3582">
        <v>74.405730204827904</v>
      </c>
      <c r="AM3582">
        <v>96.913371825186701</v>
      </c>
      <c r="AN3582">
        <v>1.00000002798924</v>
      </c>
    </row>
    <row r="3583" spans="1:40" x14ac:dyDescent="0.25">
      <c r="A3583" t="str">
        <f>"20190304164922487"</f>
        <v>20190304164922487</v>
      </c>
      <c r="B3583" t="str">
        <f>"1551689362479832"</f>
        <v>1551689362479832</v>
      </c>
      <c r="C3583" t="s">
        <v>40</v>
      </c>
      <c r="D3583">
        <v>4.1321300000000001</v>
      </c>
      <c r="E3583">
        <v>0.51427979999999995</v>
      </c>
      <c r="F3583" t="s">
        <v>47</v>
      </c>
      <c r="G3583">
        <v>-425.72910000000002</v>
      </c>
      <c r="H3583" s="1">
        <v>2.9895259999999998E-6</v>
      </c>
      <c r="I3583">
        <v>214.14529999999999</v>
      </c>
      <c r="J3583">
        <v>-435.68869999999998</v>
      </c>
      <c r="K3583">
        <v>1.109658</v>
      </c>
      <c r="L3583">
        <v>212.97659999999999</v>
      </c>
      <c r="M3583">
        <v>0.99996470000000004</v>
      </c>
      <c r="N3583">
        <v>-7.24335E-3</v>
      </c>
      <c r="O3583">
        <v>-4.2980969999999999E-3</v>
      </c>
      <c r="P3583">
        <v>0.9608814</v>
      </c>
      <c r="Q3583">
        <v>0.25364999999999999</v>
      </c>
      <c r="R3583">
        <v>0.1112158</v>
      </c>
      <c r="S3583">
        <v>3.1811829999999999</v>
      </c>
      <c r="T3583">
        <v>-0.34294269999999999</v>
      </c>
      <c r="U3583">
        <v>0.36071779999999998</v>
      </c>
      <c r="V3583">
        <v>-0.115341</v>
      </c>
      <c r="W3583">
        <v>0.26060179999999999</v>
      </c>
      <c r="X3583">
        <v>0.95853180000000004</v>
      </c>
      <c r="Y3583">
        <v>-0.116207199999999</v>
      </c>
      <c r="Z3583">
        <v>7.0790269999999999E-3</v>
      </c>
      <c r="AA3583">
        <v>0.99319979999999997</v>
      </c>
      <c r="AB3583">
        <v>32</v>
      </c>
      <c r="AC3583">
        <v>9.9595999999999592</v>
      </c>
      <c r="AD3583">
        <v>-1.1096550104739999</v>
      </c>
      <c r="AE3583">
        <v>1.1687000000000001</v>
      </c>
      <c r="AF3583">
        <v>-1.1968425095631801</v>
      </c>
      <c r="AG3583">
        <v>-1.1096550104739999</v>
      </c>
      <c r="AH3583">
        <v>9.8340681549318507</v>
      </c>
      <c r="AI3583">
        <v>96.391137283504605</v>
      </c>
      <c r="AJ3583">
        <v>96.938983218964495</v>
      </c>
      <c r="AK3583">
        <v>9.9685837866174491</v>
      </c>
      <c r="AL3583">
        <v>74.894226618888894</v>
      </c>
      <c r="AM3583">
        <v>96.861463060654501</v>
      </c>
      <c r="AN3583">
        <v>1.0000000280277299</v>
      </c>
    </row>
    <row r="3584" spans="1:40" x14ac:dyDescent="0.25">
      <c r="A3584" t="str">
        <f>"20190304164922508"</f>
        <v>20190304164922508</v>
      </c>
      <c r="B3584" t="str">
        <f>"1551689362499353"</f>
        <v>1551689362499353</v>
      </c>
      <c r="C3584" t="s">
        <v>40</v>
      </c>
      <c r="D3584">
        <v>4.1610839999999998</v>
      </c>
      <c r="E3584">
        <v>0.51459169999999999</v>
      </c>
      <c r="F3584" t="s">
        <v>47</v>
      </c>
      <c r="G3584">
        <v>-425.87889999999999</v>
      </c>
      <c r="H3584" s="1">
        <v>2.967799E-6</v>
      </c>
      <c r="I3584">
        <v>214.09</v>
      </c>
      <c r="J3584">
        <v>-435.39269999999999</v>
      </c>
      <c r="K3584">
        <v>1.1096280000000001</v>
      </c>
      <c r="L3584">
        <v>212.9753</v>
      </c>
      <c r="M3584">
        <v>0.99996470000000004</v>
      </c>
      <c r="N3584">
        <v>-7.2368399999999996E-3</v>
      </c>
      <c r="O3584">
        <v>-4.2920129999999999E-3</v>
      </c>
      <c r="P3584">
        <v>0.96329889999999996</v>
      </c>
      <c r="Q3584">
        <v>0.24490680000000001</v>
      </c>
      <c r="R3584">
        <v>0.1098919</v>
      </c>
      <c r="S3584">
        <v>3.175262</v>
      </c>
      <c r="T3584">
        <v>-0.35917539999999998</v>
      </c>
      <c r="U3584">
        <v>0.36036679999999999</v>
      </c>
      <c r="V3584">
        <v>-0.1140197</v>
      </c>
      <c r="W3584">
        <v>0.2518707</v>
      </c>
      <c r="X3584">
        <v>0.9610206</v>
      </c>
      <c r="Y3584">
        <v>-0.1162286</v>
      </c>
      <c r="Z3584">
        <v>7.4069390000000004E-3</v>
      </c>
      <c r="AA3584">
        <v>0.99319489999999999</v>
      </c>
      <c r="AB3584">
        <v>32</v>
      </c>
      <c r="AC3584">
        <v>9.5137999999999998</v>
      </c>
      <c r="AD3584">
        <v>-1.109625032201</v>
      </c>
      <c r="AE3584">
        <v>1.11469999999999</v>
      </c>
      <c r="AF3584">
        <v>-1.1402233927004</v>
      </c>
      <c r="AG3584">
        <v>-1.109625032201</v>
      </c>
      <c r="AH3584">
        <v>9.3830164107097698</v>
      </c>
      <c r="AI3584">
        <v>96.695606649336696</v>
      </c>
      <c r="AJ3584">
        <v>96.928606628743694</v>
      </c>
      <c r="AK3584">
        <v>9.5169519312118602</v>
      </c>
      <c r="AL3584">
        <v>75.411761288384398</v>
      </c>
      <c r="AM3584">
        <v>96.766192858784507</v>
      </c>
      <c r="AN3584">
        <v>0.99999996756546905</v>
      </c>
    </row>
    <row r="3585" spans="1:40" x14ac:dyDescent="0.25">
      <c r="A3585" t="str">
        <f>"20190304164922531"</f>
        <v>20190304164922531</v>
      </c>
      <c r="B3585" t="str">
        <f>"1551689362519852"</f>
        <v>1551689362519852</v>
      </c>
      <c r="C3585" t="s">
        <v>40</v>
      </c>
      <c r="D3585">
        <v>4.1606180000000004</v>
      </c>
      <c r="E3585">
        <v>0.51458190000000004</v>
      </c>
      <c r="F3585" t="s">
        <v>47</v>
      </c>
      <c r="G3585">
        <v>-425.94330000000002</v>
      </c>
      <c r="H3585" s="1">
        <v>2.9615949999999998E-6</v>
      </c>
      <c r="I3585">
        <v>214.03030000000001</v>
      </c>
      <c r="J3585">
        <v>-435.06240000000003</v>
      </c>
      <c r="K3585">
        <v>1.1095839999999999</v>
      </c>
      <c r="L3585">
        <v>212.97389999999999</v>
      </c>
      <c r="M3585">
        <v>0.99996470000000004</v>
      </c>
      <c r="N3585">
        <v>-7.2304709999999996E-3</v>
      </c>
      <c r="O3585">
        <v>-4.2872409999999998E-3</v>
      </c>
      <c r="P3585">
        <v>0.96599460000000004</v>
      </c>
      <c r="Q3585">
        <v>0.23507529999999999</v>
      </c>
      <c r="R3585">
        <v>0.1076763</v>
      </c>
      <c r="S3585">
        <v>3.1685490000000001</v>
      </c>
      <c r="T3585">
        <v>-0.37207649999999998</v>
      </c>
      <c r="U3585">
        <v>0.35375980000000001</v>
      </c>
      <c r="V3585">
        <v>-0.1118107</v>
      </c>
      <c r="W3585">
        <v>0.2420532</v>
      </c>
      <c r="X3585">
        <v>0.96379910000000002</v>
      </c>
      <c r="Y3585">
        <v>-0.1143672</v>
      </c>
      <c r="Z3585">
        <v>7.5570990000000003E-3</v>
      </c>
      <c r="AA3585">
        <v>0.99340980000000001</v>
      </c>
      <c r="AB3585">
        <v>32</v>
      </c>
      <c r="AC3585">
        <v>9.1190999999999995</v>
      </c>
      <c r="AD3585">
        <v>-1.109581038405</v>
      </c>
      <c r="AE3585">
        <v>1.05640000000002</v>
      </c>
      <c r="AF3585">
        <v>-1.07971340783827</v>
      </c>
      <c r="AG3585">
        <v>-1.109581038405</v>
      </c>
      <c r="AH3585">
        <v>8.9832494885454892</v>
      </c>
      <c r="AI3585">
        <v>96.991504436979497</v>
      </c>
      <c r="AJ3585">
        <v>96.853609527462794</v>
      </c>
      <c r="AK3585">
        <v>9.1156855198776192</v>
      </c>
      <c r="AL3585">
        <v>75.992247008221298</v>
      </c>
      <c r="AM3585">
        <v>96.617324740668593</v>
      </c>
      <c r="AN3585">
        <v>1.0000000447127599</v>
      </c>
    </row>
    <row r="3586" spans="1:40" x14ac:dyDescent="0.25">
      <c r="A3586" t="str">
        <f>"20190304164922552"</f>
        <v>20190304164922552</v>
      </c>
      <c r="B3586" t="str">
        <f>"1551689362539368"</f>
        <v>1551689362539368</v>
      </c>
      <c r="C3586" t="s">
        <v>40</v>
      </c>
      <c r="D3586">
        <v>4.1920320000000002</v>
      </c>
      <c r="E3586">
        <v>0.51484969999999997</v>
      </c>
      <c r="F3586" t="s">
        <v>47</v>
      </c>
      <c r="G3586">
        <v>-426.21539999999999</v>
      </c>
      <c r="H3586" s="1">
        <v>2.9207159999999999E-6</v>
      </c>
      <c r="I3586">
        <v>213.94579999999999</v>
      </c>
      <c r="J3586">
        <v>-434.76459999999997</v>
      </c>
      <c r="K3586">
        <v>1.109553</v>
      </c>
      <c r="L3586">
        <v>212.9726</v>
      </c>
      <c r="M3586">
        <v>0.99996470000000004</v>
      </c>
      <c r="N3586">
        <v>-7.225988E-3</v>
      </c>
      <c r="O3586">
        <v>-4.2847340000000001E-3</v>
      </c>
      <c r="P3586">
        <v>0.9688677</v>
      </c>
      <c r="Q3586">
        <v>0.2243185</v>
      </c>
      <c r="R3586">
        <v>0.1047694</v>
      </c>
      <c r="S3586">
        <v>3.1633909999999998</v>
      </c>
      <c r="T3586">
        <v>-0.39674779999999998</v>
      </c>
      <c r="U3586">
        <v>0.34751890000000002</v>
      </c>
      <c r="V3586">
        <v>-0.1089126</v>
      </c>
      <c r="W3586">
        <v>0.23131380000000001</v>
      </c>
      <c r="X3586">
        <v>0.9667637</v>
      </c>
      <c r="Y3586">
        <v>-0.1125062</v>
      </c>
      <c r="Z3586">
        <v>7.9191639999999994E-3</v>
      </c>
      <c r="AA3586">
        <v>0.99361940000000004</v>
      </c>
      <c r="AB3586">
        <v>32</v>
      </c>
      <c r="AC3586">
        <v>8.5491999999999795</v>
      </c>
      <c r="AD3586">
        <v>-1.1095500792839901</v>
      </c>
      <c r="AE3586">
        <v>0.97319999999999096</v>
      </c>
      <c r="AF3586">
        <v>-0.99330595292589796</v>
      </c>
      <c r="AG3586">
        <v>-1.1095500792839901</v>
      </c>
      <c r="AH3586">
        <v>8.4051864572302506</v>
      </c>
      <c r="AI3586">
        <v>97.4686292174908</v>
      </c>
      <c r="AJ3586">
        <v>96.739825742112203</v>
      </c>
      <c r="AK3586">
        <v>8.5360949781128799</v>
      </c>
      <c r="AL3586">
        <v>76.625567562419604</v>
      </c>
      <c r="AM3586">
        <v>96.427663842935402</v>
      </c>
      <c r="AN3586">
        <v>1.0000000400734399</v>
      </c>
    </row>
    <row r="3587" spans="1:40" x14ac:dyDescent="0.25">
      <c r="A3587" t="str">
        <f>"20190304164922574"</f>
        <v>20190304164922574</v>
      </c>
      <c r="B3587" t="str">
        <f>"1551689362569624"</f>
        <v>1551689362569624</v>
      </c>
      <c r="C3587" t="s">
        <v>40</v>
      </c>
      <c r="D3587">
        <v>4.234369</v>
      </c>
      <c r="E3587">
        <v>0.51217400000000002</v>
      </c>
      <c r="F3587" t="s">
        <v>47</v>
      </c>
      <c r="G3587">
        <v>-425.15030000000002</v>
      </c>
      <c r="H3587" s="1">
        <v>3.1069689999999998E-6</v>
      </c>
      <c r="I3587">
        <v>213.97640000000001</v>
      </c>
      <c r="J3587">
        <v>-434.44119999999998</v>
      </c>
      <c r="K3587">
        <v>1.1095299999999999</v>
      </c>
      <c r="L3587">
        <v>212.97120000000001</v>
      </c>
      <c r="M3587">
        <v>0.99996479999999999</v>
      </c>
      <c r="N3587">
        <v>-7.2224409999999996E-3</v>
      </c>
      <c r="O3587">
        <v>-4.2834179999999998E-3</v>
      </c>
      <c r="P3587">
        <v>0.97047819999999996</v>
      </c>
      <c r="Q3587">
        <v>0.21801429999999999</v>
      </c>
      <c r="R3587">
        <v>0.1031599</v>
      </c>
      <c r="S3587">
        <v>3.1449280000000002</v>
      </c>
      <c r="T3587">
        <v>-0.36294349999999997</v>
      </c>
      <c r="U3587">
        <v>0.32836910000000002</v>
      </c>
      <c r="V3587">
        <v>-0.1073088</v>
      </c>
      <c r="W3587">
        <v>0.22501789999999999</v>
      </c>
      <c r="X3587">
        <v>0.9684275</v>
      </c>
      <c r="Y3587">
        <v>-0.10733289999999999</v>
      </c>
      <c r="Z3587">
        <v>7.0070260000000004E-3</v>
      </c>
      <c r="AA3587">
        <v>0.99419840000000004</v>
      </c>
      <c r="AB3587">
        <v>32</v>
      </c>
      <c r="AC3587">
        <v>9.2908999999999597</v>
      </c>
      <c r="AD3587">
        <v>-1.1095268930309901</v>
      </c>
      <c r="AE3587">
        <v>1.0052000000000001</v>
      </c>
      <c r="AF3587">
        <v>-1.03046287945933</v>
      </c>
      <c r="AG3587">
        <v>-1.1095268930309901</v>
      </c>
      <c r="AH3587">
        <v>9.1574229226969894</v>
      </c>
      <c r="AI3587">
        <v>96.865454853014</v>
      </c>
      <c r="AJ3587">
        <v>96.420348669629007</v>
      </c>
      <c r="AK3587">
        <v>9.28177236617225</v>
      </c>
      <c r="AL3587">
        <v>76.996069625533195</v>
      </c>
      <c r="AM3587">
        <v>96.3229942257517</v>
      </c>
      <c r="AN3587">
        <v>1.00000002831704</v>
      </c>
    </row>
    <row r="3588" spans="1:40" x14ac:dyDescent="0.25">
      <c r="A3588" t="str">
        <f>"20190304164922597"</f>
        <v>20190304164922597</v>
      </c>
      <c r="B3588" t="str">
        <f>"1551689362589145"</f>
        <v>1551689362589145</v>
      </c>
      <c r="C3588" t="s">
        <v>40</v>
      </c>
      <c r="D3588">
        <v>4.3293109999999997</v>
      </c>
      <c r="E3588">
        <v>0.53499759999999996</v>
      </c>
      <c r="F3588" t="s">
        <v>47</v>
      </c>
      <c r="G3588">
        <v>-422.37689999999998</v>
      </c>
      <c r="H3588" s="1">
        <v>3.5747389999999999E-6</v>
      </c>
      <c r="I3588">
        <v>214.25299999999999</v>
      </c>
      <c r="J3588">
        <v>-434.1105</v>
      </c>
      <c r="K3588">
        <v>1.1094889999999999</v>
      </c>
      <c r="L3588">
        <v>212.96969999999999</v>
      </c>
      <c r="M3588">
        <v>0.99996479999999999</v>
      </c>
      <c r="N3588">
        <v>-7.2203369999999899E-3</v>
      </c>
      <c r="O3588">
        <v>-4.2826990000000001E-3</v>
      </c>
      <c r="P3588">
        <v>0.97298379999999995</v>
      </c>
      <c r="Q3588">
        <v>0.2074696</v>
      </c>
      <c r="R3588">
        <v>0.1012861</v>
      </c>
      <c r="S3588">
        <v>3.120514</v>
      </c>
      <c r="T3588">
        <v>-0.28698800000000002</v>
      </c>
      <c r="U3588">
        <v>0.33154299999999998</v>
      </c>
      <c r="V3588">
        <v>-0.1054451</v>
      </c>
      <c r="W3588">
        <v>0.2144895</v>
      </c>
      <c r="X3588">
        <v>0.97101780000000004</v>
      </c>
      <c r="Y3588">
        <v>-0.1094014</v>
      </c>
      <c r="Z3588">
        <v>5.7642850000000001E-3</v>
      </c>
      <c r="AA3588">
        <v>0.99398089999999995</v>
      </c>
      <c r="AB3588">
        <v>32</v>
      </c>
      <c r="AC3588">
        <v>11.733599999999999</v>
      </c>
      <c r="AD3588">
        <v>-1.109485425261</v>
      </c>
      <c r="AE3588">
        <v>1.2832999999999899</v>
      </c>
      <c r="AF3588">
        <v>-1.32186209487851</v>
      </c>
      <c r="AG3588">
        <v>-1.109485425261</v>
      </c>
      <c r="AH3588">
        <v>11.6252845026399</v>
      </c>
      <c r="AI3588">
        <v>95.416945387003906</v>
      </c>
      <c r="AJ3588">
        <v>96.487000479258697</v>
      </c>
      <c r="AK3588">
        <v>11.7526812716956</v>
      </c>
      <c r="AL3588">
        <v>77.614420766577794</v>
      </c>
      <c r="AM3588">
        <v>96.1975978909622</v>
      </c>
      <c r="AN3588">
        <v>0.99999999132054995</v>
      </c>
    </row>
    <row r="3589" spans="1:40" x14ac:dyDescent="0.25">
      <c r="A3589" t="str">
        <f>"20190304164922619"</f>
        <v>20190304164922619</v>
      </c>
      <c r="B3589" t="str">
        <f>"1551689362609644"</f>
        <v>1551689362609644</v>
      </c>
      <c r="C3589" t="s">
        <v>40</v>
      </c>
      <c r="D3589">
        <v>4.247967</v>
      </c>
      <c r="E3589">
        <v>0.54498049999999998</v>
      </c>
      <c r="F3589" t="s">
        <v>41</v>
      </c>
      <c r="G3589">
        <v>-433.13290000000001</v>
      </c>
      <c r="H3589">
        <v>1.0063299999999999</v>
      </c>
      <c r="I3589">
        <v>213.01410000000001</v>
      </c>
      <c r="J3589">
        <v>-433.78559999999999</v>
      </c>
      <c r="K3589">
        <v>1.1094539999999999</v>
      </c>
      <c r="L3589">
        <v>212.9683</v>
      </c>
      <c r="M3589">
        <v>0.99996479999999999</v>
      </c>
      <c r="N3589">
        <v>-7.2198009999999996E-3</v>
      </c>
      <c r="O3589">
        <v>-4.2825809999999997E-3</v>
      </c>
      <c r="P3589">
        <v>0.97482230000000003</v>
      </c>
      <c r="Q3589">
        <v>0.19946700000000001</v>
      </c>
      <c r="R3589">
        <v>9.9671709999999997E-2</v>
      </c>
      <c r="S3589">
        <v>3.1390380000000002</v>
      </c>
      <c r="T3589">
        <v>-0.33137929999999999</v>
      </c>
      <c r="U3589">
        <v>0.14295959999999999</v>
      </c>
      <c r="V3589">
        <v>-0.10383879999999999</v>
      </c>
      <c r="W3589">
        <v>0.20650019999999999</v>
      </c>
      <c r="X3589">
        <v>0.97292100000000004</v>
      </c>
      <c r="Y3589">
        <v>-4.9459379999999997E-2</v>
      </c>
      <c r="Z3589">
        <v>3.201041E-3</v>
      </c>
      <c r="AA3589">
        <v>0.99877099999999996</v>
      </c>
      <c r="AB3589">
        <v>32</v>
      </c>
      <c r="AC3589">
        <v>0.65269999999998096</v>
      </c>
      <c r="AD3589">
        <v>-0.10312399999999999</v>
      </c>
      <c r="AE3589">
        <v>4.5800000000014003E-2</v>
      </c>
      <c r="AF3589">
        <v>-4.7417033801917197E-2</v>
      </c>
      <c r="AG3589">
        <v>-0.10312399999999999</v>
      </c>
      <c r="AH3589">
        <v>0.63668240166004997</v>
      </c>
      <c r="AI3589">
        <v>99.175369924464505</v>
      </c>
      <c r="AJ3589">
        <v>94.259250149102002</v>
      </c>
      <c r="AK3589">
        <v>0.64672050768023503</v>
      </c>
      <c r="AL3589">
        <v>78.082667170420606</v>
      </c>
      <c r="AM3589">
        <v>96.092054416891003</v>
      </c>
      <c r="AN3589">
        <v>1.0000000506132301</v>
      </c>
    </row>
    <row r="3590" spans="1:40" x14ac:dyDescent="0.25">
      <c r="A3590" t="str">
        <f>"20190304164922640"</f>
        <v>20190304164922640</v>
      </c>
      <c r="B3590" t="str">
        <f>"1551689362629164"</f>
        <v>1551689362629164</v>
      </c>
      <c r="C3590" t="s">
        <v>40</v>
      </c>
      <c r="D3590">
        <v>4.3307949999999904</v>
      </c>
      <c r="E3590">
        <v>0.54865900000000001</v>
      </c>
      <c r="F3590" t="s">
        <v>41</v>
      </c>
      <c r="G3590">
        <v>-432.8449</v>
      </c>
      <c r="H3590">
        <v>1.0060150000000001</v>
      </c>
      <c r="I3590">
        <v>212.98419999999999</v>
      </c>
      <c r="J3590">
        <v>-433.47460000000001</v>
      </c>
      <c r="K3590">
        <v>1.1094349999999999</v>
      </c>
      <c r="L3590">
        <v>212.96700000000001</v>
      </c>
      <c r="M3590">
        <v>0.99996490000000005</v>
      </c>
      <c r="N3590">
        <v>-7.2205419999999999E-3</v>
      </c>
      <c r="O3590">
        <v>-4.2823459999999898E-3</v>
      </c>
      <c r="P3590">
        <v>0.97598019999999996</v>
      </c>
      <c r="Q3590">
        <v>0.19471579999999999</v>
      </c>
      <c r="R3590">
        <v>9.771647E-2</v>
      </c>
      <c r="S3590">
        <v>3.1427</v>
      </c>
      <c r="T3590">
        <v>-0.3455743</v>
      </c>
      <c r="U3590">
        <v>5.3222659999999998E-2</v>
      </c>
      <c r="V3590">
        <v>-0.1018881</v>
      </c>
      <c r="W3590">
        <v>0.20175850000000001</v>
      </c>
      <c r="X3590">
        <v>0.97412129999999997</v>
      </c>
      <c r="Y3590">
        <v>-2.1056789999999999E-2</v>
      </c>
      <c r="Z3590">
        <v>1.669036E-3</v>
      </c>
      <c r="AA3590">
        <v>0.99977689999999997</v>
      </c>
      <c r="AB3590">
        <v>32</v>
      </c>
      <c r="AC3590">
        <v>0.62970000000001303</v>
      </c>
      <c r="AD3590">
        <v>-0.10342</v>
      </c>
      <c r="AE3590">
        <v>1.7199999999974101E-2</v>
      </c>
      <c r="AF3590">
        <v>-1.9374297221335799E-2</v>
      </c>
      <c r="AG3590">
        <v>-0.10342</v>
      </c>
      <c r="AH3590">
        <v>0.61309540126023099</v>
      </c>
      <c r="AI3590">
        <v>99.570113186766207</v>
      </c>
      <c r="AJ3590">
        <v>91.809989397044703</v>
      </c>
      <c r="AK3590">
        <v>0.62205870369223504</v>
      </c>
      <c r="AL3590">
        <v>78.360189714330701</v>
      </c>
      <c r="AM3590">
        <v>95.9711334082767</v>
      </c>
      <c r="AN3590">
        <v>0.999999992178775</v>
      </c>
    </row>
    <row r="3591" spans="1:40" x14ac:dyDescent="0.25">
      <c r="A3591" t="str">
        <f>"20190304164922665"</f>
        <v>20190304164922665</v>
      </c>
      <c r="B3591" t="str">
        <f>"1551689362659416"</f>
        <v>1551689362659416</v>
      </c>
      <c r="C3591" t="s">
        <v>40</v>
      </c>
      <c r="D3591">
        <v>4.3470190000000004</v>
      </c>
      <c r="E3591">
        <v>0.55138860000000001</v>
      </c>
      <c r="F3591" t="s">
        <v>41</v>
      </c>
      <c r="G3591">
        <v>-432.55470000000003</v>
      </c>
      <c r="H3591">
        <v>1.0058609999999999</v>
      </c>
      <c r="I3591">
        <v>212.97049999999999</v>
      </c>
      <c r="J3591">
        <v>-433.13749999999999</v>
      </c>
      <c r="K3591">
        <v>1.1094139999999999</v>
      </c>
      <c r="L3591">
        <v>212.96549999999999</v>
      </c>
      <c r="M3591">
        <v>0.99996490000000005</v>
      </c>
      <c r="N3591">
        <v>-7.2227039999999999E-3</v>
      </c>
      <c r="O3591">
        <v>-4.2818789999999997E-3</v>
      </c>
      <c r="P3591">
        <v>0.97725700000000004</v>
      </c>
      <c r="Q3591">
        <v>0.18933929999999999</v>
      </c>
      <c r="R3591">
        <v>9.5497899999999997E-2</v>
      </c>
      <c r="S3591">
        <v>3.143097</v>
      </c>
      <c r="T3591">
        <v>-0.35391270000000002</v>
      </c>
      <c r="U3591">
        <v>1.3229370000000001E-2</v>
      </c>
      <c r="V3591">
        <v>-9.9674719999999994E-2</v>
      </c>
      <c r="W3591">
        <v>0.1963935</v>
      </c>
      <c r="X3591">
        <v>0.97544580000000003</v>
      </c>
      <c r="Y3591">
        <v>-8.4106219999999995E-3</v>
      </c>
      <c r="Z3591">
        <v>9.5228339999999998E-4</v>
      </c>
      <c r="AA3591">
        <v>0.99996419999999997</v>
      </c>
      <c r="AB3591">
        <v>32</v>
      </c>
      <c r="AC3591">
        <v>0.58279999999996301</v>
      </c>
      <c r="AD3591">
        <v>-0.10355299999999899</v>
      </c>
      <c r="AE3591">
        <v>4.9999999999954499E-3</v>
      </c>
      <c r="AF3591">
        <v>-7.2661173358593003E-3</v>
      </c>
      <c r="AG3591">
        <v>-0.10355299999999899</v>
      </c>
      <c r="AH3591">
        <v>0.56493895631594504</v>
      </c>
      <c r="AI3591">
        <v>100.386139232313</v>
      </c>
      <c r="AJ3591">
        <v>90.736884751745805</v>
      </c>
      <c r="AK3591">
        <v>0.57439711405393401</v>
      </c>
      <c r="AL3591">
        <v>78.673860312372</v>
      </c>
      <c r="AM3591">
        <v>95.834447610680996</v>
      </c>
      <c r="AN3591">
        <v>0.999999982693484</v>
      </c>
    </row>
    <row r="3592" spans="1:40" x14ac:dyDescent="0.25">
      <c r="A3592" t="str">
        <f>"20190304164922687"</f>
        <v>20190304164922687</v>
      </c>
      <c r="B3592" t="str">
        <f>"1551689362679913"</f>
        <v>1551689362679913</v>
      </c>
      <c r="C3592" t="s">
        <v>40</v>
      </c>
      <c r="D3592">
        <v>4.3640150000000002</v>
      </c>
      <c r="E3592">
        <v>0.5519328</v>
      </c>
      <c r="F3592" t="s">
        <v>41</v>
      </c>
      <c r="G3592">
        <v>-432.26179999999999</v>
      </c>
      <c r="H3592">
        <v>1.009423</v>
      </c>
      <c r="I3592">
        <v>212.9599</v>
      </c>
      <c r="J3592">
        <v>-432.79570000000001</v>
      </c>
      <c r="K3592">
        <v>1.109391</v>
      </c>
      <c r="L3592">
        <v>212.9641</v>
      </c>
      <c r="M3592">
        <v>0.99996479999999999</v>
      </c>
      <c r="N3592">
        <v>-7.2261180000000001E-3</v>
      </c>
      <c r="O3592">
        <v>-4.2811790000000004E-3</v>
      </c>
      <c r="P3592">
        <v>0.97859379999999996</v>
      </c>
      <c r="Q3592">
        <v>0.1834819</v>
      </c>
      <c r="R3592">
        <v>9.3214389999999994E-2</v>
      </c>
      <c r="S3592">
        <v>3.1412960000000001</v>
      </c>
      <c r="T3592">
        <v>-0.35872710000000002</v>
      </c>
      <c r="U3592">
        <v>-2.0065309999999999E-2</v>
      </c>
      <c r="V3592">
        <v>-9.73966E-2</v>
      </c>
      <c r="W3592">
        <v>0.19054940000000001</v>
      </c>
      <c r="X3592">
        <v>0.97683410000000004</v>
      </c>
      <c r="Y3592">
        <v>2.1159820000000002E-3</v>
      </c>
      <c r="Z3592">
        <v>3.2836570000000003E-4</v>
      </c>
      <c r="AA3592">
        <v>0.99999769999999999</v>
      </c>
      <c r="AB3592">
        <v>33</v>
      </c>
      <c r="AC3592">
        <v>0.53390000000001603</v>
      </c>
      <c r="AD3592">
        <v>-9.9968000000000001E-2</v>
      </c>
      <c r="AE3592">
        <v>-4.1999999999973101E-3</v>
      </c>
      <c r="AF3592">
        <v>1.8493478597175401E-3</v>
      </c>
      <c r="AG3592">
        <v>-9.9968000000000001E-2</v>
      </c>
      <c r="AH3592">
        <v>0.51582962657955</v>
      </c>
      <c r="AI3592">
        <v>100.96791239618</v>
      </c>
      <c r="AJ3592">
        <v>89.794584553176506</v>
      </c>
      <c r="AK3592">
        <v>0.525430513739642</v>
      </c>
      <c r="AL3592">
        <v>79.015151886429393</v>
      </c>
      <c r="AM3592">
        <v>95.693936499419905</v>
      </c>
      <c r="AN3592">
        <v>1.00000001522736</v>
      </c>
    </row>
    <row r="3593" spans="1:40" x14ac:dyDescent="0.25">
      <c r="A3593" t="str">
        <f>"20190304164922710"</f>
        <v>20190304164922710</v>
      </c>
      <c r="B3593" t="str">
        <f>"1551689362699433"</f>
        <v>1551689362699433</v>
      </c>
      <c r="C3593" t="s">
        <v>40</v>
      </c>
      <c r="D3593">
        <v>4.3829799999999999</v>
      </c>
      <c r="E3593">
        <v>0.55230690000000005</v>
      </c>
      <c r="F3593" t="s">
        <v>41</v>
      </c>
      <c r="G3593">
        <v>-431.96780000000001</v>
      </c>
      <c r="H3593">
        <v>1.0134620000000001</v>
      </c>
      <c r="I3593">
        <v>212.95439999999999</v>
      </c>
      <c r="J3593">
        <v>-432.47649999999999</v>
      </c>
      <c r="K3593">
        <v>1.1093869999999999</v>
      </c>
      <c r="L3593">
        <v>212.96270000000001</v>
      </c>
      <c r="M3593">
        <v>0.99996479999999999</v>
      </c>
      <c r="N3593">
        <v>-7.23033599999999E-3</v>
      </c>
      <c r="O3593">
        <v>-4.2805990000000004E-3</v>
      </c>
      <c r="P3593">
        <v>0.97949450000000005</v>
      </c>
      <c r="Q3593">
        <v>0.1797619</v>
      </c>
      <c r="R3593">
        <v>9.0977000000000002E-2</v>
      </c>
      <c r="S3593">
        <v>3.1372070000000001</v>
      </c>
      <c r="T3593">
        <v>-0.36360959999999998</v>
      </c>
      <c r="U3593">
        <v>-3.5598749999999998E-2</v>
      </c>
      <c r="V3593">
        <v>-9.5162510000000006E-2</v>
      </c>
      <c r="W3593">
        <v>0.1868397</v>
      </c>
      <c r="X3593">
        <v>0.97777040000000004</v>
      </c>
      <c r="Y3593">
        <v>7.0411069999999996E-3</v>
      </c>
      <c r="Z3593" s="1">
        <v>3.1390979999999997E-5</v>
      </c>
      <c r="AA3593">
        <v>0.99997519999999995</v>
      </c>
      <c r="AB3593">
        <v>33</v>
      </c>
      <c r="AC3593">
        <v>0.50869999999997595</v>
      </c>
      <c r="AD3593">
        <v>-9.5924999999999996E-2</v>
      </c>
      <c r="AE3593">
        <v>-8.3000000000197308E-3</v>
      </c>
      <c r="AF3593">
        <v>5.91215666279546E-3</v>
      </c>
      <c r="AG3593">
        <v>-9.5924999999999996E-2</v>
      </c>
      <c r="AH3593">
        <v>0.491266935299012</v>
      </c>
      <c r="AI3593">
        <v>101.04780370531699</v>
      </c>
      <c r="AJ3593">
        <v>89.310506674824694</v>
      </c>
      <c r="AK3593">
        <v>0.50057942520592003</v>
      </c>
      <c r="AL3593">
        <v>79.231589777064997</v>
      </c>
      <c r="AM3593">
        <v>95.558862954500995</v>
      </c>
      <c r="AN3593">
        <v>0.99999996596087404</v>
      </c>
    </row>
    <row r="3594" spans="1:40" x14ac:dyDescent="0.25">
      <c r="A3594" t="str">
        <f>"20190304164922731"</f>
        <v>20190304164922731</v>
      </c>
      <c r="B3594" t="str">
        <f>"1551689362719933"</f>
        <v>1551689362719933</v>
      </c>
      <c r="C3594" t="s">
        <v>40</v>
      </c>
      <c r="D3594">
        <v>4.3863110000000001</v>
      </c>
      <c r="E3594">
        <v>0.55221969999999898</v>
      </c>
      <c r="F3594" t="s">
        <v>41</v>
      </c>
      <c r="G3594">
        <v>-431.67340000000002</v>
      </c>
      <c r="H3594">
        <v>1.016602</v>
      </c>
      <c r="I3594">
        <v>212.95</v>
      </c>
      <c r="J3594">
        <v>-432.15789999999998</v>
      </c>
      <c r="K3594">
        <v>1.1093959999999901</v>
      </c>
      <c r="L3594">
        <v>212.96129999999999</v>
      </c>
      <c r="M3594">
        <v>0.99996470000000004</v>
      </c>
      <c r="N3594">
        <v>-7.2354609999999899E-3</v>
      </c>
      <c r="O3594">
        <v>-4.2799029999999998E-3</v>
      </c>
      <c r="P3594">
        <v>0.97964899999999999</v>
      </c>
      <c r="Q3594">
        <v>0.1798295</v>
      </c>
      <c r="R3594">
        <v>8.9158909999999994E-2</v>
      </c>
      <c r="S3594">
        <v>3.1338200000000001</v>
      </c>
      <c r="T3594">
        <v>-0.36208889999999999</v>
      </c>
      <c r="U3594">
        <v>-4.8980709999999997E-2</v>
      </c>
      <c r="V3594">
        <v>-9.3344090000000005E-2</v>
      </c>
      <c r="W3594">
        <v>0.1869133</v>
      </c>
      <c r="X3594">
        <v>0.97793160000000001</v>
      </c>
      <c r="Y3594">
        <v>1.1293340000000001E-2</v>
      </c>
      <c r="Z3594">
        <v>-2.2926430000000001E-4</v>
      </c>
      <c r="AA3594">
        <v>0.99993620000000005</v>
      </c>
      <c r="AB3594">
        <v>33</v>
      </c>
      <c r="AC3594">
        <v>0.48449999999996801</v>
      </c>
      <c r="AD3594">
        <v>-9.2793999999999793E-2</v>
      </c>
      <c r="AE3594">
        <v>-1.1300000000005601E-2</v>
      </c>
      <c r="AF3594">
        <v>8.8999397718775696E-3</v>
      </c>
      <c r="AG3594">
        <v>-9.2793999999999793E-2</v>
      </c>
      <c r="AH3594">
        <v>0.467407824754351</v>
      </c>
      <c r="AI3594">
        <v>101.226884844583</v>
      </c>
      <c r="AJ3594">
        <v>88.909159525566196</v>
      </c>
      <c r="AK3594">
        <v>0.47661306109415102</v>
      </c>
      <c r="AL3594">
        <v>79.227297095251402</v>
      </c>
      <c r="AM3594">
        <v>95.452394024136893</v>
      </c>
      <c r="AN3594">
        <v>0.99999995756668802</v>
      </c>
    </row>
    <row r="3595" spans="1:40" x14ac:dyDescent="0.25">
      <c r="A3595" t="str">
        <f>"20190304164922753"</f>
        <v>20190304164922753</v>
      </c>
      <c r="B3595" t="str">
        <f>"1551689362749209"</f>
        <v>1551689362749209</v>
      </c>
      <c r="C3595" t="s">
        <v>40</v>
      </c>
      <c r="D3595">
        <v>4.3766980000000002</v>
      </c>
      <c r="E3595">
        <v>0.55224280000000003</v>
      </c>
      <c r="F3595" t="s">
        <v>41</v>
      </c>
      <c r="G3595">
        <v>-431.37709999999998</v>
      </c>
      <c r="H3595">
        <v>1.02237</v>
      </c>
      <c r="I3595">
        <v>212.9469</v>
      </c>
      <c r="J3595">
        <v>-431.8433</v>
      </c>
      <c r="K3595">
        <v>1.1094170000000001</v>
      </c>
      <c r="L3595">
        <v>212.9599</v>
      </c>
      <c r="M3595">
        <v>0.99996470000000004</v>
      </c>
      <c r="N3595">
        <v>-7.2413240000000004E-3</v>
      </c>
      <c r="O3595">
        <v>-4.2790909999999996E-3</v>
      </c>
      <c r="P3595">
        <v>0.97926380000000002</v>
      </c>
      <c r="Q3595">
        <v>0.18233769999999999</v>
      </c>
      <c r="R3595">
        <v>8.8292369999999995E-2</v>
      </c>
      <c r="S3595">
        <v>3.1315309999999998</v>
      </c>
      <c r="T3595">
        <v>-0.34911920000000002</v>
      </c>
      <c r="U3595">
        <v>-5.680847E-2</v>
      </c>
      <c r="V3595">
        <v>-9.2475210000000002E-2</v>
      </c>
      <c r="W3595">
        <v>0.18942490000000001</v>
      </c>
      <c r="X3595">
        <v>0.97753080000000003</v>
      </c>
      <c r="Y3595">
        <v>1.3791329999999999E-2</v>
      </c>
      <c r="Z3595">
        <v>-3.717878E-4</v>
      </c>
      <c r="AA3595">
        <v>0.99990480000000004</v>
      </c>
      <c r="AB3595">
        <v>33</v>
      </c>
      <c r="AC3595">
        <v>0.46620000000001399</v>
      </c>
      <c r="AD3595">
        <v>-8.7047000000000097E-2</v>
      </c>
      <c r="AE3595">
        <v>-1.30000000000052E-2</v>
      </c>
      <c r="AF3595">
        <v>1.0634457010606399E-2</v>
      </c>
      <c r="AG3595">
        <v>-8.7047000000000097E-2</v>
      </c>
      <c r="AH3595">
        <v>0.450555896073559</v>
      </c>
      <c r="AI3595">
        <v>100.931800869692</v>
      </c>
      <c r="AJ3595">
        <v>88.647900519273705</v>
      </c>
      <c r="AK3595">
        <v>0.459010770430889</v>
      </c>
      <c r="AL3595">
        <v>79.080775638905493</v>
      </c>
      <c r="AM3595">
        <v>95.404144580806204</v>
      </c>
      <c r="AN3595">
        <v>0.99999996107659594</v>
      </c>
    </row>
    <row r="3596" spans="1:40" x14ac:dyDescent="0.25">
      <c r="A3596" t="str">
        <f>"20190304164922776"</f>
        <v>20190304164922776</v>
      </c>
      <c r="B3596" t="str">
        <f>"1551689362769705"</f>
        <v>1551689362769705</v>
      </c>
      <c r="C3596" t="s">
        <v>40</v>
      </c>
      <c r="D3596">
        <v>4.441675</v>
      </c>
      <c r="E3596">
        <v>0.54443889999999995</v>
      </c>
      <c r="F3596" t="s">
        <v>41</v>
      </c>
      <c r="G3596">
        <v>-431.07889999999998</v>
      </c>
      <c r="H3596">
        <v>1.0304690000000001</v>
      </c>
      <c r="I3596">
        <v>212.94479999999999</v>
      </c>
      <c r="J3596">
        <v>-431.49790000000002</v>
      </c>
      <c r="K3596">
        <v>1.1094329999999999</v>
      </c>
      <c r="L3596">
        <v>212.95840000000001</v>
      </c>
      <c r="M3596">
        <v>0.99996470000000004</v>
      </c>
      <c r="N3596">
        <v>-7.2485789999999998E-3</v>
      </c>
      <c r="O3596">
        <v>-4.2782829999999999E-3</v>
      </c>
      <c r="P3596">
        <v>0.97884260000000001</v>
      </c>
      <c r="Q3596">
        <v>0.18516050000000001</v>
      </c>
      <c r="R3596">
        <v>8.7079320000000002E-2</v>
      </c>
      <c r="S3596">
        <v>3.1293030000000002</v>
      </c>
      <c r="T3596">
        <v>-0.32328449999999997</v>
      </c>
      <c r="U3596">
        <v>-6.1752319999999999E-2</v>
      </c>
      <c r="V3596">
        <v>-9.1259209999999993E-2</v>
      </c>
      <c r="W3596">
        <v>0.19225159999999999</v>
      </c>
      <c r="X3596">
        <v>0.9770932</v>
      </c>
      <c r="Y3596">
        <v>1.538405E-2</v>
      </c>
      <c r="Z3596">
        <v>-4.3855849999999998E-4</v>
      </c>
      <c r="AA3596">
        <v>0.99988160000000004</v>
      </c>
      <c r="AB3596">
        <v>33</v>
      </c>
      <c r="AC3596">
        <v>0.41900000000003901</v>
      </c>
      <c r="AD3596">
        <v>-7.8963999999999798E-2</v>
      </c>
      <c r="AE3596">
        <v>-1.3600000000025101E-2</v>
      </c>
      <c r="AF3596">
        <v>1.14026712513911E-2</v>
      </c>
      <c r="AG3596">
        <v>-7.8963999999999798E-2</v>
      </c>
      <c r="AH3596">
        <v>0.40469608730651602</v>
      </c>
      <c r="AI3596">
        <v>101.036519126063</v>
      </c>
      <c r="AJ3596">
        <v>88.386067586673093</v>
      </c>
      <c r="AK3596">
        <v>0.41248546312430201</v>
      </c>
      <c r="AL3596">
        <v>78.915785990833598</v>
      </c>
      <c r="AM3596">
        <v>95.335870316449999</v>
      </c>
      <c r="AN3596">
        <v>1.0000000212993101</v>
      </c>
    </row>
    <row r="3597" spans="1:40" x14ac:dyDescent="0.25">
      <c r="A3597" t="str">
        <f>"20190304164922798"</f>
        <v>20190304164922798</v>
      </c>
      <c r="B3597" t="str">
        <f>"1551689362789225"</f>
        <v>1551689362789225</v>
      </c>
      <c r="C3597" t="s">
        <v>40</v>
      </c>
      <c r="D3597">
        <v>4.4066020000000004</v>
      </c>
      <c r="E3597">
        <v>0.54090229999999995</v>
      </c>
      <c r="F3597" t="s">
        <v>41</v>
      </c>
      <c r="G3597">
        <v>-430.4821</v>
      </c>
      <c r="H3597">
        <v>1.039086</v>
      </c>
      <c r="I3597">
        <v>212.95419999999999</v>
      </c>
      <c r="J3597">
        <v>-431.15929999999997</v>
      </c>
      <c r="K3597">
        <v>1.1094469999999901</v>
      </c>
      <c r="L3597">
        <v>212.95689999999999</v>
      </c>
      <c r="M3597">
        <v>0.99996459999999998</v>
      </c>
      <c r="N3597">
        <v>-7.2564309999999998E-3</v>
      </c>
      <c r="O3597">
        <v>-4.2772390000000004E-3</v>
      </c>
      <c r="P3597">
        <v>0.97827819999999999</v>
      </c>
      <c r="Q3597">
        <v>0.1882818</v>
      </c>
      <c r="R3597">
        <v>8.6728799999999995E-2</v>
      </c>
      <c r="S3597">
        <v>3.1066590000000001</v>
      </c>
      <c r="T3597">
        <v>-0.21512000000000001</v>
      </c>
      <c r="U3597">
        <v>-1.266479E-2</v>
      </c>
      <c r="V3597">
        <v>-9.0905669999999994E-2</v>
      </c>
      <c r="W3597">
        <v>0.19537599999999999</v>
      </c>
      <c r="X3597">
        <v>0.97650619999999999</v>
      </c>
      <c r="Y3597">
        <v>-1.9201050000000001E-4</v>
      </c>
      <c r="Z3597">
        <v>2.7215269999999997E-4</v>
      </c>
      <c r="AA3597">
        <v>0.99999990000000005</v>
      </c>
      <c r="AB3597">
        <v>33</v>
      </c>
      <c r="AC3597">
        <v>0.67719999999997005</v>
      </c>
      <c r="AD3597">
        <v>-7.0360999999999896E-2</v>
      </c>
      <c r="AE3597">
        <v>-2.7000000000043599E-3</v>
      </c>
      <c r="AF3597">
        <v>-1.9454685721896899E-4</v>
      </c>
      <c r="AG3597">
        <v>-7.0360999999999896E-2</v>
      </c>
      <c r="AH3597">
        <v>0.66997298621784296</v>
      </c>
      <c r="AI3597">
        <v>95.995263078753794</v>
      </c>
      <c r="AJ3597">
        <v>90.016637556665998</v>
      </c>
      <c r="AK3597">
        <v>0.673657561696693</v>
      </c>
      <c r="AL3597">
        <v>78.733310593349998</v>
      </c>
      <c r="AM3597">
        <v>95.3184945145575</v>
      </c>
      <c r="AN3597">
        <v>0.99999999042629395</v>
      </c>
    </row>
    <row r="3598" spans="1:40" x14ac:dyDescent="0.25">
      <c r="A3598" t="str">
        <f>"20190304164922824"</f>
        <v>20190304164922824</v>
      </c>
      <c r="B3598" t="str">
        <f>"1551689362819481"</f>
        <v>1551689362819481</v>
      </c>
      <c r="C3598" t="s">
        <v>40</v>
      </c>
      <c r="D3598">
        <v>4.4260910000000004</v>
      </c>
      <c r="E3598">
        <v>0.5386128</v>
      </c>
      <c r="F3598" t="s">
        <v>47</v>
      </c>
      <c r="G3598">
        <v>-414.8415</v>
      </c>
      <c r="H3598" s="1">
        <v>3.2013269999999999E-6</v>
      </c>
      <c r="I3598">
        <v>213.05179999999999</v>
      </c>
      <c r="J3598">
        <v>-430.79700000000003</v>
      </c>
      <c r="K3598">
        <v>1.1094539999999999</v>
      </c>
      <c r="L3598">
        <v>212.95529999999999</v>
      </c>
      <c r="M3598">
        <v>0.99996450000000003</v>
      </c>
      <c r="N3598">
        <v>-7.2654659999999999E-3</v>
      </c>
      <c r="O3598">
        <v>-4.2764379999999996E-3</v>
      </c>
      <c r="P3598">
        <v>0.97789199999999998</v>
      </c>
      <c r="Q3598">
        <v>0.1904612</v>
      </c>
      <c r="R3598">
        <v>8.6325669999999993E-2</v>
      </c>
      <c r="S3598">
        <v>3.1056210000000002</v>
      </c>
      <c r="T3598">
        <v>-0.21115100000000001</v>
      </c>
      <c r="U3598">
        <v>1.8066410000000001E-2</v>
      </c>
      <c r="V3598">
        <v>-9.0499709999999997E-2</v>
      </c>
      <c r="W3598">
        <v>0.19756180000000001</v>
      </c>
      <c r="X3598">
        <v>0.97610410000000003</v>
      </c>
      <c r="Y3598">
        <v>-1.0060059999999999E-2</v>
      </c>
      <c r="Z3598">
        <v>6.3756619999999996E-4</v>
      </c>
      <c r="AA3598">
        <v>0.99994919999999998</v>
      </c>
      <c r="AB3598">
        <v>33</v>
      </c>
      <c r="AC3598">
        <v>15.955499999999899</v>
      </c>
      <c r="AD3598">
        <v>-1.109450798673</v>
      </c>
      <c r="AE3598">
        <v>9.6499999999991801E-2</v>
      </c>
      <c r="AF3598">
        <v>-0.163940998929897</v>
      </c>
      <c r="AG3598">
        <v>-1.109450798673</v>
      </c>
      <c r="AH3598">
        <v>15.878173463233299</v>
      </c>
      <c r="AI3598">
        <v>93.996702164668505</v>
      </c>
      <c r="AJ3598">
        <v>90.5915537822315</v>
      </c>
      <c r="AK3598">
        <v>15.9177306879571</v>
      </c>
      <c r="AL3598">
        <v>78.605584616852298</v>
      </c>
      <c r="AM3598">
        <v>95.297047645948993</v>
      </c>
      <c r="AN3598">
        <v>1.00000003818306</v>
      </c>
    </row>
    <row r="3599" spans="1:40" x14ac:dyDescent="0.25">
      <c r="A3599" t="str">
        <f>"20190304164922844"</f>
        <v>20190304164922844</v>
      </c>
      <c r="B3599" t="str">
        <f>"1551689362839979"</f>
        <v>1551689362839979</v>
      </c>
      <c r="C3599" t="s">
        <v>40</v>
      </c>
      <c r="D3599">
        <v>4.3887549999999997</v>
      </c>
      <c r="E3599">
        <v>0.53812179999999998</v>
      </c>
      <c r="F3599" t="s">
        <v>47</v>
      </c>
      <c r="G3599">
        <v>-413.60840000000002</v>
      </c>
      <c r="H3599" s="1">
        <v>2.9729040000000001E-6</v>
      </c>
      <c r="I3599">
        <v>213.1627</v>
      </c>
      <c r="J3599">
        <v>-430.48610000000002</v>
      </c>
      <c r="K3599">
        <v>1.109459</v>
      </c>
      <c r="L3599">
        <v>212.95400000000001</v>
      </c>
      <c r="M3599">
        <v>0.99996450000000003</v>
      </c>
      <c r="N3599">
        <v>-7.2719519999999999E-3</v>
      </c>
      <c r="O3599">
        <v>-4.2759850000000004E-3</v>
      </c>
      <c r="P3599">
        <v>0.977518</v>
      </c>
      <c r="Q3599">
        <v>0.1923927</v>
      </c>
      <c r="R3599">
        <v>8.6278220000000003E-2</v>
      </c>
      <c r="S3599">
        <v>3.103577</v>
      </c>
      <c r="T3599">
        <v>-0.20032259999999999</v>
      </c>
      <c r="U3599">
        <v>3.7445069999999997E-2</v>
      </c>
      <c r="V3599">
        <v>-9.0450020000000006E-2</v>
      </c>
      <c r="W3599">
        <v>0.19949700000000001</v>
      </c>
      <c r="X3599">
        <v>0.975715</v>
      </c>
      <c r="Y3599">
        <v>-1.6295190000000001E-2</v>
      </c>
      <c r="Z3599">
        <v>8.2928289999999996E-4</v>
      </c>
      <c r="AA3599">
        <v>0.9998669</v>
      </c>
      <c r="AB3599">
        <v>33</v>
      </c>
      <c r="AC3599">
        <v>16.877700000000001</v>
      </c>
      <c r="AD3599">
        <v>-1.1094560270960001</v>
      </c>
      <c r="AE3599">
        <v>0.208699999999993</v>
      </c>
      <c r="AF3599">
        <v>-0.27966053168510402</v>
      </c>
      <c r="AG3599">
        <v>-1.1094560270960001</v>
      </c>
      <c r="AH3599">
        <v>16.804052492542599</v>
      </c>
      <c r="AI3599">
        <v>93.776842607922006</v>
      </c>
      <c r="AJ3599">
        <v>90.953453881362293</v>
      </c>
      <c r="AK3599">
        <v>16.842959444859101</v>
      </c>
      <c r="AL3599">
        <v>78.492453607991095</v>
      </c>
      <c r="AM3599">
        <v>95.296254989823794</v>
      </c>
      <c r="AN3599">
        <v>1.000000010176</v>
      </c>
    </row>
    <row r="3600" spans="1:40" x14ac:dyDescent="0.25">
      <c r="A3600" t="str">
        <f>"20190304164922867"</f>
        <v>20190304164922867</v>
      </c>
      <c r="B3600" t="str">
        <f>"1551689362859497"</f>
        <v>1551689362859497</v>
      </c>
      <c r="C3600" t="s">
        <v>40</v>
      </c>
      <c r="D3600">
        <v>4.4396740000000001</v>
      </c>
      <c r="E3600">
        <v>0.53795769999999998</v>
      </c>
      <c r="F3600" t="s">
        <v>47</v>
      </c>
      <c r="G3600">
        <v>-412.13060000000002</v>
      </c>
      <c r="H3600" s="1">
        <v>2.7063849999999998E-6</v>
      </c>
      <c r="I3600">
        <v>213.21279999999999</v>
      </c>
      <c r="J3600">
        <v>-430.14940000000001</v>
      </c>
      <c r="K3600">
        <v>1.109467</v>
      </c>
      <c r="L3600">
        <v>212.95249999999999</v>
      </c>
      <c r="M3600">
        <v>0.99996450000000003</v>
      </c>
      <c r="N3600">
        <v>-7.2750549999999999E-3</v>
      </c>
      <c r="O3600">
        <v>-4.2751610000000004E-3</v>
      </c>
      <c r="P3600">
        <v>0.97722540000000002</v>
      </c>
      <c r="Q3600">
        <v>0.19442190000000001</v>
      </c>
      <c r="R3600">
        <v>8.5035230000000003E-2</v>
      </c>
      <c r="S3600">
        <v>3.1020509999999999</v>
      </c>
      <c r="T3600">
        <v>-0.1874962</v>
      </c>
      <c r="U3600">
        <v>4.374695E-2</v>
      </c>
      <c r="V3600">
        <v>-8.9205259999999995E-2</v>
      </c>
      <c r="W3600">
        <v>0.20152680000000001</v>
      </c>
      <c r="X3600">
        <v>0.97541239999999996</v>
      </c>
      <c r="Y3600">
        <v>-1.833239E-2</v>
      </c>
      <c r="Z3600">
        <v>8.4733279999999996E-4</v>
      </c>
      <c r="AA3600">
        <v>0.99983160000000004</v>
      </c>
      <c r="AB3600">
        <v>33</v>
      </c>
      <c r="AC3600">
        <v>18.018799999999999</v>
      </c>
      <c r="AD3600">
        <v>-1.1094642936150001</v>
      </c>
      <c r="AE3600">
        <v>0.26029999999999998</v>
      </c>
      <c r="AF3600">
        <v>-0.33605912652879599</v>
      </c>
      <c r="AG3600">
        <v>-1.1094642936150001</v>
      </c>
      <c r="AH3600">
        <v>17.9494868523518</v>
      </c>
      <c r="AI3600">
        <v>93.536354961162203</v>
      </c>
      <c r="AJ3600">
        <v>91.072594467236001</v>
      </c>
      <c r="AK3600">
        <v>17.986882026023299</v>
      </c>
      <c r="AL3600">
        <v>78.373743525846194</v>
      </c>
      <c r="AM3600">
        <v>95.225386311585098</v>
      </c>
      <c r="AN3600">
        <v>0.99999998980183302</v>
      </c>
    </row>
    <row r="3601" spans="1:40" x14ac:dyDescent="0.25">
      <c r="A3601" t="str">
        <f>"20190304164922888"</f>
        <v>20190304164922888</v>
      </c>
      <c r="B3601" t="str">
        <f>"1551689362879098"</f>
        <v>1551689362879098</v>
      </c>
      <c r="C3601" t="s">
        <v>40</v>
      </c>
      <c r="D3601">
        <v>4.4026489999999896</v>
      </c>
      <c r="E3601">
        <v>0.53782859999999999</v>
      </c>
      <c r="F3601" t="s">
        <v>47</v>
      </c>
      <c r="G3601">
        <v>-411.0616</v>
      </c>
      <c r="H3601" s="1">
        <v>2.5159649999999998E-6</v>
      </c>
      <c r="I3601">
        <v>213.2218</v>
      </c>
      <c r="J3601">
        <v>-429.82279999999997</v>
      </c>
      <c r="K3601">
        <v>1.1094649999999999</v>
      </c>
      <c r="L3601">
        <v>212.95099999999999</v>
      </c>
      <c r="M3601">
        <v>0.99996450000000003</v>
      </c>
      <c r="N3601">
        <v>-7.2761659999999997E-3</v>
      </c>
      <c r="O3601">
        <v>-4.27445E-3</v>
      </c>
      <c r="P3601">
        <v>0.97708329999999999</v>
      </c>
      <c r="Q3601">
        <v>0.19553599999999999</v>
      </c>
      <c r="R3601">
        <v>8.410803E-2</v>
      </c>
      <c r="S3601">
        <v>3.1019899999999998</v>
      </c>
      <c r="T3601">
        <v>-0.1803005</v>
      </c>
      <c r="U3601">
        <v>4.3777469999999999E-2</v>
      </c>
      <c r="V3601">
        <v>-8.8276569999999999E-2</v>
      </c>
      <c r="W3601">
        <v>0.20264109999999999</v>
      </c>
      <c r="X3601">
        <v>0.97526599999999997</v>
      </c>
      <c r="Y3601">
        <v>-1.8344949999999999E-2</v>
      </c>
      <c r="Z3601">
        <v>8.1662499999999997E-4</v>
      </c>
      <c r="AA3601">
        <v>0.99983140000000004</v>
      </c>
      <c r="AB3601">
        <v>33</v>
      </c>
      <c r="AC3601">
        <v>18.761199999999899</v>
      </c>
      <c r="AD3601">
        <v>-1.109462484035</v>
      </c>
      <c r="AE3601">
        <v>0.27080000000000798</v>
      </c>
      <c r="AF3601">
        <v>-0.34977053523095802</v>
      </c>
      <c r="AG3601">
        <v>-1.109462484035</v>
      </c>
      <c r="AH3601">
        <v>18.694508705074401</v>
      </c>
      <c r="AI3601">
        <v>93.395754465281499</v>
      </c>
      <c r="AJ3601">
        <v>91.071867565587695</v>
      </c>
      <c r="AK3601">
        <v>18.730667424170999</v>
      </c>
      <c r="AL3601">
        <v>78.308553613252698</v>
      </c>
      <c r="AM3601">
        <v>95.172054891629202</v>
      </c>
      <c r="AN3601">
        <v>0.999999969488087</v>
      </c>
    </row>
    <row r="3602" spans="1:40" x14ac:dyDescent="0.25">
      <c r="A3602" t="str">
        <f>"20190304164922911"</f>
        <v>20190304164922911</v>
      </c>
      <c r="B3602" t="str">
        <f>"1551689362899593"</f>
        <v>1551689362899593</v>
      </c>
      <c r="C3602" t="s">
        <v>40</v>
      </c>
      <c r="D3602">
        <v>4.4088250000000002</v>
      </c>
      <c r="E3602">
        <v>0.53754029999999997</v>
      </c>
      <c r="F3602" t="s">
        <v>47</v>
      </c>
      <c r="G3602">
        <v>-410.7473</v>
      </c>
      <c r="H3602" s="1">
        <v>2.4605660000000001E-6</v>
      </c>
      <c r="I3602">
        <v>213.21780000000001</v>
      </c>
      <c r="J3602">
        <v>-429.49020000000002</v>
      </c>
      <c r="K3602">
        <v>1.109477</v>
      </c>
      <c r="L3602">
        <v>212.9496</v>
      </c>
      <c r="M3602">
        <v>0.99996450000000003</v>
      </c>
      <c r="N3602">
        <v>-7.2772080000000003E-3</v>
      </c>
      <c r="O3602">
        <v>-4.2749370000000004E-3</v>
      </c>
      <c r="P3602">
        <v>0.97665230000000003</v>
      </c>
      <c r="Q3602">
        <v>0.19834779999999999</v>
      </c>
      <c r="R3602">
        <v>8.2511660000000001E-2</v>
      </c>
      <c r="S3602">
        <v>3.1027529999999999</v>
      </c>
      <c r="T3602">
        <v>-0.18046029999999999</v>
      </c>
      <c r="U3602">
        <v>4.3380740000000001E-2</v>
      </c>
      <c r="V3602">
        <v>-8.6678329999999998E-2</v>
      </c>
      <c r="W3602">
        <v>0.2054503</v>
      </c>
      <c r="X3602">
        <v>0.97482159999999995</v>
      </c>
      <c r="Y3602">
        <v>-1.8214350000000001E-2</v>
      </c>
      <c r="Z3602">
        <v>8.1288469999999996E-4</v>
      </c>
      <c r="AA3602">
        <v>0.99983379999999999</v>
      </c>
      <c r="AB3602">
        <v>33</v>
      </c>
      <c r="AC3602">
        <v>18.742899999999999</v>
      </c>
      <c r="AD3602">
        <v>-1.109474539434</v>
      </c>
      <c r="AE3602">
        <v>0.26820000000000699</v>
      </c>
      <c r="AF3602">
        <v>-0.347108367835815</v>
      </c>
      <c r="AG3602">
        <v>-1.109474539434</v>
      </c>
      <c r="AH3602">
        <v>18.676154759387</v>
      </c>
      <c r="AI3602">
        <v>93.399128510381303</v>
      </c>
      <c r="AJ3602">
        <v>91.064756386634002</v>
      </c>
      <c r="AK3602">
        <v>18.712300087622801</v>
      </c>
      <c r="AL3602">
        <v>78.144140218108205</v>
      </c>
      <c r="AM3602">
        <v>95.081212746773105</v>
      </c>
      <c r="AN3602">
        <v>1.00000005524411</v>
      </c>
    </row>
    <row r="3603" spans="1:40" x14ac:dyDescent="0.25">
      <c r="A3603" t="str">
        <f>"20190304164922932"</f>
        <v>20190304164922932</v>
      </c>
      <c r="B3603" t="str">
        <f>"1551689362929850"</f>
        <v>1551689362929850</v>
      </c>
      <c r="C3603" t="s">
        <v>40</v>
      </c>
      <c r="D3603">
        <v>4.4674860000000001</v>
      </c>
      <c r="E3603">
        <v>0.53725269999999903</v>
      </c>
      <c r="F3603" t="s">
        <v>47</v>
      </c>
      <c r="G3603">
        <v>-409.80459999999999</v>
      </c>
      <c r="H3603" s="1">
        <v>4.3439900000000004E-6</v>
      </c>
      <c r="I3603">
        <v>213.21440000000001</v>
      </c>
      <c r="J3603">
        <v>-429.1592</v>
      </c>
      <c r="K3603">
        <v>1.1094790000000001</v>
      </c>
      <c r="L3603">
        <v>212.94820000000001</v>
      </c>
      <c r="M3603">
        <v>0.99996439999999998</v>
      </c>
      <c r="N3603">
        <v>-7.2788109999999996E-3</v>
      </c>
      <c r="O3603">
        <v>-4.283322E-3</v>
      </c>
      <c r="P3603">
        <v>0.97620030000000002</v>
      </c>
      <c r="Q3603">
        <v>0.2013576</v>
      </c>
      <c r="R3603">
        <v>8.0550010000000005E-2</v>
      </c>
      <c r="S3603">
        <v>3.1036990000000002</v>
      </c>
      <c r="T3603">
        <v>-0.1749232</v>
      </c>
      <c r="U3603">
        <v>4.1748050000000002E-2</v>
      </c>
      <c r="V3603">
        <v>-8.4720480000000001E-2</v>
      </c>
      <c r="W3603">
        <v>0.20845929999999999</v>
      </c>
      <c r="X3603">
        <v>0.97435470000000002</v>
      </c>
      <c r="Y3603">
        <v>-1.7695909999999999E-2</v>
      </c>
      <c r="Z3603">
        <v>7.7276359999999998E-4</v>
      </c>
      <c r="AA3603">
        <v>0.99984309999999998</v>
      </c>
      <c r="AB3603">
        <v>33</v>
      </c>
      <c r="AC3603">
        <v>19.354600000000001</v>
      </c>
      <c r="AD3603">
        <v>-1.1094746560099999</v>
      </c>
      <c r="AE3603">
        <v>0.26619999999999699</v>
      </c>
      <c r="AF3603">
        <v>-0.34795856027459399</v>
      </c>
      <c r="AG3603">
        <v>-1.1094746560099999</v>
      </c>
      <c r="AH3603">
        <v>19.289907716400698</v>
      </c>
      <c r="AI3603">
        <v>93.291252275743204</v>
      </c>
      <c r="AJ3603">
        <v>91.033410596149494</v>
      </c>
      <c r="AK3603">
        <v>19.3249204106835</v>
      </c>
      <c r="AL3603">
        <v>77.9679209599188</v>
      </c>
      <c r="AM3603">
        <v>94.969389639322898</v>
      </c>
      <c r="AN3603">
        <v>0.99999996045000406</v>
      </c>
    </row>
    <row r="3604" spans="1:40" x14ac:dyDescent="0.25">
      <c r="A3604" t="str">
        <f>"20190304164922955"</f>
        <v>20190304164922955</v>
      </c>
      <c r="B3604" t="str">
        <f>"1551689362949371"</f>
        <v>1551689362949371</v>
      </c>
      <c r="C3604" t="s">
        <v>40</v>
      </c>
      <c r="D3604">
        <v>4.4471699999999998</v>
      </c>
      <c r="E3604">
        <v>0.53716580000000003</v>
      </c>
      <c r="F3604" t="s">
        <v>47</v>
      </c>
      <c r="G3604">
        <v>-408.24310000000003</v>
      </c>
      <c r="H3604" s="1">
        <v>5.0387349999999996E-6</v>
      </c>
      <c r="I3604">
        <v>213.20349999999999</v>
      </c>
      <c r="J3604">
        <v>-428.82990000000001</v>
      </c>
      <c r="K3604">
        <v>1.1094679999999999</v>
      </c>
      <c r="L3604">
        <v>212.94669999999999</v>
      </c>
      <c r="M3604">
        <v>0.99996430000000003</v>
      </c>
      <c r="N3604">
        <v>-7.2810610000000001E-3</v>
      </c>
      <c r="O3604">
        <v>-4.3066609999999998E-3</v>
      </c>
      <c r="P3604">
        <v>0.97601079999999996</v>
      </c>
      <c r="Q3604">
        <v>0.20348540000000001</v>
      </c>
      <c r="R3604">
        <v>7.7437649999999997E-2</v>
      </c>
      <c r="S3604">
        <v>3.1039729999999999</v>
      </c>
      <c r="T3604">
        <v>-0.16464699999999999</v>
      </c>
      <c r="U3604">
        <v>3.7887570000000002E-2</v>
      </c>
      <c r="V3604">
        <v>-8.1625310000000006E-2</v>
      </c>
      <c r="W3604">
        <v>0.2105901</v>
      </c>
      <c r="X3604">
        <v>0.97416069999999999</v>
      </c>
      <c r="Y3604">
        <v>-1.6480729999999999E-2</v>
      </c>
      <c r="Z3604">
        <v>6.9376490000000002E-4</v>
      </c>
      <c r="AA3604">
        <v>0.99986390000000003</v>
      </c>
      <c r="AB3604">
        <v>34</v>
      </c>
      <c r="AC3604">
        <v>20.586799999999901</v>
      </c>
      <c r="AD3604">
        <v>-1.109462961265</v>
      </c>
      <c r="AE3604">
        <v>0.25679999999999797</v>
      </c>
      <c r="AF3604">
        <v>-0.344460055510797</v>
      </c>
      <c r="AG3604">
        <v>-1.109462961265</v>
      </c>
      <c r="AH3604">
        <v>20.525898117406701</v>
      </c>
      <c r="AI3604">
        <v>93.093497958313804</v>
      </c>
      <c r="AJ3604">
        <v>90.961431984866294</v>
      </c>
      <c r="AK3604">
        <v>20.5587464189435</v>
      </c>
      <c r="AL3604">
        <v>77.843063852324605</v>
      </c>
      <c r="AM3604">
        <v>94.789647813823606</v>
      </c>
      <c r="AN3604">
        <v>0.99999997543754704</v>
      </c>
    </row>
    <row r="3605" spans="1:40" x14ac:dyDescent="0.25">
      <c r="A3605" t="str">
        <f>"20190304164922977"</f>
        <v>20190304164922977</v>
      </c>
      <c r="B3605" t="str">
        <f>"1551689362969866"</f>
        <v>1551689362969866</v>
      </c>
      <c r="C3605" t="s">
        <v>40</v>
      </c>
      <c r="D3605">
        <v>4.4138080000000004</v>
      </c>
      <c r="E3605">
        <v>0.53700959999999998</v>
      </c>
      <c r="F3605" t="s">
        <v>47</v>
      </c>
      <c r="G3605">
        <v>-407.17340000000002</v>
      </c>
      <c r="H3605" s="1">
        <v>5.5240720000000003E-6</v>
      </c>
      <c r="I3605">
        <v>213.15020000000001</v>
      </c>
      <c r="J3605">
        <v>-428.4873</v>
      </c>
      <c r="K3605">
        <v>1.1094569999999999</v>
      </c>
      <c r="L3605">
        <v>212.9452</v>
      </c>
      <c r="M3605">
        <v>0.99996410000000002</v>
      </c>
      <c r="N3605">
        <v>-7.2842890000000002E-3</v>
      </c>
      <c r="O3605">
        <v>-4.3601270000000001E-3</v>
      </c>
      <c r="P3605">
        <v>0.97559830000000003</v>
      </c>
      <c r="Q3605">
        <v>0.20652390000000001</v>
      </c>
      <c r="R3605">
        <v>7.4540590000000004E-2</v>
      </c>
      <c r="S3605">
        <v>3.104584</v>
      </c>
      <c r="T3605">
        <v>-0.15904799999999999</v>
      </c>
      <c r="U3605">
        <v>2.9174800000000001E-2</v>
      </c>
      <c r="V3605">
        <v>-7.8768850000000001E-2</v>
      </c>
      <c r="W3605">
        <v>0.2136316</v>
      </c>
      <c r="X3605">
        <v>0.97373350000000003</v>
      </c>
      <c r="Y3605">
        <v>-1.3732100000000001E-2</v>
      </c>
      <c r="Z3605">
        <v>5.9303989999999896E-4</v>
      </c>
      <c r="AA3605">
        <v>0.9999055</v>
      </c>
      <c r="AB3605">
        <v>34</v>
      </c>
      <c r="AC3605">
        <v>21.313899999999901</v>
      </c>
      <c r="AD3605">
        <v>-1.1094514759280001</v>
      </c>
      <c r="AE3605">
        <v>0.20500000000001201</v>
      </c>
      <c r="AF3605">
        <v>-0.29712682142233598</v>
      </c>
      <c r="AG3605">
        <v>-1.1094514759280001</v>
      </c>
      <c r="AH3605">
        <v>21.255217642519199</v>
      </c>
      <c r="AI3605">
        <v>92.987645675524803</v>
      </c>
      <c r="AJ3605">
        <v>90.800885898000203</v>
      </c>
      <c r="AK3605">
        <v>21.286226625597799</v>
      </c>
      <c r="AL3605">
        <v>77.664740842077506</v>
      </c>
      <c r="AM3605">
        <v>94.624793988885102</v>
      </c>
      <c r="AN3605">
        <v>0.99999996063556496</v>
      </c>
    </row>
    <row r="3606" spans="1:40" x14ac:dyDescent="0.25">
      <c r="A3606" t="str">
        <f>"20190304164923000"</f>
        <v>20190304164923000</v>
      </c>
      <c r="B3606" t="str">
        <f>"1551689362989385"</f>
        <v>1551689362989385</v>
      </c>
      <c r="C3606" t="s">
        <v>40</v>
      </c>
      <c r="D3606">
        <v>4.3845510000000001</v>
      </c>
      <c r="E3606">
        <v>0.53681579999999995</v>
      </c>
      <c r="F3606" t="s">
        <v>47</v>
      </c>
      <c r="G3606">
        <v>-406.05540000000002</v>
      </c>
      <c r="H3606" s="1">
        <v>6.0306819999999996E-6</v>
      </c>
      <c r="I3606">
        <v>213.09800000000001</v>
      </c>
      <c r="J3606">
        <v>-428.14319999999998</v>
      </c>
      <c r="K3606">
        <v>1.109442</v>
      </c>
      <c r="L3606">
        <v>212.9436</v>
      </c>
      <c r="M3606">
        <v>0.99996359999999995</v>
      </c>
      <c r="N3606">
        <v>-7.2885140000000003E-3</v>
      </c>
      <c r="O3606">
        <v>-4.4515800000000001E-3</v>
      </c>
      <c r="P3606">
        <v>0.97488609999999998</v>
      </c>
      <c r="Q3606">
        <v>0.21086250000000001</v>
      </c>
      <c r="R3606">
        <v>7.1653320000000006E-2</v>
      </c>
      <c r="S3606">
        <v>3.1059570000000001</v>
      </c>
      <c r="T3606">
        <v>-0.153616</v>
      </c>
      <c r="U3606">
        <v>2.1163939999999999E-2</v>
      </c>
      <c r="V3606">
        <v>-7.5952539999999999E-2</v>
      </c>
      <c r="W3606">
        <v>0.2179738</v>
      </c>
      <c r="X3606">
        <v>0.97299469999999999</v>
      </c>
      <c r="Y3606">
        <v>-1.124563E-2</v>
      </c>
      <c r="Z3606">
        <v>5.0653760000000003E-4</v>
      </c>
      <c r="AA3606">
        <v>0.99993659999999995</v>
      </c>
      <c r="AB3606">
        <v>34</v>
      </c>
      <c r="AC3606">
        <v>22.087799999999898</v>
      </c>
      <c r="AD3606">
        <v>-1.109435969318</v>
      </c>
      <c r="AE3606">
        <v>0.154399999999981</v>
      </c>
      <c r="AF3606">
        <v>-0.25209071575386</v>
      </c>
      <c r="AG3606">
        <v>-1.109435969318</v>
      </c>
      <c r="AH3606">
        <v>22.031313768141199</v>
      </c>
      <c r="AI3606">
        <v>92.882633296590399</v>
      </c>
      <c r="AJ3606">
        <v>90.655571606170298</v>
      </c>
      <c r="AK3606">
        <v>22.060670530364099</v>
      </c>
      <c r="AL3606">
        <v>77.409947993455901</v>
      </c>
      <c r="AM3606">
        <v>94.463490989369006</v>
      </c>
      <c r="AN3606">
        <v>1.00000002602349</v>
      </c>
    </row>
    <row r="3607" spans="1:40" x14ac:dyDescent="0.25">
      <c r="A3607" t="str">
        <f>"20190304164923021"</f>
        <v>20190304164923021</v>
      </c>
      <c r="B3607" t="str">
        <f>"1551689363009885"</f>
        <v>1551689363009885</v>
      </c>
      <c r="C3607" t="s">
        <v>40</v>
      </c>
      <c r="D3607">
        <v>4.4144639999999997</v>
      </c>
      <c r="E3607">
        <v>0.53671380000000002</v>
      </c>
      <c r="F3607" t="s">
        <v>47</v>
      </c>
      <c r="G3607">
        <v>-404.05099999999999</v>
      </c>
      <c r="H3607" s="1">
        <v>6.9303590000000001E-6</v>
      </c>
      <c r="I3607">
        <v>213.04560000000001</v>
      </c>
      <c r="J3607">
        <v>-427.81400000000002</v>
      </c>
      <c r="K3607">
        <v>1.1094269999999999</v>
      </c>
      <c r="L3607">
        <v>212.94200000000001</v>
      </c>
      <c r="M3607">
        <v>0.99996300000000005</v>
      </c>
      <c r="N3607">
        <v>-7.293435E-3</v>
      </c>
      <c r="O3607">
        <v>-4.5723780000000002E-3</v>
      </c>
      <c r="P3607">
        <v>0.97408240000000001</v>
      </c>
      <c r="Q3607">
        <v>0.2154645</v>
      </c>
      <c r="R3607">
        <v>6.8840650000000003E-2</v>
      </c>
      <c r="S3607">
        <v>3.1072690000000001</v>
      </c>
      <c r="T3607">
        <v>-0.1430882</v>
      </c>
      <c r="U3607">
        <v>1.3153079999999999E-2</v>
      </c>
      <c r="V3607">
        <v>-7.3237919999999998E-2</v>
      </c>
      <c r="W3607">
        <v>0.22257940000000001</v>
      </c>
      <c r="X3607">
        <v>0.97215969999999996</v>
      </c>
      <c r="Y3607">
        <v>-8.7911540000000007E-3</v>
      </c>
      <c r="Z3607">
        <v>4.1149459999999998E-4</v>
      </c>
      <c r="AA3607">
        <v>0.99996130000000005</v>
      </c>
      <c r="AB3607">
        <v>34</v>
      </c>
      <c r="AC3607">
        <v>23.763000000000002</v>
      </c>
      <c r="AD3607">
        <v>-1.1094200696409999</v>
      </c>
      <c r="AE3607">
        <v>0.1036</v>
      </c>
      <c r="AF3607">
        <v>-0.211793589780404</v>
      </c>
      <c r="AG3607">
        <v>-1.1094200696409999</v>
      </c>
      <c r="AH3607">
        <v>23.710597724427199</v>
      </c>
      <c r="AI3607">
        <v>92.678811863497302</v>
      </c>
      <c r="AJ3607">
        <v>90.511777739107501</v>
      </c>
      <c r="AK3607">
        <v>23.737483309424501</v>
      </c>
      <c r="AL3607">
        <v>77.1394202279495</v>
      </c>
      <c r="AM3607">
        <v>94.308255339074705</v>
      </c>
      <c r="AN3607">
        <v>0.99999993226718498</v>
      </c>
    </row>
    <row r="3608" spans="1:40" x14ac:dyDescent="0.25">
      <c r="A3608" t="str">
        <f>"20190304164923043"</f>
        <v>20190304164923043</v>
      </c>
      <c r="B3608" t="str">
        <f>"1551689363039162"</f>
        <v>1551689363039162</v>
      </c>
      <c r="C3608" t="s">
        <v>40</v>
      </c>
      <c r="D3608">
        <v>4.4516989999999996</v>
      </c>
      <c r="E3608">
        <v>0.53629729999999998</v>
      </c>
      <c r="F3608" t="s">
        <v>47</v>
      </c>
      <c r="G3608">
        <v>-401.24829999999997</v>
      </c>
      <c r="H3608" s="1">
        <v>8.1864149999999994E-6</v>
      </c>
      <c r="I3608">
        <v>212.9819</v>
      </c>
      <c r="J3608">
        <v>-427.49489999999997</v>
      </c>
      <c r="K3608">
        <v>1.1094109999999999</v>
      </c>
      <c r="L3608">
        <v>212.94040000000001</v>
      </c>
      <c r="M3608">
        <v>0.99996220000000002</v>
      </c>
      <c r="N3608">
        <v>-7.2989580000000004E-3</v>
      </c>
      <c r="O3608">
        <v>-4.728131E-3</v>
      </c>
      <c r="P3608">
        <v>0.97328440000000005</v>
      </c>
      <c r="Q3608">
        <v>0.22003449999999999</v>
      </c>
      <c r="R3608">
        <v>6.5592620000000004E-2</v>
      </c>
      <c r="S3608">
        <v>3.1081850000000002</v>
      </c>
      <c r="T3608">
        <v>-0.12980159999999999</v>
      </c>
      <c r="U3608">
        <v>4.6691889999999998E-3</v>
      </c>
      <c r="V3608">
        <v>-7.0119669999999995E-2</v>
      </c>
      <c r="W3608">
        <v>0.2271532</v>
      </c>
      <c r="X3608">
        <v>0.97133139999999996</v>
      </c>
      <c r="Y3608">
        <v>-6.2212789999999997E-3</v>
      </c>
      <c r="Z3608">
        <v>3.154314E-4</v>
      </c>
      <c r="AA3608">
        <v>0.9999806</v>
      </c>
      <c r="AB3608">
        <v>34</v>
      </c>
      <c r="AC3608">
        <v>26.246600000000001</v>
      </c>
      <c r="AD3608">
        <v>-1.109402813585</v>
      </c>
      <c r="AE3608">
        <v>4.1499999999984903E-2</v>
      </c>
      <c r="AF3608">
        <v>-0.16530486661949101</v>
      </c>
      <c r="AG3608">
        <v>-1.109402813585</v>
      </c>
      <c r="AH3608">
        <v>26.1993022806437</v>
      </c>
      <c r="AI3608">
        <v>92.424678505267806</v>
      </c>
      <c r="AJ3608">
        <v>90.361503730448604</v>
      </c>
      <c r="AK3608">
        <v>26.223301475867999</v>
      </c>
      <c r="AL3608">
        <v>76.8704737720917</v>
      </c>
      <c r="AM3608">
        <v>94.128975966607896</v>
      </c>
      <c r="AN3608">
        <v>1.0000000165085501</v>
      </c>
    </row>
    <row r="3609" spans="1:40" x14ac:dyDescent="0.25">
      <c r="A3609" t="str">
        <f>"20190304164923067"</f>
        <v>20190304164923067</v>
      </c>
      <c r="B3609" t="str">
        <f>"1551689363059658"</f>
        <v>1551689363059658</v>
      </c>
      <c r="C3609" t="s">
        <v>40</v>
      </c>
      <c r="D3609">
        <v>4.362279</v>
      </c>
      <c r="E3609">
        <v>0.53619079999999997</v>
      </c>
      <c r="F3609" t="s">
        <v>46</v>
      </c>
      <c r="G3609">
        <v>-398.62790000000001</v>
      </c>
      <c r="H3609" s="1">
        <v>3.0545550000000002E-6</v>
      </c>
      <c r="I3609">
        <v>212.9238</v>
      </c>
      <c r="J3609">
        <v>-427.1293</v>
      </c>
      <c r="K3609">
        <v>1.1093850000000001</v>
      </c>
      <c r="L3609">
        <v>212.9385</v>
      </c>
      <c r="M3609">
        <v>0.99996110000000005</v>
      </c>
      <c r="N3609">
        <v>-7.30619699999999E-3</v>
      </c>
      <c r="O3609">
        <v>-4.9605070000000003E-3</v>
      </c>
      <c r="P3609">
        <v>0.97234039999999999</v>
      </c>
      <c r="Q3609">
        <v>0.22510549999999999</v>
      </c>
      <c r="R3609">
        <v>6.2304529999999997E-2</v>
      </c>
      <c r="S3609">
        <v>3.109467</v>
      </c>
      <c r="T3609">
        <v>-0.1195021</v>
      </c>
      <c r="U3609">
        <v>-1.785278E-3</v>
      </c>
      <c r="V3609">
        <v>-6.7028509999999999E-2</v>
      </c>
      <c r="W3609">
        <v>0.23222979999999999</v>
      </c>
      <c r="X3609">
        <v>0.97034869999999995</v>
      </c>
      <c r="Y3609">
        <v>-4.3802520000000003E-3</v>
      </c>
      <c r="Z3609">
        <v>2.5448540000000001E-4</v>
      </c>
      <c r="AA3609">
        <v>0.99999039999999995</v>
      </c>
      <c r="AB3609">
        <v>34</v>
      </c>
      <c r="AC3609">
        <v>28.501399999999901</v>
      </c>
      <c r="AD3609">
        <v>-1.109381945445</v>
      </c>
      <c r="AE3609">
        <v>-1.47000000000048E-2</v>
      </c>
      <c r="AF3609">
        <v>-0.12649368993367799</v>
      </c>
      <c r="AG3609">
        <v>-1.109381945445</v>
      </c>
      <c r="AH3609">
        <v>28.4580066658874</v>
      </c>
      <c r="AI3609">
        <v>92.232415922690805</v>
      </c>
      <c r="AJ3609">
        <v>90.254673734638502</v>
      </c>
      <c r="AK3609">
        <v>28.4799029554204</v>
      </c>
      <c r="AL3609">
        <v>76.571615665260296</v>
      </c>
      <c r="AM3609">
        <v>93.951527735897997</v>
      </c>
      <c r="AN3609">
        <v>1.00000005037627</v>
      </c>
    </row>
    <row r="3610" spans="1:40" x14ac:dyDescent="0.25">
      <c r="A3610" t="str">
        <f>"20190304164923089"</f>
        <v>20190304164923089</v>
      </c>
      <c r="B3610" t="str">
        <f>"1551689363079178"</f>
        <v>1551689363079178</v>
      </c>
      <c r="C3610" t="s">
        <v>40</v>
      </c>
      <c r="D3610">
        <v>4.3878110000000001</v>
      </c>
      <c r="E3610">
        <v>0.53206750000000003</v>
      </c>
      <c r="F3610" t="s">
        <v>46</v>
      </c>
      <c r="G3610">
        <v>-394.19420000000002</v>
      </c>
      <c r="H3610" s="1">
        <v>6.9517969999999903E-7</v>
      </c>
      <c r="I3610">
        <v>212.8158</v>
      </c>
      <c r="J3610">
        <v>-426.77120000000002</v>
      </c>
      <c r="K3610">
        <v>1.109353</v>
      </c>
      <c r="L3610">
        <v>212.9365</v>
      </c>
      <c r="M3610">
        <v>0.99995959999999995</v>
      </c>
      <c r="N3610">
        <v>-7.314119E-3</v>
      </c>
      <c r="O3610">
        <v>-5.2448929999999996E-3</v>
      </c>
      <c r="P3610">
        <v>0.97145060000000005</v>
      </c>
      <c r="Q3610">
        <v>0.2297507</v>
      </c>
      <c r="R3610">
        <v>5.9150849999999998E-2</v>
      </c>
      <c r="S3610">
        <v>3.1103519999999998</v>
      </c>
      <c r="T3610">
        <v>-0.104769</v>
      </c>
      <c r="U3610">
        <v>-1.158142E-2</v>
      </c>
      <c r="V3610">
        <v>-6.4120579999999996E-2</v>
      </c>
      <c r="W3610">
        <v>0.23688139999999999</v>
      </c>
      <c r="X3610">
        <v>0.96942030000000001</v>
      </c>
      <c r="Y3610">
        <v>-1.51869299999999E-3</v>
      </c>
      <c r="Z3610">
        <v>1.693896E-4</v>
      </c>
      <c r="AA3610">
        <v>0.99999879999999997</v>
      </c>
      <c r="AB3610">
        <v>34</v>
      </c>
      <c r="AC3610">
        <v>32.576999999999998</v>
      </c>
      <c r="AD3610">
        <v>-1.1093523048203</v>
      </c>
      <c r="AE3610">
        <v>-0.120699999999999</v>
      </c>
      <c r="AF3610">
        <v>-5.0110983251997199E-2</v>
      </c>
      <c r="AG3610">
        <v>-1.1093523048203</v>
      </c>
      <c r="AH3610">
        <v>32.5394519921879</v>
      </c>
      <c r="AI3610">
        <v>91.952599607543405</v>
      </c>
      <c r="AJ3610">
        <v>90.088235830724003</v>
      </c>
      <c r="AK3610">
        <v>32.558395378131799</v>
      </c>
      <c r="AL3610">
        <v>76.297448896599207</v>
      </c>
      <c r="AM3610">
        <v>93.784215209289997</v>
      </c>
      <c r="AN3610">
        <v>0.99999998224879305</v>
      </c>
    </row>
    <row r="3611" spans="1:40" x14ac:dyDescent="0.25">
      <c r="A3611" t="str">
        <f>"20190304164923112"</f>
        <v>20190304164923112</v>
      </c>
      <c r="B3611" t="str">
        <f>"1551689363099674"</f>
        <v>1551689363099674</v>
      </c>
      <c r="C3611" t="s">
        <v>40</v>
      </c>
      <c r="D3611">
        <v>4.4931700000000001</v>
      </c>
      <c r="E3611">
        <v>0.54647000000000001</v>
      </c>
      <c r="F3611" t="s">
        <v>47</v>
      </c>
      <c r="G3611">
        <v>-404.11579999999998</v>
      </c>
      <c r="H3611" s="1">
        <v>6.8968859999999899E-6</v>
      </c>
      <c r="I3611">
        <v>213.0685</v>
      </c>
      <c r="J3611">
        <v>-426.43680000000001</v>
      </c>
      <c r="K3611">
        <v>1.1093249999999999</v>
      </c>
      <c r="L3611">
        <v>212.93450000000001</v>
      </c>
      <c r="M3611">
        <v>0.99995780000000001</v>
      </c>
      <c r="N3611">
        <v>-7.32220099999999E-3</v>
      </c>
      <c r="O3611">
        <v>-5.5597909999999997E-3</v>
      </c>
      <c r="P3611">
        <v>0.97025600000000001</v>
      </c>
      <c r="Q3611">
        <v>0.23579320000000001</v>
      </c>
      <c r="R3611">
        <v>5.4821830000000002E-2</v>
      </c>
      <c r="S3611">
        <v>3.12323</v>
      </c>
      <c r="T3611">
        <v>-0.1529325</v>
      </c>
      <c r="U3611">
        <v>1.820374E-2</v>
      </c>
      <c r="V3611">
        <v>-6.0063720000000001E-2</v>
      </c>
      <c r="W3611">
        <v>0.24292659999999999</v>
      </c>
      <c r="X3611">
        <v>0.96818329999999997</v>
      </c>
      <c r="Y3611">
        <v>-1.136768E-2</v>
      </c>
      <c r="Z3611">
        <v>5.5118140000000001E-4</v>
      </c>
      <c r="AA3611">
        <v>0.99993520000000002</v>
      </c>
      <c r="AB3611">
        <v>34</v>
      </c>
      <c r="AC3611">
        <v>22.321000000000002</v>
      </c>
      <c r="AD3611">
        <v>-1.10931810311399</v>
      </c>
      <c r="AE3611">
        <v>0.13399999999998599</v>
      </c>
      <c r="AF3611">
        <v>-0.257465443642033</v>
      </c>
      <c r="AG3611">
        <v>-1.10931810311399</v>
      </c>
      <c r="AH3611">
        <v>22.2649191188423</v>
      </c>
      <c r="AI3611">
        <v>92.852132170204001</v>
      </c>
      <c r="AJ3611">
        <v>90.662523215761695</v>
      </c>
      <c r="AK3611">
        <v>22.294023828756401</v>
      </c>
      <c r="AL3611">
        <v>75.940663904934198</v>
      </c>
      <c r="AM3611">
        <v>93.5499402895895</v>
      </c>
      <c r="AN3611">
        <v>0.99999994292334204</v>
      </c>
    </row>
    <row r="3612" spans="1:40" x14ac:dyDescent="0.25">
      <c r="A3612" t="str">
        <f>"20190304164923143"</f>
        <v>20190304164923143</v>
      </c>
      <c r="B3612" t="str">
        <f>"1551689363139690"</f>
        <v>1551689363139690</v>
      </c>
      <c r="C3612" t="s">
        <v>40</v>
      </c>
      <c r="D3612">
        <v>4.3872470000000003</v>
      </c>
      <c r="E3612">
        <v>0.54925939999999995</v>
      </c>
      <c r="F3612" t="s">
        <v>47</v>
      </c>
      <c r="G3612">
        <v>-402.20609999999999</v>
      </c>
      <c r="H3612" s="1">
        <v>7.9483830000000002E-6</v>
      </c>
      <c r="I3612">
        <v>212.07830000000001</v>
      </c>
      <c r="J3612">
        <v>-425.9479</v>
      </c>
      <c r="K3612">
        <v>1.109273</v>
      </c>
      <c r="L3612">
        <v>212.93129999999999</v>
      </c>
      <c r="M3612">
        <v>0.99995469999999997</v>
      </c>
      <c r="N3612">
        <v>-7.3285059999999898E-3</v>
      </c>
      <c r="O3612">
        <v>-6.1005060000000003E-3</v>
      </c>
      <c r="P3612">
        <v>0.96980420000000001</v>
      </c>
      <c r="Q3612">
        <v>0.2381664</v>
      </c>
      <c r="R3612">
        <v>5.2506369999999997E-2</v>
      </c>
      <c r="S3612">
        <v>3.1330870000000002</v>
      </c>
      <c r="T3612">
        <v>-0.14343699999999901</v>
      </c>
      <c r="U3612">
        <v>-0.1107025</v>
      </c>
      <c r="V3612">
        <v>-5.8234010000000003E-2</v>
      </c>
      <c r="W3612">
        <v>0.24530979999999999</v>
      </c>
      <c r="X3612">
        <v>0.9676941</v>
      </c>
      <c r="Y3612">
        <v>2.918289E-2</v>
      </c>
      <c r="Z3612">
        <v>-5.4012050000000001E-4</v>
      </c>
      <c r="AA3612">
        <v>0.99957390000000002</v>
      </c>
      <c r="AB3612">
        <v>34</v>
      </c>
      <c r="AC3612">
        <v>23.741800000000001</v>
      </c>
      <c r="AD3612">
        <v>-1.109265051617</v>
      </c>
      <c r="AE3612">
        <v>-0.85299999999998</v>
      </c>
      <c r="AF3612">
        <v>0.70660277841851804</v>
      </c>
      <c r="AG3612">
        <v>-1.109265051617</v>
      </c>
      <c r="AH3612">
        <v>23.694903993784799</v>
      </c>
      <c r="AI3612">
        <v>92.679127027093699</v>
      </c>
      <c r="AJ3612">
        <v>88.291895911291903</v>
      </c>
      <c r="AK3612">
        <v>23.7313765238321</v>
      </c>
      <c r="AL3612">
        <v>75.799857097305406</v>
      </c>
      <c r="AM3612">
        <v>93.443799071502298</v>
      </c>
      <c r="AN3612">
        <v>0.999999984535764</v>
      </c>
    </row>
    <row r="3613" spans="1:40" x14ac:dyDescent="0.25">
      <c r="A3613" t="str">
        <f>"20190304164923167"</f>
        <v>20190304164923167</v>
      </c>
      <c r="B3613" t="str">
        <f>"1551689363159210"</f>
        <v>1551689363159210</v>
      </c>
      <c r="C3613" t="s">
        <v>40</v>
      </c>
      <c r="D3613">
        <v>4.3981170000000001</v>
      </c>
      <c r="E3613">
        <v>0.54995509999999903</v>
      </c>
      <c r="F3613" t="s">
        <v>47</v>
      </c>
      <c r="G3613">
        <v>-400.9248</v>
      </c>
      <c r="H3613" s="1">
        <v>8.5772919999999998E-6</v>
      </c>
      <c r="I3613">
        <v>211.78450000000001</v>
      </c>
      <c r="J3613">
        <v>-425.59160000000003</v>
      </c>
      <c r="K3613">
        <v>1.1092310000000001</v>
      </c>
      <c r="L3613">
        <v>212.92869999999999</v>
      </c>
      <c r="M3613">
        <v>0.99995179999999995</v>
      </c>
      <c r="N3613">
        <v>-7.3298669999999899E-3</v>
      </c>
      <c r="O3613">
        <v>-6.5397900000000002E-3</v>
      </c>
      <c r="P3613">
        <v>0.97022209999999998</v>
      </c>
      <c r="Q3613">
        <v>0.2364877</v>
      </c>
      <c r="R3613">
        <v>5.2372330000000002E-2</v>
      </c>
      <c r="S3613">
        <v>3.1353149999999999</v>
      </c>
      <c r="T3613">
        <v>-0.13898740000000001</v>
      </c>
      <c r="U3613">
        <v>-0.14369199999999999</v>
      </c>
      <c r="V3613">
        <v>-5.85081E-2</v>
      </c>
      <c r="W3613">
        <v>0.24364069999999999</v>
      </c>
      <c r="X3613">
        <v>0.96809920000000005</v>
      </c>
      <c r="Y3613">
        <v>3.9207699999999998E-2</v>
      </c>
      <c r="Z3613">
        <v>-7.7029710000000001E-4</v>
      </c>
      <c r="AA3613">
        <v>0.99923079999999997</v>
      </c>
      <c r="AB3613">
        <v>34</v>
      </c>
      <c r="AC3613">
        <v>24.666799999999999</v>
      </c>
      <c r="AD3613">
        <v>-1.1092224227080001</v>
      </c>
      <c r="AE3613">
        <v>-1.1441999999999799</v>
      </c>
      <c r="AF3613">
        <v>0.98087630008245397</v>
      </c>
      <c r="AG3613">
        <v>-1.1092224227080001</v>
      </c>
      <c r="AH3613">
        <v>24.6240690536704</v>
      </c>
      <c r="AI3613">
        <v>92.577176349667297</v>
      </c>
      <c r="AJ3613">
        <v>87.718883293140095</v>
      </c>
      <c r="AK3613">
        <v>24.668548183041299</v>
      </c>
      <c r="AL3613">
        <v>75.8984828043329</v>
      </c>
      <c r="AM3613">
        <v>93.458524409470002</v>
      </c>
      <c r="AN3613">
        <v>1.0000000247513601</v>
      </c>
    </row>
    <row r="3614" spans="1:40" x14ac:dyDescent="0.25">
      <c r="A3614" t="str">
        <f>"20190304164923189"</f>
        <v>20190304164923189</v>
      </c>
      <c r="B3614" t="str">
        <f>"1551689363179708"</f>
        <v>1551689363179708</v>
      </c>
      <c r="C3614" t="s">
        <v>40</v>
      </c>
      <c r="D3614">
        <v>4.3899359999999996</v>
      </c>
      <c r="E3614">
        <v>0.55021109999999995</v>
      </c>
      <c r="F3614" t="s">
        <v>47</v>
      </c>
      <c r="G3614">
        <v>-400.3603</v>
      </c>
      <c r="H3614" s="1">
        <v>8.8458759999999903E-6</v>
      </c>
      <c r="I3614">
        <v>211.6961</v>
      </c>
      <c r="J3614">
        <v>-425.24160000000001</v>
      </c>
      <c r="K3614">
        <v>1.109189</v>
      </c>
      <c r="L3614">
        <v>212.92609999999999</v>
      </c>
      <c r="M3614">
        <v>0.99994870000000002</v>
      </c>
      <c r="N3614">
        <v>-7.3309909999999898E-3</v>
      </c>
      <c r="O3614">
        <v>-6.9980789999999999E-3</v>
      </c>
      <c r="P3614">
        <v>0.97106099999999995</v>
      </c>
      <c r="Q3614">
        <v>0.23281260000000001</v>
      </c>
      <c r="R3614">
        <v>5.3282580000000003E-2</v>
      </c>
      <c r="S3614">
        <v>3.1339419999999998</v>
      </c>
      <c r="T3614">
        <v>-0.13777490000000001</v>
      </c>
      <c r="U3614">
        <v>-0.15310670000000001</v>
      </c>
      <c r="V3614">
        <v>-5.9855510000000001E-2</v>
      </c>
      <c r="W3614">
        <v>0.23997760000000001</v>
      </c>
      <c r="X3614">
        <v>0.9689314</v>
      </c>
      <c r="Y3614">
        <v>4.176274E-2</v>
      </c>
      <c r="Z3614">
        <v>-8.1421270000000005E-4</v>
      </c>
      <c r="AA3614">
        <v>0.99912719999999999</v>
      </c>
      <c r="AB3614">
        <v>35</v>
      </c>
      <c r="AC3614">
        <v>24.8813</v>
      </c>
      <c r="AD3614">
        <v>-1.1091801541240001</v>
      </c>
      <c r="AE3614">
        <v>-1.22999999999998</v>
      </c>
      <c r="AF3614">
        <v>1.05375491168999</v>
      </c>
      <c r="AG3614">
        <v>-1.1091801541240001</v>
      </c>
      <c r="AH3614">
        <v>24.8400548830577</v>
      </c>
      <c r="AI3614">
        <v>92.554429196428799</v>
      </c>
      <c r="AJ3614">
        <v>87.570877713410397</v>
      </c>
      <c r="AK3614">
        <v>24.8871253185564</v>
      </c>
      <c r="AL3614">
        <v>76.114781617675007</v>
      </c>
      <c r="AM3614">
        <v>93.534941320391894</v>
      </c>
      <c r="AN3614">
        <v>0.99999999424254005</v>
      </c>
    </row>
    <row r="3615" spans="1:40" x14ac:dyDescent="0.25">
      <c r="A3615" t="str">
        <f>"20190304164923210"</f>
        <v>20190304164923210</v>
      </c>
      <c r="B3615" t="str">
        <f>"1551689363199229"</f>
        <v>1551689363199229</v>
      </c>
      <c r="C3615" t="s">
        <v>40</v>
      </c>
      <c r="D3615">
        <v>4.3702540000000001</v>
      </c>
      <c r="E3615">
        <v>0.55012659999999902</v>
      </c>
      <c r="F3615" t="s">
        <v>47</v>
      </c>
      <c r="G3615">
        <v>-401.77409999999998</v>
      </c>
      <c r="H3615" s="1">
        <v>8.2050950000000001E-6</v>
      </c>
      <c r="I3615">
        <v>211.76300000000001</v>
      </c>
      <c r="J3615">
        <v>-424.89909999999998</v>
      </c>
      <c r="K3615">
        <v>1.109146</v>
      </c>
      <c r="L3615">
        <v>212.92330000000001</v>
      </c>
      <c r="M3615">
        <v>0.99994530000000004</v>
      </c>
      <c r="N3615">
        <v>-7.3327280000000002E-3</v>
      </c>
      <c r="O3615">
        <v>-7.4651279999999997E-3</v>
      </c>
      <c r="P3615">
        <v>0.97205699999999995</v>
      </c>
      <c r="Q3615">
        <v>0.22814789999999999</v>
      </c>
      <c r="R3615">
        <v>5.5261699999999997E-2</v>
      </c>
      <c r="S3615">
        <v>3.1333920000000002</v>
      </c>
      <c r="T3615">
        <v>-0.14809810000000001</v>
      </c>
      <c r="U3615">
        <v>-0.1552887</v>
      </c>
      <c r="V3615">
        <v>-6.2286859999999999E-2</v>
      </c>
      <c r="W3615">
        <v>0.2353278</v>
      </c>
      <c r="X3615">
        <v>0.96991810000000001</v>
      </c>
      <c r="Y3615">
        <v>4.1992889999999998E-2</v>
      </c>
      <c r="Z3615">
        <v>-8.4766179999999896E-4</v>
      </c>
      <c r="AA3615">
        <v>0.99911760000000005</v>
      </c>
      <c r="AB3615">
        <v>35</v>
      </c>
      <c r="AC3615">
        <v>23.125</v>
      </c>
      <c r="AD3615">
        <v>-1.1091377949050001</v>
      </c>
      <c r="AE3615">
        <v>-1.1603000000000001</v>
      </c>
      <c r="AF3615">
        <v>0.98537087294493597</v>
      </c>
      <c r="AG3615">
        <v>-1.1091377949050001</v>
      </c>
      <c r="AH3615">
        <v>23.0800570780637</v>
      </c>
      <c r="AI3615">
        <v>92.748795540666507</v>
      </c>
      <c r="AJ3615">
        <v>87.555321160150797</v>
      </c>
      <c r="AK3615">
        <v>23.127692862281201</v>
      </c>
      <c r="AL3615">
        <v>76.389053389811707</v>
      </c>
      <c r="AM3615">
        <v>93.674413725920502</v>
      </c>
      <c r="AN3615">
        <v>0.99999997354455405</v>
      </c>
    </row>
    <row r="3616" spans="1:40" x14ac:dyDescent="0.25">
      <c r="A3616" t="str">
        <f>"20190304164923233"</f>
        <v>20190304164923233</v>
      </c>
      <c r="B3616" t="str">
        <f>"1551689363229483"</f>
        <v>1551689363229483</v>
      </c>
      <c r="C3616" t="s">
        <v>40</v>
      </c>
      <c r="D3616">
        <v>4.3381129999999999</v>
      </c>
      <c r="E3616">
        <v>0.55006379999999999</v>
      </c>
      <c r="F3616" t="s">
        <v>47</v>
      </c>
      <c r="G3616">
        <v>-404.02420000000001</v>
      </c>
      <c r="H3616" s="1">
        <v>7.1753179999999998E-6</v>
      </c>
      <c r="I3616">
        <v>211.91759999999999</v>
      </c>
      <c r="J3616">
        <v>-424.55709999999999</v>
      </c>
      <c r="K3616">
        <v>1.109102</v>
      </c>
      <c r="L3616">
        <v>212.9204</v>
      </c>
      <c r="M3616">
        <v>0.99994159999999999</v>
      </c>
      <c r="N3616">
        <v>-7.335233E-3</v>
      </c>
      <c r="O3616">
        <v>-7.9426219999999999E-3</v>
      </c>
      <c r="P3616">
        <v>0.97288509999999995</v>
      </c>
      <c r="Q3616">
        <v>0.22378529999999999</v>
      </c>
      <c r="R3616">
        <v>5.8436500000000002E-2</v>
      </c>
      <c r="S3616">
        <v>3.1338810000000001</v>
      </c>
      <c r="T3616">
        <v>-0.16651179999999999</v>
      </c>
      <c r="U3616">
        <v>-0.1509857</v>
      </c>
      <c r="V3616">
        <v>-6.5926129999999999E-2</v>
      </c>
      <c r="W3616">
        <v>0.2309793</v>
      </c>
      <c r="X3616">
        <v>0.97072259999999999</v>
      </c>
      <c r="Y3616">
        <v>4.0131559999999997E-2</v>
      </c>
      <c r="Z3616">
        <v>-8.4892219999999996E-4</v>
      </c>
      <c r="AA3616">
        <v>0.99919400000000003</v>
      </c>
      <c r="AB3616">
        <v>35</v>
      </c>
      <c r="AC3616">
        <v>20.532899999999898</v>
      </c>
      <c r="AD3616">
        <v>-1.109094824682</v>
      </c>
      <c r="AE3616">
        <v>-1.0027999999999999</v>
      </c>
      <c r="AF3616">
        <v>0.837241937326757</v>
      </c>
      <c r="AG3616">
        <v>-1.109094824682</v>
      </c>
      <c r="AH3616">
        <v>20.480603833585299</v>
      </c>
      <c r="AI3616">
        <v>93.097153137329698</v>
      </c>
      <c r="AJ3616">
        <v>87.659066373118904</v>
      </c>
      <c r="AK3616">
        <v>20.527693459812401</v>
      </c>
      <c r="AL3616">
        <v>76.645266315090396</v>
      </c>
      <c r="AM3616">
        <v>93.885247545876894</v>
      </c>
      <c r="AN3616">
        <v>1.00000002889801</v>
      </c>
    </row>
    <row r="3617" spans="1:40" x14ac:dyDescent="0.25">
      <c r="A3617" t="str">
        <f>"20190304164923255"</f>
        <v>20190304164923255</v>
      </c>
      <c r="B3617" t="str">
        <f>"1551689363249978"</f>
        <v>1551689363249978</v>
      </c>
      <c r="C3617" t="s">
        <v>40</v>
      </c>
      <c r="D3617">
        <v>4.3547019999999996</v>
      </c>
      <c r="E3617">
        <v>0.55020190000000002</v>
      </c>
      <c r="F3617" t="s">
        <v>47</v>
      </c>
      <c r="G3617">
        <v>-405.54579999999999</v>
      </c>
      <c r="H3617" s="1">
        <v>6.4726149999999999E-6</v>
      </c>
      <c r="I3617">
        <v>212.05289999999999</v>
      </c>
      <c r="J3617">
        <v>-424.20479999999998</v>
      </c>
      <c r="K3617">
        <v>1.109067</v>
      </c>
      <c r="L3617">
        <v>212.91720000000001</v>
      </c>
      <c r="M3617">
        <v>0.99993750000000003</v>
      </c>
      <c r="N3617">
        <v>-7.3386600000000003E-3</v>
      </c>
      <c r="O3617">
        <v>-8.4403510000000005E-3</v>
      </c>
      <c r="P3617">
        <v>0.97365919999999895</v>
      </c>
      <c r="Q3617">
        <v>0.2194287</v>
      </c>
      <c r="R3617">
        <v>6.1959939999999998E-2</v>
      </c>
      <c r="S3617">
        <v>3.134277</v>
      </c>
      <c r="T3617">
        <v>-0.18285009999999999</v>
      </c>
      <c r="U3617">
        <v>-0.1430206</v>
      </c>
      <c r="V3617">
        <v>-6.9937460000000007E-2</v>
      </c>
      <c r="W3617">
        <v>0.22663820000000001</v>
      </c>
      <c r="X3617">
        <v>0.97146480000000002</v>
      </c>
      <c r="Y3617">
        <v>3.7090339999999999E-2</v>
      </c>
      <c r="Z3617">
        <v>-7.8689190000000005E-4</v>
      </c>
      <c r="AA3617">
        <v>0.99931159999999997</v>
      </c>
      <c r="AB3617">
        <v>35</v>
      </c>
      <c r="AC3617">
        <v>18.658999999999899</v>
      </c>
      <c r="AD3617">
        <v>-1.1090605273850001</v>
      </c>
      <c r="AE3617">
        <v>-0.86430000000001395</v>
      </c>
      <c r="AF3617">
        <v>0.70429358377319495</v>
      </c>
      <c r="AG3617">
        <v>-1.1090605273850001</v>
      </c>
      <c r="AH3617">
        <v>18.600058692806702</v>
      </c>
      <c r="AI3617">
        <v>93.409881505707901</v>
      </c>
      <c r="AJ3617">
        <v>87.831524002523693</v>
      </c>
      <c r="AK3617">
        <v>18.646399869181199</v>
      </c>
      <c r="AL3617">
        <v>76.900770930220105</v>
      </c>
      <c r="AM3617">
        <v>94.117719978486505</v>
      </c>
      <c r="AN3617">
        <v>0.99999998982476501</v>
      </c>
    </row>
    <row r="3618" spans="1:40" x14ac:dyDescent="0.25">
      <c r="A3618" t="str">
        <f>"20190304164923279"</f>
        <v>20190304164923279</v>
      </c>
      <c r="B3618" t="str">
        <f>"1551689363270474"</f>
        <v>1551689363270474</v>
      </c>
      <c r="C3618" t="s">
        <v>40</v>
      </c>
      <c r="D3618">
        <v>4.3183449999999999</v>
      </c>
      <c r="E3618">
        <v>0.55036459999999998</v>
      </c>
      <c r="F3618" t="s">
        <v>41</v>
      </c>
      <c r="G3618">
        <v>-423.1651</v>
      </c>
      <c r="H3618">
        <v>1.0446949999999999</v>
      </c>
      <c r="I3618">
        <v>212.87200000000001</v>
      </c>
      <c r="J3618">
        <v>-423.834</v>
      </c>
      <c r="K3618">
        <v>1.109038</v>
      </c>
      <c r="L3618">
        <v>212.9136</v>
      </c>
      <c r="M3618">
        <v>0.99993290000000001</v>
      </c>
      <c r="N3618">
        <v>-7.3433939999999996E-3</v>
      </c>
      <c r="O3618">
        <v>-8.9671530000000003E-3</v>
      </c>
      <c r="P3618">
        <v>0.9742246</v>
      </c>
      <c r="Q3618">
        <v>0.21559510000000001</v>
      </c>
      <c r="R3618">
        <v>6.6373269999999998E-2</v>
      </c>
      <c r="S3618">
        <v>3.133575</v>
      </c>
      <c r="T3618">
        <v>-0.19413050000000001</v>
      </c>
      <c r="U3618">
        <v>-0.13557429999999901</v>
      </c>
      <c r="V3618">
        <v>-7.4865329999999994E-2</v>
      </c>
      <c r="W3618">
        <v>0.2228202</v>
      </c>
      <c r="X3618">
        <v>0.97198059999999997</v>
      </c>
      <c r="Y3618">
        <v>3.4203980000000002E-2</v>
      </c>
      <c r="Z3618">
        <v>-6.9483179999999998E-4</v>
      </c>
      <c r="AA3618">
        <v>0.99941460000000004</v>
      </c>
      <c r="AB3618">
        <v>35</v>
      </c>
      <c r="AC3618">
        <v>0.66890000000000704</v>
      </c>
      <c r="AD3618">
        <v>-6.4342999999999803E-2</v>
      </c>
      <c r="AE3618">
        <v>-4.1599999999988299E-2</v>
      </c>
      <c r="AF3618">
        <v>3.5274898099512501E-2</v>
      </c>
      <c r="AG3618">
        <v>-6.4342999999999803E-2</v>
      </c>
      <c r="AH3618">
        <v>0.66313384533902897</v>
      </c>
      <c r="AI3618">
        <v>95.534209701872697</v>
      </c>
      <c r="AJ3618">
        <v>86.955064643608907</v>
      </c>
      <c r="AK3618">
        <v>0.66718126241603803</v>
      </c>
      <c r="AL3618">
        <v>77.125268532332498</v>
      </c>
      <c r="AM3618">
        <v>94.404424243732507</v>
      </c>
      <c r="AN3618">
        <v>0.99999997297020404</v>
      </c>
    </row>
    <row r="3619" spans="1:40" x14ac:dyDescent="0.25">
      <c r="A3619" t="str">
        <f>"20190304164923301"</f>
        <v>20190304164923301</v>
      </c>
      <c r="B3619" t="str">
        <f>"1551689363289994"</f>
        <v>1551689363289994</v>
      </c>
      <c r="C3619" t="s">
        <v>40</v>
      </c>
      <c r="D3619">
        <v>4.2880739999999999</v>
      </c>
      <c r="E3619">
        <v>0.55041099999999998</v>
      </c>
      <c r="F3619" t="s">
        <v>41</v>
      </c>
      <c r="G3619">
        <v>-422.84969999999998</v>
      </c>
      <c r="H3619">
        <v>1.0456219999999901</v>
      </c>
      <c r="I3619">
        <v>212.8742</v>
      </c>
      <c r="J3619">
        <v>-423.48489999999998</v>
      </c>
      <c r="K3619">
        <v>1.109019</v>
      </c>
      <c r="L3619">
        <v>212.91</v>
      </c>
      <c r="M3619">
        <v>0.99992829999999999</v>
      </c>
      <c r="N3619">
        <v>-7.3487869999999999E-3</v>
      </c>
      <c r="O3619">
        <v>-9.4634149999999993E-3</v>
      </c>
      <c r="P3619">
        <v>0.97453789999999996</v>
      </c>
      <c r="Q3619">
        <v>0.21311250000000001</v>
      </c>
      <c r="R3619">
        <v>6.9707749999999999E-2</v>
      </c>
      <c r="S3619">
        <v>3.1325069999999999</v>
      </c>
      <c r="T3619">
        <v>-0.2018944</v>
      </c>
      <c r="U3619">
        <v>-0.1246338</v>
      </c>
      <c r="V3619">
        <v>-7.8683649999999994E-2</v>
      </c>
      <c r="W3619">
        <v>0.2203502</v>
      </c>
      <c r="X3619">
        <v>0.9722421</v>
      </c>
      <c r="Y3619">
        <v>3.024338E-2</v>
      </c>
      <c r="Z3619">
        <v>-5.4495550000000002E-4</v>
      </c>
      <c r="AA3619">
        <v>0.99954240000000005</v>
      </c>
      <c r="AB3619">
        <v>35</v>
      </c>
      <c r="AC3619">
        <v>0.63519999999999699</v>
      </c>
      <c r="AD3619">
        <v>-6.3397000000000106E-2</v>
      </c>
      <c r="AE3619">
        <v>-3.5799999999994697E-2</v>
      </c>
      <c r="AF3619">
        <v>2.94942031982269E-2</v>
      </c>
      <c r="AG3619">
        <v>-6.3397000000000106E-2</v>
      </c>
      <c r="AH3619">
        <v>0.62926192924434998</v>
      </c>
      <c r="AI3619">
        <v>95.746766863871102</v>
      </c>
      <c r="AJ3619">
        <v>87.316447405682894</v>
      </c>
      <c r="AK3619">
        <v>0.63313479072597101</v>
      </c>
      <c r="AL3619">
        <v>77.270397433185096</v>
      </c>
      <c r="AM3619">
        <v>94.626869220329496</v>
      </c>
      <c r="AN3619">
        <v>1.0000000142148799</v>
      </c>
    </row>
    <row r="3620" spans="1:40" x14ac:dyDescent="0.25">
      <c r="A3620" t="str">
        <f>"20190304164923322"</f>
        <v>20190304164923322</v>
      </c>
      <c r="B3620" t="str">
        <f>"1551689363309514"</f>
        <v>1551689363309514</v>
      </c>
      <c r="C3620" t="s">
        <v>40</v>
      </c>
      <c r="D3620">
        <v>4.3915989999999896</v>
      </c>
      <c r="E3620">
        <v>0.55032530000000002</v>
      </c>
      <c r="F3620" t="s">
        <v>41</v>
      </c>
      <c r="G3620">
        <v>-422.53370000000001</v>
      </c>
      <c r="H3620">
        <v>1.04661</v>
      </c>
      <c r="I3620">
        <v>212.8749</v>
      </c>
      <c r="J3620">
        <v>-423.1671</v>
      </c>
      <c r="K3620">
        <v>1.1090070000000001</v>
      </c>
      <c r="L3620">
        <v>212.9066</v>
      </c>
      <c r="M3620">
        <v>0.99992400000000004</v>
      </c>
      <c r="N3620">
        <v>-7.3544200000000004E-3</v>
      </c>
      <c r="O3620">
        <v>-9.9145970000000007E-3</v>
      </c>
      <c r="P3620">
        <v>0.97434909999999997</v>
      </c>
      <c r="Q3620">
        <v>0.21307200000000001</v>
      </c>
      <c r="R3620">
        <v>7.2418769999999993E-2</v>
      </c>
      <c r="S3620">
        <v>3.131561</v>
      </c>
      <c r="T3620">
        <v>-0.20544670000000001</v>
      </c>
      <c r="U3620">
        <v>-0.1157074</v>
      </c>
      <c r="V3620">
        <v>-8.1827990000000003E-2</v>
      </c>
      <c r="W3620">
        <v>0.2203186</v>
      </c>
      <c r="X3620">
        <v>0.97198960000000001</v>
      </c>
      <c r="Y3620">
        <v>2.696606E-2</v>
      </c>
      <c r="Z3620">
        <v>-4.05955E-4</v>
      </c>
      <c r="AA3620">
        <v>0.99963630000000003</v>
      </c>
      <c r="AB3620">
        <v>35</v>
      </c>
      <c r="AC3620">
        <v>0.63339999999999397</v>
      </c>
      <c r="AD3620">
        <v>-6.2397000000000001E-2</v>
      </c>
      <c r="AE3620">
        <v>-3.17000000000007E-2</v>
      </c>
      <c r="AF3620">
        <v>2.5174671334159598E-2</v>
      </c>
      <c r="AG3620">
        <v>-6.2397000000000001E-2</v>
      </c>
      <c r="AH3620">
        <v>0.62760779091123298</v>
      </c>
      <c r="AI3620">
        <v>95.673177438703107</v>
      </c>
      <c r="AJ3620">
        <v>87.702976946003204</v>
      </c>
      <c r="AK3620">
        <v>0.631204157858819</v>
      </c>
      <c r="AL3620">
        <v>77.272252687193898</v>
      </c>
      <c r="AM3620">
        <v>94.812159835653006</v>
      </c>
      <c r="AN3620">
        <v>0.99999994398077796</v>
      </c>
    </row>
    <row r="3621" spans="1:40" x14ac:dyDescent="0.25">
      <c r="A3621" t="str">
        <f>"20190304164923345"</f>
        <v>20190304164923345</v>
      </c>
      <c r="B3621" t="str">
        <f>"1551689363339771"</f>
        <v>1551689363339771</v>
      </c>
      <c r="C3621" t="s">
        <v>40</v>
      </c>
      <c r="D3621">
        <v>4.3818840000000003</v>
      </c>
      <c r="E3621">
        <v>0.55008769999999996</v>
      </c>
      <c r="F3621" t="s">
        <v>41</v>
      </c>
      <c r="G3621">
        <v>-422.2174</v>
      </c>
      <c r="H3621">
        <v>1.0472349999999999</v>
      </c>
      <c r="I3621">
        <v>212.8741</v>
      </c>
      <c r="J3621">
        <v>-422.8</v>
      </c>
      <c r="K3621">
        <v>1.1090070000000001</v>
      </c>
      <c r="L3621">
        <v>212.9025</v>
      </c>
      <c r="M3621">
        <v>0.99991850000000004</v>
      </c>
      <c r="N3621">
        <v>-7.36179E-3</v>
      </c>
      <c r="O3621">
        <v>-1.0435170000000001E-2</v>
      </c>
      <c r="P3621">
        <v>0.97378929999999997</v>
      </c>
      <c r="Q3621">
        <v>0.21496209999999999</v>
      </c>
      <c r="R3621">
        <v>7.4336280000000005E-2</v>
      </c>
      <c r="S3621">
        <v>3.1314389999999999</v>
      </c>
      <c r="T3621">
        <v>-0.2037938</v>
      </c>
      <c r="U3621">
        <v>-0.10624690000000001</v>
      </c>
      <c r="V3621">
        <v>-8.4240480000000006E-2</v>
      </c>
      <c r="W3621">
        <v>0.22221589999999999</v>
      </c>
      <c r="X3621">
        <v>0.97135139999999998</v>
      </c>
      <c r="Y3621">
        <v>2.34405E-2</v>
      </c>
      <c r="Z3621">
        <v>-2.4670250000000002E-4</v>
      </c>
      <c r="AA3621">
        <v>0.99972519999999998</v>
      </c>
      <c r="AB3621">
        <v>35</v>
      </c>
      <c r="AC3621">
        <v>0.582600000000013</v>
      </c>
      <c r="AD3621">
        <v>-6.1771999999999903E-2</v>
      </c>
      <c r="AE3621">
        <v>-2.84000000000048E-2</v>
      </c>
      <c r="AF3621">
        <v>2.2071223309191399E-2</v>
      </c>
      <c r="AG3621">
        <v>-6.1771999999999903E-2</v>
      </c>
      <c r="AH3621">
        <v>0.57640013306815296</v>
      </c>
      <c r="AI3621">
        <v>96.112516627525693</v>
      </c>
      <c r="AJ3621">
        <v>87.807130234041907</v>
      </c>
      <c r="AK3621">
        <v>0.58012070492557799</v>
      </c>
      <c r="AL3621">
        <v>77.160782511651206</v>
      </c>
      <c r="AM3621">
        <v>94.956576544810304</v>
      </c>
      <c r="AN3621">
        <v>0.99999995348269899</v>
      </c>
    </row>
    <row r="3622" spans="1:40" x14ac:dyDescent="0.25">
      <c r="A3622" t="str">
        <f>"20190304164923368"</f>
        <v>20190304164923368</v>
      </c>
      <c r="B3622" t="str">
        <f>"1551689363359290"</f>
        <v>1551689363359290</v>
      </c>
      <c r="C3622" t="s">
        <v>40</v>
      </c>
      <c r="D3622">
        <v>4.2708370000000002</v>
      </c>
      <c r="E3622">
        <v>0.55019750000000001</v>
      </c>
      <c r="F3622" t="s">
        <v>47</v>
      </c>
      <c r="G3622">
        <v>-405.23410000000001</v>
      </c>
      <c r="H3622" s="1">
        <v>6.5478500000000003E-6</v>
      </c>
      <c r="I3622">
        <v>212.3578</v>
      </c>
      <c r="J3622">
        <v>-422.4393</v>
      </c>
      <c r="K3622">
        <v>1.1090180000000001</v>
      </c>
      <c r="L3622">
        <v>212.89830000000001</v>
      </c>
      <c r="M3622">
        <v>0.99991300000000005</v>
      </c>
      <c r="N3622">
        <v>-7.36982E-3</v>
      </c>
      <c r="O3622">
        <v>-1.094607E-2</v>
      </c>
      <c r="P3622">
        <v>0.97306230000000005</v>
      </c>
      <c r="Q3622">
        <v>0.21785789999999999</v>
      </c>
      <c r="R3622">
        <v>7.5418860000000004E-2</v>
      </c>
      <c r="S3622">
        <v>3.1318049999999999</v>
      </c>
      <c r="T3622">
        <v>-0.1977218</v>
      </c>
      <c r="U3622">
        <v>-9.7122189999999997E-2</v>
      </c>
      <c r="V3622">
        <v>-8.5805190000000003E-2</v>
      </c>
      <c r="W3622">
        <v>0.22511600000000001</v>
      </c>
      <c r="X3622">
        <v>0.97054640000000003</v>
      </c>
      <c r="Y3622">
        <v>2.0026200000000001E-2</v>
      </c>
      <c r="Z3622" s="1">
        <v>-9.5692029999999993E-5</v>
      </c>
      <c r="AA3622">
        <v>0.9997994</v>
      </c>
      <c r="AB3622">
        <v>35</v>
      </c>
      <c r="AC3622">
        <v>17.205199999999898</v>
      </c>
      <c r="AD3622">
        <v>-1.1090114521500001</v>
      </c>
      <c r="AE3622">
        <v>-0.54050000000000797</v>
      </c>
      <c r="AF3622">
        <v>0.35067762440045003</v>
      </c>
      <c r="AG3622">
        <v>-1.1090114521500001</v>
      </c>
      <c r="AH3622">
        <v>17.138946595114401</v>
      </c>
      <c r="AI3622">
        <v>93.701509487974107</v>
      </c>
      <c r="AJ3622">
        <v>88.827842506296307</v>
      </c>
      <c r="AK3622">
        <v>17.178369293604</v>
      </c>
      <c r="AL3622">
        <v>76.990300916635206</v>
      </c>
      <c r="AM3622">
        <v>95.052335626791105</v>
      </c>
      <c r="AN3622">
        <v>1.00000002931994</v>
      </c>
    </row>
    <row r="3623" spans="1:40" x14ac:dyDescent="0.25">
      <c r="A3623" t="str">
        <f>"20190304164923389"</f>
        <v>20190304164923389</v>
      </c>
      <c r="B3623" t="str">
        <f>"1551689363379789"</f>
        <v>1551689363379789</v>
      </c>
      <c r="C3623" t="s">
        <v>40</v>
      </c>
      <c r="D3623">
        <v>4.2699860000000003</v>
      </c>
      <c r="E3623">
        <v>0.5503808</v>
      </c>
      <c r="F3623" t="s">
        <v>47</v>
      </c>
      <c r="G3623">
        <v>-403.96249999999998</v>
      </c>
      <c r="H3623" s="1">
        <v>7.1134639999999996E-6</v>
      </c>
      <c r="I3623">
        <v>212.34950000000001</v>
      </c>
      <c r="J3623">
        <v>-422.09199999999998</v>
      </c>
      <c r="K3623">
        <v>1.1090150000000001</v>
      </c>
      <c r="L3623">
        <v>212.89410000000001</v>
      </c>
      <c r="M3623">
        <v>0.9999074</v>
      </c>
      <c r="N3623">
        <v>-7.3781339999999997E-3</v>
      </c>
      <c r="O3623">
        <v>-1.1437050000000001E-2</v>
      </c>
      <c r="P3623">
        <v>0.97264709999999999</v>
      </c>
      <c r="Q3623">
        <v>0.2195233</v>
      </c>
      <c r="R3623">
        <v>7.5941930000000005E-2</v>
      </c>
      <c r="S3623">
        <v>3.1323240000000001</v>
      </c>
      <c r="T3623">
        <v>-0.1880077</v>
      </c>
      <c r="U3623">
        <v>-9.3048099999999995E-2</v>
      </c>
      <c r="V3623">
        <v>-8.6796129999999999E-2</v>
      </c>
      <c r="W3623">
        <v>0.2267882</v>
      </c>
      <c r="X3623">
        <v>0.97006879999999995</v>
      </c>
      <c r="Y3623">
        <v>1.8237389999999999E-2</v>
      </c>
      <c r="Z3623" s="1">
        <v>-1.271162E-5</v>
      </c>
      <c r="AA3623">
        <v>0.99983370000000005</v>
      </c>
      <c r="AB3623">
        <v>35</v>
      </c>
      <c r="AC3623">
        <v>18.1295</v>
      </c>
      <c r="AD3623">
        <v>-1.10900788653599</v>
      </c>
      <c r="AE3623">
        <v>-0.54460000000000197</v>
      </c>
      <c r="AF3623">
        <v>0.33595475038836797</v>
      </c>
      <c r="AG3623">
        <v>-1.10900788653599</v>
      </c>
      <c r="AH3623">
        <v>18.066998162033901</v>
      </c>
      <c r="AI3623">
        <v>93.511978236165902</v>
      </c>
      <c r="AJ3623">
        <v>88.934711177290197</v>
      </c>
      <c r="AK3623">
        <v>18.104120709762299</v>
      </c>
      <c r="AL3623">
        <v>76.891946482515195</v>
      </c>
      <c r="AM3623">
        <v>95.1128791079922</v>
      </c>
      <c r="AN3623">
        <v>0.99999996628782795</v>
      </c>
    </row>
    <row r="3624" spans="1:40" x14ac:dyDescent="0.25">
      <c r="A3624" t="str">
        <f>"20190304164923411"</f>
        <v>20190304164923411</v>
      </c>
      <c r="B3624" t="str">
        <f>"1551689363399306"</f>
        <v>1551689363399306</v>
      </c>
      <c r="C3624" t="s">
        <v>40</v>
      </c>
      <c r="D3624">
        <v>4.2696519999999998</v>
      </c>
      <c r="E3624">
        <v>0.5505217</v>
      </c>
      <c r="F3624" t="s">
        <v>47</v>
      </c>
      <c r="G3624">
        <v>-403.11930000000001</v>
      </c>
      <c r="H3624" s="1">
        <v>7.4892609999999996E-6</v>
      </c>
      <c r="I3624">
        <v>212.34030000000001</v>
      </c>
      <c r="J3624">
        <v>-421.75130000000001</v>
      </c>
      <c r="K3624">
        <v>1.109019</v>
      </c>
      <c r="L3624">
        <v>212.88980000000001</v>
      </c>
      <c r="M3624">
        <v>0.9999017</v>
      </c>
      <c r="N3624">
        <v>-7.3869290000000004E-3</v>
      </c>
      <c r="O3624">
        <v>-1.191909E-2</v>
      </c>
      <c r="P3624">
        <v>0.9720086</v>
      </c>
      <c r="Q3624">
        <v>0.22225239999999999</v>
      </c>
      <c r="R3624">
        <v>7.6178289999999996E-2</v>
      </c>
      <c r="S3624">
        <v>3.1328429999999998</v>
      </c>
      <c r="T3624">
        <v>-0.1831236</v>
      </c>
      <c r="U3624">
        <v>-9.144592E-2</v>
      </c>
      <c r="V3624">
        <v>-8.7487850000000006E-2</v>
      </c>
      <c r="W3624">
        <v>0.2295227</v>
      </c>
      <c r="X3624">
        <v>0.96936330000000004</v>
      </c>
      <c r="Y3624">
        <v>1.7242980000000002E-2</v>
      </c>
      <c r="Z3624" s="1">
        <v>4.0776650000000002E-5</v>
      </c>
      <c r="AA3624">
        <v>0.9998513</v>
      </c>
      <c r="AB3624">
        <v>35</v>
      </c>
      <c r="AC3624">
        <v>18.632000000000001</v>
      </c>
      <c r="AD3624">
        <v>-1.109011510739</v>
      </c>
      <c r="AE3624">
        <v>-0.54949999999999399</v>
      </c>
      <c r="AF3624">
        <v>0.32622366649255102</v>
      </c>
      <c r="AG3624">
        <v>-1.109011510739</v>
      </c>
      <c r="AH3624">
        <v>18.571487250913499</v>
      </c>
      <c r="AI3624">
        <v>93.416880071685696</v>
      </c>
      <c r="AJ3624">
        <v>88.993655331771905</v>
      </c>
      <c r="AK3624">
        <v>18.607430427718299</v>
      </c>
      <c r="AL3624">
        <v>76.731027268895303</v>
      </c>
      <c r="AM3624">
        <v>95.157137968809295</v>
      </c>
      <c r="AN3624">
        <v>1.0000000005498999</v>
      </c>
    </row>
    <row r="3625" spans="1:40" x14ac:dyDescent="0.25">
      <c r="A3625" t="str">
        <f>"20190304164923435"</f>
        <v>20190304164923435</v>
      </c>
      <c r="B3625" t="str">
        <f>"1551689363429563"</f>
        <v>1551689363429563</v>
      </c>
      <c r="C3625" t="s">
        <v>40</v>
      </c>
      <c r="D3625">
        <v>4.1673010000000001</v>
      </c>
      <c r="E3625">
        <v>0.55066040000000005</v>
      </c>
      <c r="F3625" t="s">
        <v>47</v>
      </c>
      <c r="G3625">
        <v>-401.81909999999999</v>
      </c>
      <c r="H3625" s="1">
        <v>8.0715489999999996E-6</v>
      </c>
      <c r="I3625">
        <v>212.31280000000001</v>
      </c>
      <c r="J3625">
        <v>-421.37209999999999</v>
      </c>
      <c r="K3625">
        <v>1.109024</v>
      </c>
      <c r="L3625">
        <v>212.88480000000001</v>
      </c>
      <c r="M3625">
        <v>0.99989530000000004</v>
      </c>
      <c r="N3625">
        <v>-7.39733199999999E-3</v>
      </c>
      <c r="O3625">
        <v>-1.2455610000000001E-2</v>
      </c>
      <c r="P3625">
        <v>0.97128159999999997</v>
      </c>
      <c r="Q3625">
        <v>0.225739</v>
      </c>
      <c r="R3625">
        <v>7.5195509999999993E-2</v>
      </c>
      <c r="S3625">
        <v>3.1333310000000001</v>
      </c>
      <c r="T3625">
        <v>-0.1743354</v>
      </c>
      <c r="U3625">
        <v>-9.0698239999999999E-2</v>
      </c>
      <c r="V3625">
        <v>-8.7010970000000007E-2</v>
      </c>
      <c r="W3625">
        <v>0.2330141</v>
      </c>
      <c r="X3625">
        <v>0.96857289999999996</v>
      </c>
      <c r="Y3625">
        <v>1.64668E-2</v>
      </c>
      <c r="Z3625" s="1">
        <v>8.1607519999999894E-5</v>
      </c>
      <c r="AA3625">
        <v>0.99986439999999999</v>
      </c>
      <c r="AB3625">
        <v>35</v>
      </c>
      <c r="AC3625">
        <v>19.553000000000001</v>
      </c>
      <c r="AD3625">
        <v>-1.1090159284509999</v>
      </c>
      <c r="AE3625">
        <v>-0.57200000000000195</v>
      </c>
      <c r="AF3625">
        <v>0.32735229052954301</v>
      </c>
      <c r="AG3625">
        <v>-1.1090159284509999</v>
      </c>
      <c r="AH3625">
        <v>19.495943421802799</v>
      </c>
      <c r="AI3625">
        <v>93.255272129495793</v>
      </c>
      <c r="AJ3625">
        <v>89.038048996536602</v>
      </c>
      <c r="AK3625">
        <v>19.530204447414501</v>
      </c>
      <c r="AL3625">
        <v>76.525409978922497</v>
      </c>
      <c r="AM3625">
        <v>95.133341012398105</v>
      </c>
      <c r="AN3625">
        <v>0.99999997115677997</v>
      </c>
    </row>
    <row r="3626" spans="1:40" x14ac:dyDescent="0.25">
      <c r="A3626" t="str">
        <f>"20190304164923457"</f>
        <v>20190304164923457</v>
      </c>
      <c r="B3626" t="str">
        <f>"1551689363450059"</f>
        <v>1551689363450059</v>
      </c>
      <c r="C3626" t="s">
        <v>40</v>
      </c>
      <c r="D3626">
        <v>4.1700629999999999</v>
      </c>
      <c r="E3626">
        <v>0.55063960000000001</v>
      </c>
      <c r="F3626" t="s">
        <v>46</v>
      </c>
      <c r="G3626">
        <v>-399.68869999999998</v>
      </c>
      <c r="H3626" s="1">
        <v>3.6190559999999998E-6</v>
      </c>
      <c r="I3626">
        <v>212.22900000000001</v>
      </c>
      <c r="J3626">
        <v>-421.01299999999998</v>
      </c>
      <c r="K3626">
        <v>1.1090230000000001</v>
      </c>
      <c r="L3626">
        <v>212.87979999999999</v>
      </c>
      <c r="M3626">
        <v>0.99988860000000002</v>
      </c>
      <c r="N3626">
        <v>-7.4077609999999997E-3</v>
      </c>
      <c r="O3626">
        <v>-1.296363E-2</v>
      </c>
      <c r="P3626">
        <v>0.97059110000000004</v>
      </c>
      <c r="Q3626">
        <v>0.22922029999999999</v>
      </c>
      <c r="R3626">
        <v>7.3560310000000004E-2</v>
      </c>
      <c r="S3626">
        <v>3.13327</v>
      </c>
      <c r="T3626">
        <v>-0.16025410000000001</v>
      </c>
      <c r="U3626">
        <v>-9.4757079999999994E-2</v>
      </c>
      <c r="V3626">
        <v>-8.5853990000000005E-2</v>
      </c>
      <c r="W3626">
        <v>0.23649870000000001</v>
      </c>
      <c r="X3626">
        <v>0.96783129999999995</v>
      </c>
      <c r="Y3626">
        <v>1.725438E-2</v>
      </c>
      <c r="Z3626" s="1">
        <v>6.1614149999999994E-5</v>
      </c>
      <c r="AA3626">
        <v>0.99985109999999999</v>
      </c>
      <c r="AB3626">
        <v>36</v>
      </c>
      <c r="AC3626">
        <v>21.324300000000001</v>
      </c>
      <c r="AD3626">
        <v>-1.1090193809440001</v>
      </c>
      <c r="AE3626">
        <v>-0.65079999999997495</v>
      </c>
      <c r="AF3626">
        <v>0.37328869210089299</v>
      </c>
      <c r="AG3626">
        <v>-1.1090193809440001</v>
      </c>
      <c r="AH3626">
        <v>21.2734588998714</v>
      </c>
      <c r="AI3626">
        <v>92.983760533989695</v>
      </c>
      <c r="AJ3626">
        <v>88.994725212464004</v>
      </c>
      <c r="AK3626">
        <v>21.305617146646501</v>
      </c>
      <c r="AL3626">
        <v>76.320017291664698</v>
      </c>
      <c r="AM3626">
        <v>95.069301927224799</v>
      </c>
      <c r="AN3626">
        <v>0.999999983980149</v>
      </c>
    </row>
    <row r="3627" spans="1:40" x14ac:dyDescent="0.25">
      <c r="A3627" t="str">
        <f>"20190304164923480"</f>
        <v>20190304164923480</v>
      </c>
      <c r="B3627" t="str">
        <f>"1551689363469581"</f>
        <v>1551689363469581</v>
      </c>
      <c r="C3627" t="s">
        <v>40</v>
      </c>
      <c r="D3627">
        <v>4.1899199999999999</v>
      </c>
      <c r="E3627">
        <v>0.55064579999999996</v>
      </c>
      <c r="F3627" t="s">
        <v>46</v>
      </c>
      <c r="G3627">
        <v>-397.20030000000003</v>
      </c>
      <c r="H3627" s="1">
        <v>2.2948649999999999E-6</v>
      </c>
      <c r="I3627">
        <v>212.1198</v>
      </c>
      <c r="J3627">
        <v>-420.64659999999998</v>
      </c>
      <c r="K3627">
        <v>1.1090249999999999</v>
      </c>
      <c r="L3627">
        <v>212.87459999999999</v>
      </c>
      <c r="M3627">
        <v>0.99988169999999998</v>
      </c>
      <c r="N3627">
        <v>-7.4188219999999899E-3</v>
      </c>
      <c r="O3627">
        <v>-1.3481899999999899E-2</v>
      </c>
      <c r="P3627">
        <v>0.97033159999999896</v>
      </c>
      <c r="Q3627">
        <v>0.23101089999999999</v>
      </c>
      <c r="R3627">
        <v>7.1348010000000003E-2</v>
      </c>
      <c r="S3627">
        <v>3.132965</v>
      </c>
      <c r="T3627">
        <v>-0.1459106</v>
      </c>
      <c r="U3627">
        <v>-9.9990839999999998E-2</v>
      </c>
      <c r="V3627">
        <v>-8.4136870000000002E-2</v>
      </c>
      <c r="W3627">
        <v>0.23829690000000001</v>
      </c>
      <c r="X3627">
        <v>0.96754099999999998</v>
      </c>
      <c r="Y3627">
        <v>1.840837E-2</v>
      </c>
      <c r="Z3627" s="1">
        <v>3.0715020000000001E-5</v>
      </c>
      <c r="AA3627">
        <v>0.99983049999999996</v>
      </c>
      <c r="AB3627">
        <v>36</v>
      </c>
      <c r="AC3627">
        <v>23.446299999999901</v>
      </c>
      <c r="AD3627">
        <v>-1.1090227051349999</v>
      </c>
      <c r="AE3627">
        <v>-0.75479999999998804</v>
      </c>
      <c r="AF3627">
        <v>0.43764391386205298</v>
      </c>
      <c r="AG3627">
        <v>-1.1090227051349999</v>
      </c>
      <c r="AH3627">
        <v>23.402041237644401</v>
      </c>
      <c r="AI3627">
        <v>92.712743394490502</v>
      </c>
      <c r="AJ3627">
        <v>88.928630782004504</v>
      </c>
      <c r="AK3627">
        <v>23.4323920598016</v>
      </c>
      <c r="AL3627">
        <v>76.213956286578195</v>
      </c>
      <c r="AM3627">
        <v>94.969909408075694</v>
      </c>
      <c r="AN3627">
        <v>1.000000006062</v>
      </c>
    </row>
    <row r="3628" spans="1:40" x14ac:dyDescent="0.25">
      <c r="A3628" t="str">
        <f>"20190304164923502"</f>
        <v>20190304164923502</v>
      </c>
      <c r="B3628" t="str">
        <f>"1551689363499833"</f>
        <v>1551689363499833</v>
      </c>
      <c r="C3628" t="s">
        <v>40</v>
      </c>
      <c r="D3628">
        <v>4.1628040000000004</v>
      </c>
      <c r="E3628">
        <v>0.55059590000000003</v>
      </c>
      <c r="F3628" t="s">
        <v>46</v>
      </c>
      <c r="G3628">
        <v>-395.46440000000001</v>
      </c>
      <c r="H3628" s="1">
        <v>1.3710629999999999E-6</v>
      </c>
      <c r="I3628">
        <v>212.012</v>
      </c>
      <c r="J3628">
        <v>-420.28769999999997</v>
      </c>
      <c r="K3628">
        <v>1.109027</v>
      </c>
      <c r="L3628">
        <v>212.86930000000001</v>
      </c>
      <c r="M3628">
        <v>0.9998745</v>
      </c>
      <c r="N3628">
        <v>-7.4300219999999997E-3</v>
      </c>
      <c r="O3628">
        <v>-1.398897E-2</v>
      </c>
      <c r="P3628">
        <v>0.97039209999999998</v>
      </c>
      <c r="Q3628">
        <v>0.23149020000000001</v>
      </c>
      <c r="R3628">
        <v>6.8931649999999997E-2</v>
      </c>
      <c r="S3628">
        <v>3.1324459999999998</v>
      </c>
      <c r="T3628">
        <v>-0.1379523</v>
      </c>
      <c r="U3628">
        <v>-0.1072998</v>
      </c>
      <c r="V3628">
        <v>-8.2211430000000002E-2</v>
      </c>
      <c r="W3628">
        <v>0.2387859</v>
      </c>
      <c r="X3628">
        <v>0.9675859</v>
      </c>
      <c r="Y3628">
        <v>2.0236190000000001E-2</v>
      </c>
      <c r="Z3628" s="1">
        <v>-8.8313540000000007E-6</v>
      </c>
      <c r="AA3628">
        <v>0.9997952</v>
      </c>
      <c r="AB3628">
        <v>36</v>
      </c>
      <c r="AC3628">
        <v>24.8232999999999</v>
      </c>
      <c r="AD3628">
        <v>-1.109025628937</v>
      </c>
      <c r="AE3628">
        <v>-0.85730000000000905</v>
      </c>
      <c r="AF3628">
        <v>0.50893946709940796</v>
      </c>
      <c r="AG3628">
        <v>-1.109025628937</v>
      </c>
      <c r="AH3628">
        <v>24.7834547179555</v>
      </c>
      <c r="AI3628">
        <v>92.5616589410904</v>
      </c>
      <c r="AJ3628">
        <v>88.823570568412705</v>
      </c>
      <c r="AK3628">
        <v>24.813475874688798</v>
      </c>
      <c r="AL3628">
        <v>76.1851050080748</v>
      </c>
      <c r="AM3628">
        <v>94.856500988634593</v>
      </c>
      <c r="AN3628">
        <v>0.99999994957013105</v>
      </c>
    </row>
    <row r="3629" spans="1:40" x14ac:dyDescent="0.25">
      <c r="A3629" t="str">
        <f>"20190304164923523"</f>
        <v>20190304164923523</v>
      </c>
      <c r="B3629" t="str">
        <f>"1551689363519354"</f>
        <v>1551689363519354</v>
      </c>
      <c r="C3629" t="s">
        <v>40</v>
      </c>
      <c r="D3629">
        <v>4.125</v>
      </c>
      <c r="E3629">
        <v>0.55059239999999998</v>
      </c>
      <c r="F3629" t="s">
        <v>46</v>
      </c>
      <c r="G3629">
        <v>-394.8972</v>
      </c>
      <c r="H3629" s="1">
        <v>1.0692709999999999E-6</v>
      </c>
      <c r="I3629">
        <v>211.9451</v>
      </c>
      <c r="J3629">
        <v>-419.9563</v>
      </c>
      <c r="K3629">
        <v>1.10902099999999</v>
      </c>
      <c r="L3629">
        <v>212.86420000000001</v>
      </c>
      <c r="M3629">
        <v>0.99986790000000003</v>
      </c>
      <c r="N3629">
        <v>-7.4406450000000001E-3</v>
      </c>
      <c r="O3629">
        <v>-1.445717E-2</v>
      </c>
      <c r="P3629">
        <v>0.97041460000000002</v>
      </c>
      <c r="Q3629">
        <v>0.23208309999999999</v>
      </c>
      <c r="R3629">
        <v>6.6581420000000002E-2</v>
      </c>
      <c r="S3629">
        <v>3.1322939999999999</v>
      </c>
      <c r="T3629">
        <v>-0.13681479999999999</v>
      </c>
      <c r="U3629">
        <v>-0.1140137</v>
      </c>
      <c r="V3629">
        <v>-8.031336E-2</v>
      </c>
      <c r="W3629">
        <v>0.2393874</v>
      </c>
      <c r="X3629">
        <v>0.96759680000000003</v>
      </c>
      <c r="Y3629">
        <v>2.190858E-2</v>
      </c>
      <c r="Z3629" s="1">
        <v>-3.6264360000000002E-5</v>
      </c>
      <c r="AA3629">
        <v>0.99975999999999998</v>
      </c>
      <c r="AB3629">
        <v>36</v>
      </c>
      <c r="AC3629">
        <v>25.059100000000001</v>
      </c>
      <c r="AD3629">
        <v>-1.1090199307289901</v>
      </c>
      <c r="AE3629">
        <v>-0.91910000000001402</v>
      </c>
      <c r="AF3629">
        <v>0.55562348874442602</v>
      </c>
      <c r="AG3629">
        <v>-1.1090199307289901</v>
      </c>
      <c r="AH3629">
        <v>25.020828685087899</v>
      </c>
      <c r="AI3629">
        <v>92.537284787812297</v>
      </c>
      <c r="AJ3629">
        <v>88.727873885249593</v>
      </c>
      <c r="AK3629">
        <v>25.051557052536999</v>
      </c>
      <c r="AL3629">
        <v>76.149613875116898</v>
      </c>
      <c r="AM3629">
        <v>94.744840461193604</v>
      </c>
      <c r="AN3629">
        <v>1.00000006522174</v>
      </c>
    </row>
    <row r="3630" spans="1:40" x14ac:dyDescent="0.25">
      <c r="A3630" t="str">
        <f>"20190304164923546"</f>
        <v>20190304164923546</v>
      </c>
      <c r="B3630" t="str">
        <f>"1551689363539850"</f>
        <v>1551689363539850</v>
      </c>
      <c r="C3630" t="s">
        <v>40</v>
      </c>
      <c r="D3630">
        <v>4.1390440000000002</v>
      </c>
      <c r="E3630">
        <v>0.55065039999999998</v>
      </c>
      <c r="F3630" t="s">
        <v>46</v>
      </c>
      <c r="G3630">
        <v>-394.19959999999998</v>
      </c>
      <c r="H3630" s="1">
        <v>6.9799959999999996E-7</v>
      </c>
      <c r="I3630">
        <v>211.86410000000001</v>
      </c>
      <c r="J3630">
        <v>-419.57979999999998</v>
      </c>
      <c r="K3630">
        <v>1.10902099999999</v>
      </c>
      <c r="L3630">
        <v>212.85830000000001</v>
      </c>
      <c r="M3630">
        <v>0.99985990000000002</v>
      </c>
      <c r="N3630">
        <v>-7.453093E-3</v>
      </c>
      <c r="O3630">
        <v>-1.498844E-2</v>
      </c>
      <c r="P3630">
        <v>0.97043469999999998</v>
      </c>
      <c r="Q3630">
        <v>0.23257549999999999</v>
      </c>
      <c r="R3630">
        <v>6.4540589999999995E-2</v>
      </c>
      <c r="S3630">
        <v>3.13205</v>
      </c>
      <c r="T3630">
        <v>-0.1348579</v>
      </c>
      <c r="U3630">
        <v>-0.1216125</v>
      </c>
      <c r="V3630">
        <v>-7.8786129999999996E-2</v>
      </c>
      <c r="W3630">
        <v>0.23989060000000001</v>
      </c>
      <c r="X3630">
        <v>0.96759770000000001</v>
      </c>
      <c r="Y3630">
        <v>2.38009E-2</v>
      </c>
      <c r="Z3630" s="1">
        <v>-6.7632010000000006E-5</v>
      </c>
      <c r="AA3630">
        <v>0.99971670000000001</v>
      </c>
      <c r="AB3630">
        <v>36</v>
      </c>
      <c r="AC3630">
        <v>25.380199999999999</v>
      </c>
      <c r="AD3630">
        <v>-1.1090203020003999</v>
      </c>
      <c r="AE3630">
        <v>-0.99420000000000597</v>
      </c>
      <c r="AF3630">
        <v>0.61250045050198099</v>
      </c>
      <c r="AG3630">
        <v>-1.1090203020003999</v>
      </c>
      <c r="AH3630">
        <v>25.343934053692099</v>
      </c>
      <c r="AI3630">
        <v>92.504865999359197</v>
      </c>
      <c r="AJ3630">
        <v>88.615571651421106</v>
      </c>
      <c r="AK3630">
        <v>25.375580311591001</v>
      </c>
      <c r="AL3630">
        <v>76.119916869563397</v>
      </c>
      <c r="AM3630">
        <v>94.655009127694797</v>
      </c>
      <c r="AN3630">
        <v>1.0000000316470099</v>
      </c>
    </row>
    <row r="3631" spans="1:40" x14ac:dyDescent="0.25">
      <c r="A3631" t="str">
        <f>"20190304164923570"</f>
        <v>20190304164923570</v>
      </c>
      <c r="B3631" t="str">
        <f>"1551689363559370"</f>
        <v>1551689363559370</v>
      </c>
      <c r="C3631" t="s">
        <v>40</v>
      </c>
      <c r="D3631">
        <v>4.0678140000000003</v>
      </c>
      <c r="E3631">
        <v>0.55062250000000001</v>
      </c>
      <c r="F3631" t="s">
        <v>46</v>
      </c>
      <c r="G3631">
        <v>-393.4819</v>
      </c>
      <c r="H3631" s="1">
        <v>3.1609989999999999E-7</v>
      </c>
      <c r="I3631">
        <v>211.7911</v>
      </c>
      <c r="J3631">
        <v>-419.2038</v>
      </c>
      <c r="K3631">
        <v>1.1090260000000001</v>
      </c>
      <c r="L3631">
        <v>212.85220000000001</v>
      </c>
      <c r="M3631">
        <v>0.99985170000000001</v>
      </c>
      <c r="N3631">
        <v>-7.4657869999999998E-3</v>
      </c>
      <c r="O3631">
        <v>-1.551864E-2</v>
      </c>
      <c r="P3631">
        <v>0.97023139999999997</v>
      </c>
      <c r="Q3631">
        <v>0.23405809999999999</v>
      </c>
      <c r="R3631">
        <v>6.2192249999999998E-2</v>
      </c>
      <c r="S3631">
        <v>3.1317750000000002</v>
      </c>
      <c r="T3631">
        <v>-0.1330837</v>
      </c>
      <c r="U3631">
        <v>-0.12806699999999999</v>
      </c>
      <c r="V3631">
        <v>-7.6945749999999993E-2</v>
      </c>
      <c r="W3631">
        <v>0.24138180000000001</v>
      </c>
      <c r="X3631">
        <v>0.96737490000000004</v>
      </c>
      <c r="Y3631">
        <v>2.533028E-2</v>
      </c>
      <c r="Z3631" s="1">
        <v>-8.9346779999999995E-5</v>
      </c>
      <c r="AA3631">
        <v>0.99967910000000004</v>
      </c>
      <c r="AB3631">
        <v>36</v>
      </c>
      <c r="AC3631">
        <v>25.721900000000002</v>
      </c>
      <c r="AD3631">
        <v>-1.1090256839001</v>
      </c>
      <c r="AE3631">
        <v>-1.0611000000000099</v>
      </c>
      <c r="AF3631">
        <v>0.66056628024648201</v>
      </c>
      <c r="AG3631">
        <v>-1.1090256839001</v>
      </c>
      <c r="AH3631">
        <v>25.687597782668799</v>
      </c>
      <c r="AI3631">
        <v>92.471313015103505</v>
      </c>
      <c r="AJ3631">
        <v>88.526942031181704</v>
      </c>
      <c r="AK3631">
        <v>25.7200109957659</v>
      </c>
      <c r="AL3631">
        <v>76.031890467239407</v>
      </c>
      <c r="AM3631">
        <v>94.547776020129703</v>
      </c>
      <c r="AN3631">
        <v>1.00000000948215</v>
      </c>
    </row>
    <row r="3632" spans="1:40" x14ac:dyDescent="0.25">
      <c r="A3632" t="str">
        <f>"20190304164923590"</f>
        <v>20190304164923590</v>
      </c>
      <c r="B3632" t="str">
        <f>"1551689363579869"</f>
        <v>1551689363579869</v>
      </c>
      <c r="C3632" t="s">
        <v>40</v>
      </c>
      <c r="D3632">
        <v>4.0683590000000001</v>
      </c>
      <c r="E3632">
        <v>0.55057659999999997</v>
      </c>
      <c r="F3632" t="s">
        <v>46</v>
      </c>
      <c r="G3632">
        <v>-392.17939999999999</v>
      </c>
      <c r="H3632" s="1">
        <v>-3.7704899999999998E-7</v>
      </c>
      <c r="I3632">
        <v>211.6987</v>
      </c>
      <c r="J3632">
        <v>-418.8664</v>
      </c>
      <c r="K3632">
        <v>1.1090180000000001</v>
      </c>
      <c r="L3632">
        <v>212.84649999999999</v>
      </c>
      <c r="M3632">
        <v>0.99984419999999996</v>
      </c>
      <c r="N3632">
        <v>-7.4772229999999999E-3</v>
      </c>
      <c r="O3632">
        <v>-1.5994350000000001E-2</v>
      </c>
      <c r="P3632">
        <v>0.97006760000000003</v>
      </c>
      <c r="Q3632">
        <v>0.23523849999999999</v>
      </c>
      <c r="R3632">
        <v>6.026546E-2</v>
      </c>
      <c r="S3632">
        <v>3.1316220000000001</v>
      </c>
      <c r="T3632">
        <v>-0.12851509999999999</v>
      </c>
      <c r="U3632">
        <v>-0.13366700000000001</v>
      </c>
      <c r="V3632">
        <v>-7.5474639999999996E-2</v>
      </c>
      <c r="W3632">
        <v>0.24257039999999999</v>
      </c>
      <c r="X3632">
        <v>0.96719339999999998</v>
      </c>
      <c r="Y3632">
        <v>2.6640980000000002E-2</v>
      </c>
      <c r="Z3632">
        <v>-1.096534E-4</v>
      </c>
      <c r="AA3632">
        <v>0.99964509999999995</v>
      </c>
      <c r="AB3632">
        <v>36</v>
      </c>
      <c r="AC3632">
        <v>26.687000000000001</v>
      </c>
      <c r="AD3632">
        <v>-1.1090183770489901</v>
      </c>
      <c r="AE3632">
        <v>-1.1477999999999799</v>
      </c>
      <c r="AF3632">
        <v>0.71955970515125001</v>
      </c>
      <c r="AG3632">
        <v>-1.1090183770489901</v>
      </c>
      <c r="AH3632">
        <v>26.655996507566002</v>
      </c>
      <c r="AI3632">
        <v>92.381541007579699</v>
      </c>
      <c r="AJ3632">
        <v>88.453716615900504</v>
      </c>
      <c r="AK3632">
        <v>26.688758639945799</v>
      </c>
      <c r="AL3632">
        <v>75.961701978794395</v>
      </c>
      <c r="AM3632">
        <v>94.462016202272906</v>
      </c>
      <c r="AN3632">
        <v>0.999999946621423</v>
      </c>
    </row>
    <row r="3633" spans="1:40" x14ac:dyDescent="0.25">
      <c r="A3633" t="str">
        <f>"20190304164923612"</f>
        <v>20190304164923612</v>
      </c>
      <c r="B3633" t="str">
        <f>"1551689363599386"</f>
        <v>1551689363599386</v>
      </c>
      <c r="C3633" t="s">
        <v>40</v>
      </c>
      <c r="D3633">
        <v>4.050427</v>
      </c>
      <c r="E3633">
        <v>0.55054989999999904</v>
      </c>
      <c r="F3633" t="s">
        <v>46</v>
      </c>
      <c r="G3633">
        <v>-391.2869</v>
      </c>
      <c r="H3633" s="1">
        <v>-8.5197810000000003E-7</v>
      </c>
      <c r="I3633">
        <v>211.6352</v>
      </c>
      <c r="J3633">
        <v>-418.51940000000002</v>
      </c>
      <c r="K3633">
        <v>1.109022</v>
      </c>
      <c r="L3633">
        <v>212.84049999999999</v>
      </c>
      <c r="M3633">
        <v>0.99983610000000001</v>
      </c>
      <c r="N3633">
        <v>-7.4890379999999999E-3</v>
      </c>
      <c r="O3633">
        <v>-1.6483169999999998E-2</v>
      </c>
      <c r="P3633">
        <v>0.96987829999999997</v>
      </c>
      <c r="Q3633">
        <v>0.2363807</v>
      </c>
      <c r="R3633">
        <v>5.8826089999999998E-2</v>
      </c>
      <c r="S3633">
        <v>3.1315919999999999</v>
      </c>
      <c r="T3633">
        <v>-0.1259267</v>
      </c>
      <c r="U3633">
        <v>-0.13754269999999999</v>
      </c>
      <c r="V3633">
        <v>-7.4503299999999995E-2</v>
      </c>
      <c r="W3633">
        <v>0.2437221</v>
      </c>
      <c r="X3633">
        <v>0.96697920000000004</v>
      </c>
      <c r="Y3633">
        <v>2.7387600000000002E-2</v>
      </c>
      <c r="Z3633">
        <v>-1.140296E-4</v>
      </c>
      <c r="AA3633">
        <v>0.99962490000000004</v>
      </c>
      <c r="AB3633">
        <v>36</v>
      </c>
      <c r="AC3633">
        <v>27.232500000000002</v>
      </c>
      <c r="AD3633">
        <v>-1.1090228519781</v>
      </c>
      <c r="AE3633">
        <v>-1.20529999999999</v>
      </c>
      <c r="AF3633">
        <v>0.75499604357580796</v>
      </c>
      <c r="AG3633">
        <v>-1.1090228519781</v>
      </c>
      <c r="AH3633">
        <v>27.203639754965099</v>
      </c>
      <c r="AI3633">
        <v>92.333612158696994</v>
      </c>
      <c r="AJ3633">
        <v>88.410250034207905</v>
      </c>
      <c r="AK3633">
        <v>27.236702565287501</v>
      </c>
      <c r="AL3633">
        <v>75.893673445064394</v>
      </c>
      <c r="AM3633">
        <v>94.405790508007399</v>
      </c>
      <c r="AN3633">
        <v>0.99999998848596905</v>
      </c>
    </row>
    <row r="3634" spans="1:40" x14ac:dyDescent="0.25">
      <c r="A3634" t="str">
        <f>"20190304164923636"</f>
        <v>20190304164923636</v>
      </c>
      <c r="B3634" t="str">
        <f>"1551689363629642"</f>
        <v>1551689363629642</v>
      </c>
      <c r="C3634" t="s">
        <v>40</v>
      </c>
      <c r="D3634">
        <v>4.0012790000000003</v>
      </c>
      <c r="E3634">
        <v>0.55062259999999996</v>
      </c>
      <c r="F3634" t="s">
        <v>46</v>
      </c>
      <c r="G3634">
        <v>-390.334</v>
      </c>
      <c r="H3634" s="1">
        <v>-1.3590400000000001E-6</v>
      </c>
      <c r="I3634">
        <v>211.5727</v>
      </c>
      <c r="J3634">
        <v>-418.12990000000002</v>
      </c>
      <c r="K3634">
        <v>1.109019</v>
      </c>
      <c r="L3634">
        <v>212.83359999999999</v>
      </c>
      <c r="M3634">
        <v>0.99982689999999996</v>
      </c>
      <c r="N3634">
        <v>-7.5023969999999897E-3</v>
      </c>
      <c r="O3634">
        <v>-1.703197E-2</v>
      </c>
      <c r="P3634">
        <v>0.96967020000000004</v>
      </c>
      <c r="Q3634">
        <v>0.2373344</v>
      </c>
      <c r="R3634">
        <v>5.8415519999999999E-2</v>
      </c>
      <c r="S3634">
        <v>3.1317439999999999</v>
      </c>
      <c r="T3634">
        <v>-0.1232263</v>
      </c>
      <c r="U3634">
        <v>-0.1408691</v>
      </c>
      <c r="V3634">
        <v>-7.4618760000000006E-2</v>
      </c>
      <c r="W3634">
        <v>0.24468709999999999</v>
      </c>
      <c r="X3634">
        <v>0.96672650000000004</v>
      </c>
      <c r="Y3634">
        <v>2.7896799999999999E-2</v>
      </c>
      <c r="Z3634">
        <v>-1.113097E-4</v>
      </c>
      <c r="AA3634">
        <v>0.99961080000000002</v>
      </c>
      <c r="AB3634">
        <v>36</v>
      </c>
      <c r="AC3634">
        <v>27.7959</v>
      </c>
      <c r="AD3634">
        <v>-1.1090203590400001</v>
      </c>
      <c r="AE3634">
        <v>-1.2608999999999899</v>
      </c>
      <c r="AF3634">
        <v>0.78603615341136301</v>
      </c>
      <c r="AG3634">
        <v>-1.1090203590400001</v>
      </c>
      <c r="AH3634">
        <v>27.769228829778299</v>
      </c>
      <c r="AI3634">
        <v>92.286092852173894</v>
      </c>
      <c r="AJ3634">
        <v>88.378617858929204</v>
      </c>
      <c r="AK3634">
        <v>27.8024791842711</v>
      </c>
      <c r="AL3634">
        <v>75.836655931160905</v>
      </c>
      <c r="AM3634">
        <v>94.413740232196304</v>
      </c>
      <c r="AN3634">
        <v>0.99999993102629603</v>
      </c>
    </row>
    <row r="3635" spans="1:40" x14ac:dyDescent="0.25">
      <c r="A3635" t="str">
        <f>"20190304164923657"</f>
        <v>20190304164923657</v>
      </c>
      <c r="B3635" t="str">
        <f>"1551689363649162"</f>
        <v>1551689363649162</v>
      </c>
      <c r="C3635" t="s">
        <v>40</v>
      </c>
      <c r="D3635">
        <v>4.0195410000000003</v>
      </c>
      <c r="E3635">
        <v>0.55067639999999995</v>
      </c>
      <c r="F3635" t="s">
        <v>46</v>
      </c>
      <c r="G3635">
        <v>-389.27330000000001</v>
      </c>
      <c r="H3635" s="1">
        <v>3.5337039999999998E-6</v>
      </c>
      <c r="I3635">
        <v>211.51249999999999</v>
      </c>
      <c r="J3635">
        <v>-417.76949999999999</v>
      </c>
      <c r="K3635">
        <v>1.1090180000000001</v>
      </c>
      <c r="L3635">
        <v>212.827</v>
      </c>
      <c r="M3635">
        <v>0.99981799999999998</v>
      </c>
      <c r="N3635">
        <v>-7.5148509999999899E-3</v>
      </c>
      <c r="O3635">
        <v>-1.753735E-2</v>
      </c>
      <c r="P3635">
        <v>0.96953849999999997</v>
      </c>
      <c r="Q3635">
        <v>0.23794870000000001</v>
      </c>
      <c r="R3635">
        <v>5.8101519999999997E-2</v>
      </c>
      <c r="S3635">
        <v>3.1319270000000001</v>
      </c>
      <c r="T3635">
        <v>-0.1203661</v>
      </c>
      <c r="U3635">
        <v>-0.14338679999999901</v>
      </c>
      <c r="V3635">
        <v>-7.4790019999999999E-2</v>
      </c>
      <c r="W3635">
        <v>0.24531259999999999</v>
      </c>
      <c r="X3635">
        <v>0.96655480000000005</v>
      </c>
      <c r="Y3635">
        <v>2.819139E-2</v>
      </c>
      <c r="Z3635">
        <v>-1.0567499999999999E-4</v>
      </c>
      <c r="AA3635">
        <v>0.99960260000000001</v>
      </c>
      <c r="AB3635">
        <v>36</v>
      </c>
      <c r="AC3635">
        <v>28.496199999999899</v>
      </c>
      <c r="AD3635">
        <v>-1.109014466296</v>
      </c>
      <c r="AE3635">
        <v>-1.3145</v>
      </c>
      <c r="AF3635">
        <v>0.81330667558559799</v>
      </c>
      <c r="AG3635">
        <v>-1.109014466296</v>
      </c>
      <c r="AH3635">
        <v>28.4718386515068</v>
      </c>
      <c r="AI3635">
        <v>92.229707530460502</v>
      </c>
      <c r="AJ3635">
        <v>88.3637736867271</v>
      </c>
      <c r="AK3635">
        <v>28.505034240155599</v>
      </c>
      <c r="AL3635">
        <v>75.799691838387702</v>
      </c>
      <c r="AM3635">
        <v>94.424612922318403</v>
      </c>
      <c r="AN3635">
        <v>1.0000000001067</v>
      </c>
    </row>
    <row r="3636" spans="1:40" x14ac:dyDescent="0.25">
      <c r="A3636" t="str">
        <f>"20190304164923683"</f>
        <v>20190304164923683</v>
      </c>
      <c r="B3636" t="str">
        <f>"1551689363679418"</f>
        <v>1551689363679418</v>
      </c>
      <c r="C3636" t="s">
        <v>40</v>
      </c>
      <c r="D3636">
        <v>3.9904839999999999</v>
      </c>
      <c r="E3636">
        <v>0.55063229999999996</v>
      </c>
      <c r="F3636" t="s">
        <v>46</v>
      </c>
      <c r="G3636">
        <v>-388.33699999999999</v>
      </c>
      <c r="H3636" s="1">
        <v>3.0376080000000002E-6</v>
      </c>
      <c r="I3636">
        <v>211.4622</v>
      </c>
      <c r="J3636">
        <v>-417.36689999999999</v>
      </c>
      <c r="K3636">
        <v>1.1090150000000001</v>
      </c>
      <c r="L3636">
        <v>212.81950000000001</v>
      </c>
      <c r="M3636">
        <v>0.99980800000000003</v>
      </c>
      <c r="N3636">
        <v>-7.5288589999999997E-3</v>
      </c>
      <c r="O3636">
        <v>-1.809769E-2</v>
      </c>
      <c r="P3636">
        <v>0.9694372</v>
      </c>
      <c r="Q3636">
        <v>0.23833180000000001</v>
      </c>
      <c r="R3636">
        <v>5.8222290000000003E-2</v>
      </c>
      <c r="S3636">
        <v>3.1319270000000001</v>
      </c>
      <c r="T3636">
        <v>-0.1180109</v>
      </c>
      <c r="U3636">
        <v>-0.14523320000000001</v>
      </c>
      <c r="V3636">
        <v>-7.5451409999999997E-2</v>
      </c>
      <c r="W3636">
        <v>0.2457087</v>
      </c>
      <c r="X3636">
        <v>0.96640280000000001</v>
      </c>
      <c r="Y3636">
        <v>2.8219899999999999E-2</v>
      </c>
      <c r="Z3636" s="1">
        <v>-9.2475759999999997E-5</v>
      </c>
      <c r="AA3636">
        <v>0.99960170000000004</v>
      </c>
      <c r="AB3636">
        <v>37</v>
      </c>
      <c r="AC3636">
        <v>29.029900000000001</v>
      </c>
      <c r="AD3636">
        <v>-1.1090119623919901</v>
      </c>
      <c r="AE3636">
        <v>-1.3573</v>
      </c>
      <c r="AF3636">
        <v>0.83047935924523797</v>
      </c>
      <c r="AG3636">
        <v>-1.1090119623919901</v>
      </c>
      <c r="AH3636">
        <v>29.007468158685299</v>
      </c>
      <c r="AI3636">
        <v>92.188566917143007</v>
      </c>
      <c r="AJ3636">
        <v>88.360078596251697</v>
      </c>
      <c r="AK3636">
        <v>29.040537399917401</v>
      </c>
      <c r="AL3636">
        <v>75.7762808272185</v>
      </c>
      <c r="AM3636">
        <v>94.464282847530299</v>
      </c>
      <c r="AN3636">
        <v>1.0000000261872499</v>
      </c>
    </row>
    <row r="3637" spans="1:40" x14ac:dyDescent="0.25">
      <c r="A3637" t="str">
        <f>"20190304164923703"</f>
        <v>20190304164923703</v>
      </c>
      <c r="B3637" t="str">
        <f>"1551689363699914"</f>
        <v>1551689363699914</v>
      </c>
      <c r="C3637" t="s">
        <v>40</v>
      </c>
      <c r="D3637">
        <v>3.968216</v>
      </c>
      <c r="E3637">
        <v>0.55053439999999998</v>
      </c>
      <c r="F3637" t="s">
        <v>46</v>
      </c>
      <c r="G3637">
        <v>-387.85989999999998</v>
      </c>
      <c r="H3637" s="1">
        <v>2.7842579999999999E-6</v>
      </c>
      <c r="I3637">
        <v>211.4503</v>
      </c>
      <c r="J3637">
        <v>-417.02249999999998</v>
      </c>
      <c r="K3637">
        <v>1.1090150000000001</v>
      </c>
      <c r="L3637">
        <v>212.81280000000001</v>
      </c>
      <c r="M3637">
        <v>0.9997994</v>
      </c>
      <c r="N3637">
        <v>-7.5409240000000001E-3</v>
      </c>
      <c r="O3637">
        <v>-1.856942E-2</v>
      </c>
      <c r="P3637">
        <v>0.96939229999999998</v>
      </c>
      <c r="Q3637">
        <v>0.23829600000000001</v>
      </c>
      <c r="R3637">
        <v>5.9110889999999999E-2</v>
      </c>
      <c r="S3637">
        <v>3.132263</v>
      </c>
      <c r="T3637">
        <v>-0.11772539999999999</v>
      </c>
      <c r="U3637">
        <v>-0.14534</v>
      </c>
      <c r="V3637">
        <v>-7.6797399999999905E-2</v>
      </c>
      <c r="W3637">
        <v>0.24568570000000001</v>
      </c>
      <c r="X3637">
        <v>0.96630260000000001</v>
      </c>
      <c r="Y3637">
        <v>2.7777949999999999E-2</v>
      </c>
      <c r="Z3637" s="1">
        <v>-6.9125E-5</v>
      </c>
      <c r="AA3637">
        <v>0.99961409999999995</v>
      </c>
      <c r="AB3637">
        <v>37</v>
      </c>
      <c r="AC3637">
        <v>29.162600000000001</v>
      </c>
      <c r="AD3637">
        <v>-1.1090122157419999</v>
      </c>
      <c r="AE3637">
        <v>-1.36250000000001</v>
      </c>
      <c r="AF3637">
        <v>0.81953462604083904</v>
      </c>
      <c r="AG3637">
        <v>-1.1090122157419999</v>
      </c>
      <c r="AH3637">
        <v>29.140821984772298</v>
      </c>
      <c r="AI3637">
        <v>92.178593059864298</v>
      </c>
      <c r="AJ3637">
        <v>88.389081072258804</v>
      </c>
      <c r="AK3637">
        <v>29.173430566975401</v>
      </c>
      <c r="AL3637">
        <v>75.777640057366398</v>
      </c>
      <c r="AM3637">
        <v>94.544060532324195</v>
      </c>
      <c r="AN3637">
        <v>1.000000009299</v>
      </c>
    </row>
    <row r="3638" spans="1:40" x14ac:dyDescent="0.25">
      <c r="A3638" t="str">
        <f>"20190304164923725"</f>
        <v>20190304164923725</v>
      </c>
      <c r="B3638" t="str">
        <f>"1551689363719434"</f>
        <v>1551689363719434</v>
      </c>
      <c r="C3638" t="s">
        <v>40</v>
      </c>
      <c r="D3638">
        <v>3.9506549999999998</v>
      </c>
      <c r="E3638">
        <v>0.5504578</v>
      </c>
      <c r="F3638" t="s">
        <v>46</v>
      </c>
      <c r="G3638">
        <v>-387.76929999999999</v>
      </c>
      <c r="H3638" s="1">
        <v>2.7344450000000002E-6</v>
      </c>
      <c r="I3638">
        <v>211.48740000000001</v>
      </c>
      <c r="J3638">
        <v>-416.67520000000002</v>
      </c>
      <c r="K3638">
        <v>1.1090230000000001</v>
      </c>
      <c r="L3638">
        <v>212.80600000000001</v>
      </c>
      <c r="M3638">
        <v>0.99979050000000003</v>
      </c>
      <c r="N3638">
        <v>-7.5531510000000001E-3</v>
      </c>
      <c r="O3638">
        <v>-1.9031090000000001E-2</v>
      </c>
      <c r="P3638">
        <v>0.96955829999999998</v>
      </c>
      <c r="Q3638">
        <v>0.23710129999999999</v>
      </c>
      <c r="R3638">
        <v>6.115483E-2</v>
      </c>
      <c r="S3638">
        <v>3.132568</v>
      </c>
      <c r="T3638">
        <v>-0.11875860000000001</v>
      </c>
      <c r="U3638">
        <v>-0.14193729999999999</v>
      </c>
      <c r="V3638">
        <v>-7.9296809999999995E-2</v>
      </c>
      <c r="W3638">
        <v>0.2445049</v>
      </c>
      <c r="X3638">
        <v>0.96640020000000004</v>
      </c>
      <c r="Y3638">
        <v>2.622961E-2</v>
      </c>
      <c r="Z3638" s="1">
        <v>-1.8820370000000002E-5</v>
      </c>
      <c r="AA3638">
        <v>0.99965599999999999</v>
      </c>
      <c r="AB3638">
        <v>37</v>
      </c>
      <c r="AC3638">
        <v>28.905899999999999</v>
      </c>
      <c r="AD3638">
        <v>-1.1090202655550001</v>
      </c>
      <c r="AE3638">
        <v>-1.31859999999997</v>
      </c>
      <c r="AF3638">
        <v>0.76710794367459201</v>
      </c>
      <c r="AG3638">
        <v>-1.1090202655550001</v>
      </c>
      <c r="AH3638">
        <v>28.883331936068998</v>
      </c>
      <c r="AI3638">
        <v>92.198105678062902</v>
      </c>
      <c r="AJ3638">
        <v>88.478647896746693</v>
      </c>
      <c r="AK3638">
        <v>28.914792827821</v>
      </c>
      <c r="AL3638">
        <v>75.847423077635796</v>
      </c>
      <c r="AM3638">
        <v>94.690827833511804</v>
      </c>
      <c r="AN3638">
        <v>0.99999998838011295</v>
      </c>
    </row>
    <row r="3639" spans="1:40" x14ac:dyDescent="0.25">
      <c r="A3639" t="str">
        <f>"20190304164923747"</f>
        <v>20190304164923747</v>
      </c>
      <c r="B3639" t="str">
        <f>"1551689363739930"</f>
        <v>1551689363739930</v>
      </c>
      <c r="C3639" t="s">
        <v>40</v>
      </c>
      <c r="D3639">
        <v>3.935324</v>
      </c>
      <c r="E3639">
        <v>0.55036419999999997</v>
      </c>
      <c r="F3639" t="s">
        <v>46</v>
      </c>
      <c r="G3639">
        <v>-388.52269999999999</v>
      </c>
      <c r="H3639" s="1">
        <v>3.1308709999999998E-6</v>
      </c>
      <c r="I3639">
        <v>211.5899</v>
      </c>
      <c r="J3639">
        <v>-416.29149999999998</v>
      </c>
      <c r="K3639">
        <v>1.109035</v>
      </c>
      <c r="L3639">
        <v>212.79830000000001</v>
      </c>
      <c r="M3639">
        <v>0.99978089999999997</v>
      </c>
      <c r="N3639">
        <v>-7.5666789999999998E-3</v>
      </c>
      <c r="O3639">
        <v>-1.951462E-2</v>
      </c>
      <c r="P3639">
        <v>0.96939299999999995</v>
      </c>
      <c r="Q3639">
        <v>0.23719309999999999</v>
      </c>
      <c r="R3639">
        <v>6.3377210000000003E-2</v>
      </c>
      <c r="S3639">
        <v>3.1329039999999999</v>
      </c>
      <c r="T3639">
        <v>-0.12341539999999999</v>
      </c>
      <c r="U3639">
        <v>-0.13533020000000001</v>
      </c>
      <c r="V3639">
        <v>-8.1992369999999995E-2</v>
      </c>
      <c r="W3639">
        <v>0.24460850000000001</v>
      </c>
      <c r="X3639">
        <v>0.96614900000000004</v>
      </c>
      <c r="Y3639">
        <v>2.3638989999999999E-2</v>
      </c>
      <c r="Z3639" s="1">
        <v>6.5670990000000001E-5</v>
      </c>
      <c r="AA3639">
        <v>0.99972059999999996</v>
      </c>
      <c r="AB3639">
        <v>37</v>
      </c>
      <c r="AC3639">
        <v>27.768799999999999</v>
      </c>
      <c r="AD3639">
        <v>-1.109031869129</v>
      </c>
      <c r="AE3639">
        <v>-1.2084000000000099</v>
      </c>
      <c r="AF3639">
        <v>0.66519774170397195</v>
      </c>
      <c r="AG3639">
        <v>-1.109031869129</v>
      </c>
      <c r="AH3639">
        <v>27.742926206851401</v>
      </c>
      <c r="AI3639">
        <v>92.288540189083193</v>
      </c>
      <c r="AJ3639">
        <v>88.626470705686302</v>
      </c>
      <c r="AK3639">
        <v>27.773051583164499</v>
      </c>
      <c r="AL3639">
        <v>75.841301207174595</v>
      </c>
      <c r="AM3639">
        <v>94.850791340817807</v>
      </c>
      <c r="AN3639">
        <v>0.99999997860573298</v>
      </c>
    </row>
    <row r="3640" spans="1:40" x14ac:dyDescent="0.25">
      <c r="A3640" t="str">
        <f>"20190304164923771"</f>
        <v>20190304164923771</v>
      </c>
      <c r="B3640" t="str">
        <f>"1551689363759450"</f>
        <v>1551689363759450</v>
      </c>
      <c r="C3640" t="s">
        <v>40</v>
      </c>
      <c r="D3640">
        <v>3.922418</v>
      </c>
      <c r="E3640">
        <v>0.55029980000000001</v>
      </c>
      <c r="F3640" t="s">
        <v>46</v>
      </c>
      <c r="G3640">
        <v>-388.15300000000002</v>
      </c>
      <c r="H3640" s="1">
        <v>2.9314899999999999E-6</v>
      </c>
      <c r="I3640">
        <v>211.65049999999999</v>
      </c>
      <c r="J3640">
        <v>-415.91390000000001</v>
      </c>
      <c r="K3640">
        <v>1.1090580000000001</v>
      </c>
      <c r="L3640">
        <v>212.79050000000001</v>
      </c>
      <c r="M3640">
        <v>0.9997722</v>
      </c>
      <c r="N3640">
        <v>-7.580018E-3</v>
      </c>
      <c r="O3640">
        <v>-1.9952379999999999E-2</v>
      </c>
      <c r="P3640">
        <v>0.96916530000000001</v>
      </c>
      <c r="Q3640">
        <v>0.2374057</v>
      </c>
      <c r="R3640">
        <v>6.6010289999999999E-2</v>
      </c>
      <c r="S3640">
        <v>3.1333009999999999</v>
      </c>
      <c r="T3640">
        <v>-0.1234939</v>
      </c>
      <c r="U3640">
        <v>-0.12780759999999999</v>
      </c>
      <c r="V3640">
        <v>-8.5058949999999994E-2</v>
      </c>
      <c r="W3640">
        <v>0.24482999999999999</v>
      </c>
      <c r="X3640">
        <v>0.96582780000000001</v>
      </c>
      <c r="Y3640">
        <v>2.0802560000000001E-2</v>
      </c>
      <c r="Z3640">
        <v>1.459531E-4</v>
      </c>
      <c r="AA3640">
        <v>0.99978359999999999</v>
      </c>
      <c r="AB3640">
        <v>37</v>
      </c>
      <c r="AC3640">
        <v>27.7608999999999</v>
      </c>
      <c r="AD3640">
        <v>-1.10905506851</v>
      </c>
      <c r="AE3640">
        <v>-1.1400000000000099</v>
      </c>
      <c r="AF3640">
        <v>0.58492912267031105</v>
      </c>
      <c r="AG3640">
        <v>-1.10905506851</v>
      </c>
      <c r="AH3640">
        <v>27.7339302552117</v>
      </c>
      <c r="AI3640">
        <v>92.289478238703296</v>
      </c>
      <c r="AJ3640">
        <v>88.791768716506994</v>
      </c>
      <c r="AK3640">
        <v>27.762259141224199</v>
      </c>
      <c r="AL3640">
        <v>75.828213190539898</v>
      </c>
      <c r="AM3640">
        <v>95.0329648863637</v>
      </c>
      <c r="AN3640">
        <v>1.00000004656397</v>
      </c>
    </row>
    <row r="3641" spans="1:40" x14ac:dyDescent="0.25">
      <c r="A3641" t="str">
        <f>"20190304164923791"</f>
        <v>20190304164923791</v>
      </c>
      <c r="B3641" t="str">
        <f>"1551689363779946"</f>
        <v>1551689363779946</v>
      </c>
      <c r="C3641" t="s">
        <v>40</v>
      </c>
      <c r="D3641">
        <v>3.9681760000000001</v>
      </c>
      <c r="E3641">
        <v>0.55031640000000004</v>
      </c>
      <c r="F3641" t="s">
        <v>46</v>
      </c>
      <c r="G3641">
        <v>-387.7022</v>
      </c>
      <c r="H3641" s="1">
        <v>2.6886559999999998E-6</v>
      </c>
      <c r="I3641">
        <v>211.71770000000001</v>
      </c>
      <c r="J3641">
        <v>-415.57</v>
      </c>
      <c r="K3641">
        <v>1.109081</v>
      </c>
      <c r="L3641">
        <v>212.7834</v>
      </c>
      <c r="M3641">
        <v>0.99976520000000002</v>
      </c>
      <c r="N3641">
        <v>-7.5922119999999897E-3</v>
      </c>
      <c r="O3641">
        <v>-2.0304470000000002E-2</v>
      </c>
      <c r="P3641">
        <v>0.96876790000000002</v>
      </c>
      <c r="Q3641">
        <v>0.23837240000000001</v>
      </c>
      <c r="R3641">
        <v>6.8322510000000003E-2</v>
      </c>
      <c r="S3641">
        <v>3.1337280000000001</v>
      </c>
      <c r="T3641">
        <v>-0.123193</v>
      </c>
      <c r="U3641">
        <v>-0.1191711</v>
      </c>
      <c r="V3641">
        <v>-8.7721820000000006E-2</v>
      </c>
      <c r="W3641">
        <v>0.24580070000000001</v>
      </c>
      <c r="X3641">
        <v>0.9653429</v>
      </c>
      <c r="Y3641">
        <v>1.7696770000000001E-2</v>
      </c>
      <c r="Z3641">
        <v>2.2859449999999999E-4</v>
      </c>
      <c r="AA3641">
        <v>0.99984340000000005</v>
      </c>
      <c r="AB3641">
        <v>37</v>
      </c>
      <c r="AC3641">
        <v>27.8677999999999</v>
      </c>
      <c r="AD3641">
        <v>-1.1090783113439999</v>
      </c>
      <c r="AE3641">
        <v>-1.0656999999999901</v>
      </c>
      <c r="AF3641">
        <v>0.49883423834685597</v>
      </c>
      <c r="AG3641">
        <v>-1.1090783113439999</v>
      </c>
      <c r="AH3641">
        <v>27.839663651838102</v>
      </c>
      <c r="AI3641">
        <v>92.280980825286406</v>
      </c>
      <c r="AJ3641">
        <v>88.973477598611694</v>
      </c>
      <c r="AK3641">
        <v>27.8662118441943</v>
      </c>
      <c r="AL3641">
        <v>75.7708425825559</v>
      </c>
      <c r="AM3641">
        <v>95.192272896229696</v>
      </c>
      <c r="AN3641">
        <v>1.0000000082025</v>
      </c>
    </row>
    <row r="3642" spans="1:40" x14ac:dyDescent="0.25">
      <c r="A3642" t="str">
        <f>"20190304164923815"</f>
        <v>20190304164923815</v>
      </c>
      <c r="B3642" t="str">
        <f>"1551689363809227"</f>
        <v>1551689363809227</v>
      </c>
      <c r="C3642" t="s">
        <v>40</v>
      </c>
      <c r="D3642">
        <v>3.9487999999999999</v>
      </c>
      <c r="E3642">
        <v>0.55032959999999997</v>
      </c>
      <c r="F3642" t="s">
        <v>46</v>
      </c>
      <c r="G3642">
        <v>-386.81049999999999</v>
      </c>
      <c r="H3642" s="1">
        <v>2.2129399999999999E-6</v>
      </c>
      <c r="I3642">
        <v>211.74440000000001</v>
      </c>
      <c r="J3642">
        <v>-415.19639999999998</v>
      </c>
      <c r="K3642">
        <v>1.109132</v>
      </c>
      <c r="L3642">
        <v>212.77549999999999</v>
      </c>
      <c r="M3642">
        <v>0.99975840000000005</v>
      </c>
      <c r="N3642">
        <v>-7.6054869999999898E-3</v>
      </c>
      <c r="O3642">
        <v>-2.0623389999999998E-2</v>
      </c>
      <c r="P3642">
        <v>0.96847169999999905</v>
      </c>
      <c r="Q3642">
        <v>0.23913789999999999</v>
      </c>
      <c r="R3642">
        <v>6.9824250000000004E-2</v>
      </c>
      <c r="S3642">
        <v>3.13443</v>
      </c>
      <c r="T3642">
        <v>-0.12087580000000001</v>
      </c>
      <c r="U3642">
        <v>-0.1132355</v>
      </c>
      <c r="V3642">
        <v>-8.955225E-2</v>
      </c>
      <c r="W3642">
        <v>0.24656839999999999</v>
      </c>
      <c r="X3642">
        <v>0.96497900000000003</v>
      </c>
      <c r="Y3642">
        <v>1.548067E-2</v>
      </c>
      <c r="Z3642">
        <v>2.8066480000000002E-4</v>
      </c>
      <c r="AA3642">
        <v>0.99988010000000005</v>
      </c>
      <c r="AB3642">
        <v>37</v>
      </c>
      <c r="AC3642">
        <v>28.3858999999999</v>
      </c>
      <c r="AD3642">
        <v>-1.1091297870600001</v>
      </c>
      <c r="AE3642">
        <v>-1.0310999999999799</v>
      </c>
      <c r="AF3642">
        <v>0.44477212988986098</v>
      </c>
      <c r="AG3642">
        <v>-1.1091297870600001</v>
      </c>
      <c r="AH3642">
        <v>28.357890287039101</v>
      </c>
      <c r="AI3642">
        <v>92.239527613076902</v>
      </c>
      <c r="AJ3642">
        <v>89.101432570499398</v>
      </c>
      <c r="AK3642">
        <v>28.383057140903901</v>
      </c>
      <c r="AL3642">
        <v>75.725460124442705</v>
      </c>
      <c r="AM3642">
        <v>95.301992972898702</v>
      </c>
      <c r="AN3642">
        <v>1.0000000258998101</v>
      </c>
    </row>
    <row r="3643" spans="1:40" x14ac:dyDescent="0.25">
      <c r="A3643" t="str">
        <f>"20190304164923838"</f>
        <v>20190304164923838</v>
      </c>
      <c r="B3643" t="str">
        <f>"1551689363829723"</f>
        <v>1551689363829723</v>
      </c>
      <c r="C3643" t="s">
        <v>40</v>
      </c>
      <c r="D3643">
        <v>3.9545140000000001</v>
      </c>
      <c r="E3643">
        <v>0.55029680000000003</v>
      </c>
      <c r="F3643" t="s">
        <v>46</v>
      </c>
      <c r="G3643">
        <v>-385.94569999999999</v>
      </c>
      <c r="H3643" s="1">
        <v>1.752255E-6</v>
      </c>
      <c r="I3643">
        <v>211.75630000000001</v>
      </c>
      <c r="J3643">
        <v>-414.80020000000002</v>
      </c>
      <c r="K3643">
        <v>1.1091959999999901</v>
      </c>
      <c r="L3643">
        <v>212.7671</v>
      </c>
      <c r="M3643">
        <v>0.99975320000000001</v>
      </c>
      <c r="N3643">
        <v>-7.6196739999999999E-3</v>
      </c>
      <c r="O3643">
        <v>-2.0868000000000001E-2</v>
      </c>
      <c r="P3643">
        <v>0.96823049999999999</v>
      </c>
      <c r="Q3643">
        <v>0.2396953</v>
      </c>
      <c r="R3643">
        <v>7.1245829999999996E-2</v>
      </c>
      <c r="S3643">
        <v>3.1348569999999998</v>
      </c>
      <c r="T3643">
        <v>-0.118868</v>
      </c>
      <c r="U3643">
        <v>-0.10923769999999999</v>
      </c>
      <c r="V3643">
        <v>-9.1243130000000006E-2</v>
      </c>
      <c r="W3643">
        <v>0.24712429999999999</v>
      </c>
      <c r="X3643">
        <v>0.96467829999999999</v>
      </c>
      <c r="Y3643">
        <v>1.3958999999999999E-2</v>
      </c>
      <c r="Z3643">
        <v>3.1400260000000001E-4</v>
      </c>
      <c r="AA3643">
        <v>0.99990250000000003</v>
      </c>
      <c r="AB3643">
        <v>37</v>
      </c>
      <c r="AC3643">
        <v>28.854500000000002</v>
      </c>
      <c r="AD3643">
        <v>-1.1091942477450001</v>
      </c>
      <c r="AE3643">
        <v>-1.0107999999999799</v>
      </c>
      <c r="AF3643">
        <v>0.40782477992775301</v>
      </c>
      <c r="AG3643">
        <v>-1.1091942477450001</v>
      </c>
      <c r="AH3643">
        <v>28.826764973096299</v>
      </c>
      <c r="AI3643">
        <v>92.203315677472204</v>
      </c>
      <c r="AJ3643">
        <v>89.189465764329199</v>
      </c>
      <c r="AK3643">
        <v>28.850979389692998</v>
      </c>
      <c r="AL3643">
        <v>75.692591556756199</v>
      </c>
      <c r="AM3643">
        <v>95.4031895806759</v>
      </c>
      <c r="AN3643">
        <v>0.99999997545678798</v>
      </c>
    </row>
    <row r="3644" spans="1:40" x14ac:dyDescent="0.25">
      <c r="A3644" t="str">
        <f>"20190304164923859"</f>
        <v>20190304164923859</v>
      </c>
      <c r="B3644" t="str">
        <f>"1551689363849246"</f>
        <v>1551689363849246</v>
      </c>
      <c r="C3644" t="s">
        <v>40</v>
      </c>
      <c r="D3644">
        <v>3.9391829999999999</v>
      </c>
      <c r="E3644">
        <v>0.54220040000000003</v>
      </c>
      <c r="F3644" t="s">
        <v>46</v>
      </c>
      <c r="G3644">
        <v>-385.3381</v>
      </c>
      <c r="H3644" s="1">
        <v>1.427688E-6</v>
      </c>
      <c r="I3644">
        <v>211.78380000000001</v>
      </c>
      <c r="J3644">
        <v>-414.44499999999999</v>
      </c>
      <c r="K3644">
        <v>1.109259</v>
      </c>
      <c r="L3644">
        <v>212.75960000000001</v>
      </c>
      <c r="M3644">
        <v>0.99975009999999997</v>
      </c>
      <c r="N3644">
        <v>-7.6326780000000004E-3</v>
      </c>
      <c r="O3644">
        <v>-2.101741E-2</v>
      </c>
      <c r="P3644">
        <v>0.96815709999999999</v>
      </c>
      <c r="Q3644">
        <v>0.23973179999999999</v>
      </c>
      <c r="R3644">
        <v>7.2118070000000006E-2</v>
      </c>
      <c r="S3644">
        <v>3.135345</v>
      </c>
      <c r="T3644">
        <v>-0.1180398</v>
      </c>
      <c r="U3644">
        <v>-0.1046448</v>
      </c>
      <c r="V3644">
        <v>-9.2293749999999994E-2</v>
      </c>
      <c r="W3644">
        <v>0.24715989999999999</v>
      </c>
      <c r="X3644">
        <v>0.96456929999999996</v>
      </c>
      <c r="Y3644">
        <v>1.2342509999999999E-2</v>
      </c>
      <c r="Z3644">
        <v>3.5097189999999998E-4</v>
      </c>
      <c r="AA3644">
        <v>0.99992380000000003</v>
      </c>
      <c r="AB3644">
        <v>37</v>
      </c>
      <c r="AC3644">
        <v>29.1069</v>
      </c>
      <c r="AD3644">
        <v>-1.109257572312</v>
      </c>
      <c r="AE3644">
        <v>-0.97579999999999201</v>
      </c>
      <c r="AF3644">
        <v>0.36328801736469901</v>
      </c>
      <c r="AG3644">
        <v>-1.109257572312</v>
      </c>
      <c r="AH3644">
        <v>29.078794251944199</v>
      </c>
      <c r="AI3644">
        <v>92.184410517910393</v>
      </c>
      <c r="AJ3644">
        <v>89.284227979668202</v>
      </c>
      <c r="AK3644">
        <v>29.1022113539881</v>
      </c>
      <c r="AL3644">
        <v>75.690487521488095</v>
      </c>
      <c r="AM3644">
        <v>95.465643954214798</v>
      </c>
      <c r="AN3644">
        <v>1.00000004347978</v>
      </c>
    </row>
    <row r="3645" spans="1:40" x14ac:dyDescent="0.25">
      <c r="A3645" t="str">
        <f>"20190304164923882"</f>
        <v>20190304164923882</v>
      </c>
      <c r="B3645" t="str">
        <f>"1551689363869742"</f>
        <v>1551689363869742</v>
      </c>
      <c r="C3645" t="s">
        <v>40</v>
      </c>
      <c r="D3645">
        <v>3.9601839999999999</v>
      </c>
      <c r="E3645">
        <v>0.54141159999999999</v>
      </c>
      <c r="F3645" t="s">
        <v>46</v>
      </c>
      <c r="G3645">
        <v>-391.67399999999998</v>
      </c>
      <c r="H3645" s="1">
        <v>-6.4595739999999999E-7</v>
      </c>
      <c r="I3645">
        <v>212.51390000000001</v>
      </c>
      <c r="J3645">
        <v>-414.05739999999997</v>
      </c>
      <c r="K3645">
        <v>1.1093189999999999</v>
      </c>
      <c r="L3645">
        <v>212.75139999999999</v>
      </c>
      <c r="M3645">
        <v>0.99974779999999996</v>
      </c>
      <c r="N3645">
        <v>-7.6467369999999998E-3</v>
      </c>
      <c r="O3645">
        <v>-2.1115350000000001E-2</v>
      </c>
      <c r="P3645">
        <v>0.96811130000000001</v>
      </c>
      <c r="Q3645">
        <v>0.2397406</v>
      </c>
      <c r="R3645">
        <v>7.2698699999999894E-2</v>
      </c>
      <c r="S3645">
        <v>3.1390690000000001</v>
      </c>
      <c r="T3645">
        <v>-0.15291550000000001</v>
      </c>
      <c r="U3645">
        <v>-3.3874509999999997E-2</v>
      </c>
      <c r="V3645">
        <v>-9.3003649999999993E-2</v>
      </c>
      <c r="W3645">
        <v>0.2471691</v>
      </c>
      <c r="X3645">
        <v>0.96449870000000004</v>
      </c>
      <c r="Y3645">
        <v>-1.0294589999999999E-2</v>
      </c>
      <c r="Z3645">
        <v>1.156462E-3</v>
      </c>
      <c r="AA3645">
        <v>0.99994640000000001</v>
      </c>
      <c r="AB3645">
        <v>37</v>
      </c>
      <c r="AC3645">
        <v>22.383399999999899</v>
      </c>
      <c r="AD3645">
        <v>-1.1093196459574</v>
      </c>
      <c r="AE3645">
        <v>-0.237499999999982</v>
      </c>
      <c r="AF3645">
        <v>-0.234623884762965</v>
      </c>
      <c r="AG3645">
        <v>-1.1093196459574</v>
      </c>
      <c r="AH3645">
        <v>22.3285872895068</v>
      </c>
      <c r="AI3645">
        <v>92.844049948198801</v>
      </c>
      <c r="AJ3645">
        <v>90.602029293983605</v>
      </c>
      <c r="AK3645">
        <v>22.357357822187598</v>
      </c>
      <c r="AL3645">
        <v>75.689942778410696</v>
      </c>
      <c r="AM3645">
        <v>95.507827449931696</v>
      </c>
      <c r="AN3645">
        <v>0.99999999260491101</v>
      </c>
    </row>
    <row r="3646" spans="1:40" x14ac:dyDescent="0.25">
      <c r="A3646" t="str">
        <f>"20190304164923905"</f>
        <v>20190304164923905</v>
      </c>
      <c r="B3646" t="str">
        <f>"1551689363899994"</f>
        <v>1551689363899994</v>
      </c>
      <c r="C3646" t="s">
        <v>40</v>
      </c>
      <c r="D3646">
        <v>4.0067849999999998</v>
      </c>
      <c r="E3646">
        <v>0.54127159999999996</v>
      </c>
      <c r="F3646" t="s">
        <v>46</v>
      </c>
      <c r="G3646">
        <v>-390.8467</v>
      </c>
      <c r="H3646" s="1">
        <v>-1.086234E-6</v>
      </c>
      <c r="I3646">
        <v>212.55330000000001</v>
      </c>
      <c r="J3646">
        <v>-413.68329999999997</v>
      </c>
      <c r="K3646">
        <v>1.1093679999999999</v>
      </c>
      <c r="L3646">
        <v>212.74350000000001</v>
      </c>
      <c r="M3646">
        <v>0.99974730000000001</v>
      </c>
      <c r="N3646">
        <v>-7.6602659999999998E-3</v>
      </c>
      <c r="O3646">
        <v>-2.1137130000000001E-2</v>
      </c>
      <c r="P3646">
        <v>0.9679799</v>
      </c>
      <c r="Q3646">
        <v>0.24022289999999999</v>
      </c>
      <c r="R3646">
        <v>7.2855790000000004E-2</v>
      </c>
      <c r="S3646">
        <v>3.1379090000000001</v>
      </c>
      <c r="T3646">
        <v>-0.1499711</v>
      </c>
      <c r="U3646">
        <v>-2.6779170000000001E-2</v>
      </c>
      <c r="V3646">
        <v>-9.3212589999999998E-2</v>
      </c>
      <c r="W3646">
        <v>0.2476505</v>
      </c>
      <c r="X3646">
        <v>0.96435510000000002</v>
      </c>
      <c r="Y3646">
        <v>-1.257146E-2</v>
      </c>
      <c r="Z3646">
        <v>1.196113E-3</v>
      </c>
      <c r="AA3646">
        <v>0.99992020000000004</v>
      </c>
      <c r="AB3646">
        <v>37</v>
      </c>
      <c r="AC3646">
        <v>22.836599999999901</v>
      </c>
      <c r="AD3646">
        <v>-1.109369086234</v>
      </c>
      <c r="AE3646">
        <v>-0.190200000000004</v>
      </c>
      <c r="AF3646">
        <v>-0.29186808758411398</v>
      </c>
      <c r="AG3646">
        <v>-1.109369086234</v>
      </c>
      <c r="AH3646">
        <v>22.7817596783668</v>
      </c>
      <c r="AI3646">
        <v>92.787615830241606</v>
      </c>
      <c r="AJ3646">
        <v>90.734003649928397</v>
      </c>
      <c r="AK3646">
        <v>22.810621666077001</v>
      </c>
      <c r="AL3646">
        <v>75.661476528194399</v>
      </c>
      <c r="AM3646">
        <v>95.520941784048304</v>
      </c>
      <c r="AN3646">
        <v>1.0000000579903801</v>
      </c>
    </row>
    <row r="3647" spans="1:40" x14ac:dyDescent="0.25">
      <c r="A3647" t="str">
        <f>"20190304164923927"</f>
        <v>20190304164923927</v>
      </c>
      <c r="B3647" t="str">
        <f>"1551689363919515"</f>
        <v>1551689363919515</v>
      </c>
      <c r="C3647" t="s">
        <v>40</v>
      </c>
      <c r="D3647">
        <v>4.0122629999999999</v>
      </c>
      <c r="E3647">
        <v>0.54144409999999998</v>
      </c>
      <c r="F3647" t="s">
        <v>46</v>
      </c>
      <c r="G3647">
        <v>-390.7978</v>
      </c>
      <c r="H3647" s="1">
        <v>-1.112257E-6</v>
      </c>
      <c r="I3647">
        <v>212.56200000000001</v>
      </c>
      <c r="J3647">
        <v>-413.31099999999998</v>
      </c>
      <c r="K3647">
        <v>1.1094280000000001</v>
      </c>
      <c r="L3647">
        <v>212.73560000000001</v>
      </c>
      <c r="M3647">
        <v>0.99974850000000004</v>
      </c>
      <c r="N3647">
        <v>-7.6738819999999999E-3</v>
      </c>
      <c r="O3647">
        <v>-2.1071349999999999E-2</v>
      </c>
      <c r="P3647">
        <v>0.96797310000000003</v>
      </c>
      <c r="Q3647">
        <v>0.2403206</v>
      </c>
      <c r="R3647">
        <v>7.2624880000000003E-2</v>
      </c>
      <c r="S3647">
        <v>3.138916</v>
      </c>
      <c r="T3647">
        <v>-0.15215770000000001</v>
      </c>
      <c r="U3647">
        <v>-2.4887079999999999E-2</v>
      </c>
      <c r="V3647">
        <v>-9.2957300000000007E-2</v>
      </c>
      <c r="W3647">
        <v>0.24774660000000001</v>
      </c>
      <c r="X3647">
        <v>0.96435499999999996</v>
      </c>
      <c r="Y3647">
        <v>-1.31094E-2</v>
      </c>
      <c r="Z3647">
        <v>1.226981E-3</v>
      </c>
      <c r="AA3647">
        <v>0.9999133</v>
      </c>
      <c r="AB3647">
        <v>37</v>
      </c>
      <c r="AC3647">
        <v>22.513199999999902</v>
      </c>
      <c r="AD3647">
        <v>-1.1094291122569999</v>
      </c>
      <c r="AE3647">
        <v>-0.17359999999999301</v>
      </c>
      <c r="AF3647">
        <v>-0.30010729756166798</v>
      </c>
      <c r="AG3647">
        <v>-1.1094291122569999</v>
      </c>
      <c r="AH3647">
        <v>22.4573266080256</v>
      </c>
      <c r="AI3647">
        <v>92.827954997821706</v>
      </c>
      <c r="AJ3647">
        <v>90.765623548932695</v>
      </c>
      <c r="AK3647">
        <v>22.486716428253999</v>
      </c>
      <c r="AL3647">
        <v>75.655792474195593</v>
      </c>
      <c r="AM3647">
        <v>95.505914676901298</v>
      </c>
      <c r="AN3647">
        <v>1.00000000172992</v>
      </c>
    </row>
    <row r="3648" spans="1:40" x14ac:dyDescent="0.25">
      <c r="A3648" t="str">
        <f>"20190304164923949"</f>
        <v>20190304164923949</v>
      </c>
      <c r="B3648" t="str">
        <f>"1551689363940011"</f>
        <v>1551689363940011</v>
      </c>
      <c r="C3648" t="s">
        <v>40</v>
      </c>
      <c r="D3648">
        <v>4.0187980000000003</v>
      </c>
      <c r="E3648">
        <v>0.54154279999999999</v>
      </c>
      <c r="F3648" t="s">
        <v>46</v>
      </c>
      <c r="G3648">
        <v>-391.03919999999999</v>
      </c>
      <c r="H3648" s="1">
        <v>-9.8381000000000007E-7</v>
      </c>
      <c r="I3648">
        <v>212.54519999999999</v>
      </c>
      <c r="J3648">
        <v>-412.93329999999997</v>
      </c>
      <c r="K3648">
        <v>1.109504</v>
      </c>
      <c r="L3648">
        <v>212.7278</v>
      </c>
      <c r="M3648">
        <v>0.99975199999999997</v>
      </c>
      <c r="N3648">
        <v>-7.6878090000000003E-3</v>
      </c>
      <c r="O3648">
        <v>-2.090471E-2</v>
      </c>
      <c r="P3648">
        <v>0.96804380000000001</v>
      </c>
      <c r="Q3648">
        <v>0.24002219999999999</v>
      </c>
      <c r="R3648">
        <v>7.2666949999999994E-2</v>
      </c>
      <c r="S3648">
        <v>3.1401370000000002</v>
      </c>
      <c r="T3648">
        <v>-0.156419899999999</v>
      </c>
      <c r="U3648">
        <v>-2.6855469999999999E-2</v>
      </c>
      <c r="V3648">
        <v>-9.2887899999999995E-2</v>
      </c>
      <c r="W3648">
        <v>0.24744450000000001</v>
      </c>
      <c r="X3648">
        <v>0.9644393</v>
      </c>
      <c r="Y3648">
        <v>-1.2318259999999999E-2</v>
      </c>
      <c r="Z3648">
        <v>1.23394E-3</v>
      </c>
      <c r="AA3648">
        <v>0.99992329999999996</v>
      </c>
      <c r="AB3648">
        <v>37</v>
      </c>
      <c r="AC3648">
        <v>21.894099999999899</v>
      </c>
      <c r="AD3648">
        <v>-1.10950498381</v>
      </c>
      <c r="AE3648">
        <v>-0.18260000000000701</v>
      </c>
      <c r="AF3648">
        <v>-0.27443847935577997</v>
      </c>
      <c r="AG3648">
        <v>-1.10950498381</v>
      </c>
      <c r="AH3648">
        <v>21.8370577066935</v>
      </c>
      <c r="AI3648">
        <v>92.908373917525196</v>
      </c>
      <c r="AJ3648">
        <v>90.720030099722607</v>
      </c>
      <c r="AK3648">
        <v>21.866947822536002</v>
      </c>
      <c r="AL3648">
        <v>75.6736585427997</v>
      </c>
      <c r="AM3648">
        <v>95.501351351068095</v>
      </c>
      <c r="AN3648">
        <v>1.0000000529655699</v>
      </c>
    </row>
    <row r="3649" spans="1:40" x14ac:dyDescent="0.25">
      <c r="A3649" t="str">
        <f>"20190304164923971"</f>
        <v>20190304164923971</v>
      </c>
      <c r="B3649" t="str">
        <f>"1551689363959534"</f>
        <v>1551689363959534</v>
      </c>
      <c r="C3649" t="s">
        <v>40</v>
      </c>
      <c r="D3649">
        <v>4.0258919999999998</v>
      </c>
      <c r="E3649">
        <v>0.54145319999999997</v>
      </c>
      <c r="F3649" t="s">
        <v>46</v>
      </c>
      <c r="G3649">
        <v>-391.13690000000003</v>
      </c>
      <c r="H3649" s="1">
        <v>-9.3177709999999996E-7</v>
      </c>
      <c r="I3649">
        <v>212.53569999999999</v>
      </c>
      <c r="J3649">
        <v>-412.57650000000001</v>
      </c>
      <c r="K3649">
        <v>1.1095919999999999</v>
      </c>
      <c r="L3649">
        <v>212.72059999999999</v>
      </c>
      <c r="M3649">
        <v>0.99975729999999996</v>
      </c>
      <c r="N3649">
        <v>-7.7011839999999998E-3</v>
      </c>
      <c r="O3649">
        <v>-2.06486E-2</v>
      </c>
      <c r="P3649">
        <v>0.96802650000000001</v>
      </c>
      <c r="Q3649">
        <v>0.24011830000000001</v>
      </c>
      <c r="R3649">
        <v>7.2582229999999998E-2</v>
      </c>
      <c r="S3649">
        <v>3.1407470000000002</v>
      </c>
      <c r="T3649">
        <v>-0.15987379999999901</v>
      </c>
      <c r="U3649">
        <v>-2.767944E-2</v>
      </c>
      <c r="V3649">
        <v>-9.260844E-2</v>
      </c>
      <c r="W3649">
        <v>0.24753359999999999</v>
      </c>
      <c r="X3649">
        <v>0.9644433</v>
      </c>
      <c r="Y3649">
        <v>-1.180078E-2</v>
      </c>
      <c r="Z3649">
        <v>1.236979E-3</v>
      </c>
      <c r="AA3649">
        <v>0.99992959999999997</v>
      </c>
      <c r="AB3649">
        <v>38</v>
      </c>
      <c r="AC3649">
        <v>21.439599999999899</v>
      </c>
      <c r="AD3649">
        <v>-1.1095929317770901</v>
      </c>
      <c r="AE3649">
        <v>-0.18489999999999801</v>
      </c>
      <c r="AF3649">
        <v>-0.25716144400666202</v>
      </c>
      <c r="AG3649">
        <v>-1.1095929317770901</v>
      </c>
      <c r="AH3649">
        <v>21.381580124044302</v>
      </c>
      <c r="AI3649">
        <v>92.970474007500002</v>
      </c>
      <c r="AJ3649">
        <v>90.689076995793101</v>
      </c>
      <c r="AK3649">
        <v>21.411896158057999</v>
      </c>
      <c r="AL3649">
        <v>75.668389423476199</v>
      </c>
      <c r="AM3649">
        <v>95.484878610063603</v>
      </c>
      <c r="AN3649">
        <v>1.0000000426015401</v>
      </c>
    </row>
    <row r="3650" spans="1:40" x14ac:dyDescent="0.25">
      <c r="A3650" t="str">
        <f>"20190304164923991"</f>
        <v>20190304164923991</v>
      </c>
      <c r="B3650" t="str">
        <f>"1551689363980030"</f>
        <v>1551689363980030</v>
      </c>
      <c r="C3650" t="s">
        <v>40</v>
      </c>
      <c r="D3650">
        <v>4.079186</v>
      </c>
      <c r="E3650">
        <v>0.54164979999999996</v>
      </c>
      <c r="F3650" t="s">
        <v>46</v>
      </c>
      <c r="G3650">
        <v>-390.96629999999999</v>
      </c>
      <c r="H3650" s="1">
        <v>-1.0225899999999999E-6</v>
      </c>
      <c r="I3650">
        <v>212.53139999999999</v>
      </c>
      <c r="J3650">
        <v>-412.22129999999999</v>
      </c>
      <c r="K3650">
        <v>1.109683</v>
      </c>
      <c r="L3650">
        <v>212.71350000000001</v>
      </c>
      <c r="M3650">
        <v>0.99976430000000005</v>
      </c>
      <c r="N3650">
        <v>-7.7148340000000003E-3</v>
      </c>
      <c r="O3650">
        <v>-2.029541E-2</v>
      </c>
      <c r="P3650">
        <v>0.96793010000000002</v>
      </c>
      <c r="Q3650">
        <v>0.24026400000000001</v>
      </c>
      <c r="R3650">
        <v>7.3379399999999997E-2</v>
      </c>
      <c r="S3650">
        <v>3.1411739999999999</v>
      </c>
      <c r="T3650">
        <v>-0.16128580000000001</v>
      </c>
      <c r="U3650">
        <v>-2.7496340000000001E-2</v>
      </c>
      <c r="V3650">
        <v>-9.3120140000000004E-2</v>
      </c>
      <c r="W3650">
        <v>0.2476699</v>
      </c>
      <c r="X3650">
        <v>0.96435899999999997</v>
      </c>
      <c r="Y3650">
        <v>-1.1507119999999999E-2</v>
      </c>
      <c r="Z3650">
        <v>1.2244440000000001E-3</v>
      </c>
      <c r="AA3650">
        <v>0.99993310000000002</v>
      </c>
      <c r="AB3650">
        <v>38</v>
      </c>
      <c r="AC3650">
        <v>21.2549999999999</v>
      </c>
      <c r="AD3650">
        <v>-1.10968402259</v>
      </c>
      <c r="AE3650">
        <v>-0.182100000000019</v>
      </c>
      <c r="AF3650">
        <v>-0.24865157344986499</v>
      </c>
      <c r="AG3650">
        <v>-1.10968402259</v>
      </c>
      <c r="AH3650">
        <v>21.196546713414602</v>
      </c>
      <c r="AI3650">
        <v>92.996613520893206</v>
      </c>
      <c r="AJ3650">
        <v>90.672092132541096</v>
      </c>
      <c r="AK3650">
        <v>21.227030381307198</v>
      </c>
      <c r="AL3650">
        <v>75.6603285512724</v>
      </c>
      <c r="AM3650">
        <v>95.515477624392204</v>
      </c>
      <c r="AN3650">
        <v>1.0000000103603099</v>
      </c>
    </row>
    <row r="3651" spans="1:40" x14ac:dyDescent="0.25">
      <c r="A3651" t="str">
        <f>"20190304164924016"</f>
        <v>20190304164924016</v>
      </c>
      <c r="B3651" t="str">
        <f>"1551689364009307"</f>
        <v>1551689364009307</v>
      </c>
      <c r="C3651" t="s">
        <v>40</v>
      </c>
      <c r="D3651">
        <v>4.0808390000000001</v>
      </c>
      <c r="E3651">
        <v>0.54181550000000001</v>
      </c>
      <c r="F3651" t="s">
        <v>46</v>
      </c>
      <c r="G3651">
        <v>-390.99889999999999</v>
      </c>
      <c r="H3651" s="1">
        <v>-1.0052229999999999E-6</v>
      </c>
      <c r="I3651">
        <v>212.5275</v>
      </c>
      <c r="J3651">
        <v>-411.82470000000001</v>
      </c>
      <c r="K3651">
        <v>1.1097939999999999</v>
      </c>
      <c r="L3651">
        <v>212.70580000000001</v>
      </c>
      <c r="M3651">
        <v>0.9997743</v>
      </c>
      <c r="N3651">
        <v>-7.7300779999999996E-3</v>
      </c>
      <c r="O3651">
        <v>-1.9791570000000001E-2</v>
      </c>
      <c r="P3651">
        <v>0.96761980000000003</v>
      </c>
      <c r="Q3651">
        <v>0.24117559999999999</v>
      </c>
      <c r="R3651">
        <v>7.4474799999999994E-2</v>
      </c>
      <c r="S3651">
        <v>3.1422729999999999</v>
      </c>
      <c r="T3651">
        <v>-0.1643046</v>
      </c>
      <c r="U3651">
        <v>-2.7542110000000002E-2</v>
      </c>
      <c r="V3651">
        <v>-9.3789910000000004E-2</v>
      </c>
      <c r="W3651">
        <v>0.24856790000000001</v>
      </c>
      <c r="X3651">
        <v>0.964063</v>
      </c>
      <c r="Y3651">
        <v>-1.0991559999999999E-2</v>
      </c>
      <c r="Z3651">
        <v>1.210842E-3</v>
      </c>
      <c r="AA3651">
        <v>0.99993880000000002</v>
      </c>
      <c r="AB3651">
        <v>38</v>
      </c>
      <c r="AC3651">
        <v>20.825800000000001</v>
      </c>
      <c r="AD3651">
        <v>-1.1097950052229999</v>
      </c>
      <c r="AE3651">
        <v>-0.17830000000000701</v>
      </c>
      <c r="AF3651">
        <v>-0.23326014177406901</v>
      </c>
      <c r="AG3651">
        <v>-1.1097950052229999</v>
      </c>
      <c r="AH3651">
        <v>20.766282496335101</v>
      </c>
      <c r="AI3651">
        <v>93.0589075368934</v>
      </c>
      <c r="AJ3651">
        <v>90.643555706597397</v>
      </c>
      <c r="AK3651">
        <v>20.797224429354799</v>
      </c>
      <c r="AL3651">
        <v>75.6072160570411</v>
      </c>
      <c r="AM3651">
        <v>95.556595523914794</v>
      </c>
      <c r="AN3651">
        <v>1.0000000080486</v>
      </c>
    </row>
    <row r="3652" spans="1:40" x14ac:dyDescent="0.25">
      <c r="A3652" t="str">
        <f>"20190304164924038"</f>
        <v>20190304164924038</v>
      </c>
      <c r="B3652" t="str">
        <f>"1551689364029803"</f>
        <v>1551689364029803</v>
      </c>
      <c r="C3652" t="s">
        <v>40</v>
      </c>
      <c r="D3652">
        <v>4.1335850000000001</v>
      </c>
      <c r="E3652">
        <v>0.54198559999999996</v>
      </c>
      <c r="F3652" t="s">
        <v>46</v>
      </c>
      <c r="G3652">
        <v>-390.76310000000001</v>
      </c>
      <c r="H3652" s="1">
        <v>-1.130698E-6</v>
      </c>
      <c r="I3652">
        <v>212.53100000000001</v>
      </c>
      <c r="J3652">
        <v>-411.43819999999999</v>
      </c>
      <c r="K3652">
        <v>1.109901</v>
      </c>
      <c r="L3652">
        <v>212.6987</v>
      </c>
      <c r="M3652">
        <v>0.99978610000000001</v>
      </c>
      <c r="N3652">
        <v>-7.7449789999999999E-3</v>
      </c>
      <c r="O3652">
        <v>-1.9179330000000001E-2</v>
      </c>
      <c r="P3652">
        <v>0.96734489999999995</v>
      </c>
      <c r="Q3652">
        <v>0.24167910000000001</v>
      </c>
      <c r="R3652">
        <v>7.638992E-2</v>
      </c>
      <c r="S3652">
        <v>3.1436769999999998</v>
      </c>
      <c r="T3652">
        <v>-0.1656493</v>
      </c>
      <c r="U3652">
        <v>-2.6092529999999999E-2</v>
      </c>
      <c r="V3652">
        <v>-9.5171220000000001E-2</v>
      </c>
      <c r="W3652">
        <v>0.2490588</v>
      </c>
      <c r="X3652">
        <v>0.96380089999999996</v>
      </c>
      <c r="Y3652">
        <v>-1.084444E-2</v>
      </c>
      <c r="Z3652">
        <v>1.1889030000000001E-3</v>
      </c>
      <c r="AA3652">
        <v>0.99994050000000001</v>
      </c>
      <c r="AB3652">
        <v>38</v>
      </c>
      <c r="AC3652">
        <v>20.675099999999901</v>
      </c>
      <c r="AD3652">
        <v>-1.1099021306979999</v>
      </c>
      <c r="AE3652">
        <v>-0.167700000000024</v>
      </c>
      <c r="AF3652">
        <v>-0.228219636881414</v>
      </c>
      <c r="AG3652">
        <v>-1.1099021306979999</v>
      </c>
      <c r="AH3652">
        <v>20.615107142992301</v>
      </c>
      <c r="AI3652">
        <v>93.081598561409095</v>
      </c>
      <c r="AJ3652">
        <v>90.634267276028993</v>
      </c>
      <c r="AK3652">
        <v>20.646225065600699</v>
      </c>
      <c r="AL3652">
        <v>75.578176342730501</v>
      </c>
      <c r="AM3652">
        <v>95.639431285155695</v>
      </c>
      <c r="AN3652">
        <v>1.00000001090726</v>
      </c>
    </row>
    <row r="3653" spans="1:40" x14ac:dyDescent="0.25">
      <c r="A3653" t="str">
        <f>"20190304164924061"</f>
        <v>20190304164924061</v>
      </c>
      <c r="B3653" t="str">
        <f>"1551689364049322"</f>
        <v>1551689364049322</v>
      </c>
      <c r="C3653" t="s">
        <v>40</v>
      </c>
      <c r="D3653">
        <v>4.0939050000000003</v>
      </c>
      <c r="E3653">
        <v>0.54198400000000002</v>
      </c>
      <c r="F3653" t="s">
        <v>46</v>
      </c>
      <c r="G3653">
        <v>-390.52589999999998</v>
      </c>
      <c r="H3653" s="1">
        <v>-1.2569490000000001E-6</v>
      </c>
      <c r="I3653">
        <v>212.5496</v>
      </c>
      <c r="J3653">
        <v>-411.05079999999998</v>
      </c>
      <c r="K3653">
        <v>1.1099950000000001</v>
      </c>
      <c r="L3653">
        <v>212.6919</v>
      </c>
      <c r="M3653">
        <v>0.9997994</v>
      </c>
      <c r="N3653">
        <v>-7.7599180000000002E-3</v>
      </c>
      <c r="O3653">
        <v>-1.846633E-2</v>
      </c>
      <c r="P3653">
        <v>0.96697710000000003</v>
      </c>
      <c r="Q3653">
        <v>0.24244589999999999</v>
      </c>
      <c r="R3653">
        <v>7.8584310000000004E-2</v>
      </c>
      <c r="S3653">
        <v>3.1447449999999999</v>
      </c>
      <c r="T3653">
        <v>-0.16690459999999999</v>
      </c>
      <c r="U3653">
        <v>-2.243042E-2</v>
      </c>
      <c r="V3653">
        <v>-9.6729399999999993E-2</v>
      </c>
      <c r="W3653">
        <v>0.24981339999999999</v>
      </c>
      <c r="X3653">
        <v>0.96345040000000004</v>
      </c>
      <c r="Y3653">
        <v>-1.1297979999999999E-2</v>
      </c>
      <c r="Z3653">
        <v>1.179577E-3</v>
      </c>
      <c r="AA3653">
        <v>0.99993549999999998</v>
      </c>
      <c r="AB3653">
        <v>38</v>
      </c>
      <c r="AC3653">
        <v>20.524899999999999</v>
      </c>
      <c r="AD3653">
        <v>-1.1099962569490001</v>
      </c>
      <c r="AE3653">
        <v>-0.14230000000000501</v>
      </c>
      <c r="AF3653">
        <v>-0.236064857965394</v>
      </c>
      <c r="AG3653">
        <v>-1.1099962569490001</v>
      </c>
      <c r="AH3653">
        <v>20.464179125224199</v>
      </c>
      <c r="AI3653">
        <v>93.104528232117204</v>
      </c>
      <c r="AJ3653">
        <v>90.660907045398403</v>
      </c>
      <c r="AK3653">
        <v>20.495620155947201</v>
      </c>
      <c r="AL3653">
        <v>75.5335294505023</v>
      </c>
      <c r="AM3653">
        <v>95.733223572680103</v>
      </c>
      <c r="AN3653">
        <v>0.99999999245203997</v>
      </c>
    </row>
    <row r="3654" spans="1:40" x14ac:dyDescent="0.25">
      <c r="A3654" t="str">
        <f>"20190304164924083"</f>
        <v>20190304164924083</v>
      </c>
      <c r="B3654" t="str">
        <f>"1551689364069822"</f>
        <v>1551689364069822</v>
      </c>
      <c r="C3654" t="s">
        <v>40</v>
      </c>
      <c r="D3654">
        <v>4.1035450000000004</v>
      </c>
      <c r="E3654">
        <v>0.54197399999999996</v>
      </c>
      <c r="F3654" t="s">
        <v>46</v>
      </c>
      <c r="G3654">
        <v>-389.99709999999999</v>
      </c>
      <c r="H3654" s="1">
        <v>-1.538317E-6</v>
      </c>
      <c r="I3654">
        <v>212.5849</v>
      </c>
      <c r="J3654">
        <v>-410.67399999999998</v>
      </c>
      <c r="K3654">
        <v>1.1100829999999999</v>
      </c>
      <c r="L3654">
        <v>212.68559999999999</v>
      </c>
      <c r="M3654">
        <v>0.99981310000000001</v>
      </c>
      <c r="N3654">
        <v>-7.7741119999999997E-3</v>
      </c>
      <c r="O3654">
        <v>-1.7697549999999999E-2</v>
      </c>
      <c r="P3654">
        <v>0.96666189999999996</v>
      </c>
      <c r="Q3654">
        <v>0.2429683</v>
      </c>
      <c r="R3654">
        <v>8.0815399999999996E-2</v>
      </c>
      <c r="S3654">
        <v>3.1453250000000001</v>
      </c>
      <c r="T3654">
        <v>-0.1658289</v>
      </c>
      <c r="U3654">
        <v>-1.5991209999999999E-2</v>
      </c>
      <c r="V3654">
        <v>-9.8263610000000001E-2</v>
      </c>
      <c r="W3654">
        <v>0.25032539999999998</v>
      </c>
      <c r="X3654">
        <v>0.96316219999999997</v>
      </c>
      <c r="Y3654">
        <v>-1.257669E-2</v>
      </c>
      <c r="Z3654">
        <v>1.1750770000000001E-3</v>
      </c>
      <c r="AA3654">
        <v>0.99992020000000004</v>
      </c>
      <c r="AB3654">
        <v>38</v>
      </c>
      <c r="AC3654">
        <v>20.6769</v>
      </c>
      <c r="AD3654">
        <v>-1.1100845383169999</v>
      </c>
      <c r="AE3654">
        <v>-0.10069999999998901</v>
      </c>
      <c r="AF3654">
        <v>-0.26449498532634003</v>
      </c>
      <c r="AG3654">
        <v>-1.1100845383169999</v>
      </c>
      <c r="AH3654">
        <v>20.616023273261298</v>
      </c>
      <c r="AI3654">
        <v>93.081902683268495</v>
      </c>
      <c r="AJ3654">
        <v>90.735040641831503</v>
      </c>
      <c r="AK3654">
        <v>20.647582446454301</v>
      </c>
      <c r="AL3654">
        <v>75.503231241066402</v>
      </c>
      <c r="AM3654">
        <v>95.825267742682996</v>
      </c>
      <c r="AN3654">
        <v>0.99999998322211603</v>
      </c>
    </row>
    <row r="3655" spans="1:40" x14ac:dyDescent="0.25">
      <c r="A3655" t="str">
        <f>"20190304164924105"</f>
        <v>20190304164924105</v>
      </c>
      <c r="B3655" t="str">
        <f>"1551689364099606"</f>
        <v>1551689364099606</v>
      </c>
      <c r="C3655" t="s">
        <v>40</v>
      </c>
      <c r="D3655">
        <v>4.1283500000000002</v>
      </c>
      <c r="E3655">
        <v>0.54213679999999997</v>
      </c>
      <c r="F3655" t="s">
        <v>46</v>
      </c>
      <c r="G3655">
        <v>-389.43579999999997</v>
      </c>
      <c r="H3655" s="1">
        <v>3.5717189999999999E-6</v>
      </c>
      <c r="I3655">
        <v>212.6208</v>
      </c>
      <c r="J3655">
        <v>-410.28969999999998</v>
      </c>
      <c r="K3655">
        <v>1.110158</v>
      </c>
      <c r="L3655">
        <v>212.67949999999999</v>
      </c>
      <c r="M3655">
        <v>0.99982789999999999</v>
      </c>
      <c r="N3655">
        <v>-7.7885439999999997E-3</v>
      </c>
      <c r="O3655">
        <v>-1.684457E-2</v>
      </c>
      <c r="P3655">
        <v>0.96622439999999998</v>
      </c>
      <c r="Q3655">
        <v>0.24391979999999999</v>
      </c>
      <c r="R3655">
        <v>8.3149539999999994E-2</v>
      </c>
      <c r="S3655">
        <v>3.1456599999999999</v>
      </c>
      <c r="T3655">
        <v>-0.1644177</v>
      </c>
      <c r="U3655">
        <v>-9.5977779999999995E-3</v>
      </c>
      <c r="V3655">
        <v>-9.9814550000000002E-2</v>
      </c>
      <c r="W3655">
        <v>0.25126700000000002</v>
      </c>
      <c r="X3655">
        <v>0.96275750000000004</v>
      </c>
      <c r="Y3655">
        <v>-1.37561E-2</v>
      </c>
      <c r="Z3655">
        <v>1.1615379999999999E-3</v>
      </c>
      <c r="AA3655">
        <v>0.99990469999999998</v>
      </c>
      <c r="AB3655">
        <v>38</v>
      </c>
      <c r="AC3655">
        <v>20.853899999999999</v>
      </c>
      <c r="AD3655">
        <v>-1.1101544282809901</v>
      </c>
      <c r="AE3655">
        <v>-5.8699999999987498E-2</v>
      </c>
      <c r="AF3655">
        <v>-0.29176707475971603</v>
      </c>
      <c r="AG3655">
        <v>-1.1101544282809901</v>
      </c>
      <c r="AH3655">
        <v>20.793004007958299</v>
      </c>
      <c r="AI3655">
        <v>93.055863607538797</v>
      </c>
      <c r="AJ3655">
        <v>90.803920632786202</v>
      </c>
      <c r="AK3655">
        <v>20.8246629397817</v>
      </c>
      <c r="AL3655">
        <v>75.447501015117794</v>
      </c>
      <c r="AM3655">
        <v>95.919032831430897</v>
      </c>
      <c r="AN3655">
        <v>1.0000000267434701</v>
      </c>
    </row>
    <row r="3656" spans="1:40" x14ac:dyDescent="0.25">
      <c r="A3656" t="str">
        <f>"20190304164924126"</f>
        <v>20190304164924126</v>
      </c>
      <c r="B3656" t="str">
        <f>"1551689364119127"</f>
        <v>1551689364119127</v>
      </c>
      <c r="C3656" t="s">
        <v>40</v>
      </c>
      <c r="D3656">
        <v>4.1435269999999997</v>
      </c>
      <c r="E3656">
        <v>0.54238199999999903</v>
      </c>
      <c r="F3656" t="s">
        <v>46</v>
      </c>
      <c r="G3656">
        <v>-388.96589999999998</v>
      </c>
      <c r="H3656" s="1">
        <v>3.320352E-6</v>
      </c>
      <c r="I3656">
        <v>212.6498</v>
      </c>
      <c r="J3656">
        <v>-409.91750000000002</v>
      </c>
      <c r="K3656">
        <v>1.1102270000000001</v>
      </c>
      <c r="L3656">
        <v>212.6739</v>
      </c>
      <c r="M3656">
        <v>0.99984240000000002</v>
      </c>
      <c r="N3656">
        <v>-7.8024339999999996E-3</v>
      </c>
      <c r="O3656">
        <v>-1.5956229999999998E-2</v>
      </c>
      <c r="P3656">
        <v>0.96585350000000003</v>
      </c>
      <c r="Q3656">
        <v>0.24470980000000001</v>
      </c>
      <c r="R3656">
        <v>8.5114670000000003E-2</v>
      </c>
      <c r="S3656">
        <v>3.1466059999999998</v>
      </c>
      <c r="T3656">
        <v>-0.163817299999999</v>
      </c>
      <c r="U3656">
        <v>-4.379272E-3</v>
      </c>
      <c r="V3656">
        <v>-0.1009607</v>
      </c>
      <c r="W3656">
        <v>0.25204929999999998</v>
      </c>
      <c r="X3656">
        <v>0.96243350000000005</v>
      </c>
      <c r="Y3656">
        <v>-1.4526890000000001E-2</v>
      </c>
      <c r="Z3656">
        <v>1.1402910000000001E-3</v>
      </c>
      <c r="AA3656">
        <v>0.99989380000000005</v>
      </c>
      <c r="AB3656">
        <v>38</v>
      </c>
      <c r="AC3656">
        <v>20.951599999999999</v>
      </c>
      <c r="AD3656">
        <v>-1.1102236796480001</v>
      </c>
      <c r="AE3656">
        <v>-2.4100000000004201E-2</v>
      </c>
      <c r="AF3656">
        <v>-0.30935310112070402</v>
      </c>
      <c r="AG3656">
        <v>-1.1102236796480001</v>
      </c>
      <c r="AH3656">
        <v>20.890657605310999</v>
      </c>
      <c r="AI3656">
        <v>93.041761228934206</v>
      </c>
      <c r="AJ3656">
        <v>90.848385532408301</v>
      </c>
      <c r="AK3656">
        <v>20.9224250779484</v>
      </c>
      <c r="AL3656">
        <v>75.401188750893894</v>
      </c>
      <c r="AM3656">
        <v>95.988509752147706</v>
      </c>
      <c r="AN3656">
        <v>1.00000007724861</v>
      </c>
    </row>
    <row r="3657" spans="1:40" x14ac:dyDescent="0.25">
      <c r="A3657" t="str">
        <f>"20190304164924150"</f>
        <v>20190304164924150</v>
      </c>
      <c r="B3657" t="str">
        <f>"1551689364139626"</f>
        <v>1551689364139626</v>
      </c>
      <c r="C3657" t="s">
        <v>40</v>
      </c>
      <c r="D3657">
        <v>4.1047419999999999</v>
      </c>
      <c r="E3657">
        <v>0.54247869999999998</v>
      </c>
      <c r="F3657" t="s">
        <v>46</v>
      </c>
      <c r="G3657">
        <v>-388.59059999999999</v>
      </c>
      <c r="H3657" s="1">
        <v>3.1196429999999999E-6</v>
      </c>
      <c r="I3657">
        <v>212.67349999999999</v>
      </c>
      <c r="J3657">
        <v>-409.51780000000002</v>
      </c>
      <c r="K3657">
        <v>1.110312</v>
      </c>
      <c r="L3657">
        <v>212.66839999999999</v>
      </c>
      <c r="M3657">
        <v>0.99985800000000002</v>
      </c>
      <c r="N3657">
        <v>-7.8173559999999993E-3</v>
      </c>
      <c r="O3657">
        <v>-1.4935779999999999E-2</v>
      </c>
      <c r="P3657">
        <v>0.96530050000000001</v>
      </c>
      <c r="Q3657">
        <v>0.24619530000000001</v>
      </c>
      <c r="R3657">
        <v>8.7080669999999999E-2</v>
      </c>
      <c r="S3657">
        <v>3.147583</v>
      </c>
      <c r="T3657">
        <v>-0.16385559999999999</v>
      </c>
      <c r="U3657" s="1">
        <v>-6.1035159999999999E-5</v>
      </c>
      <c r="V3657">
        <v>-0.1019833</v>
      </c>
      <c r="W3657">
        <v>0.25352469999999999</v>
      </c>
      <c r="X3657">
        <v>0.96193799999999996</v>
      </c>
      <c r="Y3657">
        <v>-1.4879069999999999E-2</v>
      </c>
      <c r="Z3657">
        <v>1.105502E-3</v>
      </c>
      <c r="AA3657">
        <v>0.99988869999999996</v>
      </c>
      <c r="AB3657">
        <v>38</v>
      </c>
      <c r="AC3657">
        <v>20.927199999999999</v>
      </c>
      <c r="AD3657">
        <v>-1.110308880357</v>
      </c>
      <c r="AE3657">
        <v>5.0999999999987696E-3</v>
      </c>
      <c r="AF3657">
        <v>-0.316781292127222</v>
      </c>
      <c r="AG3657">
        <v>-1.110308880357</v>
      </c>
      <c r="AH3657">
        <v>20.866053183834801</v>
      </c>
      <c r="AI3657">
        <v>93.045557452032398</v>
      </c>
      <c r="AJ3657">
        <v>90.8697781349493</v>
      </c>
      <c r="AK3657">
        <v>20.897973865125401</v>
      </c>
      <c r="AL3657">
        <v>75.313816349491105</v>
      </c>
      <c r="AM3657">
        <v>96.051810705113894</v>
      </c>
      <c r="AN3657">
        <v>1.00000004141648</v>
      </c>
    </row>
    <row r="3658" spans="1:40" x14ac:dyDescent="0.25">
      <c r="A3658" t="str">
        <f>"20190304164924183"</f>
        <v>20190304164924183</v>
      </c>
      <c r="B3658" t="str">
        <f>"1551689364179639"</f>
        <v>1551689364179639</v>
      </c>
      <c r="C3658" t="s">
        <v>40</v>
      </c>
      <c r="D3658">
        <v>4.1615799999999998</v>
      </c>
      <c r="E3658">
        <v>0.54282839999999999</v>
      </c>
      <c r="F3658" t="s">
        <v>46</v>
      </c>
      <c r="G3658">
        <v>-387.73390000000001</v>
      </c>
      <c r="H3658" s="1">
        <v>2.6621840000000001E-6</v>
      </c>
      <c r="I3658">
        <v>212.70939999999999</v>
      </c>
      <c r="J3658">
        <v>-408.96510000000001</v>
      </c>
      <c r="K3658">
        <v>1.11043</v>
      </c>
      <c r="L3658">
        <v>212.66149999999999</v>
      </c>
      <c r="M3658">
        <v>0.99987969999999904</v>
      </c>
      <c r="N3658">
        <v>-7.8382729999999998E-3</v>
      </c>
      <c r="O3658">
        <v>-1.3394639999999999E-2</v>
      </c>
      <c r="P3658">
        <v>0.96462049999999999</v>
      </c>
      <c r="Q3658">
        <v>0.24839140000000001</v>
      </c>
      <c r="R3658">
        <v>8.8370110000000002E-2</v>
      </c>
      <c r="S3658">
        <v>3.1482540000000001</v>
      </c>
      <c r="T3658">
        <v>-0.16046479999999999</v>
      </c>
      <c r="U3658">
        <v>5.9204100000000001E-3</v>
      </c>
      <c r="V3658">
        <v>-0.1018544</v>
      </c>
      <c r="W3658">
        <v>0.25570809999999999</v>
      </c>
      <c r="X3658">
        <v>0.96137349999999999</v>
      </c>
      <c r="Y3658">
        <v>-1.5240109999999999E-2</v>
      </c>
      <c r="Z3658">
        <v>1.025235E-3</v>
      </c>
      <c r="AA3658">
        <v>0.99988339999999998</v>
      </c>
      <c r="AB3658">
        <v>38</v>
      </c>
      <c r="AC3658">
        <v>21.231200000000001</v>
      </c>
      <c r="AD3658">
        <v>-1.1104273378159999</v>
      </c>
      <c r="AE3658">
        <v>4.7899999999998499E-2</v>
      </c>
      <c r="AF3658">
        <v>-0.33138220156680498</v>
      </c>
      <c r="AG3658">
        <v>-1.1104273378159999</v>
      </c>
      <c r="AH3658">
        <v>21.170742027540399</v>
      </c>
      <c r="AI3658">
        <v>93.002104514803705</v>
      </c>
      <c r="AJ3658">
        <v>90.896768337082605</v>
      </c>
      <c r="AK3658">
        <v>21.202433375269599</v>
      </c>
      <c r="AL3658">
        <v>75.184452235938096</v>
      </c>
      <c r="AM3658">
        <v>96.047741036714399</v>
      </c>
      <c r="AN3658">
        <v>0.99999997885360903</v>
      </c>
    </row>
    <row r="3659" spans="1:40" x14ac:dyDescent="0.25">
      <c r="A3659" t="str">
        <f>"20190304164924205"</f>
        <v>20190304164924205</v>
      </c>
      <c r="B3659" t="str">
        <f>"1551689364199159"</f>
        <v>1551689364199159</v>
      </c>
      <c r="C3659" t="s">
        <v>40</v>
      </c>
      <c r="D3659">
        <v>4.23909</v>
      </c>
      <c r="E3659">
        <v>0.55052080000000003</v>
      </c>
      <c r="F3659" t="s">
        <v>46</v>
      </c>
      <c r="G3659">
        <v>-386.13029999999998</v>
      </c>
      <c r="H3659" s="1">
        <v>1.8084699999999999E-6</v>
      </c>
      <c r="I3659">
        <v>212.71770000000001</v>
      </c>
      <c r="J3659">
        <v>-408.59359999999998</v>
      </c>
      <c r="K3659">
        <v>1.110519</v>
      </c>
      <c r="L3659">
        <v>212.6574</v>
      </c>
      <c r="M3659">
        <v>0.99989399999999995</v>
      </c>
      <c r="N3659">
        <v>-7.8525379999999992E-3</v>
      </c>
      <c r="O3659">
        <v>-1.227261E-2</v>
      </c>
      <c r="P3659">
        <v>0.96431610000000001</v>
      </c>
      <c r="Q3659">
        <v>0.2493417</v>
      </c>
      <c r="R3659">
        <v>8.9014170000000004E-2</v>
      </c>
      <c r="S3659">
        <v>3.1487120000000002</v>
      </c>
      <c r="T3659">
        <v>-0.15311830000000001</v>
      </c>
      <c r="U3659">
        <v>7.7514649999999999E-3</v>
      </c>
      <c r="V3659">
        <v>-0.1014674</v>
      </c>
      <c r="W3659">
        <v>0.25665110000000002</v>
      </c>
      <c r="X3659">
        <v>0.9611632</v>
      </c>
      <c r="Y3659">
        <v>-1.4704170000000001E-2</v>
      </c>
      <c r="Z3659">
        <v>9.151993E-4</v>
      </c>
      <c r="AA3659">
        <v>0.99989150000000004</v>
      </c>
      <c r="AB3659">
        <v>38</v>
      </c>
      <c r="AC3659">
        <v>22.4633</v>
      </c>
      <c r="AD3659">
        <v>-1.1105171915300001</v>
      </c>
      <c r="AE3659">
        <v>6.0300000000012198E-2</v>
      </c>
      <c r="AF3659">
        <v>-0.335168089479711</v>
      </c>
      <c r="AG3659">
        <v>-1.1105171915300001</v>
      </c>
      <c r="AH3659">
        <v>22.406107677376301</v>
      </c>
      <c r="AI3659">
        <v>92.837120337806795</v>
      </c>
      <c r="AJ3659">
        <v>90.857011179678395</v>
      </c>
      <c r="AK3659">
        <v>22.436114800273899</v>
      </c>
      <c r="AL3659">
        <v>75.128558259912893</v>
      </c>
      <c r="AM3659">
        <v>96.026240270813304</v>
      </c>
      <c r="AN3659">
        <v>1.0000000587141</v>
      </c>
    </row>
    <row r="3660" spans="1:40" x14ac:dyDescent="0.25">
      <c r="A3660" t="str">
        <f>"20190304164924228"</f>
        <v>20190304164924228</v>
      </c>
      <c r="B3660" t="str">
        <f>"1551689364219655"</f>
        <v>1551689364219655</v>
      </c>
      <c r="C3660" t="s">
        <v>40</v>
      </c>
      <c r="D3660">
        <v>4.2197719999999999</v>
      </c>
      <c r="E3660">
        <v>0.55084549999999999</v>
      </c>
      <c r="F3660" t="s">
        <v>46</v>
      </c>
      <c r="G3660">
        <v>-388.6739</v>
      </c>
      <c r="H3660" s="1">
        <v>3.1779629999999999E-6</v>
      </c>
      <c r="I3660">
        <v>212.35290000000001</v>
      </c>
      <c r="J3660">
        <v>-408.18259999999998</v>
      </c>
      <c r="K3660">
        <v>1.110619</v>
      </c>
      <c r="L3660">
        <v>212.6534</v>
      </c>
      <c r="M3660">
        <v>0.99990900000000005</v>
      </c>
      <c r="N3660">
        <v>-7.8686079999999992E-3</v>
      </c>
      <c r="O3660">
        <v>-1.094753E-2</v>
      </c>
      <c r="P3660">
        <v>0.96387219999999996</v>
      </c>
      <c r="Q3660">
        <v>0.2508785</v>
      </c>
      <c r="R3660">
        <v>8.9499670000000003E-2</v>
      </c>
      <c r="S3660">
        <v>3.1610719999999999</v>
      </c>
      <c r="T3660">
        <v>-0.17622850000000001</v>
      </c>
      <c r="U3660">
        <v>-4.8324579999999999E-2</v>
      </c>
      <c r="V3660">
        <v>-0.10073509999999999</v>
      </c>
      <c r="W3660">
        <v>0.25817950000000001</v>
      </c>
      <c r="X3660">
        <v>0.96083079999999998</v>
      </c>
      <c r="Y3660">
        <v>4.3429489999999996E-3</v>
      </c>
      <c r="Z3660">
        <v>3.8564529999999999E-4</v>
      </c>
      <c r="AA3660">
        <v>0.9999905</v>
      </c>
      <c r="AB3660">
        <v>39</v>
      </c>
      <c r="AC3660">
        <v>19.508699999999902</v>
      </c>
      <c r="AD3660">
        <v>-1.1106158220369999</v>
      </c>
      <c r="AE3660">
        <v>-0.30049999999999899</v>
      </c>
      <c r="AF3660">
        <v>8.6622604150795701E-2</v>
      </c>
      <c r="AG3660">
        <v>-1.1106158220369999</v>
      </c>
      <c r="AH3660">
        <v>19.4478064522776</v>
      </c>
      <c r="AI3660">
        <v>93.268436978061999</v>
      </c>
      <c r="AJ3660">
        <v>89.744800174781204</v>
      </c>
      <c r="AK3660">
        <v>19.479685489888102</v>
      </c>
      <c r="AL3660">
        <v>75.037932819329299</v>
      </c>
      <c r="AM3660">
        <v>95.985119751256093</v>
      </c>
      <c r="AN3660">
        <v>1.00000002041044</v>
      </c>
    </row>
    <row r="3661" spans="1:40" x14ac:dyDescent="0.25">
      <c r="A3661" t="str">
        <f>"20190304164924250"</f>
        <v>20190304164924250</v>
      </c>
      <c r="B3661" t="str">
        <f>"1551689364239174"</f>
        <v>1551689364239174</v>
      </c>
      <c r="C3661" t="s">
        <v>40</v>
      </c>
      <c r="D3661">
        <v>4.1495730000000002</v>
      </c>
      <c r="E3661">
        <v>0.55166169999999903</v>
      </c>
      <c r="F3661" t="s">
        <v>46</v>
      </c>
      <c r="G3661">
        <v>-387.48970000000003</v>
      </c>
      <c r="H3661" s="1">
        <v>2.5484629999999999E-6</v>
      </c>
      <c r="I3661">
        <v>212.3383</v>
      </c>
      <c r="J3661">
        <v>-407.79410000000001</v>
      </c>
      <c r="K3661">
        <v>1.110725</v>
      </c>
      <c r="L3661">
        <v>212.65029999999999</v>
      </c>
      <c r="M3661">
        <v>0.99992300000000001</v>
      </c>
      <c r="N3661">
        <v>-7.8840339999999998E-3</v>
      </c>
      <c r="O3661">
        <v>-9.5918150000000001E-3</v>
      </c>
      <c r="P3661">
        <v>0.96353319999999998</v>
      </c>
      <c r="Q3661">
        <v>0.2523261</v>
      </c>
      <c r="R3661">
        <v>8.9081480000000005E-2</v>
      </c>
      <c r="S3661">
        <v>3.1610719999999999</v>
      </c>
      <c r="T3661">
        <v>-0.16965910000000001</v>
      </c>
      <c r="U3661">
        <v>-4.814148E-2</v>
      </c>
      <c r="V3661">
        <v>-9.9073910000000001E-2</v>
      </c>
      <c r="W3661">
        <v>0.25962109999999999</v>
      </c>
      <c r="X3661">
        <v>0.960615</v>
      </c>
      <c r="Y3661">
        <v>5.6367539999999999E-3</v>
      </c>
      <c r="Z3661">
        <v>2.6542720000000001E-4</v>
      </c>
      <c r="AA3661">
        <v>0.99998410000000004</v>
      </c>
      <c r="AB3661">
        <v>39</v>
      </c>
      <c r="AC3661">
        <v>20.304399999999902</v>
      </c>
      <c r="AD3661">
        <v>-1.110722451537</v>
      </c>
      <c r="AE3661">
        <v>-0.31199999999998301</v>
      </c>
      <c r="AF3661">
        <v>0.11687390111533701</v>
      </c>
      <c r="AG3661">
        <v>-1.110722451537</v>
      </c>
      <c r="AH3661">
        <v>20.245887582355198</v>
      </c>
      <c r="AI3661">
        <v>93.140139879738001</v>
      </c>
      <c r="AJ3661">
        <v>89.669251009161997</v>
      </c>
      <c r="AK3661">
        <v>20.276669545822301</v>
      </c>
      <c r="AL3661">
        <v>74.952418733237195</v>
      </c>
      <c r="AM3661">
        <v>95.888433264097998</v>
      </c>
      <c r="AN3661">
        <v>0.99999996671644797</v>
      </c>
    </row>
    <row r="3662" spans="1:40" x14ac:dyDescent="0.25">
      <c r="A3662" t="str">
        <f>"20190304164924271"</f>
        <v>20190304164924271</v>
      </c>
      <c r="B3662" t="str">
        <f>"1551689364259674"</f>
        <v>1551689364259674</v>
      </c>
      <c r="C3662" t="s">
        <v>40</v>
      </c>
      <c r="D3662">
        <v>4.127389</v>
      </c>
      <c r="E3662">
        <v>0.55216769999999904</v>
      </c>
      <c r="F3662" t="s">
        <v>46</v>
      </c>
      <c r="G3662">
        <v>-386.45569999999998</v>
      </c>
      <c r="H3662" s="1">
        <v>2.0006130000000001E-6</v>
      </c>
      <c r="I3662">
        <v>212.28309999999999</v>
      </c>
      <c r="J3662">
        <v>-407.4418</v>
      </c>
      <c r="K3662">
        <v>1.1108279999999999</v>
      </c>
      <c r="L3662">
        <v>212.64789999999999</v>
      </c>
      <c r="M3662">
        <v>0.99993469999999995</v>
      </c>
      <c r="N3662">
        <v>-7.8984050000000007E-3</v>
      </c>
      <c r="O3662">
        <v>-8.2581670000000003E-3</v>
      </c>
      <c r="P3662">
        <v>0.96320660000000002</v>
      </c>
      <c r="Q3662">
        <v>0.25381429999999999</v>
      </c>
      <c r="R3662">
        <v>8.8383589999999998E-2</v>
      </c>
      <c r="S3662">
        <v>3.1616520000000001</v>
      </c>
      <c r="T3662">
        <v>-0.16457269999999999</v>
      </c>
      <c r="U3662">
        <v>-5.4397580000000001E-2</v>
      </c>
      <c r="V3662">
        <v>-9.7156350000000002E-2</v>
      </c>
      <c r="W3662">
        <v>0.261104</v>
      </c>
      <c r="X3662">
        <v>0.96040890000000001</v>
      </c>
      <c r="Y3662">
        <v>8.9392050000000004E-3</v>
      </c>
      <c r="Z3662" s="1">
        <v>9.6525879999999995E-5</v>
      </c>
      <c r="AA3662">
        <v>0.99996010000000002</v>
      </c>
      <c r="AB3662">
        <v>39</v>
      </c>
      <c r="AC3662">
        <v>20.9861</v>
      </c>
      <c r="AD3662">
        <v>-1.110825999387</v>
      </c>
      <c r="AE3662">
        <v>-0.36480000000000201</v>
      </c>
      <c r="AF3662">
        <v>0.19094062871614401</v>
      </c>
      <c r="AG3662">
        <v>-1.110825999387</v>
      </c>
      <c r="AH3662">
        <v>20.929774841454499</v>
      </c>
      <c r="AI3662">
        <v>93.037937192988096</v>
      </c>
      <c r="AJ3662">
        <v>89.477309777337993</v>
      </c>
      <c r="AK3662">
        <v>20.960101804108401</v>
      </c>
      <c r="AL3662">
        <v>74.864419628063501</v>
      </c>
      <c r="AM3662">
        <v>95.776472434172305</v>
      </c>
      <c r="AN3662">
        <v>0.99999995518026497</v>
      </c>
    </row>
    <row r="3663" spans="1:40" x14ac:dyDescent="0.25">
      <c r="A3663" t="str">
        <f>"20190304164924295"</f>
        <v>20190304164924295</v>
      </c>
      <c r="B3663" t="str">
        <f>"1551689364289927"</f>
        <v>1551689364289927</v>
      </c>
      <c r="C3663" t="s">
        <v>40</v>
      </c>
      <c r="D3663">
        <v>4.1075140000000001</v>
      </c>
      <c r="E3663">
        <v>0.55264959999999996</v>
      </c>
      <c r="F3663" t="s">
        <v>46</v>
      </c>
      <c r="G3663">
        <v>-385.60739999999998</v>
      </c>
      <c r="H3663" s="1">
        <v>1.5512989999999901E-6</v>
      </c>
      <c r="I3663">
        <v>212.23419999999999</v>
      </c>
      <c r="J3663">
        <v>-407.01949999999999</v>
      </c>
      <c r="K3663">
        <v>1.110954</v>
      </c>
      <c r="L3663">
        <v>212.64580000000001</v>
      </c>
      <c r="M3663">
        <v>0.99994740000000004</v>
      </c>
      <c r="N3663">
        <v>-7.916012E-3</v>
      </c>
      <c r="O3663">
        <v>-6.5329119999999897E-3</v>
      </c>
      <c r="P3663">
        <v>0.96302560000000004</v>
      </c>
      <c r="Q3663">
        <v>0.25466260000000002</v>
      </c>
      <c r="R3663">
        <v>8.7915119999999999E-2</v>
      </c>
      <c r="S3663">
        <v>3.1625369999999999</v>
      </c>
      <c r="T3663">
        <v>-0.16089400000000001</v>
      </c>
      <c r="U3663">
        <v>-5.9921259999999997E-2</v>
      </c>
      <c r="V3663">
        <v>-9.5110849999999997E-2</v>
      </c>
      <c r="W3663">
        <v>0.26194640000000002</v>
      </c>
      <c r="X3663">
        <v>0.96038429999999997</v>
      </c>
      <c r="Y3663">
        <v>1.239897E-2</v>
      </c>
      <c r="Z3663" s="1">
        <v>-8.3856809999999994E-5</v>
      </c>
      <c r="AA3663">
        <v>0.99992309999999995</v>
      </c>
      <c r="AB3663">
        <v>39</v>
      </c>
      <c r="AC3663">
        <v>21.412099999999999</v>
      </c>
      <c r="AD3663">
        <v>-1.1109524487010001</v>
      </c>
      <c r="AE3663">
        <v>-0.411600000000021</v>
      </c>
      <c r="AF3663">
        <v>0.270974289251181</v>
      </c>
      <c r="AG3663">
        <v>-1.1109524487010001</v>
      </c>
      <c r="AH3663">
        <v>21.356860990527601</v>
      </c>
      <c r="AI3663">
        <v>92.977518894986304</v>
      </c>
      <c r="AJ3663">
        <v>89.273074348716506</v>
      </c>
      <c r="AK3663">
        <v>21.387453185861801</v>
      </c>
      <c r="AL3663">
        <v>74.814413920298804</v>
      </c>
      <c r="AM3663">
        <v>95.655797121579397</v>
      </c>
      <c r="AN3663">
        <v>0.99999999697358599</v>
      </c>
    </row>
    <row r="3664" spans="1:40" x14ac:dyDescent="0.25">
      <c r="A3664" t="str">
        <f>"20190304164924318"</f>
        <v>20190304164924318</v>
      </c>
      <c r="B3664" t="str">
        <f>"1551689364309447"</f>
        <v>1551689364309447</v>
      </c>
      <c r="C3664" t="s">
        <v>40</v>
      </c>
      <c r="D3664">
        <v>4.1197530000000002</v>
      </c>
      <c r="E3664">
        <v>0.55280130000000005</v>
      </c>
      <c r="F3664" t="s">
        <v>46</v>
      </c>
      <c r="G3664">
        <v>-384.57209999999998</v>
      </c>
      <c r="H3664" s="1">
        <v>1.002818E-6</v>
      </c>
      <c r="I3664">
        <v>212.1782</v>
      </c>
      <c r="J3664">
        <v>-406.63139999999999</v>
      </c>
      <c r="K3664">
        <v>1.111078</v>
      </c>
      <c r="L3664">
        <v>212.6447</v>
      </c>
      <c r="M3664">
        <v>0.99995699999999998</v>
      </c>
      <c r="N3664">
        <v>-7.9327340000000003E-3</v>
      </c>
      <c r="O3664">
        <v>-4.8090429999999998E-3</v>
      </c>
      <c r="P3664">
        <v>0.96290790000000004</v>
      </c>
      <c r="Q3664">
        <v>0.25517790000000001</v>
      </c>
      <c r="R3664">
        <v>8.7709990000000002E-2</v>
      </c>
      <c r="S3664">
        <v>3.162598</v>
      </c>
      <c r="T3664">
        <v>-0.15652099999999999</v>
      </c>
      <c r="U3664">
        <v>-6.588745E-2</v>
      </c>
      <c r="V3664">
        <v>-9.3325469999999994E-2</v>
      </c>
      <c r="W3664">
        <v>0.26245659999999998</v>
      </c>
      <c r="X3664">
        <v>0.96042019999999995</v>
      </c>
      <c r="Y3664">
        <v>1.600186E-2</v>
      </c>
      <c r="Z3664">
        <v>-2.5950879999999998E-4</v>
      </c>
      <c r="AA3664">
        <v>0.99987190000000004</v>
      </c>
      <c r="AB3664">
        <v>39</v>
      </c>
      <c r="AC3664">
        <v>22.0593</v>
      </c>
      <c r="AD3664">
        <v>-1.111076997182</v>
      </c>
      <c r="AE3664">
        <v>-0.46649999999999597</v>
      </c>
      <c r="AF3664">
        <v>0.35949554830943398</v>
      </c>
      <c r="AG3664">
        <v>-1.111076997182</v>
      </c>
      <c r="AH3664">
        <v>22.005487430038801</v>
      </c>
      <c r="AI3664">
        <v>92.890076256648499</v>
      </c>
      <c r="AJ3664">
        <v>89.064063196411496</v>
      </c>
      <c r="AK3664">
        <v>22.036451760129498</v>
      </c>
      <c r="AL3664">
        <v>74.7841223854997</v>
      </c>
      <c r="AM3664">
        <v>95.550091975538194</v>
      </c>
      <c r="AN3664">
        <v>1.00000003540115</v>
      </c>
    </row>
    <row r="3665" spans="1:40" x14ac:dyDescent="0.25">
      <c r="A3665" t="str">
        <f>"20190304164924338"</f>
        <v>20190304164924338</v>
      </c>
      <c r="B3665" t="str">
        <f>"1551689364329946"</f>
        <v>1551689364329946</v>
      </c>
      <c r="C3665" t="s">
        <v>40</v>
      </c>
      <c r="D3665">
        <v>4.1286310000000004</v>
      </c>
      <c r="E3665">
        <v>0.55304909999999996</v>
      </c>
      <c r="F3665" t="s">
        <v>46</v>
      </c>
      <c r="G3665">
        <v>-383.3922</v>
      </c>
      <c r="H3665" s="1">
        <v>3.7645610000000001E-7</v>
      </c>
      <c r="I3665">
        <v>212.1429</v>
      </c>
      <c r="J3665">
        <v>-406.26409999999998</v>
      </c>
      <c r="K3665">
        <v>1.1111879999999901</v>
      </c>
      <c r="L3665">
        <v>212.64429999999999</v>
      </c>
      <c r="M3665">
        <v>0.99996370000000001</v>
      </c>
      <c r="N3665">
        <v>-7.9485819999999992E-3</v>
      </c>
      <c r="O3665">
        <v>-3.0809729999999999E-3</v>
      </c>
      <c r="P3665">
        <v>0.96257519999999996</v>
      </c>
      <c r="Q3665">
        <v>0.25639129999999999</v>
      </c>
      <c r="R3665">
        <v>8.7822960000000005E-2</v>
      </c>
      <c r="S3665">
        <v>3.161835</v>
      </c>
      <c r="T3665">
        <v>-0.15116869999999999</v>
      </c>
      <c r="U3665">
        <v>-6.8267820000000007E-2</v>
      </c>
      <c r="V3665">
        <v>-9.1849139999999996E-2</v>
      </c>
      <c r="W3665">
        <v>0.26366460000000003</v>
      </c>
      <c r="X3665">
        <v>0.96023159999999996</v>
      </c>
      <c r="Y3665">
        <v>1.8483550000000001E-2</v>
      </c>
      <c r="Z3665">
        <v>-3.9234269999999997E-4</v>
      </c>
      <c r="AA3665">
        <v>0.99982910000000003</v>
      </c>
      <c r="AB3665">
        <v>39</v>
      </c>
      <c r="AC3665">
        <v>22.871899999999901</v>
      </c>
      <c r="AD3665">
        <v>-1.11118762354389</v>
      </c>
      <c r="AE3665">
        <v>-0.50139999999998897</v>
      </c>
      <c r="AF3665">
        <v>0.42991344563970602</v>
      </c>
      <c r="AG3665">
        <v>-1.11118762354389</v>
      </c>
      <c r="AH3665">
        <v>22.819500906903698</v>
      </c>
      <c r="AI3665">
        <v>92.787302078219795</v>
      </c>
      <c r="AJ3665">
        <v>88.920690140157802</v>
      </c>
      <c r="AK3665">
        <v>22.8505839125752</v>
      </c>
      <c r="AL3665">
        <v>74.712381882692299</v>
      </c>
      <c r="AM3665">
        <v>95.463896028188003</v>
      </c>
      <c r="AN3665">
        <v>1.0000000057252201</v>
      </c>
    </row>
    <row r="3666" spans="1:40" x14ac:dyDescent="0.25">
      <c r="A3666" t="str">
        <f>"20190304164924360"</f>
        <v>20190304164924360</v>
      </c>
      <c r="B3666" t="str">
        <f>"1551689364349478"</f>
        <v>1551689364349478</v>
      </c>
      <c r="C3666" t="s">
        <v>40</v>
      </c>
      <c r="D3666">
        <v>4.1328399999999998</v>
      </c>
      <c r="E3666">
        <v>0.55326999999999904</v>
      </c>
      <c r="F3666" t="s">
        <v>46</v>
      </c>
      <c r="G3666">
        <v>-381.76299999999998</v>
      </c>
      <c r="H3666" s="1">
        <v>-4.8839880000000005E-7</v>
      </c>
      <c r="I3666">
        <v>212.09520000000001</v>
      </c>
      <c r="J3666">
        <v>-405.89659999999998</v>
      </c>
      <c r="K3666">
        <v>1.1112879999999901</v>
      </c>
      <c r="L3666">
        <v>212.6447</v>
      </c>
      <c r="M3666">
        <v>0.99996759999999996</v>
      </c>
      <c r="N3666">
        <v>-7.9638319999999901E-3</v>
      </c>
      <c r="O3666">
        <v>-1.274907E-3</v>
      </c>
      <c r="P3666">
        <v>0.96209409999999895</v>
      </c>
      <c r="Q3666">
        <v>0.25797769999999998</v>
      </c>
      <c r="R3666">
        <v>8.8446350000000007E-2</v>
      </c>
      <c r="S3666">
        <v>3.1612849999999999</v>
      </c>
      <c r="T3666">
        <v>-0.14337279999999999</v>
      </c>
      <c r="U3666">
        <v>-7.0846560000000003E-2</v>
      </c>
      <c r="V3666">
        <v>-9.0802740000000007E-2</v>
      </c>
      <c r="W3666">
        <v>0.2652465</v>
      </c>
      <c r="X3666">
        <v>0.95989539999999995</v>
      </c>
      <c r="Y3666">
        <v>2.1105800000000001E-2</v>
      </c>
      <c r="Z3666">
        <v>-5.147652E-4</v>
      </c>
      <c r="AA3666">
        <v>0.99977709999999997</v>
      </c>
      <c r="AB3666">
        <v>39</v>
      </c>
      <c r="AC3666">
        <v>24.133599999999898</v>
      </c>
      <c r="AD3666">
        <v>-1.1112884883987999</v>
      </c>
      <c r="AE3666">
        <v>-0.54949999999999399</v>
      </c>
      <c r="AF3666">
        <v>0.51763348577677704</v>
      </c>
      <c r="AG3666">
        <v>-1.1112884883987999</v>
      </c>
      <c r="AH3666">
        <v>24.083242308017901</v>
      </c>
      <c r="AI3666">
        <v>92.641352647738401</v>
      </c>
      <c r="AJ3666">
        <v>88.768701993006303</v>
      </c>
      <c r="AK3666">
        <v>24.114424450870601</v>
      </c>
      <c r="AL3666">
        <v>74.618399797708406</v>
      </c>
      <c r="AM3666">
        <v>95.4038992557048</v>
      </c>
      <c r="AN3666">
        <v>1.0000000111474501</v>
      </c>
    </row>
    <row r="3667" spans="1:40" x14ac:dyDescent="0.25">
      <c r="A3667" t="str">
        <f>"20190304164924384"</f>
        <v>20190304164924384</v>
      </c>
      <c r="B3667" t="str">
        <f>"1551689364379719"</f>
        <v>1551689364379719</v>
      </c>
      <c r="C3667" t="s">
        <v>40</v>
      </c>
      <c r="D3667">
        <v>4.0565110000000004</v>
      </c>
      <c r="E3667">
        <v>0.55351119999999898</v>
      </c>
      <c r="F3667" t="s">
        <v>46</v>
      </c>
      <c r="G3667">
        <v>-379.95260000000002</v>
      </c>
      <c r="H3667" s="1">
        <v>3.7594879999999998E-6</v>
      </c>
      <c r="I3667">
        <v>212.05279999999999</v>
      </c>
      <c r="J3667">
        <v>-405.4776</v>
      </c>
      <c r="K3667">
        <v>1.111386</v>
      </c>
      <c r="L3667">
        <v>212.64590000000001</v>
      </c>
      <c r="M3667">
        <v>0.99996779999999996</v>
      </c>
      <c r="N3667">
        <v>-7.9804400000000001E-3</v>
      </c>
      <c r="O3667">
        <v>8.552338E-4</v>
      </c>
      <c r="P3667">
        <v>0.96128130000000001</v>
      </c>
      <c r="Q3667">
        <v>0.26041950000000003</v>
      </c>
      <c r="R3667">
        <v>9.0110560000000006E-2</v>
      </c>
      <c r="S3667">
        <v>3.161133</v>
      </c>
      <c r="T3667">
        <v>-0.135404</v>
      </c>
      <c r="U3667">
        <v>-7.2113040000000003E-2</v>
      </c>
      <c r="V3667">
        <v>-9.0488700000000005E-2</v>
      </c>
      <c r="W3667">
        <v>0.26768109999999901</v>
      </c>
      <c r="X3667">
        <v>0.95924900000000002</v>
      </c>
      <c r="Y3667">
        <v>2.3635280000000002E-2</v>
      </c>
      <c r="Z3667">
        <v>-6.3006399999999995E-4</v>
      </c>
      <c r="AA3667">
        <v>0.99972050000000001</v>
      </c>
      <c r="AB3667">
        <v>39</v>
      </c>
      <c r="AC3667">
        <v>25.524999999999899</v>
      </c>
      <c r="AD3667">
        <v>-1.111382240512</v>
      </c>
      <c r="AE3667">
        <v>-0.59310000000002105</v>
      </c>
      <c r="AF3667">
        <v>0.61376736079276895</v>
      </c>
      <c r="AG3667">
        <v>-1.111382240512</v>
      </c>
      <c r="AH3667">
        <v>25.476211349727201</v>
      </c>
      <c r="AI3667">
        <v>92.497181624430596</v>
      </c>
      <c r="AJ3667">
        <v>88.619909467900598</v>
      </c>
      <c r="AK3667">
        <v>25.507826751679001</v>
      </c>
      <c r="AL3667">
        <v>74.473674892853396</v>
      </c>
      <c r="AM3667">
        <v>95.388927610934005</v>
      </c>
      <c r="AN3667">
        <v>1.00000001006295</v>
      </c>
    </row>
    <row r="3668" spans="1:40" x14ac:dyDescent="0.25">
      <c r="A3668" t="str">
        <f>"20190304164924406"</f>
        <v>20190304164924406</v>
      </c>
      <c r="B3668" t="str">
        <f>"1551689364399239"</f>
        <v>1551689364399239</v>
      </c>
      <c r="C3668" t="s">
        <v>40</v>
      </c>
      <c r="D3668">
        <v>4.0541159999999996</v>
      </c>
      <c r="E3668">
        <v>0.55368899999999999</v>
      </c>
      <c r="F3668" t="s">
        <v>46</v>
      </c>
      <c r="G3668">
        <v>-377.16210000000001</v>
      </c>
      <c r="H3668" s="1">
        <v>2.2745340000000001E-6</v>
      </c>
      <c r="I3668">
        <v>212.00890000000001</v>
      </c>
      <c r="J3668">
        <v>-405.09280000000001</v>
      </c>
      <c r="K3668">
        <v>1.111456</v>
      </c>
      <c r="L3668">
        <v>212.64779999999999</v>
      </c>
      <c r="M3668">
        <v>0.99996399999999996</v>
      </c>
      <c r="N3668">
        <v>-7.9952249999999999E-3</v>
      </c>
      <c r="O3668">
        <v>2.8563949999999999E-3</v>
      </c>
      <c r="P3668">
        <v>0.96054280000000003</v>
      </c>
      <c r="Q3668">
        <v>0.26256740000000001</v>
      </c>
      <c r="R3668">
        <v>9.1739080000000001E-2</v>
      </c>
      <c r="S3668">
        <v>3.161133</v>
      </c>
      <c r="T3668">
        <v>-0.12407459999999999</v>
      </c>
      <c r="U3668">
        <v>-7.1121219999999999E-2</v>
      </c>
      <c r="V3668">
        <v>-9.0248750000000003E-2</v>
      </c>
      <c r="W3668">
        <v>0.26982499999999998</v>
      </c>
      <c r="X3668">
        <v>0.95867080000000005</v>
      </c>
      <c r="Y3668">
        <v>2.5323769999999999E-2</v>
      </c>
      <c r="Z3668">
        <v>-6.8725049999999999E-4</v>
      </c>
      <c r="AA3668">
        <v>0.99967910000000004</v>
      </c>
      <c r="AB3668">
        <v>39</v>
      </c>
      <c r="AC3668">
        <v>27.930700000000002</v>
      </c>
      <c r="AD3668">
        <v>-1.111453725466</v>
      </c>
      <c r="AE3668">
        <v>-0.63889999999997804</v>
      </c>
      <c r="AF3668">
        <v>0.71754541026264396</v>
      </c>
      <c r="AG3668">
        <v>-1.111453725466</v>
      </c>
      <c r="AH3668">
        <v>27.884628714423101</v>
      </c>
      <c r="AI3668">
        <v>92.281790290715804</v>
      </c>
      <c r="AJ3668">
        <v>88.525953018707895</v>
      </c>
      <c r="AK3668">
        <v>27.915993970139599</v>
      </c>
      <c r="AL3668">
        <v>74.346146963516702</v>
      </c>
      <c r="AM3668">
        <v>95.377944156703194</v>
      </c>
      <c r="AN3668">
        <v>1.0000000351370999</v>
      </c>
    </row>
    <row r="3669" spans="1:40" x14ac:dyDescent="0.25">
      <c r="A3669" t="str">
        <f>"20190304164924428"</f>
        <v>20190304164924428</v>
      </c>
      <c r="B3669" t="str">
        <f>"1551689364419734"</f>
        <v>1551689364419734</v>
      </c>
      <c r="C3669" t="s">
        <v>40</v>
      </c>
      <c r="D3669">
        <v>4.034287</v>
      </c>
      <c r="E3669">
        <v>0.55287589999999998</v>
      </c>
      <c r="F3669" t="s">
        <v>46</v>
      </c>
      <c r="G3669">
        <v>-374.92989999999998</v>
      </c>
      <c r="H3669" s="1">
        <v>1.086671E-6</v>
      </c>
      <c r="I3669">
        <v>212.00030000000001</v>
      </c>
      <c r="J3669">
        <v>-404.69170000000003</v>
      </c>
      <c r="K3669">
        <v>1.1115200000000001</v>
      </c>
      <c r="L3669">
        <v>212.6507</v>
      </c>
      <c r="M3669">
        <v>0.9999557</v>
      </c>
      <c r="N3669">
        <v>-8.010273E-3</v>
      </c>
      <c r="O3669">
        <v>4.9715820000000004E-3</v>
      </c>
      <c r="P3669">
        <v>0.95990620000000004</v>
      </c>
      <c r="Q3669">
        <v>0.26433269999999998</v>
      </c>
      <c r="R3669">
        <v>9.3320550000000002E-2</v>
      </c>
      <c r="S3669">
        <v>3.161591</v>
      </c>
      <c r="T3669">
        <v>-0.11649950000000001</v>
      </c>
      <c r="U3669">
        <v>-6.7871089999999995E-2</v>
      </c>
      <c r="V3669">
        <v>-8.9845820000000007E-2</v>
      </c>
      <c r="W3669">
        <v>0.27159100000000003</v>
      </c>
      <c r="X3669">
        <v>0.9582098</v>
      </c>
      <c r="Y3669">
        <v>2.6408899999999999E-2</v>
      </c>
      <c r="Z3669">
        <v>-7.3547520000000004E-4</v>
      </c>
      <c r="AA3669">
        <v>0.99965099999999996</v>
      </c>
      <c r="AB3669">
        <v>39</v>
      </c>
      <c r="AC3669">
        <v>29.761800000000001</v>
      </c>
      <c r="AD3669">
        <v>-1.111518913329</v>
      </c>
      <c r="AE3669">
        <v>-0.65039999999998999</v>
      </c>
      <c r="AF3669">
        <v>0.79724843705638404</v>
      </c>
      <c r="AG3669">
        <v>-1.111518913329</v>
      </c>
      <c r="AH3669">
        <v>29.7167690613038</v>
      </c>
      <c r="AI3669">
        <v>92.141309283759</v>
      </c>
      <c r="AJ3669">
        <v>88.463224043860194</v>
      </c>
      <c r="AK3669">
        <v>29.748234280507099</v>
      </c>
      <c r="AL3669">
        <v>74.241037129241406</v>
      </c>
      <c r="AM3669">
        <v>95.356634201175794</v>
      </c>
      <c r="AN3669">
        <v>0.99999998173425597</v>
      </c>
    </row>
    <row r="3670" spans="1:40" x14ac:dyDescent="0.25">
      <c r="A3670" t="str">
        <f>"20190304164924450"</f>
        <v>20190304164924450</v>
      </c>
      <c r="B3670" t="str">
        <f>"1551689364439255"</f>
        <v>1551689364439255</v>
      </c>
      <c r="C3670" t="s">
        <v>40</v>
      </c>
      <c r="D3670">
        <v>4.1048410000000004</v>
      </c>
      <c r="E3670">
        <v>0.55283729999999998</v>
      </c>
      <c r="F3670" t="s">
        <v>46</v>
      </c>
      <c r="G3670">
        <v>-382.47539999999998</v>
      </c>
      <c r="H3670" s="1">
        <v>-1.177381E-7</v>
      </c>
      <c r="I3670">
        <v>212.2885</v>
      </c>
      <c r="J3670">
        <v>-404.30799999999999</v>
      </c>
      <c r="K3670">
        <v>1.1115710000000001</v>
      </c>
      <c r="L3670">
        <v>212.6542</v>
      </c>
      <c r="M3670">
        <v>0.99994340000000004</v>
      </c>
      <c r="N3670">
        <v>-8.0243850000000002E-3</v>
      </c>
      <c r="O3670">
        <v>7.0009360000000001E-3</v>
      </c>
      <c r="P3670">
        <v>0.95953080000000002</v>
      </c>
      <c r="Q3670">
        <v>0.2652697</v>
      </c>
      <c r="R3670">
        <v>9.4513449999999999E-2</v>
      </c>
      <c r="S3670">
        <v>3.1740719999999998</v>
      </c>
      <c r="T3670">
        <v>-0.1588049</v>
      </c>
      <c r="U3670">
        <v>-5.1742549999999998E-2</v>
      </c>
      <c r="V3670">
        <v>-8.9123380000000002E-2</v>
      </c>
      <c r="W3670">
        <v>0.27253480000000002</v>
      </c>
      <c r="X3670">
        <v>0.95800929999999995</v>
      </c>
      <c r="Y3670">
        <v>2.3259370000000001E-2</v>
      </c>
      <c r="Z3670">
        <v>-9.6873499999999997E-4</v>
      </c>
      <c r="AA3670">
        <v>0.99972899999999998</v>
      </c>
      <c r="AB3670">
        <v>39</v>
      </c>
      <c r="AC3670">
        <v>21.832599999999999</v>
      </c>
      <c r="AD3670">
        <v>-1.11157111773809</v>
      </c>
      <c r="AE3670">
        <v>-0.36570000000000302</v>
      </c>
      <c r="AF3670">
        <v>0.51720427231794996</v>
      </c>
      <c r="AG3670">
        <v>-1.11157111773809</v>
      </c>
      <c r="AH3670">
        <v>21.7730808820329</v>
      </c>
      <c r="AI3670">
        <v>92.921735074840797</v>
      </c>
      <c r="AJ3670">
        <v>88.639234831247293</v>
      </c>
      <c r="AK3670">
        <v>21.807570742855301</v>
      </c>
      <c r="AL3670">
        <v>74.184842046959702</v>
      </c>
      <c r="AM3670">
        <v>95.314915416274005</v>
      </c>
      <c r="AN3670">
        <v>1.00000000648007</v>
      </c>
    </row>
    <row r="3671" spans="1:40" x14ac:dyDescent="0.25">
      <c r="A3671" t="str">
        <f>"20190304164924472"</f>
        <v>20190304164924472</v>
      </c>
      <c r="B3671" t="str">
        <f>"1551689364469511"</f>
        <v>1551689364469511</v>
      </c>
      <c r="C3671" t="s">
        <v>40</v>
      </c>
      <c r="D3671">
        <v>4.0488520000000001</v>
      </c>
      <c r="E3671">
        <v>0.5541488</v>
      </c>
      <c r="F3671" t="s">
        <v>46</v>
      </c>
      <c r="G3671">
        <v>-381.87139999999999</v>
      </c>
      <c r="H3671" s="1">
        <v>-4.4075999999999998E-7</v>
      </c>
      <c r="I3671">
        <v>212.32470000000001</v>
      </c>
      <c r="J3671">
        <v>-403.9221</v>
      </c>
      <c r="K3671">
        <v>1.1116029999999999</v>
      </c>
      <c r="L3671">
        <v>212.6584</v>
      </c>
      <c r="M3671">
        <v>0.99992700000000001</v>
      </c>
      <c r="N3671">
        <v>-8.0382619999999991E-3</v>
      </c>
      <c r="O3671">
        <v>9.0297060000000002E-3</v>
      </c>
      <c r="P3671">
        <v>0.95907229999999999</v>
      </c>
      <c r="Q3671">
        <v>0.26640330000000001</v>
      </c>
      <c r="R3671">
        <v>9.5968049999999999E-2</v>
      </c>
      <c r="S3671">
        <v>3.1745909999999999</v>
      </c>
      <c r="T3671">
        <v>-0.1572781</v>
      </c>
      <c r="U3671">
        <v>-4.66156E-2</v>
      </c>
      <c r="V3671">
        <v>-8.8658150000000005E-2</v>
      </c>
      <c r="W3671">
        <v>0.27367599999999997</v>
      </c>
      <c r="X3671">
        <v>0.95772710000000005</v>
      </c>
      <c r="Y3671">
        <v>2.3669300000000001E-2</v>
      </c>
      <c r="Z3671">
        <v>-1.0556539999999901E-3</v>
      </c>
      <c r="AA3671">
        <v>0.99971929999999998</v>
      </c>
      <c r="AB3671">
        <v>39</v>
      </c>
      <c r="AC3671">
        <v>22.050699999999999</v>
      </c>
      <c r="AD3671">
        <v>-1.11160344076</v>
      </c>
      <c r="AE3671">
        <v>-0.333699999999993</v>
      </c>
      <c r="AF3671">
        <v>0.53145387869874094</v>
      </c>
      <c r="AG3671">
        <v>-1.11160344076</v>
      </c>
      <c r="AH3671">
        <v>21.990915058697201</v>
      </c>
      <c r="AI3671">
        <v>92.892898249965796</v>
      </c>
      <c r="AJ3671">
        <v>88.615603843444305</v>
      </c>
      <c r="AK3671">
        <v>22.025404662650999</v>
      </c>
      <c r="AL3671">
        <v>74.116872209993701</v>
      </c>
      <c r="AM3671">
        <v>95.288877962846399</v>
      </c>
      <c r="AN3671">
        <v>1.00000000930591</v>
      </c>
    </row>
    <row r="3672" spans="1:40" x14ac:dyDescent="0.25">
      <c r="A3672" t="str">
        <f>"20190304164924496"</f>
        <v>20190304164924496</v>
      </c>
      <c r="B3672" t="str">
        <f>"1551689364490007"</f>
        <v>1551689364490007</v>
      </c>
      <c r="C3672" t="s">
        <v>40</v>
      </c>
      <c r="D3672">
        <v>4.0042269999999904</v>
      </c>
      <c r="E3672">
        <v>0.55479529999999999</v>
      </c>
      <c r="F3672" t="s">
        <v>46</v>
      </c>
      <c r="G3672">
        <v>-378.99709999999999</v>
      </c>
      <c r="H3672" s="1">
        <v>3.2510190000000002E-6</v>
      </c>
      <c r="I3672">
        <v>212.24770000000001</v>
      </c>
      <c r="J3672">
        <v>-403.50490000000002</v>
      </c>
      <c r="K3672">
        <v>1.1116189999999999</v>
      </c>
      <c r="L3672">
        <v>212.66390000000001</v>
      </c>
      <c r="M3672">
        <v>0.99990489999999999</v>
      </c>
      <c r="N3672">
        <v>-8.0528130000000007E-3</v>
      </c>
      <c r="O3672">
        <v>1.1190810000000001E-2</v>
      </c>
      <c r="P3672">
        <v>0.95874159999999997</v>
      </c>
      <c r="Q3672">
        <v>0.26690150000000001</v>
      </c>
      <c r="R3672">
        <v>9.7868079999999996E-2</v>
      </c>
      <c r="S3672">
        <v>3.1725460000000001</v>
      </c>
      <c r="T3672">
        <v>-0.14148839999999999</v>
      </c>
      <c r="U3672">
        <v>-5.2276610000000001E-2</v>
      </c>
      <c r="V3672">
        <v>-8.8500079999999995E-2</v>
      </c>
      <c r="W3672">
        <v>0.27418419999999999</v>
      </c>
      <c r="X3672">
        <v>0.95759640000000001</v>
      </c>
      <c r="Y3672">
        <v>2.7624309999999999E-2</v>
      </c>
      <c r="Z3672">
        <v>-1.135676E-3</v>
      </c>
      <c r="AA3672">
        <v>0.9996178</v>
      </c>
      <c r="AB3672">
        <v>39</v>
      </c>
      <c r="AC3672">
        <v>24.5078</v>
      </c>
      <c r="AD3672">
        <v>-1.1116157489809999</v>
      </c>
      <c r="AE3672">
        <v>-0.41620000000000301</v>
      </c>
      <c r="AF3672">
        <v>0.68902783919301303</v>
      </c>
      <c r="AG3672">
        <v>-1.1116157489809999</v>
      </c>
      <c r="AH3672">
        <v>24.4513179261026</v>
      </c>
      <c r="AI3672">
        <v>92.601980188203697</v>
      </c>
      <c r="AJ3672">
        <v>88.385856236124695</v>
      </c>
      <c r="AK3672">
        <v>24.486269566022401</v>
      </c>
      <c r="AL3672">
        <v>74.086597139760102</v>
      </c>
      <c r="AM3672">
        <v>95.280218185631895</v>
      </c>
      <c r="AN3672">
        <v>1.0000000524913</v>
      </c>
    </row>
    <row r="3673" spans="1:40" x14ac:dyDescent="0.25">
      <c r="A3673" t="str">
        <f>"20190304164924520"</f>
        <v>20190304164924520</v>
      </c>
      <c r="B3673" t="str">
        <f>"1551689364509527"</f>
        <v>1551689364509527</v>
      </c>
      <c r="C3673" t="s">
        <v>40</v>
      </c>
      <c r="D3673">
        <v>4.0076539999999996</v>
      </c>
      <c r="E3673">
        <v>0.55504809999999905</v>
      </c>
      <c r="F3673" t="s">
        <v>46</v>
      </c>
      <c r="G3673">
        <v>-377.55700000000002</v>
      </c>
      <c r="H3673" s="1">
        <v>2.4846689999999999E-6</v>
      </c>
      <c r="I3673">
        <v>212.24250000000001</v>
      </c>
      <c r="J3673">
        <v>-403.08030000000002</v>
      </c>
      <c r="K3673">
        <v>1.1116170000000001</v>
      </c>
      <c r="L3673">
        <v>212.6704</v>
      </c>
      <c r="M3673">
        <v>0.99987879999999996</v>
      </c>
      <c r="N3673">
        <v>-8.0674809999999996E-3</v>
      </c>
      <c r="O3673">
        <v>1.3334560000000001E-2</v>
      </c>
      <c r="P3673">
        <v>0.95827099999999998</v>
      </c>
      <c r="Q3673">
        <v>0.26769989999999999</v>
      </c>
      <c r="R3673">
        <v>0.10026839999999999</v>
      </c>
      <c r="S3673">
        <v>3.1722109999999999</v>
      </c>
      <c r="T3673">
        <v>-0.1358984</v>
      </c>
      <c r="U3673">
        <v>-5.1513669999999998E-2</v>
      </c>
      <c r="V3673">
        <v>-8.8851330000000006E-2</v>
      </c>
      <c r="W3673">
        <v>0.2749935</v>
      </c>
      <c r="X3673">
        <v>0.95733170000000001</v>
      </c>
      <c r="Y3673">
        <v>2.9528459999999999E-2</v>
      </c>
      <c r="Z3673">
        <v>-1.214786E-3</v>
      </c>
      <c r="AA3673">
        <v>0.99956319999999999</v>
      </c>
      <c r="AB3673">
        <v>40</v>
      </c>
      <c r="AC3673">
        <v>25.523299999999999</v>
      </c>
      <c r="AD3673">
        <v>-1.111614515331</v>
      </c>
      <c r="AE3673">
        <v>-0.42789999999999401</v>
      </c>
      <c r="AF3673">
        <v>0.76676089016660998</v>
      </c>
      <c r="AG3673">
        <v>-1.111614515331</v>
      </c>
      <c r="AH3673">
        <v>25.4670307934446</v>
      </c>
      <c r="AI3673">
        <v>92.498195599871806</v>
      </c>
      <c r="AJ3673">
        <v>88.275460701444104</v>
      </c>
      <c r="AK3673">
        <v>25.502808992886202</v>
      </c>
      <c r="AL3673">
        <v>74.038372929629105</v>
      </c>
      <c r="AM3673">
        <v>95.302513184349806</v>
      </c>
      <c r="AN3673">
        <v>0.99999998385495403</v>
      </c>
    </row>
    <row r="3674" spans="1:40" x14ac:dyDescent="0.25">
      <c r="A3674" t="str">
        <f>"20190304164924540"</f>
        <v>20190304164924540</v>
      </c>
      <c r="B3674" t="str">
        <f>"1551689364530023"</f>
        <v>1551689364530023</v>
      </c>
      <c r="C3674" t="s">
        <v>40</v>
      </c>
      <c r="D3674">
        <v>4.0014909999999997</v>
      </c>
      <c r="E3674">
        <v>0.55525139999999995</v>
      </c>
      <c r="F3674" t="s">
        <v>46</v>
      </c>
      <c r="G3674">
        <v>-376.4599</v>
      </c>
      <c r="H3674" s="1">
        <v>1.900858E-6</v>
      </c>
      <c r="I3674">
        <v>212.28100000000001</v>
      </c>
      <c r="J3674">
        <v>-402.71730000000002</v>
      </c>
      <c r="K3674">
        <v>1.111607</v>
      </c>
      <c r="L3674">
        <v>212.67660000000001</v>
      </c>
      <c r="M3674">
        <v>0.99985299999999999</v>
      </c>
      <c r="N3674">
        <v>-8.0797419999999991E-3</v>
      </c>
      <c r="O3674">
        <v>1.512763E-2</v>
      </c>
      <c r="P3674">
        <v>0.95783269999999998</v>
      </c>
      <c r="Q3674">
        <v>0.26847470000000001</v>
      </c>
      <c r="R3674">
        <v>0.1023628</v>
      </c>
      <c r="S3674">
        <v>3.1725159999999999</v>
      </c>
      <c r="T3674">
        <v>-0.13247819999999999</v>
      </c>
      <c r="U3674">
        <v>-4.6401980000000002E-2</v>
      </c>
      <c r="V3674">
        <v>-8.9229870000000003E-2</v>
      </c>
      <c r="W3674">
        <v>0.27577780000000002</v>
      </c>
      <c r="X3674">
        <v>0.95707089999999995</v>
      </c>
      <c r="Y3674">
        <v>2.971004E-2</v>
      </c>
      <c r="Z3674">
        <v>-1.249322E-3</v>
      </c>
      <c r="AA3674">
        <v>0.99955780000000005</v>
      </c>
      <c r="AB3674">
        <v>40</v>
      </c>
      <c r="AC3674">
        <v>26.257400000000001</v>
      </c>
      <c r="AD3674">
        <v>-1.1116050991419999</v>
      </c>
      <c r="AE3674">
        <v>-0.39560000000002998</v>
      </c>
      <c r="AF3674">
        <v>0.791361903992435</v>
      </c>
      <c r="AG3674">
        <v>-1.1116050991419999</v>
      </c>
      <c r="AH3674">
        <v>26.201461699191199</v>
      </c>
      <c r="AI3674">
        <v>92.428228343260002</v>
      </c>
      <c r="AJ3674">
        <v>88.270023327783093</v>
      </c>
      <c r="AK3674">
        <v>26.2369684745344</v>
      </c>
      <c r="AL3674">
        <v>73.991629276036406</v>
      </c>
      <c r="AM3674">
        <v>95.326416992825102</v>
      </c>
      <c r="AN3674">
        <v>1.0000000361499299</v>
      </c>
    </row>
    <row r="3675" spans="1:40" x14ac:dyDescent="0.25">
      <c r="A3675" t="str">
        <f>"20190304164924562"</f>
        <v>20190304164924562</v>
      </c>
      <c r="B3675" t="str">
        <f>"1551689364549546"</f>
        <v>1551689364549546</v>
      </c>
      <c r="C3675" t="s">
        <v>40</v>
      </c>
      <c r="D3675">
        <v>4.0830449999999896</v>
      </c>
      <c r="E3675">
        <v>0.5553536</v>
      </c>
      <c r="F3675" t="s">
        <v>46</v>
      </c>
      <c r="G3675">
        <v>-375.7998</v>
      </c>
      <c r="H3675" s="1">
        <v>1.5495839999999999E-6</v>
      </c>
      <c r="I3675">
        <v>212.3227</v>
      </c>
      <c r="J3675">
        <v>-402.34809999999999</v>
      </c>
      <c r="K3675">
        <v>1.1115839999999999</v>
      </c>
      <c r="L3675">
        <v>212.68350000000001</v>
      </c>
      <c r="M3675">
        <v>0.99982439999999995</v>
      </c>
      <c r="N3675">
        <v>-8.0921829999999993E-3</v>
      </c>
      <c r="O3675">
        <v>1.6903029999999999E-2</v>
      </c>
      <c r="P3675">
        <v>0.95753469999999996</v>
      </c>
      <c r="Q3675">
        <v>0.26860050000000002</v>
      </c>
      <c r="R3675">
        <v>0.1047917</v>
      </c>
      <c r="S3675">
        <v>3.1732480000000001</v>
      </c>
      <c r="T3675">
        <v>-0.13104469999999999</v>
      </c>
      <c r="U3675">
        <v>-4.1717530000000003E-2</v>
      </c>
      <c r="V3675">
        <v>-8.9948609999999998E-2</v>
      </c>
      <c r="W3675">
        <v>0.2759144</v>
      </c>
      <c r="X3675">
        <v>0.95696420000000004</v>
      </c>
      <c r="Y3675">
        <v>3.0005839999999999E-2</v>
      </c>
      <c r="Z3675">
        <v>-1.3017300000000001E-3</v>
      </c>
      <c r="AA3675">
        <v>0.99954889999999996</v>
      </c>
      <c r="AB3675">
        <v>40</v>
      </c>
      <c r="AC3675">
        <v>26.548299999999902</v>
      </c>
      <c r="AD3675">
        <v>-1.1115824504159999</v>
      </c>
      <c r="AE3675">
        <v>-0.360800000000011</v>
      </c>
      <c r="AF3675">
        <v>0.80809343168442904</v>
      </c>
      <c r="AG3675">
        <v>-1.1115824504159999</v>
      </c>
      <c r="AH3675">
        <v>26.4919732299694</v>
      </c>
      <c r="AI3675">
        <v>92.401560967391305</v>
      </c>
      <c r="AJ3675">
        <v>88.252829617615305</v>
      </c>
      <c r="AK3675">
        <v>26.527594616847999</v>
      </c>
      <c r="AL3675">
        <v>73.983486070026402</v>
      </c>
      <c r="AM3675">
        <v>95.369666300088795</v>
      </c>
      <c r="AN3675">
        <v>0.999999994324966</v>
      </c>
    </row>
    <row r="3676" spans="1:40" x14ac:dyDescent="0.25">
      <c r="A3676" t="str">
        <f>"20190304164924584"</f>
        <v>20190304164924584</v>
      </c>
      <c r="B3676" t="str">
        <f>"1551689364579798"</f>
        <v>1551689364579798</v>
      </c>
      <c r="C3676" t="s">
        <v>40</v>
      </c>
      <c r="D3676">
        <v>4.0035829999999999</v>
      </c>
      <c r="E3676">
        <v>0.55578660000000002</v>
      </c>
      <c r="F3676" t="s">
        <v>46</v>
      </c>
      <c r="G3676">
        <v>-375.67619999999999</v>
      </c>
      <c r="H3676" s="1">
        <v>1.483811E-6</v>
      </c>
      <c r="I3676">
        <v>212.3904</v>
      </c>
      <c r="J3676">
        <v>-401.93889999999999</v>
      </c>
      <c r="K3676">
        <v>1.111553</v>
      </c>
      <c r="L3676">
        <v>212.6919</v>
      </c>
      <c r="M3676">
        <v>0.99979050000000003</v>
      </c>
      <c r="N3676">
        <v>-8.1058269999999995E-3</v>
      </c>
      <c r="O3676">
        <v>1.8799529999999998E-2</v>
      </c>
      <c r="P3676">
        <v>0.95746229999999999</v>
      </c>
      <c r="Q3676">
        <v>0.26799079999999997</v>
      </c>
      <c r="R3676">
        <v>0.1069919</v>
      </c>
      <c r="S3676">
        <v>3.17395</v>
      </c>
      <c r="T3676">
        <v>-0.13227820000000001</v>
      </c>
      <c r="U3676">
        <v>-3.4881589999999997E-2</v>
      </c>
      <c r="V3676">
        <v>-9.0305839999999998E-2</v>
      </c>
      <c r="W3676">
        <v>0.27532400000000001</v>
      </c>
      <c r="X3676">
        <v>0.95710059999999997</v>
      </c>
      <c r="Y3676">
        <v>2.9744940000000001E-2</v>
      </c>
      <c r="Z3676">
        <v>-1.3709449999999999E-3</v>
      </c>
      <c r="AA3676">
        <v>0.99955660000000002</v>
      </c>
      <c r="AB3676">
        <v>40</v>
      </c>
      <c r="AC3676">
        <v>26.262699999999899</v>
      </c>
      <c r="AD3676">
        <v>-1.1115515161889999</v>
      </c>
      <c r="AE3676">
        <v>-0.30150000000000399</v>
      </c>
      <c r="AF3676">
        <v>0.79376758041822704</v>
      </c>
      <c r="AG3676">
        <v>-1.1115515161889999</v>
      </c>
      <c r="AH3676">
        <v>26.205453177107</v>
      </c>
      <c r="AI3676">
        <v>92.4277356505157</v>
      </c>
      <c r="AJ3676">
        <v>88.265031688380205</v>
      </c>
      <c r="AK3676">
        <v>26.241024941156802</v>
      </c>
      <c r="AL3676">
        <v>74.018676695531596</v>
      </c>
      <c r="AM3676">
        <v>95.390102738989498</v>
      </c>
      <c r="AN3676">
        <v>1.0000000041172299</v>
      </c>
    </row>
    <row r="3677" spans="1:40" x14ac:dyDescent="0.25">
      <c r="A3677" t="str">
        <f>"20190304164924607"</f>
        <v>20190304164924607</v>
      </c>
      <c r="B3677" t="str">
        <f>"1551689364599319"</f>
        <v>1551689364599319</v>
      </c>
      <c r="C3677" t="s">
        <v>40</v>
      </c>
      <c r="D3677">
        <v>4.028168</v>
      </c>
      <c r="E3677">
        <v>0.55578959999999999</v>
      </c>
      <c r="F3677" t="s">
        <v>46</v>
      </c>
      <c r="G3677">
        <v>-381.20679999999999</v>
      </c>
      <c r="H3677" s="1">
        <v>-8.0268829999999997E-7</v>
      </c>
      <c r="I3677">
        <v>212.51349999999999</v>
      </c>
      <c r="J3677">
        <v>-401.52949999999998</v>
      </c>
      <c r="K3677">
        <v>1.1115079999999999</v>
      </c>
      <c r="L3677">
        <v>212.70099999999999</v>
      </c>
      <c r="M3677">
        <v>0.99975460000000005</v>
      </c>
      <c r="N3677">
        <v>-8.1190229999999995E-3</v>
      </c>
      <c r="O3677">
        <v>2.061516E-2</v>
      </c>
      <c r="P3677">
        <v>0.95741620000000005</v>
      </c>
      <c r="Q3677">
        <v>0.26750459999999998</v>
      </c>
      <c r="R3677">
        <v>0.10860739999999899</v>
      </c>
      <c r="S3677">
        <v>3.1841740000000001</v>
      </c>
      <c r="T3677">
        <v>-0.1707197</v>
      </c>
      <c r="U3677">
        <v>-2.7404789999999998E-2</v>
      </c>
      <c r="V3677">
        <v>-9.0147050000000006E-2</v>
      </c>
      <c r="W3677">
        <v>0.27486280000000002</v>
      </c>
      <c r="X3677">
        <v>0.95724819999999999</v>
      </c>
      <c r="Y3677">
        <v>2.9149959999999999E-2</v>
      </c>
      <c r="Z3677">
        <v>-1.836458E-3</v>
      </c>
      <c r="AA3677">
        <v>0.9995733</v>
      </c>
      <c r="AB3677">
        <v>40</v>
      </c>
      <c r="AC3677">
        <v>20.322700000000001</v>
      </c>
      <c r="AD3677">
        <v>-1.1115088026883</v>
      </c>
      <c r="AE3677">
        <v>-0.1875</v>
      </c>
      <c r="AF3677">
        <v>0.60462117583663999</v>
      </c>
      <c r="AG3677">
        <v>-1.1115088026883</v>
      </c>
      <c r="AH3677">
        <v>20.2539345077573</v>
      </c>
      <c r="AI3677">
        <v>93.139768917899801</v>
      </c>
      <c r="AJ3677">
        <v>88.290112143096195</v>
      </c>
      <c r="AK3677">
        <v>20.2934196632614</v>
      </c>
      <c r="AL3677">
        <v>74.046163250084106</v>
      </c>
      <c r="AM3677">
        <v>95.379855893210802</v>
      </c>
      <c r="AN3677">
        <v>1.0000000829253799</v>
      </c>
    </row>
    <row r="3678" spans="1:40" x14ac:dyDescent="0.25">
      <c r="A3678" t="str">
        <f>"20190304164924630"</f>
        <v>20190304164924630</v>
      </c>
      <c r="B3678" t="str">
        <f>"1551689364619818"</f>
        <v>1551689364619818</v>
      </c>
      <c r="C3678" t="s">
        <v>40</v>
      </c>
      <c r="D3678">
        <v>4.0781039999999997</v>
      </c>
      <c r="E3678">
        <v>0.55611149999999998</v>
      </c>
      <c r="F3678" t="s">
        <v>46</v>
      </c>
      <c r="G3678">
        <v>-381.79559999999998</v>
      </c>
      <c r="H3678" s="1">
        <v>-4.9202059999999999E-7</v>
      </c>
      <c r="I3678">
        <v>212.57419999999999</v>
      </c>
      <c r="J3678">
        <v>-401.12020000000001</v>
      </c>
      <c r="K3678">
        <v>1.1114440000000001</v>
      </c>
      <c r="L3678">
        <v>212.71080000000001</v>
      </c>
      <c r="M3678">
        <v>0.99971739999999998</v>
      </c>
      <c r="N3678">
        <v>-8.1320779999999992E-3</v>
      </c>
      <c r="O3678">
        <v>2.2344059999999999E-2</v>
      </c>
      <c r="P3678">
        <v>0.95747130000000003</v>
      </c>
      <c r="Q3678">
        <v>0.26698100000000002</v>
      </c>
      <c r="R3678">
        <v>0.10940709999999999</v>
      </c>
      <c r="S3678">
        <v>3.185883</v>
      </c>
      <c r="T3678">
        <v>-0.17944379999999999</v>
      </c>
      <c r="U3678">
        <v>-2.0477289999999999E-2</v>
      </c>
      <c r="V3678">
        <v>-8.9245829999999998E-2</v>
      </c>
      <c r="W3678">
        <v>0.27436939999999999</v>
      </c>
      <c r="X3678">
        <v>0.95747409999999999</v>
      </c>
      <c r="Y3678">
        <v>2.8692140000000001E-2</v>
      </c>
      <c r="Z3678">
        <v>-2.000029E-3</v>
      </c>
      <c r="AA3678">
        <v>0.99958630000000004</v>
      </c>
      <c r="AB3678">
        <v>40</v>
      </c>
      <c r="AC3678">
        <v>19.3246</v>
      </c>
      <c r="AD3678">
        <v>-1.1114444920205999</v>
      </c>
      <c r="AE3678">
        <v>-0.13660000000001499</v>
      </c>
      <c r="AF3678">
        <v>0.56649630752389402</v>
      </c>
      <c r="AG3678">
        <v>-1.1114444920205999</v>
      </c>
      <c r="AH3678">
        <v>19.2530385492344</v>
      </c>
      <c r="AI3678">
        <v>93.302492878207403</v>
      </c>
      <c r="AJ3678">
        <v>88.314630417961794</v>
      </c>
      <c r="AK3678">
        <v>19.293411318467999</v>
      </c>
      <c r="AL3678">
        <v>74.075562256379698</v>
      </c>
      <c r="AM3678">
        <v>95.325133719193403</v>
      </c>
      <c r="AN3678">
        <v>1.00000001899977</v>
      </c>
    </row>
    <row r="3679" spans="1:40" x14ac:dyDescent="0.25">
      <c r="A3679" t="str">
        <f>"20190304164924651"</f>
        <v>20190304164924651</v>
      </c>
      <c r="B3679" t="str">
        <f>"1551689364639335"</f>
        <v>1551689364639335</v>
      </c>
      <c r="C3679" t="s">
        <v>40</v>
      </c>
      <c r="D3679">
        <v>4.0551589999999997</v>
      </c>
      <c r="E3679">
        <v>0.52869949999999999</v>
      </c>
      <c r="F3679" t="s">
        <v>46</v>
      </c>
      <c r="G3679">
        <v>-380.99450000000002</v>
      </c>
      <c r="H3679" s="1">
        <v>-9.1898500000000002E-7</v>
      </c>
      <c r="I3679">
        <v>212.59030000000001</v>
      </c>
      <c r="J3679">
        <v>-400.75720000000001</v>
      </c>
      <c r="K3679">
        <v>1.1113930000000001</v>
      </c>
      <c r="L3679">
        <v>212.72</v>
      </c>
      <c r="M3679">
        <v>0.99968360000000001</v>
      </c>
      <c r="N3679">
        <v>-8.1436619999999994E-3</v>
      </c>
      <c r="O3679">
        <v>2.3800979999999999E-2</v>
      </c>
      <c r="P3679">
        <v>0.95729030000000004</v>
      </c>
      <c r="Q3679">
        <v>0.26748309999999997</v>
      </c>
      <c r="R3679">
        <v>0.1097635</v>
      </c>
      <c r="S3679">
        <v>3.1845089999999998</v>
      </c>
      <c r="T3679">
        <v>-0.1758651</v>
      </c>
      <c r="U3679">
        <v>-1.9073489999999999E-2</v>
      </c>
      <c r="V3679">
        <v>-8.8172669999999995E-2</v>
      </c>
      <c r="W3679">
        <v>0.274899</v>
      </c>
      <c r="X3679">
        <v>0.95742159999999998</v>
      </c>
      <c r="Y3679">
        <v>2.9710690000000001E-2</v>
      </c>
      <c r="Z3679">
        <v>-2.0604600000000001E-3</v>
      </c>
      <c r="AA3679">
        <v>0.99955640000000001</v>
      </c>
      <c r="AB3679">
        <v>40</v>
      </c>
      <c r="AC3679">
        <v>19.762699999999899</v>
      </c>
      <c r="AD3679">
        <v>-1.111393918985</v>
      </c>
      <c r="AE3679">
        <v>-0.12969999999998499</v>
      </c>
      <c r="AF3679">
        <v>0.59815880422192702</v>
      </c>
      <c r="AG3679">
        <v>-1.111393918985</v>
      </c>
      <c r="AH3679">
        <v>19.6917397933871</v>
      </c>
      <c r="AI3679">
        <v>93.228837660487102</v>
      </c>
      <c r="AJ3679">
        <v>88.260111085641796</v>
      </c>
      <c r="AK3679">
        <v>19.732146525116999</v>
      </c>
      <c r="AL3679">
        <v>74.044004685980596</v>
      </c>
      <c r="AM3679">
        <v>95.2617486819654</v>
      </c>
      <c r="AN3679">
        <v>1.0000000000412399</v>
      </c>
    </row>
    <row r="3680" spans="1:40" x14ac:dyDescent="0.25">
      <c r="A3680" t="str">
        <f>"20190304164924673"</f>
        <v>20190304164924673</v>
      </c>
      <c r="B3680" t="str">
        <f>"1551689364659831"</f>
        <v>1551689364659831</v>
      </c>
      <c r="C3680" t="s">
        <v>40</v>
      </c>
      <c r="D3680">
        <v>4.0343179999999998</v>
      </c>
      <c r="E3680">
        <v>0.52357509999999996</v>
      </c>
      <c r="F3680" t="s">
        <v>46</v>
      </c>
      <c r="G3680">
        <v>-374.80930000000001</v>
      </c>
      <c r="H3680" s="1">
        <v>1.022477E-6</v>
      </c>
      <c r="I3680">
        <v>214.3528</v>
      </c>
      <c r="J3680">
        <v>-400.35489999999999</v>
      </c>
      <c r="K3680">
        <v>1.111332</v>
      </c>
      <c r="L3680">
        <v>212.73079999999999</v>
      </c>
      <c r="M3680">
        <v>0.99964580000000003</v>
      </c>
      <c r="N3680">
        <v>-8.1567529999999992E-3</v>
      </c>
      <c r="O3680">
        <v>2.5335799999999999E-2</v>
      </c>
      <c r="P3680">
        <v>0.95708859999999996</v>
      </c>
      <c r="Q3680">
        <v>0.26807029999999998</v>
      </c>
      <c r="R3680">
        <v>0.1100898</v>
      </c>
      <c r="S3680">
        <v>3.1487729999999998</v>
      </c>
      <c r="T3680">
        <v>-0.13486709999999999</v>
      </c>
      <c r="U3680">
        <v>0.19813539999999999</v>
      </c>
      <c r="V3680">
        <v>-8.6988309999999999E-2</v>
      </c>
      <c r="W3680">
        <v>0.27551730000000002</v>
      </c>
      <c r="X3680">
        <v>0.95735219999999999</v>
      </c>
      <c r="Y3680">
        <v>-3.7468029999999999E-2</v>
      </c>
      <c r="Z3680" s="1">
        <v>7.7429979999999994E-5</v>
      </c>
      <c r="AA3680">
        <v>0.99929780000000001</v>
      </c>
      <c r="AB3680">
        <v>40</v>
      </c>
      <c r="AC3680">
        <v>25.545599999999901</v>
      </c>
      <c r="AD3680">
        <v>-1.111330977523</v>
      </c>
      <c r="AE3680">
        <v>1.6220000000000101</v>
      </c>
      <c r="AF3680">
        <v>-0.97240663737008404</v>
      </c>
      <c r="AG3680">
        <v>-1.111330977523</v>
      </c>
      <c r="AH3680">
        <v>25.530370978021399</v>
      </c>
      <c r="AI3680">
        <v>92.490694446503895</v>
      </c>
      <c r="AJ3680">
        <v>92.181240441127201</v>
      </c>
      <c r="AK3680">
        <v>25.573041928667699</v>
      </c>
      <c r="AL3680">
        <v>74.007155635591502</v>
      </c>
      <c r="AM3680">
        <v>95.191834483688794</v>
      </c>
      <c r="AN3680">
        <v>0.999999991760393</v>
      </c>
    </row>
    <row r="3681" spans="1:40" x14ac:dyDescent="0.25">
      <c r="A3681" t="str">
        <f>"20190304164924698"</f>
        <v>20190304164924698</v>
      </c>
      <c r="B3681" t="str">
        <f>"1551689364689111"</f>
        <v>1551689364689111</v>
      </c>
      <c r="C3681" t="s">
        <v>40</v>
      </c>
      <c r="D3681">
        <v>4.0354140000000003</v>
      </c>
      <c r="E3681">
        <v>0.52083990000000002</v>
      </c>
      <c r="F3681" t="s">
        <v>46</v>
      </c>
      <c r="G3681">
        <v>-376.08969999999999</v>
      </c>
      <c r="H3681" s="1">
        <v>1.7038530000000001E-6</v>
      </c>
      <c r="I3681">
        <v>214.59829999999999</v>
      </c>
      <c r="J3681">
        <v>-399.9074</v>
      </c>
      <c r="K3681">
        <v>1.111256</v>
      </c>
      <c r="L3681">
        <v>212.74340000000001</v>
      </c>
      <c r="M3681">
        <v>0.99960369999999998</v>
      </c>
      <c r="N3681">
        <v>-8.1715809999999903E-3</v>
      </c>
      <c r="O3681">
        <v>2.694446E-2</v>
      </c>
      <c r="P3681">
        <v>0.95701559999999997</v>
      </c>
      <c r="Q3681">
        <v>0.26861950000000001</v>
      </c>
      <c r="R3681">
        <v>0.10938639999999999</v>
      </c>
      <c r="S3681">
        <v>3.1470030000000002</v>
      </c>
      <c r="T3681">
        <v>-0.14413110000000001</v>
      </c>
      <c r="U3681">
        <v>0.2422028</v>
      </c>
      <c r="V3681">
        <v>-8.469525E-2</v>
      </c>
      <c r="W3681">
        <v>0.27610639999999997</v>
      </c>
      <c r="X3681">
        <v>0.95738809999999996</v>
      </c>
      <c r="Y3681">
        <v>-4.9800030000000002E-2</v>
      </c>
      <c r="Z3681">
        <v>3.307246E-4</v>
      </c>
      <c r="AA3681">
        <v>0.99875919999999896</v>
      </c>
      <c r="AB3681">
        <v>40</v>
      </c>
      <c r="AC3681">
        <v>23.817699999999999</v>
      </c>
      <c r="AD3681">
        <v>-1.111254296147</v>
      </c>
      <c r="AE3681">
        <v>1.85489999999998</v>
      </c>
      <c r="AF3681">
        <v>-1.2098323767386401</v>
      </c>
      <c r="AG3681">
        <v>-1.111254296147</v>
      </c>
      <c r="AH3681">
        <v>23.807520103550399</v>
      </c>
      <c r="AI3681">
        <v>92.668994000373303</v>
      </c>
      <c r="AJ3681">
        <v>92.909110738960393</v>
      </c>
      <c r="AK3681">
        <v>23.864127764732299</v>
      </c>
      <c r="AL3681">
        <v>73.972040802415805</v>
      </c>
      <c r="AM3681">
        <v>95.055505068186093</v>
      </c>
      <c r="AN3681">
        <v>1.0000000017575601</v>
      </c>
    </row>
    <row r="3682" spans="1:40" x14ac:dyDescent="0.25">
      <c r="A3682" t="str">
        <f>"20190304164924721"</f>
        <v>20190304164924721</v>
      </c>
      <c r="B3682" t="str">
        <f>"1551689364709607"</f>
        <v>1551689364709607</v>
      </c>
      <c r="C3682" t="s">
        <v>40</v>
      </c>
      <c r="D3682">
        <v>4.056241</v>
      </c>
      <c r="E3682">
        <v>0.5203449</v>
      </c>
      <c r="F3682" t="s">
        <v>46</v>
      </c>
      <c r="G3682">
        <v>-377.17970000000003</v>
      </c>
      <c r="H3682" s="1">
        <v>2.2838609999999998E-6</v>
      </c>
      <c r="I3682">
        <v>214.65430000000001</v>
      </c>
      <c r="J3682">
        <v>-399.50029999999998</v>
      </c>
      <c r="K3682">
        <v>1.111191</v>
      </c>
      <c r="L3682">
        <v>212.75540000000001</v>
      </c>
      <c r="M3682">
        <v>0.99956520000000004</v>
      </c>
      <c r="N3682">
        <v>-8.1854219999999995E-3</v>
      </c>
      <c r="O3682">
        <v>2.8325409999999999E-2</v>
      </c>
      <c r="P3682">
        <v>0.95687789999999995</v>
      </c>
      <c r="Q3682">
        <v>0.26952690000000001</v>
      </c>
      <c r="R3682">
        <v>0.1083503</v>
      </c>
      <c r="S3682">
        <v>3.1477360000000001</v>
      </c>
      <c r="T3682">
        <v>-0.1539055</v>
      </c>
      <c r="U3682">
        <v>0.2646637</v>
      </c>
      <c r="V3682">
        <v>-8.2296469999999997E-2</v>
      </c>
      <c r="W3682">
        <v>0.27704990000000002</v>
      </c>
      <c r="X3682">
        <v>0.95732470000000003</v>
      </c>
      <c r="Y3682">
        <v>-5.5471060000000003E-2</v>
      </c>
      <c r="Z3682">
        <v>4.3079179999999998E-4</v>
      </c>
      <c r="AA3682">
        <v>0.99846020000000002</v>
      </c>
      <c r="AB3682">
        <v>40</v>
      </c>
      <c r="AC3682">
        <v>22.320599999999899</v>
      </c>
      <c r="AD3682">
        <v>-1.1111887161389999</v>
      </c>
      <c r="AE3682">
        <v>1.89889999999999</v>
      </c>
      <c r="AF3682">
        <v>-1.2627695651053801</v>
      </c>
      <c r="AG3682">
        <v>-1.1111887161389999</v>
      </c>
      <c r="AH3682">
        <v>22.3105361315361</v>
      </c>
      <c r="AI3682">
        <v>92.846743583374902</v>
      </c>
      <c r="AJ3682">
        <v>93.239467420100695</v>
      </c>
      <c r="AK3682">
        <v>22.373854156448001</v>
      </c>
      <c r="AL3682">
        <v>73.915787338963895</v>
      </c>
      <c r="AM3682">
        <v>94.913355350761506</v>
      </c>
      <c r="AN3682">
        <v>0.99999996864728002</v>
      </c>
    </row>
    <row r="3683" spans="1:40" x14ac:dyDescent="0.25">
      <c r="A3683" t="str">
        <f>"20190304164924740"</f>
        <v>20190304164924740</v>
      </c>
      <c r="B3683" t="str">
        <f>"1551689364730106"</f>
        <v>1551689364730106</v>
      </c>
      <c r="C3683" t="s">
        <v>40</v>
      </c>
      <c r="D3683">
        <v>4.0481509999999998</v>
      </c>
      <c r="E3683">
        <v>0.5200555</v>
      </c>
      <c r="F3683" t="s">
        <v>46</v>
      </c>
      <c r="G3683">
        <v>-376.65679999999998</v>
      </c>
      <c r="H3683" s="1">
        <v>2.0056229999999999E-6</v>
      </c>
      <c r="I3683">
        <v>214.69069999999999</v>
      </c>
      <c r="J3683">
        <v>-399.13560000000001</v>
      </c>
      <c r="K3683">
        <v>1.111138</v>
      </c>
      <c r="L3683">
        <v>212.76669999999999</v>
      </c>
      <c r="M3683">
        <v>0.99953099999999995</v>
      </c>
      <c r="N3683">
        <v>-8.1977700000000001E-3</v>
      </c>
      <c r="O3683">
        <v>2.9509230000000001E-2</v>
      </c>
      <c r="P3683">
        <v>0.95667789999999997</v>
      </c>
      <c r="Q3683">
        <v>0.27067380000000002</v>
      </c>
      <c r="R3683">
        <v>0.1072531</v>
      </c>
      <c r="S3683">
        <v>3.1480709999999998</v>
      </c>
      <c r="T3683">
        <v>-0.153133299999999</v>
      </c>
      <c r="U3683">
        <v>0.26669310000000002</v>
      </c>
      <c r="V3683">
        <v>-8.0036599999999999E-2</v>
      </c>
      <c r="W3683">
        <v>0.27822669999999999</v>
      </c>
      <c r="X3683">
        <v>0.957175</v>
      </c>
      <c r="Y3683">
        <v>-5.4920869999999997E-2</v>
      </c>
      <c r="Z3683">
        <v>3.6831849999999997E-4</v>
      </c>
      <c r="AA3683">
        <v>0.99849060000000001</v>
      </c>
      <c r="AB3683">
        <v>40</v>
      </c>
      <c r="AC3683">
        <v>22.4788</v>
      </c>
      <c r="AD3683">
        <v>-1.1111359943770001</v>
      </c>
      <c r="AE3683">
        <v>1.9239999999999999</v>
      </c>
      <c r="AF3683">
        <v>-1.2567593713591001</v>
      </c>
      <c r="AG3683">
        <v>-1.1111359943770001</v>
      </c>
      <c r="AH3683">
        <v>22.4712814508582</v>
      </c>
      <c r="AI3683">
        <v>92.826385440801801</v>
      </c>
      <c r="AJ3683">
        <v>93.201066766706404</v>
      </c>
      <c r="AK3683">
        <v>22.533809206594</v>
      </c>
      <c r="AL3683">
        <v>73.8456023615379</v>
      </c>
      <c r="AM3683">
        <v>94.779811729606806</v>
      </c>
      <c r="AN3683">
        <v>0.99999996727872398</v>
      </c>
    </row>
    <row r="3684" spans="1:40" x14ac:dyDescent="0.25">
      <c r="A3684" t="str">
        <f>"20190304164924763"</f>
        <v>20190304164924763</v>
      </c>
      <c r="B3684" t="str">
        <f>"1551689364749623"</f>
        <v>1551689364749623</v>
      </c>
      <c r="C3684" t="s">
        <v>40</v>
      </c>
      <c r="D3684">
        <v>4.0772180000000002</v>
      </c>
      <c r="E3684">
        <v>0.51992329999999998</v>
      </c>
      <c r="F3684" t="s">
        <v>46</v>
      </c>
      <c r="G3684">
        <v>-375.60520000000002</v>
      </c>
      <c r="H3684" s="1">
        <v>1.446031E-6</v>
      </c>
      <c r="I3684">
        <v>214.7561</v>
      </c>
      <c r="J3684">
        <v>-398.7466</v>
      </c>
      <c r="K3684">
        <v>1.111081</v>
      </c>
      <c r="L3684">
        <v>212.7791</v>
      </c>
      <c r="M3684">
        <v>0.99949460000000001</v>
      </c>
      <c r="N3684">
        <v>-8.2111300000000005E-3</v>
      </c>
      <c r="O3684">
        <v>3.0709770000000001E-2</v>
      </c>
      <c r="P3684">
        <v>0.95656439999999998</v>
      </c>
      <c r="Q3684">
        <v>0.27138820000000002</v>
      </c>
      <c r="R3684">
        <v>0.10645789999999999</v>
      </c>
      <c r="S3684">
        <v>3.1480709999999998</v>
      </c>
      <c r="T3684">
        <v>-0.1486565</v>
      </c>
      <c r="U3684">
        <v>0.26615909999999998</v>
      </c>
      <c r="V3684">
        <v>-7.8055810000000003E-2</v>
      </c>
      <c r="W3684">
        <v>0.27897179999999999</v>
      </c>
      <c r="X3684">
        <v>0.95712169999999996</v>
      </c>
      <c r="Y3684">
        <v>-5.3558340000000003E-2</v>
      </c>
      <c r="Z3684">
        <v>2.8760249999999998E-4</v>
      </c>
      <c r="AA3684">
        <v>0.99856469999999997</v>
      </c>
      <c r="AB3684">
        <v>40</v>
      </c>
      <c r="AC3684">
        <v>23.141399999999901</v>
      </c>
      <c r="AD3684">
        <v>-1.1110795539689999</v>
      </c>
      <c r="AE3684">
        <v>1.9770000000000001</v>
      </c>
      <c r="AF3684">
        <v>-1.2624872162313701</v>
      </c>
      <c r="AG3684">
        <v>-1.1110795539689999</v>
      </c>
      <c r="AH3684">
        <v>23.138247624505698</v>
      </c>
      <c r="AI3684">
        <v>92.745107350979296</v>
      </c>
      <c r="AJ3684">
        <v>93.1231204425697</v>
      </c>
      <c r="AK3684">
        <v>23.199286085553101</v>
      </c>
      <c r="AL3684">
        <v>73.801151250103004</v>
      </c>
      <c r="AM3684">
        <v>94.662304788219103</v>
      </c>
      <c r="AN3684">
        <v>0.99999996164044203</v>
      </c>
    </row>
    <row r="3685" spans="1:40" x14ac:dyDescent="0.25">
      <c r="A3685" t="str">
        <f>"20190304164924787"</f>
        <v>20190304164924787</v>
      </c>
      <c r="B3685" t="str">
        <f>"1551689364779879"</f>
        <v>1551689364779879</v>
      </c>
      <c r="C3685" t="s">
        <v>40</v>
      </c>
      <c r="D3685">
        <v>4.0779120000000004</v>
      </c>
      <c r="E3685">
        <v>0.5197003</v>
      </c>
      <c r="F3685" t="s">
        <v>46</v>
      </c>
      <c r="G3685">
        <v>-374.97489999999999</v>
      </c>
      <c r="H3685" s="1">
        <v>1.110614E-6</v>
      </c>
      <c r="I3685">
        <v>214.7816</v>
      </c>
      <c r="J3685">
        <v>-398.29899999999998</v>
      </c>
      <c r="K3685">
        <v>1.1110070000000001</v>
      </c>
      <c r="L3685">
        <v>212.79390000000001</v>
      </c>
      <c r="M3685">
        <v>0.99945399999999995</v>
      </c>
      <c r="N3685">
        <v>-8.2260830000000004E-3</v>
      </c>
      <c r="O3685">
        <v>3.2004129999999999E-2</v>
      </c>
      <c r="P3685">
        <v>0.95636500000000002</v>
      </c>
      <c r="Q3685">
        <v>0.27214529999999998</v>
      </c>
      <c r="R3685">
        <v>0.1063156</v>
      </c>
      <c r="S3685">
        <v>3.1484380000000001</v>
      </c>
      <c r="T3685">
        <v>-0.14715699999999901</v>
      </c>
      <c r="U3685">
        <v>0.26522829999999997</v>
      </c>
      <c r="V3685">
        <v>-7.6628509999999997E-2</v>
      </c>
      <c r="W3685">
        <v>0.2797616</v>
      </c>
      <c r="X3685">
        <v>0.95700649999999998</v>
      </c>
      <c r="Y3685">
        <v>-5.1965900000000002E-2</v>
      </c>
      <c r="Z3685">
        <v>1.9698289999999999E-4</v>
      </c>
      <c r="AA3685">
        <v>0.9986488</v>
      </c>
      <c r="AB3685">
        <v>40</v>
      </c>
      <c r="AC3685">
        <v>23.324100000000001</v>
      </c>
      <c r="AD3685">
        <v>-1.111005889386</v>
      </c>
      <c r="AE3685">
        <v>1.98769999999998</v>
      </c>
      <c r="AF3685">
        <v>-1.23740165938213</v>
      </c>
      <c r="AG3685">
        <v>-1.111005889386</v>
      </c>
      <c r="AH3685">
        <v>23.3232304234952</v>
      </c>
      <c r="AI3685">
        <v>92.7234078426644</v>
      </c>
      <c r="AJ3685">
        <v>93.036949980505298</v>
      </c>
      <c r="AK3685">
        <v>23.382441582100501</v>
      </c>
      <c r="AL3685">
        <v>73.754022580878896</v>
      </c>
      <c r="AM3685">
        <v>94.5779658983367</v>
      </c>
      <c r="AN3685">
        <v>0.99999996121081403</v>
      </c>
    </row>
    <row r="3686" spans="1:40" x14ac:dyDescent="0.25">
      <c r="A3686" t="str">
        <f>"20190304164924809"</f>
        <v>20190304164924809</v>
      </c>
      <c r="B3686" t="str">
        <f>"1551689364799399"</f>
        <v>1551689364799399</v>
      </c>
      <c r="C3686" t="s">
        <v>40</v>
      </c>
      <c r="D3686">
        <v>4.1124499999999999</v>
      </c>
      <c r="E3686">
        <v>0.51955340000000005</v>
      </c>
      <c r="F3686" t="s">
        <v>46</v>
      </c>
      <c r="G3686">
        <v>-374.31560000000002</v>
      </c>
      <c r="H3686" s="1">
        <v>7.5977940000000004E-7</v>
      </c>
      <c r="I3686">
        <v>214.8252</v>
      </c>
      <c r="J3686">
        <v>-397.9008</v>
      </c>
      <c r="K3686">
        <v>1.11093</v>
      </c>
      <c r="L3686">
        <v>212.8075</v>
      </c>
      <c r="M3686">
        <v>0.99941930000000001</v>
      </c>
      <c r="N3686">
        <v>-8.2390069999999996E-3</v>
      </c>
      <c r="O3686">
        <v>3.3067029999999997E-2</v>
      </c>
      <c r="P3686">
        <v>0.9561577</v>
      </c>
      <c r="Q3686">
        <v>0.27273570000000003</v>
      </c>
      <c r="R3686">
        <v>0.1066662</v>
      </c>
      <c r="S3686">
        <v>3.1487430000000001</v>
      </c>
      <c r="T3686">
        <v>-0.1458622</v>
      </c>
      <c r="U3686">
        <v>0.26669310000000002</v>
      </c>
      <c r="V3686">
        <v>-7.5915109999999994E-2</v>
      </c>
      <c r="W3686">
        <v>0.28038000000000002</v>
      </c>
      <c r="X3686">
        <v>0.95688240000000002</v>
      </c>
      <c r="Y3686">
        <v>-5.1359109999999999E-2</v>
      </c>
      <c r="Z3686">
        <v>1.433785E-4</v>
      </c>
      <c r="AA3686">
        <v>0.99868020000000002</v>
      </c>
      <c r="AB3686">
        <v>41</v>
      </c>
      <c r="AC3686">
        <v>23.585199999999901</v>
      </c>
      <c r="AD3686">
        <v>-1.1109292402205999</v>
      </c>
      <c r="AE3686">
        <v>2.0176999999999898</v>
      </c>
      <c r="AF3686">
        <v>-1.2339597629768</v>
      </c>
      <c r="AG3686">
        <v>-1.1109292402205999</v>
      </c>
      <c r="AH3686">
        <v>23.5870710165037</v>
      </c>
      <c r="AI3686">
        <v>92.692908342900907</v>
      </c>
      <c r="AJ3686">
        <v>92.994703864168898</v>
      </c>
      <c r="AK3686">
        <v>23.645438029586501</v>
      </c>
      <c r="AL3686">
        <v>73.717114199487597</v>
      </c>
      <c r="AM3686">
        <v>94.536110138663105</v>
      </c>
      <c r="AN3686">
        <v>0.99999998787803601</v>
      </c>
    </row>
    <row r="3687" spans="1:40" x14ac:dyDescent="0.25">
      <c r="A3687" t="str">
        <f>"20190304164924833"</f>
        <v>20190304164924833</v>
      </c>
      <c r="B3687" t="str">
        <f>"1551689364819895"</f>
        <v>1551689364819895</v>
      </c>
      <c r="C3687" t="s">
        <v>40</v>
      </c>
      <c r="D3687">
        <v>4.0919140000000001</v>
      </c>
      <c r="E3687">
        <v>0.51939970000000002</v>
      </c>
      <c r="F3687" t="s">
        <v>46</v>
      </c>
      <c r="G3687">
        <v>-373.84030000000001</v>
      </c>
      <c r="H3687" s="1">
        <v>5.0685010000000001E-7</v>
      </c>
      <c r="I3687">
        <v>214.8689</v>
      </c>
      <c r="J3687">
        <v>-397.4572</v>
      </c>
      <c r="K3687">
        <v>1.1108199999999999</v>
      </c>
      <c r="L3687">
        <v>212.82300000000001</v>
      </c>
      <c r="M3687">
        <v>0.99938309999999997</v>
      </c>
      <c r="N3687">
        <v>-8.2533740000000008E-3</v>
      </c>
      <c r="O3687">
        <v>3.4137899999999999E-2</v>
      </c>
      <c r="P3687">
        <v>0.95582670000000003</v>
      </c>
      <c r="Q3687">
        <v>0.2733737</v>
      </c>
      <c r="R3687">
        <v>0.1079918</v>
      </c>
      <c r="S3687">
        <v>3.148895</v>
      </c>
      <c r="T3687">
        <v>-0.1453924</v>
      </c>
      <c r="U3687">
        <v>0.26979059999999999</v>
      </c>
      <c r="V3687">
        <v>-7.615558E-2</v>
      </c>
      <c r="W3687">
        <v>0.28104780000000001</v>
      </c>
      <c r="X3687">
        <v>0.95666739999999995</v>
      </c>
      <c r="Y3687">
        <v>-5.1261309999999997E-2</v>
      </c>
      <c r="Z3687">
        <v>1.0225350000000001E-4</v>
      </c>
      <c r="AA3687">
        <v>0.99868520000000005</v>
      </c>
      <c r="AB3687">
        <v>41</v>
      </c>
      <c r="AC3687">
        <v>23.616899999999902</v>
      </c>
      <c r="AD3687">
        <v>-1.1108194931499</v>
      </c>
      <c r="AE3687">
        <v>2.0459000000000098</v>
      </c>
      <c r="AF3687">
        <v>-1.2357351999120101</v>
      </c>
      <c r="AG3687">
        <v>-1.1108194931499</v>
      </c>
      <c r="AH3687">
        <v>23.621111228331401</v>
      </c>
      <c r="AI3687">
        <v>92.688768088552195</v>
      </c>
      <c r="AJ3687">
        <v>92.9946908503548</v>
      </c>
      <c r="AK3687">
        <v>23.6794817741408</v>
      </c>
      <c r="AL3687">
        <v>73.677249806391401</v>
      </c>
      <c r="AM3687">
        <v>94.551436907215006</v>
      </c>
      <c r="AN3687">
        <v>1.00000002623636</v>
      </c>
    </row>
    <row r="3688" spans="1:40" x14ac:dyDescent="0.25">
      <c r="A3688" t="str">
        <f>"20190304164924853"</f>
        <v>20190304164924853</v>
      </c>
      <c r="B3688" t="str">
        <f>"1551689364849175"</f>
        <v>1551689364849175</v>
      </c>
      <c r="C3688" t="s">
        <v>40</v>
      </c>
      <c r="D3688">
        <v>4.112501</v>
      </c>
      <c r="E3688">
        <v>0.51925549999999998</v>
      </c>
      <c r="F3688" t="s">
        <v>46</v>
      </c>
      <c r="G3688">
        <v>-373.35320000000002</v>
      </c>
      <c r="H3688" s="1">
        <v>2.4760049999999998E-7</v>
      </c>
      <c r="I3688">
        <v>214.9272</v>
      </c>
      <c r="J3688">
        <v>-397.1037</v>
      </c>
      <c r="K3688">
        <v>1.1107229999999999</v>
      </c>
      <c r="L3688">
        <v>212.8356</v>
      </c>
      <c r="M3688">
        <v>0.99935719999999995</v>
      </c>
      <c r="N3688">
        <v>-8.2645280000000002E-3</v>
      </c>
      <c r="O3688">
        <v>3.4883659999999997E-2</v>
      </c>
      <c r="P3688">
        <v>0.95552440000000005</v>
      </c>
      <c r="Q3688">
        <v>0.27387209999999901</v>
      </c>
      <c r="R3688">
        <v>0.1093928</v>
      </c>
      <c r="S3688">
        <v>3.1491090000000002</v>
      </c>
      <c r="T3688">
        <v>-0.1451249</v>
      </c>
      <c r="U3688">
        <v>0.27490229999999999</v>
      </c>
      <c r="V3688">
        <v>-7.6786950000000007E-2</v>
      </c>
      <c r="W3688">
        <v>0.28157130000000002</v>
      </c>
      <c r="X3688">
        <v>0.95646299999999995</v>
      </c>
      <c r="Y3688">
        <v>-5.2118879999999999E-2</v>
      </c>
      <c r="Z3688" s="1">
        <v>9.887823E-5</v>
      </c>
      <c r="AA3688">
        <v>0.99864090000000005</v>
      </c>
      <c r="AB3688">
        <v>41</v>
      </c>
      <c r="AC3688">
        <v>23.750499999999899</v>
      </c>
      <c r="AD3688">
        <v>-1.11072275239949</v>
      </c>
      <c r="AE3688">
        <v>2.0916000000000001</v>
      </c>
      <c r="AF3688">
        <v>-1.2590617702184601</v>
      </c>
      <c r="AG3688">
        <v>-1.11072275239949</v>
      </c>
      <c r="AH3688">
        <v>23.757449429269499</v>
      </c>
      <c r="AI3688">
        <v>92.673032331821005</v>
      </c>
      <c r="AJ3688">
        <v>93.033638026169598</v>
      </c>
      <c r="AK3688">
        <v>23.8167030665082</v>
      </c>
      <c r="AL3688">
        <v>73.645993659631401</v>
      </c>
      <c r="AM3688">
        <v>94.589986715705095</v>
      </c>
      <c r="AN3688">
        <v>1.00000005152149</v>
      </c>
    </row>
    <row r="3689" spans="1:40" x14ac:dyDescent="0.25">
      <c r="A3689" t="str">
        <f>"20190304164924874"</f>
        <v>20190304164924874</v>
      </c>
      <c r="B3689" t="str">
        <f>"1551689364869672"</f>
        <v>1551689364869672</v>
      </c>
      <c r="C3689" t="s">
        <v>40</v>
      </c>
      <c r="D3689">
        <v>4.0892569999999999</v>
      </c>
      <c r="E3689">
        <v>0.51920599999999995</v>
      </c>
      <c r="F3689" t="s">
        <v>46</v>
      </c>
      <c r="G3689">
        <v>-373.01650000000001</v>
      </c>
      <c r="H3689" s="1">
        <v>6.8462210000000002E-8</v>
      </c>
      <c r="I3689">
        <v>214.98</v>
      </c>
      <c r="J3689">
        <v>-396.70940000000002</v>
      </c>
      <c r="K3689">
        <v>1.1106100000000001</v>
      </c>
      <c r="L3689">
        <v>212.85</v>
      </c>
      <c r="M3689">
        <v>0.999332</v>
      </c>
      <c r="N3689">
        <v>-8.2772339999999996E-3</v>
      </c>
      <c r="O3689">
        <v>3.5598350000000001E-2</v>
      </c>
      <c r="P3689">
        <v>0.95510349999999999</v>
      </c>
      <c r="Q3689">
        <v>0.27495009999999998</v>
      </c>
      <c r="R3689">
        <v>0.1103635</v>
      </c>
      <c r="S3689">
        <v>3.1491699999999998</v>
      </c>
      <c r="T3689">
        <v>-0.1452167</v>
      </c>
      <c r="U3689">
        <v>0.28034969999999998</v>
      </c>
      <c r="V3689">
        <v>-7.700796E-2</v>
      </c>
      <c r="W3689">
        <v>0.28267959999999998</v>
      </c>
      <c r="X3689">
        <v>0.95611820000000003</v>
      </c>
      <c r="Y3689">
        <v>-5.311631E-2</v>
      </c>
      <c r="Z3689" s="1">
        <v>9.9598659999999996E-5</v>
      </c>
      <c r="AA3689">
        <v>0.99858829999999998</v>
      </c>
      <c r="AB3689">
        <v>41</v>
      </c>
      <c r="AC3689">
        <v>23.692900000000002</v>
      </c>
      <c r="AD3689">
        <v>-1.11060993153779</v>
      </c>
      <c r="AE3689">
        <v>2.1299999999999901</v>
      </c>
      <c r="AF3689">
        <v>-1.2823977066379</v>
      </c>
      <c r="AG3689">
        <v>-1.11060993153779</v>
      </c>
      <c r="AH3689">
        <v>23.702046322765199</v>
      </c>
      <c r="AI3689">
        <v>92.678841326379398</v>
      </c>
      <c r="AJ3689">
        <v>93.096964895948503</v>
      </c>
      <c r="AK3689">
        <v>23.762680786992998</v>
      </c>
      <c r="AL3689">
        <v>73.5798030404587</v>
      </c>
      <c r="AM3689">
        <v>94.604793899773398</v>
      </c>
      <c r="AN3689">
        <v>0.99999999726538003</v>
      </c>
    </row>
    <row r="3690" spans="1:40" x14ac:dyDescent="0.25">
      <c r="A3690" t="str">
        <f>"20190304164924898"</f>
        <v>20190304164924898</v>
      </c>
      <c r="B3690" t="str">
        <f>"1551689364889191"</f>
        <v>1551689364889191</v>
      </c>
      <c r="C3690" t="s">
        <v>40</v>
      </c>
      <c r="D3690">
        <v>4.5913320000000004</v>
      </c>
      <c r="E3690">
        <v>0.51922460000000004</v>
      </c>
      <c r="F3690" t="s">
        <v>46</v>
      </c>
      <c r="G3690">
        <v>-372.29969999999997</v>
      </c>
      <c r="H3690" s="1">
        <v>-3.1303559999999998E-7</v>
      </c>
      <c r="I3690">
        <v>215.05330000000001</v>
      </c>
      <c r="J3690">
        <v>-396.26839999999999</v>
      </c>
      <c r="K3690">
        <v>1.110476</v>
      </c>
      <c r="L3690">
        <v>212.86619999999999</v>
      </c>
      <c r="M3690">
        <v>0.99930920000000001</v>
      </c>
      <c r="N3690">
        <v>-8.2913850000000001E-3</v>
      </c>
      <c r="O3690">
        <v>3.6231079999999999E-2</v>
      </c>
      <c r="P3690">
        <v>0.95457449999999999</v>
      </c>
      <c r="Q3690">
        <v>0.27670260000000002</v>
      </c>
      <c r="R3690">
        <v>0.1105598</v>
      </c>
      <c r="S3690">
        <v>3.1494140000000002</v>
      </c>
      <c r="T3690">
        <v>-0.14329410000000001</v>
      </c>
      <c r="U3690">
        <v>0.2842865</v>
      </c>
      <c r="V3690">
        <v>-7.6522110000000004E-2</v>
      </c>
      <c r="W3690">
        <v>0.28446939999999998</v>
      </c>
      <c r="X3690">
        <v>0.95562619999999998</v>
      </c>
      <c r="Y3690">
        <v>-5.3715939999999997E-2</v>
      </c>
      <c r="Z3690" s="1">
        <v>9.8688469999999993E-5</v>
      </c>
      <c r="AA3690">
        <v>0.99855629999999995</v>
      </c>
      <c r="AB3690">
        <v>41</v>
      </c>
      <c r="AC3690">
        <v>23.968699999999998</v>
      </c>
      <c r="AD3690">
        <v>-1.1104763130355999</v>
      </c>
      <c r="AE3690">
        <v>2.1871000000000098</v>
      </c>
      <c r="AF3690">
        <v>-1.3144242289402299</v>
      </c>
      <c r="AG3690">
        <v>-1.1104763130355999</v>
      </c>
      <c r="AH3690">
        <v>23.981155368185401</v>
      </c>
      <c r="AI3690">
        <v>92.647288371730596</v>
      </c>
      <c r="AJ3690">
        <v>93.137283360542099</v>
      </c>
      <c r="AK3690">
        <v>24.042809350999001</v>
      </c>
      <c r="AL3690">
        <v>73.472864517477603</v>
      </c>
      <c r="AM3690">
        <v>94.578211467306502</v>
      </c>
      <c r="AN3690">
        <v>0.99999995349082504</v>
      </c>
    </row>
    <row r="3691" spans="1:40" x14ac:dyDescent="0.25">
      <c r="A3691" t="str">
        <f>"20190304164924922"</f>
        <v>20190304164924922</v>
      </c>
      <c r="B3691" t="str">
        <f>"1551689364909687"</f>
        <v>1551689364909687</v>
      </c>
      <c r="C3691" t="s">
        <v>40</v>
      </c>
      <c r="D3691">
        <v>4.1348710000000004</v>
      </c>
      <c r="E3691">
        <v>0.51928859999999999</v>
      </c>
      <c r="F3691" t="s">
        <v>46</v>
      </c>
      <c r="G3691">
        <v>-371.07040000000001</v>
      </c>
      <c r="H3691" s="1">
        <v>-9.6719540000000007E-7</v>
      </c>
      <c r="I3691">
        <v>215.1499</v>
      </c>
      <c r="J3691">
        <v>-395.84359999999998</v>
      </c>
      <c r="K3691">
        <v>1.1103400000000001</v>
      </c>
      <c r="L3691">
        <v>212.8819</v>
      </c>
      <c r="M3691">
        <v>0.99929230000000002</v>
      </c>
      <c r="N3691">
        <v>-8.3050740000000008E-3</v>
      </c>
      <c r="O3691">
        <v>3.668718E-2</v>
      </c>
      <c r="P3691">
        <v>0.95455429999999997</v>
      </c>
      <c r="Q3691">
        <v>0.27688970000000002</v>
      </c>
      <c r="R3691">
        <v>0.11026469999999999</v>
      </c>
      <c r="S3691">
        <v>3.149902</v>
      </c>
      <c r="T3691">
        <v>-0.1388162</v>
      </c>
      <c r="U3691">
        <v>0.28547670000000003</v>
      </c>
      <c r="V3691">
        <v>-7.5694719999999993E-2</v>
      </c>
      <c r="W3691">
        <v>0.28469709999999998</v>
      </c>
      <c r="X3691">
        <v>0.95562429999999998</v>
      </c>
      <c r="Y3691">
        <v>-5.3622780000000002E-2</v>
      </c>
      <c r="Z3691" s="1">
        <v>9.4200889999999994E-5</v>
      </c>
      <c r="AA3691">
        <v>0.99856129999999999</v>
      </c>
      <c r="AB3691">
        <v>41</v>
      </c>
      <c r="AC3691">
        <v>24.7731999999999</v>
      </c>
      <c r="AD3691">
        <v>-1.1103409671954001</v>
      </c>
      <c r="AE3691">
        <v>2.2679999999999998</v>
      </c>
      <c r="AF3691">
        <v>-1.3548837506589699</v>
      </c>
      <c r="AG3691">
        <v>-1.1103409671954001</v>
      </c>
      <c r="AH3691">
        <v>24.790344627464201</v>
      </c>
      <c r="AI3691">
        <v>92.560704593958206</v>
      </c>
      <c r="AJ3691">
        <v>93.128313327271499</v>
      </c>
      <c r="AK3691">
        <v>24.852157930241699</v>
      </c>
      <c r="AL3691">
        <v>73.459255769311198</v>
      </c>
      <c r="AM3691">
        <v>94.528925893043905</v>
      </c>
      <c r="AN3691">
        <v>0.99999996606738795</v>
      </c>
    </row>
    <row r="3692" spans="1:40" x14ac:dyDescent="0.25">
      <c r="A3692" t="str">
        <f>"20190304164924941"</f>
        <v>20190304164924941</v>
      </c>
      <c r="B3692" t="str">
        <f>"1551689364929207"</f>
        <v>1551689364929207</v>
      </c>
      <c r="C3692" t="s">
        <v>40</v>
      </c>
      <c r="D3692">
        <v>4.1505419999999997</v>
      </c>
      <c r="E3692">
        <v>0.519285</v>
      </c>
      <c r="F3692" t="s">
        <v>46</v>
      </c>
      <c r="G3692">
        <v>-370.89409999999998</v>
      </c>
      <c r="H3692" s="1">
        <v>-1.0609709999999999E-6</v>
      </c>
      <c r="I3692">
        <v>215.1396</v>
      </c>
      <c r="J3692">
        <v>-395.4828</v>
      </c>
      <c r="K3692">
        <v>1.110231</v>
      </c>
      <c r="L3692">
        <v>212.89529999999999</v>
      </c>
      <c r="M3692">
        <v>0.99928150000000004</v>
      </c>
      <c r="N3692">
        <v>-8.3167669999999992E-3</v>
      </c>
      <c r="O3692">
        <v>3.6977120000000002E-2</v>
      </c>
      <c r="P3692">
        <v>0.9546869</v>
      </c>
      <c r="Q3692">
        <v>0.27657589999999999</v>
      </c>
      <c r="R3692">
        <v>0.109904</v>
      </c>
      <c r="S3692">
        <v>3.1505740000000002</v>
      </c>
      <c r="T3692">
        <v>-0.14021210000000001</v>
      </c>
      <c r="U3692">
        <v>0.28509519999999999</v>
      </c>
      <c r="V3692">
        <v>-7.4974840000000001E-2</v>
      </c>
      <c r="W3692">
        <v>0.28441689999999997</v>
      </c>
      <c r="X3692">
        <v>0.95576450000000002</v>
      </c>
      <c r="Y3692">
        <v>-5.3194110000000003E-2</v>
      </c>
      <c r="Z3692" s="1">
        <v>6.8934869999999994E-5</v>
      </c>
      <c r="AA3692">
        <v>0.99858420000000003</v>
      </c>
      <c r="AB3692">
        <v>41</v>
      </c>
      <c r="AC3692">
        <v>24.588699999999999</v>
      </c>
      <c r="AD3692">
        <v>-1.1102320609709999</v>
      </c>
      <c r="AE3692">
        <v>2.2443</v>
      </c>
      <c r="AF3692">
        <v>-1.3308235317486199</v>
      </c>
      <c r="AG3692">
        <v>-1.1102320609709999</v>
      </c>
      <c r="AH3692">
        <v>24.605125175645199</v>
      </c>
      <c r="AI3692">
        <v>92.579781203554106</v>
      </c>
      <c r="AJ3692">
        <v>93.095954444176996</v>
      </c>
      <c r="AK3692">
        <v>24.666087882172</v>
      </c>
      <c r="AL3692">
        <v>73.476002765555094</v>
      </c>
      <c r="AM3692">
        <v>94.485375702818303</v>
      </c>
      <c r="AN3692">
        <v>0.99999998954944203</v>
      </c>
    </row>
    <row r="3693" spans="1:40" x14ac:dyDescent="0.25">
      <c r="A3693" t="str">
        <f>"20190304164924964"</f>
        <v>20190304164924964</v>
      </c>
      <c r="B3693" t="str">
        <f>"1551689364949704"</f>
        <v>1551689364949704</v>
      </c>
      <c r="C3693" t="s">
        <v>40</v>
      </c>
      <c r="D3693">
        <v>4.1625209999999999</v>
      </c>
      <c r="E3693">
        <v>0.51924040000000005</v>
      </c>
      <c r="F3693" t="s">
        <v>46</v>
      </c>
      <c r="G3693">
        <v>-371.15140000000002</v>
      </c>
      <c r="H3693" s="1">
        <v>-9.2407620000000003E-7</v>
      </c>
      <c r="I3693">
        <v>215.09209999999999</v>
      </c>
      <c r="J3693">
        <v>-395.06259999999997</v>
      </c>
      <c r="K3693">
        <v>1.110115</v>
      </c>
      <c r="L3693">
        <v>212.9111</v>
      </c>
      <c r="M3693">
        <v>0.99927270000000001</v>
      </c>
      <c r="N3693">
        <v>-8.3305930000000007E-3</v>
      </c>
      <c r="O3693">
        <v>3.7209800000000001E-2</v>
      </c>
      <c r="P3693">
        <v>0.95463410000000004</v>
      </c>
      <c r="Q3693">
        <v>0.27690949999999998</v>
      </c>
      <c r="R3693">
        <v>0.1095204</v>
      </c>
      <c r="S3693">
        <v>3.1513059999999999</v>
      </c>
      <c r="T3693">
        <v>-0.14379259999999999</v>
      </c>
      <c r="U3693">
        <v>0.28451539999999997</v>
      </c>
      <c r="V3693">
        <v>-7.429094E-2</v>
      </c>
      <c r="W3693">
        <v>0.2847848</v>
      </c>
      <c r="X3693">
        <v>0.95570829999999996</v>
      </c>
      <c r="Y3693">
        <v>-5.2757739999999997E-2</v>
      </c>
      <c r="Z3693" s="1">
        <v>3.7794579999999998E-5</v>
      </c>
      <c r="AA3693">
        <v>0.99860729999999998</v>
      </c>
      <c r="AB3693">
        <v>41</v>
      </c>
      <c r="AC3693">
        <v>23.911199999999901</v>
      </c>
      <c r="AD3693">
        <v>-1.1101159240762</v>
      </c>
      <c r="AE3693">
        <v>2.1809999999999801</v>
      </c>
      <c r="AF3693">
        <v>-1.28697650953346</v>
      </c>
      <c r="AG3693">
        <v>-1.1101159240762</v>
      </c>
      <c r="AH3693">
        <v>23.924654725577302</v>
      </c>
      <c r="AI3693">
        <v>92.652817342721306</v>
      </c>
      <c r="AJ3693">
        <v>93.079138297792298</v>
      </c>
      <c r="AK3693">
        <v>23.9849488146018</v>
      </c>
      <c r="AL3693">
        <v>73.454013503979496</v>
      </c>
      <c r="AM3693">
        <v>94.444886338931994</v>
      </c>
      <c r="AN3693">
        <v>0.99999994038300499</v>
      </c>
    </row>
    <row r="3694" spans="1:40" x14ac:dyDescent="0.25">
      <c r="A3694" t="str">
        <f>"20190304164924986"</f>
        <v>20190304164924986</v>
      </c>
      <c r="B3694" t="str">
        <f>"1551689364979960"</f>
        <v>1551689364979960</v>
      </c>
      <c r="C3694" t="s">
        <v>40</v>
      </c>
      <c r="D3694">
        <v>4.1727999999999996</v>
      </c>
      <c r="E3694">
        <v>0.51917590000000002</v>
      </c>
      <c r="F3694" t="s">
        <v>46</v>
      </c>
      <c r="G3694">
        <v>-370.88990000000001</v>
      </c>
      <c r="H3694" s="1">
        <v>-1.0632099999999999E-6</v>
      </c>
      <c r="I3694">
        <v>215.09270000000001</v>
      </c>
      <c r="J3694">
        <v>-394.63799999999998</v>
      </c>
      <c r="K3694">
        <v>1.1100209999999999</v>
      </c>
      <c r="L3694">
        <v>212.92699999999999</v>
      </c>
      <c r="M3694">
        <v>0.99926720000000002</v>
      </c>
      <c r="N3694">
        <v>-8.3444339999999995E-3</v>
      </c>
      <c r="O3694">
        <v>3.7358420000000003E-2</v>
      </c>
      <c r="P3694">
        <v>0.95410660000000003</v>
      </c>
      <c r="Q3694">
        <v>0.27890520000000002</v>
      </c>
      <c r="R3694">
        <v>0.1090535</v>
      </c>
      <c r="S3694">
        <v>3.1519170000000001</v>
      </c>
      <c r="T3694">
        <v>-0.1447502</v>
      </c>
      <c r="U3694">
        <v>0.28446959999999999</v>
      </c>
      <c r="V3694">
        <v>-7.3634790000000006E-2</v>
      </c>
      <c r="W3694">
        <v>0.28680820000000001</v>
      </c>
      <c r="X3694">
        <v>0.9551539</v>
      </c>
      <c r="Y3694">
        <v>-5.2577440000000003E-2</v>
      </c>
      <c r="Z3694" s="1">
        <v>2.5053280000000001E-5</v>
      </c>
      <c r="AA3694">
        <v>0.99861690000000003</v>
      </c>
      <c r="AB3694">
        <v>41</v>
      </c>
      <c r="AC3694">
        <v>23.748100000000001</v>
      </c>
      <c r="AD3694">
        <v>-1.11002206321</v>
      </c>
      <c r="AE3694">
        <v>2.1656999999999802</v>
      </c>
      <c r="AF3694">
        <v>-1.27420491748126</v>
      </c>
      <c r="AG3694">
        <v>-1.11002206321</v>
      </c>
      <c r="AH3694">
        <v>23.760946954266</v>
      </c>
      <c r="AI3694">
        <v>92.670866621697201</v>
      </c>
      <c r="AJ3694">
        <v>93.069604161239994</v>
      </c>
      <c r="AK3694">
        <v>23.820964449744501</v>
      </c>
      <c r="AL3694">
        <v>73.333036235452397</v>
      </c>
      <c r="AM3694">
        <v>94.408330785488801</v>
      </c>
      <c r="AN3694">
        <v>0.99999999928539696</v>
      </c>
    </row>
    <row r="3695" spans="1:40" x14ac:dyDescent="0.25">
      <c r="A3695" t="str">
        <f>"20190304164925010"</f>
        <v>20190304164925010</v>
      </c>
      <c r="B3695" t="str">
        <f>"1551689364999483"</f>
        <v>1551689364999483</v>
      </c>
      <c r="C3695" t="s">
        <v>40</v>
      </c>
      <c r="D3695">
        <v>4.1698069999999996</v>
      </c>
      <c r="E3695">
        <v>0.51911030000000002</v>
      </c>
      <c r="F3695" t="s">
        <v>46</v>
      </c>
      <c r="G3695">
        <v>-369.73790000000002</v>
      </c>
      <c r="H3695" s="1">
        <v>3.6452669999999998E-6</v>
      </c>
      <c r="I3695">
        <v>215.1737</v>
      </c>
      <c r="J3695">
        <v>-394.21859999999998</v>
      </c>
      <c r="K3695">
        <v>1.10995</v>
      </c>
      <c r="L3695">
        <v>212.9427</v>
      </c>
      <c r="M3695">
        <v>0.99926400000000004</v>
      </c>
      <c r="N3695">
        <v>-8.3580630000000006E-3</v>
      </c>
      <c r="O3695">
        <v>3.7439140000000003E-2</v>
      </c>
      <c r="P3695">
        <v>0.95367360000000001</v>
      </c>
      <c r="Q3695">
        <v>0.28076400000000001</v>
      </c>
      <c r="R3695">
        <v>0.10806689999999999</v>
      </c>
      <c r="S3695">
        <v>3.152863</v>
      </c>
      <c r="T3695">
        <v>-0.14055119999999999</v>
      </c>
      <c r="U3695">
        <v>0.28448489999999999</v>
      </c>
      <c r="V3695">
        <v>-7.2530209999999998E-2</v>
      </c>
      <c r="W3695">
        <v>0.288692</v>
      </c>
      <c r="X3695">
        <v>0.95467080000000004</v>
      </c>
      <c r="Y3695">
        <v>-5.2476500000000002E-2</v>
      </c>
      <c r="Z3695" s="1">
        <v>3.5156439999999997E-5</v>
      </c>
      <c r="AA3695">
        <v>0.99862220000000002</v>
      </c>
      <c r="AB3695">
        <v>41</v>
      </c>
      <c r="AC3695">
        <v>24.480699999999899</v>
      </c>
      <c r="AD3695">
        <v>-1.109946354733</v>
      </c>
      <c r="AE3695">
        <v>2.2309999999999901</v>
      </c>
      <c r="AF3695">
        <v>-1.31019626437333</v>
      </c>
      <c r="AG3695">
        <v>-1.109946354733</v>
      </c>
      <c r="AH3695">
        <v>24.497121710437799</v>
      </c>
      <c r="AI3695">
        <v>92.590557379943803</v>
      </c>
      <c r="AJ3695">
        <v>93.061472349340207</v>
      </c>
      <c r="AK3695">
        <v>24.557230447621102</v>
      </c>
      <c r="AL3695">
        <v>73.220336165082102</v>
      </c>
      <c r="AM3695">
        <v>94.344646238292299</v>
      </c>
      <c r="AN3695">
        <v>1.0000000192996401</v>
      </c>
    </row>
    <row r="3696" spans="1:40" x14ac:dyDescent="0.25">
      <c r="A3696" t="str">
        <f>"20190304164925031"</f>
        <v>20190304164925031</v>
      </c>
      <c r="B3696" t="str">
        <f>"1551689365019976"</f>
        <v>1551689365019976</v>
      </c>
      <c r="C3696" t="s">
        <v>40</v>
      </c>
      <c r="D3696">
        <v>4.1680859999999997</v>
      </c>
      <c r="E3696">
        <v>0.51909079999999996</v>
      </c>
      <c r="F3696" t="s">
        <v>46</v>
      </c>
      <c r="G3696">
        <v>-368.53120000000001</v>
      </c>
      <c r="H3696" s="1">
        <v>3.0030790000000002E-6</v>
      </c>
      <c r="I3696">
        <v>215.25749999999999</v>
      </c>
      <c r="J3696">
        <v>-393.8279</v>
      </c>
      <c r="K3696">
        <v>1.1098790000000001</v>
      </c>
      <c r="L3696">
        <v>212.95740000000001</v>
      </c>
      <c r="M3696">
        <v>0.99926289999999995</v>
      </c>
      <c r="N3696">
        <v>-8.3707279999999992E-3</v>
      </c>
      <c r="O3696">
        <v>3.7464419999999998E-2</v>
      </c>
      <c r="P3696">
        <v>0.95331909999999997</v>
      </c>
      <c r="Q3696">
        <v>0.28226269999999998</v>
      </c>
      <c r="R3696">
        <v>0.1072877</v>
      </c>
      <c r="S3696">
        <v>3.1536249999999999</v>
      </c>
      <c r="T3696">
        <v>-0.13626750000000001</v>
      </c>
      <c r="U3696">
        <v>0.28417969999999998</v>
      </c>
      <c r="V3696">
        <v>-7.1692270000000002E-2</v>
      </c>
      <c r="W3696">
        <v>0.29021229999999998</v>
      </c>
      <c r="X3696">
        <v>0.95427300000000004</v>
      </c>
      <c r="Y3696">
        <v>-5.23355E-2</v>
      </c>
      <c r="Z3696" s="1">
        <v>4.6705890000000002E-5</v>
      </c>
      <c r="AA3696">
        <v>0.99862960000000001</v>
      </c>
      <c r="AB3696">
        <v>41</v>
      </c>
      <c r="AC3696">
        <v>25.296699999999898</v>
      </c>
      <c r="AD3696">
        <v>-1.1098759969209999</v>
      </c>
      <c r="AE3696">
        <v>2.30009999999998</v>
      </c>
      <c r="AF3696">
        <v>-1.34815187271715</v>
      </c>
      <c r="AG3696">
        <v>-1.1098759969209999</v>
      </c>
      <c r="AH3696">
        <v>25.316780311815599</v>
      </c>
      <c r="AI3696">
        <v>92.506666271973501</v>
      </c>
      <c r="AJ3696">
        <v>93.0481965856968</v>
      </c>
      <c r="AK3696">
        <v>25.3769325088196</v>
      </c>
      <c r="AL3696">
        <v>73.129332758852001</v>
      </c>
      <c r="AM3696">
        <v>94.296425084155004</v>
      </c>
      <c r="AN3696">
        <v>0.99999995958901999</v>
      </c>
    </row>
    <row r="3697" spans="1:40" x14ac:dyDescent="0.25">
      <c r="A3697" t="str">
        <f>"20190304164925054"</f>
        <v>20190304164925054</v>
      </c>
      <c r="B3697" t="str">
        <f>"1551689365039495"</f>
        <v>1551689365039495</v>
      </c>
      <c r="C3697" t="s">
        <v>40</v>
      </c>
      <c r="D3697">
        <v>4.1705209999999999</v>
      </c>
      <c r="E3697">
        <v>0.51901359999999996</v>
      </c>
      <c r="F3697" t="s">
        <v>46</v>
      </c>
      <c r="G3697">
        <v>-367.54180000000002</v>
      </c>
      <c r="H3697" s="1">
        <v>2.4766000000000001E-6</v>
      </c>
      <c r="I3697">
        <v>215.3143</v>
      </c>
      <c r="J3697">
        <v>-393.41070000000002</v>
      </c>
      <c r="K3697">
        <v>1.1098059999999901</v>
      </c>
      <c r="L3697">
        <v>212.97309999999999</v>
      </c>
      <c r="M3697">
        <v>0.99926340000000002</v>
      </c>
      <c r="N3697">
        <v>-8.3842719999999999E-3</v>
      </c>
      <c r="O3697">
        <v>3.7449160000000002E-2</v>
      </c>
      <c r="P3697">
        <v>0.95346209999999998</v>
      </c>
      <c r="Q3697">
        <v>0.28234700000000001</v>
      </c>
      <c r="R3697">
        <v>0.105785</v>
      </c>
      <c r="S3697">
        <v>3.154541</v>
      </c>
      <c r="T3697">
        <v>-0.13319420000000001</v>
      </c>
      <c r="U3697">
        <v>0.2828522</v>
      </c>
      <c r="V3697">
        <v>-7.0149879999999998E-2</v>
      </c>
      <c r="W3697">
        <v>0.29032360000000001</v>
      </c>
      <c r="X3697">
        <v>0.95435380000000003</v>
      </c>
      <c r="Y3697">
        <v>-5.1909530000000002E-2</v>
      </c>
      <c r="Z3697" s="1">
        <v>4.83981E-5</v>
      </c>
      <c r="AA3697">
        <v>0.99865179999999998</v>
      </c>
      <c r="AB3697">
        <v>41</v>
      </c>
      <c r="AC3697">
        <v>25.8689</v>
      </c>
      <c r="AD3697">
        <v>-1.1098035234000001</v>
      </c>
      <c r="AE3697">
        <v>2.3412000000000099</v>
      </c>
      <c r="AF3697">
        <v>-1.3682572024272599</v>
      </c>
      <c r="AG3697">
        <v>-1.1098035234000001</v>
      </c>
      <c r="AH3697">
        <v>25.8911660256</v>
      </c>
      <c r="AI3697">
        <v>92.451017986655401</v>
      </c>
      <c r="AJ3697">
        <v>93.025066749418201</v>
      </c>
      <c r="AK3697">
        <v>25.951036006250899</v>
      </c>
      <c r="AL3697">
        <v>73.122669301479405</v>
      </c>
      <c r="AM3697">
        <v>94.203972035690398</v>
      </c>
      <c r="AN3697">
        <v>0.99999998697770698</v>
      </c>
    </row>
    <row r="3698" spans="1:40" x14ac:dyDescent="0.25">
      <c r="A3698" t="str">
        <f>"20190304164925076"</f>
        <v>20190304164925076</v>
      </c>
      <c r="B3698" t="str">
        <f>"1551689365069752"</f>
        <v>1551689365069752</v>
      </c>
      <c r="C3698" t="s">
        <v>40</v>
      </c>
      <c r="D3698">
        <v>4.2210150000000004</v>
      </c>
      <c r="E3698">
        <v>0.51894119999999999</v>
      </c>
      <c r="F3698" t="s">
        <v>46</v>
      </c>
      <c r="G3698">
        <v>-367.39679999999998</v>
      </c>
      <c r="H3698" s="1">
        <v>2.3993960000000002E-6</v>
      </c>
      <c r="I3698">
        <v>215.28</v>
      </c>
      <c r="J3698">
        <v>-392.99130000000002</v>
      </c>
      <c r="K3698">
        <v>1.1097360000000001</v>
      </c>
      <c r="L3698">
        <v>212.9888</v>
      </c>
      <c r="M3698">
        <v>0.99926530000000002</v>
      </c>
      <c r="N3698">
        <v>-8.3979569999999993E-3</v>
      </c>
      <c r="O3698">
        <v>3.7394799999999999E-2</v>
      </c>
      <c r="P3698">
        <v>0.95354680000000003</v>
      </c>
      <c r="Q3698">
        <v>0.2824585</v>
      </c>
      <c r="R3698">
        <v>0.1047186</v>
      </c>
      <c r="S3698">
        <v>3.155243</v>
      </c>
      <c r="T3698">
        <v>-0.13460849999999999</v>
      </c>
      <c r="U3698">
        <v>0.2798157</v>
      </c>
      <c r="V3698">
        <v>-6.908562E-2</v>
      </c>
      <c r="W3698">
        <v>0.290460099999999</v>
      </c>
      <c r="X3698">
        <v>0.95438990000000001</v>
      </c>
      <c r="Y3698">
        <v>-5.099099E-2</v>
      </c>
      <c r="Z3698" s="1">
        <v>2.266368E-5</v>
      </c>
      <c r="AA3698">
        <v>0.99869909999999995</v>
      </c>
      <c r="AB3698">
        <v>41</v>
      </c>
      <c r="AC3698">
        <v>25.5945</v>
      </c>
      <c r="AD3698">
        <v>-1.1097336006039999</v>
      </c>
      <c r="AE3698">
        <v>2.2911999999999999</v>
      </c>
      <c r="AF3698">
        <v>-1.32998199948769</v>
      </c>
      <c r="AG3698">
        <v>-1.1097336006039999</v>
      </c>
      <c r="AH3698">
        <v>25.6145082213595</v>
      </c>
      <c r="AI3698">
        <v>92.477421665542593</v>
      </c>
      <c r="AJ3698">
        <v>92.972299325420494</v>
      </c>
      <c r="AK3698">
        <v>25.673009021253499</v>
      </c>
      <c r="AL3698">
        <v>73.114496230757496</v>
      </c>
      <c r="AM3698">
        <v>94.1402600468586</v>
      </c>
      <c r="AN3698">
        <v>0.99999998690240199</v>
      </c>
    </row>
    <row r="3699" spans="1:40" x14ac:dyDescent="0.25">
      <c r="A3699" t="str">
        <f>"20190304164925100"</f>
        <v>20190304164925100</v>
      </c>
      <c r="B3699" t="str">
        <f>"1551689365089271"</f>
        <v>1551689365089271</v>
      </c>
      <c r="C3699" t="s">
        <v>40</v>
      </c>
      <c r="D3699">
        <v>4.197114</v>
      </c>
      <c r="E3699">
        <v>0.51889370000000001</v>
      </c>
      <c r="F3699" t="s">
        <v>46</v>
      </c>
      <c r="G3699">
        <v>-367.55919999999998</v>
      </c>
      <c r="H3699" s="1">
        <v>2.4858570000000001E-6</v>
      </c>
      <c r="I3699">
        <v>215.22839999999999</v>
      </c>
      <c r="J3699">
        <v>-392.56130000000002</v>
      </c>
      <c r="K3699">
        <v>1.1096649999999999</v>
      </c>
      <c r="L3699">
        <v>213.00479999999999</v>
      </c>
      <c r="M3699">
        <v>0.99926859999999995</v>
      </c>
      <c r="N3699">
        <v>-8.4118839999999997E-3</v>
      </c>
      <c r="O3699">
        <v>3.7301349999999997E-2</v>
      </c>
      <c r="P3699">
        <v>0.9536289</v>
      </c>
      <c r="Q3699">
        <v>0.28272190000000003</v>
      </c>
      <c r="R3699">
        <v>0.1032474</v>
      </c>
      <c r="S3699">
        <v>3.1564030000000001</v>
      </c>
      <c r="T3699">
        <v>-0.13773050000000001</v>
      </c>
      <c r="U3699">
        <v>0.27796939999999998</v>
      </c>
      <c r="V3699">
        <v>-6.7655380000000001E-2</v>
      </c>
      <c r="W3699">
        <v>0.29074840000000002</v>
      </c>
      <c r="X3699">
        <v>0.95440460000000005</v>
      </c>
      <c r="Y3699">
        <v>-5.0471849999999999E-2</v>
      </c>
      <c r="Z3699" s="1">
        <v>1.7873240000000001E-6</v>
      </c>
      <c r="AA3699">
        <v>0.99872550000000004</v>
      </c>
      <c r="AB3699">
        <v>42</v>
      </c>
      <c r="AC3699">
        <v>25.002099999999999</v>
      </c>
      <c r="AD3699">
        <v>-1.1096625141430001</v>
      </c>
      <c r="AE3699">
        <v>2.2235999999999998</v>
      </c>
      <c r="AF3699">
        <v>-1.2868922038178201</v>
      </c>
      <c r="AG3699">
        <v>-1.1096625141430001</v>
      </c>
      <c r="AH3699">
        <v>25.018749145813601</v>
      </c>
      <c r="AI3699">
        <v>92.536240308830003</v>
      </c>
      <c r="AJ3699">
        <v>92.944534401984896</v>
      </c>
      <c r="AK3699">
        <v>25.076388321700001</v>
      </c>
      <c r="AL3699">
        <v>73.097233254932902</v>
      </c>
      <c r="AM3699">
        <v>94.054773282337393</v>
      </c>
      <c r="AN3699">
        <v>1.0000000115233301</v>
      </c>
    </row>
    <row r="3700" spans="1:40" x14ac:dyDescent="0.25">
      <c r="A3700" t="str">
        <f>"20190304164925121"</f>
        <v>20190304164925121</v>
      </c>
      <c r="B3700" t="str">
        <f>"1551689365109767"</f>
        <v>1551689365109767</v>
      </c>
      <c r="C3700" t="s">
        <v>40</v>
      </c>
      <c r="D3700">
        <v>4.2188379999999999</v>
      </c>
      <c r="E3700">
        <v>0.51675400000000005</v>
      </c>
      <c r="F3700" t="s">
        <v>46</v>
      </c>
      <c r="G3700">
        <v>-367.22719999999998</v>
      </c>
      <c r="H3700" s="1">
        <v>2.3091749999999998E-6</v>
      </c>
      <c r="I3700">
        <v>215.19730000000001</v>
      </c>
      <c r="J3700">
        <v>-392.14850000000001</v>
      </c>
      <c r="K3700">
        <v>1.1096029999999999</v>
      </c>
      <c r="L3700">
        <v>213.02019999999999</v>
      </c>
      <c r="M3700">
        <v>0.99927290000000002</v>
      </c>
      <c r="N3700">
        <v>-8.4253609999999993E-3</v>
      </c>
      <c r="O3700">
        <v>3.7183420000000002E-2</v>
      </c>
      <c r="P3700">
        <v>0.95371689999999998</v>
      </c>
      <c r="Q3700">
        <v>0.2831302</v>
      </c>
      <c r="R3700">
        <v>0.10129779999999999</v>
      </c>
      <c r="S3700">
        <v>3.1572879999999999</v>
      </c>
      <c r="T3700">
        <v>-0.1382929</v>
      </c>
      <c r="U3700">
        <v>0.27323910000000001</v>
      </c>
      <c r="V3700">
        <v>-6.5776719999999997E-2</v>
      </c>
      <c r="W3700">
        <v>0.29117910000000002</v>
      </c>
      <c r="X3700">
        <v>0.95440460000000005</v>
      </c>
      <c r="Y3700">
        <v>-4.9081519999999997E-2</v>
      </c>
      <c r="Z3700" s="1">
        <v>-3.1498029999999998E-5</v>
      </c>
      <c r="AA3700">
        <v>0.99879479999999998</v>
      </c>
      <c r="AB3700">
        <v>42</v>
      </c>
      <c r="AC3700">
        <v>24.921299999999999</v>
      </c>
      <c r="AD3700">
        <v>-1.109600690825</v>
      </c>
      <c r="AE3700">
        <v>2.1771000000000198</v>
      </c>
      <c r="AF3700">
        <v>-1.2464499907072699</v>
      </c>
      <c r="AG3700">
        <v>-1.109600690825</v>
      </c>
      <c r="AH3700">
        <v>24.9359607985824</v>
      </c>
      <c r="AI3700">
        <v>92.544694609917798</v>
      </c>
      <c r="AJ3700">
        <v>92.861607501274506</v>
      </c>
      <c r="AK3700">
        <v>24.991738479362599</v>
      </c>
      <c r="AL3700">
        <v>73.071439667617696</v>
      </c>
      <c r="AM3700">
        <v>93.942540130418905</v>
      </c>
      <c r="AN3700">
        <v>0.99999999283596397</v>
      </c>
    </row>
    <row r="3701" spans="1:40" x14ac:dyDescent="0.25">
      <c r="A3701" t="str">
        <f>"20190304164925142"</f>
        <v>20190304164925142</v>
      </c>
      <c r="B3701" t="str">
        <f>"1551689365129287"</f>
        <v>1551689365129287</v>
      </c>
      <c r="C3701" t="s">
        <v>40</v>
      </c>
      <c r="D3701">
        <v>4.2243069999999996</v>
      </c>
      <c r="E3701">
        <v>0.51676889999999998</v>
      </c>
      <c r="F3701" t="s">
        <v>46</v>
      </c>
      <c r="G3701">
        <v>-375.32729999999998</v>
      </c>
      <c r="H3701" s="1">
        <v>1.2981300000000001E-6</v>
      </c>
      <c r="I3701">
        <v>214.5719</v>
      </c>
      <c r="J3701">
        <v>-391.75979999999998</v>
      </c>
      <c r="K3701">
        <v>1.109551</v>
      </c>
      <c r="L3701">
        <v>213.03450000000001</v>
      </c>
      <c r="M3701">
        <v>0.99927809999999995</v>
      </c>
      <c r="N3701">
        <v>-8.4378730000000002E-3</v>
      </c>
      <c r="O3701">
        <v>3.7044859999999999E-2</v>
      </c>
      <c r="P3701">
        <v>0.95411789999999996</v>
      </c>
      <c r="Q3701">
        <v>0.28265259999999998</v>
      </c>
      <c r="R3701">
        <v>9.8826479999999994E-2</v>
      </c>
      <c r="S3701">
        <v>3.176666</v>
      </c>
      <c r="T3701">
        <v>-0.2095466</v>
      </c>
      <c r="U3701">
        <v>0.293045</v>
      </c>
      <c r="V3701">
        <v>-6.3389150000000005E-2</v>
      </c>
      <c r="W3701">
        <v>0.29072330000000002</v>
      </c>
      <c r="X3701">
        <v>0.95470509999999997</v>
      </c>
      <c r="Y3701">
        <v>-5.4833920000000001E-2</v>
      </c>
      <c r="Z3701" s="1">
        <v>-8.7680990000000002E-5</v>
      </c>
      <c r="AA3701">
        <v>0.99849549999999998</v>
      </c>
      <c r="AB3701">
        <v>42</v>
      </c>
      <c r="AC3701">
        <v>16.432500000000001</v>
      </c>
      <c r="AD3701">
        <v>-1.10954970187</v>
      </c>
      <c r="AE3701">
        <v>1.5373999999999901</v>
      </c>
      <c r="AF3701">
        <v>-0.92340994269393895</v>
      </c>
      <c r="AG3701">
        <v>-1.10954970187</v>
      </c>
      <c r="AH3701">
        <v>16.404034877964602</v>
      </c>
      <c r="AI3701">
        <v>93.863427838599506</v>
      </c>
      <c r="AJ3701">
        <v>93.221872872863102</v>
      </c>
      <c r="AK3701">
        <v>16.467426840300998</v>
      </c>
      <c r="AL3701">
        <v>73.098736535702798</v>
      </c>
      <c r="AM3701">
        <v>93.798667993031003</v>
      </c>
      <c r="AN3701">
        <v>1.0000000247333101</v>
      </c>
    </row>
    <row r="3702" spans="1:40" x14ac:dyDescent="0.25">
      <c r="A3702" t="str">
        <f>"20190304164925166"</f>
        <v>20190304164925166</v>
      </c>
      <c r="B3702" t="str">
        <f>"1551689365159545"</f>
        <v>1551689365159545</v>
      </c>
      <c r="C3702" t="s">
        <v>40</v>
      </c>
      <c r="D3702">
        <v>4.2604050000000004</v>
      </c>
      <c r="E3702">
        <v>0.51716549999999994</v>
      </c>
      <c r="F3702" t="s">
        <v>46</v>
      </c>
      <c r="G3702">
        <v>-375.37049999999999</v>
      </c>
      <c r="H3702" s="1">
        <v>1.3211189999999901E-6</v>
      </c>
      <c r="I3702">
        <v>214.51159999999999</v>
      </c>
      <c r="J3702">
        <v>-391.30770000000001</v>
      </c>
      <c r="K3702">
        <v>1.109483</v>
      </c>
      <c r="L3702">
        <v>213.05119999999999</v>
      </c>
      <c r="M3702">
        <v>0.99928530000000004</v>
      </c>
      <c r="N3702">
        <v>-8.4524249999999995E-3</v>
      </c>
      <c r="O3702">
        <v>3.6844370000000001E-2</v>
      </c>
      <c r="P3702">
        <v>0.95459000000000005</v>
      </c>
      <c r="Q3702">
        <v>0.28164</v>
      </c>
      <c r="R3702">
        <v>9.7144419999999995E-2</v>
      </c>
      <c r="S3702">
        <v>3.1782840000000001</v>
      </c>
      <c r="T3702">
        <v>-0.2151691</v>
      </c>
      <c r="U3702">
        <v>0.28643800000000003</v>
      </c>
      <c r="V3702">
        <v>-6.1843740000000001E-2</v>
      </c>
      <c r="W3702">
        <v>0.28973680000000002</v>
      </c>
      <c r="X3702">
        <v>0.95510629999999996</v>
      </c>
      <c r="Y3702">
        <v>-5.2930560000000001E-2</v>
      </c>
      <c r="Z3702">
        <v>-1.6388249999999999E-4</v>
      </c>
      <c r="AA3702">
        <v>0.99859819999999999</v>
      </c>
      <c r="AB3702">
        <v>42</v>
      </c>
      <c r="AC3702">
        <v>15.937200000000001</v>
      </c>
      <c r="AD3702">
        <v>-1.109481678881</v>
      </c>
      <c r="AE3702">
        <v>1.4603999999999899</v>
      </c>
      <c r="AF3702">
        <v>-0.868019577095138</v>
      </c>
      <c r="AG3702">
        <v>-1.109481678881</v>
      </c>
      <c r="AH3702">
        <v>15.9037539481431</v>
      </c>
      <c r="AI3702">
        <v>93.984705627912106</v>
      </c>
      <c r="AJ3702">
        <v>93.124077626369498</v>
      </c>
      <c r="AK3702">
        <v>15.966020080942799</v>
      </c>
      <c r="AL3702">
        <v>73.1578016356749</v>
      </c>
      <c r="AM3702">
        <v>93.704766327528205</v>
      </c>
      <c r="AN3702">
        <v>1.0000000528755499</v>
      </c>
    </row>
    <row r="3703" spans="1:40" x14ac:dyDescent="0.25">
      <c r="A3703" t="str">
        <f>"20190304164925187"</f>
        <v>20190304164925187</v>
      </c>
      <c r="B3703" t="str">
        <f>"1551689365180039"</f>
        <v>1551689365180039</v>
      </c>
      <c r="C3703" t="s">
        <v>40</v>
      </c>
      <c r="D3703">
        <v>4.2657420000000004</v>
      </c>
      <c r="E3703">
        <v>0.5169165</v>
      </c>
      <c r="F3703" t="s">
        <v>46</v>
      </c>
      <c r="G3703">
        <v>-375.08659999999998</v>
      </c>
      <c r="H3703" s="1">
        <v>1.1700630000000001E-6</v>
      </c>
      <c r="I3703">
        <v>214.46850000000001</v>
      </c>
      <c r="J3703">
        <v>-390.90910000000002</v>
      </c>
      <c r="K3703">
        <v>1.109426</v>
      </c>
      <c r="L3703">
        <v>213.06569999999999</v>
      </c>
      <c r="M3703">
        <v>0.99929310000000005</v>
      </c>
      <c r="N3703">
        <v>-8.4673990000000005E-3</v>
      </c>
      <c r="O3703">
        <v>3.6627710000000001E-2</v>
      </c>
      <c r="P3703">
        <v>0.95525179999999998</v>
      </c>
      <c r="Q3703">
        <v>0.27985880000000002</v>
      </c>
      <c r="R3703">
        <v>9.5776739999999999E-2</v>
      </c>
      <c r="S3703">
        <v>3.1786189999999999</v>
      </c>
      <c r="T3703">
        <v>-0.2174102</v>
      </c>
      <c r="U3703">
        <v>0.27772520000000001</v>
      </c>
      <c r="V3703">
        <v>-6.0625690000000003E-2</v>
      </c>
      <c r="W3703">
        <v>0.28798200000000002</v>
      </c>
      <c r="X3703">
        <v>0.95571490000000003</v>
      </c>
      <c r="Y3703">
        <v>-5.0426569999999997E-2</v>
      </c>
      <c r="Z3703">
        <v>-2.533193E-4</v>
      </c>
      <c r="AA3703">
        <v>0.9987277</v>
      </c>
      <c r="AB3703">
        <v>42</v>
      </c>
      <c r="AC3703">
        <v>15.8225</v>
      </c>
      <c r="AD3703">
        <v>-1.109424829937</v>
      </c>
      <c r="AE3703">
        <v>1.40280000000001</v>
      </c>
      <c r="AF3703">
        <v>-0.81830418453809395</v>
      </c>
      <c r="AG3703">
        <v>-1.109424829937</v>
      </c>
      <c r="AH3703">
        <v>15.7862592470695</v>
      </c>
      <c r="AI3703">
        <v>94.014643901714706</v>
      </c>
      <c r="AJ3703">
        <v>92.9673559120927</v>
      </c>
      <c r="AK3703">
        <v>15.8463379431149</v>
      </c>
      <c r="AL3703">
        <v>73.262820850439596</v>
      </c>
      <c r="AM3703">
        <v>93.629689301328895</v>
      </c>
      <c r="AN3703">
        <v>1.00000003834699</v>
      </c>
    </row>
    <row r="3704" spans="1:40" x14ac:dyDescent="0.25">
      <c r="A3704" t="str">
        <f>"20190304164925221"</f>
        <v>20190304164925221</v>
      </c>
      <c r="B3704" t="str">
        <f>"1551689365209319"</f>
        <v>1551689365209319</v>
      </c>
      <c r="C3704" t="s">
        <v>40</v>
      </c>
      <c r="D3704">
        <v>4.3167099999999996</v>
      </c>
      <c r="E3704">
        <v>0.54838949999999997</v>
      </c>
      <c r="F3704" t="s">
        <v>46</v>
      </c>
      <c r="G3704">
        <v>-375.29660000000001</v>
      </c>
      <c r="H3704" s="1">
        <v>1.281788E-6</v>
      </c>
      <c r="I3704">
        <v>214.41220000000001</v>
      </c>
      <c r="J3704">
        <v>-390.29300000000001</v>
      </c>
      <c r="K3704">
        <v>1.1093420000000001</v>
      </c>
      <c r="L3704">
        <v>213.08799999999999</v>
      </c>
      <c r="M3704">
        <v>0.99930790000000003</v>
      </c>
      <c r="N3704">
        <v>-8.4966699999999996E-3</v>
      </c>
      <c r="O3704">
        <v>3.6218170000000001E-2</v>
      </c>
      <c r="P3704">
        <v>0.9557369</v>
      </c>
      <c r="Q3704">
        <v>0.27833580000000002</v>
      </c>
      <c r="R3704">
        <v>9.5375050000000003E-2</v>
      </c>
      <c r="S3704">
        <v>3.17923</v>
      </c>
      <c r="T3704">
        <v>-0.22591639999999999</v>
      </c>
      <c r="U3704">
        <v>0.27418520000000002</v>
      </c>
      <c r="V3704">
        <v>-6.05471E-2</v>
      </c>
      <c r="W3704">
        <v>0.28650209999999998</v>
      </c>
      <c r="X3704">
        <v>0.95616449999999997</v>
      </c>
      <c r="Y3704">
        <v>-4.9712640000000002E-2</v>
      </c>
      <c r="Z3704">
        <v>-2.8456199999999998E-4</v>
      </c>
      <c r="AA3704">
        <v>0.99876350000000003</v>
      </c>
      <c r="AB3704">
        <v>42</v>
      </c>
      <c r="AC3704">
        <v>14.9963999999999</v>
      </c>
      <c r="AD3704">
        <v>-1.1093407182120001</v>
      </c>
      <c r="AE3704">
        <v>1.32420000000001</v>
      </c>
      <c r="AF3704">
        <v>-0.77595615318294997</v>
      </c>
      <c r="AG3704">
        <v>-1.1093407182120001</v>
      </c>
      <c r="AH3704">
        <v>14.953328697182201</v>
      </c>
      <c r="AI3704">
        <v>94.237142284215295</v>
      </c>
      <c r="AJ3704">
        <v>92.970520611827496</v>
      </c>
      <c r="AK3704">
        <v>15.014485802275001</v>
      </c>
      <c r="AL3704">
        <v>73.351342359540098</v>
      </c>
      <c r="AM3704">
        <v>93.623296659351396</v>
      </c>
      <c r="AN3704">
        <v>0.99999997784153405</v>
      </c>
    </row>
    <row r="3705" spans="1:40" x14ac:dyDescent="0.25">
      <c r="A3705" t="str">
        <f>"20190304164925242"</f>
        <v>20190304164925242</v>
      </c>
      <c r="B3705" t="str">
        <f>"1551689365229816"</f>
        <v>1551689365229816</v>
      </c>
      <c r="C3705" t="s">
        <v>40</v>
      </c>
      <c r="D3705">
        <v>4.332471</v>
      </c>
      <c r="E3705">
        <v>0.55600859999999996</v>
      </c>
      <c r="F3705" t="s">
        <v>41</v>
      </c>
      <c r="G3705">
        <v>-389.2808</v>
      </c>
      <c r="H3705">
        <v>1.050502</v>
      </c>
      <c r="I3705">
        <v>213.09229999999999</v>
      </c>
      <c r="J3705">
        <v>-389.8931</v>
      </c>
      <c r="K3705">
        <v>1.109291</v>
      </c>
      <c r="L3705">
        <v>213.10230000000001</v>
      </c>
      <c r="M3705">
        <v>0.99931899999999996</v>
      </c>
      <c r="N3705">
        <v>-8.5174929999999992E-3</v>
      </c>
      <c r="O3705">
        <v>3.5904209999999999E-2</v>
      </c>
      <c r="P3705">
        <v>0.95579709999999996</v>
      </c>
      <c r="Q3705">
        <v>0.27827469999999999</v>
      </c>
      <c r="R3705">
        <v>9.4949649999999997E-2</v>
      </c>
      <c r="S3705">
        <v>3.191589</v>
      </c>
      <c r="T3705">
        <v>-0.1855559</v>
      </c>
      <c r="U3705">
        <v>1.4053339999999999E-2</v>
      </c>
      <c r="V3705">
        <v>-6.0387709999999997E-2</v>
      </c>
      <c r="W3705">
        <v>0.2864679</v>
      </c>
      <c r="X3705">
        <v>0.9561849</v>
      </c>
      <c r="Y3705">
        <v>3.1399860000000002E-2</v>
      </c>
      <c r="Z3705">
        <v>-2.8254949999999999E-3</v>
      </c>
      <c r="AA3705">
        <v>0.99950289999999997</v>
      </c>
      <c r="AB3705">
        <v>42</v>
      </c>
      <c r="AC3705">
        <v>0.61230000000000395</v>
      </c>
      <c r="AD3705">
        <v>-5.8788999999999897E-2</v>
      </c>
      <c r="AE3705">
        <v>-1.0000000000019301E-2</v>
      </c>
      <c r="AF3705">
        <v>3.1686469714789098E-2</v>
      </c>
      <c r="AG3705">
        <v>-5.8788999999999897E-2</v>
      </c>
      <c r="AH3705">
        <v>0.60596151731947201</v>
      </c>
      <c r="AI3705">
        <v>95.533849344311605</v>
      </c>
      <c r="AJ3705">
        <v>87.0066598484579</v>
      </c>
      <c r="AK3705">
        <v>0.60963065814975503</v>
      </c>
      <c r="AL3705">
        <v>73.353388806093804</v>
      </c>
      <c r="AM3705">
        <v>93.613706759843893</v>
      </c>
      <c r="AN3705">
        <v>1.0000000481187299</v>
      </c>
    </row>
    <row r="3706" spans="1:40" x14ac:dyDescent="0.25">
      <c r="A3706" t="str">
        <f>"20190304164925265"</f>
        <v>20190304164925265</v>
      </c>
      <c r="B3706" t="str">
        <f>"1551689365260072"</f>
        <v>1551689365260072</v>
      </c>
      <c r="C3706" t="s">
        <v>40</v>
      </c>
      <c r="D3706">
        <v>4.3690059999999997</v>
      </c>
      <c r="E3706">
        <v>0.5600811</v>
      </c>
      <c r="F3706" t="s">
        <v>41</v>
      </c>
      <c r="G3706">
        <v>-388.91050000000001</v>
      </c>
      <c r="H3706">
        <v>1.0430759999999999</v>
      </c>
      <c r="I3706">
        <v>213.08799999999999</v>
      </c>
      <c r="J3706">
        <v>-389.44290000000001</v>
      </c>
      <c r="K3706">
        <v>1.1092390000000001</v>
      </c>
      <c r="L3706">
        <v>213.1181</v>
      </c>
      <c r="M3706">
        <v>0.99933300000000003</v>
      </c>
      <c r="N3706">
        <v>-8.5406570000000001E-3</v>
      </c>
      <c r="O3706">
        <v>3.5509730000000003E-2</v>
      </c>
      <c r="P3706">
        <v>0.95602160000000003</v>
      </c>
      <c r="Q3706">
        <v>0.27785880000000002</v>
      </c>
      <c r="R3706">
        <v>9.3901319999999996E-2</v>
      </c>
      <c r="S3706">
        <v>3.2061769999999998</v>
      </c>
      <c r="T3706">
        <v>-0.21615619999999999</v>
      </c>
      <c r="U3706">
        <v>-4.560852E-2</v>
      </c>
      <c r="V3706">
        <v>-5.9675369999999998E-2</v>
      </c>
      <c r="W3706">
        <v>0.28608270000000002</v>
      </c>
      <c r="X3706">
        <v>0.95634490000000005</v>
      </c>
      <c r="Y3706">
        <v>4.9534069999999999E-2</v>
      </c>
      <c r="Z3706">
        <v>-3.9675589999999998E-3</v>
      </c>
      <c r="AA3706">
        <v>0.9987646</v>
      </c>
      <c r="AB3706">
        <v>42</v>
      </c>
      <c r="AC3706">
        <v>0.53239999999999499</v>
      </c>
      <c r="AD3706">
        <v>-6.6162999999999694E-2</v>
      </c>
      <c r="AE3706">
        <v>-3.0100000000004401E-2</v>
      </c>
      <c r="AF3706">
        <v>4.8244379370465898E-2</v>
      </c>
      <c r="AG3706">
        <v>-6.6162999999999694E-2</v>
      </c>
      <c r="AH3706">
        <v>0.52294480095309104</v>
      </c>
      <c r="AI3706">
        <v>97.180580540666696</v>
      </c>
      <c r="AJ3706">
        <v>84.729085998691005</v>
      </c>
      <c r="AK3706">
        <v>0.52931684986755301</v>
      </c>
      <c r="AL3706">
        <v>73.376422611042798</v>
      </c>
      <c r="AM3706">
        <v>93.570594127215799</v>
      </c>
      <c r="AN3706">
        <v>1.0000000143899599</v>
      </c>
    </row>
    <row r="3707" spans="1:40" x14ac:dyDescent="0.25">
      <c r="A3707" t="str">
        <f>"20190304164925287"</f>
        <v>20190304164925287</v>
      </c>
      <c r="B3707" t="str">
        <f>"1551689365279595"</f>
        <v>1551689365279595</v>
      </c>
      <c r="C3707" t="s">
        <v>40</v>
      </c>
      <c r="D3707">
        <v>4.3527239999999896</v>
      </c>
      <c r="E3707">
        <v>0.56081530000000002</v>
      </c>
      <c r="F3707" t="s">
        <v>41</v>
      </c>
      <c r="G3707">
        <v>-388.53370000000001</v>
      </c>
      <c r="H3707">
        <v>1.042772</v>
      </c>
      <c r="I3707">
        <v>213.09540000000001</v>
      </c>
      <c r="J3707">
        <v>-389.03129999999999</v>
      </c>
      <c r="K3707">
        <v>1.109194</v>
      </c>
      <c r="L3707">
        <v>213.13249999999999</v>
      </c>
      <c r="M3707">
        <v>0.99934690000000004</v>
      </c>
      <c r="N3707">
        <v>-8.5613879999999996E-3</v>
      </c>
      <c r="O3707">
        <v>3.5108689999999998E-2</v>
      </c>
      <c r="P3707">
        <v>0.95611230000000003</v>
      </c>
      <c r="Q3707">
        <v>0.27763949999999998</v>
      </c>
      <c r="R3707">
        <v>9.3625379999999994E-2</v>
      </c>
      <c r="S3707">
        <v>3.2141109999999999</v>
      </c>
      <c r="T3707">
        <v>-0.2349617</v>
      </c>
      <c r="U3707">
        <v>-7.9864500000000005E-2</v>
      </c>
      <c r="V3707">
        <v>-5.9749629999999998E-2</v>
      </c>
      <c r="W3707">
        <v>0.28589029999999999</v>
      </c>
      <c r="X3707">
        <v>0.95639779999999996</v>
      </c>
      <c r="Y3707">
        <v>5.9673400000000001E-2</v>
      </c>
      <c r="Z3707">
        <v>-4.6962130000000003E-3</v>
      </c>
      <c r="AA3707">
        <v>0.99820690000000001</v>
      </c>
      <c r="AB3707">
        <v>42</v>
      </c>
      <c r="AC3707">
        <v>0.49759999999997701</v>
      </c>
      <c r="AD3707">
        <v>-6.6421999999999898E-2</v>
      </c>
      <c r="AE3707">
        <v>-3.7099999999981002E-2</v>
      </c>
      <c r="AF3707">
        <v>5.3598108511758197E-2</v>
      </c>
      <c r="AG3707">
        <v>-6.6421999999999898E-2</v>
      </c>
      <c r="AH3707">
        <v>0.48735485939548701</v>
      </c>
      <c r="AI3707">
        <v>97.715118881154396</v>
      </c>
      <c r="AJ3707">
        <v>83.723970672300297</v>
      </c>
      <c r="AK3707">
        <v>0.49477206701311799</v>
      </c>
      <c r="AL3707">
        <v>73.387926849790404</v>
      </c>
      <c r="AM3707">
        <v>93.574828628362994</v>
      </c>
      <c r="AN3707">
        <v>1.00000001688203</v>
      </c>
    </row>
    <row r="3708" spans="1:40" x14ac:dyDescent="0.25">
      <c r="A3708" t="str">
        <f>"20190304164925311"</f>
        <v>20190304164925311</v>
      </c>
      <c r="B3708" t="str">
        <f>"1551689365300087"</f>
        <v>1551689365300087</v>
      </c>
      <c r="C3708" t="s">
        <v>40</v>
      </c>
      <c r="D3708">
        <v>4.2769820000000003</v>
      </c>
      <c r="E3708">
        <v>0.56111639999999996</v>
      </c>
      <c r="F3708" t="s">
        <v>41</v>
      </c>
      <c r="G3708">
        <v>-388.15660000000003</v>
      </c>
      <c r="H3708">
        <v>1.042136</v>
      </c>
      <c r="I3708">
        <v>213.1086</v>
      </c>
      <c r="J3708">
        <v>-388.584</v>
      </c>
      <c r="K3708">
        <v>1.1091470000000001</v>
      </c>
      <c r="L3708">
        <v>213.14779999999999</v>
      </c>
      <c r="M3708">
        <v>0.99936349999999996</v>
      </c>
      <c r="N3708">
        <v>-8.5834550000000003E-3</v>
      </c>
      <c r="O3708">
        <v>3.4627419999999999E-2</v>
      </c>
      <c r="P3708">
        <v>0.95621089999999997</v>
      </c>
      <c r="Q3708">
        <v>0.27756999999999998</v>
      </c>
      <c r="R3708">
        <v>9.2821329999999994E-2</v>
      </c>
      <c r="S3708">
        <v>3.2178339999999999</v>
      </c>
      <c r="T3708">
        <v>-0.2468138</v>
      </c>
      <c r="U3708">
        <v>-8.6502079999999995E-2</v>
      </c>
      <c r="V3708">
        <v>-5.9369579999999998E-2</v>
      </c>
      <c r="W3708">
        <v>0.28584920000000003</v>
      </c>
      <c r="X3708">
        <v>0.95643370000000005</v>
      </c>
      <c r="Y3708">
        <v>6.119248E-2</v>
      </c>
      <c r="Z3708">
        <v>-4.9607540000000004E-3</v>
      </c>
      <c r="AA3708">
        <v>0.99811360000000005</v>
      </c>
      <c r="AB3708">
        <v>42</v>
      </c>
      <c r="AC3708">
        <v>0.42739999999997702</v>
      </c>
      <c r="AD3708">
        <v>-6.7010999999999904E-2</v>
      </c>
      <c r="AE3708">
        <v>-3.9199999999993899E-2</v>
      </c>
      <c r="AF3708">
        <v>5.2692298620164203E-2</v>
      </c>
      <c r="AG3708">
        <v>-6.7010999999999904E-2</v>
      </c>
      <c r="AH3708">
        <v>0.41565371655240602</v>
      </c>
      <c r="AI3708">
        <v>99.0868304250791</v>
      </c>
      <c r="AJ3708">
        <v>82.7751688689156</v>
      </c>
      <c r="AK3708">
        <v>0.42430527281510999</v>
      </c>
      <c r="AL3708">
        <v>73.390383410793007</v>
      </c>
      <c r="AM3708">
        <v>93.552015600419296</v>
      </c>
      <c r="AN3708">
        <v>0.99999996733285201</v>
      </c>
    </row>
    <row r="3709" spans="1:40" x14ac:dyDescent="0.25">
      <c r="A3709" t="str">
        <f>"20190304164925334"</f>
        <v>20190304164925334</v>
      </c>
      <c r="B3709" t="str">
        <f>"1551689365329368"</f>
        <v>1551689365329368</v>
      </c>
      <c r="C3709" t="s">
        <v>40</v>
      </c>
      <c r="D3709">
        <v>4.2875160000000001</v>
      </c>
      <c r="E3709">
        <v>0.56176759999999903</v>
      </c>
      <c r="F3709" t="s">
        <v>41</v>
      </c>
      <c r="G3709">
        <v>-387.77600000000001</v>
      </c>
      <c r="H3709">
        <v>1.046854</v>
      </c>
      <c r="I3709">
        <v>213.12459999999999</v>
      </c>
      <c r="J3709">
        <v>-388.18579999999997</v>
      </c>
      <c r="K3709">
        <v>1.1090990000000001</v>
      </c>
      <c r="L3709">
        <v>213.16130000000001</v>
      </c>
      <c r="M3709">
        <v>0.99937960000000003</v>
      </c>
      <c r="N3709">
        <v>-8.6026519999999902E-3</v>
      </c>
      <c r="O3709">
        <v>3.4152499999999898E-2</v>
      </c>
      <c r="P3709">
        <v>0.95607580000000003</v>
      </c>
      <c r="Q3709">
        <v>0.27832390000000001</v>
      </c>
      <c r="R3709">
        <v>9.1949509999999998E-2</v>
      </c>
      <c r="S3709">
        <v>3.2183229999999998</v>
      </c>
      <c r="T3709">
        <v>-0.24816750000000001</v>
      </c>
      <c r="U3709">
        <v>-9.1918949999999999E-2</v>
      </c>
      <c r="V3709">
        <v>-5.8924339999999999E-2</v>
      </c>
      <c r="W3709">
        <v>0.28662589999999999</v>
      </c>
      <c r="X3709">
        <v>0.95622879999999999</v>
      </c>
      <c r="Y3709">
        <v>6.238693E-2</v>
      </c>
      <c r="Z3709">
        <v>-5.005809E-3</v>
      </c>
      <c r="AA3709">
        <v>0.99803949999999997</v>
      </c>
      <c r="AB3709">
        <v>42</v>
      </c>
      <c r="AC3709">
        <v>0.40979999999996097</v>
      </c>
      <c r="AD3709">
        <v>-6.22449999999998E-2</v>
      </c>
      <c r="AE3709">
        <v>-3.6700000000024602E-2</v>
      </c>
      <c r="AF3709">
        <v>4.9540939856324101E-2</v>
      </c>
      <c r="AG3709">
        <v>-6.22449999999998E-2</v>
      </c>
      <c r="AH3709">
        <v>0.399171492235668</v>
      </c>
      <c r="AI3709">
        <v>98.796645748199197</v>
      </c>
      <c r="AJ3709">
        <v>82.925230955414193</v>
      </c>
      <c r="AK3709">
        <v>0.407021651709707</v>
      </c>
      <c r="AL3709">
        <v>73.343939037857695</v>
      </c>
      <c r="AM3709">
        <v>93.526198349848798</v>
      </c>
      <c r="AN3709">
        <v>1.00000000117234</v>
      </c>
    </row>
    <row r="3710" spans="1:40" x14ac:dyDescent="0.25">
      <c r="A3710" t="str">
        <f>"20190304164925354"</f>
        <v>20190304164925354</v>
      </c>
      <c r="B3710" t="str">
        <f>"1551689365349864"</f>
        <v>1551689365349864</v>
      </c>
      <c r="C3710" t="s">
        <v>40</v>
      </c>
      <c r="D3710">
        <v>4.2644339999999996</v>
      </c>
      <c r="E3710">
        <v>0.56208950000000002</v>
      </c>
      <c r="F3710" t="s">
        <v>41</v>
      </c>
      <c r="G3710">
        <v>-387.3963</v>
      </c>
      <c r="H3710">
        <v>1.0481659999999999</v>
      </c>
      <c r="I3710">
        <v>213.1369</v>
      </c>
      <c r="J3710">
        <v>-387.76690000000002</v>
      </c>
      <c r="K3710">
        <v>1.109035</v>
      </c>
      <c r="L3710">
        <v>213.17519999999999</v>
      </c>
      <c r="M3710">
        <v>0.99939820000000001</v>
      </c>
      <c r="N3710">
        <v>-8.6226849999999997E-3</v>
      </c>
      <c r="O3710">
        <v>3.3602439999999997E-2</v>
      </c>
      <c r="P3710">
        <v>0.95604350000000005</v>
      </c>
      <c r="Q3710">
        <v>0.27877059999999998</v>
      </c>
      <c r="R3710">
        <v>9.0929120000000002E-2</v>
      </c>
      <c r="S3710">
        <v>3.2196039999999999</v>
      </c>
      <c r="T3710">
        <v>-0.2486748</v>
      </c>
      <c r="U3710">
        <v>-9.7579959999999993E-2</v>
      </c>
      <c r="V3710">
        <v>-5.8394059999999998E-2</v>
      </c>
      <c r="W3710">
        <v>0.28709869999999998</v>
      </c>
      <c r="X3710">
        <v>0.95611950000000001</v>
      </c>
      <c r="Y3710">
        <v>6.3575980000000004E-2</v>
      </c>
      <c r="Z3710">
        <v>-5.0272199999999998E-3</v>
      </c>
      <c r="AA3710">
        <v>0.99796430000000003</v>
      </c>
      <c r="AB3710">
        <v>42</v>
      </c>
      <c r="AC3710">
        <v>0.37060000000002402</v>
      </c>
      <c r="AD3710">
        <v>-6.0868999999999999E-2</v>
      </c>
      <c r="AE3710">
        <v>-3.8299999999992403E-2</v>
      </c>
      <c r="AF3710">
        <v>4.9413004256189302E-2</v>
      </c>
      <c r="AG3710">
        <v>-6.0868999999999999E-2</v>
      </c>
      <c r="AH3710">
        <v>0.35950798749324703</v>
      </c>
      <c r="AI3710">
        <v>99.5218678595418</v>
      </c>
      <c r="AJ3710">
        <v>82.173949217636903</v>
      </c>
      <c r="AK3710">
        <v>0.36795743398125103</v>
      </c>
      <c r="AL3710">
        <v>73.315661344766298</v>
      </c>
      <c r="AM3710">
        <v>93.494942389946502</v>
      </c>
      <c r="AN3710">
        <v>1.00000001403261</v>
      </c>
    </row>
    <row r="3711" spans="1:40" x14ac:dyDescent="0.25">
      <c r="A3711" t="str">
        <f>"20190304164925378"</f>
        <v>20190304164925378</v>
      </c>
      <c r="B3711" t="str">
        <f>"1551689365369384"</f>
        <v>1551689365369384</v>
      </c>
      <c r="C3711" t="s">
        <v>40</v>
      </c>
      <c r="D3711">
        <v>4.3237920000000001</v>
      </c>
      <c r="E3711">
        <v>0.56231180000000003</v>
      </c>
      <c r="F3711" t="s">
        <v>41</v>
      </c>
      <c r="G3711">
        <v>-387.01459999999997</v>
      </c>
      <c r="H3711">
        <v>1.051167</v>
      </c>
      <c r="I3711">
        <v>213.15119999999999</v>
      </c>
      <c r="J3711">
        <v>-387.3329</v>
      </c>
      <c r="K3711">
        <v>1.108967</v>
      </c>
      <c r="L3711">
        <v>213.1893</v>
      </c>
      <c r="M3711">
        <v>0.9994189</v>
      </c>
      <c r="N3711">
        <v>-8.6426109999999997E-3</v>
      </c>
      <c r="O3711">
        <v>3.2973750000000003E-2</v>
      </c>
      <c r="P3711">
        <v>0.9562157</v>
      </c>
      <c r="Q3711">
        <v>0.27811540000000001</v>
      </c>
      <c r="R3711">
        <v>9.1124739999999996E-2</v>
      </c>
      <c r="S3711">
        <v>3.2198790000000002</v>
      </c>
      <c r="T3711">
        <v>-0.24769340000000001</v>
      </c>
      <c r="U3711">
        <v>-0.1020966</v>
      </c>
      <c r="V3711">
        <v>-5.9145570000000001E-2</v>
      </c>
      <c r="W3711">
        <v>0.28647339999999999</v>
      </c>
      <c r="X3711">
        <v>0.95626089999999997</v>
      </c>
      <c r="Y3711">
        <v>6.4345399999999997E-2</v>
      </c>
      <c r="Z3711">
        <v>-4.9968629999999998E-3</v>
      </c>
      <c r="AA3711">
        <v>0.99791510000000005</v>
      </c>
      <c r="AB3711">
        <v>42</v>
      </c>
      <c r="AC3711">
        <v>0.31830000000002101</v>
      </c>
      <c r="AD3711">
        <v>-5.7799999999999997E-2</v>
      </c>
      <c r="AE3711">
        <v>-3.8100000000014199E-2</v>
      </c>
      <c r="AF3711">
        <v>4.7045802698773599E-2</v>
      </c>
      <c r="AG3711">
        <v>-5.7799999999999997E-2</v>
      </c>
      <c r="AH3711">
        <v>0.30689373463657099</v>
      </c>
      <c r="AI3711">
        <v>100.545695086245</v>
      </c>
      <c r="AJ3711">
        <v>81.284592685943295</v>
      </c>
      <c r="AK3711">
        <v>0.31581309648390798</v>
      </c>
      <c r="AL3711">
        <v>73.353060065534805</v>
      </c>
      <c r="AM3711">
        <v>93.539285273939996</v>
      </c>
      <c r="AN3711">
        <v>1.00000005811349</v>
      </c>
    </row>
    <row r="3712" spans="1:40" x14ac:dyDescent="0.25">
      <c r="A3712" t="str">
        <f>"20190304164925399"</f>
        <v>20190304164925399</v>
      </c>
      <c r="B3712" t="str">
        <f>"1551689365389879"</f>
        <v>1551689365389879</v>
      </c>
      <c r="C3712" t="s">
        <v>40</v>
      </c>
      <c r="D3712">
        <v>4.3474539999999999</v>
      </c>
      <c r="E3712">
        <v>0.56237809999999999</v>
      </c>
      <c r="F3712" t="s">
        <v>41</v>
      </c>
      <c r="G3712">
        <v>-386.26889999999997</v>
      </c>
      <c r="H3712">
        <v>1.0256959999999999</v>
      </c>
      <c r="I3712">
        <v>213.15520000000001</v>
      </c>
      <c r="J3712">
        <v>-386.9128</v>
      </c>
      <c r="K3712">
        <v>1.1088990000000001</v>
      </c>
      <c r="L3712">
        <v>213.20269999999999</v>
      </c>
      <c r="M3712">
        <v>0.99944010000000005</v>
      </c>
      <c r="N3712">
        <v>-8.6611880000000002E-3</v>
      </c>
      <c r="O3712">
        <v>3.2317970000000001E-2</v>
      </c>
      <c r="P3712">
        <v>0.95629219999999904</v>
      </c>
      <c r="Q3712">
        <v>0.27770280000000003</v>
      </c>
      <c r="R3712">
        <v>9.1577190000000003E-2</v>
      </c>
      <c r="S3712">
        <v>3.22052</v>
      </c>
      <c r="T3712">
        <v>-0.25213930000000001</v>
      </c>
      <c r="U3712">
        <v>-0.1026764</v>
      </c>
      <c r="V3712">
        <v>-6.0185089999999997E-2</v>
      </c>
      <c r="W3712">
        <v>0.28608860000000003</v>
      </c>
      <c r="X3712">
        <v>0.95631120000000003</v>
      </c>
      <c r="Y3712">
        <v>6.3856789999999997E-2</v>
      </c>
      <c r="Z3712">
        <v>-5.0185990000000003E-3</v>
      </c>
      <c r="AA3712">
        <v>0.99794640000000001</v>
      </c>
      <c r="AB3712">
        <v>42</v>
      </c>
      <c r="AC3712">
        <v>0.64390000000003</v>
      </c>
      <c r="AD3712">
        <v>-8.3203000000000096E-2</v>
      </c>
      <c r="AE3712">
        <v>-4.74999999999852E-2</v>
      </c>
      <c r="AF3712">
        <v>6.71700329470762E-2</v>
      </c>
      <c r="AG3712">
        <v>-8.3203000000000096E-2</v>
      </c>
      <c r="AH3712">
        <v>0.631540639365748</v>
      </c>
      <c r="AI3712">
        <v>97.463652136125006</v>
      </c>
      <c r="AJ3712">
        <v>83.928901914184394</v>
      </c>
      <c r="AK3712">
        <v>0.64052957129675803</v>
      </c>
      <c r="AL3712">
        <v>73.376069945397504</v>
      </c>
      <c r="AM3712">
        <v>93.601139178445194</v>
      </c>
      <c r="AN3712">
        <v>1.0000000216768501</v>
      </c>
    </row>
    <row r="3713" spans="1:40" x14ac:dyDescent="0.25">
      <c r="A3713" t="str">
        <f>"20190304164925421"</f>
        <v>20190304164925421</v>
      </c>
      <c r="B3713" t="str">
        <f>"1551689365409399"</f>
        <v>1551689365409399</v>
      </c>
      <c r="C3713" t="s">
        <v>40</v>
      </c>
      <c r="D3713">
        <v>4.3535490000000001</v>
      </c>
      <c r="E3713">
        <v>0.56253419999999998</v>
      </c>
      <c r="F3713" t="s">
        <v>41</v>
      </c>
      <c r="G3713">
        <v>-385.88720000000001</v>
      </c>
      <c r="H3713">
        <v>1.027771</v>
      </c>
      <c r="I3713">
        <v>213.16980000000001</v>
      </c>
      <c r="J3713">
        <v>-386.50420000000003</v>
      </c>
      <c r="K3713">
        <v>1.1088549999999999</v>
      </c>
      <c r="L3713">
        <v>213.21539999999999</v>
      </c>
      <c r="M3713">
        <v>0.99946140000000006</v>
      </c>
      <c r="N3713">
        <v>-8.6786539999999992E-3</v>
      </c>
      <c r="O3713">
        <v>3.1645710000000001E-2</v>
      </c>
      <c r="P3713">
        <v>0.95648549999999999</v>
      </c>
      <c r="Q3713">
        <v>0.27719579999999999</v>
      </c>
      <c r="R3713">
        <v>9.1094759999999997E-2</v>
      </c>
      <c r="S3713">
        <v>3.220825</v>
      </c>
      <c r="T3713">
        <v>-0.25490940000000001</v>
      </c>
      <c r="U3713">
        <v>-0.1015778</v>
      </c>
      <c r="V3713">
        <v>-6.030812E-2</v>
      </c>
      <c r="W3713">
        <v>0.28560750000000001</v>
      </c>
      <c r="X3713">
        <v>0.95644720000000005</v>
      </c>
      <c r="Y3713">
        <v>6.2841179999999996E-2</v>
      </c>
      <c r="Z3713">
        <v>-4.9813369999999997E-3</v>
      </c>
      <c r="AA3713">
        <v>0.99801110000000004</v>
      </c>
      <c r="AB3713">
        <v>43</v>
      </c>
      <c r="AC3713">
        <v>0.61700000000001798</v>
      </c>
      <c r="AD3713">
        <v>-8.1083999999999906E-2</v>
      </c>
      <c r="AE3713">
        <v>-4.55999999999789E-2</v>
      </c>
      <c r="AF3713">
        <v>6.4003936602223102E-2</v>
      </c>
      <c r="AG3713">
        <v>-8.1083999999999906E-2</v>
      </c>
      <c r="AH3713">
        <v>0.60485850962437004</v>
      </c>
      <c r="AI3713">
        <v>97.593342473904002</v>
      </c>
      <c r="AJ3713">
        <v>83.959646048599495</v>
      </c>
      <c r="AK3713">
        <v>0.61361627718110201</v>
      </c>
      <c r="AL3713">
        <v>73.404834461589104</v>
      </c>
      <c r="AM3713">
        <v>93.6079694298856</v>
      </c>
      <c r="AN3713">
        <v>0.99999997989101197</v>
      </c>
    </row>
    <row r="3714" spans="1:40" x14ac:dyDescent="0.25">
      <c r="A3714" t="str">
        <f>"20190304164925443"</f>
        <v>20190304164925443</v>
      </c>
      <c r="B3714" t="str">
        <f>"1551689365439656"</f>
        <v>1551689365439656</v>
      </c>
      <c r="C3714" t="s">
        <v>40</v>
      </c>
      <c r="D3714">
        <v>4.3589820000000001</v>
      </c>
      <c r="E3714">
        <v>0.56277569999999999</v>
      </c>
      <c r="F3714" t="s">
        <v>41</v>
      </c>
      <c r="G3714">
        <v>-385.50540000000001</v>
      </c>
      <c r="H3714">
        <v>1.0289079999999999</v>
      </c>
      <c r="I3714">
        <v>213.18340000000001</v>
      </c>
      <c r="J3714">
        <v>-386.07920000000001</v>
      </c>
      <c r="K3714">
        <v>1.108816</v>
      </c>
      <c r="L3714">
        <v>213.22829999999999</v>
      </c>
      <c r="M3714">
        <v>0.99948400000000004</v>
      </c>
      <c r="N3714">
        <v>-8.6961299999999998E-3</v>
      </c>
      <c r="O3714">
        <v>3.092085E-2</v>
      </c>
      <c r="P3714">
        <v>0.95655789999999996</v>
      </c>
      <c r="Q3714">
        <v>0.27696500000000002</v>
      </c>
      <c r="R3714">
        <v>9.1035489999999997E-2</v>
      </c>
      <c r="S3714">
        <v>3.2209780000000001</v>
      </c>
      <c r="T3714">
        <v>-0.25780829999999999</v>
      </c>
      <c r="U3714">
        <v>-0.10266110000000001</v>
      </c>
      <c r="V3714">
        <v>-6.0913120000000001E-2</v>
      </c>
      <c r="W3714">
        <v>0.2854005</v>
      </c>
      <c r="X3714">
        <v>0.95647070000000001</v>
      </c>
      <c r="Y3714">
        <v>6.244777E-2</v>
      </c>
      <c r="Z3714">
        <v>-4.9685370000000003E-3</v>
      </c>
      <c r="AA3714">
        <v>0.99803580000000003</v>
      </c>
      <c r="AB3714">
        <v>43</v>
      </c>
      <c r="AC3714">
        <v>0.57380000000000497</v>
      </c>
      <c r="AD3714">
        <v>-7.9908000000000007E-2</v>
      </c>
      <c r="AE3714">
        <v>-4.4899999999984098E-2</v>
      </c>
      <c r="AF3714">
        <v>6.1437340842848402E-2</v>
      </c>
      <c r="AG3714">
        <v>-7.9908000000000007E-2</v>
      </c>
      <c r="AH3714">
        <v>0.56131746903609703</v>
      </c>
      <c r="AI3714">
        <v>98.054604759335902</v>
      </c>
      <c r="AJ3714">
        <v>83.753723926969499</v>
      </c>
      <c r="AK3714">
        <v>0.570295656970076</v>
      </c>
      <c r="AL3714">
        <v>73.417210579601203</v>
      </c>
      <c r="AM3714">
        <v>93.643977580644801</v>
      </c>
      <c r="AN3714">
        <v>1.0000000267734299</v>
      </c>
    </row>
    <row r="3715" spans="1:40" x14ac:dyDescent="0.25">
      <c r="A3715" t="str">
        <f>"20190304164925466"</f>
        <v>20190304164925466</v>
      </c>
      <c r="B3715" t="str">
        <f>"1551689365459176"</f>
        <v>1551689365459176</v>
      </c>
      <c r="C3715" t="s">
        <v>40</v>
      </c>
      <c r="D3715">
        <v>4.3847230000000001</v>
      </c>
      <c r="E3715">
        <v>0.56291599999999997</v>
      </c>
      <c r="F3715" t="s">
        <v>41</v>
      </c>
      <c r="G3715">
        <v>-385.12220000000002</v>
      </c>
      <c r="H3715">
        <v>1.031839</v>
      </c>
      <c r="I3715">
        <v>213.197</v>
      </c>
      <c r="J3715">
        <v>-385.62900000000002</v>
      </c>
      <c r="K3715">
        <v>1.108786</v>
      </c>
      <c r="L3715">
        <v>213.24170000000001</v>
      </c>
      <c r="M3715">
        <v>0.99950760000000005</v>
      </c>
      <c r="N3715">
        <v>-8.7139439999999995E-3</v>
      </c>
      <c r="O3715">
        <v>3.014733E-2</v>
      </c>
      <c r="P3715">
        <v>0.95659629999999995</v>
      </c>
      <c r="Q3715">
        <v>0.27695059999999999</v>
      </c>
      <c r="R3715">
        <v>9.0675249999999999E-2</v>
      </c>
      <c r="S3715">
        <v>3.2212519999999998</v>
      </c>
      <c r="T3715">
        <v>-0.25912669999999999</v>
      </c>
      <c r="U3715">
        <v>-0.1049194</v>
      </c>
      <c r="V3715">
        <v>-6.127374E-2</v>
      </c>
      <c r="W3715">
        <v>0.2854083</v>
      </c>
      <c r="X3715">
        <v>0.95644530000000005</v>
      </c>
      <c r="Y3715">
        <v>6.23709E-2</v>
      </c>
      <c r="Z3715">
        <v>-4.9346009999999899E-3</v>
      </c>
      <c r="AA3715">
        <v>0.99804090000000001</v>
      </c>
      <c r="AB3715">
        <v>43</v>
      </c>
      <c r="AC3715">
        <v>0.50679999999999803</v>
      </c>
      <c r="AD3715">
        <v>-7.6947000000000099E-2</v>
      </c>
      <c r="AE3715">
        <v>-4.4700000000005902E-2</v>
      </c>
      <c r="AF3715">
        <v>5.8618087731648998E-2</v>
      </c>
      <c r="AG3715">
        <v>-7.6947000000000099E-2</v>
      </c>
      <c r="AH3715">
        <v>0.49392390470529801</v>
      </c>
      <c r="AI3715">
        <v>98.794031443803206</v>
      </c>
      <c r="AJ3715">
        <v>83.231886658455394</v>
      </c>
      <c r="AK3715">
        <v>0.50330680966746699</v>
      </c>
      <c r="AL3715">
        <v>73.416743657232203</v>
      </c>
      <c r="AM3715">
        <v>93.665589220458898</v>
      </c>
      <c r="AN3715">
        <v>0.99999999040728305</v>
      </c>
    </row>
    <row r="3716" spans="1:40" x14ac:dyDescent="0.25">
      <c r="A3716" t="str">
        <f>"20190304164925490"</f>
        <v>20190304164925490</v>
      </c>
      <c r="B3716" t="str">
        <f>"1551689365479675"</f>
        <v>1551689365479675</v>
      </c>
      <c r="C3716" t="s">
        <v>40</v>
      </c>
      <c r="D3716">
        <v>4.3743600000000002</v>
      </c>
      <c r="E3716">
        <v>0.56304869999999996</v>
      </c>
      <c r="F3716" t="s">
        <v>41</v>
      </c>
      <c r="G3716">
        <v>-384.73739999999998</v>
      </c>
      <c r="H3716">
        <v>1.0370549999999901</v>
      </c>
      <c r="I3716">
        <v>213.21190000000001</v>
      </c>
      <c r="J3716">
        <v>-385.1848</v>
      </c>
      <c r="K3716">
        <v>1.1087769999999999</v>
      </c>
      <c r="L3716">
        <v>213.25450000000001</v>
      </c>
      <c r="M3716">
        <v>0.99952920000000001</v>
      </c>
      <c r="N3716">
        <v>-8.7308909999999993E-3</v>
      </c>
      <c r="O3716">
        <v>2.9412440000000001E-2</v>
      </c>
      <c r="P3716">
        <v>0.95652079999999995</v>
      </c>
      <c r="Q3716">
        <v>0.27720679999999998</v>
      </c>
      <c r="R3716">
        <v>9.0687000000000004E-2</v>
      </c>
      <c r="S3716">
        <v>3.2213129999999999</v>
      </c>
      <c r="T3716">
        <v>-0.25915729999999998</v>
      </c>
      <c r="U3716">
        <v>-0.10720830000000001</v>
      </c>
      <c r="V3716">
        <v>-6.1989040000000002E-2</v>
      </c>
      <c r="W3716">
        <v>0.28568149999999998</v>
      </c>
      <c r="X3716">
        <v>0.95631770000000005</v>
      </c>
      <c r="Y3716">
        <v>6.2346779999999997E-2</v>
      </c>
      <c r="Z3716">
        <v>-4.8813900000000002E-3</v>
      </c>
      <c r="AA3716">
        <v>0.9980426</v>
      </c>
      <c r="AB3716">
        <v>43</v>
      </c>
      <c r="AC3716">
        <v>0.44740000000001601</v>
      </c>
      <c r="AD3716">
        <v>-7.1722000000000202E-2</v>
      </c>
      <c r="AE3716">
        <v>-4.2599999999992998E-2</v>
      </c>
      <c r="AF3716">
        <v>5.4356841143306502E-2</v>
      </c>
      <c r="AG3716">
        <v>-7.1722000000000202E-2</v>
      </c>
      <c r="AH3716">
        <v>0.43487797554680102</v>
      </c>
      <c r="AI3716">
        <v>99.294124922242403</v>
      </c>
      <c r="AJ3716">
        <v>82.875360604719205</v>
      </c>
      <c r="AK3716">
        <v>0.44409184306713201</v>
      </c>
      <c r="AL3716">
        <v>73.400411471963693</v>
      </c>
      <c r="AM3716">
        <v>93.708755426682202</v>
      </c>
      <c r="AN3716">
        <v>1.00000005192782</v>
      </c>
    </row>
    <row r="3717" spans="1:40" x14ac:dyDescent="0.25">
      <c r="A3717" t="str">
        <f>"20190304164925511"</f>
        <v>20190304164925511</v>
      </c>
      <c r="B3717" t="str">
        <f>"1551689365499191"</f>
        <v>1551689365499191</v>
      </c>
      <c r="C3717" t="s">
        <v>40</v>
      </c>
      <c r="D3717">
        <v>4.348992</v>
      </c>
      <c r="E3717">
        <v>0.56313709999999995</v>
      </c>
      <c r="F3717" t="s">
        <v>41</v>
      </c>
      <c r="G3717">
        <v>-384.35210000000001</v>
      </c>
      <c r="H3717">
        <v>1.042163</v>
      </c>
      <c r="I3717">
        <v>213.226</v>
      </c>
      <c r="J3717">
        <v>-384.77170000000001</v>
      </c>
      <c r="K3717">
        <v>1.1088009999999999</v>
      </c>
      <c r="L3717">
        <v>213.2663</v>
      </c>
      <c r="M3717">
        <v>0.99954739999999997</v>
      </c>
      <c r="N3717">
        <v>-8.7460330000000003E-3</v>
      </c>
      <c r="O3717">
        <v>2.878702E-2</v>
      </c>
      <c r="P3717">
        <v>0.95633159999999895</v>
      </c>
      <c r="Q3717">
        <v>0.27786640000000001</v>
      </c>
      <c r="R3717">
        <v>9.0667990000000004E-2</v>
      </c>
      <c r="S3717">
        <v>3.2214360000000002</v>
      </c>
      <c r="T3717">
        <v>-0.25779859999999999</v>
      </c>
      <c r="U3717">
        <v>-0.1096191</v>
      </c>
      <c r="V3717">
        <v>-6.2588379999999999E-2</v>
      </c>
      <c r="W3717">
        <v>0.28635139999999998</v>
      </c>
      <c r="X3717">
        <v>0.95607819999999999</v>
      </c>
      <c r="Y3717">
        <v>6.2471390000000002E-2</v>
      </c>
      <c r="Z3717">
        <v>-4.8167870000000003E-3</v>
      </c>
      <c r="AA3717">
        <v>0.99803509999999995</v>
      </c>
      <c r="AB3717">
        <v>43</v>
      </c>
      <c r="AC3717">
        <v>0.41960000000000203</v>
      </c>
      <c r="AD3717">
        <v>-6.6637999999999906E-2</v>
      </c>
      <c r="AE3717">
        <v>-4.0300000000002001E-2</v>
      </c>
      <c r="AF3717">
        <v>5.1086094378244802E-2</v>
      </c>
      <c r="AG3717">
        <v>-6.6637999999999906E-2</v>
      </c>
      <c r="AH3717">
        <v>0.40806786900236502</v>
      </c>
      <c r="AI3717">
        <v>99.204007544022602</v>
      </c>
      <c r="AJ3717">
        <v>82.864254420597106</v>
      </c>
      <c r="AK3717">
        <v>0.41661708773759498</v>
      </c>
      <c r="AL3717">
        <v>73.360354406256107</v>
      </c>
      <c r="AM3717">
        <v>93.745447276720498</v>
      </c>
      <c r="AN3717">
        <v>0.99999997705411103</v>
      </c>
    </row>
    <row r="3718" spans="1:40" x14ac:dyDescent="0.25">
      <c r="A3718" t="str">
        <f>"20190304164925534"</f>
        <v>20190304164925534</v>
      </c>
      <c r="B3718" t="str">
        <f>"1551689365529450"</f>
        <v>1551689365529450</v>
      </c>
      <c r="C3718" t="s">
        <v>40</v>
      </c>
      <c r="D3718">
        <v>4.3695490000000001</v>
      </c>
      <c r="E3718">
        <v>0.56326549999999997</v>
      </c>
      <c r="F3718" t="s">
        <v>41</v>
      </c>
      <c r="G3718">
        <v>-383.96699999999998</v>
      </c>
      <c r="H3718">
        <v>1.0453479999999999</v>
      </c>
      <c r="I3718">
        <v>213.2381</v>
      </c>
      <c r="J3718">
        <v>-384.34620000000001</v>
      </c>
      <c r="K3718">
        <v>1.108857</v>
      </c>
      <c r="L3718">
        <v>213.27809999999999</v>
      </c>
      <c r="M3718">
        <v>0.99956299999999998</v>
      </c>
      <c r="N3718">
        <v>-8.7611800000000004E-3</v>
      </c>
      <c r="O3718">
        <v>2.822906E-2</v>
      </c>
      <c r="P3718">
        <v>0.95602909999999997</v>
      </c>
      <c r="Q3718">
        <v>0.27930169999999999</v>
      </c>
      <c r="R3718">
        <v>8.9437450000000002E-2</v>
      </c>
      <c r="S3718">
        <v>3.2214360000000002</v>
      </c>
      <c r="T3718">
        <v>-0.25411889999999998</v>
      </c>
      <c r="U3718">
        <v>-0.11178589999999999</v>
      </c>
      <c r="V3718">
        <v>-6.193274E-2</v>
      </c>
      <c r="W3718">
        <v>0.28778979999999998</v>
      </c>
      <c r="X3718">
        <v>0.95568900000000001</v>
      </c>
      <c r="Y3718">
        <v>6.2593979999999994E-2</v>
      </c>
      <c r="Z3718">
        <v>-4.7148559999999999E-3</v>
      </c>
      <c r="AA3718">
        <v>0.99802789999999997</v>
      </c>
      <c r="AB3718">
        <v>43</v>
      </c>
      <c r="AC3718">
        <v>0.37920000000002502</v>
      </c>
      <c r="AD3718">
        <v>-6.3508999999999996E-2</v>
      </c>
      <c r="AE3718">
        <v>-3.9999999999992E-2</v>
      </c>
      <c r="AF3718">
        <v>4.9320704702506997E-2</v>
      </c>
      <c r="AG3718">
        <v>-6.3508999999999996E-2</v>
      </c>
      <c r="AH3718">
        <v>0.36771863995322701</v>
      </c>
      <c r="AI3718">
        <v>99.713630273380303</v>
      </c>
      <c r="AJ3718">
        <v>82.360726731961506</v>
      </c>
      <c r="AK3718">
        <v>0.37640792122696198</v>
      </c>
      <c r="AL3718">
        <v>73.274320098310099</v>
      </c>
      <c r="AM3718">
        <v>93.707827227721907</v>
      </c>
      <c r="AN3718">
        <v>1.00000004899447</v>
      </c>
    </row>
    <row r="3719" spans="1:40" x14ac:dyDescent="0.25">
      <c r="A3719" t="str">
        <f>"20190304164925556"</f>
        <v>20190304164925556</v>
      </c>
      <c r="B3719" t="str">
        <f>"1551689365549944"</f>
        <v>1551689365549944</v>
      </c>
      <c r="C3719" t="s">
        <v>40</v>
      </c>
      <c r="D3719">
        <v>4.3677989999999998</v>
      </c>
      <c r="E3719">
        <v>0.56326719999999997</v>
      </c>
      <c r="F3719" t="s">
        <v>41</v>
      </c>
      <c r="G3719">
        <v>-383.57920000000001</v>
      </c>
      <c r="H3719">
        <v>1.0495779999999999</v>
      </c>
      <c r="I3719">
        <v>213.25030000000001</v>
      </c>
      <c r="J3719">
        <v>-383.9151</v>
      </c>
      <c r="K3719">
        <v>1.1089389999999999</v>
      </c>
      <c r="L3719">
        <v>213.29</v>
      </c>
      <c r="M3719">
        <v>0.99957560000000001</v>
      </c>
      <c r="N3719">
        <v>-8.7761409999999995E-3</v>
      </c>
      <c r="O3719">
        <v>2.777934E-2</v>
      </c>
      <c r="P3719">
        <v>0.95572069999999998</v>
      </c>
      <c r="Q3719">
        <v>0.28111779999999997</v>
      </c>
      <c r="R3719">
        <v>8.7012740000000005E-2</v>
      </c>
      <c r="S3719">
        <v>3.2215579999999999</v>
      </c>
      <c r="T3719">
        <v>-0.24906800000000001</v>
      </c>
      <c r="U3719">
        <v>-0.1158752</v>
      </c>
      <c r="V3719">
        <v>-5.9996679999999997E-2</v>
      </c>
      <c r="W3719">
        <v>0.28960269999999999</v>
      </c>
      <c r="X3719">
        <v>0.95526469999999997</v>
      </c>
      <c r="Y3719">
        <v>6.34184E-2</v>
      </c>
      <c r="Z3719">
        <v>-4.6264100000000001E-3</v>
      </c>
      <c r="AA3719">
        <v>0.99797630000000004</v>
      </c>
      <c r="AB3719">
        <v>43</v>
      </c>
      <c r="AC3719">
        <v>0.33589999999998099</v>
      </c>
      <c r="AD3719">
        <v>-5.9360999999999699E-2</v>
      </c>
      <c r="AE3719">
        <v>-3.9699999999982E-2</v>
      </c>
      <c r="AF3719">
        <v>4.7551506755585497E-2</v>
      </c>
      <c r="AG3719">
        <v>-5.9360999999999699E-2</v>
      </c>
      <c r="AH3719">
        <v>0.32466755361650901</v>
      </c>
      <c r="AI3719">
        <v>100.254259256219</v>
      </c>
      <c r="AJ3719">
        <v>81.667580140862697</v>
      </c>
      <c r="AK3719">
        <v>0.333457485276692</v>
      </c>
      <c r="AL3719">
        <v>73.165828011552094</v>
      </c>
      <c r="AM3719">
        <v>93.593817762024599</v>
      </c>
      <c r="AN3719">
        <v>0.99999998626220099</v>
      </c>
    </row>
    <row r="3720" spans="1:40" x14ac:dyDescent="0.25">
      <c r="A3720" t="str">
        <f>"20190304164925579"</f>
        <v>20190304164925579</v>
      </c>
      <c r="B3720" t="str">
        <f>"1551689365569463"</f>
        <v>1551689365569463</v>
      </c>
      <c r="C3720" t="s">
        <v>40</v>
      </c>
      <c r="D3720">
        <v>4.3493089999999999</v>
      </c>
      <c r="E3720">
        <v>0.5632585</v>
      </c>
      <c r="F3720" t="s">
        <v>41</v>
      </c>
      <c r="G3720">
        <v>-382.82260000000002</v>
      </c>
      <c r="H3720">
        <v>1.026343</v>
      </c>
      <c r="I3720">
        <v>213.24879999999999</v>
      </c>
      <c r="J3720">
        <v>-383.47640000000001</v>
      </c>
      <c r="K3720">
        <v>1.109032</v>
      </c>
      <c r="L3720">
        <v>213.30199999999999</v>
      </c>
      <c r="M3720">
        <v>0.99958449999999999</v>
      </c>
      <c r="N3720">
        <v>-8.7912049999999999E-3</v>
      </c>
      <c r="O3720">
        <v>2.745003E-2</v>
      </c>
      <c r="P3720">
        <v>0.95561300000000005</v>
      </c>
      <c r="Q3720">
        <v>0.28238550000000001</v>
      </c>
      <c r="R3720">
        <v>8.4037539999999994E-2</v>
      </c>
      <c r="S3720">
        <v>3.2216800000000001</v>
      </c>
      <c r="T3720">
        <v>-0.24361260000000001</v>
      </c>
      <c r="U3720">
        <v>-0.1208801</v>
      </c>
      <c r="V3720">
        <v>-5.7402130000000003E-2</v>
      </c>
      <c r="W3720">
        <v>0.29086610000000002</v>
      </c>
      <c r="X3720">
        <v>0.95504029999999995</v>
      </c>
      <c r="Y3720">
        <v>6.4645129999999995E-2</v>
      </c>
      <c r="Z3720">
        <v>-4.5556360000000001E-3</v>
      </c>
      <c r="AA3720">
        <v>0.9978979</v>
      </c>
      <c r="AB3720">
        <v>43</v>
      </c>
      <c r="AC3720">
        <v>0.65379999999998895</v>
      </c>
      <c r="AD3720">
        <v>-8.2688999999999999E-2</v>
      </c>
      <c r="AE3720">
        <v>-5.3200000000032298E-2</v>
      </c>
      <c r="AF3720">
        <v>7.0014898023436203E-2</v>
      </c>
      <c r="AG3720">
        <v>-8.2688999999999999E-2</v>
      </c>
      <c r="AH3720">
        <v>0.64189316486897097</v>
      </c>
      <c r="AI3720">
        <v>97.2976323270439</v>
      </c>
      <c r="AJ3720">
        <v>83.775036362150004</v>
      </c>
      <c r="AK3720">
        <v>0.65097341863684099</v>
      </c>
      <c r="AL3720">
        <v>73.090185309877498</v>
      </c>
      <c r="AM3720">
        <v>93.439590894077796</v>
      </c>
      <c r="AN3720">
        <v>1.0000000336409101</v>
      </c>
    </row>
    <row r="3721" spans="1:40" x14ac:dyDescent="0.25">
      <c r="A3721" t="str">
        <f>"20190304164925599"</f>
        <v>20190304164925599</v>
      </c>
      <c r="B3721" t="str">
        <f>"1551689365589963"</f>
        <v>1551689365589963</v>
      </c>
      <c r="C3721" t="s">
        <v>40</v>
      </c>
      <c r="D3721">
        <v>4.3483919999999996</v>
      </c>
      <c r="E3721">
        <v>0.56320519999999996</v>
      </c>
      <c r="F3721" t="s">
        <v>41</v>
      </c>
      <c r="G3721">
        <v>-382.43490000000003</v>
      </c>
      <c r="H3721">
        <v>1.0312110000000001</v>
      </c>
      <c r="I3721">
        <v>213.261</v>
      </c>
      <c r="J3721">
        <v>-383.06979999999999</v>
      </c>
      <c r="K3721">
        <v>1.109108</v>
      </c>
      <c r="L3721">
        <v>213.31309999999999</v>
      </c>
      <c r="M3721">
        <v>0.99959050000000005</v>
      </c>
      <c r="N3721">
        <v>-8.8051499999999994E-3</v>
      </c>
      <c r="O3721">
        <v>2.7235100000000002E-2</v>
      </c>
      <c r="P3721">
        <v>0.95594369999999995</v>
      </c>
      <c r="Q3721">
        <v>0.28188089999999999</v>
      </c>
      <c r="R3721">
        <v>8.1945909999999997E-2</v>
      </c>
      <c r="S3721">
        <v>3.221619</v>
      </c>
      <c r="T3721">
        <v>-0.24069960000000001</v>
      </c>
      <c r="U3721">
        <v>-0.1266632</v>
      </c>
      <c r="V3721">
        <v>-5.556469E-2</v>
      </c>
      <c r="W3721">
        <v>0.29036420000000002</v>
      </c>
      <c r="X3721">
        <v>0.95530159999999997</v>
      </c>
      <c r="Y3721">
        <v>6.6221710000000003E-2</v>
      </c>
      <c r="Z3721">
        <v>-4.5534570000000003E-3</v>
      </c>
      <c r="AA3721">
        <v>0.99779459999999998</v>
      </c>
      <c r="AB3721">
        <v>43</v>
      </c>
      <c r="AC3721">
        <v>0.63489999999995905</v>
      </c>
      <c r="AD3721">
        <v>-7.78969999999998E-2</v>
      </c>
      <c r="AE3721">
        <v>-5.2099999999995802E-2</v>
      </c>
      <c r="AF3721">
        <v>6.8350881763522706E-2</v>
      </c>
      <c r="AG3721">
        <v>-7.78969999999998E-2</v>
      </c>
      <c r="AH3721">
        <v>0.62391630760781902</v>
      </c>
      <c r="AI3721">
        <v>97.074754417283998</v>
      </c>
      <c r="AJ3721">
        <v>83.748100453776601</v>
      </c>
      <c r="AK3721">
        <v>0.63246450062104398</v>
      </c>
      <c r="AL3721">
        <v>73.120238169263104</v>
      </c>
      <c r="AM3721">
        <v>93.328832810627702</v>
      </c>
      <c r="AN3721">
        <v>0.99999997518949701</v>
      </c>
    </row>
    <row r="3722" spans="1:40" x14ac:dyDescent="0.25">
      <c r="A3722" t="str">
        <f>"20190304164925622"</f>
        <v>20190304164925622</v>
      </c>
      <c r="B3722" t="str">
        <f>"1551689365609480"</f>
        <v>1551689365609480</v>
      </c>
      <c r="C3722" t="s">
        <v>40</v>
      </c>
      <c r="D3722">
        <v>4.3481030000000001</v>
      </c>
      <c r="E3722">
        <v>0.563141</v>
      </c>
      <c r="F3722" t="s">
        <v>41</v>
      </c>
      <c r="G3722">
        <v>-382.04840000000002</v>
      </c>
      <c r="H3722">
        <v>1.032405</v>
      </c>
      <c r="I3722">
        <v>213.2706</v>
      </c>
      <c r="J3722">
        <v>-382.65359999999998</v>
      </c>
      <c r="K3722">
        <v>1.10917</v>
      </c>
      <c r="L3722">
        <v>213.3244</v>
      </c>
      <c r="M3722">
        <v>0.99959419999999999</v>
      </c>
      <c r="N3722">
        <v>-8.8193460000000005E-3</v>
      </c>
      <c r="O3722">
        <v>2.7090019999999999E-2</v>
      </c>
      <c r="P3722">
        <v>0.95626440000000001</v>
      </c>
      <c r="Q3722">
        <v>0.28109450000000002</v>
      </c>
      <c r="R3722">
        <v>8.0897730000000001E-2</v>
      </c>
      <c r="S3722">
        <v>3.221069</v>
      </c>
      <c r="T3722">
        <v>-0.2419529</v>
      </c>
      <c r="U3722">
        <v>-0.1332245</v>
      </c>
      <c r="V3722">
        <v>-5.4697660000000002E-2</v>
      </c>
      <c r="W3722">
        <v>0.28958339999999999</v>
      </c>
      <c r="X3722">
        <v>0.95558860000000001</v>
      </c>
      <c r="Y3722">
        <v>6.8104239999999996E-2</v>
      </c>
      <c r="Z3722">
        <v>-4.6468330000000004E-3</v>
      </c>
      <c r="AA3722">
        <v>0.99766739999999998</v>
      </c>
      <c r="AB3722">
        <v>43</v>
      </c>
      <c r="AC3722">
        <v>0.60519999999996799</v>
      </c>
      <c r="AD3722">
        <v>-7.6764999999999903E-2</v>
      </c>
      <c r="AE3722">
        <v>-5.37999999999954E-2</v>
      </c>
      <c r="AF3722">
        <v>6.9073165930161995E-2</v>
      </c>
      <c r="AG3722">
        <v>-7.6764999999999903E-2</v>
      </c>
      <c r="AH3722">
        <v>0.59403784321327802</v>
      </c>
      <c r="AI3722">
        <v>97.3145423426988</v>
      </c>
      <c r="AJ3722">
        <v>83.367580728988898</v>
      </c>
      <c r="AK3722">
        <v>0.60294686884177295</v>
      </c>
      <c r="AL3722">
        <v>73.166983147708194</v>
      </c>
      <c r="AM3722">
        <v>93.276021820117293</v>
      </c>
      <c r="AN3722">
        <v>0.99999997600749702</v>
      </c>
    </row>
    <row r="3723" spans="1:40" x14ac:dyDescent="0.25">
      <c r="A3723" t="str">
        <f>"20190304164925645"</f>
        <v>20190304164925645</v>
      </c>
      <c r="B3723" t="str">
        <f>"1551689365629979"</f>
        <v>1551689365629979</v>
      </c>
      <c r="C3723" t="s">
        <v>40</v>
      </c>
      <c r="D3723">
        <v>4.4104159999999997</v>
      </c>
      <c r="E3723">
        <v>0.56310260000000001</v>
      </c>
      <c r="F3723" t="s">
        <v>41</v>
      </c>
      <c r="G3723">
        <v>-381.66129999999998</v>
      </c>
      <c r="H3723">
        <v>1.0341</v>
      </c>
      <c r="I3723">
        <v>213.28149999999999</v>
      </c>
      <c r="J3723">
        <v>-382.19799999999998</v>
      </c>
      <c r="K3723">
        <v>1.1092310000000001</v>
      </c>
      <c r="L3723">
        <v>213.33670000000001</v>
      </c>
      <c r="M3723">
        <v>0.99959640000000005</v>
      </c>
      <c r="N3723">
        <v>-8.8344459999999993E-3</v>
      </c>
      <c r="O3723">
        <v>2.7003929999999999E-2</v>
      </c>
      <c r="P3723">
        <v>0.95651280000000005</v>
      </c>
      <c r="Q3723">
        <v>0.280335099999999</v>
      </c>
      <c r="R3723">
        <v>8.0595169999999994E-2</v>
      </c>
      <c r="S3723">
        <v>3.2205810000000001</v>
      </c>
      <c r="T3723">
        <v>-0.24369779999999999</v>
      </c>
      <c r="U3723">
        <v>-0.13865659999999999</v>
      </c>
      <c r="V3723">
        <v>-5.4517860000000001E-2</v>
      </c>
      <c r="W3723">
        <v>0.28883170000000002</v>
      </c>
      <c r="X3723">
        <v>0.95582639999999996</v>
      </c>
      <c r="Y3723">
        <v>6.9695380000000001E-2</v>
      </c>
      <c r="Z3723">
        <v>-4.7418699999999996E-3</v>
      </c>
      <c r="AA3723">
        <v>0.99755700000000003</v>
      </c>
      <c r="AB3723">
        <v>43</v>
      </c>
      <c r="AC3723">
        <v>0.53670000000005302</v>
      </c>
      <c r="AD3723">
        <v>-7.5130999999999795E-2</v>
      </c>
      <c r="AE3723">
        <v>-5.5200000000013398E-2</v>
      </c>
      <c r="AF3723">
        <v>6.8348088731988499E-2</v>
      </c>
      <c r="AG3723">
        <v>-7.5130999999999795E-2</v>
      </c>
      <c r="AH3723">
        <v>0.52483637118855098</v>
      </c>
      <c r="AI3723">
        <v>98.079308416936797</v>
      </c>
      <c r="AJ3723">
        <v>82.5802743537552</v>
      </c>
      <c r="AK3723">
        <v>0.53457398451166904</v>
      </c>
      <c r="AL3723">
        <v>73.211975942419798</v>
      </c>
      <c r="AM3723">
        <v>93.264465739135105</v>
      </c>
      <c r="AN3723">
        <v>1.0000000274604099</v>
      </c>
    </row>
    <row r="3724" spans="1:40" x14ac:dyDescent="0.25">
      <c r="A3724" t="str">
        <f>"20190304164925668"</f>
        <v>20190304164925668</v>
      </c>
      <c r="B3724" t="str">
        <f>"1551689365660232"</f>
        <v>1551689365660232</v>
      </c>
      <c r="C3724" t="s">
        <v>40</v>
      </c>
      <c r="D3724">
        <v>4.3432559999999896</v>
      </c>
      <c r="E3724">
        <v>0.56297889999999995</v>
      </c>
      <c r="F3724" t="s">
        <v>41</v>
      </c>
      <c r="G3724">
        <v>-381.2722</v>
      </c>
      <c r="H3724">
        <v>1.03867</v>
      </c>
      <c r="I3724">
        <v>213.2955</v>
      </c>
      <c r="J3724">
        <v>-381.7636</v>
      </c>
      <c r="K3724">
        <v>1.109281</v>
      </c>
      <c r="L3724">
        <v>213.3484</v>
      </c>
      <c r="M3724">
        <v>0.99959699999999996</v>
      </c>
      <c r="N3724">
        <v>-8.8487240000000005E-3</v>
      </c>
      <c r="O3724">
        <v>2.6977060000000001E-2</v>
      </c>
      <c r="P3724">
        <v>0.95652170000000003</v>
      </c>
      <c r="Q3724">
        <v>0.2799565</v>
      </c>
      <c r="R3724">
        <v>8.1797880000000003E-2</v>
      </c>
      <c r="S3724">
        <v>3.2204280000000001</v>
      </c>
      <c r="T3724">
        <v>-0.245502</v>
      </c>
      <c r="U3724">
        <v>-0.1427612</v>
      </c>
      <c r="V3724">
        <v>-5.578408E-2</v>
      </c>
      <c r="W3724">
        <v>0.28846090000000002</v>
      </c>
      <c r="X3724">
        <v>0.95586530000000003</v>
      </c>
      <c r="Y3724">
        <v>7.0931460000000002E-2</v>
      </c>
      <c r="Z3724">
        <v>-4.8272970000000004E-3</v>
      </c>
      <c r="AA3724">
        <v>0.99746950000000001</v>
      </c>
      <c r="AB3724">
        <v>43</v>
      </c>
      <c r="AC3724">
        <v>0.49139999999999801</v>
      </c>
      <c r="AD3724">
        <v>-7.0610999999999896E-2</v>
      </c>
      <c r="AE3724">
        <v>-5.2899999999993903E-2</v>
      </c>
      <c r="AF3724">
        <v>6.4814836323889902E-2</v>
      </c>
      <c r="AG3724">
        <v>-7.0610999999999896E-2</v>
      </c>
      <c r="AH3724">
        <v>0.47999665108413098</v>
      </c>
      <c r="AI3724">
        <v>98.294388151908194</v>
      </c>
      <c r="AJ3724">
        <v>82.309759967448201</v>
      </c>
      <c r="AK3724">
        <v>0.48947284028909499</v>
      </c>
      <c r="AL3724">
        <v>73.234165458251596</v>
      </c>
      <c r="AM3724">
        <v>93.339980170342301</v>
      </c>
      <c r="AN3724">
        <v>1.00000001307717</v>
      </c>
    </row>
    <row r="3725" spans="1:40" x14ac:dyDescent="0.25">
      <c r="A3725" t="str">
        <f>"20190304164925689"</f>
        <v>20190304164925689</v>
      </c>
      <c r="B3725" t="str">
        <f>"1551689365679755"</f>
        <v>1551689365679755</v>
      </c>
      <c r="C3725" t="s">
        <v>40</v>
      </c>
      <c r="D3725">
        <v>4.419511</v>
      </c>
      <c r="E3725">
        <v>0.56292739999999997</v>
      </c>
      <c r="F3725" t="s">
        <v>41</v>
      </c>
      <c r="G3725">
        <v>-380.88330000000002</v>
      </c>
      <c r="H3725">
        <v>1.041887</v>
      </c>
      <c r="I3725">
        <v>213.30969999999999</v>
      </c>
      <c r="J3725">
        <v>-381.34140000000002</v>
      </c>
      <c r="K3725">
        <v>1.109329</v>
      </c>
      <c r="L3725">
        <v>213.35990000000001</v>
      </c>
      <c r="M3725">
        <v>0.9995965</v>
      </c>
      <c r="N3725">
        <v>-8.8624489999999997E-3</v>
      </c>
      <c r="O3725">
        <v>2.698598E-2</v>
      </c>
      <c r="P3725">
        <v>0.95640060000000005</v>
      </c>
      <c r="Q3725">
        <v>0.28016279999999999</v>
      </c>
      <c r="R3725">
        <v>8.2501829999999998E-2</v>
      </c>
      <c r="S3725">
        <v>3.2206419999999998</v>
      </c>
      <c r="T3725">
        <v>-0.24661820000000001</v>
      </c>
      <c r="U3725">
        <v>-0.14154050000000001</v>
      </c>
      <c r="V3725">
        <v>-5.6514099999999998E-2</v>
      </c>
      <c r="W3725">
        <v>0.28867369999999998</v>
      </c>
      <c r="X3725">
        <v>0.9557582</v>
      </c>
      <c r="Y3725">
        <v>7.0558720000000005E-2</v>
      </c>
      <c r="Z3725">
        <v>-4.8333810000000003E-3</v>
      </c>
      <c r="AA3725">
        <v>0.99749589999999999</v>
      </c>
      <c r="AB3725">
        <v>43</v>
      </c>
      <c r="AC3725">
        <v>0.45810000000000101</v>
      </c>
      <c r="AD3725">
        <v>-6.7442000000000002E-2</v>
      </c>
      <c r="AE3725">
        <v>-5.0200000000018001E-2</v>
      </c>
      <c r="AF3725">
        <v>6.1233058658504098E-2</v>
      </c>
      <c r="AG3725">
        <v>-6.7442000000000002E-2</v>
      </c>
      <c r="AH3725">
        <v>0.44700495249803002</v>
      </c>
      <c r="AI3725">
        <v>98.501587019453794</v>
      </c>
      <c r="AJ3725">
        <v>82.199874580773795</v>
      </c>
      <c r="AK3725">
        <v>0.45619221649918701</v>
      </c>
      <c r="AL3725">
        <v>73.221431708158903</v>
      </c>
      <c r="AM3725">
        <v>93.383966297215295</v>
      </c>
      <c r="AN3725">
        <v>1.00000004271886</v>
      </c>
    </row>
    <row r="3726" spans="1:40" x14ac:dyDescent="0.25">
      <c r="A3726" t="str">
        <f>"20190304164925713"</f>
        <v>20190304164925713</v>
      </c>
      <c r="B3726" t="str">
        <f>"1551689365699397"</f>
        <v>1551689365699397</v>
      </c>
      <c r="C3726" t="s">
        <v>40</v>
      </c>
      <c r="D3726">
        <v>4.3643390000000002</v>
      </c>
      <c r="E3726">
        <v>0.56283319999999903</v>
      </c>
      <c r="F3726" t="s">
        <v>41</v>
      </c>
      <c r="G3726">
        <v>-380.4939</v>
      </c>
      <c r="H3726">
        <v>1.0449170000000001</v>
      </c>
      <c r="I3726">
        <v>213.32230000000001</v>
      </c>
      <c r="J3726">
        <v>-380.90050000000002</v>
      </c>
      <c r="K3726">
        <v>1.109375</v>
      </c>
      <c r="L3726">
        <v>213.37180000000001</v>
      </c>
      <c r="M3726">
        <v>0.99959560000000003</v>
      </c>
      <c r="N3726">
        <v>-8.8768660000000006E-3</v>
      </c>
      <c r="O3726">
        <v>2.7016680000000001E-2</v>
      </c>
      <c r="P3726">
        <v>0.9561828</v>
      </c>
      <c r="Q3726">
        <v>0.28059959999999901</v>
      </c>
      <c r="R3726">
        <v>8.3537550000000002E-2</v>
      </c>
      <c r="S3726">
        <v>3.2207340000000002</v>
      </c>
      <c r="T3726">
        <v>-0.24486089999999999</v>
      </c>
      <c r="U3726">
        <v>-0.1417542</v>
      </c>
      <c r="V3726">
        <v>-5.7556059999999999E-2</v>
      </c>
      <c r="W3726">
        <v>0.28911700000000001</v>
      </c>
      <c r="X3726">
        <v>0.95556200000000002</v>
      </c>
      <c r="Y3726">
        <v>7.065784E-2</v>
      </c>
      <c r="Z3726">
        <v>-4.805798E-3</v>
      </c>
      <c r="AA3726">
        <v>0.99748899999999996</v>
      </c>
      <c r="AB3726">
        <v>43</v>
      </c>
      <c r="AC3726">
        <v>0.406600000000025</v>
      </c>
      <c r="AD3726">
        <v>-6.4457999999999904E-2</v>
      </c>
      <c r="AE3726">
        <v>-4.9499999999994701E-2</v>
      </c>
      <c r="AF3726">
        <v>5.9006088776614798E-2</v>
      </c>
      <c r="AG3726">
        <v>-6.4457999999999904E-2</v>
      </c>
      <c r="AH3726">
        <v>0.39532418991554602</v>
      </c>
      <c r="AI3726">
        <v>99.160905824448093</v>
      </c>
      <c r="AJ3726">
        <v>81.510704752038706</v>
      </c>
      <c r="AK3726">
        <v>0.404867592441154</v>
      </c>
      <c r="AL3726">
        <v>73.194901164016699</v>
      </c>
      <c r="AM3726">
        <v>93.446913927940898</v>
      </c>
      <c r="AN3726">
        <v>1.00000003778786</v>
      </c>
    </row>
    <row r="3727" spans="1:40" x14ac:dyDescent="0.25">
      <c r="A3727" t="str">
        <f>"20190304164925735"</f>
        <v>20190304164925735</v>
      </c>
      <c r="B3727" t="str">
        <f>"1551689365729653"</f>
        <v>1551689365729653</v>
      </c>
      <c r="C3727" t="s">
        <v>40</v>
      </c>
      <c r="D3727">
        <v>4.3977259999999996</v>
      </c>
      <c r="E3727">
        <v>0.53703590000000001</v>
      </c>
      <c r="F3727" t="s">
        <v>41</v>
      </c>
      <c r="G3727">
        <v>-380.10230000000001</v>
      </c>
      <c r="H3727">
        <v>1.049085</v>
      </c>
      <c r="I3727">
        <v>213.33760000000001</v>
      </c>
      <c r="J3727">
        <v>-380.4522</v>
      </c>
      <c r="K3727">
        <v>1.109413</v>
      </c>
      <c r="L3727">
        <v>213.38390000000001</v>
      </c>
      <c r="M3727">
        <v>0.99959439999999999</v>
      </c>
      <c r="N3727">
        <v>-8.8913440000000007E-3</v>
      </c>
      <c r="O3727">
        <v>2.705931E-2</v>
      </c>
      <c r="P3727">
        <v>0.95592370000000004</v>
      </c>
      <c r="Q3727">
        <v>0.28111950000000002</v>
      </c>
      <c r="R3727">
        <v>8.4746730000000006E-2</v>
      </c>
      <c r="S3727">
        <v>3.220917</v>
      </c>
      <c r="T3727">
        <v>-0.2433138</v>
      </c>
      <c r="U3727">
        <v>-0.1372681</v>
      </c>
      <c r="V3727">
        <v>-5.8757799999999999E-2</v>
      </c>
      <c r="W3727">
        <v>0.2896437</v>
      </c>
      <c r="X3727">
        <v>0.95532930000000005</v>
      </c>
      <c r="Y3727">
        <v>6.9318879999999999E-2</v>
      </c>
      <c r="Z3727">
        <v>-4.7223450000000002E-3</v>
      </c>
      <c r="AA3727">
        <v>0.99758340000000001</v>
      </c>
      <c r="AB3727">
        <v>43</v>
      </c>
      <c r="AC3727">
        <v>0.349899999999991</v>
      </c>
      <c r="AD3727">
        <v>-6.0327999999999903E-2</v>
      </c>
      <c r="AE3727">
        <v>-4.6300000000002201E-2</v>
      </c>
      <c r="AF3727">
        <v>5.41689057627667E-2</v>
      </c>
      <c r="AG3727">
        <v>-6.0327999999999903E-2</v>
      </c>
      <c r="AH3727">
        <v>0.33862588859188397</v>
      </c>
      <c r="AI3727">
        <v>99.977311145327207</v>
      </c>
      <c r="AJ3727">
        <v>80.911576842832105</v>
      </c>
      <c r="AK3727">
        <v>0.34819711423298499</v>
      </c>
      <c r="AL3727">
        <v>73.163374135825293</v>
      </c>
      <c r="AM3727">
        <v>93.519559617159004</v>
      </c>
      <c r="AN3727">
        <v>1.00000001172451</v>
      </c>
    </row>
    <row r="3728" spans="1:40" x14ac:dyDescent="0.25">
      <c r="A3728" t="str">
        <f>"20190304164925757"</f>
        <v>20190304164925757</v>
      </c>
      <c r="B3728" t="str">
        <f>"1551689365750149"</f>
        <v>1551689365750149</v>
      </c>
      <c r="C3728" t="s">
        <v>40</v>
      </c>
      <c r="D3728">
        <v>4.4052819999999997</v>
      </c>
      <c r="E3728">
        <v>0.53014779999999995</v>
      </c>
      <c r="F3728" t="s">
        <v>46</v>
      </c>
      <c r="G3728">
        <v>-360.25869999999998</v>
      </c>
      <c r="H3728" s="1">
        <v>-1.3991160000000001E-6</v>
      </c>
      <c r="I3728">
        <v>213.80090000000001</v>
      </c>
      <c r="J3728">
        <v>-380.02100000000002</v>
      </c>
      <c r="K3728">
        <v>1.1094539999999999</v>
      </c>
      <c r="L3728">
        <v>213.3956</v>
      </c>
      <c r="M3728">
        <v>0.99959299999999995</v>
      </c>
      <c r="N3728">
        <v>-8.9048719999999994E-3</v>
      </c>
      <c r="O3728">
        <v>2.710562E-2</v>
      </c>
      <c r="P3728">
        <v>0.95557460000000005</v>
      </c>
      <c r="Q3728">
        <v>0.28189029999999998</v>
      </c>
      <c r="R3728">
        <v>8.6111140000000003E-2</v>
      </c>
      <c r="S3728">
        <v>3.183929</v>
      </c>
      <c r="T3728">
        <v>-0.1749222</v>
      </c>
      <c r="U3728">
        <v>6.5750119999999995E-2</v>
      </c>
      <c r="V3728">
        <v>-6.0109570000000001E-2</v>
      </c>
      <c r="W3728">
        <v>0.29042040000000002</v>
      </c>
      <c r="X3728">
        <v>0.95500929999999995</v>
      </c>
      <c r="Y3728">
        <v>6.4223619999999896E-3</v>
      </c>
      <c r="Z3728">
        <v>-1.451291E-3</v>
      </c>
      <c r="AA3728">
        <v>0.99997829999999999</v>
      </c>
      <c r="AB3728">
        <v>43</v>
      </c>
      <c r="AC3728">
        <v>19.7622999999999</v>
      </c>
      <c r="AD3728">
        <v>-1.1094553991159899</v>
      </c>
      <c r="AE3728">
        <v>0.40530000000001098</v>
      </c>
      <c r="AF3728">
        <v>0.130129558696924</v>
      </c>
      <c r="AG3728">
        <v>-1.1094553991159899</v>
      </c>
      <c r="AH3728">
        <v>19.703949800529202</v>
      </c>
      <c r="AI3728">
        <v>93.222637118351599</v>
      </c>
      <c r="AJ3728">
        <v>89.621610581472197</v>
      </c>
      <c r="AK3728">
        <v>19.735588735237901</v>
      </c>
      <c r="AL3728">
        <v>73.116872981616396</v>
      </c>
      <c r="AM3728">
        <v>93.601522503487999</v>
      </c>
      <c r="AN3728">
        <v>0.99999996611411601</v>
      </c>
    </row>
    <row r="3729" spans="1:40" x14ac:dyDescent="0.25">
      <c r="A3729" t="str">
        <f>"20190304164925780"</f>
        <v>20190304164925780</v>
      </c>
      <c r="B3729" t="str">
        <f>"1551689365769669"</f>
        <v>1551689365769669</v>
      </c>
      <c r="C3729" t="s">
        <v>40</v>
      </c>
      <c r="D3729">
        <v>4.4337169999999997</v>
      </c>
      <c r="E3729">
        <v>0.52708639999999995</v>
      </c>
      <c r="F3729" t="s">
        <v>46</v>
      </c>
      <c r="G3729">
        <v>-359.68740000000003</v>
      </c>
      <c r="H3729" s="1">
        <v>3.6363019999999999E-6</v>
      </c>
      <c r="I3729">
        <v>214.2064</v>
      </c>
      <c r="J3729">
        <v>-379.57990000000001</v>
      </c>
      <c r="K3729">
        <v>1.1094839999999999</v>
      </c>
      <c r="L3729">
        <v>213.4076</v>
      </c>
      <c r="M3729">
        <v>0.99959160000000002</v>
      </c>
      <c r="N3729">
        <v>-8.9185240000000006E-3</v>
      </c>
      <c r="O3729">
        <v>2.71553E-2</v>
      </c>
      <c r="P3729">
        <v>0.95521270000000003</v>
      </c>
      <c r="Q3729">
        <v>0.282757599999999</v>
      </c>
      <c r="R3729">
        <v>8.7275649999999996E-2</v>
      </c>
      <c r="S3729">
        <v>3.1791990000000001</v>
      </c>
      <c r="T3729">
        <v>-0.17346489999999901</v>
      </c>
      <c r="U3729">
        <v>0.12676999999999999</v>
      </c>
      <c r="V3729">
        <v>-6.1256949999999998E-2</v>
      </c>
      <c r="W3729">
        <v>0.29129310000000003</v>
      </c>
      <c r="X3729">
        <v>0.95467049999999998</v>
      </c>
      <c r="Y3729">
        <v>-1.269992E-2</v>
      </c>
      <c r="Z3729">
        <v>-8.3485720000000001E-4</v>
      </c>
      <c r="AA3729">
        <v>0.999919</v>
      </c>
      <c r="AB3729">
        <v>44</v>
      </c>
      <c r="AC3729">
        <v>19.892499999999899</v>
      </c>
      <c r="AD3729">
        <v>-1.109480363698</v>
      </c>
      <c r="AE3729">
        <v>0.79879999999999995</v>
      </c>
      <c r="AF3729">
        <v>-0.25749748427730401</v>
      </c>
      <c r="AG3729">
        <v>-1.109480363698</v>
      </c>
      <c r="AH3729">
        <v>19.845222623071699</v>
      </c>
      <c r="AI3729">
        <v>93.199616583559802</v>
      </c>
      <c r="AJ3729">
        <v>90.743387539156402</v>
      </c>
      <c r="AK3729">
        <v>19.877879982309899</v>
      </c>
      <c r="AL3729">
        <v>73.064610772115202</v>
      </c>
      <c r="AM3729">
        <v>93.671381638378804</v>
      </c>
      <c r="AN3729">
        <v>0.99999992380057801</v>
      </c>
    </row>
    <row r="3730" spans="1:40" x14ac:dyDescent="0.25">
      <c r="A3730" t="str">
        <f>"20190304164925802"</f>
        <v>20190304164925802</v>
      </c>
      <c r="B3730" t="str">
        <f>"1551689365789189"</f>
        <v>1551689365789189</v>
      </c>
      <c r="C3730" t="s">
        <v>40</v>
      </c>
      <c r="D3730">
        <v>4.4298159999999998</v>
      </c>
      <c r="E3730">
        <v>0.52551250000000005</v>
      </c>
      <c r="F3730" t="s">
        <v>46</v>
      </c>
      <c r="G3730">
        <v>-358.71820000000002</v>
      </c>
      <c r="H3730" s="1">
        <v>3.1106680000000001E-6</v>
      </c>
      <c r="I3730">
        <v>214.43199999999999</v>
      </c>
      <c r="J3730">
        <v>-379.1447</v>
      </c>
      <c r="K3730">
        <v>1.1095139999999999</v>
      </c>
      <c r="L3730">
        <v>213.4194</v>
      </c>
      <c r="M3730">
        <v>0.99958990000000003</v>
      </c>
      <c r="N3730">
        <v>-8.9319369999999992E-3</v>
      </c>
      <c r="O3730">
        <v>2.7206060000000001E-2</v>
      </c>
      <c r="P3730">
        <v>0.95482440000000002</v>
      </c>
      <c r="Q3730">
        <v>0.28378219999999998</v>
      </c>
      <c r="R3730">
        <v>8.8192309999999996E-2</v>
      </c>
      <c r="S3730">
        <v>3.1764220000000001</v>
      </c>
      <c r="T3730">
        <v>-0.16893050000000001</v>
      </c>
      <c r="U3730">
        <v>0.15597529999999901</v>
      </c>
      <c r="V3730">
        <v>-6.2152840000000001E-2</v>
      </c>
      <c r="W3730">
        <v>0.29232390000000003</v>
      </c>
      <c r="X3730">
        <v>0.95429750000000002</v>
      </c>
      <c r="Y3730">
        <v>-2.1843000000000001E-2</v>
      </c>
      <c r="Z3730">
        <v>-5.2407639999999998E-4</v>
      </c>
      <c r="AA3730">
        <v>0.99976129999999996</v>
      </c>
      <c r="AB3730">
        <v>44</v>
      </c>
      <c r="AC3730">
        <v>20.426499999999901</v>
      </c>
      <c r="AD3730">
        <v>-1.10951088933199</v>
      </c>
      <c r="AE3730">
        <v>1.0126000000000199</v>
      </c>
      <c r="AF3730">
        <v>-0.455138843948313</v>
      </c>
      <c r="AG3730">
        <v>-1.10951088933199</v>
      </c>
      <c r="AH3730">
        <v>20.386488354339502</v>
      </c>
      <c r="AI3730">
        <v>93.114408300610506</v>
      </c>
      <c r="AJ3730">
        <v>91.278945304180297</v>
      </c>
      <c r="AK3730">
        <v>20.4217304164568</v>
      </c>
      <c r="AL3730">
        <v>73.002863756494193</v>
      </c>
      <c r="AM3730">
        <v>93.726377773179394</v>
      </c>
      <c r="AN3730">
        <v>0.99999997826876197</v>
      </c>
    </row>
    <row r="3731" spans="1:40" x14ac:dyDescent="0.25">
      <c r="A3731" t="str">
        <f>"20190304164925824"</f>
        <v>20190304164925824</v>
      </c>
      <c r="B3731" t="str">
        <f>"1551689365819446"</f>
        <v>1551689365819446</v>
      </c>
      <c r="C3731" t="s">
        <v>40</v>
      </c>
      <c r="D3731">
        <v>4.5538360000000004</v>
      </c>
      <c r="E3731">
        <v>0.52487349999999999</v>
      </c>
      <c r="F3731" t="s">
        <v>46</v>
      </c>
      <c r="G3731">
        <v>-358.12290000000002</v>
      </c>
      <c r="H3731" s="1">
        <v>2.788344E-6</v>
      </c>
      <c r="I3731">
        <v>214.5582</v>
      </c>
      <c r="J3731">
        <v>-378.72230000000002</v>
      </c>
      <c r="K3731">
        <v>1.109537</v>
      </c>
      <c r="L3731">
        <v>213.43090000000001</v>
      </c>
      <c r="M3731">
        <v>0.99958849999999999</v>
      </c>
      <c r="N3731">
        <v>-8.9449249999999994E-3</v>
      </c>
      <c r="O3731">
        <v>2.7256760000000001E-2</v>
      </c>
      <c r="P3731">
        <v>0.95446120000000001</v>
      </c>
      <c r="Q3731">
        <v>0.28479929999999998</v>
      </c>
      <c r="R3731">
        <v>8.8844859999999998E-2</v>
      </c>
      <c r="S3731">
        <v>3.1759029999999999</v>
      </c>
      <c r="T3731">
        <v>-0.16762070000000001</v>
      </c>
      <c r="U3731">
        <v>0.1720428</v>
      </c>
      <c r="V3731">
        <v>-6.278069E-2</v>
      </c>
      <c r="W3731">
        <v>0.29334700000000002</v>
      </c>
      <c r="X3731">
        <v>0.95394239999999997</v>
      </c>
      <c r="Y3731">
        <v>-2.6836459999999999E-2</v>
      </c>
      <c r="Z3731">
        <v>-3.6516629999999999E-4</v>
      </c>
      <c r="AA3731">
        <v>0.99963970000000002</v>
      </c>
      <c r="AB3731">
        <v>44</v>
      </c>
      <c r="AC3731">
        <v>20.599399999999999</v>
      </c>
      <c r="AD3731">
        <v>-1.1095342116560001</v>
      </c>
      <c r="AE3731">
        <v>1.12729999999999</v>
      </c>
      <c r="AF3731">
        <v>-0.56375513914855102</v>
      </c>
      <c r="AG3731">
        <v>-1.1095342116560001</v>
      </c>
      <c r="AH3731">
        <v>20.562995282551601</v>
      </c>
      <c r="AI3731">
        <v>93.087401931212</v>
      </c>
      <c r="AJ3731">
        <v>91.570427874476195</v>
      </c>
      <c r="AK3731">
        <v>20.6006228307299</v>
      </c>
      <c r="AL3731">
        <v>72.941557128670098</v>
      </c>
      <c r="AM3731">
        <v>93.765309962792401</v>
      </c>
      <c r="AN3731">
        <v>0.99999998998181805</v>
      </c>
    </row>
    <row r="3732" spans="1:40" x14ac:dyDescent="0.25">
      <c r="A3732" t="str">
        <f>"20190304164925846"</f>
        <v>20190304164925846</v>
      </c>
      <c r="B3732" t="str">
        <f>"1551689365839941"</f>
        <v>1551689365839941</v>
      </c>
      <c r="C3732" t="s">
        <v>40</v>
      </c>
      <c r="D3732">
        <v>4.4198909999999998</v>
      </c>
      <c r="E3732">
        <v>0.52527029999999997</v>
      </c>
      <c r="F3732" t="s">
        <v>46</v>
      </c>
      <c r="G3732">
        <v>-357.76100000000002</v>
      </c>
      <c r="H3732" s="1">
        <v>2.5933420000000001E-6</v>
      </c>
      <c r="I3732">
        <v>214.614</v>
      </c>
      <c r="J3732">
        <v>-378.27609999999999</v>
      </c>
      <c r="K3732">
        <v>1.1095569999999999</v>
      </c>
      <c r="L3732">
        <v>213.44309999999999</v>
      </c>
      <c r="M3732">
        <v>0.99958689999999994</v>
      </c>
      <c r="N3732">
        <v>-8.9587369999999996E-3</v>
      </c>
      <c r="O3732">
        <v>2.7312079999999999E-2</v>
      </c>
      <c r="P3732">
        <v>0.95429850000000005</v>
      </c>
      <c r="Q3732">
        <v>0.28522969999999997</v>
      </c>
      <c r="R3732">
        <v>8.9210220000000007E-2</v>
      </c>
      <c r="S3732">
        <v>3.1766049999999999</v>
      </c>
      <c r="T3732">
        <v>-0.16814570000000001</v>
      </c>
      <c r="U3732">
        <v>0.1792908</v>
      </c>
      <c r="V3732">
        <v>-6.3109739999999998E-2</v>
      </c>
      <c r="W3732">
        <v>0.29378690000000002</v>
      </c>
      <c r="X3732">
        <v>0.95378529999999995</v>
      </c>
      <c r="Y3732">
        <v>-2.9039410000000002E-2</v>
      </c>
      <c r="Z3732">
        <v>-3.009989E-4</v>
      </c>
      <c r="AA3732">
        <v>0.99957819999999997</v>
      </c>
      <c r="AB3732">
        <v>44</v>
      </c>
      <c r="AC3732">
        <v>20.5151</v>
      </c>
      <c r="AD3732">
        <v>-1.1095544066580001</v>
      </c>
      <c r="AE3732">
        <v>1.17090000000001</v>
      </c>
      <c r="AF3732">
        <v>-0.60835691440311201</v>
      </c>
      <c r="AG3732">
        <v>-1.1095544066580001</v>
      </c>
      <c r="AH3732">
        <v>20.479715367385602</v>
      </c>
      <c r="AI3732">
        <v>93.099786473657403</v>
      </c>
      <c r="AJ3732">
        <v>91.701490277254806</v>
      </c>
      <c r="AK3732">
        <v>20.518770690413302</v>
      </c>
      <c r="AL3732">
        <v>72.915190986955906</v>
      </c>
      <c r="AM3732">
        <v>93.785609340324896</v>
      </c>
      <c r="AN3732">
        <v>0.99999999019528296</v>
      </c>
    </row>
    <row r="3733" spans="1:40" x14ac:dyDescent="0.25">
      <c r="A3733" t="str">
        <f>"20190304164925869"</f>
        <v>20190304164925869</v>
      </c>
      <c r="B3733" t="str">
        <f>"1551689365859480"</f>
        <v>1551689365859480</v>
      </c>
      <c r="C3733" t="s">
        <v>40</v>
      </c>
      <c r="D3733">
        <v>4.4149370000000001</v>
      </c>
      <c r="E3733">
        <v>0.52548850000000003</v>
      </c>
      <c r="F3733" t="s">
        <v>46</v>
      </c>
      <c r="G3733">
        <v>-356.98910000000001</v>
      </c>
      <c r="H3733" s="1">
        <v>2.1821729999999999E-6</v>
      </c>
      <c r="I3733">
        <v>214.62309999999999</v>
      </c>
      <c r="J3733">
        <v>-377.8279</v>
      </c>
      <c r="K3733">
        <v>1.109572</v>
      </c>
      <c r="L3733">
        <v>213.4554</v>
      </c>
      <c r="M3733">
        <v>0.99958519999999895</v>
      </c>
      <c r="N3733">
        <v>-8.9726949999999993E-3</v>
      </c>
      <c r="O3733">
        <v>2.7369500000000001E-2</v>
      </c>
      <c r="P3733">
        <v>0.95392060000000001</v>
      </c>
      <c r="Q3733">
        <v>0.28623549999999998</v>
      </c>
      <c r="R3733">
        <v>9.0028570000000002E-2</v>
      </c>
      <c r="S3733">
        <v>3.176666</v>
      </c>
      <c r="T3733">
        <v>-0.16557920000000001</v>
      </c>
      <c r="U3733">
        <v>0.1760864</v>
      </c>
      <c r="V3733">
        <v>-6.3893839999999993E-2</v>
      </c>
      <c r="W3733">
        <v>0.29480040000000002</v>
      </c>
      <c r="X3733">
        <v>0.9534203</v>
      </c>
      <c r="Y3733">
        <v>-2.797782E-2</v>
      </c>
      <c r="Z3733">
        <v>-3.2499120000000002E-4</v>
      </c>
      <c r="AA3733">
        <v>0.99960850000000001</v>
      </c>
      <c r="AB3733">
        <v>44</v>
      </c>
      <c r="AC3733">
        <v>20.8387999999999</v>
      </c>
      <c r="AD3733">
        <v>-1.1095698178269999</v>
      </c>
      <c r="AE3733">
        <v>1.16769999999999</v>
      </c>
      <c r="AF3733">
        <v>-0.59520989849720396</v>
      </c>
      <c r="AG3733">
        <v>-1.1095698178269999</v>
      </c>
      <c r="AH3733">
        <v>20.8041568616432</v>
      </c>
      <c r="AI3733">
        <v>93.051676775540002</v>
      </c>
      <c r="AJ3733">
        <v>91.638793391395495</v>
      </c>
      <c r="AK3733">
        <v>20.8422254744487</v>
      </c>
      <c r="AL3733">
        <v>72.854430837410106</v>
      </c>
      <c r="AM3733">
        <v>93.833966744093502</v>
      </c>
      <c r="AN3733">
        <v>0.99999998354109698</v>
      </c>
    </row>
    <row r="3734" spans="1:40" x14ac:dyDescent="0.25">
      <c r="A3734" t="str">
        <f>"20190304164925889"</f>
        <v>20190304164925889</v>
      </c>
      <c r="B3734" t="str">
        <f>"1551689365879961"</f>
        <v>1551689365879961</v>
      </c>
      <c r="C3734" t="s">
        <v>40</v>
      </c>
      <c r="D3734">
        <v>4.4667459999999997</v>
      </c>
      <c r="E3734">
        <v>0.52535030000000005</v>
      </c>
      <c r="F3734" t="s">
        <v>46</v>
      </c>
      <c r="G3734">
        <v>-356.39620000000002</v>
      </c>
      <c r="H3734" s="1">
        <v>1.8657120000000001E-6</v>
      </c>
      <c r="I3734">
        <v>214.64510000000001</v>
      </c>
      <c r="J3734">
        <v>-377.4323</v>
      </c>
      <c r="K3734">
        <v>1.1095870000000001</v>
      </c>
      <c r="L3734">
        <v>213.46629999999999</v>
      </c>
      <c r="M3734">
        <v>0.99958349999999996</v>
      </c>
      <c r="N3734">
        <v>-8.9848970000000004E-3</v>
      </c>
      <c r="O3734">
        <v>2.742195E-2</v>
      </c>
      <c r="P3734">
        <v>0.95326540000000004</v>
      </c>
      <c r="Q3734">
        <v>0.2878018</v>
      </c>
      <c r="R3734">
        <v>9.1953439999999997E-2</v>
      </c>
      <c r="S3734">
        <v>3.1776430000000002</v>
      </c>
      <c r="T3734">
        <v>-0.164514299999999</v>
      </c>
      <c r="U3734">
        <v>0.17639160000000001</v>
      </c>
      <c r="V3734">
        <v>-6.5792390000000006E-2</v>
      </c>
      <c r="W3734">
        <v>0.296371</v>
      </c>
      <c r="X3734">
        <v>0.95280399999999998</v>
      </c>
      <c r="Y3734">
        <v>-2.8004230000000001E-2</v>
      </c>
      <c r="Z3734">
        <v>-3.212383E-4</v>
      </c>
      <c r="AA3734">
        <v>0.99960769999999999</v>
      </c>
      <c r="AB3734">
        <v>44</v>
      </c>
      <c r="AC3734">
        <v>21.036099999999902</v>
      </c>
      <c r="AD3734">
        <v>-1.1095851342880001</v>
      </c>
      <c r="AE3734">
        <v>1.1788000000000201</v>
      </c>
      <c r="AF3734">
        <v>-0.59981886524391104</v>
      </c>
      <c r="AG3734">
        <v>-1.1095851342880001</v>
      </c>
      <c r="AH3734">
        <v>21.002265066825299</v>
      </c>
      <c r="AI3734">
        <v>93.022990843325999</v>
      </c>
      <c r="AJ3734">
        <v>91.635906888327597</v>
      </c>
      <c r="AK3734">
        <v>21.0401069336286</v>
      </c>
      <c r="AL3734">
        <v>72.760232097285694</v>
      </c>
      <c r="AM3734">
        <v>93.950080027983901</v>
      </c>
      <c r="AN3734">
        <v>0.99999993531945397</v>
      </c>
    </row>
    <row r="3735" spans="1:40" x14ac:dyDescent="0.25">
      <c r="A3735" t="str">
        <f>"20190304164925914"</f>
        <v>20190304164925914</v>
      </c>
      <c r="B3735" t="str">
        <f>"1551689365910213"</f>
        <v>1551689365910213</v>
      </c>
      <c r="C3735" t="s">
        <v>40</v>
      </c>
      <c r="D3735">
        <v>4.4534320000000003</v>
      </c>
      <c r="E3735">
        <v>0.52530849999999996</v>
      </c>
      <c r="F3735" t="s">
        <v>46</v>
      </c>
      <c r="G3735">
        <v>-355.63729999999998</v>
      </c>
      <c r="H3735" s="1">
        <v>1.45811299999999E-6</v>
      </c>
      <c r="I3735">
        <v>214.7303</v>
      </c>
      <c r="J3735">
        <v>-376.97109999999998</v>
      </c>
      <c r="K3735">
        <v>1.109594</v>
      </c>
      <c r="L3735">
        <v>213.47900000000001</v>
      </c>
      <c r="M3735">
        <v>0.99958179999999996</v>
      </c>
      <c r="N3735">
        <v>-8.9989979999999994E-3</v>
      </c>
      <c r="O3735">
        <v>2.7483670000000002E-2</v>
      </c>
      <c r="P3735">
        <v>0.95277009999999995</v>
      </c>
      <c r="Q3735">
        <v>0.28835719999999998</v>
      </c>
      <c r="R3735">
        <v>9.5285350000000005E-2</v>
      </c>
      <c r="S3735">
        <v>3.1781009999999998</v>
      </c>
      <c r="T3735">
        <v>-0.1617972</v>
      </c>
      <c r="U3735">
        <v>0.1843109</v>
      </c>
      <c r="V3735">
        <v>-6.9084119999999999E-2</v>
      </c>
      <c r="W3735">
        <v>0.2969348</v>
      </c>
      <c r="X3735">
        <v>0.9523954</v>
      </c>
      <c r="Y3735">
        <v>-3.0414030000000002E-2</v>
      </c>
      <c r="Z3735">
        <v>-2.395334E-4</v>
      </c>
      <c r="AA3735">
        <v>0.99953729999999996</v>
      </c>
      <c r="AB3735">
        <v>44</v>
      </c>
      <c r="AC3735">
        <v>21.3338</v>
      </c>
      <c r="AD3735">
        <v>-1.1095925418870001</v>
      </c>
      <c r="AE3735">
        <v>1.2512999999999801</v>
      </c>
      <c r="AF3735">
        <v>-0.66268594093605504</v>
      </c>
      <c r="AG3735">
        <v>-1.1095925418870001</v>
      </c>
      <c r="AH3735">
        <v>21.302702927509401</v>
      </c>
      <c r="AI3735">
        <v>92.980228075399594</v>
      </c>
      <c r="AJ3735">
        <v>91.781786427503405</v>
      </c>
      <c r="AK3735">
        <v>21.3418719957515</v>
      </c>
      <c r="AL3735">
        <v>72.726406231513593</v>
      </c>
      <c r="AM3735">
        <v>94.148810538347405</v>
      </c>
      <c r="AN3735">
        <v>0.99999994451418495</v>
      </c>
    </row>
    <row r="3736" spans="1:40" x14ac:dyDescent="0.25">
      <c r="A3736" t="str">
        <f>"20190304164925937"</f>
        <v>20190304164925937</v>
      </c>
      <c r="B3736" t="str">
        <f>"1551689365929733"</f>
        <v>1551689365929733</v>
      </c>
      <c r="C3736" t="s">
        <v>40</v>
      </c>
      <c r="D3736">
        <v>4.4551160000000003</v>
      </c>
      <c r="E3736">
        <v>0.5254451</v>
      </c>
      <c r="F3736" t="s">
        <v>46</v>
      </c>
      <c r="G3736">
        <v>-355.5951</v>
      </c>
      <c r="H3736" s="1">
        <v>1.4327399999999999E-6</v>
      </c>
      <c r="I3736">
        <v>214.79740000000001</v>
      </c>
      <c r="J3736">
        <v>-376.4966</v>
      </c>
      <c r="K3736">
        <v>1.1096010000000001</v>
      </c>
      <c r="L3736">
        <v>213.49209999999999</v>
      </c>
      <c r="M3736">
        <v>0.99957980000000002</v>
      </c>
      <c r="N3736">
        <v>-9.013442E-3</v>
      </c>
      <c r="O3736">
        <v>2.754817E-2</v>
      </c>
      <c r="P3736">
        <v>0.95239370000000001</v>
      </c>
      <c r="Q3736">
        <v>0.28846179999999999</v>
      </c>
      <c r="R3736">
        <v>9.8673289999999997E-2</v>
      </c>
      <c r="S3736">
        <v>3.1790159999999998</v>
      </c>
      <c r="T3736">
        <v>-0.16501779999999999</v>
      </c>
      <c r="U3736">
        <v>0.19607540000000001</v>
      </c>
      <c r="V3736">
        <v>-7.2424810000000006E-2</v>
      </c>
      <c r="W3736">
        <v>0.29704910000000001</v>
      </c>
      <c r="X3736">
        <v>0.95211159999999995</v>
      </c>
      <c r="Y3736">
        <v>-3.4012300000000002E-2</v>
      </c>
      <c r="Z3736">
        <v>-1.443308E-4</v>
      </c>
      <c r="AA3736">
        <v>0.99942140000000002</v>
      </c>
      <c r="AB3736">
        <v>44</v>
      </c>
      <c r="AC3736">
        <v>20.901499999999999</v>
      </c>
      <c r="AD3736">
        <v>-1.1095995672600001</v>
      </c>
      <c r="AE3736">
        <v>1.3053000000000099</v>
      </c>
      <c r="AF3736">
        <v>-0.72694234183272599</v>
      </c>
      <c r="AG3736">
        <v>-1.1095995672600001</v>
      </c>
      <c r="AH3736">
        <v>20.870936088123202</v>
      </c>
      <c r="AI3736">
        <v>93.041413902800798</v>
      </c>
      <c r="AJ3736">
        <v>91.994826551551796</v>
      </c>
      <c r="AK3736">
        <v>20.913049265053001</v>
      </c>
      <c r="AL3736">
        <v>72.719549039490403</v>
      </c>
      <c r="AM3736">
        <v>94.349973231665601</v>
      </c>
      <c r="AN3736">
        <v>1.0000000098844499</v>
      </c>
    </row>
    <row r="3737" spans="1:40" x14ac:dyDescent="0.25">
      <c r="A3737" t="str">
        <f>"20190304164925959"</f>
        <v>20190304164925959</v>
      </c>
      <c r="B3737" t="str">
        <f>"1551689365949253"</f>
        <v>1551689365949253</v>
      </c>
      <c r="C3737" t="s">
        <v>40</v>
      </c>
      <c r="D3737">
        <v>4.4622900000000003</v>
      </c>
      <c r="E3737">
        <v>0.52555689999999999</v>
      </c>
      <c r="F3737" t="s">
        <v>46</v>
      </c>
      <c r="G3737">
        <v>-355.61709999999999</v>
      </c>
      <c r="H3737" s="1">
        <v>1.442157E-6</v>
      </c>
      <c r="I3737">
        <v>214.84970000000001</v>
      </c>
      <c r="J3737">
        <v>-376.0675</v>
      </c>
      <c r="K3737">
        <v>1.1096079999999999</v>
      </c>
      <c r="L3737">
        <v>213.50399999999999</v>
      </c>
      <c r="M3737">
        <v>0.99957810000000002</v>
      </c>
      <c r="N3737">
        <v>-9.026404E-3</v>
      </c>
      <c r="O3737">
        <v>2.7607349999999999E-2</v>
      </c>
      <c r="P3737">
        <v>0.95207039999999998</v>
      </c>
      <c r="Q3737">
        <v>0.28857430000000001</v>
      </c>
      <c r="R3737">
        <v>0.10142320000000001</v>
      </c>
      <c r="S3737">
        <v>3.1796880000000001</v>
      </c>
      <c r="T3737">
        <v>-0.16897809999999999</v>
      </c>
      <c r="U3737">
        <v>0.20674129999999999</v>
      </c>
      <c r="V3737">
        <v>-7.5129650000000006E-2</v>
      </c>
      <c r="W3737">
        <v>0.29717059999999901</v>
      </c>
      <c r="X3737">
        <v>0.95186409999999999</v>
      </c>
      <c r="Y3737">
        <v>-3.7272769999999997E-2</v>
      </c>
      <c r="Z3737" s="1">
        <v>-5.8028500000000002E-5</v>
      </c>
      <c r="AA3737">
        <v>0.99930509999999995</v>
      </c>
      <c r="AB3737">
        <v>44</v>
      </c>
      <c r="AC3737">
        <v>20.450399999999998</v>
      </c>
      <c r="AD3737">
        <v>-1.1096065578430001</v>
      </c>
      <c r="AE3737">
        <v>1.3456999999999899</v>
      </c>
      <c r="AF3737">
        <v>-0.77830126866134197</v>
      </c>
      <c r="AG3737">
        <v>-1.1096065578430001</v>
      </c>
      <c r="AH3737">
        <v>20.419900769185901</v>
      </c>
      <c r="AI3737">
        <v>93.108110826887099</v>
      </c>
      <c r="AJ3737">
        <v>92.182762932096196</v>
      </c>
      <c r="AK3737">
        <v>20.464831467701</v>
      </c>
      <c r="AL3737">
        <v>72.712259048209404</v>
      </c>
      <c r="AM3737">
        <v>94.512940655073805</v>
      </c>
      <c r="AN3737">
        <v>1.0000000473411399</v>
      </c>
    </row>
    <row r="3738" spans="1:40" x14ac:dyDescent="0.25">
      <c r="A3738" t="str">
        <f>"20190304164925980"</f>
        <v>20190304164925980</v>
      </c>
      <c r="B3738" t="str">
        <f>"1551689365969753"</f>
        <v>1551689365969753</v>
      </c>
      <c r="C3738" t="s">
        <v>40</v>
      </c>
      <c r="D3738">
        <v>4.5460310000000002</v>
      </c>
      <c r="E3738">
        <v>0.52566550000000001</v>
      </c>
      <c r="F3738" t="s">
        <v>46</v>
      </c>
      <c r="G3738">
        <v>-355.47590000000002</v>
      </c>
      <c r="H3738" s="1">
        <v>1.3652000000000001E-6</v>
      </c>
      <c r="I3738">
        <v>214.89109999999999</v>
      </c>
      <c r="J3738">
        <v>-375.64960000000002</v>
      </c>
      <c r="K3738">
        <v>1.1096170000000001</v>
      </c>
      <c r="L3738">
        <v>213.51560000000001</v>
      </c>
      <c r="M3738">
        <v>0.99957649999999998</v>
      </c>
      <c r="N3738">
        <v>-9.0389470000000003E-3</v>
      </c>
      <c r="O3738">
        <v>2.7665209999999999E-2</v>
      </c>
      <c r="P3738">
        <v>0.95187100000000002</v>
      </c>
      <c r="Q3738">
        <v>0.28860859999999999</v>
      </c>
      <c r="R3738">
        <v>0.1031844</v>
      </c>
      <c r="S3738">
        <v>3.180145</v>
      </c>
      <c r="T3738">
        <v>-0.17136670000000001</v>
      </c>
      <c r="U3738">
        <v>0.21421809999999999</v>
      </c>
      <c r="V3738">
        <v>-7.6843670000000003E-2</v>
      </c>
      <c r="W3738">
        <v>0.29721439999999999</v>
      </c>
      <c r="X3738">
        <v>0.95171360000000005</v>
      </c>
      <c r="Y3738">
        <v>-3.9540239999999997E-2</v>
      </c>
      <c r="Z3738" s="1">
        <v>4.6145289999999998E-6</v>
      </c>
      <c r="AA3738">
        <v>0.99921800000000005</v>
      </c>
      <c r="AB3738">
        <v>44</v>
      </c>
      <c r="AC3738">
        <v>20.1737</v>
      </c>
      <c r="AD3738">
        <v>-1.1096156347999999</v>
      </c>
      <c r="AE3738">
        <v>1.37549999999998</v>
      </c>
      <c r="AF3738">
        <v>-0.81438869731423802</v>
      </c>
      <c r="AG3738">
        <v>-1.1096156347999999</v>
      </c>
      <c r="AH3738">
        <v>20.1433742925338</v>
      </c>
      <c r="AI3738">
        <v>93.150433649647596</v>
      </c>
      <c r="AJ3738">
        <v>92.315184941376799</v>
      </c>
      <c r="AK3738">
        <v>20.190344318421499</v>
      </c>
      <c r="AL3738">
        <v>72.709631015686597</v>
      </c>
      <c r="AM3738">
        <v>94.616186426956105</v>
      </c>
      <c r="AN3738">
        <v>1.00000006280569</v>
      </c>
    </row>
    <row r="3739" spans="1:40" x14ac:dyDescent="0.25">
      <c r="A3739" t="str">
        <f>"20190304164926001"</f>
        <v>20190304164926001</v>
      </c>
      <c r="B3739" t="str">
        <f>"1551689365989270"</f>
        <v>1551689365989270</v>
      </c>
      <c r="C3739" t="s">
        <v>40</v>
      </c>
      <c r="D3739">
        <v>4.4100429999999999</v>
      </c>
      <c r="E3739">
        <v>0.52546729999999997</v>
      </c>
      <c r="F3739" t="s">
        <v>46</v>
      </c>
      <c r="G3739">
        <v>-355.56470000000002</v>
      </c>
      <c r="H3739" s="1">
        <v>1.4122309999999901E-6</v>
      </c>
      <c r="I3739">
        <v>214.89599999999999</v>
      </c>
      <c r="J3739">
        <v>-375.22129999999999</v>
      </c>
      <c r="K3739">
        <v>1.1096140000000001</v>
      </c>
      <c r="L3739">
        <v>213.5275</v>
      </c>
      <c r="M3739">
        <v>0.99957470000000004</v>
      </c>
      <c r="N3739">
        <v>-9.0517070000000008E-3</v>
      </c>
      <c r="O3739">
        <v>2.7724849999999999E-2</v>
      </c>
      <c r="P3739">
        <v>0.9518624</v>
      </c>
      <c r="Q3739">
        <v>0.28839939999999997</v>
      </c>
      <c r="R3739">
        <v>0.1038456</v>
      </c>
      <c r="S3739">
        <v>3.1812740000000002</v>
      </c>
      <c r="T3739">
        <v>-0.17575299999999999</v>
      </c>
      <c r="U3739">
        <v>0.21864320000000001</v>
      </c>
      <c r="V3739">
        <v>-7.7450399999999905E-2</v>
      </c>
      <c r="W3739">
        <v>0.29701719999999998</v>
      </c>
      <c r="X3739">
        <v>0.95172590000000001</v>
      </c>
      <c r="Y3739">
        <v>-4.0836570000000003E-2</v>
      </c>
      <c r="Z3739" s="1">
        <v>3.3429129999999997E-5</v>
      </c>
      <c r="AA3739">
        <v>0.99916579999999999</v>
      </c>
      <c r="AB3739">
        <v>44</v>
      </c>
      <c r="AC3739">
        <v>19.656599999999901</v>
      </c>
      <c r="AD3739">
        <v>-1.109612587769</v>
      </c>
      <c r="AE3739">
        <v>1.3684999999999801</v>
      </c>
      <c r="AF3739">
        <v>-0.82037374752002701</v>
      </c>
      <c r="AG3739">
        <v>-1.109612587769</v>
      </c>
      <c r="AH3739">
        <v>19.624751891209499</v>
      </c>
      <c r="AI3739">
        <v>93.233324858323698</v>
      </c>
      <c r="AJ3739">
        <v>92.393742484653501</v>
      </c>
      <c r="AK3739">
        <v>19.6732086852167</v>
      </c>
      <c r="AL3739">
        <v>72.721462723793195</v>
      </c>
      <c r="AM3739">
        <v>94.6524149306113</v>
      </c>
      <c r="AN3739">
        <v>0.99999998514340505</v>
      </c>
    </row>
    <row r="3740" spans="1:40" x14ac:dyDescent="0.25">
      <c r="A3740" t="str">
        <f>"20190304164926024"</f>
        <v>20190304164926024</v>
      </c>
      <c r="B3740" t="str">
        <f>"1551689366019525"</f>
        <v>1551689366019525</v>
      </c>
      <c r="C3740" t="s">
        <v>40</v>
      </c>
      <c r="D3740">
        <v>4.4046409999999998</v>
      </c>
      <c r="E3740">
        <v>0.52596779999999999</v>
      </c>
      <c r="F3740" t="s">
        <v>46</v>
      </c>
      <c r="G3740">
        <v>-354.8775</v>
      </c>
      <c r="H3740" s="1">
        <v>1.04454E-6</v>
      </c>
      <c r="I3740">
        <v>214.9425</v>
      </c>
      <c r="J3740">
        <v>-374.77609999999999</v>
      </c>
      <c r="K3740">
        <v>1.1096079999999999</v>
      </c>
      <c r="L3740">
        <v>213.53989999999999</v>
      </c>
      <c r="M3740">
        <v>0.99957280000000004</v>
      </c>
      <c r="N3740">
        <v>-9.0648919999999997E-3</v>
      </c>
      <c r="O3740">
        <v>2.778717E-2</v>
      </c>
      <c r="P3740">
        <v>0.95210870000000003</v>
      </c>
      <c r="Q3740">
        <v>0.2878618</v>
      </c>
      <c r="R3740">
        <v>0.10307570000000001</v>
      </c>
      <c r="S3740">
        <v>3.180145</v>
      </c>
      <c r="T3740">
        <v>-0.1734552</v>
      </c>
      <c r="U3740">
        <v>0.22119140000000001</v>
      </c>
      <c r="V3740">
        <v>-7.6616119999999996E-2</v>
      </c>
      <c r="W3740">
        <v>0.29649399999999998</v>
      </c>
      <c r="X3740">
        <v>0.95195660000000004</v>
      </c>
      <c r="Y3740">
        <v>-4.1594869999999999E-2</v>
      </c>
      <c r="Z3740" s="1">
        <v>6.0449699999999998E-5</v>
      </c>
      <c r="AA3740">
        <v>0.99913450000000004</v>
      </c>
      <c r="AB3740">
        <v>44</v>
      </c>
      <c r="AC3740">
        <v>19.898599999999899</v>
      </c>
      <c r="AD3740">
        <v>-1.1096069554600001</v>
      </c>
      <c r="AE3740">
        <v>1.4026000000000001</v>
      </c>
      <c r="AF3740">
        <v>-0.84649071482731497</v>
      </c>
      <c r="AG3740">
        <v>-1.1096069554600001</v>
      </c>
      <c r="AH3740">
        <v>19.868415861002099</v>
      </c>
      <c r="AI3740">
        <v>93.193630490918594</v>
      </c>
      <c r="AJ3740">
        <v>92.439602236845204</v>
      </c>
      <c r="AK3740">
        <v>19.917372390745001</v>
      </c>
      <c r="AL3740">
        <v>72.752855008500703</v>
      </c>
      <c r="AM3740">
        <v>94.601405935506705</v>
      </c>
      <c r="AN3740">
        <v>1.0000000450816999</v>
      </c>
    </row>
    <row r="3741" spans="1:40" x14ac:dyDescent="0.25">
      <c r="A3741" t="str">
        <f>"20190304164926047"</f>
        <v>20190304164926047</v>
      </c>
      <c r="B3741" t="str">
        <f>"1551689366040021"</f>
        <v>1551689366040021</v>
      </c>
      <c r="C3741" t="s">
        <v>40</v>
      </c>
      <c r="D3741">
        <v>4.4276439999999999</v>
      </c>
      <c r="E3741">
        <v>0.52624919999999997</v>
      </c>
      <c r="F3741" t="s">
        <v>46</v>
      </c>
      <c r="G3741">
        <v>-355.14690000000002</v>
      </c>
      <c r="H3741" s="1">
        <v>1.1915210000000001E-6</v>
      </c>
      <c r="I3741">
        <v>214.85939999999999</v>
      </c>
      <c r="J3741">
        <v>-374.30950000000001</v>
      </c>
      <c r="K3741">
        <v>1.109605</v>
      </c>
      <c r="L3741">
        <v>213.55289999999999</v>
      </c>
      <c r="M3741">
        <v>0.99957090000000004</v>
      </c>
      <c r="N3741">
        <v>-9.0787769999999997E-3</v>
      </c>
      <c r="O3741">
        <v>2.7852459999999999E-2</v>
      </c>
      <c r="P3741">
        <v>0.95221849999999997</v>
      </c>
      <c r="Q3741">
        <v>0.28782289999999999</v>
      </c>
      <c r="R3741">
        <v>0.1021677</v>
      </c>
      <c r="S3741">
        <v>3.1820979999999999</v>
      </c>
      <c r="T3741">
        <v>-0.17987939999999999</v>
      </c>
      <c r="U3741">
        <v>0.21391299999999999</v>
      </c>
      <c r="V3741">
        <v>-7.5644859999999994E-2</v>
      </c>
      <c r="W3741">
        <v>0.29646860000000003</v>
      </c>
      <c r="X3741">
        <v>0.95204219999999895</v>
      </c>
      <c r="Y3741">
        <v>-3.9214390000000002E-2</v>
      </c>
      <c r="Z3741" s="1">
        <v>-3.3798219999999999E-5</v>
      </c>
      <c r="AA3741">
        <v>0.99923079999999997</v>
      </c>
      <c r="AB3741">
        <v>44</v>
      </c>
      <c r="AC3741">
        <v>19.162600000000001</v>
      </c>
      <c r="AD3741">
        <v>-1.1096038084790001</v>
      </c>
      <c r="AE3741">
        <v>1.30649999999999</v>
      </c>
      <c r="AF3741">
        <v>-0.76967684572348605</v>
      </c>
      <c r="AG3741">
        <v>-1.1096038084790001</v>
      </c>
      <c r="AH3741">
        <v>19.127718370730499</v>
      </c>
      <c r="AI3741">
        <v>93.317343342736905</v>
      </c>
      <c r="AJ3741">
        <v>92.304271519019693</v>
      </c>
      <c r="AK3741">
        <v>19.175328761943501</v>
      </c>
      <c r="AL3741">
        <v>72.754379155062793</v>
      </c>
      <c r="AM3741">
        <v>94.542913047702001</v>
      </c>
      <c r="AN3741">
        <v>1.0000000631056001</v>
      </c>
    </row>
    <row r="3742" spans="1:40" x14ac:dyDescent="0.25">
      <c r="A3742" t="str">
        <f>"20190304164926060"</f>
        <v>20190304164926060</v>
      </c>
      <c r="B3742" t="str">
        <f>"1551689366049782"</f>
        <v>1551689366049782</v>
      </c>
      <c r="C3742" t="s">
        <v>40</v>
      </c>
      <c r="D3742">
        <v>4.4672190000000001</v>
      </c>
      <c r="E3742">
        <v>0.52639159999999996</v>
      </c>
      <c r="F3742" t="s">
        <v>46</v>
      </c>
      <c r="G3742">
        <v>-355.048</v>
      </c>
      <c r="H3742" s="1">
        <v>1.140901E-6</v>
      </c>
      <c r="I3742">
        <v>214.8134</v>
      </c>
      <c r="J3742">
        <v>-374.06290000000001</v>
      </c>
      <c r="K3742">
        <v>1.109607</v>
      </c>
      <c r="L3742">
        <v>213.5598</v>
      </c>
      <c r="M3742">
        <v>0.99956999999999996</v>
      </c>
      <c r="N3742">
        <v>-9.0861020000000004E-3</v>
      </c>
      <c r="O3742">
        <v>2.7887180000000001E-2</v>
      </c>
      <c r="P3742">
        <v>0.95238880000000004</v>
      </c>
      <c r="Q3742">
        <v>0.28744740000000002</v>
      </c>
      <c r="R3742">
        <v>0.1016368</v>
      </c>
      <c r="S3742">
        <v>3.183624</v>
      </c>
      <c r="T3742">
        <v>-0.18340049999999999</v>
      </c>
      <c r="U3742">
        <v>0.20834349999999999</v>
      </c>
      <c r="V3742">
        <v>-7.5076799999999999E-2</v>
      </c>
      <c r="W3742">
        <v>0.296101</v>
      </c>
      <c r="X3742">
        <v>0.95220150000000003</v>
      </c>
      <c r="Y3742">
        <v>-3.740947E-2</v>
      </c>
      <c r="Z3742">
        <v>-1.041277E-4</v>
      </c>
      <c r="AA3742">
        <v>0.99929999999999997</v>
      </c>
      <c r="AB3742">
        <v>44</v>
      </c>
      <c r="AC3742">
        <v>19.014900000000001</v>
      </c>
      <c r="AD3742">
        <v>-1.1096058590989999</v>
      </c>
      <c r="AE3742">
        <v>1.2536</v>
      </c>
      <c r="AF3742">
        <v>-0.72037624511851195</v>
      </c>
      <c r="AG3742">
        <v>-1.1096058590989999</v>
      </c>
      <c r="AH3742">
        <v>18.978119237752601</v>
      </c>
      <c r="AI3742">
        <v>93.343737099848795</v>
      </c>
      <c r="AJ3742">
        <v>92.173804049587403</v>
      </c>
      <c r="AK3742">
        <v>19.024173487945099</v>
      </c>
      <c r="AL3742">
        <v>72.776430326913001</v>
      </c>
      <c r="AM3742">
        <v>94.5081877322108</v>
      </c>
      <c r="AN3742">
        <v>1.00000001235074</v>
      </c>
    </row>
    <row r="3743" spans="1:40" x14ac:dyDescent="0.25">
      <c r="A3743" t="str">
        <f>"20190304164926080"</f>
        <v>20190304164926080</v>
      </c>
      <c r="B3743" t="str">
        <f>"1551689366069301"</f>
        <v>1551689366069301</v>
      </c>
      <c r="C3743" t="s">
        <v>40</v>
      </c>
      <c r="D3743">
        <v>4.4840339999999896</v>
      </c>
      <c r="E3743">
        <v>0.52664909999999998</v>
      </c>
      <c r="F3743" t="s">
        <v>46</v>
      </c>
      <c r="G3743">
        <v>-355.12459999999999</v>
      </c>
      <c r="H3743" s="1">
        <v>1.183116E-6</v>
      </c>
      <c r="I3743">
        <v>214.78049999999999</v>
      </c>
      <c r="J3743">
        <v>-373.67039999999997</v>
      </c>
      <c r="K3743">
        <v>1.109604</v>
      </c>
      <c r="L3743">
        <v>213.57079999999999</v>
      </c>
      <c r="M3743">
        <v>0.99956820000000002</v>
      </c>
      <c r="N3743">
        <v>-9.0977509999999994E-3</v>
      </c>
      <c r="O3743">
        <v>2.7942809999999998E-2</v>
      </c>
      <c r="P3743">
        <v>0.95268410000000003</v>
      </c>
      <c r="Q3743">
        <v>0.286916</v>
      </c>
      <c r="R3743">
        <v>0.1003598</v>
      </c>
      <c r="S3743">
        <v>3.1843870000000001</v>
      </c>
      <c r="T3743">
        <v>-0.1865753</v>
      </c>
      <c r="U3743">
        <v>0.2052612</v>
      </c>
      <c r="V3743">
        <v>-7.3739230000000003E-2</v>
      </c>
      <c r="W3743">
        <v>0.29558309999999999</v>
      </c>
      <c r="X3743">
        <v>0.95246690000000001</v>
      </c>
      <c r="Y3743">
        <v>-3.6376150000000003E-2</v>
      </c>
      <c r="Z3743">
        <v>-1.5026340000000001E-4</v>
      </c>
      <c r="AA3743">
        <v>0.99933819999999995</v>
      </c>
      <c r="AB3743">
        <v>44</v>
      </c>
      <c r="AC3743">
        <v>18.5457999999999</v>
      </c>
      <c r="AD3743">
        <v>-1.109602816884</v>
      </c>
      <c r="AE3743">
        <v>1.20969999999999</v>
      </c>
      <c r="AF3743">
        <v>-0.68853015442286303</v>
      </c>
      <c r="AG3743">
        <v>-1.109602816884</v>
      </c>
      <c r="AH3743">
        <v>18.506395243712401</v>
      </c>
      <c r="AI3743">
        <v>93.428854727725195</v>
      </c>
      <c r="AJ3743">
        <v>92.130705855193398</v>
      </c>
      <c r="AK3743">
        <v>18.5524110859286</v>
      </c>
      <c r="AL3743">
        <v>72.807494456854698</v>
      </c>
      <c r="AM3743">
        <v>94.426963102333204</v>
      </c>
      <c r="AN3743">
        <v>1.0000000193211001</v>
      </c>
    </row>
    <row r="3744" spans="1:40" x14ac:dyDescent="0.25">
      <c r="A3744" t="str">
        <f>"20190304164926102"</f>
        <v>20190304164926102</v>
      </c>
      <c r="B3744" t="str">
        <f>"1551689366089798"</f>
        <v>1551689366089798</v>
      </c>
      <c r="C3744" t="s">
        <v>40</v>
      </c>
      <c r="D3744">
        <v>4.4239480000000002</v>
      </c>
      <c r="E3744">
        <v>0.52687249999999997</v>
      </c>
      <c r="F3744" t="s">
        <v>46</v>
      </c>
      <c r="G3744">
        <v>-355.25979999999998</v>
      </c>
      <c r="H3744" s="1">
        <v>1.257683E-6</v>
      </c>
      <c r="I3744">
        <v>214.72</v>
      </c>
      <c r="J3744">
        <v>-373.2319</v>
      </c>
      <c r="K3744">
        <v>1.109602</v>
      </c>
      <c r="L3744">
        <v>213.5831</v>
      </c>
      <c r="M3744">
        <v>0.99956639999999997</v>
      </c>
      <c r="N3744">
        <v>-9.1107389999999996E-3</v>
      </c>
      <c r="O3744">
        <v>2.8004930000000001E-2</v>
      </c>
      <c r="P3744">
        <v>0.95287790000000006</v>
      </c>
      <c r="Q3744">
        <v>0.28668640000000001</v>
      </c>
      <c r="R3744">
        <v>9.9170889999999998E-2</v>
      </c>
      <c r="S3744">
        <v>3.1858520000000001</v>
      </c>
      <c r="T3744">
        <v>-0.19201080000000001</v>
      </c>
      <c r="U3744">
        <v>0.19886780000000001</v>
      </c>
      <c r="V3744">
        <v>-7.2487999999999997E-2</v>
      </c>
      <c r="W3744">
        <v>0.29536709999999999</v>
      </c>
      <c r="X3744">
        <v>0.95262990000000003</v>
      </c>
      <c r="Y3744">
        <v>-3.4289859999999998E-2</v>
      </c>
      <c r="Z3744">
        <v>-2.4146190000000001E-4</v>
      </c>
      <c r="AA3744">
        <v>0.99941190000000002</v>
      </c>
      <c r="AB3744">
        <v>44</v>
      </c>
      <c r="AC3744">
        <v>17.972100000000001</v>
      </c>
      <c r="AD3744">
        <v>-1.109600742317</v>
      </c>
      <c r="AE3744">
        <v>1.13689999999999</v>
      </c>
      <c r="AF3744">
        <v>-0.63073115947271297</v>
      </c>
      <c r="AG3744">
        <v>-1.109600742317</v>
      </c>
      <c r="AH3744">
        <v>17.928821027746601</v>
      </c>
      <c r="AI3744">
        <v>93.539290195051095</v>
      </c>
      <c r="AJ3744">
        <v>92.014819382658899</v>
      </c>
      <c r="AK3744">
        <v>17.974194253090999</v>
      </c>
      <c r="AL3744">
        <v>72.820448054370402</v>
      </c>
      <c r="AM3744">
        <v>94.351394299347007</v>
      </c>
      <c r="AN3744">
        <v>0.99999998014020897</v>
      </c>
    </row>
    <row r="3745" spans="1:40" x14ac:dyDescent="0.25">
      <c r="A3745" t="str">
        <f>"20190304164926125"</f>
        <v>20190304164926125</v>
      </c>
      <c r="B3745" t="str">
        <f>"1551689366120053"</f>
        <v>1551689366120053</v>
      </c>
      <c r="C3745" t="s">
        <v>40</v>
      </c>
      <c r="D3745">
        <v>4.4860550000000003</v>
      </c>
      <c r="E3745">
        <v>0.52716549999999995</v>
      </c>
      <c r="F3745" t="s">
        <v>46</v>
      </c>
      <c r="G3745">
        <v>-355.16309999999999</v>
      </c>
      <c r="H3745" s="1">
        <v>1.2078680000000001E-6</v>
      </c>
      <c r="I3745">
        <v>214.68289999999999</v>
      </c>
      <c r="J3745">
        <v>-372.7484</v>
      </c>
      <c r="K3745">
        <v>1.1095930000000001</v>
      </c>
      <c r="L3745">
        <v>213.5966</v>
      </c>
      <c r="M3745">
        <v>0.99956429999999996</v>
      </c>
      <c r="N3745">
        <v>-9.1250370000000008E-3</v>
      </c>
      <c r="O3745">
        <v>2.807337E-2</v>
      </c>
      <c r="P3745">
        <v>0.95309840000000001</v>
      </c>
      <c r="Q3745">
        <v>0.28629710000000003</v>
      </c>
      <c r="R3745">
        <v>9.8169889999999996E-2</v>
      </c>
      <c r="S3745">
        <v>3.1870419999999999</v>
      </c>
      <c r="T3745">
        <v>-0.195716</v>
      </c>
      <c r="U3745">
        <v>0.19400020000000001</v>
      </c>
      <c r="V3745">
        <v>-7.1415919999999994E-2</v>
      </c>
      <c r="W3745">
        <v>0.29499409999999998</v>
      </c>
      <c r="X3745">
        <v>0.95282639999999996</v>
      </c>
      <c r="Y3745">
        <v>-3.2680189999999998E-2</v>
      </c>
      <c r="Z3745">
        <v>-3.134411E-4</v>
      </c>
      <c r="AA3745">
        <v>0.99946579999999996</v>
      </c>
      <c r="AB3745">
        <v>45</v>
      </c>
      <c r="AC3745">
        <v>17.5853</v>
      </c>
      <c r="AD3745">
        <v>-1.109591792132</v>
      </c>
      <c r="AE3745">
        <v>1.0862999999999901</v>
      </c>
      <c r="AF3745">
        <v>-0.58983328259490297</v>
      </c>
      <c r="AG3745">
        <v>-1.109591792132</v>
      </c>
      <c r="AH3745">
        <v>17.539301722845401</v>
      </c>
      <c r="AI3745">
        <v>93.617848719578603</v>
      </c>
      <c r="AJ3745">
        <v>91.926087310777206</v>
      </c>
      <c r="AK3745">
        <v>17.5842600689205</v>
      </c>
      <c r="AL3745">
        <v>72.842815543847095</v>
      </c>
      <c r="AM3745">
        <v>94.286399110970706</v>
      </c>
      <c r="AN3745">
        <v>0.99999995060060698</v>
      </c>
    </row>
    <row r="3746" spans="1:40" x14ac:dyDescent="0.25">
      <c r="A3746" t="str">
        <f>"20190304164926148"</f>
        <v>20190304164926148</v>
      </c>
      <c r="B3746" t="str">
        <f>"1551689366139585"</f>
        <v>1551689366139585</v>
      </c>
      <c r="C3746" t="s">
        <v>40</v>
      </c>
      <c r="D3746">
        <v>4.8232989999999996</v>
      </c>
      <c r="E3746">
        <v>0.54958240000000003</v>
      </c>
      <c r="F3746" t="s">
        <v>46</v>
      </c>
      <c r="G3746">
        <v>-355.13199999999898</v>
      </c>
      <c r="H3746" s="1">
        <v>1.19303E-6</v>
      </c>
      <c r="I3746">
        <v>214.64359999999999</v>
      </c>
      <c r="J3746">
        <v>-372.3109</v>
      </c>
      <c r="K3746">
        <v>1.1095950000000001</v>
      </c>
      <c r="L3746">
        <v>213.60900000000001</v>
      </c>
      <c r="M3746">
        <v>0.99956239999999996</v>
      </c>
      <c r="N3746">
        <v>-9.1379749999999996E-3</v>
      </c>
      <c r="O3746">
        <v>2.8135420000000001E-2</v>
      </c>
      <c r="P3746">
        <v>0.95306349999999995</v>
      </c>
      <c r="Q3746">
        <v>0.28655910000000001</v>
      </c>
      <c r="R3746">
        <v>9.7745869999999999E-2</v>
      </c>
      <c r="S3746">
        <v>3.1884160000000001</v>
      </c>
      <c r="T3746">
        <v>-0.20082630000000001</v>
      </c>
      <c r="U3746">
        <v>0.1894989</v>
      </c>
      <c r="V3746">
        <v>-7.0934849999999994E-2</v>
      </c>
      <c r="W3746">
        <v>0.29526790000000003</v>
      </c>
      <c r="X3746">
        <v>0.9527776</v>
      </c>
      <c r="Y3746">
        <v>-3.118839E-2</v>
      </c>
      <c r="Z3746">
        <v>-3.8837410000000001E-4</v>
      </c>
      <c r="AA3746">
        <v>0.9995134</v>
      </c>
      <c r="AB3746">
        <v>45</v>
      </c>
      <c r="AC3746">
        <v>17.178899999999999</v>
      </c>
      <c r="AD3746">
        <v>-1.10959380697</v>
      </c>
      <c r="AE3746">
        <v>1.03459999999998</v>
      </c>
      <c r="AF3746">
        <v>-0.54855440283394696</v>
      </c>
      <c r="AG3746">
        <v>-1.10959380697</v>
      </c>
      <c r="AH3746">
        <v>17.1300018298355</v>
      </c>
      <c r="AI3746">
        <v>93.704256075635996</v>
      </c>
      <c r="AJ3746">
        <v>91.834157143477995</v>
      </c>
      <c r="AK3746">
        <v>17.174663695091802</v>
      </c>
      <c r="AL3746">
        <v>72.8263978421909</v>
      </c>
      <c r="AM3746">
        <v>94.257848986592805</v>
      </c>
      <c r="AN3746">
        <v>1.0000000203883399</v>
      </c>
    </row>
    <row r="3747" spans="1:40" x14ac:dyDescent="0.25">
      <c r="A3747" t="str">
        <f>"20190304164926168"</f>
        <v>20190304164926168</v>
      </c>
      <c r="B3747" t="str">
        <f>"1551689366160073"</f>
        <v>1551689366160073</v>
      </c>
      <c r="C3747" t="s">
        <v>40</v>
      </c>
      <c r="D3747">
        <v>4.4891449999999997</v>
      </c>
      <c r="E3747">
        <v>0.55276380000000003</v>
      </c>
      <c r="F3747" t="s">
        <v>46</v>
      </c>
      <c r="G3747">
        <v>-355.38400000000001</v>
      </c>
      <c r="H3747" s="1">
        <v>1.369906E-6</v>
      </c>
      <c r="I3747">
        <v>213.6652</v>
      </c>
      <c r="J3747">
        <v>-371.88819999999998</v>
      </c>
      <c r="K3747">
        <v>1.1095950000000001</v>
      </c>
      <c r="L3747">
        <v>213.62090000000001</v>
      </c>
      <c r="M3747">
        <v>0.99956069999999997</v>
      </c>
      <c r="N3747">
        <v>-9.1504489999999997E-3</v>
      </c>
      <c r="O3747">
        <v>2.8195390000000001E-2</v>
      </c>
      <c r="P3747">
        <v>0.95300609999999997</v>
      </c>
      <c r="Q3747">
        <v>0.2866687</v>
      </c>
      <c r="R3747">
        <v>9.7982299999999994E-2</v>
      </c>
      <c r="S3747">
        <v>3.2098689999999999</v>
      </c>
      <c r="T3747">
        <v>-0.21041480000000001</v>
      </c>
      <c r="U3747">
        <v>1.0665890000000001E-2</v>
      </c>
      <c r="V3747">
        <v>-7.1115609999999996E-2</v>
      </c>
      <c r="W3747">
        <v>0.29538819999999999</v>
      </c>
      <c r="X3747">
        <v>0.95272679999999998</v>
      </c>
      <c r="Y3747">
        <v>2.4769530000000001E-2</v>
      </c>
      <c r="Z3747">
        <v>-2.5127349999999999E-3</v>
      </c>
      <c r="AA3747">
        <v>0.99969010000000003</v>
      </c>
      <c r="AB3747">
        <v>45</v>
      </c>
      <c r="AC3747">
        <v>16.504199999999901</v>
      </c>
      <c r="AD3747">
        <v>-1.1095936300939999</v>
      </c>
      <c r="AE3747">
        <v>4.4299999999992602E-2</v>
      </c>
      <c r="AF3747">
        <v>0.41918467832797401</v>
      </c>
      <c r="AG3747">
        <v>-1.1095936300939999</v>
      </c>
      <c r="AH3747">
        <v>16.4246480383472</v>
      </c>
      <c r="AI3747">
        <v>93.863582238983199</v>
      </c>
      <c r="AJ3747">
        <v>88.538032581736601</v>
      </c>
      <c r="AK3747">
        <v>16.467421686532301</v>
      </c>
      <c r="AL3747">
        <v>72.819182774476602</v>
      </c>
      <c r="AM3747">
        <v>94.268885778429507</v>
      </c>
      <c r="AN3747">
        <v>0.999999987061575</v>
      </c>
    </row>
    <row r="3748" spans="1:40" x14ac:dyDescent="0.25">
      <c r="A3748" t="str">
        <f>"20190304164926191"</f>
        <v>20190304164926191</v>
      </c>
      <c r="B3748" t="str">
        <f>"1551689366179590"</f>
        <v>1551689366179590</v>
      </c>
      <c r="C3748" t="s">
        <v>40</v>
      </c>
      <c r="D3748">
        <v>4.5119790000000002</v>
      </c>
      <c r="E3748">
        <v>0.55390669999999897</v>
      </c>
      <c r="F3748" t="s">
        <v>46</v>
      </c>
      <c r="G3748">
        <v>-354.12580000000003</v>
      </c>
      <c r="H3748" s="1">
        <v>7.0589639999999995E-7</v>
      </c>
      <c r="I3748">
        <v>213.53790000000001</v>
      </c>
      <c r="J3748">
        <v>-371.44819999999999</v>
      </c>
      <c r="K3748">
        <v>1.1095969999999999</v>
      </c>
      <c r="L3748">
        <v>213.63339999999999</v>
      </c>
      <c r="M3748">
        <v>0.99955870000000002</v>
      </c>
      <c r="N3748">
        <v>-9.1633930000000006E-3</v>
      </c>
      <c r="O3748">
        <v>2.8258160000000001E-2</v>
      </c>
      <c r="P3748">
        <v>0.95302430000000005</v>
      </c>
      <c r="Q3748">
        <v>0.28649750000000002</v>
      </c>
      <c r="R3748">
        <v>9.8305600000000007E-2</v>
      </c>
      <c r="S3748">
        <v>3.209778</v>
      </c>
      <c r="T3748">
        <v>-0.2005101</v>
      </c>
      <c r="U3748">
        <v>-1.499939E-2</v>
      </c>
      <c r="V3748">
        <v>-7.1378659999999997E-2</v>
      </c>
      <c r="W3748">
        <v>0.29522999999999999</v>
      </c>
      <c r="X3748">
        <v>0.95275620000000005</v>
      </c>
      <c r="Y3748">
        <v>3.2816690000000003E-2</v>
      </c>
      <c r="Z3748">
        <v>-2.679149E-3</v>
      </c>
      <c r="AA3748">
        <v>0.99945779999999995</v>
      </c>
      <c r="AB3748">
        <v>45</v>
      </c>
      <c r="AC3748">
        <v>17.322399999999899</v>
      </c>
      <c r="AD3748">
        <v>-1.1095962941035999</v>
      </c>
      <c r="AE3748">
        <v>-9.5499999999986998E-2</v>
      </c>
      <c r="AF3748">
        <v>0.58259117483009604</v>
      </c>
      <c r="AG3748">
        <v>-1.1095962941035999</v>
      </c>
      <c r="AH3748">
        <v>17.242039149619401</v>
      </c>
      <c r="AI3748">
        <v>93.680047684575101</v>
      </c>
      <c r="AJ3748">
        <v>88.064769449489503</v>
      </c>
      <c r="AK3748">
        <v>17.287525284143101</v>
      </c>
      <c r="AL3748">
        <v>72.828670690738903</v>
      </c>
      <c r="AM3748">
        <v>94.284485572580707</v>
      </c>
      <c r="AN3748">
        <v>1.0000000213209099</v>
      </c>
    </row>
    <row r="3749" spans="1:40" x14ac:dyDescent="0.25">
      <c r="A3749" t="str">
        <f>"20190304164926215"</f>
        <v>20190304164926215</v>
      </c>
      <c r="B3749" t="str">
        <f>"1551689366209846"</f>
        <v>1551689366209846</v>
      </c>
      <c r="C3749" t="s">
        <v>40</v>
      </c>
      <c r="D3749">
        <v>4.5002909999999998</v>
      </c>
      <c r="E3749">
        <v>0.5548727</v>
      </c>
      <c r="F3749" t="s">
        <v>46</v>
      </c>
      <c r="G3749">
        <v>-353.363</v>
      </c>
      <c r="H3749" s="1">
        <v>3.0135059999999999E-7</v>
      </c>
      <c r="I3749">
        <v>213.506</v>
      </c>
      <c r="J3749">
        <v>-370.97199999999998</v>
      </c>
      <c r="K3749">
        <v>1.1096029999999999</v>
      </c>
      <c r="L3749">
        <v>213.64689999999999</v>
      </c>
      <c r="M3749">
        <v>0.99955680000000002</v>
      </c>
      <c r="N3749">
        <v>-9.1775099999999998E-3</v>
      </c>
      <c r="O3749">
        <v>2.832575E-2</v>
      </c>
      <c r="P3749">
        <v>0.95295540000000001</v>
      </c>
      <c r="Q3749">
        <v>0.286664799999999</v>
      </c>
      <c r="R3749">
        <v>9.8485299999999998E-2</v>
      </c>
      <c r="S3749">
        <v>3.2094119999999999</v>
      </c>
      <c r="T3749">
        <v>-0.19690930000000001</v>
      </c>
      <c r="U3749">
        <v>-2.261353E-2</v>
      </c>
      <c r="V3749">
        <v>-7.1496260000000006E-2</v>
      </c>
      <c r="W3749">
        <v>0.29540949999999999</v>
      </c>
      <c r="X3749">
        <v>0.95269170000000003</v>
      </c>
      <c r="Y3749">
        <v>3.5254510000000003E-2</v>
      </c>
      <c r="Z3749">
        <v>-2.7187539999999999E-3</v>
      </c>
      <c r="AA3749">
        <v>0.99937469999999995</v>
      </c>
      <c r="AB3749">
        <v>45</v>
      </c>
      <c r="AC3749">
        <v>17.608999999999899</v>
      </c>
      <c r="AD3749">
        <v>-1.1096026986493901</v>
      </c>
      <c r="AE3749">
        <v>-0.14090000000001601</v>
      </c>
      <c r="AF3749">
        <v>0.63712285133705204</v>
      </c>
      <c r="AG3749">
        <v>-1.1096026986493901</v>
      </c>
      <c r="AH3749">
        <v>17.5283473304358</v>
      </c>
      <c r="AI3749">
        <v>93.619796147751103</v>
      </c>
      <c r="AJ3749">
        <v>87.918321331132802</v>
      </c>
      <c r="AK3749">
        <v>17.574985172481401</v>
      </c>
      <c r="AL3749">
        <v>72.817905271528204</v>
      </c>
      <c r="AM3749">
        <v>94.291807594806201</v>
      </c>
      <c r="AN3749">
        <v>0.999999981566563</v>
      </c>
    </row>
    <row r="3750" spans="1:40" x14ac:dyDescent="0.25">
      <c r="A3750" t="str">
        <f>"20190304164926248"</f>
        <v>20190304164926248</v>
      </c>
      <c r="B3750" t="str">
        <f>"1551689366240106"</f>
        <v>1551689366240106</v>
      </c>
      <c r="C3750" t="s">
        <v>40</v>
      </c>
      <c r="D3750">
        <v>4.5800799999999997</v>
      </c>
      <c r="E3750">
        <v>0.55517830000000001</v>
      </c>
      <c r="F3750" t="s">
        <v>46</v>
      </c>
      <c r="G3750">
        <v>-352.49619999999999</v>
      </c>
      <c r="H3750" s="1">
        <v>-1.5884650000000001E-7</v>
      </c>
      <c r="I3750">
        <v>213.4813</v>
      </c>
      <c r="J3750">
        <v>-370.2978</v>
      </c>
      <c r="K3750">
        <v>1.1095969999999999</v>
      </c>
      <c r="L3750">
        <v>213.6661</v>
      </c>
      <c r="M3750">
        <v>0.99955369999999999</v>
      </c>
      <c r="N3750">
        <v>-9.1974459999999997E-3</v>
      </c>
      <c r="O3750">
        <v>2.8422039999999999E-2</v>
      </c>
      <c r="P3750">
        <v>0.95303700000000002</v>
      </c>
      <c r="Q3750">
        <v>0.28602689999999997</v>
      </c>
      <c r="R3750">
        <v>9.9544869999999994E-2</v>
      </c>
      <c r="S3750">
        <v>3.2090450000000001</v>
      </c>
      <c r="T3750">
        <v>-0.1927249</v>
      </c>
      <c r="U3750">
        <v>-2.8762820000000001E-2</v>
      </c>
      <c r="V3750">
        <v>-7.2461049999999999E-2</v>
      </c>
      <c r="W3750">
        <v>0.29479179999999999</v>
      </c>
      <c r="X3750">
        <v>0.95281020000000005</v>
      </c>
      <c r="Y3750">
        <v>3.7267019999999998E-2</v>
      </c>
      <c r="Z3750">
        <v>-2.733624E-3</v>
      </c>
      <c r="AA3750">
        <v>0.99930160000000001</v>
      </c>
      <c r="AB3750">
        <v>45</v>
      </c>
      <c r="AC3750">
        <v>17.801600000000001</v>
      </c>
      <c r="AD3750">
        <v>-1.1095971588464999</v>
      </c>
      <c r="AE3750">
        <v>-0.184799999999995</v>
      </c>
      <c r="AF3750">
        <v>0.68803167666065801</v>
      </c>
      <c r="AG3750">
        <v>-1.1095971588464999</v>
      </c>
      <c r="AH3750">
        <v>17.720315719793899</v>
      </c>
      <c r="AI3750">
        <v>93.580334473731199</v>
      </c>
      <c r="AJ3750">
        <v>87.776477586581905</v>
      </c>
      <c r="AK3750">
        <v>17.7683477749673</v>
      </c>
      <c r="AL3750">
        <v>72.854947550913906</v>
      </c>
      <c r="AM3750">
        <v>94.348962773403599</v>
      </c>
      <c r="AN3750">
        <v>1.00000004316919</v>
      </c>
    </row>
    <row r="3751" spans="1:40" x14ac:dyDescent="0.25">
      <c r="A3751" t="str">
        <f>"20190304164926269"</f>
        <v>20190304164926269</v>
      </c>
      <c r="B3751" t="str">
        <f>"1551689366259625"</f>
        <v>1551689366259625</v>
      </c>
      <c r="C3751" t="s">
        <v>40</v>
      </c>
      <c r="D3751">
        <v>4.5524430000000002</v>
      </c>
      <c r="E3751">
        <v>0.55542919999999996</v>
      </c>
      <c r="F3751" t="s">
        <v>46</v>
      </c>
      <c r="G3751">
        <v>-351.86759999999998</v>
      </c>
      <c r="H3751" s="1">
        <v>-4.9436659999999995E-7</v>
      </c>
      <c r="I3751">
        <v>213.505</v>
      </c>
      <c r="J3751">
        <v>-369.87650000000002</v>
      </c>
      <c r="K3751">
        <v>1.1095999999999999</v>
      </c>
      <c r="L3751">
        <v>213.6781</v>
      </c>
      <c r="M3751">
        <v>0.99955179999999999</v>
      </c>
      <c r="N3751">
        <v>-9.2096130000000002E-3</v>
      </c>
      <c r="O3751">
        <v>2.8482130000000001E-2</v>
      </c>
      <c r="P3751">
        <v>0.95276360000000004</v>
      </c>
      <c r="Q3751">
        <v>0.28660059999999998</v>
      </c>
      <c r="R3751">
        <v>0.1005065</v>
      </c>
      <c r="S3751">
        <v>3.2087400000000001</v>
      </c>
      <c r="T3751">
        <v>-0.19318370000000001</v>
      </c>
      <c r="U3751">
        <v>-2.8045649999999998E-2</v>
      </c>
      <c r="V3751">
        <v>-7.3373590000000002E-2</v>
      </c>
      <c r="W3751">
        <v>0.29537449999999998</v>
      </c>
      <c r="X3751">
        <v>0.95255979999999996</v>
      </c>
      <c r="Y3751">
        <v>3.71043E-2</v>
      </c>
      <c r="Z3751">
        <v>-2.7379000000000001E-3</v>
      </c>
      <c r="AA3751">
        <v>0.99930759999999996</v>
      </c>
      <c r="AB3751">
        <v>45</v>
      </c>
      <c r="AC3751">
        <v>18.008900000000001</v>
      </c>
      <c r="AD3751">
        <v>-1.1096004943666</v>
      </c>
      <c r="AE3751">
        <v>-0.173100000000005</v>
      </c>
      <c r="AF3751">
        <v>0.68338928981636404</v>
      </c>
      <c r="AG3751">
        <v>-1.1096004943666</v>
      </c>
      <c r="AH3751">
        <v>17.9286069055544</v>
      </c>
      <c r="AI3751">
        <v>93.538952038713902</v>
      </c>
      <c r="AJ3751">
        <v>87.817098922390898</v>
      </c>
      <c r="AK3751">
        <v>17.975905533586499</v>
      </c>
      <c r="AL3751">
        <v>72.820004187450294</v>
      </c>
      <c r="AM3751">
        <v>94.404670455676893</v>
      </c>
      <c r="AN3751">
        <v>0.99999997576788802</v>
      </c>
    </row>
    <row r="3752" spans="1:40" x14ac:dyDescent="0.25">
      <c r="A3752" t="str">
        <f>"20190304164926291"</f>
        <v>20190304164926291</v>
      </c>
      <c r="B3752" t="str">
        <f>"1551689366280118"</f>
        <v>1551689366280118</v>
      </c>
      <c r="C3752" t="s">
        <v>40</v>
      </c>
      <c r="D3752">
        <v>4.4813269999999896</v>
      </c>
      <c r="E3752">
        <v>0.55545080000000002</v>
      </c>
      <c r="F3752" t="s">
        <v>46</v>
      </c>
      <c r="G3752">
        <v>-351.08519999999999</v>
      </c>
      <c r="H3752" s="1">
        <v>-9.1122620000000002E-7</v>
      </c>
      <c r="I3752">
        <v>213.5164</v>
      </c>
      <c r="J3752">
        <v>-369.42939999999999</v>
      </c>
      <c r="K3752">
        <v>1.1096029999999999</v>
      </c>
      <c r="L3752">
        <v>213.6908</v>
      </c>
      <c r="M3752">
        <v>0.99955000000000005</v>
      </c>
      <c r="N3752">
        <v>-9.2223919999999994E-3</v>
      </c>
      <c r="O3752">
        <v>2.8545850000000001E-2</v>
      </c>
      <c r="P3752">
        <v>0.95259919999999998</v>
      </c>
      <c r="Q3752">
        <v>0.28704000000000002</v>
      </c>
      <c r="R3752">
        <v>0.1008112</v>
      </c>
      <c r="S3752">
        <v>3.208618</v>
      </c>
      <c r="T3752">
        <v>-0.18946460000000001</v>
      </c>
      <c r="U3752">
        <v>-2.760315E-2</v>
      </c>
      <c r="V3752">
        <v>-7.3622199999999999E-2</v>
      </c>
      <c r="W3752">
        <v>0.295825</v>
      </c>
      <c r="X3752">
        <v>0.95240089999999999</v>
      </c>
      <c r="Y3752">
        <v>3.703501E-2</v>
      </c>
      <c r="Z3752">
        <v>-2.6843050000000001E-3</v>
      </c>
      <c r="AA3752">
        <v>0.99931040000000004</v>
      </c>
      <c r="AB3752">
        <v>45</v>
      </c>
      <c r="AC3752">
        <v>18.344200000000001</v>
      </c>
      <c r="AD3752">
        <v>-1.1096039112261999</v>
      </c>
      <c r="AE3752">
        <v>-0.17439999999999101</v>
      </c>
      <c r="AF3752">
        <v>0.69545763466333999</v>
      </c>
      <c r="AG3752">
        <v>-1.1096039112261999</v>
      </c>
      <c r="AH3752">
        <v>18.264923583884599</v>
      </c>
      <c r="AI3752">
        <v>93.473965585891506</v>
      </c>
      <c r="AJ3752">
        <v>87.819451730431794</v>
      </c>
      <c r="AK3752">
        <v>18.311808094411699</v>
      </c>
      <c r="AL3752">
        <v>72.792986613537394</v>
      </c>
      <c r="AM3752">
        <v>94.4202701076929</v>
      </c>
      <c r="AN3752">
        <v>1.0000000666393201</v>
      </c>
    </row>
    <row r="3753" spans="1:40" x14ac:dyDescent="0.25">
      <c r="A3753" t="str">
        <f>"20190304164926315"</f>
        <v>20190304164926315</v>
      </c>
      <c r="B3753" t="str">
        <f>"1551689366309398"</f>
        <v>1551689366309398</v>
      </c>
      <c r="C3753" t="s">
        <v>40</v>
      </c>
      <c r="D3753">
        <v>4.5018330000000004</v>
      </c>
      <c r="E3753">
        <v>0.55576150000000002</v>
      </c>
      <c r="F3753" t="s">
        <v>46</v>
      </c>
      <c r="G3753">
        <v>-350.64780000000002</v>
      </c>
      <c r="H3753" s="1">
        <v>-1.1445499999999999E-6</v>
      </c>
      <c r="I3753">
        <v>213.52969999999999</v>
      </c>
      <c r="J3753">
        <v>-368.95440000000002</v>
      </c>
      <c r="K3753">
        <v>1.109604</v>
      </c>
      <c r="L3753">
        <v>213.7045</v>
      </c>
      <c r="M3753">
        <v>0.99954790000000004</v>
      </c>
      <c r="N3753">
        <v>-9.2359220000000006E-3</v>
      </c>
      <c r="O3753">
        <v>2.861327E-2</v>
      </c>
      <c r="P3753">
        <v>0.95257309999999995</v>
      </c>
      <c r="Q3753">
        <v>0.28709249999999997</v>
      </c>
      <c r="R3753">
        <v>0.1009084</v>
      </c>
      <c r="S3753">
        <v>3.2092900000000002</v>
      </c>
      <c r="T3753">
        <v>-0.1896031</v>
      </c>
      <c r="U3753">
        <v>-2.7542110000000002E-2</v>
      </c>
      <c r="V3753">
        <v>-7.3656050000000001E-2</v>
      </c>
      <c r="W3753">
        <v>0.29589009999999999</v>
      </c>
      <c r="X3753">
        <v>0.95237799999999995</v>
      </c>
      <c r="Y3753">
        <v>3.7081320000000001E-2</v>
      </c>
      <c r="Z3753">
        <v>-2.690553E-3</v>
      </c>
      <c r="AA3753">
        <v>0.99930859999999999</v>
      </c>
      <c r="AB3753">
        <v>45</v>
      </c>
      <c r="AC3753">
        <v>18.3066</v>
      </c>
      <c r="AD3753">
        <v>-1.1096051445499999</v>
      </c>
      <c r="AE3753">
        <v>-0.17480000000000401</v>
      </c>
      <c r="AF3753">
        <v>0.69600565959960203</v>
      </c>
      <c r="AG3753">
        <v>-1.1096051445499999</v>
      </c>
      <c r="AH3753">
        <v>18.227144322980099</v>
      </c>
      <c r="AI3753">
        <v>93.481137808198</v>
      </c>
      <c r="AJ3753">
        <v>87.813216328689407</v>
      </c>
      <c r="AK3753">
        <v>18.2741467003456</v>
      </c>
      <c r="AL3753">
        <v>72.789080843961798</v>
      </c>
      <c r="AM3753">
        <v>94.422400311043006</v>
      </c>
      <c r="AN3753">
        <v>1.0000000099318</v>
      </c>
    </row>
    <row r="3754" spans="1:40" x14ac:dyDescent="0.25">
      <c r="A3754" t="str">
        <f>"20190304164926339"</f>
        <v>20190304164926339</v>
      </c>
      <c r="B3754" t="str">
        <f>"1551689366329895"</f>
        <v>1551689366329895</v>
      </c>
      <c r="C3754" t="s">
        <v>40</v>
      </c>
      <c r="D3754">
        <v>4.4593439999999998</v>
      </c>
      <c r="E3754">
        <v>0.55591089999999999</v>
      </c>
      <c r="F3754" t="s">
        <v>46</v>
      </c>
      <c r="G3754">
        <v>-350.16800000000001</v>
      </c>
      <c r="H3754" s="1">
        <v>-1.400096E-6</v>
      </c>
      <c r="I3754">
        <v>213.53489999999999</v>
      </c>
      <c r="J3754">
        <v>-368.47859999999997</v>
      </c>
      <c r="K3754">
        <v>1.1096010000000001</v>
      </c>
      <c r="L3754">
        <v>213.71809999999999</v>
      </c>
      <c r="M3754">
        <v>0.99954589999999999</v>
      </c>
      <c r="N3754">
        <v>-9.2494840000000005E-3</v>
      </c>
      <c r="O3754">
        <v>2.8680859999999999E-2</v>
      </c>
      <c r="P3754">
        <v>0.95260350000000005</v>
      </c>
      <c r="Q3754">
        <v>0.28711520000000001</v>
      </c>
      <c r="R3754">
        <v>0.1005569</v>
      </c>
      <c r="S3754">
        <v>3.2095340000000001</v>
      </c>
      <c r="T3754">
        <v>-0.18956890000000001</v>
      </c>
      <c r="U3754">
        <v>-2.8976439999999999E-2</v>
      </c>
      <c r="V3754">
        <v>-7.3239680000000001E-2</v>
      </c>
      <c r="W3754">
        <v>0.29592560000000001</v>
      </c>
      <c r="X3754">
        <v>0.95239910000000005</v>
      </c>
      <c r="Y3754">
        <v>3.759374E-2</v>
      </c>
      <c r="Z3754">
        <v>-2.7105570000000002E-3</v>
      </c>
      <c r="AA3754">
        <v>0.99928950000000005</v>
      </c>
      <c r="AB3754">
        <v>45</v>
      </c>
      <c r="AC3754">
        <v>18.310599999999901</v>
      </c>
      <c r="AD3754">
        <v>-1.1096024000960001</v>
      </c>
      <c r="AE3754">
        <v>-0.183199999999999</v>
      </c>
      <c r="AF3754">
        <v>0.70571950678912998</v>
      </c>
      <c r="AG3754">
        <v>-1.1096024000960001</v>
      </c>
      <c r="AH3754">
        <v>18.230870963413199</v>
      </c>
      <c r="AI3754">
        <v>93.480349400084904</v>
      </c>
      <c r="AJ3754">
        <v>87.783179384934201</v>
      </c>
      <c r="AK3754">
        <v>18.278236063504099</v>
      </c>
      <c r="AL3754">
        <v>72.786951814438297</v>
      </c>
      <c r="AM3754">
        <v>94.397402235933896</v>
      </c>
      <c r="AN3754">
        <v>1.00000002857133</v>
      </c>
    </row>
    <row r="3755" spans="1:40" x14ac:dyDescent="0.25">
      <c r="A3755" t="str">
        <f>"20190304164926359"</f>
        <v>20190304164926359</v>
      </c>
      <c r="B3755" t="str">
        <f>"1551689366349413"</f>
        <v>1551689366349413</v>
      </c>
      <c r="C3755" t="s">
        <v>40</v>
      </c>
      <c r="D3755">
        <v>4.4722670000000004</v>
      </c>
      <c r="E3755">
        <v>0.55898119999999996</v>
      </c>
      <c r="F3755" t="s">
        <v>41</v>
      </c>
      <c r="G3755">
        <v>-367.40989999999999</v>
      </c>
      <c r="H3755">
        <v>1.0462290000000001</v>
      </c>
      <c r="I3755">
        <v>213.7081</v>
      </c>
      <c r="J3755">
        <v>-368.06150000000002</v>
      </c>
      <c r="K3755">
        <v>1.1095919999999999</v>
      </c>
      <c r="L3755">
        <v>213.73009999999999</v>
      </c>
      <c r="M3755">
        <v>0.99954399999999999</v>
      </c>
      <c r="N3755">
        <v>-9.2615279999999998E-3</v>
      </c>
      <c r="O3755">
        <v>2.8740290000000002E-2</v>
      </c>
      <c r="P3755">
        <v>0.95275180000000004</v>
      </c>
      <c r="Q3755">
        <v>0.2868772</v>
      </c>
      <c r="R3755">
        <v>9.9830020000000005E-2</v>
      </c>
      <c r="S3755">
        <v>3.2098390000000001</v>
      </c>
      <c r="T3755">
        <v>-0.19029860000000001</v>
      </c>
      <c r="U3755">
        <v>-3.0334469999999999E-2</v>
      </c>
      <c r="V3755">
        <v>-7.2452020000000006E-2</v>
      </c>
      <c r="W3755">
        <v>0.29570020000000002</v>
      </c>
      <c r="X3755">
        <v>0.95252930000000002</v>
      </c>
      <c r="Y3755">
        <v>3.807315E-2</v>
      </c>
      <c r="Z3755">
        <v>-2.7403280000000002E-3</v>
      </c>
      <c r="AA3755">
        <v>0.99927120000000003</v>
      </c>
      <c r="AB3755">
        <v>45</v>
      </c>
      <c r="AC3755">
        <v>0.65160000000003004</v>
      </c>
      <c r="AD3755">
        <v>-6.3362999999999794E-2</v>
      </c>
      <c r="AE3755">
        <v>-2.1999999999991301E-2</v>
      </c>
      <c r="AF3755">
        <v>4.0337885248500099E-2</v>
      </c>
      <c r="AG3755">
        <v>-6.3362999999999794E-2</v>
      </c>
      <c r="AH3755">
        <v>0.64460997828864097</v>
      </c>
      <c r="AI3755">
        <v>95.603058462685496</v>
      </c>
      <c r="AJ3755">
        <v>86.419259825333697</v>
      </c>
      <c r="AK3755">
        <v>0.64897152392428104</v>
      </c>
      <c r="AL3755">
        <v>72.800470571536593</v>
      </c>
      <c r="AM3755">
        <v>94.349700315462002</v>
      </c>
      <c r="AN3755">
        <v>0.99999998542030499</v>
      </c>
    </row>
    <row r="3756" spans="1:40" x14ac:dyDescent="0.25">
      <c r="A3756" t="str">
        <f>"20190304164926381"</f>
        <v>20190304164926381</v>
      </c>
      <c r="B3756" t="str">
        <f>"1551689366369910"</f>
        <v>1551689366369910</v>
      </c>
      <c r="C3756" t="s">
        <v>40</v>
      </c>
      <c r="D3756">
        <v>4.4788059999999996</v>
      </c>
      <c r="E3756">
        <v>0.559535</v>
      </c>
      <c r="F3756" t="s">
        <v>41</v>
      </c>
      <c r="G3756">
        <v>-367.01530000000002</v>
      </c>
      <c r="H3756">
        <v>1.0269980000000001</v>
      </c>
      <c r="I3756">
        <v>213.714</v>
      </c>
      <c r="J3756">
        <v>-367.62360000000001</v>
      </c>
      <c r="K3756">
        <v>1.1096010000000001</v>
      </c>
      <c r="L3756">
        <v>213.74270000000001</v>
      </c>
      <c r="M3756">
        <v>0.99954219999999905</v>
      </c>
      <c r="N3756">
        <v>-9.2741620000000007E-3</v>
      </c>
      <c r="O3756">
        <v>2.8802520000000002E-2</v>
      </c>
      <c r="P3756">
        <v>0.9528527</v>
      </c>
      <c r="Q3756">
        <v>0.28682990000000003</v>
      </c>
      <c r="R3756">
        <v>9.8998269999999999E-2</v>
      </c>
      <c r="S3756">
        <v>3.2307429999999999</v>
      </c>
      <c r="T3756">
        <v>-0.25514249999999999</v>
      </c>
      <c r="U3756">
        <v>-4.917908E-2</v>
      </c>
      <c r="V3756">
        <v>-7.1558469999999999E-2</v>
      </c>
      <c r="W3756">
        <v>0.29566599999999998</v>
      </c>
      <c r="X3756">
        <v>0.95260750000000005</v>
      </c>
      <c r="Y3756">
        <v>4.3792339999999999E-2</v>
      </c>
      <c r="Z3756">
        <v>-3.9339580000000004E-3</v>
      </c>
      <c r="AA3756">
        <v>0.9990329</v>
      </c>
      <c r="AB3756">
        <v>45</v>
      </c>
      <c r="AC3756">
        <v>0.60829999999998496</v>
      </c>
      <c r="AD3756">
        <v>-8.2603000000000204E-2</v>
      </c>
      <c r="AE3756">
        <v>-2.86999999999864E-2</v>
      </c>
      <c r="AF3756">
        <v>4.53745772224712E-2</v>
      </c>
      <c r="AG3756">
        <v>-8.2603000000000204E-2</v>
      </c>
      <c r="AH3756">
        <v>0.59625062275389396</v>
      </c>
      <c r="AI3756">
        <v>97.864948015811294</v>
      </c>
      <c r="AJ3756">
        <v>85.648188106970494</v>
      </c>
      <c r="AK3756">
        <v>0.60365297398548801</v>
      </c>
      <c r="AL3756">
        <v>72.802522483361599</v>
      </c>
      <c r="AM3756">
        <v>94.295906247576497</v>
      </c>
      <c r="AN3756">
        <v>1.00000002362049</v>
      </c>
    </row>
    <row r="3757" spans="1:40" x14ac:dyDescent="0.25">
      <c r="A3757" t="str">
        <f>"20190304164926404"</f>
        <v>20190304164926404</v>
      </c>
      <c r="B3757" t="str">
        <f>"1551689366400166"</f>
        <v>1551689366400166</v>
      </c>
      <c r="C3757" t="s">
        <v>40</v>
      </c>
      <c r="D3757">
        <v>4.4614399999999996</v>
      </c>
      <c r="E3757">
        <v>0.55955369999999904</v>
      </c>
      <c r="F3757" t="s">
        <v>41</v>
      </c>
      <c r="G3757">
        <v>-366.60910000000001</v>
      </c>
      <c r="H3757">
        <v>1.0289889999999999</v>
      </c>
      <c r="I3757">
        <v>213.72550000000001</v>
      </c>
      <c r="J3757">
        <v>-367.16480000000001</v>
      </c>
      <c r="K3757">
        <v>1.109604</v>
      </c>
      <c r="L3757">
        <v>213.756</v>
      </c>
      <c r="M3757">
        <v>0.99954010000000004</v>
      </c>
      <c r="N3757">
        <v>-9.2872930000000003E-3</v>
      </c>
      <c r="O3757">
        <v>2.8867899999999998E-2</v>
      </c>
      <c r="P3757">
        <v>0.95275730000000003</v>
      </c>
      <c r="Q3757">
        <v>0.28738340000000001</v>
      </c>
      <c r="R3757">
        <v>9.83073E-2</v>
      </c>
      <c r="S3757">
        <v>3.2314449999999999</v>
      </c>
      <c r="T3757">
        <v>-0.2567953</v>
      </c>
      <c r="U3757">
        <v>-5.4748539999999998E-2</v>
      </c>
      <c r="V3757">
        <v>-7.0808239999999995E-2</v>
      </c>
      <c r="W3757">
        <v>0.29623080000000002</v>
      </c>
      <c r="X3757">
        <v>0.95248809999999995</v>
      </c>
      <c r="Y3757">
        <v>4.5566519999999999E-2</v>
      </c>
      <c r="Z3757">
        <v>-4.0419999999999996E-3</v>
      </c>
      <c r="AA3757">
        <v>0.99895310000000004</v>
      </c>
      <c r="AB3757">
        <v>45</v>
      </c>
      <c r="AC3757">
        <v>0.55570000000000097</v>
      </c>
      <c r="AD3757">
        <v>-8.0615000000000103E-2</v>
      </c>
      <c r="AE3757">
        <v>-3.0499999999960802E-2</v>
      </c>
      <c r="AF3757">
        <v>4.5573650021185401E-2</v>
      </c>
      <c r="AG3757">
        <v>-8.0615000000000103E-2</v>
      </c>
      <c r="AH3757">
        <v>0.54319070740451303</v>
      </c>
      <c r="AI3757">
        <v>98.412524563328503</v>
      </c>
      <c r="AJ3757">
        <v>85.204121402581706</v>
      </c>
      <c r="AK3757">
        <v>0.551028021439808</v>
      </c>
      <c r="AL3757">
        <v>72.768644454911595</v>
      </c>
      <c r="AM3757">
        <v>94.251564219655094</v>
      </c>
      <c r="AN3757">
        <v>1.00000003718107</v>
      </c>
    </row>
    <row r="3758" spans="1:40" x14ac:dyDescent="0.25">
      <c r="A3758" t="str">
        <f>"20190304164926426"</f>
        <v>20190304164926426</v>
      </c>
      <c r="B3758" t="str">
        <f>"1551689366419686"</f>
        <v>1551689366419686</v>
      </c>
      <c r="C3758" t="s">
        <v>40</v>
      </c>
      <c r="D3758">
        <v>4.472232</v>
      </c>
      <c r="E3758">
        <v>0.55968009999999901</v>
      </c>
      <c r="F3758" t="s">
        <v>41</v>
      </c>
      <c r="G3758">
        <v>-366.20159999999998</v>
      </c>
      <c r="H3758">
        <v>1.032888</v>
      </c>
      <c r="I3758">
        <v>213.7389</v>
      </c>
      <c r="J3758">
        <v>-366.69670000000002</v>
      </c>
      <c r="K3758">
        <v>1.109599</v>
      </c>
      <c r="L3758">
        <v>213.7696</v>
      </c>
      <c r="M3758">
        <v>0.99953809999999998</v>
      </c>
      <c r="N3758">
        <v>-9.3006210000000002E-3</v>
      </c>
      <c r="O3758">
        <v>2.8934479999999999E-2</v>
      </c>
      <c r="P3758">
        <v>0.95286959999999998</v>
      </c>
      <c r="Q3758">
        <v>0.28730250000000002</v>
      </c>
      <c r="R3758">
        <v>9.745318E-2</v>
      </c>
      <c r="S3758">
        <v>3.2323300000000001</v>
      </c>
      <c r="T3758">
        <v>-0.25757600000000003</v>
      </c>
      <c r="U3758">
        <v>-5.654907E-2</v>
      </c>
      <c r="V3758">
        <v>-6.9887729999999995E-2</v>
      </c>
      <c r="W3758">
        <v>0.29616379999999998</v>
      </c>
      <c r="X3758">
        <v>0.95257689999999995</v>
      </c>
      <c r="Y3758">
        <v>4.6181100000000003E-2</v>
      </c>
      <c r="Z3758">
        <v>-4.0851949999999998E-3</v>
      </c>
      <c r="AA3758">
        <v>0.9989247</v>
      </c>
      <c r="AB3758">
        <v>45</v>
      </c>
      <c r="AC3758">
        <v>0.49510000000003601</v>
      </c>
      <c r="AD3758">
        <v>-7.6710999999999904E-2</v>
      </c>
      <c r="AE3758">
        <v>-3.0699999999995901E-2</v>
      </c>
      <c r="AF3758">
        <v>4.3961894599281501E-2</v>
      </c>
      <c r="AG3758">
        <v>-7.6710999999999904E-2</v>
      </c>
      <c r="AH3758">
        <v>0.48246638003942699</v>
      </c>
      <c r="AI3758">
        <v>98.997607463512693</v>
      </c>
      <c r="AJ3758">
        <v>84.793638222435405</v>
      </c>
      <c r="AK3758">
        <v>0.490500798741558</v>
      </c>
      <c r="AL3758">
        <v>72.772663334511407</v>
      </c>
      <c r="AM3758">
        <v>94.196102654654695</v>
      </c>
      <c r="AN3758">
        <v>1.0000000208243001</v>
      </c>
    </row>
    <row r="3759" spans="1:40" x14ac:dyDescent="0.25">
      <c r="A3759" t="str">
        <f>"20190304164926448"</f>
        <v>20190304164926448</v>
      </c>
      <c r="B3759" t="str">
        <f>"1551689366440182"</f>
        <v>1551689366440182</v>
      </c>
      <c r="C3759" t="s">
        <v>40</v>
      </c>
      <c r="D3759">
        <v>4.469061</v>
      </c>
      <c r="E3759">
        <v>0.55994449999999996</v>
      </c>
      <c r="F3759" t="s">
        <v>41</v>
      </c>
      <c r="G3759">
        <v>-365.79360000000003</v>
      </c>
      <c r="H3759">
        <v>1.0369299999999999</v>
      </c>
      <c r="I3759">
        <v>213.75309999999999</v>
      </c>
      <c r="J3759">
        <v>-366.24509999999998</v>
      </c>
      <c r="K3759">
        <v>1.1095969999999999</v>
      </c>
      <c r="L3759">
        <v>213.78270000000001</v>
      </c>
      <c r="M3759">
        <v>0.99953619999999999</v>
      </c>
      <c r="N3759">
        <v>-9.3134499999999992E-3</v>
      </c>
      <c r="O3759">
        <v>2.8998670000000001E-2</v>
      </c>
      <c r="P3759">
        <v>0.95300289999999999</v>
      </c>
      <c r="Q3759">
        <v>0.287217</v>
      </c>
      <c r="R3759">
        <v>9.6396789999999996E-2</v>
      </c>
      <c r="S3759">
        <v>3.2328489999999999</v>
      </c>
      <c r="T3759">
        <v>-0.26012770000000002</v>
      </c>
      <c r="U3759">
        <v>-5.918884E-2</v>
      </c>
      <c r="V3759">
        <v>-6.8766469999999996E-2</v>
      </c>
      <c r="W3759">
        <v>0.2960914</v>
      </c>
      <c r="X3759">
        <v>0.952681</v>
      </c>
      <c r="Y3759">
        <v>4.7049929999999997E-2</v>
      </c>
      <c r="Z3759">
        <v>-4.1688259999999996E-3</v>
      </c>
      <c r="AA3759">
        <v>0.99888379999999999</v>
      </c>
      <c r="AB3759">
        <v>45</v>
      </c>
      <c r="AC3759">
        <v>0.45149999999995299</v>
      </c>
      <c r="AD3759">
        <v>-7.2666999999999995E-2</v>
      </c>
      <c r="AE3759">
        <v>-2.96000000000162E-2</v>
      </c>
      <c r="AF3759">
        <v>4.1607838836098802E-2</v>
      </c>
      <c r="AG3759">
        <v>-7.2666999999999995E-2</v>
      </c>
      <c r="AH3759">
        <v>0.43912548756055902</v>
      </c>
      <c r="AI3759">
        <v>99.355066608654994</v>
      </c>
      <c r="AJ3759">
        <v>84.587293285157998</v>
      </c>
      <c r="AK3759">
        <v>0.44703791669936599</v>
      </c>
      <c r="AL3759">
        <v>72.777006256710493</v>
      </c>
      <c r="AM3759">
        <v>94.128566616383196</v>
      </c>
      <c r="AN3759">
        <v>1.00000001615561</v>
      </c>
    </row>
    <row r="3760" spans="1:40" x14ac:dyDescent="0.25">
      <c r="A3760" t="str">
        <f>"20190304164926471"</f>
        <v>20190304164926471</v>
      </c>
      <c r="B3760" t="str">
        <f>"1551689366459705"</f>
        <v>1551689366459705</v>
      </c>
      <c r="C3760" t="s">
        <v>40</v>
      </c>
      <c r="D3760">
        <v>4.4584640000000002</v>
      </c>
      <c r="E3760">
        <v>0.55991309999999905</v>
      </c>
      <c r="F3760" t="s">
        <v>41</v>
      </c>
      <c r="G3760">
        <v>-365.3854</v>
      </c>
      <c r="H3760">
        <v>1.0401129999999901</v>
      </c>
      <c r="I3760">
        <v>213.7654</v>
      </c>
      <c r="J3760">
        <v>-365.80119999999999</v>
      </c>
      <c r="K3760">
        <v>1.10959599999999</v>
      </c>
      <c r="L3760">
        <v>213.79560000000001</v>
      </c>
      <c r="M3760">
        <v>0.99953420000000004</v>
      </c>
      <c r="N3760">
        <v>-9.3259759999999997E-3</v>
      </c>
      <c r="O3760">
        <v>2.9061920000000002E-2</v>
      </c>
      <c r="P3760">
        <v>0.95310119999999998</v>
      </c>
      <c r="Q3760">
        <v>0.28703139999999999</v>
      </c>
      <c r="R3760">
        <v>9.5974420000000005E-2</v>
      </c>
      <c r="S3760">
        <v>3.233215</v>
      </c>
      <c r="T3760">
        <v>-0.26148120000000002</v>
      </c>
      <c r="U3760">
        <v>-6.3858029999999996E-2</v>
      </c>
      <c r="V3760">
        <v>-6.8281030000000006E-2</v>
      </c>
      <c r="W3760">
        <v>0.29591879999999998</v>
      </c>
      <c r="X3760">
        <v>0.95276950000000005</v>
      </c>
      <c r="Y3760">
        <v>4.854493E-2</v>
      </c>
      <c r="Z3760">
        <v>-4.2619800000000003E-3</v>
      </c>
      <c r="AA3760">
        <v>0.99881189999999997</v>
      </c>
      <c r="AB3760">
        <v>45</v>
      </c>
      <c r="AC3760">
        <v>0.41579999999999001</v>
      </c>
      <c r="AD3760">
        <v>-6.9482999999999906E-2</v>
      </c>
      <c r="AE3760">
        <v>-3.02000000000077E-2</v>
      </c>
      <c r="AF3760">
        <v>4.1129220336581597E-2</v>
      </c>
      <c r="AG3760">
        <v>-6.9482999999999906E-2</v>
      </c>
      <c r="AH3760">
        <v>0.403537137406559</v>
      </c>
      <c r="AI3760">
        <v>99.720281360227006</v>
      </c>
      <c r="AJ3760">
        <v>84.180408469638493</v>
      </c>
      <c r="AK3760">
        <v>0.41153580806629098</v>
      </c>
      <c r="AL3760">
        <v>72.787358790686696</v>
      </c>
      <c r="AM3760">
        <v>94.099142238641804</v>
      </c>
      <c r="AN3760">
        <v>0.99999997769077498</v>
      </c>
    </row>
    <row r="3761" spans="1:40" x14ac:dyDescent="0.25">
      <c r="A3761" t="str">
        <f>"20190304164926493"</f>
        <v>20190304164926493</v>
      </c>
      <c r="B3761" t="str">
        <f>"1551689366489958"</f>
        <v>1551689366489958</v>
      </c>
      <c r="C3761" t="s">
        <v>40</v>
      </c>
      <c r="D3761">
        <v>4.466704</v>
      </c>
      <c r="E3761">
        <v>0.55970529999999996</v>
      </c>
      <c r="F3761" t="s">
        <v>41</v>
      </c>
      <c r="G3761">
        <v>-364.97719999999998</v>
      </c>
      <c r="H3761">
        <v>1.0427930000000001</v>
      </c>
      <c r="I3761">
        <v>213.7791</v>
      </c>
      <c r="J3761">
        <v>-365.33690000000001</v>
      </c>
      <c r="K3761">
        <v>1.1096010000000001</v>
      </c>
      <c r="L3761">
        <v>213.8091</v>
      </c>
      <c r="M3761">
        <v>0.99953210000000003</v>
      </c>
      <c r="N3761">
        <v>-9.3389890000000007E-3</v>
      </c>
      <c r="O3761">
        <v>2.9127960000000001E-2</v>
      </c>
      <c r="P3761">
        <v>0.95310980000000001</v>
      </c>
      <c r="Q3761">
        <v>0.28701159999999998</v>
      </c>
      <c r="R3761">
        <v>9.5948710000000006E-2</v>
      </c>
      <c r="S3761">
        <v>3.2330930000000002</v>
      </c>
      <c r="T3761">
        <v>-0.26204159999999999</v>
      </c>
      <c r="U3761">
        <v>-6.5185549999999995E-2</v>
      </c>
      <c r="V3761">
        <v>-6.8192139999999998E-2</v>
      </c>
      <c r="W3761">
        <v>0.29591190000000001</v>
      </c>
      <c r="X3761">
        <v>0.95277800000000001</v>
      </c>
      <c r="Y3761">
        <v>4.9018619999999999E-2</v>
      </c>
      <c r="Z3761">
        <v>-4.2973769999999998E-3</v>
      </c>
      <c r="AA3761">
        <v>0.99878860000000003</v>
      </c>
      <c r="AB3761">
        <v>45</v>
      </c>
      <c r="AC3761">
        <v>0.35970000000003199</v>
      </c>
      <c r="AD3761">
        <v>-6.6807999999999895E-2</v>
      </c>
      <c r="AE3761">
        <v>-3.0000000000001099E-2</v>
      </c>
      <c r="AF3761">
        <v>3.9124708158032803E-2</v>
      </c>
      <c r="AG3761">
        <v>-6.6807999999999895E-2</v>
      </c>
      <c r="AH3761">
        <v>0.34679295560227502</v>
      </c>
      <c r="AI3761">
        <v>100.83706805598899</v>
      </c>
      <c r="AJ3761">
        <v>83.563185592522004</v>
      </c>
      <c r="AK3761">
        <v>0.35532999550813699</v>
      </c>
      <c r="AL3761">
        <v>72.787772511386706</v>
      </c>
      <c r="AM3761">
        <v>94.093787627320296</v>
      </c>
      <c r="AN3761">
        <v>0.99999996890169396</v>
      </c>
    </row>
    <row r="3762" spans="1:40" x14ac:dyDescent="0.25">
      <c r="A3762" t="str">
        <f>"20190304164926516"</f>
        <v>20190304164926516</v>
      </c>
      <c r="B3762" t="str">
        <f>"1551689366509478"</f>
        <v>1551689366509478</v>
      </c>
      <c r="C3762" t="s">
        <v>40</v>
      </c>
      <c r="D3762">
        <v>4.4741039999999996</v>
      </c>
      <c r="E3762">
        <v>0.55965959999999904</v>
      </c>
      <c r="F3762" t="s">
        <v>41</v>
      </c>
      <c r="G3762">
        <v>-364.56630000000001</v>
      </c>
      <c r="H3762">
        <v>1.047218</v>
      </c>
      <c r="I3762">
        <v>213.7937</v>
      </c>
      <c r="J3762">
        <v>-364.87209999999999</v>
      </c>
      <c r="K3762">
        <v>1.1095889999999999</v>
      </c>
      <c r="L3762">
        <v>213.8227</v>
      </c>
      <c r="M3762">
        <v>0.99953000000000003</v>
      </c>
      <c r="N3762">
        <v>-9.3519740000000007E-3</v>
      </c>
      <c r="O3762">
        <v>2.919418E-2</v>
      </c>
      <c r="P3762">
        <v>0.95322289999999998</v>
      </c>
      <c r="Q3762">
        <v>0.2865991</v>
      </c>
      <c r="R3762">
        <v>9.6057619999999996E-2</v>
      </c>
      <c r="S3762">
        <v>3.2328489999999999</v>
      </c>
      <c r="T3762">
        <v>-0.26175490000000001</v>
      </c>
      <c r="U3762">
        <v>-6.4147949999999995E-2</v>
      </c>
      <c r="V3762">
        <v>-6.8234589999999998E-2</v>
      </c>
      <c r="W3762">
        <v>0.29551250000000001</v>
      </c>
      <c r="X3762">
        <v>0.95289900000000005</v>
      </c>
      <c r="Y3762">
        <v>4.876714E-2</v>
      </c>
      <c r="Z3762">
        <v>-4.2863099999999998E-3</v>
      </c>
      <c r="AA3762">
        <v>0.99880100000000005</v>
      </c>
      <c r="AB3762">
        <v>46</v>
      </c>
      <c r="AC3762">
        <v>0.30579999999997598</v>
      </c>
      <c r="AD3762">
        <v>-6.2370999999999899E-2</v>
      </c>
      <c r="AE3762">
        <v>-2.89999999999963E-2</v>
      </c>
      <c r="AF3762">
        <v>3.6414286321278001E-2</v>
      </c>
      <c r="AG3762">
        <v>-6.2370999999999899E-2</v>
      </c>
      <c r="AH3762">
        <v>0.29275307727751998</v>
      </c>
      <c r="AI3762">
        <v>101.937713440313</v>
      </c>
      <c r="AJ3762">
        <v>82.909643526419998</v>
      </c>
      <c r="AK3762">
        <v>0.301530274010332</v>
      </c>
      <c r="AL3762">
        <v>72.811729244434602</v>
      </c>
      <c r="AM3762">
        <v>94.095808976125298</v>
      </c>
      <c r="AN3762">
        <v>1.0000000505648501</v>
      </c>
    </row>
    <row r="3763" spans="1:40" x14ac:dyDescent="0.25">
      <c r="A3763" t="str">
        <f>"20190304164926539"</f>
        <v>20190304164926539</v>
      </c>
      <c r="B3763" t="str">
        <f>"1551689366529974"</f>
        <v>1551689366529974</v>
      </c>
      <c r="C3763" t="s">
        <v>40</v>
      </c>
      <c r="D3763">
        <v>4.4663760000000003</v>
      </c>
      <c r="E3763">
        <v>0.55967719999999999</v>
      </c>
      <c r="F3763" t="s">
        <v>41</v>
      </c>
      <c r="G3763">
        <v>-363.76429999999999</v>
      </c>
      <c r="H3763">
        <v>1.0197969999999901</v>
      </c>
      <c r="I3763">
        <v>213.80070000000001</v>
      </c>
      <c r="J3763">
        <v>-364.3931</v>
      </c>
      <c r="K3763">
        <v>1.109586</v>
      </c>
      <c r="L3763">
        <v>213.83680000000001</v>
      </c>
      <c r="M3763">
        <v>0.99952799999999997</v>
      </c>
      <c r="N3763">
        <v>-9.3653309999999993E-3</v>
      </c>
      <c r="O3763">
        <v>2.9262059999999999E-2</v>
      </c>
      <c r="P3763">
        <v>0.95326580000000005</v>
      </c>
      <c r="Q3763">
        <v>0.28623349999999997</v>
      </c>
      <c r="R3763">
        <v>9.6721340000000003E-2</v>
      </c>
      <c r="S3763">
        <v>3.2323909999999998</v>
      </c>
      <c r="T3763">
        <v>-0.26209559999999998</v>
      </c>
      <c r="U3763">
        <v>-6.3461299999999998E-2</v>
      </c>
      <c r="V3763">
        <v>-6.8832199999999996E-2</v>
      </c>
      <c r="W3763">
        <v>0.29516029999999999</v>
      </c>
      <c r="X3763">
        <v>0.95296510000000001</v>
      </c>
      <c r="Y3763">
        <v>4.8625309999999998E-2</v>
      </c>
      <c r="Z3763">
        <v>-4.2909389999999997E-3</v>
      </c>
      <c r="AA3763">
        <v>0.99880780000000002</v>
      </c>
      <c r="AB3763">
        <v>46</v>
      </c>
      <c r="AC3763">
        <v>0.62880000000001202</v>
      </c>
      <c r="AD3763">
        <v>-8.9789000000000105E-2</v>
      </c>
      <c r="AE3763">
        <v>-3.6100000000004601E-2</v>
      </c>
      <c r="AF3763">
        <v>5.3400067839925E-2</v>
      </c>
      <c r="AG3763">
        <v>-8.9789000000000105E-2</v>
      </c>
      <c r="AH3763">
        <v>0.61497602011820796</v>
      </c>
      <c r="AI3763">
        <v>98.276015399251804</v>
      </c>
      <c r="AJ3763">
        <v>85.037296908643697</v>
      </c>
      <c r="AK3763">
        <v>0.62378613088681201</v>
      </c>
      <c r="AL3763">
        <v>72.832849705684097</v>
      </c>
      <c r="AM3763">
        <v>94.131271492473402</v>
      </c>
      <c r="AN3763">
        <v>0.99999997813546904</v>
      </c>
    </row>
    <row r="3764" spans="1:40" x14ac:dyDescent="0.25">
      <c r="A3764" t="str">
        <f>"20190304164926560"</f>
        <v>20190304164926560</v>
      </c>
      <c r="B3764" t="str">
        <f>"1551689366549494"</f>
        <v>1551689366549494</v>
      </c>
      <c r="C3764" t="s">
        <v>40</v>
      </c>
      <c r="D3764">
        <v>4.5360360000000002</v>
      </c>
      <c r="E3764">
        <v>0.55970189999999997</v>
      </c>
      <c r="F3764" t="s">
        <v>41</v>
      </c>
      <c r="G3764">
        <v>-363.3528</v>
      </c>
      <c r="H3764">
        <v>1.0251709999999901</v>
      </c>
      <c r="I3764">
        <v>213.81700000000001</v>
      </c>
      <c r="J3764">
        <v>-363.97070000000002</v>
      </c>
      <c r="K3764">
        <v>1.1095870000000001</v>
      </c>
      <c r="L3764">
        <v>213.8492</v>
      </c>
      <c r="M3764">
        <v>0.99952600000000003</v>
      </c>
      <c r="N3764">
        <v>-9.3770850000000003E-3</v>
      </c>
      <c r="O3764">
        <v>2.9322150000000002E-2</v>
      </c>
      <c r="P3764">
        <v>0.95330760000000003</v>
      </c>
      <c r="Q3764">
        <v>0.28567520000000002</v>
      </c>
      <c r="R3764">
        <v>9.7950930000000005E-2</v>
      </c>
      <c r="S3764">
        <v>3.232056</v>
      </c>
      <c r="T3764">
        <v>-0.26231349999999998</v>
      </c>
      <c r="U3764">
        <v>-6.1187739999999997E-2</v>
      </c>
      <c r="V3764">
        <v>-7.0002789999999995E-2</v>
      </c>
      <c r="W3764">
        <v>0.29461349999999997</v>
      </c>
      <c r="X3764">
        <v>0.95304900000000004</v>
      </c>
      <c r="Y3764">
        <v>4.7986760000000003E-2</v>
      </c>
      <c r="Z3764">
        <v>-4.270383E-3</v>
      </c>
      <c r="AA3764">
        <v>0.99883880000000003</v>
      </c>
      <c r="AB3764">
        <v>46</v>
      </c>
      <c r="AC3764">
        <v>0.61790000000001999</v>
      </c>
      <c r="AD3764">
        <v>-8.4416000000000199E-2</v>
      </c>
      <c r="AE3764">
        <v>-3.2199999999988897E-2</v>
      </c>
      <c r="AF3764">
        <v>4.9385847880473198E-2</v>
      </c>
      <c r="AG3764">
        <v>-8.4416000000000199E-2</v>
      </c>
      <c r="AH3764">
        <v>0.60542088187307097</v>
      </c>
      <c r="AI3764">
        <v>97.911833172035102</v>
      </c>
      <c r="AJ3764">
        <v>85.336550963304603</v>
      </c>
      <c r="AK3764">
        <v>0.61326948989399399</v>
      </c>
      <c r="AL3764">
        <v>72.865636535445901</v>
      </c>
      <c r="AM3764">
        <v>94.200911667058193</v>
      </c>
      <c r="AN3764">
        <v>0.99999995069551595</v>
      </c>
    </row>
    <row r="3765" spans="1:40" x14ac:dyDescent="0.25">
      <c r="A3765" t="str">
        <f>"20190304164926583"</f>
        <v>20190304164926583</v>
      </c>
      <c r="B3765" t="str">
        <f>"1551689366579749"</f>
        <v>1551689366579749</v>
      </c>
      <c r="C3765" t="s">
        <v>40</v>
      </c>
      <c r="D3765">
        <v>4.4252260000000003</v>
      </c>
      <c r="E3765">
        <v>0.55957109999999999</v>
      </c>
      <c r="F3765" t="s">
        <v>41</v>
      </c>
      <c r="G3765">
        <v>-362.94330000000002</v>
      </c>
      <c r="H3765">
        <v>1.0257350000000001</v>
      </c>
      <c r="I3765">
        <v>213.8304</v>
      </c>
      <c r="J3765">
        <v>-363.50779999999997</v>
      </c>
      <c r="K3765">
        <v>1.1095870000000001</v>
      </c>
      <c r="L3765">
        <v>213.86279999999999</v>
      </c>
      <c r="M3765">
        <v>0.99952399999999997</v>
      </c>
      <c r="N3765">
        <v>-9.3899450000000002E-3</v>
      </c>
      <c r="O3765">
        <v>2.9388190000000002E-2</v>
      </c>
      <c r="P3765">
        <v>0.95338920000000005</v>
      </c>
      <c r="Q3765">
        <v>0.28519359999999999</v>
      </c>
      <c r="R3765">
        <v>9.8558850000000003E-2</v>
      </c>
      <c r="S3765">
        <v>3.2319640000000001</v>
      </c>
      <c r="T3765">
        <v>-0.26387769999999999</v>
      </c>
      <c r="U3765">
        <v>-5.7876589999999999E-2</v>
      </c>
      <c r="V3765">
        <v>-7.0544679999999998E-2</v>
      </c>
      <c r="W3765">
        <v>0.29414559999999901</v>
      </c>
      <c r="X3765">
        <v>0.95315360000000005</v>
      </c>
      <c r="Y3765">
        <v>4.703065E-2</v>
      </c>
      <c r="Z3765">
        <v>-4.257449E-3</v>
      </c>
      <c r="AA3765">
        <v>0.99888440000000001</v>
      </c>
      <c r="AB3765">
        <v>46</v>
      </c>
      <c r="AC3765">
        <v>0.56449999999995204</v>
      </c>
      <c r="AD3765">
        <v>-8.3851999999999996E-2</v>
      </c>
      <c r="AE3765">
        <v>-3.2399999999995502E-2</v>
      </c>
      <c r="AF3765">
        <v>4.7922443821444997E-2</v>
      </c>
      <c r="AG3765">
        <v>-8.3851999999999996E-2</v>
      </c>
      <c r="AH3765">
        <v>0.55118217411971004</v>
      </c>
      <c r="AI3765">
        <v>98.618127585342705</v>
      </c>
      <c r="AJ3765">
        <v>85.030923782453002</v>
      </c>
      <c r="AK3765">
        <v>0.55957975981369301</v>
      </c>
      <c r="AL3765">
        <v>72.893688857528502</v>
      </c>
      <c r="AM3765">
        <v>94.232850180994006</v>
      </c>
      <c r="AN3765">
        <v>0.99999998553431102</v>
      </c>
    </row>
    <row r="3766" spans="1:40" x14ac:dyDescent="0.25">
      <c r="A3766" t="str">
        <f>"20190304164926605"</f>
        <v>20190304164926605</v>
      </c>
      <c r="B3766" t="str">
        <f>"1551689366599270"</f>
        <v>1551689366599270</v>
      </c>
      <c r="C3766" t="s">
        <v>40</v>
      </c>
      <c r="D3766">
        <v>4.4299480000000004</v>
      </c>
      <c r="E3766">
        <v>0.55956039999999996</v>
      </c>
      <c r="F3766" t="s">
        <v>41</v>
      </c>
      <c r="G3766">
        <v>-362.53160000000003</v>
      </c>
      <c r="H3766">
        <v>1.029763</v>
      </c>
      <c r="I3766">
        <v>213.84610000000001</v>
      </c>
      <c r="J3766">
        <v>-363.05590000000001</v>
      </c>
      <c r="K3766">
        <v>1.1095870000000001</v>
      </c>
      <c r="L3766">
        <v>213.87610000000001</v>
      </c>
      <c r="M3766">
        <v>0.99952209999999997</v>
      </c>
      <c r="N3766">
        <v>-9.402456E-3</v>
      </c>
      <c r="O3766">
        <v>2.9452269999999999E-2</v>
      </c>
      <c r="P3766">
        <v>0.95357780000000003</v>
      </c>
      <c r="Q3766">
        <v>0.28437380000000001</v>
      </c>
      <c r="R3766">
        <v>9.9101800000000004E-2</v>
      </c>
      <c r="S3766">
        <v>3.2314449999999999</v>
      </c>
      <c r="T3766">
        <v>-0.26421129999999998</v>
      </c>
      <c r="U3766">
        <v>-5.5572509999999999E-2</v>
      </c>
      <c r="V3766">
        <v>-7.1020739999999999E-2</v>
      </c>
      <c r="W3766">
        <v>0.29333920000000002</v>
      </c>
      <c r="X3766">
        <v>0.95336679999999996</v>
      </c>
      <c r="Y3766">
        <v>4.6387070000000002E-2</v>
      </c>
      <c r="Z3766">
        <v>-4.2388499999999997E-3</v>
      </c>
      <c r="AA3766">
        <v>0.99891450000000004</v>
      </c>
      <c r="AB3766">
        <v>46</v>
      </c>
      <c r="AC3766">
        <v>0.524299999999982</v>
      </c>
      <c r="AD3766">
        <v>-7.9824000000000103E-2</v>
      </c>
      <c r="AE3766">
        <v>-3.0000000000001099E-2</v>
      </c>
      <c r="AF3766">
        <v>4.4403588463732699E-2</v>
      </c>
      <c r="AG3766">
        <v>-7.9824000000000103E-2</v>
      </c>
      <c r="AH3766">
        <v>0.51137412352420797</v>
      </c>
      <c r="AI3766">
        <v>98.839372560738298</v>
      </c>
      <c r="AJ3766">
        <v>85.037345872165304</v>
      </c>
      <c r="AK3766">
        <v>0.51946803930040697</v>
      </c>
      <c r="AL3766">
        <v>72.942025542999005</v>
      </c>
      <c r="AM3766">
        <v>94.260360612968796</v>
      </c>
      <c r="AN3766">
        <v>1.00000004355451</v>
      </c>
    </row>
    <row r="3767" spans="1:40" x14ac:dyDescent="0.25">
      <c r="A3767" t="str">
        <f>"20190304164926627"</f>
        <v>20190304164926627</v>
      </c>
      <c r="B3767" t="str">
        <f>"1551689366619770"</f>
        <v>1551689366619770</v>
      </c>
      <c r="C3767" t="s">
        <v>40</v>
      </c>
      <c r="D3767">
        <v>4.4289389999999997</v>
      </c>
      <c r="E3767">
        <v>0.559581</v>
      </c>
      <c r="F3767" t="s">
        <v>41</v>
      </c>
      <c r="G3767">
        <v>-362.12009999999998</v>
      </c>
      <c r="H3767">
        <v>1.0324690000000001</v>
      </c>
      <c r="I3767">
        <v>213.85990000000001</v>
      </c>
      <c r="J3767">
        <v>-362.59179999999998</v>
      </c>
      <c r="K3767">
        <v>1.109585</v>
      </c>
      <c r="L3767">
        <v>213.88980000000001</v>
      </c>
      <c r="M3767">
        <v>0.99951999999999996</v>
      </c>
      <c r="N3767">
        <v>-9.4153080000000007E-3</v>
      </c>
      <c r="O3767">
        <v>2.9517950000000001E-2</v>
      </c>
      <c r="P3767">
        <v>0.95372729999999994</v>
      </c>
      <c r="Q3767">
        <v>0.2837578</v>
      </c>
      <c r="R3767">
        <v>9.9429130000000004E-2</v>
      </c>
      <c r="S3767">
        <v>3.231201</v>
      </c>
      <c r="T3767">
        <v>-0.26645059999999998</v>
      </c>
      <c r="U3767">
        <v>-5.4901119999999998E-2</v>
      </c>
      <c r="V3767">
        <v>-7.1280460000000004E-2</v>
      </c>
      <c r="W3767">
        <v>0.29273700000000002</v>
      </c>
      <c r="X3767">
        <v>0.95353250000000001</v>
      </c>
      <c r="Y3767">
        <v>4.6242579999999998E-2</v>
      </c>
      <c r="Z3767">
        <v>-4.2735710000000003E-3</v>
      </c>
      <c r="AA3767">
        <v>0.99892110000000001</v>
      </c>
      <c r="AB3767">
        <v>46</v>
      </c>
      <c r="AC3767">
        <v>0.47169999999999801</v>
      </c>
      <c r="AD3767">
        <v>-7.7115999999999907E-2</v>
      </c>
      <c r="AE3767">
        <v>-2.98999999999978E-2</v>
      </c>
      <c r="AF3767">
        <v>4.2675169714724598E-2</v>
      </c>
      <c r="AG3767">
        <v>-7.7115999999999907E-2</v>
      </c>
      <c r="AH3767">
        <v>0.45840875597685798</v>
      </c>
      <c r="AI3767">
        <v>99.508835930317503</v>
      </c>
      <c r="AJ3767">
        <v>84.681427734300698</v>
      </c>
      <c r="AK3767">
        <v>0.46680470769094701</v>
      </c>
      <c r="AL3767">
        <v>72.978113254910696</v>
      </c>
      <c r="AM3767">
        <v>94.275142616940897</v>
      </c>
      <c r="AN3767">
        <v>1.00000004185152</v>
      </c>
    </row>
    <row r="3768" spans="1:40" x14ac:dyDescent="0.25">
      <c r="A3768" t="str">
        <f>"20190304164926649"</f>
        <v>20190304164926649</v>
      </c>
      <c r="B3768" t="str">
        <f>"1551689366639286"</f>
        <v>1551689366639286</v>
      </c>
      <c r="C3768" t="s">
        <v>40</v>
      </c>
      <c r="D3768">
        <v>4.3994549999999997</v>
      </c>
      <c r="E3768">
        <v>0.55959869999999901</v>
      </c>
      <c r="F3768" t="s">
        <v>41</v>
      </c>
      <c r="G3768">
        <v>-361.70769999999999</v>
      </c>
      <c r="H3768">
        <v>1.036241</v>
      </c>
      <c r="I3768">
        <v>213.87469999999999</v>
      </c>
      <c r="J3768">
        <v>-362.15019999999998</v>
      </c>
      <c r="K3768">
        <v>1.1095889999999999</v>
      </c>
      <c r="L3768">
        <v>213.90289999999999</v>
      </c>
      <c r="M3768">
        <v>0.99951789999999996</v>
      </c>
      <c r="N3768">
        <v>-9.4275390000000004E-3</v>
      </c>
      <c r="O3768">
        <v>2.9580660000000002E-2</v>
      </c>
      <c r="P3768">
        <v>0.95371119999999998</v>
      </c>
      <c r="Q3768">
        <v>0.28374749999999999</v>
      </c>
      <c r="R3768">
        <v>9.9612140000000002E-2</v>
      </c>
      <c r="S3768">
        <v>3.2310490000000001</v>
      </c>
      <c r="T3768">
        <v>-0.26813749999999997</v>
      </c>
      <c r="U3768">
        <v>-5.461121E-2</v>
      </c>
      <c r="V3768">
        <v>-7.1404079999999995E-2</v>
      </c>
      <c r="W3768">
        <v>0.29273840000000001</v>
      </c>
      <c r="X3768">
        <v>0.9535228</v>
      </c>
      <c r="Y3768">
        <v>4.621314E-2</v>
      </c>
      <c r="Z3768">
        <v>-4.3042929999999998E-3</v>
      </c>
      <c r="AA3768">
        <v>0.99892230000000004</v>
      </c>
      <c r="AB3768">
        <v>46</v>
      </c>
      <c r="AC3768">
        <v>0.44249999999999501</v>
      </c>
      <c r="AD3768">
        <v>-7.3347999999999899E-2</v>
      </c>
      <c r="AE3768">
        <v>-2.8199999999998199E-2</v>
      </c>
      <c r="AF3768">
        <v>4.0178220186746001E-2</v>
      </c>
      <c r="AG3768">
        <v>-7.3347999999999899E-2</v>
      </c>
      <c r="AH3768">
        <v>0.42971318468336001</v>
      </c>
      <c r="AI3768">
        <v>99.645224343128703</v>
      </c>
      <c r="AJ3768">
        <v>84.658369488435696</v>
      </c>
      <c r="AK3768">
        <v>0.43777578687278901</v>
      </c>
      <c r="AL3768">
        <v>72.9780290141086</v>
      </c>
      <c r="AM3768">
        <v>94.282572738303301</v>
      </c>
      <c r="AN3768">
        <v>1.00000002179752</v>
      </c>
    </row>
    <row r="3769" spans="1:40" x14ac:dyDescent="0.25">
      <c r="A3769" t="str">
        <f>"20190304164926671"</f>
        <v>20190304164926671</v>
      </c>
      <c r="B3769" t="str">
        <f>"1551689366659782"</f>
        <v>1551689366659782</v>
      </c>
      <c r="C3769" t="s">
        <v>40</v>
      </c>
      <c r="D3769">
        <v>4.4120179999999998</v>
      </c>
      <c r="E3769">
        <v>0.55956510000000004</v>
      </c>
      <c r="F3769" t="s">
        <v>41</v>
      </c>
      <c r="G3769">
        <v>-361.2953</v>
      </c>
      <c r="H3769">
        <v>1.038786</v>
      </c>
      <c r="I3769">
        <v>213.88810000000001</v>
      </c>
      <c r="J3769">
        <v>-361.70479999999998</v>
      </c>
      <c r="K3769">
        <v>1.109588</v>
      </c>
      <c r="L3769">
        <v>213.9162</v>
      </c>
      <c r="M3769">
        <v>0.99951599999999996</v>
      </c>
      <c r="N3769">
        <v>-9.4398369999999995E-3</v>
      </c>
      <c r="O3769">
        <v>2.9643719999999998E-2</v>
      </c>
      <c r="P3769">
        <v>0.95353500000000002</v>
      </c>
      <c r="Q3769">
        <v>0.28424300000000002</v>
      </c>
      <c r="R3769">
        <v>9.9885699999999994E-2</v>
      </c>
      <c r="S3769">
        <v>3.2310180000000002</v>
      </c>
      <c r="T3769">
        <v>-0.26773639999999999</v>
      </c>
      <c r="U3769">
        <v>-5.4824829999999998E-2</v>
      </c>
      <c r="V3769">
        <v>-7.1622549999999993E-2</v>
      </c>
      <c r="W3769">
        <v>0.29324349999999999</v>
      </c>
      <c r="X3769">
        <v>0.95335119999999896</v>
      </c>
      <c r="Y3769">
        <v>4.6342460000000002E-2</v>
      </c>
      <c r="Z3769">
        <v>-4.3083269999999998E-3</v>
      </c>
      <c r="AA3769">
        <v>0.99891629999999998</v>
      </c>
      <c r="AB3769">
        <v>46</v>
      </c>
      <c r="AC3769">
        <v>0.40949999999997899</v>
      </c>
      <c r="AD3769">
        <v>-7.0802000000000004E-2</v>
      </c>
      <c r="AE3769">
        <v>-2.80999999999949E-2</v>
      </c>
      <c r="AF3769">
        <v>3.9064960723162102E-2</v>
      </c>
      <c r="AG3769">
        <v>-7.0802000000000004E-2</v>
      </c>
      <c r="AH3769">
        <v>0.39668411799764303</v>
      </c>
      <c r="AI3769">
        <v>100.072131945468</v>
      </c>
      <c r="AJ3769">
        <v>84.375717356217095</v>
      </c>
      <c r="AK3769">
        <v>0.40484229501358998</v>
      </c>
      <c r="AL3769">
        <v>72.9477606536569</v>
      </c>
      <c r="AM3769">
        <v>94.296397154392693</v>
      </c>
      <c r="AN3769">
        <v>1.0000000252510901</v>
      </c>
    </row>
    <row r="3770" spans="1:40" x14ac:dyDescent="0.25">
      <c r="A3770" t="str">
        <f>"20190304164926693"</f>
        <v>20190304164926693</v>
      </c>
      <c r="B3770" t="str">
        <f>"1551689366690037"</f>
        <v>1551689366690037</v>
      </c>
      <c r="C3770" t="s">
        <v>40</v>
      </c>
      <c r="D3770">
        <v>4.4068160000000001</v>
      </c>
      <c r="E3770">
        <v>0.5595251</v>
      </c>
      <c r="F3770" t="s">
        <v>41</v>
      </c>
      <c r="G3770">
        <v>-360.88229999999999</v>
      </c>
      <c r="H3770">
        <v>1.041906</v>
      </c>
      <c r="I3770">
        <v>213.90209999999999</v>
      </c>
      <c r="J3770">
        <v>-361.2328</v>
      </c>
      <c r="K3770">
        <v>1.109585</v>
      </c>
      <c r="L3770">
        <v>213.93020000000001</v>
      </c>
      <c r="M3770">
        <v>0.99951389999999996</v>
      </c>
      <c r="N3770">
        <v>-9.4528300000000006E-3</v>
      </c>
      <c r="O3770">
        <v>2.9710589999999999E-2</v>
      </c>
      <c r="P3770">
        <v>0.95336989999999999</v>
      </c>
      <c r="Q3770">
        <v>0.28473850000000001</v>
      </c>
      <c r="R3770">
        <v>0.1000494</v>
      </c>
      <c r="S3770">
        <v>3.231201</v>
      </c>
      <c r="T3770">
        <v>-0.26598729999999998</v>
      </c>
      <c r="U3770">
        <v>-5.450439E-2</v>
      </c>
      <c r="V3770">
        <v>-7.172771E-2</v>
      </c>
      <c r="W3770">
        <v>0.29375040000000002</v>
      </c>
      <c r="X3770">
        <v>0.95318720000000001</v>
      </c>
      <c r="Y3770">
        <v>4.6312619999999999E-2</v>
      </c>
      <c r="Z3770">
        <v>-4.2830419999999999E-3</v>
      </c>
      <c r="AA3770">
        <v>0.99891779999999997</v>
      </c>
      <c r="AB3770">
        <v>46</v>
      </c>
      <c r="AC3770">
        <v>0.35050000000001003</v>
      </c>
      <c r="AD3770">
        <v>-6.7679000000000003E-2</v>
      </c>
      <c r="AE3770">
        <v>-2.8100000000023301E-2</v>
      </c>
      <c r="AF3770">
        <v>3.7126217152856002E-2</v>
      </c>
      <c r="AG3770">
        <v>-6.7679000000000003E-2</v>
      </c>
      <c r="AH3770">
        <v>0.33702470242131299</v>
      </c>
      <c r="AI3770">
        <v>101.288209273362</v>
      </c>
      <c r="AJ3770">
        <v>83.713715170569699</v>
      </c>
      <c r="AK3770">
        <v>0.34575201096053698</v>
      </c>
      <c r="AL3770">
        <v>72.917378991307601</v>
      </c>
      <c r="AM3770">
        <v>94.303419192944602</v>
      </c>
      <c r="AN3770">
        <v>1.0000000000629199</v>
      </c>
    </row>
    <row r="3771" spans="1:40" x14ac:dyDescent="0.25">
      <c r="A3771" t="str">
        <f>"20190304164926718"</f>
        <v>20190304164926718</v>
      </c>
      <c r="B3771" t="str">
        <f>"1551689366709562"</f>
        <v>1551689366709562</v>
      </c>
      <c r="C3771" t="s">
        <v>40</v>
      </c>
      <c r="D3771">
        <v>4.3567</v>
      </c>
      <c r="E3771">
        <v>0.55945529999999999</v>
      </c>
      <c r="F3771" t="s">
        <v>41</v>
      </c>
      <c r="G3771">
        <v>-360.46660000000003</v>
      </c>
      <c r="H3771">
        <v>1.046864</v>
      </c>
      <c r="I3771">
        <v>213.91739999999999</v>
      </c>
      <c r="J3771">
        <v>-360.74110000000002</v>
      </c>
      <c r="K3771">
        <v>1.1095809999999999</v>
      </c>
      <c r="L3771">
        <v>213.94489999999999</v>
      </c>
      <c r="M3771">
        <v>0.99951179999999995</v>
      </c>
      <c r="N3771">
        <v>-9.4664840000000007E-3</v>
      </c>
      <c r="O3771">
        <v>2.977979E-2</v>
      </c>
      <c r="P3771">
        <v>0.95327309999999998</v>
      </c>
      <c r="Q3771">
        <v>0.28489819999999999</v>
      </c>
      <c r="R3771">
        <v>0.1005166</v>
      </c>
      <c r="S3771">
        <v>3.2313540000000001</v>
      </c>
      <c r="T3771">
        <v>-0.26458310000000002</v>
      </c>
      <c r="U3771">
        <v>-5.36499E-2</v>
      </c>
      <c r="V3771">
        <v>-7.2131429999999996E-2</v>
      </c>
      <c r="W3771">
        <v>0.29392180000000001</v>
      </c>
      <c r="X3771">
        <v>0.9531039</v>
      </c>
      <c r="Y3771">
        <v>4.6120139999999997E-2</v>
      </c>
      <c r="Z3771">
        <v>-4.2561120000000003E-3</v>
      </c>
      <c r="AA3771">
        <v>0.9989268</v>
      </c>
      <c r="AB3771">
        <v>46</v>
      </c>
      <c r="AC3771">
        <v>0.27449999999998898</v>
      </c>
      <c r="AD3771">
        <v>-6.2716999999999898E-2</v>
      </c>
      <c r="AE3771">
        <v>-2.75000000000034E-2</v>
      </c>
      <c r="AF3771">
        <v>3.3910137657386097E-2</v>
      </c>
      <c r="AG3771">
        <v>-6.2716999999999898E-2</v>
      </c>
      <c r="AH3771">
        <v>0.260115671195642</v>
      </c>
      <c r="AI3771">
        <v>103.446360836994</v>
      </c>
      <c r="AJ3771">
        <v>82.572489167221406</v>
      </c>
      <c r="AK3771">
        <v>0.26970999597067602</v>
      </c>
      <c r="AL3771">
        <v>72.907105059558205</v>
      </c>
      <c r="AM3771">
        <v>94.327926048803306</v>
      </c>
      <c r="AN3771">
        <v>1.0000000059521399</v>
      </c>
    </row>
    <row r="3772" spans="1:40" x14ac:dyDescent="0.25">
      <c r="A3772" t="str">
        <f>"20190304164926740"</f>
        <v>20190304164926740</v>
      </c>
      <c r="B3772" t="str">
        <f>"1551689366730057"</f>
        <v>1551689366730057</v>
      </c>
      <c r="C3772" t="s">
        <v>40</v>
      </c>
      <c r="D3772">
        <v>4.3327980000000004</v>
      </c>
      <c r="E3772">
        <v>0.55939640000000002</v>
      </c>
      <c r="F3772" t="s">
        <v>41</v>
      </c>
      <c r="G3772">
        <v>-359.6549</v>
      </c>
      <c r="H3772">
        <v>1.0208010000000001</v>
      </c>
      <c r="I3772">
        <v>213.9273</v>
      </c>
      <c r="J3772">
        <v>-360.27449999999999</v>
      </c>
      <c r="K3772">
        <v>1.1095790000000001</v>
      </c>
      <c r="L3772">
        <v>213.9588</v>
      </c>
      <c r="M3772">
        <v>0.9995096</v>
      </c>
      <c r="N3772">
        <v>-9.4794130000000008E-3</v>
      </c>
      <c r="O3772">
        <v>2.9844809999999999E-2</v>
      </c>
      <c r="P3772">
        <v>0.95320519999999997</v>
      </c>
      <c r="Q3772">
        <v>0.28501890000000002</v>
      </c>
      <c r="R3772">
        <v>0.1008163</v>
      </c>
      <c r="S3772">
        <v>3.2314150000000001</v>
      </c>
      <c r="T3772">
        <v>-0.2642272</v>
      </c>
      <c r="U3772">
        <v>-5.1406859999999999E-2</v>
      </c>
      <c r="V3772">
        <v>-7.2370110000000001E-2</v>
      </c>
      <c r="W3772">
        <v>0.29405490000000001</v>
      </c>
      <c r="X3772">
        <v>0.95304480000000003</v>
      </c>
      <c r="Y3772">
        <v>4.549446E-2</v>
      </c>
      <c r="Z3772">
        <v>-4.2263489999999999E-3</v>
      </c>
      <c r="AA3772">
        <v>0.9989557</v>
      </c>
      <c r="AB3772">
        <v>46</v>
      </c>
      <c r="AC3772">
        <v>0.61959999999999105</v>
      </c>
      <c r="AD3772">
        <v>-8.8777999999999996E-2</v>
      </c>
      <c r="AE3772">
        <v>-3.1499999999993998E-2</v>
      </c>
      <c r="AF3772">
        <v>4.8975764009560198E-2</v>
      </c>
      <c r="AG3772">
        <v>-8.8777999999999996E-2</v>
      </c>
      <c r="AH3772">
        <v>0.60597524709417905</v>
      </c>
      <c r="AI3772">
        <v>98.308075803910398</v>
      </c>
      <c r="AJ3772">
        <v>85.379318695958105</v>
      </c>
      <c r="AK3772">
        <v>0.61439902248878298</v>
      </c>
      <c r="AL3772">
        <v>72.899127252294605</v>
      </c>
      <c r="AM3772">
        <v>94.342460537458905</v>
      </c>
      <c r="AN3772">
        <v>1.0000000539212199</v>
      </c>
    </row>
    <row r="3773" spans="1:40" x14ac:dyDescent="0.25">
      <c r="A3773" t="str">
        <f>"20190304164926763"</f>
        <v>20190304164926763</v>
      </c>
      <c r="B3773" t="str">
        <f>"1551689366749580"</f>
        <v>1551689366749580</v>
      </c>
      <c r="C3773" t="s">
        <v>40</v>
      </c>
      <c r="D3773">
        <v>4.3753840000000004</v>
      </c>
      <c r="E3773">
        <v>0.5593513</v>
      </c>
      <c r="F3773" t="s">
        <v>41</v>
      </c>
      <c r="G3773">
        <v>-359.2396</v>
      </c>
      <c r="H3773">
        <v>1.0250159999999999</v>
      </c>
      <c r="I3773">
        <v>213.94300000000001</v>
      </c>
      <c r="J3773">
        <v>-359.81549999999999</v>
      </c>
      <c r="K3773">
        <v>1.1095729999999999</v>
      </c>
      <c r="L3773">
        <v>213.9726</v>
      </c>
      <c r="M3773">
        <v>0.9995077</v>
      </c>
      <c r="N3773">
        <v>-9.4918499999999996E-3</v>
      </c>
      <c r="O3773">
        <v>2.99075E-2</v>
      </c>
      <c r="P3773">
        <v>0.95328270000000004</v>
      </c>
      <c r="Q3773">
        <v>0.28472449999999999</v>
      </c>
      <c r="R3773">
        <v>0.10091700000000001</v>
      </c>
      <c r="S3773">
        <v>3.231506</v>
      </c>
      <c r="T3773">
        <v>-0.2639803</v>
      </c>
      <c r="U3773">
        <v>-5.0033569999999999E-2</v>
      </c>
      <c r="V3773">
        <v>-7.2408500000000001E-2</v>
      </c>
      <c r="W3773">
        <v>0.2937727</v>
      </c>
      <c r="X3773">
        <v>0.95312889999999995</v>
      </c>
      <c r="Y3773">
        <v>4.5133899999999998E-2</v>
      </c>
      <c r="Z3773">
        <v>-4.2102499999999996E-3</v>
      </c>
      <c r="AA3773">
        <v>0.99897210000000003</v>
      </c>
      <c r="AB3773">
        <v>46</v>
      </c>
      <c r="AC3773">
        <v>0.57589999999998998</v>
      </c>
      <c r="AD3773">
        <v>-8.4556999999999993E-2</v>
      </c>
      <c r="AE3773">
        <v>-2.96000000000162E-2</v>
      </c>
      <c r="AF3773">
        <v>4.5825956256054602E-2</v>
      </c>
      <c r="AG3773">
        <v>-8.4556999999999993E-2</v>
      </c>
      <c r="AH3773">
        <v>0.56265930536635</v>
      </c>
      <c r="AI3773">
        <v>98.518719297066298</v>
      </c>
      <c r="AJ3773">
        <v>85.343805236226103</v>
      </c>
      <c r="AK3773">
        <v>0.57081993520822705</v>
      </c>
      <c r="AL3773">
        <v>72.916043112421406</v>
      </c>
      <c r="AM3773">
        <v>94.344373359258</v>
      </c>
      <c r="AN3773">
        <v>1.00000004507637</v>
      </c>
    </row>
    <row r="3774" spans="1:40" x14ac:dyDescent="0.25">
      <c r="A3774" t="str">
        <f>"20190304164926784"</f>
        <v>20190304164926784</v>
      </c>
      <c r="B3774" t="str">
        <f>"1551689366779834"</f>
        <v>1551689366779834</v>
      </c>
      <c r="C3774" t="s">
        <v>40</v>
      </c>
      <c r="D3774">
        <v>4.4911159999999999</v>
      </c>
      <c r="E3774">
        <v>0.55938639999999995</v>
      </c>
      <c r="F3774" t="s">
        <v>41</v>
      </c>
      <c r="G3774">
        <v>-358.82420000000002</v>
      </c>
      <c r="H3774">
        <v>1.0283469999999999</v>
      </c>
      <c r="I3774">
        <v>213.9571</v>
      </c>
      <c r="J3774">
        <v>-359.37060000000002</v>
      </c>
      <c r="K3774">
        <v>1.1095759999999999</v>
      </c>
      <c r="L3774">
        <v>213.98589999999999</v>
      </c>
      <c r="M3774">
        <v>0.9995058</v>
      </c>
      <c r="N3774">
        <v>-9.5037639999999996E-3</v>
      </c>
      <c r="O3774">
        <v>2.9964879999999999E-2</v>
      </c>
      <c r="P3774">
        <v>0.95315950000000005</v>
      </c>
      <c r="Q3774">
        <v>0.285159</v>
      </c>
      <c r="R3774">
        <v>0.1008539</v>
      </c>
      <c r="S3774">
        <v>3.2314150000000001</v>
      </c>
      <c r="T3774">
        <v>-0.2648587</v>
      </c>
      <c r="U3774">
        <v>-4.9728389999999997E-2</v>
      </c>
      <c r="V3774">
        <v>-7.2292229999999999E-2</v>
      </c>
      <c r="W3774">
        <v>0.29421799999999998</v>
      </c>
      <c r="X3774">
        <v>0.95300030000000002</v>
      </c>
      <c r="Y3774">
        <v>4.5095700000000002E-2</v>
      </c>
      <c r="Z3774">
        <v>-4.2268899999999996E-3</v>
      </c>
      <c r="AA3774">
        <v>0.99897369999999996</v>
      </c>
      <c r="AB3774">
        <v>46</v>
      </c>
      <c r="AC3774">
        <v>0.54640000000000499</v>
      </c>
      <c r="AD3774">
        <v>-8.1229000000000204E-2</v>
      </c>
      <c r="AE3774">
        <v>-2.8799999999989698E-2</v>
      </c>
      <c r="AF3774">
        <v>4.4186774227950698E-2</v>
      </c>
      <c r="AG3774">
        <v>-8.1229000000000204E-2</v>
      </c>
      <c r="AH3774">
        <v>0.53353294796791795</v>
      </c>
      <c r="AI3774">
        <v>98.627565466785597</v>
      </c>
      <c r="AJ3774">
        <v>85.265613819597306</v>
      </c>
      <c r="AK3774">
        <v>0.54148686782322697</v>
      </c>
      <c r="AL3774">
        <v>72.889348572835203</v>
      </c>
      <c r="AM3774">
        <v>94.338007089245906</v>
      </c>
      <c r="AN3774">
        <v>0.99999998492123099</v>
      </c>
    </row>
    <row r="3775" spans="1:40" x14ac:dyDescent="0.25">
      <c r="A3775" t="str">
        <f>"20190304164926807"</f>
        <v>20190304164926807</v>
      </c>
      <c r="B3775" t="str">
        <f>"1551689366799353"</f>
        <v>1551689366799353</v>
      </c>
      <c r="C3775" t="s">
        <v>40</v>
      </c>
      <c r="D3775">
        <v>4.4487189999999996</v>
      </c>
      <c r="E3775">
        <v>0.56014219999999904</v>
      </c>
      <c r="F3775" t="s">
        <v>41</v>
      </c>
      <c r="G3775">
        <v>-358.4085</v>
      </c>
      <c r="H3775">
        <v>1.0313209999999999</v>
      </c>
      <c r="I3775">
        <v>213.97110000000001</v>
      </c>
      <c r="J3775">
        <v>-358.88529999999997</v>
      </c>
      <c r="K3775">
        <v>1.1095740000000001</v>
      </c>
      <c r="L3775">
        <v>214.00049999999999</v>
      </c>
      <c r="M3775">
        <v>0.99950399999999995</v>
      </c>
      <c r="N3775">
        <v>-9.5182070000000008E-3</v>
      </c>
      <c r="O3775">
        <v>3.0019529999999999E-2</v>
      </c>
      <c r="P3775">
        <v>0.95310479999999997</v>
      </c>
      <c r="Q3775">
        <v>0.28538649999999999</v>
      </c>
      <c r="R3775">
        <v>0.10072639999999999</v>
      </c>
      <c r="S3775">
        <v>3.2313839999999998</v>
      </c>
      <c r="T3775">
        <v>-0.26279659999999999</v>
      </c>
      <c r="U3775">
        <v>-5.0079350000000002E-2</v>
      </c>
      <c r="V3775">
        <v>-7.21112E-2</v>
      </c>
      <c r="W3775">
        <v>0.29446</v>
      </c>
      <c r="X3775">
        <v>0.95293930000000004</v>
      </c>
      <c r="Y3775">
        <v>4.5262049999999998E-2</v>
      </c>
      <c r="Z3775">
        <v>-4.2049309999999899E-3</v>
      </c>
      <c r="AA3775">
        <v>0.99896629999999997</v>
      </c>
      <c r="AB3775">
        <v>46</v>
      </c>
      <c r="AC3775">
        <v>0.47679999999996803</v>
      </c>
      <c r="AD3775">
        <v>-7.82530000000001E-2</v>
      </c>
      <c r="AE3775">
        <v>-2.9399999999981202E-2</v>
      </c>
      <c r="AF3775">
        <v>4.2558699206834097E-2</v>
      </c>
      <c r="AG3775">
        <v>-7.82530000000001E-2</v>
      </c>
      <c r="AH3775">
        <v>0.463271174620626</v>
      </c>
      <c r="AI3775">
        <v>99.548100387368507</v>
      </c>
      <c r="AJ3775">
        <v>84.751219260880205</v>
      </c>
      <c r="AK3775">
        <v>0.47175730637855801</v>
      </c>
      <c r="AL3775">
        <v>72.874840790678704</v>
      </c>
      <c r="AM3775">
        <v>94.327461357095601</v>
      </c>
      <c r="AN3775">
        <v>1.00000001312496</v>
      </c>
    </row>
    <row r="3776" spans="1:40" x14ac:dyDescent="0.25">
      <c r="A3776" t="str">
        <f>"20190304164926831"</f>
        <v>20190304164926831</v>
      </c>
      <c r="B3776" t="str">
        <f>"1551689366819850"</f>
        <v>1551689366819850</v>
      </c>
      <c r="C3776" t="s">
        <v>40</v>
      </c>
      <c r="D3776">
        <v>4.4465000000000003</v>
      </c>
      <c r="E3776">
        <v>0.56102929999999995</v>
      </c>
      <c r="F3776" t="s">
        <v>41</v>
      </c>
      <c r="G3776">
        <v>-357.99130000000002</v>
      </c>
      <c r="H3776">
        <v>1.0365960000000001</v>
      </c>
      <c r="I3776">
        <v>213.98439999999999</v>
      </c>
      <c r="J3776">
        <v>-358.39929999999998</v>
      </c>
      <c r="K3776">
        <v>1.1095660000000001</v>
      </c>
      <c r="L3776">
        <v>214.01509999999999</v>
      </c>
      <c r="M3776">
        <v>0.99950269999999997</v>
      </c>
      <c r="N3776">
        <v>-9.538174E-3</v>
      </c>
      <c r="O3776">
        <v>3.006267E-2</v>
      </c>
      <c r="P3776">
        <v>0.95293369999999999</v>
      </c>
      <c r="Q3776">
        <v>0.28596690000000002</v>
      </c>
      <c r="R3776">
        <v>0.1007002</v>
      </c>
      <c r="S3776">
        <v>3.2327270000000001</v>
      </c>
      <c r="T3776">
        <v>-0.2641443</v>
      </c>
      <c r="U3776">
        <v>-5.6777950000000001E-2</v>
      </c>
      <c r="V3776">
        <v>-7.2042739999999994E-2</v>
      </c>
      <c r="W3776">
        <v>0.29505920000000002</v>
      </c>
      <c r="X3776">
        <v>0.95275909999999997</v>
      </c>
      <c r="Y3776">
        <v>4.7357829999999997E-2</v>
      </c>
      <c r="Z3776">
        <v>-4.3234119999999996E-3</v>
      </c>
      <c r="AA3776">
        <v>0.9988686</v>
      </c>
      <c r="AB3776">
        <v>46</v>
      </c>
      <c r="AC3776">
        <v>0.40799999999995801</v>
      </c>
      <c r="AD3776">
        <v>-7.2970000000000201E-2</v>
      </c>
      <c r="AE3776">
        <v>-3.0699999999995901E-2</v>
      </c>
      <c r="AF3776">
        <v>4.16281988918085E-2</v>
      </c>
      <c r="AG3776">
        <v>-7.2970000000000201E-2</v>
      </c>
      <c r="AH3776">
        <v>0.39434970892119098</v>
      </c>
      <c r="AI3776">
        <v>100.426716140756</v>
      </c>
      <c r="AJ3776">
        <v>83.974080667959797</v>
      </c>
      <c r="AK3776">
        <v>0.40319873607093998</v>
      </c>
      <c r="AL3776">
        <v>72.838912620511806</v>
      </c>
      <c r="AM3776">
        <v>94.324183190651794</v>
      </c>
      <c r="AN3776">
        <v>0.99999999526207795</v>
      </c>
    </row>
    <row r="3777" spans="1:40" x14ac:dyDescent="0.25">
      <c r="A3777" t="str">
        <f>"20190304164926851"</f>
        <v>20190304164926851</v>
      </c>
      <c r="B3777" t="str">
        <f>"1551689366839369"</f>
        <v>1551689366839369</v>
      </c>
      <c r="C3777" t="s">
        <v>40</v>
      </c>
      <c r="D3777">
        <v>4.439972</v>
      </c>
      <c r="E3777">
        <v>0.56188640000000001</v>
      </c>
      <c r="F3777" t="s">
        <v>41</v>
      </c>
      <c r="G3777">
        <v>-357.57350000000002</v>
      </c>
      <c r="H3777">
        <v>1.0422279999999999</v>
      </c>
      <c r="I3777">
        <v>213.9984</v>
      </c>
      <c r="J3777">
        <v>-357.98750000000001</v>
      </c>
      <c r="K3777">
        <v>1.109559</v>
      </c>
      <c r="L3777">
        <v>214.0275</v>
      </c>
      <c r="M3777">
        <v>0.99950159999999999</v>
      </c>
      <c r="N3777">
        <v>-9.5618909999999994E-3</v>
      </c>
      <c r="O3777">
        <v>3.0090530000000001E-2</v>
      </c>
      <c r="P3777">
        <v>0.9530786</v>
      </c>
      <c r="Q3777">
        <v>0.28543299999999999</v>
      </c>
      <c r="R3777">
        <v>0.10084410000000001</v>
      </c>
      <c r="S3777">
        <v>3.2341920000000002</v>
      </c>
      <c r="T3777">
        <v>-0.26383669999999998</v>
      </c>
      <c r="U3777">
        <v>-6.4895629999999996E-2</v>
      </c>
      <c r="V3777">
        <v>-7.2149530000000003E-2</v>
      </c>
      <c r="W3777">
        <v>0.2945507</v>
      </c>
      <c r="X3777">
        <v>0.95290830000000004</v>
      </c>
      <c r="Y3777">
        <v>4.9875240000000001E-2</v>
      </c>
      <c r="Z3777">
        <v>-4.4326959999999999E-3</v>
      </c>
      <c r="AA3777">
        <v>0.99874560000000001</v>
      </c>
      <c r="AB3777">
        <v>46</v>
      </c>
      <c r="AC3777">
        <v>0.41399999999998699</v>
      </c>
      <c r="AD3777">
        <v>-6.7330999999999794E-2</v>
      </c>
      <c r="AE3777">
        <v>-2.9099999999999598E-2</v>
      </c>
      <c r="AF3777">
        <v>4.0479442010286498E-2</v>
      </c>
      <c r="AG3777">
        <v>-6.7330999999999794E-2</v>
      </c>
      <c r="AH3777">
        <v>0.40234699065718199</v>
      </c>
      <c r="AI3777">
        <v>99.453311783996298</v>
      </c>
      <c r="AJ3777">
        <v>84.254901668435807</v>
      </c>
      <c r="AK3777">
        <v>0.4099453008358</v>
      </c>
      <c r="AL3777">
        <v>72.869401757236105</v>
      </c>
      <c r="AM3777">
        <v>94.329893151704795</v>
      </c>
      <c r="AN3777">
        <v>0.99999994887929899</v>
      </c>
    </row>
    <row r="3778" spans="1:40" x14ac:dyDescent="0.25">
      <c r="A3778" t="str">
        <f>"20190304164926872"</f>
        <v>20190304164926872</v>
      </c>
      <c r="B3778" t="str">
        <f>"1551689366859866"</f>
        <v>1551689366859866</v>
      </c>
      <c r="C3778" t="s">
        <v>40</v>
      </c>
      <c r="D3778">
        <v>4.4136730000000002</v>
      </c>
      <c r="E3778">
        <v>0.56268450000000003</v>
      </c>
      <c r="F3778" t="s">
        <v>41</v>
      </c>
      <c r="G3778">
        <v>-357.1585</v>
      </c>
      <c r="H3778">
        <v>1.041167</v>
      </c>
      <c r="I3778">
        <v>214.0087</v>
      </c>
      <c r="J3778">
        <v>-357.5326</v>
      </c>
      <c r="K3778">
        <v>1.1095539999999999</v>
      </c>
      <c r="L3778">
        <v>214.0412</v>
      </c>
      <c r="M3778">
        <v>0.99950050000000001</v>
      </c>
      <c r="N3778">
        <v>-9.5955650000000003E-3</v>
      </c>
      <c r="O3778">
        <v>3.0113629999999999E-2</v>
      </c>
      <c r="P3778">
        <v>0.95319739999999997</v>
      </c>
      <c r="Q3778">
        <v>0.2851224</v>
      </c>
      <c r="R3778">
        <v>0.1005974</v>
      </c>
      <c r="S3778">
        <v>3.2353209999999999</v>
      </c>
      <c r="T3778">
        <v>-0.26701550000000002</v>
      </c>
      <c r="U3778">
        <v>-7.2128300000000006E-2</v>
      </c>
      <c r="V3778">
        <v>-7.1870580000000003E-2</v>
      </c>
      <c r="W3778">
        <v>0.294274599999999</v>
      </c>
      <c r="X3778">
        <v>0.95301469999999999</v>
      </c>
      <c r="Y3778">
        <v>5.2108219999999997E-2</v>
      </c>
      <c r="Z3778">
        <v>-4.5890979999999998E-3</v>
      </c>
      <c r="AA3778">
        <v>0.99863089999999999</v>
      </c>
      <c r="AB3778">
        <v>46</v>
      </c>
      <c r="AC3778">
        <v>0.37409999999999799</v>
      </c>
      <c r="AD3778">
        <v>-6.8387000000000198E-2</v>
      </c>
      <c r="AE3778">
        <v>-3.2499999999998801E-2</v>
      </c>
      <c r="AF3778">
        <v>4.2346770561285899E-2</v>
      </c>
      <c r="AG3778">
        <v>-6.8387000000000198E-2</v>
      </c>
      <c r="AH3778">
        <v>0.360978993447023</v>
      </c>
      <c r="AI3778">
        <v>100.656094254172</v>
      </c>
      <c r="AJ3778">
        <v>83.309161479169703</v>
      </c>
      <c r="AK3778">
        <v>0.36983221122016402</v>
      </c>
      <c r="AL3778">
        <v>72.885955142279599</v>
      </c>
      <c r="AM3778">
        <v>94.312736151049506</v>
      </c>
      <c r="AN3778">
        <v>0.99999996944539205</v>
      </c>
    </row>
    <row r="3779" spans="1:40" x14ac:dyDescent="0.25">
      <c r="A3779" t="str">
        <f>"20190304164926895"</f>
        <v>20190304164926895</v>
      </c>
      <c r="B3779" t="str">
        <f>"1551689366890122"</f>
        <v>1551689366890122</v>
      </c>
      <c r="C3779" t="s">
        <v>40</v>
      </c>
      <c r="D3779">
        <v>4.4390720000000004</v>
      </c>
      <c r="E3779">
        <v>0.56376890000000002</v>
      </c>
      <c r="F3779" t="s">
        <v>41</v>
      </c>
      <c r="G3779">
        <v>-356.7414</v>
      </c>
      <c r="H3779">
        <v>1.0435299999999901</v>
      </c>
      <c r="I3779">
        <v>214.02199999999999</v>
      </c>
      <c r="J3779">
        <v>-357.0641</v>
      </c>
      <c r="K3779">
        <v>1.1095489999999999</v>
      </c>
      <c r="L3779">
        <v>214.05529999999999</v>
      </c>
      <c r="M3779">
        <v>0.99949960000000004</v>
      </c>
      <c r="N3779">
        <v>-9.6383409999999999E-3</v>
      </c>
      <c r="O3779">
        <v>3.013031E-2</v>
      </c>
      <c r="P3779">
        <v>0.95328749999999995</v>
      </c>
      <c r="Q3779">
        <v>0.28485700000000003</v>
      </c>
      <c r="R3779">
        <v>0.1004965</v>
      </c>
      <c r="S3779">
        <v>3.2362980000000001</v>
      </c>
      <c r="T3779">
        <v>-0.27003189999999999</v>
      </c>
      <c r="U3779">
        <v>-7.7880859999999996E-2</v>
      </c>
      <c r="V3779">
        <v>-7.1745279999999995E-2</v>
      </c>
      <c r="W3779">
        <v>0.2940526</v>
      </c>
      <c r="X3779">
        <v>0.95309270000000001</v>
      </c>
      <c r="Y3779">
        <v>5.3879199999999898E-2</v>
      </c>
      <c r="Z3779">
        <v>-4.7230939999999997E-3</v>
      </c>
      <c r="AA3779">
        <v>0.99853630000000004</v>
      </c>
      <c r="AB3779">
        <v>46</v>
      </c>
      <c r="AC3779">
        <v>0.32269999999999699</v>
      </c>
      <c r="AD3779">
        <v>-6.6018999999999994E-2</v>
      </c>
      <c r="AE3779">
        <v>-3.3299999999968501E-2</v>
      </c>
      <c r="AF3779">
        <v>4.1298091425604901E-2</v>
      </c>
      <c r="AG3779">
        <v>-6.6018999999999994E-2</v>
      </c>
      <c r="AH3779">
        <v>0.30876318684403398</v>
      </c>
      <c r="AI3779">
        <v>101.96566356532701</v>
      </c>
      <c r="AJ3779">
        <v>82.381716598951797</v>
      </c>
      <c r="AK3779">
        <v>0.31843169796124499</v>
      </c>
      <c r="AL3779">
        <v>72.899264279649799</v>
      </c>
      <c r="AM3779">
        <v>94.304894559524897</v>
      </c>
      <c r="AN3779">
        <v>1.00000000578116</v>
      </c>
    </row>
    <row r="3780" spans="1:40" x14ac:dyDescent="0.25">
      <c r="A3780" t="str">
        <f>"20190304164926919"</f>
        <v>20190304164926919</v>
      </c>
      <c r="B3780" t="str">
        <f>"1551689366909644"</f>
        <v>1551689366909644</v>
      </c>
      <c r="C3780" t="s">
        <v>40</v>
      </c>
      <c r="D3780">
        <v>4.4400259999999996</v>
      </c>
      <c r="E3780">
        <v>0.56445400000000001</v>
      </c>
      <c r="F3780" t="s">
        <v>41</v>
      </c>
      <c r="G3780">
        <v>-356.32240000000002</v>
      </c>
      <c r="H3780">
        <v>1.0469569999999999</v>
      </c>
      <c r="I3780">
        <v>214.03550000000001</v>
      </c>
      <c r="J3780">
        <v>-356.56439999999998</v>
      </c>
      <c r="K3780">
        <v>1.1095429999999999</v>
      </c>
      <c r="L3780">
        <v>214.07040000000001</v>
      </c>
      <c r="M3780">
        <v>0.99949900000000003</v>
      </c>
      <c r="N3780">
        <v>-9.6936390000000004E-3</v>
      </c>
      <c r="O3780">
        <v>3.0134040000000001E-2</v>
      </c>
      <c r="P3780">
        <v>0.95337559999999999</v>
      </c>
      <c r="Q3780">
        <v>0.28458349999999999</v>
      </c>
      <c r="R3780">
        <v>0.1004361</v>
      </c>
      <c r="S3780">
        <v>3.2377009999999999</v>
      </c>
      <c r="T3780">
        <v>-0.27343070000000003</v>
      </c>
      <c r="U3780">
        <v>-8.5128780000000001E-2</v>
      </c>
      <c r="V3780">
        <v>-7.1671689999999996E-2</v>
      </c>
      <c r="W3780">
        <v>0.29383429999999999</v>
      </c>
      <c r="X3780">
        <v>0.9531655</v>
      </c>
      <c r="Y3780">
        <v>5.6090429999999997E-2</v>
      </c>
      <c r="Z3780">
        <v>-4.8845920000000001E-3</v>
      </c>
      <c r="AA3780">
        <v>0.99841369999999896</v>
      </c>
      <c r="AB3780">
        <v>47</v>
      </c>
      <c r="AC3780">
        <v>0.241999999999961</v>
      </c>
      <c r="AD3780">
        <v>-6.2586000000000003E-2</v>
      </c>
      <c r="AE3780">
        <v>-3.48999999999932E-2</v>
      </c>
      <c r="AF3780">
        <v>3.9583366729246797E-2</v>
      </c>
      <c r="AG3780">
        <v>-6.2586000000000003E-2</v>
      </c>
      <c r="AH3780">
        <v>0.22602862594437401</v>
      </c>
      <c r="AI3780">
        <v>105.255975721737</v>
      </c>
      <c r="AJ3780">
        <v>80.066780003632005</v>
      </c>
      <c r="AK3780">
        <v>0.23785035224679299</v>
      </c>
      <c r="AL3780">
        <v>72.912349034963796</v>
      </c>
      <c r="AM3780">
        <v>94.300168323729693</v>
      </c>
      <c r="AN3780">
        <v>0.99999994869709596</v>
      </c>
    </row>
    <row r="3781" spans="1:40" x14ac:dyDescent="0.25">
      <c r="A3781" t="str">
        <f>"20190304164926940"</f>
        <v>20190304164926940</v>
      </c>
      <c r="B3781" t="str">
        <f>"1551689366930142"</f>
        <v>1551689366930142</v>
      </c>
      <c r="C3781" t="s">
        <v>40</v>
      </c>
      <c r="D3781">
        <v>4.43459</v>
      </c>
      <c r="E3781">
        <v>0.56509240000000005</v>
      </c>
      <c r="F3781" t="s">
        <v>41</v>
      </c>
      <c r="G3781">
        <v>-355.50279999999998</v>
      </c>
      <c r="H3781">
        <v>1.0194219999999901</v>
      </c>
      <c r="I3781">
        <v>214.04040000000001</v>
      </c>
      <c r="J3781">
        <v>-356.1164</v>
      </c>
      <c r="K3781">
        <v>1.109537</v>
      </c>
      <c r="L3781">
        <v>214.0839</v>
      </c>
      <c r="M3781">
        <v>0.99949869999999996</v>
      </c>
      <c r="N3781">
        <v>-9.7520969999999995E-3</v>
      </c>
      <c r="O3781">
        <v>3.011983E-2</v>
      </c>
      <c r="P3781">
        <v>0.95326580000000005</v>
      </c>
      <c r="Q3781">
        <v>0.28495819999999999</v>
      </c>
      <c r="R3781">
        <v>0.1004155</v>
      </c>
      <c r="S3781">
        <v>3.2383419999999998</v>
      </c>
      <c r="T3781">
        <v>-0.27499440000000003</v>
      </c>
      <c r="U3781">
        <v>-9.0759279999999998E-2</v>
      </c>
      <c r="V3781">
        <v>-7.1659479999999998E-2</v>
      </c>
      <c r="W3781">
        <v>0.29426540000000001</v>
      </c>
      <c r="X3781">
        <v>0.95303349999999998</v>
      </c>
      <c r="Y3781">
        <v>5.7795480000000003E-2</v>
      </c>
      <c r="Z3781">
        <v>-4.9908920000000002E-3</v>
      </c>
      <c r="AA3781">
        <v>0.99831599999999998</v>
      </c>
      <c r="AB3781">
        <v>47</v>
      </c>
      <c r="AC3781">
        <v>0.61360000000001902</v>
      </c>
      <c r="AD3781">
        <v>-9.0115000000000098E-2</v>
      </c>
      <c r="AE3781">
        <v>-4.3499999999994501E-2</v>
      </c>
      <c r="AF3781">
        <v>6.0660837782537697E-2</v>
      </c>
      <c r="AG3781">
        <v>-9.0115000000000098E-2</v>
      </c>
      <c r="AH3781">
        <v>0.59915299252920795</v>
      </c>
      <c r="AI3781">
        <v>98.510536656065398</v>
      </c>
      <c r="AJ3781">
        <v>84.218827148018306</v>
      </c>
      <c r="AK3781">
        <v>0.60892097921009802</v>
      </c>
      <c r="AL3781">
        <v>72.886507742441395</v>
      </c>
      <c r="AM3781">
        <v>94.300031754351195</v>
      </c>
      <c r="AN3781">
        <v>1.00000002941663</v>
      </c>
    </row>
    <row r="3782" spans="1:40" x14ac:dyDescent="0.25">
      <c r="A3782" t="str">
        <f>"20190304164926963"</f>
        <v>20190304164926963</v>
      </c>
      <c r="B3782" t="str">
        <f>"1551689366949657"</f>
        <v>1551689366949657</v>
      </c>
      <c r="C3782" t="s">
        <v>40</v>
      </c>
      <c r="D3782">
        <v>4.4555939999999996</v>
      </c>
      <c r="E3782">
        <v>0.56569769999999997</v>
      </c>
      <c r="F3782" t="s">
        <v>41</v>
      </c>
      <c r="G3782">
        <v>-355.08429999999998</v>
      </c>
      <c r="H3782">
        <v>1.0221150000000001</v>
      </c>
      <c r="I3782">
        <v>214.0532</v>
      </c>
      <c r="J3782">
        <v>-355.654</v>
      </c>
      <c r="K3782">
        <v>1.109529</v>
      </c>
      <c r="L3782">
        <v>214.09780000000001</v>
      </c>
      <c r="M3782">
        <v>0.99949920000000003</v>
      </c>
      <c r="N3782">
        <v>-9.8191630000000005E-3</v>
      </c>
      <c r="O3782">
        <v>3.0086269999999998E-2</v>
      </c>
      <c r="P3782">
        <v>0.95335289999999995</v>
      </c>
      <c r="Q3782">
        <v>0.28466989999999998</v>
      </c>
      <c r="R3782">
        <v>0.10040689999999999</v>
      </c>
      <c r="S3782">
        <v>3.2391969999999999</v>
      </c>
      <c r="T3782">
        <v>-0.2743565</v>
      </c>
      <c r="U3782">
        <v>-9.5993040000000002E-2</v>
      </c>
      <c r="V3782">
        <v>-7.1667739999999994E-2</v>
      </c>
      <c r="W3782">
        <v>0.2940449</v>
      </c>
      <c r="X3782">
        <v>0.95310090000000003</v>
      </c>
      <c r="Y3782">
        <v>5.9361669999999998E-2</v>
      </c>
      <c r="Z3782">
        <v>-5.0492489999999996E-3</v>
      </c>
      <c r="AA3782">
        <v>0.99822379999999999</v>
      </c>
      <c r="AB3782">
        <v>47</v>
      </c>
      <c r="AC3782">
        <v>0.56970000000001098</v>
      </c>
      <c r="AD3782">
        <v>-8.7414000000000103E-2</v>
      </c>
      <c r="AE3782">
        <v>-4.4600000000002603E-2</v>
      </c>
      <c r="AF3782">
        <v>6.03095366371727E-2</v>
      </c>
      <c r="AG3782">
        <v>-8.7414000000000103E-2</v>
      </c>
      <c r="AH3782">
        <v>0.55511057271929198</v>
      </c>
      <c r="AI3782">
        <v>98.897443947137305</v>
      </c>
      <c r="AJ3782">
        <v>83.799466443466201</v>
      </c>
      <c r="AK3782">
        <v>0.56517802111381799</v>
      </c>
      <c r="AL3782">
        <v>72.899725706623599</v>
      </c>
      <c r="AM3782">
        <v>94.300222570840404</v>
      </c>
      <c r="AN3782">
        <v>0.999999996876763</v>
      </c>
    </row>
    <row r="3783" spans="1:40" x14ac:dyDescent="0.25">
      <c r="A3783" t="str">
        <f>"20190304164926984"</f>
        <v>20190304164926984</v>
      </c>
      <c r="B3783" t="str">
        <f>"1551689366979914"</f>
        <v>1551689366979914</v>
      </c>
      <c r="C3783" t="s">
        <v>40</v>
      </c>
      <c r="D3783">
        <v>4.4400930000000001</v>
      </c>
      <c r="E3783">
        <v>0.56655630000000001</v>
      </c>
      <c r="F3783" t="s">
        <v>41</v>
      </c>
      <c r="G3783">
        <v>-354.6651</v>
      </c>
      <c r="H3783">
        <v>1.0253920000000001</v>
      </c>
      <c r="I3783">
        <v>214.06639999999999</v>
      </c>
      <c r="J3783">
        <v>-355.1977</v>
      </c>
      <c r="K3783">
        <v>1.1095170000000001</v>
      </c>
      <c r="L3783">
        <v>214.11150000000001</v>
      </c>
      <c r="M3783">
        <v>0.99950019999999995</v>
      </c>
      <c r="N3783">
        <v>-9.8946729999999997E-3</v>
      </c>
      <c r="O3783">
        <v>3.002966E-2</v>
      </c>
      <c r="P3783">
        <v>0.95338560000000006</v>
      </c>
      <c r="Q3783">
        <v>0.28463119999999997</v>
      </c>
      <c r="R3783">
        <v>0.10020610000000001</v>
      </c>
      <c r="S3783">
        <v>3.2398380000000002</v>
      </c>
      <c r="T3783">
        <v>-0.27585510000000002</v>
      </c>
      <c r="U3783">
        <v>-0.1012421</v>
      </c>
      <c r="V3783">
        <v>-7.1505550000000001E-2</v>
      </c>
      <c r="W3783">
        <v>0.29408220000000002</v>
      </c>
      <c r="X3783">
        <v>0.95310159999999999</v>
      </c>
      <c r="Y3783">
        <v>6.0905580000000001E-2</v>
      </c>
      <c r="Z3783">
        <v>-5.1446390000000003E-3</v>
      </c>
      <c r="AA3783">
        <v>0.99813030000000003</v>
      </c>
      <c r="AB3783">
        <v>47</v>
      </c>
      <c r="AC3783">
        <v>0.53260000000000196</v>
      </c>
      <c r="AD3783">
        <v>-8.4125000000000005E-2</v>
      </c>
      <c r="AE3783">
        <v>-4.5100000000019201E-2</v>
      </c>
      <c r="AF3783">
        <v>5.9597930795768299E-2</v>
      </c>
      <c r="AG3783">
        <v>-8.4125000000000005E-2</v>
      </c>
      <c r="AH3783">
        <v>0.518169753572572</v>
      </c>
      <c r="AI3783">
        <v>99.162159552053396</v>
      </c>
      <c r="AJ3783">
        <v>83.438885911123194</v>
      </c>
      <c r="AK3783">
        <v>0.52832643554681002</v>
      </c>
      <c r="AL3783">
        <v>72.897490154011095</v>
      </c>
      <c r="AM3783">
        <v>94.290524054810106</v>
      </c>
      <c r="AN3783">
        <v>1.0000000219801</v>
      </c>
    </row>
    <row r="3784" spans="1:40" x14ac:dyDescent="0.25">
      <c r="A3784" t="str">
        <f>"20190304164927007"</f>
        <v>20190304164927007</v>
      </c>
      <c r="B3784" t="str">
        <f>"1551689366999433"</f>
        <v>1551689366999433</v>
      </c>
      <c r="C3784" t="s">
        <v>40</v>
      </c>
      <c r="D3784">
        <v>4.4361300000000004</v>
      </c>
      <c r="E3784">
        <v>0.5670963</v>
      </c>
      <c r="F3784" t="s">
        <v>41</v>
      </c>
      <c r="G3784">
        <v>-354.24579999999997</v>
      </c>
      <c r="H3784">
        <v>1.028125</v>
      </c>
      <c r="I3784">
        <v>214.0797</v>
      </c>
      <c r="J3784">
        <v>-354.71660000000003</v>
      </c>
      <c r="K3784">
        <v>1.109507</v>
      </c>
      <c r="L3784">
        <v>214.1259</v>
      </c>
      <c r="M3784">
        <v>0.9995018</v>
      </c>
      <c r="N3784">
        <v>-9.9936999999999995E-3</v>
      </c>
      <c r="O3784">
        <v>2.994198E-2</v>
      </c>
      <c r="P3784">
        <v>0.95340360000000002</v>
      </c>
      <c r="Q3784">
        <v>0.28483340000000001</v>
      </c>
      <c r="R3784">
        <v>9.9456820000000001E-2</v>
      </c>
      <c r="S3784">
        <v>3.2407530000000002</v>
      </c>
      <c r="T3784">
        <v>-0.2772135</v>
      </c>
      <c r="U3784">
        <v>-0.107666</v>
      </c>
      <c r="V3784">
        <v>-7.0820579999999994E-2</v>
      </c>
      <c r="W3784">
        <v>0.29438300000000001</v>
      </c>
      <c r="X3784">
        <v>0.95305989999999996</v>
      </c>
      <c r="Y3784">
        <v>6.2775170000000005E-2</v>
      </c>
      <c r="Z3784">
        <v>-5.2508909999999997E-3</v>
      </c>
      <c r="AA3784">
        <v>0.99801390000000001</v>
      </c>
      <c r="AB3784">
        <v>47</v>
      </c>
      <c r="AC3784">
        <v>0.47080000000005301</v>
      </c>
      <c r="AD3784">
        <v>-8.1381999999999996E-2</v>
      </c>
      <c r="AE3784">
        <v>-4.6199999999998902E-2</v>
      </c>
      <c r="AF3784">
        <v>5.8544045641089303E-2</v>
      </c>
      <c r="AG3784">
        <v>-8.1381999999999996E-2</v>
      </c>
      <c r="AH3784">
        <v>0.45571841110552602</v>
      </c>
      <c r="AI3784">
        <v>100.04428198832299</v>
      </c>
      <c r="AJ3784">
        <v>82.679569907425304</v>
      </c>
      <c r="AK3784">
        <v>0.466615157731263</v>
      </c>
      <c r="AL3784">
        <v>72.879457642888099</v>
      </c>
      <c r="AM3784">
        <v>94.249760565578995</v>
      </c>
      <c r="AN3784">
        <v>1.00000003911427</v>
      </c>
    </row>
    <row r="3785" spans="1:40" x14ac:dyDescent="0.25">
      <c r="A3785" t="str">
        <f>"20190304164927029"</f>
        <v>20190304164927029</v>
      </c>
      <c r="B3785" t="str">
        <f>"1551689367019930"</f>
        <v>1551689367019930</v>
      </c>
      <c r="C3785" t="s">
        <v>40</v>
      </c>
      <c r="D3785">
        <v>4.5283879999999996</v>
      </c>
      <c r="E3785">
        <v>0.56761039999999996</v>
      </c>
      <c r="F3785" t="s">
        <v>41</v>
      </c>
      <c r="G3785">
        <v>-353.82530000000003</v>
      </c>
      <c r="H3785">
        <v>1.033256</v>
      </c>
      <c r="I3785">
        <v>214.09450000000001</v>
      </c>
      <c r="J3785">
        <v>-354.25900000000001</v>
      </c>
      <c r="K3785">
        <v>1.1095060000000001</v>
      </c>
      <c r="L3785">
        <v>214.1395</v>
      </c>
      <c r="M3785">
        <v>0.99950369999999999</v>
      </c>
      <c r="N3785">
        <v>-1.0119090000000001E-2</v>
      </c>
      <c r="O3785">
        <v>2.9833040000000002E-2</v>
      </c>
      <c r="P3785">
        <v>0.95350219999999997</v>
      </c>
      <c r="Q3785">
        <v>0.28459240000000002</v>
      </c>
      <c r="R3785">
        <v>9.9201319999999996E-2</v>
      </c>
      <c r="S3785">
        <v>3.2413020000000001</v>
      </c>
      <c r="T3785">
        <v>-0.27744439999999998</v>
      </c>
      <c r="U3785">
        <v>-0.1134033</v>
      </c>
      <c r="V3785">
        <v>-7.0646899999999999E-2</v>
      </c>
      <c r="W3785">
        <v>0.29426729999999901</v>
      </c>
      <c r="X3785">
        <v>0.95310850000000003</v>
      </c>
      <c r="Y3785">
        <v>6.4418349999999999E-2</v>
      </c>
      <c r="Z3785">
        <v>-5.3247370000000004E-3</v>
      </c>
      <c r="AA3785">
        <v>0.99790880000000004</v>
      </c>
      <c r="AB3785">
        <v>47</v>
      </c>
      <c r="AC3785">
        <v>0.43369999999998698</v>
      </c>
      <c r="AD3785">
        <v>-7.6249999999999901E-2</v>
      </c>
      <c r="AE3785">
        <v>-4.4999999999987397E-2</v>
      </c>
      <c r="AF3785">
        <v>5.6200556059944902E-2</v>
      </c>
      <c r="AG3785">
        <v>-7.6249999999999901E-2</v>
      </c>
      <c r="AH3785">
        <v>0.419340569498037</v>
      </c>
      <c r="AI3785">
        <v>100.21628089823901</v>
      </c>
      <c r="AJ3785">
        <v>82.366632696299703</v>
      </c>
      <c r="AK3785">
        <v>0.42990589461925799</v>
      </c>
      <c r="AL3785">
        <v>72.886393680720204</v>
      </c>
      <c r="AM3785">
        <v>94.239161137206295</v>
      </c>
      <c r="AN3785">
        <v>1.0000000205505699</v>
      </c>
    </row>
    <row r="3786" spans="1:40" x14ac:dyDescent="0.25">
      <c r="A3786" t="str">
        <f>"20190304164927043"</f>
        <v>20190304164927043</v>
      </c>
      <c r="B3786" t="str">
        <f>"1551689367029691"</f>
        <v>1551689367029691</v>
      </c>
      <c r="C3786" t="s">
        <v>40</v>
      </c>
      <c r="D3786">
        <v>4.4992590000000003</v>
      </c>
      <c r="E3786">
        <v>0.56785220000000003</v>
      </c>
      <c r="F3786" t="s">
        <v>41</v>
      </c>
      <c r="G3786">
        <v>-353.40570000000002</v>
      </c>
      <c r="H3786">
        <v>1.036144</v>
      </c>
      <c r="I3786">
        <v>214.10849999999999</v>
      </c>
      <c r="J3786">
        <v>-353.9846</v>
      </c>
      <c r="K3786">
        <v>1.1095079999999999</v>
      </c>
      <c r="L3786">
        <v>214.14769999999999</v>
      </c>
      <c r="M3786">
        <v>0.99950499999999998</v>
      </c>
      <c r="N3786">
        <v>-1.0214869999999999E-2</v>
      </c>
      <c r="O3786">
        <v>2.9757100000000002E-2</v>
      </c>
      <c r="P3786">
        <v>0.95358589999999999</v>
      </c>
      <c r="Q3786">
        <v>0.284468</v>
      </c>
      <c r="R3786">
        <v>9.8752930000000003E-2</v>
      </c>
      <c r="S3786">
        <v>3.24173</v>
      </c>
      <c r="T3786">
        <v>-0.2788525</v>
      </c>
      <c r="U3786">
        <v>-0.1171112</v>
      </c>
      <c r="V3786">
        <v>-7.0257159999999999E-2</v>
      </c>
      <c r="W3786">
        <v>0.29423759999999999</v>
      </c>
      <c r="X3786">
        <v>0.95314650000000001</v>
      </c>
      <c r="Y3786">
        <v>6.5470310000000004E-2</v>
      </c>
      <c r="Z3786">
        <v>-5.3957919999999999E-3</v>
      </c>
      <c r="AA3786">
        <v>0.9978399</v>
      </c>
      <c r="AB3786">
        <v>47</v>
      </c>
      <c r="AC3786">
        <v>0.57889999999997599</v>
      </c>
      <c r="AD3786">
        <v>-7.3363999999999902E-2</v>
      </c>
      <c r="AE3786">
        <v>-3.9199999999993899E-2</v>
      </c>
      <c r="AF3786">
        <v>5.5522277081112001E-2</v>
      </c>
      <c r="AG3786">
        <v>-7.3363999999999902E-2</v>
      </c>
      <c r="AH3786">
        <v>0.56839011376804305</v>
      </c>
      <c r="AI3786">
        <v>97.320232099274705</v>
      </c>
      <c r="AJ3786">
        <v>84.420854187555506</v>
      </c>
      <c r="AK3786">
        <v>0.575788434390203</v>
      </c>
      <c r="AL3786">
        <v>72.888174573172606</v>
      </c>
      <c r="AM3786">
        <v>94.215691902291695</v>
      </c>
      <c r="AN3786">
        <v>1.0000000421236299</v>
      </c>
    </row>
    <row r="3787" spans="1:40" x14ac:dyDescent="0.25">
      <c r="A3787" t="str">
        <f>"20190304164927062"</f>
        <v>20190304164927062</v>
      </c>
      <c r="B3787" t="str">
        <f>"1551689367050186"</f>
        <v>1551689367050186</v>
      </c>
      <c r="C3787" t="s">
        <v>40</v>
      </c>
      <c r="D3787">
        <v>4.4962140000000002</v>
      </c>
      <c r="E3787">
        <v>0.56833650000000002</v>
      </c>
      <c r="F3787" t="s">
        <v>41</v>
      </c>
      <c r="G3787">
        <v>-352.99310000000003</v>
      </c>
      <c r="H3787">
        <v>1.0239929999999999</v>
      </c>
      <c r="I3787">
        <v>214.11080000000001</v>
      </c>
      <c r="J3787">
        <v>-353.57229999999998</v>
      </c>
      <c r="K3787">
        <v>1.1095219999999999</v>
      </c>
      <c r="L3787">
        <v>214.15979999999999</v>
      </c>
      <c r="M3787">
        <v>0.99950709999999998</v>
      </c>
      <c r="N3787">
        <v>-1.039031E-2</v>
      </c>
      <c r="O3787">
        <v>2.9628829999999998E-2</v>
      </c>
      <c r="P3787">
        <v>0.95371680000000003</v>
      </c>
      <c r="Q3787">
        <v>0.2842712</v>
      </c>
      <c r="R3787">
        <v>9.8052840000000002E-2</v>
      </c>
      <c r="S3787">
        <v>3.2418819999999999</v>
      </c>
      <c r="T3787">
        <v>-0.27968850000000001</v>
      </c>
      <c r="U3787">
        <v>-0.11999509999999999</v>
      </c>
      <c r="V3787">
        <v>-6.9659120000000005E-2</v>
      </c>
      <c r="W3787">
        <v>0.294213</v>
      </c>
      <c r="X3787">
        <v>0.95319799999999999</v>
      </c>
      <c r="Y3787">
        <v>6.6222119999999995E-2</v>
      </c>
      <c r="Z3787">
        <v>-5.4386130000000001E-3</v>
      </c>
      <c r="AA3787">
        <v>0.99779010000000001</v>
      </c>
      <c r="AB3787">
        <v>47</v>
      </c>
      <c r="AC3787">
        <v>0.57919999999995697</v>
      </c>
      <c r="AD3787">
        <v>-8.5528999999999897E-2</v>
      </c>
      <c r="AE3787">
        <v>-4.8999999999978103E-2</v>
      </c>
      <c r="AF3787">
        <v>6.4738785885546699E-2</v>
      </c>
      <c r="AG3787">
        <v>-8.5528999999999897E-2</v>
      </c>
      <c r="AH3787">
        <v>0.56525560095546601</v>
      </c>
      <c r="AI3787">
        <v>98.549121079203204</v>
      </c>
      <c r="AJ3787">
        <v>83.466376349997802</v>
      </c>
      <c r="AK3787">
        <v>0.57534356227428096</v>
      </c>
      <c r="AL3787">
        <v>72.889649551023297</v>
      </c>
      <c r="AM3787">
        <v>94.179709965293995</v>
      </c>
      <c r="AN3787">
        <v>1.0000000547860799</v>
      </c>
    </row>
    <row r="3788" spans="1:40" x14ac:dyDescent="0.25">
      <c r="A3788" t="str">
        <f>"20190304164927085"</f>
        <v>20190304164927085</v>
      </c>
      <c r="B3788" t="str">
        <f>"1551689367079466"</f>
        <v>1551689367079466</v>
      </c>
      <c r="C3788" t="s">
        <v>40</v>
      </c>
      <c r="D3788">
        <v>4.4999320000000003</v>
      </c>
      <c r="E3788">
        <v>0.56900419999999996</v>
      </c>
      <c r="F3788" t="s">
        <v>41</v>
      </c>
      <c r="G3788">
        <v>-352.5752</v>
      </c>
      <c r="H3788">
        <v>1.0233080000000001</v>
      </c>
      <c r="I3788">
        <v>214.12110000000001</v>
      </c>
      <c r="J3788">
        <v>-353.08530000000002</v>
      </c>
      <c r="K3788">
        <v>1.1095410000000001</v>
      </c>
      <c r="L3788">
        <v>214.17410000000001</v>
      </c>
      <c r="M3788">
        <v>0.99950930000000004</v>
      </c>
      <c r="N3788">
        <v>-1.064701E-2</v>
      </c>
      <c r="O3788">
        <v>2.9460989999999999E-2</v>
      </c>
      <c r="P3788">
        <v>0.95376539999999999</v>
      </c>
      <c r="Q3788">
        <v>0.28435569999999999</v>
      </c>
      <c r="R3788">
        <v>9.7332680000000005E-2</v>
      </c>
      <c r="S3788">
        <v>3.2420650000000002</v>
      </c>
      <c r="T3788">
        <v>-0.28035260000000001</v>
      </c>
      <c r="U3788">
        <v>-0.12593080000000001</v>
      </c>
      <c r="V3788">
        <v>-6.9079909999999994E-2</v>
      </c>
      <c r="W3788">
        <v>0.29454659999999999</v>
      </c>
      <c r="X3788">
        <v>0.95313700000000001</v>
      </c>
      <c r="Y3788">
        <v>6.7868440000000002E-2</v>
      </c>
      <c r="Z3788">
        <v>-5.5189890000000002E-3</v>
      </c>
      <c r="AA3788">
        <v>0.99767899999999998</v>
      </c>
      <c r="AB3788">
        <v>47</v>
      </c>
      <c r="AC3788">
        <v>0.51010000000002198</v>
      </c>
      <c r="AD3788">
        <v>-8.6233000000000004E-2</v>
      </c>
      <c r="AE3788">
        <v>-5.2999999999997202E-2</v>
      </c>
      <c r="AF3788">
        <v>6.6136024603545202E-2</v>
      </c>
      <c r="AG3788">
        <v>-8.6233000000000004E-2</v>
      </c>
      <c r="AH3788">
        <v>0.49434050858151601</v>
      </c>
      <c r="AI3788">
        <v>99.809458271372193</v>
      </c>
      <c r="AJ3788">
        <v>82.379854181458001</v>
      </c>
      <c r="AK3788">
        <v>0.50614488287840398</v>
      </c>
      <c r="AL3788">
        <v>72.869647368216704</v>
      </c>
      <c r="AM3788">
        <v>94.145342011236906</v>
      </c>
      <c r="AN3788">
        <v>0.999999937153082</v>
      </c>
    </row>
    <row r="3789" spans="1:40" x14ac:dyDescent="0.25">
      <c r="A3789" t="str">
        <f>"20190304164927107"</f>
        <v>20190304164927107</v>
      </c>
      <c r="B3789" t="str">
        <f>"1551689367099965"</f>
        <v>1551689367099965</v>
      </c>
      <c r="C3789" t="s">
        <v>40</v>
      </c>
      <c r="D3789">
        <v>4.4938019999999996</v>
      </c>
      <c r="E3789">
        <v>0.56942029999999999</v>
      </c>
      <c r="F3789" t="s">
        <v>41</v>
      </c>
      <c r="G3789">
        <v>-352.15410000000003</v>
      </c>
      <c r="H3789">
        <v>1.0293030000000001</v>
      </c>
      <c r="I3789">
        <v>214.1352</v>
      </c>
      <c r="J3789">
        <v>-352.6096</v>
      </c>
      <c r="K3789">
        <v>1.109575</v>
      </c>
      <c r="L3789">
        <v>214.18799999999999</v>
      </c>
      <c r="M3789">
        <v>0.99951109999999999</v>
      </c>
      <c r="N3789">
        <v>-1.093942E-2</v>
      </c>
      <c r="O3789">
        <v>2.9295410000000001E-2</v>
      </c>
      <c r="P3789">
        <v>0.95380229999999999</v>
      </c>
      <c r="Q3789">
        <v>0.28450199999999998</v>
      </c>
      <c r="R3789">
        <v>9.653929E-2</v>
      </c>
      <c r="S3789">
        <v>3.2425540000000002</v>
      </c>
      <c r="T3789">
        <v>-0.27953410000000001</v>
      </c>
      <c r="U3789">
        <v>-0.135040299999999</v>
      </c>
      <c r="V3789">
        <v>-6.8427769999999999E-2</v>
      </c>
      <c r="W3789">
        <v>0.29497489999999998</v>
      </c>
      <c r="X3789">
        <v>0.95305169999999995</v>
      </c>
      <c r="Y3789">
        <v>7.0487079999999994E-2</v>
      </c>
      <c r="Z3789">
        <v>-5.6179069999999897E-3</v>
      </c>
      <c r="AA3789">
        <v>0.99749679999999996</v>
      </c>
      <c r="AB3789">
        <v>47</v>
      </c>
      <c r="AC3789">
        <v>0.45549999999997198</v>
      </c>
      <c r="AD3789">
        <v>-8.0271999999999899E-2</v>
      </c>
      <c r="AE3789">
        <v>-5.2799999999990598E-2</v>
      </c>
      <c r="AF3789">
        <v>6.4156147672780703E-2</v>
      </c>
      <c r="AG3789">
        <v>-8.0271999999999899E-2</v>
      </c>
      <c r="AH3789">
        <v>0.440265789771011</v>
      </c>
      <c r="AI3789">
        <v>100.227319698272</v>
      </c>
      <c r="AJ3789">
        <v>81.709134831392603</v>
      </c>
      <c r="AK3789">
        <v>0.45209907200845301</v>
      </c>
      <c r="AL3789">
        <v>72.843968560775295</v>
      </c>
      <c r="AM3789">
        <v>94.106709214346594</v>
      </c>
      <c r="AN3789">
        <v>1.0000000471050301</v>
      </c>
    </row>
    <row r="3790" spans="1:40" x14ac:dyDescent="0.25">
      <c r="A3790" t="str">
        <f>"20190304164927129"</f>
        <v>20190304164927129</v>
      </c>
      <c r="B3790" t="str">
        <f>"1551689367119485"</f>
        <v>1551689367119485</v>
      </c>
      <c r="C3790" t="s">
        <v>40</v>
      </c>
      <c r="D3790">
        <v>4.4853310000000004</v>
      </c>
      <c r="E3790">
        <v>0.56981959999999998</v>
      </c>
      <c r="F3790" t="s">
        <v>41</v>
      </c>
      <c r="G3790">
        <v>-351.73390000000001</v>
      </c>
      <c r="H3790">
        <v>1.034219</v>
      </c>
      <c r="I3790">
        <v>214.15</v>
      </c>
      <c r="J3790">
        <v>-352.16390000000001</v>
      </c>
      <c r="K3790">
        <v>1.109618</v>
      </c>
      <c r="L3790">
        <v>214.20089999999999</v>
      </c>
      <c r="M3790">
        <v>0.99951230000000002</v>
      </c>
      <c r="N3790">
        <v>-1.1252750000000001E-2</v>
      </c>
      <c r="O3790">
        <v>2.913775E-2</v>
      </c>
      <c r="P3790">
        <v>0.95391919999999997</v>
      </c>
      <c r="Q3790">
        <v>0.28421299999999999</v>
      </c>
      <c r="R3790">
        <v>9.6235979999999999E-2</v>
      </c>
      <c r="S3790">
        <v>3.2427980000000001</v>
      </c>
      <c r="T3790">
        <v>-0.2790588</v>
      </c>
      <c r="U3790">
        <v>-0.1408691</v>
      </c>
      <c r="V3790">
        <v>-6.826343E-2</v>
      </c>
      <c r="W3790">
        <v>0.29498760000000002</v>
      </c>
      <c r="X3790">
        <v>0.95305949999999995</v>
      </c>
      <c r="Y3790">
        <v>7.2111110000000006E-2</v>
      </c>
      <c r="Z3790">
        <v>-5.6769419999999999E-3</v>
      </c>
      <c r="AA3790">
        <v>0.99738039999999994</v>
      </c>
      <c r="AB3790">
        <v>47</v>
      </c>
      <c r="AC3790">
        <v>0.43000000000000599</v>
      </c>
      <c r="AD3790">
        <v>-7.5398999999999994E-2</v>
      </c>
      <c r="AE3790">
        <v>-5.0899999999984402E-2</v>
      </c>
      <c r="AF3790">
        <v>6.15423497711413E-2</v>
      </c>
      <c r="AG3790">
        <v>-7.5398999999999994E-2</v>
      </c>
      <c r="AH3790">
        <v>0.41572866498138999</v>
      </c>
      <c r="AI3790">
        <v>100.171266282806</v>
      </c>
      <c r="AJ3790">
        <v>81.579380582912606</v>
      </c>
      <c r="AK3790">
        <v>0.42696931143064898</v>
      </c>
      <c r="AL3790">
        <v>72.8432061014461</v>
      </c>
      <c r="AM3790">
        <v>94.096846518066997</v>
      </c>
      <c r="AN3790">
        <v>0.99999999528468697</v>
      </c>
    </row>
    <row r="3791" spans="1:40" x14ac:dyDescent="0.25">
      <c r="A3791" t="str">
        <f>"20190304164927142"</f>
        <v>20190304164927142</v>
      </c>
      <c r="B3791" t="str">
        <f>"1551689367130218"</f>
        <v>1551689367130218</v>
      </c>
      <c r="C3791" t="s">
        <v>40</v>
      </c>
      <c r="D3791">
        <v>4.4847460000000003</v>
      </c>
      <c r="E3791">
        <v>0.57001269999999904</v>
      </c>
      <c r="F3791" t="s">
        <v>41</v>
      </c>
      <c r="G3791">
        <v>-351.3152</v>
      </c>
      <c r="H3791">
        <v>1.036411</v>
      </c>
      <c r="I3791">
        <v>214.1628</v>
      </c>
      <c r="J3791">
        <v>-351.88810000000001</v>
      </c>
      <c r="K3791">
        <v>1.10965</v>
      </c>
      <c r="L3791">
        <v>214.2089</v>
      </c>
      <c r="M3791">
        <v>0.99951270000000003</v>
      </c>
      <c r="N3791">
        <v>-1.146961E-2</v>
      </c>
      <c r="O3791">
        <v>2.9036530000000001E-2</v>
      </c>
      <c r="P3791">
        <v>0.95398810000000001</v>
      </c>
      <c r="Q3791">
        <v>0.28408109999999998</v>
      </c>
      <c r="R3791">
        <v>9.5942269999999996E-2</v>
      </c>
      <c r="S3791">
        <v>3.2428889999999999</v>
      </c>
      <c r="T3791">
        <v>-0.27973710000000002</v>
      </c>
      <c r="U3791">
        <v>-0.1450958</v>
      </c>
      <c r="V3791">
        <v>-6.8060889999999999E-2</v>
      </c>
      <c r="W3791">
        <v>0.29506379999999999</v>
      </c>
      <c r="X3791">
        <v>0.95305039999999996</v>
      </c>
      <c r="Y3791">
        <v>7.3299630000000005E-2</v>
      </c>
      <c r="Z3791">
        <v>-5.7421769999999898E-3</v>
      </c>
      <c r="AA3791">
        <v>0.9972934</v>
      </c>
      <c r="AB3791">
        <v>47</v>
      </c>
      <c r="AC3791">
        <v>0.57290000000000396</v>
      </c>
      <c r="AD3791">
        <v>-7.3238999999999999E-2</v>
      </c>
      <c r="AE3791">
        <v>-4.6099999999995499E-2</v>
      </c>
      <c r="AF3791">
        <v>6.1714577242590302E-2</v>
      </c>
      <c r="AG3791">
        <v>-7.3238999999999999E-2</v>
      </c>
      <c r="AH3791">
        <v>0.56219105179408602</v>
      </c>
      <c r="AI3791">
        <v>97.378530211665904</v>
      </c>
      <c r="AJ3791">
        <v>83.735433757749504</v>
      </c>
      <c r="AK3791">
        <v>0.57029064421799203</v>
      </c>
      <c r="AL3791">
        <v>72.838636825285306</v>
      </c>
      <c r="AM3791">
        <v>94.084771106716403</v>
      </c>
      <c r="AN3791">
        <v>0.99999999787909599</v>
      </c>
    </row>
    <row r="3792" spans="1:40" x14ac:dyDescent="0.25">
      <c r="A3792" t="str">
        <f>"20190304164927165"</f>
        <v>20190304164927165</v>
      </c>
      <c r="B3792" t="str">
        <f>"1551689367159497"</f>
        <v>1551689367159497</v>
      </c>
      <c r="C3792" t="s">
        <v>40</v>
      </c>
      <c r="D3792">
        <v>4.4712990000000001</v>
      </c>
      <c r="E3792">
        <v>0.57057100000000005</v>
      </c>
      <c r="F3792" t="s">
        <v>41</v>
      </c>
      <c r="G3792">
        <v>-350.90350000000001</v>
      </c>
      <c r="H3792">
        <v>1.02464</v>
      </c>
      <c r="I3792">
        <v>214.16419999999999</v>
      </c>
      <c r="J3792">
        <v>-351.44420000000002</v>
      </c>
      <c r="K3792">
        <v>1.1097129999999999</v>
      </c>
      <c r="L3792">
        <v>214.2216</v>
      </c>
      <c r="M3792">
        <v>0.99951310000000004</v>
      </c>
      <c r="N3792">
        <v>-1.1848050000000001E-2</v>
      </c>
      <c r="O3792">
        <v>2.8868109999999999E-2</v>
      </c>
      <c r="P3792">
        <v>0.95403709999999997</v>
      </c>
      <c r="Q3792">
        <v>0.28379470000000001</v>
      </c>
      <c r="R3792">
        <v>9.630155E-2</v>
      </c>
      <c r="S3792">
        <v>3.2429199999999998</v>
      </c>
      <c r="T3792">
        <v>-0.27999390000000002</v>
      </c>
      <c r="U3792">
        <v>-0.14776610000000001</v>
      </c>
      <c r="V3792">
        <v>-6.8576830000000005E-2</v>
      </c>
      <c r="W3792">
        <v>0.2951394</v>
      </c>
      <c r="X3792">
        <v>0.95299</v>
      </c>
      <c r="Y3792">
        <v>7.3947470000000001E-2</v>
      </c>
      <c r="Z3792">
        <v>-5.7693909999999996E-3</v>
      </c>
      <c r="AA3792">
        <v>0.99724539999999995</v>
      </c>
      <c r="AB3792">
        <v>47</v>
      </c>
      <c r="AC3792">
        <v>0.54070000000001495</v>
      </c>
      <c r="AD3792">
        <v>-8.5072999999999899E-2</v>
      </c>
      <c r="AE3792">
        <v>-5.74000000000012E-2</v>
      </c>
      <c r="AF3792">
        <v>7.1242177511572802E-2</v>
      </c>
      <c r="AG3792">
        <v>-8.5072999999999899E-2</v>
      </c>
      <c r="AH3792">
        <v>0.52594262570792605</v>
      </c>
      <c r="AI3792">
        <v>99.106451678710499</v>
      </c>
      <c r="AJ3792">
        <v>82.285884576551993</v>
      </c>
      <c r="AK3792">
        <v>0.53752070538923202</v>
      </c>
      <c r="AL3792">
        <v>72.834103294718403</v>
      </c>
      <c r="AM3792">
        <v>94.115889923840399</v>
      </c>
      <c r="AN3792">
        <v>0.99999999357260405</v>
      </c>
    </row>
    <row r="3793" spans="1:40" x14ac:dyDescent="0.25">
      <c r="A3793" t="str">
        <f>"20190304164927185"</f>
        <v>20190304164927185</v>
      </c>
      <c r="B3793" t="str">
        <f>"1551689367179994"</f>
        <v>1551689367179994</v>
      </c>
      <c r="C3793" t="s">
        <v>40</v>
      </c>
      <c r="D3793">
        <v>4.5089079999999999</v>
      </c>
      <c r="E3793">
        <v>0.57086150000000002</v>
      </c>
      <c r="F3793" t="s">
        <v>41</v>
      </c>
      <c r="G3793">
        <v>-350.48579999999998</v>
      </c>
      <c r="H3793">
        <v>1.026807</v>
      </c>
      <c r="I3793">
        <v>214.17679999999999</v>
      </c>
      <c r="J3793">
        <v>-350.99599999999998</v>
      </c>
      <c r="K3793">
        <v>1.1097619999999999</v>
      </c>
      <c r="L3793">
        <v>214.2345</v>
      </c>
      <c r="M3793">
        <v>0.9995134</v>
      </c>
      <c r="N3793">
        <v>-1.224507E-2</v>
      </c>
      <c r="O3793">
        <v>2.8693079999999999E-2</v>
      </c>
      <c r="P3793">
        <v>0.95405839999999997</v>
      </c>
      <c r="Q3793">
        <v>0.2835685</v>
      </c>
      <c r="R3793">
        <v>9.6756850000000005E-2</v>
      </c>
      <c r="S3793">
        <v>3.2432859999999999</v>
      </c>
      <c r="T3793">
        <v>-0.28070030000000001</v>
      </c>
      <c r="U3793">
        <v>-0.15097049999999901</v>
      </c>
      <c r="V3793">
        <v>-6.9195930000000003E-2</v>
      </c>
      <c r="W3793">
        <v>0.29529250000000001</v>
      </c>
      <c r="X3793">
        <v>0.95289780000000002</v>
      </c>
      <c r="Y3793">
        <v>7.4745839999999994E-2</v>
      </c>
      <c r="Z3793">
        <v>-5.8125909999999998E-3</v>
      </c>
      <c r="AA3793">
        <v>0.99718560000000001</v>
      </c>
      <c r="AB3793">
        <v>47</v>
      </c>
      <c r="AC3793">
        <v>0.51019999999999699</v>
      </c>
      <c r="AD3793">
        <v>-8.2955000000000098E-2</v>
      </c>
      <c r="AE3793">
        <v>-5.7700000000011097E-2</v>
      </c>
      <c r="AF3793">
        <v>7.0476909585616906E-2</v>
      </c>
      <c r="AG3793">
        <v>-8.2955000000000098E-2</v>
      </c>
      <c r="AH3793">
        <v>0.49540285479912799</v>
      </c>
      <c r="AI3793">
        <v>99.412909079573197</v>
      </c>
      <c r="AJ3793">
        <v>81.903327971846494</v>
      </c>
      <c r="AK3793">
        <v>0.50722038144465897</v>
      </c>
      <c r="AL3793">
        <v>72.824921821714398</v>
      </c>
      <c r="AM3793">
        <v>94.153318473489193</v>
      </c>
      <c r="AN3793">
        <v>0.99999997726482703</v>
      </c>
    </row>
    <row r="3794" spans="1:40" x14ac:dyDescent="0.25">
      <c r="A3794" t="str">
        <f>"20190304164927209"</f>
        <v>20190304164927209</v>
      </c>
      <c r="B3794" t="str">
        <f>"1551689367199514"</f>
        <v>1551689367199514</v>
      </c>
      <c r="C3794" t="s">
        <v>40</v>
      </c>
      <c r="D3794">
        <v>4.9142769999999896</v>
      </c>
      <c r="E3794">
        <v>0.57073099999999999</v>
      </c>
      <c r="F3794" t="s">
        <v>41</v>
      </c>
      <c r="G3794">
        <v>-350.0684</v>
      </c>
      <c r="H3794">
        <v>1.0292939999999999</v>
      </c>
      <c r="I3794">
        <v>214.19110000000001</v>
      </c>
      <c r="J3794">
        <v>-350.5052</v>
      </c>
      <c r="K3794">
        <v>1.1098129999999999</v>
      </c>
      <c r="L3794">
        <v>214.2484</v>
      </c>
      <c r="M3794">
        <v>0.9995136</v>
      </c>
      <c r="N3794">
        <v>-1.2665890000000001E-2</v>
      </c>
      <c r="O3794">
        <v>2.8500790000000002E-2</v>
      </c>
      <c r="P3794">
        <v>0.95419310000000002</v>
      </c>
      <c r="Q3794">
        <v>0.28296389999999999</v>
      </c>
      <c r="R3794">
        <v>9.7196459999999998E-2</v>
      </c>
      <c r="S3794">
        <v>3.2434690000000002</v>
      </c>
      <c r="T3794">
        <v>-0.28138340000000001</v>
      </c>
      <c r="U3794">
        <v>-0.15182499999999999</v>
      </c>
      <c r="V3794">
        <v>-6.9812040000000006E-2</v>
      </c>
      <c r="W3794">
        <v>0.29509200000000002</v>
      </c>
      <c r="X3794">
        <v>0.95291499999999996</v>
      </c>
      <c r="Y3794">
        <v>7.4811589999999997E-2</v>
      </c>
      <c r="Z3794">
        <v>-5.8188529999999997E-3</v>
      </c>
      <c r="AA3794">
        <v>0.99718070000000003</v>
      </c>
      <c r="AB3794">
        <v>47</v>
      </c>
      <c r="AC3794">
        <v>0.43680000000000502</v>
      </c>
      <c r="AD3794">
        <v>-8.0518999999999702E-2</v>
      </c>
      <c r="AE3794">
        <v>-5.7299999999997901E-2</v>
      </c>
      <c r="AF3794">
        <v>6.7472878606682399E-2</v>
      </c>
      <c r="AG3794">
        <v>-8.0518999999999702E-2</v>
      </c>
      <c r="AH3794">
        <v>0.42092788397883002</v>
      </c>
      <c r="AI3794">
        <v>100.695914382212</v>
      </c>
      <c r="AJ3794">
        <v>80.893211173268199</v>
      </c>
      <c r="AK3794">
        <v>0.43383888970373202</v>
      </c>
      <c r="AL3794">
        <v>72.836945883893705</v>
      </c>
      <c r="AM3794">
        <v>94.190092487741595</v>
      </c>
      <c r="AN3794">
        <v>1.00000000330898</v>
      </c>
    </row>
    <row r="3795" spans="1:40" x14ac:dyDescent="0.25">
      <c r="A3795" t="str">
        <f>"20190304164927230"</f>
        <v>20190304164927230</v>
      </c>
      <c r="B3795" t="str">
        <f>"1551689367219285"</f>
        <v>1551689367219285</v>
      </c>
      <c r="C3795" t="s">
        <v>40</v>
      </c>
      <c r="D3795">
        <v>4.2923429999999998</v>
      </c>
      <c r="E3795">
        <v>0.55681230000000004</v>
      </c>
      <c r="F3795" t="s">
        <v>41</v>
      </c>
      <c r="G3795">
        <v>-349.6499</v>
      </c>
      <c r="H3795">
        <v>1.035153</v>
      </c>
      <c r="I3795">
        <v>214.209</v>
      </c>
      <c r="J3795">
        <v>-350.0727</v>
      </c>
      <c r="K3795">
        <v>1.1098410000000001</v>
      </c>
      <c r="L3795">
        <v>214.26070000000001</v>
      </c>
      <c r="M3795">
        <v>0.99951389999999996</v>
      </c>
      <c r="N3795">
        <v>-1.300829E-2</v>
      </c>
      <c r="O3795">
        <v>2.8334020000000001E-2</v>
      </c>
      <c r="P3795">
        <v>0.95425990000000005</v>
      </c>
      <c r="Q3795">
        <v>0.2825492</v>
      </c>
      <c r="R3795">
        <v>9.7744940000000002E-2</v>
      </c>
      <c r="S3795">
        <v>3.2431030000000001</v>
      </c>
      <c r="T3795">
        <v>-0.28316550000000001</v>
      </c>
      <c r="U3795">
        <v>-0.14880370000000001</v>
      </c>
      <c r="V3795">
        <v>-7.0514190000000004E-2</v>
      </c>
      <c r="W3795">
        <v>0.29500589999999999</v>
      </c>
      <c r="X3795">
        <v>0.95289000000000001</v>
      </c>
      <c r="Y3795">
        <v>7.3723319999999995E-2</v>
      </c>
      <c r="Z3795">
        <v>-5.7918559999999997E-3</v>
      </c>
      <c r="AA3795">
        <v>0.99726190000000003</v>
      </c>
      <c r="AB3795">
        <v>47</v>
      </c>
      <c r="AC3795">
        <v>0.42279999999999501</v>
      </c>
      <c r="AD3795">
        <v>-7.4688000000000004E-2</v>
      </c>
      <c r="AE3795">
        <v>-5.1700000000010897E-2</v>
      </c>
      <c r="AF3795">
        <v>6.1760984581145699E-2</v>
      </c>
      <c r="AG3795">
        <v>-7.4688000000000004E-2</v>
      </c>
      <c r="AH3795">
        <v>0.40860241434019001</v>
      </c>
      <c r="AI3795">
        <v>100.244813053147</v>
      </c>
      <c r="AJ3795">
        <v>81.404705016229599</v>
      </c>
      <c r="AK3795">
        <v>0.419938864080315</v>
      </c>
      <c r="AL3795">
        <v>72.842109582341706</v>
      </c>
      <c r="AM3795">
        <v>94.232193538870106</v>
      </c>
      <c r="AN3795">
        <v>1.0000000420630799</v>
      </c>
    </row>
    <row r="3796" spans="1:40" x14ac:dyDescent="0.25">
      <c r="A3796" t="str">
        <f>"20190304164927243"</f>
        <v>20190304164927243</v>
      </c>
      <c r="B3796" t="str">
        <f>"1551689367239781"</f>
        <v>1551689367239781</v>
      </c>
      <c r="C3796" t="s">
        <v>40</v>
      </c>
      <c r="D3796">
        <v>4.2755599999999996</v>
      </c>
      <c r="E3796">
        <v>0.55688530000000003</v>
      </c>
      <c r="F3796" t="s">
        <v>46</v>
      </c>
      <c r="G3796">
        <v>-329.24290000000002</v>
      </c>
      <c r="H3796" s="1">
        <v>3.3818169999999998E-6</v>
      </c>
      <c r="I3796">
        <v>213.94139999999999</v>
      </c>
      <c r="J3796">
        <v>-349.78949999999998</v>
      </c>
      <c r="K3796">
        <v>1.109858</v>
      </c>
      <c r="L3796">
        <v>214.26859999999999</v>
      </c>
      <c r="M3796">
        <v>0.99951429999999997</v>
      </c>
      <c r="N3796">
        <v>-1.3214740000000001E-2</v>
      </c>
      <c r="O3796">
        <v>2.8226480000000002E-2</v>
      </c>
      <c r="P3796">
        <v>0.95433630000000003</v>
      </c>
      <c r="Q3796">
        <v>0.28227609999999997</v>
      </c>
      <c r="R3796">
        <v>9.7788940000000005E-2</v>
      </c>
      <c r="S3796">
        <v>3.199249</v>
      </c>
      <c r="T3796">
        <v>-0.17046020000000001</v>
      </c>
      <c r="U3796">
        <v>-4.9041750000000002E-2</v>
      </c>
      <c r="V3796">
        <v>-7.0655850000000006E-2</v>
      </c>
      <c r="W3796">
        <v>0.2949312</v>
      </c>
      <c r="X3796">
        <v>0.95290260000000004</v>
      </c>
      <c r="Y3796">
        <v>4.3447300000000001E-2</v>
      </c>
      <c r="Z3796">
        <v>-2.5738359999999999E-3</v>
      </c>
      <c r="AA3796">
        <v>0.99905239999999995</v>
      </c>
      <c r="AB3796">
        <v>46</v>
      </c>
      <c r="AC3796">
        <v>20.546599999999899</v>
      </c>
      <c r="AD3796">
        <v>-1.109854618183</v>
      </c>
      <c r="AE3796">
        <v>-0.32720000000000399</v>
      </c>
      <c r="AF3796">
        <v>0.90444010076536097</v>
      </c>
      <c r="AG3796">
        <v>-1.109854618183</v>
      </c>
      <c r="AH3796">
        <v>20.469465127565101</v>
      </c>
      <c r="AI3796">
        <v>93.100519701332402</v>
      </c>
      <c r="AJ3796">
        <v>87.470040541084302</v>
      </c>
      <c r="AK3796">
        <v>20.519473477113898</v>
      </c>
      <c r="AL3796">
        <v>72.846588368681296</v>
      </c>
      <c r="AM3796">
        <v>94.240608980922104</v>
      </c>
      <c r="AN3796">
        <v>1.00000001347971</v>
      </c>
    </row>
    <row r="3797" spans="1:40" x14ac:dyDescent="0.25">
      <c r="A3797" t="str">
        <f>"20190304164927263"</f>
        <v>20190304164927263</v>
      </c>
      <c r="B3797" t="str">
        <f>"1551689367259301"</f>
        <v>1551689367259301</v>
      </c>
      <c r="C3797" t="s">
        <v>40</v>
      </c>
      <c r="D3797">
        <v>4.2190469999999998</v>
      </c>
      <c r="E3797">
        <v>0.55701679999999998</v>
      </c>
      <c r="F3797" t="s">
        <v>46</v>
      </c>
      <c r="G3797">
        <v>-329.53379999999999</v>
      </c>
      <c r="H3797" s="1">
        <v>3.5365989999999999E-6</v>
      </c>
      <c r="I3797">
        <v>213.9598</v>
      </c>
      <c r="J3797">
        <v>-349.38720000000001</v>
      </c>
      <c r="K3797">
        <v>1.1098809999999999</v>
      </c>
      <c r="L3797">
        <v>214.2799</v>
      </c>
      <c r="M3797">
        <v>0.99951489999999998</v>
      </c>
      <c r="N3797">
        <v>-1.348599E-2</v>
      </c>
      <c r="O3797">
        <v>2.8075559999999999E-2</v>
      </c>
      <c r="P3797">
        <v>0.95440320000000001</v>
      </c>
      <c r="Q3797">
        <v>0.2821359</v>
      </c>
      <c r="R3797">
        <v>9.7540210000000002E-2</v>
      </c>
      <c r="S3797">
        <v>3.2004090000000001</v>
      </c>
      <c r="T3797">
        <v>-0.17535709999999999</v>
      </c>
      <c r="U3797">
        <v>-4.8797609999999998E-2</v>
      </c>
      <c r="V3797">
        <v>-7.0545410000000003E-2</v>
      </c>
      <c r="W3797">
        <v>0.29505140000000002</v>
      </c>
      <c r="X3797">
        <v>0.95287350000000004</v>
      </c>
      <c r="Y3797">
        <v>4.320968E-2</v>
      </c>
      <c r="Z3797">
        <v>-2.6330659999999999E-3</v>
      </c>
      <c r="AA3797">
        <v>0.99906249999999996</v>
      </c>
      <c r="AB3797">
        <v>46</v>
      </c>
      <c r="AC3797">
        <v>19.853400000000001</v>
      </c>
      <c r="AD3797">
        <v>-1.10987746340099</v>
      </c>
      <c r="AE3797">
        <v>-0.320099999999996</v>
      </c>
      <c r="AF3797">
        <v>0.87468689514637799</v>
      </c>
      <c r="AG3797">
        <v>-1.10987746340099</v>
      </c>
      <c r="AH3797">
        <v>19.774800143505399</v>
      </c>
      <c r="AI3797">
        <v>93.209272626399596</v>
      </c>
      <c r="AJ3797">
        <v>87.467320961477697</v>
      </c>
      <c r="AK3797">
        <v>19.825227006616799</v>
      </c>
      <c r="AL3797">
        <v>72.839379466153801</v>
      </c>
      <c r="AM3797">
        <v>94.234133570780799</v>
      </c>
      <c r="AN3797">
        <v>0.99999994525813696</v>
      </c>
    </row>
    <row r="3798" spans="1:40" x14ac:dyDescent="0.25">
      <c r="A3798" t="str">
        <f>"20190304164927286"</f>
        <v>20190304164927286</v>
      </c>
      <c r="B3798" t="str">
        <f>"1551689367279797"</f>
        <v>1551689367279797</v>
      </c>
      <c r="C3798" t="s">
        <v>40</v>
      </c>
      <c r="D3798">
        <v>4.2376719999999999</v>
      </c>
      <c r="E3798">
        <v>0.55727649999999995</v>
      </c>
      <c r="F3798" t="s">
        <v>46</v>
      </c>
      <c r="G3798">
        <v>-329.46620000000001</v>
      </c>
      <c r="H3798" s="1">
        <v>3.500623E-6</v>
      </c>
      <c r="I3798">
        <v>213.9641</v>
      </c>
      <c r="J3798">
        <v>-348.9008</v>
      </c>
      <c r="K3798">
        <v>1.109896</v>
      </c>
      <c r="L3798">
        <v>214.29339999999999</v>
      </c>
      <c r="M3798">
        <v>0.99951599999999996</v>
      </c>
      <c r="N3798">
        <v>-1.377921E-2</v>
      </c>
      <c r="O3798">
        <v>2.789399E-2</v>
      </c>
      <c r="P3798">
        <v>0.95445999999999998</v>
      </c>
      <c r="Q3798">
        <v>0.2821186</v>
      </c>
      <c r="R3798">
        <v>9.7031469999999995E-2</v>
      </c>
      <c r="S3798">
        <v>3.201263</v>
      </c>
      <c r="T3798">
        <v>-0.1783544</v>
      </c>
      <c r="U3798">
        <v>-5.0735469999999998E-2</v>
      </c>
      <c r="V3798">
        <v>-7.0205030000000002E-2</v>
      </c>
      <c r="W3798">
        <v>0.29531439999999998</v>
      </c>
      <c r="X3798">
        <v>0.95281729999999998</v>
      </c>
      <c r="Y3798">
        <v>4.3624669999999997E-2</v>
      </c>
      <c r="Z3798">
        <v>-2.6836780000000001E-3</v>
      </c>
      <c r="AA3798">
        <v>0.99904440000000005</v>
      </c>
      <c r="AB3798">
        <v>46</v>
      </c>
      <c r="AC3798">
        <v>19.4345999999999</v>
      </c>
      <c r="AD3798">
        <v>-1.1098924993770001</v>
      </c>
      <c r="AE3798">
        <v>-0.32929999999998899</v>
      </c>
      <c r="AF3798">
        <v>0.86850004690454796</v>
      </c>
      <c r="AG3798">
        <v>-1.1098924993770001</v>
      </c>
      <c r="AH3798">
        <v>19.354743551073401</v>
      </c>
      <c r="AI3798">
        <v>93.278724391472494</v>
      </c>
      <c r="AJ3798">
        <v>87.4307059065152</v>
      </c>
      <c r="AK3798">
        <v>19.4059849432969</v>
      </c>
      <c r="AL3798">
        <v>72.823610188920597</v>
      </c>
      <c r="AM3798">
        <v>94.214025381986204</v>
      </c>
      <c r="AN3798">
        <v>1.0000000741319699</v>
      </c>
    </row>
    <row r="3799" spans="1:40" x14ac:dyDescent="0.25">
      <c r="A3799" t="str">
        <f>"20190304164927307"</f>
        <v>20190304164927307</v>
      </c>
      <c r="B3799" t="str">
        <f>"1551689367299317"</f>
        <v>1551689367299317</v>
      </c>
      <c r="C3799" t="s">
        <v>40</v>
      </c>
      <c r="D3799">
        <v>4.2534219999999996</v>
      </c>
      <c r="E3799">
        <v>0.55743889999999996</v>
      </c>
      <c r="F3799" t="s">
        <v>46</v>
      </c>
      <c r="G3799">
        <v>-328.96839999999997</v>
      </c>
      <c r="H3799" s="1">
        <v>3.2357560000000001E-6</v>
      </c>
      <c r="I3799">
        <v>213.95359999999999</v>
      </c>
      <c r="J3799">
        <v>-348.45460000000003</v>
      </c>
      <c r="K3799">
        <v>1.1099079999999999</v>
      </c>
      <c r="L3799">
        <v>214.3057</v>
      </c>
      <c r="M3799">
        <v>0.99951730000000005</v>
      </c>
      <c r="N3799">
        <v>-1.4017440000000001E-2</v>
      </c>
      <c r="O3799">
        <v>2.7726649999999999E-2</v>
      </c>
      <c r="P3799">
        <v>0.95465219999999995</v>
      </c>
      <c r="Q3799">
        <v>0.28178829999999999</v>
      </c>
      <c r="R3799">
        <v>9.6096689999999998E-2</v>
      </c>
      <c r="S3799">
        <v>3.201416</v>
      </c>
      <c r="T3799">
        <v>-0.17826449999999999</v>
      </c>
      <c r="U3799">
        <v>-5.4580690000000001E-2</v>
      </c>
      <c r="V3799">
        <v>-6.9423090000000007E-2</v>
      </c>
      <c r="W3799">
        <v>0.29521360000000002</v>
      </c>
      <c r="X3799">
        <v>0.95290569999999997</v>
      </c>
      <c r="Y3799">
        <v>4.4654590000000001E-2</v>
      </c>
      <c r="Z3799">
        <v>-2.7096149999999999E-3</v>
      </c>
      <c r="AA3799">
        <v>0.99899879999999996</v>
      </c>
      <c r="AB3799">
        <v>46</v>
      </c>
      <c r="AC3799">
        <v>19.4862</v>
      </c>
      <c r="AD3799">
        <v>-1.1099047642440001</v>
      </c>
      <c r="AE3799">
        <v>-0.35210000000000702</v>
      </c>
      <c r="AF3799">
        <v>0.88942013900287098</v>
      </c>
      <c r="AG3799">
        <v>-1.1099047642440001</v>
      </c>
      <c r="AH3799">
        <v>19.4060056091391</v>
      </c>
      <c r="AI3799">
        <v>93.269976638147696</v>
      </c>
      <c r="AJ3799">
        <v>87.375844156354901</v>
      </c>
      <c r="AK3799">
        <v>19.458057726075701</v>
      </c>
      <c r="AL3799">
        <v>72.829652986148901</v>
      </c>
      <c r="AM3799">
        <v>94.166870831722804</v>
      </c>
      <c r="AN3799">
        <v>0.99999995407129705</v>
      </c>
    </row>
    <row r="3800" spans="1:40" x14ac:dyDescent="0.25">
      <c r="A3800" t="str">
        <f>"20190304164927330"</f>
        <v>20190304164927330</v>
      </c>
      <c r="B3800" t="str">
        <f>"1551689367319345"</f>
        <v>1551689367319345</v>
      </c>
      <c r="C3800" t="s">
        <v>40</v>
      </c>
      <c r="D3800">
        <v>4.2947930000000003</v>
      </c>
      <c r="E3800">
        <v>0.55746809999999902</v>
      </c>
      <c r="F3800" t="s">
        <v>46</v>
      </c>
      <c r="G3800">
        <v>-328.55149999999998</v>
      </c>
      <c r="H3800" s="1">
        <v>3.0138650000000002E-6</v>
      </c>
      <c r="I3800">
        <v>213.93819999999999</v>
      </c>
      <c r="J3800">
        <v>-348.00540000000001</v>
      </c>
      <c r="K3800">
        <v>1.1099159999999999</v>
      </c>
      <c r="L3800">
        <v>214.31809999999999</v>
      </c>
      <c r="M3800">
        <v>0.99951889999999999</v>
      </c>
      <c r="N3800">
        <v>-1.4229550000000001E-2</v>
      </c>
      <c r="O3800">
        <v>2.7556400000000002E-2</v>
      </c>
      <c r="P3800">
        <v>0.95472749999999995</v>
      </c>
      <c r="Q3800">
        <v>0.2817597</v>
      </c>
      <c r="R3800">
        <v>9.5430509999999996E-2</v>
      </c>
      <c r="S3800">
        <v>3.2012019999999999</v>
      </c>
      <c r="T3800">
        <v>-0.17851639999999999</v>
      </c>
      <c r="U3800">
        <v>-5.911255E-2</v>
      </c>
      <c r="V3800">
        <v>-6.8916190000000002E-2</v>
      </c>
      <c r="W3800">
        <v>0.29538769999999998</v>
      </c>
      <c r="X3800">
        <v>0.95288859999999997</v>
      </c>
      <c r="Y3800">
        <v>4.5896819999999998E-2</v>
      </c>
      <c r="Z3800">
        <v>-2.748969E-3</v>
      </c>
      <c r="AA3800">
        <v>0.99894240000000001</v>
      </c>
      <c r="AB3800">
        <v>46</v>
      </c>
      <c r="AC3800">
        <v>19.453900000000001</v>
      </c>
      <c r="AD3800">
        <v>-1.1099129861349999</v>
      </c>
      <c r="AE3800">
        <v>-0.37989999999999202</v>
      </c>
      <c r="AF3800">
        <v>0.912918959617527</v>
      </c>
      <c r="AG3800">
        <v>-1.1099129861349999</v>
      </c>
      <c r="AH3800">
        <v>19.373004101529901</v>
      </c>
      <c r="AI3800">
        <v>93.275363375510395</v>
      </c>
      <c r="AJ3800">
        <v>87.302032382915399</v>
      </c>
      <c r="AK3800">
        <v>19.426235244676501</v>
      </c>
      <c r="AL3800">
        <v>72.819213154063604</v>
      </c>
      <c r="AM3800">
        <v>94.136625959145505</v>
      </c>
      <c r="AN3800">
        <v>1.00000000928268</v>
      </c>
    </row>
    <row r="3801" spans="1:40" x14ac:dyDescent="0.25">
      <c r="A3801" t="str">
        <f>"20190304164927353"</f>
        <v>20190304164927353</v>
      </c>
      <c r="B3801" t="str">
        <f>"1551689367349600"</f>
        <v>1551689367349600</v>
      </c>
      <c r="C3801" t="s">
        <v>40</v>
      </c>
      <c r="D3801">
        <v>4.256475</v>
      </c>
      <c r="E3801">
        <v>0.55714640000000004</v>
      </c>
      <c r="F3801" t="s">
        <v>46</v>
      </c>
      <c r="G3801">
        <v>-328.12110000000001</v>
      </c>
      <c r="H3801" s="1">
        <v>2.7848469999999998E-6</v>
      </c>
      <c r="I3801">
        <v>213.93170000000001</v>
      </c>
      <c r="J3801">
        <v>-347.52710000000002</v>
      </c>
      <c r="K3801">
        <v>1.1099239999999999</v>
      </c>
      <c r="L3801">
        <v>214.33109999999999</v>
      </c>
      <c r="M3801">
        <v>0.99952129999999995</v>
      </c>
      <c r="N3801">
        <v>-1.442769E-2</v>
      </c>
      <c r="O3801">
        <v>2.737303E-2</v>
      </c>
      <c r="P3801">
        <v>0.95468620000000004</v>
      </c>
      <c r="Q3801">
        <v>0.28199950000000001</v>
      </c>
      <c r="R3801">
        <v>9.5135020000000001E-2</v>
      </c>
      <c r="S3801">
        <v>3.2011720000000001</v>
      </c>
      <c r="T3801">
        <v>-0.1786846</v>
      </c>
      <c r="U3801">
        <v>-6.2194819999999998E-2</v>
      </c>
      <c r="V3801">
        <v>-6.8796679999999999E-2</v>
      </c>
      <c r="W3801">
        <v>0.29581590000000002</v>
      </c>
      <c r="X3801">
        <v>0.95276439999999996</v>
      </c>
      <c r="Y3801">
        <v>4.667367E-2</v>
      </c>
      <c r="Z3801">
        <v>-2.7704180000000002E-3</v>
      </c>
      <c r="AA3801">
        <v>0.99890639999999997</v>
      </c>
      <c r="AB3801">
        <v>46</v>
      </c>
      <c r="AC3801">
        <v>19.405999999999999</v>
      </c>
      <c r="AD3801">
        <v>-1.109921215153</v>
      </c>
      <c r="AE3801">
        <v>-0.39939999999998499</v>
      </c>
      <c r="AF3801">
        <v>0.92747384919495801</v>
      </c>
      <c r="AG3801">
        <v>-1.109921215153</v>
      </c>
      <c r="AH3801">
        <v>19.324604280137901</v>
      </c>
      <c r="AI3801">
        <v>93.283437673098902</v>
      </c>
      <c r="AJ3801">
        <v>87.252228798725298</v>
      </c>
      <c r="AK3801">
        <v>19.3786600008543</v>
      </c>
      <c r="AL3801">
        <v>72.793531533619202</v>
      </c>
      <c r="AM3801">
        <v>94.130013773156406</v>
      </c>
      <c r="AN3801">
        <v>1.0000000158895901</v>
      </c>
    </row>
    <row r="3802" spans="1:40" x14ac:dyDescent="0.25">
      <c r="A3802" t="str">
        <f>"20190304164927378"</f>
        <v>20190304164927378</v>
      </c>
      <c r="B3802" t="str">
        <f>"1551689367370097"</f>
        <v>1551689367370097</v>
      </c>
      <c r="C3802" t="s">
        <v>40</v>
      </c>
      <c r="D3802">
        <v>4.1985999999999999</v>
      </c>
      <c r="E3802">
        <v>0.55669590000000002</v>
      </c>
      <c r="F3802" t="s">
        <v>46</v>
      </c>
      <c r="G3802">
        <v>-331.65769999999998</v>
      </c>
      <c r="H3802" s="1">
        <v>-6.3019369999999898E-7</v>
      </c>
      <c r="I3802">
        <v>214.05690000000001</v>
      </c>
      <c r="J3802">
        <v>-347.01900000000001</v>
      </c>
      <c r="K3802">
        <v>1.1099380000000001</v>
      </c>
      <c r="L3802">
        <v>214.34479999999999</v>
      </c>
      <c r="M3802">
        <v>0.99952390000000002</v>
      </c>
      <c r="N3802">
        <v>-1.460818E-2</v>
      </c>
      <c r="O3802">
        <v>2.7177079999999999E-2</v>
      </c>
      <c r="P3802">
        <v>0.95473600000000003</v>
      </c>
      <c r="Q3802">
        <v>0.28197939999999999</v>
      </c>
      <c r="R3802">
        <v>9.4694169999999994E-2</v>
      </c>
      <c r="S3802">
        <v>3.2143549999999999</v>
      </c>
      <c r="T3802">
        <v>-0.22481519999999999</v>
      </c>
      <c r="U3802">
        <v>-5.5541989999999999E-2</v>
      </c>
      <c r="V3802">
        <v>-6.8541619999999998E-2</v>
      </c>
      <c r="W3802">
        <v>0.29596800000000001</v>
      </c>
      <c r="X3802">
        <v>0.95273549999999996</v>
      </c>
      <c r="Y3802">
        <v>4.4274010000000003E-2</v>
      </c>
      <c r="Z3802">
        <v>-3.3718189999999999E-3</v>
      </c>
      <c r="AA3802">
        <v>0.9990137</v>
      </c>
      <c r="AB3802">
        <v>46</v>
      </c>
      <c r="AC3802">
        <v>15.3613</v>
      </c>
      <c r="AD3802">
        <v>-1.10993863019369</v>
      </c>
      <c r="AE3802">
        <v>-0.28789999999997901</v>
      </c>
      <c r="AF3802">
        <v>0.70165152597063396</v>
      </c>
      <c r="AG3802">
        <v>-1.10993863019369</v>
      </c>
      <c r="AH3802">
        <v>15.2681150541826</v>
      </c>
      <c r="AI3802">
        <v>94.153520589384698</v>
      </c>
      <c r="AJ3802">
        <v>87.368803795612095</v>
      </c>
      <c r="AK3802">
        <v>15.324477672483701</v>
      </c>
      <c r="AL3802">
        <v>72.784407538935994</v>
      </c>
      <c r="AM3802">
        <v>94.114879046238798</v>
      </c>
      <c r="AN3802">
        <v>0.99999997182823597</v>
      </c>
    </row>
    <row r="3803" spans="1:40" x14ac:dyDescent="0.25">
      <c r="A3803" t="str">
        <f>"20190304164927399"</f>
        <v>20190304164927399</v>
      </c>
      <c r="B3803" t="str">
        <f>"1551689367389620"</f>
        <v>1551689367389620</v>
      </c>
      <c r="C3803" t="s">
        <v>40</v>
      </c>
      <c r="D3803">
        <v>4.4160430000000002</v>
      </c>
      <c r="E3803">
        <v>0.55637490000000001</v>
      </c>
      <c r="F3803" t="s">
        <v>41</v>
      </c>
      <c r="G3803">
        <v>-345.92930000000001</v>
      </c>
      <c r="H3803">
        <v>1.0361</v>
      </c>
      <c r="I3803">
        <v>214.32650000000001</v>
      </c>
      <c r="J3803">
        <v>-346.589</v>
      </c>
      <c r="K3803">
        <v>1.1099570000000001</v>
      </c>
      <c r="L3803">
        <v>214.35640000000001</v>
      </c>
      <c r="M3803">
        <v>0.99952640000000004</v>
      </c>
      <c r="N3803">
        <v>-1.4740049999999999E-2</v>
      </c>
      <c r="O3803">
        <v>2.7010650000000001E-2</v>
      </c>
      <c r="P3803">
        <v>0.95467139999999995</v>
      </c>
      <c r="Q3803">
        <v>0.28223399999999998</v>
      </c>
      <c r="R3803">
        <v>9.4586459999999997E-2</v>
      </c>
      <c r="S3803">
        <v>3.2118229999999999</v>
      </c>
      <c r="T3803">
        <v>-0.21759990000000001</v>
      </c>
      <c r="U3803">
        <v>-5.3955080000000002E-2</v>
      </c>
      <c r="V3803">
        <v>-6.8594959999999996E-2</v>
      </c>
      <c r="W3803">
        <v>0.29634700000000003</v>
      </c>
      <c r="X3803">
        <v>0.95261390000000001</v>
      </c>
      <c r="Y3803">
        <v>4.3640449999999997E-2</v>
      </c>
      <c r="Z3803">
        <v>-3.2285220000000002E-3</v>
      </c>
      <c r="AA3803">
        <v>0.99904210000000004</v>
      </c>
      <c r="AB3803">
        <v>46</v>
      </c>
      <c r="AC3803">
        <v>0.65969999999998596</v>
      </c>
      <c r="AD3803">
        <v>-7.3856999999999798E-2</v>
      </c>
      <c r="AE3803">
        <v>-2.98999999999978E-2</v>
      </c>
      <c r="AF3803">
        <v>4.7120552381264801E-2</v>
      </c>
      <c r="AG3803">
        <v>-7.3856999999999798E-2</v>
      </c>
      <c r="AH3803">
        <v>0.65051469833093101</v>
      </c>
      <c r="AI3803">
        <v>96.460627288877703</v>
      </c>
      <c r="AJ3803">
        <v>85.856970364462001</v>
      </c>
      <c r="AK3803">
        <v>0.65638751941996698</v>
      </c>
      <c r="AL3803">
        <v>72.761673518331904</v>
      </c>
      <c r="AM3803">
        <v>94.118594145037093</v>
      </c>
      <c r="AN3803">
        <v>1.0000000277098</v>
      </c>
    </row>
    <row r="3804" spans="1:40" x14ac:dyDescent="0.25">
      <c r="A3804" t="str">
        <f>"20190304164927419"</f>
        <v>20190304164927419</v>
      </c>
      <c r="B3804" t="str">
        <f>"1551689367409539"</f>
        <v>1551689367409539</v>
      </c>
      <c r="C3804" t="s">
        <v>40</v>
      </c>
      <c r="D3804">
        <v>4.2864930000000001</v>
      </c>
      <c r="E3804">
        <v>0.5568689</v>
      </c>
      <c r="F3804" t="s">
        <v>41</v>
      </c>
      <c r="G3804">
        <v>-345.517</v>
      </c>
      <c r="H3804">
        <v>1.038565</v>
      </c>
      <c r="I3804">
        <v>214.33879999999999</v>
      </c>
      <c r="J3804">
        <v>-346.16480000000001</v>
      </c>
      <c r="K3804">
        <v>1.1099619999999999</v>
      </c>
      <c r="L3804">
        <v>214.36770000000001</v>
      </c>
      <c r="M3804">
        <v>0.99952929999999995</v>
      </c>
      <c r="N3804">
        <v>-1.4853999999999999E-2</v>
      </c>
      <c r="O3804">
        <v>2.6846439999999999E-2</v>
      </c>
      <c r="P3804">
        <v>0.95470820000000001</v>
      </c>
      <c r="Q3804">
        <v>0.28202500000000003</v>
      </c>
      <c r="R3804">
        <v>9.4839419999999994E-2</v>
      </c>
      <c r="S3804">
        <v>3.2108460000000001</v>
      </c>
      <c r="T3804">
        <v>-0.21394250000000001</v>
      </c>
      <c r="U3804">
        <v>-5.1940920000000002E-2</v>
      </c>
      <c r="V3804">
        <v>-6.9003750000000003E-2</v>
      </c>
      <c r="W3804">
        <v>0.29624719999999999</v>
      </c>
      <c r="X3804">
        <v>0.9526154</v>
      </c>
      <c r="Y3804">
        <v>4.2862459999999998E-2</v>
      </c>
      <c r="Z3804">
        <v>-3.133327E-3</v>
      </c>
      <c r="AA3804">
        <v>0.99907610000000002</v>
      </c>
      <c r="AB3804">
        <v>46</v>
      </c>
      <c r="AC3804">
        <v>0.64780000000001703</v>
      </c>
      <c r="AD3804">
        <v>-7.1397000000000099E-2</v>
      </c>
      <c r="AE3804">
        <v>-2.8900000000021402E-2</v>
      </c>
      <c r="AF3804">
        <v>4.5728253055278098E-2</v>
      </c>
      <c r="AG3804">
        <v>-7.1397000000000099E-2</v>
      </c>
      <c r="AH3804">
        <v>0.63904331284578497</v>
      </c>
      <c r="AI3804">
        <v>96.358798096475397</v>
      </c>
      <c r="AJ3804">
        <v>85.907041643644405</v>
      </c>
      <c r="AK3804">
        <v>0.64464328153592299</v>
      </c>
      <c r="AL3804">
        <v>72.767660173558895</v>
      </c>
      <c r="AM3804">
        <v>94.143047088933997</v>
      </c>
      <c r="AN3804">
        <v>1.0000000106695299</v>
      </c>
    </row>
    <row r="3805" spans="1:40" x14ac:dyDescent="0.25">
      <c r="A3805" t="str">
        <f>"20190304164927441"</f>
        <v>20190304164927441</v>
      </c>
      <c r="B3805" t="str">
        <f>"1551689367430032"</f>
        <v>1551689367430032</v>
      </c>
      <c r="C3805" t="s">
        <v>40</v>
      </c>
      <c r="D3805">
        <v>4.3919889999999997</v>
      </c>
      <c r="E3805">
        <v>0.55677339999999997</v>
      </c>
      <c r="F3805" t="s">
        <v>41</v>
      </c>
      <c r="G3805">
        <v>-345.10610000000003</v>
      </c>
      <c r="H3805">
        <v>1.039242</v>
      </c>
      <c r="I3805">
        <v>214.3494</v>
      </c>
      <c r="J3805">
        <v>-345.71260000000001</v>
      </c>
      <c r="K3805">
        <v>1.109969</v>
      </c>
      <c r="L3805">
        <v>214.37970000000001</v>
      </c>
      <c r="M3805">
        <v>0.99953230000000004</v>
      </c>
      <c r="N3805">
        <v>-1.4959119999999999E-2</v>
      </c>
      <c r="O3805">
        <v>2.6671980000000001E-2</v>
      </c>
      <c r="P3805">
        <v>0.95470200000000005</v>
      </c>
      <c r="Q3805">
        <v>0.28182940000000001</v>
      </c>
      <c r="R3805">
        <v>9.548102E-2</v>
      </c>
      <c r="S3805">
        <v>3.211182</v>
      </c>
      <c r="T3805">
        <v>-0.21451870000000001</v>
      </c>
      <c r="U3805">
        <v>-5.528259E-2</v>
      </c>
      <c r="V3805">
        <v>-6.981213E-2</v>
      </c>
      <c r="W3805">
        <v>0.29615249999999999</v>
      </c>
      <c r="X3805">
        <v>0.95258589999999999</v>
      </c>
      <c r="Y3805">
        <v>4.3722900000000002E-2</v>
      </c>
      <c r="Z3805">
        <v>-3.1671709999999999E-3</v>
      </c>
      <c r="AA3805">
        <v>0.99903869999999895</v>
      </c>
      <c r="AB3805">
        <v>46</v>
      </c>
      <c r="AC3805">
        <v>0.60649999999998205</v>
      </c>
      <c r="AD3805">
        <v>-7.0726999999999901E-2</v>
      </c>
      <c r="AE3805">
        <v>-3.0300000000010999E-2</v>
      </c>
      <c r="AF3805">
        <v>4.5845678374154902E-2</v>
      </c>
      <c r="AG3805">
        <v>-7.0726999999999901E-2</v>
      </c>
      <c r="AH3805">
        <v>0.59737245344457301</v>
      </c>
      <c r="AI3805">
        <v>96.732589485917202</v>
      </c>
      <c r="AJ3805">
        <v>85.611406409126701</v>
      </c>
      <c r="AK3805">
        <v>0.60328930281331405</v>
      </c>
      <c r="AL3805">
        <v>72.7733402264696</v>
      </c>
      <c r="AM3805">
        <v>94.191540309572602</v>
      </c>
      <c r="AN3805">
        <v>0.99999996681509695</v>
      </c>
    </row>
    <row r="3806" spans="1:40" x14ac:dyDescent="0.25">
      <c r="A3806" t="str">
        <f>"20190304164927465"</f>
        <v>20190304164927465</v>
      </c>
      <c r="B3806" t="str">
        <f>"1551689367459312"</f>
        <v>1551689367459312</v>
      </c>
      <c r="C3806" t="s">
        <v>40</v>
      </c>
      <c r="D3806">
        <v>4.2397309999999999</v>
      </c>
      <c r="E3806">
        <v>0.55697919999999901</v>
      </c>
      <c r="F3806" t="s">
        <v>41</v>
      </c>
      <c r="G3806">
        <v>-344.69589999999999</v>
      </c>
      <c r="H3806">
        <v>1.039628</v>
      </c>
      <c r="I3806">
        <v>214.363</v>
      </c>
      <c r="J3806">
        <v>-345.23360000000002</v>
      </c>
      <c r="K3806">
        <v>1.109982</v>
      </c>
      <c r="L3806">
        <v>214.39240000000001</v>
      </c>
      <c r="M3806">
        <v>0.99953579999999997</v>
      </c>
      <c r="N3806">
        <v>-1.505476E-2</v>
      </c>
      <c r="O3806">
        <v>2.6487219999999999E-2</v>
      </c>
      <c r="P3806">
        <v>0.95461229999999997</v>
      </c>
      <c r="Q3806">
        <v>0.28203820000000002</v>
      </c>
      <c r="R3806">
        <v>9.5759059999999993E-2</v>
      </c>
      <c r="S3806">
        <v>3.213165</v>
      </c>
      <c r="T3806">
        <v>-0.222465</v>
      </c>
      <c r="U3806">
        <v>-5.1925659999999998E-2</v>
      </c>
      <c r="V3806">
        <v>-7.0269079999999998E-2</v>
      </c>
      <c r="W3806">
        <v>0.29645120000000003</v>
      </c>
      <c r="X3806">
        <v>0.95245939999999996</v>
      </c>
      <c r="Y3806">
        <v>4.247662E-2</v>
      </c>
      <c r="Z3806">
        <v>-3.2219179999999998E-3</v>
      </c>
      <c r="AA3806">
        <v>0.99909230000000004</v>
      </c>
      <c r="AB3806">
        <v>46</v>
      </c>
      <c r="AC3806">
        <v>0.53770000000002904</v>
      </c>
      <c r="AD3806">
        <v>-7.0354E-2</v>
      </c>
      <c r="AE3806">
        <v>-2.9400000000009599E-2</v>
      </c>
      <c r="AF3806">
        <v>4.29012060337026E-2</v>
      </c>
      <c r="AG3806">
        <v>-7.0354E-2</v>
      </c>
      <c r="AH3806">
        <v>0.52772490252696402</v>
      </c>
      <c r="AI3806">
        <v>97.568970238303095</v>
      </c>
      <c r="AJ3806">
        <v>85.352380666767004</v>
      </c>
      <c r="AK3806">
        <v>0.53411962287697301</v>
      </c>
      <c r="AL3806">
        <v>72.755421605988403</v>
      </c>
      <c r="AM3806">
        <v>94.219435281657894</v>
      </c>
      <c r="AN3806">
        <v>0.99999998311692295</v>
      </c>
    </row>
    <row r="3807" spans="1:40" x14ac:dyDescent="0.25">
      <c r="A3807" t="str">
        <f>"20190304164927487"</f>
        <v>20190304164927487</v>
      </c>
      <c r="B3807" t="str">
        <f>"1551689367479811"</f>
        <v>1551689367479811</v>
      </c>
      <c r="C3807" t="s">
        <v>40</v>
      </c>
      <c r="D3807">
        <v>4.2048610000000002</v>
      </c>
      <c r="E3807">
        <v>0.55699709999999902</v>
      </c>
      <c r="F3807" t="s">
        <v>41</v>
      </c>
      <c r="G3807">
        <v>-344.28390000000002</v>
      </c>
      <c r="H3807">
        <v>1.0426249999999999</v>
      </c>
      <c r="I3807">
        <v>214.37690000000001</v>
      </c>
      <c r="J3807">
        <v>-344.76510000000002</v>
      </c>
      <c r="K3807">
        <v>1.1099889999999999</v>
      </c>
      <c r="L3807">
        <v>214.40459999999999</v>
      </c>
      <c r="M3807">
        <v>0.99953939999999997</v>
      </c>
      <c r="N3807">
        <v>-1.5134969999999999E-2</v>
      </c>
      <c r="O3807">
        <v>2.6306639999999999E-2</v>
      </c>
      <c r="P3807">
        <v>0.95455029999999996</v>
      </c>
      <c r="Q3807">
        <v>0.28222059999999999</v>
      </c>
      <c r="R3807">
        <v>9.5840069999999999E-2</v>
      </c>
      <c r="S3807">
        <v>3.2152400000000001</v>
      </c>
      <c r="T3807">
        <v>-0.228102</v>
      </c>
      <c r="U3807">
        <v>-5.1879880000000003E-2</v>
      </c>
      <c r="V3807">
        <v>-7.0523859999999994E-2</v>
      </c>
      <c r="W3807">
        <v>0.2967089</v>
      </c>
      <c r="X3807">
        <v>0.95236030000000005</v>
      </c>
      <c r="Y3807">
        <v>4.2264339999999997E-2</v>
      </c>
      <c r="Z3807">
        <v>-3.2835870000000001E-3</v>
      </c>
      <c r="AA3807">
        <v>0.99910100000000002</v>
      </c>
      <c r="AB3807">
        <v>46</v>
      </c>
      <c r="AC3807">
        <v>0.48120000000000102</v>
      </c>
      <c r="AD3807">
        <v>-6.7363999999999896E-2</v>
      </c>
      <c r="AE3807">
        <v>-2.76999999999816E-2</v>
      </c>
      <c r="AF3807">
        <v>3.95775497399476E-2</v>
      </c>
      <c r="AG3807">
        <v>-6.7363999999999896E-2</v>
      </c>
      <c r="AH3807">
        <v>0.471102628372502</v>
      </c>
      <c r="AI3807">
        <v>98.109500345900898</v>
      </c>
      <c r="AJ3807">
        <v>85.197831388201806</v>
      </c>
      <c r="AK3807">
        <v>0.47753740942348999</v>
      </c>
      <c r="AL3807">
        <v>72.739960526398505</v>
      </c>
      <c r="AM3807">
        <v>94.235117505392793</v>
      </c>
      <c r="AN3807">
        <v>0.99999996359229903</v>
      </c>
    </row>
    <row r="3808" spans="1:40" x14ac:dyDescent="0.25">
      <c r="A3808" t="str">
        <f>"20190304164927509"</f>
        <v>20190304164927509</v>
      </c>
      <c r="B3808" t="str">
        <f>"1551689367499328"</f>
        <v>1551689367499328</v>
      </c>
      <c r="C3808" t="s">
        <v>40</v>
      </c>
      <c r="D3808">
        <v>4.208094</v>
      </c>
      <c r="E3808">
        <v>0.55726299999999995</v>
      </c>
      <c r="F3808" t="s">
        <v>41</v>
      </c>
      <c r="G3808">
        <v>-343.87139999999999</v>
      </c>
      <c r="H3808">
        <v>1.0461739999999999</v>
      </c>
      <c r="I3808">
        <v>214.39019999999999</v>
      </c>
      <c r="J3808">
        <v>-344.32659999999998</v>
      </c>
      <c r="K3808">
        <v>1.109999</v>
      </c>
      <c r="L3808">
        <v>214.416</v>
      </c>
      <c r="M3808">
        <v>0.99954290000000001</v>
      </c>
      <c r="N3808">
        <v>-1.519933E-2</v>
      </c>
      <c r="O3808">
        <v>2.6137270000000001E-2</v>
      </c>
      <c r="P3808">
        <v>0.95429620000000004</v>
      </c>
      <c r="Q3808">
        <v>0.28294829999999999</v>
      </c>
      <c r="R3808">
        <v>9.6223580000000003E-2</v>
      </c>
      <c r="S3808">
        <v>3.2159420000000001</v>
      </c>
      <c r="T3808">
        <v>-0.2297487</v>
      </c>
      <c r="U3808">
        <v>-5.1498410000000001E-2</v>
      </c>
      <c r="V3808">
        <v>-7.1075570000000005E-2</v>
      </c>
      <c r="W3808">
        <v>0.29749439999999999</v>
      </c>
      <c r="X3808">
        <v>0.95207419999999998</v>
      </c>
      <c r="Y3808">
        <v>4.197186E-2</v>
      </c>
      <c r="Z3808">
        <v>-3.2845679999999999E-3</v>
      </c>
      <c r="AA3808">
        <v>0.99911340000000004</v>
      </c>
      <c r="AB3808">
        <v>46</v>
      </c>
      <c r="AC3808">
        <v>0.45519999999999</v>
      </c>
      <c r="AD3808">
        <v>-6.3825000000000007E-2</v>
      </c>
      <c r="AE3808">
        <v>-2.5800000000003799E-2</v>
      </c>
      <c r="AF3808">
        <v>3.6965832005436301E-2</v>
      </c>
      <c r="AG3808">
        <v>-6.3825000000000007E-2</v>
      </c>
      <c r="AH3808">
        <v>0.44563699128923001</v>
      </c>
      <c r="AI3808">
        <v>98.123060906734395</v>
      </c>
      <c r="AJ3808">
        <v>85.258139807813805</v>
      </c>
      <c r="AK3808">
        <v>0.451699492324456</v>
      </c>
      <c r="AL3808">
        <v>72.692826473944805</v>
      </c>
      <c r="AM3808">
        <v>94.269404818393994</v>
      </c>
      <c r="AN3808">
        <v>0.99999996849391104</v>
      </c>
    </row>
    <row r="3809" spans="1:40" x14ac:dyDescent="0.25">
      <c r="A3809" t="str">
        <f>"20190304164927530"</f>
        <v>20190304164927530</v>
      </c>
      <c r="B3809" t="str">
        <f>"1551689367519824"</f>
        <v>1551689367519824</v>
      </c>
      <c r="C3809" t="s">
        <v>40</v>
      </c>
      <c r="D3809">
        <v>4.3421629999999896</v>
      </c>
      <c r="E3809">
        <v>0.55699969999999999</v>
      </c>
      <c r="F3809" t="s">
        <v>41</v>
      </c>
      <c r="G3809">
        <v>-343.4599</v>
      </c>
      <c r="H3809">
        <v>1.049126</v>
      </c>
      <c r="I3809">
        <v>214.4014</v>
      </c>
      <c r="J3809">
        <v>-343.88670000000002</v>
      </c>
      <c r="K3809">
        <v>1.110001</v>
      </c>
      <c r="L3809">
        <v>214.42740000000001</v>
      </c>
      <c r="M3809">
        <v>0.9995465</v>
      </c>
      <c r="N3809">
        <v>-1.5254770000000001E-2</v>
      </c>
      <c r="O3809">
        <v>2.5966960000000001E-2</v>
      </c>
      <c r="P3809">
        <v>0.95438440000000002</v>
      </c>
      <c r="Q3809">
        <v>0.2825435</v>
      </c>
      <c r="R3809">
        <v>9.6538189999999996E-2</v>
      </c>
      <c r="S3809">
        <v>3.2160639999999998</v>
      </c>
      <c r="T3809">
        <v>-0.22600029999999999</v>
      </c>
      <c r="U3809">
        <v>-5.3497309999999999E-2</v>
      </c>
      <c r="V3809">
        <v>-7.1550890000000006E-2</v>
      </c>
      <c r="W3809">
        <v>0.29714380000000001</v>
      </c>
      <c r="X3809">
        <v>0.95214810000000005</v>
      </c>
      <c r="Y3809">
        <v>4.2426279999999997E-2</v>
      </c>
      <c r="Z3809">
        <v>-3.2394699999999999E-3</v>
      </c>
      <c r="AA3809">
        <v>0.99909440000000005</v>
      </c>
      <c r="AB3809">
        <v>46</v>
      </c>
      <c r="AC3809">
        <v>0.426800000000014</v>
      </c>
      <c r="AD3809">
        <v>-6.0874999999999999E-2</v>
      </c>
      <c r="AE3809">
        <v>-2.60000000000104E-2</v>
      </c>
      <c r="AF3809">
        <v>3.6338689279960201E-2</v>
      </c>
      <c r="AG3809">
        <v>-6.0874999999999999E-2</v>
      </c>
      <c r="AH3809">
        <v>0.41751838268404201</v>
      </c>
      <c r="AI3809">
        <v>98.264575654946896</v>
      </c>
      <c r="AJ3809">
        <v>85.025799727553505</v>
      </c>
      <c r="AK3809">
        <v>0.42349482386763998</v>
      </c>
      <c r="AL3809">
        <v>72.713866125267103</v>
      </c>
      <c r="AM3809">
        <v>94.2975176386432</v>
      </c>
      <c r="AN3809">
        <v>0.999999986035921</v>
      </c>
    </row>
    <row r="3810" spans="1:40" x14ac:dyDescent="0.25">
      <c r="A3810" t="str">
        <f>"20190304164927553"</f>
        <v>20190304164927553</v>
      </c>
      <c r="B3810" t="str">
        <f>"1551689367550081"</f>
        <v>1551689367550081</v>
      </c>
      <c r="C3810" t="s">
        <v>40</v>
      </c>
      <c r="D3810">
        <v>4.2016739999999997</v>
      </c>
      <c r="E3810">
        <v>0.55733679999999997</v>
      </c>
      <c r="F3810" t="s">
        <v>41</v>
      </c>
      <c r="G3810">
        <v>-343.04770000000002</v>
      </c>
      <c r="H3810">
        <v>1.049226</v>
      </c>
      <c r="I3810">
        <v>214.41399999999999</v>
      </c>
      <c r="J3810">
        <v>-343.4248</v>
      </c>
      <c r="K3810">
        <v>1.110006</v>
      </c>
      <c r="L3810">
        <v>214.4393</v>
      </c>
      <c r="M3810">
        <v>0.99955050000000001</v>
      </c>
      <c r="N3810">
        <v>-1.530451E-2</v>
      </c>
      <c r="O3810">
        <v>2.578805E-2</v>
      </c>
      <c r="P3810">
        <v>0.95449600000000001</v>
      </c>
      <c r="Q3810">
        <v>0.28215430000000002</v>
      </c>
      <c r="R3810">
        <v>9.657425E-2</v>
      </c>
      <c r="S3810">
        <v>3.2175600000000002</v>
      </c>
      <c r="T3810">
        <v>-0.23328840000000001</v>
      </c>
      <c r="U3810">
        <v>-5.0506589999999997E-2</v>
      </c>
      <c r="V3810">
        <v>-7.1755429999999995E-2</v>
      </c>
      <c r="W3810">
        <v>0.2968037</v>
      </c>
      <c r="X3810">
        <v>0.95223880000000005</v>
      </c>
      <c r="Y3810">
        <v>4.1304439999999998E-2</v>
      </c>
      <c r="Z3810">
        <v>-3.2847950000000001E-3</v>
      </c>
      <c r="AA3810">
        <v>0.99914119999999995</v>
      </c>
      <c r="AB3810">
        <v>46</v>
      </c>
      <c r="AC3810">
        <v>0.377099999999984</v>
      </c>
      <c r="AD3810">
        <v>-6.0780000000000001E-2</v>
      </c>
      <c r="AE3810">
        <v>-2.5299999999987201E-2</v>
      </c>
      <c r="AF3810">
        <v>3.4134613862969503E-2</v>
      </c>
      <c r="AG3810">
        <v>-6.0780000000000001E-2</v>
      </c>
      <c r="AH3810">
        <v>0.36683505022456903</v>
      </c>
      <c r="AI3810">
        <v>99.367982887953502</v>
      </c>
      <c r="AJ3810">
        <v>84.683840315305901</v>
      </c>
      <c r="AK3810">
        <v>0.37339969782638599</v>
      </c>
      <c r="AL3810">
        <v>72.734273406656399</v>
      </c>
      <c r="AM3810">
        <v>94.309347624538205</v>
      </c>
      <c r="AN3810">
        <v>1.0000000051468001</v>
      </c>
    </row>
    <row r="3811" spans="1:40" x14ac:dyDescent="0.25">
      <c r="A3811" t="str">
        <f>"20190304164927579"</f>
        <v>20190304164927579</v>
      </c>
      <c r="B3811" t="str">
        <f>"1551689367569599"</f>
        <v>1551689367569599</v>
      </c>
      <c r="C3811" t="s">
        <v>40</v>
      </c>
      <c r="D3811">
        <v>4.208024</v>
      </c>
      <c r="E3811">
        <v>0.55694339999999998</v>
      </c>
      <c r="F3811" t="s">
        <v>46</v>
      </c>
      <c r="G3811">
        <v>-327.82569999999998</v>
      </c>
      <c r="H3811" s="1">
        <v>2.627667E-6</v>
      </c>
      <c r="I3811">
        <v>214.1831</v>
      </c>
      <c r="J3811">
        <v>-342.91239999999999</v>
      </c>
      <c r="K3811">
        <v>1.1100179999999999</v>
      </c>
      <c r="L3811">
        <v>214.45230000000001</v>
      </c>
      <c r="M3811">
        <v>0.99955470000000002</v>
      </c>
      <c r="N3811">
        <v>-1.535051E-2</v>
      </c>
      <c r="O3811">
        <v>2.558933E-2</v>
      </c>
      <c r="P3811">
        <v>0.95448770000000005</v>
      </c>
      <c r="Q3811">
        <v>0.28229090000000001</v>
      </c>
      <c r="R3811">
        <v>9.6255560000000004E-2</v>
      </c>
      <c r="S3811">
        <v>3.215973</v>
      </c>
      <c r="T3811">
        <v>-0.2288424</v>
      </c>
      <c r="U3811">
        <v>-5.2810669999999997E-2</v>
      </c>
      <c r="V3811">
        <v>-7.1627739999999995E-2</v>
      </c>
      <c r="W3811">
        <v>0.296983099999999</v>
      </c>
      <c r="X3811">
        <v>0.9521925</v>
      </c>
      <c r="Y3811">
        <v>4.1834259999999998E-2</v>
      </c>
      <c r="Z3811">
        <v>-3.2340490000000001E-3</v>
      </c>
      <c r="AA3811">
        <v>0.99911930000000004</v>
      </c>
      <c r="AB3811">
        <v>46</v>
      </c>
      <c r="AC3811">
        <v>15.0867</v>
      </c>
      <c r="AD3811">
        <v>-1.110015372333</v>
      </c>
      <c r="AE3811">
        <v>-0.26920000000001199</v>
      </c>
      <c r="AF3811">
        <v>0.65168912931432699</v>
      </c>
      <c r="AG3811">
        <v>-1.110015372333</v>
      </c>
      <c r="AH3811">
        <v>14.9937279851734</v>
      </c>
      <c r="AI3811">
        <v>94.230017024627003</v>
      </c>
      <c r="AJ3811">
        <v>87.511256002536001</v>
      </c>
      <c r="AK3811">
        <v>15.0488774246272</v>
      </c>
      <c r="AL3811">
        <v>72.723509562714895</v>
      </c>
      <c r="AM3811">
        <v>94.301916262052202</v>
      </c>
      <c r="AN3811">
        <v>1.00000002593968</v>
      </c>
    </row>
    <row r="3812" spans="1:40" x14ac:dyDescent="0.25">
      <c r="A3812" t="str">
        <f>"20190304164927599"</f>
        <v>20190304164927599</v>
      </c>
      <c r="B3812" t="str">
        <f>"1551689367590096"</f>
        <v>1551689367590096</v>
      </c>
      <c r="C3812" t="s">
        <v>40</v>
      </c>
      <c r="D3812">
        <v>4.2001089999999897</v>
      </c>
      <c r="E3812">
        <v>0.55626339999999996</v>
      </c>
      <c r="F3812" t="s">
        <v>41</v>
      </c>
      <c r="G3812">
        <v>-341.84030000000001</v>
      </c>
      <c r="H3812">
        <v>1.0342370000000001</v>
      </c>
      <c r="I3812">
        <v>214.4357</v>
      </c>
      <c r="J3812">
        <v>-342.47390000000001</v>
      </c>
      <c r="K3812">
        <v>1.110028</v>
      </c>
      <c r="L3812">
        <v>214.46340000000001</v>
      </c>
      <c r="M3812">
        <v>0.99955850000000002</v>
      </c>
      <c r="N3812">
        <v>-1.5383529999999999E-2</v>
      </c>
      <c r="O3812">
        <v>2.5419020000000001E-2</v>
      </c>
      <c r="P3812">
        <v>0.95456050000000003</v>
      </c>
      <c r="Q3812">
        <v>0.28213300000000002</v>
      </c>
      <c r="R3812">
        <v>9.5998120000000006E-2</v>
      </c>
      <c r="S3812">
        <v>3.2153019999999999</v>
      </c>
      <c r="T3812">
        <v>-0.2272854</v>
      </c>
      <c r="U3812">
        <v>-4.974365E-2</v>
      </c>
      <c r="V3812">
        <v>-7.1531700000000004E-2</v>
      </c>
      <c r="W3812">
        <v>0.29685739999999999</v>
      </c>
      <c r="X3812">
        <v>0.9522389</v>
      </c>
      <c r="Y3812">
        <v>4.0720480000000003E-2</v>
      </c>
      <c r="Z3812">
        <v>-3.154853E-3</v>
      </c>
      <c r="AA3812">
        <v>0.99916559999999999</v>
      </c>
      <c r="AB3812">
        <v>46</v>
      </c>
      <c r="AC3812">
        <v>0.63360000000000105</v>
      </c>
      <c r="AD3812">
        <v>-7.57909999999999E-2</v>
      </c>
      <c r="AE3812">
        <v>-2.7700000000010001E-2</v>
      </c>
      <c r="AF3812">
        <v>4.3181742242464502E-2</v>
      </c>
      <c r="AG3812">
        <v>-7.57909999999999E-2</v>
      </c>
      <c r="AH3812">
        <v>0.62378244862302301</v>
      </c>
      <c r="AI3812">
        <v>96.911231998566507</v>
      </c>
      <c r="AJ3812">
        <v>86.039980375402195</v>
      </c>
      <c r="AK3812">
        <v>0.62985195225086699</v>
      </c>
      <c r="AL3812">
        <v>72.731051518994093</v>
      </c>
      <c r="AM3812">
        <v>94.295961214454906</v>
      </c>
      <c r="AN3812">
        <v>1.00000001135643</v>
      </c>
    </row>
    <row r="3813" spans="1:40" x14ac:dyDescent="0.25">
      <c r="A3813" t="str">
        <f>"20190304164927620"</f>
        <v>20190304164927620</v>
      </c>
      <c r="B3813" t="str">
        <f>"1551689367609619"</f>
        <v>1551689367609619</v>
      </c>
      <c r="C3813" t="s">
        <v>40</v>
      </c>
      <c r="D3813">
        <v>4.1681800000000004</v>
      </c>
      <c r="E3813">
        <v>0.5555679</v>
      </c>
      <c r="F3813" t="s">
        <v>41</v>
      </c>
      <c r="G3813">
        <v>-341.43259999999998</v>
      </c>
      <c r="H3813">
        <v>1.0367740000000001</v>
      </c>
      <c r="I3813">
        <v>214.44839999999999</v>
      </c>
      <c r="J3813">
        <v>-342.05759999999998</v>
      </c>
      <c r="K3813">
        <v>1.1100350000000001</v>
      </c>
      <c r="L3813">
        <v>214.47389999999999</v>
      </c>
      <c r="M3813">
        <v>0.99956219999999996</v>
      </c>
      <c r="N3813">
        <v>-1.541026E-2</v>
      </c>
      <c r="O3813">
        <v>2.5257169999999999E-2</v>
      </c>
      <c r="P3813">
        <v>0.95464170000000004</v>
      </c>
      <c r="Q3813">
        <v>0.2818947</v>
      </c>
      <c r="R3813">
        <v>9.5889580000000002E-2</v>
      </c>
      <c r="S3813">
        <v>3.214264</v>
      </c>
      <c r="T3813">
        <v>-0.22624649999999999</v>
      </c>
      <c r="U3813">
        <v>-4.5410159999999998E-2</v>
      </c>
      <c r="V3813">
        <v>-7.1576119999999993E-2</v>
      </c>
      <c r="W3813">
        <v>0.29664610000000002</v>
      </c>
      <c r="X3813">
        <v>0.95230139999999996</v>
      </c>
      <c r="Y3813">
        <v>3.9222989999999999E-2</v>
      </c>
      <c r="Z3813">
        <v>-3.0679510000000002E-3</v>
      </c>
      <c r="AA3813">
        <v>0.99922580000000005</v>
      </c>
      <c r="AB3813">
        <v>46</v>
      </c>
      <c r="AC3813">
        <v>0.625</v>
      </c>
      <c r="AD3813">
        <v>-7.3261000000000007E-2</v>
      </c>
      <c r="AE3813">
        <v>-2.5499999999993798E-2</v>
      </c>
      <c r="AF3813">
        <v>4.0720895358382303E-2</v>
      </c>
      <c r="AG3813">
        <v>-7.3261000000000007E-2</v>
      </c>
      <c r="AH3813">
        <v>0.61571065098751498</v>
      </c>
      <c r="AI3813">
        <v>96.7708441970601</v>
      </c>
      <c r="AJ3813">
        <v>86.216172959176802</v>
      </c>
      <c r="AK3813">
        <v>0.62138954865628204</v>
      </c>
      <c r="AL3813">
        <v>72.743729038619605</v>
      </c>
      <c r="AM3813">
        <v>94.298337875800499</v>
      </c>
      <c r="AN3813">
        <v>1.0000000030207099</v>
      </c>
    </row>
    <row r="3814" spans="1:40" x14ac:dyDescent="0.25">
      <c r="A3814" t="str">
        <f>"20190304164927642"</f>
        <v>20190304164927642</v>
      </c>
      <c r="B3814" t="str">
        <f>"1551689367630112"</f>
        <v>1551689367630112</v>
      </c>
      <c r="C3814" t="s">
        <v>40</v>
      </c>
      <c r="D3814">
        <v>4.2015900000000004</v>
      </c>
      <c r="E3814">
        <v>0.55501020000000001</v>
      </c>
      <c r="F3814" t="s">
        <v>41</v>
      </c>
      <c r="G3814">
        <v>-341.02620000000002</v>
      </c>
      <c r="H3814">
        <v>1.0374129999999999</v>
      </c>
      <c r="I3814">
        <v>214.4605</v>
      </c>
      <c r="J3814">
        <v>-341.6053</v>
      </c>
      <c r="K3814">
        <v>1.1100479999999999</v>
      </c>
      <c r="L3814">
        <v>214.48509999999999</v>
      </c>
      <c r="M3814">
        <v>0.99956630000000002</v>
      </c>
      <c r="N3814">
        <v>-1.543477E-2</v>
      </c>
      <c r="O3814">
        <v>2.5081570000000001E-2</v>
      </c>
      <c r="P3814">
        <v>0.95465390000000006</v>
      </c>
      <c r="Q3814">
        <v>0.28191880000000002</v>
      </c>
      <c r="R3814">
        <v>9.56959E-2</v>
      </c>
      <c r="S3814">
        <v>3.2135310000000001</v>
      </c>
      <c r="T3814">
        <v>-0.22634489999999999</v>
      </c>
      <c r="U3814">
        <v>-4.136658E-2</v>
      </c>
      <c r="V3814">
        <v>-7.1550950000000002E-2</v>
      </c>
      <c r="W3814">
        <v>0.29669299999999998</v>
      </c>
      <c r="X3814">
        <v>0.95228869999999999</v>
      </c>
      <c r="Y3814">
        <v>3.7797900000000002E-2</v>
      </c>
      <c r="Z3814">
        <v>-2.9991319999999998E-3</v>
      </c>
      <c r="AA3814">
        <v>0.99928090000000003</v>
      </c>
      <c r="AB3814">
        <v>45</v>
      </c>
      <c r="AC3814">
        <v>0.57909999999998196</v>
      </c>
      <c r="AD3814">
        <v>-7.2635000000000005E-2</v>
      </c>
      <c r="AE3814">
        <v>-2.4599999999992399E-2</v>
      </c>
      <c r="AF3814">
        <v>3.8513915395443903E-2</v>
      </c>
      <c r="AG3814">
        <v>-7.2635000000000005E-2</v>
      </c>
      <c r="AH3814">
        <v>0.56935964782182302</v>
      </c>
      <c r="AI3814">
        <v>97.253732657551893</v>
      </c>
      <c r="AJ3814">
        <v>86.130164334763506</v>
      </c>
      <c r="AK3814">
        <v>0.57526478553087002</v>
      </c>
      <c r="AL3814">
        <v>72.740915515094898</v>
      </c>
      <c r="AM3814">
        <v>94.296889100931296</v>
      </c>
      <c r="AN3814">
        <v>1.0000000214212901</v>
      </c>
    </row>
    <row r="3815" spans="1:40" x14ac:dyDescent="0.25">
      <c r="A3815" t="str">
        <f>"20190304164927666"</f>
        <v>20190304164927666</v>
      </c>
      <c r="B3815" t="str">
        <f>"1551689367659392"</f>
        <v>1551689367659392</v>
      </c>
      <c r="C3815" t="s">
        <v>40</v>
      </c>
      <c r="D3815">
        <v>4.1936689999999999</v>
      </c>
      <c r="E3815">
        <v>0.55433449999999995</v>
      </c>
      <c r="F3815" t="s">
        <v>41</v>
      </c>
      <c r="G3815">
        <v>-340.61869999999999</v>
      </c>
      <c r="H3815">
        <v>1.0407470000000001</v>
      </c>
      <c r="I3815">
        <v>214.47319999999999</v>
      </c>
      <c r="J3815">
        <v>-341.13150000000002</v>
      </c>
      <c r="K3815">
        <v>1.1100589999999999</v>
      </c>
      <c r="L3815">
        <v>214.49690000000001</v>
      </c>
      <c r="M3815">
        <v>0.99957050000000003</v>
      </c>
      <c r="N3815">
        <v>-1.5456289999999999E-2</v>
      </c>
      <c r="O3815">
        <v>2.4897470000000001E-2</v>
      </c>
      <c r="P3815">
        <v>0.95438959999999995</v>
      </c>
      <c r="Q3815">
        <v>0.28298390000000001</v>
      </c>
      <c r="R3815">
        <v>9.5185699999999998E-2</v>
      </c>
      <c r="S3815">
        <v>3.2129819999999998</v>
      </c>
      <c r="T3815">
        <v>-0.22580910000000001</v>
      </c>
      <c r="U3815">
        <v>-3.8085939999999999E-2</v>
      </c>
      <c r="V3815">
        <v>-7.1222969999999997E-2</v>
      </c>
      <c r="W3815">
        <v>0.29777389999999998</v>
      </c>
      <c r="X3815">
        <v>0.95197580000000004</v>
      </c>
      <c r="Y3815">
        <v>3.6600420000000002E-2</v>
      </c>
      <c r="Z3815">
        <v>-2.9308530000000002E-3</v>
      </c>
      <c r="AA3815">
        <v>0.99932569999999998</v>
      </c>
      <c r="AB3815">
        <v>45</v>
      </c>
      <c r="AC3815">
        <v>0.51280000000002701</v>
      </c>
      <c r="AD3815">
        <v>-6.9311999999999999E-2</v>
      </c>
      <c r="AE3815">
        <v>-2.3700000000019299E-2</v>
      </c>
      <c r="AF3815">
        <v>3.5808794054186702E-2</v>
      </c>
      <c r="AG3815">
        <v>-6.9311999999999999E-2</v>
      </c>
      <c r="AH3815">
        <v>0.50288314064727502</v>
      </c>
      <c r="AI3815">
        <v>97.828015619924699</v>
      </c>
      <c r="AJ3815">
        <v>85.927014735153904</v>
      </c>
      <c r="AK3815">
        <v>0.50889868954722395</v>
      </c>
      <c r="AL3815">
        <v>72.676052032227403</v>
      </c>
      <c r="AM3815">
        <v>94.278666651560201</v>
      </c>
      <c r="AN3815">
        <v>0.99999996538123404</v>
      </c>
    </row>
    <row r="3816" spans="1:40" x14ac:dyDescent="0.25">
      <c r="A3816" t="str">
        <f>"20190304164927689"</f>
        <v>20190304164927689</v>
      </c>
      <c r="B3816" t="str">
        <f>"1551689367679892"</f>
        <v>1551689367679892</v>
      </c>
      <c r="C3816" t="s">
        <v>40</v>
      </c>
      <c r="D3816">
        <v>4.1899569999999997</v>
      </c>
      <c r="E3816">
        <v>0.55395899999999998</v>
      </c>
      <c r="F3816" t="s">
        <v>41</v>
      </c>
      <c r="G3816">
        <v>-340.20830000000001</v>
      </c>
      <c r="H3816">
        <v>1.0463039999999999</v>
      </c>
      <c r="I3816">
        <v>214.48699999999999</v>
      </c>
      <c r="J3816">
        <v>-340.66219999999998</v>
      </c>
      <c r="K3816">
        <v>1.1100699999999999</v>
      </c>
      <c r="L3816">
        <v>214.50839999999999</v>
      </c>
      <c r="M3816">
        <v>0.99957470000000004</v>
      </c>
      <c r="N3816">
        <v>-1.547392E-2</v>
      </c>
      <c r="O3816">
        <v>2.471454E-2</v>
      </c>
      <c r="P3816">
        <v>0.95427640000000002</v>
      </c>
      <c r="Q3816">
        <v>0.2835046</v>
      </c>
      <c r="R3816">
        <v>9.4771939999999999E-2</v>
      </c>
      <c r="S3816">
        <v>3.2125849999999998</v>
      </c>
      <c r="T3816">
        <v>-0.22191849999999999</v>
      </c>
      <c r="U3816">
        <v>-3.3645630000000003E-2</v>
      </c>
      <c r="V3816">
        <v>-7.0987209999999995E-2</v>
      </c>
      <c r="W3816">
        <v>0.2983092</v>
      </c>
      <c r="X3816">
        <v>0.9518259</v>
      </c>
      <c r="Y3816">
        <v>3.5047719999999997E-2</v>
      </c>
      <c r="Z3816">
        <v>-2.8035849999999999E-3</v>
      </c>
      <c r="AA3816">
        <v>0.99938170000000004</v>
      </c>
      <c r="AB3816">
        <v>45</v>
      </c>
      <c r="AC3816">
        <v>0.45389999999997599</v>
      </c>
      <c r="AD3816">
        <v>-6.3765999999999906E-2</v>
      </c>
      <c r="AE3816">
        <v>-2.1399999999999801E-2</v>
      </c>
      <c r="AF3816">
        <v>3.1982922388647403E-2</v>
      </c>
      <c r="AG3816">
        <v>-6.3765999999999906E-2</v>
      </c>
      <c r="AH3816">
        <v>0.444479597965797</v>
      </c>
      <c r="AI3816">
        <v>98.143299811682994</v>
      </c>
      <c r="AJ3816">
        <v>85.884324929127601</v>
      </c>
      <c r="AK3816">
        <v>0.450167883226197</v>
      </c>
      <c r="AL3816">
        <v>72.643922928791099</v>
      </c>
      <c r="AM3816">
        <v>94.265225015314897</v>
      </c>
      <c r="AN3816">
        <v>1.0000000533495099</v>
      </c>
    </row>
    <row r="3817" spans="1:40" x14ac:dyDescent="0.25">
      <c r="A3817" t="str">
        <f>"20190304164927709"</f>
        <v>20190304164927709</v>
      </c>
      <c r="B3817" t="str">
        <f>"1551689367699408"</f>
        <v>1551689367699408</v>
      </c>
      <c r="C3817" t="s">
        <v>40</v>
      </c>
      <c r="D3817">
        <v>4.1913589999999896</v>
      </c>
      <c r="E3817">
        <v>0.55361499999999997</v>
      </c>
      <c r="F3817" t="s">
        <v>46</v>
      </c>
      <c r="G3817">
        <v>-324.45749999999998</v>
      </c>
      <c r="H3817" s="1">
        <v>8.3524170000000003E-7</v>
      </c>
      <c r="I3817">
        <v>214.3475</v>
      </c>
      <c r="J3817">
        <v>-340.25220000000002</v>
      </c>
      <c r="K3817">
        <v>1.11007099999999</v>
      </c>
      <c r="L3817">
        <v>214.51840000000001</v>
      </c>
      <c r="M3817">
        <v>0.99957859999999998</v>
      </c>
      <c r="N3817">
        <v>-1.5486349999999999E-2</v>
      </c>
      <c r="O3817">
        <v>2.455477E-2</v>
      </c>
      <c r="P3817">
        <v>0.95436330000000003</v>
      </c>
      <c r="Q3817">
        <v>0.28328109999999901</v>
      </c>
      <c r="R3817">
        <v>9.4566079999999997E-2</v>
      </c>
      <c r="S3817">
        <v>3.2122799999999998</v>
      </c>
      <c r="T3817">
        <v>-0.22004989999999999</v>
      </c>
      <c r="U3817">
        <v>-3.1906129999999998E-2</v>
      </c>
      <c r="V3817">
        <v>-7.0932179999999997E-2</v>
      </c>
      <c r="W3817">
        <v>0.29809839999999999</v>
      </c>
      <c r="X3817">
        <v>0.95189599999999996</v>
      </c>
      <c r="Y3817">
        <v>3.435237E-2</v>
      </c>
      <c r="Z3817">
        <v>-2.7416430000000002E-3</v>
      </c>
      <c r="AA3817">
        <v>0.99940600000000002</v>
      </c>
      <c r="AB3817">
        <v>45</v>
      </c>
      <c r="AC3817">
        <v>15.794700000000001</v>
      </c>
      <c r="AD3817">
        <v>-1.11007016475829</v>
      </c>
      <c r="AE3817">
        <v>-0.17090000000001701</v>
      </c>
      <c r="AF3817">
        <v>0.55598424054247797</v>
      </c>
      <c r="AG3817">
        <v>-1.11007016475829</v>
      </c>
      <c r="AH3817">
        <v>15.7081591292235</v>
      </c>
      <c r="AI3817">
        <v>94.039758518143998</v>
      </c>
      <c r="AJ3817">
        <v>87.972884184906803</v>
      </c>
      <c r="AK3817">
        <v>15.7571456005022</v>
      </c>
      <c r="AL3817">
        <v>72.6565758615709</v>
      </c>
      <c r="AM3817">
        <v>94.261618054811606</v>
      </c>
      <c r="AN3817">
        <v>1.00000001252905</v>
      </c>
    </row>
    <row r="3818" spans="1:40" x14ac:dyDescent="0.25">
      <c r="A3818" t="str">
        <f>"20190304164927731"</f>
        <v>20190304164927731</v>
      </c>
      <c r="B3818" t="str">
        <f>"1551689367719904"</f>
        <v>1551689367719904</v>
      </c>
      <c r="C3818" t="s">
        <v>40</v>
      </c>
      <c r="D3818">
        <v>4.2089800000000004</v>
      </c>
      <c r="E3818">
        <v>0.55326940000000002</v>
      </c>
      <c r="F3818" t="s">
        <v>46</v>
      </c>
      <c r="G3818">
        <v>-324.10070000000002</v>
      </c>
      <c r="H3818" s="1">
        <v>6.4540570000000003E-7</v>
      </c>
      <c r="I3818">
        <v>214.36940000000001</v>
      </c>
      <c r="J3818">
        <v>-339.81189999999998</v>
      </c>
      <c r="K3818">
        <v>1.1100669999999999</v>
      </c>
      <c r="L3818">
        <v>214.5291</v>
      </c>
      <c r="M3818">
        <v>0.99958259999999999</v>
      </c>
      <c r="N3818">
        <v>-1.549713E-2</v>
      </c>
      <c r="O3818">
        <v>2.43834E-2</v>
      </c>
      <c r="P3818">
        <v>0.95464020000000005</v>
      </c>
      <c r="Q3818">
        <v>0.28240779999999999</v>
      </c>
      <c r="R3818">
        <v>9.4382759999999996E-2</v>
      </c>
      <c r="S3818">
        <v>3.2119450000000001</v>
      </c>
      <c r="T3818">
        <v>-0.22075220000000001</v>
      </c>
      <c r="U3818">
        <v>-2.964783E-2</v>
      </c>
      <c r="V3818">
        <v>-7.0907120000000004E-2</v>
      </c>
      <c r="W3818">
        <v>0.29723939999999999</v>
      </c>
      <c r="X3818">
        <v>0.95216639999999997</v>
      </c>
      <c r="Y3818">
        <v>3.348131E-2</v>
      </c>
      <c r="Z3818">
        <v>-2.7051969999999999E-3</v>
      </c>
      <c r="AA3818">
        <v>0.99943570000000004</v>
      </c>
      <c r="AB3818">
        <v>45</v>
      </c>
      <c r="AC3818">
        <v>15.7111999999999</v>
      </c>
      <c r="AD3818">
        <v>-1.1100663545942999</v>
      </c>
      <c r="AE3818">
        <v>-0.15969999999998599</v>
      </c>
      <c r="AF3818">
        <v>0.540095070110163</v>
      </c>
      <c r="AG3818">
        <v>-1.1100663545942999</v>
      </c>
      <c r="AH3818">
        <v>15.624642159101001</v>
      </c>
      <c r="AI3818">
        <v>94.061382970339196</v>
      </c>
      <c r="AJ3818">
        <v>88.020252148697097</v>
      </c>
      <c r="AK3818">
        <v>15.6733338060642</v>
      </c>
      <c r="AL3818">
        <v>72.708129112861002</v>
      </c>
      <c r="AM3818">
        <v>94.258912636210496</v>
      </c>
      <c r="AN3818">
        <v>0.99999996693400595</v>
      </c>
    </row>
    <row r="3819" spans="1:40" x14ac:dyDescent="0.25">
      <c r="A3819" t="str">
        <f>"20190304164927754"</f>
        <v>20190304164927754</v>
      </c>
      <c r="B3819" t="str">
        <f>"1551689367750160"</f>
        <v>1551689367750160</v>
      </c>
      <c r="C3819" t="s">
        <v>40</v>
      </c>
      <c r="D3819">
        <v>4.2175820000000002</v>
      </c>
      <c r="E3819">
        <v>0.55283300000000002</v>
      </c>
      <c r="F3819" t="s">
        <v>46</v>
      </c>
      <c r="G3819">
        <v>-323.86360000000002</v>
      </c>
      <c r="H3819" s="1">
        <v>5.1923579999999999E-7</v>
      </c>
      <c r="I3819">
        <v>214.39150000000001</v>
      </c>
      <c r="J3819">
        <v>-339.3501</v>
      </c>
      <c r="K3819">
        <v>1.11007099999999</v>
      </c>
      <c r="L3819">
        <v>214.5403</v>
      </c>
      <c r="M3819">
        <v>0.9995868</v>
      </c>
      <c r="N3819">
        <v>-1.550609E-2</v>
      </c>
      <c r="O3819">
        <v>2.4203510000000001E-2</v>
      </c>
      <c r="P3819">
        <v>0.95484409999999997</v>
      </c>
      <c r="Q3819">
        <v>0.2818542</v>
      </c>
      <c r="R3819">
        <v>9.3973119999999993E-2</v>
      </c>
      <c r="S3819">
        <v>3.2114259999999999</v>
      </c>
      <c r="T3819">
        <v>-0.22352859999999999</v>
      </c>
      <c r="U3819">
        <v>-2.7709959999999999E-2</v>
      </c>
      <c r="V3819">
        <v>-7.0664909999999997E-2</v>
      </c>
      <c r="W3819">
        <v>0.29669719999999999</v>
      </c>
      <c r="X3819">
        <v>0.95235349999999996</v>
      </c>
      <c r="Y3819">
        <v>3.269909E-2</v>
      </c>
      <c r="Z3819">
        <v>-2.6980490000000001E-3</v>
      </c>
      <c r="AA3819">
        <v>0.99946159999999995</v>
      </c>
      <c r="AB3819">
        <v>45</v>
      </c>
      <c r="AC3819">
        <v>15.4864999999999</v>
      </c>
      <c r="AD3819">
        <v>-1.1100704807641999</v>
      </c>
      <c r="AE3819">
        <v>-0.14879999999999399</v>
      </c>
      <c r="AF3819">
        <v>0.52095271178595903</v>
      </c>
      <c r="AG3819">
        <v>-1.1100704807641999</v>
      </c>
      <c r="AH3819">
        <v>15.399246150959399</v>
      </c>
      <c r="AI3819">
        <v>94.120744067718505</v>
      </c>
      <c r="AJ3819">
        <v>88.062436787831203</v>
      </c>
      <c r="AK3819">
        <v>15.4479911385921</v>
      </c>
      <c r="AL3819">
        <v>72.740662672896306</v>
      </c>
      <c r="AM3819">
        <v>94.243587155124303</v>
      </c>
      <c r="AN3819">
        <v>0.99999997347769798</v>
      </c>
    </row>
    <row r="3820" spans="1:40" x14ac:dyDescent="0.25">
      <c r="A3820" t="str">
        <f>"20190304164927780"</f>
        <v>20190304164927780</v>
      </c>
      <c r="B3820" t="str">
        <f>"1551689367769680"</f>
        <v>1551689367769680</v>
      </c>
      <c r="C3820" t="s">
        <v>40</v>
      </c>
      <c r="D3820">
        <v>4.2396269999999996</v>
      </c>
      <c r="E3820">
        <v>0.55254169999999903</v>
      </c>
      <c r="F3820" t="s">
        <v>46</v>
      </c>
      <c r="G3820">
        <v>-323.5111</v>
      </c>
      <c r="H3820" s="1">
        <v>3.3166209999999999E-7</v>
      </c>
      <c r="I3820">
        <v>214.41319999999999</v>
      </c>
      <c r="J3820">
        <v>-338.84379999999999</v>
      </c>
      <c r="K3820">
        <v>1.11008</v>
      </c>
      <c r="L3820">
        <v>214.5523</v>
      </c>
      <c r="M3820">
        <v>0.99959149999999997</v>
      </c>
      <c r="N3820">
        <v>-1.551342E-2</v>
      </c>
      <c r="O3820">
        <v>2.4006300000000001E-2</v>
      </c>
      <c r="P3820">
        <v>0.95472900000000005</v>
      </c>
      <c r="Q3820">
        <v>0.28219429999999901</v>
      </c>
      <c r="R3820">
        <v>9.4122960000000006E-2</v>
      </c>
      <c r="S3820">
        <v>3.2108150000000002</v>
      </c>
      <c r="T3820">
        <v>-0.22502900000000001</v>
      </c>
      <c r="U3820">
        <v>-2.575684E-2</v>
      </c>
      <c r="V3820">
        <v>-7.1006600000000003E-2</v>
      </c>
      <c r="W3820">
        <v>0.29704229999999998</v>
      </c>
      <c r="X3820">
        <v>0.95222059999999997</v>
      </c>
      <c r="Y3820">
        <v>3.189645E-2</v>
      </c>
      <c r="Z3820">
        <v>-2.6723459999999999E-3</v>
      </c>
      <c r="AA3820">
        <v>0.99948760000000003</v>
      </c>
      <c r="AB3820">
        <v>45</v>
      </c>
      <c r="AC3820">
        <v>15.3326999999999</v>
      </c>
      <c r="AD3820">
        <v>-1.1100796683378999</v>
      </c>
      <c r="AE3820">
        <v>-0.13910000000001299</v>
      </c>
      <c r="AF3820">
        <v>0.50454114544747397</v>
      </c>
      <c r="AG3820">
        <v>-1.1100796683378999</v>
      </c>
      <c r="AH3820">
        <v>15.245037359715001</v>
      </c>
      <c r="AI3820">
        <v>94.162417177279593</v>
      </c>
      <c r="AJ3820">
        <v>88.104463107635198</v>
      </c>
      <c r="AK3820">
        <v>15.2937242925526</v>
      </c>
      <c r="AL3820">
        <v>72.719958106341707</v>
      </c>
      <c r="AM3820">
        <v>94.264623839303894</v>
      </c>
      <c r="AN3820">
        <v>1.0000000681486001</v>
      </c>
    </row>
    <row r="3821" spans="1:40" x14ac:dyDescent="0.25">
      <c r="A3821" t="str">
        <f>"20190304164927799"</f>
        <v>20190304164927799</v>
      </c>
      <c r="B3821" t="str">
        <f>"1551689367790177"</f>
        <v>1551689367790177</v>
      </c>
      <c r="C3821" t="s">
        <v>40</v>
      </c>
      <c r="D3821">
        <v>4.2458530000000003</v>
      </c>
      <c r="E3821">
        <v>0.55229740000000005</v>
      </c>
      <c r="F3821" t="s">
        <v>41</v>
      </c>
      <c r="G3821">
        <v>-337.79399999999998</v>
      </c>
      <c r="H3821">
        <v>1.0370360000000001</v>
      </c>
      <c r="I3821">
        <v>214.5446</v>
      </c>
      <c r="J3821">
        <v>-338.42630000000003</v>
      </c>
      <c r="K3821">
        <v>1.1100920000000001</v>
      </c>
      <c r="L3821">
        <v>214.56219999999999</v>
      </c>
      <c r="M3821">
        <v>0.99959529999999996</v>
      </c>
      <c r="N3821">
        <v>-1.5517990000000001E-2</v>
      </c>
      <c r="O3821">
        <v>2.384356E-2</v>
      </c>
      <c r="P3821">
        <v>0.95464559999999998</v>
      </c>
      <c r="Q3821">
        <v>0.28264869999999997</v>
      </c>
      <c r="R3821">
        <v>9.3602580000000005E-2</v>
      </c>
      <c r="S3821">
        <v>3.2106020000000002</v>
      </c>
      <c r="T3821">
        <v>-0.22345709999999999</v>
      </c>
      <c r="U3821">
        <v>-2.3132320000000001E-2</v>
      </c>
      <c r="V3821">
        <v>-7.0644180000000001E-2</v>
      </c>
      <c r="W3821">
        <v>0.29749890000000001</v>
      </c>
      <c r="X3821">
        <v>0.95210490000000003</v>
      </c>
      <c r="Y3821">
        <v>3.0922209999999999E-2</v>
      </c>
      <c r="Z3821">
        <v>-2.6027770000000001E-3</v>
      </c>
      <c r="AA3821">
        <v>0.99951840000000003</v>
      </c>
      <c r="AB3821">
        <v>45</v>
      </c>
      <c r="AC3821">
        <v>0.63229999999998598</v>
      </c>
      <c r="AD3821">
        <v>-7.3055999999999996E-2</v>
      </c>
      <c r="AE3821">
        <v>-1.75999999999874E-2</v>
      </c>
      <c r="AF3821">
        <v>3.2242997967812201E-2</v>
      </c>
      <c r="AG3821">
        <v>-7.3055999999999996E-2</v>
      </c>
      <c r="AH3821">
        <v>0.62338505375105202</v>
      </c>
      <c r="AI3821">
        <v>96.675299639903002</v>
      </c>
      <c r="AJ3821">
        <v>87.039160713791802</v>
      </c>
      <c r="AK3821">
        <v>0.62847889009429303</v>
      </c>
      <c r="AL3821">
        <v>72.692556409072097</v>
      </c>
      <c r="AM3821">
        <v>94.243450472676798</v>
      </c>
      <c r="AN3821">
        <v>0.99999996813654501</v>
      </c>
    </row>
    <row r="3822" spans="1:40" x14ac:dyDescent="0.25">
      <c r="A3822" t="str">
        <f>"20190304164927823"</f>
        <v>20190304164927823</v>
      </c>
      <c r="B3822" t="str">
        <f>"1551689367819458"</f>
        <v>1551689367819458</v>
      </c>
      <c r="C3822" t="s">
        <v>40</v>
      </c>
      <c r="D3822">
        <v>4.2521139999999997</v>
      </c>
      <c r="E3822">
        <v>0.55197479999999999</v>
      </c>
      <c r="F3822" t="s">
        <v>41</v>
      </c>
      <c r="G3822">
        <v>-337.39120000000003</v>
      </c>
      <c r="H3822">
        <v>1.0385470000000001</v>
      </c>
      <c r="I3822">
        <v>214.55500000000001</v>
      </c>
      <c r="J3822">
        <v>-337.96269999999998</v>
      </c>
      <c r="K3822">
        <v>1.110101</v>
      </c>
      <c r="L3822">
        <v>214.57310000000001</v>
      </c>
      <c r="M3822">
        <v>0.99959949999999997</v>
      </c>
      <c r="N3822">
        <v>-1.5521750000000001E-2</v>
      </c>
      <c r="O3822">
        <v>2.3662760000000001E-2</v>
      </c>
      <c r="P3822">
        <v>0.95457669999999994</v>
      </c>
      <c r="Q3822">
        <v>0.28297329999999998</v>
      </c>
      <c r="R3822">
        <v>9.3325149999999996E-2</v>
      </c>
      <c r="S3822">
        <v>3.2103579999999998</v>
      </c>
      <c r="T3822">
        <v>-0.22205159999999999</v>
      </c>
      <c r="U3822">
        <v>-2.131653E-2</v>
      </c>
      <c r="V3822">
        <v>-7.0541759999999995E-2</v>
      </c>
      <c r="W3822">
        <v>0.29782579999999997</v>
      </c>
      <c r="X3822">
        <v>0.95201029999999998</v>
      </c>
      <c r="Y3822">
        <v>3.018069E-2</v>
      </c>
      <c r="Z3822">
        <v>-2.5447389999999999E-3</v>
      </c>
      <c r="AA3822">
        <v>0.99954120000000002</v>
      </c>
      <c r="AB3822">
        <v>45</v>
      </c>
      <c r="AC3822">
        <v>0.57149999999995704</v>
      </c>
      <c r="AD3822">
        <v>-7.1554000000000104E-2</v>
      </c>
      <c r="AE3822">
        <v>-1.8100000000003998E-2</v>
      </c>
      <c r="AF3822">
        <v>3.11322865234617E-2</v>
      </c>
      <c r="AG3822">
        <v>-7.1554000000000104E-2</v>
      </c>
      <c r="AH3822">
        <v>0.56210880244231398</v>
      </c>
      <c r="AI3822">
        <v>97.243503552126697</v>
      </c>
      <c r="AJ3822">
        <v>86.829923144720297</v>
      </c>
      <c r="AK3822">
        <v>0.56749933917433804</v>
      </c>
      <c r="AL3822">
        <v>72.672937295794199</v>
      </c>
      <c r="AM3822">
        <v>94.237740261157896</v>
      </c>
      <c r="AN3822">
        <v>0.99999997917781303</v>
      </c>
    </row>
    <row r="3823" spans="1:40" x14ac:dyDescent="0.25">
      <c r="A3823" t="str">
        <f>"20190304164927845"</f>
        <v>20190304164927845</v>
      </c>
      <c r="B3823" t="str">
        <f>"1551689367839952"</f>
        <v>1551689367839952</v>
      </c>
      <c r="C3823" t="s">
        <v>40</v>
      </c>
      <c r="D3823">
        <v>4.2633780000000003</v>
      </c>
      <c r="E3823">
        <v>0.55178079999999996</v>
      </c>
      <c r="F3823" t="s">
        <v>41</v>
      </c>
      <c r="G3823">
        <v>-336.98559999999998</v>
      </c>
      <c r="H3823">
        <v>1.0428379999999999</v>
      </c>
      <c r="I3823">
        <v>214.56729999999999</v>
      </c>
      <c r="J3823">
        <v>-337.52839999999998</v>
      </c>
      <c r="K3823">
        <v>1.110109</v>
      </c>
      <c r="L3823">
        <v>214.58330000000001</v>
      </c>
      <c r="M3823">
        <v>0.99960360000000004</v>
      </c>
      <c r="N3823">
        <v>-1.552422E-2</v>
      </c>
      <c r="O3823">
        <v>2.3492889999999999E-2</v>
      </c>
      <c r="P3823">
        <v>0.95458449999999995</v>
      </c>
      <c r="Q3823">
        <v>0.28306100000000001</v>
      </c>
      <c r="R3823">
        <v>9.2980060000000003E-2</v>
      </c>
      <c r="S3823">
        <v>3.210175</v>
      </c>
      <c r="T3823">
        <v>-0.22107160000000001</v>
      </c>
      <c r="U3823">
        <v>-1.8875119999999999E-2</v>
      </c>
      <c r="V3823">
        <v>-7.0359469999999993E-2</v>
      </c>
      <c r="W3823">
        <v>0.2979155</v>
      </c>
      <c r="X3823">
        <v>0.95199579999999995</v>
      </c>
      <c r="Y3823">
        <v>2.9255050000000001E-2</v>
      </c>
      <c r="Z3823">
        <v>-2.4849989999999999E-3</v>
      </c>
      <c r="AA3823">
        <v>0.99956889999999998</v>
      </c>
      <c r="AB3823">
        <v>45</v>
      </c>
      <c r="AC3823">
        <v>0.54279999999999895</v>
      </c>
      <c r="AD3823">
        <v>-6.7270999999999997E-2</v>
      </c>
      <c r="AE3823">
        <v>-1.6000000000019499E-2</v>
      </c>
      <c r="AF3823">
        <v>2.8314540192707401E-2</v>
      </c>
      <c r="AG3823">
        <v>-6.7270999999999997E-2</v>
      </c>
      <c r="AH3823">
        <v>0.53407818791941597</v>
      </c>
      <c r="AI3823">
        <v>97.169047608842803</v>
      </c>
      <c r="AJ3823">
        <v>86.965264022489094</v>
      </c>
      <c r="AK3823">
        <v>0.53904230950697296</v>
      </c>
      <c r="AL3823">
        <v>72.667554768843303</v>
      </c>
      <c r="AM3823">
        <v>94.226893220412506</v>
      </c>
      <c r="AN3823">
        <v>1.0000000516882801</v>
      </c>
    </row>
    <row r="3824" spans="1:40" x14ac:dyDescent="0.25">
      <c r="A3824" t="str">
        <f>"20190304164927868"</f>
        <v>20190304164927868</v>
      </c>
      <c r="B3824" t="str">
        <f>"1551689367859482"</f>
        <v>1551689367859482</v>
      </c>
      <c r="C3824" t="s">
        <v>40</v>
      </c>
      <c r="D3824">
        <v>4.2575149999999997</v>
      </c>
      <c r="E3824">
        <v>0.55158409999999902</v>
      </c>
      <c r="F3824" t="s">
        <v>41</v>
      </c>
      <c r="G3824">
        <v>-336.5822</v>
      </c>
      <c r="H3824">
        <v>1.045196</v>
      </c>
      <c r="I3824">
        <v>214.57740000000001</v>
      </c>
      <c r="J3824">
        <v>-337.06479999999999</v>
      </c>
      <c r="K3824">
        <v>1.110117</v>
      </c>
      <c r="L3824">
        <v>214.59399999999999</v>
      </c>
      <c r="M3824">
        <v>0.99960780000000005</v>
      </c>
      <c r="N3824">
        <v>-1.552569E-2</v>
      </c>
      <c r="O3824">
        <v>2.331182E-2</v>
      </c>
      <c r="P3824">
        <v>0.95462000000000002</v>
      </c>
      <c r="Q3824">
        <v>0.28310970000000002</v>
      </c>
      <c r="R3824">
        <v>9.2466069999999997E-2</v>
      </c>
      <c r="S3824">
        <v>3.2098689999999999</v>
      </c>
      <c r="T3824">
        <v>-0.22042919999999999</v>
      </c>
      <c r="U3824">
        <v>-1.869202E-2</v>
      </c>
      <c r="V3824">
        <v>-7.0018319999999995E-2</v>
      </c>
      <c r="W3824">
        <v>0.29796549999999999</v>
      </c>
      <c r="X3824">
        <v>0.95200530000000005</v>
      </c>
      <c r="Y3824">
        <v>2.9019139999999999E-2</v>
      </c>
      <c r="Z3824">
        <v>-2.4580959999999999E-3</v>
      </c>
      <c r="AA3824">
        <v>0.99957589999999996</v>
      </c>
      <c r="AB3824">
        <v>45</v>
      </c>
      <c r="AC3824">
        <v>0.48259999999998998</v>
      </c>
      <c r="AD3824">
        <v>-6.4921000000000006E-2</v>
      </c>
      <c r="AE3824">
        <v>-1.6600000000010998E-2</v>
      </c>
      <c r="AF3824">
        <v>2.7352721961195599E-2</v>
      </c>
      <c r="AG3824">
        <v>-6.4921000000000006E-2</v>
      </c>
      <c r="AH3824">
        <v>0.47352279359164001</v>
      </c>
      <c r="AI3824">
        <v>97.793871908804306</v>
      </c>
      <c r="AJ3824">
        <v>86.694022054675003</v>
      </c>
      <c r="AK3824">
        <v>0.47873452318640802</v>
      </c>
      <c r="AL3824">
        <v>72.664553614141795</v>
      </c>
      <c r="AM3824">
        <v>94.206430319579994</v>
      </c>
      <c r="AN3824">
        <v>1.0000000477769799</v>
      </c>
    </row>
    <row r="3825" spans="1:40" x14ac:dyDescent="0.25">
      <c r="A3825" t="str">
        <f>"20190304164927888"</f>
        <v>20190304164927888</v>
      </c>
      <c r="B3825" t="str">
        <f>"1551689367879972"</f>
        <v>1551689367879972</v>
      </c>
      <c r="C3825" t="s">
        <v>40</v>
      </c>
      <c r="D3825">
        <v>4.2751440000000001</v>
      </c>
      <c r="E3825">
        <v>0.55143850000000005</v>
      </c>
      <c r="F3825" t="s">
        <v>46</v>
      </c>
      <c r="G3825">
        <v>-320.8879</v>
      </c>
      <c r="H3825" s="1">
        <v>-1.06431E-6</v>
      </c>
      <c r="I3825">
        <v>214.5</v>
      </c>
      <c r="J3825">
        <v>-336.6454</v>
      </c>
      <c r="K3825">
        <v>1.110112</v>
      </c>
      <c r="L3825">
        <v>214.6037</v>
      </c>
      <c r="M3825">
        <v>0.99961140000000004</v>
      </c>
      <c r="N3825">
        <v>-1.5526160000000001E-2</v>
      </c>
      <c r="O3825">
        <v>2.3148040000000002E-2</v>
      </c>
      <c r="P3825">
        <v>0.95463089999999995</v>
      </c>
      <c r="Q3825">
        <v>0.2832307</v>
      </c>
      <c r="R3825">
        <v>9.1979779999999997E-2</v>
      </c>
      <c r="S3825">
        <v>3.209778</v>
      </c>
      <c r="T3825">
        <v>-0.22026680000000001</v>
      </c>
      <c r="U3825">
        <v>-1.8661500000000001E-2</v>
      </c>
      <c r="V3825">
        <v>-6.9688719999999996E-2</v>
      </c>
      <c r="W3825">
        <v>0.29808659999999998</v>
      </c>
      <c r="X3825">
        <v>0.95199160000000005</v>
      </c>
      <c r="Y3825">
        <v>2.884693E-2</v>
      </c>
      <c r="Z3825">
        <v>-2.4403350000000001E-3</v>
      </c>
      <c r="AA3825">
        <v>0.99958089999999999</v>
      </c>
      <c r="AB3825">
        <v>45</v>
      </c>
      <c r="AC3825">
        <v>15.757499999999901</v>
      </c>
      <c r="AD3825">
        <v>-1.1101130643099999</v>
      </c>
      <c r="AE3825">
        <v>-0.103700000000003</v>
      </c>
      <c r="AF3825">
        <v>0.46615792332395301</v>
      </c>
      <c r="AG3825">
        <v>-1.1101130643099999</v>
      </c>
      <c r="AH3825">
        <v>15.6730910278543</v>
      </c>
      <c r="AI3825">
        <v>94.0496654039829</v>
      </c>
      <c r="AJ3825">
        <v>88.296378807162398</v>
      </c>
      <c r="AK3825">
        <v>15.7192695947501</v>
      </c>
      <c r="AL3825">
        <v>72.6572852282182</v>
      </c>
      <c r="AM3825">
        <v>94.186759835515005</v>
      </c>
      <c r="AN3825">
        <v>1.0000000726326701</v>
      </c>
    </row>
    <row r="3826" spans="1:40" x14ac:dyDescent="0.25">
      <c r="A3826" t="str">
        <f>"20190304164927911"</f>
        <v>20190304164927911</v>
      </c>
      <c r="B3826" t="str">
        <f>"1551689367899492"</f>
        <v>1551689367899492</v>
      </c>
      <c r="C3826" t="s">
        <v>40</v>
      </c>
      <c r="D3826">
        <v>4.3820119999999996</v>
      </c>
      <c r="E3826">
        <v>0.551550599999999</v>
      </c>
      <c r="F3826" t="s">
        <v>46</v>
      </c>
      <c r="G3826">
        <v>-320.46800000000002</v>
      </c>
      <c r="H3826" s="1">
        <v>-1.2877679999999999E-6</v>
      </c>
      <c r="I3826">
        <v>214.50970000000001</v>
      </c>
      <c r="J3826">
        <v>-336.2081</v>
      </c>
      <c r="K3826">
        <v>1.110115</v>
      </c>
      <c r="L3826">
        <v>214.61359999999999</v>
      </c>
      <c r="M3826">
        <v>0.99961540000000004</v>
      </c>
      <c r="N3826">
        <v>-1.552592E-2</v>
      </c>
      <c r="O3826">
        <v>2.297693E-2</v>
      </c>
      <c r="P3826">
        <v>0.95473869999999905</v>
      </c>
      <c r="Q3826">
        <v>0.2831185</v>
      </c>
      <c r="R3826">
        <v>9.1203000000000006E-2</v>
      </c>
      <c r="S3826">
        <v>3.2097169999999999</v>
      </c>
      <c r="T3826">
        <v>-0.2202547</v>
      </c>
      <c r="U3826">
        <v>-1.8646240000000001E-2</v>
      </c>
      <c r="V3826">
        <v>-6.9073850000000006E-2</v>
      </c>
      <c r="W3826">
        <v>0.29797459999999998</v>
      </c>
      <c r="X3826">
        <v>0.95207140000000001</v>
      </c>
      <c r="Y3826">
        <v>2.867194E-2</v>
      </c>
      <c r="Z3826">
        <v>-2.4238150000000002E-3</v>
      </c>
      <c r="AA3826">
        <v>0.99958590000000003</v>
      </c>
      <c r="AB3826">
        <v>45</v>
      </c>
      <c r="AC3826">
        <v>15.740099999999901</v>
      </c>
      <c r="AD3826">
        <v>-1.110116287768</v>
      </c>
      <c r="AE3826">
        <v>-0.10389999999998099</v>
      </c>
      <c r="AF3826">
        <v>0.46327105168577898</v>
      </c>
      <c r="AG3826">
        <v>-1.110116287768</v>
      </c>
      <c r="AH3826">
        <v>15.6556850613068</v>
      </c>
      <c r="AI3826">
        <v>94.054182668208298</v>
      </c>
      <c r="AJ3826">
        <v>88.305041748349694</v>
      </c>
      <c r="AK3826">
        <v>15.7018296060848</v>
      </c>
      <c r="AL3826">
        <v>72.6640066436551</v>
      </c>
      <c r="AM3826">
        <v>94.149602676736095</v>
      </c>
      <c r="AN3826">
        <v>1.0000000048484701</v>
      </c>
    </row>
    <row r="3827" spans="1:40" x14ac:dyDescent="0.25">
      <c r="A3827" t="str">
        <f>"20190304164927926"</f>
        <v>20190304164927926</v>
      </c>
      <c r="B3827" t="str">
        <f>"1551689367919984"</f>
        <v>1551689367919984</v>
      </c>
      <c r="C3827" t="s">
        <v>40</v>
      </c>
      <c r="D3827">
        <v>4.3580059999999996</v>
      </c>
      <c r="E3827">
        <v>0.56238699999999997</v>
      </c>
      <c r="F3827" t="s">
        <v>46</v>
      </c>
      <c r="G3827">
        <v>-319.9973</v>
      </c>
      <c r="H3827" s="1">
        <v>-1.5382409999999901E-6</v>
      </c>
      <c r="I3827">
        <v>214.50450000000001</v>
      </c>
      <c r="J3827">
        <v>-335.89710000000002</v>
      </c>
      <c r="K3827">
        <v>1.110125</v>
      </c>
      <c r="L3827">
        <v>214.6207</v>
      </c>
      <c r="M3827">
        <v>0.99961820000000001</v>
      </c>
      <c r="N3827">
        <v>-1.552537E-2</v>
      </c>
      <c r="O3827">
        <v>2.2855299999999999E-2</v>
      </c>
      <c r="P3827">
        <v>0.95484020000000003</v>
      </c>
      <c r="Q3827">
        <v>0.28288360000000001</v>
      </c>
      <c r="R3827">
        <v>9.0867619999999996E-2</v>
      </c>
      <c r="S3827">
        <v>3.209473</v>
      </c>
      <c r="T3827">
        <v>-0.21978500000000001</v>
      </c>
      <c r="U3827">
        <v>-2.1606449999999999E-2</v>
      </c>
      <c r="V3827">
        <v>-6.8853059999999994E-2</v>
      </c>
      <c r="W3827">
        <v>0.29774020000000001</v>
      </c>
      <c r="X3827">
        <v>0.95216069999999997</v>
      </c>
      <c r="Y3827">
        <v>2.9471000000000001E-2</v>
      </c>
      <c r="Z3827">
        <v>-2.4456780000000002E-3</v>
      </c>
      <c r="AA3827">
        <v>0.99956259999999997</v>
      </c>
      <c r="AB3827">
        <v>45</v>
      </c>
      <c r="AC3827">
        <v>15.899800000000001</v>
      </c>
      <c r="AD3827">
        <v>-1.1101265382409999</v>
      </c>
      <c r="AE3827">
        <v>-0.116199999999992</v>
      </c>
      <c r="AF3827">
        <v>0.47728159748649601</v>
      </c>
      <c r="AG3827">
        <v>-1.1101265382409999</v>
      </c>
      <c r="AH3827">
        <v>15.815893542285499</v>
      </c>
      <c r="AI3827">
        <v>94.013217278466897</v>
      </c>
      <c r="AJ3827">
        <v>88.271490353020994</v>
      </c>
      <c r="AK3827">
        <v>15.8619881223986</v>
      </c>
      <c r="AL3827">
        <v>72.6780749856227</v>
      </c>
      <c r="AM3827">
        <v>94.135998266608397</v>
      </c>
      <c r="AN3827">
        <v>0.99999998459594597</v>
      </c>
    </row>
    <row r="3828" spans="1:40" x14ac:dyDescent="0.25">
      <c r="A3828" t="str">
        <f>"20190304164927939"</f>
        <v>20190304164927939</v>
      </c>
      <c r="B3828" t="str">
        <f>"1551689367929745"</f>
        <v>1551689367929745</v>
      </c>
      <c r="C3828" t="s">
        <v>40</v>
      </c>
      <c r="D3828">
        <v>4.3385480000000003</v>
      </c>
      <c r="E3828">
        <v>0.56266490000000002</v>
      </c>
      <c r="F3828" t="s">
        <v>41</v>
      </c>
      <c r="G3828">
        <v>-334.98399999999998</v>
      </c>
      <c r="H3828">
        <v>1.044</v>
      </c>
      <c r="I3828">
        <v>214.5899</v>
      </c>
      <c r="J3828">
        <v>-335.62990000000002</v>
      </c>
      <c r="K3828">
        <v>1.1101219999999901</v>
      </c>
      <c r="L3828">
        <v>214.6267</v>
      </c>
      <c r="M3828">
        <v>0.99962070000000003</v>
      </c>
      <c r="N3828">
        <v>-1.5524700000000001E-2</v>
      </c>
      <c r="O3828">
        <v>2.2750469999999998E-2</v>
      </c>
      <c r="P3828">
        <v>0.95468140000000001</v>
      </c>
      <c r="Q3828">
        <v>0.283495</v>
      </c>
      <c r="R3828">
        <v>9.0632530000000003E-2</v>
      </c>
      <c r="S3828">
        <v>3.2213129999999999</v>
      </c>
      <c r="T3828">
        <v>-0.23343920000000001</v>
      </c>
      <c r="U3828">
        <v>-0.1076202</v>
      </c>
      <c r="V3828">
        <v>-6.8721790000000005E-2</v>
      </c>
      <c r="W3828">
        <v>0.29834830000000001</v>
      </c>
      <c r="X3828">
        <v>0.95197980000000004</v>
      </c>
      <c r="Y3828">
        <v>5.5907310000000002E-2</v>
      </c>
      <c r="Z3828">
        <v>-3.7506639999999999E-3</v>
      </c>
      <c r="AA3828">
        <v>0.99842889999999995</v>
      </c>
      <c r="AB3828">
        <v>45</v>
      </c>
      <c r="AC3828">
        <v>0.64589999999998304</v>
      </c>
      <c r="AD3828">
        <v>-6.6121999999999695E-2</v>
      </c>
      <c r="AE3828">
        <v>-3.67999999999995E-2</v>
      </c>
      <c r="AF3828">
        <v>5.0954496149632801E-2</v>
      </c>
      <c r="AG3828">
        <v>-6.6121999999999695E-2</v>
      </c>
      <c r="AH3828">
        <v>0.63822847201661603</v>
      </c>
      <c r="AI3828">
        <v>95.8962492900597</v>
      </c>
      <c r="AJ3828">
        <v>85.435336413396897</v>
      </c>
      <c r="AK3828">
        <v>0.64366455709051396</v>
      </c>
      <c r="AL3828">
        <v>72.641574219212302</v>
      </c>
      <c r="AM3828">
        <v>94.128921911617397</v>
      </c>
      <c r="AN3828">
        <v>0.99999996607086605</v>
      </c>
    </row>
    <row r="3829" spans="1:40" x14ac:dyDescent="0.25">
      <c r="A3829" t="str">
        <f>"20190304164927956"</f>
        <v>20190304164927956</v>
      </c>
      <c r="B3829" t="str">
        <f>"1551689367949264"</f>
        <v>1551689367949264</v>
      </c>
      <c r="C3829" t="s">
        <v>40</v>
      </c>
      <c r="D3829">
        <v>4.3381589999999903</v>
      </c>
      <c r="E3829">
        <v>0.56310789999999999</v>
      </c>
      <c r="F3829" t="s">
        <v>41</v>
      </c>
      <c r="G3829">
        <v>-334.59010000000001</v>
      </c>
      <c r="H3829">
        <v>1.0355179999999999</v>
      </c>
      <c r="I3829">
        <v>214.5909</v>
      </c>
      <c r="J3829">
        <v>-335.2937</v>
      </c>
      <c r="K3829">
        <v>1.110123</v>
      </c>
      <c r="L3829">
        <v>214.6343</v>
      </c>
      <c r="M3829">
        <v>0.9996237</v>
      </c>
      <c r="N3829">
        <v>-1.552358E-2</v>
      </c>
      <c r="O3829">
        <v>2.2618829999999999E-2</v>
      </c>
      <c r="P3829">
        <v>0.95469130000000002</v>
      </c>
      <c r="Q3829">
        <v>0.28357739999999998</v>
      </c>
      <c r="R3829">
        <v>9.0268580000000001E-2</v>
      </c>
      <c r="S3829">
        <v>3.221527</v>
      </c>
      <c r="T3829">
        <v>-0.2311416</v>
      </c>
      <c r="U3829">
        <v>-0.1104431</v>
      </c>
      <c r="V3829">
        <v>-6.8483470000000005E-2</v>
      </c>
      <c r="W3829">
        <v>0.29842929999999901</v>
      </c>
      <c r="X3829">
        <v>0.95197169999999998</v>
      </c>
      <c r="Y3829">
        <v>5.6649480000000002E-2</v>
      </c>
      <c r="Z3829">
        <v>-3.7393109999999999E-3</v>
      </c>
      <c r="AA3829">
        <v>0.99838709999999997</v>
      </c>
      <c r="AB3829">
        <v>45</v>
      </c>
      <c r="AC3829">
        <v>0.70359999999999401</v>
      </c>
      <c r="AD3829">
        <v>-7.4605000000000005E-2</v>
      </c>
      <c r="AE3829">
        <v>-4.3399999999991203E-2</v>
      </c>
      <c r="AF3829">
        <v>5.8648530411013498E-2</v>
      </c>
      <c r="AG3829">
        <v>-7.4605000000000005E-2</v>
      </c>
      <c r="AH3829">
        <v>0.69465770360809098</v>
      </c>
      <c r="AI3829">
        <v>96.108401500999904</v>
      </c>
      <c r="AJ3829">
        <v>85.174079218720493</v>
      </c>
      <c r="AK3829">
        <v>0.70110974984408703</v>
      </c>
      <c r="AL3829">
        <v>72.636713702863005</v>
      </c>
      <c r="AM3829">
        <v>94.114687395639706</v>
      </c>
      <c r="AN3829">
        <v>1.0000000751813001</v>
      </c>
    </row>
    <row r="3830" spans="1:40" x14ac:dyDescent="0.25">
      <c r="A3830" t="str">
        <f>"20190304164927980"</f>
        <v>20190304164927980</v>
      </c>
      <c r="B3830" t="str">
        <f>"1551689367969760"</f>
        <v>1551689367969760</v>
      </c>
      <c r="C3830" t="s">
        <v>40</v>
      </c>
      <c r="D3830">
        <v>4.3598910000000002</v>
      </c>
      <c r="E3830">
        <v>0.56307890000000005</v>
      </c>
      <c r="F3830" t="s">
        <v>41</v>
      </c>
      <c r="G3830">
        <v>-334.19389999999999</v>
      </c>
      <c r="H3830">
        <v>1.0308109999999999</v>
      </c>
      <c r="I3830">
        <v>214.5949</v>
      </c>
      <c r="J3830">
        <v>-334.82659999999998</v>
      </c>
      <c r="K3830">
        <v>1.1101299999999901</v>
      </c>
      <c r="L3830">
        <v>214.6447</v>
      </c>
      <c r="M3830">
        <v>0.99962799999999996</v>
      </c>
      <c r="N3830">
        <v>-1.552152E-2</v>
      </c>
      <c r="O3830">
        <v>2.2435879999999998E-2</v>
      </c>
      <c r="P3830">
        <v>0.95465009999999995</v>
      </c>
      <c r="Q3830">
        <v>0.28389769999999998</v>
      </c>
      <c r="R3830">
        <v>8.9697269999999996E-2</v>
      </c>
      <c r="S3830">
        <v>3.2222900000000001</v>
      </c>
      <c r="T3830">
        <v>-0.2324164</v>
      </c>
      <c r="U3830">
        <v>-0.11473079999999999</v>
      </c>
      <c r="V3830">
        <v>-6.808873E-2</v>
      </c>
      <c r="W3830">
        <v>0.29874650000000003</v>
      </c>
      <c r="X3830">
        <v>0.95190050000000004</v>
      </c>
      <c r="Y3830">
        <v>5.7780060000000001E-2</v>
      </c>
      <c r="Z3830">
        <v>-3.7976199999999998E-3</v>
      </c>
      <c r="AA3830">
        <v>0.99832209999999999</v>
      </c>
      <c r="AB3830">
        <v>45</v>
      </c>
      <c r="AC3830">
        <v>0.63269999999999904</v>
      </c>
      <c r="AD3830">
        <v>-7.9318999999999695E-2</v>
      </c>
      <c r="AE3830">
        <v>-4.9800000000004702E-2</v>
      </c>
      <c r="AF3830">
        <v>6.3000295667775305E-2</v>
      </c>
      <c r="AG3830">
        <v>-7.9318999999999695E-2</v>
      </c>
      <c r="AH3830">
        <v>0.62171221614615102</v>
      </c>
      <c r="AI3830">
        <v>97.233954786711493</v>
      </c>
      <c r="AJ3830">
        <v>84.213767546741394</v>
      </c>
      <c r="AK3830">
        <v>0.62991001001776903</v>
      </c>
      <c r="AL3830">
        <v>72.617670408760404</v>
      </c>
      <c r="AM3830">
        <v>94.091355984103203</v>
      </c>
      <c r="AN3830">
        <v>1.0000000541577501</v>
      </c>
    </row>
    <row r="3831" spans="1:40" x14ac:dyDescent="0.25">
      <c r="A3831" t="str">
        <f>"20190304164928000"</f>
        <v>20190304164928000</v>
      </c>
      <c r="B3831" t="str">
        <f>"1551689367989280"</f>
        <v>1551689367989280</v>
      </c>
      <c r="C3831" t="s">
        <v>40</v>
      </c>
      <c r="D3831">
        <v>4.3671499999999996</v>
      </c>
      <c r="E3831">
        <v>0.56302419999999997</v>
      </c>
      <c r="F3831" t="s">
        <v>41</v>
      </c>
      <c r="G3831">
        <v>-333.79309999999998</v>
      </c>
      <c r="H3831">
        <v>1.036424</v>
      </c>
      <c r="I3831">
        <v>214.60730000000001</v>
      </c>
      <c r="J3831">
        <v>-334.40769999999998</v>
      </c>
      <c r="K3831">
        <v>1.1101399999999999</v>
      </c>
      <c r="L3831">
        <v>214.65389999999999</v>
      </c>
      <c r="M3831">
        <v>0.99963150000000001</v>
      </c>
      <c r="N3831">
        <v>-1.551929E-2</v>
      </c>
      <c r="O3831">
        <v>2.2271880000000001E-2</v>
      </c>
      <c r="P3831">
        <v>0.95459709999999998</v>
      </c>
      <c r="Q3831">
        <v>0.2841688</v>
      </c>
      <c r="R3831">
        <v>8.9401510000000003E-2</v>
      </c>
      <c r="S3831">
        <v>3.2217709999999999</v>
      </c>
      <c r="T3831">
        <v>-0.2297844</v>
      </c>
      <c r="U3831">
        <v>-0.1161804</v>
      </c>
      <c r="V3831">
        <v>-6.79511E-2</v>
      </c>
      <c r="W3831">
        <v>0.29901450000000002</v>
      </c>
      <c r="X3831">
        <v>0.95182619999999896</v>
      </c>
      <c r="Y3831">
        <v>5.8074649999999998E-2</v>
      </c>
      <c r="Z3831">
        <v>-3.7600419999999999E-3</v>
      </c>
      <c r="AA3831">
        <v>0.99830509999999995</v>
      </c>
      <c r="AB3831">
        <v>45</v>
      </c>
      <c r="AC3831">
        <v>0.61459999999999504</v>
      </c>
      <c r="AD3831">
        <v>-7.3715999999999796E-2</v>
      </c>
      <c r="AE3831">
        <v>-4.6599999999983703E-2</v>
      </c>
      <c r="AF3831">
        <v>5.9428338150666997E-2</v>
      </c>
      <c r="AG3831">
        <v>-7.3715999999999796E-2</v>
      </c>
      <c r="AH3831">
        <v>0.60475921454868498</v>
      </c>
      <c r="AI3831">
        <v>96.916688122395399</v>
      </c>
      <c r="AJ3831">
        <v>84.387690539963202</v>
      </c>
      <c r="AK3831">
        <v>0.61212701591491003</v>
      </c>
      <c r="AL3831">
        <v>72.601579908809299</v>
      </c>
      <c r="AM3831">
        <v>94.0834316420313</v>
      </c>
      <c r="AN3831">
        <v>1.0000000691039399</v>
      </c>
    </row>
    <row r="3832" spans="1:40" x14ac:dyDescent="0.25">
      <c r="A3832" t="str">
        <f>"20190304164928023"</f>
        <v>20190304164928023</v>
      </c>
      <c r="B3832" t="str">
        <f>"1551689368009777"</f>
        <v>1551689368009777</v>
      </c>
      <c r="C3832" t="s">
        <v>40</v>
      </c>
      <c r="D3832">
        <v>4.3772789999999997</v>
      </c>
      <c r="E3832">
        <v>0.56295649999999997</v>
      </c>
      <c r="F3832" t="s">
        <v>41</v>
      </c>
      <c r="G3832">
        <v>-333.39440000000002</v>
      </c>
      <c r="H3832">
        <v>1.0384370000000001</v>
      </c>
      <c r="I3832">
        <v>214.61709999999999</v>
      </c>
      <c r="J3832">
        <v>-333.97879999999998</v>
      </c>
      <c r="K3832">
        <v>1.110144</v>
      </c>
      <c r="L3832">
        <v>214.6634</v>
      </c>
      <c r="M3832">
        <v>0.9996353</v>
      </c>
      <c r="N3832">
        <v>-1.551668E-2</v>
      </c>
      <c r="O3832">
        <v>2.2103709999999999E-2</v>
      </c>
      <c r="P3832">
        <v>0.95462420000000003</v>
      </c>
      <c r="Q3832">
        <v>0.28417969999999998</v>
      </c>
      <c r="R3832">
        <v>8.9077989999999996E-2</v>
      </c>
      <c r="S3832">
        <v>3.2215579999999999</v>
      </c>
      <c r="T3832">
        <v>-0.22804489999999999</v>
      </c>
      <c r="U3832">
        <v>-0.1165924</v>
      </c>
      <c r="V3832">
        <v>-6.778845E-2</v>
      </c>
      <c r="W3832">
        <v>0.29902230000000002</v>
      </c>
      <c r="X3832">
        <v>0.95183530000000005</v>
      </c>
      <c r="Y3832">
        <v>5.8040050000000003E-2</v>
      </c>
      <c r="Z3832">
        <v>-3.7218809999999998E-3</v>
      </c>
      <c r="AA3832">
        <v>0.99830730000000001</v>
      </c>
      <c r="AB3832">
        <v>45</v>
      </c>
      <c r="AC3832">
        <v>0.58439999999995895</v>
      </c>
      <c r="AD3832">
        <v>-7.1706999999999896E-2</v>
      </c>
      <c r="AE3832">
        <v>-4.6300000000002201E-2</v>
      </c>
      <c r="AF3832">
        <v>5.8334851252066701E-2</v>
      </c>
      <c r="AG3832">
        <v>-7.1706999999999896E-2</v>
      </c>
      <c r="AH3832">
        <v>0.57463604526371603</v>
      </c>
      <c r="AI3832">
        <v>97.076988196578995</v>
      </c>
      <c r="AJ3832">
        <v>84.203409716745199</v>
      </c>
      <c r="AK3832">
        <v>0.58202356759492502</v>
      </c>
      <c r="AL3832">
        <v>72.601110765994207</v>
      </c>
      <c r="AM3832">
        <v>94.073651535597705</v>
      </c>
      <c r="AN3832">
        <v>1.0000000240883899</v>
      </c>
    </row>
    <row r="3833" spans="1:40" x14ac:dyDescent="0.25">
      <c r="A3833" t="str">
        <f>"20190304164928045"</f>
        <v>20190304164928045</v>
      </c>
      <c r="B3833" t="str">
        <f>"1551689368040032"</f>
        <v>1551689368040032</v>
      </c>
      <c r="C3833" t="s">
        <v>40</v>
      </c>
      <c r="D3833">
        <v>4.3734159999999997</v>
      </c>
      <c r="E3833">
        <v>0.56299639999999995</v>
      </c>
      <c r="F3833" t="s">
        <v>41</v>
      </c>
      <c r="G3833">
        <v>-332.99619999999999</v>
      </c>
      <c r="H3833">
        <v>1.0404679999999999</v>
      </c>
      <c r="I3833">
        <v>214.62780000000001</v>
      </c>
      <c r="J3833">
        <v>-333.52980000000002</v>
      </c>
      <c r="K3833">
        <v>1.1101490000000001</v>
      </c>
      <c r="L3833">
        <v>214.67320000000001</v>
      </c>
      <c r="M3833">
        <v>0.99963930000000001</v>
      </c>
      <c r="N3833">
        <v>-1.551363E-2</v>
      </c>
      <c r="O3833">
        <v>2.192757E-2</v>
      </c>
      <c r="P3833">
        <v>0.95460869999999998</v>
      </c>
      <c r="Q3833">
        <v>0.284445</v>
      </c>
      <c r="R3833">
        <v>8.839458E-2</v>
      </c>
      <c r="S3833">
        <v>3.2214360000000002</v>
      </c>
      <c r="T3833">
        <v>-0.22841929999999999</v>
      </c>
      <c r="U3833">
        <v>-0.1165161</v>
      </c>
      <c r="V3833">
        <v>-6.727387E-2</v>
      </c>
      <c r="W3833">
        <v>0.29928389999999999</v>
      </c>
      <c r="X3833">
        <v>0.95178960000000001</v>
      </c>
      <c r="Y3833">
        <v>5.7842079999999997E-2</v>
      </c>
      <c r="Z3833">
        <v>-3.7096310000000001E-3</v>
      </c>
      <c r="AA3833">
        <v>0.99831890000000001</v>
      </c>
      <c r="AB3833">
        <v>44</v>
      </c>
      <c r="AC3833">
        <v>0.53360000000003505</v>
      </c>
      <c r="AD3833">
        <v>-6.9681000000000104E-2</v>
      </c>
      <c r="AE3833">
        <v>-4.5400000000000697E-2</v>
      </c>
      <c r="AF3833">
        <v>5.61405634161595E-2</v>
      </c>
      <c r="AG3833">
        <v>-6.9681000000000104E-2</v>
      </c>
      <c r="AH3833">
        <v>0.52361114802087905</v>
      </c>
      <c r="AI3833">
        <v>97.537555503920899</v>
      </c>
      <c r="AJ3833">
        <v>83.880237436209399</v>
      </c>
      <c r="AK3833">
        <v>0.53120225804624299</v>
      </c>
      <c r="AL3833">
        <v>72.585403035880205</v>
      </c>
      <c r="AM3833">
        <v>94.043024974225105</v>
      </c>
      <c r="AN3833">
        <v>1.00000003452607</v>
      </c>
    </row>
    <row r="3834" spans="1:40" x14ac:dyDescent="0.25">
      <c r="A3834" t="str">
        <f>"20190304164928069"</f>
        <v>20190304164928069</v>
      </c>
      <c r="B3834" t="str">
        <f>"1551689368059552"</f>
        <v>1551689368059552</v>
      </c>
      <c r="C3834" t="s">
        <v>40</v>
      </c>
      <c r="D3834">
        <v>5.0252949999999998</v>
      </c>
      <c r="E3834">
        <v>0.56242819999999905</v>
      </c>
      <c r="F3834" t="s">
        <v>41</v>
      </c>
      <c r="G3834">
        <v>-332.5967</v>
      </c>
      <c r="H3834">
        <v>1.044019</v>
      </c>
      <c r="I3834">
        <v>214.63849999999999</v>
      </c>
      <c r="J3834">
        <v>-333.05739999999997</v>
      </c>
      <c r="K3834">
        <v>1.110152</v>
      </c>
      <c r="L3834">
        <v>214.6833</v>
      </c>
      <c r="M3834">
        <v>0.99964330000000001</v>
      </c>
      <c r="N3834">
        <v>-1.5510110000000001E-2</v>
      </c>
      <c r="O3834">
        <v>2.1742190000000002E-2</v>
      </c>
      <c r="P3834">
        <v>0.95460739999999999</v>
      </c>
      <c r="Q3834">
        <v>0.28454879999999999</v>
      </c>
      <c r="R3834">
        <v>8.8072049999999999E-2</v>
      </c>
      <c r="S3834">
        <v>3.2217099999999999</v>
      </c>
      <c r="T3834">
        <v>-0.2284833</v>
      </c>
      <c r="U3834">
        <v>-0.1184692</v>
      </c>
      <c r="V3834">
        <v>-6.7129149999999999E-2</v>
      </c>
      <c r="W3834">
        <v>0.29938399999999998</v>
      </c>
      <c r="X3834">
        <v>0.95176830000000001</v>
      </c>
      <c r="Y3834">
        <v>5.8257219999999998E-2</v>
      </c>
      <c r="Z3834">
        <v>-3.7179470000000001E-3</v>
      </c>
      <c r="AA3834">
        <v>0.99829469999999998</v>
      </c>
      <c r="AB3834">
        <v>44</v>
      </c>
      <c r="AC3834">
        <v>0.46069999999997402</v>
      </c>
      <c r="AD3834">
        <v>-6.6132999999999997E-2</v>
      </c>
      <c r="AE3834">
        <v>-4.4800000000009201E-2</v>
      </c>
      <c r="AF3834">
        <v>5.3710825682556501E-2</v>
      </c>
      <c r="AG3834">
        <v>-6.6132999999999997E-2</v>
      </c>
      <c r="AH3834">
        <v>0.45042231102977498</v>
      </c>
      <c r="AI3834">
        <v>98.2948008273585</v>
      </c>
      <c r="AJ3834">
        <v>83.199847383127505</v>
      </c>
      <c r="AK3834">
        <v>0.45840886199756797</v>
      </c>
      <c r="AL3834">
        <v>72.579391489820793</v>
      </c>
      <c r="AM3834">
        <v>94.034446329957603</v>
      </c>
      <c r="AN3834">
        <v>0.99999999956030605</v>
      </c>
    </row>
    <row r="3835" spans="1:40" x14ac:dyDescent="0.25">
      <c r="A3835" t="str">
        <f>"20190304164928088"</f>
        <v>20190304164928088</v>
      </c>
      <c r="B3835" t="str">
        <f>"1551689368080052"</f>
        <v>1551689368080052</v>
      </c>
      <c r="C3835" t="s">
        <v>40</v>
      </c>
      <c r="D3835">
        <v>4.3821479999999999</v>
      </c>
      <c r="E3835">
        <v>0.56243719999999997</v>
      </c>
      <c r="F3835" t="s">
        <v>47</v>
      </c>
      <c r="G3835">
        <v>-311.86579999999998</v>
      </c>
      <c r="H3835" s="1">
        <v>1.7330749999999999E-6</v>
      </c>
      <c r="I3835">
        <v>213.88239999999999</v>
      </c>
      <c r="J3835">
        <v>-332.66140000000001</v>
      </c>
      <c r="K3835">
        <v>1.1101559999999999</v>
      </c>
      <c r="L3835">
        <v>214.6918</v>
      </c>
      <c r="M3835">
        <v>0.9996467</v>
      </c>
      <c r="N3835">
        <v>-1.550695E-2</v>
      </c>
      <c r="O3835">
        <v>2.1587200000000001E-2</v>
      </c>
      <c r="P3835">
        <v>0.95482610000000001</v>
      </c>
      <c r="Q3835">
        <v>0.28405530000000001</v>
      </c>
      <c r="R3835">
        <v>8.7292759999999997E-2</v>
      </c>
      <c r="S3835">
        <v>3.2038570000000002</v>
      </c>
      <c r="T3835">
        <v>-0.16783909999999999</v>
      </c>
      <c r="U3835">
        <v>-0.1210938</v>
      </c>
      <c r="V3835">
        <v>-6.6494570000000003E-2</v>
      </c>
      <c r="W3835">
        <v>0.29888979999999998</v>
      </c>
      <c r="X3835">
        <v>0.95196809999999998</v>
      </c>
      <c r="Y3835">
        <v>5.921506E-2</v>
      </c>
      <c r="Z3835">
        <v>-2.8044179999999999E-3</v>
      </c>
      <c r="AA3835">
        <v>0.9982413</v>
      </c>
      <c r="AB3835">
        <v>44</v>
      </c>
      <c r="AC3835">
        <v>20.7956</v>
      </c>
      <c r="AD3835">
        <v>-1.110154266925</v>
      </c>
      <c r="AE3835">
        <v>-0.80940000000001</v>
      </c>
      <c r="AF3835">
        <v>1.25461403294575</v>
      </c>
      <c r="AG3835">
        <v>-1.110154266925</v>
      </c>
      <c r="AH3835">
        <v>20.714334348780898</v>
      </c>
      <c r="AI3835">
        <v>93.062147343423803</v>
      </c>
      <c r="AJ3835">
        <v>86.533975914008295</v>
      </c>
      <c r="AK3835">
        <v>20.7819668554523</v>
      </c>
      <c r="AL3835">
        <v>72.609064991950405</v>
      </c>
      <c r="AM3835">
        <v>93.995596326850006</v>
      </c>
      <c r="AN3835">
        <v>0.99999995190056601</v>
      </c>
    </row>
    <row r="3836" spans="1:40" x14ac:dyDescent="0.25">
      <c r="A3836" t="str">
        <f>"20190304164928103"</f>
        <v>20190304164928103</v>
      </c>
      <c r="B3836" t="str">
        <f>"1551689368089809"</f>
        <v>1551689368089809</v>
      </c>
      <c r="C3836" t="s">
        <v>40</v>
      </c>
      <c r="D3836">
        <v>4.4114399999999998</v>
      </c>
      <c r="E3836">
        <v>0.5623804</v>
      </c>
      <c r="F3836" t="s">
        <v>47</v>
      </c>
      <c r="G3836">
        <v>-312.18680000000001</v>
      </c>
      <c r="H3836" s="1">
        <v>1.875419E-6</v>
      </c>
      <c r="I3836">
        <v>213.90389999999999</v>
      </c>
      <c r="J3836">
        <v>-332.38869999999997</v>
      </c>
      <c r="K3836">
        <v>1.110155</v>
      </c>
      <c r="L3836">
        <v>214.69759999999999</v>
      </c>
      <c r="M3836">
        <v>0.99964900000000001</v>
      </c>
      <c r="N3836">
        <v>-1.550467E-2</v>
      </c>
      <c r="O3836">
        <v>2.1481989999999999E-2</v>
      </c>
      <c r="P3836">
        <v>0.95494029999999996</v>
      </c>
      <c r="Q3836">
        <v>0.28374120000000003</v>
      </c>
      <c r="R3836">
        <v>8.7063479999999999E-2</v>
      </c>
      <c r="S3836">
        <v>3.2049259999999999</v>
      </c>
      <c r="T3836">
        <v>-0.1737747</v>
      </c>
      <c r="U3836">
        <v>-0.1233368</v>
      </c>
      <c r="V3836">
        <v>-6.6364329999999999E-2</v>
      </c>
      <c r="W3836">
        <v>0.29857499999999998</v>
      </c>
      <c r="X3836">
        <v>0.95207600000000003</v>
      </c>
      <c r="Y3836">
        <v>5.9785940000000003E-2</v>
      </c>
      <c r="Z3836">
        <v>-2.9139280000000001E-3</v>
      </c>
      <c r="AA3836">
        <v>0.99820699999999996</v>
      </c>
      <c r="AB3836">
        <v>44</v>
      </c>
      <c r="AC3836">
        <v>20.201899999999899</v>
      </c>
      <c r="AD3836">
        <v>-1.1101531245809999</v>
      </c>
      <c r="AE3836">
        <v>-0.79370000000000096</v>
      </c>
      <c r="AF3836">
        <v>1.22385585476283</v>
      </c>
      <c r="AG3836">
        <v>-1.1101531245809999</v>
      </c>
      <c r="AH3836">
        <v>20.119520958941401</v>
      </c>
      <c r="AI3836">
        <v>93.152443606065106</v>
      </c>
      <c r="AJ3836">
        <v>86.519028527061295</v>
      </c>
      <c r="AK3836">
        <v>20.1872580290275</v>
      </c>
      <c r="AL3836">
        <v>72.627965270205607</v>
      </c>
      <c r="AM3836">
        <v>93.987345117178407</v>
      </c>
      <c r="AN3836">
        <v>0.99999998234867404</v>
      </c>
    </row>
    <row r="3837" spans="1:40" x14ac:dyDescent="0.25">
      <c r="A3837" t="str">
        <f>"20190304164928117"</f>
        <v>20190304164928117</v>
      </c>
      <c r="B3837" t="str">
        <f>"1551689368109329"</f>
        <v>1551689368109329</v>
      </c>
      <c r="C3837" t="s">
        <v>40</v>
      </c>
      <c r="D3837">
        <v>4.438466</v>
      </c>
      <c r="E3837">
        <v>0.56232729999999997</v>
      </c>
      <c r="F3837" t="s">
        <v>47</v>
      </c>
      <c r="G3837">
        <v>-312.38010000000003</v>
      </c>
      <c r="H3837" s="1">
        <v>1.9611090000000002E-6</v>
      </c>
      <c r="I3837">
        <v>213.9273</v>
      </c>
      <c r="J3837">
        <v>-332.11259999999999</v>
      </c>
      <c r="K3837">
        <v>1.110155</v>
      </c>
      <c r="L3837">
        <v>214.70349999999999</v>
      </c>
      <c r="M3837">
        <v>0.99965139999999997</v>
      </c>
      <c r="N3837">
        <v>-1.55023E-2</v>
      </c>
      <c r="O3837">
        <v>2.1376659999999999E-2</v>
      </c>
      <c r="P3837">
        <v>0.95508839999999995</v>
      </c>
      <c r="Q3837">
        <v>0.28334730000000002</v>
      </c>
      <c r="R3837">
        <v>8.6722499999999994E-2</v>
      </c>
      <c r="S3837">
        <v>3.2056269999999998</v>
      </c>
      <c r="T3837">
        <v>-0.17785999999999999</v>
      </c>
      <c r="U3837">
        <v>-0.1234131</v>
      </c>
      <c r="V3837">
        <v>-6.6122280000000005E-2</v>
      </c>
      <c r="W3837">
        <v>0.29818080000000002</v>
      </c>
      <c r="X3837">
        <v>0.95221639999999996</v>
      </c>
      <c r="Y3837">
        <v>5.9690569999999998E-2</v>
      </c>
      <c r="Z3837">
        <v>-2.9710409999999998E-3</v>
      </c>
      <c r="AA3837">
        <v>0.99821249999999995</v>
      </c>
      <c r="AB3837">
        <v>44</v>
      </c>
      <c r="AC3837">
        <v>19.732499999999899</v>
      </c>
      <c r="AD3837">
        <v>-1.1101530388909999</v>
      </c>
      <c r="AE3837">
        <v>-0.77619999999998801</v>
      </c>
      <c r="AF3837">
        <v>1.1941144108756501</v>
      </c>
      <c r="AG3837">
        <v>-1.1101530388909999</v>
      </c>
      <c r="AH3837">
        <v>19.6492974318523</v>
      </c>
      <c r="AI3837">
        <v>93.227737523562197</v>
      </c>
      <c r="AJ3837">
        <v>86.522334878343997</v>
      </c>
      <c r="AK3837">
        <v>19.716826280145099</v>
      </c>
      <c r="AL3837">
        <v>72.651629686899497</v>
      </c>
      <c r="AM3837">
        <v>93.972264862002405</v>
      </c>
      <c r="AN3837">
        <v>1.0000000089149901</v>
      </c>
    </row>
    <row r="3838" spans="1:40" x14ac:dyDescent="0.25">
      <c r="A3838" t="str">
        <f>"20190304164928134"</f>
        <v>20190304164928134</v>
      </c>
      <c r="B3838" t="str">
        <f>"1551689368129824"</f>
        <v>1551689368129824</v>
      </c>
      <c r="C3838" t="s">
        <v>40</v>
      </c>
      <c r="D3838">
        <v>4.380865</v>
      </c>
      <c r="E3838">
        <v>0.56276979999999999</v>
      </c>
      <c r="F3838" t="s">
        <v>41</v>
      </c>
      <c r="G3838">
        <v>-331.01029999999997</v>
      </c>
      <c r="H3838">
        <v>1.0483119999999999</v>
      </c>
      <c r="I3838">
        <v>214.66030000000001</v>
      </c>
      <c r="J3838">
        <v>-331.7647</v>
      </c>
      <c r="K3838">
        <v>1.1101620000000001</v>
      </c>
      <c r="L3838">
        <v>214.71080000000001</v>
      </c>
      <c r="M3838">
        <v>0.99965420000000005</v>
      </c>
      <c r="N3838">
        <v>-1.5499300000000001E-2</v>
      </c>
      <c r="O3838">
        <v>2.124819E-2</v>
      </c>
      <c r="P3838">
        <v>0.9552583</v>
      </c>
      <c r="Q3838">
        <v>0.2828214</v>
      </c>
      <c r="R3838">
        <v>8.6568450000000005E-2</v>
      </c>
      <c r="S3838">
        <v>3.2057799999999999</v>
      </c>
      <c r="T3838">
        <v>-0.17998729999999999</v>
      </c>
      <c r="U3838">
        <v>-0.1243591</v>
      </c>
      <c r="V3838">
        <v>-6.609052E-2</v>
      </c>
      <c r="W3838">
        <v>0.29765370000000002</v>
      </c>
      <c r="X3838">
        <v>0.95238350000000005</v>
      </c>
      <c r="Y3838">
        <v>5.9851330000000001E-2</v>
      </c>
      <c r="Z3838">
        <v>-3.0053240000000002E-3</v>
      </c>
      <c r="AA3838">
        <v>0.99820279999999995</v>
      </c>
      <c r="AB3838">
        <v>44</v>
      </c>
      <c r="AC3838">
        <v>0.75440000000003204</v>
      </c>
      <c r="AD3838">
        <v>-6.1849999999999898E-2</v>
      </c>
      <c r="AE3838">
        <v>-5.0499999999999497E-2</v>
      </c>
      <c r="AF3838">
        <v>6.6077982525896903E-2</v>
      </c>
      <c r="AG3838">
        <v>-6.1849999999999898E-2</v>
      </c>
      <c r="AH3838">
        <v>0.74815010598338405</v>
      </c>
      <c r="AI3838">
        <v>94.707685091200702</v>
      </c>
      <c r="AJ3838">
        <v>84.952629430620206</v>
      </c>
      <c r="AK3838">
        <v>0.75360487216952199</v>
      </c>
      <c r="AL3838">
        <v>72.683266840961295</v>
      </c>
      <c r="AM3838">
        <v>93.969668607650206</v>
      </c>
      <c r="AN3838">
        <v>1.0000000065149</v>
      </c>
    </row>
    <row r="3839" spans="1:40" x14ac:dyDescent="0.25">
      <c r="A3839" t="str">
        <f>"20190304164928158"</f>
        <v>20190304164928158</v>
      </c>
      <c r="B3839" t="str">
        <f>"1551689368149344"</f>
        <v>1551689368149344</v>
      </c>
      <c r="C3839" t="s">
        <v>40</v>
      </c>
      <c r="D3839">
        <v>4.3342150000000004</v>
      </c>
      <c r="E3839">
        <v>0.56265010000000004</v>
      </c>
      <c r="F3839" t="s">
        <v>47</v>
      </c>
      <c r="G3839">
        <v>-316.95359999999999</v>
      </c>
      <c r="H3839" s="1">
        <v>3.9892909999999996E-6</v>
      </c>
      <c r="I3839">
        <v>214.14570000000001</v>
      </c>
      <c r="J3839">
        <v>-331.30770000000001</v>
      </c>
      <c r="K3839">
        <v>1.110161</v>
      </c>
      <c r="L3839">
        <v>214.72040000000001</v>
      </c>
      <c r="M3839">
        <v>0.99965780000000004</v>
      </c>
      <c r="N3839">
        <v>-1.549508E-2</v>
      </c>
      <c r="O3839">
        <v>2.1085880000000001E-2</v>
      </c>
      <c r="P3839">
        <v>0.95537209999999995</v>
      </c>
      <c r="Q3839">
        <v>0.28253070000000002</v>
      </c>
      <c r="R3839">
        <v>8.6261309999999994E-2</v>
      </c>
      <c r="S3839">
        <v>3.2232059999999998</v>
      </c>
      <c r="T3839">
        <v>-0.24159340000000001</v>
      </c>
      <c r="U3839">
        <v>-0.12298580000000001</v>
      </c>
      <c r="V3839">
        <v>-6.5941089999999994E-2</v>
      </c>
      <c r="W3839">
        <v>0.297359599999999</v>
      </c>
      <c r="X3839">
        <v>0.95248569999999999</v>
      </c>
      <c r="Y3839">
        <v>5.8956599999999998E-2</v>
      </c>
      <c r="Z3839">
        <v>-3.9148799999999999E-3</v>
      </c>
      <c r="AA3839">
        <v>0.9982529</v>
      </c>
      <c r="AB3839">
        <v>44</v>
      </c>
      <c r="AC3839">
        <v>14.354100000000001</v>
      </c>
      <c r="AD3839">
        <v>-1.110157010709</v>
      </c>
      <c r="AE3839">
        <v>-0.57470000000000698</v>
      </c>
      <c r="AF3839">
        <v>0.87206928660410099</v>
      </c>
      <c r="AG3839">
        <v>-1.110157010709</v>
      </c>
      <c r="AH3839">
        <v>14.2536651773459</v>
      </c>
      <c r="AI3839">
        <v>94.445253717823505</v>
      </c>
      <c r="AJ3839">
        <v>86.498887573837493</v>
      </c>
      <c r="AK3839">
        <v>14.3234047773896</v>
      </c>
      <c r="AL3839">
        <v>72.700916316873204</v>
      </c>
      <c r="AM3839">
        <v>93.960298199199102</v>
      </c>
      <c r="AN3839">
        <v>0.99999998388351796</v>
      </c>
    </row>
    <row r="3840" spans="1:40" x14ac:dyDescent="0.25">
      <c r="A3840" t="str">
        <f>"20190304164928181"</f>
        <v>20190304164928181</v>
      </c>
      <c r="B3840" t="str">
        <f>"1551689368169847"</f>
        <v>1551689368169847</v>
      </c>
      <c r="C3840" t="s">
        <v>40</v>
      </c>
      <c r="D3840">
        <v>4.3952749999999998</v>
      </c>
      <c r="E3840">
        <v>0.56232109999999902</v>
      </c>
      <c r="F3840" t="s">
        <v>41</v>
      </c>
      <c r="G3840">
        <v>-330.233</v>
      </c>
      <c r="H3840">
        <v>1.0296989999999999</v>
      </c>
      <c r="I3840">
        <v>214.6789</v>
      </c>
      <c r="J3840">
        <v>-330.846</v>
      </c>
      <c r="K3840">
        <v>1.1101730000000001</v>
      </c>
      <c r="L3840">
        <v>214.73</v>
      </c>
      <c r="M3840">
        <v>0.99966100000000002</v>
      </c>
      <c r="N3840">
        <v>-1.54908999999999E-2</v>
      </c>
      <c r="O3840">
        <v>2.093194E-2</v>
      </c>
      <c r="P3840">
        <v>0.95542349999999998</v>
      </c>
      <c r="Q3840">
        <v>0.28227279999999999</v>
      </c>
      <c r="R3840">
        <v>8.6534719999999996E-2</v>
      </c>
      <c r="S3840">
        <v>3.2226560000000002</v>
      </c>
      <c r="T3840">
        <v>-0.24143819999999999</v>
      </c>
      <c r="U3840">
        <v>-0.1233215</v>
      </c>
      <c r="V3840">
        <v>-6.6366869999999994E-2</v>
      </c>
      <c r="W3840">
        <v>0.29709679999999999</v>
      </c>
      <c r="X3840">
        <v>0.95253810000000005</v>
      </c>
      <c r="Y3840">
        <v>5.891383E-2</v>
      </c>
      <c r="Z3840">
        <v>-3.9019929999999999E-3</v>
      </c>
      <c r="AA3840">
        <v>0.99825540000000001</v>
      </c>
      <c r="AB3840">
        <v>44</v>
      </c>
      <c r="AC3840">
        <v>0.61299999999999899</v>
      </c>
      <c r="AD3840">
        <v>-8.0473999999999907E-2</v>
      </c>
      <c r="AE3840">
        <v>-5.1099999999991E-2</v>
      </c>
      <c r="AF3840">
        <v>6.2845995307601696E-2</v>
      </c>
      <c r="AG3840">
        <v>-8.0473999999999907E-2</v>
      </c>
      <c r="AH3840">
        <v>0.60150108101153499</v>
      </c>
      <c r="AI3840">
        <v>97.579497364950299</v>
      </c>
      <c r="AJ3840">
        <v>84.035268025507804</v>
      </c>
      <c r="AK3840">
        <v>0.61010592052548396</v>
      </c>
      <c r="AL3840">
        <v>72.716685764953894</v>
      </c>
      <c r="AM3840">
        <v>93.985569036093693</v>
      </c>
      <c r="AN3840">
        <v>0.99999995097772199</v>
      </c>
    </row>
    <row r="3841" spans="1:40" x14ac:dyDescent="0.25">
      <c r="A3841" t="str">
        <f>"20190304164928202"</f>
        <v>20190304164928202</v>
      </c>
      <c r="B3841" t="str">
        <f>"1551689368189364"</f>
        <v>1551689368189364</v>
      </c>
      <c r="C3841" t="s">
        <v>40</v>
      </c>
      <c r="D3841">
        <v>4.408982</v>
      </c>
      <c r="E3841">
        <v>0.56238509999999997</v>
      </c>
      <c r="F3841" t="s">
        <v>41</v>
      </c>
      <c r="G3841">
        <v>-329.83339999999998</v>
      </c>
      <c r="H3841">
        <v>1.0417080000000001</v>
      </c>
      <c r="I3841">
        <v>214.69139999999999</v>
      </c>
      <c r="J3841">
        <v>-330.4452</v>
      </c>
      <c r="K3841">
        <v>1.110185</v>
      </c>
      <c r="L3841">
        <v>214.73830000000001</v>
      </c>
      <c r="M3841">
        <v>0.99966359999999999</v>
      </c>
      <c r="N3841">
        <v>-1.548691E-2</v>
      </c>
      <c r="O3841">
        <v>2.08057E-2</v>
      </c>
      <c r="P3841">
        <v>0.95528659999999999</v>
      </c>
      <c r="Q3841">
        <v>0.28245959999999998</v>
      </c>
      <c r="R3841">
        <v>8.7430339999999995E-2</v>
      </c>
      <c r="S3841">
        <v>3.215271</v>
      </c>
      <c r="T3841">
        <v>-0.21745059999999999</v>
      </c>
      <c r="U3841">
        <v>-0.12219240000000001</v>
      </c>
      <c r="V3841">
        <v>-6.7391190000000004E-2</v>
      </c>
      <c r="W3841">
        <v>0.29727759999999998</v>
      </c>
      <c r="X3841">
        <v>0.95240979999999997</v>
      </c>
      <c r="Y3841">
        <v>5.8568769999999999E-2</v>
      </c>
      <c r="Z3841">
        <v>-3.5151309999999999E-3</v>
      </c>
      <c r="AA3841">
        <v>0.99827719999999998</v>
      </c>
      <c r="AB3841">
        <v>44</v>
      </c>
      <c r="AC3841">
        <v>0.611800000000016</v>
      </c>
      <c r="AD3841">
        <v>-6.8476999999999899E-2</v>
      </c>
      <c r="AE3841">
        <v>-4.6900000000022098E-2</v>
      </c>
      <c r="AF3841">
        <v>5.8886893322629599E-2</v>
      </c>
      <c r="AG3841">
        <v>-6.8476999999999899E-2</v>
      </c>
      <c r="AH3841">
        <v>0.60317934393330896</v>
      </c>
      <c r="AI3841">
        <v>96.446485699603201</v>
      </c>
      <c r="AJ3841">
        <v>84.424026409587498</v>
      </c>
      <c r="AK3841">
        <v>0.60990334208135599</v>
      </c>
      <c r="AL3841">
        <v>72.705837126404205</v>
      </c>
      <c r="AM3841">
        <v>94.047423642121601</v>
      </c>
      <c r="AN3841">
        <v>0.99999998554370795</v>
      </c>
    </row>
    <row r="3842" spans="1:40" x14ac:dyDescent="0.25">
      <c r="A3842" t="str">
        <f>"20190304164928224"</f>
        <v>20190304164928224</v>
      </c>
      <c r="B3842" t="str">
        <f>"1551689368219620"</f>
        <v>1551689368219620</v>
      </c>
      <c r="C3842" t="s">
        <v>40</v>
      </c>
      <c r="D3842">
        <v>4.369383</v>
      </c>
      <c r="E3842">
        <v>0.56259780000000004</v>
      </c>
      <c r="F3842" t="s">
        <v>41</v>
      </c>
      <c r="G3842">
        <v>-329.43699999999899</v>
      </c>
      <c r="H3842">
        <v>1.045312</v>
      </c>
      <c r="I3842">
        <v>214.69980000000001</v>
      </c>
      <c r="J3842">
        <v>-329.9991</v>
      </c>
      <c r="K3842">
        <v>1.1101920000000001</v>
      </c>
      <c r="L3842">
        <v>214.7475</v>
      </c>
      <c r="M3842">
        <v>0.99966650000000001</v>
      </c>
      <c r="N3842">
        <v>-1.548218E-2</v>
      </c>
      <c r="O3842">
        <v>2.0674129999999999E-2</v>
      </c>
      <c r="P3842">
        <v>0.95521369999999906</v>
      </c>
      <c r="Q3842">
        <v>0.28249669999999999</v>
      </c>
      <c r="R3842">
        <v>8.8104199999999994E-2</v>
      </c>
      <c r="S3842">
        <v>3.2126769999999998</v>
      </c>
      <c r="T3842">
        <v>-0.2068874</v>
      </c>
      <c r="U3842">
        <v>-0.121459999999999</v>
      </c>
      <c r="V3842">
        <v>-6.8197949999999993E-2</v>
      </c>
      <c r="W3842">
        <v>0.29730810000000002</v>
      </c>
      <c r="X3842">
        <v>0.95234289999999999</v>
      </c>
      <c r="Y3842">
        <v>5.825897E-2</v>
      </c>
      <c r="Z3842">
        <v>-3.3348459999999998E-3</v>
      </c>
      <c r="AA3842">
        <v>0.99829599999999996</v>
      </c>
      <c r="AB3842">
        <v>44</v>
      </c>
      <c r="AC3842">
        <v>0.56210000000004301</v>
      </c>
      <c r="AD3842">
        <v>-6.4879999999999993E-2</v>
      </c>
      <c r="AE3842">
        <v>-4.7699999999991798E-2</v>
      </c>
      <c r="AF3842">
        <v>5.8537812895238503E-2</v>
      </c>
      <c r="AG3842">
        <v>-6.4879999999999993E-2</v>
      </c>
      <c r="AH3842">
        <v>0.55366988164720499</v>
      </c>
      <c r="AI3842">
        <v>96.646826301660496</v>
      </c>
      <c r="AJ3842">
        <v>83.964714732608201</v>
      </c>
      <c r="AK3842">
        <v>0.56052335168286105</v>
      </c>
      <c r="AL3842">
        <v>72.704007697388903</v>
      </c>
      <c r="AM3842">
        <v>94.095999369669698</v>
      </c>
      <c r="AN3842">
        <v>1.00000003294511</v>
      </c>
    </row>
    <row r="3843" spans="1:40" x14ac:dyDescent="0.25">
      <c r="A3843" t="str">
        <f>"20190304164928247"</f>
        <v>20190304164928247</v>
      </c>
      <c r="B3843" t="str">
        <f>"1551689368240116"</f>
        <v>1551689368240116</v>
      </c>
      <c r="C3843" t="s">
        <v>40</v>
      </c>
      <c r="D3843">
        <v>4.2882280000000002</v>
      </c>
      <c r="E3843">
        <v>0.56267990000000001</v>
      </c>
      <c r="F3843" t="s">
        <v>41</v>
      </c>
      <c r="G3843">
        <v>-329.03910000000002</v>
      </c>
      <c r="H3843">
        <v>1.050826</v>
      </c>
      <c r="I3843">
        <v>214.71109999999999</v>
      </c>
      <c r="J3843">
        <v>-329.53559999999999</v>
      </c>
      <c r="K3843">
        <v>1.110196</v>
      </c>
      <c r="L3843">
        <v>214.75700000000001</v>
      </c>
      <c r="M3843">
        <v>0.99966909999999998</v>
      </c>
      <c r="N3843">
        <v>-1.5477080000000001E-2</v>
      </c>
      <c r="O3843">
        <v>2.0547570000000001E-2</v>
      </c>
      <c r="P3843">
        <v>0.95507560000000002</v>
      </c>
      <c r="Q3843">
        <v>0.28284120000000001</v>
      </c>
      <c r="R3843">
        <v>8.8497119999999999E-2</v>
      </c>
      <c r="S3843">
        <v>3.2105709999999998</v>
      </c>
      <c r="T3843">
        <v>-0.19853119999999999</v>
      </c>
      <c r="U3843">
        <v>-0.12171940000000001</v>
      </c>
      <c r="V3843">
        <v>-6.8721710000000005E-2</v>
      </c>
      <c r="W3843">
        <v>0.29764420000000003</v>
      </c>
      <c r="X3843">
        <v>0.95220020000000005</v>
      </c>
      <c r="Y3843">
        <v>5.8251079999999997E-2</v>
      </c>
      <c r="Z3843">
        <v>-3.2014729999999998E-3</v>
      </c>
      <c r="AA3843">
        <v>0.99829690000000004</v>
      </c>
      <c r="AB3843">
        <v>44</v>
      </c>
      <c r="AC3843">
        <v>0.49649999999996902</v>
      </c>
      <c r="AD3843">
        <v>-5.9369999999999902E-2</v>
      </c>
      <c r="AE3843">
        <v>-4.5900000000017302E-2</v>
      </c>
      <c r="AF3843">
        <v>5.5309250503066398E-2</v>
      </c>
      <c r="AG3843">
        <v>-5.9369999999999902E-2</v>
      </c>
      <c r="AH3843">
        <v>0.48852583029428498</v>
      </c>
      <c r="AI3843">
        <v>96.885550256985198</v>
      </c>
      <c r="AJ3843">
        <v>83.540669529374796</v>
      </c>
      <c r="AK3843">
        <v>0.49521853454402398</v>
      </c>
      <c r="AL3843">
        <v>72.683836555735695</v>
      </c>
      <c r="AM3843">
        <v>94.127964730429596</v>
      </c>
      <c r="AN3843">
        <v>0.99999998204950102</v>
      </c>
    </row>
    <row r="3844" spans="1:40" x14ac:dyDescent="0.25">
      <c r="A3844" t="str">
        <f>"20190304164928280"</f>
        <v>20190304164928280</v>
      </c>
      <c r="B3844" t="str">
        <f>"1551689368269396"</f>
        <v>1551689368269396</v>
      </c>
      <c r="C3844" t="s">
        <v>40</v>
      </c>
      <c r="D3844">
        <v>4.3079720000000004</v>
      </c>
      <c r="E3844">
        <v>0.5629284</v>
      </c>
      <c r="F3844" t="s">
        <v>47</v>
      </c>
      <c r="G3844">
        <v>-311.17590000000001</v>
      </c>
      <c r="H3844" s="1">
        <v>1.427122E-6</v>
      </c>
      <c r="I3844">
        <v>214.06979999999999</v>
      </c>
      <c r="J3844">
        <v>-328.9117</v>
      </c>
      <c r="K3844">
        <v>1.110215</v>
      </c>
      <c r="L3844">
        <v>214.7696</v>
      </c>
      <c r="M3844">
        <v>0.99967240000000002</v>
      </c>
      <c r="N3844">
        <v>-1.547012E-2</v>
      </c>
      <c r="O3844">
        <v>2.039152E-2</v>
      </c>
      <c r="P3844">
        <v>0.95507569999999997</v>
      </c>
      <c r="Q3844">
        <v>0.28299370000000001</v>
      </c>
      <c r="R3844">
        <v>8.8006630000000002E-2</v>
      </c>
      <c r="S3844">
        <v>3.2097169999999999</v>
      </c>
      <c r="T3844">
        <v>-0.1940894</v>
      </c>
      <c r="U3844">
        <v>-0.1201324</v>
      </c>
      <c r="V3844">
        <v>-6.8389329999999998E-2</v>
      </c>
      <c r="W3844">
        <v>0.29778749999999998</v>
      </c>
      <c r="X3844">
        <v>0.95217929999999995</v>
      </c>
      <c r="Y3844">
        <v>5.7620780000000003E-2</v>
      </c>
      <c r="Z3844">
        <v>-3.1027609999999999E-3</v>
      </c>
      <c r="AA3844">
        <v>0.99833369999999999</v>
      </c>
      <c r="AB3844">
        <v>44</v>
      </c>
      <c r="AC3844">
        <v>17.735799999999902</v>
      </c>
      <c r="AD3844">
        <v>-1.110213572878</v>
      </c>
      <c r="AE3844">
        <v>-0.69980000000000997</v>
      </c>
      <c r="AF3844">
        <v>1.0572214504672499</v>
      </c>
      <c r="AG3844">
        <v>-1.110213572878</v>
      </c>
      <c r="AH3844">
        <v>17.648791679798698</v>
      </c>
      <c r="AI3844">
        <v>93.593077079445294</v>
      </c>
      <c r="AJ3844">
        <v>86.571888395519807</v>
      </c>
      <c r="AK3844">
        <v>17.715251596566802</v>
      </c>
      <c r="AL3844">
        <v>72.675235638539903</v>
      </c>
      <c r="AM3844">
        <v>94.108157763449299</v>
      </c>
      <c r="AN3844">
        <v>0.999999957481293</v>
      </c>
    </row>
    <row r="3845" spans="1:40" x14ac:dyDescent="0.25">
      <c r="A3845" t="str">
        <f>"20190304164928301"</f>
        <v>20190304164928301</v>
      </c>
      <c r="B3845" t="str">
        <f>"1551689368289892"</f>
        <v>1551689368289892</v>
      </c>
      <c r="C3845" t="s">
        <v>40</v>
      </c>
      <c r="D3845">
        <v>4.319903</v>
      </c>
      <c r="E3845">
        <v>0.56251229999999997</v>
      </c>
      <c r="F3845" t="s">
        <v>41</v>
      </c>
      <c r="G3845">
        <v>-327.86610000000002</v>
      </c>
      <c r="H3845">
        <v>1.0475589999999999</v>
      </c>
      <c r="I3845">
        <v>214.72929999999999</v>
      </c>
      <c r="J3845">
        <v>-328.49360000000001</v>
      </c>
      <c r="K3845">
        <v>1.1102270000000001</v>
      </c>
      <c r="L3845">
        <v>214.77809999999999</v>
      </c>
      <c r="M3845">
        <v>0.99967450000000002</v>
      </c>
      <c r="N3845">
        <v>-1.546548E-2</v>
      </c>
      <c r="O3845">
        <v>2.0293599999999998E-2</v>
      </c>
      <c r="P3845">
        <v>0.95508660000000001</v>
      </c>
      <c r="Q3845">
        <v>0.28296250000000001</v>
      </c>
      <c r="R3845">
        <v>8.7988440000000001E-2</v>
      </c>
      <c r="S3845">
        <v>3.2094420000000001</v>
      </c>
      <c r="T3845">
        <v>-0.19246550000000001</v>
      </c>
      <c r="U3845">
        <v>-0.1228485</v>
      </c>
      <c r="V3845">
        <v>-6.846961E-2</v>
      </c>
      <c r="W3845">
        <v>0.29775109999999999</v>
      </c>
      <c r="X3845">
        <v>0.95218499999999995</v>
      </c>
      <c r="Y3845">
        <v>5.8370640000000001E-2</v>
      </c>
      <c r="Z3845">
        <v>-3.1020230000000002E-3</v>
      </c>
      <c r="AA3845">
        <v>0.99829020000000002</v>
      </c>
      <c r="AB3845">
        <v>44</v>
      </c>
      <c r="AC3845">
        <v>0.62749999999999695</v>
      </c>
      <c r="AD3845">
        <v>-6.2668000000000099E-2</v>
      </c>
      <c r="AE3845">
        <v>-4.8799999999999899E-2</v>
      </c>
      <c r="AF3845">
        <v>6.09217310260739E-2</v>
      </c>
      <c r="AG3845">
        <v>-6.2668000000000099E-2</v>
      </c>
      <c r="AH3845">
        <v>0.62023137243913296</v>
      </c>
      <c r="AI3845">
        <v>95.742120913767195</v>
      </c>
      <c r="AJ3845">
        <v>84.390162874646293</v>
      </c>
      <c r="AK3845">
        <v>0.62635907504637001</v>
      </c>
      <c r="AL3845">
        <v>72.677421774331293</v>
      </c>
      <c r="AM3845">
        <v>94.112939118850505</v>
      </c>
      <c r="AN3845">
        <v>1.00000003963488</v>
      </c>
    </row>
    <row r="3846" spans="1:40" x14ac:dyDescent="0.25">
      <c r="A3846" t="str">
        <f>"20190304164928324"</f>
        <v>20190304164928324</v>
      </c>
      <c r="B3846" t="str">
        <f>"1551689368309412"</f>
        <v>1551689368309412</v>
      </c>
      <c r="C3846" t="s">
        <v>40</v>
      </c>
      <c r="D3846">
        <v>4.2547069999999998</v>
      </c>
      <c r="E3846">
        <v>0.52950140000000001</v>
      </c>
      <c r="F3846" t="s">
        <v>41</v>
      </c>
      <c r="G3846">
        <v>-327.47269999999997</v>
      </c>
      <c r="H3846">
        <v>1.0501609999999999</v>
      </c>
      <c r="I3846">
        <v>214.73910000000001</v>
      </c>
      <c r="J3846">
        <v>-328.05220000000003</v>
      </c>
      <c r="K3846">
        <v>1.110233</v>
      </c>
      <c r="L3846">
        <v>214.78700000000001</v>
      </c>
      <c r="M3846">
        <v>0.99967660000000003</v>
      </c>
      <c r="N3846">
        <v>-1.5460679999999999E-2</v>
      </c>
      <c r="O3846">
        <v>2.0194460000000001E-2</v>
      </c>
      <c r="P3846">
        <v>0.95517529999999995</v>
      </c>
      <c r="Q3846">
        <v>0.28276410000000002</v>
      </c>
      <c r="R3846">
        <v>8.7663130000000006E-2</v>
      </c>
      <c r="S3846">
        <v>3.208221</v>
      </c>
      <c r="T3846">
        <v>-0.18891430000000001</v>
      </c>
      <c r="U3846">
        <v>-0.121337899999999</v>
      </c>
      <c r="V3846">
        <v>-6.8242120000000003E-2</v>
      </c>
      <c r="W3846">
        <v>0.29754809999999998</v>
      </c>
      <c r="X3846">
        <v>0.95226469999999996</v>
      </c>
      <c r="Y3846">
        <v>5.7823270000000003E-2</v>
      </c>
      <c r="Z3846">
        <v>-3.0238589999999998E-3</v>
      </c>
      <c r="AA3846">
        <v>0.99832220000000005</v>
      </c>
      <c r="AB3846">
        <v>44</v>
      </c>
      <c r="AC3846">
        <v>0.57950000000005197</v>
      </c>
      <c r="AD3846">
        <v>-6.0071999999999903E-2</v>
      </c>
      <c r="AE3846">
        <v>-4.7899999999998499E-2</v>
      </c>
      <c r="AF3846">
        <v>5.8964992857675098E-2</v>
      </c>
      <c r="AG3846">
        <v>-6.0071999999999903E-2</v>
      </c>
      <c r="AH3846">
        <v>0.572306229388447</v>
      </c>
      <c r="AI3846">
        <v>95.9607720984324</v>
      </c>
      <c r="AJ3846">
        <v>84.117543649992498</v>
      </c>
      <c r="AK3846">
        <v>0.57846342647009896</v>
      </c>
      <c r="AL3846">
        <v>72.689603577149001</v>
      </c>
      <c r="AM3846">
        <v>94.098978635027294</v>
      </c>
      <c r="AN3846">
        <v>0.99999995881089598</v>
      </c>
    </row>
    <row r="3847" spans="1:40" x14ac:dyDescent="0.25">
      <c r="A3847" t="str">
        <f>"20190304164928347"</f>
        <v>20190304164928347</v>
      </c>
      <c r="B3847" t="str">
        <f>"1551689368339672"</f>
        <v>1551689368339672</v>
      </c>
      <c r="C3847" t="s">
        <v>40</v>
      </c>
      <c r="D3847">
        <v>4.2350750000000001</v>
      </c>
      <c r="E3847">
        <v>0.5244569</v>
      </c>
      <c r="F3847" t="s">
        <v>47</v>
      </c>
      <c r="G3847">
        <v>-306.51760000000002</v>
      </c>
      <c r="H3847" s="1">
        <v>1.497144E-6</v>
      </c>
      <c r="I3847">
        <v>215.71029999999999</v>
      </c>
      <c r="J3847">
        <v>-327.58479999999997</v>
      </c>
      <c r="K3847">
        <v>1.1102350000000001</v>
      </c>
      <c r="L3847">
        <v>214.7963</v>
      </c>
      <c r="M3847">
        <v>0.99967879999999998</v>
      </c>
      <c r="N3847">
        <v>-1.545553E-2</v>
      </c>
      <c r="O3847">
        <v>2.0092990000000002E-2</v>
      </c>
      <c r="P3847">
        <v>0.95527379999999995</v>
      </c>
      <c r="Q3847">
        <v>0.28251939999999998</v>
      </c>
      <c r="R3847">
        <v>8.7379369999999998E-2</v>
      </c>
      <c r="S3847">
        <v>3.176758</v>
      </c>
      <c r="T3847">
        <v>-0.1637796</v>
      </c>
      <c r="U3847">
        <v>0.13621520000000001</v>
      </c>
      <c r="V3847">
        <v>-6.8057850000000003E-2</v>
      </c>
      <c r="W3847">
        <v>0.29729860000000002</v>
      </c>
      <c r="X3847">
        <v>0.95235590000000003</v>
      </c>
      <c r="Y3847">
        <v>-2.2727600000000001E-2</v>
      </c>
      <c r="Z3847" s="1">
        <v>3.6834649999999998E-5</v>
      </c>
      <c r="AA3847">
        <v>0.99974169999999996</v>
      </c>
      <c r="AB3847">
        <v>44</v>
      </c>
      <c r="AC3847">
        <v>21.0671999999999</v>
      </c>
      <c r="AD3847">
        <v>-1.110233502856</v>
      </c>
      <c r="AE3847">
        <v>0.91399999999998705</v>
      </c>
      <c r="AF3847">
        <v>-0.48910607417159002</v>
      </c>
      <c r="AG3847">
        <v>-1.110233502856</v>
      </c>
      <c r="AH3847">
        <v>21.023036484918698</v>
      </c>
      <c r="AI3847">
        <v>93.022184536283802</v>
      </c>
      <c r="AJ3847">
        <v>91.3327598655477</v>
      </c>
      <c r="AK3847">
        <v>21.058012874648899</v>
      </c>
      <c r="AL3847">
        <v>72.704577989003596</v>
      </c>
      <c r="AM3847">
        <v>94.087557844475498</v>
      </c>
      <c r="AN3847">
        <v>1.0000000443866901</v>
      </c>
    </row>
    <row r="3848" spans="1:40" x14ac:dyDescent="0.25">
      <c r="A3848" t="str">
        <f>"20190304164928368"</f>
        <v>20190304164928368</v>
      </c>
      <c r="B3848" t="str">
        <f>"1551689368360168"</f>
        <v>1551689368360168</v>
      </c>
      <c r="C3848" t="s">
        <v>40</v>
      </c>
      <c r="D3848">
        <v>4.1883759999999999</v>
      </c>
      <c r="E3848">
        <v>0.52363159999999997</v>
      </c>
      <c r="F3848" t="s">
        <v>47</v>
      </c>
      <c r="G3848">
        <v>-306.85430000000002</v>
      </c>
      <c r="H3848" s="1">
        <v>1.437425E-6</v>
      </c>
      <c r="I3848">
        <v>215.94880000000001</v>
      </c>
      <c r="J3848">
        <v>-327.17140000000001</v>
      </c>
      <c r="K3848">
        <v>1.110239</v>
      </c>
      <c r="L3848">
        <v>214.80449999999999</v>
      </c>
      <c r="M3848">
        <v>0.99968060000000003</v>
      </c>
      <c r="N3848">
        <v>-1.545088E-2</v>
      </c>
      <c r="O3848">
        <v>2.0007E-2</v>
      </c>
      <c r="P3848">
        <v>0.95526239999999996</v>
      </c>
      <c r="Q3848">
        <v>0.28259519999999999</v>
      </c>
      <c r="R3848">
        <v>8.7259680000000006E-2</v>
      </c>
      <c r="S3848">
        <v>3.1746219999999998</v>
      </c>
      <c r="T3848">
        <v>-0.17001839999999999</v>
      </c>
      <c r="U3848">
        <v>0.17648320000000001</v>
      </c>
      <c r="V3848">
        <v>-6.8024029999999999E-2</v>
      </c>
      <c r="W3848">
        <v>0.2973692</v>
      </c>
      <c r="X3848">
        <v>0.95233630000000002</v>
      </c>
      <c r="Y3848">
        <v>-3.5465650000000001E-2</v>
      </c>
      <c r="Z3848">
        <v>4.6186360000000001E-4</v>
      </c>
      <c r="AA3848">
        <v>0.9993708</v>
      </c>
      <c r="AB3848">
        <v>44</v>
      </c>
      <c r="AC3848">
        <v>20.3170999999999</v>
      </c>
      <c r="AD3848">
        <v>-1.1102375625749901</v>
      </c>
      <c r="AE3848">
        <v>1.1443000000000101</v>
      </c>
      <c r="AF3848">
        <v>-0.73534931380214796</v>
      </c>
      <c r="AG3848">
        <v>-1.1102375625749901</v>
      </c>
      <c r="AH3848">
        <v>20.275575091779299</v>
      </c>
      <c r="AI3848">
        <v>93.1321821048017</v>
      </c>
      <c r="AJ3848">
        <v>92.0770781386192</v>
      </c>
      <c r="AK3848">
        <v>20.319259616458499</v>
      </c>
      <c r="AL3848">
        <v>72.700341736455897</v>
      </c>
      <c r="AM3848">
        <v>94.085617293043299</v>
      </c>
      <c r="AN3848">
        <v>1.00000006903188</v>
      </c>
    </row>
    <row r="3849" spans="1:40" x14ac:dyDescent="0.25">
      <c r="A3849" t="str">
        <f>"20190304164928392"</f>
        <v>20190304164928392</v>
      </c>
      <c r="B3849" t="str">
        <f>"1551689368379685"</f>
        <v>1551689368379685</v>
      </c>
      <c r="C3849" t="s">
        <v>40</v>
      </c>
      <c r="D3849">
        <v>4.1860869999999997</v>
      </c>
      <c r="E3849">
        <v>0.52319199999999999</v>
      </c>
      <c r="F3849" t="s">
        <v>47</v>
      </c>
      <c r="G3849">
        <v>-306.8578</v>
      </c>
      <c r="H3849" s="1">
        <v>1.4367949999999901E-6</v>
      </c>
      <c r="I3849">
        <v>215.9769</v>
      </c>
      <c r="J3849">
        <v>-326.72680000000003</v>
      </c>
      <c r="K3849">
        <v>1.110255</v>
      </c>
      <c r="L3849">
        <v>214.8134</v>
      </c>
      <c r="M3849">
        <v>0.99968230000000002</v>
      </c>
      <c r="N3849">
        <v>-1.5445820000000001E-2</v>
      </c>
      <c r="O3849">
        <v>1.9919539999999999E-2</v>
      </c>
      <c r="P3849">
        <v>0.95519299999999996</v>
      </c>
      <c r="Q3849">
        <v>0.2827172</v>
      </c>
      <c r="R3849">
        <v>8.7620390000000006E-2</v>
      </c>
      <c r="S3849">
        <v>3.1750790000000002</v>
      </c>
      <c r="T3849">
        <v>-0.173534299999999</v>
      </c>
      <c r="U3849">
        <v>0.18324280000000001</v>
      </c>
      <c r="V3849">
        <v>-6.8474220000000002E-2</v>
      </c>
      <c r="W3849">
        <v>0.29748390000000002</v>
      </c>
      <c r="X3849">
        <v>0.95226809999999995</v>
      </c>
      <c r="Y3849">
        <v>-3.7660029999999997E-2</v>
      </c>
      <c r="Z3849">
        <v>5.3946899999999999E-4</v>
      </c>
      <c r="AA3849">
        <v>0.99929049999999997</v>
      </c>
      <c r="AB3849">
        <v>44</v>
      </c>
      <c r="AC3849">
        <v>19.869</v>
      </c>
      <c r="AD3849">
        <v>-1.1102535632049999</v>
      </c>
      <c r="AE3849">
        <v>1.16349999999999</v>
      </c>
      <c r="AF3849">
        <v>-0.76505986257153402</v>
      </c>
      <c r="AG3849">
        <v>-1.1102535632049999</v>
      </c>
      <c r="AH3849">
        <v>19.8265405552952</v>
      </c>
      <c r="AI3849">
        <v>93.202743105463199</v>
      </c>
      <c r="AJ3849">
        <v>92.209813848195097</v>
      </c>
      <c r="AK3849">
        <v>19.8723347888136</v>
      </c>
      <c r="AL3849">
        <v>72.693456491534306</v>
      </c>
      <c r="AM3849">
        <v>94.112857379777296</v>
      </c>
      <c r="AN3849">
        <v>0.99999996192071305</v>
      </c>
    </row>
    <row r="3850" spans="1:40" x14ac:dyDescent="0.25">
      <c r="A3850" t="str">
        <f>"20190304164928413"</f>
        <v>20190304164928413</v>
      </c>
      <c r="B3850" t="str">
        <f>"1551689368400180"</f>
        <v>1551689368400180</v>
      </c>
      <c r="C3850" t="s">
        <v>40</v>
      </c>
      <c r="D3850">
        <v>4.1836599999999997</v>
      </c>
      <c r="E3850">
        <v>0.52292559999999999</v>
      </c>
      <c r="F3850" t="s">
        <v>47</v>
      </c>
      <c r="G3850">
        <v>-306.5059</v>
      </c>
      <c r="H3850" s="1">
        <v>1.499216E-6</v>
      </c>
      <c r="I3850">
        <v>216.01390000000001</v>
      </c>
      <c r="J3850">
        <v>-326.30560000000003</v>
      </c>
      <c r="K3850">
        <v>1.110268</v>
      </c>
      <c r="L3850">
        <v>214.82169999999999</v>
      </c>
      <c r="M3850">
        <v>0.99968380000000001</v>
      </c>
      <c r="N3850">
        <v>-1.5441E-2</v>
      </c>
      <c r="O3850">
        <v>1.984265E-2</v>
      </c>
      <c r="P3850">
        <v>0.95509089999999996</v>
      </c>
      <c r="Q3850">
        <v>0.2831032</v>
      </c>
      <c r="R3850">
        <v>8.7487120000000002E-2</v>
      </c>
      <c r="S3850">
        <v>3.175049</v>
      </c>
      <c r="T3850">
        <v>-0.17432999999999901</v>
      </c>
      <c r="U3850">
        <v>0.18850710000000001</v>
      </c>
      <c r="V3850">
        <v>-6.8421239999999994E-2</v>
      </c>
      <c r="W3850">
        <v>0.29786309999999999</v>
      </c>
      <c r="X3850">
        <v>0.95215340000000004</v>
      </c>
      <c r="Y3850">
        <v>-3.9384799999999998E-2</v>
      </c>
      <c r="Z3850">
        <v>6.0266040000000001E-4</v>
      </c>
      <c r="AA3850">
        <v>0.99922390000000005</v>
      </c>
      <c r="AB3850">
        <v>44</v>
      </c>
      <c r="AC3850">
        <v>19.799700000000001</v>
      </c>
      <c r="AD3850">
        <v>-1.110266500784</v>
      </c>
      <c r="AE3850">
        <v>1.1922000000000099</v>
      </c>
      <c r="AF3850">
        <v>-0.79654422551169302</v>
      </c>
      <c r="AG3850">
        <v>-1.110266500784</v>
      </c>
      <c r="AH3850">
        <v>19.7575588779609</v>
      </c>
      <c r="AI3850">
        <v>93.213720827721303</v>
      </c>
      <c r="AJ3850">
        <v>92.308681962191898</v>
      </c>
      <c r="AK3850">
        <v>19.804754662001098</v>
      </c>
      <c r="AL3850">
        <v>72.6706988355877</v>
      </c>
      <c r="AM3850">
        <v>94.110179451515407</v>
      </c>
      <c r="AN3850">
        <v>0.99999999477815305</v>
      </c>
    </row>
    <row r="3851" spans="1:40" x14ac:dyDescent="0.25">
      <c r="A3851" t="str">
        <f>"20190304164928437"</f>
        <v>20190304164928437</v>
      </c>
      <c r="B3851" t="str">
        <f>"1551689368429460"</f>
        <v>1551689368429460</v>
      </c>
      <c r="C3851" t="s">
        <v>40</v>
      </c>
      <c r="D3851">
        <v>4.1661390000000003</v>
      </c>
      <c r="E3851">
        <v>0.52279030000000004</v>
      </c>
      <c r="F3851" t="s">
        <v>47</v>
      </c>
      <c r="G3851">
        <v>-306.03089999999997</v>
      </c>
      <c r="H3851" s="1">
        <v>1.5834669999999999E-6</v>
      </c>
      <c r="I3851">
        <v>216.04239999999999</v>
      </c>
      <c r="J3851">
        <v>-325.84960000000001</v>
      </c>
      <c r="K3851">
        <v>1.1102799999999999</v>
      </c>
      <c r="L3851">
        <v>214.83070000000001</v>
      </c>
      <c r="M3851">
        <v>0.9996855</v>
      </c>
      <c r="N3851">
        <v>-1.54358E-2</v>
      </c>
      <c r="O3851">
        <v>1.976806E-2</v>
      </c>
      <c r="P3851">
        <v>0.95512920000000001</v>
      </c>
      <c r="Q3851">
        <v>0.2830954</v>
      </c>
      <c r="R3851">
        <v>8.7095249999999999E-2</v>
      </c>
      <c r="S3851">
        <v>3.1751100000000001</v>
      </c>
      <c r="T3851">
        <v>-0.1738729</v>
      </c>
      <c r="U3851">
        <v>0.1911774</v>
      </c>
      <c r="V3851">
        <v>-6.8106479999999997E-2</v>
      </c>
      <c r="W3851">
        <v>0.29784860000000002</v>
      </c>
      <c r="X3851">
        <v>0.95218049999999999</v>
      </c>
      <c r="Y3851">
        <v>-4.029402E-2</v>
      </c>
      <c r="Z3851">
        <v>6.3728869999999998E-4</v>
      </c>
      <c r="AA3851">
        <v>0.99918759999999995</v>
      </c>
      <c r="AB3851">
        <v>44</v>
      </c>
      <c r="AC3851">
        <v>19.8187</v>
      </c>
      <c r="AD3851">
        <v>-1.110278416533</v>
      </c>
      <c r="AE3851">
        <v>1.21169999999997</v>
      </c>
      <c r="AF3851">
        <v>-0.81708444525599899</v>
      </c>
      <c r="AG3851">
        <v>-1.110278416533</v>
      </c>
      <c r="AH3851">
        <v>19.776944618635099</v>
      </c>
      <c r="AI3851">
        <v>93.210481227419507</v>
      </c>
      <c r="AJ3851">
        <v>92.365829578850807</v>
      </c>
      <c r="AK3851">
        <v>19.8249308599414</v>
      </c>
      <c r="AL3851">
        <v>72.671569091846806</v>
      </c>
      <c r="AM3851">
        <v>94.091219595822196</v>
      </c>
      <c r="AN3851">
        <v>0.9999999928601</v>
      </c>
    </row>
    <row r="3852" spans="1:40" x14ac:dyDescent="0.25">
      <c r="A3852" t="str">
        <f>"20190304164928458"</f>
        <v>20190304164928458</v>
      </c>
      <c r="B3852" t="str">
        <f>"1551689368449961"</f>
        <v>1551689368449961</v>
      </c>
      <c r="C3852" t="s">
        <v>40</v>
      </c>
      <c r="D3852">
        <v>4.1610769999999997</v>
      </c>
      <c r="E3852">
        <v>0.52273820000000004</v>
      </c>
      <c r="F3852" t="s">
        <v>47</v>
      </c>
      <c r="G3852">
        <v>-305.5917</v>
      </c>
      <c r="H3852" s="1">
        <v>1.6613840000000001E-6</v>
      </c>
      <c r="I3852">
        <v>216.04409999999999</v>
      </c>
      <c r="J3852">
        <v>-325.428</v>
      </c>
      <c r="K3852">
        <v>1.110295</v>
      </c>
      <c r="L3852">
        <v>214.839</v>
      </c>
      <c r="M3852">
        <v>0.99968679999999999</v>
      </c>
      <c r="N3852">
        <v>-1.543102E-2</v>
      </c>
      <c r="O3852">
        <v>1.9707550000000001E-2</v>
      </c>
      <c r="P3852">
        <v>0.95498740000000004</v>
      </c>
      <c r="Q3852">
        <v>0.28353610000000001</v>
      </c>
      <c r="R3852">
        <v>8.7216199999999994E-2</v>
      </c>
      <c r="S3852">
        <v>3.1752009999999999</v>
      </c>
      <c r="T3852">
        <v>-0.1740237</v>
      </c>
      <c r="U3852">
        <v>0.19018550000000001</v>
      </c>
      <c r="V3852">
        <v>-6.8295229999999998E-2</v>
      </c>
      <c r="W3852">
        <v>0.29828139999999997</v>
      </c>
      <c r="X3852">
        <v>0.95203150000000003</v>
      </c>
      <c r="Y3852">
        <v>-4.0042149999999999E-2</v>
      </c>
      <c r="Z3852">
        <v>6.3065279999999896E-4</v>
      </c>
      <c r="AA3852">
        <v>0.99919780000000002</v>
      </c>
      <c r="AB3852">
        <v>43</v>
      </c>
      <c r="AC3852">
        <v>19.836299999999898</v>
      </c>
      <c r="AD3852">
        <v>-1.1102933386159901</v>
      </c>
      <c r="AE3852">
        <v>1.2050999999999501</v>
      </c>
      <c r="AF3852">
        <v>-0.81136190025784505</v>
      </c>
      <c r="AG3852">
        <v>-1.1102933386159901</v>
      </c>
      <c r="AH3852">
        <v>19.794412064251802</v>
      </c>
      <c r="AI3852">
        <v>93.207739911934098</v>
      </c>
      <c r="AJ3852">
        <v>92.347208063623398</v>
      </c>
      <c r="AK3852">
        <v>19.842122074021201</v>
      </c>
      <c r="AL3852">
        <v>72.645590851129398</v>
      </c>
      <c r="AM3852">
        <v>94.1031592047391</v>
      </c>
      <c r="AN3852">
        <v>1.0000000045094799</v>
      </c>
    </row>
    <row r="3853" spans="1:40" x14ac:dyDescent="0.25">
      <c r="A3853" t="str">
        <f>"20190304164928480"</f>
        <v>20190304164928480</v>
      </c>
      <c r="B3853" t="str">
        <f>"1551689368469476"</f>
        <v>1551689368469476</v>
      </c>
      <c r="C3853" t="s">
        <v>40</v>
      </c>
      <c r="D3853">
        <v>4.1673140000000002</v>
      </c>
      <c r="E3853">
        <v>0.5227195</v>
      </c>
      <c r="F3853" t="s">
        <v>47</v>
      </c>
      <c r="G3853">
        <v>-305.01150000000001</v>
      </c>
      <c r="H3853" s="1">
        <v>1.764299E-6</v>
      </c>
      <c r="I3853">
        <v>216.06549999999999</v>
      </c>
      <c r="J3853">
        <v>-325.00900000000001</v>
      </c>
      <c r="K3853">
        <v>1.1102989999999999</v>
      </c>
      <c r="L3853">
        <v>214.84719999999999</v>
      </c>
      <c r="M3853">
        <v>0.99968800000000002</v>
      </c>
      <c r="N3853">
        <v>-1.5426240000000001E-2</v>
      </c>
      <c r="O3853">
        <v>1.9653830000000001E-2</v>
      </c>
      <c r="P3853">
        <v>0.9549957</v>
      </c>
      <c r="Q3853">
        <v>0.28368690000000002</v>
      </c>
      <c r="R3853">
        <v>8.6632249999999994E-2</v>
      </c>
      <c r="S3853">
        <v>3.1752319999999998</v>
      </c>
      <c r="T3853">
        <v>-0.17267569999999999</v>
      </c>
      <c r="U3853">
        <v>0.19075010000000001</v>
      </c>
      <c r="V3853">
        <v>-6.7769040000000003E-2</v>
      </c>
      <c r="W3853">
        <v>0.29842570000000002</v>
      </c>
      <c r="X3853">
        <v>0.95202390000000003</v>
      </c>
      <c r="Y3853">
        <v>-4.0272570000000001E-2</v>
      </c>
      <c r="Z3853">
        <v>6.4045159999999999E-4</v>
      </c>
      <c r="AA3853">
        <v>0.99918850000000003</v>
      </c>
      <c r="AB3853">
        <v>43</v>
      </c>
      <c r="AC3853">
        <v>19.997499999999999</v>
      </c>
      <c r="AD3853">
        <v>-1.1102972357009999</v>
      </c>
      <c r="AE3853">
        <v>1.2182999999999899</v>
      </c>
      <c r="AF3853">
        <v>-0.82246444047262701</v>
      </c>
      <c r="AG3853">
        <v>-1.1102972357009999</v>
      </c>
      <c r="AH3853">
        <v>19.956292380261601</v>
      </c>
      <c r="AI3853">
        <v>93.1817552109069</v>
      </c>
      <c r="AJ3853">
        <v>92.360011922803693</v>
      </c>
      <c r="AK3853">
        <v>20.004069917742601</v>
      </c>
      <c r="AL3853">
        <v>72.636928892890893</v>
      </c>
      <c r="AM3853">
        <v>94.071684980417601</v>
      </c>
      <c r="AN3853">
        <v>1.0000000236871101</v>
      </c>
    </row>
    <row r="3854" spans="1:40" x14ac:dyDescent="0.25">
      <c r="A3854" t="str">
        <f>"20190304164928502"</f>
        <v>20190304164928502</v>
      </c>
      <c r="B3854" t="str">
        <f>"1551689368489976"</f>
        <v>1551689368489976</v>
      </c>
      <c r="C3854" t="s">
        <v>40</v>
      </c>
      <c r="D3854">
        <v>4.1430939999999996</v>
      </c>
      <c r="E3854">
        <v>0.52267370000000002</v>
      </c>
      <c r="F3854" t="s">
        <v>47</v>
      </c>
      <c r="G3854">
        <v>-304.49250000000001</v>
      </c>
      <c r="H3854" s="1">
        <v>1.8563609999999999E-6</v>
      </c>
      <c r="I3854">
        <v>216.0692</v>
      </c>
      <c r="J3854">
        <v>-324.5693</v>
      </c>
      <c r="K3854">
        <v>1.110309</v>
      </c>
      <c r="L3854">
        <v>214.85579999999999</v>
      </c>
      <c r="M3854">
        <v>0.99968889999999999</v>
      </c>
      <c r="N3854">
        <v>-1.5421270000000001E-2</v>
      </c>
      <c r="O3854">
        <v>1.960348E-2</v>
      </c>
      <c r="P3854">
        <v>0.95496820000000004</v>
      </c>
      <c r="Q3854">
        <v>0.28388160000000001</v>
      </c>
      <c r="R3854">
        <v>8.6296289999999998E-2</v>
      </c>
      <c r="S3854">
        <v>3.175262</v>
      </c>
      <c r="T3854">
        <v>-0.1718364</v>
      </c>
      <c r="U3854">
        <v>0.18913269999999999</v>
      </c>
      <c r="V3854">
        <v>-6.7487950000000005E-2</v>
      </c>
      <c r="W3854">
        <v>0.29861359999999998</v>
      </c>
      <c r="X3854">
        <v>0.95198490000000002</v>
      </c>
      <c r="Y3854">
        <v>-3.9816440000000002E-2</v>
      </c>
      <c r="Z3854">
        <v>6.2622039999999995E-4</v>
      </c>
      <c r="AA3854">
        <v>0.99920679999999995</v>
      </c>
      <c r="AB3854">
        <v>43</v>
      </c>
      <c r="AC3854">
        <v>20.076799999999899</v>
      </c>
      <c r="AD3854">
        <v>-1.110307143639</v>
      </c>
      <c r="AE3854">
        <v>1.2134</v>
      </c>
      <c r="AF3854">
        <v>-0.81705501276141501</v>
      </c>
      <c r="AG3854">
        <v>-1.110307143639</v>
      </c>
      <c r="AH3854">
        <v>20.035676163185201</v>
      </c>
      <c r="AI3854">
        <v>93.169258767705202</v>
      </c>
      <c r="AJ3854">
        <v>92.335228357218696</v>
      </c>
      <c r="AK3854">
        <v>20.0830445939634</v>
      </c>
      <c r="AL3854">
        <v>72.625647852649095</v>
      </c>
      <c r="AM3854">
        <v>94.055018602488204</v>
      </c>
      <c r="AN3854">
        <v>0.99999997766408599</v>
      </c>
    </row>
    <row r="3855" spans="1:40" x14ac:dyDescent="0.25">
      <c r="A3855" t="str">
        <f>"20190304164928525"</f>
        <v>20190304164928525</v>
      </c>
      <c r="B3855" t="str">
        <f>"1551689368520229"</f>
        <v>1551689368520229</v>
      </c>
      <c r="C3855" t="s">
        <v>40</v>
      </c>
      <c r="D3855">
        <v>4.1407069999999999</v>
      </c>
      <c r="E3855">
        <v>0.5226305</v>
      </c>
      <c r="F3855" t="s">
        <v>47</v>
      </c>
      <c r="G3855">
        <v>-304.04770000000002</v>
      </c>
      <c r="H3855" s="1">
        <v>1.9352659999999998E-6</v>
      </c>
      <c r="I3855">
        <v>216.07679999999999</v>
      </c>
      <c r="J3855">
        <v>-324.12830000000002</v>
      </c>
      <c r="K3855">
        <v>1.11032</v>
      </c>
      <c r="L3855">
        <v>214.86439999999999</v>
      </c>
      <c r="M3855">
        <v>0.99968990000000002</v>
      </c>
      <c r="N3855">
        <v>-1.5416340000000001E-2</v>
      </c>
      <c r="O3855">
        <v>1.9557749999999999E-2</v>
      </c>
      <c r="P3855">
        <v>0.95490980000000003</v>
      </c>
      <c r="Q3855">
        <v>0.2840472</v>
      </c>
      <c r="R3855">
        <v>8.63979E-2</v>
      </c>
      <c r="S3855">
        <v>3.1754760000000002</v>
      </c>
      <c r="T3855">
        <v>-0.17180680000000001</v>
      </c>
      <c r="U3855">
        <v>0.1889496</v>
      </c>
      <c r="V3855">
        <v>-6.7639229999999995E-2</v>
      </c>
      <c r="W3855">
        <v>0.29877239999999999</v>
      </c>
      <c r="X3855">
        <v>0.95192429999999995</v>
      </c>
      <c r="Y3855">
        <v>-3.9800780000000001E-2</v>
      </c>
      <c r="Z3855">
        <v>6.2724199999999997E-4</v>
      </c>
      <c r="AA3855">
        <v>0.99920739999999997</v>
      </c>
      <c r="AB3855">
        <v>43</v>
      </c>
      <c r="AC3855">
        <v>20.0806</v>
      </c>
      <c r="AD3855">
        <v>-1.1103180647340001</v>
      </c>
      <c r="AE3855">
        <v>1.2123999999999999</v>
      </c>
      <c r="AF3855">
        <v>-0.816901567381907</v>
      </c>
      <c r="AG3855">
        <v>-1.1103180647340001</v>
      </c>
      <c r="AH3855">
        <v>20.039428388759202</v>
      </c>
      <c r="AI3855">
        <v>93.168699630535798</v>
      </c>
      <c r="AJ3855">
        <v>92.334353592245407</v>
      </c>
      <c r="AK3855">
        <v>20.0867823337605</v>
      </c>
      <c r="AL3855">
        <v>72.616113430272094</v>
      </c>
      <c r="AM3855">
        <v>94.064335703168993</v>
      </c>
      <c r="AN3855">
        <v>0.99999994268361903</v>
      </c>
    </row>
    <row r="3856" spans="1:40" x14ac:dyDescent="0.25">
      <c r="A3856" t="str">
        <f>"20190304164928548"</f>
        <v>20190304164928548</v>
      </c>
      <c r="B3856" t="str">
        <f>"1551689368539748"</f>
        <v>1551689368539748</v>
      </c>
      <c r="C3856" t="s">
        <v>40</v>
      </c>
      <c r="D3856">
        <v>4.1498699999999999</v>
      </c>
      <c r="E3856">
        <v>0.52258899999999997</v>
      </c>
      <c r="F3856" t="s">
        <v>47</v>
      </c>
      <c r="G3856">
        <v>-303.65429999999998</v>
      </c>
      <c r="H3856" s="1">
        <v>2.00505E-6</v>
      </c>
      <c r="I3856">
        <v>216.0821</v>
      </c>
      <c r="J3856">
        <v>-323.69009999999997</v>
      </c>
      <c r="K3856">
        <v>1.1103259999999999</v>
      </c>
      <c r="L3856">
        <v>214.87289999999999</v>
      </c>
      <c r="M3856">
        <v>0.99969090000000005</v>
      </c>
      <c r="N3856">
        <v>-1.54115E-2</v>
      </c>
      <c r="O3856">
        <v>1.9515620000000001E-2</v>
      </c>
      <c r="P3856">
        <v>0.95481649999999996</v>
      </c>
      <c r="Q3856">
        <v>0.28425250000000002</v>
      </c>
      <c r="R3856">
        <v>8.6753750000000004E-2</v>
      </c>
      <c r="S3856">
        <v>3.1758120000000001</v>
      </c>
      <c r="T3856">
        <v>-0.17222599999999999</v>
      </c>
      <c r="U3856">
        <v>0.18888849999999999</v>
      </c>
      <c r="V3856">
        <v>-6.8040580000000003E-2</v>
      </c>
      <c r="W3856">
        <v>0.2989713</v>
      </c>
      <c r="X3856">
        <v>0.95183329999999999</v>
      </c>
      <c r="Y3856">
        <v>-3.981722E-2</v>
      </c>
      <c r="Z3856">
        <v>6.2929800000000003E-4</v>
      </c>
      <c r="AA3856">
        <v>0.99920679999999995</v>
      </c>
      <c r="AB3856">
        <v>43</v>
      </c>
      <c r="AC3856">
        <v>20.035799999999899</v>
      </c>
      <c r="AD3856">
        <v>-1.1103239949499999</v>
      </c>
      <c r="AE3856">
        <v>1.2092000000000001</v>
      </c>
      <c r="AF3856">
        <v>-0.81541711163776398</v>
      </c>
      <c r="AG3856">
        <v>-1.1103239949499999</v>
      </c>
      <c r="AH3856">
        <v>19.994403551477301</v>
      </c>
      <c r="AI3856">
        <v>93.1758352095531</v>
      </c>
      <c r="AJ3856">
        <v>92.335357656192002</v>
      </c>
      <c r="AK3856">
        <v>20.041803756624301</v>
      </c>
      <c r="AL3856">
        <v>72.604172407678107</v>
      </c>
      <c r="AM3856">
        <v>94.088760202878703</v>
      </c>
      <c r="AN3856">
        <v>0.99999999486965796</v>
      </c>
    </row>
    <row r="3857" spans="1:40" x14ac:dyDescent="0.25">
      <c r="A3857" t="str">
        <f>"20190304164928569"</f>
        <v>20190304164928569</v>
      </c>
      <c r="B3857" t="str">
        <f>"1551689368560244"</f>
        <v>1551689368560244</v>
      </c>
      <c r="C3857" t="s">
        <v>40</v>
      </c>
      <c r="D3857">
        <v>4.1432859999999998</v>
      </c>
      <c r="E3857">
        <v>0.52257790000000004</v>
      </c>
      <c r="F3857" t="s">
        <v>47</v>
      </c>
      <c r="G3857">
        <v>-303.12290000000002</v>
      </c>
      <c r="H3857" s="1">
        <v>2.0993150000000002E-6</v>
      </c>
      <c r="I3857">
        <v>216.1052</v>
      </c>
      <c r="J3857">
        <v>-323.28359999999998</v>
      </c>
      <c r="K3857">
        <v>1.110328</v>
      </c>
      <c r="L3857">
        <v>214.88079999999999</v>
      </c>
      <c r="M3857">
        <v>0.99969169999999996</v>
      </c>
      <c r="N3857">
        <v>-1.540704E-2</v>
      </c>
      <c r="O3857">
        <v>1.947865E-2</v>
      </c>
      <c r="P3857">
        <v>0.95486550000000003</v>
      </c>
      <c r="Q3857">
        <v>0.28406019999999998</v>
      </c>
      <c r="R3857">
        <v>8.6845389999999995E-2</v>
      </c>
      <c r="S3857">
        <v>3.1757200000000001</v>
      </c>
      <c r="T3857">
        <v>-0.17144179999999901</v>
      </c>
      <c r="U3857">
        <v>0.1902771</v>
      </c>
      <c r="V3857">
        <v>-6.8168880000000001E-2</v>
      </c>
      <c r="W3857">
        <v>0.2987747</v>
      </c>
      <c r="X3857">
        <v>0.95188589999999995</v>
      </c>
      <c r="Y3857">
        <v>-4.0290720000000002E-2</v>
      </c>
      <c r="Z3857">
        <v>6.4686300000000002E-4</v>
      </c>
      <c r="AA3857">
        <v>0.99918779999999996</v>
      </c>
      <c r="AB3857">
        <v>43</v>
      </c>
      <c r="AC3857">
        <v>20.160699999999899</v>
      </c>
      <c r="AD3857">
        <v>-1.1103259006849999</v>
      </c>
      <c r="AE3857">
        <v>1.2243999999999999</v>
      </c>
      <c r="AF3857">
        <v>-0.82891290962561903</v>
      </c>
      <c r="AG3857">
        <v>-1.1103259006849999</v>
      </c>
      <c r="AH3857">
        <v>20.1199246481569</v>
      </c>
      <c r="AI3857">
        <v>93.156014219194603</v>
      </c>
      <c r="AJ3857">
        <v>92.359172262788704</v>
      </c>
      <c r="AK3857">
        <v>20.167580124174201</v>
      </c>
      <c r="AL3857">
        <v>72.615977125819796</v>
      </c>
      <c r="AM3857">
        <v>94.096218313921099</v>
      </c>
      <c r="AN3857">
        <v>1.00000004208967</v>
      </c>
    </row>
    <row r="3858" spans="1:40" x14ac:dyDescent="0.25">
      <c r="A3858" t="str">
        <f>"20190304164928592"</f>
        <v>20190304164928592</v>
      </c>
      <c r="B3858" t="str">
        <f>"1551689368579764"</f>
        <v>1551689368579764</v>
      </c>
      <c r="C3858" t="s">
        <v>40</v>
      </c>
      <c r="D3858">
        <v>4.16127</v>
      </c>
      <c r="E3858">
        <v>0.52256099999999905</v>
      </c>
      <c r="F3858" t="s">
        <v>47</v>
      </c>
      <c r="G3858">
        <v>-302.84309999999999</v>
      </c>
      <c r="H3858" s="1">
        <v>2.1489310000000001E-6</v>
      </c>
      <c r="I3858">
        <v>216.10640000000001</v>
      </c>
      <c r="J3858">
        <v>-322.84789999999998</v>
      </c>
      <c r="K3858">
        <v>1.1103259999999999</v>
      </c>
      <c r="L3858">
        <v>214.88929999999999</v>
      </c>
      <c r="M3858">
        <v>0.99969240000000004</v>
      </c>
      <c r="N3858">
        <v>-1.5402269999999999E-2</v>
      </c>
      <c r="O3858">
        <v>1.94399E-2</v>
      </c>
      <c r="P3858">
        <v>0.95490019999999998</v>
      </c>
      <c r="Q3858">
        <v>0.28380280000000002</v>
      </c>
      <c r="R3858">
        <v>8.73028E-2</v>
      </c>
      <c r="S3858">
        <v>3.1758120000000001</v>
      </c>
      <c r="T3858">
        <v>-0.17251050000000001</v>
      </c>
      <c r="U3858">
        <v>0.19041440000000001</v>
      </c>
      <c r="V3858">
        <v>-6.866543E-2</v>
      </c>
      <c r="W3858">
        <v>0.29851299999999997</v>
      </c>
      <c r="X3858">
        <v>0.95193229999999995</v>
      </c>
      <c r="Y3858">
        <v>-4.0370049999999998E-2</v>
      </c>
      <c r="Z3858">
        <v>6.511663E-4</v>
      </c>
      <c r="AA3858">
        <v>0.99918459999999998</v>
      </c>
      <c r="AB3858">
        <v>43</v>
      </c>
      <c r="AC3858">
        <v>20.0047999999999</v>
      </c>
      <c r="AD3858">
        <v>-1.1103238510689999</v>
      </c>
      <c r="AE3858">
        <v>1.2171000000000101</v>
      </c>
      <c r="AF3858">
        <v>-0.82539918361309605</v>
      </c>
      <c r="AG3858">
        <v>-1.1103238510689999</v>
      </c>
      <c r="AH3858">
        <v>19.963409993987799</v>
      </c>
      <c r="AI3858">
        <v>93.180681920156204</v>
      </c>
      <c r="AJ3858">
        <v>92.367579958056893</v>
      </c>
      <c r="AK3858">
        <v>20.011292848154799</v>
      </c>
      <c r="AL3858">
        <v>72.631688171003006</v>
      </c>
      <c r="AM3858">
        <v>94.125752551647594</v>
      </c>
      <c r="AN3858">
        <v>1.0000000281146799</v>
      </c>
    </row>
    <row r="3859" spans="1:40" x14ac:dyDescent="0.25">
      <c r="A3859" t="str">
        <f>"20190304164928614"</f>
        <v>20190304164928614</v>
      </c>
      <c r="B3859" t="str">
        <f>"1551689368610020"</f>
        <v>1551689368610020</v>
      </c>
      <c r="C3859" t="s">
        <v>40</v>
      </c>
      <c r="D3859">
        <v>4.1461829999999997</v>
      </c>
      <c r="E3859">
        <v>0.52255799999999997</v>
      </c>
      <c r="F3859" t="s">
        <v>47</v>
      </c>
      <c r="G3859">
        <v>-302.47340000000003</v>
      </c>
      <c r="H3859" s="1">
        <v>2.214519E-6</v>
      </c>
      <c r="I3859">
        <v>216.1208</v>
      </c>
      <c r="J3859">
        <v>-322.40839999999997</v>
      </c>
      <c r="K3859">
        <v>1.110339</v>
      </c>
      <c r="L3859">
        <v>214.89779999999999</v>
      </c>
      <c r="M3859">
        <v>0.99969330000000001</v>
      </c>
      <c r="N3859">
        <v>-1.539745E-2</v>
      </c>
      <c r="O3859">
        <v>1.9400779999999999E-2</v>
      </c>
      <c r="P3859">
        <v>0.95491250000000005</v>
      </c>
      <c r="Q3859">
        <v>0.28376380000000001</v>
      </c>
      <c r="R3859">
        <v>8.7294140000000006E-2</v>
      </c>
      <c r="S3859">
        <v>3.1755369999999998</v>
      </c>
      <c r="T3859">
        <v>-0.1730534</v>
      </c>
      <c r="U3859">
        <v>0.1919556</v>
      </c>
      <c r="V3859">
        <v>-6.8695919999999994E-2</v>
      </c>
      <c r="W3859">
        <v>0.29846889999999998</v>
      </c>
      <c r="X3859">
        <v>0.95194389999999995</v>
      </c>
      <c r="Y3859">
        <v>-4.0896139999999997E-2</v>
      </c>
      <c r="Z3859">
        <v>6.7100320000000005E-4</v>
      </c>
      <c r="AA3859">
        <v>0.99916320000000003</v>
      </c>
      <c r="AB3859">
        <v>43</v>
      </c>
      <c r="AC3859">
        <v>19.934999999999899</v>
      </c>
      <c r="AD3859">
        <v>-1.110336785481</v>
      </c>
      <c r="AE3859">
        <v>1.2230000000000101</v>
      </c>
      <c r="AF3859">
        <v>-0.83339368722544105</v>
      </c>
      <c r="AG3859">
        <v>-1.110336785481</v>
      </c>
      <c r="AH3859">
        <v>19.8934938427874</v>
      </c>
      <c r="AI3859">
        <v>93.191802122041693</v>
      </c>
      <c r="AJ3859">
        <v>92.398876583227803</v>
      </c>
      <c r="AK3859">
        <v>19.941877797442299</v>
      </c>
      <c r="AL3859">
        <v>72.634335122883201</v>
      </c>
      <c r="AM3859">
        <v>94.127528085410702</v>
      </c>
      <c r="AN3859">
        <v>1.00000000121953</v>
      </c>
    </row>
    <row r="3860" spans="1:40" x14ac:dyDescent="0.25">
      <c r="A3860" t="str">
        <f>"20190304164928638"</f>
        <v>20190304164928638</v>
      </c>
      <c r="B3860" t="str">
        <f>"1551689368629540"</f>
        <v>1551689368629540</v>
      </c>
      <c r="C3860" t="s">
        <v>40</v>
      </c>
      <c r="D3860">
        <v>4.132015</v>
      </c>
      <c r="E3860">
        <v>0.52256359999999902</v>
      </c>
      <c r="F3860" t="s">
        <v>47</v>
      </c>
      <c r="G3860">
        <v>-302.06920000000002</v>
      </c>
      <c r="H3860" s="1">
        <v>2.2862140000000002E-6</v>
      </c>
      <c r="I3860">
        <v>216.1292</v>
      </c>
      <c r="J3860">
        <v>-321.96949999999998</v>
      </c>
      <c r="K3860">
        <v>1.1103459999999901</v>
      </c>
      <c r="L3860">
        <v>214.90629999999999</v>
      </c>
      <c r="M3860">
        <v>0.99969419999999998</v>
      </c>
      <c r="N3860">
        <v>-1.5392609999999999E-2</v>
      </c>
      <c r="O3860">
        <v>1.9361469999999999E-2</v>
      </c>
      <c r="P3860">
        <v>0.95485989999999998</v>
      </c>
      <c r="Q3860">
        <v>0.28392640000000002</v>
      </c>
      <c r="R3860">
        <v>8.7342009999999998E-2</v>
      </c>
      <c r="S3860">
        <v>3.1756289999999998</v>
      </c>
      <c r="T3860">
        <v>-0.17336070000000001</v>
      </c>
      <c r="U3860">
        <v>0.19226070000000001</v>
      </c>
      <c r="V3860">
        <v>-6.8784090000000006E-2</v>
      </c>
      <c r="W3860">
        <v>0.29862539999999999</v>
      </c>
      <c r="X3860">
        <v>0.95188839999999997</v>
      </c>
      <c r="Y3860">
        <v>-4.1028929999999998E-2</v>
      </c>
      <c r="Z3860">
        <v>6.7708989999999995E-4</v>
      </c>
      <c r="AA3860">
        <v>0.99915770000000004</v>
      </c>
      <c r="AB3860">
        <v>43</v>
      </c>
      <c r="AC3860">
        <v>19.900299999999898</v>
      </c>
      <c r="AD3860">
        <v>-1.1103437137859999</v>
      </c>
      <c r="AE3860">
        <v>1.2229000000000101</v>
      </c>
      <c r="AF3860">
        <v>-0.83473719456328499</v>
      </c>
      <c r="AG3860">
        <v>-1.1103437137859999</v>
      </c>
      <c r="AH3860">
        <v>19.858658956971201</v>
      </c>
      <c r="AI3860">
        <v>93.197390431158098</v>
      </c>
      <c r="AJ3860">
        <v>92.406949054986598</v>
      </c>
      <c r="AK3860">
        <v>19.907184253832199</v>
      </c>
      <c r="AL3860">
        <v>72.624939002470896</v>
      </c>
      <c r="AM3860">
        <v>94.133047479308004</v>
      </c>
      <c r="AN3860">
        <v>0.99999995330842295</v>
      </c>
    </row>
    <row r="3861" spans="1:40" x14ac:dyDescent="0.25">
      <c r="A3861" t="str">
        <f>"20190304164928658"</f>
        <v>20190304164928658</v>
      </c>
      <c r="B3861" t="str">
        <f>"1551689368650040"</f>
        <v>1551689368650040</v>
      </c>
      <c r="C3861" t="s">
        <v>40</v>
      </c>
      <c r="D3861">
        <v>4.1257299999999999</v>
      </c>
      <c r="E3861">
        <v>0.52255379999999996</v>
      </c>
      <c r="F3861" t="s">
        <v>47</v>
      </c>
      <c r="G3861">
        <v>-301.63279999999997</v>
      </c>
      <c r="H3861" s="1">
        <v>2.3636199999999998E-6</v>
      </c>
      <c r="I3861">
        <v>216.1397</v>
      </c>
      <c r="J3861">
        <v>-321.56099999999998</v>
      </c>
      <c r="K3861">
        <v>1.1103499999999999</v>
      </c>
      <c r="L3861">
        <v>214.91409999999999</v>
      </c>
      <c r="M3861">
        <v>0.99969479999999999</v>
      </c>
      <c r="N3861">
        <v>-1.538808E-2</v>
      </c>
      <c r="O3861">
        <v>1.9324770000000002E-2</v>
      </c>
      <c r="P3861">
        <v>0.95480010000000004</v>
      </c>
      <c r="Q3861">
        <v>0.28414469999999997</v>
      </c>
      <c r="R3861">
        <v>8.7284189999999998E-2</v>
      </c>
      <c r="S3861">
        <v>3.175751</v>
      </c>
      <c r="T3861">
        <v>-0.17338990000000001</v>
      </c>
      <c r="U3861">
        <v>0.1926117</v>
      </c>
      <c r="V3861">
        <v>-6.8764309999999995E-2</v>
      </c>
      <c r="W3861">
        <v>0.2988384</v>
      </c>
      <c r="X3861">
        <v>0.95182310000000003</v>
      </c>
      <c r="Y3861">
        <v>-4.1173000000000001E-2</v>
      </c>
      <c r="Z3861">
        <v>6.8338990000000005E-4</v>
      </c>
      <c r="AA3861">
        <v>0.99915180000000003</v>
      </c>
      <c r="AB3861">
        <v>43</v>
      </c>
      <c r="AC3861">
        <v>19.9282</v>
      </c>
      <c r="AD3861">
        <v>-1.11034763638</v>
      </c>
      <c r="AE3861">
        <v>1.22560000000001</v>
      </c>
      <c r="AF3861">
        <v>-0.83762702263603395</v>
      </c>
      <c r="AG3861">
        <v>-1.11034763638</v>
      </c>
      <c r="AH3861">
        <v>19.886660847450599</v>
      </c>
      <c r="AI3861">
        <v>93.192897320042903</v>
      </c>
      <c r="AJ3861">
        <v>92.411875106306198</v>
      </c>
      <c r="AK3861">
        <v>19.935239415773001</v>
      </c>
      <c r="AL3861">
        <v>72.612153100117993</v>
      </c>
      <c r="AM3861">
        <v>94.132145555617498</v>
      </c>
      <c r="AN3861">
        <v>1.0000000666689699</v>
      </c>
    </row>
    <row r="3862" spans="1:40" x14ac:dyDescent="0.25">
      <c r="A3862" t="str">
        <f>"20190304164928681"</f>
        <v>20190304164928681</v>
      </c>
      <c r="B3862" t="str">
        <f>"1551689368669557"</f>
        <v>1551689368669557</v>
      </c>
      <c r="C3862" t="s">
        <v>40</v>
      </c>
      <c r="D3862">
        <v>4.1314199999999897</v>
      </c>
      <c r="E3862">
        <v>0.52252049999999906</v>
      </c>
      <c r="F3862" t="s">
        <v>47</v>
      </c>
      <c r="G3862">
        <v>-301.1635</v>
      </c>
      <c r="H3862" s="1">
        <v>2.4468809999999999E-6</v>
      </c>
      <c r="I3862">
        <v>216.14830000000001</v>
      </c>
      <c r="J3862">
        <v>-321.13639999999998</v>
      </c>
      <c r="K3862">
        <v>1.1103609999999999</v>
      </c>
      <c r="L3862">
        <v>214.92230000000001</v>
      </c>
      <c r="M3862">
        <v>0.99969569999999996</v>
      </c>
      <c r="N3862">
        <v>-1.538346E-2</v>
      </c>
      <c r="O3862">
        <v>1.9286629999999999E-2</v>
      </c>
      <c r="P3862">
        <v>0.95472970000000001</v>
      </c>
      <c r="Q3862">
        <v>0.28446769999999999</v>
      </c>
      <c r="R3862">
        <v>8.70036E-2</v>
      </c>
      <c r="S3862">
        <v>3.1759339999999998</v>
      </c>
      <c r="T3862">
        <v>-0.17288339999999999</v>
      </c>
      <c r="U3862">
        <v>0.19216920000000001</v>
      </c>
      <c r="V3862">
        <v>-6.8522970000000002E-2</v>
      </c>
      <c r="W3862">
        <v>0.29915560000000002</v>
      </c>
      <c r="X3862">
        <v>0.95174080000000005</v>
      </c>
      <c r="Y3862">
        <v>-4.1069399999999999E-2</v>
      </c>
      <c r="Z3862">
        <v>6.8087149999999995E-4</v>
      </c>
      <c r="AA3862">
        <v>0.99915609999999999</v>
      </c>
      <c r="AB3862">
        <v>43</v>
      </c>
      <c r="AC3862">
        <v>19.9728999999999</v>
      </c>
      <c r="AD3862">
        <v>-1.1103585531189999</v>
      </c>
      <c r="AE3862">
        <v>1.22599999999999</v>
      </c>
      <c r="AF3862">
        <v>-0.83793639329200598</v>
      </c>
      <c r="AG3862">
        <v>-1.1103585531189999</v>
      </c>
      <c r="AH3862">
        <v>19.931463129890201</v>
      </c>
      <c r="AI3862">
        <v>93.185776898653899</v>
      </c>
      <c r="AJ3862">
        <v>92.407347793845602</v>
      </c>
      <c r="AK3862">
        <v>19.979946346621102</v>
      </c>
      <c r="AL3862">
        <v>72.593106616194504</v>
      </c>
      <c r="AM3862">
        <v>94.118047907072295</v>
      </c>
      <c r="AN3862">
        <v>1.0000000104068101</v>
      </c>
    </row>
    <row r="3863" spans="1:40" x14ac:dyDescent="0.25">
      <c r="A3863" t="str">
        <f>"20190304164928703"</f>
        <v>20190304164928703</v>
      </c>
      <c r="B3863" t="str">
        <f>"1551689368699813"</f>
        <v>1551689368699813</v>
      </c>
      <c r="C3863" t="s">
        <v>40</v>
      </c>
      <c r="D3863">
        <v>4.1254739999999996</v>
      </c>
      <c r="E3863">
        <v>0.52242259999999996</v>
      </c>
      <c r="F3863" t="s">
        <v>47</v>
      </c>
      <c r="G3863">
        <v>-300.63729999999998</v>
      </c>
      <c r="H3863" s="1">
        <v>2.5402190000000001E-6</v>
      </c>
      <c r="I3863">
        <v>216.15870000000001</v>
      </c>
      <c r="J3863">
        <v>-320.70609999999999</v>
      </c>
      <c r="K3863">
        <v>1.1103689999999999</v>
      </c>
      <c r="L3863">
        <v>214.9306</v>
      </c>
      <c r="M3863">
        <v>0.99969649999999999</v>
      </c>
      <c r="N3863">
        <v>-1.537901E-2</v>
      </c>
      <c r="O3863">
        <v>1.9248310000000001E-2</v>
      </c>
      <c r="P3863">
        <v>0.95455460000000003</v>
      </c>
      <c r="Q3863">
        <v>0.28507710000000003</v>
      </c>
      <c r="R3863">
        <v>8.6929439999999997E-2</v>
      </c>
      <c r="S3863">
        <v>3.176056</v>
      </c>
      <c r="T3863">
        <v>-0.17203450000000001</v>
      </c>
      <c r="U3863">
        <v>0.1915588</v>
      </c>
      <c r="V3863">
        <v>-6.8489419999999995E-2</v>
      </c>
      <c r="W3863">
        <v>0.29975800000000002</v>
      </c>
      <c r="X3863">
        <v>0.9515536</v>
      </c>
      <c r="Y3863">
        <v>-4.0914819999999998E-2</v>
      </c>
      <c r="Z3863">
        <v>6.764691E-4</v>
      </c>
      <c r="AA3863">
        <v>0.99916240000000001</v>
      </c>
      <c r="AB3863">
        <v>43</v>
      </c>
      <c r="AC3863">
        <v>20.0688</v>
      </c>
      <c r="AD3863">
        <v>-1.1103664597809999</v>
      </c>
      <c r="AE3863">
        <v>1.22810000000001</v>
      </c>
      <c r="AF3863">
        <v>-0.83897758219912799</v>
      </c>
      <c r="AG3863">
        <v>-1.1103664597809999</v>
      </c>
      <c r="AH3863">
        <v>20.027643069441599</v>
      </c>
      <c r="AI3863">
        <v>93.170551341245002</v>
      </c>
      <c r="AJ3863">
        <v>92.398773806243298</v>
      </c>
      <c r="AK3863">
        <v>20.075937935134998</v>
      </c>
      <c r="AL3863">
        <v>72.556930588398799</v>
      </c>
      <c r="AM3863">
        <v>94.116845541066297</v>
      </c>
      <c r="AN3863">
        <v>0.99999995644444695</v>
      </c>
    </row>
    <row r="3864" spans="1:40" x14ac:dyDescent="0.25">
      <c r="A3864" t="str">
        <f>"20190304164928727"</f>
        <v>20190304164928727</v>
      </c>
      <c r="B3864" t="str">
        <f>"1551689368720309"</f>
        <v>1551689368720309</v>
      </c>
      <c r="C3864" t="s">
        <v>40</v>
      </c>
      <c r="D3864">
        <v>4.306019</v>
      </c>
      <c r="E3864">
        <v>0.54034019999999905</v>
      </c>
      <c r="F3864" t="s">
        <v>47</v>
      </c>
      <c r="G3864">
        <v>-300.00209999999998</v>
      </c>
      <c r="H3864" s="1">
        <v>2.652882E-6</v>
      </c>
      <c r="I3864">
        <v>216.17939999999999</v>
      </c>
      <c r="J3864">
        <v>-320.26240000000001</v>
      </c>
      <c r="K3864">
        <v>1.1103769999999999</v>
      </c>
      <c r="L3864">
        <v>214.9391</v>
      </c>
      <c r="M3864">
        <v>0.99969730000000001</v>
      </c>
      <c r="N3864">
        <v>-1.53741E-2</v>
      </c>
      <c r="O3864">
        <v>1.920879E-2</v>
      </c>
      <c r="P3864">
        <v>0.95454709999999998</v>
      </c>
      <c r="Q3864">
        <v>0.28511029999999998</v>
      </c>
      <c r="R3864">
        <v>8.6903250000000001E-2</v>
      </c>
      <c r="S3864">
        <v>3.1762079999999999</v>
      </c>
      <c r="T3864">
        <v>-0.1703421</v>
      </c>
      <c r="U3864">
        <v>0.1915741</v>
      </c>
      <c r="V3864">
        <v>-6.8501969999999995E-2</v>
      </c>
      <c r="W3864">
        <v>0.29978569999999999</v>
      </c>
      <c r="X3864">
        <v>0.95154399999999995</v>
      </c>
      <c r="Y3864">
        <v>-4.0957069999999998E-2</v>
      </c>
      <c r="Z3864">
        <v>6.7858950000000001E-4</v>
      </c>
      <c r="AA3864">
        <v>0.99916059999999995</v>
      </c>
      <c r="AB3864">
        <v>43</v>
      </c>
      <c r="AC3864">
        <v>20.260300000000001</v>
      </c>
      <c r="AD3864">
        <v>-1.1103743471180001</v>
      </c>
      <c r="AE3864">
        <v>1.24029999999999</v>
      </c>
      <c r="AF3864">
        <v>-0.84831075796740896</v>
      </c>
      <c r="AG3864">
        <v>-1.1103743471180001</v>
      </c>
      <c r="AH3864">
        <v>20.219882071942799</v>
      </c>
      <c r="AI3864">
        <v>93.1404821495193</v>
      </c>
      <c r="AJ3864">
        <v>92.402394767197606</v>
      </c>
      <c r="AK3864">
        <v>20.2681077887428</v>
      </c>
      <c r="AL3864">
        <v>72.555267499688597</v>
      </c>
      <c r="AM3864">
        <v>94.1176387162987</v>
      </c>
      <c r="AN3864">
        <v>0.999999984877185</v>
      </c>
    </row>
    <row r="3865" spans="1:40" x14ac:dyDescent="0.25">
      <c r="A3865" t="str">
        <f>"20190304164928748"</f>
        <v>20190304164928748</v>
      </c>
      <c r="B3865" t="str">
        <f>"1551689368739833"</f>
        <v>1551689368739833</v>
      </c>
      <c r="C3865" t="s">
        <v>40</v>
      </c>
      <c r="D3865">
        <v>4.2186529999999998</v>
      </c>
      <c r="E3865">
        <v>0.55759479999999995</v>
      </c>
      <c r="F3865" t="s">
        <v>47</v>
      </c>
      <c r="G3865">
        <v>-298.92140000000001</v>
      </c>
      <c r="H3865" s="1">
        <v>2.4769209999999999E-6</v>
      </c>
      <c r="I3865">
        <v>215.25989999999999</v>
      </c>
      <c r="J3865">
        <v>-319.84359999999998</v>
      </c>
      <c r="K3865">
        <v>1.1103700000000001</v>
      </c>
      <c r="L3865">
        <v>214.94710000000001</v>
      </c>
      <c r="M3865">
        <v>0.99969799999999998</v>
      </c>
      <c r="N3865">
        <v>-1.536915E-2</v>
      </c>
      <c r="O3865">
        <v>1.9171589999999999E-2</v>
      </c>
      <c r="P3865">
        <v>0.95446850000000005</v>
      </c>
      <c r="Q3865">
        <v>0.28552369999999999</v>
      </c>
      <c r="R3865">
        <v>8.6406869999999997E-2</v>
      </c>
      <c r="S3865">
        <v>3.1880190000000002</v>
      </c>
      <c r="T3865">
        <v>-0.16587289999999999</v>
      </c>
      <c r="U3865">
        <v>4.7927860000000003E-2</v>
      </c>
      <c r="V3865">
        <v>-6.8043629999999994E-2</v>
      </c>
      <c r="W3865">
        <v>0.30019279999999998</v>
      </c>
      <c r="X3865">
        <v>0.95144859999999998</v>
      </c>
      <c r="Y3865">
        <v>4.122321E-3</v>
      </c>
      <c r="Z3865">
        <v>-8.4102570000000004E-4</v>
      </c>
      <c r="AA3865">
        <v>0.99999119999999997</v>
      </c>
      <c r="AB3865">
        <v>43</v>
      </c>
      <c r="AC3865">
        <v>20.922199999999901</v>
      </c>
      <c r="AD3865">
        <v>-1.110367523079</v>
      </c>
      <c r="AE3865">
        <v>0.31279999999998098</v>
      </c>
      <c r="AF3865">
        <v>8.8168479360202306E-2</v>
      </c>
      <c r="AG3865">
        <v>-1.110367523079</v>
      </c>
      <c r="AH3865">
        <v>20.865595303546801</v>
      </c>
      <c r="AI3865">
        <v>93.046107891465894</v>
      </c>
      <c r="AJ3865">
        <v>89.757895635663999</v>
      </c>
      <c r="AK3865">
        <v>20.8953046660836</v>
      </c>
      <c r="AL3865">
        <v>72.530817319532304</v>
      </c>
      <c r="AM3865">
        <v>94.090590539240694</v>
      </c>
      <c r="AN3865">
        <v>1.0000000455986799</v>
      </c>
    </row>
    <row r="3866" spans="1:40" x14ac:dyDescent="0.25">
      <c r="A3866" t="str">
        <f>"20190304164928770"</f>
        <v>20190304164928770</v>
      </c>
      <c r="B3866" t="str">
        <f>"1551689368760324"</f>
        <v>1551689368760324</v>
      </c>
      <c r="C3866" t="s">
        <v>40</v>
      </c>
      <c r="D3866">
        <v>4.2775869999999996</v>
      </c>
      <c r="E3866">
        <v>0.56552690000000005</v>
      </c>
      <c r="F3866" t="s">
        <v>47</v>
      </c>
      <c r="G3866">
        <v>-300.95580000000001</v>
      </c>
      <c r="H3866" s="1">
        <v>2.4837079999999998E-6</v>
      </c>
      <c r="I3866">
        <v>214.42670000000001</v>
      </c>
      <c r="J3866">
        <v>-319.43579999999997</v>
      </c>
      <c r="K3866">
        <v>1.1103700000000001</v>
      </c>
      <c r="L3866">
        <v>214.95490000000001</v>
      </c>
      <c r="M3866">
        <v>0.99969889999999995</v>
      </c>
      <c r="N3866">
        <v>-1.536422E-2</v>
      </c>
      <c r="O3866">
        <v>1.9135590000000001E-2</v>
      </c>
      <c r="P3866">
        <v>0.95450029999999997</v>
      </c>
      <c r="Q3866">
        <v>0.2853424</v>
      </c>
      <c r="R3866">
        <v>8.6654800000000004E-2</v>
      </c>
      <c r="S3866">
        <v>3.2075200000000001</v>
      </c>
      <c r="T3866">
        <v>-0.1885626</v>
      </c>
      <c r="U3866">
        <v>-8.8378910000000005E-2</v>
      </c>
      <c r="V3866">
        <v>-6.8325460000000005E-2</v>
      </c>
      <c r="W3866">
        <v>0.30000719999999997</v>
      </c>
      <c r="X3866">
        <v>0.95148690000000002</v>
      </c>
      <c r="Y3866">
        <v>4.6549390000000003E-2</v>
      </c>
      <c r="Z3866">
        <v>-2.554906E-3</v>
      </c>
      <c r="AA3866">
        <v>0.99891280000000005</v>
      </c>
      <c r="AB3866">
        <v>43</v>
      </c>
      <c r="AC3866">
        <v>18.479999999999901</v>
      </c>
      <c r="AD3866">
        <v>-1.1103675162919999</v>
      </c>
      <c r="AE3866">
        <v>-0.528199999999998</v>
      </c>
      <c r="AF3866">
        <v>0.87860136508756903</v>
      </c>
      <c r="AG3866">
        <v>-1.1103675162919999</v>
      </c>
      <c r="AH3866">
        <v>18.400133184934699</v>
      </c>
      <c r="AI3866">
        <v>93.449441027692899</v>
      </c>
      <c r="AJ3866">
        <v>87.266218525987298</v>
      </c>
      <c r="AK3866">
        <v>18.454532169722</v>
      </c>
      <c r="AL3866">
        <v>72.541964511986293</v>
      </c>
      <c r="AM3866">
        <v>94.107310719055505</v>
      </c>
      <c r="AN3866">
        <v>1.00000000470383</v>
      </c>
    </row>
    <row r="3867" spans="1:40" x14ac:dyDescent="0.25">
      <c r="A3867" t="str">
        <f>"20190304164928794"</f>
        <v>20190304164928794</v>
      </c>
      <c r="B3867" t="str">
        <f>"1551689368789604"</f>
        <v>1551689368789604</v>
      </c>
      <c r="C3867" t="s">
        <v>40</v>
      </c>
      <c r="D3867">
        <v>4.2567370000000002</v>
      </c>
      <c r="E3867">
        <v>0.57121650000000002</v>
      </c>
      <c r="F3867" t="s">
        <v>47</v>
      </c>
      <c r="G3867">
        <v>-301.14100000000002</v>
      </c>
      <c r="H3867" s="1">
        <v>2.4508680000000001E-6</v>
      </c>
      <c r="I3867">
        <v>214.09909999999999</v>
      </c>
      <c r="J3867">
        <v>-318.97669999999999</v>
      </c>
      <c r="K3867">
        <v>1.110374</v>
      </c>
      <c r="L3867">
        <v>214.96360000000001</v>
      </c>
      <c r="M3867">
        <v>0.99969980000000003</v>
      </c>
      <c r="N3867">
        <v>-1.5358709999999999E-2</v>
      </c>
      <c r="O3867">
        <v>1.9095109999999998E-2</v>
      </c>
      <c r="P3867">
        <v>0.95455129999999999</v>
      </c>
      <c r="Q3867">
        <v>0.28520420000000002</v>
      </c>
      <c r="R3867">
        <v>8.6547970000000002E-2</v>
      </c>
      <c r="S3867">
        <v>3.214966</v>
      </c>
      <c r="T3867">
        <v>-0.19512589999999999</v>
      </c>
      <c r="U3867">
        <v>-0.15039060000000001</v>
      </c>
      <c r="V3867">
        <v>-6.8256990000000003E-2</v>
      </c>
      <c r="W3867">
        <v>0.29986439999999998</v>
      </c>
      <c r="X3867">
        <v>0.95153679999999996</v>
      </c>
      <c r="Y3867">
        <v>6.5624489999999994E-2</v>
      </c>
      <c r="Z3867">
        <v>-3.3578039999999998E-3</v>
      </c>
      <c r="AA3867">
        <v>0.99783869999999997</v>
      </c>
      <c r="AB3867">
        <v>43</v>
      </c>
      <c r="AC3867">
        <v>17.835699999999999</v>
      </c>
      <c r="AD3867">
        <v>-1.1103715491320001</v>
      </c>
      <c r="AE3867">
        <v>-0.86450000000002003</v>
      </c>
      <c r="AF3867">
        <v>1.2003159083997501</v>
      </c>
      <c r="AG3867">
        <v>-1.1103715491320001</v>
      </c>
      <c r="AH3867">
        <v>17.747314587608798</v>
      </c>
      <c r="AI3867">
        <v>93.571939800032894</v>
      </c>
      <c r="AJ3867">
        <v>86.130769021685296</v>
      </c>
      <c r="AK3867">
        <v>17.822481822928999</v>
      </c>
      <c r="AL3867">
        <v>72.550540752946304</v>
      </c>
      <c r="AM3867">
        <v>94.102994341587802</v>
      </c>
      <c r="AN3867">
        <v>0.99999997841272903</v>
      </c>
    </row>
    <row r="3868" spans="1:40" x14ac:dyDescent="0.25">
      <c r="A3868" t="str">
        <f>"20190304164928819"</f>
        <v>20190304164928819</v>
      </c>
      <c r="B3868" t="str">
        <f>"1551689368810101"</f>
        <v>1551689368810101</v>
      </c>
      <c r="C3868" t="s">
        <v>40</v>
      </c>
      <c r="D3868">
        <v>4.3093389999999996</v>
      </c>
      <c r="E3868">
        <v>0.57312350000000001</v>
      </c>
      <c r="F3868" t="s">
        <v>47</v>
      </c>
      <c r="G3868">
        <v>-301.26369999999997</v>
      </c>
      <c r="H3868" s="1">
        <v>2.4291000000000002E-6</v>
      </c>
      <c r="I3868">
        <v>213.8913</v>
      </c>
      <c r="J3868">
        <v>-318.50810000000001</v>
      </c>
      <c r="K3868">
        <v>1.1103829999999999</v>
      </c>
      <c r="L3868">
        <v>214.9725</v>
      </c>
      <c r="M3868">
        <v>0.9997007</v>
      </c>
      <c r="N3868">
        <v>-1.5353139999999999E-2</v>
      </c>
      <c r="O3868">
        <v>1.9053569999999999E-2</v>
      </c>
      <c r="P3868">
        <v>0.95461870000000004</v>
      </c>
      <c r="Q3868">
        <v>0.28495179999999998</v>
      </c>
      <c r="R3868">
        <v>8.6636859999999996E-2</v>
      </c>
      <c r="S3868">
        <v>3.2208860000000001</v>
      </c>
      <c r="T3868">
        <v>-0.2019069</v>
      </c>
      <c r="U3868">
        <v>-0.1949921</v>
      </c>
      <c r="V3868">
        <v>-6.8384360000000005E-2</v>
      </c>
      <c r="W3868">
        <v>0.29960779999999998</v>
      </c>
      <c r="X3868">
        <v>0.95160849999999997</v>
      </c>
      <c r="Y3868">
        <v>7.9224879999999998E-2</v>
      </c>
      <c r="Z3868">
        <v>-3.988213E-3</v>
      </c>
      <c r="AA3868">
        <v>0.99684879999999998</v>
      </c>
      <c r="AB3868">
        <v>43</v>
      </c>
      <c r="AC3868">
        <v>17.244399999999999</v>
      </c>
      <c r="AD3868">
        <v>-1.1103805709000001</v>
      </c>
      <c r="AE3868">
        <v>-1.0811999999999899</v>
      </c>
      <c r="AF3868">
        <v>1.4038120928185001</v>
      </c>
      <c r="AG3868">
        <v>-1.1103805709000001</v>
      </c>
      <c r="AH3868">
        <v>17.1498378610315</v>
      </c>
      <c r="AI3868">
        <v>93.692177941356206</v>
      </c>
      <c r="AJ3868">
        <v>85.3204464441298</v>
      </c>
      <c r="AK3868">
        <v>17.242986170145901</v>
      </c>
      <c r="AL3868">
        <v>72.565951713187602</v>
      </c>
      <c r="AM3868">
        <v>94.110315797635707</v>
      </c>
      <c r="AN3868">
        <v>0.99999999589284905</v>
      </c>
    </row>
    <row r="3869" spans="1:40" x14ac:dyDescent="0.25">
      <c r="A3869" t="str">
        <f>"20190304164928840"</f>
        <v>20190304164928840</v>
      </c>
      <c r="B3869" t="str">
        <f>"1551689368829621"</f>
        <v>1551689368829621</v>
      </c>
      <c r="C3869" t="s">
        <v>40</v>
      </c>
      <c r="D3869">
        <v>4.3101430000000001</v>
      </c>
      <c r="E3869">
        <v>0.57446070000000005</v>
      </c>
      <c r="F3869" t="s">
        <v>41</v>
      </c>
      <c r="G3869">
        <v>-317.45920000000001</v>
      </c>
      <c r="H3869">
        <v>1.0436730000000001</v>
      </c>
      <c r="I3869">
        <v>214.9041</v>
      </c>
      <c r="J3869">
        <v>-318.10860000000002</v>
      </c>
      <c r="K3869">
        <v>1.1103860000000001</v>
      </c>
      <c r="L3869">
        <v>214.98009999999999</v>
      </c>
      <c r="M3869">
        <v>0.99970130000000001</v>
      </c>
      <c r="N3869">
        <v>-1.534861E-2</v>
      </c>
      <c r="O3869">
        <v>1.9018199999999999E-2</v>
      </c>
      <c r="P3869">
        <v>0.95459939999999999</v>
      </c>
      <c r="Q3869">
        <v>0.28501530000000003</v>
      </c>
      <c r="R3869">
        <v>8.6640300000000003E-2</v>
      </c>
      <c r="S3869">
        <v>3.2229000000000001</v>
      </c>
      <c r="T3869">
        <v>-0.20507069999999999</v>
      </c>
      <c r="U3869">
        <v>-0.20996090000000001</v>
      </c>
      <c r="V3869">
        <v>-6.8422520000000001E-2</v>
      </c>
      <c r="W3869">
        <v>0.2996665</v>
      </c>
      <c r="X3869">
        <v>0.95158730000000002</v>
      </c>
      <c r="Y3869">
        <v>8.374558E-2</v>
      </c>
      <c r="Z3869">
        <v>-4.2194349999999997E-3</v>
      </c>
      <c r="AA3869">
        <v>0.99647830000000004</v>
      </c>
      <c r="AB3869">
        <v>43</v>
      </c>
      <c r="AC3869">
        <v>0.64940000000001397</v>
      </c>
      <c r="AD3869">
        <v>-6.6713000000000203E-2</v>
      </c>
      <c r="AE3869">
        <v>-7.5999999999993406E-2</v>
      </c>
      <c r="AF3869">
        <v>8.7427921692510305E-2</v>
      </c>
      <c r="AG3869">
        <v>-6.6713000000000203E-2</v>
      </c>
      <c r="AH3869">
        <v>0.64116189071624796</v>
      </c>
      <c r="AI3869">
        <v>95.886176509124397</v>
      </c>
      <c r="AJ3869">
        <v>82.235118688649393</v>
      </c>
      <c r="AK3869">
        <v>0.65052504637969599</v>
      </c>
      <c r="AL3869">
        <v>72.562426929481703</v>
      </c>
      <c r="AM3869">
        <v>94.112692886274104</v>
      </c>
      <c r="AN3869">
        <v>1.00000002099334</v>
      </c>
    </row>
    <row r="3870" spans="1:40" x14ac:dyDescent="0.25">
      <c r="A3870" t="str">
        <f>"20190304164928859"</f>
        <v>20190304164928859</v>
      </c>
      <c r="B3870" t="str">
        <f>"1551689368850116"</f>
        <v>1551689368850116</v>
      </c>
      <c r="C3870" t="s">
        <v>40</v>
      </c>
      <c r="D3870">
        <v>4.2677559999999897</v>
      </c>
      <c r="E3870">
        <v>0.57549229999999996</v>
      </c>
      <c r="F3870" t="s">
        <v>41</v>
      </c>
      <c r="G3870">
        <v>-317.07889999999998</v>
      </c>
      <c r="H3870">
        <v>1.0442610000000001</v>
      </c>
      <c r="I3870">
        <v>214.90960000000001</v>
      </c>
      <c r="J3870">
        <v>-317.72379999999998</v>
      </c>
      <c r="K3870">
        <v>1.1103909999999999</v>
      </c>
      <c r="L3870">
        <v>214.98740000000001</v>
      </c>
      <c r="M3870">
        <v>0.99970219999999999</v>
      </c>
      <c r="N3870">
        <v>-1.534422E-2</v>
      </c>
      <c r="O3870">
        <v>1.8984210000000001E-2</v>
      </c>
      <c r="P3870">
        <v>0.95457740000000002</v>
      </c>
      <c r="Q3870">
        <v>0.28527190000000002</v>
      </c>
      <c r="R3870">
        <v>8.6036189999999999E-2</v>
      </c>
      <c r="S3870">
        <v>3.2245180000000002</v>
      </c>
      <c r="T3870">
        <v>-0.20713760000000001</v>
      </c>
      <c r="U3870">
        <v>-0.22024540000000001</v>
      </c>
      <c r="V3870">
        <v>-6.7851960000000003E-2</v>
      </c>
      <c r="W3870">
        <v>0.29991849999999998</v>
      </c>
      <c r="X3870">
        <v>0.95154879999999997</v>
      </c>
      <c r="Y3870">
        <v>8.6831030000000003E-2</v>
      </c>
      <c r="Z3870">
        <v>-4.3769459999999996E-3</v>
      </c>
      <c r="AA3870">
        <v>0.99621340000000003</v>
      </c>
      <c r="AB3870">
        <v>43</v>
      </c>
      <c r="AC3870">
        <v>0.64490000000000602</v>
      </c>
      <c r="AD3870">
        <v>-6.61299999999998E-2</v>
      </c>
      <c r="AE3870">
        <v>-7.7799999999996303E-2</v>
      </c>
      <c r="AF3870">
        <v>8.9106808501771204E-2</v>
      </c>
      <c r="AG3870">
        <v>-6.61299999999998E-2</v>
      </c>
      <c r="AH3870">
        <v>0.63670761876799697</v>
      </c>
      <c r="AI3870">
        <v>95.872791120790794</v>
      </c>
      <c r="AJ3870">
        <v>82.0332366544731</v>
      </c>
      <c r="AK3870">
        <v>0.64630472071506995</v>
      </c>
      <c r="AL3870">
        <v>72.5472929135736</v>
      </c>
      <c r="AM3870">
        <v>94.078678743403202</v>
      </c>
      <c r="AN3870">
        <v>1.00000005694976</v>
      </c>
    </row>
    <row r="3871" spans="1:40" x14ac:dyDescent="0.25">
      <c r="A3871" t="str">
        <f>"20190304164928877"</f>
        <v>20190304164928877</v>
      </c>
      <c r="B3871" t="str">
        <f>"1551689368869637"</f>
        <v>1551689368869637</v>
      </c>
      <c r="C3871" t="s">
        <v>40</v>
      </c>
      <c r="D3871">
        <v>4.2682690000000001</v>
      </c>
      <c r="E3871">
        <v>0.57635970000000003</v>
      </c>
      <c r="F3871" t="s">
        <v>41</v>
      </c>
      <c r="G3871">
        <v>-316.69940000000003</v>
      </c>
      <c r="H3871">
        <v>1.044481</v>
      </c>
      <c r="I3871">
        <v>214.9145</v>
      </c>
      <c r="J3871">
        <v>-317.40699999999998</v>
      </c>
      <c r="K3871">
        <v>1.110392</v>
      </c>
      <c r="L3871">
        <v>214.99340000000001</v>
      </c>
      <c r="M3871">
        <v>0.99970270000000006</v>
      </c>
      <c r="N3871">
        <v>-1.534054E-2</v>
      </c>
      <c r="O3871">
        <v>1.895618E-2</v>
      </c>
      <c r="P3871">
        <v>0.95451280000000005</v>
      </c>
      <c r="Q3871">
        <v>0.285516099999999</v>
      </c>
      <c r="R3871">
        <v>8.5941299999999998E-2</v>
      </c>
      <c r="S3871">
        <v>3.2254640000000001</v>
      </c>
      <c r="T3871">
        <v>-0.20758009999999999</v>
      </c>
      <c r="U3871">
        <v>-0.22940060000000001</v>
      </c>
      <c r="V3871">
        <v>-6.7784910000000004E-2</v>
      </c>
      <c r="W3871">
        <v>0.30015779999999997</v>
      </c>
      <c r="X3871">
        <v>0.95147809999999999</v>
      </c>
      <c r="Y3871">
        <v>8.9589100000000005E-2</v>
      </c>
      <c r="Z3871">
        <v>-4.492312E-3</v>
      </c>
      <c r="AA3871">
        <v>0.99596870000000004</v>
      </c>
      <c r="AB3871">
        <v>42</v>
      </c>
      <c r="AC3871">
        <v>0.70759999999995604</v>
      </c>
      <c r="AD3871">
        <v>-6.5910999999999997E-2</v>
      </c>
      <c r="AE3871">
        <v>-7.8900000000004397E-2</v>
      </c>
      <c r="AF3871">
        <v>9.1516506215309906E-2</v>
      </c>
      <c r="AG3871">
        <v>-6.5910999999999997E-2</v>
      </c>
      <c r="AH3871">
        <v>0.69997828944253504</v>
      </c>
      <c r="AI3871">
        <v>95.334065037222103</v>
      </c>
      <c r="AJ3871">
        <v>82.5512893636363</v>
      </c>
      <c r="AK3871">
        <v>0.70900573800340605</v>
      </c>
      <c r="AL3871">
        <v>72.532919463657706</v>
      </c>
      <c r="AM3871">
        <v>94.074963603658404</v>
      </c>
      <c r="AN3871">
        <v>1.0000000368520701</v>
      </c>
    </row>
    <row r="3872" spans="1:40" x14ac:dyDescent="0.25">
      <c r="A3872" t="str">
        <f>"20190304164928893"</f>
        <v>20190304164928893</v>
      </c>
      <c r="B3872" t="str">
        <f>"1551689368879397"</f>
        <v>1551689368879397</v>
      </c>
      <c r="C3872" t="s">
        <v>40</v>
      </c>
      <c r="D3872">
        <v>4.3049720000000002</v>
      </c>
      <c r="E3872">
        <v>0.57659459999999996</v>
      </c>
      <c r="F3872" t="s">
        <v>41</v>
      </c>
      <c r="G3872">
        <v>-316.32409999999999</v>
      </c>
      <c r="H3872">
        <v>1.039906</v>
      </c>
      <c r="I3872">
        <v>214.91380000000001</v>
      </c>
      <c r="J3872">
        <v>-317.09359999999998</v>
      </c>
      <c r="K3872">
        <v>1.110393</v>
      </c>
      <c r="L3872">
        <v>214.99930000000001</v>
      </c>
      <c r="M3872">
        <v>0.99970329999999996</v>
      </c>
      <c r="N3872">
        <v>-1.5336860000000001E-2</v>
      </c>
      <c r="O3872">
        <v>1.892831E-2</v>
      </c>
      <c r="P3872">
        <v>0.95454139999999998</v>
      </c>
      <c r="Q3872">
        <v>0.28555249999999999</v>
      </c>
      <c r="R3872">
        <v>8.5502069999999999E-2</v>
      </c>
      <c r="S3872">
        <v>3.2270810000000001</v>
      </c>
      <c r="T3872">
        <v>-0.2101237</v>
      </c>
      <c r="U3872">
        <v>-0.23625180000000001</v>
      </c>
      <c r="V3872">
        <v>-6.7372189999999998E-2</v>
      </c>
      <c r="W3872">
        <v>0.30019050000000003</v>
      </c>
      <c r="X3872">
        <v>0.95149709999999998</v>
      </c>
      <c r="Y3872">
        <v>9.1618580000000005E-2</v>
      </c>
      <c r="Z3872">
        <v>-4.6201289999999997E-3</v>
      </c>
      <c r="AA3872">
        <v>0.99578339999999999</v>
      </c>
      <c r="AB3872">
        <v>42</v>
      </c>
      <c r="AC3872">
        <v>0.76949999999999297</v>
      </c>
      <c r="AD3872">
        <v>-7.0486999999999897E-2</v>
      </c>
      <c r="AE3872">
        <v>-8.5499999999996107E-2</v>
      </c>
      <c r="AF3872">
        <v>9.9229270724386004E-2</v>
      </c>
      <c r="AG3872">
        <v>-7.0486999999999897E-2</v>
      </c>
      <c r="AH3872">
        <v>0.76143247058831198</v>
      </c>
      <c r="AI3872">
        <v>95.2447885788241</v>
      </c>
      <c r="AJ3872">
        <v>82.575103714979505</v>
      </c>
      <c r="AK3872">
        <v>0.77109939216920298</v>
      </c>
      <c r="AL3872">
        <v>72.530955366838498</v>
      </c>
      <c r="AM3872">
        <v>94.050154707992803</v>
      </c>
      <c r="AN3872">
        <v>1.0000000397920199</v>
      </c>
    </row>
    <row r="3873" spans="1:40" x14ac:dyDescent="0.25">
      <c r="A3873" t="str">
        <f>"20190304164928918"</f>
        <v>20190304164928918</v>
      </c>
      <c r="B3873" t="str">
        <f>"1551689368899894"</f>
        <v>1551689368899894</v>
      </c>
      <c r="C3873" t="s">
        <v>40</v>
      </c>
      <c r="D3873">
        <v>4.2858780000000003</v>
      </c>
      <c r="E3873">
        <v>0.57712039999999998</v>
      </c>
      <c r="F3873" t="s">
        <v>47</v>
      </c>
      <c r="G3873">
        <v>-299.92750000000001</v>
      </c>
      <c r="H3873" s="1">
        <v>2.6553869999999999E-6</v>
      </c>
      <c r="I3873">
        <v>213.72200000000001</v>
      </c>
      <c r="J3873">
        <v>-316.63069999999999</v>
      </c>
      <c r="K3873">
        <v>1.1103809999999901</v>
      </c>
      <c r="L3873">
        <v>215.00810000000001</v>
      </c>
      <c r="M3873">
        <v>0.99970409999999998</v>
      </c>
      <c r="N3873">
        <v>-1.5331600000000001E-2</v>
      </c>
      <c r="O3873">
        <v>1.8887649999999999E-2</v>
      </c>
      <c r="P3873">
        <v>0.95469099999999996</v>
      </c>
      <c r="Q3873">
        <v>0.28515970000000002</v>
      </c>
      <c r="R3873">
        <v>8.5141120000000001E-2</v>
      </c>
      <c r="S3873">
        <v>3.2268370000000002</v>
      </c>
      <c r="T3873">
        <v>-0.20872859999999999</v>
      </c>
      <c r="U3873">
        <v>-0.2401123</v>
      </c>
      <c r="V3873">
        <v>-6.7047460000000003E-2</v>
      </c>
      <c r="W3873">
        <v>0.29979519999999998</v>
      </c>
      <c r="X3873">
        <v>0.95164459999999995</v>
      </c>
      <c r="Y3873">
        <v>9.2768710000000004E-2</v>
      </c>
      <c r="Z3873">
        <v>-4.6362360000000002E-3</v>
      </c>
      <c r="AA3873">
        <v>0.99567689999999998</v>
      </c>
      <c r="AB3873">
        <v>42</v>
      </c>
      <c r="AC3873">
        <v>16.703199999999899</v>
      </c>
      <c r="AD3873">
        <v>-1.11037834461299</v>
      </c>
      <c r="AE3873">
        <v>-1.2861</v>
      </c>
      <c r="AF3873">
        <v>1.59438741450931</v>
      </c>
      <c r="AG3873">
        <v>-1.11037834461299</v>
      </c>
      <c r="AH3873">
        <v>16.602986083082399</v>
      </c>
      <c r="AI3873">
        <v>93.808673620848396</v>
      </c>
      <c r="AJ3873">
        <v>84.514697284635801</v>
      </c>
      <c r="AK3873">
        <v>16.716284221403999</v>
      </c>
      <c r="AL3873">
        <v>72.554696936368202</v>
      </c>
      <c r="AM3873">
        <v>94.030075020361906</v>
      </c>
      <c r="AN3873">
        <v>0.99999998427232495</v>
      </c>
    </row>
    <row r="3874" spans="1:40" x14ac:dyDescent="0.25">
      <c r="A3874" t="str">
        <f>"20190304164928938"</f>
        <v>20190304164928938</v>
      </c>
      <c r="B3874" t="str">
        <f>"1551689368930152"</f>
        <v>1551689368930152</v>
      </c>
      <c r="C3874" t="s">
        <v>40</v>
      </c>
      <c r="D3874">
        <v>4.3472910000000002</v>
      </c>
      <c r="E3874">
        <v>0.57779199999999997</v>
      </c>
      <c r="F3874" t="s">
        <v>41</v>
      </c>
      <c r="G3874">
        <v>-315.56729999999999</v>
      </c>
      <c r="H3874">
        <v>1.040697</v>
      </c>
      <c r="I3874">
        <v>214.92699999999999</v>
      </c>
      <c r="J3874">
        <v>-316.2276</v>
      </c>
      <c r="K3874">
        <v>1.110382</v>
      </c>
      <c r="L3874">
        <v>215.01560000000001</v>
      </c>
      <c r="M3874">
        <v>0.99970479999999995</v>
      </c>
      <c r="N3874">
        <v>-1.5326960000000001E-2</v>
      </c>
      <c r="O3874">
        <v>1.8852109999999998E-2</v>
      </c>
      <c r="P3874">
        <v>0.95482020000000001</v>
      </c>
      <c r="Q3874">
        <v>0.28492840000000003</v>
      </c>
      <c r="R3874">
        <v>8.4464590000000006E-2</v>
      </c>
      <c r="S3874">
        <v>3.2274479999999999</v>
      </c>
      <c r="T3874">
        <v>-0.21157339999999999</v>
      </c>
      <c r="U3874">
        <v>-0.24543760000000001</v>
      </c>
      <c r="V3874">
        <v>-6.6402760000000005E-2</v>
      </c>
      <c r="W3874">
        <v>0.29956100000000002</v>
      </c>
      <c r="X3874">
        <v>0.95176360000000004</v>
      </c>
      <c r="Y3874">
        <v>9.4342159999999994E-2</v>
      </c>
      <c r="Z3874">
        <v>-4.7541780000000004E-3</v>
      </c>
      <c r="AA3874">
        <v>0.99552850000000004</v>
      </c>
      <c r="AB3874">
        <v>42</v>
      </c>
      <c r="AC3874">
        <v>0.66030000000000599</v>
      </c>
      <c r="AD3874">
        <v>-6.9684999999999997E-2</v>
      </c>
      <c r="AE3874">
        <v>-8.8599999999985302E-2</v>
      </c>
      <c r="AF3874">
        <v>9.9940341012233896E-2</v>
      </c>
      <c r="AG3874">
        <v>-6.9684999999999997E-2</v>
      </c>
      <c r="AH3874">
        <v>0.65138550079056401</v>
      </c>
      <c r="AI3874">
        <v>96.036157478915797</v>
      </c>
      <c r="AJ3874">
        <v>81.277280967527901</v>
      </c>
      <c r="AK3874">
        <v>0.662681780062509</v>
      </c>
      <c r="AL3874">
        <v>72.568762943316898</v>
      </c>
      <c r="AM3874">
        <v>93.990951941096199</v>
      </c>
      <c r="AN3874">
        <v>1.00000003477078</v>
      </c>
    </row>
    <row r="3875" spans="1:40" x14ac:dyDescent="0.25">
      <c r="A3875" t="str">
        <f>"20190304164928953"</f>
        <v>20190304164928953</v>
      </c>
      <c r="B3875" t="str">
        <f>"1551689368939909"</f>
        <v>1551689368939909</v>
      </c>
      <c r="C3875" t="s">
        <v>40</v>
      </c>
      <c r="D3875">
        <v>4.3338479999999997</v>
      </c>
      <c r="E3875">
        <v>0.57798640000000001</v>
      </c>
      <c r="F3875" t="s">
        <v>41</v>
      </c>
      <c r="G3875">
        <v>-315.19009999999997</v>
      </c>
      <c r="H3875">
        <v>1.0404199999999999</v>
      </c>
      <c r="I3875">
        <v>214.93469999999999</v>
      </c>
      <c r="J3875">
        <v>-315.952</v>
      </c>
      <c r="K3875">
        <v>1.110385</v>
      </c>
      <c r="L3875">
        <v>215.02080000000001</v>
      </c>
      <c r="M3875">
        <v>0.99970539999999997</v>
      </c>
      <c r="N3875">
        <v>-1.532378E-2</v>
      </c>
      <c r="O3875">
        <v>1.8827400000000001E-2</v>
      </c>
      <c r="P3875">
        <v>0.95480620000000005</v>
      </c>
      <c r="Q3875">
        <v>0.28512130000000002</v>
      </c>
      <c r="R3875">
        <v>8.3971210000000004E-2</v>
      </c>
      <c r="S3875">
        <v>3.2292179999999999</v>
      </c>
      <c r="T3875">
        <v>-0.2178155</v>
      </c>
      <c r="U3875">
        <v>-0.25164789999999998</v>
      </c>
      <c r="V3875">
        <v>-6.5933439999999996E-2</v>
      </c>
      <c r="W3875">
        <v>0.29975059999999998</v>
      </c>
      <c r="X3875">
        <v>0.95173649999999999</v>
      </c>
      <c r="Y3875">
        <v>9.6159469999999997E-2</v>
      </c>
      <c r="Z3875">
        <v>-4.9523869999999999E-3</v>
      </c>
      <c r="AA3875">
        <v>0.99535359999999995</v>
      </c>
      <c r="AB3875">
        <v>42</v>
      </c>
      <c r="AC3875">
        <v>0.761900000000025</v>
      </c>
      <c r="AD3875">
        <v>-6.9964999999999805E-2</v>
      </c>
      <c r="AE3875">
        <v>-8.6100000000015997E-2</v>
      </c>
      <c r="AF3875">
        <v>9.9601695801893E-2</v>
      </c>
      <c r="AG3875">
        <v>-6.9964999999999805E-2</v>
      </c>
      <c r="AH3875">
        <v>0.75386673307437102</v>
      </c>
      <c r="AI3875">
        <v>95.256903813598399</v>
      </c>
      <c r="AJ3875">
        <v>82.473610554433705</v>
      </c>
      <c r="AK3875">
        <v>0.76362991708538897</v>
      </c>
      <c r="AL3875">
        <v>72.557375852824293</v>
      </c>
      <c r="AM3875">
        <v>93.962947445202502</v>
      </c>
      <c r="AN3875">
        <v>1.00000000307142</v>
      </c>
    </row>
    <row r="3876" spans="1:40" x14ac:dyDescent="0.25">
      <c r="A3876" t="str">
        <f>"20190304164928972"</f>
        <v>20190304164928972</v>
      </c>
      <c r="B3876" t="str">
        <f>"1551689368959429"</f>
        <v>1551689368959429</v>
      </c>
      <c r="C3876" t="s">
        <v>40</v>
      </c>
      <c r="D3876">
        <v>4.3111790000000001</v>
      </c>
      <c r="E3876">
        <v>0.57832659999999902</v>
      </c>
      <c r="F3876" t="s">
        <v>47</v>
      </c>
      <c r="G3876">
        <v>-299.56310000000002</v>
      </c>
      <c r="H3876" s="1">
        <v>2.5907469999999998E-6</v>
      </c>
      <c r="I3876">
        <v>213.7302</v>
      </c>
      <c r="J3876">
        <v>-315.61720000000003</v>
      </c>
      <c r="K3876">
        <v>1.1103879999999999</v>
      </c>
      <c r="L3876">
        <v>215.02709999999999</v>
      </c>
      <c r="M3876">
        <v>0.99970590000000004</v>
      </c>
      <c r="N3876">
        <v>-1.5319920000000001E-2</v>
      </c>
      <c r="O3876">
        <v>1.879776E-2</v>
      </c>
      <c r="P3876">
        <v>0.95492840000000001</v>
      </c>
      <c r="Q3876">
        <v>0.28488790000000003</v>
      </c>
      <c r="R3876">
        <v>8.3371269999999997E-2</v>
      </c>
      <c r="S3876">
        <v>3.2297359999999999</v>
      </c>
      <c r="T3876">
        <v>-0.2188216</v>
      </c>
      <c r="U3876">
        <v>-0.25433349999999999</v>
      </c>
      <c r="V3876">
        <v>-6.5359879999999995E-2</v>
      </c>
      <c r="W3876">
        <v>0.29951499999999998</v>
      </c>
      <c r="X3876">
        <v>0.95185019999999998</v>
      </c>
      <c r="Y3876">
        <v>9.6935569999999999E-2</v>
      </c>
      <c r="Z3876">
        <v>-5.0028290000000003E-3</v>
      </c>
      <c r="AA3876">
        <v>0.99527810000000005</v>
      </c>
      <c r="AB3876">
        <v>42</v>
      </c>
      <c r="AC3876">
        <v>16.054099999999998</v>
      </c>
      <c r="AD3876">
        <v>-1.1103854092530001</v>
      </c>
      <c r="AE3876">
        <v>-1.2968999999999899</v>
      </c>
      <c r="AF3876">
        <v>1.5909259686439201</v>
      </c>
      <c r="AG3876">
        <v>-1.1103854092530001</v>
      </c>
      <c r="AH3876">
        <v>15.951068576737001</v>
      </c>
      <c r="AI3876">
        <v>93.962451960026002</v>
      </c>
      <c r="AJ3876">
        <v>84.3042761917429</v>
      </c>
      <c r="AK3876">
        <v>16.0686212829401</v>
      </c>
      <c r="AL3876">
        <v>72.571524334795797</v>
      </c>
      <c r="AM3876">
        <v>93.928114078580606</v>
      </c>
      <c r="AN3876">
        <v>0.99999997618932601</v>
      </c>
    </row>
    <row r="3877" spans="1:40" x14ac:dyDescent="0.25">
      <c r="A3877" t="str">
        <f>"20190304164928987"</f>
        <v>20190304164928987</v>
      </c>
      <c r="B3877" t="str">
        <f>"1551689368979925"</f>
        <v>1551689368979925</v>
      </c>
      <c r="C3877" t="s">
        <v>40</v>
      </c>
      <c r="D3877">
        <v>4.2696529999999999</v>
      </c>
      <c r="E3877">
        <v>0.57862939999999996</v>
      </c>
      <c r="F3877" t="s">
        <v>47</v>
      </c>
      <c r="G3877">
        <v>-299.51740000000001</v>
      </c>
      <c r="H3877" s="1">
        <v>2.5826430000000002E-6</v>
      </c>
      <c r="I3877">
        <v>213.74080000000001</v>
      </c>
      <c r="J3877">
        <v>-315.30369999999999</v>
      </c>
      <c r="K3877">
        <v>1.1103889999999901</v>
      </c>
      <c r="L3877">
        <v>215.03290000000001</v>
      </c>
      <c r="M3877">
        <v>0.99970669999999995</v>
      </c>
      <c r="N3877">
        <v>-1.531633E-2</v>
      </c>
      <c r="O3877">
        <v>1.8769890000000001E-2</v>
      </c>
      <c r="P3877">
        <v>0.95490169999999996</v>
      </c>
      <c r="Q3877">
        <v>0.284997</v>
      </c>
      <c r="R3877">
        <v>8.3304059999999999E-2</v>
      </c>
      <c r="S3877">
        <v>3.2305600000000001</v>
      </c>
      <c r="T3877">
        <v>-0.2228079</v>
      </c>
      <c r="U3877">
        <v>-0.25810240000000001</v>
      </c>
      <c r="V3877">
        <v>-6.5319940000000007E-2</v>
      </c>
      <c r="W3877">
        <v>0.299620099999999</v>
      </c>
      <c r="X3877">
        <v>0.95181990000000005</v>
      </c>
      <c r="Y3877">
        <v>9.8028610000000002E-2</v>
      </c>
      <c r="Z3877">
        <v>-5.1285319999999999E-3</v>
      </c>
      <c r="AA3877">
        <v>0.99517040000000001</v>
      </c>
      <c r="AB3877">
        <v>42</v>
      </c>
      <c r="AC3877">
        <v>15.786299999999899</v>
      </c>
      <c r="AD3877">
        <v>-1.1103864173569999</v>
      </c>
      <c r="AE3877">
        <v>-1.2921</v>
      </c>
      <c r="AF3877">
        <v>1.5804468790278701</v>
      </c>
      <c r="AG3877">
        <v>-1.1103864173569999</v>
      </c>
      <c r="AH3877">
        <v>15.6821912323758</v>
      </c>
      <c r="AI3877">
        <v>94.029756037719196</v>
      </c>
      <c r="AJ3877">
        <v>84.2451778078281</v>
      </c>
      <c r="AK3877">
        <v>15.8006927753844</v>
      </c>
      <c r="AL3877">
        <v>72.5652133030069</v>
      </c>
      <c r="AM3877">
        <v>93.925845780950695</v>
      </c>
      <c r="AN3877">
        <v>1.00000001046081</v>
      </c>
    </row>
    <row r="3878" spans="1:40" x14ac:dyDescent="0.25">
      <c r="A3878" t="str">
        <f>"20190304164929007"</f>
        <v>20190304164929007</v>
      </c>
      <c r="B3878" t="str">
        <f>"1551689368999445"</f>
        <v>1551689368999445</v>
      </c>
      <c r="C3878" t="s">
        <v>40</v>
      </c>
      <c r="D3878">
        <v>4.3135399999999997</v>
      </c>
      <c r="E3878">
        <v>0.5789012</v>
      </c>
      <c r="F3878" t="s">
        <v>41</v>
      </c>
      <c r="G3878">
        <v>-314.42849999999999</v>
      </c>
      <c r="H3878">
        <v>1.0499940000000001</v>
      </c>
      <c r="I3878">
        <v>214.9622</v>
      </c>
      <c r="J3878">
        <v>-314.94920000000002</v>
      </c>
      <c r="K3878">
        <v>1.1103940000000001</v>
      </c>
      <c r="L3878">
        <v>215.03960000000001</v>
      </c>
      <c r="M3878">
        <v>0.99970720000000002</v>
      </c>
      <c r="N3878">
        <v>-1.5312279999999999E-2</v>
      </c>
      <c r="O3878">
        <v>1.8738339999999999E-2</v>
      </c>
      <c r="P3878">
        <v>0.95472840000000003</v>
      </c>
      <c r="Q3878">
        <v>0.28563179999999999</v>
      </c>
      <c r="R3878">
        <v>8.3118020000000001E-2</v>
      </c>
      <c r="S3878">
        <v>3.2310180000000002</v>
      </c>
      <c r="T3878">
        <v>-0.22308310000000001</v>
      </c>
      <c r="U3878">
        <v>-0.26078800000000002</v>
      </c>
      <c r="V3878">
        <v>-6.5167569999999994E-2</v>
      </c>
      <c r="W3878">
        <v>0.30024830000000002</v>
      </c>
      <c r="X3878">
        <v>0.95163240000000004</v>
      </c>
      <c r="Y3878">
        <v>9.8805030000000002E-2</v>
      </c>
      <c r="Z3878">
        <v>-5.1643829999999998E-3</v>
      </c>
      <c r="AA3878">
        <v>0.99509340000000002</v>
      </c>
      <c r="AB3878">
        <v>42</v>
      </c>
      <c r="AC3878">
        <v>0.52070000000003303</v>
      </c>
      <c r="AD3878">
        <v>-6.0400000000000002E-2</v>
      </c>
      <c r="AE3878">
        <v>-7.7400000000011404E-2</v>
      </c>
      <c r="AF3878">
        <v>8.6012288275403304E-2</v>
      </c>
      <c r="AG3878">
        <v>-6.0400000000000002E-2</v>
      </c>
      <c r="AH3878">
        <v>0.51241234155557502</v>
      </c>
      <c r="AI3878">
        <v>96.630729473107806</v>
      </c>
      <c r="AJ3878">
        <v>80.471301301507296</v>
      </c>
      <c r="AK3878">
        <v>0.52307999532847504</v>
      </c>
      <c r="AL3878">
        <v>72.527483505798401</v>
      </c>
      <c r="AM3878">
        <v>93.917485913681304</v>
      </c>
      <c r="AN3878">
        <v>1.0000000392811701</v>
      </c>
    </row>
    <row r="3879" spans="1:40" x14ac:dyDescent="0.25">
      <c r="A3879" t="str">
        <f>"20190304164929031"</f>
        <v>20190304164929031</v>
      </c>
      <c r="B3879" t="str">
        <f>"1551689369019472"</f>
        <v>1551689369019472</v>
      </c>
      <c r="C3879" t="s">
        <v>40</v>
      </c>
      <c r="D3879">
        <v>4.2805619999999998</v>
      </c>
      <c r="E3879">
        <v>0.57915689999999997</v>
      </c>
      <c r="F3879" t="s">
        <v>41</v>
      </c>
      <c r="G3879">
        <v>-314.05329999999998</v>
      </c>
      <c r="H3879">
        <v>1.048648</v>
      </c>
      <c r="I3879">
        <v>214.96600000000001</v>
      </c>
      <c r="J3879">
        <v>-314.49579999999997</v>
      </c>
      <c r="K3879">
        <v>1.110401</v>
      </c>
      <c r="L3879">
        <v>215.048</v>
      </c>
      <c r="M3879">
        <v>0.99970800000000004</v>
      </c>
      <c r="N3879">
        <v>-1.530713E-2</v>
      </c>
      <c r="O3879">
        <v>1.8697970000000001E-2</v>
      </c>
      <c r="P3879">
        <v>0.95470140000000003</v>
      </c>
      <c r="Q3879">
        <v>0.28589330000000002</v>
      </c>
      <c r="R3879">
        <v>8.2524109999999998E-2</v>
      </c>
      <c r="S3879">
        <v>3.2319339999999999</v>
      </c>
      <c r="T3879">
        <v>-0.2229083</v>
      </c>
      <c r="U3879">
        <v>-0.26420589999999999</v>
      </c>
      <c r="V3879">
        <v>-6.4612569999999994E-2</v>
      </c>
      <c r="W3879">
        <v>0.300504299999999</v>
      </c>
      <c r="X3879">
        <v>0.95158940000000003</v>
      </c>
      <c r="Y3879">
        <v>9.9785559999999995E-2</v>
      </c>
      <c r="Z3879">
        <v>-5.1981639999999999E-3</v>
      </c>
      <c r="AA3879">
        <v>0.99499539999999997</v>
      </c>
      <c r="AB3879">
        <v>42</v>
      </c>
      <c r="AC3879">
        <v>0.44249999999999501</v>
      </c>
      <c r="AD3879">
        <v>-6.1752999999999898E-2</v>
      </c>
      <c r="AE3879">
        <v>-8.2000000000022E-2</v>
      </c>
      <c r="AF3879">
        <v>8.8592380425172507E-2</v>
      </c>
      <c r="AG3879">
        <v>-6.1752999999999898E-2</v>
      </c>
      <c r="AH3879">
        <v>0.43274114613614501</v>
      </c>
      <c r="AI3879">
        <v>97.958501806701094</v>
      </c>
      <c r="AJ3879">
        <v>78.430065460063503</v>
      </c>
      <c r="AK3879">
        <v>0.44601226713804898</v>
      </c>
      <c r="AL3879">
        <v>72.512104982824297</v>
      </c>
      <c r="AM3879">
        <v>93.884400166567005</v>
      </c>
      <c r="AN3879">
        <v>1.0000000023564199</v>
      </c>
    </row>
    <row r="3880" spans="1:40" x14ac:dyDescent="0.25">
      <c r="A3880" t="str">
        <f>"20190304164929050"</f>
        <v>20190304164929050</v>
      </c>
      <c r="B3880" t="str">
        <f>"1551689369039973"</f>
        <v>1551689369039973</v>
      </c>
      <c r="C3880" t="s">
        <v>40</v>
      </c>
      <c r="D3880">
        <v>4.4597619999999996</v>
      </c>
      <c r="E3880">
        <v>0.57936940000000003</v>
      </c>
      <c r="F3880" t="s">
        <v>47</v>
      </c>
      <c r="G3880">
        <v>-298.49239999999998</v>
      </c>
      <c r="H3880" s="1">
        <v>2.400816E-6</v>
      </c>
      <c r="I3880">
        <v>213.72239999999999</v>
      </c>
      <c r="J3880">
        <v>-314.13589999999999</v>
      </c>
      <c r="K3880">
        <v>1.1103940000000001</v>
      </c>
      <c r="L3880">
        <v>215.0547</v>
      </c>
      <c r="M3880">
        <v>0.99970870000000001</v>
      </c>
      <c r="N3880">
        <v>-1.530304E-2</v>
      </c>
      <c r="O3880">
        <v>1.8665939999999999E-2</v>
      </c>
      <c r="P3880">
        <v>0.95465639999999996</v>
      </c>
      <c r="Q3880">
        <v>0.28621010000000002</v>
      </c>
      <c r="R3880">
        <v>8.1945989999999996E-2</v>
      </c>
      <c r="S3880">
        <v>3.2326969999999999</v>
      </c>
      <c r="T3880">
        <v>-0.22430130000000001</v>
      </c>
      <c r="U3880">
        <v>-0.26777649999999997</v>
      </c>
      <c r="V3880">
        <v>-6.4066010000000007E-2</v>
      </c>
      <c r="W3880">
        <v>0.30081590000000002</v>
      </c>
      <c r="X3880">
        <v>0.95152789999999998</v>
      </c>
      <c r="Y3880">
        <v>0.1008196</v>
      </c>
      <c r="Z3880">
        <v>-5.2681669999999998E-3</v>
      </c>
      <c r="AA3880">
        <v>0.99489070000000002</v>
      </c>
      <c r="AB3880">
        <v>42</v>
      </c>
      <c r="AC3880">
        <v>15.6435</v>
      </c>
      <c r="AD3880">
        <v>-1.1103915991840001</v>
      </c>
      <c r="AE3880">
        <v>-1.3323</v>
      </c>
      <c r="AF3880">
        <v>1.6160192766289101</v>
      </c>
      <c r="AG3880">
        <v>-1.1103915991840001</v>
      </c>
      <c r="AH3880">
        <v>15.5381799973516</v>
      </c>
      <c r="AI3880">
        <v>94.065675148614105</v>
      </c>
      <c r="AJ3880">
        <v>84.0624067668046</v>
      </c>
      <c r="AK3880">
        <v>15.661402409620701</v>
      </c>
      <c r="AL3880">
        <v>72.493385484312697</v>
      </c>
      <c r="AM3880">
        <v>93.851889404753294</v>
      </c>
      <c r="AN3880">
        <v>1.0000000019042701</v>
      </c>
    </row>
    <row r="3881" spans="1:40" x14ac:dyDescent="0.25">
      <c r="A3881" t="str">
        <f>"20190304164929072"</f>
        <v>20190304164929072</v>
      </c>
      <c r="B3881" t="str">
        <f>"1551689369059489"</f>
        <v>1551689369059489</v>
      </c>
      <c r="C3881" t="s">
        <v>40</v>
      </c>
      <c r="D3881">
        <v>4.4006860000000003</v>
      </c>
      <c r="E3881">
        <v>0.57911709999999905</v>
      </c>
      <c r="F3881" t="s">
        <v>41</v>
      </c>
      <c r="G3881">
        <v>-313.28960000000001</v>
      </c>
      <c r="H3881">
        <v>1.0511999999999999</v>
      </c>
      <c r="I3881">
        <v>214.9837</v>
      </c>
      <c r="J3881">
        <v>-313.73349999999999</v>
      </c>
      <c r="K3881">
        <v>1.110398</v>
      </c>
      <c r="L3881">
        <v>215.06219999999999</v>
      </c>
      <c r="M3881">
        <v>0.99970939999999997</v>
      </c>
      <c r="N3881">
        <v>-1.529844E-2</v>
      </c>
      <c r="O3881">
        <v>1.86301E-2</v>
      </c>
      <c r="P3881">
        <v>0.95467659999999999</v>
      </c>
      <c r="Q3881">
        <v>0.28638279999999999</v>
      </c>
      <c r="R3881">
        <v>8.1103320000000007E-2</v>
      </c>
      <c r="S3881">
        <v>3.2335509999999998</v>
      </c>
      <c r="T3881">
        <v>-0.22630620000000001</v>
      </c>
      <c r="U3881">
        <v>-0.27067570000000002</v>
      </c>
      <c r="V3881">
        <v>-6.3258010000000003E-2</v>
      </c>
      <c r="W3881">
        <v>0.30098419999999998</v>
      </c>
      <c r="X3881">
        <v>0.95152870000000001</v>
      </c>
      <c r="Y3881">
        <v>0.1016406</v>
      </c>
      <c r="Z3881">
        <v>-5.3422399999999998E-3</v>
      </c>
      <c r="AA3881">
        <v>0.99480679999999999</v>
      </c>
      <c r="AB3881">
        <v>42</v>
      </c>
      <c r="AC3881">
        <v>0.44389999999998497</v>
      </c>
      <c r="AD3881">
        <v>-5.9198000000000001E-2</v>
      </c>
      <c r="AE3881">
        <v>-7.8499999999991105E-2</v>
      </c>
      <c r="AF3881">
        <v>8.5286453573636803E-2</v>
      </c>
      <c r="AG3881">
        <v>-5.9198000000000001E-2</v>
      </c>
      <c r="AH3881">
        <v>0.43486100864573901</v>
      </c>
      <c r="AI3881">
        <v>97.608863460250205</v>
      </c>
      <c r="AJ3881">
        <v>78.903791570330597</v>
      </c>
      <c r="AK3881">
        <v>0.44708196027972003</v>
      </c>
      <c r="AL3881">
        <v>72.483273339843095</v>
      </c>
      <c r="AM3881">
        <v>93.803449716409602</v>
      </c>
      <c r="AN3881">
        <v>0.99999996570124405</v>
      </c>
    </row>
    <row r="3882" spans="1:40" x14ac:dyDescent="0.25">
      <c r="A3882" t="str">
        <f>"20190304164929096"</f>
        <v>20190304164929096</v>
      </c>
      <c r="B3882" t="str">
        <f>"1551689369089745"</f>
        <v>1551689369089745</v>
      </c>
      <c r="C3882" t="s">
        <v>40</v>
      </c>
      <c r="D3882">
        <v>4.3629429999999996</v>
      </c>
      <c r="E3882">
        <v>0.56564890000000001</v>
      </c>
      <c r="F3882" t="s">
        <v>47</v>
      </c>
      <c r="G3882">
        <v>-297.84370000000001</v>
      </c>
      <c r="H3882" s="1">
        <v>2.285746E-6</v>
      </c>
      <c r="I3882">
        <v>213.7296</v>
      </c>
      <c r="J3882">
        <v>-313.28590000000003</v>
      </c>
      <c r="K3882">
        <v>1.1104050000000001</v>
      </c>
      <c r="L3882">
        <v>215.07050000000001</v>
      </c>
      <c r="M3882">
        <v>0.99971030000000005</v>
      </c>
      <c r="N3882">
        <v>-1.5293299999999999E-2</v>
      </c>
      <c r="O3882">
        <v>1.8590209999999999E-2</v>
      </c>
      <c r="P3882">
        <v>0.95478450000000004</v>
      </c>
      <c r="Q3882">
        <v>0.28623690000000002</v>
      </c>
      <c r="R3882">
        <v>8.0343890000000001E-2</v>
      </c>
      <c r="S3882">
        <v>3.2332459999999998</v>
      </c>
      <c r="T3882">
        <v>-0.22594259999999999</v>
      </c>
      <c r="U3882">
        <v>-0.27116390000000001</v>
      </c>
      <c r="V3882">
        <v>-6.2534649999999997E-2</v>
      </c>
      <c r="W3882">
        <v>0.30083490000000002</v>
      </c>
      <c r="X3882">
        <v>0.95162369999999996</v>
      </c>
      <c r="Y3882">
        <v>0.1017585</v>
      </c>
      <c r="Z3882">
        <v>-5.3375749999999998E-3</v>
      </c>
      <c r="AA3882">
        <v>0.99479479999999998</v>
      </c>
      <c r="AB3882">
        <v>42</v>
      </c>
      <c r="AC3882">
        <v>15.4422</v>
      </c>
      <c r="AD3882">
        <v>-1.1104027142539901</v>
      </c>
      <c r="AE3882">
        <v>-1.3409</v>
      </c>
      <c r="AF3882">
        <v>1.61946454345317</v>
      </c>
      <c r="AG3882">
        <v>-1.1104027142539901</v>
      </c>
      <c r="AH3882">
        <v>15.335897551399601</v>
      </c>
      <c r="AI3882">
        <v>94.118480324651202</v>
      </c>
      <c r="AJ3882">
        <v>83.971929632797</v>
      </c>
      <c r="AK3882">
        <v>15.46109353514</v>
      </c>
      <c r="AL3882">
        <v>72.492242924157296</v>
      </c>
      <c r="AM3882">
        <v>93.759708184506295</v>
      </c>
      <c r="AN3882">
        <v>0.99999994295515904</v>
      </c>
    </row>
    <row r="3883" spans="1:40" x14ac:dyDescent="0.25">
      <c r="A3883" t="str">
        <f>"20190304164929117"</f>
        <v>20190304164929117</v>
      </c>
      <c r="B3883" t="str">
        <f>"1551689369110244"</f>
        <v>1551689369110244</v>
      </c>
      <c r="C3883" t="s">
        <v>40</v>
      </c>
      <c r="D3883">
        <v>4.3728389999999999</v>
      </c>
      <c r="E3883">
        <v>0.56585220000000003</v>
      </c>
      <c r="F3883" t="s">
        <v>41</v>
      </c>
      <c r="G3883">
        <v>-312.19529999999997</v>
      </c>
      <c r="H3883">
        <v>1.0214510000000001</v>
      </c>
      <c r="I3883">
        <v>215.01570000000001</v>
      </c>
      <c r="J3883">
        <v>-312.87729999999999</v>
      </c>
      <c r="K3883">
        <v>1.1104050000000001</v>
      </c>
      <c r="L3883">
        <v>215.07810000000001</v>
      </c>
      <c r="M3883">
        <v>0.99971100000000002</v>
      </c>
      <c r="N3883">
        <v>-1.5288609999999999E-2</v>
      </c>
      <c r="O3883">
        <v>1.8554370000000001E-2</v>
      </c>
      <c r="P3883">
        <v>0.95487080000000002</v>
      </c>
      <c r="Q3883">
        <v>0.28614879999999998</v>
      </c>
      <c r="R3883">
        <v>7.9629539999999999E-2</v>
      </c>
      <c r="S3883">
        <v>3.2348629999999998</v>
      </c>
      <c r="T3883">
        <v>-0.2639707</v>
      </c>
      <c r="U3883">
        <v>-0.1622314</v>
      </c>
      <c r="V3883">
        <v>-6.1853150000000003E-2</v>
      </c>
      <c r="W3883">
        <v>0.30074309999999999</v>
      </c>
      <c r="X3883">
        <v>0.95169729999999997</v>
      </c>
      <c r="Y3883">
        <v>6.8302799999999997E-2</v>
      </c>
      <c r="Z3883">
        <v>-4.531584E-3</v>
      </c>
      <c r="AA3883">
        <v>0.99765429999999999</v>
      </c>
      <c r="AB3883">
        <v>42</v>
      </c>
      <c r="AC3883">
        <v>0.68200000000001604</v>
      </c>
      <c r="AD3883">
        <v>-8.89539999999997E-2</v>
      </c>
      <c r="AE3883">
        <v>-6.2399999999996597E-2</v>
      </c>
      <c r="AF3883">
        <v>7.3799736637700994E-2</v>
      </c>
      <c r="AG3883">
        <v>-8.89539999999997E-2</v>
      </c>
      <c r="AH3883">
        <v>0.66943065357667397</v>
      </c>
      <c r="AI3883">
        <v>97.524069508365201</v>
      </c>
      <c r="AJ3883">
        <v>83.708971404440604</v>
      </c>
      <c r="AK3883">
        <v>0.67933542171146</v>
      </c>
      <c r="AL3883">
        <v>72.497758886518895</v>
      </c>
      <c r="AM3883">
        <v>93.718563858128704</v>
      </c>
      <c r="AN3883">
        <v>0.99999998759491104</v>
      </c>
    </row>
    <row r="3884" spans="1:40" x14ac:dyDescent="0.25">
      <c r="A3884" t="str">
        <f>"20190304164929138"</f>
        <v>20190304164929138</v>
      </c>
      <c r="B3884" t="str">
        <f>"1551689369130134"</f>
        <v>1551689369130134</v>
      </c>
      <c r="C3884" t="s">
        <v>40</v>
      </c>
      <c r="D3884">
        <v>4.6727280000000002</v>
      </c>
      <c r="E3884">
        <v>0.56580039999999998</v>
      </c>
      <c r="F3884" t="s">
        <v>41</v>
      </c>
      <c r="G3884">
        <v>-311.81950000000001</v>
      </c>
      <c r="H3884">
        <v>1.0256149999999999</v>
      </c>
      <c r="I3884">
        <v>215.02350000000001</v>
      </c>
      <c r="J3884">
        <v>-312.47489999999999</v>
      </c>
      <c r="K3884">
        <v>1.1104080000000001</v>
      </c>
      <c r="L3884">
        <v>215.0855</v>
      </c>
      <c r="M3884">
        <v>0.99971180000000004</v>
      </c>
      <c r="N3884">
        <v>-1.5283980000000001E-2</v>
      </c>
      <c r="O3884">
        <v>1.851846E-2</v>
      </c>
      <c r="P3884">
        <v>0.95489159999999995</v>
      </c>
      <c r="Q3884">
        <v>0.28614590000000001</v>
      </c>
      <c r="R3884">
        <v>7.9389829999999995E-2</v>
      </c>
      <c r="S3884">
        <v>3.2333370000000001</v>
      </c>
      <c r="T3884">
        <v>-0.25929279999999999</v>
      </c>
      <c r="U3884">
        <v>-0.16625980000000001</v>
      </c>
      <c r="V3884">
        <v>-6.1647269999999997E-2</v>
      </c>
      <c r="W3884">
        <v>0.3007359</v>
      </c>
      <c r="X3884">
        <v>0.95171300000000003</v>
      </c>
      <c r="Y3884">
        <v>6.9535810000000003E-2</v>
      </c>
      <c r="Z3884">
        <v>-4.513993E-3</v>
      </c>
      <c r="AA3884">
        <v>0.99756929999999999</v>
      </c>
      <c r="AB3884">
        <v>42</v>
      </c>
      <c r="AC3884">
        <v>0.65539999999998599</v>
      </c>
      <c r="AD3884">
        <v>-8.4793000000000104E-2</v>
      </c>
      <c r="AE3884">
        <v>-6.1999999999983402E-2</v>
      </c>
      <c r="AF3884">
        <v>7.2918093225851105E-2</v>
      </c>
      <c r="AG3884">
        <v>-8.4793000000000104E-2</v>
      </c>
      <c r="AH3884">
        <v>0.64346443868092495</v>
      </c>
      <c r="AI3884">
        <v>97.459738507733803</v>
      </c>
      <c r="AJ3884">
        <v>83.534760351547803</v>
      </c>
      <c r="AK3884">
        <v>0.65311054578505501</v>
      </c>
      <c r="AL3884">
        <v>72.498192584555497</v>
      </c>
      <c r="AM3884">
        <v>93.706160096224394</v>
      </c>
      <c r="AN3884">
        <v>1.0000000509081299</v>
      </c>
    </row>
    <row r="3885" spans="1:40" x14ac:dyDescent="0.25">
      <c r="A3885" t="str">
        <f>"20190304164929152"</f>
        <v>20190304164929152</v>
      </c>
      <c r="B3885" t="str">
        <f>"1551689369149650"</f>
        <v>1551689369149650</v>
      </c>
      <c r="C3885" t="s">
        <v>40</v>
      </c>
      <c r="D3885">
        <v>4.3470719999999998</v>
      </c>
      <c r="E3885">
        <v>0.56579140000000006</v>
      </c>
      <c r="F3885" t="s">
        <v>41</v>
      </c>
      <c r="G3885">
        <v>-311.44409999999999</v>
      </c>
      <c r="H3885">
        <v>1.029981</v>
      </c>
      <c r="I3885">
        <v>215.03200000000001</v>
      </c>
      <c r="J3885">
        <v>-312.21699999999998</v>
      </c>
      <c r="K3885">
        <v>1.1104130000000001</v>
      </c>
      <c r="L3885">
        <v>215.09030000000001</v>
      </c>
      <c r="M3885">
        <v>0.99971220000000005</v>
      </c>
      <c r="N3885">
        <v>-1.5281009999999999E-2</v>
      </c>
      <c r="O3885">
        <v>1.8495660000000001E-2</v>
      </c>
      <c r="P3885">
        <v>0.95490220000000003</v>
      </c>
      <c r="Q3885">
        <v>0.28624579999999999</v>
      </c>
      <c r="R3885">
        <v>7.8900650000000003E-2</v>
      </c>
      <c r="S3885">
        <v>3.2311709999999998</v>
      </c>
      <c r="T3885">
        <v>-0.25213069999999999</v>
      </c>
      <c r="U3885">
        <v>-0.16722110000000001</v>
      </c>
      <c r="V3885">
        <v>-6.1179690000000002E-2</v>
      </c>
      <c r="W3885">
        <v>0.30083270000000001</v>
      </c>
      <c r="X3885">
        <v>0.95171249999999996</v>
      </c>
      <c r="Y3885">
        <v>6.9857760000000005E-2</v>
      </c>
      <c r="Z3885">
        <v>-4.4127810000000002E-3</v>
      </c>
      <c r="AA3885">
        <v>0.99754719999999997</v>
      </c>
      <c r="AB3885">
        <v>42</v>
      </c>
      <c r="AC3885">
        <v>0.77289999999999204</v>
      </c>
      <c r="AD3885">
        <v>-8.0431999999999795E-2</v>
      </c>
      <c r="AE3885">
        <v>-5.83000000000026E-2</v>
      </c>
      <c r="AF3885">
        <v>7.1813678106703305E-2</v>
      </c>
      <c r="AG3885">
        <v>-8.0431999999999795E-2</v>
      </c>
      <c r="AH3885">
        <v>0.76346808179755798</v>
      </c>
      <c r="AI3885">
        <v>95.987737027720001</v>
      </c>
      <c r="AJ3885">
        <v>84.626429390415296</v>
      </c>
      <c r="AK3885">
        <v>0.77104476064029903</v>
      </c>
      <c r="AL3885">
        <v>72.492375681419205</v>
      </c>
      <c r="AM3885">
        <v>93.678129132713593</v>
      </c>
      <c r="AN3885">
        <v>0.999999975257017</v>
      </c>
    </row>
    <row r="3886" spans="1:40" x14ac:dyDescent="0.25">
      <c r="A3886" t="str">
        <f>"20190304164929172"</f>
        <v>20190304164929172</v>
      </c>
      <c r="B3886" t="str">
        <f>"1551689369170146"</f>
        <v>1551689369170146</v>
      </c>
      <c r="C3886" t="s">
        <v>40</v>
      </c>
      <c r="D3886">
        <v>4.2817350000000003</v>
      </c>
      <c r="E3886">
        <v>0.56584199999999996</v>
      </c>
      <c r="F3886" t="s">
        <v>41</v>
      </c>
      <c r="G3886">
        <v>-311.43020000000001</v>
      </c>
      <c r="H3886">
        <v>1.0510459999999999</v>
      </c>
      <c r="I3886">
        <v>215.0489</v>
      </c>
      <c r="J3886">
        <v>-311.86160000000001</v>
      </c>
      <c r="K3886">
        <v>1.110414</v>
      </c>
      <c r="L3886">
        <v>215.0968</v>
      </c>
      <c r="M3886">
        <v>0.99971290000000002</v>
      </c>
      <c r="N3886">
        <v>-1.5276929999999999E-2</v>
      </c>
      <c r="O3886">
        <v>1.8464109999999999E-2</v>
      </c>
      <c r="P3886">
        <v>0.95493640000000002</v>
      </c>
      <c r="Q3886">
        <v>0.28619660000000002</v>
      </c>
      <c r="R3886">
        <v>7.866244E-2</v>
      </c>
      <c r="S3886">
        <v>3.228729</v>
      </c>
      <c r="T3886">
        <v>-0.24364830000000001</v>
      </c>
      <c r="U3886">
        <v>-0.16937260000000001</v>
      </c>
      <c r="V3886">
        <v>-6.0971070000000002E-2</v>
      </c>
      <c r="W3886">
        <v>0.3007804</v>
      </c>
      <c r="X3886">
        <v>0.95174250000000005</v>
      </c>
      <c r="Y3886">
        <v>7.0543839999999997E-2</v>
      </c>
      <c r="Z3886">
        <v>-4.3052519999999999E-3</v>
      </c>
      <c r="AA3886">
        <v>0.99749940000000004</v>
      </c>
      <c r="AB3886">
        <v>42</v>
      </c>
      <c r="AC3886">
        <v>0.43139999999999601</v>
      </c>
      <c r="AD3886">
        <v>-5.9367999999999997E-2</v>
      </c>
      <c r="AE3886">
        <v>-4.7899999999998499E-2</v>
      </c>
      <c r="AF3886">
        <v>5.4832384102529802E-2</v>
      </c>
      <c r="AG3886">
        <v>-5.9367999999999997E-2</v>
      </c>
      <c r="AH3886">
        <v>0.42253715806465098</v>
      </c>
      <c r="AI3886">
        <v>97.932255027059995</v>
      </c>
      <c r="AJ3886">
        <v>82.606082332769901</v>
      </c>
      <c r="AK3886">
        <v>0.43019623396273399</v>
      </c>
      <c r="AL3886">
        <v>72.495519187558799</v>
      </c>
      <c r="AM3886">
        <v>93.665505902283996</v>
      </c>
      <c r="AN3886">
        <v>1.0000000533536699</v>
      </c>
    </row>
    <row r="3887" spans="1:40" x14ac:dyDescent="0.25">
      <c r="A3887" t="str">
        <f>"20190304164929186"</f>
        <v>20190304164929186</v>
      </c>
      <c r="B3887" t="str">
        <f>"1551689369179906"</f>
        <v>1551689369179906</v>
      </c>
      <c r="C3887" t="s">
        <v>40</v>
      </c>
      <c r="D3887">
        <v>4.2463030000000002</v>
      </c>
      <c r="E3887">
        <v>0.56593300000000002</v>
      </c>
      <c r="F3887" t="s">
        <v>41</v>
      </c>
      <c r="G3887">
        <v>-311.05799999999999</v>
      </c>
      <c r="H3887">
        <v>1.0503309999999999</v>
      </c>
      <c r="I3887">
        <v>215.05449999999999</v>
      </c>
      <c r="J3887">
        <v>-311.58620000000002</v>
      </c>
      <c r="K3887">
        <v>1.110417</v>
      </c>
      <c r="L3887">
        <v>215.1018</v>
      </c>
      <c r="M3887">
        <v>0.99971339999999997</v>
      </c>
      <c r="N3887">
        <v>-1.5273790000000001E-2</v>
      </c>
      <c r="O3887">
        <v>1.8439580000000001E-2</v>
      </c>
      <c r="P3887">
        <v>0.95493410000000001</v>
      </c>
      <c r="Q3887">
        <v>0.28624680000000002</v>
      </c>
      <c r="R3887">
        <v>7.8511830000000005E-2</v>
      </c>
      <c r="S3887">
        <v>3.2278440000000002</v>
      </c>
      <c r="T3887">
        <v>-0.24136199999999999</v>
      </c>
      <c r="U3887">
        <v>-0.16970829999999901</v>
      </c>
      <c r="V3887">
        <v>-6.0844870000000002E-2</v>
      </c>
      <c r="W3887">
        <v>0.30082720000000002</v>
      </c>
      <c r="X3887">
        <v>0.95173569999999996</v>
      </c>
      <c r="Y3887">
        <v>7.0641579999999995E-2</v>
      </c>
      <c r="Z3887">
        <v>-4.2713359999999997E-3</v>
      </c>
      <c r="AA3887">
        <v>0.99749259999999995</v>
      </c>
      <c r="AB3887">
        <v>42</v>
      </c>
      <c r="AC3887">
        <v>0.52820000000002598</v>
      </c>
      <c r="AD3887">
        <v>-6.0086000000000001E-2</v>
      </c>
      <c r="AE3887">
        <v>-4.7300000000007003E-2</v>
      </c>
      <c r="AF3887">
        <v>5.6309996992265299E-2</v>
      </c>
      <c r="AG3887">
        <v>-6.0086000000000001E-2</v>
      </c>
      <c r="AH3887">
        <v>0.52055524204635995</v>
      </c>
      <c r="AI3887">
        <v>96.546471462527293</v>
      </c>
      <c r="AJ3887">
        <v>83.826152593128398</v>
      </c>
      <c r="AK3887">
        <v>0.52702837037413197</v>
      </c>
      <c r="AL3887">
        <v>72.492706065861</v>
      </c>
      <c r="AM3887">
        <v>93.657965598141899</v>
      </c>
      <c r="AN3887">
        <v>0.99999997255982298</v>
      </c>
    </row>
    <row r="3888" spans="1:40" x14ac:dyDescent="0.25">
      <c r="A3888" t="str">
        <f>"20190304164929200"</f>
        <v>20190304164929200</v>
      </c>
      <c r="B3888" t="str">
        <f>"1551689369189667"</f>
        <v>1551689369189667</v>
      </c>
      <c r="C3888" t="s">
        <v>40</v>
      </c>
      <c r="D3888">
        <v>4.2297070000000003</v>
      </c>
      <c r="E3888">
        <v>0.56593479999999996</v>
      </c>
      <c r="F3888" t="s">
        <v>41</v>
      </c>
      <c r="G3888">
        <v>-310.69159999999999</v>
      </c>
      <c r="H3888">
        <v>1.0438540000000001</v>
      </c>
      <c r="I3888">
        <v>215.05449999999999</v>
      </c>
      <c r="J3888">
        <v>-311.33949999999999</v>
      </c>
      <c r="K3888">
        <v>1.110422</v>
      </c>
      <c r="L3888">
        <v>215.10640000000001</v>
      </c>
      <c r="M3888">
        <v>0.99971379999999999</v>
      </c>
      <c r="N3888">
        <v>-1.527098E-2</v>
      </c>
      <c r="O3888">
        <v>1.841773E-2</v>
      </c>
      <c r="P3888">
        <v>0.95497860000000001</v>
      </c>
      <c r="Q3888">
        <v>0.28620640000000003</v>
      </c>
      <c r="R3888">
        <v>7.8115169999999998E-2</v>
      </c>
      <c r="S3888">
        <v>3.2276310000000001</v>
      </c>
      <c r="T3888">
        <v>-0.24018100000000001</v>
      </c>
      <c r="U3888">
        <v>-0.17045589999999999</v>
      </c>
      <c r="V3888">
        <v>-6.0468139999999997E-2</v>
      </c>
      <c r="W3888">
        <v>0.30078449999999901</v>
      </c>
      <c r="X3888">
        <v>0.95177319999999999</v>
      </c>
      <c r="Y3888">
        <v>7.0855479999999998E-2</v>
      </c>
      <c r="Z3888">
        <v>-4.2602350000000002E-3</v>
      </c>
      <c r="AA3888">
        <v>0.99747750000000002</v>
      </c>
      <c r="AB3888">
        <v>42</v>
      </c>
      <c r="AC3888">
        <v>0.64789999999999204</v>
      </c>
      <c r="AD3888">
        <v>-6.6567999999999905E-2</v>
      </c>
      <c r="AE3888">
        <v>-5.1900000000017599E-2</v>
      </c>
      <c r="AF3888">
        <v>6.3162912436894494E-2</v>
      </c>
      <c r="AG3888">
        <v>-6.6567999999999905E-2</v>
      </c>
      <c r="AH3888">
        <v>0.640119820833841</v>
      </c>
      <c r="AI3888">
        <v>95.908531058056397</v>
      </c>
      <c r="AJ3888">
        <v>84.364662681864402</v>
      </c>
      <c r="AK3888">
        <v>0.64666392906660497</v>
      </c>
      <c r="AL3888">
        <v>72.495271322833304</v>
      </c>
      <c r="AM3888">
        <v>93.635234839655794</v>
      </c>
      <c r="AN3888">
        <v>0.99999996781677403</v>
      </c>
    </row>
    <row r="3889" spans="1:40" x14ac:dyDescent="0.25">
      <c r="A3889" t="str">
        <f>"20190304164929220"</f>
        <v>20190304164929220</v>
      </c>
      <c r="B3889" t="str">
        <f>"1551689369210162"</f>
        <v>1551689369210162</v>
      </c>
      <c r="C3889" t="s">
        <v>40</v>
      </c>
      <c r="D3889">
        <v>4.3961670000000002</v>
      </c>
      <c r="E3889">
        <v>0.56639980000000001</v>
      </c>
      <c r="F3889" t="s">
        <v>41</v>
      </c>
      <c r="G3889">
        <v>-310.32400000000001</v>
      </c>
      <c r="H3889">
        <v>1.0352650000000001</v>
      </c>
      <c r="I3889">
        <v>215.0521</v>
      </c>
      <c r="J3889">
        <v>-310.96409999999997</v>
      </c>
      <c r="K3889">
        <v>1.1104229999999999</v>
      </c>
      <c r="L3889">
        <v>215.11330000000001</v>
      </c>
      <c r="M3889">
        <v>0.99971460000000001</v>
      </c>
      <c r="N3889">
        <v>-1.5266709999999999E-2</v>
      </c>
      <c r="O3889">
        <v>1.8384210000000002E-2</v>
      </c>
      <c r="P3889">
        <v>0.95479290000000006</v>
      </c>
      <c r="Q3889">
        <v>0.28683170000000002</v>
      </c>
      <c r="R3889">
        <v>7.809104E-2</v>
      </c>
      <c r="S3889">
        <v>3.2271420000000002</v>
      </c>
      <c r="T3889">
        <v>-0.23888699999999999</v>
      </c>
      <c r="U3889">
        <v>-0.17216489999999901</v>
      </c>
      <c r="V3889">
        <v>-6.047889E-2</v>
      </c>
      <c r="W3889">
        <v>0.30140329999999999</v>
      </c>
      <c r="X3889">
        <v>0.9515768</v>
      </c>
      <c r="Y3889">
        <v>7.1357820000000002E-2</v>
      </c>
      <c r="Z3889">
        <v>-4.2596550000000002E-3</v>
      </c>
      <c r="AA3889">
        <v>0.99744169999999999</v>
      </c>
      <c r="AB3889">
        <v>42</v>
      </c>
      <c r="AC3889">
        <v>0.64009999999996103</v>
      </c>
      <c r="AD3889">
        <v>-7.5158000000000003E-2</v>
      </c>
      <c r="AE3889">
        <v>-6.1200000000013598E-2</v>
      </c>
      <c r="AF3889">
        <v>7.19754543563529E-2</v>
      </c>
      <c r="AG3889">
        <v>-7.5158000000000003E-2</v>
      </c>
      <c r="AH3889">
        <v>0.63025621797592202</v>
      </c>
      <c r="AI3889">
        <v>96.756894976516307</v>
      </c>
      <c r="AJ3889">
        <v>83.485028611591403</v>
      </c>
      <c r="AK3889">
        <v>0.63878955164523199</v>
      </c>
      <c r="AL3889">
        <v>72.458092387333906</v>
      </c>
      <c r="AM3889">
        <v>93.636627787779105</v>
      </c>
      <c r="AN3889">
        <v>1.00000002584238</v>
      </c>
    </row>
    <row r="3890" spans="1:40" x14ac:dyDescent="0.25">
      <c r="A3890" t="str">
        <f>"20190304164929239"</f>
        <v>20190304164929239</v>
      </c>
      <c r="B3890" t="str">
        <f>"1551689369230188"</f>
        <v>1551689369230188</v>
      </c>
      <c r="C3890" t="s">
        <v>40</v>
      </c>
      <c r="D3890">
        <v>4.2814500000000004</v>
      </c>
      <c r="E3890">
        <v>0.56661269999999997</v>
      </c>
      <c r="F3890" t="s">
        <v>41</v>
      </c>
      <c r="G3890">
        <v>-309.95179999999999</v>
      </c>
      <c r="H3890">
        <v>1.0363309999999999</v>
      </c>
      <c r="I3890">
        <v>215.05789999999999</v>
      </c>
      <c r="J3890">
        <v>-310.601</v>
      </c>
      <c r="K3890">
        <v>1.1104240000000001</v>
      </c>
      <c r="L3890">
        <v>215.1199</v>
      </c>
      <c r="M3890">
        <v>0.99971509999999997</v>
      </c>
      <c r="N3890">
        <v>-1.526253E-2</v>
      </c>
      <c r="O3890">
        <v>1.8352E-2</v>
      </c>
      <c r="P3890">
        <v>0.95478169999999996</v>
      </c>
      <c r="Q3890">
        <v>0.28694049999999999</v>
      </c>
      <c r="R3890">
        <v>7.7828499999999995E-2</v>
      </c>
      <c r="S3890">
        <v>3.2274780000000001</v>
      </c>
      <c r="T3890">
        <v>-0.2362833</v>
      </c>
      <c r="U3890">
        <v>-0.1765137</v>
      </c>
      <c r="V3890">
        <v>-6.024769E-2</v>
      </c>
      <c r="W3890">
        <v>0.30150749999999998</v>
      </c>
      <c r="X3890">
        <v>0.95155840000000003</v>
      </c>
      <c r="Y3890">
        <v>7.2661589999999998E-2</v>
      </c>
      <c r="Z3890">
        <v>-4.2713630000000002E-3</v>
      </c>
      <c r="AA3890">
        <v>0.99734750000000005</v>
      </c>
      <c r="AB3890">
        <v>42</v>
      </c>
      <c r="AC3890">
        <v>0.64920000000000699</v>
      </c>
      <c r="AD3890">
        <v>-7.4093000000000103E-2</v>
      </c>
      <c r="AE3890">
        <v>-6.2000000000011803E-2</v>
      </c>
      <c r="AF3890">
        <v>7.2963262631227904E-2</v>
      </c>
      <c r="AG3890">
        <v>-7.4093000000000103E-2</v>
      </c>
      <c r="AH3890">
        <v>0.63969558394540804</v>
      </c>
      <c r="AI3890">
        <v>96.564678344931494</v>
      </c>
      <c r="AJ3890">
        <v>83.493001065559099</v>
      </c>
      <c r="AK3890">
        <v>0.648092470610522</v>
      </c>
      <c r="AL3890">
        <v>72.451829920280403</v>
      </c>
      <c r="AM3890">
        <v>93.622832569010498</v>
      </c>
      <c r="AN3890">
        <v>0.99999997265857199</v>
      </c>
    </row>
    <row r="3891" spans="1:40" x14ac:dyDescent="0.25">
      <c r="A3891" t="str">
        <f>"20190304164929261"</f>
        <v>20190304164929261</v>
      </c>
      <c r="B3891" t="str">
        <f>"1551689369249708"</f>
        <v>1551689369249708</v>
      </c>
      <c r="C3891" t="s">
        <v>40</v>
      </c>
      <c r="D3891">
        <v>4.3174869999999999</v>
      </c>
      <c r="E3891">
        <v>0.56659959999999998</v>
      </c>
      <c r="F3891" t="s">
        <v>41</v>
      </c>
      <c r="G3891">
        <v>-309.58069999999998</v>
      </c>
      <c r="H3891">
        <v>1.0358259999999999</v>
      </c>
      <c r="I3891">
        <v>215.0634</v>
      </c>
      <c r="J3891">
        <v>-310.19529999999997</v>
      </c>
      <c r="K3891">
        <v>1.11042</v>
      </c>
      <c r="L3891">
        <v>215.12729999999999</v>
      </c>
      <c r="M3891">
        <v>0.99971589999999999</v>
      </c>
      <c r="N3891">
        <v>-1.525784E-2</v>
      </c>
      <c r="O3891">
        <v>1.8315979999999999E-2</v>
      </c>
      <c r="P3891">
        <v>0.95476839999999996</v>
      </c>
      <c r="Q3891">
        <v>0.28698129999999999</v>
      </c>
      <c r="R3891">
        <v>7.7842939999999999E-2</v>
      </c>
      <c r="S3891">
        <v>3.227509</v>
      </c>
      <c r="T3891">
        <v>-0.23605809999999999</v>
      </c>
      <c r="U3891">
        <v>-0.17858889999999999</v>
      </c>
      <c r="V3891">
        <v>-6.0297320000000001E-2</v>
      </c>
      <c r="W3891">
        <v>0.30154379999999997</v>
      </c>
      <c r="X3891">
        <v>0.95154369999999999</v>
      </c>
      <c r="Y3891">
        <v>7.326307E-2</v>
      </c>
      <c r="Z3891">
        <v>-4.2918569999999996E-3</v>
      </c>
      <c r="AA3891">
        <v>0.99730339999999995</v>
      </c>
      <c r="AB3891">
        <v>42</v>
      </c>
      <c r="AC3891">
        <v>0.61459999999999504</v>
      </c>
      <c r="AD3891">
        <v>-7.4593999999999994E-2</v>
      </c>
      <c r="AE3891">
        <v>-6.3899999999989604E-2</v>
      </c>
      <c r="AF3891">
        <v>7.4068182876081398E-2</v>
      </c>
      <c r="AG3891">
        <v>-7.4593999999999994E-2</v>
      </c>
      <c r="AH3891">
        <v>0.60451664067778998</v>
      </c>
      <c r="AI3891">
        <v>96.982725835747402</v>
      </c>
      <c r="AJ3891">
        <v>83.014671731932594</v>
      </c>
      <c r="AK3891">
        <v>0.61358840390519498</v>
      </c>
      <c r="AL3891">
        <v>72.449647632756196</v>
      </c>
      <c r="AM3891">
        <v>93.625864841645097</v>
      </c>
      <c r="AN3891">
        <v>0.99999992156365303</v>
      </c>
    </row>
    <row r="3892" spans="1:40" x14ac:dyDescent="0.25">
      <c r="A3892" t="str">
        <f>"20190304164929285"</f>
        <v>20190304164929285</v>
      </c>
      <c r="B3892" t="str">
        <f>"1551689369279964"</f>
        <v>1551689369279964</v>
      </c>
      <c r="C3892" t="s">
        <v>40</v>
      </c>
      <c r="D3892">
        <v>4.3501139999999996</v>
      </c>
      <c r="E3892">
        <v>0.56677730000000004</v>
      </c>
      <c r="F3892" t="s">
        <v>41</v>
      </c>
      <c r="G3892">
        <v>-309.2088</v>
      </c>
      <c r="H3892">
        <v>1.038179</v>
      </c>
      <c r="I3892">
        <v>215.0729</v>
      </c>
      <c r="J3892">
        <v>-309.75880000000001</v>
      </c>
      <c r="K3892">
        <v>1.1104179999999999</v>
      </c>
      <c r="L3892">
        <v>215.1353</v>
      </c>
      <c r="M3892">
        <v>0.99971679999999996</v>
      </c>
      <c r="N3892">
        <v>-1.5252730000000001E-2</v>
      </c>
      <c r="O3892">
        <v>1.827722E-2</v>
      </c>
      <c r="P3892">
        <v>0.95483499999999999</v>
      </c>
      <c r="Q3892">
        <v>0.28674379999999999</v>
      </c>
      <c r="R3892">
        <v>7.7900609999999995E-2</v>
      </c>
      <c r="S3892">
        <v>3.2276919999999998</v>
      </c>
      <c r="T3892">
        <v>-0.23639370000000001</v>
      </c>
      <c r="U3892">
        <v>-0.17791750000000001</v>
      </c>
      <c r="V3892">
        <v>-6.0390640000000002E-2</v>
      </c>
      <c r="W3892">
        <v>0.30130200000000001</v>
      </c>
      <c r="X3892">
        <v>0.95161439999999997</v>
      </c>
      <c r="Y3892">
        <v>7.3014670000000004E-2</v>
      </c>
      <c r="Z3892">
        <v>-4.2840229999999997E-3</v>
      </c>
      <c r="AA3892">
        <v>0.99732169999999998</v>
      </c>
      <c r="AB3892">
        <v>42</v>
      </c>
      <c r="AC3892">
        <v>0.55000000000001104</v>
      </c>
      <c r="AD3892">
        <v>-7.2238999999999901E-2</v>
      </c>
      <c r="AE3892">
        <v>-6.2399999999996597E-2</v>
      </c>
      <c r="AF3892">
        <v>7.1230028802723902E-2</v>
      </c>
      <c r="AG3892">
        <v>-7.2238999999999901E-2</v>
      </c>
      <c r="AH3892">
        <v>0.53957743620646503</v>
      </c>
      <c r="AI3892">
        <v>97.560628821001899</v>
      </c>
      <c r="AJ3892">
        <v>82.479823588037306</v>
      </c>
      <c r="AK3892">
        <v>0.54903187501945505</v>
      </c>
      <c r="AL3892">
        <v>72.464177963386504</v>
      </c>
      <c r="AM3892">
        <v>93.631192380987798</v>
      </c>
      <c r="AN3892">
        <v>0.99999994544548299</v>
      </c>
    </row>
    <row r="3893" spans="1:40" x14ac:dyDescent="0.25">
      <c r="A3893" t="str">
        <f>"20190304164929299"</f>
        <v>20190304164929299</v>
      </c>
      <c r="B3893" t="str">
        <f>"1551689369289724"</f>
        <v>1551689369289724</v>
      </c>
      <c r="C3893" t="s">
        <v>40</v>
      </c>
      <c r="D3893">
        <v>4.3104579999999997</v>
      </c>
      <c r="E3893">
        <v>0.56683339999999904</v>
      </c>
      <c r="F3893" t="s">
        <v>41</v>
      </c>
      <c r="G3893">
        <v>-308.8365</v>
      </c>
      <c r="H3893">
        <v>1.042163</v>
      </c>
      <c r="I3893">
        <v>215.08430000000001</v>
      </c>
      <c r="J3893">
        <v>-309.49149999999997</v>
      </c>
      <c r="K3893">
        <v>1.11042</v>
      </c>
      <c r="L3893">
        <v>215.14019999999999</v>
      </c>
      <c r="M3893">
        <v>0.99971719999999997</v>
      </c>
      <c r="N3893">
        <v>-1.524961E-2</v>
      </c>
      <c r="O3893">
        <v>1.8253700000000001E-2</v>
      </c>
      <c r="P3893">
        <v>0.95488930000000005</v>
      </c>
      <c r="Q3893">
        <v>0.28649380000000002</v>
      </c>
      <c r="R3893">
        <v>7.8153299999999995E-2</v>
      </c>
      <c r="S3893">
        <v>3.2282410000000001</v>
      </c>
      <c r="T3893">
        <v>-0.23891509999999999</v>
      </c>
      <c r="U3893">
        <v>-0.1787415</v>
      </c>
      <c r="V3893">
        <v>-6.066477E-2</v>
      </c>
      <c r="W3893">
        <v>0.30104999999999998</v>
      </c>
      <c r="X3893">
        <v>0.95167679999999999</v>
      </c>
      <c r="Y3893">
        <v>7.3229660000000002E-2</v>
      </c>
      <c r="Z3893">
        <v>-4.3340770000000004E-3</v>
      </c>
      <c r="AA3893">
        <v>0.99730569999999996</v>
      </c>
      <c r="AB3893">
        <v>41</v>
      </c>
      <c r="AC3893">
        <v>0.65499999999997205</v>
      </c>
      <c r="AD3893">
        <v>-6.8256999999999998E-2</v>
      </c>
      <c r="AE3893">
        <v>-5.5899999999979799E-2</v>
      </c>
      <c r="AF3893">
        <v>6.7124575029777506E-2</v>
      </c>
      <c r="AG3893">
        <v>-6.8256999999999998E-2</v>
      </c>
      <c r="AH3893">
        <v>0.64689613930019096</v>
      </c>
      <c r="AI3893">
        <v>95.991323354670897</v>
      </c>
      <c r="AJ3893">
        <v>84.075957483830706</v>
      </c>
      <c r="AK3893">
        <v>0.65394139008279595</v>
      </c>
      <c r="AL3893">
        <v>72.479320971301107</v>
      </c>
      <c r="AM3893">
        <v>93.647392453659904</v>
      </c>
      <c r="AN3893">
        <v>1.0000000242386899</v>
      </c>
    </row>
    <row r="3894" spans="1:40" x14ac:dyDescent="0.25">
      <c r="A3894" t="str">
        <f>"20190304164929313"</f>
        <v>20190304164929313</v>
      </c>
      <c r="B3894" t="str">
        <f>"1551689369299485"</f>
        <v>1551689369299485</v>
      </c>
      <c r="C3894" t="s">
        <v>40</v>
      </c>
      <c r="D3894">
        <v>4.2943119999999997</v>
      </c>
      <c r="E3894">
        <v>0.56685839999999998</v>
      </c>
      <c r="F3894" t="s">
        <v>41</v>
      </c>
      <c r="G3894">
        <v>-308.47019999999998</v>
      </c>
      <c r="H3894">
        <v>1.0344629999999999</v>
      </c>
      <c r="I3894">
        <v>215.0838</v>
      </c>
      <c r="J3894">
        <v>-309.24160000000001</v>
      </c>
      <c r="K3894">
        <v>1.11042</v>
      </c>
      <c r="L3894">
        <v>215.1447</v>
      </c>
      <c r="M3894">
        <v>0.99971770000000004</v>
      </c>
      <c r="N3894">
        <v>-1.524669E-2</v>
      </c>
      <c r="O3894">
        <v>1.8231379999999998E-2</v>
      </c>
      <c r="P3894">
        <v>0.95495770000000002</v>
      </c>
      <c r="Q3894">
        <v>0.2862962</v>
      </c>
      <c r="R3894">
        <v>7.8042749999999994E-2</v>
      </c>
      <c r="S3894">
        <v>3.2283940000000002</v>
      </c>
      <c r="T3894">
        <v>-0.240067</v>
      </c>
      <c r="U3894">
        <v>-0.1784973</v>
      </c>
      <c r="V3894">
        <v>-6.0574839999999998E-2</v>
      </c>
      <c r="W3894">
        <v>0.30085040000000002</v>
      </c>
      <c r="X3894">
        <v>0.95174559999999997</v>
      </c>
      <c r="Y3894">
        <v>7.3127460000000005E-2</v>
      </c>
      <c r="Z3894">
        <v>-4.3474439999999998E-3</v>
      </c>
      <c r="AA3894">
        <v>0.99731309999999995</v>
      </c>
      <c r="AB3894">
        <v>41</v>
      </c>
      <c r="AC3894">
        <v>0.77140000000002795</v>
      </c>
      <c r="AD3894">
        <v>-7.5956999999999997E-2</v>
      </c>
      <c r="AE3894">
        <v>-6.0900000000003701E-2</v>
      </c>
      <c r="AF3894">
        <v>7.4239850794679499E-2</v>
      </c>
      <c r="AG3894">
        <v>-7.5956999999999997E-2</v>
      </c>
      <c r="AH3894">
        <v>0.76281121005631203</v>
      </c>
      <c r="AI3894">
        <v>95.659920748206204</v>
      </c>
      <c r="AJ3894">
        <v>84.441251253484694</v>
      </c>
      <c r="AK3894">
        <v>0.77017008737199799</v>
      </c>
      <c r="AL3894">
        <v>72.491312382909101</v>
      </c>
      <c r="AM3894">
        <v>93.641737524557001</v>
      </c>
      <c r="AN3894">
        <v>0.99999998077027197</v>
      </c>
    </row>
    <row r="3895" spans="1:40" x14ac:dyDescent="0.25">
      <c r="A3895" t="str">
        <f>"20190304164929328"</f>
        <v>20190304164929328</v>
      </c>
      <c r="B3895" t="str">
        <f>"1551689369319516"</f>
        <v>1551689369319516</v>
      </c>
      <c r="C3895" t="s">
        <v>40</v>
      </c>
      <c r="D3895">
        <v>4.3553920000000002</v>
      </c>
      <c r="E3895">
        <v>0.56696040000000003</v>
      </c>
      <c r="F3895" t="s">
        <v>41</v>
      </c>
      <c r="G3895">
        <v>-308.45429999999999</v>
      </c>
      <c r="H3895">
        <v>1.051639</v>
      </c>
      <c r="I3895">
        <v>215.1011</v>
      </c>
      <c r="J3895">
        <v>-308.95299999999997</v>
      </c>
      <c r="K3895">
        <v>1.1104179999999999</v>
      </c>
      <c r="L3895">
        <v>215.1499</v>
      </c>
      <c r="M3895">
        <v>0.9997182</v>
      </c>
      <c r="N3895">
        <v>-1.5243309999999999E-2</v>
      </c>
      <c r="O3895">
        <v>1.8205829999999999E-2</v>
      </c>
      <c r="P3895">
        <v>0.95495180000000002</v>
      </c>
      <c r="Q3895">
        <v>0.28623120000000002</v>
      </c>
      <c r="R3895">
        <v>7.8352489999999997E-2</v>
      </c>
      <c r="S3895">
        <v>3.228424</v>
      </c>
      <c r="T3895">
        <v>-0.24096860000000001</v>
      </c>
      <c r="U3895">
        <v>-0.17918399999999901</v>
      </c>
      <c r="V3895">
        <v>-6.0908400000000001E-2</v>
      </c>
      <c r="W3895">
        <v>0.30078270000000001</v>
      </c>
      <c r="X3895">
        <v>0.95174570000000003</v>
      </c>
      <c r="Y3895">
        <v>7.3310410000000006E-2</v>
      </c>
      <c r="Z3895">
        <v>-4.369258E-3</v>
      </c>
      <c r="AA3895">
        <v>0.99729959999999995</v>
      </c>
      <c r="AB3895">
        <v>41</v>
      </c>
      <c r="AC3895">
        <v>0.49869999999998499</v>
      </c>
      <c r="AD3895">
        <v>-5.8779000000000102E-2</v>
      </c>
      <c r="AE3895">
        <v>-4.8799999999999899E-2</v>
      </c>
      <c r="AF3895">
        <v>5.70866831378141E-2</v>
      </c>
      <c r="AG3895">
        <v>-5.8779000000000102E-2</v>
      </c>
      <c r="AH3895">
        <v>0.49097286120455702</v>
      </c>
      <c r="AI3895">
        <v>96.781668563888402</v>
      </c>
      <c r="AJ3895">
        <v>83.367852047301696</v>
      </c>
      <c r="AK3895">
        <v>0.49776320743107</v>
      </c>
      <c r="AL3895">
        <v>72.495379532019498</v>
      </c>
      <c r="AM3895">
        <v>93.661736236602707</v>
      </c>
      <c r="AN3895">
        <v>0.99999997163916898</v>
      </c>
    </row>
    <row r="3896" spans="1:40" x14ac:dyDescent="0.25">
      <c r="A3896" t="str">
        <f>"20190304164929342"</f>
        <v>20190304164929342</v>
      </c>
      <c r="B3896" t="str">
        <f>"1551689369340012"</f>
        <v>1551689369340012</v>
      </c>
      <c r="C3896" t="s">
        <v>40</v>
      </c>
      <c r="D3896">
        <v>4.2637530000000003</v>
      </c>
      <c r="E3896">
        <v>0.56690669999999899</v>
      </c>
      <c r="F3896" t="s">
        <v>41</v>
      </c>
      <c r="G3896">
        <v>-308.09359999999998</v>
      </c>
      <c r="H3896">
        <v>1.0462629999999999</v>
      </c>
      <c r="I3896">
        <v>215.10220000000001</v>
      </c>
      <c r="J3896">
        <v>-308.68810000000002</v>
      </c>
      <c r="K3896">
        <v>1.11042</v>
      </c>
      <c r="L3896">
        <v>215.15469999999999</v>
      </c>
      <c r="M3896">
        <v>0.99971849999999995</v>
      </c>
      <c r="N3896">
        <v>-1.5240210000000001E-2</v>
      </c>
      <c r="O3896">
        <v>1.8182489999999999E-2</v>
      </c>
      <c r="P3896">
        <v>0.95496539999999996</v>
      </c>
      <c r="Q3896">
        <v>0.28621039999999998</v>
      </c>
      <c r="R3896">
        <v>7.8262250000000005E-2</v>
      </c>
      <c r="S3896">
        <v>3.2284549999999999</v>
      </c>
      <c r="T3896">
        <v>-0.2410784</v>
      </c>
      <c r="U3896">
        <v>-0.1787415</v>
      </c>
      <c r="V3896">
        <v>-6.0840819999999997E-2</v>
      </c>
      <c r="W3896">
        <v>0.300759</v>
      </c>
      <c r="X3896">
        <v>0.95175759999999998</v>
      </c>
      <c r="Y3896">
        <v>7.3150670000000001E-2</v>
      </c>
      <c r="Z3896">
        <v>-4.3624750000000002E-3</v>
      </c>
      <c r="AA3896">
        <v>0.99731139999999996</v>
      </c>
      <c r="AB3896">
        <v>41</v>
      </c>
      <c r="AC3896">
        <v>0.594500000000039</v>
      </c>
      <c r="AD3896">
        <v>-6.4157000000000006E-2</v>
      </c>
      <c r="AE3896">
        <v>-5.2499999999980597E-2</v>
      </c>
      <c r="AF3896">
        <v>6.2578898158710303E-2</v>
      </c>
      <c r="AG3896">
        <v>-6.4157000000000006E-2</v>
      </c>
      <c r="AH3896">
        <v>0.58666742836810304</v>
      </c>
      <c r="AI3896">
        <v>96.206043634149395</v>
      </c>
      <c r="AJ3896">
        <v>83.911371502543503</v>
      </c>
      <c r="AK3896">
        <v>0.59347359726596205</v>
      </c>
      <c r="AL3896">
        <v>72.496804882650693</v>
      </c>
      <c r="AM3896">
        <v>93.657638839082594</v>
      </c>
      <c r="AN3896">
        <v>1.00000005530851</v>
      </c>
    </row>
    <row r="3897" spans="1:40" x14ac:dyDescent="0.25">
      <c r="A3897" t="str">
        <f>"20190304164929362"</f>
        <v>20190304164929362</v>
      </c>
      <c r="B3897" t="str">
        <f>"1551689369349772"</f>
        <v>1551689369349772</v>
      </c>
      <c r="C3897" t="s">
        <v>40</v>
      </c>
      <c r="D3897">
        <v>4.2800449999999897</v>
      </c>
      <c r="E3897">
        <v>0.56690569999999996</v>
      </c>
      <c r="F3897" t="s">
        <v>41</v>
      </c>
      <c r="G3897">
        <v>-307.72910000000002</v>
      </c>
      <c r="H3897">
        <v>1.0393539999999999</v>
      </c>
      <c r="I3897">
        <v>215.1018</v>
      </c>
      <c r="J3897">
        <v>-308.33870000000002</v>
      </c>
      <c r="K3897">
        <v>1.110417</v>
      </c>
      <c r="L3897">
        <v>215.1611</v>
      </c>
      <c r="M3897">
        <v>0.99971920000000003</v>
      </c>
      <c r="N3897">
        <v>-1.5236110000000001E-2</v>
      </c>
      <c r="O3897">
        <v>1.8151420000000001E-2</v>
      </c>
      <c r="P3897">
        <v>0.95481609999999995</v>
      </c>
      <c r="Q3897">
        <v>0.28668700000000003</v>
      </c>
      <c r="R3897">
        <v>7.8340409999999999E-2</v>
      </c>
      <c r="S3897">
        <v>3.2277830000000001</v>
      </c>
      <c r="T3897">
        <v>-0.23909569999999999</v>
      </c>
      <c r="U3897">
        <v>-0.17852779999999999</v>
      </c>
      <c r="V3897">
        <v>-6.0951119999999998E-2</v>
      </c>
      <c r="W3897">
        <v>0.30122969999999999</v>
      </c>
      <c r="X3897">
        <v>0.95160160000000005</v>
      </c>
      <c r="Y3897">
        <v>7.306986E-2</v>
      </c>
      <c r="Z3897">
        <v>-4.3243309999999998E-3</v>
      </c>
      <c r="AA3897">
        <v>0.99731740000000002</v>
      </c>
      <c r="AB3897">
        <v>41</v>
      </c>
      <c r="AC3897">
        <v>0.60960000000000003</v>
      </c>
      <c r="AD3897">
        <v>-7.1062999999999807E-2</v>
      </c>
      <c r="AE3897">
        <v>-5.9300000000007402E-2</v>
      </c>
      <c r="AF3897">
        <v>6.9422063774430498E-2</v>
      </c>
      <c r="AG3897">
        <v>-7.1062999999999807E-2</v>
      </c>
      <c r="AH3897">
        <v>0.600341297148688</v>
      </c>
      <c r="AI3897">
        <v>96.706466258478002</v>
      </c>
      <c r="AJ3897">
        <v>83.4037477672302</v>
      </c>
      <c r="AK3897">
        <v>0.60850558417311995</v>
      </c>
      <c r="AL3897">
        <v>72.468523057933197</v>
      </c>
      <c r="AM3897">
        <v>93.664850882774502</v>
      </c>
      <c r="AN3897">
        <v>0.99999998815695201</v>
      </c>
    </row>
    <row r="3898" spans="1:40" x14ac:dyDescent="0.25">
      <c r="A3898" t="str">
        <f>"20190304164929385"</f>
        <v>20190304164929385</v>
      </c>
      <c r="B3898" t="str">
        <f>"1551689369380029"</f>
        <v>1551689369380029</v>
      </c>
      <c r="C3898" t="s">
        <v>40</v>
      </c>
      <c r="D3898">
        <v>4.3103569999999998</v>
      </c>
      <c r="E3898">
        <v>0.56692900000000002</v>
      </c>
      <c r="F3898" t="s">
        <v>41</v>
      </c>
      <c r="G3898">
        <v>-307.3605</v>
      </c>
      <c r="H3898">
        <v>1.0387569999999999</v>
      </c>
      <c r="I3898">
        <v>215.10679999999999</v>
      </c>
      <c r="J3898">
        <v>-307.9074</v>
      </c>
      <c r="K3898">
        <v>1.11042</v>
      </c>
      <c r="L3898">
        <v>215.16890000000001</v>
      </c>
      <c r="M3898">
        <v>0.99971989999999999</v>
      </c>
      <c r="N3898">
        <v>-1.5231099999999999E-2</v>
      </c>
      <c r="O3898">
        <v>1.8113250000000001E-2</v>
      </c>
      <c r="P3898">
        <v>0.95459139999999998</v>
      </c>
      <c r="Q3898">
        <v>0.28744969999999997</v>
      </c>
      <c r="R3898">
        <v>7.8283530000000004E-2</v>
      </c>
      <c r="S3898">
        <v>3.2276919999999998</v>
      </c>
      <c r="T3898">
        <v>-0.23651159999999999</v>
      </c>
      <c r="U3898">
        <v>-0.17887879999999901</v>
      </c>
      <c r="V3898">
        <v>-6.093498E-2</v>
      </c>
      <c r="W3898">
        <v>0.30198340000000001</v>
      </c>
      <c r="X3898">
        <v>0.95136370000000003</v>
      </c>
      <c r="Y3898">
        <v>7.3146840000000005E-2</v>
      </c>
      <c r="Z3898">
        <v>-4.2819370000000004E-3</v>
      </c>
      <c r="AA3898">
        <v>0.99731199999999998</v>
      </c>
      <c r="AB3898">
        <v>41</v>
      </c>
      <c r="AC3898">
        <v>0.54689999999999295</v>
      </c>
      <c r="AD3898">
        <v>-7.1663000000000004E-2</v>
      </c>
      <c r="AE3898">
        <v>-6.2100000000015101E-2</v>
      </c>
      <c r="AF3898">
        <v>7.0796974378183705E-2</v>
      </c>
      <c r="AG3898">
        <v>-7.1663000000000004E-2</v>
      </c>
      <c r="AH3898">
        <v>0.536589252486107</v>
      </c>
      <c r="AI3898">
        <v>97.542395140196604</v>
      </c>
      <c r="AJ3898">
        <v>82.483872761722694</v>
      </c>
      <c r="AK3898">
        <v>0.54596320666662501</v>
      </c>
      <c r="AL3898">
        <v>72.423229671588302</v>
      </c>
      <c r="AM3898">
        <v>93.664796767134703</v>
      </c>
      <c r="AN3898">
        <v>0.99999996767042398</v>
      </c>
    </row>
    <row r="3899" spans="1:40" x14ac:dyDescent="0.25">
      <c r="A3899" t="str">
        <f>"20190304164929399"</f>
        <v>20190304164929399</v>
      </c>
      <c r="B3899" t="str">
        <f>"1551689369389788"</f>
        <v>1551689369389788</v>
      </c>
      <c r="C3899" t="s">
        <v>40</v>
      </c>
      <c r="D3899">
        <v>4.3353400000000004</v>
      </c>
      <c r="E3899">
        <v>0.56692469999999995</v>
      </c>
      <c r="F3899" t="s">
        <v>41</v>
      </c>
      <c r="G3899">
        <v>-306.98880000000003</v>
      </c>
      <c r="H3899">
        <v>1.044638</v>
      </c>
      <c r="I3899">
        <v>215.11770000000001</v>
      </c>
      <c r="J3899">
        <v>-307.64909999999998</v>
      </c>
      <c r="K3899">
        <v>1.1104210000000001</v>
      </c>
      <c r="L3899">
        <v>215.17349999999999</v>
      </c>
      <c r="M3899">
        <v>0.99972050000000001</v>
      </c>
      <c r="N3899">
        <v>-1.522811E-2</v>
      </c>
      <c r="O3899">
        <v>1.8090040000000002E-2</v>
      </c>
      <c r="P3899">
        <v>0.95443869999999997</v>
      </c>
      <c r="Q3899">
        <v>0.2879467</v>
      </c>
      <c r="R3899">
        <v>7.8318490000000004E-2</v>
      </c>
      <c r="S3899">
        <v>3.2270509999999999</v>
      </c>
      <c r="T3899">
        <v>-0.23114179999999901</v>
      </c>
      <c r="U3899">
        <v>-0.17965699999999901</v>
      </c>
      <c r="V3899">
        <v>-6.0994850000000003E-2</v>
      </c>
      <c r="W3899">
        <v>0.30247570000000001</v>
      </c>
      <c r="X3899">
        <v>0.95120349999999998</v>
      </c>
      <c r="Y3899">
        <v>7.3385010000000001E-2</v>
      </c>
      <c r="Z3899">
        <v>-4.2010490000000001E-3</v>
      </c>
      <c r="AA3899">
        <v>0.99729480000000004</v>
      </c>
      <c r="AB3899">
        <v>41</v>
      </c>
      <c r="AC3899">
        <v>0.66029999999994904</v>
      </c>
      <c r="AD3899">
        <v>-6.5782999999999897E-2</v>
      </c>
      <c r="AE3899">
        <v>-5.57999999999765E-2</v>
      </c>
      <c r="AF3899">
        <v>6.7076073032411795E-2</v>
      </c>
      <c r="AG3899">
        <v>-6.5782999999999897E-2</v>
      </c>
      <c r="AH3899">
        <v>0.65274957111413201</v>
      </c>
      <c r="AI3899">
        <v>95.724797970184795</v>
      </c>
      <c r="AJ3899">
        <v>84.132920456001699</v>
      </c>
      <c r="AK3899">
        <v>0.65947600809440599</v>
      </c>
      <c r="AL3899">
        <v>72.393639925610898</v>
      </c>
      <c r="AM3899">
        <v>93.669003821567799</v>
      </c>
      <c r="AN3899">
        <v>1.00000000961463</v>
      </c>
    </row>
    <row r="3900" spans="1:40" x14ac:dyDescent="0.25">
      <c r="A3900" t="str">
        <f>"20190304164929414"</f>
        <v>20190304164929414</v>
      </c>
      <c r="B3900" t="str">
        <f>"1551689369410285"</f>
        <v>1551689369410285</v>
      </c>
      <c r="C3900" t="s">
        <v>40</v>
      </c>
      <c r="D3900">
        <v>4.2963559999999896</v>
      </c>
      <c r="E3900">
        <v>0.56704290000000002</v>
      </c>
      <c r="F3900" t="s">
        <v>41</v>
      </c>
      <c r="G3900">
        <v>-306.62450000000001</v>
      </c>
      <c r="H3900">
        <v>1.0379480000000001</v>
      </c>
      <c r="I3900">
        <v>215.11619999999999</v>
      </c>
      <c r="J3900">
        <v>-307.37419999999997</v>
      </c>
      <c r="K3900">
        <v>1.110422</v>
      </c>
      <c r="L3900">
        <v>215.17850000000001</v>
      </c>
      <c r="M3900">
        <v>0.99972090000000002</v>
      </c>
      <c r="N3900">
        <v>-1.5224929999999999E-2</v>
      </c>
      <c r="O3900">
        <v>1.806551E-2</v>
      </c>
      <c r="P3900">
        <v>0.95440139999999996</v>
      </c>
      <c r="Q3900">
        <v>0.2880626</v>
      </c>
      <c r="R3900">
        <v>7.8344860000000002E-2</v>
      </c>
      <c r="S3900">
        <v>3.2268979999999998</v>
      </c>
      <c r="T3900">
        <v>-0.22834979999999999</v>
      </c>
      <c r="U3900">
        <v>-0.17987059999999999</v>
      </c>
      <c r="V3900">
        <v>-6.1045170000000003E-2</v>
      </c>
      <c r="W3900">
        <v>0.30258800000000002</v>
      </c>
      <c r="X3900">
        <v>0.95116449999999997</v>
      </c>
      <c r="Y3900">
        <v>7.3434689999999997E-2</v>
      </c>
      <c r="Z3900">
        <v>-4.154731E-3</v>
      </c>
      <c r="AA3900">
        <v>0.99729140000000005</v>
      </c>
      <c r="AB3900">
        <v>41</v>
      </c>
      <c r="AC3900">
        <v>0.74969999999996095</v>
      </c>
      <c r="AD3900">
        <v>-7.2474000000000094E-2</v>
      </c>
      <c r="AE3900">
        <v>-6.2300000000021699E-2</v>
      </c>
      <c r="AF3900">
        <v>7.51377502205582E-2</v>
      </c>
      <c r="AG3900">
        <v>-7.2474000000000094E-2</v>
      </c>
      <c r="AH3900">
        <v>0.74156941343042104</v>
      </c>
      <c r="AI3900">
        <v>95.553567653374003</v>
      </c>
      <c r="AJ3900">
        <v>84.214386920866403</v>
      </c>
      <c r="AK3900">
        <v>0.748881403908353</v>
      </c>
      <c r="AL3900">
        <v>72.386888335439295</v>
      </c>
      <c r="AM3900">
        <v>93.672172576017303</v>
      </c>
      <c r="AN3900">
        <v>0.99999995829228805</v>
      </c>
    </row>
    <row r="3901" spans="1:40" x14ac:dyDescent="0.25">
      <c r="A3901" t="str">
        <f>"20190304164929430"</f>
        <v>20190304164929430</v>
      </c>
      <c r="B3901" t="str">
        <f>"1551689369419575"</f>
        <v>1551689369419575</v>
      </c>
      <c r="C3901" t="s">
        <v>40</v>
      </c>
      <c r="D3901">
        <v>4.2327339999999998</v>
      </c>
      <c r="E3901">
        <v>0.56707450000000004</v>
      </c>
      <c r="F3901" t="s">
        <v>47</v>
      </c>
      <c r="G3901">
        <v>-291.65989999999999</v>
      </c>
      <c r="H3901" s="1">
        <v>1.188839E-6</v>
      </c>
      <c r="I3901">
        <v>214.29810000000001</v>
      </c>
      <c r="J3901">
        <v>-307.08359999999999</v>
      </c>
      <c r="K3901">
        <v>1.1104210000000001</v>
      </c>
      <c r="L3901">
        <v>215.18369999999999</v>
      </c>
      <c r="M3901">
        <v>0.99972150000000004</v>
      </c>
      <c r="N3901">
        <v>-1.522157E-2</v>
      </c>
      <c r="O3901">
        <v>1.8039670000000001E-2</v>
      </c>
      <c r="P3901">
        <v>0.95449329999999999</v>
      </c>
      <c r="Q3901">
        <v>0.28784959999999998</v>
      </c>
      <c r="R3901">
        <v>7.8008279999999999E-2</v>
      </c>
      <c r="S3901">
        <v>3.2269899999999998</v>
      </c>
      <c r="T3901">
        <v>-0.22802819999999999</v>
      </c>
      <c r="U3901">
        <v>-0.18078610000000001</v>
      </c>
      <c r="V3901">
        <v>-6.0732040000000001E-2</v>
      </c>
      <c r="W3901">
        <v>0.302373</v>
      </c>
      <c r="X3901">
        <v>0.95125289999999996</v>
      </c>
      <c r="Y3901">
        <v>7.3689359999999995E-2</v>
      </c>
      <c r="Z3901">
        <v>-4.1585900000000002E-3</v>
      </c>
      <c r="AA3901">
        <v>0.99727259999999995</v>
      </c>
      <c r="AB3901">
        <v>41</v>
      </c>
      <c r="AC3901">
        <v>15.423699999999901</v>
      </c>
      <c r="AD3901">
        <v>-1.110419811161</v>
      </c>
      <c r="AE3901">
        <v>-0.88559999999998196</v>
      </c>
      <c r="AF3901">
        <v>1.1577454258475599</v>
      </c>
      <c r="AG3901">
        <v>-1.110419811161</v>
      </c>
      <c r="AH3901">
        <v>15.3260350253376</v>
      </c>
      <c r="AI3901">
        <v>94.132287021181597</v>
      </c>
      <c r="AJ3901">
        <v>85.680019027816897</v>
      </c>
      <c r="AK3901">
        <v>15.4097617186628</v>
      </c>
      <c r="AL3901">
        <v>72.399812119196099</v>
      </c>
      <c r="AM3901">
        <v>93.653048794752493</v>
      </c>
      <c r="AN3901">
        <v>0.99999994578498397</v>
      </c>
    </row>
    <row r="3902" spans="1:40" x14ac:dyDescent="0.25">
      <c r="A3902" t="str">
        <f>"20190304164929451"</f>
        <v>20190304164929451</v>
      </c>
      <c r="B3902" t="str">
        <f>"1551689369440071"</f>
        <v>1551689369440071</v>
      </c>
      <c r="C3902" t="s">
        <v>40</v>
      </c>
      <c r="D3902">
        <v>4.1765179999999997</v>
      </c>
      <c r="E3902">
        <v>0.56723279999999998</v>
      </c>
      <c r="F3902" t="s">
        <v>41</v>
      </c>
      <c r="G3902">
        <v>-306.24740000000003</v>
      </c>
      <c r="H3902">
        <v>1.050989</v>
      </c>
      <c r="I3902">
        <v>215.13659999999999</v>
      </c>
      <c r="J3902">
        <v>-306.68680000000001</v>
      </c>
      <c r="K3902">
        <v>1.1104259999999999</v>
      </c>
      <c r="L3902">
        <v>215.1908</v>
      </c>
      <c r="M3902">
        <v>0.99972220000000001</v>
      </c>
      <c r="N3902">
        <v>-1.5216999999999901E-2</v>
      </c>
      <c r="O3902">
        <v>1.8004119999999998E-2</v>
      </c>
      <c r="P3902">
        <v>0.95452519999999996</v>
      </c>
      <c r="Q3902">
        <v>0.28775020000000001</v>
      </c>
      <c r="R3902">
        <v>7.7985550000000001E-2</v>
      </c>
      <c r="S3902">
        <v>3.2270810000000001</v>
      </c>
      <c r="T3902">
        <v>-0.22935410000000001</v>
      </c>
      <c r="U3902">
        <v>-0.18197630000000001</v>
      </c>
      <c r="V3902">
        <v>-6.0742740000000003E-2</v>
      </c>
      <c r="W3902">
        <v>0.30226940000000002</v>
      </c>
      <c r="X3902">
        <v>0.95128520000000005</v>
      </c>
      <c r="Y3902">
        <v>7.4015289999999997E-2</v>
      </c>
      <c r="Z3902">
        <v>-4.192889E-3</v>
      </c>
      <c r="AA3902">
        <v>0.99724829999999998</v>
      </c>
      <c r="AB3902">
        <v>41</v>
      </c>
      <c r="AC3902">
        <v>0.43939999999997698</v>
      </c>
      <c r="AD3902">
        <v>-5.94369999999999E-2</v>
      </c>
      <c r="AE3902">
        <v>-5.4200000000008602E-2</v>
      </c>
      <c r="AF3902">
        <v>6.1003648376505702E-2</v>
      </c>
      <c r="AG3902">
        <v>-5.94369999999999E-2</v>
      </c>
      <c r="AH3902">
        <v>0.43059211347445198</v>
      </c>
      <c r="AI3902">
        <v>97.782439126964107</v>
      </c>
      <c r="AJ3902">
        <v>81.936349590447094</v>
      </c>
      <c r="AK3902">
        <v>0.43893481323613398</v>
      </c>
      <c r="AL3902">
        <v>72.406040365693798</v>
      </c>
      <c r="AM3902">
        <v>93.653566937811306</v>
      </c>
      <c r="AN3902">
        <v>1.00000000118905</v>
      </c>
    </row>
    <row r="3903" spans="1:40" x14ac:dyDescent="0.25">
      <c r="A3903" t="str">
        <f>"20190304164929466"</f>
        <v>20190304164929466</v>
      </c>
      <c r="B3903" t="str">
        <f>"1551689369459592"</f>
        <v>1551689369459592</v>
      </c>
      <c r="C3903" t="s">
        <v>40</v>
      </c>
      <c r="D3903">
        <v>4.1018480000000004</v>
      </c>
      <c r="E3903">
        <v>0.55941680000000005</v>
      </c>
      <c r="F3903" t="s">
        <v>47</v>
      </c>
      <c r="G3903">
        <v>-291.06819999999999</v>
      </c>
      <c r="H3903" s="1">
        <v>1.083888E-6</v>
      </c>
      <c r="I3903">
        <v>214.30260000000001</v>
      </c>
      <c r="J3903">
        <v>-306.41770000000002</v>
      </c>
      <c r="K3903">
        <v>1.1104259999999999</v>
      </c>
      <c r="L3903">
        <v>215.19569999999999</v>
      </c>
      <c r="M3903">
        <v>0.99972269999999996</v>
      </c>
      <c r="N3903">
        <v>-1.5213880000000001E-2</v>
      </c>
      <c r="O3903">
        <v>1.7980070000000001E-2</v>
      </c>
      <c r="P3903">
        <v>0.95457210000000003</v>
      </c>
      <c r="Q3903">
        <v>0.287597099999999</v>
      </c>
      <c r="R3903">
        <v>7.7975879999999997E-2</v>
      </c>
      <c r="S3903">
        <v>3.2270810000000001</v>
      </c>
      <c r="T3903">
        <v>-0.2294339</v>
      </c>
      <c r="U3903">
        <v>-0.18353269999999999</v>
      </c>
      <c r="V3903">
        <v>-6.0754959999999997E-2</v>
      </c>
      <c r="W3903">
        <v>0.3021143</v>
      </c>
      <c r="X3903">
        <v>0.95133369999999995</v>
      </c>
      <c r="Y3903">
        <v>7.4469190000000005E-2</v>
      </c>
      <c r="Z3903">
        <v>-4.2123639999999997E-3</v>
      </c>
      <c r="AA3903">
        <v>0.99721439999999995</v>
      </c>
      <c r="AB3903">
        <v>41</v>
      </c>
      <c r="AC3903">
        <v>15.349500000000001</v>
      </c>
      <c r="AD3903">
        <v>-1.1104249161119999</v>
      </c>
      <c r="AE3903">
        <v>-0.89309999999997502</v>
      </c>
      <c r="AF3903">
        <v>1.1629070846076199</v>
      </c>
      <c r="AG3903">
        <v>-1.1104249161119999</v>
      </c>
      <c r="AH3903">
        <v>15.2514097267659</v>
      </c>
      <c r="AI3903">
        <v>94.152233724467195</v>
      </c>
      <c r="AJ3903">
        <v>85.6396824381644</v>
      </c>
      <c r="AK3903">
        <v>15.335934762362699</v>
      </c>
      <c r="AL3903">
        <v>72.415362989260302</v>
      </c>
      <c r="AM3903">
        <v>93.654114162152794</v>
      </c>
      <c r="AN3903">
        <v>1.00000001209239</v>
      </c>
    </row>
    <row r="3904" spans="1:40" x14ac:dyDescent="0.25">
      <c r="A3904" t="str">
        <f>"20190304164929486"</f>
        <v>20190304164929486</v>
      </c>
      <c r="B3904" t="str">
        <f>"1551689369480087"</f>
        <v>1551689369480087</v>
      </c>
      <c r="C3904" t="s">
        <v>40</v>
      </c>
      <c r="D3904">
        <v>4.073671</v>
      </c>
      <c r="E3904">
        <v>0.55617649999999996</v>
      </c>
      <c r="F3904" t="s">
        <v>47</v>
      </c>
      <c r="G3904">
        <v>-285.6508</v>
      </c>
      <c r="H3904" s="1">
        <v>4.6146790000000001E-6</v>
      </c>
      <c r="I3904">
        <v>214.3674</v>
      </c>
      <c r="J3904">
        <v>-306.048</v>
      </c>
      <c r="K3904">
        <v>1.1104259999999999</v>
      </c>
      <c r="L3904">
        <v>215.20230000000001</v>
      </c>
      <c r="M3904">
        <v>0.99972329999999998</v>
      </c>
      <c r="N3904">
        <v>-1.5209510000000001E-2</v>
      </c>
      <c r="O3904">
        <v>1.79472E-2</v>
      </c>
      <c r="P3904">
        <v>0.95460800000000001</v>
      </c>
      <c r="Q3904">
        <v>0.287460099999999</v>
      </c>
      <c r="R3904">
        <v>7.8042849999999997E-2</v>
      </c>
      <c r="S3904">
        <v>3.204834</v>
      </c>
      <c r="T3904">
        <v>-0.1713654</v>
      </c>
      <c r="U3904">
        <v>-0.12782289999999999</v>
      </c>
      <c r="V3904">
        <v>-6.0853070000000002E-2</v>
      </c>
      <c r="W3904">
        <v>0.30197350000000001</v>
      </c>
      <c r="X3904">
        <v>0.95137210000000005</v>
      </c>
      <c r="Y3904">
        <v>5.766251E-2</v>
      </c>
      <c r="Z3904">
        <v>-2.6649450000000002E-3</v>
      </c>
      <c r="AA3904">
        <v>0.99833260000000001</v>
      </c>
      <c r="AB3904">
        <v>41</v>
      </c>
      <c r="AC3904">
        <v>20.397200000000002</v>
      </c>
      <c r="AD3904">
        <v>-1.1104213853210001</v>
      </c>
      <c r="AE3904">
        <v>-0.83490000000000397</v>
      </c>
      <c r="AF3904">
        <v>1.1973378366435601</v>
      </c>
      <c r="AG3904">
        <v>-1.1104213853210001</v>
      </c>
      <c r="AH3904">
        <v>20.318809963790301</v>
      </c>
      <c r="AI3904">
        <v>93.122691973215396</v>
      </c>
      <c r="AJ3904">
        <v>86.627599571788807</v>
      </c>
      <c r="AK3904">
        <v>20.3843246611866</v>
      </c>
      <c r="AL3904">
        <v>72.423824933272499</v>
      </c>
      <c r="AM3904">
        <v>93.659851647033406</v>
      </c>
      <c r="AN3904">
        <v>0.99999998174454197</v>
      </c>
    </row>
    <row r="3905" spans="1:40" x14ac:dyDescent="0.25">
      <c r="A3905" t="str">
        <f>"20190304164929499"</f>
        <v>20190304164929499</v>
      </c>
      <c r="B3905" t="str">
        <f>"1551689369489847"</f>
        <v>1551689369489847</v>
      </c>
      <c r="C3905" t="s">
        <v>40</v>
      </c>
      <c r="D3905">
        <v>4.0224469999999997</v>
      </c>
      <c r="E3905">
        <v>0.55541169999999995</v>
      </c>
      <c r="F3905" t="s">
        <v>47</v>
      </c>
      <c r="G3905">
        <v>-285.99689999999998</v>
      </c>
      <c r="H3905" s="1">
        <v>4.4372319999999997E-6</v>
      </c>
      <c r="I3905">
        <v>214.56870000000001</v>
      </c>
      <c r="J3905">
        <v>-305.81540000000001</v>
      </c>
      <c r="K3905">
        <v>1.1104240000000001</v>
      </c>
      <c r="L3905">
        <v>215.20650000000001</v>
      </c>
      <c r="M3905">
        <v>0.99972380000000005</v>
      </c>
      <c r="N3905">
        <v>-1.520675E-2</v>
      </c>
      <c r="O3905">
        <v>1.7926190000000002E-2</v>
      </c>
      <c r="P3905">
        <v>0.95455999999999996</v>
      </c>
      <c r="Q3905">
        <v>0.28757909999999998</v>
      </c>
      <c r="R3905">
        <v>7.8191239999999995E-2</v>
      </c>
      <c r="S3905">
        <v>3.2043460000000001</v>
      </c>
      <c r="T3905">
        <v>-0.177454799999999</v>
      </c>
      <c r="U3905">
        <v>-0.10125729999999999</v>
      </c>
      <c r="V3905">
        <v>-6.1022649999999998E-2</v>
      </c>
      <c r="W3905">
        <v>0.30208930000000001</v>
      </c>
      <c r="X3905">
        <v>0.95132450000000002</v>
      </c>
      <c r="Y3905">
        <v>4.938762E-2</v>
      </c>
      <c r="Z3905">
        <v>-2.4615140000000001E-3</v>
      </c>
      <c r="AA3905">
        <v>0.99877669999999996</v>
      </c>
      <c r="AB3905">
        <v>41</v>
      </c>
      <c r="AC3905">
        <v>19.8185</v>
      </c>
      <c r="AD3905">
        <v>-1.110419562768</v>
      </c>
      <c r="AE3905">
        <v>-0.63779999999999804</v>
      </c>
      <c r="AF3905">
        <v>0.98990433282143298</v>
      </c>
      <c r="AG3905">
        <v>-1.110419562768</v>
      </c>
      <c r="AH3905">
        <v>19.741968228198601</v>
      </c>
      <c r="AI3905">
        <v>93.215272575474202</v>
      </c>
      <c r="AJ3905">
        <v>87.129471703358604</v>
      </c>
      <c r="AK3905">
        <v>19.797935541786199</v>
      </c>
      <c r="AL3905">
        <v>72.416865492900698</v>
      </c>
      <c r="AM3905">
        <v>93.6702058947442</v>
      </c>
      <c r="AN3905">
        <v>1.0000000066438799</v>
      </c>
    </row>
    <row r="3906" spans="1:40" x14ac:dyDescent="0.25">
      <c r="A3906" t="str">
        <f>"20190304164929518"</f>
        <v>20190304164929518</v>
      </c>
      <c r="B3906" t="str">
        <f>"1551689369509366"</f>
        <v>1551689369509366</v>
      </c>
      <c r="C3906" t="s">
        <v>40</v>
      </c>
      <c r="D3906">
        <v>3.9846720000000002</v>
      </c>
      <c r="E3906">
        <v>0.55459329999999996</v>
      </c>
      <c r="F3906" t="s">
        <v>47</v>
      </c>
      <c r="G3906">
        <v>-286.02949999999998</v>
      </c>
      <c r="H3906" s="1">
        <v>4.4164429999999999E-6</v>
      </c>
      <c r="I3906">
        <v>214.6215</v>
      </c>
      <c r="J3906">
        <v>-305.45760000000001</v>
      </c>
      <c r="K3906">
        <v>1.1104290000000001</v>
      </c>
      <c r="L3906">
        <v>215.21279999999999</v>
      </c>
      <c r="M3906">
        <v>0.99972439999999996</v>
      </c>
      <c r="N3906">
        <v>-1.52026E-2</v>
      </c>
      <c r="O3906">
        <v>1.7894150000000001E-2</v>
      </c>
      <c r="P3906">
        <v>0.95464280000000001</v>
      </c>
      <c r="Q3906">
        <v>0.28729060000000001</v>
      </c>
      <c r="R3906">
        <v>7.8239240000000002E-2</v>
      </c>
      <c r="S3906">
        <v>3.2047119999999998</v>
      </c>
      <c r="T3906">
        <v>-0.17985419999999999</v>
      </c>
      <c r="U3906">
        <v>-9.4741820000000004E-2</v>
      </c>
      <c r="V3906">
        <v>-6.1099790000000001E-2</v>
      </c>
      <c r="W3906">
        <v>0.30179840000000002</v>
      </c>
      <c r="X3906">
        <v>0.95141180000000003</v>
      </c>
      <c r="Y3906">
        <v>4.732447E-2</v>
      </c>
      <c r="Z3906">
        <v>-2.4182589999999999E-3</v>
      </c>
      <c r="AA3906">
        <v>0.9988766</v>
      </c>
      <c r="AB3906">
        <v>41</v>
      </c>
      <c r="AC3906">
        <v>19.428100000000001</v>
      </c>
      <c r="AD3906">
        <v>-1.1104245835569999</v>
      </c>
      <c r="AE3906">
        <v>-0.59129999999998895</v>
      </c>
      <c r="AF3906">
        <v>0.93584044738294403</v>
      </c>
      <c r="AG3906">
        <v>-1.1104245835569999</v>
      </c>
      <c r="AH3906">
        <v>19.351249135634301</v>
      </c>
      <c r="AI3906">
        <v>93.280352735911904</v>
      </c>
      <c r="AJ3906">
        <v>87.231291638495605</v>
      </c>
      <c r="AK3906">
        <v>19.405661112369099</v>
      </c>
      <c r="AL3906">
        <v>72.434347575312998</v>
      </c>
      <c r="AM3906">
        <v>93.674496500095501</v>
      </c>
      <c r="AN3906">
        <v>0.99999993587991998</v>
      </c>
    </row>
    <row r="3907" spans="1:40" x14ac:dyDescent="0.25">
      <c r="A3907" t="str">
        <f>"20190304164929533"</f>
        <v>20190304164929533</v>
      </c>
      <c r="B3907" t="str">
        <f>"1551689369519634"</f>
        <v>1551689369519634</v>
      </c>
      <c r="C3907" t="s">
        <v>40</v>
      </c>
      <c r="D3907">
        <v>3.9959750000000001</v>
      </c>
      <c r="E3907">
        <v>0.55457449999999997</v>
      </c>
      <c r="F3907" t="s">
        <v>41</v>
      </c>
      <c r="G3907">
        <v>-304.4126</v>
      </c>
      <c r="H3907">
        <v>1.050667</v>
      </c>
      <c r="I3907">
        <v>215.1841</v>
      </c>
      <c r="J3907">
        <v>-305.19319999999999</v>
      </c>
      <c r="K3907">
        <v>1.1104290000000001</v>
      </c>
      <c r="L3907">
        <v>215.2176</v>
      </c>
      <c r="M3907">
        <v>0.99972490000000003</v>
      </c>
      <c r="N3907">
        <v>-1.5199539999999999E-2</v>
      </c>
      <c r="O3907">
        <v>1.787058E-2</v>
      </c>
      <c r="P3907">
        <v>0.95465580000000005</v>
      </c>
      <c r="Q3907">
        <v>0.28729519999999997</v>
      </c>
      <c r="R3907">
        <v>7.8065010000000004E-2</v>
      </c>
      <c r="S3907">
        <v>3.2049560000000001</v>
      </c>
      <c r="T3907">
        <v>-0.18337919999999999</v>
      </c>
      <c r="U3907">
        <v>-8.7738040000000003E-2</v>
      </c>
      <c r="V3907">
        <v>-6.0947769999999998E-2</v>
      </c>
      <c r="W3907">
        <v>0.3017997</v>
      </c>
      <c r="X3907">
        <v>0.95142119999999997</v>
      </c>
      <c r="Y3907">
        <v>4.5117930000000001E-2</v>
      </c>
      <c r="Z3907">
        <v>-2.382875E-3</v>
      </c>
      <c r="AA3907">
        <v>0.9989789</v>
      </c>
      <c r="AB3907">
        <v>41</v>
      </c>
      <c r="AC3907">
        <v>0.78059999999999197</v>
      </c>
      <c r="AD3907">
        <v>-5.9762000000000003E-2</v>
      </c>
      <c r="AE3907">
        <v>-3.3500000000003603E-2</v>
      </c>
      <c r="AF3907">
        <v>4.7170064572810803E-2</v>
      </c>
      <c r="AG3907">
        <v>-5.9762000000000003E-2</v>
      </c>
      <c r="AH3907">
        <v>0.77534044235841504</v>
      </c>
      <c r="AI3907">
        <v>94.399450019301895</v>
      </c>
      <c r="AJ3907">
        <v>86.518537572772701</v>
      </c>
      <c r="AK3907">
        <v>0.77906951756075404</v>
      </c>
      <c r="AL3907">
        <v>72.434270514663197</v>
      </c>
      <c r="AM3907">
        <v>93.665342968067094</v>
      </c>
      <c r="AN3907">
        <v>0.999999994698751</v>
      </c>
    </row>
    <row r="3908" spans="1:40" x14ac:dyDescent="0.25">
      <c r="A3908" t="str">
        <f>"20190304164929545"</f>
        <v>20190304164929545</v>
      </c>
      <c r="B3908" t="str">
        <f>"1551689369540130"</f>
        <v>1551689369540130</v>
      </c>
      <c r="C3908" t="s">
        <v>40</v>
      </c>
      <c r="D3908">
        <v>3.9916990000000001</v>
      </c>
      <c r="E3908">
        <v>0.55456159999999999</v>
      </c>
      <c r="F3908" t="s">
        <v>47</v>
      </c>
      <c r="G3908">
        <v>-285.64049999999997</v>
      </c>
      <c r="H3908" s="1">
        <v>4.5817319999999997E-6</v>
      </c>
      <c r="I3908">
        <v>214.68199999999999</v>
      </c>
      <c r="J3908">
        <v>-304.95269999999999</v>
      </c>
      <c r="K3908">
        <v>1.1104290000000001</v>
      </c>
      <c r="L3908">
        <v>215.2218</v>
      </c>
      <c r="M3908">
        <v>0.99972530000000004</v>
      </c>
      <c r="N3908">
        <v>-1.519676E-2</v>
      </c>
      <c r="O3908">
        <v>1.7849259999999999E-2</v>
      </c>
      <c r="P3908">
        <v>0.95481780000000005</v>
      </c>
      <c r="Q3908">
        <v>0.28684009999999999</v>
      </c>
      <c r="R3908">
        <v>7.7755309999999994E-2</v>
      </c>
      <c r="S3908">
        <v>3.204437</v>
      </c>
      <c r="T3908">
        <v>-0.1819849</v>
      </c>
      <c r="U3908">
        <v>-8.7768550000000001E-2</v>
      </c>
      <c r="V3908">
        <v>-6.0656139999999997E-2</v>
      </c>
      <c r="W3908">
        <v>0.30134429999999901</v>
      </c>
      <c r="X3908">
        <v>0.95158419999999999</v>
      </c>
      <c r="Y3908">
        <v>4.5112149999999997E-2</v>
      </c>
      <c r="Z3908">
        <v>-2.3645889999999998E-3</v>
      </c>
      <c r="AA3908">
        <v>0.99897919999999996</v>
      </c>
      <c r="AB3908">
        <v>41</v>
      </c>
      <c r="AC3908">
        <v>19.312200000000001</v>
      </c>
      <c r="AD3908">
        <v>-1.1104244182680001</v>
      </c>
      <c r="AE3908">
        <v>-0.53979999999998496</v>
      </c>
      <c r="AF3908">
        <v>0.88155002970466201</v>
      </c>
      <c r="AG3908">
        <v>-1.1104244182680001</v>
      </c>
      <c r="AH3908">
        <v>19.235940427725598</v>
      </c>
      <c r="AI3908">
        <v>93.300364650615094</v>
      </c>
      <c r="AJ3908">
        <v>87.376069001901399</v>
      </c>
      <c r="AK3908">
        <v>19.288120099754799</v>
      </c>
      <c r="AL3908">
        <v>72.461637604253497</v>
      </c>
      <c r="AM3908">
        <v>93.647228910893006</v>
      </c>
      <c r="AN3908">
        <v>1.00000002207591</v>
      </c>
    </row>
    <row r="3909" spans="1:40" x14ac:dyDescent="0.25">
      <c r="A3909" t="str">
        <f>"20190304164929562"</f>
        <v>20190304164929562</v>
      </c>
      <c r="B3909" t="str">
        <f>"1551689369549890"</f>
        <v>1551689369549890</v>
      </c>
      <c r="C3909" t="s">
        <v>40</v>
      </c>
      <c r="D3909">
        <v>3.9566870000000001</v>
      </c>
      <c r="E3909">
        <v>0.55436739999999995</v>
      </c>
      <c r="F3909" t="s">
        <v>47</v>
      </c>
      <c r="G3909">
        <v>-285.57429999999999</v>
      </c>
      <c r="H3909" s="1">
        <v>4.6104589999999997E-6</v>
      </c>
      <c r="I3909">
        <v>214.6874</v>
      </c>
      <c r="J3909">
        <v>-304.65699999999998</v>
      </c>
      <c r="K3909">
        <v>1.1104290000000001</v>
      </c>
      <c r="L3909">
        <v>215.22710000000001</v>
      </c>
      <c r="M3909">
        <v>0.9997258</v>
      </c>
      <c r="N3909">
        <v>-1.519334E-2</v>
      </c>
      <c r="O3909">
        <v>1.7822890000000001E-2</v>
      </c>
      <c r="P3909">
        <v>0.95482219999999995</v>
      </c>
      <c r="Q3909">
        <v>0.28677520000000001</v>
      </c>
      <c r="R3909">
        <v>7.7938690000000005E-2</v>
      </c>
      <c r="S3909">
        <v>3.2043149999999998</v>
      </c>
      <c r="T3909">
        <v>-0.18361440000000001</v>
      </c>
      <c r="U3909">
        <v>-8.8363650000000002E-2</v>
      </c>
      <c r="V3909">
        <v>-6.0863960000000002E-2</v>
      </c>
      <c r="W3909">
        <v>0.30127690000000001</v>
      </c>
      <c r="X3909">
        <v>0.95159229999999995</v>
      </c>
      <c r="Y3909">
        <v>4.5270060000000001E-2</v>
      </c>
      <c r="Z3909">
        <v>-2.3897699999999998E-3</v>
      </c>
      <c r="AA3909">
        <v>0.99897190000000002</v>
      </c>
      <c r="AB3909">
        <v>41</v>
      </c>
      <c r="AC3909">
        <v>19.0826999999999</v>
      </c>
      <c r="AD3909">
        <v>-1.110424389541</v>
      </c>
      <c r="AE3909">
        <v>-0.53970000000000995</v>
      </c>
      <c r="AF3909">
        <v>0.87679581466241996</v>
      </c>
      <c r="AG3909">
        <v>-1.110424389541</v>
      </c>
      <c r="AH3909">
        <v>19.0057443729219</v>
      </c>
      <c r="AI3909">
        <v>93.340201718512503</v>
      </c>
      <c r="AJ3909">
        <v>87.358635104884002</v>
      </c>
      <c r="AK3909">
        <v>19.058334984839298</v>
      </c>
      <c r="AL3909">
        <v>72.465688040074696</v>
      </c>
      <c r="AM3909">
        <v>93.659660073024398</v>
      </c>
      <c r="AN3909">
        <v>1.0000000487598799</v>
      </c>
    </row>
    <row r="3910" spans="1:40" x14ac:dyDescent="0.25">
      <c r="A3910" t="str">
        <f>"20190304164929586"</f>
        <v>20190304164929586</v>
      </c>
      <c r="B3910" t="str">
        <f>"1551689369580146"</f>
        <v>1551689369580146</v>
      </c>
      <c r="C3910" t="s">
        <v>40</v>
      </c>
      <c r="D3910">
        <v>3.938399</v>
      </c>
      <c r="E3910">
        <v>0.55443889999999996</v>
      </c>
      <c r="F3910" t="s">
        <v>47</v>
      </c>
      <c r="G3910">
        <v>-285.16410000000002</v>
      </c>
      <c r="H3910" s="1">
        <v>4.79131E-6</v>
      </c>
      <c r="I3910">
        <v>214.69640000000001</v>
      </c>
      <c r="J3910">
        <v>-304.22070000000002</v>
      </c>
      <c r="K3910">
        <v>1.1104229999999999</v>
      </c>
      <c r="L3910">
        <v>215.23480000000001</v>
      </c>
      <c r="M3910">
        <v>0.99972649999999996</v>
      </c>
      <c r="N3910">
        <v>-1.518829E-2</v>
      </c>
      <c r="O3910">
        <v>1.7784009999999999E-2</v>
      </c>
      <c r="P3910">
        <v>0.95492129999999997</v>
      </c>
      <c r="Q3910">
        <v>0.28638029999999998</v>
      </c>
      <c r="R3910">
        <v>7.8177170000000004E-2</v>
      </c>
      <c r="S3910">
        <v>3.2039179999999998</v>
      </c>
      <c r="T3910">
        <v>-0.1825135</v>
      </c>
      <c r="U3910">
        <v>-8.7234500000000006E-2</v>
      </c>
      <c r="V3910">
        <v>-6.1138369999999997E-2</v>
      </c>
      <c r="W3910">
        <v>0.300878599999999</v>
      </c>
      <c r="X3910">
        <v>0.95170069999999996</v>
      </c>
      <c r="Y3910">
        <v>4.4884859999999999E-2</v>
      </c>
      <c r="Z3910">
        <v>-2.360656E-3</v>
      </c>
      <c r="AA3910">
        <v>0.99898940000000003</v>
      </c>
      <c r="AB3910">
        <v>41</v>
      </c>
      <c r="AC3910">
        <v>19.0566</v>
      </c>
      <c r="AD3910">
        <v>-1.1104182086900001</v>
      </c>
      <c r="AE3910">
        <v>-0.53839999999999499</v>
      </c>
      <c r="AF3910">
        <v>0.87429055034032499</v>
      </c>
      <c r="AG3910">
        <v>-1.1104182086900001</v>
      </c>
      <c r="AH3910">
        <v>18.979618806441898</v>
      </c>
      <c r="AI3910">
        <v>93.344781035172801</v>
      </c>
      <c r="AJ3910">
        <v>87.3625512550351</v>
      </c>
      <c r="AK3910">
        <v>19.0321659987099</v>
      </c>
      <c r="AL3910">
        <v>72.489618983624794</v>
      </c>
      <c r="AM3910">
        <v>93.675697231495505</v>
      </c>
      <c r="AN3910">
        <v>1.0000000273023499</v>
      </c>
    </row>
    <row r="3911" spans="1:40" x14ac:dyDescent="0.25">
      <c r="A3911" t="str">
        <f>"20190304164929600"</f>
        <v>20190304164929600</v>
      </c>
      <c r="B3911" t="str">
        <f>"1551689369589906"</f>
        <v>1551689369589906</v>
      </c>
      <c r="C3911" t="s">
        <v>40</v>
      </c>
      <c r="D3911">
        <v>3.9394480000000001</v>
      </c>
      <c r="E3911">
        <v>0.55457440000000002</v>
      </c>
      <c r="F3911" t="s">
        <v>47</v>
      </c>
      <c r="G3911">
        <v>-284.57440000000003</v>
      </c>
      <c r="H3911" s="1">
        <v>5.0529469999999998E-6</v>
      </c>
      <c r="I3911">
        <v>214.6953</v>
      </c>
      <c r="J3911">
        <v>-303.9742</v>
      </c>
      <c r="K3911">
        <v>1.1104290000000001</v>
      </c>
      <c r="L3911">
        <v>215.23920000000001</v>
      </c>
      <c r="M3911">
        <v>0.99972700000000003</v>
      </c>
      <c r="N3911">
        <v>-1.518545E-2</v>
      </c>
      <c r="O3911">
        <v>1.776198E-2</v>
      </c>
      <c r="P3911">
        <v>0.95500459999999998</v>
      </c>
      <c r="Q3911">
        <v>0.286084</v>
      </c>
      <c r="R3911">
        <v>7.8244750000000002E-2</v>
      </c>
      <c r="S3911">
        <v>3.2030940000000001</v>
      </c>
      <c r="T3911">
        <v>-0.18104049999999999</v>
      </c>
      <c r="U3911">
        <v>-8.7966920000000004E-2</v>
      </c>
      <c r="V3911">
        <v>-6.1225630000000003E-2</v>
      </c>
      <c r="W3911">
        <v>0.30058069999999998</v>
      </c>
      <c r="X3911">
        <v>0.9517892</v>
      </c>
      <c r="Y3911">
        <v>4.5099300000000002E-2</v>
      </c>
      <c r="Z3911">
        <v>-2.349542E-3</v>
      </c>
      <c r="AA3911">
        <v>0.99897970000000003</v>
      </c>
      <c r="AB3911">
        <v>41</v>
      </c>
      <c r="AC3911">
        <v>19.3997999999999</v>
      </c>
      <c r="AD3911">
        <v>-1.110423947053</v>
      </c>
      <c r="AE3911">
        <v>-0.54390000000000704</v>
      </c>
      <c r="AF3911">
        <v>0.88553375294602299</v>
      </c>
      <c r="AG3911">
        <v>-1.110423947053</v>
      </c>
      <c r="AH3911">
        <v>19.323816181091399</v>
      </c>
      <c r="AI3911">
        <v>93.285388020702101</v>
      </c>
      <c r="AJ3911">
        <v>87.376197625474703</v>
      </c>
      <c r="AK3911">
        <v>19.375940833167501</v>
      </c>
      <c r="AL3911">
        <v>72.507515505583498</v>
      </c>
      <c r="AM3911">
        <v>93.680587651003194</v>
      </c>
      <c r="AN3911">
        <v>1.0000000081090099</v>
      </c>
    </row>
    <row r="3912" spans="1:40" x14ac:dyDescent="0.25">
      <c r="A3912" t="str">
        <f>"20190304164929615"</f>
        <v>20190304164929615</v>
      </c>
      <c r="B3912" t="str">
        <f>"1551689369609426"</f>
        <v>1551689369609426</v>
      </c>
      <c r="C3912" t="s">
        <v>40</v>
      </c>
      <c r="D3912">
        <v>4.0369400000000004</v>
      </c>
      <c r="E3912">
        <v>0.55455429999999994</v>
      </c>
      <c r="F3912" t="s">
        <v>47</v>
      </c>
      <c r="G3912">
        <v>-284.34800000000001</v>
      </c>
      <c r="H3912" s="1">
        <v>5.1532260000000004E-6</v>
      </c>
      <c r="I3912">
        <v>214.69640000000001</v>
      </c>
      <c r="J3912">
        <v>-303.69819999999999</v>
      </c>
      <c r="K3912">
        <v>1.1104309999999999</v>
      </c>
      <c r="L3912">
        <v>215.2441</v>
      </c>
      <c r="M3912">
        <v>0.99972749999999999</v>
      </c>
      <c r="N3912">
        <v>-1.5182279999999999E-2</v>
      </c>
      <c r="O3912">
        <v>1.773709E-2</v>
      </c>
      <c r="P3912">
        <v>0.95491139999999997</v>
      </c>
      <c r="Q3912">
        <v>0.28641630000000001</v>
      </c>
      <c r="R3912">
        <v>7.816766E-2</v>
      </c>
      <c r="S3912">
        <v>3.2028810000000001</v>
      </c>
      <c r="T3912">
        <v>-0.18121370000000001</v>
      </c>
      <c r="U3912">
        <v>-8.857727E-2</v>
      </c>
      <c r="V3912">
        <v>-6.1173610000000003E-2</v>
      </c>
      <c r="W3912">
        <v>0.30090869999999997</v>
      </c>
      <c r="X3912">
        <v>0.95168889999999995</v>
      </c>
      <c r="Y3912">
        <v>4.5265949999999999E-2</v>
      </c>
      <c r="Z3912">
        <v>-2.3567969999999999E-3</v>
      </c>
      <c r="AA3912">
        <v>0.99897219999999998</v>
      </c>
      <c r="AB3912">
        <v>41</v>
      </c>
      <c r="AC3912">
        <v>19.350199999999901</v>
      </c>
      <c r="AD3912">
        <v>-1.110425846774</v>
      </c>
      <c r="AE3912">
        <v>-0.54769999999999097</v>
      </c>
      <c r="AF3912">
        <v>0.88794780745463497</v>
      </c>
      <c r="AG3912">
        <v>-1.110425846774</v>
      </c>
      <c r="AH3912">
        <v>19.2740185660134</v>
      </c>
      <c r="AI3912">
        <v>93.293826604580403</v>
      </c>
      <c r="AJ3912">
        <v>87.362267017876306</v>
      </c>
      <c r="AK3912">
        <v>19.3263883991028</v>
      </c>
      <c r="AL3912">
        <v>72.487810250153899</v>
      </c>
      <c r="AM3912">
        <v>93.677855556733107</v>
      </c>
      <c r="AN3912">
        <v>1.0000000093396599</v>
      </c>
    </row>
    <row r="3913" spans="1:40" x14ac:dyDescent="0.25">
      <c r="A3913" t="str">
        <f>"20190304164929631"</f>
        <v>20190304164929631</v>
      </c>
      <c r="B3913" t="str">
        <f>"1551689369619694"</f>
        <v>1551689369619694</v>
      </c>
      <c r="C3913" t="s">
        <v>40</v>
      </c>
      <c r="D3913">
        <v>3.9080949999999999</v>
      </c>
      <c r="E3913">
        <v>0.55458030000000003</v>
      </c>
      <c r="F3913" t="s">
        <v>47</v>
      </c>
      <c r="G3913">
        <v>-283.8655</v>
      </c>
      <c r="H3913" s="1">
        <v>5.3668750000000002E-6</v>
      </c>
      <c r="I3913">
        <v>214.69880000000001</v>
      </c>
      <c r="J3913">
        <v>-303.4239</v>
      </c>
      <c r="K3913">
        <v>1.1104350000000001</v>
      </c>
      <c r="L3913">
        <v>215.24889999999999</v>
      </c>
      <c r="M3913">
        <v>0.99972799999999995</v>
      </c>
      <c r="N3913">
        <v>-1.5179120000000001E-2</v>
      </c>
      <c r="O3913">
        <v>1.7712740000000001E-2</v>
      </c>
      <c r="P3913">
        <v>0.95493819999999996</v>
      </c>
      <c r="Q3913">
        <v>0.28639379999999998</v>
      </c>
      <c r="R3913">
        <v>7.7922050000000007E-2</v>
      </c>
      <c r="S3913">
        <v>3.2026370000000002</v>
      </c>
      <c r="T3913">
        <v>-0.1793149</v>
      </c>
      <c r="U3913">
        <v>-8.805847E-2</v>
      </c>
      <c r="V3913">
        <v>-6.0951320000000003E-2</v>
      </c>
      <c r="W3913">
        <v>0.30088320000000002</v>
      </c>
      <c r="X3913">
        <v>0.95171119999999998</v>
      </c>
      <c r="Y3913">
        <v>4.5084539999999999E-2</v>
      </c>
      <c r="Z3913">
        <v>-2.3256290000000001E-3</v>
      </c>
      <c r="AA3913">
        <v>0.99898050000000005</v>
      </c>
      <c r="AB3913">
        <v>41</v>
      </c>
      <c r="AC3913">
        <v>19.558399999999999</v>
      </c>
      <c r="AD3913">
        <v>-1.1104296331250001</v>
      </c>
      <c r="AE3913">
        <v>-0.55009999999998604</v>
      </c>
      <c r="AF3913">
        <v>0.89360822346145397</v>
      </c>
      <c r="AG3913">
        <v>-1.1104296331250001</v>
      </c>
      <c r="AH3913">
        <v>19.482834508833601</v>
      </c>
      <c r="AI3913">
        <v>93.258641442796403</v>
      </c>
      <c r="AJ3913">
        <v>87.373887186521301</v>
      </c>
      <c r="AK3913">
        <v>19.534902869626901</v>
      </c>
      <c r="AL3913">
        <v>72.489341866959805</v>
      </c>
      <c r="AM3913">
        <v>93.664441976356997</v>
      </c>
      <c r="AN3913">
        <v>0.99999998582871097</v>
      </c>
    </row>
    <row r="3914" spans="1:40" x14ac:dyDescent="0.25">
      <c r="A3914" t="str">
        <f>"20190304164929652"</f>
        <v>20190304164929652</v>
      </c>
      <c r="B3914" t="str">
        <f>"1551689369640189"</f>
        <v>1551689369640189</v>
      </c>
      <c r="C3914" t="s">
        <v>40</v>
      </c>
      <c r="D3914">
        <v>3.9211100000000001</v>
      </c>
      <c r="E3914">
        <v>0.55460549999999997</v>
      </c>
      <c r="F3914" t="s">
        <v>47</v>
      </c>
      <c r="G3914">
        <v>-283.50799999999998</v>
      </c>
      <c r="H3914" s="1">
        <v>5.525083E-6</v>
      </c>
      <c r="I3914">
        <v>214.70160000000001</v>
      </c>
      <c r="J3914">
        <v>-303.02769999999998</v>
      </c>
      <c r="K3914">
        <v>1.1104350000000001</v>
      </c>
      <c r="L3914">
        <v>215.2559</v>
      </c>
      <c r="M3914">
        <v>0.99972870000000003</v>
      </c>
      <c r="N3914">
        <v>-1.517456E-2</v>
      </c>
      <c r="O3914">
        <v>1.7677200000000001E-2</v>
      </c>
      <c r="P3914">
        <v>0.95511849999999998</v>
      </c>
      <c r="Q3914">
        <v>0.28577770000000002</v>
      </c>
      <c r="R3914">
        <v>7.7974710000000003E-2</v>
      </c>
      <c r="S3914">
        <v>3.2023009999999998</v>
      </c>
      <c r="T3914">
        <v>-0.1785477</v>
      </c>
      <c r="U3914">
        <v>-8.8012699999999999E-2</v>
      </c>
      <c r="V3914">
        <v>-6.103455E-2</v>
      </c>
      <c r="W3914">
        <v>0.30026560000000002</v>
      </c>
      <c r="X3914">
        <v>0.95190090000000005</v>
      </c>
      <c r="Y3914">
        <v>4.5038580000000002E-2</v>
      </c>
      <c r="Z3914">
        <v>-2.313149E-3</v>
      </c>
      <c r="AA3914">
        <v>0.9989825</v>
      </c>
      <c r="AB3914">
        <v>41</v>
      </c>
      <c r="AC3914">
        <v>19.5197</v>
      </c>
      <c r="AD3914">
        <v>-1.1104294749169901</v>
      </c>
      <c r="AE3914">
        <v>-0.55429999999998303</v>
      </c>
      <c r="AF3914">
        <v>0.89640808415959305</v>
      </c>
      <c r="AG3914">
        <v>-1.1104294749169901</v>
      </c>
      <c r="AH3914">
        <v>19.443975728041998</v>
      </c>
      <c r="AI3914">
        <v>93.265104064278006</v>
      </c>
      <c r="AJ3914">
        <v>87.360413333017107</v>
      </c>
      <c r="AK3914">
        <v>19.496276392808898</v>
      </c>
      <c r="AL3914">
        <v>72.526443363337606</v>
      </c>
      <c r="AM3914">
        <v>93.668702901220996</v>
      </c>
      <c r="AN3914">
        <v>0.99999998512893595</v>
      </c>
    </row>
    <row r="3915" spans="1:40" x14ac:dyDescent="0.25">
      <c r="A3915" t="str">
        <f>"20190304164929668"</f>
        <v>20190304164929668</v>
      </c>
      <c r="B3915" t="str">
        <f>"1551689369659711"</f>
        <v>1551689369659711</v>
      </c>
      <c r="C3915" t="s">
        <v>40</v>
      </c>
      <c r="D3915">
        <v>3.943711</v>
      </c>
      <c r="E3915">
        <v>0.55468130000000004</v>
      </c>
      <c r="F3915" t="s">
        <v>47</v>
      </c>
      <c r="G3915">
        <v>-283.0917</v>
      </c>
      <c r="H3915" s="1">
        <v>5.7091819999999901E-6</v>
      </c>
      <c r="I3915">
        <v>214.70609999999999</v>
      </c>
      <c r="J3915">
        <v>-302.73469999999998</v>
      </c>
      <c r="K3915">
        <v>1.1104369999999999</v>
      </c>
      <c r="L3915">
        <v>215.2611</v>
      </c>
      <c r="M3915">
        <v>0.99972919999999998</v>
      </c>
      <c r="N3915">
        <v>-1.5171199999999999E-2</v>
      </c>
      <c r="O3915">
        <v>1.765094E-2</v>
      </c>
      <c r="P3915">
        <v>0.95522289999999999</v>
      </c>
      <c r="Q3915">
        <v>0.28538780000000002</v>
      </c>
      <c r="R3915">
        <v>7.8123509999999993E-2</v>
      </c>
      <c r="S3915">
        <v>3.2015380000000002</v>
      </c>
      <c r="T3915">
        <v>-0.17832419999999999</v>
      </c>
      <c r="U3915">
        <v>-8.8302610000000004E-2</v>
      </c>
      <c r="V3915">
        <v>-6.1206759999999999E-2</v>
      </c>
      <c r="W3915">
        <v>0.29987439999999999</v>
      </c>
      <c r="X3915">
        <v>0.9520132</v>
      </c>
      <c r="Y3915">
        <v>4.5109370000000003E-2</v>
      </c>
      <c r="Z3915">
        <v>-2.312307E-3</v>
      </c>
      <c r="AA3915">
        <v>0.99897939999999996</v>
      </c>
      <c r="AB3915">
        <v>41</v>
      </c>
      <c r="AC3915">
        <v>19.642999999999901</v>
      </c>
      <c r="AD3915">
        <v>-1.1104312908180001</v>
      </c>
      <c r="AE3915">
        <v>-0.55500000000000604</v>
      </c>
      <c r="AF3915">
        <v>0.89880078737301505</v>
      </c>
      <c r="AG3915">
        <v>-1.1104312908180001</v>
      </c>
      <c r="AH3915">
        <v>19.5676589763758</v>
      </c>
      <c r="AI3915">
        <v>93.244540665557494</v>
      </c>
      <c r="AJ3915">
        <v>87.370082928401402</v>
      </c>
      <c r="AK3915">
        <v>19.619739507005399</v>
      </c>
      <c r="AL3915">
        <v>72.549941050877194</v>
      </c>
      <c r="AM3915">
        <v>93.678593029901606</v>
      </c>
      <c r="AN3915">
        <v>1.0000000281096399</v>
      </c>
    </row>
    <row r="3916" spans="1:40" x14ac:dyDescent="0.25">
      <c r="A3916" t="str">
        <f>"20190304164929682"</f>
        <v>20190304164929682</v>
      </c>
      <c r="B3916" t="str">
        <f>"1551689369670446"</f>
        <v>1551689369670446</v>
      </c>
      <c r="C3916" t="s">
        <v>40</v>
      </c>
      <c r="D3916">
        <v>3.8859840000000001</v>
      </c>
      <c r="E3916">
        <v>0.55471309999999996</v>
      </c>
      <c r="F3916" t="s">
        <v>47</v>
      </c>
      <c r="G3916">
        <v>-282.65730000000002</v>
      </c>
      <c r="H3916" s="1">
        <v>5.9024959999999997E-6</v>
      </c>
      <c r="I3916">
        <v>214.70009999999999</v>
      </c>
      <c r="J3916">
        <v>-302.49259999999998</v>
      </c>
      <c r="K3916">
        <v>1.110436</v>
      </c>
      <c r="L3916">
        <v>215.2653</v>
      </c>
      <c r="M3916">
        <v>0.9997296</v>
      </c>
      <c r="N3916">
        <v>-1.516843E-2</v>
      </c>
      <c r="O3916">
        <v>1.7629269999999999E-2</v>
      </c>
      <c r="P3916">
        <v>0.95526920000000004</v>
      </c>
      <c r="Q3916">
        <v>0.28533940000000002</v>
      </c>
      <c r="R3916">
        <v>7.7733620000000003E-2</v>
      </c>
      <c r="S3916">
        <v>3.2008359999999998</v>
      </c>
      <c r="T3916">
        <v>-0.17703089999999999</v>
      </c>
      <c r="U3916">
        <v>-8.9431759999999999E-2</v>
      </c>
      <c r="V3916">
        <v>-6.0836889999999998E-2</v>
      </c>
      <c r="W3916">
        <v>0.29982389999999998</v>
      </c>
      <c r="X3916">
        <v>0.95205280000000003</v>
      </c>
      <c r="Y3916">
        <v>4.5446630000000002E-2</v>
      </c>
      <c r="Z3916">
        <v>-2.3075750000000001E-3</v>
      </c>
      <c r="AA3916">
        <v>0.99896410000000002</v>
      </c>
      <c r="AB3916">
        <v>41</v>
      </c>
      <c r="AC3916">
        <v>19.835299999999901</v>
      </c>
      <c r="AD3916">
        <v>-1.110430097504</v>
      </c>
      <c r="AE3916">
        <v>-0.56520000000000403</v>
      </c>
      <c r="AF3916">
        <v>0.91197835148324402</v>
      </c>
      <c r="AG3916">
        <v>-1.110430097504</v>
      </c>
      <c r="AH3916">
        <v>19.760371918836299</v>
      </c>
      <c r="AI3916">
        <v>93.212929222854697</v>
      </c>
      <c r="AJ3916">
        <v>87.357567009058698</v>
      </c>
      <c r="AK3916">
        <v>19.812547990749501</v>
      </c>
      <c r="AL3916">
        <v>72.552973829581205</v>
      </c>
      <c r="AM3916">
        <v>93.6562722532111</v>
      </c>
      <c r="AN3916">
        <v>1.00000001609196</v>
      </c>
    </row>
    <row r="3917" spans="1:40" x14ac:dyDescent="0.25">
      <c r="A3917" t="str">
        <f>"20190304164929697"</f>
        <v>20190304164929697</v>
      </c>
      <c r="B3917" t="str">
        <f>"1551689369689965"</f>
        <v>1551689369689965</v>
      </c>
      <c r="C3917" t="s">
        <v>40</v>
      </c>
      <c r="D3917">
        <v>3.9209930000000002</v>
      </c>
      <c r="E3917">
        <v>0.55482529999999997</v>
      </c>
      <c r="F3917" t="s">
        <v>47</v>
      </c>
      <c r="G3917">
        <v>-282.26609999999999</v>
      </c>
      <c r="H3917" s="1">
        <v>6.0774719999999999E-6</v>
      </c>
      <c r="I3917">
        <v>214.68770000000001</v>
      </c>
      <c r="J3917">
        <v>-302.20249999999999</v>
      </c>
      <c r="K3917">
        <v>1.1104350000000001</v>
      </c>
      <c r="L3917">
        <v>215.2704</v>
      </c>
      <c r="M3917">
        <v>0.99973009999999995</v>
      </c>
      <c r="N3917">
        <v>-1.5165110000000001E-2</v>
      </c>
      <c r="O3917">
        <v>1.760343E-2</v>
      </c>
      <c r="P3917">
        <v>0.95537499999999997</v>
      </c>
      <c r="Q3917">
        <v>0.28500589999999998</v>
      </c>
      <c r="R3917">
        <v>7.7656050000000004E-2</v>
      </c>
      <c r="S3917">
        <v>3.2003780000000002</v>
      </c>
      <c r="T3917">
        <v>-0.17569979999999999</v>
      </c>
      <c r="U3917">
        <v>-9.1400149999999999E-2</v>
      </c>
      <c r="V3917">
        <v>-6.0782320000000001E-2</v>
      </c>
      <c r="W3917">
        <v>0.29948859999999999</v>
      </c>
      <c r="X3917">
        <v>0.95216179999999995</v>
      </c>
      <c r="Y3917">
        <v>4.603906E-2</v>
      </c>
      <c r="Z3917">
        <v>-2.310833E-3</v>
      </c>
      <c r="AA3917">
        <v>0.99893699999999996</v>
      </c>
      <c r="AB3917">
        <v>41</v>
      </c>
      <c r="AC3917">
        <v>19.9363999999999</v>
      </c>
      <c r="AD3917">
        <v>-1.110428922528</v>
      </c>
      <c r="AE3917">
        <v>-0.58269999999998801</v>
      </c>
      <c r="AF3917">
        <v>0.93071413121772195</v>
      </c>
      <c r="AG3917">
        <v>-1.110428922528</v>
      </c>
      <c r="AH3917">
        <v>19.861487096355098</v>
      </c>
      <c r="AI3917">
        <v>93.196497917658903</v>
      </c>
      <c r="AJ3917">
        <v>87.317068444938002</v>
      </c>
      <c r="AK3917">
        <v>19.914265009402602</v>
      </c>
      <c r="AL3917">
        <v>72.573110195523498</v>
      </c>
      <c r="AM3917">
        <v>93.652584452813102</v>
      </c>
      <c r="AN3917">
        <v>1.00000000266689</v>
      </c>
    </row>
    <row r="3918" spans="1:40" x14ac:dyDescent="0.25">
      <c r="A3918" t="str">
        <f>"20190304164929719"</f>
        <v>20190304164929719</v>
      </c>
      <c r="B3918" t="str">
        <f>"1551689369709485"</f>
        <v>1551689369709485</v>
      </c>
      <c r="C3918" t="s">
        <v>40</v>
      </c>
      <c r="D3918">
        <v>3.97831</v>
      </c>
      <c r="E3918">
        <v>0.55483649999999995</v>
      </c>
      <c r="F3918" t="s">
        <v>47</v>
      </c>
      <c r="G3918">
        <v>-281.81509999999997</v>
      </c>
      <c r="H3918" s="1">
        <v>6.2790390000000004E-6</v>
      </c>
      <c r="I3918">
        <v>214.6747</v>
      </c>
      <c r="J3918">
        <v>-301.81599999999997</v>
      </c>
      <c r="K3918">
        <v>1.110433</v>
      </c>
      <c r="L3918">
        <v>215.27719999999999</v>
      </c>
      <c r="M3918">
        <v>0.99973080000000003</v>
      </c>
      <c r="N3918">
        <v>-1.5160679999999999E-2</v>
      </c>
      <c r="O3918">
        <v>1.7568540000000001E-2</v>
      </c>
      <c r="P3918">
        <v>0.9554648</v>
      </c>
      <c r="Q3918">
        <v>0.28476469999999998</v>
      </c>
      <c r="R3918">
        <v>7.7434420000000004E-2</v>
      </c>
      <c r="S3918">
        <v>3.1997680000000002</v>
      </c>
      <c r="T3918">
        <v>-0.17427989999999999</v>
      </c>
      <c r="U3918">
        <v>-9.3505859999999996E-2</v>
      </c>
      <c r="V3918">
        <v>-6.0592380000000001E-2</v>
      </c>
      <c r="W3918">
        <v>0.29924479999999998</v>
      </c>
      <c r="X3918">
        <v>0.9522505</v>
      </c>
      <c r="Y3918">
        <v>4.6666829999999999E-2</v>
      </c>
      <c r="Z3918">
        <v>-2.3137040000000002E-3</v>
      </c>
      <c r="AA3918">
        <v>0.99890780000000001</v>
      </c>
      <c r="AB3918">
        <v>41</v>
      </c>
      <c r="AC3918">
        <v>20.000900000000001</v>
      </c>
      <c r="AD3918">
        <v>-1.1104267209609999</v>
      </c>
      <c r="AE3918">
        <v>-0.60249999999999204</v>
      </c>
      <c r="AF3918">
        <v>0.95090560201956498</v>
      </c>
      <c r="AG3918">
        <v>-1.1104267209609999</v>
      </c>
      <c r="AH3918">
        <v>19.925863486381299</v>
      </c>
      <c r="AI3918">
        <v>93.186056378992802</v>
      </c>
      <c r="AJ3918">
        <v>87.267793474037006</v>
      </c>
      <c r="AK3918">
        <v>19.979422029790602</v>
      </c>
      <c r="AL3918">
        <v>72.587749398416705</v>
      </c>
      <c r="AM3918">
        <v>93.640862909663099</v>
      </c>
      <c r="AN3918">
        <v>0.99999995079567505</v>
      </c>
    </row>
    <row r="3919" spans="1:40" x14ac:dyDescent="0.25">
      <c r="A3919" t="str">
        <f>"20190304164929734"</f>
        <v>20190304164929734</v>
      </c>
      <c r="B3919" t="str">
        <f>"1551689369729982"</f>
        <v>1551689369729982</v>
      </c>
      <c r="C3919" t="s">
        <v>40</v>
      </c>
      <c r="D3919">
        <v>3.9210449999999999</v>
      </c>
      <c r="E3919">
        <v>0.55481619999999998</v>
      </c>
      <c r="F3919" t="s">
        <v>47</v>
      </c>
      <c r="G3919">
        <v>-281.3877</v>
      </c>
      <c r="H3919" s="1">
        <v>6.4684739999999997E-6</v>
      </c>
      <c r="I3919">
        <v>214.6754</v>
      </c>
      <c r="J3919">
        <v>-301.53629999999998</v>
      </c>
      <c r="K3919">
        <v>1.110433</v>
      </c>
      <c r="L3919">
        <v>215.28210000000001</v>
      </c>
      <c r="M3919">
        <v>0.99973120000000004</v>
      </c>
      <c r="N3919">
        <v>-1.5157449999999999E-2</v>
      </c>
      <c r="O3919">
        <v>1.7543469999999999E-2</v>
      </c>
      <c r="P3919">
        <v>0.95543610000000001</v>
      </c>
      <c r="Q3919">
        <v>0.28489540000000002</v>
      </c>
      <c r="R3919">
        <v>7.7310309999999993E-2</v>
      </c>
      <c r="S3919">
        <v>3.199341</v>
      </c>
      <c r="T3919">
        <v>-0.17390729999999999</v>
      </c>
      <c r="U3919">
        <v>-9.4253539999999997E-2</v>
      </c>
      <c r="V3919">
        <v>-6.0493600000000002E-2</v>
      </c>
      <c r="W3919">
        <v>0.29937170000000002</v>
      </c>
      <c r="X3919">
        <v>0.95221690000000003</v>
      </c>
      <c r="Y3919">
        <v>4.6878929999999999E-2</v>
      </c>
      <c r="Z3919">
        <v>-2.3156100000000001E-3</v>
      </c>
      <c r="AA3919">
        <v>0.99889790000000001</v>
      </c>
      <c r="AB3919">
        <v>40</v>
      </c>
      <c r="AC3919">
        <v>20.148599999999899</v>
      </c>
      <c r="AD3919">
        <v>-1.110426531526</v>
      </c>
      <c r="AE3919">
        <v>-0.606700000000017</v>
      </c>
      <c r="AF3919">
        <v>0.95721883938863195</v>
      </c>
      <c r="AG3919">
        <v>-1.110426531526</v>
      </c>
      <c r="AH3919">
        <v>20.073937949843799</v>
      </c>
      <c r="AI3919">
        <v>93.162607565694003</v>
      </c>
      <c r="AJ3919">
        <v>87.269938400202705</v>
      </c>
      <c r="AK3919">
        <v>20.127401715138902</v>
      </c>
      <c r="AL3919">
        <v>72.580129349050694</v>
      </c>
      <c r="AM3919">
        <v>93.635071282005995</v>
      </c>
      <c r="AN3919">
        <v>0.99999995752372905</v>
      </c>
    </row>
    <row r="3920" spans="1:40" x14ac:dyDescent="0.25">
      <c r="A3920" t="str">
        <f>"20190304164929747"</f>
        <v>20190304164929747</v>
      </c>
      <c r="B3920" t="str">
        <f>"1551689369739741"</f>
        <v>1551689369739741</v>
      </c>
      <c r="C3920" t="s">
        <v>40</v>
      </c>
      <c r="D3920">
        <v>3.9425400000000002</v>
      </c>
      <c r="E3920">
        <v>0.55483340000000003</v>
      </c>
      <c r="F3920" t="s">
        <v>47</v>
      </c>
      <c r="G3920">
        <v>-281.01949999999999</v>
      </c>
      <c r="H3920" s="1">
        <v>6.631702E-6</v>
      </c>
      <c r="I3920">
        <v>214.67580000000001</v>
      </c>
      <c r="J3920">
        <v>-301.30889999999999</v>
      </c>
      <c r="K3920">
        <v>1.1104309999999999</v>
      </c>
      <c r="L3920">
        <v>215.2861</v>
      </c>
      <c r="M3920">
        <v>0.9997317</v>
      </c>
      <c r="N3920">
        <v>-1.51548E-2</v>
      </c>
      <c r="O3920">
        <v>1.7523770000000001E-2</v>
      </c>
      <c r="P3920">
        <v>0.95541129999999996</v>
      </c>
      <c r="Q3920">
        <v>0.2849778</v>
      </c>
      <c r="R3920">
        <v>7.7312370000000005E-2</v>
      </c>
      <c r="S3920">
        <v>3.199249</v>
      </c>
      <c r="T3920">
        <v>-0.17315229999999901</v>
      </c>
      <c r="U3920">
        <v>-9.4543459999999996E-2</v>
      </c>
      <c r="V3920">
        <v>-6.0514739999999997E-2</v>
      </c>
      <c r="W3920">
        <v>0.29945080000000002</v>
      </c>
      <c r="X3920">
        <v>0.95219069999999995</v>
      </c>
      <c r="Y3920">
        <v>4.695125E-2</v>
      </c>
      <c r="Z3920">
        <v>-2.3077409999999999E-3</v>
      </c>
      <c r="AA3920">
        <v>0.99889450000000002</v>
      </c>
      <c r="AB3920">
        <v>40</v>
      </c>
      <c r="AC3920">
        <v>20.289400000000001</v>
      </c>
      <c r="AD3920">
        <v>-1.110424368298</v>
      </c>
      <c r="AE3920">
        <v>-0.61029999999999496</v>
      </c>
      <c r="AF3920">
        <v>0.96291224173269796</v>
      </c>
      <c r="AG3920">
        <v>-1.110424368298</v>
      </c>
      <c r="AH3920">
        <v>20.2150923782837</v>
      </c>
      <c r="AI3920">
        <v>93.140570164346897</v>
      </c>
      <c r="AJ3920">
        <v>87.2728723244024</v>
      </c>
      <c r="AK3920">
        <v>20.2684533728041</v>
      </c>
      <c r="AL3920">
        <v>72.5753796073095</v>
      </c>
      <c r="AM3920">
        <v>93.636437967769993</v>
      </c>
      <c r="AN3920">
        <v>0.99999997227219795</v>
      </c>
    </row>
    <row r="3921" spans="1:40" x14ac:dyDescent="0.25">
      <c r="A3921" t="str">
        <f>"20190304164929759"</f>
        <v>20190304164929759</v>
      </c>
      <c r="B3921" t="str">
        <f>"1551689369749502"</f>
        <v>1551689369749502</v>
      </c>
      <c r="C3921" t="s">
        <v>40</v>
      </c>
      <c r="D3921">
        <v>3.982685</v>
      </c>
      <c r="E3921">
        <v>0.55479840000000002</v>
      </c>
      <c r="F3921" t="s">
        <v>47</v>
      </c>
      <c r="G3921">
        <v>-280.77229999999997</v>
      </c>
      <c r="H3921" s="1">
        <v>6.7411599999999997E-6</v>
      </c>
      <c r="I3921">
        <v>214.6773</v>
      </c>
      <c r="J3921">
        <v>-301.08679999999998</v>
      </c>
      <c r="K3921">
        <v>1.110425</v>
      </c>
      <c r="L3921">
        <v>215.29</v>
      </c>
      <c r="M3921">
        <v>0.99973210000000001</v>
      </c>
      <c r="N3921">
        <v>-1.5152219999999999E-2</v>
      </c>
      <c r="O3921">
        <v>1.7505090000000001E-2</v>
      </c>
      <c r="P3921">
        <v>0.95545100000000005</v>
      </c>
      <c r="Q3921">
        <v>0.28482619999999997</v>
      </c>
      <c r="R3921">
        <v>7.7377970000000004E-2</v>
      </c>
      <c r="S3921">
        <v>3.1992799999999999</v>
      </c>
      <c r="T3921">
        <v>-0.17298640000000001</v>
      </c>
      <c r="U3921">
        <v>-9.483337E-2</v>
      </c>
      <c r="V3921">
        <v>-6.0598159999999998E-2</v>
      </c>
      <c r="W3921">
        <v>0.29929749999999999</v>
      </c>
      <c r="X3921">
        <v>0.95223360000000001</v>
      </c>
      <c r="Y3921">
        <v>4.7022809999999998E-2</v>
      </c>
      <c r="Z3921">
        <v>-2.3073299999999998E-3</v>
      </c>
      <c r="AA3921">
        <v>0.99889119999999998</v>
      </c>
      <c r="AB3921">
        <v>40</v>
      </c>
      <c r="AC3921">
        <v>20.314499999999999</v>
      </c>
      <c r="AD3921">
        <v>-1.11041825884</v>
      </c>
      <c r="AE3921">
        <v>-0.61269999999998903</v>
      </c>
      <c r="AF3921">
        <v>0.96537224509323405</v>
      </c>
      <c r="AG3921">
        <v>-1.11041825884</v>
      </c>
      <c r="AH3921">
        <v>20.2402398475339</v>
      </c>
      <c r="AI3921">
        <v>93.136649455481006</v>
      </c>
      <c r="AJ3921">
        <v>87.269307559721298</v>
      </c>
      <c r="AK3921">
        <v>20.293651257643599</v>
      </c>
      <c r="AL3921">
        <v>72.584585394670398</v>
      </c>
      <c r="AM3921">
        <v>93.641273732228001</v>
      </c>
      <c r="AN3921">
        <v>0.99999997973529697</v>
      </c>
    </row>
    <row r="3922" spans="1:40" x14ac:dyDescent="0.25">
      <c r="A3922" t="str">
        <f>"20190304164929776"</f>
        <v>20190304164929776</v>
      </c>
      <c r="B3922" t="str">
        <f>"1551689369770004"</f>
        <v>1551689369770004</v>
      </c>
      <c r="C3922" t="s">
        <v>40</v>
      </c>
      <c r="D3922">
        <v>3.9168729999999998</v>
      </c>
      <c r="E3922">
        <v>0.55471210000000004</v>
      </c>
      <c r="F3922" t="s">
        <v>47</v>
      </c>
      <c r="G3922">
        <v>-280.5498</v>
      </c>
      <c r="H3922" s="1">
        <v>6.8392160000000001E-6</v>
      </c>
      <c r="I3922">
        <v>214.6824</v>
      </c>
      <c r="J3922">
        <v>-300.7817</v>
      </c>
      <c r="K3922">
        <v>1.110425</v>
      </c>
      <c r="L3922">
        <v>215.2953</v>
      </c>
      <c r="M3922">
        <v>0.99973239999999997</v>
      </c>
      <c r="N3922">
        <v>-1.5148689999999999E-2</v>
      </c>
      <c r="O3922">
        <v>1.74804E-2</v>
      </c>
      <c r="P3922">
        <v>0.95551799999999998</v>
      </c>
      <c r="Q3922">
        <v>0.28463430000000001</v>
      </c>
      <c r="R3922">
        <v>7.7257980000000004E-2</v>
      </c>
      <c r="S3922">
        <v>3.1991269999999998</v>
      </c>
      <c r="T3922">
        <v>-0.17297419999999999</v>
      </c>
      <c r="U3922">
        <v>-9.4635010000000006E-2</v>
      </c>
      <c r="V3922">
        <v>-6.0501680000000002E-2</v>
      </c>
      <c r="W3922">
        <v>0.2991028</v>
      </c>
      <c r="X3922">
        <v>0.95230090000000001</v>
      </c>
      <c r="Y3922">
        <v>4.6937850000000003E-2</v>
      </c>
      <c r="Z3922">
        <v>-2.30336E-3</v>
      </c>
      <c r="AA3922">
        <v>0.99889519999999998</v>
      </c>
      <c r="AB3922">
        <v>40</v>
      </c>
      <c r="AC3922">
        <v>20.2319</v>
      </c>
      <c r="AD3922">
        <v>-1.110418160784</v>
      </c>
      <c r="AE3922">
        <v>-0.612899999999996</v>
      </c>
      <c r="AF3922">
        <v>0.96360860969206197</v>
      </c>
      <c r="AG3922">
        <v>-1.110418160784</v>
      </c>
      <c r="AH3922">
        <v>20.157428247611399</v>
      </c>
      <c r="AI3922">
        <v>93.149493164430794</v>
      </c>
      <c r="AJ3922">
        <v>87.263107831533503</v>
      </c>
      <c r="AK3922">
        <v>20.210974335792699</v>
      </c>
      <c r="AL3922">
        <v>72.596276292530405</v>
      </c>
      <c r="AM3922">
        <v>93.635235685565902</v>
      </c>
      <c r="AN3922">
        <v>0.99999997119573503</v>
      </c>
    </row>
    <row r="3923" spans="1:40" x14ac:dyDescent="0.25">
      <c r="A3923" t="str">
        <f>"20190304164929791"</f>
        <v>20190304164929791</v>
      </c>
      <c r="B3923" t="str">
        <f>"1551689369779758"</f>
        <v>1551689369779758</v>
      </c>
      <c r="C3923" t="s">
        <v>40</v>
      </c>
      <c r="D3923">
        <v>3.9403670000000002</v>
      </c>
      <c r="E3923">
        <v>0.55468839999999997</v>
      </c>
      <c r="F3923" t="s">
        <v>47</v>
      </c>
      <c r="G3923">
        <v>-280.12900000000002</v>
      </c>
      <c r="H3923" s="1">
        <v>7.0252239999999897E-6</v>
      </c>
      <c r="I3923">
        <v>214.6874</v>
      </c>
      <c r="J3923">
        <v>-300.51209999999998</v>
      </c>
      <c r="K3923">
        <v>1.110428</v>
      </c>
      <c r="L3923">
        <v>215.3</v>
      </c>
      <c r="M3923">
        <v>0.99973290000000004</v>
      </c>
      <c r="N3923">
        <v>-1.514561E-2</v>
      </c>
      <c r="O3923">
        <v>1.7459410000000002E-2</v>
      </c>
      <c r="P3923">
        <v>0.95556580000000002</v>
      </c>
      <c r="Q3923">
        <v>0.28443410000000002</v>
      </c>
      <c r="R3923">
        <v>7.7404319999999999E-2</v>
      </c>
      <c r="S3923">
        <v>3.1984859999999999</v>
      </c>
      <c r="T3923">
        <v>-0.1719707</v>
      </c>
      <c r="U3923">
        <v>-9.4146729999999998E-2</v>
      </c>
      <c r="V3923">
        <v>-6.0667819999999997E-2</v>
      </c>
      <c r="W3923">
        <v>0.29890029999999901</v>
      </c>
      <c r="X3923">
        <v>0.95235400000000003</v>
      </c>
      <c r="Y3923">
        <v>4.6771840000000002E-2</v>
      </c>
      <c r="Z3923">
        <v>-2.2844380000000002E-3</v>
      </c>
      <c r="AA3923">
        <v>0.99890299999999999</v>
      </c>
      <c r="AB3923">
        <v>40</v>
      </c>
      <c r="AC3923">
        <v>20.383099999999899</v>
      </c>
      <c r="AD3923">
        <v>-1.1104209747760001</v>
      </c>
      <c r="AE3923">
        <v>-0.61260000000001402</v>
      </c>
      <c r="AF3923">
        <v>0.96556130140382301</v>
      </c>
      <c r="AG3923">
        <v>-1.1104209747760001</v>
      </c>
      <c r="AH3923">
        <v>20.3090765756947</v>
      </c>
      <c r="AI3923">
        <v>93.126069254726104</v>
      </c>
      <c r="AJ3923">
        <v>87.278017023000899</v>
      </c>
      <c r="AK3923">
        <v>20.362316536323199</v>
      </c>
      <c r="AL3923">
        <v>72.608436462438306</v>
      </c>
      <c r="AM3923">
        <v>93.644988612559899</v>
      </c>
      <c r="AN3923">
        <v>1.00000005751981</v>
      </c>
    </row>
    <row r="3924" spans="1:40" x14ac:dyDescent="0.25">
      <c r="A3924" t="str">
        <f>"20190304164929810"</f>
        <v>20190304164929810</v>
      </c>
      <c r="B3924" t="str">
        <f>"1551689369800253"</f>
        <v>1551689369800253</v>
      </c>
      <c r="C3924" t="s">
        <v>40</v>
      </c>
      <c r="D3924">
        <v>3.9869439999999998</v>
      </c>
      <c r="E3924">
        <v>0.55469789999999997</v>
      </c>
      <c r="F3924" t="s">
        <v>46</v>
      </c>
      <c r="G3924">
        <v>-279.87259999999998</v>
      </c>
      <c r="H3924" s="1">
        <v>3.7134720000000002E-6</v>
      </c>
      <c r="I3924">
        <v>214.69540000000001</v>
      </c>
      <c r="J3924">
        <v>-300.16969999999998</v>
      </c>
      <c r="K3924">
        <v>1.110433</v>
      </c>
      <c r="L3924">
        <v>215.30600000000001</v>
      </c>
      <c r="M3924">
        <v>0.99973350000000005</v>
      </c>
      <c r="N3924">
        <v>-1.5141689999999999E-2</v>
      </c>
      <c r="O3924">
        <v>1.74335999999999E-2</v>
      </c>
      <c r="P3924">
        <v>0.95565250000000002</v>
      </c>
      <c r="Q3924">
        <v>0.28408739999999999</v>
      </c>
      <c r="R3924">
        <v>7.7609150000000002E-2</v>
      </c>
      <c r="S3924">
        <v>3.1983030000000001</v>
      </c>
      <c r="T3924">
        <v>-0.1720719</v>
      </c>
      <c r="U3924">
        <v>-9.3688960000000002E-2</v>
      </c>
      <c r="V3924">
        <v>-6.0896859999999997E-2</v>
      </c>
      <c r="W3924">
        <v>0.29855130000000002</v>
      </c>
      <c r="X3924">
        <v>0.95244879999999998</v>
      </c>
      <c r="Y3924">
        <v>4.6605090000000002E-2</v>
      </c>
      <c r="Z3924">
        <v>-2.279091E-3</v>
      </c>
      <c r="AA3924">
        <v>0.99891079999999999</v>
      </c>
      <c r="AB3924">
        <v>40</v>
      </c>
      <c r="AC3924">
        <v>20.2971</v>
      </c>
      <c r="AD3924">
        <v>-1.1104292865279899</v>
      </c>
      <c r="AE3924">
        <v>-0.61059999999997605</v>
      </c>
      <c r="AF3924">
        <v>0.96152394081687698</v>
      </c>
      <c r="AG3924">
        <v>-1.1104292865279899</v>
      </c>
      <c r="AH3924">
        <v>20.2228950423873</v>
      </c>
      <c r="AI3924">
        <v>93.139387676208202</v>
      </c>
      <c r="AJ3924">
        <v>87.277847421452805</v>
      </c>
      <c r="AK3924">
        <v>20.276169889418401</v>
      </c>
      <c r="AL3924">
        <v>72.629388596163807</v>
      </c>
      <c r="AM3924">
        <v>93.658349103688593</v>
      </c>
      <c r="AN3924">
        <v>1.0000000114554899</v>
      </c>
    </row>
    <row r="3925" spans="1:40" x14ac:dyDescent="0.25">
      <c r="A3925" t="str">
        <f>"20190304164929833"</f>
        <v>20190304164929833</v>
      </c>
      <c r="B3925" t="str">
        <f>"1551689369819773"</f>
        <v>1551689369819773</v>
      </c>
      <c r="C3925" t="s">
        <v>40</v>
      </c>
      <c r="D3925">
        <v>3.9966940000000002</v>
      </c>
      <c r="E3925">
        <v>0.55471879999999996</v>
      </c>
      <c r="F3925" t="s">
        <v>46</v>
      </c>
      <c r="G3925">
        <v>-279.6737</v>
      </c>
      <c r="H3925" s="1">
        <v>3.606963E-6</v>
      </c>
      <c r="I3925">
        <v>214.71010000000001</v>
      </c>
      <c r="J3925">
        <v>-299.76859999999999</v>
      </c>
      <c r="K3925">
        <v>1.110441</v>
      </c>
      <c r="L3925">
        <v>215.31290000000001</v>
      </c>
      <c r="M3925">
        <v>0.99973400000000001</v>
      </c>
      <c r="N3925">
        <v>-1.5137100000000001E-2</v>
      </c>
      <c r="O3925">
        <v>1.74044E-2</v>
      </c>
      <c r="P3925">
        <v>0.95548750000000005</v>
      </c>
      <c r="Q3925">
        <v>0.28465489999999999</v>
      </c>
      <c r="R3925">
        <v>7.7558089999999996E-2</v>
      </c>
      <c r="S3925">
        <v>3.1982729999999999</v>
      </c>
      <c r="T3925">
        <v>-0.1732755</v>
      </c>
      <c r="U3925">
        <v>-9.2987059999999996E-2</v>
      </c>
      <c r="V3925">
        <v>-6.0877489999999999E-2</v>
      </c>
      <c r="W3925">
        <v>0.29911149999999997</v>
      </c>
      <c r="X3925">
        <v>0.95227430000000002</v>
      </c>
      <c r="Y3925">
        <v>4.6356309999999998E-2</v>
      </c>
      <c r="Z3925">
        <v>-2.2846310000000001E-3</v>
      </c>
      <c r="AA3925">
        <v>0.99892230000000004</v>
      </c>
      <c r="AB3925">
        <v>40</v>
      </c>
      <c r="AC3925">
        <v>20.094899999999999</v>
      </c>
      <c r="AD3925">
        <v>-1.110437393037</v>
      </c>
      <c r="AE3925">
        <v>-0.602800000000002</v>
      </c>
      <c r="AF3925">
        <v>0.94959131276500097</v>
      </c>
      <c r="AG3925">
        <v>-1.110437393037</v>
      </c>
      <c r="AH3925">
        <v>20.0202834126125</v>
      </c>
      <c r="AI3925">
        <v>93.171135082349906</v>
      </c>
      <c r="AJ3925">
        <v>87.2844126469477</v>
      </c>
      <c r="AK3925">
        <v>20.073528408988299</v>
      </c>
      <c r="AL3925">
        <v>72.595755325312695</v>
      </c>
      <c r="AM3925">
        <v>93.657856963127003</v>
      </c>
      <c r="AN3925">
        <v>1.00000005033071</v>
      </c>
    </row>
    <row r="3926" spans="1:40" x14ac:dyDescent="0.25">
      <c r="A3926" t="str">
        <f>"20190304164929854"</f>
        <v>20190304164929854</v>
      </c>
      <c r="B3926" t="str">
        <f>"1551689369850030"</f>
        <v>1551689369850030</v>
      </c>
      <c r="C3926" t="s">
        <v>40</v>
      </c>
      <c r="D3926">
        <v>4.0318050000000003</v>
      </c>
      <c r="E3926">
        <v>0.55472089999999996</v>
      </c>
      <c r="F3926" t="s">
        <v>46</v>
      </c>
      <c r="G3926">
        <v>-279.02069999999998</v>
      </c>
      <c r="H3926" s="1">
        <v>3.259495E-6</v>
      </c>
      <c r="I3926">
        <v>214.70910000000001</v>
      </c>
      <c r="J3926">
        <v>-299.37349999999998</v>
      </c>
      <c r="K3926">
        <v>1.11043799999999</v>
      </c>
      <c r="L3926">
        <v>215.31979999999999</v>
      </c>
      <c r="M3926">
        <v>0.99973460000000003</v>
      </c>
      <c r="N3926">
        <v>-1.5132619999999999E-2</v>
      </c>
      <c r="O3926">
        <v>1.737638E-2</v>
      </c>
      <c r="P3926">
        <v>0.9555498</v>
      </c>
      <c r="Q3926">
        <v>0.28452549999999999</v>
      </c>
      <c r="R3926">
        <v>7.7266699999999994E-2</v>
      </c>
      <c r="S3926">
        <v>3.1983030000000001</v>
      </c>
      <c r="T3926">
        <v>-0.1711742</v>
      </c>
      <c r="U3926">
        <v>-9.3078610000000006E-2</v>
      </c>
      <c r="V3926">
        <v>-6.0613149999999998E-2</v>
      </c>
      <c r="W3926">
        <v>0.29897810000000002</v>
      </c>
      <c r="X3926">
        <v>0.95233299999999999</v>
      </c>
      <c r="Y3926">
        <v>4.6358940000000001E-2</v>
      </c>
      <c r="Z3926">
        <v>-2.256989E-3</v>
      </c>
      <c r="AA3926">
        <v>0.99892230000000004</v>
      </c>
      <c r="AB3926">
        <v>40</v>
      </c>
      <c r="AC3926">
        <v>20.352799999999998</v>
      </c>
      <c r="AD3926">
        <v>-1.1104347405049999</v>
      </c>
      <c r="AE3926">
        <v>-0.61069999999997904</v>
      </c>
      <c r="AF3926">
        <v>0.96144684359640498</v>
      </c>
      <c r="AG3926">
        <v>-1.1104347405049999</v>
      </c>
      <c r="AH3926">
        <v>20.278803459935101</v>
      </c>
      <c r="AI3926">
        <v>93.1307849755066</v>
      </c>
      <c r="AJ3926">
        <v>87.285558463460703</v>
      </c>
      <c r="AK3926">
        <v>20.331928465166701</v>
      </c>
      <c r="AL3926">
        <v>72.603764223965797</v>
      </c>
      <c r="AM3926">
        <v>93.641792910323403</v>
      </c>
      <c r="AN3926">
        <v>1.0000000005607601</v>
      </c>
    </row>
    <row r="3927" spans="1:40" x14ac:dyDescent="0.25">
      <c r="A3927" t="str">
        <f>"20190304164929877"</f>
        <v>20190304164929877</v>
      </c>
      <c r="B3927" t="str">
        <f>"1551689369869553"</f>
        <v>1551689369869553</v>
      </c>
      <c r="C3927" t="s">
        <v>40</v>
      </c>
      <c r="D3927">
        <v>4.0183739999999997</v>
      </c>
      <c r="E3927">
        <v>0.55476150000000002</v>
      </c>
      <c r="F3927" t="s">
        <v>46</v>
      </c>
      <c r="G3927">
        <v>-278.6857</v>
      </c>
      <c r="H3927" s="1">
        <v>3.0809220000000002E-6</v>
      </c>
      <c r="I3927">
        <v>214.71700000000001</v>
      </c>
      <c r="J3927">
        <v>-298.97660000000002</v>
      </c>
      <c r="K3927">
        <v>1.110441</v>
      </c>
      <c r="L3927">
        <v>215.32669999999999</v>
      </c>
      <c r="M3927">
        <v>0.99973500000000004</v>
      </c>
      <c r="N3927">
        <v>-1.512808E-2</v>
      </c>
      <c r="O3927">
        <v>1.7349670000000001E-2</v>
      </c>
      <c r="P3927">
        <v>0.95565060000000002</v>
      </c>
      <c r="Q3927">
        <v>0.28425060000000002</v>
      </c>
      <c r="R3927">
        <v>7.7030180000000004E-2</v>
      </c>
      <c r="S3927">
        <v>3.1982119999999998</v>
      </c>
      <c r="T3927">
        <v>-0.1716666</v>
      </c>
      <c r="U3927">
        <v>-9.3185420000000005E-2</v>
      </c>
      <c r="V3927">
        <v>-6.0401120000000003E-2</v>
      </c>
      <c r="W3927">
        <v>0.29870049999999998</v>
      </c>
      <c r="X3927">
        <v>0.95243359999999999</v>
      </c>
      <c r="Y3927">
        <v>4.6365879999999998E-2</v>
      </c>
      <c r="Z3927">
        <v>-2.2624659999999999E-3</v>
      </c>
      <c r="AA3927">
        <v>0.99892199999999998</v>
      </c>
      <c r="AB3927">
        <v>40</v>
      </c>
      <c r="AC3927">
        <v>20.290900000000001</v>
      </c>
      <c r="AD3927">
        <v>-1.110437919078</v>
      </c>
      <c r="AE3927">
        <v>-0.60969999999997504</v>
      </c>
      <c r="AF3927">
        <v>0.95881992573642805</v>
      </c>
      <c r="AG3927">
        <v>-1.110437919078</v>
      </c>
      <c r="AH3927">
        <v>20.216772773947</v>
      </c>
      <c r="AI3927">
        <v>93.140378565276094</v>
      </c>
      <c r="AJ3927">
        <v>87.284670434360507</v>
      </c>
      <c r="AK3927">
        <v>20.269936097963399</v>
      </c>
      <c r="AL3927">
        <v>72.6204315596692</v>
      </c>
      <c r="AM3927">
        <v>93.628705415790805</v>
      </c>
      <c r="AN3927">
        <v>1.00000002320323</v>
      </c>
    </row>
    <row r="3928" spans="1:40" x14ac:dyDescent="0.25">
      <c r="A3928" t="str">
        <f>"20190304164929891"</f>
        <v>20190304164929891</v>
      </c>
      <c r="B3928" t="str">
        <f>"1551689369880286"</f>
        <v>1551689369880286</v>
      </c>
      <c r="C3928" t="s">
        <v>40</v>
      </c>
      <c r="D3928">
        <v>4.1001180000000002</v>
      </c>
      <c r="E3928">
        <v>0.55464709999999995</v>
      </c>
      <c r="F3928" t="s">
        <v>46</v>
      </c>
      <c r="G3928">
        <v>-278.36559999999997</v>
      </c>
      <c r="H3928" s="1">
        <v>2.9105290000000001E-6</v>
      </c>
      <c r="I3928">
        <v>214.71770000000001</v>
      </c>
      <c r="J3928">
        <v>-298.72109999999998</v>
      </c>
      <c r="K3928">
        <v>1.1104480000000001</v>
      </c>
      <c r="L3928">
        <v>215.33109999999999</v>
      </c>
      <c r="M3928">
        <v>0.99973540000000005</v>
      </c>
      <c r="N3928">
        <v>-1.512518E-2</v>
      </c>
      <c r="O3928">
        <v>1.7332650000000002E-2</v>
      </c>
      <c r="P3928">
        <v>0.95564530000000003</v>
      </c>
      <c r="Q3928">
        <v>0.28433160000000002</v>
      </c>
      <c r="R3928">
        <v>7.6797500000000005E-2</v>
      </c>
      <c r="S3928">
        <v>3.1980900000000001</v>
      </c>
      <c r="T3928">
        <v>-0.1723005</v>
      </c>
      <c r="U3928">
        <v>-9.4482419999999998E-2</v>
      </c>
      <c r="V3928">
        <v>-6.018478E-2</v>
      </c>
      <c r="W3928">
        <v>0.2987784</v>
      </c>
      <c r="X3928">
        <v>0.95242289999999996</v>
      </c>
      <c r="Y3928">
        <v>4.6753330000000003E-2</v>
      </c>
      <c r="Z3928">
        <v>-2.2832429999999999E-3</v>
      </c>
      <c r="AA3928">
        <v>0.99890389999999996</v>
      </c>
      <c r="AB3928">
        <v>40</v>
      </c>
      <c r="AC3928">
        <v>20.355499999999999</v>
      </c>
      <c r="AD3928">
        <v>-1.1104450894709901</v>
      </c>
      <c r="AE3928">
        <v>-0.61339999999998396</v>
      </c>
      <c r="AF3928">
        <v>0.96329878184011297</v>
      </c>
      <c r="AG3928">
        <v>-1.1104450894709901</v>
      </c>
      <c r="AH3928">
        <v>20.2815057181888</v>
      </c>
      <c r="AI3928">
        <v>93.130385210760096</v>
      </c>
      <c r="AJ3928">
        <v>87.280699567912393</v>
      </c>
      <c r="AK3928">
        <v>20.334711874938101</v>
      </c>
      <c r="AL3928">
        <v>72.615755310441799</v>
      </c>
      <c r="AM3928">
        <v>93.615783457139898</v>
      </c>
      <c r="AN3928">
        <v>1.0000000602473</v>
      </c>
    </row>
    <row r="3929" spans="1:40" x14ac:dyDescent="0.25">
      <c r="A3929" t="str">
        <f>"20190304164929905"</f>
        <v>20190304164929905</v>
      </c>
      <c r="B3929" t="str">
        <f>"1551689369899806"</f>
        <v>1551689369899806</v>
      </c>
      <c r="C3929" t="s">
        <v>40</v>
      </c>
      <c r="D3929">
        <v>4.0723609999999999</v>
      </c>
      <c r="E3929">
        <v>0.53572410000000004</v>
      </c>
      <c r="F3929" t="s">
        <v>46</v>
      </c>
      <c r="G3929">
        <v>-278.02449999999999</v>
      </c>
      <c r="H3929" s="1">
        <v>2.7288980000000002E-6</v>
      </c>
      <c r="I3929">
        <v>214.72069999999999</v>
      </c>
      <c r="J3929">
        <v>-298.45589999999999</v>
      </c>
      <c r="K3929">
        <v>1.110449</v>
      </c>
      <c r="L3929">
        <v>215.3356</v>
      </c>
      <c r="M3929">
        <v>0.99973579999999995</v>
      </c>
      <c r="N3929">
        <v>-1.5122149999999999E-2</v>
      </c>
      <c r="O3929">
        <v>1.7314980000000001E-2</v>
      </c>
      <c r="P3929">
        <v>0.95567829999999998</v>
      </c>
      <c r="Q3929">
        <v>0.28427999999999998</v>
      </c>
      <c r="R3929">
        <v>7.6578610000000005E-2</v>
      </c>
      <c r="S3929">
        <v>3.1978759999999999</v>
      </c>
      <c r="T3929">
        <v>-0.17157709999999901</v>
      </c>
      <c r="U3929">
        <v>-9.4314579999999995E-2</v>
      </c>
      <c r="V3929">
        <v>-5.9982359999999998E-2</v>
      </c>
      <c r="W3929">
        <v>0.29872459999999901</v>
      </c>
      <c r="X3929">
        <v>0.95245250000000004</v>
      </c>
      <c r="Y3929">
        <v>4.6686190000000002E-2</v>
      </c>
      <c r="Z3929">
        <v>-2.2711939999999998E-3</v>
      </c>
      <c r="AA3929">
        <v>0.99890699999999999</v>
      </c>
      <c r="AB3929">
        <v>40</v>
      </c>
      <c r="AC3929">
        <v>20.4314</v>
      </c>
      <c r="AD3929">
        <v>-1.110446271102</v>
      </c>
      <c r="AE3929">
        <v>-0.614900000000005</v>
      </c>
      <c r="AF3929">
        <v>0.96576728868505202</v>
      </c>
      <c r="AG3929">
        <v>-1.110446271102</v>
      </c>
      <c r="AH3929">
        <v>20.357607775472601</v>
      </c>
      <c r="AI3929">
        <v>93.118717767740094</v>
      </c>
      <c r="AJ3929">
        <v>87.283917884654102</v>
      </c>
      <c r="AK3929">
        <v>20.410732268022102</v>
      </c>
      <c r="AL3929">
        <v>72.618984567943897</v>
      </c>
      <c r="AM3929">
        <v>93.603542862721696</v>
      </c>
      <c r="AN3929">
        <v>1.00000001745628</v>
      </c>
    </row>
    <row r="3930" spans="1:40" x14ac:dyDescent="0.25">
      <c r="A3930" t="str">
        <f>"20190304164929920"</f>
        <v>20190304164929920</v>
      </c>
      <c r="B3930" t="str">
        <f>"1551689369909566"</f>
        <v>1551689369909566</v>
      </c>
      <c r="C3930" t="s">
        <v>40</v>
      </c>
      <c r="D3930">
        <v>4.0740400000000001</v>
      </c>
      <c r="E3930">
        <v>0.53468959999999999</v>
      </c>
      <c r="F3930" t="s">
        <v>46</v>
      </c>
      <c r="G3930">
        <v>-274.88040000000001</v>
      </c>
      <c r="H3930" s="1">
        <v>1.0115209999999999E-6</v>
      </c>
      <c r="I3930">
        <v>215.733</v>
      </c>
      <c r="J3930">
        <v>-298.2045</v>
      </c>
      <c r="K3930">
        <v>1.1104480000000001</v>
      </c>
      <c r="L3930">
        <v>215.34</v>
      </c>
      <c r="M3930">
        <v>0.99973619999999996</v>
      </c>
      <c r="N3930">
        <v>-1.5119270000000001E-2</v>
      </c>
      <c r="O3930">
        <v>1.7298310000000001E-2</v>
      </c>
      <c r="P3930">
        <v>0.95581609999999995</v>
      </c>
      <c r="Q3930">
        <v>0.28392499999999998</v>
      </c>
      <c r="R3930">
        <v>7.6173599999999994E-2</v>
      </c>
      <c r="S3930">
        <v>3.1794129999999998</v>
      </c>
      <c r="T3930">
        <v>-0.149756</v>
      </c>
      <c r="U3930">
        <v>5.3588869999999997E-2</v>
      </c>
      <c r="V3930">
        <v>-5.959101E-2</v>
      </c>
      <c r="W3930">
        <v>0.29836879999999999</v>
      </c>
      <c r="X3930">
        <v>0.95258860000000001</v>
      </c>
      <c r="Y3930">
        <v>4.383128E-4</v>
      </c>
      <c r="Z3930">
        <v>-5.663892E-4</v>
      </c>
      <c r="AA3930">
        <v>0.99999979999999999</v>
      </c>
      <c r="AB3930">
        <v>40</v>
      </c>
      <c r="AC3930">
        <v>23.324099999999898</v>
      </c>
      <c r="AD3930">
        <v>-1.11044698847899</v>
      </c>
      <c r="AE3930">
        <v>0.39300000000000002</v>
      </c>
      <c r="AF3930">
        <v>1.0548489547504E-2</v>
      </c>
      <c r="AG3930">
        <v>-1.11044698847899</v>
      </c>
      <c r="AH3930">
        <v>23.274667578085101</v>
      </c>
      <c r="AI3930">
        <v>92.731541032016807</v>
      </c>
      <c r="AJ3930">
        <v>89.974032544701103</v>
      </c>
      <c r="AK3930">
        <v>23.301144921553099</v>
      </c>
      <c r="AL3930">
        <v>72.640344841827797</v>
      </c>
      <c r="AM3930">
        <v>93.579583018775494</v>
      </c>
      <c r="AN3930">
        <v>1.0000000350681</v>
      </c>
    </row>
    <row r="3931" spans="1:40" x14ac:dyDescent="0.25">
      <c r="A3931" t="str">
        <f>"20190304164929936"</f>
        <v>20190304164929936</v>
      </c>
      <c r="B3931" t="str">
        <f>"1551689369930062"</f>
        <v>1551689369930062</v>
      </c>
      <c r="C3931" t="s">
        <v>40</v>
      </c>
      <c r="D3931">
        <v>4.1413679999999999</v>
      </c>
      <c r="E3931">
        <v>0.53324329999999998</v>
      </c>
      <c r="F3931" t="s">
        <v>46</v>
      </c>
      <c r="G3931">
        <v>-275.4101</v>
      </c>
      <c r="H3931" s="1">
        <v>1.291437E-6</v>
      </c>
      <c r="I3931">
        <v>215.77719999999999</v>
      </c>
      <c r="J3931">
        <v>-297.90769999999998</v>
      </c>
      <c r="K3931">
        <v>1.1104449999999999</v>
      </c>
      <c r="L3931">
        <v>215.3451</v>
      </c>
      <c r="M3931">
        <v>0.99973650000000003</v>
      </c>
      <c r="N3931">
        <v>-1.511589E-2</v>
      </c>
      <c r="O3931">
        <v>1.72787999999999E-2</v>
      </c>
      <c r="P3931">
        <v>0.95584919999999995</v>
      </c>
      <c r="Q3931">
        <v>0.28386670000000003</v>
      </c>
      <c r="R3931">
        <v>7.5976360000000007E-2</v>
      </c>
      <c r="S3931">
        <v>3.17984</v>
      </c>
      <c r="T3931">
        <v>-0.1549083</v>
      </c>
      <c r="U3931">
        <v>6.0989380000000003E-2</v>
      </c>
      <c r="V3931">
        <v>-5.9412329999999999E-2</v>
      </c>
      <c r="W3931">
        <v>0.2983074</v>
      </c>
      <c r="X3931">
        <v>0.95261899999999999</v>
      </c>
      <c r="Y3931">
        <v>-1.902817E-3</v>
      </c>
      <c r="Z3931">
        <v>-5.1930659999999997E-4</v>
      </c>
      <c r="AA3931">
        <v>0.99999800000000005</v>
      </c>
      <c r="AB3931">
        <v>40</v>
      </c>
      <c r="AC3931">
        <v>22.497599999999899</v>
      </c>
      <c r="AD3931">
        <v>-1.1104437085629999</v>
      </c>
      <c r="AE3931">
        <v>0.43209999999999099</v>
      </c>
      <c r="AF3931">
        <v>-4.3154454726545999E-2</v>
      </c>
      <c r="AG3931">
        <v>-1.1104437085629999</v>
      </c>
      <c r="AH3931">
        <v>22.447041301773901</v>
      </c>
      <c r="AI3931">
        <v>92.832079077436603</v>
      </c>
      <c r="AJ3931">
        <v>90.110151045902796</v>
      </c>
      <c r="AK3931">
        <v>22.474532492142998</v>
      </c>
      <c r="AL3931">
        <v>72.644030822481497</v>
      </c>
      <c r="AM3931">
        <v>93.568764044433294</v>
      </c>
      <c r="AN3931">
        <v>1.0000000445058901</v>
      </c>
    </row>
    <row r="3932" spans="1:40" x14ac:dyDescent="0.25">
      <c r="A3932" t="str">
        <f>"20190304164929954"</f>
        <v>20190304164929954</v>
      </c>
      <c r="B3932" t="str">
        <f>"1551689369949582"</f>
        <v>1551689369949582</v>
      </c>
      <c r="C3932" t="s">
        <v>40</v>
      </c>
      <c r="D3932">
        <v>4.101362</v>
      </c>
      <c r="E3932">
        <v>0.53244820000000004</v>
      </c>
      <c r="F3932" t="s">
        <v>46</v>
      </c>
      <c r="G3932">
        <v>-275.6388</v>
      </c>
      <c r="H3932" s="1">
        <v>1.4098079999999901E-6</v>
      </c>
      <c r="I3932">
        <v>215.85329999999999</v>
      </c>
      <c r="J3932">
        <v>-297.59300000000002</v>
      </c>
      <c r="K3932">
        <v>1.1104449999999999</v>
      </c>
      <c r="L3932">
        <v>215.35050000000001</v>
      </c>
      <c r="M3932">
        <v>0.99973679999999998</v>
      </c>
      <c r="N3932">
        <v>-1.511229E-2</v>
      </c>
      <c r="O3932">
        <v>1.7257910000000001E-2</v>
      </c>
      <c r="P3932">
        <v>0.95601709999999995</v>
      </c>
      <c r="Q3932">
        <v>0.28344979999999997</v>
      </c>
      <c r="R3932">
        <v>7.5414399999999895E-2</v>
      </c>
      <c r="S3932">
        <v>3.1799010000000001</v>
      </c>
      <c r="T3932">
        <v>-0.15856609999999999</v>
      </c>
      <c r="U3932">
        <v>7.2570800000000005E-2</v>
      </c>
      <c r="V3932">
        <v>-5.8867540000000003E-2</v>
      </c>
      <c r="W3932">
        <v>0.29788949999999997</v>
      </c>
      <c r="X3932">
        <v>0.95278350000000001</v>
      </c>
      <c r="Y3932">
        <v>-5.5583949999999998E-3</v>
      </c>
      <c r="Z3932">
        <v>-4.1862719999999999E-4</v>
      </c>
      <c r="AA3932">
        <v>0.9999844</v>
      </c>
      <c r="AB3932">
        <v>40</v>
      </c>
      <c r="AC3932">
        <v>21.9542</v>
      </c>
      <c r="AD3932">
        <v>-1.110443590192</v>
      </c>
      <c r="AE3932">
        <v>0.50279999999997904</v>
      </c>
      <c r="AF3932">
        <v>-0.123482455640224</v>
      </c>
      <c r="AG3932">
        <v>-1.110443590192</v>
      </c>
      <c r="AH3932">
        <v>21.903600490852899</v>
      </c>
      <c r="AI3932">
        <v>92.9021849014335</v>
      </c>
      <c r="AJ3932">
        <v>90.323003909972599</v>
      </c>
      <c r="AK3932">
        <v>21.932078044424902</v>
      </c>
      <c r="AL3932">
        <v>72.669113847149205</v>
      </c>
      <c r="AM3932">
        <v>93.535514190435407</v>
      </c>
      <c r="AN3932">
        <v>0.99999996967407501</v>
      </c>
    </row>
    <row r="3933" spans="1:40" x14ac:dyDescent="0.25">
      <c r="A3933" t="str">
        <f>"20190304164929969"</f>
        <v>20190304164929969</v>
      </c>
      <c r="B3933" t="str">
        <f>"1551689369960318"</f>
        <v>1551689369960318</v>
      </c>
      <c r="C3933" t="s">
        <v>40</v>
      </c>
      <c r="D3933">
        <v>4.2120430000000004</v>
      </c>
      <c r="E3933">
        <v>0.53257259999999995</v>
      </c>
      <c r="F3933" t="s">
        <v>46</v>
      </c>
      <c r="G3933">
        <v>-275.35039999999998</v>
      </c>
      <c r="H3933" s="1">
        <v>1.2547349999999999E-6</v>
      </c>
      <c r="I3933">
        <v>215.89</v>
      </c>
      <c r="J3933">
        <v>-297.3313</v>
      </c>
      <c r="K3933">
        <v>1.1104419999999999</v>
      </c>
      <c r="L3933">
        <v>215.35499999999999</v>
      </c>
      <c r="M3933">
        <v>0.99973730000000005</v>
      </c>
      <c r="N3933">
        <v>-1.5109300000000001E-2</v>
      </c>
      <c r="O3933">
        <v>1.724059E-2</v>
      </c>
      <c r="P3933">
        <v>0.95605150000000005</v>
      </c>
      <c r="Q3933">
        <v>0.2833446</v>
      </c>
      <c r="R3933">
        <v>7.5375529999999996E-2</v>
      </c>
      <c r="S3933">
        <v>3.1789860000000001</v>
      </c>
      <c r="T3933">
        <v>-0.15870770000000001</v>
      </c>
      <c r="U3933">
        <v>7.7102660000000003E-2</v>
      </c>
      <c r="V3933">
        <v>-5.8845080000000001E-2</v>
      </c>
      <c r="W3933">
        <v>0.29778209999999999</v>
      </c>
      <c r="X3933">
        <v>0.95281850000000001</v>
      </c>
      <c r="Y3933">
        <v>-7.0047E-3</v>
      </c>
      <c r="Z3933">
        <v>-3.7191209999999999E-4</v>
      </c>
      <c r="AA3933">
        <v>0.99997539999999996</v>
      </c>
      <c r="AB3933">
        <v>40</v>
      </c>
      <c r="AC3933">
        <v>21.980899999999998</v>
      </c>
      <c r="AD3933">
        <v>-1.110440745265</v>
      </c>
      <c r="AE3933">
        <v>0.53499999999999603</v>
      </c>
      <c r="AF3933">
        <v>-0.155516891541675</v>
      </c>
      <c r="AG3933">
        <v>-1.110440745265</v>
      </c>
      <c r="AH3933">
        <v>21.9309199602009</v>
      </c>
      <c r="AI3933">
        <v>92.898541619352997</v>
      </c>
      <c r="AJ3933">
        <v>90.406289941042004</v>
      </c>
      <c r="AK3933">
        <v>21.959565443173901</v>
      </c>
      <c r="AL3933">
        <v>72.675560646261502</v>
      </c>
      <c r="AM3933">
        <v>93.534039197221006</v>
      </c>
      <c r="AN3933">
        <v>1.00000000823143</v>
      </c>
    </row>
    <row r="3934" spans="1:40" x14ac:dyDescent="0.25">
      <c r="A3934" t="str">
        <f>"20190304164929987"</f>
        <v>20190304164929987</v>
      </c>
      <c r="B3934" t="str">
        <f>"1551689369979841"</f>
        <v>1551689369979841</v>
      </c>
      <c r="C3934" t="s">
        <v>40</v>
      </c>
      <c r="D3934">
        <v>4.1519810000000001</v>
      </c>
      <c r="E3934">
        <v>0.53282229999999997</v>
      </c>
      <c r="F3934" t="s">
        <v>46</v>
      </c>
      <c r="G3934">
        <v>-275.43090000000001</v>
      </c>
      <c r="H3934" s="1">
        <v>1.297927E-6</v>
      </c>
      <c r="I3934">
        <v>215.88210000000001</v>
      </c>
      <c r="J3934">
        <v>-296.99220000000003</v>
      </c>
      <c r="K3934">
        <v>1.1104419999999999</v>
      </c>
      <c r="L3934">
        <v>215.36080000000001</v>
      </c>
      <c r="M3934">
        <v>0.9997376</v>
      </c>
      <c r="N3934">
        <v>-1.5105469999999999E-2</v>
      </c>
      <c r="O3934">
        <v>1.721804E-2</v>
      </c>
      <c r="P3934">
        <v>0.95612520000000001</v>
      </c>
      <c r="Q3934">
        <v>0.28320650000000003</v>
      </c>
      <c r="R3934">
        <v>7.4959200000000004E-2</v>
      </c>
      <c r="S3934">
        <v>3.1796570000000002</v>
      </c>
      <c r="T3934">
        <v>-0.1612217</v>
      </c>
      <c r="U3934">
        <v>7.652283E-2</v>
      </c>
      <c r="V3934">
        <v>-5.8449309999999997E-2</v>
      </c>
      <c r="W3934">
        <v>0.2976415</v>
      </c>
      <c r="X3934">
        <v>0.95288680000000003</v>
      </c>
      <c r="Y3934">
        <v>-6.8403140000000001E-3</v>
      </c>
      <c r="Z3934">
        <v>-3.8729580000000001E-4</v>
      </c>
      <c r="AA3934">
        <v>0.99997650000000005</v>
      </c>
      <c r="AB3934">
        <v>40</v>
      </c>
      <c r="AC3934">
        <v>21.561299999999999</v>
      </c>
      <c r="AD3934">
        <v>-1.1104407020729901</v>
      </c>
      <c r="AE3934">
        <v>0.52129999999999599</v>
      </c>
      <c r="AF3934">
        <v>-0.14954058767143899</v>
      </c>
      <c r="AG3934">
        <v>-1.1104407020729901</v>
      </c>
      <c r="AH3934">
        <v>21.510059588568499</v>
      </c>
      <c r="AI3934">
        <v>92.955156954001197</v>
      </c>
      <c r="AJ3934">
        <v>90.398320909862605</v>
      </c>
      <c r="AK3934">
        <v>21.539222466095399</v>
      </c>
      <c r="AL3934">
        <v>72.683999258402594</v>
      </c>
      <c r="AM3934">
        <v>93.510079225464693</v>
      </c>
      <c r="AN3934">
        <v>1.0000000189879801</v>
      </c>
    </row>
    <row r="3935" spans="1:40" x14ac:dyDescent="0.25">
      <c r="A3935" t="str">
        <f>"20190304164930003"</f>
        <v>20190304164930003</v>
      </c>
      <c r="B3935" t="str">
        <f>"1551689369999358"</f>
        <v>1551689369999358</v>
      </c>
      <c r="C3935" t="s">
        <v>40</v>
      </c>
      <c r="D3935">
        <v>4.1448660000000004</v>
      </c>
      <c r="E3935">
        <v>0.53300519999999996</v>
      </c>
      <c r="F3935" t="s">
        <v>46</v>
      </c>
      <c r="G3935">
        <v>-275.02809999999999</v>
      </c>
      <c r="H3935" s="1">
        <v>1.084233E-6</v>
      </c>
      <c r="I3935">
        <v>215.8673</v>
      </c>
      <c r="J3935">
        <v>-296.73680000000002</v>
      </c>
      <c r="K3935">
        <v>1.110441</v>
      </c>
      <c r="L3935">
        <v>215.36519999999999</v>
      </c>
      <c r="M3935">
        <v>0.99973809999999996</v>
      </c>
      <c r="N3935">
        <v>-1.5102620000000001E-2</v>
      </c>
      <c r="O3935">
        <v>1.7200719999999999E-2</v>
      </c>
      <c r="P3935">
        <v>0.95612249999999999</v>
      </c>
      <c r="Q3935">
        <v>0.28331299999999998</v>
      </c>
      <c r="R3935">
        <v>7.4591290000000005E-2</v>
      </c>
      <c r="S3935">
        <v>3.179535</v>
      </c>
      <c r="T3935">
        <v>-0.16074759999999999</v>
      </c>
      <c r="U3935">
        <v>7.3318480000000005E-2</v>
      </c>
      <c r="V3935">
        <v>-5.8097950000000002E-2</v>
      </c>
      <c r="W3935">
        <v>0.29774430000000002</v>
      </c>
      <c r="X3935">
        <v>0.95287619999999895</v>
      </c>
      <c r="Y3935">
        <v>-5.8529350000000001E-3</v>
      </c>
      <c r="Z3935">
        <v>-4.171267E-4</v>
      </c>
      <c r="AA3935">
        <v>0.99998279999999995</v>
      </c>
      <c r="AB3935">
        <v>40</v>
      </c>
      <c r="AC3935">
        <v>21.7087</v>
      </c>
      <c r="AD3935">
        <v>-1.110439915767</v>
      </c>
      <c r="AE3935">
        <v>0.50210000000001198</v>
      </c>
      <c r="AF3935">
        <v>-0.12824251140283699</v>
      </c>
      <c r="AG3935">
        <v>-1.110439915767</v>
      </c>
      <c r="AH3935">
        <v>21.657488326777401</v>
      </c>
      <c r="AI3935">
        <v>92.935093010749</v>
      </c>
      <c r="AJ3935">
        <v>90.339266893307993</v>
      </c>
      <c r="AK3935">
        <v>21.686316505408598</v>
      </c>
      <c r="AL3935">
        <v>72.677830014384199</v>
      </c>
      <c r="AM3935">
        <v>93.489069864478594</v>
      </c>
      <c r="AN3935">
        <v>1.0000000462515599</v>
      </c>
    </row>
    <row r="3936" spans="1:40" x14ac:dyDescent="0.25">
      <c r="A3936" t="str">
        <f>"20190304164930018"</f>
        <v>20190304164930018</v>
      </c>
      <c r="B3936" t="str">
        <f>"1551689370010093"</f>
        <v>1551689370010093</v>
      </c>
      <c r="C3936" t="s">
        <v>40</v>
      </c>
      <c r="D3936">
        <v>4.1654920000000004</v>
      </c>
      <c r="E3936">
        <v>0.5330684</v>
      </c>
      <c r="F3936" t="s">
        <v>46</v>
      </c>
      <c r="G3936">
        <v>-274.6678</v>
      </c>
      <c r="H3936" s="1">
        <v>8.9300309999999998E-7</v>
      </c>
      <c r="I3936">
        <v>215.8561</v>
      </c>
      <c r="J3936">
        <v>-296.45909999999998</v>
      </c>
      <c r="K3936">
        <v>1.1104430000000001</v>
      </c>
      <c r="L3936">
        <v>215.37</v>
      </c>
      <c r="M3936">
        <v>0.99973840000000003</v>
      </c>
      <c r="N3936">
        <v>-1.509955E-2</v>
      </c>
      <c r="O3936">
        <v>1.7182039999999999E-2</v>
      </c>
      <c r="P3936">
        <v>0.95614779999999999</v>
      </c>
      <c r="Q3936">
        <v>0.28329070000000001</v>
      </c>
      <c r="R3936">
        <v>7.4348460000000005E-2</v>
      </c>
      <c r="S3936">
        <v>3.1795650000000002</v>
      </c>
      <c r="T3936">
        <v>-0.15998589999999999</v>
      </c>
      <c r="U3936">
        <v>7.0724490000000001E-2</v>
      </c>
      <c r="V3936">
        <v>-5.7873040000000001E-2</v>
      </c>
      <c r="W3936">
        <v>0.29771969999999998</v>
      </c>
      <c r="X3936">
        <v>0.95289749999999995</v>
      </c>
      <c r="Y3936">
        <v>-5.0572389999999998E-3</v>
      </c>
      <c r="Z3936">
        <v>-4.3913399999999999E-4</v>
      </c>
      <c r="AA3936">
        <v>0.99998710000000002</v>
      </c>
      <c r="AB3936">
        <v>40</v>
      </c>
      <c r="AC3936">
        <v>21.7912999999999</v>
      </c>
      <c r="AD3936">
        <v>-1.1104421069968999</v>
      </c>
      <c r="AE3936">
        <v>0.48609999999999298</v>
      </c>
      <c r="AF3936">
        <v>-0.11127774849489599</v>
      </c>
      <c r="AG3936">
        <v>-1.1104421069968999</v>
      </c>
      <c r="AH3936">
        <v>21.740010828755601</v>
      </c>
      <c r="AI3936">
        <v>92.923989811275007</v>
      </c>
      <c r="AJ3936">
        <v>90.293269847590807</v>
      </c>
      <c r="AK3936">
        <v>21.768636504032902</v>
      </c>
      <c r="AL3936">
        <v>72.679305210361804</v>
      </c>
      <c r="AM3936">
        <v>93.475518579214395</v>
      </c>
      <c r="AN3936">
        <v>0.99999997701659005</v>
      </c>
    </row>
    <row r="3937" spans="1:40" x14ac:dyDescent="0.25">
      <c r="A3937" t="str">
        <f>"20190304164930034"</f>
        <v>20190304164930034</v>
      </c>
      <c r="B3937" t="str">
        <f>"1551689370029613"</f>
        <v>1551689370029613</v>
      </c>
      <c r="C3937" t="s">
        <v>40</v>
      </c>
      <c r="D3937">
        <v>4.1789149999999999</v>
      </c>
      <c r="E3937">
        <v>0.53314419999999996</v>
      </c>
      <c r="F3937" t="s">
        <v>46</v>
      </c>
      <c r="G3937">
        <v>-274.46390000000002</v>
      </c>
      <c r="H3937" s="1">
        <v>7.8470669999999898E-7</v>
      </c>
      <c r="I3937">
        <v>215.85149999999999</v>
      </c>
      <c r="J3937">
        <v>-296.16340000000002</v>
      </c>
      <c r="K3937">
        <v>1.110441</v>
      </c>
      <c r="L3937">
        <v>215.3751</v>
      </c>
      <c r="M3937">
        <v>0.99973889999999999</v>
      </c>
      <c r="N3937">
        <v>-1.50963E-2</v>
      </c>
      <c r="O3937">
        <v>1.716198E-2</v>
      </c>
      <c r="P3937">
        <v>0.95618550000000002</v>
      </c>
      <c r="Q3937">
        <v>0.28317989999999998</v>
      </c>
      <c r="R3937">
        <v>7.4287909999999999E-2</v>
      </c>
      <c r="S3937">
        <v>3.1797789999999999</v>
      </c>
      <c r="T3937">
        <v>-0.16053339999999999</v>
      </c>
      <c r="U3937">
        <v>6.9610599999999995E-2</v>
      </c>
      <c r="V3937">
        <v>-5.7831109999999998E-2</v>
      </c>
      <c r="W3937">
        <v>0.29760589999999998</v>
      </c>
      <c r="X3937">
        <v>0.95293559999999999</v>
      </c>
      <c r="Y3937">
        <v>-4.7262709999999998E-3</v>
      </c>
      <c r="Z3937">
        <v>-4.5181019999999999E-4</v>
      </c>
      <c r="AA3937">
        <v>0.99998869999999895</v>
      </c>
      <c r="AB3937">
        <v>40</v>
      </c>
      <c r="AC3937">
        <v>21.6995</v>
      </c>
      <c r="AD3937">
        <v>-1.1104402152932999</v>
      </c>
      <c r="AE3937">
        <v>0.476399999999984</v>
      </c>
      <c r="AF3937">
        <v>-0.103609853563636</v>
      </c>
      <c r="AG3937">
        <v>-1.1104402152932999</v>
      </c>
      <c r="AH3937">
        <v>21.647817816377099</v>
      </c>
      <c r="AI3937">
        <v>92.936420486791405</v>
      </c>
      <c r="AJ3937">
        <v>90.274224499075302</v>
      </c>
      <c r="AK3937">
        <v>21.676527136156999</v>
      </c>
      <c r="AL3937">
        <v>72.686135173526694</v>
      </c>
      <c r="AM3937">
        <v>93.472868155765894</v>
      </c>
      <c r="AN3937">
        <v>0.999999983373</v>
      </c>
    </row>
    <row r="3938" spans="1:40" x14ac:dyDescent="0.25">
      <c r="A3938" t="str">
        <f>"20190304164930054"</f>
        <v>20190304164930054</v>
      </c>
      <c r="B3938" t="str">
        <f>"1551689370050110"</f>
        <v>1551689370050110</v>
      </c>
      <c r="C3938" t="s">
        <v>40</v>
      </c>
      <c r="D3938">
        <v>4.1723869999999996</v>
      </c>
      <c r="E3938">
        <v>0.53318829999999995</v>
      </c>
      <c r="F3938" t="s">
        <v>46</v>
      </c>
      <c r="G3938">
        <v>-274.2593</v>
      </c>
      <c r="H3938" s="1">
        <v>6.7592340000000003E-7</v>
      </c>
      <c r="I3938">
        <v>215.84889999999999</v>
      </c>
      <c r="J3938">
        <v>-295.80270000000002</v>
      </c>
      <c r="K3938">
        <v>1.110433</v>
      </c>
      <c r="L3938">
        <v>215.38120000000001</v>
      </c>
      <c r="M3938">
        <v>0.9997393</v>
      </c>
      <c r="N3938">
        <v>-1.5092400000000001E-2</v>
      </c>
      <c r="O3938">
        <v>1.713775E-2</v>
      </c>
      <c r="P3938">
        <v>0.95632079999999997</v>
      </c>
      <c r="Q3938">
        <v>0.28266000000000002</v>
      </c>
      <c r="R3938">
        <v>7.4525339999999995E-2</v>
      </c>
      <c r="S3938">
        <v>3.17984</v>
      </c>
      <c r="T3938">
        <v>-0.1612036</v>
      </c>
      <c r="U3938">
        <v>6.8786620000000007E-2</v>
      </c>
      <c r="V3938">
        <v>-5.8089990000000001E-2</v>
      </c>
      <c r="W3938">
        <v>0.29708509999999999</v>
      </c>
      <c r="X3938">
        <v>0.9530824</v>
      </c>
      <c r="Y3938">
        <v>-4.4915279999999998E-3</v>
      </c>
      <c r="Z3938">
        <v>-4.6184500000000001E-4</v>
      </c>
      <c r="AA3938">
        <v>0.99998980000000004</v>
      </c>
      <c r="AB3938">
        <v>40</v>
      </c>
      <c r="AC3938">
        <v>21.543399999999998</v>
      </c>
      <c r="AD3938">
        <v>-1.1104323240766001</v>
      </c>
      <c r="AE3938">
        <v>0.46769999999997902</v>
      </c>
      <c r="AF3938">
        <v>-9.8123296168949298E-2</v>
      </c>
      <c r="AG3938">
        <v>-1.1104323240766001</v>
      </c>
      <c r="AH3938">
        <v>21.491181153892398</v>
      </c>
      <c r="AI3938">
        <v>92.957766535280697</v>
      </c>
      <c r="AJ3938">
        <v>90.261596216456496</v>
      </c>
      <c r="AK3938">
        <v>21.520073315791102</v>
      </c>
      <c r="AL3938">
        <v>72.717389275367495</v>
      </c>
      <c r="AM3938">
        <v>93.487840111748397</v>
      </c>
      <c r="AN3938">
        <v>1.00000003238498</v>
      </c>
    </row>
    <row r="3939" spans="1:40" x14ac:dyDescent="0.25">
      <c r="A3939" t="str">
        <f>"20190304164930069"</f>
        <v>20190304164930069</v>
      </c>
      <c r="B3939" t="str">
        <f>"1551689370059870"</f>
        <v>1551689370059870</v>
      </c>
      <c r="C3939" t="s">
        <v>40</v>
      </c>
      <c r="D3939">
        <v>4.2336199999999904</v>
      </c>
      <c r="E3939">
        <v>0.53321589999999996</v>
      </c>
      <c r="F3939" t="s">
        <v>46</v>
      </c>
      <c r="G3939">
        <v>-274.0591</v>
      </c>
      <c r="H3939" s="1">
        <v>5.6940089999999999E-7</v>
      </c>
      <c r="I3939">
        <v>215.84809999999999</v>
      </c>
      <c r="J3939">
        <v>-295.54399999999998</v>
      </c>
      <c r="K3939">
        <v>1.110436</v>
      </c>
      <c r="L3939">
        <v>215.38570000000001</v>
      </c>
      <c r="M3939">
        <v>0.99973959999999995</v>
      </c>
      <c r="N3939">
        <v>-1.50896E-2</v>
      </c>
      <c r="O3939">
        <v>1.7120429999999999E-2</v>
      </c>
      <c r="P3939">
        <v>0.9565091</v>
      </c>
      <c r="Q3939">
        <v>0.28190539999999997</v>
      </c>
      <c r="R3939">
        <v>7.4966989999999997E-2</v>
      </c>
      <c r="S3939">
        <v>3.1796880000000001</v>
      </c>
      <c r="T3939">
        <v>-0.16238459999999999</v>
      </c>
      <c r="U3939">
        <v>6.8267820000000007E-2</v>
      </c>
      <c r="V3939">
        <v>-5.8544730000000003E-2</v>
      </c>
      <c r="W3939">
        <v>0.2963305</v>
      </c>
      <c r="X3939">
        <v>0.95328939999999995</v>
      </c>
      <c r="Y3939">
        <v>-4.3471739999999997E-3</v>
      </c>
      <c r="Z3939">
        <v>-4.7160879999999999E-4</v>
      </c>
      <c r="AA3939">
        <v>0.9999905</v>
      </c>
      <c r="AB3939">
        <v>40</v>
      </c>
      <c r="AC3939">
        <v>21.4849</v>
      </c>
      <c r="AD3939">
        <v>-1.1104354305991</v>
      </c>
      <c r="AE3939">
        <v>0.462399999999973</v>
      </c>
      <c r="AF3939">
        <v>-9.4208075793393298E-2</v>
      </c>
      <c r="AG3939">
        <v>-1.1104354305991</v>
      </c>
      <c r="AH3939">
        <v>21.432442112578801</v>
      </c>
      <c r="AI3939">
        <v>92.965868854971305</v>
      </c>
      <c r="AJ3939">
        <v>90.251846725988699</v>
      </c>
      <c r="AK3939">
        <v>21.461395968485299</v>
      </c>
      <c r="AL3939">
        <v>72.762662251722503</v>
      </c>
      <c r="AM3939">
        <v>93.514314064480303</v>
      </c>
      <c r="AN3939">
        <v>0.99999996539669</v>
      </c>
    </row>
    <row r="3940" spans="1:40" x14ac:dyDescent="0.25">
      <c r="A3940" t="str">
        <f>"20190304164930089"</f>
        <v>20190304164930089</v>
      </c>
      <c r="B3940" t="str">
        <f>"1551689370080366"</f>
        <v>1551689370080366</v>
      </c>
      <c r="C3940" t="s">
        <v>40</v>
      </c>
      <c r="D3940">
        <v>4.2195109999999998</v>
      </c>
      <c r="E3940">
        <v>0.53315140000000005</v>
      </c>
      <c r="F3940" t="s">
        <v>46</v>
      </c>
      <c r="G3940">
        <v>-274.20330000000001</v>
      </c>
      <c r="H3940" s="1">
        <v>6.4617539999999997E-7</v>
      </c>
      <c r="I3940">
        <v>215.84780000000001</v>
      </c>
      <c r="J3940">
        <v>-295.2004</v>
      </c>
      <c r="K3940">
        <v>1.1104400000000001</v>
      </c>
      <c r="L3940">
        <v>215.39150000000001</v>
      </c>
      <c r="M3940">
        <v>0.99974010000000002</v>
      </c>
      <c r="N3940">
        <v>-1.5085889999999999E-2</v>
      </c>
      <c r="O3940">
        <v>1.7097399999999999E-2</v>
      </c>
      <c r="P3940">
        <v>0.95659170000000004</v>
      </c>
      <c r="Q3940">
        <v>0.281472099999999</v>
      </c>
      <c r="R3940">
        <v>7.5539780000000001E-2</v>
      </c>
      <c r="S3940">
        <v>3.1797179999999998</v>
      </c>
      <c r="T3940">
        <v>-0.16545219999999999</v>
      </c>
      <c r="U3940">
        <v>6.8862919999999994E-2</v>
      </c>
      <c r="V3940">
        <v>-5.9138540000000003E-2</v>
      </c>
      <c r="W3940">
        <v>0.29589510000000002</v>
      </c>
      <c r="X3940">
        <v>0.95338800000000001</v>
      </c>
      <c r="Y3940">
        <v>-4.55705E-3</v>
      </c>
      <c r="Z3940">
        <v>-4.7817360000000002E-4</v>
      </c>
      <c r="AA3940">
        <v>0.99998949999999998</v>
      </c>
      <c r="AB3940">
        <v>40</v>
      </c>
      <c r="AC3940">
        <v>20.9970999999999</v>
      </c>
      <c r="AD3940">
        <v>-1.11043935382459</v>
      </c>
      <c r="AE3940">
        <v>0.45629999999999798</v>
      </c>
      <c r="AF3940">
        <v>-9.6925682722800194E-2</v>
      </c>
      <c r="AG3940">
        <v>-1.11043935382459</v>
      </c>
      <c r="AH3940">
        <v>20.943284731057499</v>
      </c>
      <c r="AI3940">
        <v>93.035020032687896</v>
      </c>
      <c r="AJ3940">
        <v>90.265163414889997</v>
      </c>
      <c r="AK3940">
        <v>20.972926488037899</v>
      </c>
      <c r="AL3940">
        <v>72.788780365791595</v>
      </c>
      <c r="AM3940">
        <v>93.549502315116897</v>
      </c>
      <c r="AN3940">
        <v>0.99999997783066996</v>
      </c>
    </row>
    <row r="3941" spans="1:40" x14ac:dyDescent="0.25">
      <c r="A3941" t="str">
        <f>"20190304164930104"</f>
        <v>20190304164930104</v>
      </c>
      <c r="B3941" t="str">
        <f>"1551689370099886"</f>
        <v>1551689370099886</v>
      </c>
      <c r="C3941" t="s">
        <v>40</v>
      </c>
      <c r="D3941">
        <v>4.2257470000000001</v>
      </c>
      <c r="E3941">
        <v>0.53301919999999903</v>
      </c>
      <c r="F3941" t="s">
        <v>46</v>
      </c>
      <c r="G3941">
        <v>-274.28359999999998</v>
      </c>
      <c r="H3941" s="1">
        <v>6.8850079999999999E-7</v>
      </c>
      <c r="I3941">
        <v>215.85749999999999</v>
      </c>
      <c r="J3941">
        <v>-294.92880000000002</v>
      </c>
      <c r="K3941">
        <v>1.110441</v>
      </c>
      <c r="L3941">
        <v>215.39609999999999</v>
      </c>
      <c r="M3941">
        <v>0.99974039999999997</v>
      </c>
      <c r="N3941">
        <v>-1.508293E-2</v>
      </c>
      <c r="O3941">
        <v>1.7077499999999999E-2</v>
      </c>
      <c r="P3941">
        <v>0.95654749999999999</v>
      </c>
      <c r="Q3941">
        <v>0.28163460000000001</v>
      </c>
      <c r="R3941">
        <v>7.549003E-2</v>
      </c>
      <c r="S3941">
        <v>3.1802060000000001</v>
      </c>
      <c r="T3941">
        <v>-0.16883229999999999</v>
      </c>
      <c r="U3941">
        <v>7.0846560000000003E-2</v>
      </c>
      <c r="V3941">
        <v>-5.9108229999999998E-2</v>
      </c>
      <c r="W3941">
        <v>0.29605409999999999</v>
      </c>
      <c r="X3941">
        <v>0.95334050000000004</v>
      </c>
      <c r="Y3941">
        <v>-5.1962800000000002E-3</v>
      </c>
      <c r="Z3941">
        <v>-4.7129190000000002E-4</v>
      </c>
      <c r="AA3941">
        <v>0.99998640000000005</v>
      </c>
      <c r="AB3941">
        <v>40</v>
      </c>
      <c r="AC3941">
        <v>20.645199999999999</v>
      </c>
      <c r="AD3941">
        <v>-1.1104403114992001</v>
      </c>
      <c r="AE3941">
        <v>0.46139999999999698</v>
      </c>
      <c r="AF3941">
        <v>-0.10841070682805599</v>
      </c>
      <c r="AG3941">
        <v>-1.1104403114992001</v>
      </c>
      <c r="AH3941">
        <v>20.5905298690605</v>
      </c>
      <c r="AI3941">
        <v>93.086908919059596</v>
      </c>
      <c r="AJ3941">
        <v>90.301663852245099</v>
      </c>
      <c r="AK3941">
        <v>20.620735943593999</v>
      </c>
      <c r="AL3941">
        <v>72.779242724136907</v>
      </c>
      <c r="AM3941">
        <v>93.547864064054707</v>
      </c>
      <c r="AN3941">
        <v>0.99999996096039501</v>
      </c>
    </row>
    <row r="3942" spans="1:40" x14ac:dyDescent="0.25">
      <c r="A3942" t="str">
        <f>"20190304164930118"</f>
        <v>20190304164930118</v>
      </c>
      <c r="B3942" t="str">
        <f>"1551689370109646"</f>
        <v>1551689370109646</v>
      </c>
      <c r="C3942" t="s">
        <v>40</v>
      </c>
      <c r="D3942">
        <v>4.2171089999999998</v>
      </c>
      <c r="E3942">
        <v>0.53297039999999996</v>
      </c>
      <c r="F3942" t="s">
        <v>46</v>
      </c>
      <c r="G3942">
        <v>-274.07369999999997</v>
      </c>
      <c r="H3942" s="1">
        <v>5.7645660000000002E-7</v>
      </c>
      <c r="I3942">
        <v>215.86510000000001</v>
      </c>
      <c r="J3942">
        <v>-294.68150000000003</v>
      </c>
      <c r="K3942">
        <v>1.110441</v>
      </c>
      <c r="L3942">
        <v>215.40029999999999</v>
      </c>
      <c r="M3942">
        <v>0.99974079999999999</v>
      </c>
      <c r="N3942">
        <v>-1.508021E-2</v>
      </c>
      <c r="O3942">
        <v>1.7056930000000001E-2</v>
      </c>
      <c r="P3942">
        <v>0.95649379999999995</v>
      </c>
      <c r="Q3942">
        <v>0.28182239999999997</v>
      </c>
      <c r="R3942">
        <v>7.5471510000000006E-2</v>
      </c>
      <c r="S3942">
        <v>3.1805110000000001</v>
      </c>
      <c r="T3942">
        <v>-0.1693482</v>
      </c>
      <c r="U3942">
        <v>7.1517940000000002E-2</v>
      </c>
      <c r="V3942">
        <v>-5.9109219999999997E-2</v>
      </c>
      <c r="W3942">
        <v>0.29623899999999997</v>
      </c>
      <c r="X3942">
        <v>0.95328310000000005</v>
      </c>
      <c r="Y3942">
        <v>-5.4253280000000001E-3</v>
      </c>
      <c r="Z3942">
        <v>-4.6500829999999998E-4</v>
      </c>
      <c r="AA3942">
        <v>0.99998520000000002</v>
      </c>
      <c r="AB3942">
        <v>40</v>
      </c>
      <c r="AC3942">
        <v>20.607800000000001</v>
      </c>
      <c r="AD3942">
        <v>-1.11044042354339</v>
      </c>
      <c r="AE3942">
        <v>0.46480000000002503</v>
      </c>
      <c r="AF3942">
        <v>-0.11285906770184299</v>
      </c>
      <c r="AG3942">
        <v>-1.11044042354339</v>
      </c>
      <c r="AH3942">
        <v>20.553083974221099</v>
      </c>
      <c r="AI3942">
        <v>93.092518646058195</v>
      </c>
      <c r="AJ3942">
        <v>90.314613771677898</v>
      </c>
      <c r="AK3942">
        <v>20.583368916549698</v>
      </c>
      <c r="AL3942">
        <v>72.768152900493405</v>
      </c>
      <c r="AM3942">
        <v>93.548136420460906</v>
      </c>
      <c r="AN3942">
        <v>1.0000000568778</v>
      </c>
    </row>
    <row r="3943" spans="1:40" x14ac:dyDescent="0.25">
      <c r="A3943" t="str">
        <f>"20190304164930132"</f>
        <v>20190304164930132</v>
      </c>
      <c r="B3943" t="str">
        <f>"1551689370120383"</f>
        <v>1551689370120383</v>
      </c>
      <c r="C3943" t="s">
        <v>40</v>
      </c>
      <c r="D3943">
        <v>4.1868749999999997</v>
      </c>
      <c r="E3943">
        <v>0.5328889</v>
      </c>
      <c r="F3943" t="s">
        <v>46</v>
      </c>
      <c r="G3943">
        <v>-273.70749999999998</v>
      </c>
      <c r="H3943" s="1">
        <v>3.81244E-7</v>
      </c>
      <c r="I3943">
        <v>215.87219999999999</v>
      </c>
      <c r="J3943">
        <v>-294.43529999999998</v>
      </c>
      <c r="K3943">
        <v>1.110439</v>
      </c>
      <c r="L3943">
        <v>215.40450000000001</v>
      </c>
      <c r="M3943">
        <v>0.9997414</v>
      </c>
      <c r="N3943">
        <v>-1.5077500000000001E-2</v>
      </c>
      <c r="O3943">
        <v>1.7031319999999999E-2</v>
      </c>
      <c r="P3943">
        <v>0.95633239999999997</v>
      </c>
      <c r="Q3943">
        <v>0.28237519999999999</v>
      </c>
      <c r="R3943">
        <v>7.5453389999999995E-2</v>
      </c>
      <c r="S3943">
        <v>3.1803889999999999</v>
      </c>
      <c r="T3943">
        <v>-0.16838159999999999</v>
      </c>
      <c r="U3943">
        <v>7.1548459999999994E-2</v>
      </c>
      <c r="V3943">
        <v>-5.9115960000000002E-2</v>
      </c>
      <c r="W3943">
        <v>0.29678680000000002</v>
      </c>
      <c r="X3943">
        <v>0.95311219999999996</v>
      </c>
      <c r="Y3943">
        <v>-5.4612250000000001E-3</v>
      </c>
      <c r="Z3943">
        <v>-4.5855089999999999E-4</v>
      </c>
      <c r="AA3943">
        <v>0.99998500000000001</v>
      </c>
      <c r="AB3943">
        <v>40</v>
      </c>
      <c r="AC3943">
        <v>20.727799999999998</v>
      </c>
      <c r="AD3943">
        <v>-1.110438618756</v>
      </c>
      <c r="AE3943">
        <v>0.46769999999997902</v>
      </c>
      <c r="AF3943">
        <v>-0.114242556507656</v>
      </c>
      <c r="AG3943">
        <v>-1.110438618756</v>
      </c>
      <c r="AH3943">
        <v>20.673456601620298</v>
      </c>
      <c r="AI3943">
        <v>93.074541311918907</v>
      </c>
      <c r="AJ3943">
        <v>90.316616124129496</v>
      </c>
      <c r="AK3943">
        <v>20.7035729560581</v>
      </c>
      <c r="AL3943">
        <v>72.735287010508202</v>
      </c>
      <c r="AM3943">
        <v>93.549174620190897</v>
      </c>
      <c r="AN3943">
        <v>0.99999998358490005</v>
      </c>
    </row>
    <row r="3944" spans="1:40" x14ac:dyDescent="0.25">
      <c r="A3944" t="str">
        <f>"20190304164930156"</f>
        <v>20190304164930156</v>
      </c>
      <c r="B3944" t="str">
        <f>"1551689370149665"</f>
        <v>1551689370149665</v>
      </c>
      <c r="C3944" t="s">
        <v>40</v>
      </c>
      <c r="D3944">
        <v>4.2422240000000002</v>
      </c>
      <c r="E3944">
        <v>0.53281919999999905</v>
      </c>
      <c r="F3944" t="s">
        <v>46</v>
      </c>
      <c r="G3944">
        <v>-273.23259999999999</v>
      </c>
      <c r="H3944" s="1">
        <v>1.279642E-7</v>
      </c>
      <c r="I3944">
        <v>215.88550000000001</v>
      </c>
      <c r="J3944">
        <v>-294.01780000000002</v>
      </c>
      <c r="K3944">
        <v>1.1104259999999999</v>
      </c>
      <c r="L3944">
        <v>215.41159999999999</v>
      </c>
      <c r="M3944">
        <v>0.99974240000000003</v>
      </c>
      <c r="N3944">
        <v>-1.507288E-2</v>
      </c>
      <c r="O3944">
        <v>1.6973530000000001E-2</v>
      </c>
      <c r="P3944">
        <v>0.95643869999999997</v>
      </c>
      <c r="Q3944">
        <v>0.28214089999999997</v>
      </c>
      <c r="R3944">
        <v>7.4978660000000003E-2</v>
      </c>
      <c r="S3944">
        <v>3.18045</v>
      </c>
      <c r="T3944">
        <v>-0.16656789999999999</v>
      </c>
      <c r="U3944">
        <v>7.2143550000000001E-2</v>
      </c>
      <c r="V3944">
        <v>-5.8686889999999999E-2</v>
      </c>
      <c r="W3944">
        <v>0.29655140000000002</v>
      </c>
      <c r="X3944">
        <v>0.95321199999999995</v>
      </c>
      <c r="Y3944">
        <v>-5.7049730000000003E-3</v>
      </c>
      <c r="Z3944">
        <v>-4.4011750000000002E-4</v>
      </c>
      <c r="AA3944">
        <v>0.99998359999999997</v>
      </c>
      <c r="AB3944">
        <v>40</v>
      </c>
      <c r="AC3944">
        <v>20.7852</v>
      </c>
      <c r="AD3944">
        <v>-1.1104258720358</v>
      </c>
      <c r="AE3944">
        <v>0.47390000000001398</v>
      </c>
      <c r="AF3944">
        <v>-0.12064927572003099</v>
      </c>
      <c r="AG3944">
        <v>-1.1104258720358</v>
      </c>
      <c r="AH3944">
        <v>20.7311115243091</v>
      </c>
      <c r="AI3944">
        <v>93.065966871258993</v>
      </c>
      <c r="AJ3944">
        <v>90.333441660915895</v>
      </c>
      <c r="AK3944">
        <v>20.761179805067901</v>
      </c>
      <c r="AL3944">
        <v>72.749410560829702</v>
      </c>
      <c r="AM3944">
        <v>93.523111488509898</v>
      </c>
      <c r="AN3944">
        <v>1.0000000004219101</v>
      </c>
    </row>
    <row r="3945" spans="1:40" x14ac:dyDescent="0.25">
      <c r="A3945" t="str">
        <f>"20190304164930170"</f>
        <v>20190304164930170</v>
      </c>
      <c r="B3945" t="str">
        <f>"1551689370159422"</f>
        <v>1551689370159422</v>
      </c>
      <c r="C3945" t="s">
        <v>40</v>
      </c>
      <c r="D3945">
        <v>4.1877380000000004</v>
      </c>
      <c r="E3945">
        <v>0.53276420000000002</v>
      </c>
      <c r="F3945" t="s">
        <v>46</v>
      </c>
      <c r="G3945">
        <v>-273.11680000000001</v>
      </c>
      <c r="H3945" s="1">
        <v>6.6655889999999996E-8</v>
      </c>
      <c r="I3945">
        <v>215.87860000000001</v>
      </c>
      <c r="J3945">
        <v>-293.7577</v>
      </c>
      <c r="K3945">
        <v>1.1104130000000001</v>
      </c>
      <c r="L3945">
        <v>215.416</v>
      </c>
      <c r="M3945">
        <v>0.99974339999999995</v>
      </c>
      <c r="N3945">
        <v>-1.507003E-2</v>
      </c>
      <c r="O3945">
        <v>1.6918840000000001E-2</v>
      </c>
      <c r="P3945">
        <v>0.95652230000000005</v>
      </c>
      <c r="Q3945">
        <v>0.28190759999999998</v>
      </c>
      <c r="R3945">
        <v>7.4790579999999995E-2</v>
      </c>
      <c r="S3945">
        <v>3.1809080000000001</v>
      </c>
      <c r="T3945">
        <v>-0.16899500000000001</v>
      </c>
      <c r="U3945">
        <v>7.1075440000000004E-2</v>
      </c>
      <c r="V3945">
        <v>-5.8540420000000003E-2</v>
      </c>
      <c r="W3945">
        <v>0.29631819999999998</v>
      </c>
      <c r="X3945">
        <v>0.95329350000000002</v>
      </c>
      <c r="Y3945">
        <v>-5.4214959999999996E-3</v>
      </c>
      <c r="Z3945">
        <v>-4.584077E-4</v>
      </c>
      <c r="AA3945">
        <v>0.99998520000000002</v>
      </c>
      <c r="AB3945">
        <v>39</v>
      </c>
      <c r="AC3945">
        <v>20.640899999999899</v>
      </c>
      <c r="AD3945">
        <v>-1.11041293334411</v>
      </c>
      <c r="AE3945">
        <v>0.462600000000008</v>
      </c>
      <c r="AF3945">
        <v>-0.112947347738428</v>
      </c>
      <c r="AG3945">
        <v>-1.11041293334411</v>
      </c>
      <c r="AH3945">
        <v>20.586224024486299</v>
      </c>
      <c r="AI3945">
        <v>93.087473686535503</v>
      </c>
      <c r="AJ3945">
        <v>90.314353005752494</v>
      </c>
      <c r="AK3945">
        <v>20.616459287963</v>
      </c>
      <c r="AL3945">
        <v>72.763400332303704</v>
      </c>
      <c r="AM3945">
        <v>93.514040917140093</v>
      </c>
      <c r="AN3945">
        <v>0.99999997678363295</v>
      </c>
    </row>
    <row r="3946" spans="1:40" x14ac:dyDescent="0.25">
      <c r="A3946" t="str">
        <f>"20190304164930188"</f>
        <v>20190304164930188</v>
      </c>
      <c r="B3946" t="str">
        <f>"1551689370179921"</f>
        <v>1551689370179921</v>
      </c>
      <c r="C3946" t="s">
        <v>40</v>
      </c>
      <c r="D3946">
        <v>4.1859950000000001</v>
      </c>
      <c r="E3946">
        <v>0.53266539999999996</v>
      </c>
      <c r="F3946" t="s">
        <v>46</v>
      </c>
      <c r="G3946">
        <v>-272.99619999999999</v>
      </c>
      <c r="H3946" s="1">
        <v>2.4492509999999999E-9</v>
      </c>
      <c r="I3946">
        <v>215.87950000000001</v>
      </c>
      <c r="J3946">
        <v>-293.44170000000003</v>
      </c>
      <c r="K3946">
        <v>1.1103989999999999</v>
      </c>
      <c r="L3946">
        <v>215.4212</v>
      </c>
      <c r="M3946">
        <v>0.99974479999999999</v>
      </c>
      <c r="N3946">
        <v>-1.506656E-2</v>
      </c>
      <c r="O3946">
        <v>1.6837290000000001E-2</v>
      </c>
      <c r="P3946">
        <v>0.95671890000000004</v>
      </c>
      <c r="Q3946">
        <v>0.28134559999999997</v>
      </c>
      <c r="R3946">
        <v>7.4389529999999995E-2</v>
      </c>
      <c r="S3946">
        <v>3.180939</v>
      </c>
      <c r="T3946">
        <v>-0.17013049999999999</v>
      </c>
      <c r="U3946">
        <v>7.1014399999999894E-2</v>
      </c>
      <c r="V3946">
        <v>-5.8200969999999998E-2</v>
      </c>
      <c r="W3946">
        <v>0.29575800000000002</v>
      </c>
      <c r="X3946">
        <v>0.95348820000000001</v>
      </c>
      <c r="Y3946">
        <v>-5.483618E-3</v>
      </c>
      <c r="Z3946">
        <v>-4.5827299999999998E-4</v>
      </c>
      <c r="AA3946">
        <v>0.99998489999999995</v>
      </c>
      <c r="AB3946">
        <v>39</v>
      </c>
      <c r="AC3946">
        <v>20.445499999999999</v>
      </c>
      <c r="AD3946">
        <v>-1.11039899755074</v>
      </c>
      <c r="AE3946">
        <v>0.45830000000000798</v>
      </c>
      <c r="AF3946">
        <v>-0.11361420622386</v>
      </c>
      <c r="AG3946">
        <v>-1.11039899755074</v>
      </c>
      <c r="AH3946">
        <v>20.390205769714299</v>
      </c>
      <c r="AI3946">
        <v>93.117055896733703</v>
      </c>
      <c r="AJ3946">
        <v>90.319248722438303</v>
      </c>
      <c r="AK3946">
        <v>20.420734204550701</v>
      </c>
      <c r="AL3946">
        <v>72.797003141179104</v>
      </c>
      <c r="AM3946">
        <v>93.493003524238503</v>
      </c>
      <c r="AN3946">
        <v>0.999999947506089</v>
      </c>
    </row>
    <row r="3947" spans="1:40" x14ac:dyDescent="0.25">
      <c r="A3947" t="str">
        <f>"20190304164930204"</f>
        <v>20190304164930204</v>
      </c>
      <c r="B3947" t="str">
        <f>"1551689370189678"</f>
        <v>1551689370189678</v>
      </c>
      <c r="C3947" t="s">
        <v>40</v>
      </c>
      <c r="D3947">
        <v>4.2123280000000003</v>
      </c>
      <c r="E3947">
        <v>0.53260929999999995</v>
      </c>
      <c r="F3947" t="s">
        <v>46</v>
      </c>
      <c r="G3947">
        <v>-272.9402</v>
      </c>
      <c r="H3947" s="1">
        <v>-2.6969189999999999E-8</v>
      </c>
      <c r="I3947">
        <v>215.87020000000001</v>
      </c>
      <c r="J3947">
        <v>-293.17919999999998</v>
      </c>
      <c r="K3947">
        <v>1.1103799999999999</v>
      </c>
      <c r="L3947">
        <v>215.4256</v>
      </c>
      <c r="M3947">
        <v>0.99974629999999998</v>
      </c>
      <c r="N3947">
        <v>-1.5063679999999999E-2</v>
      </c>
      <c r="O3947">
        <v>1.6749989999999999E-2</v>
      </c>
      <c r="P3947">
        <v>0.95674389999999998</v>
      </c>
      <c r="Q3947">
        <v>0.28124320000000003</v>
      </c>
      <c r="R3947">
        <v>7.4456469999999997E-2</v>
      </c>
      <c r="S3947">
        <v>3.1809690000000002</v>
      </c>
      <c r="T3947">
        <v>-0.17228729999999901</v>
      </c>
      <c r="U3947">
        <v>6.9656369999999995E-2</v>
      </c>
      <c r="V3947">
        <v>-5.8337470000000002E-2</v>
      </c>
      <c r="W3947">
        <v>0.29565639999999999</v>
      </c>
      <c r="X3947">
        <v>0.95351140000000001</v>
      </c>
      <c r="Y3947">
        <v>-5.1447919999999996E-3</v>
      </c>
      <c r="Z3947">
        <v>-4.7617759999999998E-4</v>
      </c>
      <c r="AA3947">
        <v>0.99998659999999995</v>
      </c>
      <c r="AB3947">
        <v>39</v>
      </c>
      <c r="AC3947">
        <v>20.238999999999901</v>
      </c>
      <c r="AD3947">
        <v>-1.1103800269691899</v>
      </c>
      <c r="AE3947">
        <v>0.44460000000000799</v>
      </c>
      <c r="AF3947">
        <v>-0.10517968272492</v>
      </c>
      <c r="AG3947">
        <v>-1.1103800269691899</v>
      </c>
      <c r="AH3947">
        <v>20.1828868944162</v>
      </c>
      <c r="AI3947">
        <v>93.148962642772204</v>
      </c>
      <c r="AJ3947">
        <v>90.298584508182699</v>
      </c>
      <c r="AK3947">
        <v>20.2136817517925</v>
      </c>
      <c r="AL3947">
        <v>72.803097465991698</v>
      </c>
      <c r="AM3947">
        <v>93.501090411137696</v>
      </c>
      <c r="AN3947">
        <v>0.99999997859846002</v>
      </c>
    </row>
    <row r="3948" spans="1:40" x14ac:dyDescent="0.25">
      <c r="A3948" t="str">
        <f>"20190304164930218"</f>
        <v>20190304164930218</v>
      </c>
      <c r="B3948" t="str">
        <f>"1551689370210175"</f>
        <v>1551689370210175</v>
      </c>
      <c r="C3948" t="s">
        <v>40</v>
      </c>
      <c r="D3948">
        <v>4.2369409999999998</v>
      </c>
      <c r="E3948">
        <v>0.5326147</v>
      </c>
      <c r="F3948" t="s">
        <v>46</v>
      </c>
      <c r="G3948">
        <v>-272.6995</v>
      </c>
      <c r="H3948" s="1">
        <v>-1.5535260000000001E-7</v>
      </c>
      <c r="I3948">
        <v>215.87710000000001</v>
      </c>
      <c r="J3948">
        <v>-292.91930000000002</v>
      </c>
      <c r="K3948">
        <v>1.110355</v>
      </c>
      <c r="L3948">
        <v>215.4299</v>
      </c>
      <c r="M3948">
        <v>0.99974810000000003</v>
      </c>
      <c r="N3948">
        <v>-1.5060830000000001E-2</v>
      </c>
      <c r="O3948">
        <v>1.6644989999999998E-2</v>
      </c>
      <c r="P3948">
        <v>0.95683339999999995</v>
      </c>
      <c r="Q3948">
        <v>0.2809816</v>
      </c>
      <c r="R3948">
        <v>7.4291499999999996E-2</v>
      </c>
      <c r="S3948">
        <v>3.1808779999999999</v>
      </c>
      <c r="T3948">
        <v>-0.1724627</v>
      </c>
      <c r="U3948">
        <v>7.012939E-2</v>
      </c>
      <c r="V3948">
        <v>-5.8255540000000001E-2</v>
      </c>
      <c r="W3948">
        <v>0.2953963</v>
      </c>
      <c r="X3948">
        <v>0.95359700000000003</v>
      </c>
      <c r="Y3948">
        <v>-5.3985489999999999E-3</v>
      </c>
      <c r="Z3948">
        <v>-4.6414090000000002E-4</v>
      </c>
      <c r="AA3948">
        <v>0.99998529999999997</v>
      </c>
      <c r="AB3948">
        <v>39</v>
      </c>
      <c r="AC3948">
        <v>20.219799999999999</v>
      </c>
      <c r="AD3948">
        <v>-1.1103551553526001</v>
      </c>
      <c r="AE3948">
        <v>0.44720000000000898</v>
      </c>
      <c r="AF3948">
        <v>-0.110209329056734</v>
      </c>
      <c r="AG3948">
        <v>-1.1103551553526001</v>
      </c>
      <c r="AH3948">
        <v>20.1636673290825</v>
      </c>
      <c r="AI3948">
        <v>93.151883384690194</v>
      </c>
      <c r="AJ3948">
        <v>90.313160618814294</v>
      </c>
      <c r="AK3948">
        <v>20.1945169495371</v>
      </c>
      <c r="AL3948">
        <v>72.818696525718096</v>
      </c>
      <c r="AM3948">
        <v>93.495872575061398</v>
      </c>
      <c r="AN3948">
        <v>0.99999996020169002</v>
      </c>
    </row>
    <row r="3949" spans="1:40" x14ac:dyDescent="0.25">
      <c r="A3949" t="str">
        <f>"20190304164930233"</f>
        <v>20190304164930233</v>
      </c>
      <c r="B3949" t="str">
        <f>"1551689370229694"</f>
        <v>1551689370229694</v>
      </c>
      <c r="C3949" t="s">
        <v>40</v>
      </c>
      <c r="D3949">
        <v>4.3031300000000003</v>
      </c>
      <c r="E3949">
        <v>0.53268230000000005</v>
      </c>
      <c r="F3949" t="s">
        <v>46</v>
      </c>
      <c r="G3949">
        <v>-272.48919999999998</v>
      </c>
      <c r="H3949" s="1">
        <v>-2.6725060000000002E-7</v>
      </c>
      <c r="I3949">
        <v>215.87629999999999</v>
      </c>
      <c r="J3949">
        <v>-292.64859999999999</v>
      </c>
      <c r="K3949">
        <v>1.110328</v>
      </c>
      <c r="L3949">
        <v>215.43430000000001</v>
      </c>
      <c r="M3949">
        <v>0.99975040000000004</v>
      </c>
      <c r="N3949">
        <v>-1.5057869999999999E-2</v>
      </c>
      <c r="O3949">
        <v>1.6507870000000001E-2</v>
      </c>
      <c r="P3949">
        <v>0.95699420000000002</v>
      </c>
      <c r="Q3949">
        <v>0.2804488</v>
      </c>
      <c r="R3949">
        <v>7.4233590000000002E-2</v>
      </c>
      <c r="S3949">
        <v>3.1806640000000002</v>
      </c>
      <c r="T3949">
        <v>-0.17286550000000001</v>
      </c>
      <c r="U3949">
        <v>6.9503780000000001E-2</v>
      </c>
      <c r="V3949">
        <v>-5.8306440000000001E-2</v>
      </c>
      <c r="W3949">
        <v>0.29486689999999999</v>
      </c>
      <c r="X3949">
        <v>0.95375779999999999</v>
      </c>
      <c r="Y3949">
        <v>-5.3406319999999997E-3</v>
      </c>
      <c r="Z3949">
        <v>-4.6264130000000001E-4</v>
      </c>
      <c r="AA3949">
        <v>0.99998560000000003</v>
      </c>
      <c r="AB3949">
        <v>39</v>
      </c>
      <c r="AC3949">
        <v>20.159400000000002</v>
      </c>
      <c r="AD3949">
        <v>-1.1103282672506001</v>
      </c>
      <c r="AE3949">
        <v>0.44199999999997802</v>
      </c>
      <c r="AF3949">
        <v>-0.10878344832292</v>
      </c>
      <c r="AG3949">
        <v>-1.1103282672506001</v>
      </c>
      <c r="AH3949">
        <v>20.1029960377981</v>
      </c>
      <c r="AI3949">
        <v>93.161301107195797</v>
      </c>
      <c r="AJ3949">
        <v>90.310041927186603</v>
      </c>
      <c r="AK3949">
        <v>20.1339293828952</v>
      </c>
      <c r="AL3949">
        <v>72.8504443379924</v>
      </c>
      <c r="AM3949">
        <v>93.498331022446806</v>
      </c>
      <c r="AN3949">
        <v>1.0000000353609599</v>
      </c>
    </row>
    <row r="3950" spans="1:40" x14ac:dyDescent="0.25">
      <c r="A3950" t="str">
        <f>"20190304164930257"</f>
        <v>20190304164930257</v>
      </c>
      <c r="B3950" t="str">
        <f>"1551689370250190"</f>
        <v>1551689370250190</v>
      </c>
      <c r="C3950" t="s">
        <v>40</v>
      </c>
      <c r="D3950">
        <v>4.3180540000000001</v>
      </c>
      <c r="E3950">
        <v>0.53375240000000002</v>
      </c>
      <c r="F3950" t="s">
        <v>46</v>
      </c>
      <c r="G3950">
        <v>-272.47210000000001</v>
      </c>
      <c r="H3950" s="1">
        <v>-2.7584859999999998E-7</v>
      </c>
      <c r="I3950">
        <v>215.86500000000001</v>
      </c>
      <c r="J3950">
        <v>-292.23070000000001</v>
      </c>
      <c r="K3950">
        <v>1.1102669999999999</v>
      </c>
      <c r="L3950">
        <v>215.4409</v>
      </c>
      <c r="M3950">
        <v>0.99975499999999995</v>
      </c>
      <c r="N3950">
        <v>-1.505337E-2</v>
      </c>
      <c r="O3950">
        <v>1.623658E-2</v>
      </c>
      <c r="P3950">
        <v>0.95712269999999999</v>
      </c>
      <c r="Q3950">
        <v>0.28009610000000001</v>
      </c>
      <c r="R3950">
        <v>7.3908879999999996E-2</v>
      </c>
      <c r="S3950">
        <v>3.180847</v>
      </c>
      <c r="T3950">
        <v>-0.1750447</v>
      </c>
      <c r="U3950">
        <v>6.7901610000000001E-2</v>
      </c>
      <c r="V3950">
        <v>-5.8202009999999998E-2</v>
      </c>
      <c r="W3950">
        <v>0.29451880000000003</v>
      </c>
      <c r="X3950">
        <v>0.95387169999999999</v>
      </c>
      <c r="Y3950">
        <v>-5.1077370000000002E-3</v>
      </c>
      <c r="Z3950">
        <v>-4.6947440000000003E-4</v>
      </c>
      <c r="AA3950">
        <v>0.99998679999999995</v>
      </c>
      <c r="AB3950">
        <v>39</v>
      </c>
      <c r="AC3950">
        <v>19.758600000000001</v>
      </c>
      <c r="AD3950">
        <v>-1.1102672758486001</v>
      </c>
      <c r="AE3950">
        <v>0.42410000000000903</v>
      </c>
      <c r="AF3950">
        <v>-0.102871018654804</v>
      </c>
      <c r="AG3950">
        <v>-1.1102672758486001</v>
      </c>
      <c r="AH3950">
        <v>19.700705262762298</v>
      </c>
      <c r="AI3950">
        <v>93.225546721107406</v>
      </c>
      <c r="AJ3950">
        <v>90.299178204839507</v>
      </c>
      <c r="AK3950">
        <v>19.732234128971001</v>
      </c>
      <c r="AL3950">
        <v>72.871315391015202</v>
      </c>
      <c r="AM3950">
        <v>93.491664889726195</v>
      </c>
      <c r="AN3950">
        <v>1.00000000879118</v>
      </c>
    </row>
    <row r="3951" spans="1:40" x14ac:dyDescent="0.25">
      <c r="A3951" t="str">
        <f>"20190304164930270"</f>
        <v>20190304164930270</v>
      </c>
      <c r="B3951" t="str">
        <f>"1551689370259950"</f>
        <v>1551689370259950</v>
      </c>
      <c r="C3951" t="s">
        <v>40</v>
      </c>
      <c r="D3951">
        <v>4.2605649999999997</v>
      </c>
      <c r="E3951">
        <v>0.56014299999999995</v>
      </c>
      <c r="F3951" t="s">
        <v>46</v>
      </c>
      <c r="G3951">
        <v>-273.71449999999999</v>
      </c>
      <c r="H3951" s="1">
        <v>3.890183E-7</v>
      </c>
      <c r="I3951">
        <v>215.77959999999999</v>
      </c>
      <c r="J3951">
        <v>-291.98579999999998</v>
      </c>
      <c r="K3951">
        <v>1.1102289999999999</v>
      </c>
      <c r="L3951">
        <v>215.44470000000001</v>
      </c>
      <c r="M3951">
        <v>0.99975820000000004</v>
      </c>
      <c r="N3951">
        <v>-1.505074E-2</v>
      </c>
      <c r="O3951">
        <v>1.6038159999999999E-2</v>
      </c>
      <c r="P3951">
        <v>0.95718749999999997</v>
      </c>
      <c r="Q3951">
        <v>0.27994940000000001</v>
      </c>
      <c r="R3951">
        <v>7.3626399999999995E-2</v>
      </c>
      <c r="S3951">
        <v>3.185791</v>
      </c>
      <c r="T3951">
        <v>-0.19102540000000001</v>
      </c>
      <c r="U3951">
        <v>5.8273320000000003E-2</v>
      </c>
      <c r="V3951">
        <v>-5.8083269999999999E-2</v>
      </c>
      <c r="W3951">
        <v>0.29437529999999901</v>
      </c>
      <c r="X3951">
        <v>0.95392319999999997</v>
      </c>
      <c r="Y3951">
        <v>-2.2599949999999999E-3</v>
      </c>
      <c r="Z3951">
        <v>-6.3471299999999997E-4</v>
      </c>
      <c r="AA3951">
        <v>0.99999729999999998</v>
      </c>
      <c r="AB3951">
        <v>39</v>
      </c>
      <c r="AC3951">
        <v>18.2713</v>
      </c>
      <c r="AD3951">
        <v>-1.1102286109816999</v>
      </c>
      <c r="AE3951">
        <v>0.33489999999997599</v>
      </c>
      <c r="AF3951">
        <v>-4.16320545892691E-2</v>
      </c>
      <c r="AG3951">
        <v>-1.1102286109816999</v>
      </c>
      <c r="AH3951">
        <v>18.207119349665501</v>
      </c>
      <c r="AI3951">
        <v>93.489436220173204</v>
      </c>
      <c r="AJ3951">
        <v>90.131011216953695</v>
      </c>
      <c r="AK3951">
        <v>18.2409850559002</v>
      </c>
      <c r="AL3951">
        <v>72.879918188547606</v>
      </c>
      <c r="AM3951">
        <v>93.484371330028097</v>
      </c>
      <c r="AN3951">
        <v>0.99999997750111103</v>
      </c>
    </row>
    <row r="3952" spans="1:40" x14ac:dyDescent="0.25">
      <c r="A3952" t="str">
        <f>"20190304164930289"</f>
        <v>20190304164930289</v>
      </c>
      <c r="B3952" t="str">
        <f>"1551689370279470"</f>
        <v>1551689370279470</v>
      </c>
      <c r="C3952" t="s">
        <v>40</v>
      </c>
      <c r="D3952">
        <v>4.2806870000000004</v>
      </c>
      <c r="E3952">
        <v>0.55643520000000002</v>
      </c>
      <c r="F3952" t="s">
        <v>41</v>
      </c>
      <c r="G3952">
        <v>-291.25599999999997</v>
      </c>
      <c r="H3952">
        <v>0.89052050000000005</v>
      </c>
      <c r="I3952">
        <v>215.43039999999999</v>
      </c>
      <c r="J3952">
        <v>-291.6721</v>
      </c>
      <c r="K3952">
        <v>1.1101780000000001</v>
      </c>
      <c r="L3952">
        <v>215.4495</v>
      </c>
      <c r="M3952">
        <v>0.99976279999999995</v>
      </c>
      <c r="N3952">
        <v>-1.504755E-2</v>
      </c>
      <c r="O3952">
        <v>1.5748290000000002E-2</v>
      </c>
      <c r="P3952">
        <v>0.95739510000000005</v>
      </c>
      <c r="Q3952">
        <v>0.27941919999999998</v>
      </c>
      <c r="R3952">
        <v>7.2934600000000002E-2</v>
      </c>
      <c r="S3952">
        <v>3.4423520000000001</v>
      </c>
      <c r="T3952">
        <v>-1.0362450000000001</v>
      </c>
      <c r="U3952">
        <v>-6.6482540000000007E-2</v>
      </c>
      <c r="V3952">
        <v>-5.7633089999999998E-2</v>
      </c>
      <c r="W3952">
        <v>0.29385159999999899</v>
      </c>
      <c r="X3952">
        <v>0.95411199999999996</v>
      </c>
      <c r="Y3952">
        <v>3.2890790000000003E-2</v>
      </c>
      <c r="Z3952">
        <v>-9.501331E-3</v>
      </c>
      <c r="AA3952">
        <v>0.99941380000000002</v>
      </c>
      <c r="AB3952">
        <v>39</v>
      </c>
      <c r="AC3952">
        <v>0.416100000000028</v>
      </c>
      <c r="AD3952">
        <v>-0.21965750000000001</v>
      </c>
      <c r="AE3952">
        <v>-1.91000000000087E-2</v>
      </c>
      <c r="AF3952">
        <v>2.0070004858414901E-2</v>
      </c>
      <c r="AG3952">
        <v>-0.21965750000000001</v>
      </c>
      <c r="AH3952">
        <v>0.32528863558753401</v>
      </c>
      <c r="AI3952">
        <v>123.979492437166</v>
      </c>
      <c r="AJ3952">
        <v>86.4693794959516</v>
      </c>
      <c r="AK3952">
        <v>0.393020252459929</v>
      </c>
      <c r="AL3952">
        <v>72.911313333320905</v>
      </c>
      <c r="AM3952">
        <v>93.456748640452801</v>
      </c>
      <c r="AN3952">
        <v>1.00000002221475</v>
      </c>
    </row>
    <row r="3953" spans="1:40" x14ac:dyDescent="0.25">
      <c r="A3953" t="str">
        <f>"20190304164930305"</f>
        <v>20190304164930305</v>
      </c>
      <c r="B3953" t="str">
        <f>"1551689370299966"</f>
        <v>1551689370299966</v>
      </c>
      <c r="C3953" t="s">
        <v>40</v>
      </c>
      <c r="D3953">
        <v>4.2792070000000004</v>
      </c>
      <c r="E3953">
        <v>0.55464569999999902</v>
      </c>
      <c r="F3953" t="s">
        <v>41</v>
      </c>
      <c r="G3953">
        <v>-290.91640000000001</v>
      </c>
      <c r="H3953">
        <v>0.865254999999999</v>
      </c>
      <c r="I3953">
        <v>215.4427</v>
      </c>
      <c r="J3953">
        <v>-291.39510000000001</v>
      </c>
      <c r="K3953">
        <v>1.110133</v>
      </c>
      <c r="L3953">
        <v>215.45359999999999</v>
      </c>
      <c r="M3953">
        <v>0.99976739999999997</v>
      </c>
      <c r="N3953">
        <v>-1.5044699999999999E-2</v>
      </c>
      <c r="O3953">
        <v>1.5455150000000001E-2</v>
      </c>
      <c r="P3953">
        <v>0.95745740000000001</v>
      </c>
      <c r="Q3953">
        <v>0.27938550000000001</v>
      </c>
      <c r="R3953">
        <v>7.2242009999999995E-2</v>
      </c>
      <c r="S3953">
        <v>3.4633479999999999</v>
      </c>
      <c r="T3953">
        <v>-1.1223810000000001</v>
      </c>
      <c r="U3953">
        <v>-3.015137E-2</v>
      </c>
      <c r="V3953">
        <v>-5.7190070000000003E-2</v>
      </c>
      <c r="W3953">
        <v>0.2938211</v>
      </c>
      <c r="X3953">
        <v>0.95414810000000005</v>
      </c>
      <c r="Y3953">
        <v>2.224669E-2</v>
      </c>
      <c r="Z3953">
        <v>-8.3429239999999998E-3</v>
      </c>
      <c r="AA3953">
        <v>0.99971770000000004</v>
      </c>
      <c r="AB3953">
        <v>39</v>
      </c>
      <c r="AC3953">
        <v>0.47870000000000301</v>
      </c>
      <c r="AD3953">
        <v>-0.24487800000000001</v>
      </c>
      <c r="AE3953">
        <v>-1.08999999999923E-2</v>
      </c>
      <c r="AF3953">
        <v>1.4504361950150001E-2</v>
      </c>
      <c r="AG3953">
        <v>-0.24487800000000001</v>
      </c>
      <c r="AH3953">
        <v>0.37927625973896301</v>
      </c>
      <c r="AI3953">
        <v>122.82905081697901</v>
      </c>
      <c r="AJ3953">
        <v>87.809950040501704</v>
      </c>
      <c r="AK3953">
        <v>0.45169247569686</v>
      </c>
      <c r="AL3953">
        <v>72.9131423987521</v>
      </c>
      <c r="AM3953">
        <v>93.430111167909601</v>
      </c>
      <c r="AN3953">
        <v>1.0000000698227101</v>
      </c>
    </row>
    <row r="3954" spans="1:40" x14ac:dyDescent="0.25">
      <c r="A3954" t="str">
        <f>"20190304164930322"</f>
        <v>20190304164930322</v>
      </c>
      <c r="B3954" t="str">
        <f>"1551689370309726"</f>
        <v>1551689370309726</v>
      </c>
      <c r="C3954" t="s">
        <v>40</v>
      </c>
      <c r="D3954">
        <v>4.2871050000000004</v>
      </c>
      <c r="E3954">
        <v>0.55426049999999905</v>
      </c>
      <c r="F3954" t="s">
        <v>41</v>
      </c>
      <c r="G3954">
        <v>-290.57799999999997</v>
      </c>
      <c r="H3954">
        <v>0.83733369999999996</v>
      </c>
      <c r="I3954">
        <v>215.4503</v>
      </c>
      <c r="J3954">
        <v>-291.09809999999999</v>
      </c>
      <c r="K3954">
        <v>1.110079</v>
      </c>
      <c r="L3954">
        <v>215.4579</v>
      </c>
      <c r="M3954">
        <v>0.99977280000000002</v>
      </c>
      <c r="N3954">
        <v>-1.504162E-2</v>
      </c>
      <c r="O3954">
        <v>1.5102610000000001E-2</v>
      </c>
      <c r="P3954">
        <v>0.95774519999999996</v>
      </c>
      <c r="Q3954">
        <v>0.27861710000000001</v>
      </c>
      <c r="R3954">
        <v>7.1390259999999997E-2</v>
      </c>
      <c r="S3954">
        <v>3.472626</v>
      </c>
      <c r="T3954">
        <v>-1.1593929999999999</v>
      </c>
      <c r="U3954">
        <v>-1.3610840000000001E-2</v>
      </c>
      <c r="V3954">
        <v>-5.663928E-2</v>
      </c>
      <c r="W3954">
        <v>0.29305979999999998</v>
      </c>
      <c r="X3954">
        <v>0.95441500000000001</v>
      </c>
      <c r="Y3954">
        <v>1.7293019999999999E-2</v>
      </c>
      <c r="Z3954">
        <v>-7.6316689999999998E-3</v>
      </c>
      <c r="AA3954">
        <v>0.99982139999999997</v>
      </c>
      <c r="AB3954">
        <v>39</v>
      </c>
      <c r="AC3954">
        <v>0.520100000000013</v>
      </c>
      <c r="AD3954">
        <v>-0.27274530000000002</v>
      </c>
      <c r="AE3954">
        <v>-7.5999999999964898E-3</v>
      </c>
      <c r="AF3954">
        <v>1.21219908690599E-2</v>
      </c>
      <c r="AG3954">
        <v>-0.27274530000000002</v>
      </c>
      <c r="AH3954">
        <v>0.40780212777425201</v>
      </c>
      <c r="AI3954">
        <v>123.763617071989</v>
      </c>
      <c r="AJ3954">
        <v>88.297374104953093</v>
      </c>
      <c r="AK3954">
        <v>0.49075402876790197</v>
      </c>
      <c r="AL3954">
        <v>72.958769519675002</v>
      </c>
      <c r="AM3954">
        <v>93.396206181395996</v>
      </c>
      <c r="AN3954">
        <v>1.00000002331997</v>
      </c>
    </row>
    <row r="3955" spans="1:40" x14ac:dyDescent="0.25">
      <c r="A3955" t="str">
        <f>"20190304164930338"</f>
        <v>20190304164930338</v>
      </c>
      <c r="B3955" t="str">
        <f>"1551689370330222"</f>
        <v>1551689370330222</v>
      </c>
      <c r="C3955" t="s">
        <v>40</v>
      </c>
      <c r="D3955">
        <v>4.2113759999999996</v>
      </c>
      <c r="E3955">
        <v>0.55398939999999997</v>
      </c>
      <c r="F3955" t="s">
        <v>41</v>
      </c>
      <c r="G3955">
        <v>-290.23559999999998</v>
      </c>
      <c r="H3955">
        <v>0.81967269999999903</v>
      </c>
      <c r="I3955">
        <v>215.45500000000001</v>
      </c>
      <c r="J3955">
        <v>-290.81889999999999</v>
      </c>
      <c r="K3955">
        <v>1.110036</v>
      </c>
      <c r="L3955">
        <v>215.46180000000001</v>
      </c>
      <c r="M3955">
        <v>0.99977839999999996</v>
      </c>
      <c r="N3955">
        <v>-1.503878E-2</v>
      </c>
      <c r="O3955">
        <v>1.473706E-2</v>
      </c>
      <c r="P3955">
        <v>0.95788479999999998</v>
      </c>
      <c r="Q3955">
        <v>0.27829140000000002</v>
      </c>
      <c r="R3955">
        <v>7.0788909999999997E-2</v>
      </c>
      <c r="S3955">
        <v>3.4733580000000002</v>
      </c>
      <c r="T3955">
        <v>-1.169451</v>
      </c>
      <c r="U3955">
        <v>-1.055908E-2</v>
      </c>
      <c r="V3955">
        <v>-5.6354719999999997E-2</v>
      </c>
      <c r="W3955">
        <v>0.29273890000000002</v>
      </c>
      <c r="X3955">
        <v>0.95453030000000005</v>
      </c>
      <c r="Y3955">
        <v>1.6106209999999999E-2</v>
      </c>
      <c r="Z3955">
        <v>-7.3757459999999999E-3</v>
      </c>
      <c r="AA3955">
        <v>0.99984309999999998</v>
      </c>
      <c r="AB3955">
        <v>39</v>
      </c>
      <c r="AC3955">
        <v>0.58330000000000803</v>
      </c>
      <c r="AD3955">
        <v>-0.29036329999999999</v>
      </c>
      <c r="AE3955">
        <v>-6.7999999999983603E-3</v>
      </c>
      <c r="AF3955">
        <v>1.23391473717076E-2</v>
      </c>
      <c r="AG3955">
        <v>-0.29036329999999999</v>
      </c>
      <c r="AH3955">
        <v>0.46734463598299297</v>
      </c>
      <c r="AI3955">
        <v>121.843919756566</v>
      </c>
      <c r="AJ3955">
        <v>88.487589666494102</v>
      </c>
      <c r="AK3955">
        <v>0.55033999430063896</v>
      </c>
      <c r="AL3955">
        <v>72.9779987736203</v>
      </c>
      <c r="AM3955">
        <v>93.378775791666598</v>
      </c>
      <c r="AN3955">
        <v>1.0000000058287799</v>
      </c>
    </row>
    <row r="3956" spans="1:40" x14ac:dyDescent="0.25">
      <c r="A3956" t="str">
        <f>"20190304164930350"</f>
        <v>20190304164930350</v>
      </c>
      <c r="B3956" t="str">
        <f>"1551689370339982"</f>
        <v>1551689370339982</v>
      </c>
      <c r="C3956" t="s">
        <v>40</v>
      </c>
      <c r="D3956">
        <v>4.2823219999999997</v>
      </c>
      <c r="E3956">
        <v>0.55407320000000004</v>
      </c>
      <c r="F3956" t="s">
        <v>41</v>
      </c>
      <c r="G3956">
        <v>-289.8954</v>
      </c>
      <c r="H3956">
        <v>0.79771040000000004</v>
      </c>
      <c r="I3956">
        <v>215.45910000000001</v>
      </c>
      <c r="J3956">
        <v>-290.59530000000001</v>
      </c>
      <c r="K3956">
        <v>1.1100000000000001</v>
      </c>
      <c r="L3956">
        <v>215.4649</v>
      </c>
      <c r="M3956">
        <v>0.99978299999999998</v>
      </c>
      <c r="N3956">
        <v>-1.503649E-2</v>
      </c>
      <c r="O3956">
        <v>1.4417289999999999E-2</v>
      </c>
      <c r="P3956">
        <v>0.95793969999999995</v>
      </c>
      <c r="Q3956">
        <v>0.27817399999999998</v>
      </c>
      <c r="R3956">
        <v>7.0504419999999998E-2</v>
      </c>
      <c r="S3956">
        <v>3.4739689999999999</v>
      </c>
      <c r="T3956">
        <v>-1.1747909999999999</v>
      </c>
      <c r="U3956">
        <v>-1.029968E-2</v>
      </c>
      <c r="V3956">
        <v>-5.6351770000000002E-2</v>
      </c>
      <c r="W3956">
        <v>0.29262480000000002</v>
      </c>
      <c r="X3956">
        <v>0.95456549999999996</v>
      </c>
      <c r="Y3956">
        <v>1.5734629999999999E-2</v>
      </c>
      <c r="Z3956">
        <v>-7.2423779999999998E-3</v>
      </c>
      <c r="AA3956">
        <v>0.99985000000000002</v>
      </c>
      <c r="AB3956">
        <v>39</v>
      </c>
      <c r="AC3956">
        <v>0.69990000000001296</v>
      </c>
      <c r="AD3956">
        <v>-0.3122896</v>
      </c>
      <c r="AE3956">
        <v>-5.7999999999935803E-3</v>
      </c>
      <c r="AF3956">
        <v>1.3252899478590201E-2</v>
      </c>
      <c r="AG3956">
        <v>-0.3122896</v>
      </c>
      <c r="AH3956">
        <v>0.58357028882892104</v>
      </c>
      <c r="AI3956">
        <v>118.14670454765</v>
      </c>
      <c r="AJ3956">
        <v>88.699034683387495</v>
      </c>
      <c r="AK3956">
        <v>0.66200809331655497</v>
      </c>
      <c r="AL3956">
        <v>72.984836288909193</v>
      </c>
      <c r="AM3956">
        <v>93.3784750339873</v>
      </c>
      <c r="AN3956">
        <v>1.0000000446737101</v>
      </c>
    </row>
    <row r="3957" spans="1:40" x14ac:dyDescent="0.25">
      <c r="A3957" t="str">
        <f>"20190304164930368"</f>
        <v>20190304164930368</v>
      </c>
      <c r="B3957" t="str">
        <f>"1551689370359506"</f>
        <v>1551689370359506</v>
      </c>
      <c r="C3957" t="s">
        <v>40</v>
      </c>
      <c r="D3957">
        <v>4.2183659999999996</v>
      </c>
      <c r="E3957">
        <v>0.55419019999999997</v>
      </c>
      <c r="F3957" t="s">
        <v>41</v>
      </c>
      <c r="G3957">
        <v>-289.86779999999999</v>
      </c>
      <c r="H3957">
        <v>0.86381359999999996</v>
      </c>
      <c r="I3957">
        <v>215.4622</v>
      </c>
      <c r="J3957">
        <v>-290.2928</v>
      </c>
      <c r="K3957">
        <v>1.109961</v>
      </c>
      <c r="L3957">
        <v>215.46879999999999</v>
      </c>
      <c r="M3957">
        <v>0.99978959999999995</v>
      </c>
      <c r="N3957">
        <v>-1.5033329999999999E-2</v>
      </c>
      <c r="O3957">
        <v>1.395594E-2</v>
      </c>
      <c r="P3957">
        <v>0.95800839999999998</v>
      </c>
      <c r="Q3957">
        <v>0.27811720000000001</v>
      </c>
      <c r="R3957">
        <v>6.9791489999999998E-2</v>
      </c>
      <c r="S3957">
        <v>3.4739689999999999</v>
      </c>
      <c r="T3957">
        <v>-1.1754910000000001</v>
      </c>
      <c r="U3957">
        <v>-1.2527470000000001E-2</v>
      </c>
      <c r="V3957">
        <v>-5.604775E-2</v>
      </c>
      <c r="W3957">
        <v>0.29257149999999998</v>
      </c>
      <c r="X3957">
        <v>0.95459970000000005</v>
      </c>
      <c r="Y3957">
        <v>1.5924859999999999E-2</v>
      </c>
      <c r="Z3957">
        <v>-7.1342169999999896E-3</v>
      </c>
      <c r="AA3957">
        <v>0.99984770000000001</v>
      </c>
      <c r="AB3957">
        <v>39</v>
      </c>
      <c r="AC3957">
        <v>0.42500000000001098</v>
      </c>
      <c r="AD3957">
        <v>-0.24614739999999899</v>
      </c>
      <c r="AE3957">
        <v>-6.5999999999917201E-3</v>
      </c>
      <c r="AF3957">
        <v>9.3842305376091693E-3</v>
      </c>
      <c r="AG3957">
        <v>-0.24614739999999899</v>
      </c>
      <c r="AH3957">
        <v>0.31816686210315898</v>
      </c>
      <c r="AI3957">
        <v>127.715003100377</v>
      </c>
      <c r="AJ3957">
        <v>88.310568967784903</v>
      </c>
      <c r="AK3957">
        <v>0.402376389031605</v>
      </c>
      <c r="AL3957">
        <v>72.988029314884002</v>
      </c>
      <c r="AM3957">
        <v>93.360169797420795</v>
      </c>
      <c r="AN3957">
        <v>1.0000000100662001</v>
      </c>
    </row>
    <row r="3958" spans="1:40" x14ac:dyDescent="0.25">
      <c r="A3958" t="str">
        <f>"20190304164930383"</f>
        <v>20190304164930383</v>
      </c>
      <c r="B3958" t="str">
        <f>"1551689370370238"</f>
        <v>1551689370370238</v>
      </c>
      <c r="C3958" t="s">
        <v>40</v>
      </c>
      <c r="D3958">
        <v>4.2598719999999997</v>
      </c>
      <c r="E3958">
        <v>0.55428900000000003</v>
      </c>
      <c r="F3958" t="s">
        <v>41</v>
      </c>
      <c r="G3958">
        <v>-289.52460000000002</v>
      </c>
      <c r="H3958">
        <v>0.85051169999999998</v>
      </c>
      <c r="I3958">
        <v>215.4648</v>
      </c>
      <c r="J3958">
        <v>-290.03280000000001</v>
      </c>
      <c r="K3958">
        <v>1.1099239999999999</v>
      </c>
      <c r="L3958">
        <v>215.47210000000001</v>
      </c>
      <c r="M3958">
        <v>0.9997954</v>
      </c>
      <c r="N3958">
        <v>-1.503056E-2</v>
      </c>
      <c r="O3958">
        <v>1.3534020000000001E-2</v>
      </c>
      <c r="P3958">
        <v>0.95808150000000003</v>
      </c>
      <c r="Q3958">
        <v>0.27803129999999998</v>
      </c>
      <c r="R3958">
        <v>6.9126129999999994E-2</v>
      </c>
      <c r="S3958">
        <v>3.473236</v>
      </c>
      <c r="T3958">
        <v>-1.1728970000000001</v>
      </c>
      <c r="U3958">
        <v>-1.7074579999999999E-2</v>
      </c>
      <c r="V3958">
        <v>-5.5759740000000002E-2</v>
      </c>
      <c r="W3958">
        <v>0.29248800000000003</v>
      </c>
      <c r="X3958">
        <v>0.95464210000000005</v>
      </c>
      <c r="Y3958">
        <v>1.6790159999999998E-2</v>
      </c>
      <c r="Z3958">
        <v>-7.1369429999999998E-3</v>
      </c>
      <c r="AA3958">
        <v>0.99983359999999999</v>
      </c>
      <c r="AB3958">
        <v>39</v>
      </c>
      <c r="AC3958">
        <v>0.50819999999998799</v>
      </c>
      <c r="AD3958">
        <v>-0.25941229999999899</v>
      </c>
      <c r="AE3958">
        <v>-7.3000000000149603E-3</v>
      </c>
      <c r="AF3958">
        <v>1.12479173642354E-2</v>
      </c>
      <c r="AG3958">
        <v>-0.25941229999999899</v>
      </c>
      <c r="AH3958">
        <v>0.40305524329471498</v>
      </c>
      <c r="AI3958">
        <v>122.755781581847</v>
      </c>
      <c r="AJ3958">
        <v>88.401482216230704</v>
      </c>
      <c r="AK3958">
        <v>0.47945259013137498</v>
      </c>
      <c r="AL3958">
        <v>72.993031467365199</v>
      </c>
      <c r="AM3958">
        <v>93.342794168735907</v>
      </c>
      <c r="AN3958">
        <v>0.99999995892063798</v>
      </c>
    </row>
    <row r="3959" spans="1:40" x14ac:dyDescent="0.25">
      <c r="A3959" t="str">
        <f>"20190304164930396"</f>
        <v>20190304164930396</v>
      </c>
      <c r="B3959" t="str">
        <f>"1551689370389758"</f>
        <v>1551689370389758</v>
      </c>
      <c r="C3959" t="s">
        <v>40</v>
      </c>
      <c r="D3959">
        <v>4.2417499999999997</v>
      </c>
      <c r="E3959">
        <v>0.55445639999999996</v>
      </c>
      <c r="F3959" t="s">
        <v>41</v>
      </c>
      <c r="G3959">
        <v>-289.18680000000001</v>
      </c>
      <c r="H3959">
        <v>0.824615599999999</v>
      </c>
      <c r="I3959">
        <v>215.46690000000001</v>
      </c>
      <c r="J3959">
        <v>-289.79399999999998</v>
      </c>
      <c r="K3959">
        <v>1.1098939999999999</v>
      </c>
      <c r="L3959">
        <v>215.47499999999999</v>
      </c>
      <c r="M3959">
        <v>0.99980089999999999</v>
      </c>
      <c r="N3959">
        <v>-1.502796E-2</v>
      </c>
      <c r="O3959">
        <v>1.3129999999999999E-2</v>
      </c>
      <c r="P3959">
        <v>0.9581037</v>
      </c>
      <c r="Q3959">
        <v>0.27810759999999901</v>
      </c>
      <c r="R3959">
        <v>6.850842E-2</v>
      </c>
      <c r="S3959">
        <v>3.472534</v>
      </c>
      <c r="T3959">
        <v>-1.171036</v>
      </c>
      <c r="U3959">
        <v>-2.0675659999999998E-2</v>
      </c>
      <c r="V3959">
        <v>-5.5505720000000001E-2</v>
      </c>
      <c r="W3959">
        <v>0.29256599999999999</v>
      </c>
      <c r="X3959">
        <v>0.95463310000000001</v>
      </c>
      <c r="Y3959">
        <v>1.7412770000000001E-2</v>
      </c>
      <c r="Z3959">
        <v>-7.1077719999999896E-3</v>
      </c>
      <c r="AA3959">
        <v>0.99982309999999996</v>
      </c>
      <c r="AB3959">
        <v>39</v>
      </c>
      <c r="AC3959">
        <v>0.60720000000003405</v>
      </c>
      <c r="AD3959">
        <v>-0.28527839999999999</v>
      </c>
      <c r="AE3959">
        <v>-8.0999999999846698E-3</v>
      </c>
      <c r="AF3959">
        <v>1.3166849798668201E-2</v>
      </c>
      <c r="AG3959">
        <v>-0.28527839999999999</v>
      </c>
      <c r="AH3959">
        <v>0.49729059947264997</v>
      </c>
      <c r="AI3959">
        <v>119.832736224249</v>
      </c>
      <c r="AJ3959">
        <v>88.483324019537605</v>
      </c>
      <c r="AK3959">
        <v>0.573458866671402</v>
      </c>
      <c r="AL3959">
        <v>72.9883596043247</v>
      </c>
      <c r="AM3959">
        <v>93.327631279868498</v>
      </c>
      <c r="AN3959">
        <v>1.0000000524621599</v>
      </c>
    </row>
    <row r="3960" spans="1:40" x14ac:dyDescent="0.25">
      <c r="A3960" t="str">
        <f>"20190304164930411"</f>
        <v>20190304164930411</v>
      </c>
      <c r="B3960" t="str">
        <f>"1551689370399518"</f>
        <v>1551689370399518</v>
      </c>
      <c r="C3960" t="s">
        <v>40</v>
      </c>
      <c r="D3960">
        <v>4.2796849999999997</v>
      </c>
      <c r="E3960">
        <v>0.55458790000000002</v>
      </c>
      <c r="F3960" t="s">
        <v>41</v>
      </c>
      <c r="G3960">
        <v>-288.85129999999998</v>
      </c>
      <c r="H3960">
        <v>0.7934966</v>
      </c>
      <c r="I3960">
        <v>215.4682</v>
      </c>
      <c r="J3960">
        <v>-289.53410000000002</v>
      </c>
      <c r="K3960">
        <v>1.1098600000000001</v>
      </c>
      <c r="L3960">
        <v>215.47800000000001</v>
      </c>
      <c r="M3960">
        <v>0.99980690000000005</v>
      </c>
      <c r="N3960">
        <v>-1.502502E-2</v>
      </c>
      <c r="O3960">
        <v>1.266427E-2</v>
      </c>
      <c r="P3960">
        <v>0.95823389999999997</v>
      </c>
      <c r="Q3960">
        <v>0.277779099999999</v>
      </c>
      <c r="R3960">
        <v>6.8019759999999999E-2</v>
      </c>
      <c r="S3960">
        <v>3.4710390000000002</v>
      </c>
      <c r="T3960">
        <v>-1.164871</v>
      </c>
      <c r="U3960">
        <v>-2.4291989999999999E-2</v>
      </c>
      <c r="V3960">
        <v>-5.5438189999999998E-2</v>
      </c>
      <c r="W3960">
        <v>0.29224090000000003</v>
      </c>
      <c r="X3960">
        <v>0.95473649999999999</v>
      </c>
      <c r="Y3960">
        <v>1.799682E-2</v>
      </c>
      <c r="Z3960">
        <v>-7.029441E-3</v>
      </c>
      <c r="AA3960">
        <v>0.99981330000000002</v>
      </c>
      <c r="AB3960">
        <v>39</v>
      </c>
      <c r="AC3960">
        <v>0.68280000000004204</v>
      </c>
      <c r="AD3960">
        <v>-0.31636340000000002</v>
      </c>
      <c r="AE3960">
        <v>-9.7999999999842605E-3</v>
      </c>
      <c r="AF3960">
        <v>1.5187597910348001E-2</v>
      </c>
      <c r="AG3960">
        <v>-0.31636340000000002</v>
      </c>
      <c r="AH3960">
        <v>0.56199794294746797</v>
      </c>
      <c r="AI3960">
        <v>119.367363527002</v>
      </c>
      <c r="AJ3960">
        <v>88.4519987498619</v>
      </c>
      <c r="AK3960">
        <v>0.64510321024393602</v>
      </c>
      <c r="AL3960">
        <v>73.007836142463603</v>
      </c>
      <c r="AM3960">
        <v>93.323232715197904</v>
      </c>
      <c r="AN3960">
        <v>0.99999996048776696</v>
      </c>
    </row>
    <row r="3961" spans="1:40" x14ac:dyDescent="0.25">
      <c r="A3961" t="str">
        <f>"20190304164930435"</f>
        <v>20190304164930435</v>
      </c>
      <c r="B3961" t="str">
        <f>"1551689370429774"</f>
        <v>1551689370429774</v>
      </c>
      <c r="C3961" t="s">
        <v>40</v>
      </c>
      <c r="D3961">
        <v>4.2781599999999997</v>
      </c>
      <c r="E3961">
        <v>0.55477290000000001</v>
      </c>
      <c r="F3961" t="s">
        <v>41</v>
      </c>
      <c r="G3961">
        <v>-288.81939999999997</v>
      </c>
      <c r="H3961">
        <v>0.86997369999999996</v>
      </c>
      <c r="I3961">
        <v>215.47219999999999</v>
      </c>
      <c r="J3961">
        <v>-289.1268</v>
      </c>
      <c r="K3961">
        <v>1.1098110000000001</v>
      </c>
      <c r="L3961">
        <v>215.48249999999999</v>
      </c>
      <c r="M3961">
        <v>0.99981640000000005</v>
      </c>
      <c r="N3961">
        <v>-1.5020510000000001E-2</v>
      </c>
      <c r="O3961">
        <v>1.1902650000000001E-2</v>
      </c>
      <c r="P3961">
        <v>0.95813669999999995</v>
      </c>
      <c r="Q3961">
        <v>0.27830199999999999</v>
      </c>
      <c r="R3961">
        <v>6.7246780000000006E-2</v>
      </c>
      <c r="S3961">
        <v>3.4703369999999998</v>
      </c>
      <c r="T3961">
        <v>-1.164739</v>
      </c>
      <c r="U3961">
        <v>-2.708435E-2</v>
      </c>
      <c r="V3961">
        <v>-5.5360180000000002E-2</v>
      </c>
      <c r="W3961">
        <v>0.29276390000000002</v>
      </c>
      <c r="X3961">
        <v>0.95458080000000001</v>
      </c>
      <c r="Y3961">
        <v>1.8074409999999999E-2</v>
      </c>
      <c r="Z3961">
        <v>-6.8056719999999996E-3</v>
      </c>
      <c r="AA3961">
        <v>0.99981350000000002</v>
      </c>
      <c r="AB3961">
        <v>39</v>
      </c>
      <c r="AC3961">
        <v>0.30740000000002898</v>
      </c>
      <c r="AD3961">
        <v>-0.2398373</v>
      </c>
      <c r="AE3961">
        <v>-1.03000000000008E-2</v>
      </c>
      <c r="AF3961">
        <v>8.6804316263573503E-3</v>
      </c>
      <c r="AG3961">
        <v>-0.2398373</v>
      </c>
      <c r="AH3961">
        <v>0.19107356306737999</v>
      </c>
      <c r="AI3961">
        <v>141.42758253298399</v>
      </c>
      <c r="AJ3961">
        <v>87.398853322992295</v>
      </c>
      <c r="AK3961">
        <v>0.30676764312387</v>
      </c>
      <c r="AL3961">
        <v>72.976500246333998</v>
      </c>
      <c r="AM3961">
        <v>93.3191069535563</v>
      </c>
      <c r="AN3961">
        <v>0.99999997720074096</v>
      </c>
    </row>
    <row r="3962" spans="1:40" x14ac:dyDescent="0.25">
      <c r="A3962" t="str">
        <f>"20190304164930458"</f>
        <v>20190304164930458</v>
      </c>
      <c r="B3962" t="str">
        <f>"1551689370450269"</f>
        <v>1551689370450269</v>
      </c>
      <c r="C3962" t="s">
        <v>40</v>
      </c>
      <c r="D3962">
        <v>4.2740349999999996</v>
      </c>
      <c r="E3962">
        <v>0.55489809999999995</v>
      </c>
      <c r="F3962" t="s">
        <v>41</v>
      </c>
      <c r="G3962">
        <v>-288.464</v>
      </c>
      <c r="H3962">
        <v>0.88732649999999902</v>
      </c>
      <c r="I3962">
        <v>215.47649999999999</v>
      </c>
      <c r="J3962">
        <v>-288.73660000000001</v>
      </c>
      <c r="K3962">
        <v>1.1097649999999999</v>
      </c>
      <c r="L3962">
        <v>215.4864</v>
      </c>
      <c r="M3962">
        <v>0.99982539999999998</v>
      </c>
      <c r="N3962">
        <v>-1.501625E-2</v>
      </c>
      <c r="O3962">
        <v>1.11258E-2</v>
      </c>
      <c r="P3962">
        <v>0.95822909999999994</v>
      </c>
      <c r="Q3962">
        <v>0.2782115</v>
      </c>
      <c r="R3962">
        <v>6.6298049999999997E-2</v>
      </c>
      <c r="S3962">
        <v>3.4717099999999999</v>
      </c>
      <c r="T3962">
        <v>-1.165178</v>
      </c>
      <c r="U3962">
        <v>-3.1311039999999998E-2</v>
      </c>
      <c r="V3962">
        <v>-5.512276E-2</v>
      </c>
      <c r="W3962">
        <v>0.29267589999999999</v>
      </c>
      <c r="X3962">
        <v>0.95462159999999996</v>
      </c>
      <c r="Y3962">
        <v>1.852471E-2</v>
      </c>
      <c r="Z3962">
        <v>-6.6401659999999899E-3</v>
      </c>
      <c r="AA3962">
        <v>0.99980630000000004</v>
      </c>
      <c r="AB3962">
        <v>39</v>
      </c>
      <c r="AC3962">
        <v>0.272600000000011</v>
      </c>
      <c r="AD3962">
        <v>-0.22243850000000001</v>
      </c>
      <c r="AE3962">
        <v>-9.9000000000160002E-3</v>
      </c>
      <c r="AF3962">
        <v>7.7675252535414404E-3</v>
      </c>
      <c r="AG3962">
        <v>-0.22243850000000001</v>
      </c>
      <c r="AH3962">
        <v>0.163651318287236</v>
      </c>
      <c r="AI3962">
        <v>143.62675132747901</v>
      </c>
      <c r="AJ3962">
        <v>87.282559853918698</v>
      </c>
      <c r="AK3962">
        <v>0.27626251050036499</v>
      </c>
      <c r="AL3962">
        <v>72.981774520858593</v>
      </c>
      <c r="AM3962">
        <v>93.304763175129494</v>
      </c>
      <c r="AN3962">
        <v>1.0000000501486901</v>
      </c>
    </row>
    <row r="3963" spans="1:40" x14ac:dyDescent="0.25">
      <c r="A3963" t="str">
        <f>"20190304164930478"</f>
        <v>20190304164930478</v>
      </c>
      <c r="B3963" t="str">
        <f>"1551689370469794"</f>
        <v>1551689370469794</v>
      </c>
      <c r="C3963" t="s">
        <v>40</v>
      </c>
      <c r="D3963">
        <v>4.2561589999999896</v>
      </c>
      <c r="E3963">
        <v>0.55496210000000001</v>
      </c>
      <c r="F3963" t="s">
        <v>41</v>
      </c>
      <c r="G3963">
        <v>-287.80739999999997</v>
      </c>
      <c r="H3963">
        <v>0.79747819999999903</v>
      </c>
      <c r="I3963">
        <v>215.477</v>
      </c>
      <c r="J3963">
        <v>-288.37180000000001</v>
      </c>
      <c r="K3963">
        <v>1.1097330000000001</v>
      </c>
      <c r="L3963">
        <v>215.4898</v>
      </c>
      <c r="M3963">
        <v>0.99983359999999999</v>
      </c>
      <c r="N3963">
        <v>-1.501239E-2</v>
      </c>
      <c r="O3963">
        <v>1.036511E-2</v>
      </c>
      <c r="P3963">
        <v>0.95828460000000004</v>
      </c>
      <c r="Q3963">
        <v>0.27820899999999998</v>
      </c>
      <c r="R3963">
        <v>6.5502299999999999E-2</v>
      </c>
      <c r="S3963">
        <v>3.4719540000000002</v>
      </c>
      <c r="T3963">
        <v>-1.166868</v>
      </c>
      <c r="U3963">
        <v>-3.482056E-2</v>
      </c>
      <c r="V3963">
        <v>-5.50258E-2</v>
      </c>
      <c r="W3963">
        <v>0.29267539999999997</v>
      </c>
      <c r="X3963">
        <v>0.95462729999999996</v>
      </c>
      <c r="Y3963">
        <v>1.8792340000000001E-2</v>
      </c>
      <c r="Z3963">
        <v>-6.4570360000000002E-3</v>
      </c>
      <c r="AA3963">
        <v>0.99980250000000004</v>
      </c>
      <c r="AB3963">
        <v>39</v>
      </c>
      <c r="AC3963">
        <v>0.56440000000003399</v>
      </c>
      <c r="AD3963">
        <v>-0.3122548</v>
      </c>
      <c r="AE3963">
        <v>-1.27999999999985E-2</v>
      </c>
      <c r="AF3963">
        <v>1.42810495826967E-2</v>
      </c>
      <c r="AG3963">
        <v>-0.3122548</v>
      </c>
      <c r="AH3963">
        <v>0.43205787024613401</v>
      </c>
      <c r="AI3963">
        <v>125.84136280163401</v>
      </c>
      <c r="AJ3963">
        <v>88.106859908804907</v>
      </c>
      <c r="AK3963">
        <v>0.53327386185884695</v>
      </c>
      <c r="AL3963">
        <v>72.981803691807499</v>
      </c>
      <c r="AM3963">
        <v>93.298943348730504</v>
      </c>
      <c r="AN3963">
        <v>1.00000000516804</v>
      </c>
    </row>
    <row r="3964" spans="1:40" x14ac:dyDescent="0.25">
      <c r="A3964" t="str">
        <f>"20190304164930492"</f>
        <v>20190304164930492</v>
      </c>
      <c r="B3964" t="str">
        <f>"1551689370479551"</f>
        <v>1551689370479551</v>
      </c>
      <c r="C3964" t="s">
        <v>40</v>
      </c>
      <c r="D3964">
        <v>4.2799759999999996</v>
      </c>
      <c r="E3964">
        <v>0.55498579999999997</v>
      </c>
      <c r="F3964" t="s">
        <v>41</v>
      </c>
      <c r="G3964">
        <v>-287.45870000000002</v>
      </c>
      <c r="H3964">
        <v>0.80248109999999995</v>
      </c>
      <c r="I3964">
        <v>215.47980000000001</v>
      </c>
      <c r="J3964">
        <v>-288.13780000000003</v>
      </c>
      <c r="K3964">
        <v>1.10971</v>
      </c>
      <c r="L3964">
        <v>215.49180000000001</v>
      </c>
      <c r="M3964">
        <v>0.99983869999999997</v>
      </c>
      <c r="N3964">
        <v>-1.5009939999999999E-2</v>
      </c>
      <c r="O3964">
        <v>9.8626459999999992E-3</v>
      </c>
      <c r="P3964">
        <v>0.9583178</v>
      </c>
      <c r="Q3964">
        <v>0.27821489999999999</v>
      </c>
      <c r="R3964">
        <v>6.4990069999999997E-2</v>
      </c>
      <c r="S3964">
        <v>3.4722900000000001</v>
      </c>
      <c r="T3964">
        <v>-1.1683490000000001</v>
      </c>
      <c r="U3964">
        <v>-3.7185669999999997E-2</v>
      </c>
      <c r="V3964">
        <v>-5.4976999999999998E-2</v>
      </c>
      <c r="W3964">
        <v>0.29268189999999999</v>
      </c>
      <c r="X3964">
        <v>0.95462809999999998</v>
      </c>
      <c r="Y3964">
        <v>1.8980609999999998E-2</v>
      </c>
      <c r="Z3964">
        <v>-6.3393199999999999E-3</v>
      </c>
      <c r="AA3964">
        <v>0.99979969999999996</v>
      </c>
      <c r="AB3964">
        <v>39</v>
      </c>
      <c r="AC3964">
        <v>0.67910000000000503</v>
      </c>
      <c r="AD3964">
        <v>-0.30722890000000003</v>
      </c>
      <c r="AE3964">
        <v>-1.2000000000000399E-2</v>
      </c>
      <c r="AF3964">
        <v>1.5521983004115201E-2</v>
      </c>
      <c r="AG3964">
        <v>-0.30722890000000003</v>
      </c>
      <c r="AH3964">
        <v>0.56362650986850404</v>
      </c>
      <c r="AI3964">
        <v>118.585368825557</v>
      </c>
      <c r="AJ3964">
        <v>88.422502544786099</v>
      </c>
      <c r="AK3964">
        <v>0.64211009303556399</v>
      </c>
      <c r="AL3964">
        <v>72.981413899477104</v>
      </c>
      <c r="AM3964">
        <v>93.296021355859594</v>
      </c>
      <c r="AN3964">
        <v>0.99999998721310901</v>
      </c>
    </row>
    <row r="3965" spans="1:40" x14ac:dyDescent="0.25">
      <c r="A3965" t="str">
        <f>"20190304164930504"</f>
        <v>20190304164930504</v>
      </c>
      <c r="B3965" t="str">
        <f>"1551689370500046"</f>
        <v>1551689370500046</v>
      </c>
      <c r="C3965" t="s">
        <v>40</v>
      </c>
      <c r="D3965">
        <v>4.294219</v>
      </c>
      <c r="E3965">
        <v>0.55499279999999995</v>
      </c>
      <c r="F3965" t="s">
        <v>41</v>
      </c>
      <c r="G3965">
        <v>-287.4298</v>
      </c>
      <c r="H3965">
        <v>0.87137529999999996</v>
      </c>
      <c r="I3965">
        <v>215.4836</v>
      </c>
      <c r="J3965">
        <v>-287.92419999999998</v>
      </c>
      <c r="K3965">
        <v>1.109691</v>
      </c>
      <c r="L3965">
        <v>215.49350000000001</v>
      </c>
      <c r="M3965">
        <v>0.99984320000000004</v>
      </c>
      <c r="N3965">
        <v>-1.5007700000000001E-2</v>
      </c>
      <c r="O3965">
        <v>9.3927969999999996E-3</v>
      </c>
      <c r="P3965">
        <v>0.95830780000000004</v>
      </c>
      <c r="Q3965">
        <v>0.27840510000000002</v>
      </c>
      <c r="R3965">
        <v>6.4318059999999996E-2</v>
      </c>
      <c r="S3965">
        <v>3.472534</v>
      </c>
      <c r="T3965">
        <v>-1.1690560000000001</v>
      </c>
      <c r="U3965">
        <v>-3.9154050000000003E-2</v>
      </c>
      <c r="V3965">
        <v>-5.4739690000000001E-2</v>
      </c>
      <c r="W3965">
        <v>0.29287200000000002</v>
      </c>
      <c r="X3965">
        <v>0.95458350000000003</v>
      </c>
      <c r="Y3965">
        <v>1.909224E-2</v>
      </c>
      <c r="Z3965">
        <v>-6.2146149999999997E-3</v>
      </c>
      <c r="AA3965">
        <v>0.99979839999999998</v>
      </c>
      <c r="AB3965">
        <v>39</v>
      </c>
      <c r="AC3965">
        <v>0.49439999999998402</v>
      </c>
      <c r="AD3965">
        <v>-0.23831569999999899</v>
      </c>
      <c r="AE3965">
        <v>-9.9000000000160002E-3</v>
      </c>
      <c r="AF3965">
        <v>1.1802611660946601E-2</v>
      </c>
      <c r="AG3965">
        <v>-0.23831569999999899</v>
      </c>
      <c r="AH3965">
        <v>0.40112088100756599</v>
      </c>
      <c r="AI3965">
        <v>120.70469430630099</v>
      </c>
      <c r="AJ3965">
        <v>88.314610853600897</v>
      </c>
      <c r="AK3965">
        <v>0.46672436800406603</v>
      </c>
      <c r="AL3965">
        <v>72.970023929832095</v>
      </c>
      <c r="AM3965">
        <v>93.281978136384893</v>
      </c>
      <c r="AN3965">
        <v>1.00000005025877</v>
      </c>
    </row>
    <row r="3966" spans="1:40" x14ac:dyDescent="0.25">
      <c r="A3966" t="str">
        <f>"20190304164930523"</f>
        <v>20190304164930523</v>
      </c>
      <c r="B3966" t="str">
        <f>"1551689370519567"</f>
        <v>1551689370519567</v>
      </c>
      <c r="C3966" t="s">
        <v>40</v>
      </c>
      <c r="D3966">
        <v>4.3002880000000001</v>
      </c>
      <c r="E3966">
        <v>0.55498400000000003</v>
      </c>
      <c r="F3966" t="s">
        <v>41</v>
      </c>
      <c r="G3966">
        <v>-287.10019999999997</v>
      </c>
      <c r="H3966">
        <v>0.83204140000000004</v>
      </c>
      <c r="I3966">
        <v>215.4837</v>
      </c>
      <c r="J3966">
        <v>-287.6044</v>
      </c>
      <c r="K3966">
        <v>1.109658</v>
      </c>
      <c r="L3966">
        <v>215.4958</v>
      </c>
      <c r="M3966">
        <v>0.99984989999999996</v>
      </c>
      <c r="N3966">
        <v>-1.500435E-2</v>
      </c>
      <c r="O3966">
        <v>8.6736239999999996E-3</v>
      </c>
      <c r="P3966">
        <v>0.95829470000000005</v>
      </c>
      <c r="Q3966">
        <v>0.2787153</v>
      </c>
      <c r="R3966">
        <v>6.3162599999999999E-2</v>
      </c>
      <c r="S3966">
        <v>3.473328</v>
      </c>
      <c r="T3966">
        <v>-1.1704270000000001</v>
      </c>
      <c r="U3966">
        <v>-4.1351319999999997E-2</v>
      </c>
      <c r="V3966">
        <v>-5.4251359999999998E-2</v>
      </c>
      <c r="W3966">
        <v>0.29318109999999997</v>
      </c>
      <c r="X3966">
        <v>0.95451649999999999</v>
      </c>
      <c r="Y3966">
        <v>1.9039380000000002E-2</v>
      </c>
      <c r="Z3966">
        <v>-5.9857819999999898E-3</v>
      </c>
      <c r="AA3966">
        <v>0.99980080000000005</v>
      </c>
      <c r="AB3966">
        <v>39</v>
      </c>
      <c r="AC3966">
        <v>0.50420000000002496</v>
      </c>
      <c r="AD3966">
        <v>-0.27761659999999999</v>
      </c>
      <c r="AE3966">
        <v>-1.21000000000037E-2</v>
      </c>
      <c r="AF3966">
        <v>1.2642627815857E-2</v>
      </c>
      <c r="AG3966">
        <v>-0.27761659999999999</v>
      </c>
      <c r="AH3966">
        <v>0.386859624267619</v>
      </c>
      <c r="AI3966">
        <v>125.649337753921</v>
      </c>
      <c r="AJ3966">
        <v>88.128231890714005</v>
      </c>
      <c r="AK3966">
        <v>0.47633095797159097</v>
      </c>
      <c r="AL3966">
        <v>72.951500853946499</v>
      </c>
      <c r="AM3966">
        <v>93.252990756123296</v>
      </c>
      <c r="AN3966">
        <v>1.0000000581156501</v>
      </c>
    </row>
    <row r="3967" spans="1:40" x14ac:dyDescent="0.25">
      <c r="A3967" t="str">
        <f>"20190304164930539"</f>
        <v>20190304164930539</v>
      </c>
      <c r="B3967" t="str">
        <f>"1551689370530303"</f>
        <v>1551689370530303</v>
      </c>
      <c r="C3967" t="s">
        <v>40</v>
      </c>
      <c r="D3967">
        <v>4.2908150000000003</v>
      </c>
      <c r="E3967">
        <v>0.55497739999999995</v>
      </c>
      <c r="F3967" t="s">
        <v>41</v>
      </c>
      <c r="G3967">
        <v>-286.75760000000002</v>
      </c>
      <c r="H3967">
        <v>0.8241446</v>
      </c>
      <c r="I3967">
        <v>215.4847</v>
      </c>
      <c r="J3967">
        <v>-287.33100000000002</v>
      </c>
      <c r="K3967">
        <v>1.1096330000000001</v>
      </c>
      <c r="L3967">
        <v>215.49770000000001</v>
      </c>
      <c r="M3967">
        <v>0.99985520000000006</v>
      </c>
      <c r="N3967">
        <v>-1.5001499999999999E-2</v>
      </c>
      <c r="O3967">
        <v>8.0417530000000004E-3</v>
      </c>
      <c r="P3967">
        <v>0.95831670000000002</v>
      </c>
      <c r="Q3967">
        <v>0.2788292</v>
      </c>
      <c r="R3967">
        <v>6.2320059999999997E-2</v>
      </c>
      <c r="S3967">
        <v>3.474243</v>
      </c>
      <c r="T3967">
        <v>-1.171368</v>
      </c>
      <c r="U3967">
        <v>-4.4799800000000001E-2</v>
      </c>
      <c r="V3967">
        <v>-5.3995870000000001E-2</v>
      </c>
      <c r="W3967">
        <v>0.29329499999999997</v>
      </c>
      <c r="X3967">
        <v>0.95449589999999995</v>
      </c>
      <c r="Y3967">
        <v>1.9405740000000001E-2</v>
      </c>
      <c r="Z3967">
        <v>-5.8536650000000001E-3</v>
      </c>
      <c r="AA3967">
        <v>0.99979450000000003</v>
      </c>
      <c r="AB3967">
        <v>39</v>
      </c>
      <c r="AC3967">
        <v>0.57339999999993496</v>
      </c>
      <c r="AD3967">
        <v>-0.28548839999999998</v>
      </c>
      <c r="AE3967">
        <v>-1.30000000000052E-2</v>
      </c>
      <c r="AF3967">
        <v>1.41142378796276E-2</v>
      </c>
      <c r="AG3967">
        <v>-0.28548839999999998</v>
      </c>
      <c r="AH3967">
        <v>0.45944333503776202</v>
      </c>
      <c r="AI3967">
        <v>121.843833267734</v>
      </c>
      <c r="AJ3967">
        <v>88.240409756442304</v>
      </c>
      <c r="AK3967">
        <v>0.54110166914924995</v>
      </c>
      <c r="AL3967">
        <v>72.944673186942495</v>
      </c>
      <c r="AM3967">
        <v>93.237773598889902</v>
      </c>
      <c r="AN3967">
        <v>0.99999996705943195</v>
      </c>
    </row>
    <row r="3968" spans="1:40" x14ac:dyDescent="0.25">
      <c r="A3968" t="str">
        <f>"20190304164930550"</f>
        <v>20190304164930550</v>
      </c>
      <c r="B3968" t="str">
        <f>"1551689370540062"</f>
        <v>1551689370540062</v>
      </c>
      <c r="C3968" t="s">
        <v>40</v>
      </c>
      <c r="D3968">
        <v>4.3107699999999998</v>
      </c>
      <c r="E3968">
        <v>0.55497280000000004</v>
      </c>
      <c r="F3968" t="s">
        <v>41</v>
      </c>
      <c r="G3968">
        <v>-286.42090000000002</v>
      </c>
      <c r="H3968">
        <v>0.8026605</v>
      </c>
      <c r="I3968">
        <v>215.4853</v>
      </c>
      <c r="J3968">
        <v>-287.11270000000002</v>
      </c>
      <c r="K3968">
        <v>1.1096170000000001</v>
      </c>
      <c r="L3968">
        <v>215.499</v>
      </c>
      <c r="M3968">
        <v>0.99985919999999895</v>
      </c>
      <c r="N3968">
        <v>-1.499931E-2</v>
      </c>
      <c r="O3968">
        <v>7.5250289999999999E-3</v>
      </c>
      <c r="P3968">
        <v>0.95836659999999996</v>
      </c>
      <c r="Q3968">
        <v>0.27887479999999998</v>
      </c>
      <c r="R3968">
        <v>6.1337269999999999E-2</v>
      </c>
      <c r="S3968">
        <v>3.4745180000000002</v>
      </c>
      <c r="T3968">
        <v>-1.1719109999999999</v>
      </c>
      <c r="U3968">
        <v>-4.695129E-2</v>
      </c>
      <c r="V3968">
        <v>-5.3493499999999902E-2</v>
      </c>
      <c r="W3968">
        <v>0.29334060000000001</v>
      </c>
      <c r="X3968">
        <v>0.95451019999999998</v>
      </c>
      <c r="Y3968">
        <v>1.9525089999999998E-2</v>
      </c>
      <c r="Z3968">
        <v>-5.7142390000000003E-3</v>
      </c>
      <c r="AA3968">
        <v>0.99979309999999999</v>
      </c>
      <c r="AB3968">
        <v>39</v>
      </c>
      <c r="AC3968">
        <v>0.69179999999999997</v>
      </c>
      <c r="AD3968">
        <v>-0.30695650000000002</v>
      </c>
      <c r="AE3968">
        <v>-1.37000000000284E-2</v>
      </c>
      <c r="AF3968">
        <v>1.57971532013284E-2</v>
      </c>
      <c r="AG3968">
        <v>-0.30695650000000002</v>
      </c>
      <c r="AH3968">
        <v>0.57793954230607503</v>
      </c>
      <c r="AI3968">
        <v>117.964899312207</v>
      </c>
      <c r="AJ3968">
        <v>88.434291423966997</v>
      </c>
      <c r="AK3968">
        <v>0.65458838784572904</v>
      </c>
      <c r="AL3968">
        <v>72.941940731892501</v>
      </c>
      <c r="AM3968">
        <v>93.207665051855301</v>
      </c>
      <c r="AN3968">
        <v>0.99999999202732404</v>
      </c>
    </row>
    <row r="3969" spans="1:40" x14ac:dyDescent="0.25">
      <c r="A3969" t="str">
        <f>"20190304164930568"</f>
        <v>20190304164930568</v>
      </c>
      <c r="B3969" t="str">
        <f>"1551689370559586"</f>
        <v>1551689370559586</v>
      </c>
      <c r="C3969" t="s">
        <v>40</v>
      </c>
      <c r="D3969">
        <v>4.3062310000000004</v>
      </c>
      <c r="E3969">
        <v>0.55498449999999999</v>
      </c>
      <c r="F3969" t="s">
        <v>41</v>
      </c>
      <c r="G3969">
        <v>-286.39400000000001</v>
      </c>
      <c r="H3969">
        <v>0.86706949999999905</v>
      </c>
      <c r="I3969">
        <v>215.4888</v>
      </c>
      <c r="J3969">
        <v>-286.81220000000002</v>
      </c>
      <c r="K3969">
        <v>1.1095969999999999</v>
      </c>
      <c r="L3969">
        <v>215.50059999999999</v>
      </c>
      <c r="M3969">
        <v>0.99986459999999999</v>
      </c>
      <c r="N3969">
        <v>-1.4996239999999999E-2</v>
      </c>
      <c r="O3969">
        <v>6.7980879999999999E-3</v>
      </c>
      <c r="P3969">
        <v>0.95836350000000003</v>
      </c>
      <c r="Q3969">
        <v>0.2792018</v>
      </c>
      <c r="R3969">
        <v>5.9883760000000001E-2</v>
      </c>
      <c r="S3969">
        <v>3.474701</v>
      </c>
      <c r="T3969">
        <v>-1.1725749999999999</v>
      </c>
      <c r="U3969">
        <v>-4.9346920000000002E-2</v>
      </c>
      <c r="V3969">
        <v>-5.2717890000000003E-2</v>
      </c>
      <c r="W3969">
        <v>0.29366520000000002</v>
      </c>
      <c r="X3969">
        <v>0.95445349999999995</v>
      </c>
      <c r="Y3969">
        <v>1.952212E-2</v>
      </c>
      <c r="Z3969">
        <v>-5.4883989999999997E-3</v>
      </c>
      <c r="AA3969">
        <v>0.99979439999999997</v>
      </c>
      <c r="AB3969">
        <v>39</v>
      </c>
      <c r="AC3969">
        <v>0.41820000000001201</v>
      </c>
      <c r="AD3969">
        <v>-0.24252750000000001</v>
      </c>
      <c r="AE3969">
        <v>-1.17999999999938E-2</v>
      </c>
      <c r="AF3969">
        <v>1.0959896457006501E-2</v>
      </c>
      <c r="AG3969">
        <v>-0.24252750000000001</v>
      </c>
      <c r="AH3969">
        <v>0.31294415874389098</v>
      </c>
      <c r="AI3969">
        <v>127.758199935848</v>
      </c>
      <c r="AJ3969">
        <v>87.994213197576101</v>
      </c>
      <c r="AK3969">
        <v>0.39607291510341902</v>
      </c>
      <c r="AL3969">
        <v>72.922485027923202</v>
      </c>
      <c r="AM3969">
        <v>93.161439088811406</v>
      </c>
      <c r="AN3969">
        <v>0.99999995463966995</v>
      </c>
    </row>
    <row r="3970" spans="1:40" x14ac:dyDescent="0.25">
      <c r="A3970" t="str">
        <f>"20190304164930582"</f>
        <v>20190304164930582</v>
      </c>
      <c r="B3970" t="str">
        <f>"1551689370570319"</f>
        <v>1551689370570319</v>
      </c>
      <c r="C3970" t="s">
        <v>40</v>
      </c>
      <c r="D3970">
        <v>4.3767430000000003</v>
      </c>
      <c r="E3970">
        <v>0.55492219999999903</v>
      </c>
      <c r="F3970" t="s">
        <v>41</v>
      </c>
      <c r="G3970">
        <v>-286.05450000000002</v>
      </c>
      <c r="H3970">
        <v>0.85400949999999998</v>
      </c>
      <c r="I3970">
        <v>215.48849999999999</v>
      </c>
      <c r="J3970">
        <v>-286.59399999999999</v>
      </c>
      <c r="K3970">
        <v>1.109583</v>
      </c>
      <c r="L3970">
        <v>215.5016</v>
      </c>
      <c r="M3970">
        <v>0.99986810000000004</v>
      </c>
      <c r="N3970">
        <v>-1.4993980000000001E-2</v>
      </c>
      <c r="O3970">
        <v>6.2601790000000003E-3</v>
      </c>
      <c r="P3970">
        <v>0.95834609999999998</v>
      </c>
      <c r="Q3970">
        <v>0.27940479999999901</v>
      </c>
      <c r="R3970">
        <v>5.9210260000000001E-2</v>
      </c>
      <c r="S3970">
        <v>3.4751889999999999</v>
      </c>
      <c r="T3970">
        <v>-1.1721820000000001</v>
      </c>
      <c r="U3970">
        <v>-5.4336549999999997E-2</v>
      </c>
      <c r="V3970">
        <v>-5.2546540000000003E-2</v>
      </c>
      <c r="W3970">
        <v>0.29386760000000001</v>
      </c>
      <c r="X3970">
        <v>0.95440069999999999</v>
      </c>
      <c r="Y3970">
        <v>2.0395409999999999E-2</v>
      </c>
      <c r="Z3970">
        <v>-5.4672380000000001E-3</v>
      </c>
      <c r="AA3970">
        <v>0.99977700000000003</v>
      </c>
      <c r="AB3970">
        <v>39</v>
      </c>
      <c r="AC3970">
        <v>0.539499999999975</v>
      </c>
      <c r="AD3970">
        <v>-0.25557350000000001</v>
      </c>
      <c r="AE3970">
        <v>-1.3100000000008501E-2</v>
      </c>
      <c r="AF3970">
        <v>1.34589095534278E-2</v>
      </c>
      <c r="AG3970">
        <v>-0.25557350000000001</v>
      </c>
      <c r="AH3970">
        <v>0.44059112761973801</v>
      </c>
      <c r="AI3970">
        <v>120.1051192468</v>
      </c>
      <c r="AJ3970">
        <v>88.250307509133705</v>
      </c>
      <c r="AK3970">
        <v>0.50952870172920495</v>
      </c>
      <c r="AL3970">
        <v>72.910353876900004</v>
      </c>
      <c r="AM3970">
        <v>93.151358124075202</v>
      </c>
      <c r="AN3970">
        <v>1.00000000067811</v>
      </c>
    </row>
    <row r="3971" spans="1:40" x14ac:dyDescent="0.25">
      <c r="A3971" t="str">
        <f>"20190304164930595"</f>
        <v>20190304164930595</v>
      </c>
      <c r="B3971" t="str">
        <f>"1551689370589838"</f>
        <v>1551689370589838</v>
      </c>
      <c r="C3971" t="s">
        <v>40</v>
      </c>
      <c r="D3971">
        <v>4.2822250000000004</v>
      </c>
      <c r="E3971">
        <v>0.55484840000000002</v>
      </c>
      <c r="F3971" t="s">
        <v>41</v>
      </c>
      <c r="G3971">
        <v>-285.7253</v>
      </c>
      <c r="H3971">
        <v>0.81644380000000005</v>
      </c>
      <c r="I3971">
        <v>215.48740000000001</v>
      </c>
      <c r="J3971">
        <v>-286.34829999999999</v>
      </c>
      <c r="K3971">
        <v>1.109567</v>
      </c>
      <c r="L3971">
        <v>215.5027</v>
      </c>
      <c r="M3971">
        <v>0.99987170000000003</v>
      </c>
      <c r="N3971">
        <v>-1.499142E-2</v>
      </c>
      <c r="O3971">
        <v>5.6460059999999899E-3</v>
      </c>
      <c r="P3971">
        <v>0.95833089999999999</v>
      </c>
      <c r="Q3971">
        <v>0.27956809999999999</v>
      </c>
      <c r="R3971">
        <v>5.868553E-2</v>
      </c>
      <c r="S3971">
        <v>3.4758610000000001</v>
      </c>
      <c r="T3971">
        <v>-1.1729019999999999</v>
      </c>
      <c r="U3971">
        <v>-5.6793209999999997E-2</v>
      </c>
      <c r="V3971">
        <v>-5.2596570000000002E-2</v>
      </c>
      <c r="W3971">
        <v>0.29403020000000002</v>
      </c>
      <c r="X3971">
        <v>0.95434779999999997</v>
      </c>
      <c r="Y3971">
        <v>2.0508060000000002E-2</v>
      </c>
      <c r="Z3971">
        <v>-5.2960380000000003E-3</v>
      </c>
      <c r="AA3971">
        <v>0.99977559999999999</v>
      </c>
      <c r="AB3971">
        <v>39</v>
      </c>
      <c r="AC3971">
        <v>0.62299999999999001</v>
      </c>
      <c r="AD3971">
        <v>-0.29312319999999897</v>
      </c>
      <c r="AE3971">
        <v>-1.5299999999996299E-2</v>
      </c>
      <c r="AF3971">
        <v>1.5408619593171E-2</v>
      </c>
      <c r="AG3971">
        <v>-0.29312319999999897</v>
      </c>
      <c r="AH3971">
        <v>0.51005861995594803</v>
      </c>
      <c r="AI3971">
        <v>119.874061798049</v>
      </c>
      <c r="AJ3971">
        <v>88.269648984646295</v>
      </c>
      <c r="AK3971">
        <v>0.58848825963427098</v>
      </c>
      <c r="AL3971">
        <v>72.900605915916799</v>
      </c>
      <c r="AM3971">
        <v>93.154526996609704</v>
      </c>
      <c r="AN3971">
        <v>0.99999994052632002</v>
      </c>
    </row>
    <row r="3972" spans="1:40" x14ac:dyDescent="0.25">
      <c r="A3972" t="str">
        <f>"20190304164930608"</f>
        <v>20190304164930608</v>
      </c>
      <c r="B3972" t="str">
        <f>"1551689370599598"</f>
        <v>1551689370599598</v>
      </c>
      <c r="C3972" t="s">
        <v>40</v>
      </c>
      <c r="D3972">
        <v>4.4132579999999999</v>
      </c>
      <c r="E3972">
        <v>0.55484999999999995</v>
      </c>
      <c r="F3972" t="s">
        <v>41</v>
      </c>
      <c r="G3972">
        <v>-285.39280000000002</v>
      </c>
      <c r="H3972">
        <v>0.78679100000000002</v>
      </c>
      <c r="I3972">
        <v>215.4864</v>
      </c>
      <c r="J3972">
        <v>-286.12139999999999</v>
      </c>
      <c r="K3972">
        <v>1.1095520000000001</v>
      </c>
      <c r="L3972">
        <v>215.5034</v>
      </c>
      <c r="M3972">
        <v>0.99987490000000001</v>
      </c>
      <c r="N3972">
        <v>-1.4989010000000001E-2</v>
      </c>
      <c r="O3972">
        <v>5.0661580000000003E-3</v>
      </c>
      <c r="P3972">
        <v>0.95824569999999998</v>
      </c>
      <c r="Q3972">
        <v>0.28001740000000003</v>
      </c>
      <c r="R3972">
        <v>5.7929109999999999E-2</v>
      </c>
      <c r="S3972">
        <v>3.4766240000000002</v>
      </c>
      <c r="T3972">
        <v>-1.174396</v>
      </c>
      <c r="U3972">
        <v>-5.8212279999999998E-2</v>
      </c>
      <c r="V3972">
        <v>-5.238288E-2</v>
      </c>
      <c r="W3972">
        <v>0.29447689999999999</v>
      </c>
      <c r="X3972">
        <v>0.95422189999999996</v>
      </c>
      <c r="Y3972">
        <v>2.0367240000000002E-2</v>
      </c>
      <c r="Z3972">
        <v>-5.0949100000000002E-3</v>
      </c>
      <c r="AA3972">
        <v>0.99977959999999999</v>
      </c>
      <c r="AB3972">
        <v>39</v>
      </c>
      <c r="AC3972">
        <v>0.72859999999997105</v>
      </c>
      <c r="AD3972">
        <v>-0.32276100000000002</v>
      </c>
      <c r="AE3972">
        <v>-1.69999999999959E-2</v>
      </c>
      <c r="AF3972">
        <v>1.7298598457777498E-2</v>
      </c>
      <c r="AG3972">
        <v>-0.32276100000000002</v>
      </c>
      <c r="AH3972">
        <v>0.60905050850496101</v>
      </c>
      <c r="AI3972">
        <v>117.911405705674</v>
      </c>
      <c r="AJ3972">
        <v>88.373090113841002</v>
      </c>
      <c r="AK3972">
        <v>0.68950447898454903</v>
      </c>
      <c r="AL3972">
        <v>72.873827734090995</v>
      </c>
      <c r="AM3972">
        <v>93.142150161790994</v>
      </c>
      <c r="AN3972">
        <v>1.00000002259515</v>
      </c>
    </row>
    <row r="3973" spans="1:40" x14ac:dyDescent="0.25">
      <c r="A3973" t="str">
        <f>"20190304164930624"</f>
        <v>20190304164930624</v>
      </c>
      <c r="B3973" t="str">
        <f>"1551689370620096"</f>
        <v>1551689370620096</v>
      </c>
      <c r="C3973" t="s">
        <v>40</v>
      </c>
      <c r="D3973">
        <v>4.2003909999999998</v>
      </c>
      <c r="E3973">
        <v>0.558299199999999</v>
      </c>
      <c r="F3973" t="s">
        <v>41</v>
      </c>
      <c r="G3973">
        <v>-285.36500000000001</v>
      </c>
      <c r="H3973">
        <v>0.85474689999999998</v>
      </c>
      <c r="I3973">
        <v>215.49</v>
      </c>
      <c r="J3973">
        <v>-285.85230000000001</v>
      </c>
      <c r="K3973">
        <v>1.109531</v>
      </c>
      <c r="L3973">
        <v>215.5042</v>
      </c>
      <c r="M3973">
        <v>0.99987820000000005</v>
      </c>
      <c r="N3973">
        <v>-1.498619E-2</v>
      </c>
      <c r="O3973">
        <v>4.3705259999999996E-3</v>
      </c>
      <c r="P3973">
        <v>0.95814339999999998</v>
      </c>
      <c r="Q3973">
        <v>0.280564799999999</v>
      </c>
      <c r="R3973">
        <v>5.6962680000000002E-2</v>
      </c>
      <c r="S3973">
        <v>3.4765630000000001</v>
      </c>
      <c r="T3973">
        <v>-1.1710339999999999</v>
      </c>
      <c r="U3973">
        <v>-6.0440059999999997E-2</v>
      </c>
      <c r="V3973">
        <v>-5.2068419999999997E-2</v>
      </c>
      <c r="W3973">
        <v>0.29502139999999999</v>
      </c>
      <c r="X3973">
        <v>0.95407090000000006</v>
      </c>
      <c r="Y3973">
        <v>2.0356079999999999E-2</v>
      </c>
      <c r="Z3973">
        <v>-4.8615589999999997E-3</v>
      </c>
      <c r="AA3973">
        <v>0.99978100000000003</v>
      </c>
      <c r="AB3973">
        <v>39</v>
      </c>
      <c r="AC3973">
        <v>0.48730000000000401</v>
      </c>
      <c r="AD3973">
        <v>-0.25478410000000001</v>
      </c>
      <c r="AE3973">
        <v>-1.4199999999988199E-2</v>
      </c>
      <c r="AF3973">
        <v>1.28264588035614E-2</v>
      </c>
      <c r="AG3973">
        <v>-0.25478410000000001</v>
      </c>
      <c r="AH3973">
        <v>0.38270243947536797</v>
      </c>
      <c r="AI3973">
        <v>123.638851847014</v>
      </c>
      <c r="AJ3973">
        <v>88.080422552224107</v>
      </c>
      <c r="AK3973">
        <v>0.45993544420782301</v>
      </c>
      <c r="AL3973">
        <v>72.841179643525095</v>
      </c>
      <c r="AM3973">
        <v>93.123818305545498</v>
      </c>
      <c r="AN3973">
        <v>1.0000000145230299</v>
      </c>
    </row>
    <row r="3974" spans="1:40" x14ac:dyDescent="0.25">
      <c r="A3974" t="str">
        <f>"20190304164930641"</f>
        <v>20190304164930641</v>
      </c>
      <c r="B3974" t="str">
        <f>"1551689370629855"</f>
        <v>1551689370629855</v>
      </c>
      <c r="C3974" t="s">
        <v>40</v>
      </c>
      <c r="D3974">
        <v>4.2248619999999999</v>
      </c>
      <c r="E3974">
        <v>0.55633869999999996</v>
      </c>
      <c r="F3974" t="s">
        <v>41</v>
      </c>
      <c r="G3974">
        <v>-284.99799999999999</v>
      </c>
      <c r="H3974">
        <v>0.90911830000000005</v>
      </c>
      <c r="I3974">
        <v>215.4716</v>
      </c>
      <c r="J3974">
        <v>-285.56760000000003</v>
      </c>
      <c r="K3974">
        <v>1.109513</v>
      </c>
      <c r="L3974">
        <v>215.50470000000001</v>
      </c>
      <c r="M3974">
        <v>0.99988129999999997</v>
      </c>
      <c r="N3974">
        <v>-1.498324E-2</v>
      </c>
      <c r="O3974">
        <v>3.6247240000000002E-3</v>
      </c>
      <c r="P3974">
        <v>0.95812569999999997</v>
      </c>
      <c r="Q3974">
        <v>0.28078789999999998</v>
      </c>
      <c r="R3974">
        <v>5.615759E-2</v>
      </c>
      <c r="S3974">
        <v>3.3701479999999999</v>
      </c>
      <c r="T3974">
        <v>-0.79065039999999998</v>
      </c>
      <c r="U3974">
        <v>-0.1280975</v>
      </c>
      <c r="V3974">
        <v>-5.1964610000000001E-2</v>
      </c>
      <c r="W3974">
        <v>0.29524280000000003</v>
      </c>
      <c r="X3974">
        <v>0.95400799999999997</v>
      </c>
      <c r="Y3974">
        <v>4.0352199999999998E-2</v>
      </c>
      <c r="Z3974">
        <v>-5.7602119999999998E-3</v>
      </c>
      <c r="AA3974">
        <v>0.99916890000000003</v>
      </c>
      <c r="AB3974">
        <v>38</v>
      </c>
      <c r="AC3974">
        <v>0.56960000000003597</v>
      </c>
      <c r="AD3974">
        <v>-0.20039469999999901</v>
      </c>
      <c r="AE3974">
        <v>-3.3100000000018698E-2</v>
      </c>
      <c r="AF3974">
        <v>3.1303152809998201E-2</v>
      </c>
      <c r="AG3974">
        <v>-0.20039469999999901</v>
      </c>
      <c r="AH3974">
        <v>0.50694089365751105</v>
      </c>
      <c r="AI3974">
        <v>111.531733953461</v>
      </c>
      <c r="AJ3974">
        <v>86.466522616078706</v>
      </c>
      <c r="AK3974">
        <v>0.54601006659787199</v>
      </c>
      <c r="AL3974">
        <v>72.827901787551497</v>
      </c>
      <c r="AM3974">
        <v>93.117807720803896</v>
      </c>
      <c r="AN3974">
        <v>0.99999994785414403</v>
      </c>
    </row>
    <row r="3975" spans="1:40" x14ac:dyDescent="0.25">
      <c r="A3975" t="str">
        <f>"20190304164930659"</f>
        <v>20190304164930659</v>
      </c>
      <c r="B3975" t="str">
        <f>"1551689370650350"</f>
        <v>1551689370650350</v>
      </c>
      <c r="C3975" t="s">
        <v>40</v>
      </c>
      <c r="D3975">
        <v>4.2012119999999999</v>
      </c>
      <c r="E3975">
        <v>0.55019910000000005</v>
      </c>
      <c r="F3975" t="s">
        <v>41</v>
      </c>
      <c r="G3975">
        <v>-284.65260000000001</v>
      </c>
      <c r="H3975">
        <v>0.91312280000000001</v>
      </c>
      <c r="I3975">
        <v>215.4709</v>
      </c>
      <c r="J3975">
        <v>-285.2688</v>
      </c>
      <c r="K3975">
        <v>1.1094980000000001</v>
      </c>
      <c r="L3975">
        <v>215.5051</v>
      </c>
      <c r="M3975">
        <v>0.99988370000000004</v>
      </c>
      <c r="N3975">
        <v>-1.4980129999999999E-2</v>
      </c>
      <c r="O3975">
        <v>2.8318639999999999E-3</v>
      </c>
      <c r="P3975">
        <v>0.95798629999999996</v>
      </c>
      <c r="Q3975">
        <v>0.28143109999999999</v>
      </c>
      <c r="R3975">
        <v>5.530446E-2</v>
      </c>
      <c r="S3975">
        <v>3.3489379999999902</v>
      </c>
      <c r="T3975">
        <v>-0.71881870000000003</v>
      </c>
      <c r="U3975">
        <v>-0.12239070000000001</v>
      </c>
      <c r="V3975">
        <v>-5.1857880000000002E-2</v>
      </c>
      <c r="W3975">
        <v>0.29588229999999999</v>
      </c>
      <c r="X3975">
        <v>0.95381570000000004</v>
      </c>
      <c r="Y3975">
        <v>3.8361199999999998E-2</v>
      </c>
      <c r="Z3975">
        <v>-4.9190090000000002E-3</v>
      </c>
      <c r="AA3975">
        <v>0.99925180000000002</v>
      </c>
      <c r="AB3975">
        <v>38</v>
      </c>
      <c r="AC3975">
        <v>0.61619999999999198</v>
      </c>
      <c r="AD3975">
        <v>-0.196375199999999</v>
      </c>
      <c r="AE3975">
        <v>-3.4199999999998398E-2</v>
      </c>
      <c r="AF3975">
        <v>3.2640236244224997E-2</v>
      </c>
      <c r="AG3975">
        <v>-0.196375199999999</v>
      </c>
      <c r="AH3975">
        <v>0.55945587646083805</v>
      </c>
      <c r="AI3975">
        <v>109.311235498462</v>
      </c>
      <c r="AJ3975">
        <v>86.660987473600699</v>
      </c>
      <c r="AK3975">
        <v>0.59381771774146597</v>
      </c>
      <c r="AL3975">
        <v>72.789548210970096</v>
      </c>
      <c r="AM3975">
        <v>93.112042721025901</v>
      </c>
      <c r="AN3975">
        <v>0.99999998236893695</v>
      </c>
    </row>
    <row r="3976" spans="1:40" x14ac:dyDescent="0.25">
      <c r="A3976" t="str">
        <f>"20190304164930679"</f>
        <v>20190304164930679</v>
      </c>
      <c r="B3976" t="str">
        <f>"1551689370669924"</f>
        <v>1551689370669924</v>
      </c>
      <c r="C3976" t="s">
        <v>40</v>
      </c>
      <c r="D3976">
        <v>4.6724410000000001</v>
      </c>
      <c r="E3976">
        <v>0.55189589999999999</v>
      </c>
      <c r="F3976" t="s">
        <v>41</v>
      </c>
      <c r="G3976">
        <v>-284.25720000000001</v>
      </c>
      <c r="H3976">
        <v>1.020915</v>
      </c>
      <c r="I3976">
        <v>215.4675</v>
      </c>
      <c r="J3976">
        <v>-284.90719999999999</v>
      </c>
      <c r="K3976">
        <v>1.1094710000000001</v>
      </c>
      <c r="L3976">
        <v>215.5052</v>
      </c>
      <c r="M3976">
        <v>0.99988600000000005</v>
      </c>
      <c r="N3976">
        <v>-1.497633E-2</v>
      </c>
      <c r="O3976">
        <v>1.8605E-3</v>
      </c>
      <c r="P3976">
        <v>0.9581383</v>
      </c>
      <c r="Q3976">
        <v>0.28113589999999999</v>
      </c>
      <c r="R3976">
        <v>5.4161519999999998E-2</v>
      </c>
      <c r="S3976">
        <v>3.2213440000000002</v>
      </c>
      <c r="T3976">
        <v>-0.28207650000000001</v>
      </c>
      <c r="U3976">
        <v>-0.11952210000000001</v>
      </c>
      <c r="V3976">
        <v>-5.1633600000000002E-2</v>
      </c>
      <c r="W3976">
        <v>0.29558669999999998</v>
      </c>
      <c r="X3976">
        <v>0.95391950000000003</v>
      </c>
      <c r="Y3976">
        <v>3.8758569999999999E-2</v>
      </c>
      <c r="Z3976">
        <v>-2.1188579999999999E-3</v>
      </c>
      <c r="AA3976">
        <v>0.99924639999999998</v>
      </c>
      <c r="AB3976">
        <v>38</v>
      </c>
      <c r="AC3976">
        <v>0.64999999999997704</v>
      </c>
      <c r="AD3976">
        <v>-8.8555999999999802E-2</v>
      </c>
      <c r="AE3976">
        <v>-3.7700000000000899E-2</v>
      </c>
      <c r="AF3976">
        <v>3.82026800705711E-2</v>
      </c>
      <c r="AG3976">
        <v>-8.8555999999999802E-2</v>
      </c>
      <c r="AH3976">
        <v>0.63812400210387499</v>
      </c>
      <c r="AI3976">
        <v>97.886848106686699</v>
      </c>
      <c r="AJ3976">
        <v>86.573952821287804</v>
      </c>
      <c r="AK3976">
        <v>0.64537109631718104</v>
      </c>
      <c r="AL3976">
        <v>72.807277655293205</v>
      </c>
      <c r="AM3976">
        <v>93.098273225079595</v>
      </c>
      <c r="AN3976">
        <v>0.99999996917304901</v>
      </c>
    </row>
    <row r="3977" spans="1:40" x14ac:dyDescent="0.25">
      <c r="A3977" t="str">
        <f>"20190304164930694"</f>
        <v>20190304164930694</v>
      </c>
      <c r="B3977" t="str">
        <f>"1551689370689444"</f>
        <v>1551689370689444</v>
      </c>
      <c r="C3977" t="s">
        <v>40</v>
      </c>
      <c r="D3977">
        <v>4.25204</v>
      </c>
      <c r="E3977">
        <v>0.55264990000000003</v>
      </c>
      <c r="F3977" t="s">
        <v>41</v>
      </c>
      <c r="G3977">
        <v>-283.90640000000002</v>
      </c>
      <c r="H3977">
        <v>1.0370820000000001</v>
      </c>
      <c r="I3977">
        <v>215.46080000000001</v>
      </c>
      <c r="J3977">
        <v>-284.65370000000001</v>
      </c>
      <c r="K3977">
        <v>1.1094619999999999</v>
      </c>
      <c r="L3977">
        <v>215.5051</v>
      </c>
      <c r="M3977">
        <v>0.99988719999999998</v>
      </c>
      <c r="N3977">
        <v>-1.497366E-2</v>
      </c>
      <c r="O3977">
        <v>1.174773E-3</v>
      </c>
      <c r="P3977">
        <v>0.95817319999999995</v>
      </c>
      <c r="Q3977">
        <v>0.28118080000000001</v>
      </c>
      <c r="R3977">
        <v>5.3307569999999999E-2</v>
      </c>
      <c r="S3977">
        <v>3.207214</v>
      </c>
      <c r="T3977">
        <v>-0.23214770000000001</v>
      </c>
      <c r="U3977">
        <v>-0.14147950000000001</v>
      </c>
      <c r="V3977">
        <v>-5.142911E-2</v>
      </c>
      <c r="W3977">
        <v>0.29562959999999999</v>
      </c>
      <c r="X3977">
        <v>0.95391729999999997</v>
      </c>
      <c r="Y3977">
        <v>4.5099599999999997E-2</v>
      </c>
      <c r="Z3977">
        <v>-2.034985E-3</v>
      </c>
      <c r="AA3977">
        <v>0.99898039999999999</v>
      </c>
      <c r="AB3977">
        <v>38</v>
      </c>
      <c r="AC3977">
        <v>0.74729999999999497</v>
      </c>
      <c r="AD3977">
        <v>-7.2380000000000097E-2</v>
      </c>
      <c r="AE3977">
        <v>-4.4299999999992602E-2</v>
      </c>
      <c r="AF3977">
        <v>4.4759558551079298E-2</v>
      </c>
      <c r="AG3977">
        <v>-7.2380000000000097E-2</v>
      </c>
      <c r="AH3977">
        <v>0.74032678152713105</v>
      </c>
      <c r="AI3977">
        <v>95.573813291186795</v>
      </c>
      <c r="AJ3977">
        <v>86.540155007558695</v>
      </c>
      <c r="AK3977">
        <v>0.74520200343799903</v>
      </c>
      <c r="AL3977">
        <v>72.804705481669799</v>
      </c>
      <c r="AM3977">
        <v>93.086033674423305</v>
      </c>
      <c r="AN3977">
        <v>1.00000001449542</v>
      </c>
    </row>
    <row r="3978" spans="1:40" x14ac:dyDescent="0.25">
      <c r="A3978" t="str">
        <f>"20190304164930712"</f>
        <v>20190304164930712</v>
      </c>
      <c r="B3978" t="str">
        <f>"1551689370709941"</f>
        <v>1551689370709941</v>
      </c>
      <c r="C3978" t="s">
        <v>40</v>
      </c>
      <c r="D3978">
        <v>4.2011279999999998</v>
      </c>
      <c r="E3978">
        <v>0.55314449999999904</v>
      </c>
      <c r="F3978" t="s">
        <v>46</v>
      </c>
      <c r="G3978">
        <v>-267.05869999999999</v>
      </c>
      <c r="H3978" s="1">
        <v>2.2174109999999998E-6</v>
      </c>
      <c r="I3978">
        <v>214.66470000000001</v>
      </c>
      <c r="J3978">
        <v>-284.33800000000002</v>
      </c>
      <c r="K3978">
        <v>1.109464</v>
      </c>
      <c r="L3978">
        <v>215.50470000000001</v>
      </c>
      <c r="M3978">
        <v>0.99988790000000005</v>
      </c>
      <c r="N3978">
        <v>-1.497034E-2</v>
      </c>
      <c r="O3978">
        <v>3.1555789999999998E-4</v>
      </c>
      <c r="P3978">
        <v>0.9580997</v>
      </c>
      <c r="Q3978">
        <v>0.28164359999999999</v>
      </c>
      <c r="R3978">
        <v>5.2173579999999997E-2</v>
      </c>
      <c r="S3978">
        <v>3.198639</v>
      </c>
      <c r="T3978">
        <v>-0.20169139999999999</v>
      </c>
      <c r="U3978">
        <v>-0.15278630000000001</v>
      </c>
      <c r="V3978">
        <v>-5.1110379999999997E-2</v>
      </c>
      <c r="W3978">
        <v>0.29608780000000001</v>
      </c>
      <c r="X3978">
        <v>0.95379230000000004</v>
      </c>
      <c r="Y3978">
        <v>4.7908930000000002E-2</v>
      </c>
      <c r="Z3978">
        <v>-1.882522E-3</v>
      </c>
      <c r="AA3978">
        <v>0.99884989999999996</v>
      </c>
      <c r="AB3978">
        <v>38</v>
      </c>
      <c r="AC3978">
        <v>17.2792999999999</v>
      </c>
      <c r="AD3978">
        <v>-1.1094617825890001</v>
      </c>
      <c r="AE3978">
        <v>-0.84000000000000297</v>
      </c>
      <c r="AF3978">
        <v>0.84199017440679003</v>
      </c>
      <c r="AG3978">
        <v>-1.1094617825890001</v>
      </c>
      <c r="AH3978">
        <v>17.208258337882999</v>
      </c>
      <c r="AI3978">
        <v>93.684508643983605</v>
      </c>
      <c r="AJ3978">
        <v>87.198784518452896</v>
      </c>
      <c r="AK3978">
        <v>17.264530341835101</v>
      </c>
      <c r="AL3978">
        <v>72.777221986835301</v>
      </c>
      <c r="AM3978">
        <v>93.067345894608493</v>
      </c>
      <c r="AN3978">
        <v>1.00000000389593</v>
      </c>
    </row>
    <row r="3979" spans="1:40" x14ac:dyDescent="0.25">
      <c r="A3979" t="str">
        <f>"20190304164930727"</f>
        <v>20190304164930727</v>
      </c>
      <c r="B3979" t="str">
        <f>"1551689370719700"</f>
        <v>1551689370719700</v>
      </c>
      <c r="C3979" t="s">
        <v>40</v>
      </c>
      <c r="D3979">
        <v>4.2093780000000001</v>
      </c>
      <c r="E3979">
        <v>0.55322179999999999</v>
      </c>
      <c r="F3979" t="s">
        <v>46</v>
      </c>
      <c r="G3979">
        <v>-266.32670000000002</v>
      </c>
      <c r="H3979" s="1">
        <v>1.8307520000000001E-6</v>
      </c>
      <c r="I3979">
        <v>214.59880000000001</v>
      </c>
      <c r="J3979">
        <v>-284.08089999999999</v>
      </c>
      <c r="K3979">
        <v>1.1094619999999999</v>
      </c>
      <c r="L3979">
        <v>215.5042</v>
      </c>
      <c r="M3979">
        <v>0.99988790000000005</v>
      </c>
      <c r="N3979">
        <v>-1.4967650000000001E-2</v>
      </c>
      <c r="O3979">
        <v>-3.8719280000000002E-4</v>
      </c>
      <c r="P3979">
        <v>0.958063</v>
      </c>
      <c r="Q3979">
        <v>0.28194039999999998</v>
      </c>
      <c r="R3979">
        <v>5.12366E-2</v>
      </c>
      <c r="S3979">
        <v>3.197845</v>
      </c>
      <c r="T3979">
        <v>-0.19698109999999999</v>
      </c>
      <c r="U3979">
        <v>-0.16084289999999901</v>
      </c>
      <c r="V3979">
        <v>-5.0841299999999999E-2</v>
      </c>
      <c r="W3979">
        <v>0.29638109999999901</v>
      </c>
      <c r="X3979">
        <v>0.9537156</v>
      </c>
      <c r="Y3979">
        <v>4.9730480000000001E-2</v>
      </c>
      <c r="Z3979">
        <v>-1.8840790000000001E-3</v>
      </c>
      <c r="AA3979">
        <v>0.99876089999999995</v>
      </c>
      <c r="AB3979">
        <v>38</v>
      </c>
      <c r="AC3979">
        <v>17.754199999999901</v>
      </c>
      <c r="AD3979">
        <v>-1.1094601692479999</v>
      </c>
      <c r="AE3979">
        <v>-0.90539999999998599</v>
      </c>
      <c r="AF3979">
        <v>0.89503880154816295</v>
      </c>
      <c r="AG3979">
        <v>-1.1094601692479999</v>
      </c>
      <c r="AH3979">
        <v>17.6856658596007</v>
      </c>
      <c r="AI3979">
        <v>93.585008683234705</v>
      </c>
      <c r="AJ3979">
        <v>87.102838392011407</v>
      </c>
      <c r="AK3979">
        <v>17.743020408624599</v>
      </c>
      <c r="AL3979">
        <v>72.759627691940196</v>
      </c>
      <c r="AM3979">
        <v>93.051472805435097</v>
      </c>
      <c r="AN3979">
        <v>1.00000001995312</v>
      </c>
    </row>
    <row r="3980" spans="1:40" x14ac:dyDescent="0.25">
      <c r="A3980" t="str">
        <f>"20190304164930741"</f>
        <v>20190304164930741</v>
      </c>
      <c r="B3980" t="str">
        <f>"1551689370729726"</f>
        <v>1551689370729726</v>
      </c>
      <c r="C3980" t="s">
        <v>40</v>
      </c>
      <c r="D3980">
        <v>4.2188980000000003</v>
      </c>
      <c r="E3980">
        <v>0.55335749999999995</v>
      </c>
      <c r="F3980" t="s">
        <v>46</v>
      </c>
      <c r="G3980">
        <v>-265.88200000000001</v>
      </c>
      <c r="H3980" s="1">
        <v>1.595523E-6</v>
      </c>
      <c r="I3980">
        <v>214.56559999999999</v>
      </c>
      <c r="J3980">
        <v>-283.8569</v>
      </c>
      <c r="K3980">
        <v>1.1094599999999999</v>
      </c>
      <c r="L3980">
        <v>215.5035</v>
      </c>
      <c r="M3980">
        <v>0.99988770000000005</v>
      </c>
      <c r="N3980">
        <v>-1.4965289999999999E-2</v>
      </c>
      <c r="O3980">
        <v>-1.000211E-3</v>
      </c>
      <c r="P3980">
        <v>0.95798439999999996</v>
      </c>
      <c r="Q3980">
        <v>0.2823136</v>
      </c>
      <c r="R3980">
        <v>5.0646990000000003E-2</v>
      </c>
      <c r="S3980">
        <v>3.197479</v>
      </c>
      <c r="T3980">
        <v>-0.1949282</v>
      </c>
      <c r="U3980">
        <v>-0.16490170000000001</v>
      </c>
      <c r="V3980">
        <v>-5.0834730000000002E-2</v>
      </c>
      <c r="W3980">
        <v>0.29675089999999998</v>
      </c>
      <c r="X3980">
        <v>0.95360089999999997</v>
      </c>
      <c r="Y3980">
        <v>5.0389700000000003E-2</v>
      </c>
      <c r="Z3980">
        <v>-1.8653400000000001E-3</v>
      </c>
      <c r="AA3980">
        <v>0.9987279</v>
      </c>
      <c r="AB3980">
        <v>38</v>
      </c>
      <c r="AC3980">
        <v>17.974899999999899</v>
      </c>
      <c r="AD3980">
        <v>-1.1094584044769999</v>
      </c>
      <c r="AE3980">
        <v>-0.93790000000001295</v>
      </c>
      <c r="AF3980">
        <v>0.91643697112400202</v>
      </c>
      <c r="AG3980">
        <v>-1.1094584044769999</v>
      </c>
      <c r="AH3980">
        <v>17.9077914010374</v>
      </c>
      <c r="AI3980">
        <v>93.540547314190405</v>
      </c>
      <c r="AJ3980">
        <v>87.070425748804695</v>
      </c>
      <c r="AK3980">
        <v>17.965515509897699</v>
      </c>
      <c r="AL3980">
        <v>72.737440750138902</v>
      </c>
      <c r="AM3980">
        <v>93.051445515100099</v>
      </c>
      <c r="AN3980">
        <v>0.99999997145289599</v>
      </c>
    </row>
    <row r="3981" spans="1:40" x14ac:dyDescent="0.25">
      <c r="A3981" t="str">
        <f>"20190304164930753"</f>
        <v>20190304164930753</v>
      </c>
      <c r="B3981" t="str">
        <f>"1551689370750222"</f>
        <v>1551689370750222</v>
      </c>
      <c r="C3981" t="s">
        <v>40</v>
      </c>
      <c r="D3981">
        <v>4.2249249999999998</v>
      </c>
      <c r="E3981">
        <v>0.55346629999999997</v>
      </c>
      <c r="F3981" t="s">
        <v>41</v>
      </c>
      <c r="G3981">
        <v>-282.87099999999998</v>
      </c>
      <c r="H3981">
        <v>1.0492760000000001</v>
      </c>
      <c r="I3981">
        <v>215.45160000000001</v>
      </c>
      <c r="J3981">
        <v>-283.6422</v>
      </c>
      <c r="K3981">
        <v>1.109448</v>
      </c>
      <c r="L3981">
        <v>215.50280000000001</v>
      </c>
      <c r="M3981">
        <v>0.99988679999999996</v>
      </c>
      <c r="N3981">
        <v>-1.4963010000000001E-2</v>
      </c>
      <c r="O3981">
        <v>-1.588655E-3</v>
      </c>
      <c r="P3981">
        <v>0.95790169999999997</v>
      </c>
      <c r="Q3981">
        <v>0.28272439999999999</v>
      </c>
      <c r="R3981">
        <v>4.9911249999999997E-2</v>
      </c>
      <c r="S3981">
        <v>3.1979679999999999</v>
      </c>
      <c r="T3981">
        <v>-0.19529160000000001</v>
      </c>
      <c r="U3981">
        <v>-0.16801450000000001</v>
      </c>
      <c r="V3981">
        <v>-5.0658880000000003E-2</v>
      </c>
      <c r="W3981">
        <v>0.29715750000000002</v>
      </c>
      <c r="X3981">
        <v>0.95348359999999999</v>
      </c>
      <c r="Y3981">
        <v>5.0763009999999997E-2</v>
      </c>
      <c r="Z3981">
        <v>-1.854865E-3</v>
      </c>
      <c r="AA3981">
        <v>0.99870899999999996</v>
      </c>
      <c r="AB3981">
        <v>38</v>
      </c>
      <c r="AC3981">
        <v>0.77120000000002098</v>
      </c>
      <c r="AD3981">
        <v>-6.0171999999999802E-2</v>
      </c>
      <c r="AE3981">
        <v>-5.1199999999994299E-2</v>
      </c>
      <c r="AF3981">
        <v>4.9673555671017902E-2</v>
      </c>
      <c r="AG3981">
        <v>-6.0171999999999802E-2</v>
      </c>
      <c r="AH3981">
        <v>0.76663380136012904</v>
      </c>
      <c r="AI3981">
        <v>94.478510897498793</v>
      </c>
      <c r="AJ3981">
        <v>86.292738234604997</v>
      </c>
      <c r="AK3981">
        <v>0.77059426230986405</v>
      </c>
      <c r="AL3981">
        <v>72.713043195903595</v>
      </c>
      <c r="AM3981">
        <v>93.041283048442196</v>
      </c>
      <c r="AN3981">
        <v>0.99999993869903003</v>
      </c>
    </row>
    <row r="3982" spans="1:40" x14ac:dyDescent="0.25">
      <c r="A3982" t="str">
        <f>"20190304164930768"</f>
        <v>20190304164930768</v>
      </c>
      <c r="B3982" t="str">
        <f>"1551689370759981"</f>
        <v>1551689370759981</v>
      </c>
      <c r="C3982" t="s">
        <v>40</v>
      </c>
      <c r="D3982">
        <v>4.2141419999999998</v>
      </c>
      <c r="E3982">
        <v>0.55355919999999903</v>
      </c>
      <c r="F3982" t="s">
        <v>46</v>
      </c>
      <c r="G3982">
        <v>-265.56529999999998</v>
      </c>
      <c r="H3982" s="1">
        <v>1.4284280000000001E-6</v>
      </c>
      <c r="I3982">
        <v>214.5334</v>
      </c>
      <c r="J3982">
        <v>-283.38380000000001</v>
      </c>
      <c r="K3982">
        <v>1.1094469999999901</v>
      </c>
      <c r="L3982">
        <v>215.5018</v>
      </c>
      <c r="M3982">
        <v>0.99988560000000004</v>
      </c>
      <c r="N3982">
        <v>-1.496026E-2</v>
      </c>
      <c r="O3982">
        <v>-2.297365E-3</v>
      </c>
      <c r="P3982">
        <v>0.95799440000000002</v>
      </c>
      <c r="Q3982">
        <v>0.28256239999999999</v>
      </c>
      <c r="R3982">
        <v>4.9045459999999999E-2</v>
      </c>
      <c r="S3982">
        <v>3.1987610000000002</v>
      </c>
      <c r="T3982">
        <v>-0.19632079999999999</v>
      </c>
      <c r="U3982">
        <v>-0.17153929999999901</v>
      </c>
      <c r="V3982">
        <v>-5.0470149999999998E-2</v>
      </c>
      <c r="W3982">
        <v>0.29699399999999998</v>
      </c>
      <c r="X3982">
        <v>0.95354459999999996</v>
      </c>
      <c r="Y3982">
        <v>5.1138410000000002E-2</v>
      </c>
      <c r="Z3982">
        <v>-1.8435109999999999E-3</v>
      </c>
      <c r="AA3982">
        <v>0.99868990000000002</v>
      </c>
      <c r="AB3982">
        <v>38</v>
      </c>
      <c r="AC3982">
        <v>17.8185</v>
      </c>
      <c r="AD3982">
        <v>-1.10944557157199</v>
      </c>
      <c r="AE3982">
        <v>-0.96840000000000204</v>
      </c>
      <c r="AF3982">
        <v>0.92388612681669202</v>
      </c>
      <c r="AG3982">
        <v>-1.10944557157199</v>
      </c>
      <c r="AH3982">
        <v>17.7520600578856</v>
      </c>
      <c r="AI3982">
        <v>93.571326538684701</v>
      </c>
      <c r="AJ3982">
        <v>87.020793038955105</v>
      </c>
      <c r="AK3982">
        <v>17.810672961749201</v>
      </c>
      <c r="AL3982">
        <v>72.722854855699396</v>
      </c>
      <c r="AM3982">
        <v>93.029780407929707</v>
      </c>
      <c r="AN3982">
        <v>0.99999998813309099</v>
      </c>
    </row>
    <row r="3983" spans="1:40" x14ac:dyDescent="0.25">
      <c r="A3983" t="str">
        <f>"20190304164930785"</f>
        <v>20190304164930785</v>
      </c>
      <c r="B3983" t="str">
        <f>"1551689370779502"</f>
        <v>1551689370779502</v>
      </c>
      <c r="C3983" t="s">
        <v>40</v>
      </c>
      <c r="D3983">
        <v>4.2541219999999997</v>
      </c>
      <c r="E3983">
        <v>0.55341249999999997</v>
      </c>
      <c r="F3983" t="s">
        <v>46</v>
      </c>
      <c r="G3983">
        <v>-265.59620000000001</v>
      </c>
      <c r="H3983" s="1">
        <v>1.4450459999999999E-6</v>
      </c>
      <c r="I3983">
        <v>214.52930000000001</v>
      </c>
      <c r="J3983">
        <v>-283.10890000000001</v>
      </c>
      <c r="K3983">
        <v>1.109451</v>
      </c>
      <c r="L3983">
        <v>215.50040000000001</v>
      </c>
      <c r="M3983">
        <v>0.99988350000000004</v>
      </c>
      <c r="N3983">
        <v>-1.495732E-2</v>
      </c>
      <c r="O3983">
        <v>-3.0509930000000001E-3</v>
      </c>
      <c r="P3983">
        <v>0.95814869999999996</v>
      </c>
      <c r="Q3983">
        <v>0.28218880000000002</v>
      </c>
      <c r="R3983">
        <v>4.8174330000000001E-2</v>
      </c>
      <c r="S3983">
        <v>3.1993710000000002</v>
      </c>
      <c r="T3983">
        <v>-0.1995509</v>
      </c>
      <c r="U3983">
        <v>-0.1749115</v>
      </c>
      <c r="V3983">
        <v>-5.0320799999999999E-2</v>
      </c>
      <c r="W3983">
        <v>0.29661880000000002</v>
      </c>
      <c r="X3983">
        <v>0.95366930000000005</v>
      </c>
      <c r="Y3983">
        <v>5.142182E-2</v>
      </c>
      <c r="Z3983">
        <v>-1.8418309999999999E-3</v>
      </c>
      <c r="AA3983">
        <v>0.99867530000000004</v>
      </c>
      <c r="AB3983">
        <v>38</v>
      </c>
      <c r="AC3983">
        <v>17.512699999999899</v>
      </c>
      <c r="AD3983">
        <v>-1.109449554954</v>
      </c>
      <c r="AE3983">
        <v>-0.97110000000000696</v>
      </c>
      <c r="AF3983">
        <v>0.91400139871999997</v>
      </c>
      <c r="AG3983">
        <v>-1.109449554954</v>
      </c>
      <c r="AH3983">
        <v>17.4457799297851</v>
      </c>
      <c r="AI3983">
        <v>93.633806110374593</v>
      </c>
      <c r="AJ3983">
        <v>87.000960248350594</v>
      </c>
      <c r="AK3983">
        <v>17.504899720659498</v>
      </c>
      <c r="AL3983">
        <v>72.745367138124706</v>
      </c>
      <c r="AM3983">
        <v>93.020437121345296</v>
      </c>
      <c r="AN3983">
        <v>1.00000001459428</v>
      </c>
    </row>
    <row r="3984" spans="1:40" x14ac:dyDescent="0.25">
      <c r="A3984" t="str">
        <f>"20190304164930799"</f>
        <v>20190304164930799</v>
      </c>
      <c r="B3984" t="str">
        <f>"1551689370790238"</f>
        <v>1551689370790238</v>
      </c>
      <c r="C3984" t="s">
        <v>40</v>
      </c>
      <c r="D3984">
        <v>4.2281870000000001</v>
      </c>
      <c r="E3984">
        <v>0.55345480000000002</v>
      </c>
      <c r="F3984" t="s">
        <v>41</v>
      </c>
      <c r="G3984">
        <v>-282.18509999999998</v>
      </c>
      <c r="H3984">
        <v>1.0506679999999999</v>
      </c>
      <c r="I3984">
        <v>215.4495</v>
      </c>
      <c r="J3984">
        <v>-282.86430000000001</v>
      </c>
      <c r="K3984">
        <v>1.1094489999999999</v>
      </c>
      <c r="L3984">
        <v>215.4991</v>
      </c>
      <c r="M3984">
        <v>0.99988140000000003</v>
      </c>
      <c r="N3984">
        <v>-1.495468E-2</v>
      </c>
      <c r="O3984">
        <v>-3.7200779999999999E-3</v>
      </c>
      <c r="P3984">
        <v>0.95826739999999999</v>
      </c>
      <c r="Q3984">
        <v>0.28193629999999997</v>
      </c>
      <c r="R3984">
        <v>4.7283850000000002E-2</v>
      </c>
      <c r="S3984">
        <v>3.1998600000000001</v>
      </c>
      <c r="T3984">
        <v>-0.20359749999999999</v>
      </c>
      <c r="U3984">
        <v>-0.17607120000000001</v>
      </c>
      <c r="V3984">
        <v>-5.0071619999999997E-2</v>
      </c>
      <c r="W3984">
        <v>0.2963652</v>
      </c>
      <c r="X3984">
        <v>0.95376130000000003</v>
      </c>
      <c r="Y3984">
        <v>5.1103320000000001E-2</v>
      </c>
      <c r="Z3984">
        <v>-1.8250919999999999E-3</v>
      </c>
      <c r="AA3984">
        <v>0.99869169999999996</v>
      </c>
      <c r="AB3984">
        <v>38</v>
      </c>
      <c r="AC3984">
        <v>0.679200000000037</v>
      </c>
      <c r="AD3984">
        <v>-5.8780999999999903E-2</v>
      </c>
      <c r="AE3984">
        <v>-4.9599999999998E-2</v>
      </c>
      <c r="AF3984">
        <v>4.6724589402758997E-2</v>
      </c>
      <c r="AG3984">
        <v>-5.8780999999999903E-2</v>
      </c>
      <c r="AH3984">
        <v>0.67435574204345505</v>
      </c>
      <c r="AI3984">
        <v>94.969806384281895</v>
      </c>
      <c r="AJ3984">
        <v>86.036439222904306</v>
      </c>
      <c r="AK3984">
        <v>0.67852344104152695</v>
      </c>
      <c r="AL3984">
        <v>72.760582228428305</v>
      </c>
      <c r="AM3984">
        <v>93.005218542406197</v>
      </c>
      <c r="AN3984">
        <v>1.00000005813907</v>
      </c>
    </row>
    <row r="3985" spans="1:40" x14ac:dyDescent="0.25">
      <c r="A3985" t="str">
        <f>"20190304164930814"</f>
        <v>20190304164930814</v>
      </c>
      <c r="B3985" t="str">
        <f>"1551689370809757"</f>
        <v>1551689370809757</v>
      </c>
      <c r="C3985" t="s">
        <v>40</v>
      </c>
      <c r="D3985">
        <v>4.2353560000000003</v>
      </c>
      <c r="E3985">
        <v>0.553454</v>
      </c>
      <c r="F3985" t="s">
        <v>41</v>
      </c>
      <c r="G3985">
        <v>-281.85300000000001</v>
      </c>
      <c r="H3985">
        <v>1.044192</v>
      </c>
      <c r="I3985">
        <v>215.44239999999999</v>
      </c>
      <c r="J3985">
        <v>-282.6001</v>
      </c>
      <c r="K3985">
        <v>1.1094459999999999</v>
      </c>
      <c r="L3985">
        <v>215.4975</v>
      </c>
      <c r="M3985">
        <v>0.9998785</v>
      </c>
      <c r="N3985">
        <v>-1.4951809999999999E-2</v>
      </c>
      <c r="O3985">
        <v>-4.4391930000000001E-3</v>
      </c>
      <c r="P3985">
        <v>0.95846949999999997</v>
      </c>
      <c r="Q3985">
        <v>0.28149099999999999</v>
      </c>
      <c r="R3985">
        <v>4.5818049999999999E-2</v>
      </c>
      <c r="S3985">
        <v>3.2002259999999998</v>
      </c>
      <c r="T3985">
        <v>-0.20663239999999999</v>
      </c>
      <c r="U3985">
        <v>-0.1786499</v>
      </c>
      <c r="V3985">
        <v>-4.929745E-2</v>
      </c>
      <c r="W3985">
        <v>0.2959175</v>
      </c>
      <c r="X3985">
        <v>0.95394060000000003</v>
      </c>
      <c r="Y3985">
        <v>5.1178519999999998E-2</v>
      </c>
      <c r="Z3985">
        <v>-1.81284E-3</v>
      </c>
      <c r="AA3985">
        <v>0.99868789999999996</v>
      </c>
      <c r="AB3985">
        <v>38</v>
      </c>
      <c r="AC3985">
        <v>0.747099999999989</v>
      </c>
      <c r="AD3985">
        <v>-6.5253999999999895E-2</v>
      </c>
      <c r="AE3985">
        <v>-5.5100000000010099E-2</v>
      </c>
      <c r="AF3985">
        <v>5.1392622036022399E-2</v>
      </c>
      <c r="AG3985">
        <v>-6.5253999999999895E-2</v>
      </c>
      <c r="AH3985">
        <v>0.74170951400546803</v>
      </c>
      <c r="AI3985">
        <v>95.015848970623694</v>
      </c>
      <c r="AJ3985">
        <v>86.036343770787497</v>
      </c>
      <c r="AK3985">
        <v>0.74634595817353</v>
      </c>
      <c r="AL3985">
        <v>72.787437817688797</v>
      </c>
      <c r="AM3985">
        <v>92.958282161675001</v>
      </c>
      <c r="AN3985">
        <v>1.0000000368555499</v>
      </c>
    </row>
    <row r="3986" spans="1:40" x14ac:dyDescent="0.25">
      <c r="A3986" t="str">
        <f>"20190304164930839"</f>
        <v>20190304164930839</v>
      </c>
      <c r="B3986" t="str">
        <f>"1551689370830254"</f>
        <v>1551689370830254</v>
      </c>
      <c r="C3986" t="s">
        <v>40</v>
      </c>
      <c r="D3986">
        <v>4.2368509999999997</v>
      </c>
      <c r="E3986">
        <v>0.55342880000000005</v>
      </c>
      <c r="F3986" t="s">
        <v>46</v>
      </c>
      <c r="G3986">
        <v>-265.77359999999999</v>
      </c>
      <c r="H3986" s="1">
        <v>1.5389560000000001E-6</v>
      </c>
      <c r="I3986">
        <v>214.5402</v>
      </c>
      <c r="J3986">
        <v>-282.20299999999997</v>
      </c>
      <c r="K3986">
        <v>1.1094520000000001</v>
      </c>
      <c r="L3986">
        <v>215.49469999999999</v>
      </c>
      <c r="M3986">
        <v>0.99987320000000002</v>
      </c>
      <c r="N3986">
        <v>-1.4947419999999999E-2</v>
      </c>
      <c r="O3986">
        <v>-5.5067079999999999E-3</v>
      </c>
      <c r="P3986">
        <v>0.95851940000000002</v>
      </c>
      <c r="Q3986">
        <v>0.28156949999999997</v>
      </c>
      <c r="R3986">
        <v>4.4264419999999999E-2</v>
      </c>
      <c r="S3986">
        <v>3.2007140000000001</v>
      </c>
      <c r="T3986">
        <v>-0.2110369</v>
      </c>
      <c r="U3986">
        <v>-0.18209839999999999</v>
      </c>
      <c r="V3986">
        <v>-4.8771809999999999E-2</v>
      </c>
      <c r="W3986">
        <v>0.29598989999999997</v>
      </c>
      <c r="X3986">
        <v>0.95394509999999999</v>
      </c>
      <c r="Y3986">
        <v>5.1173059999999999E-2</v>
      </c>
      <c r="Z3986">
        <v>-1.786939E-3</v>
      </c>
      <c r="AA3986">
        <v>0.99868820000000003</v>
      </c>
      <c r="AB3986">
        <v>38</v>
      </c>
      <c r="AC3986">
        <v>16.429399999999902</v>
      </c>
      <c r="AD3986">
        <v>-1.1094504610439999</v>
      </c>
      <c r="AE3986">
        <v>-0.95449999999999602</v>
      </c>
      <c r="AF3986">
        <v>0.86009460885559097</v>
      </c>
      <c r="AG3986">
        <v>-1.1094504610439999</v>
      </c>
      <c r="AH3986">
        <v>16.360055384881701</v>
      </c>
      <c r="AI3986">
        <v>93.874216042344003</v>
      </c>
      <c r="AJ3986">
        <v>86.990568581749898</v>
      </c>
      <c r="AK3986">
        <v>16.420172205494399</v>
      </c>
      <c r="AL3986">
        <v>72.783094085243903</v>
      </c>
      <c r="AM3986">
        <v>92.926780477445405</v>
      </c>
      <c r="AN3986">
        <v>0.99999998208334695</v>
      </c>
    </row>
    <row r="3987" spans="1:40" x14ac:dyDescent="0.25">
      <c r="A3987" t="str">
        <f>"20190304164930859"</f>
        <v>20190304164930859</v>
      </c>
      <c r="B3987" t="str">
        <f>"1551689370849775"</f>
        <v>1551689370849775</v>
      </c>
      <c r="C3987" t="s">
        <v>40</v>
      </c>
      <c r="D3987">
        <v>4.2293760000000002</v>
      </c>
      <c r="E3987">
        <v>0.55339320000000003</v>
      </c>
      <c r="F3987" t="s">
        <v>41</v>
      </c>
      <c r="G3987">
        <v>-281.17579999999998</v>
      </c>
      <c r="H3987">
        <v>1.041115</v>
      </c>
      <c r="I3987">
        <v>215.43469999999999</v>
      </c>
      <c r="J3987">
        <v>-281.83780000000002</v>
      </c>
      <c r="K3987">
        <v>1.109475</v>
      </c>
      <c r="L3987">
        <v>215.49170000000001</v>
      </c>
      <c r="M3987">
        <v>0.99986759999999997</v>
      </c>
      <c r="N3987">
        <v>-1.4943410000000001E-2</v>
      </c>
      <c r="O3987">
        <v>-6.4615009999999997E-3</v>
      </c>
      <c r="P3987">
        <v>0.95853889999999997</v>
      </c>
      <c r="Q3987">
        <v>0.28172509999999901</v>
      </c>
      <c r="R3987">
        <v>4.2827560000000001E-2</v>
      </c>
      <c r="S3987">
        <v>3.2010190000000001</v>
      </c>
      <c r="T3987">
        <v>-0.2131324</v>
      </c>
      <c r="U3987">
        <v>-0.18585209999999999</v>
      </c>
      <c r="V3987">
        <v>-4.8261400000000003E-2</v>
      </c>
      <c r="W3987">
        <v>0.29613790000000001</v>
      </c>
      <c r="X3987">
        <v>0.95392509999999997</v>
      </c>
      <c r="Y3987">
        <v>5.1379710000000002E-2</v>
      </c>
      <c r="Z3987">
        <v>-1.7589700000000001E-3</v>
      </c>
      <c r="AA3987">
        <v>0.9986777</v>
      </c>
      <c r="AB3987">
        <v>38</v>
      </c>
      <c r="AC3987">
        <v>0.66200000000003401</v>
      </c>
      <c r="AD3987">
        <v>-6.8359999999999893E-2</v>
      </c>
      <c r="AE3987">
        <v>-5.7000000000016302E-2</v>
      </c>
      <c r="AF3987">
        <v>5.2168627591496597E-2</v>
      </c>
      <c r="AG3987">
        <v>-6.8359999999999893E-2</v>
      </c>
      <c r="AH3987">
        <v>0.65541710274547704</v>
      </c>
      <c r="AI3987">
        <v>95.935781237878601</v>
      </c>
      <c r="AJ3987">
        <v>85.449075611197102</v>
      </c>
      <c r="AK3987">
        <v>0.66103421535957996</v>
      </c>
      <c r="AL3987">
        <v>72.774215865036496</v>
      </c>
      <c r="AM3987">
        <v>92.896263980848701</v>
      </c>
      <c r="AN3987">
        <v>0.99999995747818904</v>
      </c>
    </row>
    <row r="3988" spans="1:40" x14ac:dyDescent="0.25">
      <c r="A3988" t="str">
        <f>"20190304164930881"</f>
        <v>20190304164930881</v>
      </c>
      <c r="B3988" t="str">
        <f>"1551689370870269"</f>
        <v>1551689370870269</v>
      </c>
      <c r="C3988" t="s">
        <v>40</v>
      </c>
      <c r="D3988">
        <v>4.2472570000000003</v>
      </c>
      <c r="E3988">
        <v>0.55333639999999995</v>
      </c>
      <c r="F3988" t="s">
        <v>41</v>
      </c>
      <c r="G3988">
        <v>-280.83550000000002</v>
      </c>
      <c r="H3988">
        <v>1.0423880000000001</v>
      </c>
      <c r="I3988">
        <v>215.4323</v>
      </c>
      <c r="J3988">
        <v>-281.47370000000001</v>
      </c>
      <c r="K3988">
        <v>1.1095029999999999</v>
      </c>
      <c r="L3988">
        <v>215.48849999999999</v>
      </c>
      <c r="M3988">
        <v>0.99986120000000001</v>
      </c>
      <c r="N3988">
        <v>-1.493913E-2</v>
      </c>
      <c r="O3988">
        <v>-7.3845480000000003E-3</v>
      </c>
      <c r="P3988">
        <v>0.95856209999999997</v>
      </c>
      <c r="Q3988">
        <v>0.28187579999999901</v>
      </c>
      <c r="R3988">
        <v>4.1291540000000002E-2</v>
      </c>
      <c r="S3988">
        <v>3.2012939999999999</v>
      </c>
      <c r="T3988">
        <v>-0.214365</v>
      </c>
      <c r="U3988">
        <v>-0.1892395</v>
      </c>
      <c r="V3988">
        <v>-4.7626920000000003E-2</v>
      </c>
      <c r="W3988">
        <v>0.29627999999999999</v>
      </c>
      <c r="X3988">
        <v>0.95391289999999995</v>
      </c>
      <c r="Y3988">
        <v>5.1505549999999997E-2</v>
      </c>
      <c r="Z3988">
        <v>-1.723306E-3</v>
      </c>
      <c r="AA3988">
        <v>0.99867119999999998</v>
      </c>
      <c r="AB3988">
        <v>38</v>
      </c>
      <c r="AC3988">
        <v>0.638199999999983</v>
      </c>
      <c r="AD3988">
        <v>-6.7115000000000202E-2</v>
      </c>
      <c r="AE3988">
        <v>-5.61999999999898E-2</v>
      </c>
      <c r="AF3988">
        <v>5.0926250882503299E-2</v>
      </c>
      <c r="AG3988">
        <v>-6.7115000000000202E-2</v>
      </c>
      <c r="AH3988">
        <v>0.63166566046661898</v>
      </c>
      <c r="AI3988">
        <v>96.045499528508003</v>
      </c>
      <c r="AJ3988">
        <v>85.390659960474395</v>
      </c>
      <c r="AK3988">
        <v>0.63725929798369996</v>
      </c>
      <c r="AL3988">
        <v>72.765692193952901</v>
      </c>
      <c r="AM3988">
        <v>92.858287610161696</v>
      </c>
      <c r="AN3988">
        <v>0.99999999134754802</v>
      </c>
    </row>
    <row r="3989" spans="1:40" x14ac:dyDescent="0.25">
      <c r="A3989" t="str">
        <f>"20190304164930894"</f>
        <v>20190304164930894</v>
      </c>
      <c r="B3989" t="str">
        <f>"1551689370889791"</f>
        <v>1551689370889791</v>
      </c>
      <c r="C3989" t="s">
        <v>40</v>
      </c>
      <c r="D3989">
        <v>4.2530799999999997</v>
      </c>
      <c r="E3989">
        <v>0.55314049999999904</v>
      </c>
      <c r="F3989" t="s">
        <v>41</v>
      </c>
      <c r="G3989">
        <v>-280.49540000000002</v>
      </c>
      <c r="H3989">
        <v>1.0436399999999999</v>
      </c>
      <c r="I3989">
        <v>215.42949999999999</v>
      </c>
      <c r="J3989">
        <v>-281.2337</v>
      </c>
      <c r="K3989">
        <v>1.109523</v>
      </c>
      <c r="L3989">
        <v>215.4862</v>
      </c>
      <c r="M3989">
        <v>0.99985670000000004</v>
      </c>
      <c r="N3989">
        <v>-1.493627E-2</v>
      </c>
      <c r="O3989">
        <v>-7.9760690000000006E-3</v>
      </c>
      <c r="P3989">
        <v>0.9585823</v>
      </c>
      <c r="Q3989">
        <v>0.28191119999999997</v>
      </c>
      <c r="R3989">
        <v>4.0572950000000003E-2</v>
      </c>
      <c r="S3989">
        <v>3.2013850000000001</v>
      </c>
      <c r="T3989">
        <v>-0.21558240000000001</v>
      </c>
      <c r="U3989">
        <v>-0.19242860000000001</v>
      </c>
      <c r="V3989">
        <v>-4.7489099999999999E-2</v>
      </c>
      <c r="W3989">
        <v>0.29630959999999901</v>
      </c>
      <c r="X3989">
        <v>0.95391060000000005</v>
      </c>
      <c r="Y3989">
        <v>5.1902789999999997E-2</v>
      </c>
      <c r="Z3989">
        <v>-1.7155029999999999E-3</v>
      </c>
      <c r="AA3989">
        <v>0.9986507</v>
      </c>
      <c r="AB3989">
        <v>38</v>
      </c>
      <c r="AC3989">
        <v>0.73829999999998097</v>
      </c>
      <c r="AD3989">
        <v>-6.5883000000000094E-2</v>
      </c>
      <c r="AE3989">
        <v>-5.6700000000006398E-2</v>
      </c>
      <c r="AF3989">
        <v>5.0409744572087099E-2</v>
      </c>
      <c r="AG3989">
        <v>-6.5883000000000094E-2</v>
      </c>
      <c r="AH3989">
        <v>0.73292667147710799</v>
      </c>
      <c r="AI3989">
        <v>95.124488044506293</v>
      </c>
      <c r="AJ3989">
        <v>86.065467006852401</v>
      </c>
      <c r="AK3989">
        <v>0.73760641117016901</v>
      </c>
      <c r="AL3989">
        <v>72.763916893244996</v>
      </c>
      <c r="AM3989">
        <v>92.850036981392904</v>
      </c>
      <c r="AN3989">
        <v>1.00000001323166</v>
      </c>
    </row>
    <row r="3990" spans="1:40" x14ac:dyDescent="0.25">
      <c r="A3990" t="str">
        <f>"20190304164930907"</f>
        <v>20190304164930907</v>
      </c>
      <c r="B3990" t="str">
        <f>"1551689370899550"</f>
        <v>1551689370899550</v>
      </c>
      <c r="C3990" t="s">
        <v>40</v>
      </c>
      <c r="D3990">
        <v>4.2464969999999997</v>
      </c>
      <c r="E3990">
        <v>0.5529733</v>
      </c>
      <c r="F3990" t="s">
        <v>46</v>
      </c>
      <c r="G3990">
        <v>-264.80029999999999</v>
      </c>
      <c r="H3990" s="1">
        <v>1.0228340000000001E-6</v>
      </c>
      <c r="I3990">
        <v>214.499</v>
      </c>
      <c r="J3990">
        <v>-281.01650000000001</v>
      </c>
      <c r="K3990">
        <v>1.109548</v>
      </c>
      <c r="L3990">
        <v>215.48400000000001</v>
      </c>
      <c r="M3990">
        <v>0.99985250000000003</v>
      </c>
      <c r="N3990">
        <v>-1.493353E-2</v>
      </c>
      <c r="O3990">
        <v>-8.4833489999999994E-3</v>
      </c>
      <c r="P3990">
        <v>0.95859839999999996</v>
      </c>
      <c r="Q3990">
        <v>0.28198030000000002</v>
      </c>
      <c r="R3990">
        <v>3.97034E-2</v>
      </c>
      <c r="S3990">
        <v>3.2013240000000001</v>
      </c>
      <c r="T3990">
        <v>-0.21614230000000001</v>
      </c>
      <c r="U3990">
        <v>-0.19230649999999999</v>
      </c>
      <c r="V3990">
        <v>-4.7122869999999997E-2</v>
      </c>
      <c r="W3990">
        <v>0.29637289999999999</v>
      </c>
      <c r="X3990">
        <v>0.95390909999999995</v>
      </c>
      <c r="Y3990">
        <v>5.1360919999999997E-2</v>
      </c>
      <c r="Z3990">
        <v>-1.6696440000000001E-3</v>
      </c>
      <c r="AA3990">
        <v>0.99867870000000003</v>
      </c>
      <c r="AB3990">
        <v>38</v>
      </c>
      <c r="AC3990">
        <v>16.216200000000001</v>
      </c>
      <c r="AD3990">
        <v>-1.109546977166</v>
      </c>
      <c r="AE3990">
        <v>-0.984999999999985</v>
      </c>
      <c r="AF3990">
        <v>0.84344736354887495</v>
      </c>
      <c r="AG3990">
        <v>-1.109546977166</v>
      </c>
      <c r="AH3990">
        <v>16.148649954494701</v>
      </c>
      <c r="AI3990">
        <v>93.925187173166506</v>
      </c>
      <c r="AJ3990">
        <v>87.010146249843501</v>
      </c>
      <c r="AK3990">
        <v>16.208682651665999</v>
      </c>
      <c r="AL3990">
        <v>72.760119546987596</v>
      </c>
      <c r="AM3990">
        <v>92.828098112876305</v>
      </c>
      <c r="AN3990">
        <v>1.0000000158971201</v>
      </c>
    </row>
    <row r="3991" spans="1:40" x14ac:dyDescent="0.25">
      <c r="A3991" t="str">
        <f>"20190304164930921"</f>
        <v>20190304164930921</v>
      </c>
      <c r="B3991" t="str">
        <f>"1551689370910286"</f>
        <v>1551689370910286</v>
      </c>
      <c r="C3991" t="s">
        <v>40</v>
      </c>
      <c r="D3991">
        <v>4.2179779999999996</v>
      </c>
      <c r="E3991">
        <v>0.55280010000000002</v>
      </c>
      <c r="F3991" t="s">
        <v>46</v>
      </c>
      <c r="G3991">
        <v>-264.52179999999998</v>
      </c>
      <c r="H3991" s="1">
        <v>8.7513839999999995E-7</v>
      </c>
      <c r="I3991">
        <v>214.48740000000001</v>
      </c>
      <c r="J3991">
        <v>-280.80099999999999</v>
      </c>
      <c r="K3991">
        <v>1.1095710000000001</v>
      </c>
      <c r="L3991">
        <v>215.48169999999999</v>
      </c>
      <c r="M3991">
        <v>0.99984839999999997</v>
      </c>
      <c r="N3991">
        <v>-1.4930830000000001E-2</v>
      </c>
      <c r="O3991">
        <v>-8.9684980000000001E-3</v>
      </c>
      <c r="P3991">
        <v>0.95868189999999998</v>
      </c>
      <c r="Q3991">
        <v>0.28182200000000002</v>
      </c>
      <c r="R3991">
        <v>3.8802299999999998E-2</v>
      </c>
      <c r="S3991">
        <v>3.2009280000000002</v>
      </c>
      <c r="T3991">
        <v>-0.2153167</v>
      </c>
      <c r="U3991">
        <v>-0.1934052</v>
      </c>
      <c r="V3991">
        <v>-4.6707789999999999E-2</v>
      </c>
      <c r="W3991">
        <v>0.2962089</v>
      </c>
      <c r="X3991">
        <v>0.95398039999999995</v>
      </c>
      <c r="Y3991">
        <v>5.1227160000000001E-2</v>
      </c>
      <c r="Z3991">
        <v>-1.6344459999999999E-3</v>
      </c>
      <c r="AA3991">
        <v>0.99868570000000001</v>
      </c>
      <c r="AB3991">
        <v>38</v>
      </c>
      <c r="AC3991">
        <v>16.279199999999999</v>
      </c>
      <c r="AD3991">
        <v>-1.1095701248615999</v>
      </c>
      <c r="AE3991">
        <v>-0.99429999999998098</v>
      </c>
      <c r="AF3991">
        <v>0.84433588431339801</v>
      </c>
      <c r="AG3991">
        <v>-1.1095701248615999</v>
      </c>
      <c r="AH3991">
        <v>16.212426714082401</v>
      </c>
      <c r="AI3991">
        <v>93.909906037588897</v>
      </c>
      <c r="AJ3991">
        <v>87.018754974516298</v>
      </c>
      <c r="AK3991">
        <v>16.272271780762999</v>
      </c>
      <c r="AL3991">
        <v>72.769956943320906</v>
      </c>
      <c r="AM3991">
        <v>92.803017651618305</v>
      </c>
      <c r="AN3991">
        <v>0.99999996683502601</v>
      </c>
    </row>
    <row r="3992" spans="1:40" x14ac:dyDescent="0.25">
      <c r="A3992" t="str">
        <f>"20190304164930932"</f>
        <v>20190304164930932</v>
      </c>
      <c r="B3992" t="str">
        <f>"1551689370920046"</f>
        <v>1551689370920046</v>
      </c>
      <c r="C3992" t="s">
        <v>40</v>
      </c>
      <c r="D3992">
        <v>4.2512100000000004</v>
      </c>
      <c r="E3992">
        <v>0.55264780000000002</v>
      </c>
      <c r="F3992" t="s">
        <v>41</v>
      </c>
      <c r="G3992">
        <v>-279.81889999999999</v>
      </c>
      <c r="H3992">
        <v>1.0434380000000001</v>
      </c>
      <c r="I3992">
        <v>215.42189999999999</v>
      </c>
      <c r="J3992">
        <v>-280.58730000000003</v>
      </c>
      <c r="K3992">
        <v>1.109605</v>
      </c>
      <c r="L3992">
        <v>215.4794</v>
      </c>
      <c r="M3992">
        <v>0.99984430000000002</v>
      </c>
      <c r="N3992">
        <v>-1.4928169999999999E-2</v>
      </c>
      <c r="O3992">
        <v>-9.424211E-3</v>
      </c>
      <c r="P3992">
        <v>0.95866479999999998</v>
      </c>
      <c r="Q3992">
        <v>0.28198459999999997</v>
      </c>
      <c r="R3992">
        <v>3.8036960000000002E-2</v>
      </c>
      <c r="S3992">
        <v>3.2005620000000001</v>
      </c>
      <c r="T3992">
        <v>-0.21567030000000001</v>
      </c>
      <c r="U3992">
        <v>-0.19439699999999999</v>
      </c>
      <c r="V3992">
        <v>-4.6402499999999999E-2</v>
      </c>
      <c r="W3992">
        <v>0.29636380000000001</v>
      </c>
      <c r="X3992">
        <v>0.9539472</v>
      </c>
      <c r="Y3992">
        <v>5.1087830000000001E-2</v>
      </c>
      <c r="Z3992">
        <v>-1.6067309999999999E-3</v>
      </c>
      <c r="AA3992">
        <v>0.99869289999999999</v>
      </c>
      <c r="AB3992">
        <v>38</v>
      </c>
      <c r="AC3992">
        <v>0.76840000000004205</v>
      </c>
      <c r="AD3992">
        <v>-6.6167000000000004E-2</v>
      </c>
      <c r="AE3992">
        <v>-5.7500000000004499E-2</v>
      </c>
      <c r="AF3992">
        <v>4.9887224818849503E-2</v>
      </c>
      <c r="AG3992">
        <v>-6.6167000000000004E-2</v>
      </c>
      <c r="AH3992">
        <v>0.76327965700224498</v>
      </c>
      <c r="AI3992">
        <v>94.943960634998106</v>
      </c>
      <c r="AJ3992">
        <v>86.2605216367742</v>
      </c>
      <c r="AK3992">
        <v>0.76776470476480696</v>
      </c>
      <c r="AL3992">
        <v>72.760664776129403</v>
      </c>
      <c r="AM3992">
        <v>92.784822351765101</v>
      </c>
      <c r="AN3992">
        <v>0.99999997717226397</v>
      </c>
    </row>
    <row r="3993" spans="1:40" x14ac:dyDescent="0.25">
      <c r="A3993" t="str">
        <f>"20190304164930947"</f>
        <v>20190304164930947</v>
      </c>
      <c r="B3993" t="str">
        <f>"1551689370939565"</f>
        <v>1551689370939565</v>
      </c>
      <c r="C3993" t="s">
        <v>40</v>
      </c>
      <c r="D3993">
        <v>4.2558610000000003</v>
      </c>
      <c r="E3993">
        <v>0.55239019999999905</v>
      </c>
      <c r="F3993" t="s">
        <v>46</v>
      </c>
      <c r="G3993">
        <v>-264.0351</v>
      </c>
      <c r="H3993" s="1">
        <v>6.1689809999999996E-7</v>
      </c>
      <c r="I3993">
        <v>214.46979999999999</v>
      </c>
      <c r="J3993">
        <v>-280.34339999999997</v>
      </c>
      <c r="K3993">
        <v>1.109653</v>
      </c>
      <c r="L3993">
        <v>215.47669999999999</v>
      </c>
      <c r="M3993">
        <v>0.99983949999999999</v>
      </c>
      <c r="N3993">
        <v>-1.492517E-2</v>
      </c>
      <c r="O3993">
        <v>-9.9000600000000005E-3</v>
      </c>
      <c r="P3993">
        <v>0.95869110000000002</v>
      </c>
      <c r="Q3993">
        <v>0.28211639999999999</v>
      </c>
      <c r="R3993">
        <v>3.6356720000000002E-2</v>
      </c>
      <c r="S3993">
        <v>3.2001949999999999</v>
      </c>
      <c r="T3993">
        <v>-0.21453050000000001</v>
      </c>
      <c r="U3993">
        <v>-0.19519039999999999</v>
      </c>
      <c r="V3993">
        <v>-4.5210720000000003E-2</v>
      </c>
      <c r="W3993">
        <v>0.29648540000000001</v>
      </c>
      <c r="X3993">
        <v>0.95396669999999995</v>
      </c>
      <c r="Y3993">
        <v>5.0868549999999998E-2</v>
      </c>
      <c r="Z3993">
        <v>-1.567309E-3</v>
      </c>
      <c r="AA3993">
        <v>0.99870409999999998</v>
      </c>
      <c r="AB3993">
        <v>38</v>
      </c>
      <c r="AC3993">
        <v>16.3082999999999</v>
      </c>
      <c r="AD3993">
        <v>-1.1096523831018901</v>
      </c>
      <c r="AE3993">
        <v>-1.0068999999999999</v>
      </c>
      <c r="AF3993">
        <v>0.841498370528174</v>
      </c>
      <c r="AG3993">
        <v>-1.1096523831018901</v>
      </c>
      <c r="AH3993">
        <v>16.242556856624802</v>
      </c>
      <c r="AI3993">
        <v>93.903018664872704</v>
      </c>
      <c r="AJ3993">
        <v>87.034257745597401</v>
      </c>
      <c r="AK3993">
        <v>16.302150200498598</v>
      </c>
      <c r="AL3993">
        <v>72.753370738983605</v>
      </c>
      <c r="AM3993">
        <v>92.713351200401604</v>
      </c>
      <c r="AN3993">
        <v>1.0000000331624801</v>
      </c>
    </row>
    <row r="3994" spans="1:40" x14ac:dyDescent="0.25">
      <c r="A3994" t="str">
        <f>"20190304164930964"</f>
        <v>20190304164930964</v>
      </c>
      <c r="B3994" t="str">
        <f>"1551689370960062"</f>
        <v>1551689370960062</v>
      </c>
      <c r="C3994" t="s">
        <v>40</v>
      </c>
      <c r="D3994">
        <v>4.2460180000000003</v>
      </c>
      <c r="E3994">
        <v>0.55218650000000002</v>
      </c>
      <c r="F3994" t="s">
        <v>46</v>
      </c>
      <c r="G3994">
        <v>-263.70639999999997</v>
      </c>
      <c r="H3994" s="1">
        <v>4.4298480000000001E-7</v>
      </c>
      <c r="I3994">
        <v>214.4469</v>
      </c>
      <c r="J3994">
        <v>-280.06950000000001</v>
      </c>
      <c r="K3994">
        <v>1.1097109999999999</v>
      </c>
      <c r="L3994">
        <v>215.4735</v>
      </c>
      <c r="M3994">
        <v>0.99983469999999997</v>
      </c>
      <c r="N3994">
        <v>-1.4921770000000001E-2</v>
      </c>
      <c r="O3994">
        <v>-1.0391890000000001E-2</v>
      </c>
      <c r="P3994">
        <v>0.9587213</v>
      </c>
      <c r="Q3994">
        <v>0.28215889999999999</v>
      </c>
      <c r="R3994">
        <v>3.5212060000000003E-2</v>
      </c>
      <c r="S3994">
        <v>3.1995849999999999</v>
      </c>
      <c r="T3994">
        <v>-0.21340619999999999</v>
      </c>
      <c r="U3994">
        <v>-0.19804379999999999</v>
      </c>
      <c r="V3994">
        <v>-4.4577949999999998E-2</v>
      </c>
      <c r="W3994">
        <v>0.29651719999999998</v>
      </c>
      <c r="X3994">
        <v>0.95398649999999996</v>
      </c>
      <c r="Y3994">
        <v>5.1276809999999999E-2</v>
      </c>
      <c r="Z3994">
        <v>-1.553165E-3</v>
      </c>
      <c r="AA3994">
        <v>0.99868330000000005</v>
      </c>
      <c r="AB3994">
        <v>38</v>
      </c>
      <c r="AC3994">
        <v>16.363099999999999</v>
      </c>
      <c r="AD3994">
        <v>-1.1097105570151999</v>
      </c>
      <c r="AE3994">
        <v>-1.0266</v>
      </c>
      <c r="AF3994">
        <v>0.85257624294453205</v>
      </c>
      <c r="AG3994">
        <v>-1.1097105570151999</v>
      </c>
      <c r="AH3994">
        <v>16.298219837141598</v>
      </c>
      <c r="AI3994">
        <v>93.889831823077103</v>
      </c>
      <c r="AJ3994">
        <v>87.005529656214094</v>
      </c>
      <c r="AK3994">
        <v>16.358187969031899</v>
      </c>
      <c r="AL3994">
        <v>72.751461337862494</v>
      </c>
      <c r="AM3994">
        <v>92.675375212765303</v>
      </c>
      <c r="AN3994">
        <v>0.999999942852144</v>
      </c>
    </row>
    <row r="3995" spans="1:40" x14ac:dyDescent="0.25">
      <c r="A3995" t="str">
        <f>"20190304164930981"</f>
        <v>20190304164930981</v>
      </c>
      <c r="B3995" t="str">
        <f>"1551689370969822"</f>
        <v>1551689370969822</v>
      </c>
      <c r="C3995" t="s">
        <v>40</v>
      </c>
      <c r="D3995">
        <v>4.2252929999999997</v>
      </c>
      <c r="E3995">
        <v>0.55211279999999996</v>
      </c>
      <c r="F3995" t="s">
        <v>41</v>
      </c>
      <c r="G3995">
        <v>-279.1397</v>
      </c>
      <c r="H3995">
        <v>1.048049</v>
      </c>
      <c r="I3995">
        <v>215.4152</v>
      </c>
      <c r="J3995">
        <v>-279.78109999999998</v>
      </c>
      <c r="K3995">
        <v>1.1097790000000001</v>
      </c>
      <c r="L3995">
        <v>215.47</v>
      </c>
      <c r="M3995">
        <v>0.99982979999999999</v>
      </c>
      <c r="N3995">
        <v>-1.49182E-2</v>
      </c>
      <c r="O3995">
        <v>-1.085615E-2</v>
      </c>
      <c r="P3995">
        <v>0.95876790000000001</v>
      </c>
      <c r="Q3995">
        <v>0.28220709999999999</v>
      </c>
      <c r="R3995">
        <v>3.3522120000000002E-2</v>
      </c>
      <c r="S3995">
        <v>3.1989749999999999</v>
      </c>
      <c r="T3995">
        <v>-0.21226809999999999</v>
      </c>
      <c r="U3995">
        <v>-0.199707</v>
      </c>
      <c r="V3995">
        <v>-4.3380580000000002E-2</v>
      </c>
      <c r="W3995">
        <v>0.29655320000000002</v>
      </c>
      <c r="X3995">
        <v>0.95403059999999995</v>
      </c>
      <c r="Y3995">
        <v>5.1343630000000001E-2</v>
      </c>
      <c r="Z3995">
        <v>-1.5267029999999999E-3</v>
      </c>
      <c r="AA3995">
        <v>0.99867989999999995</v>
      </c>
      <c r="AB3995">
        <v>38</v>
      </c>
      <c r="AC3995">
        <v>0.64139999999997599</v>
      </c>
      <c r="AD3995">
        <v>-6.173E-2</v>
      </c>
      <c r="AE3995">
        <v>-5.4800000000000099E-2</v>
      </c>
      <c r="AF3995">
        <v>4.7397020584059903E-2</v>
      </c>
      <c r="AG3995">
        <v>-6.173E-2</v>
      </c>
      <c r="AH3995">
        <v>0.63610783952355499</v>
      </c>
      <c r="AI3995">
        <v>95.5275872756458</v>
      </c>
      <c r="AJ3995">
        <v>85.738709557298407</v>
      </c>
      <c r="AK3995">
        <v>0.64085119486786501</v>
      </c>
      <c r="AL3995">
        <v>72.749303104801101</v>
      </c>
      <c r="AM3995">
        <v>92.603494318978804</v>
      </c>
      <c r="AN3995">
        <v>1.0000000304438601</v>
      </c>
    </row>
    <row r="3996" spans="1:40" x14ac:dyDescent="0.25">
      <c r="A3996" t="str">
        <f>"20190304164930995"</f>
        <v>20190304164930995</v>
      </c>
      <c r="B3996" t="str">
        <f>"1551689370990317"</f>
        <v>1551689370990317</v>
      </c>
      <c r="C3996" t="s">
        <v>40</v>
      </c>
      <c r="D3996">
        <v>4.2387090000000001</v>
      </c>
      <c r="E3996">
        <v>0.55197130000000005</v>
      </c>
      <c r="F3996" t="s">
        <v>41</v>
      </c>
      <c r="G3996">
        <v>-278.8057</v>
      </c>
      <c r="H3996">
        <v>1.0451490000000001</v>
      </c>
      <c r="I3996">
        <v>215.40770000000001</v>
      </c>
      <c r="J3996">
        <v>-279.54160000000002</v>
      </c>
      <c r="K3996">
        <v>1.1098330000000001</v>
      </c>
      <c r="L3996">
        <v>215.46709999999999</v>
      </c>
      <c r="M3996">
        <v>0.99982599999999999</v>
      </c>
      <c r="N3996">
        <v>-1.4915339999999999E-2</v>
      </c>
      <c r="O3996">
        <v>-1.120523E-2</v>
      </c>
      <c r="P3996">
        <v>0.95879859999999995</v>
      </c>
      <c r="Q3996">
        <v>0.2822229</v>
      </c>
      <c r="R3996">
        <v>3.24915E-2</v>
      </c>
      <c r="S3996">
        <v>3.198547</v>
      </c>
      <c r="T3996">
        <v>-0.21208540000000001</v>
      </c>
      <c r="U3996">
        <v>-0.20381160000000001</v>
      </c>
      <c r="V3996">
        <v>-4.2724480000000002E-2</v>
      </c>
      <c r="W3996">
        <v>0.29655999999999999</v>
      </c>
      <c r="X3996">
        <v>0.95405810000000002</v>
      </c>
      <c r="Y3996">
        <v>5.2277839999999999E-2</v>
      </c>
      <c r="Z3996">
        <v>-1.5458539999999999E-3</v>
      </c>
      <c r="AA3996">
        <v>0.99863139999999995</v>
      </c>
      <c r="AB3996">
        <v>38</v>
      </c>
      <c r="AC3996">
        <v>0.73590000000001499</v>
      </c>
      <c r="AD3996">
        <v>-6.4684000000000103E-2</v>
      </c>
      <c r="AE3996">
        <v>-5.93999999999823E-2</v>
      </c>
      <c r="AF3996">
        <v>5.0759791240176502E-2</v>
      </c>
      <c r="AG3996">
        <v>-6.4684000000000103E-2</v>
      </c>
      <c r="AH3996">
        <v>0.73090898676161897</v>
      </c>
      <c r="AI3996">
        <v>95.045298626014201</v>
      </c>
      <c r="AJ3996">
        <v>86.027330657422795</v>
      </c>
      <c r="AK3996">
        <v>0.73551922013747695</v>
      </c>
      <c r="AL3996">
        <v>72.748895248849493</v>
      </c>
      <c r="AM3996">
        <v>92.564097490344693</v>
      </c>
      <c r="AN3996">
        <v>1.0000000364834301</v>
      </c>
    </row>
    <row r="3997" spans="1:40" x14ac:dyDescent="0.25">
      <c r="A3997" t="str">
        <f>"20190304164931007"</f>
        <v>20190304164931007</v>
      </c>
      <c r="B3997" t="str">
        <f>"1551689371000078"</f>
        <v>1551689371000078</v>
      </c>
      <c r="C3997" t="s">
        <v>40</v>
      </c>
      <c r="D3997">
        <v>4.2538679999999998</v>
      </c>
      <c r="E3997">
        <v>0.55186219999999997</v>
      </c>
      <c r="F3997" t="s">
        <v>46</v>
      </c>
      <c r="G3997">
        <v>-262.77499999999998</v>
      </c>
      <c r="H3997" s="1">
        <v>-5.0252200000000003E-8</v>
      </c>
      <c r="I3997">
        <v>214.39160000000001</v>
      </c>
      <c r="J3997">
        <v>-279.327</v>
      </c>
      <c r="K3997">
        <v>1.1098790000000001</v>
      </c>
      <c r="L3997">
        <v>215.46440000000001</v>
      </c>
      <c r="M3997">
        <v>0.99982300000000002</v>
      </c>
      <c r="N3997">
        <v>-1.49128E-2</v>
      </c>
      <c r="O3997">
        <v>-1.1472919999999999E-2</v>
      </c>
      <c r="P3997">
        <v>0.95882750000000005</v>
      </c>
      <c r="Q3997">
        <v>0.28222190000000003</v>
      </c>
      <c r="R3997">
        <v>3.1637720000000001E-2</v>
      </c>
      <c r="S3997">
        <v>3.1981510000000002</v>
      </c>
      <c r="T3997">
        <v>-0.21169499999999999</v>
      </c>
      <c r="U3997">
        <v>-0.20515439999999999</v>
      </c>
      <c r="V3997">
        <v>-4.2161850000000001E-2</v>
      </c>
      <c r="W3997">
        <v>0.29655100000000001</v>
      </c>
      <c r="X3997">
        <v>0.95408590000000004</v>
      </c>
      <c r="Y3997">
        <v>5.243623E-2</v>
      </c>
      <c r="Z3997">
        <v>-1.536777E-3</v>
      </c>
      <c r="AA3997">
        <v>0.99862309999999999</v>
      </c>
      <c r="AB3997">
        <v>38</v>
      </c>
      <c r="AC3997">
        <v>16.552</v>
      </c>
      <c r="AD3997">
        <v>-1.1098790502522</v>
      </c>
      <c r="AE3997">
        <v>-1.0728</v>
      </c>
      <c r="AF3997">
        <v>0.87887338736045795</v>
      </c>
      <c r="AG3997">
        <v>-1.1098790502522</v>
      </c>
      <c r="AH3997">
        <v>16.489389634577201</v>
      </c>
      <c r="AI3997">
        <v>93.845253607738996</v>
      </c>
      <c r="AJ3997">
        <v>86.949060322061996</v>
      </c>
      <c r="AK3997">
        <v>16.550051977504499</v>
      </c>
      <c r="AL3997">
        <v>72.749434744835597</v>
      </c>
      <c r="AM3997">
        <v>92.530301957505301</v>
      </c>
      <c r="AN3997">
        <v>1.0000000108876099</v>
      </c>
    </row>
    <row r="3998" spans="1:40" x14ac:dyDescent="0.25">
      <c r="A3998" t="str">
        <f>"20190304164931020"</f>
        <v>20190304164931020</v>
      </c>
      <c r="B3998" t="str">
        <f>"1551689371009838"</f>
        <v>1551689371009838</v>
      </c>
      <c r="C3998" t="s">
        <v>40</v>
      </c>
      <c r="D3998">
        <v>4.2607609999999996</v>
      </c>
      <c r="E3998">
        <v>0.55180779999999996</v>
      </c>
      <c r="F3998" t="s">
        <v>46</v>
      </c>
      <c r="G3998">
        <v>-262.54930000000002</v>
      </c>
      <c r="H3998" s="1">
        <v>-1.6994139999999899E-7</v>
      </c>
      <c r="I3998">
        <v>214.38140000000001</v>
      </c>
      <c r="J3998">
        <v>-279.10910000000001</v>
      </c>
      <c r="K3998">
        <v>1.1099300000000001</v>
      </c>
      <c r="L3998">
        <v>215.46170000000001</v>
      </c>
      <c r="M3998">
        <v>0.99982020000000005</v>
      </c>
      <c r="N3998">
        <v>-1.491028E-2</v>
      </c>
      <c r="O3998">
        <v>-1.1725620000000001E-2</v>
      </c>
      <c r="P3998">
        <v>0.95887049999999996</v>
      </c>
      <c r="Q3998">
        <v>0.2821709</v>
      </c>
      <c r="R3998">
        <v>3.077363E-2</v>
      </c>
      <c r="S3998">
        <v>3.1978759999999999</v>
      </c>
      <c r="T3998">
        <v>-0.2115457</v>
      </c>
      <c r="U3998">
        <v>-0.20642089999999999</v>
      </c>
      <c r="V3998">
        <v>-4.1574849999999997E-2</v>
      </c>
      <c r="W3998">
        <v>0.2964927</v>
      </c>
      <c r="X3998">
        <v>0.95412980000000003</v>
      </c>
      <c r="Y3998">
        <v>5.2583249999999998E-2</v>
      </c>
      <c r="Z3998">
        <v>-1.529107E-3</v>
      </c>
      <c r="AA3998">
        <v>0.99861540000000004</v>
      </c>
      <c r="AB3998">
        <v>38</v>
      </c>
      <c r="AC3998">
        <v>16.5597999999999</v>
      </c>
      <c r="AD3998">
        <v>-1.1099301699413999</v>
      </c>
      <c r="AE3998">
        <v>-1.08029999999999</v>
      </c>
      <c r="AF3998">
        <v>0.88208432160816197</v>
      </c>
      <c r="AG3998">
        <v>-1.1099301699413999</v>
      </c>
      <c r="AH3998">
        <v>16.4975300049854</v>
      </c>
      <c r="AI3998">
        <v>93.843504086512795</v>
      </c>
      <c r="AJ3998">
        <v>86.9394430310046</v>
      </c>
      <c r="AK3998">
        <v>16.558336691768499</v>
      </c>
      <c r="AL3998">
        <v>72.752932772133803</v>
      </c>
      <c r="AM3998">
        <v>92.495003908650602</v>
      </c>
      <c r="AN3998">
        <v>1.00000003227692</v>
      </c>
    </row>
    <row r="3999" spans="1:40" x14ac:dyDescent="0.25">
      <c r="A3999" t="str">
        <f>"20190304164931039"</f>
        <v>20190304164931039</v>
      </c>
      <c r="B3999" t="str">
        <f>"1551689371030333"</f>
        <v>1551689371030333</v>
      </c>
      <c r="C3999" t="s">
        <v>40</v>
      </c>
      <c r="D3999">
        <v>4.3493700000000004</v>
      </c>
      <c r="E3999">
        <v>0.56389140000000004</v>
      </c>
      <c r="F3999" t="s">
        <v>41</v>
      </c>
      <c r="G3999">
        <v>-278.13310000000001</v>
      </c>
      <c r="H3999">
        <v>1.0454060000000001</v>
      </c>
      <c r="I3999">
        <v>215.39779999999999</v>
      </c>
      <c r="J3999">
        <v>-278.81470000000002</v>
      </c>
      <c r="K3999">
        <v>1.1099939999999999</v>
      </c>
      <c r="L3999">
        <v>215.4579</v>
      </c>
      <c r="M3999">
        <v>0.9998167</v>
      </c>
      <c r="N3999">
        <v>-1.490695E-2</v>
      </c>
      <c r="O3999">
        <v>-1.202491E-2</v>
      </c>
      <c r="P3999">
        <v>0.95882120000000004</v>
      </c>
      <c r="Q3999">
        <v>0.28241470000000002</v>
      </c>
      <c r="R3999">
        <v>3.0066450000000002E-2</v>
      </c>
      <c r="S3999">
        <v>3.1975709999999999</v>
      </c>
      <c r="T3999">
        <v>-0.21146809999999999</v>
      </c>
      <c r="U3999">
        <v>-0.208847</v>
      </c>
      <c r="V3999">
        <v>-4.1196379999999998E-2</v>
      </c>
      <c r="W3999">
        <v>0.29672579999999998</v>
      </c>
      <c r="X3999">
        <v>0.95407370000000002</v>
      </c>
      <c r="Y3999">
        <v>5.3044189999999998E-2</v>
      </c>
      <c r="Z3999">
        <v>-1.5320640000000001E-3</v>
      </c>
      <c r="AA3999">
        <v>0.99859100000000001</v>
      </c>
      <c r="AB3999">
        <v>38</v>
      </c>
      <c r="AC3999">
        <v>0.68160000000000298</v>
      </c>
      <c r="AD3999">
        <v>-6.4588000000000007E-2</v>
      </c>
      <c r="AE3999">
        <v>-6.0100000000005503E-2</v>
      </c>
      <c r="AF3999">
        <v>5.1440229309285199E-2</v>
      </c>
      <c r="AG3999">
        <v>-6.4588000000000007E-2</v>
      </c>
      <c r="AH3999">
        <v>0.67624806925521597</v>
      </c>
      <c r="AI3999">
        <v>95.440111148342694</v>
      </c>
      <c r="AJ3999">
        <v>85.650053213365894</v>
      </c>
      <c r="AK3999">
        <v>0.681270253355303</v>
      </c>
      <c r="AL3999">
        <v>72.738946919936197</v>
      </c>
      <c r="AM3999">
        <v>92.472464544572304</v>
      </c>
      <c r="AN3999">
        <v>0.999999983571217</v>
      </c>
    </row>
    <row r="4000" spans="1:40" x14ac:dyDescent="0.25">
      <c r="A4000" t="str">
        <f>"20190304164931060"</f>
        <v>20190304164931060</v>
      </c>
      <c r="B4000" t="str">
        <f>"1551689371049854"</f>
        <v>1551689371049854</v>
      </c>
      <c r="C4000" t="s">
        <v>40</v>
      </c>
      <c r="D4000">
        <v>4.3090830000000002</v>
      </c>
      <c r="E4000">
        <v>0.56420509999999902</v>
      </c>
      <c r="F4000" t="s">
        <v>41</v>
      </c>
      <c r="G4000">
        <v>-277.8021</v>
      </c>
      <c r="H4000">
        <v>1.039849</v>
      </c>
      <c r="I4000">
        <v>215.3605</v>
      </c>
      <c r="J4000">
        <v>-278.4545</v>
      </c>
      <c r="K4000">
        <v>1.1100570000000001</v>
      </c>
      <c r="L4000">
        <v>215.45330000000001</v>
      </c>
      <c r="M4000">
        <v>0.9998129</v>
      </c>
      <c r="N4000">
        <v>-1.490272E-2</v>
      </c>
      <c r="O4000">
        <v>-1.2332940000000001E-2</v>
      </c>
      <c r="P4000">
        <v>0.95861640000000004</v>
      </c>
      <c r="Q4000">
        <v>0.283087799999999</v>
      </c>
      <c r="R4000">
        <v>3.0265179999999999E-2</v>
      </c>
      <c r="S4000">
        <v>3.2038880000000001</v>
      </c>
      <c r="T4000">
        <v>-0.2219806</v>
      </c>
      <c r="U4000">
        <v>-0.30793759999999998</v>
      </c>
      <c r="V4000">
        <v>-4.1734229999999997E-2</v>
      </c>
      <c r="W4000">
        <v>0.29738560000000003</v>
      </c>
      <c r="X4000">
        <v>0.9538449</v>
      </c>
      <c r="Y4000">
        <v>8.3165459999999997E-2</v>
      </c>
      <c r="Z4000">
        <v>-2.8249350000000002E-3</v>
      </c>
      <c r="AA4000">
        <v>0.99653170000000002</v>
      </c>
      <c r="AB4000">
        <v>38</v>
      </c>
      <c r="AC4000">
        <v>0.65239999999999998</v>
      </c>
      <c r="AD4000">
        <v>-7.0208000000000007E-2</v>
      </c>
      <c r="AE4000">
        <v>-9.2800000000011096E-2</v>
      </c>
      <c r="AF4000">
        <v>8.37948561551599E-2</v>
      </c>
      <c r="AG4000">
        <v>-7.0208000000000007E-2</v>
      </c>
      <c r="AH4000">
        <v>0.64616023390922595</v>
      </c>
      <c r="AI4000">
        <v>96.150000753009806</v>
      </c>
      <c r="AJ4000">
        <v>82.611049047922904</v>
      </c>
      <c r="AK4000">
        <v>0.655342497529109</v>
      </c>
      <c r="AL4000">
        <v>72.699356635760495</v>
      </c>
      <c r="AM4000">
        <v>92.505303641161206</v>
      </c>
      <c r="AN4000">
        <v>1.0000000171485299</v>
      </c>
    </row>
    <row r="4001" spans="1:40" x14ac:dyDescent="0.25">
      <c r="A4001" t="str">
        <f>"20190304164931082"</f>
        <v>20190304164931082</v>
      </c>
      <c r="B4001" t="str">
        <f>"1551689371070350"</f>
        <v>1551689371070350</v>
      </c>
      <c r="C4001" t="s">
        <v>40</v>
      </c>
      <c r="D4001">
        <v>4.2507409999999997</v>
      </c>
      <c r="E4001">
        <v>0.56485090000000004</v>
      </c>
      <c r="F4001" t="s">
        <v>41</v>
      </c>
      <c r="G4001">
        <v>-277.4624</v>
      </c>
      <c r="H4001">
        <v>1.045782</v>
      </c>
      <c r="I4001">
        <v>215.35640000000001</v>
      </c>
      <c r="J4001">
        <v>-278.09179999999998</v>
      </c>
      <c r="K4001">
        <v>1.1101129999999999</v>
      </c>
      <c r="L4001">
        <v>215.4485</v>
      </c>
      <c r="M4001">
        <v>0.99980959999999997</v>
      </c>
      <c r="N4001">
        <v>-1.489831E-2</v>
      </c>
      <c r="O4001">
        <v>-1.260066E-2</v>
      </c>
      <c r="P4001">
        <v>0.9584125</v>
      </c>
      <c r="Q4001">
        <v>0.28370620000000002</v>
      </c>
      <c r="R4001">
        <v>3.092015E-2</v>
      </c>
      <c r="S4001">
        <v>3.2005919999999999</v>
      </c>
      <c r="T4001">
        <v>-0.20733760000000001</v>
      </c>
      <c r="U4001">
        <v>-0.31254579999999998</v>
      </c>
      <c r="V4001">
        <v>-4.2680889999999999E-2</v>
      </c>
      <c r="W4001">
        <v>0.29799199999999998</v>
      </c>
      <c r="X4001">
        <v>0.95361379999999996</v>
      </c>
      <c r="Y4001">
        <v>8.4439589999999995E-2</v>
      </c>
      <c r="Z4001">
        <v>-2.730868E-3</v>
      </c>
      <c r="AA4001">
        <v>0.99642489999999995</v>
      </c>
      <c r="AB4001">
        <v>38</v>
      </c>
      <c r="AC4001">
        <v>0.62939999999997498</v>
      </c>
      <c r="AD4001">
        <v>-6.4330999999999902E-2</v>
      </c>
      <c r="AE4001">
        <v>-9.2099999999987803E-2</v>
      </c>
      <c r="AF4001">
        <v>8.3308876680935603E-2</v>
      </c>
      <c r="AG4001">
        <v>-6.4330999999999902E-2</v>
      </c>
      <c r="AH4001">
        <v>0.62412716635222298</v>
      </c>
      <c r="AI4001">
        <v>95.8335200220166</v>
      </c>
      <c r="AJ4001">
        <v>82.397065692212195</v>
      </c>
      <c r="AK4001">
        <v>0.63294041289342096</v>
      </c>
      <c r="AL4001">
        <v>72.662963684976802</v>
      </c>
      <c r="AM4001">
        <v>92.562676770639797</v>
      </c>
      <c r="AN4001">
        <v>1.0000000849928099</v>
      </c>
    </row>
    <row r="4002" spans="1:40" x14ac:dyDescent="0.25">
      <c r="A4002" t="str">
        <f>"20190304164931097"</f>
        <v>20190304164931097</v>
      </c>
      <c r="B4002" t="str">
        <f>"1551689371089870"</f>
        <v>1551689371089870</v>
      </c>
      <c r="C4002" t="s">
        <v>40</v>
      </c>
      <c r="D4002">
        <v>4.2973480000000004</v>
      </c>
      <c r="E4002">
        <v>0.56515369999999998</v>
      </c>
      <c r="F4002" t="s">
        <v>41</v>
      </c>
      <c r="G4002">
        <v>-277.1241</v>
      </c>
      <c r="H4002">
        <v>1.0496019999999999</v>
      </c>
      <c r="I4002">
        <v>215.35249999999999</v>
      </c>
      <c r="J4002">
        <v>-277.83330000000001</v>
      </c>
      <c r="K4002">
        <v>1.1101449999999999</v>
      </c>
      <c r="L4002">
        <v>215.4451</v>
      </c>
      <c r="M4002">
        <v>0.99980749999999996</v>
      </c>
      <c r="N4002">
        <v>-1.4895169999999999E-2</v>
      </c>
      <c r="O4002">
        <v>-1.277501E-2</v>
      </c>
      <c r="P4002">
        <v>0.95827229999999997</v>
      </c>
      <c r="Q4002">
        <v>0.28411029999999998</v>
      </c>
      <c r="R4002">
        <v>3.155753E-2</v>
      </c>
      <c r="S4002">
        <v>3.1996150000000001</v>
      </c>
      <c r="T4002">
        <v>-0.2001704</v>
      </c>
      <c r="U4002">
        <v>-0.31703189999999998</v>
      </c>
      <c r="V4002">
        <v>-4.3506469999999998E-2</v>
      </c>
      <c r="W4002">
        <v>0.29838789999999998</v>
      </c>
      <c r="X4002">
        <v>0.95345259999999998</v>
      </c>
      <c r="Y4002">
        <v>8.5687910000000006E-2</v>
      </c>
      <c r="Z4002">
        <v>-2.7051179999999998E-3</v>
      </c>
      <c r="AA4002">
        <v>0.99631829999999999</v>
      </c>
      <c r="AB4002">
        <v>37</v>
      </c>
      <c r="AC4002">
        <v>0.70920000000000905</v>
      </c>
      <c r="AD4002">
        <v>-6.0543E-2</v>
      </c>
      <c r="AE4002">
        <v>-9.2600000000004401E-2</v>
      </c>
      <c r="AF4002">
        <v>8.2937110975026998E-2</v>
      </c>
      <c r="AG4002">
        <v>-6.0543E-2</v>
      </c>
      <c r="AH4002">
        <v>0.70527156093591103</v>
      </c>
      <c r="AI4002">
        <v>94.873028420708096</v>
      </c>
      <c r="AJ4002">
        <v>83.293049007321997</v>
      </c>
      <c r="AK4002">
        <v>0.71270750935489702</v>
      </c>
      <c r="AL4002">
        <v>72.639197744670199</v>
      </c>
      <c r="AM4002">
        <v>92.612619858139695</v>
      </c>
      <c r="AN4002">
        <v>1.0000000061225101</v>
      </c>
    </row>
    <row r="4003" spans="1:40" x14ac:dyDescent="0.25">
      <c r="A4003" t="str">
        <f>"20190304164931116"</f>
        <v>20190304164931116</v>
      </c>
      <c r="B4003" t="str">
        <f>"1551689371110365"</f>
        <v>1551689371110365</v>
      </c>
      <c r="C4003" t="s">
        <v>40</v>
      </c>
      <c r="D4003">
        <v>4.2508860000000004</v>
      </c>
      <c r="E4003">
        <v>0.56437150000000003</v>
      </c>
      <c r="F4003" t="s">
        <v>41</v>
      </c>
      <c r="G4003">
        <v>-276.79390000000001</v>
      </c>
      <c r="H4003">
        <v>1.044729</v>
      </c>
      <c r="I4003">
        <v>215.34209999999999</v>
      </c>
      <c r="J4003">
        <v>-277.51650000000001</v>
      </c>
      <c r="K4003">
        <v>1.1101719999999999</v>
      </c>
      <c r="L4003">
        <v>215.4408</v>
      </c>
      <c r="M4003">
        <v>0.9998051</v>
      </c>
      <c r="N4003">
        <v>-1.4891349999999999E-2</v>
      </c>
      <c r="O4003">
        <v>-1.2974629999999999E-2</v>
      </c>
      <c r="P4003">
        <v>0.95825210000000005</v>
      </c>
      <c r="Q4003">
        <v>0.28405659999999999</v>
      </c>
      <c r="R4003">
        <v>3.2636289999999998E-2</v>
      </c>
      <c r="S4003">
        <v>3.2008359999999998</v>
      </c>
      <c r="T4003">
        <v>-0.2015229</v>
      </c>
      <c r="U4003">
        <v>-0.31701659999999998</v>
      </c>
      <c r="V4003">
        <v>-4.4798490000000003E-2</v>
      </c>
      <c r="W4003">
        <v>0.29832740000000002</v>
      </c>
      <c r="X4003">
        <v>0.95341169999999997</v>
      </c>
      <c r="Y4003">
        <v>8.5445720000000003E-2</v>
      </c>
      <c r="Z4003">
        <v>-2.6978760000000001E-3</v>
      </c>
      <c r="AA4003">
        <v>0.99633919999999998</v>
      </c>
      <c r="AB4003">
        <v>37</v>
      </c>
      <c r="AC4003">
        <v>0.72259999999999902</v>
      </c>
      <c r="AD4003">
        <v>-6.5442999999999904E-2</v>
      </c>
      <c r="AE4003">
        <v>-9.8700000000008004E-2</v>
      </c>
      <c r="AF4003">
        <v>8.8601764954998094E-2</v>
      </c>
      <c r="AG4003">
        <v>-6.5442999999999904E-2</v>
      </c>
      <c r="AH4003">
        <v>0.71803827184549096</v>
      </c>
      <c r="AI4003">
        <v>95.168642972190895</v>
      </c>
      <c r="AJ4003">
        <v>82.965591038675498</v>
      </c>
      <c r="AK4003">
        <v>0.72643789743996701</v>
      </c>
      <c r="AL4003">
        <v>72.642829550885693</v>
      </c>
      <c r="AM4003">
        <v>92.690210231412806</v>
      </c>
      <c r="AN4003">
        <v>1.00000000599696</v>
      </c>
    </row>
    <row r="4004" spans="1:40" x14ac:dyDescent="0.25">
      <c r="A4004" t="str">
        <f>"20190304164931131"</f>
        <v>20190304164931131</v>
      </c>
      <c r="B4004" t="str">
        <f>"1551689371120126"</f>
        <v>1551689371120126</v>
      </c>
      <c r="C4004" t="s">
        <v>40</v>
      </c>
      <c r="D4004">
        <v>4.3147630000000001</v>
      </c>
      <c r="E4004">
        <v>0.56453940000000002</v>
      </c>
      <c r="F4004" t="s">
        <v>41</v>
      </c>
      <c r="G4004">
        <v>-276.46230000000003</v>
      </c>
      <c r="H4004">
        <v>1.0420370000000001</v>
      </c>
      <c r="I4004">
        <v>215.33959999999999</v>
      </c>
      <c r="J4004">
        <v>-277.26499999999999</v>
      </c>
      <c r="K4004">
        <v>1.1101909999999999</v>
      </c>
      <c r="L4004">
        <v>215.4374</v>
      </c>
      <c r="M4004">
        <v>0.99980309999999994</v>
      </c>
      <c r="N4004">
        <v>-1.4888220000000001E-2</v>
      </c>
      <c r="O4004">
        <v>-1.312644E-2</v>
      </c>
      <c r="P4004">
        <v>0.95821389999999995</v>
      </c>
      <c r="Q4004">
        <v>0.28415810000000002</v>
      </c>
      <c r="R4004">
        <v>3.2866819999999998E-2</v>
      </c>
      <c r="S4004">
        <v>3.202515</v>
      </c>
      <c r="T4004">
        <v>-0.20708660000000001</v>
      </c>
      <c r="U4004">
        <v>-0.30653380000000002</v>
      </c>
      <c r="V4004">
        <v>-4.5188949999999999E-2</v>
      </c>
      <c r="W4004">
        <v>0.29842390000000002</v>
      </c>
      <c r="X4004">
        <v>0.95336310000000002</v>
      </c>
      <c r="Y4004">
        <v>8.2011710000000002E-2</v>
      </c>
      <c r="Z4004">
        <v>-2.6045460000000001E-3</v>
      </c>
      <c r="AA4004">
        <v>0.99662799999999996</v>
      </c>
      <c r="AB4004">
        <v>37</v>
      </c>
      <c r="AC4004">
        <v>0.802699999999958</v>
      </c>
      <c r="AD4004">
        <v>-6.8153999999999798E-2</v>
      </c>
      <c r="AE4004">
        <v>-9.7800000000006507E-2</v>
      </c>
      <c r="AF4004">
        <v>8.6638370224396605E-2</v>
      </c>
      <c r="AG4004">
        <v>-6.8153999999999798E-2</v>
      </c>
      <c r="AH4004">
        <v>0.79824435207344502</v>
      </c>
      <c r="AI4004">
        <v>94.851715155494702</v>
      </c>
      <c r="AJ4004">
        <v>83.805584236772802</v>
      </c>
      <c r="AK4004">
        <v>0.80581959552265403</v>
      </c>
      <c r="AL4004">
        <v>72.637037113534703</v>
      </c>
      <c r="AM4004">
        <v>92.713761114759905</v>
      </c>
      <c r="AN4004">
        <v>1.0000000328674601</v>
      </c>
    </row>
    <row r="4005" spans="1:40" x14ac:dyDescent="0.25">
      <c r="A4005" t="str">
        <f>"20190304164931143"</f>
        <v>20190304164931143</v>
      </c>
      <c r="B4005" t="str">
        <f>"1551689371140003"</f>
        <v>1551689371140003</v>
      </c>
      <c r="C4005" t="s">
        <v>40</v>
      </c>
      <c r="D4005">
        <v>4.3518980000000003</v>
      </c>
      <c r="E4005">
        <v>0.56420899999999996</v>
      </c>
      <c r="F4005" t="s">
        <v>46</v>
      </c>
      <c r="G4005">
        <v>-260.12180000000001</v>
      </c>
      <c r="H4005" s="1">
        <v>-1.4360999999999999E-6</v>
      </c>
      <c r="I4005">
        <v>213.79589999999999</v>
      </c>
      <c r="J4005">
        <v>-277.04910000000001</v>
      </c>
      <c r="K4005">
        <v>1.110204</v>
      </c>
      <c r="L4005">
        <v>215.43440000000001</v>
      </c>
      <c r="M4005">
        <v>0.99980150000000001</v>
      </c>
      <c r="N4005">
        <v>-1.4885600000000001E-2</v>
      </c>
      <c r="O4005">
        <v>-1.325547E-2</v>
      </c>
      <c r="P4005">
        <v>0.95824489999999996</v>
      </c>
      <c r="Q4005">
        <v>0.28401300000000002</v>
      </c>
      <c r="R4005">
        <v>3.3221239999999999E-2</v>
      </c>
      <c r="S4005">
        <v>3.2028500000000002</v>
      </c>
      <c r="T4005">
        <v>-0.20741709999999999</v>
      </c>
      <c r="U4005">
        <v>-0.30668640000000003</v>
      </c>
      <c r="V4005">
        <v>-4.5678040000000003E-2</v>
      </c>
      <c r="W4005">
        <v>0.29827500000000001</v>
      </c>
      <c r="X4005">
        <v>0.95338639999999997</v>
      </c>
      <c r="Y4005">
        <v>8.1920140000000002E-2</v>
      </c>
      <c r="Z4005">
        <v>-2.5970279999999999E-3</v>
      </c>
      <c r="AA4005">
        <v>0.99663550000000001</v>
      </c>
      <c r="AB4005">
        <v>37</v>
      </c>
      <c r="AC4005">
        <v>16.927299999999999</v>
      </c>
      <c r="AD4005">
        <v>-1.1102054361</v>
      </c>
      <c r="AE4005">
        <v>-1.6385000000000201</v>
      </c>
      <c r="AF4005">
        <v>1.40795162637027</v>
      </c>
      <c r="AG4005">
        <v>-1.1102054361</v>
      </c>
      <c r="AH4005">
        <v>16.875615448303598</v>
      </c>
      <c r="AI4005">
        <v>93.750930644086196</v>
      </c>
      <c r="AJ4005">
        <v>85.230793796399595</v>
      </c>
      <c r="AK4005">
        <v>16.970600479993902</v>
      </c>
      <c r="AL4005">
        <v>72.645975727595498</v>
      </c>
      <c r="AM4005">
        <v>92.743021193274103</v>
      </c>
      <c r="AN4005">
        <v>1.0000000433340901</v>
      </c>
    </row>
    <row r="4006" spans="1:40" x14ac:dyDescent="0.25">
      <c r="A4006" t="str">
        <f>"20190304164931155"</f>
        <v>20190304164931155</v>
      </c>
      <c r="B4006" t="str">
        <f>"1551689371149763"</f>
        <v>1551689371149763</v>
      </c>
      <c r="C4006" t="s">
        <v>40</v>
      </c>
      <c r="D4006">
        <v>4.2667809999999999</v>
      </c>
      <c r="E4006">
        <v>0.56433069999999996</v>
      </c>
      <c r="F4006" t="s">
        <v>41</v>
      </c>
      <c r="G4006">
        <v>-276.12380000000002</v>
      </c>
      <c r="H4006">
        <v>1.047806</v>
      </c>
      <c r="I4006">
        <v>215.34739999999999</v>
      </c>
      <c r="J4006">
        <v>-276.84870000000001</v>
      </c>
      <c r="K4006">
        <v>1.1102240000000001</v>
      </c>
      <c r="L4006">
        <v>215.4316</v>
      </c>
      <c r="M4006">
        <v>0.99979980000000002</v>
      </c>
      <c r="N4006">
        <v>-1.4883189999999999E-2</v>
      </c>
      <c r="O4006">
        <v>-1.3374530000000001E-2</v>
      </c>
      <c r="P4006">
        <v>0.95827989999999996</v>
      </c>
      <c r="Q4006">
        <v>0.28389140000000002</v>
      </c>
      <c r="R4006">
        <v>3.3249769999999998E-2</v>
      </c>
      <c r="S4006">
        <v>3.2052610000000001</v>
      </c>
      <c r="T4006">
        <v>-0.21610779999999999</v>
      </c>
      <c r="U4006">
        <v>-0.30169679999999999</v>
      </c>
      <c r="V4006">
        <v>-4.5830379999999997E-2</v>
      </c>
      <c r="W4006">
        <v>0.29815069999999999</v>
      </c>
      <c r="X4006">
        <v>0.95341790000000004</v>
      </c>
      <c r="Y4006">
        <v>8.0183420000000005E-2</v>
      </c>
      <c r="Z4006">
        <v>-2.5928639999999998E-3</v>
      </c>
      <c r="AA4006">
        <v>0.99677680000000002</v>
      </c>
      <c r="AB4006">
        <v>37</v>
      </c>
      <c r="AC4006">
        <v>0.72489999999999</v>
      </c>
      <c r="AD4006">
        <v>-6.24179999999998E-2</v>
      </c>
      <c r="AE4006">
        <v>-8.4200000000009795E-2</v>
      </c>
      <c r="AF4006">
        <v>7.3955178400274005E-2</v>
      </c>
      <c r="AG4006">
        <v>-6.24179999999998E-2</v>
      </c>
      <c r="AH4006">
        <v>0.72068921545087405</v>
      </c>
      <c r="AI4006">
        <v>94.924233635135494</v>
      </c>
      <c r="AJ4006">
        <v>84.140970409779598</v>
      </c>
      <c r="AK4006">
        <v>0.72715769981718104</v>
      </c>
      <c r="AL4006">
        <v>72.653435917001502</v>
      </c>
      <c r="AM4006">
        <v>92.752064562760197</v>
      </c>
      <c r="AN4006">
        <v>0.99999997784092198</v>
      </c>
    </row>
    <row r="4007" spans="1:40" x14ac:dyDescent="0.25">
      <c r="A4007" t="str">
        <f>"20190304164931170"</f>
        <v>20190304164931170</v>
      </c>
      <c r="B4007" t="str">
        <f>"1551689371159523"</f>
        <v>1551689371159523</v>
      </c>
      <c r="C4007" t="s">
        <v>40</v>
      </c>
      <c r="D4007">
        <v>4.2857760000000003</v>
      </c>
      <c r="E4007">
        <v>0.56438319999999997</v>
      </c>
      <c r="F4007" t="s">
        <v>41</v>
      </c>
      <c r="G4007">
        <v>-275.79660000000001</v>
      </c>
      <c r="H4007">
        <v>1.039404</v>
      </c>
      <c r="I4007">
        <v>215.3322</v>
      </c>
      <c r="J4007">
        <v>-276.60500000000002</v>
      </c>
      <c r="K4007">
        <v>1.1102399999999999</v>
      </c>
      <c r="L4007">
        <v>215.4282</v>
      </c>
      <c r="M4007">
        <v>0.99979790000000002</v>
      </c>
      <c r="N4007">
        <v>-1.4880279999999999E-2</v>
      </c>
      <c r="O4007">
        <v>-1.351549E-2</v>
      </c>
      <c r="P4007">
        <v>0.95818539999999996</v>
      </c>
      <c r="Q4007">
        <v>0.28418080000000001</v>
      </c>
      <c r="R4007">
        <v>3.349767E-2</v>
      </c>
      <c r="S4007">
        <v>3.2050480000000001</v>
      </c>
      <c r="T4007">
        <v>-0.21580959999999999</v>
      </c>
      <c r="U4007">
        <v>-0.30236819999999998</v>
      </c>
      <c r="V4007">
        <v>-4.6222520000000003E-2</v>
      </c>
      <c r="W4007">
        <v>0.29843429999999999</v>
      </c>
      <c r="X4007">
        <v>0.95331030000000005</v>
      </c>
      <c r="Y4007">
        <v>8.0256510000000003E-2</v>
      </c>
      <c r="Z4007">
        <v>-2.585974E-3</v>
      </c>
      <c r="AA4007">
        <v>0.99677090000000002</v>
      </c>
      <c r="AB4007">
        <v>37</v>
      </c>
      <c r="AC4007">
        <v>0.808400000000006</v>
      </c>
      <c r="AD4007">
        <v>-7.0835999999999899E-2</v>
      </c>
      <c r="AE4007">
        <v>-9.6000000000003596E-2</v>
      </c>
      <c r="AF4007">
        <v>8.4424886365499802E-2</v>
      </c>
      <c r="AG4007">
        <v>-7.0835999999999899E-2</v>
      </c>
      <c r="AH4007">
        <v>0.80353988964561396</v>
      </c>
      <c r="AI4007">
        <v>95.010444419053798</v>
      </c>
      <c r="AJ4007">
        <v>84.002155202945701</v>
      </c>
      <c r="AK4007">
        <v>0.81106205347403104</v>
      </c>
      <c r="AL4007">
        <v>72.636412923530898</v>
      </c>
      <c r="AM4007">
        <v>92.775888266287595</v>
      </c>
      <c r="AN4007">
        <v>1.00000004042886</v>
      </c>
    </row>
    <row r="4008" spans="1:40" x14ac:dyDescent="0.25">
      <c r="A4008" t="str">
        <f>"20190304164931186"</f>
        <v>20190304164931186</v>
      </c>
      <c r="B4008" t="str">
        <f>"1551689371180019"</f>
        <v>1551689371180019</v>
      </c>
      <c r="C4008" t="s">
        <v>40</v>
      </c>
      <c r="D4008">
        <v>4.270905</v>
      </c>
      <c r="E4008">
        <v>0.56442650000000005</v>
      </c>
      <c r="F4008" t="s">
        <v>46</v>
      </c>
      <c r="G4008">
        <v>-260.11290000000002</v>
      </c>
      <c r="H4008" s="1">
        <v>-1.4442179999999999E-6</v>
      </c>
      <c r="I4008">
        <v>213.87270000000001</v>
      </c>
      <c r="J4008">
        <v>-276.34230000000002</v>
      </c>
      <c r="K4008">
        <v>1.11026</v>
      </c>
      <c r="L4008">
        <v>215.42449999999999</v>
      </c>
      <c r="M4008">
        <v>0.99979600000000002</v>
      </c>
      <c r="N4008">
        <v>-1.487715E-2</v>
      </c>
      <c r="O4008">
        <v>-1.3663349999999999E-2</v>
      </c>
      <c r="P4008">
        <v>0.95808329999999997</v>
      </c>
      <c r="Q4008">
        <v>0.28452499999999997</v>
      </c>
      <c r="R4008">
        <v>3.3495520000000001E-2</v>
      </c>
      <c r="S4008">
        <v>3.2054749999999999</v>
      </c>
      <c r="T4008">
        <v>-0.21579090000000001</v>
      </c>
      <c r="U4008">
        <v>-0.30233759999999998</v>
      </c>
      <c r="V4008">
        <v>-4.6371019999999999E-2</v>
      </c>
      <c r="W4008">
        <v>0.29877239999999999</v>
      </c>
      <c r="X4008">
        <v>0.95319710000000002</v>
      </c>
      <c r="Y4008">
        <v>8.0088000000000006E-2</v>
      </c>
      <c r="Z4008">
        <v>-2.5707809999999998E-3</v>
      </c>
      <c r="AA4008">
        <v>0.99678449999999996</v>
      </c>
      <c r="AB4008">
        <v>37</v>
      </c>
      <c r="AC4008">
        <v>16.229399999999998</v>
      </c>
      <c r="AD4008">
        <v>-1.1102614442180001</v>
      </c>
      <c r="AE4008">
        <v>-1.5517999999999801</v>
      </c>
      <c r="AF4008">
        <v>1.32374361044916</v>
      </c>
      <c r="AG4008">
        <v>-1.1102614442180001</v>
      </c>
      <c r="AH4008">
        <v>16.174080935191601</v>
      </c>
      <c r="AI4008">
        <v>93.913833679430695</v>
      </c>
      <c r="AJ4008">
        <v>85.321140400233801</v>
      </c>
      <c r="AK4008">
        <v>16.266095773689798</v>
      </c>
      <c r="AL4008">
        <v>72.616113830092701</v>
      </c>
      <c r="AM4008">
        <v>92.785122597482797</v>
      </c>
      <c r="AN4008">
        <v>0.99999996497300403</v>
      </c>
    </row>
    <row r="4009" spans="1:40" x14ac:dyDescent="0.25">
      <c r="A4009" t="str">
        <f>"20190304164931199"</f>
        <v>20190304164931199</v>
      </c>
      <c r="B4009" t="str">
        <f>"1551689371189779"</f>
        <v>1551689371189779</v>
      </c>
      <c r="C4009" t="s">
        <v>40</v>
      </c>
      <c r="D4009">
        <v>4.5640429999999999</v>
      </c>
      <c r="E4009">
        <v>0.56450339999999999</v>
      </c>
      <c r="F4009" t="s">
        <v>41</v>
      </c>
      <c r="G4009">
        <v>-275.4547</v>
      </c>
      <c r="H4009">
        <v>1.050964</v>
      </c>
      <c r="I4009">
        <v>215.3407</v>
      </c>
      <c r="J4009">
        <v>-276.12029999999999</v>
      </c>
      <c r="K4009">
        <v>1.1102780000000001</v>
      </c>
      <c r="L4009">
        <v>215.4213</v>
      </c>
      <c r="M4009">
        <v>0.99979439999999997</v>
      </c>
      <c r="N4009">
        <v>-1.4874500000000001E-2</v>
      </c>
      <c r="O4009">
        <v>-1.3783460000000001E-2</v>
      </c>
      <c r="P4009">
        <v>0.95792600000000006</v>
      </c>
      <c r="Q4009">
        <v>0.28509380000000001</v>
      </c>
      <c r="R4009">
        <v>3.315916E-2</v>
      </c>
      <c r="S4009">
        <v>3.205444</v>
      </c>
      <c r="T4009">
        <v>-0.21421770000000001</v>
      </c>
      <c r="U4009">
        <v>-0.30267329999999998</v>
      </c>
      <c r="V4009">
        <v>-4.615752E-2</v>
      </c>
      <c r="W4009">
        <v>0.2993344</v>
      </c>
      <c r="X4009">
        <v>0.95303119999999997</v>
      </c>
      <c r="Y4009">
        <v>8.0075380000000002E-2</v>
      </c>
      <c r="Z4009">
        <v>-2.5510340000000002E-3</v>
      </c>
      <c r="AA4009">
        <v>0.99678549999999999</v>
      </c>
      <c r="AB4009">
        <v>37</v>
      </c>
      <c r="AC4009">
        <v>0.66559999999998298</v>
      </c>
      <c r="AD4009">
        <v>-5.9313999999999999E-2</v>
      </c>
      <c r="AE4009">
        <v>-8.0600000000004002E-2</v>
      </c>
      <c r="AF4009">
        <v>7.0862453348373003E-2</v>
      </c>
      <c r="AG4009">
        <v>-5.9313999999999999E-2</v>
      </c>
      <c r="AH4009">
        <v>0.66147084737277795</v>
      </c>
      <c r="AI4009">
        <v>95.095002174430405</v>
      </c>
      <c r="AJ4009">
        <v>83.885303393381704</v>
      </c>
      <c r="AK4009">
        <v>0.66789469215933395</v>
      </c>
      <c r="AL4009">
        <v>72.582370568969296</v>
      </c>
      <c r="AM4009">
        <v>92.772801316057595</v>
      </c>
      <c r="AN4009">
        <v>1.00000003392467</v>
      </c>
    </row>
    <row r="4010" spans="1:40" x14ac:dyDescent="0.25">
      <c r="A4010" t="str">
        <f>"20190304164931211"</f>
        <v>20190304164931211</v>
      </c>
      <c r="B4010" t="str">
        <f>"1551689371200517"</f>
        <v>1551689371200517</v>
      </c>
      <c r="C4010" t="s">
        <v>40</v>
      </c>
      <c r="D4010">
        <v>4.2330990000000002</v>
      </c>
      <c r="E4010">
        <v>0.56452609999999903</v>
      </c>
      <c r="F4010" t="s">
        <v>41</v>
      </c>
      <c r="G4010">
        <v>-275.12709999999998</v>
      </c>
      <c r="H4010">
        <v>1.0451159999999999</v>
      </c>
      <c r="I4010">
        <v>215.32669999999999</v>
      </c>
      <c r="J4010">
        <v>-275.91829999999999</v>
      </c>
      <c r="K4010">
        <v>1.1102939999999999</v>
      </c>
      <c r="L4010">
        <v>215.41849999999999</v>
      </c>
      <c r="M4010">
        <v>0.99979300000000004</v>
      </c>
      <c r="N4010">
        <v>-1.4872099999999999E-2</v>
      </c>
      <c r="O4010">
        <v>-1.3885689999999999E-2</v>
      </c>
      <c r="P4010">
        <v>0.95783450000000003</v>
      </c>
      <c r="Q4010">
        <v>0.2854372</v>
      </c>
      <c r="R4010">
        <v>3.2843379999999998E-2</v>
      </c>
      <c r="S4010">
        <v>3.204895</v>
      </c>
      <c r="T4010">
        <v>-0.21039040000000001</v>
      </c>
      <c r="U4010">
        <v>-0.30462650000000002</v>
      </c>
      <c r="V4010">
        <v>-4.5948349999999999E-2</v>
      </c>
      <c r="W4010">
        <v>0.29967240000000001</v>
      </c>
      <c r="X4010">
        <v>0.95293499999999998</v>
      </c>
      <c r="Y4010">
        <v>8.0596370000000001E-2</v>
      </c>
      <c r="Z4010">
        <v>-2.535725E-3</v>
      </c>
      <c r="AA4010">
        <v>0.99674359999999995</v>
      </c>
      <c r="AB4010">
        <v>37</v>
      </c>
      <c r="AC4010">
        <v>0.79120000000000301</v>
      </c>
      <c r="AD4010">
        <v>-6.5178000000000097E-2</v>
      </c>
      <c r="AE4010">
        <v>-9.1800000000006293E-2</v>
      </c>
      <c r="AF4010">
        <v>8.0266104672336205E-2</v>
      </c>
      <c r="AG4010">
        <v>-6.5178000000000097E-2</v>
      </c>
      <c r="AH4010">
        <v>0.78712786257637002</v>
      </c>
      <c r="AI4010">
        <v>94.709258234699007</v>
      </c>
      <c r="AJ4010">
        <v>84.177480841568695</v>
      </c>
      <c r="AK4010">
        <v>0.79388984833370702</v>
      </c>
      <c r="AL4010">
        <v>72.562071434567002</v>
      </c>
      <c r="AM4010">
        <v>92.760533631722595</v>
      </c>
      <c r="AN4010">
        <v>0.99999995620724003</v>
      </c>
    </row>
    <row r="4011" spans="1:40" x14ac:dyDescent="0.25">
      <c r="A4011" t="str">
        <f>"20190304164931227"</f>
        <v>20190304164931227</v>
      </c>
      <c r="B4011" t="str">
        <f>"1551689371220038"</f>
        <v>1551689371220038</v>
      </c>
      <c r="C4011" t="s">
        <v>40</v>
      </c>
      <c r="D4011">
        <v>4.2523359999999997</v>
      </c>
      <c r="E4011">
        <v>0.56460580000000005</v>
      </c>
      <c r="F4011" t="s">
        <v>46</v>
      </c>
      <c r="G4011">
        <v>-258.8261</v>
      </c>
      <c r="H4011" s="1">
        <v>3.1961799999999999E-6</v>
      </c>
      <c r="I4011">
        <v>213.78899999999999</v>
      </c>
      <c r="J4011">
        <v>-275.65800000000002</v>
      </c>
      <c r="K4011">
        <v>1.1103209999999999</v>
      </c>
      <c r="L4011">
        <v>215.41470000000001</v>
      </c>
      <c r="M4011">
        <v>0.9997916</v>
      </c>
      <c r="N4011">
        <v>-1.4869E-2</v>
      </c>
      <c r="O4011">
        <v>-1.4002189999999999E-2</v>
      </c>
      <c r="P4011">
        <v>0.95779809999999999</v>
      </c>
      <c r="Q4011">
        <v>0.28566570000000002</v>
      </c>
      <c r="R4011">
        <v>3.1906980000000001E-2</v>
      </c>
      <c r="S4011">
        <v>3.20459</v>
      </c>
      <c r="T4011">
        <v>-0.20816680000000001</v>
      </c>
      <c r="U4011">
        <v>-0.3054962</v>
      </c>
      <c r="V4011">
        <v>-4.5138490000000003E-2</v>
      </c>
      <c r="W4011">
        <v>0.29989440000000001</v>
      </c>
      <c r="X4011">
        <v>0.95290390000000003</v>
      </c>
      <c r="Y4011">
        <v>8.0760509999999994E-2</v>
      </c>
      <c r="Z4011">
        <v>-2.5181909999999999E-3</v>
      </c>
      <c r="AA4011">
        <v>0.99673029999999996</v>
      </c>
      <c r="AB4011">
        <v>37</v>
      </c>
      <c r="AC4011">
        <v>16.831900000000001</v>
      </c>
      <c r="AD4011">
        <v>-1.1103178038199999</v>
      </c>
      <c r="AE4011">
        <v>-1.6256999999999899</v>
      </c>
      <c r="AF4011">
        <v>1.38386502946176</v>
      </c>
      <c r="AG4011">
        <v>-1.1103178038199999</v>
      </c>
      <c r="AH4011">
        <v>16.780670957805899</v>
      </c>
      <c r="AI4011">
        <v>93.772771408702397</v>
      </c>
      <c r="AJ4011">
        <v>85.285611178221401</v>
      </c>
      <c r="AK4011">
        <v>16.874205339493699</v>
      </c>
      <c r="AL4011">
        <v>72.548739137901705</v>
      </c>
      <c r="AM4011">
        <v>92.712039671356905</v>
      </c>
      <c r="AN4011">
        <v>0.99999998853302496</v>
      </c>
    </row>
    <row r="4012" spans="1:40" x14ac:dyDescent="0.25">
      <c r="A4012" t="str">
        <f>"20190304164931245"</f>
        <v>20190304164931245</v>
      </c>
      <c r="B4012" t="str">
        <f>"1551689371239926"</f>
        <v>1551689371239926</v>
      </c>
      <c r="C4012" t="s">
        <v>40</v>
      </c>
      <c r="D4012">
        <v>4.2597399999999999</v>
      </c>
      <c r="E4012">
        <v>0.564650599999999</v>
      </c>
      <c r="F4012" t="s">
        <v>46</v>
      </c>
      <c r="G4012">
        <v>-258.35890000000001</v>
      </c>
      <c r="H4012" s="1">
        <v>2.9492870000000001E-6</v>
      </c>
      <c r="I4012">
        <v>213.74979999999999</v>
      </c>
      <c r="J4012">
        <v>-275.37830000000002</v>
      </c>
      <c r="K4012">
        <v>1.1103499999999999</v>
      </c>
      <c r="L4012">
        <v>215.41069999999999</v>
      </c>
      <c r="M4012">
        <v>0.99978999999999996</v>
      </c>
      <c r="N4012">
        <v>-1.4865679999999999E-2</v>
      </c>
      <c r="O4012">
        <v>-1.4107389999999999E-2</v>
      </c>
      <c r="P4012">
        <v>0.95787270000000002</v>
      </c>
      <c r="Q4012">
        <v>0.28547709999999998</v>
      </c>
      <c r="R4012">
        <v>3.1347189999999997E-2</v>
      </c>
      <c r="S4012">
        <v>3.2037960000000001</v>
      </c>
      <c r="T4012">
        <v>-0.20563139999999999</v>
      </c>
      <c r="U4012">
        <v>-0.308349599999999</v>
      </c>
      <c r="V4012">
        <v>-4.4700589999999998E-2</v>
      </c>
      <c r="W4012">
        <v>0.2997011</v>
      </c>
      <c r="X4012">
        <v>0.95298530000000004</v>
      </c>
      <c r="Y4012">
        <v>8.1560649999999998E-2</v>
      </c>
      <c r="Z4012">
        <v>-2.523993E-3</v>
      </c>
      <c r="AA4012">
        <v>0.99666520000000003</v>
      </c>
      <c r="AB4012">
        <v>37</v>
      </c>
      <c r="AC4012">
        <v>17.019400000000001</v>
      </c>
      <c r="AD4012">
        <v>-1.110347050713</v>
      </c>
      <c r="AE4012">
        <v>-1.6608999999999901</v>
      </c>
      <c r="AF4012">
        <v>1.41464453378362</v>
      </c>
      <c r="AG4012">
        <v>-1.110347050713</v>
      </c>
      <c r="AH4012">
        <v>16.969593732385899</v>
      </c>
      <c r="AI4012">
        <v>93.730711964729394</v>
      </c>
      <c r="AJ4012">
        <v>85.234642459271399</v>
      </c>
      <c r="AK4012">
        <v>17.064618401013899</v>
      </c>
      <c r="AL4012">
        <v>72.560347479679805</v>
      </c>
      <c r="AM4012">
        <v>92.685539124322204</v>
      </c>
      <c r="AN4012">
        <v>0.999999937051822</v>
      </c>
    </row>
    <row r="4013" spans="1:40" x14ac:dyDescent="0.25">
      <c r="A4013" t="str">
        <f>"20190304164931261"</f>
        <v>20190304164931261</v>
      </c>
      <c r="B4013" t="str">
        <f>"1551689371249685"</f>
        <v>1551689371249685</v>
      </c>
      <c r="C4013" t="s">
        <v>40</v>
      </c>
      <c r="D4013">
        <v>4.2727649999999997</v>
      </c>
      <c r="E4013">
        <v>0.56467259999999997</v>
      </c>
      <c r="F4013" t="s">
        <v>41</v>
      </c>
      <c r="G4013">
        <v>-274.45749999999998</v>
      </c>
      <c r="H4013">
        <v>1.0515209999999999</v>
      </c>
      <c r="I4013">
        <v>215.3211</v>
      </c>
      <c r="J4013">
        <v>-275.1035</v>
      </c>
      <c r="K4013">
        <v>1.1103749999999999</v>
      </c>
      <c r="L4013">
        <v>215.4067</v>
      </c>
      <c r="M4013">
        <v>0.99978900000000004</v>
      </c>
      <c r="N4013">
        <v>-1.486241E-2</v>
      </c>
      <c r="O4013">
        <v>-1.418966E-2</v>
      </c>
      <c r="P4013">
        <v>0.95805940000000001</v>
      </c>
      <c r="Q4013">
        <v>0.28494509999999901</v>
      </c>
      <c r="R4013">
        <v>3.0476659999999999E-2</v>
      </c>
      <c r="S4013">
        <v>3.2031559999999999</v>
      </c>
      <c r="T4013">
        <v>-0.20484440000000001</v>
      </c>
      <c r="U4013">
        <v>-0.31036380000000002</v>
      </c>
      <c r="V4013">
        <v>-4.3933989999999999E-2</v>
      </c>
      <c r="W4013">
        <v>0.29916470000000001</v>
      </c>
      <c r="X4013">
        <v>0.95318959999999997</v>
      </c>
      <c r="Y4013">
        <v>8.2118449999999996E-2</v>
      </c>
      <c r="Z4013">
        <v>-2.5355070000000002E-3</v>
      </c>
      <c r="AA4013">
        <v>0.99661929999999999</v>
      </c>
      <c r="AB4013">
        <v>37</v>
      </c>
      <c r="AC4013">
        <v>0.64600000000001501</v>
      </c>
      <c r="AD4013">
        <v>-5.8853999999999899E-2</v>
      </c>
      <c r="AE4013">
        <v>-8.5599999999999399E-2</v>
      </c>
      <c r="AF4013">
        <v>7.5805506909943601E-2</v>
      </c>
      <c r="AG4013">
        <v>-5.8853999999999899E-2</v>
      </c>
      <c r="AH4013">
        <v>0.64191366075790601</v>
      </c>
      <c r="AI4013">
        <v>95.202579243066197</v>
      </c>
      <c r="AJ4013">
        <v>83.264963030261598</v>
      </c>
      <c r="AK4013">
        <v>0.64904808455267005</v>
      </c>
      <c r="AL4013">
        <v>72.592561151867002</v>
      </c>
      <c r="AM4013">
        <v>92.638983797707596</v>
      </c>
      <c r="AN4013">
        <v>1.00000006337578</v>
      </c>
    </row>
    <row r="4014" spans="1:40" x14ac:dyDescent="0.25">
      <c r="A4014" t="str">
        <f>"20190304164931282"</f>
        <v>20190304164931282</v>
      </c>
      <c r="B4014" t="str">
        <f>"1551689371270182"</f>
        <v>1551689371270182</v>
      </c>
      <c r="C4014" t="s">
        <v>40</v>
      </c>
      <c r="D4014">
        <v>4.2787850000000001</v>
      </c>
      <c r="E4014">
        <v>0.56469630000000004</v>
      </c>
      <c r="F4014" t="s">
        <v>41</v>
      </c>
      <c r="G4014">
        <v>-274.1293</v>
      </c>
      <c r="H4014">
        <v>1.047777</v>
      </c>
      <c r="I4014">
        <v>215.31110000000001</v>
      </c>
      <c r="J4014">
        <v>-274.73899999999998</v>
      </c>
      <c r="K4014">
        <v>1.110409</v>
      </c>
      <c r="L4014">
        <v>215.4014</v>
      </c>
      <c r="M4014">
        <v>0.99978789999999995</v>
      </c>
      <c r="N4014">
        <v>-1.4858079999999999E-2</v>
      </c>
      <c r="O4014">
        <v>-1.42653E-2</v>
      </c>
      <c r="P4014">
        <v>0.95819339999999997</v>
      </c>
      <c r="Q4014">
        <v>0.2845955</v>
      </c>
      <c r="R4014">
        <v>2.9510729999999999E-2</v>
      </c>
      <c r="S4014">
        <v>3.2024840000000001</v>
      </c>
      <c r="T4014">
        <v>-0.20579220000000001</v>
      </c>
      <c r="U4014">
        <v>-0.31391910000000001</v>
      </c>
      <c r="V4014">
        <v>-4.3071329999999998E-2</v>
      </c>
      <c r="W4014">
        <v>0.29880879999999999</v>
      </c>
      <c r="X4014">
        <v>0.95334050000000004</v>
      </c>
      <c r="Y4014">
        <v>8.3155010000000001E-2</v>
      </c>
      <c r="Z4014">
        <v>-2.5806689999999998E-3</v>
      </c>
      <c r="AA4014">
        <v>0.99653329999999996</v>
      </c>
      <c r="AB4014">
        <v>37</v>
      </c>
      <c r="AC4014">
        <v>0.60970000000003199</v>
      </c>
      <c r="AD4014">
        <v>-6.2631999999999993E-2</v>
      </c>
      <c r="AE4014">
        <v>-9.0299999999984906E-2</v>
      </c>
      <c r="AF4014">
        <v>8.0758376440742505E-2</v>
      </c>
      <c r="AG4014">
        <v>-6.2631999999999993E-2</v>
      </c>
      <c r="AH4014">
        <v>0.60468222960062101</v>
      </c>
      <c r="AI4014">
        <v>95.861835607479904</v>
      </c>
      <c r="AJ4014">
        <v>82.392874431812999</v>
      </c>
      <c r="AK4014">
        <v>0.61325792419187097</v>
      </c>
      <c r="AL4014">
        <v>72.613928588053795</v>
      </c>
      <c r="AM4014">
        <v>92.586828531071802</v>
      </c>
      <c r="AN4014">
        <v>0.999999973682829</v>
      </c>
    </row>
    <row r="4015" spans="1:40" x14ac:dyDescent="0.25">
      <c r="A4015" t="str">
        <f>"20190304164931297"</f>
        <v>20190304164931297</v>
      </c>
      <c r="B4015" t="str">
        <f>"1551689371289702"</f>
        <v>1551689371289702</v>
      </c>
      <c r="C4015" t="s">
        <v>40</v>
      </c>
      <c r="D4015">
        <v>4.2592019999999904</v>
      </c>
      <c r="E4015">
        <v>0.56471309999999997</v>
      </c>
      <c r="F4015" t="s">
        <v>41</v>
      </c>
      <c r="G4015">
        <v>-273.79640000000001</v>
      </c>
      <c r="H4015">
        <v>1.049884</v>
      </c>
      <c r="I4015">
        <v>215.30770000000001</v>
      </c>
      <c r="J4015">
        <v>-274.48899999999998</v>
      </c>
      <c r="K4015">
        <v>1.110436</v>
      </c>
      <c r="L4015">
        <v>215.39779999999999</v>
      </c>
      <c r="M4015">
        <v>0.99978739999999999</v>
      </c>
      <c r="N4015">
        <v>-1.4855119999999999E-2</v>
      </c>
      <c r="O4015">
        <v>-1.429793E-2</v>
      </c>
      <c r="P4015">
        <v>0.95825079999999996</v>
      </c>
      <c r="Q4015">
        <v>0.28445160000000003</v>
      </c>
      <c r="R4015">
        <v>2.9027029999999999E-2</v>
      </c>
      <c r="S4015">
        <v>3.2017820000000001</v>
      </c>
      <c r="T4015">
        <v>-0.20572689999999999</v>
      </c>
      <c r="U4015">
        <v>-0.31799319999999998</v>
      </c>
      <c r="V4015">
        <v>-4.2638820000000001E-2</v>
      </c>
      <c r="W4015">
        <v>0.29865999999999998</v>
      </c>
      <c r="X4015">
        <v>0.95340659999999999</v>
      </c>
      <c r="Y4015">
        <v>8.4396410000000005E-2</v>
      </c>
      <c r="Z4015">
        <v>-2.6276450000000001E-3</v>
      </c>
      <c r="AA4015">
        <v>0.9964288</v>
      </c>
      <c r="AB4015">
        <v>37</v>
      </c>
      <c r="AC4015">
        <v>0.69260000000002697</v>
      </c>
      <c r="AD4015">
        <v>-6.0551999999999898E-2</v>
      </c>
      <c r="AE4015">
        <v>-9.0099999999978295E-2</v>
      </c>
      <c r="AF4015">
        <v>7.9588736080026395E-2</v>
      </c>
      <c r="AG4015">
        <v>-6.0551999999999898E-2</v>
      </c>
      <c r="AH4015">
        <v>0.68864153906828496</v>
      </c>
      <c r="AI4015">
        <v>94.992013397737395</v>
      </c>
      <c r="AJ4015">
        <v>83.407373572149794</v>
      </c>
      <c r="AK4015">
        <v>0.69586498758390802</v>
      </c>
      <c r="AL4015">
        <v>72.622862696376998</v>
      </c>
      <c r="AM4015">
        <v>92.560709783333294</v>
      </c>
      <c r="AN4015">
        <v>1.0000000047472699</v>
      </c>
    </row>
    <row r="4016" spans="1:40" x14ac:dyDescent="0.25">
      <c r="A4016" t="str">
        <f>"20190304164931309"</f>
        <v>20190304164931309</v>
      </c>
      <c r="B4016" t="str">
        <f>"1551689371300439"</f>
        <v>1551689371300439</v>
      </c>
      <c r="C4016" t="s">
        <v>40</v>
      </c>
      <c r="D4016">
        <v>4.248799</v>
      </c>
      <c r="E4016">
        <v>0.5647219</v>
      </c>
      <c r="F4016" t="s">
        <v>41</v>
      </c>
      <c r="G4016">
        <v>-273.47000000000003</v>
      </c>
      <c r="H4016">
        <v>1.0450680000000001</v>
      </c>
      <c r="I4016">
        <v>215.29589999999999</v>
      </c>
      <c r="J4016">
        <v>-274.28649999999999</v>
      </c>
      <c r="K4016">
        <v>1.110455</v>
      </c>
      <c r="L4016">
        <v>215.39490000000001</v>
      </c>
      <c r="M4016">
        <v>0.99978739999999999</v>
      </c>
      <c r="N4016">
        <v>-1.485272E-2</v>
      </c>
      <c r="O4016">
        <v>-1.4305999999999999E-2</v>
      </c>
      <c r="P4016">
        <v>0.95830649999999995</v>
      </c>
      <c r="Q4016">
        <v>0.28432960000000002</v>
      </c>
      <c r="R4016">
        <v>2.8383829999999999E-2</v>
      </c>
      <c r="S4016">
        <v>3.201416</v>
      </c>
      <c r="T4016">
        <v>-0.20543459999999999</v>
      </c>
      <c r="U4016">
        <v>-0.31971739999999998</v>
      </c>
      <c r="V4016">
        <v>-4.201862E-2</v>
      </c>
      <c r="W4016">
        <v>0.29853439999999998</v>
      </c>
      <c r="X4016">
        <v>0.95347340000000003</v>
      </c>
      <c r="Y4016">
        <v>8.493009E-2</v>
      </c>
      <c r="Z4016">
        <v>-2.6457870000000001E-3</v>
      </c>
      <c r="AA4016">
        <v>0.99638340000000003</v>
      </c>
      <c r="AB4016">
        <v>37</v>
      </c>
      <c r="AC4016">
        <v>0.81649999999996203</v>
      </c>
      <c r="AD4016">
        <v>-6.5386999999999806E-2</v>
      </c>
      <c r="AE4016">
        <v>-9.9000000000017893E-2</v>
      </c>
      <c r="AF4016">
        <v>8.6759391070217906E-2</v>
      </c>
      <c r="AG4016">
        <v>-6.5386999999999806E-2</v>
      </c>
      <c r="AH4016">
        <v>0.81269645396202905</v>
      </c>
      <c r="AI4016">
        <v>94.574050361223598</v>
      </c>
      <c r="AJ4016">
        <v>83.906469017350005</v>
      </c>
      <c r="AK4016">
        <v>0.81992571492198696</v>
      </c>
      <c r="AL4016">
        <v>72.630401854643097</v>
      </c>
      <c r="AM4016">
        <v>92.523335093125695</v>
      </c>
      <c r="AN4016">
        <v>0.99999993845880997</v>
      </c>
    </row>
    <row r="4017" spans="1:40" x14ac:dyDescent="0.25">
      <c r="A4017" t="str">
        <f>"20190304164931322"</f>
        <v>20190304164931322</v>
      </c>
      <c r="B4017" t="str">
        <f>"1551689371310199"</f>
        <v>1551689371310199</v>
      </c>
      <c r="C4017" t="s">
        <v>40</v>
      </c>
      <c r="D4017">
        <v>4.2272790000000002</v>
      </c>
      <c r="E4017">
        <v>0.56472829999999996</v>
      </c>
      <c r="F4017" t="s">
        <v>46</v>
      </c>
      <c r="G4017">
        <v>-256.97089999999997</v>
      </c>
      <c r="H4017" s="1">
        <v>2.2148200000000001E-6</v>
      </c>
      <c r="I4017">
        <v>213.65389999999999</v>
      </c>
      <c r="J4017">
        <v>-274.08139999999997</v>
      </c>
      <c r="K4017">
        <v>1.1104780000000001</v>
      </c>
      <c r="L4017">
        <v>215.392</v>
      </c>
      <c r="M4017">
        <v>0.99978750000000005</v>
      </c>
      <c r="N4017">
        <v>-1.48503E-2</v>
      </c>
      <c r="O4017">
        <v>-1.4297580000000001E-2</v>
      </c>
      <c r="P4017">
        <v>0.95834750000000002</v>
      </c>
      <c r="Q4017">
        <v>0.28425220000000001</v>
      </c>
      <c r="R4017">
        <v>2.77623E-2</v>
      </c>
      <c r="S4017">
        <v>3.2009889999999999</v>
      </c>
      <c r="T4017">
        <v>-0.20527980000000001</v>
      </c>
      <c r="U4017">
        <v>-0.32183840000000002</v>
      </c>
      <c r="V4017">
        <v>-4.1406400000000003E-2</v>
      </c>
      <c r="W4017">
        <v>0.29845300000000002</v>
      </c>
      <c r="X4017">
        <v>0.95352570000000003</v>
      </c>
      <c r="Y4017">
        <v>8.5603789999999999E-2</v>
      </c>
      <c r="Z4017">
        <v>-2.6714489999999998E-3</v>
      </c>
      <c r="AA4017">
        <v>0.99632569999999998</v>
      </c>
      <c r="AB4017">
        <v>37</v>
      </c>
      <c r="AC4017">
        <v>17.110499999999998</v>
      </c>
      <c r="AD4017">
        <v>-1.11047578518</v>
      </c>
      <c r="AE4017">
        <v>-1.7381</v>
      </c>
      <c r="AF4017">
        <v>1.48705700077847</v>
      </c>
      <c r="AG4017">
        <v>-1.11047578518</v>
      </c>
      <c r="AH4017">
        <v>17.062470169533999</v>
      </c>
      <c r="AI4017">
        <v>93.709703405943202</v>
      </c>
      <c r="AJ4017">
        <v>85.019048116643205</v>
      </c>
      <c r="AK4017">
        <v>17.163111118887301</v>
      </c>
      <c r="AL4017">
        <v>72.635289104538202</v>
      </c>
      <c r="AM4017">
        <v>92.486479849578004</v>
      </c>
      <c r="AN4017">
        <v>0.99999997186522405</v>
      </c>
    </row>
    <row r="4018" spans="1:40" x14ac:dyDescent="0.25">
      <c r="A4018" t="str">
        <f>"20190304164931339"</f>
        <v>20190304164931339</v>
      </c>
      <c r="B4018" t="str">
        <f>"1551689371330264"</f>
        <v>1551689371330264</v>
      </c>
      <c r="C4018" t="s">
        <v>40</v>
      </c>
      <c r="D4018">
        <v>4.2064940000000002</v>
      </c>
      <c r="E4018">
        <v>0.56474950000000002</v>
      </c>
      <c r="F4018" t="s">
        <v>41</v>
      </c>
      <c r="G4018">
        <v>-273.13549999999998</v>
      </c>
      <c r="H4018">
        <v>1.049882</v>
      </c>
      <c r="I4018">
        <v>215.29599999999999</v>
      </c>
      <c r="J4018">
        <v>-273.81740000000002</v>
      </c>
      <c r="K4018">
        <v>1.1105039999999999</v>
      </c>
      <c r="L4018">
        <v>215.38820000000001</v>
      </c>
      <c r="M4018">
        <v>0.99978800000000001</v>
      </c>
      <c r="N4018">
        <v>-1.48472E-2</v>
      </c>
      <c r="O4018">
        <v>-1.426326E-2</v>
      </c>
      <c r="P4018">
        <v>0.95836140000000003</v>
      </c>
      <c r="Q4018">
        <v>0.28432600000000002</v>
      </c>
      <c r="R4018">
        <v>2.649665E-2</v>
      </c>
      <c r="S4018">
        <v>3.2006230000000002</v>
      </c>
      <c r="T4018">
        <v>-0.2051075</v>
      </c>
      <c r="U4018">
        <v>-0.32432559999999999</v>
      </c>
      <c r="V4018">
        <v>-4.0130100000000002E-2</v>
      </c>
      <c r="W4018">
        <v>0.29852119999999999</v>
      </c>
      <c r="X4018">
        <v>0.95355900000000005</v>
      </c>
      <c r="Y4018">
        <v>8.641393E-2</v>
      </c>
      <c r="Z4018">
        <v>-2.7034849999999998E-3</v>
      </c>
      <c r="AA4018">
        <v>0.99625560000000002</v>
      </c>
      <c r="AB4018">
        <v>37</v>
      </c>
      <c r="AC4018">
        <v>0.68190000000004103</v>
      </c>
      <c r="AD4018">
        <v>-6.0622000000000099E-2</v>
      </c>
      <c r="AE4018">
        <v>-9.22000000000196E-2</v>
      </c>
      <c r="AF4018">
        <v>8.1828310864254697E-2</v>
      </c>
      <c r="AG4018">
        <v>-6.0622000000000099E-2</v>
      </c>
      <c r="AH4018">
        <v>0.677884369901672</v>
      </c>
      <c r="AI4018">
        <v>95.073629686520803</v>
      </c>
      <c r="AJ4018">
        <v>83.117053409896002</v>
      </c>
      <c r="AK4018">
        <v>0.68549115114630299</v>
      </c>
      <c r="AL4018">
        <v>72.631196276772897</v>
      </c>
      <c r="AM4018">
        <v>92.409844984530594</v>
      </c>
      <c r="AN4018">
        <v>1.0000000491282199</v>
      </c>
    </row>
    <row r="4019" spans="1:40" x14ac:dyDescent="0.25">
      <c r="A4019" t="str">
        <f>"20190304164931355"</f>
        <v>20190304164931355</v>
      </c>
      <c r="B4019" t="str">
        <f>"1551689371349784"</f>
        <v>1551689371349784</v>
      </c>
      <c r="C4019" t="s">
        <v>40</v>
      </c>
      <c r="D4019">
        <v>4.2749569999999997</v>
      </c>
      <c r="E4019">
        <v>0.56478200000000001</v>
      </c>
      <c r="F4019" t="s">
        <v>41</v>
      </c>
      <c r="G4019">
        <v>-272.80869999999999</v>
      </c>
      <c r="H4019">
        <v>1.0463089999999999</v>
      </c>
      <c r="I4019">
        <v>215.28450000000001</v>
      </c>
      <c r="J4019">
        <v>-273.54399999999998</v>
      </c>
      <c r="K4019">
        <v>1.110544</v>
      </c>
      <c r="L4019">
        <v>215.3844</v>
      </c>
      <c r="M4019">
        <v>0.99978920000000004</v>
      </c>
      <c r="N4019">
        <v>-1.4844E-2</v>
      </c>
      <c r="O4019">
        <v>-1.4193320000000001E-2</v>
      </c>
      <c r="P4019">
        <v>0.95841129999999997</v>
      </c>
      <c r="Q4019">
        <v>0.28420079999999998</v>
      </c>
      <c r="R4019">
        <v>2.6036790000000001E-2</v>
      </c>
      <c r="S4019">
        <v>3.1998289999999998</v>
      </c>
      <c r="T4019">
        <v>-0.20373459999999999</v>
      </c>
      <c r="U4019">
        <v>-0.32865909999999998</v>
      </c>
      <c r="V4019">
        <v>-3.9631180000000002E-2</v>
      </c>
      <c r="W4019">
        <v>0.29839019999999999</v>
      </c>
      <c r="X4019">
        <v>0.95362089999999999</v>
      </c>
      <c r="Y4019">
        <v>8.7842310000000007E-2</v>
      </c>
      <c r="Z4019">
        <v>-2.7506570000000001E-3</v>
      </c>
      <c r="AA4019">
        <v>0.99613059999999998</v>
      </c>
      <c r="AB4019">
        <v>37</v>
      </c>
      <c r="AC4019">
        <v>0.73530000000005202</v>
      </c>
      <c r="AD4019">
        <v>-6.4235E-2</v>
      </c>
      <c r="AE4019">
        <v>-9.9899999999990996E-2</v>
      </c>
      <c r="AF4019">
        <v>8.8787132696761306E-2</v>
      </c>
      <c r="AG4019">
        <v>-6.4235E-2</v>
      </c>
      <c r="AH4019">
        <v>0.73116517363598199</v>
      </c>
      <c r="AI4019">
        <v>94.984283780992001</v>
      </c>
      <c r="AJ4019">
        <v>83.076335617141794</v>
      </c>
      <c r="AK4019">
        <v>0.73933199666702398</v>
      </c>
      <c r="AL4019">
        <v>72.639061022917502</v>
      </c>
      <c r="AM4019">
        <v>92.379764796951306</v>
      </c>
      <c r="AN4019">
        <v>1.0000000814005101</v>
      </c>
    </row>
    <row r="4020" spans="1:40" x14ac:dyDescent="0.25">
      <c r="A4020" t="str">
        <f>"20190304164931368"</f>
        <v>20190304164931368</v>
      </c>
      <c r="B4020" t="str">
        <f>"1551689371360519"</f>
        <v>1551689371360519</v>
      </c>
      <c r="C4020" t="s">
        <v>40</v>
      </c>
      <c r="D4020">
        <v>4.2222869999999997</v>
      </c>
      <c r="E4020">
        <v>0.5647797</v>
      </c>
      <c r="F4020" t="s">
        <v>46</v>
      </c>
      <c r="G4020">
        <v>-256.24430000000001</v>
      </c>
      <c r="H4020" s="1">
        <v>1.8306389999999999E-6</v>
      </c>
      <c r="I4020">
        <v>213.5975</v>
      </c>
      <c r="J4020">
        <v>-273.3329</v>
      </c>
      <c r="K4020">
        <v>1.1105780000000001</v>
      </c>
      <c r="L4020">
        <v>215.38140000000001</v>
      </c>
      <c r="M4020">
        <v>0.99979030000000002</v>
      </c>
      <c r="N4020">
        <v>-1.484158E-2</v>
      </c>
      <c r="O4020">
        <v>-1.4108819999999999E-2</v>
      </c>
      <c r="P4020">
        <v>0.95847349999999998</v>
      </c>
      <c r="Q4020">
        <v>0.28401890000000002</v>
      </c>
      <c r="R4020">
        <v>2.572748E-2</v>
      </c>
      <c r="S4020">
        <v>3.2000730000000002</v>
      </c>
      <c r="T4020">
        <v>-0.20542650000000001</v>
      </c>
      <c r="U4020">
        <v>-0.330520599999999</v>
      </c>
      <c r="V4020">
        <v>-3.926433E-2</v>
      </c>
      <c r="W4020">
        <v>0.29820400000000002</v>
      </c>
      <c r="X4020">
        <v>0.95369420000000005</v>
      </c>
      <c r="Y4020">
        <v>8.8487540000000003E-2</v>
      </c>
      <c r="Z4020">
        <v>-2.7955620000000001E-3</v>
      </c>
      <c r="AA4020">
        <v>0.9960734</v>
      </c>
      <c r="AB4020">
        <v>37</v>
      </c>
      <c r="AC4020">
        <v>17.0885999999999</v>
      </c>
      <c r="AD4020">
        <v>-1.1105761693609999</v>
      </c>
      <c r="AE4020">
        <v>-1.78390000000001</v>
      </c>
      <c r="AF4020">
        <v>1.5361775882945301</v>
      </c>
      <c r="AG4020">
        <v>-1.1105761693609999</v>
      </c>
      <c r="AH4020">
        <v>17.040872117528099</v>
      </c>
      <c r="AI4020">
        <v>93.713751791869697</v>
      </c>
      <c r="AJ4020">
        <v>84.848900458528206</v>
      </c>
      <c r="AK4020">
        <v>17.1459774739347</v>
      </c>
      <c r="AL4020">
        <v>72.650236375212401</v>
      </c>
      <c r="AM4020">
        <v>92.357580230198394</v>
      </c>
      <c r="AN4020">
        <v>0.99999997016999398</v>
      </c>
    </row>
    <row r="4021" spans="1:40" x14ac:dyDescent="0.25">
      <c r="A4021" t="str">
        <f>"20190304164931382"</f>
        <v>20190304164931382</v>
      </c>
      <c r="B4021" t="str">
        <f>"1551689371370279"</f>
        <v>1551689371370279</v>
      </c>
      <c r="C4021" t="s">
        <v>40</v>
      </c>
      <c r="D4021">
        <v>4.2549530000000004</v>
      </c>
      <c r="E4021">
        <v>0.56476660000000001</v>
      </c>
      <c r="F4021" t="s">
        <v>46</v>
      </c>
      <c r="G4021">
        <v>-256.13760000000002</v>
      </c>
      <c r="H4021" s="1">
        <v>1.773675E-6</v>
      </c>
      <c r="I4021">
        <v>213.60210000000001</v>
      </c>
      <c r="J4021">
        <v>-273.08620000000002</v>
      </c>
      <c r="K4021">
        <v>1.110619</v>
      </c>
      <c r="L4021">
        <v>215.37799999999999</v>
      </c>
      <c r="M4021">
        <v>0.99979220000000002</v>
      </c>
      <c r="N4021">
        <v>-1.4838779999999999E-2</v>
      </c>
      <c r="O4021">
        <v>-1.399358E-2</v>
      </c>
      <c r="P4021">
        <v>0.95847720000000003</v>
      </c>
      <c r="Q4021">
        <v>0.28406439999999999</v>
      </c>
      <c r="R4021">
        <v>2.5086230000000001E-2</v>
      </c>
      <c r="S4021">
        <v>3.2000730000000002</v>
      </c>
      <c r="T4021">
        <v>-0.20668069999999999</v>
      </c>
      <c r="U4021">
        <v>-0.3311462</v>
      </c>
      <c r="V4021">
        <v>-3.853939E-2</v>
      </c>
      <c r="W4021">
        <v>0.298243599999999</v>
      </c>
      <c r="X4021">
        <v>0.95371139999999999</v>
      </c>
      <c r="Y4021">
        <v>8.8791930000000005E-2</v>
      </c>
      <c r="Z4021">
        <v>-2.8249030000000001E-3</v>
      </c>
      <c r="AA4021">
        <v>0.99604619999999999</v>
      </c>
      <c r="AB4021">
        <v>37</v>
      </c>
      <c r="AC4021">
        <v>16.948599999999999</v>
      </c>
      <c r="AD4021">
        <v>-1.11061722632499</v>
      </c>
      <c r="AE4021">
        <v>-1.7758999999999701</v>
      </c>
      <c r="AF4021">
        <v>1.5320213783319701</v>
      </c>
      <c r="AG4021">
        <v>-1.11061722632499</v>
      </c>
      <c r="AH4021">
        <v>16.900013623038301</v>
      </c>
      <c r="AI4021">
        <v>93.744586338380202</v>
      </c>
      <c r="AJ4021">
        <v>84.820176397810101</v>
      </c>
      <c r="AK4021">
        <v>17.0056173244595</v>
      </c>
      <c r="AL4021">
        <v>72.647859507479396</v>
      </c>
      <c r="AM4021">
        <v>92.3140581423459</v>
      </c>
      <c r="AN4021">
        <v>0.99999998200624496</v>
      </c>
    </row>
    <row r="4022" spans="1:40" x14ac:dyDescent="0.25">
      <c r="A4022" t="str">
        <f>"20190304164931399"</f>
        <v>20190304164931399</v>
      </c>
      <c r="B4022" t="str">
        <f>"1551689371390776"</f>
        <v>1551689371390776</v>
      </c>
      <c r="C4022" t="s">
        <v>40</v>
      </c>
      <c r="D4022">
        <v>4.2870720000000002</v>
      </c>
      <c r="E4022">
        <v>0.5647626</v>
      </c>
      <c r="F4022" t="s">
        <v>41</v>
      </c>
      <c r="G4022">
        <v>-272.1472</v>
      </c>
      <c r="H4022">
        <v>1.0497669999999999</v>
      </c>
      <c r="I4022">
        <v>215.27979999999999</v>
      </c>
      <c r="J4022">
        <v>-272.81689999999998</v>
      </c>
      <c r="K4022">
        <v>1.1106590000000001</v>
      </c>
      <c r="L4022">
        <v>215.37440000000001</v>
      </c>
      <c r="M4022">
        <v>0.99979419999999997</v>
      </c>
      <c r="N4022">
        <v>-1.483574E-2</v>
      </c>
      <c r="O4022">
        <v>-1.384349E-2</v>
      </c>
      <c r="P4022">
        <v>0.95841460000000001</v>
      </c>
      <c r="Q4022">
        <v>0.28427429999999998</v>
      </c>
      <c r="R4022">
        <v>2.5096340000000002E-2</v>
      </c>
      <c r="S4022">
        <v>3.2001949999999999</v>
      </c>
      <c r="T4022">
        <v>-0.2074463</v>
      </c>
      <c r="U4022">
        <v>-0.33439639999999998</v>
      </c>
      <c r="V4022">
        <v>-3.8433599999999998E-2</v>
      </c>
      <c r="W4022">
        <v>0.29844660000000001</v>
      </c>
      <c r="X4022">
        <v>0.95365219999999995</v>
      </c>
      <c r="Y4022">
        <v>8.9933879999999994E-2</v>
      </c>
      <c r="Z4022">
        <v>-2.884658E-3</v>
      </c>
      <c r="AA4022">
        <v>0.99594349999999998</v>
      </c>
      <c r="AB4022">
        <v>37</v>
      </c>
      <c r="AC4022">
        <v>0.66969999999997698</v>
      </c>
      <c r="AD4022">
        <v>-6.0891999999999898E-2</v>
      </c>
      <c r="AE4022">
        <v>-9.4600000000014006E-2</v>
      </c>
      <c r="AF4022">
        <v>8.4632936350577503E-2</v>
      </c>
      <c r="AG4022">
        <v>-6.0891999999999898E-2</v>
      </c>
      <c r="AH4022">
        <v>0.66555093091498596</v>
      </c>
      <c r="AI4022">
        <v>95.185971048199903</v>
      </c>
      <c r="AJ4022">
        <v>82.753035939444501</v>
      </c>
      <c r="AK4022">
        <v>0.67366802745946497</v>
      </c>
      <c r="AL4022">
        <v>72.635674109164597</v>
      </c>
      <c r="AM4022">
        <v>92.307856068587299</v>
      </c>
      <c r="AN4022">
        <v>1.0000000166126699</v>
      </c>
    </row>
    <row r="4023" spans="1:40" x14ac:dyDescent="0.25">
      <c r="A4023" t="str">
        <f>"20190304164931412"</f>
        <v>20190304164931412</v>
      </c>
      <c r="B4023" t="str">
        <f>"1551689371399560"</f>
        <v>1551689371399560</v>
      </c>
      <c r="C4023" t="s">
        <v>40</v>
      </c>
      <c r="D4023">
        <v>4.2625209999999996</v>
      </c>
      <c r="E4023">
        <v>0.56476990000000005</v>
      </c>
      <c r="F4023" t="s">
        <v>41</v>
      </c>
      <c r="G4023">
        <v>-271.82170000000002</v>
      </c>
      <c r="H4023">
        <v>1.046135</v>
      </c>
      <c r="I4023">
        <v>215.27</v>
      </c>
      <c r="J4023">
        <v>-272.59820000000002</v>
      </c>
      <c r="K4023">
        <v>1.110692</v>
      </c>
      <c r="L4023">
        <v>215.3715</v>
      </c>
      <c r="M4023">
        <v>0.99979620000000002</v>
      </c>
      <c r="N4023">
        <v>-1.4833290000000001E-2</v>
      </c>
      <c r="O4023">
        <v>-1.370358E-2</v>
      </c>
      <c r="P4023">
        <v>0.95842749999999999</v>
      </c>
      <c r="Q4023">
        <v>0.28420810000000002</v>
      </c>
      <c r="R4023">
        <v>2.5350250000000001E-2</v>
      </c>
      <c r="S4023">
        <v>3.2005620000000001</v>
      </c>
      <c r="T4023">
        <v>-0.2077224</v>
      </c>
      <c r="U4023">
        <v>-0.33476260000000002</v>
      </c>
      <c r="V4023">
        <v>-3.8575930000000001E-2</v>
      </c>
      <c r="W4023">
        <v>0.29837469999999999</v>
      </c>
      <c r="X4023">
        <v>0.95366899999999999</v>
      </c>
      <c r="Y4023">
        <v>9.0172959999999996E-2</v>
      </c>
      <c r="Z4023">
        <v>-2.9034289999999999E-3</v>
      </c>
      <c r="AA4023">
        <v>0.99592190000000003</v>
      </c>
      <c r="AB4023">
        <v>37</v>
      </c>
      <c r="AC4023">
        <v>0.77649999999999797</v>
      </c>
      <c r="AD4023">
        <v>-6.4556999999999906E-2</v>
      </c>
      <c r="AE4023">
        <v>-0.101499999999987</v>
      </c>
      <c r="AF4023">
        <v>9.0235239685958299E-2</v>
      </c>
      <c r="AG4023">
        <v>-6.4556999999999906E-2</v>
      </c>
      <c r="AH4023">
        <v>0.77256785676246498</v>
      </c>
      <c r="AI4023">
        <v>94.744525381759004</v>
      </c>
      <c r="AJ4023">
        <v>83.338088407143502</v>
      </c>
      <c r="AK4023">
        <v>0.78049413709055504</v>
      </c>
      <c r="AL4023">
        <v>72.639991159991496</v>
      </c>
      <c r="AM4023">
        <v>92.316352628662798</v>
      </c>
      <c r="AN4023">
        <v>1.00000006276822</v>
      </c>
    </row>
    <row r="4024" spans="1:40" x14ac:dyDescent="0.25">
      <c r="A4024" t="str">
        <f>"20190304164931427"</f>
        <v>20190304164931427</v>
      </c>
      <c r="B4024" t="str">
        <f>"1551689371420059"</f>
        <v>1551689371420059</v>
      </c>
      <c r="C4024" t="s">
        <v>40</v>
      </c>
      <c r="D4024">
        <v>4.2612120000000004</v>
      </c>
      <c r="E4024">
        <v>0.56478859999999997</v>
      </c>
      <c r="F4024" t="s">
        <v>46</v>
      </c>
      <c r="G4024">
        <v>-255.55269999999999</v>
      </c>
      <c r="H4024" s="1">
        <v>1.4629129999999999E-6</v>
      </c>
      <c r="I4024">
        <v>213.59049999999999</v>
      </c>
      <c r="J4024">
        <v>-272.35289999999998</v>
      </c>
      <c r="K4024">
        <v>1.1107229999999999</v>
      </c>
      <c r="L4024">
        <v>215.3683</v>
      </c>
      <c r="M4024">
        <v>0.99979850000000003</v>
      </c>
      <c r="N4024">
        <v>-1.483053E-2</v>
      </c>
      <c r="O4024">
        <v>-1.3528170000000001E-2</v>
      </c>
      <c r="P4024">
        <v>0.95829470000000005</v>
      </c>
      <c r="Q4024">
        <v>0.28461710000000001</v>
      </c>
      <c r="R4024">
        <v>2.5781129999999999E-2</v>
      </c>
      <c r="S4024">
        <v>3.200806</v>
      </c>
      <c r="T4024">
        <v>-0.20856520000000001</v>
      </c>
      <c r="U4024">
        <v>-0.33442690000000003</v>
      </c>
      <c r="V4024">
        <v>-3.8858669999999998E-2</v>
      </c>
      <c r="W4024">
        <v>0.2987765</v>
      </c>
      <c r="X4024">
        <v>0.95353160000000003</v>
      </c>
      <c r="Y4024">
        <v>9.0234640000000005E-2</v>
      </c>
      <c r="Z4024">
        <v>-2.922591E-3</v>
      </c>
      <c r="AA4024">
        <v>0.99591620000000003</v>
      </c>
      <c r="AB4024">
        <v>37</v>
      </c>
      <c r="AC4024">
        <v>16.800199999999901</v>
      </c>
      <c r="AD4024">
        <v>-1.1107215370869901</v>
      </c>
      <c r="AE4024">
        <v>-1.77780000000001</v>
      </c>
      <c r="AF4024">
        <v>1.5436636729886299</v>
      </c>
      <c r="AG4024">
        <v>-1.1107215370869901</v>
      </c>
      <c r="AH4024">
        <v>16.7503103667703</v>
      </c>
      <c r="AI4024">
        <v>93.777796292506594</v>
      </c>
      <c r="AJ4024">
        <v>84.734647201368105</v>
      </c>
      <c r="AK4024">
        <v>16.857920905360299</v>
      </c>
      <c r="AL4024">
        <v>72.615867453608999</v>
      </c>
      <c r="AM4024">
        <v>92.333647350856197</v>
      </c>
      <c r="AN4024">
        <v>0.99999995269248798</v>
      </c>
    </row>
    <row r="4025" spans="1:40" x14ac:dyDescent="0.25">
      <c r="A4025" t="str">
        <f>"20190304164931446"</f>
        <v>20190304164931446</v>
      </c>
      <c r="B4025" t="str">
        <f>"1551689371439575"</f>
        <v>1551689371439575</v>
      </c>
      <c r="C4025" t="s">
        <v>40</v>
      </c>
      <c r="D4025">
        <v>4.2249160000000003</v>
      </c>
      <c r="E4025">
        <v>0.56480540000000001</v>
      </c>
      <c r="F4025" t="s">
        <v>46</v>
      </c>
      <c r="G4025">
        <v>-255.3415</v>
      </c>
      <c r="H4025" s="1">
        <v>1.3503889999999999E-6</v>
      </c>
      <c r="I4025">
        <v>213.5934</v>
      </c>
      <c r="J4025">
        <v>-272.05700000000002</v>
      </c>
      <c r="K4025">
        <v>1.1107549999999999</v>
      </c>
      <c r="L4025">
        <v>215.36449999999999</v>
      </c>
      <c r="M4025">
        <v>0.99980159999999996</v>
      </c>
      <c r="N4025">
        <v>-1.4827180000000001E-2</v>
      </c>
      <c r="O4025">
        <v>-1.3300299999999999E-2</v>
      </c>
      <c r="P4025">
        <v>0.95824399999999998</v>
      </c>
      <c r="Q4025">
        <v>0.28474699999999997</v>
      </c>
      <c r="R4025">
        <v>2.622437E-2</v>
      </c>
      <c r="S4025">
        <v>3.2016300000000002</v>
      </c>
      <c r="T4025">
        <v>-0.20904329999999999</v>
      </c>
      <c r="U4025">
        <v>-0.33404539999999999</v>
      </c>
      <c r="V4025">
        <v>-3.9104439999999997E-2</v>
      </c>
      <c r="W4025">
        <v>0.29889939999999998</v>
      </c>
      <c r="X4025">
        <v>0.95348310000000003</v>
      </c>
      <c r="Y4025">
        <v>9.0316499999999994E-2</v>
      </c>
      <c r="Z4025">
        <v>-2.9412900000000001E-3</v>
      </c>
      <c r="AA4025">
        <v>0.99590880000000004</v>
      </c>
      <c r="AB4025">
        <v>37</v>
      </c>
      <c r="AC4025">
        <v>16.715499999999999</v>
      </c>
      <c r="AD4025">
        <v>-1.110753649611</v>
      </c>
      <c r="AE4025">
        <v>-1.7710999999999899</v>
      </c>
      <c r="AF4025">
        <v>1.54186491507096</v>
      </c>
      <c r="AG4025">
        <v>-1.110753649611</v>
      </c>
      <c r="AH4025">
        <v>16.664810514473999</v>
      </c>
      <c r="AI4025">
        <v>93.7971049286691</v>
      </c>
      <c r="AJ4025">
        <v>84.713917790289997</v>
      </c>
      <c r="AK4025">
        <v>16.772806281889</v>
      </c>
      <c r="AL4025">
        <v>72.608489740667693</v>
      </c>
      <c r="AM4025">
        <v>92.3485098513856</v>
      </c>
      <c r="AN4025">
        <v>1.00000001526684</v>
      </c>
    </row>
    <row r="4026" spans="1:40" x14ac:dyDescent="0.25">
      <c r="A4026" t="str">
        <f>"20190304164931462"</f>
        <v>20190304164931462</v>
      </c>
      <c r="B4026" t="str">
        <f>"1551689371450311"</f>
        <v>1551689371450311</v>
      </c>
      <c r="C4026" t="s">
        <v>40</v>
      </c>
      <c r="D4026">
        <v>4.2678229999999999</v>
      </c>
      <c r="E4026">
        <v>0.56483530000000004</v>
      </c>
      <c r="F4026" t="s">
        <v>41</v>
      </c>
      <c r="G4026">
        <v>-271.15809999999999</v>
      </c>
      <c r="H4026">
        <v>1.0519339999999999</v>
      </c>
      <c r="I4026">
        <v>215.27070000000001</v>
      </c>
      <c r="J4026">
        <v>-271.79320000000001</v>
      </c>
      <c r="K4026">
        <v>1.110778</v>
      </c>
      <c r="L4026">
        <v>215.36109999999999</v>
      </c>
      <c r="M4026">
        <v>0.99980449999999998</v>
      </c>
      <c r="N4026">
        <v>-1.4824159999999999E-2</v>
      </c>
      <c r="O4026">
        <v>-1.308404E-2</v>
      </c>
      <c r="P4026">
        <v>0.95812640000000004</v>
      </c>
      <c r="Q4026">
        <v>0.28509469999999998</v>
      </c>
      <c r="R4026">
        <v>2.6740960000000001E-2</v>
      </c>
      <c r="S4026">
        <v>3.2021480000000002</v>
      </c>
      <c r="T4026">
        <v>-0.20966960000000001</v>
      </c>
      <c r="U4026">
        <v>-0.33309939999999999</v>
      </c>
      <c r="V4026">
        <v>-3.9428280000000003E-2</v>
      </c>
      <c r="W4026">
        <v>0.29924070000000003</v>
      </c>
      <c r="X4026">
        <v>0.95336270000000001</v>
      </c>
      <c r="Y4026">
        <v>9.0223070000000002E-2</v>
      </c>
      <c r="Z4026">
        <v>-2.9541649999999999E-3</v>
      </c>
      <c r="AA4026">
        <v>0.99591719999999895</v>
      </c>
      <c r="AB4026">
        <v>37</v>
      </c>
      <c r="AC4026">
        <v>0.63510000000002198</v>
      </c>
      <c r="AD4026">
        <v>-5.8844000000000098E-2</v>
      </c>
      <c r="AE4026">
        <v>-9.0399999999988198E-2</v>
      </c>
      <c r="AF4026">
        <v>8.1396790151397502E-2</v>
      </c>
      <c r="AG4026">
        <v>-5.8844000000000098E-2</v>
      </c>
      <c r="AH4026">
        <v>0.63091991107122403</v>
      </c>
      <c r="AI4026">
        <v>95.284841675173098</v>
      </c>
      <c r="AJ4026">
        <v>82.648713154558195</v>
      </c>
      <c r="AK4026">
        <v>0.638864608480601</v>
      </c>
      <c r="AL4026">
        <v>72.587996688198302</v>
      </c>
      <c r="AM4026">
        <v>92.368235488216996</v>
      </c>
      <c r="AN4026">
        <v>1.0000000117757599</v>
      </c>
    </row>
    <row r="4027" spans="1:40" x14ac:dyDescent="0.25">
      <c r="A4027" t="str">
        <f>"20190304164931483"</f>
        <v>20190304164931483</v>
      </c>
      <c r="B4027" t="str">
        <f>"1551689371469832"</f>
        <v>1551689371469832</v>
      </c>
      <c r="C4027" t="s">
        <v>40</v>
      </c>
      <c r="D4027">
        <v>4.2370679999999998</v>
      </c>
      <c r="E4027">
        <v>0.56487769999999904</v>
      </c>
      <c r="F4027" t="s">
        <v>41</v>
      </c>
      <c r="G4027">
        <v>-270.83609999999999</v>
      </c>
      <c r="H4027">
        <v>1.048316</v>
      </c>
      <c r="I4027">
        <v>215.262</v>
      </c>
      <c r="J4027">
        <v>-271.43799999999999</v>
      </c>
      <c r="K4027">
        <v>1.1108020000000001</v>
      </c>
      <c r="L4027">
        <v>215.35679999999999</v>
      </c>
      <c r="M4027">
        <v>0.99980849999999999</v>
      </c>
      <c r="N4027">
        <v>-1.4820099999999999E-2</v>
      </c>
      <c r="O4027">
        <v>-1.2778599999999999E-2</v>
      </c>
      <c r="P4027">
        <v>0.95805510000000005</v>
      </c>
      <c r="Q4027">
        <v>0.2853118</v>
      </c>
      <c r="R4027">
        <v>2.6978889999999998E-2</v>
      </c>
      <c r="S4027">
        <v>3.2025760000000001</v>
      </c>
      <c r="T4027">
        <v>-0.2090803</v>
      </c>
      <c r="U4027">
        <v>-0.33160400000000001</v>
      </c>
      <c r="V4027">
        <v>-3.9388279999999998E-2</v>
      </c>
      <c r="W4027">
        <v>0.29945080000000002</v>
      </c>
      <c r="X4027">
        <v>0.95329839999999999</v>
      </c>
      <c r="Y4027">
        <v>9.0054750000000003E-2</v>
      </c>
      <c r="Z4027">
        <v>-2.9564460000000002E-3</v>
      </c>
      <c r="AA4027">
        <v>0.99593240000000005</v>
      </c>
      <c r="AB4027">
        <v>37</v>
      </c>
      <c r="AC4027">
        <v>0.60189999999999999</v>
      </c>
      <c r="AD4027">
        <v>-6.2486E-2</v>
      </c>
      <c r="AE4027">
        <v>-9.4799999999992196E-2</v>
      </c>
      <c r="AF4027">
        <v>8.6193512049328902E-2</v>
      </c>
      <c r="AG4027">
        <v>-6.2486E-2</v>
      </c>
      <c r="AH4027">
        <v>0.59678623411962906</v>
      </c>
      <c r="AI4027">
        <v>95.916379992724004</v>
      </c>
      <c r="AJ4027">
        <v>81.781631890734204</v>
      </c>
      <c r="AK4027">
        <v>0.60620758074283998</v>
      </c>
      <c r="AL4027">
        <v>72.575380624398306</v>
      </c>
      <c r="AM4027">
        <v>92.365995038424401</v>
      </c>
      <c r="AN4027">
        <v>1.0000000288322699</v>
      </c>
    </row>
    <row r="4028" spans="1:40" x14ac:dyDescent="0.25">
      <c r="A4028" t="str">
        <f>"20190304164931500"</f>
        <v>20190304164931500</v>
      </c>
      <c r="B4028" t="str">
        <f>"1551689371490327"</f>
        <v>1551689371490327</v>
      </c>
      <c r="C4028" t="s">
        <v>40</v>
      </c>
      <c r="D4028">
        <v>4.2961140000000002</v>
      </c>
      <c r="E4028">
        <v>0.56496040000000003</v>
      </c>
      <c r="F4028" t="s">
        <v>41</v>
      </c>
      <c r="G4028">
        <v>-270.50740000000002</v>
      </c>
      <c r="H4028">
        <v>1.04989</v>
      </c>
      <c r="I4028">
        <v>215.2603</v>
      </c>
      <c r="J4028">
        <v>-271.17189999999999</v>
      </c>
      <c r="K4028">
        <v>1.1108150000000001</v>
      </c>
      <c r="L4028">
        <v>215.3536</v>
      </c>
      <c r="M4028">
        <v>0.99981149999999996</v>
      </c>
      <c r="N4028">
        <v>-1.481713E-2</v>
      </c>
      <c r="O4028">
        <v>-1.2543779999999999E-2</v>
      </c>
      <c r="P4028">
        <v>0.95796899999999996</v>
      </c>
      <c r="Q4028">
        <v>0.28558309999999998</v>
      </c>
      <c r="R4028">
        <v>2.716578E-2</v>
      </c>
      <c r="S4028">
        <v>3.2031559999999999</v>
      </c>
      <c r="T4028">
        <v>-0.20988490000000001</v>
      </c>
      <c r="U4028">
        <v>-0.33081050000000001</v>
      </c>
      <c r="V4028">
        <v>-3.9358020000000001E-2</v>
      </c>
      <c r="W4028">
        <v>0.2997165</v>
      </c>
      <c r="X4028">
        <v>0.95321610000000001</v>
      </c>
      <c r="Y4028">
        <v>9.0024489999999999E-2</v>
      </c>
      <c r="Z4028">
        <v>-2.9746159999999998E-3</v>
      </c>
      <c r="AA4028">
        <v>0.99593509999999996</v>
      </c>
      <c r="AB4028">
        <v>37</v>
      </c>
      <c r="AC4028">
        <v>0.664499999999975</v>
      </c>
      <c r="AD4028">
        <v>-6.0924999999999903E-2</v>
      </c>
      <c r="AE4028">
        <v>-9.3299999999999203E-2</v>
      </c>
      <c r="AF4028">
        <v>8.4261770955422699E-2</v>
      </c>
      <c r="AG4028">
        <v>-6.0924999999999903E-2</v>
      </c>
      <c r="AH4028">
        <v>0.66017587231138297</v>
      </c>
      <c r="AI4028">
        <v>95.2304704879204</v>
      </c>
      <c r="AJ4028">
        <v>82.726361395571203</v>
      </c>
      <c r="AK4028">
        <v>0.66831436020157398</v>
      </c>
      <c r="AL4028">
        <v>72.559423448738599</v>
      </c>
      <c r="AM4028">
        <v>92.3643833187149</v>
      </c>
      <c r="AN4028">
        <v>0.99999998370488996</v>
      </c>
    </row>
    <row r="4029" spans="1:40" x14ac:dyDescent="0.25">
      <c r="A4029" t="str">
        <f>"20190304164931512"</f>
        <v>20190304164931512</v>
      </c>
      <c r="B4029" t="str">
        <f>"1551689371509848"</f>
        <v>1551689371509848</v>
      </c>
      <c r="C4029" t="s">
        <v>40</v>
      </c>
      <c r="D4029">
        <v>4.2267400000000004</v>
      </c>
      <c r="E4029">
        <v>0.56498859999999995</v>
      </c>
      <c r="F4029" t="s">
        <v>41</v>
      </c>
      <c r="G4029">
        <v>-270.1841</v>
      </c>
      <c r="H4029">
        <v>1.045963</v>
      </c>
      <c r="I4029">
        <v>215.2517</v>
      </c>
      <c r="J4029">
        <v>-270.94819999999999</v>
      </c>
      <c r="K4029">
        <v>1.110824</v>
      </c>
      <c r="L4029">
        <v>215.3509</v>
      </c>
      <c r="M4029">
        <v>0.99981419999999999</v>
      </c>
      <c r="N4029">
        <v>-1.481477E-2</v>
      </c>
      <c r="O4029">
        <v>-1.2344300000000001E-2</v>
      </c>
      <c r="P4029">
        <v>0.95798669999999997</v>
      </c>
      <c r="Q4029">
        <v>0.28548849999999998</v>
      </c>
      <c r="R4029">
        <v>2.753185E-2</v>
      </c>
      <c r="S4029">
        <v>3.2037049999999998</v>
      </c>
      <c r="T4029">
        <v>-0.2103585</v>
      </c>
      <c r="U4029">
        <v>-0.330520599999999</v>
      </c>
      <c r="V4029">
        <v>-3.953972E-2</v>
      </c>
      <c r="W4029">
        <v>0.29961959999999999</v>
      </c>
      <c r="X4029">
        <v>0.95323910000000001</v>
      </c>
      <c r="Y4029">
        <v>9.0115290000000001E-2</v>
      </c>
      <c r="Z4029">
        <v>-2.992644E-3</v>
      </c>
      <c r="AA4029">
        <v>0.99592689999999995</v>
      </c>
      <c r="AB4029">
        <v>37</v>
      </c>
      <c r="AC4029">
        <v>0.76409999999998401</v>
      </c>
      <c r="AD4029">
        <v>-6.4861000000000002E-2</v>
      </c>
      <c r="AE4029">
        <v>-9.9199999999996097E-2</v>
      </c>
      <c r="AF4029">
        <v>8.9127558648846597E-2</v>
      </c>
      <c r="AG4029">
        <v>-6.4861000000000002E-2</v>
      </c>
      <c r="AH4029">
        <v>0.75988184925295699</v>
      </c>
      <c r="AI4029">
        <v>94.845694497208399</v>
      </c>
      <c r="AJ4029">
        <v>83.310267092903203</v>
      </c>
      <c r="AK4029">
        <v>0.76783533121092995</v>
      </c>
      <c r="AL4029">
        <v>72.565243825299206</v>
      </c>
      <c r="AM4029">
        <v>92.375228997233293</v>
      </c>
      <c r="AN4029">
        <v>1.00000003796532</v>
      </c>
    </row>
    <row r="4030" spans="1:40" x14ac:dyDescent="0.25">
      <c r="A4030" t="str">
        <f>"20190304164931528"</f>
        <v>20190304164931528</v>
      </c>
      <c r="B4030" t="str">
        <f>"1551689371519608"</f>
        <v>1551689371519608</v>
      </c>
      <c r="C4030" t="s">
        <v>40</v>
      </c>
      <c r="D4030">
        <v>4.2093439999999998</v>
      </c>
      <c r="E4030">
        <v>0.56500169999999905</v>
      </c>
      <c r="F4030" t="s">
        <v>46</v>
      </c>
      <c r="G4030">
        <v>-254.16239999999999</v>
      </c>
      <c r="H4030" s="1">
        <v>7.2146289999999999E-7</v>
      </c>
      <c r="I4030">
        <v>213.6267</v>
      </c>
      <c r="J4030">
        <v>-270.70729999999998</v>
      </c>
      <c r="K4030">
        <v>1.1108290000000001</v>
      </c>
      <c r="L4030">
        <v>215.34809999999999</v>
      </c>
      <c r="M4030">
        <v>0.9998167</v>
      </c>
      <c r="N4030">
        <v>-1.481212E-2</v>
      </c>
      <c r="O4030">
        <v>-1.2126110000000001E-2</v>
      </c>
      <c r="P4030">
        <v>0.95796040000000005</v>
      </c>
      <c r="Q4030">
        <v>0.28554479999999999</v>
      </c>
      <c r="R4030">
        <v>2.7850300000000001E-2</v>
      </c>
      <c r="S4030">
        <v>3.204224</v>
      </c>
      <c r="T4030">
        <v>-0.2120435</v>
      </c>
      <c r="U4030">
        <v>-0.32913209999999998</v>
      </c>
      <c r="V4030">
        <v>-3.965494E-2</v>
      </c>
      <c r="W4030">
        <v>0.29967189999999999</v>
      </c>
      <c r="X4030">
        <v>0.9532178</v>
      </c>
      <c r="Y4030">
        <v>8.9886369999999993E-2</v>
      </c>
      <c r="Z4030">
        <v>-3.0112070000000001E-3</v>
      </c>
      <c r="AA4030">
        <v>0.99594749999999999</v>
      </c>
      <c r="AB4030">
        <v>37</v>
      </c>
      <c r="AC4030">
        <v>16.544899999999899</v>
      </c>
      <c r="AD4030">
        <v>-1.1108282785371</v>
      </c>
      <c r="AE4030">
        <v>-1.7213999999999801</v>
      </c>
      <c r="AF4030">
        <v>1.5138749289031701</v>
      </c>
      <c r="AG4030">
        <v>-1.1108282785371</v>
      </c>
      <c r="AH4030">
        <v>16.491017206696</v>
      </c>
      <c r="AI4030">
        <v>93.837511972896806</v>
      </c>
      <c r="AJ4030">
        <v>84.754949798087907</v>
      </c>
      <c r="AK4030">
        <v>16.597572270555201</v>
      </c>
      <c r="AL4030">
        <v>72.5621016760835</v>
      </c>
      <c r="AM4030">
        <v>92.382195696569596</v>
      </c>
      <c r="AN4030">
        <v>0.99999996807642599</v>
      </c>
    </row>
    <row r="4031" spans="1:40" x14ac:dyDescent="0.25">
      <c r="A4031" t="str">
        <f>"20190304164931550"</f>
        <v>20190304164931550</v>
      </c>
      <c r="B4031" t="str">
        <f>"1551689371540104"</f>
        <v>1551689371540104</v>
      </c>
      <c r="C4031" t="s">
        <v>40</v>
      </c>
      <c r="D4031">
        <v>4.2598260000000003</v>
      </c>
      <c r="E4031">
        <v>0.56507890000000005</v>
      </c>
      <c r="F4031" t="s">
        <v>46</v>
      </c>
      <c r="G4031">
        <v>-253.94239999999999</v>
      </c>
      <c r="H4031" s="1">
        <v>6.0425989999999999E-7</v>
      </c>
      <c r="I4031">
        <v>213.6309</v>
      </c>
      <c r="J4031">
        <v>-270.34620000000001</v>
      </c>
      <c r="K4031">
        <v>1.1108480000000001</v>
      </c>
      <c r="L4031">
        <v>215.3441</v>
      </c>
      <c r="M4031">
        <v>0.99982090000000001</v>
      </c>
      <c r="N4031">
        <v>-1.480797E-2</v>
      </c>
      <c r="O4031">
        <v>-1.1791080000000001E-2</v>
      </c>
      <c r="P4031">
        <v>0.95778869999999905</v>
      </c>
      <c r="Q4031">
        <v>0.28609329999999999</v>
      </c>
      <c r="R4031">
        <v>2.8138440000000001E-2</v>
      </c>
      <c r="S4031">
        <v>3.2044980000000001</v>
      </c>
      <c r="T4031">
        <v>-0.21232799999999999</v>
      </c>
      <c r="U4031">
        <v>-0.32824710000000001</v>
      </c>
      <c r="V4031">
        <v>-3.9632439999999998E-2</v>
      </c>
      <c r="W4031">
        <v>0.30021239999999999</v>
      </c>
      <c r="X4031">
        <v>0.95304869999999997</v>
      </c>
      <c r="Y4031">
        <v>8.9938169999999998E-2</v>
      </c>
      <c r="Z4031">
        <v>-3.0329630000000001E-3</v>
      </c>
      <c r="AA4031">
        <v>0.99594269999999996</v>
      </c>
      <c r="AB4031">
        <v>37</v>
      </c>
      <c r="AC4031">
        <v>16.4038</v>
      </c>
      <c r="AD4031">
        <v>-1.1108473957400999</v>
      </c>
      <c r="AE4031">
        <v>-1.7132000000000001</v>
      </c>
      <c r="AF4031">
        <v>1.51277863970146</v>
      </c>
      <c r="AG4031">
        <v>-1.1108473957400999</v>
      </c>
      <c r="AH4031">
        <v>16.3486983575628</v>
      </c>
      <c r="AI4031">
        <v>93.8706254301743</v>
      </c>
      <c r="AJ4031">
        <v>84.713357933110103</v>
      </c>
      <c r="AK4031">
        <v>16.456075447564501</v>
      </c>
      <c r="AL4031">
        <v>72.529639558168498</v>
      </c>
      <c r="AM4031">
        <v>92.381267555969998</v>
      </c>
      <c r="AN4031">
        <v>1.0000000199929</v>
      </c>
    </row>
    <row r="4032" spans="1:40" x14ac:dyDescent="0.25">
      <c r="A4032" t="str">
        <f>"20190304164931566"</f>
        <v>20190304164931566</v>
      </c>
      <c r="B4032" t="str">
        <f>"1551689371559624"</f>
        <v>1551689371559624</v>
      </c>
      <c r="C4032" t="s">
        <v>40</v>
      </c>
      <c r="D4032">
        <v>4.2558040000000004</v>
      </c>
      <c r="E4032">
        <v>0.56509860000000001</v>
      </c>
      <c r="F4032" t="s">
        <v>46</v>
      </c>
      <c r="G4032">
        <v>-253.5317</v>
      </c>
      <c r="H4032" s="1">
        <v>3.8595079999999998E-7</v>
      </c>
      <c r="I4032">
        <v>213.62459999999999</v>
      </c>
      <c r="J4032">
        <v>-270.08640000000003</v>
      </c>
      <c r="K4032">
        <v>1.110865</v>
      </c>
      <c r="L4032">
        <v>215.34119999999999</v>
      </c>
      <c r="M4032">
        <v>0.99982389999999999</v>
      </c>
      <c r="N4032">
        <v>-1.4804930000000001E-2</v>
      </c>
      <c r="O4032">
        <v>-1.1539539999999999E-2</v>
      </c>
      <c r="P4032">
        <v>0.95774459999999995</v>
      </c>
      <c r="Q4032">
        <v>0.28624739999999999</v>
      </c>
      <c r="R4032">
        <v>2.8070680000000001E-2</v>
      </c>
      <c r="S4032">
        <v>3.2050779999999999</v>
      </c>
      <c r="T4032">
        <v>-0.21174299999999999</v>
      </c>
      <c r="U4032">
        <v>-0.32775880000000002</v>
      </c>
      <c r="V4032">
        <v>-3.9333729999999997E-2</v>
      </c>
      <c r="W4032">
        <v>0.30036190000000001</v>
      </c>
      <c r="X4032">
        <v>0.95301400000000003</v>
      </c>
      <c r="Y4032">
        <v>9.0020920000000004E-2</v>
      </c>
      <c r="Z4032">
        <v>-3.0425610000000001E-3</v>
      </c>
      <c r="AA4032">
        <v>0.99593520000000002</v>
      </c>
      <c r="AB4032">
        <v>37</v>
      </c>
      <c r="AC4032">
        <v>16.5547</v>
      </c>
      <c r="AD4032">
        <v>-1.1108646140492</v>
      </c>
      <c r="AE4032">
        <v>-1.7165999999999899</v>
      </c>
      <c r="AF4032">
        <v>1.5186656768879001</v>
      </c>
      <c r="AG4032">
        <v>-1.1108646140492</v>
      </c>
      <c r="AH4032">
        <v>16.4999035332898</v>
      </c>
      <c r="AI4032">
        <v>93.835492491909605</v>
      </c>
      <c r="AJ4032">
        <v>84.741262351015294</v>
      </c>
      <c r="AK4032">
        <v>16.6068414286635</v>
      </c>
      <c r="AL4032">
        <v>72.520659913120397</v>
      </c>
      <c r="AM4032">
        <v>92.363426305568694</v>
      </c>
      <c r="AN4032">
        <v>1.00000004874166</v>
      </c>
    </row>
    <row r="4033" spans="1:40" x14ac:dyDescent="0.25">
      <c r="A4033" t="str">
        <f>"20190304164931579"</f>
        <v>20190304164931579</v>
      </c>
      <c r="B4033" t="str">
        <f>"1551689371570360"</f>
        <v>1551689371570360</v>
      </c>
      <c r="C4033" t="s">
        <v>40</v>
      </c>
      <c r="D4033">
        <v>4.377923</v>
      </c>
      <c r="E4033">
        <v>0.56512209999999996</v>
      </c>
      <c r="F4033" t="s">
        <v>41</v>
      </c>
      <c r="G4033">
        <v>-269.19760000000002</v>
      </c>
      <c r="H4033">
        <v>1.052103</v>
      </c>
      <c r="I4033">
        <v>215.25020000000001</v>
      </c>
      <c r="J4033">
        <v>-269.87599999999998</v>
      </c>
      <c r="K4033">
        <v>1.1108769999999999</v>
      </c>
      <c r="L4033">
        <v>215.339</v>
      </c>
      <c r="M4033">
        <v>0.99982629999999995</v>
      </c>
      <c r="N4033">
        <v>-1.480248E-2</v>
      </c>
      <c r="O4033">
        <v>-1.132879E-2</v>
      </c>
      <c r="P4033">
        <v>0.9576441</v>
      </c>
      <c r="Q4033">
        <v>0.28659659999999998</v>
      </c>
      <c r="R4033">
        <v>2.793524E-2</v>
      </c>
      <c r="S4033">
        <v>3.205292</v>
      </c>
      <c r="T4033">
        <v>-0.21205750000000001</v>
      </c>
      <c r="U4033">
        <v>-0.32743840000000002</v>
      </c>
      <c r="V4033">
        <v>-3.9005280000000003E-2</v>
      </c>
      <c r="W4033">
        <v>0.30070629999999998</v>
      </c>
      <c r="X4033">
        <v>0.95291879999999995</v>
      </c>
      <c r="Y4033">
        <v>9.0124480000000007E-2</v>
      </c>
      <c r="Z4033">
        <v>-3.060512E-3</v>
      </c>
      <c r="AA4033">
        <v>0.99592579999999997</v>
      </c>
      <c r="AB4033">
        <v>36</v>
      </c>
      <c r="AC4033">
        <v>0.67839999999995304</v>
      </c>
      <c r="AD4033">
        <v>-5.8774000000000097E-2</v>
      </c>
      <c r="AE4033">
        <v>-8.8800000000020404E-2</v>
      </c>
      <c r="AF4033">
        <v>8.0513863710982597E-2</v>
      </c>
      <c r="AG4033">
        <v>-5.8774000000000097E-2</v>
      </c>
      <c r="AH4033">
        <v>0.67438600208145005</v>
      </c>
      <c r="AI4033">
        <v>94.945901440361098</v>
      </c>
      <c r="AJ4033">
        <v>83.191773910933506</v>
      </c>
      <c r="AK4033">
        <v>0.68171353597319195</v>
      </c>
      <c r="AL4033">
        <v>72.499969300875904</v>
      </c>
      <c r="AM4033">
        <v>92.343946877787602</v>
      </c>
      <c r="AN4033">
        <v>0.99999996506050304</v>
      </c>
    </row>
    <row r="4034" spans="1:40" x14ac:dyDescent="0.25">
      <c r="A4034" t="str">
        <f>"20190304164931592"</f>
        <v>20190304164931592</v>
      </c>
      <c r="B4034" t="str">
        <f>"1551689371580121"</f>
        <v>1551689371580121</v>
      </c>
      <c r="C4034" t="s">
        <v>40</v>
      </c>
      <c r="D4034">
        <v>4.2528689999999996</v>
      </c>
      <c r="E4034">
        <v>0.56513349999999996</v>
      </c>
      <c r="F4034" t="s">
        <v>41</v>
      </c>
      <c r="G4034">
        <v>-268.8811</v>
      </c>
      <c r="H4034">
        <v>1.045418</v>
      </c>
      <c r="I4034">
        <v>215.2372</v>
      </c>
      <c r="J4034">
        <v>-269.65949999999998</v>
      </c>
      <c r="K4034">
        <v>1.1108910000000001</v>
      </c>
      <c r="L4034">
        <v>215.33670000000001</v>
      </c>
      <c r="M4034">
        <v>0.99982890000000002</v>
      </c>
      <c r="N4034">
        <v>-1.480004E-2</v>
      </c>
      <c r="O4034">
        <v>-1.110238E-2</v>
      </c>
      <c r="P4034">
        <v>0.95764380000000005</v>
      </c>
      <c r="Q4034">
        <v>0.2866437</v>
      </c>
      <c r="R4034">
        <v>2.7458429999999999E-2</v>
      </c>
      <c r="S4034">
        <v>3.2053829999999999</v>
      </c>
      <c r="T4034">
        <v>-0.21092939999999999</v>
      </c>
      <c r="U4034">
        <v>-0.32774350000000002</v>
      </c>
      <c r="V4034">
        <v>-3.8322679999999998E-2</v>
      </c>
      <c r="W4034">
        <v>0.30075039999999997</v>
      </c>
      <c r="X4034">
        <v>0.95293269999999997</v>
      </c>
      <c r="Y4034">
        <v>9.0441969999999997E-2</v>
      </c>
      <c r="Z4034">
        <v>-3.0727570000000002E-3</v>
      </c>
      <c r="AA4034">
        <v>0.99589700000000003</v>
      </c>
      <c r="AB4034">
        <v>36</v>
      </c>
      <c r="AC4034">
        <v>0.778399999999976</v>
      </c>
      <c r="AD4034">
        <v>-6.5473000000000101E-2</v>
      </c>
      <c r="AE4034">
        <v>-9.9500000000006097E-2</v>
      </c>
      <c r="AF4034">
        <v>9.0222774658235402E-2</v>
      </c>
      <c r="AG4034">
        <v>-6.5473000000000101E-2</v>
      </c>
      <c r="AH4034">
        <v>0.77406842780168905</v>
      </c>
      <c r="AI4034">
        <v>94.802381350252006</v>
      </c>
      <c r="AJ4034">
        <v>83.351797394764503</v>
      </c>
      <c r="AK4034">
        <v>0.78205421405130804</v>
      </c>
      <c r="AL4034">
        <v>72.497322007970993</v>
      </c>
      <c r="AM4034">
        <v>92.302938353433305</v>
      </c>
      <c r="AN4034">
        <v>1.00000008081591</v>
      </c>
    </row>
    <row r="4035" spans="1:40" x14ac:dyDescent="0.25">
      <c r="A4035" t="str">
        <f>"20190304164931607"</f>
        <v>20190304164931607</v>
      </c>
      <c r="B4035" t="str">
        <f>"1551689371599639"</f>
        <v>1551689371599639</v>
      </c>
      <c r="C4035" t="s">
        <v>40</v>
      </c>
      <c r="D4035">
        <v>4.2116069999999999</v>
      </c>
      <c r="E4035">
        <v>0.56516959999999905</v>
      </c>
      <c r="F4035" t="s">
        <v>46</v>
      </c>
      <c r="G4035">
        <v>-252.7705</v>
      </c>
      <c r="H4035" s="1">
        <v>-1.8181879999999998E-8</v>
      </c>
      <c r="I4035">
        <v>213.6036</v>
      </c>
      <c r="J4035">
        <v>-269.42059999999998</v>
      </c>
      <c r="K4035">
        <v>1.110911</v>
      </c>
      <c r="L4035">
        <v>215.33430000000001</v>
      </c>
      <c r="M4035">
        <v>0.99983180000000005</v>
      </c>
      <c r="N4035">
        <v>-1.4797390000000001E-2</v>
      </c>
      <c r="O4035">
        <v>-1.083489E-2</v>
      </c>
      <c r="P4035">
        <v>0.95748350000000004</v>
      </c>
      <c r="Q4035">
        <v>0.28729559999999998</v>
      </c>
      <c r="R4035">
        <v>2.6197229999999998E-2</v>
      </c>
      <c r="S4035">
        <v>3.2052309999999999</v>
      </c>
      <c r="T4035">
        <v>-0.21082699999999999</v>
      </c>
      <c r="U4035">
        <v>-0.3289185</v>
      </c>
      <c r="V4035">
        <v>-3.6819339999999999E-2</v>
      </c>
      <c r="W4035">
        <v>0.30139700000000003</v>
      </c>
      <c r="X4035">
        <v>0.95278759999999996</v>
      </c>
      <c r="Y4035">
        <v>9.107266E-2</v>
      </c>
      <c r="Z4035">
        <v>-3.1105260000000002E-3</v>
      </c>
      <c r="AA4035">
        <v>0.99583940000000004</v>
      </c>
      <c r="AB4035">
        <v>36</v>
      </c>
      <c r="AC4035">
        <v>16.650099999999899</v>
      </c>
      <c r="AD4035">
        <v>-1.11091101818187</v>
      </c>
      <c r="AE4035">
        <v>-1.7307000000000099</v>
      </c>
      <c r="AF4035">
        <v>1.5433794254179001</v>
      </c>
      <c r="AG4035">
        <v>-1.11091101818187</v>
      </c>
      <c r="AH4035">
        <v>16.594791239075199</v>
      </c>
      <c r="AI4035">
        <v>93.813449287688897</v>
      </c>
      <c r="AJ4035">
        <v>84.686556834761703</v>
      </c>
      <c r="AK4035">
        <v>16.703390063385498</v>
      </c>
      <c r="AL4035">
        <v>72.458470723489995</v>
      </c>
      <c r="AM4035">
        <v>92.213025873331205</v>
      </c>
      <c r="AN4035">
        <v>1.0000000130603901</v>
      </c>
    </row>
    <row r="4036" spans="1:40" x14ac:dyDescent="0.25">
      <c r="A4036" t="str">
        <f>"20190304164931623"</f>
        <v>20190304164931623</v>
      </c>
      <c r="B4036" t="str">
        <f>"1551689371610376"</f>
        <v>1551689371610376</v>
      </c>
      <c r="C4036" t="s">
        <v>40</v>
      </c>
      <c r="D4036">
        <v>4.240513</v>
      </c>
      <c r="E4036">
        <v>0.56516959999999905</v>
      </c>
      <c r="F4036" t="s">
        <v>46</v>
      </c>
      <c r="G4036">
        <v>-252.33099999999999</v>
      </c>
      <c r="H4036" s="1">
        <v>-2.501642E-7</v>
      </c>
      <c r="I4036">
        <v>213.5599</v>
      </c>
      <c r="J4036">
        <v>-269.17599999999999</v>
      </c>
      <c r="K4036">
        <v>1.110932</v>
      </c>
      <c r="L4036">
        <v>215.33189999999999</v>
      </c>
      <c r="M4036">
        <v>0.99983500000000003</v>
      </c>
      <c r="N4036">
        <v>-1.4794730000000001E-2</v>
      </c>
      <c r="O4036">
        <v>-1.054326E-2</v>
      </c>
      <c r="P4036">
        <v>0.95747789999999999</v>
      </c>
      <c r="Q4036">
        <v>0.28735129999999998</v>
      </c>
      <c r="R4036">
        <v>2.5802749999999999E-2</v>
      </c>
      <c r="S4036">
        <v>3.204834</v>
      </c>
      <c r="T4036">
        <v>-0.20833080000000001</v>
      </c>
      <c r="U4036">
        <v>-0.3327637</v>
      </c>
      <c r="V4036">
        <v>-3.6162670000000001E-2</v>
      </c>
      <c r="W4036">
        <v>0.30144880000000002</v>
      </c>
      <c r="X4036">
        <v>0.95279630000000004</v>
      </c>
      <c r="Y4036">
        <v>9.255824E-2</v>
      </c>
      <c r="Z4036">
        <v>-3.15738E-3</v>
      </c>
      <c r="AA4036">
        <v>0.99570230000000004</v>
      </c>
      <c r="AB4036">
        <v>36</v>
      </c>
      <c r="AC4036">
        <v>16.844999999999999</v>
      </c>
      <c r="AD4036">
        <v>-1.1109322501641901</v>
      </c>
      <c r="AE4036">
        <v>-1.77199999999999</v>
      </c>
      <c r="AF4036">
        <v>1.5874518842527601</v>
      </c>
      <c r="AG4036">
        <v>-1.1109322501641901</v>
      </c>
      <c r="AH4036">
        <v>16.790518196531799</v>
      </c>
      <c r="AI4036">
        <v>93.768658429494195</v>
      </c>
      <c r="AJ4036">
        <v>84.599050915342502</v>
      </c>
      <c r="AK4036">
        <v>16.901942943263599</v>
      </c>
      <c r="AL4036">
        <v>72.455356953874698</v>
      </c>
      <c r="AM4036">
        <v>92.173575105636502</v>
      </c>
      <c r="AN4036">
        <v>0.99999995350832804</v>
      </c>
    </row>
    <row r="4037" spans="1:40" x14ac:dyDescent="0.25">
      <c r="A4037" t="str">
        <f>"20190304164931636"</f>
        <v>20190304164931636</v>
      </c>
      <c r="B4037" t="str">
        <f>"1551689371629896"</f>
        <v>1551689371629896</v>
      </c>
      <c r="C4037" t="s">
        <v>40</v>
      </c>
      <c r="D4037">
        <v>4.2259679999999999</v>
      </c>
      <c r="E4037">
        <v>0.54125829999999997</v>
      </c>
      <c r="F4037" t="s">
        <v>41</v>
      </c>
      <c r="G4037">
        <v>-268.22809999999998</v>
      </c>
      <c r="H4037">
        <v>1.0493980000000001</v>
      </c>
      <c r="I4037">
        <v>215.233</v>
      </c>
      <c r="J4037">
        <v>-268.94420000000002</v>
      </c>
      <c r="K4037">
        <v>1.1109560000000001</v>
      </c>
      <c r="L4037">
        <v>215.3297</v>
      </c>
      <c r="M4037">
        <v>0.99983820000000001</v>
      </c>
      <c r="N4037">
        <v>-1.479224E-2</v>
      </c>
      <c r="O4037">
        <v>-1.024923E-2</v>
      </c>
      <c r="P4037">
        <v>0.95739220000000003</v>
      </c>
      <c r="Q4037">
        <v>0.28767090000000001</v>
      </c>
      <c r="R4037">
        <v>2.5421240000000001E-2</v>
      </c>
      <c r="S4037">
        <v>3.204742</v>
      </c>
      <c r="T4037">
        <v>-0.20812259999999999</v>
      </c>
      <c r="U4037">
        <v>-0.33421329999999999</v>
      </c>
      <c r="V4037">
        <v>-3.5516979999999997E-2</v>
      </c>
      <c r="W4037">
        <v>0.30176389999999997</v>
      </c>
      <c r="X4037">
        <v>0.95272089999999998</v>
      </c>
      <c r="Y4037">
        <v>9.3297649999999996E-2</v>
      </c>
      <c r="Z4037">
        <v>-3.1990460000000001E-3</v>
      </c>
      <c r="AA4037">
        <v>0.99563310000000005</v>
      </c>
      <c r="AB4037">
        <v>36</v>
      </c>
      <c r="AC4037">
        <v>0.71610000000003904</v>
      </c>
      <c r="AD4037">
        <v>-6.1558000000000002E-2</v>
      </c>
      <c r="AE4037">
        <v>-9.6699999999998398E-2</v>
      </c>
      <c r="AF4037">
        <v>8.8710844994241797E-2</v>
      </c>
      <c r="AG4037">
        <v>-6.1558000000000002E-2</v>
      </c>
      <c r="AH4037">
        <v>0.71188722562121998</v>
      </c>
      <c r="AI4037">
        <v>94.904416526331502</v>
      </c>
      <c r="AJ4037">
        <v>82.896781984557293</v>
      </c>
      <c r="AK4037">
        <v>0.72002946008220403</v>
      </c>
      <c r="AL4037">
        <v>72.436422294935696</v>
      </c>
      <c r="AM4037">
        <v>92.134970619853306</v>
      </c>
      <c r="AN4037">
        <v>1.00000001025417</v>
      </c>
    </row>
    <row r="4038" spans="1:40" x14ac:dyDescent="0.25">
      <c r="A4038" t="str">
        <f>"20190304164931651"</f>
        <v>20190304164931651</v>
      </c>
      <c r="B4038" t="str">
        <f>"1551689371639655"</f>
        <v>1551689371639655</v>
      </c>
      <c r="C4038" t="s">
        <v>40</v>
      </c>
      <c r="D4038">
        <v>4.2199629999999999</v>
      </c>
      <c r="E4038">
        <v>0.53658629999999996</v>
      </c>
      <c r="F4038" t="s">
        <v>41</v>
      </c>
      <c r="G4038">
        <v>-267.90719999999999</v>
      </c>
      <c r="H4038">
        <v>1.0443290000000001</v>
      </c>
      <c r="I4038">
        <v>215.28270000000001</v>
      </c>
      <c r="J4038">
        <v>-268.70699999999999</v>
      </c>
      <c r="K4038">
        <v>1.1109929999999999</v>
      </c>
      <c r="L4038">
        <v>215.32759999999999</v>
      </c>
      <c r="M4038">
        <v>0.9998416</v>
      </c>
      <c r="N4038">
        <v>-1.4789770000000001E-2</v>
      </c>
      <c r="O4038">
        <v>-9.9179309999999996E-3</v>
      </c>
      <c r="P4038">
        <v>0.95740250000000005</v>
      </c>
      <c r="Q4038">
        <v>0.28779739999999998</v>
      </c>
      <c r="R4038">
        <v>2.3528139999999999E-2</v>
      </c>
      <c r="S4038">
        <v>3.1991580000000002</v>
      </c>
      <c r="T4038">
        <v>-0.20559259999999999</v>
      </c>
      <c r="U4038">
        <v>-0.14456179999999999</v>
      </c>
      <c r="V4038">
        <v>-3.3329009999999999E-2</v>
      </c>
      <c r="W4038">
        <v>0.30188799999999999</v>
      </c>
      <c r="X4038">
        <v>0.95276059999999996</v>
      </c>
      <c r="Y4038">
        <v>3.5153280000000002E-2</v>
      </c>
      <c r="Z4038">
        <v>-8.9841159999999999E-4</v>
      </c>
      <c r="AA4038">
        <v>0.99938150000000003</v>
      </c>
      <c r="AB4038">
        <v>36</v>
      </c>
      <c r="AC4038">
        <v>0.79980000000000395</v>
      </c>
      <c r="AD4038">
        <v>-6.6664000000000001E-2</v>
      </c>
      <c r="AE4038">
        <v>-4.4899999999984098E-2</v>
      </c>
      <c r="AF4038">
        <v>3.6710324888361401E-2</v>
      </c>
      <c r="AG4038">
        <v>-6.6664000000000001E-2</v>
      </c>
      <c r="AH4038">
        <v>0.79470227887891498</v>
      </c>
      <c r="AI4038">
        <v>94.789974969218505</v>
      </c>
      <c r="AJ4038">
        <v>87.355169903173007</v>
      </c>
      <c r="AK4038">
        <v>0.79833792901549505</v>
      </c>
      <c r="AL4038">
        <v>72.428963404903897</v>
      </c>
      <c r="AM4038">
        <v>92.003476261594201</v>
      </c>
      <c r="AN4038">
        <v>0.99999997418196895</v>
      </c>
    </row>
    <row r="4039" spans="1:40" x14ac:dyDescent="0.25">
      <c r="A4039" t="str">
        <f>"20190304164931674"</f>
        <v>20190304164931674</v>
      </c>
      <c r="B4039" t="str">
        <f>"1551689371669912"</f>
        <v>1551689371669912</v>
      </c>
      <c r="C4039" t="s">
        <v>40</v>
      </c>
      <c r="D4039">
        <v>4.2396690000000001</v>
      </c>
      <c r="E4039">
        <v>0.52867310000000001</v>
      </c>
      <c r="F4039" t="s">
        <v>46</v>
      </c>
      <c r="G4039">
        <v>-251.5214</v>
      </c>
      <c r="H4039" s="1">
        <v>-7.3169869999999901E-7</v>
      </c>
      <c r="I4039">
        <v>214.71979999999999</v>
      </c>
      <c r="J4039">
        <v>-268.3365</v>
      </c>
      <c r="K4039">
        <v>1.1110500000000001</v>
      </c>
      <c r="L4039">
        <v>215.3244</v>
      </c>
      <c r="M4039">
        <v>0.99984700000000004</v>
      </c>
      <c r="N4039">
        <v>-1.4786179999999999E-2</v>
      </c>
      <c r="O4039">
        <v>-9.355759E-3</v>
      </c>
      <c r="P4039">
        <v>0.95727399999999996</v>
      </c>
      <c r="Q4039">
        <v>0.28842469999999998</v>
      </c>
      <c r="R4039">
        <v>2.0934330000000001E-2</v>
      </c>
      <c r="S4039">
        <v>3.1984249999999999</v>
      </c>
      <c r="T4039">
        <v>-0.2067676</v>
      </c>
      <c r="U4039">
        <v>-0.1131134</v>
      </c>
      <c r="V4039">
        <v>-3.0232800000000001E-2</v>
      </c>
      <c r="W4039">
        <v>0.30251020000000001</v>
      </c>
      <c r="X4039">
        <v>0.95266649999999997</v>
      </c>
      <c r="Y4039">
        <v>2.593589E-2</v>
      </c>
      <c r="Z4039">
        <v>-5.6348990000000001E-4</v>
      </c>
      <c r="AA4039">
        <v>0.99966350000000004</v>
      </c>
      <c r="AB4039">
        <v>36</v>
      </c>
      <c r="AC4039">
        <v>16.815100000000001</v>
      </c>
      <c r="AD4039">
        <v>-1.1110507316986999</v>
      </c>
      <c r="AE4039">
        <v>-0.60460000000000402</v>
      </c>
      <c r="AF4039">
        <v>0.445296735598261</v>
      </c>
      <c r="AG4039">
        <v>-1.1110507316986999</v>
      </c>
      <c r="AH4039">
        <v>16.747000518009401</v>
      </c>
      <c r="AI4039">
        <v>93.7942898660758</v>
      </c>
      <c r="AJ4039">
        <v>88.476884662699504</v>
      </c>
      <c r="AK4039">
        <v>16.7897215361468</v>
      </c>
      <c r="AL4039">
        <v>72.391565012153094</v>
      </c>
      <c r="AM4039">
        <v>91.817667239605697</v>
      </c>
      <c r="AN4039">
        <v>0.99999995176106304</v>
      </c>
    </row>
    <row r="4040" spans="1:40" x14ac:dyDescent="0.25">
      <c r="A4040" t="str">
        <f>"20190304164931690"</f>
        <v>20190304164931690</v>
      </c>
      <c r="B4040" t="str">
        <f>"1551689371679672"</f>
        <v>1551689371679672</v>
      </c>
      <c r="C4040" t="s">
        <v>40</v>
      </c>
      <c r="D4040">
        <v>4.2097249999999997</v>
      </c>
      <c r="E4040">
        <v>0.52726969999999995</v>
      </c>
      <c r="F4040" t="s">
        <v>46</v>
      </c>
      <c r="G4040">
        <v>-251.41630000000001</v>
      </c>
      <c r="H4040" s="1">
        <v>-8.008138E-7</v>
      </c>
      <c r="I4040">
        <v>215.02090000000001</v>
      </c>
      <c r="J4040">
        <v>-268.06709999999998</v>
      </c>
      <c r="K4040">
        <v>1.111097</v>
      </c>
      <c r="L4040">
        <v>215.32230000000001</v>
      </c>
      <c r="M4040">
        <v>0.9998513</v>
      </c>
      <c r="N4040">
        <v>-1.4783660000000001E-2</v>
      </c>
      <c r="O4040">
        <v>-8.8955400000000004E-3</v>
      </c>
      <c r="P4040">
        <v>0.95720039999999995</v>
      </c>
      <c r="Q4040">
        <v>0.28875020000000001</v>
      </c>
      <c r="R4040">
        <v>1.977201E-2</v>
      </c>
      <c r="S4040">
        <v>3.1983950000000001</v>
      </c>
      <c r="T4040">
        <v>-0.21001909999999999</v>
      </c>
      <c r="U4040">
        <v>-5.7373050000000002E-2</v>
      </c>
      <c r="V4040">
        <v>-2.8659750000000001E-2</v>
      </c>
      <c r="W4040">
        <v>0.30283159999999998</v>
      </c>
      <c r="X4040">
        <v>0.95261309999999999</v>
      </c>
      <c r="Y4040">
        <v>9.0270750000000007E-3</v>
      </c>
      <c r="Z4040" s="1">
        <v>8.916629E-5</v>
      </c>
      <c r="AA4040">
        <v>0.99995919999999905</v>
      </c>
      <c r="AB4040">
        <v>36</v>
      </c>
      <c r="AC4040">
        <v>16.650799999999901</v>
      </c>
      <c r="AD4040">
        <v>-1.1110978008137999</v>
      </c>
      <c r="AE4040">
        <v>-0.301400000000001</v>
      </c>
      <c r="AF4040">
        <v>0.152574884182305</v>
      </c>
      <c r="AG4040">
        <v>-1.1110978008137999</v>
      </c>
      <c r="AH4040">
        <v>16.579023362453199</v>
      </c>
      <c r="AI4040">
        <v>93.833969904483993</v>
      </c>
      <c r="AJ4040">
        <v>89.472728281281306</v>
      </c>
      <c r="AK4040">
        <v>16.616914065825402</v>
      </c>
      <c r="AL4040">
        <v>72.372245476826706</v>
      </c>
      <c r="AM4040">
        <v>91.723246879733907</v>
      </c>
      <c r="AN4040">
        <v>1.00000003876011</v>
      </c>
    </row>
    <row r="4041" spans="1:40" x14ac:dyDescent="0.25">
      <c r="A4041" t="str">
        <f>"20190304164931704"</f>
        <v>20190304164931704</v>
      </c>
      <c r="B4041" t="str">
        <f>"1551689371690409"</f>
        <v>1551689371690409</v>
      </c>
      <c r="C4041" t="s">
        <v>40</v>
      </c>
      <c r="D4041">
        <v>4.2261920000000002</v>
      </c>
      <c r="E4041">
        <v>0.52625699999999997</v>
      </c>
      <c r="F4041" t="s">
        <v>46</v>
      </c>
      <c r="G4041">
        <v>-251.17760000000001</v>
      </c>
      <c r="H4041" s="1">
        <v>-9.2958519999999995E-7</v>
      </c>
      <c r="I4041">
        <v>215.06129999999999</v>
      </c>
      <c r="J4041">
        <v>-267.86149999999998</v>
      </c>
      <c r="K4041">
        <v>1.111132</v>
      </c>
      <c r="L4041">
        <v>215.32079999999999</v>
      </c>
      <c r="M4041">
        <v>0.99985449999999998</v>
      </c>
      <c r="N4041">
        <v>-1.478173E-2</v>
      </c>
      <c r="O4041">
        <v>-8.5161479999999994E-3</v>
      </c>
      <c r="P4041">
        <v>0.95719960000000004</v>
      </c>
      <c r="Q4041">
        <v>0.28883389999999998</v>
      </c>
      <c r="R4041">
        <v>1.8556739999999999E-2</v>
      </c>
      <c r="S4041">
        <v>3.1986690000000002</v>
      </c>
      <c r="T4041">
        <v>-0.2104288</v>
      </c>
      <c r="U4041">
        <v>-4.943848E-2</v>
      </c>
      <c r="V4041">
        <v>-2.7106370000000001E-2</v>
      </c>
      <c r="W4041">
        <v>0.3029134</v>
      </c>
      <c r="X4041">
        <v>0.95263249999999999</v>
      </c>
      <c r="Y4041">
        <v>6.9301939999999998E-3</v>
      </c>
      <c r="Z4041">
        <v>1.5482309999999901E-4</v>
      </c>
      <c r="AA4041">
        <v>0.99997599999999998</v>
      </c>
      <c r="AB4041">
        <v>36</v>
      </c>
      <c r="AC4041">
        <v>16.683899999999898</v>
      </c>
      <c r="AD4041">
        <v>-1.1111329295851999</v>
      </c>
      <c r="AE4041">
        <v>-0.25950000000000201</v>
      </c>
      <c r="AF4041">
        <v>0.116874240759963</v>
      </c>
      <c r="AG4041">
        <v>-1.1111329295851999</v>
      </c>
      <c r="AH4041">
        <v>16.611842003778801</v>
      </c>
      <c r="AI4041">
        <v>93.826605719529596</v>
      </c>
      <c r="AJ4041">
        <v>89.596896584900307</v>
      </c>
      <c r="AK4041">
        <v>16.6493714816467</v>
      </c>
      <c r="AL4041">
        <v>72.367326659100698</v>
      </c>
      <c r="AM4041">
        <v>91.629864251999905</v>
      </c>
      <c r="AN4041">
        <v>0.99999998162519299</v>
      </c>
    </row>
    <row r="4042" spans="1:40" x14ac:dyDescent="0.25">
      <c r="A4042" t="str">
        <f>"20190304164931718"</f>
        <v>20190304164931718</v>
      </c>
      <c r="B4042" t="str">
        <f>"1551689371709928"</f>
        <v>1551689371709928</v>
      </c>
      <c r="C4042" t="s">
        <v>40</v>
      </c>
      <c r="D4042">
        <v>4.2867230000000003</v>
      </c>
      <c r="E4042">
        <v>0.52476959999999995</v>
      </c>
      <c r="F4042" t="s">
        <v>46</v>
      </c>
      <c r="G4042">
        <v>-251.03039999999999</v>
      </c>
      <c r="H4042" s="1">
        <v>-1.008862E-6</v>
      </c>
      <c r="I4042">
        <v>215.08349999999999</v>
      </c>
      <c r="J4042">
        <v>-267.62509999999997</v>
      </c>
      <c r="K4042">
        <v>1.1111759999999999</v>
      </c>
      <c r="L4042">
        <v>215.3192</v>
      </c>
      <c r="M4042">
        <v>0.99985840000000004</v>
      </c>
      <c r="N4042">
        <v>-1.4779530000000001E-2</v>
      </c>
      <c r="O4042">
        <v>-8.0552290000000006E-3</v>
      </c>
      <c r="P4042">
        <v>0.95706919999999995</v>
      </c>
      <c r="Q4042">
        <v>0.28943000000000002</v>
      </c>
      <c r="R4042">
        <v>1.5777349999999999E-2</v>
      </c>
      <c r="S4042">
        <v>3.1987299999999999</v>
      </c>
      <c r="T4042">
        <v>-0.21117030000000001</v>
      </c>
      <c r="U4042">
        <v>-4.508972E-2</v>
      </c>
      <c r="V4042">
        <v>-2.3915369999999998E-2</v>
      </c>
      <c r="W4042">
        <v>0.30350769999999999</v>
      </c>
      <c r="X4042">
        <v>0.95252879999999995</v>
      </c>
      <c r="Y4042">
        <v>6.0334439999999998E-3</v>
      </c>
      <c r="Z4042">
        <v>1.68631699999999E-4</v>
      </c>
      <c r="AA4042">
        <v>0.99998180000000003</v>
      </c>
      <c r="AB4042">
        <v>36</v>
      </c>
      <c r="AC4042">
        <v>16.5946999999999</v>
      </c>
      <c r="AD4042">
        <v>-1.1111770088620001</v>
      </c>
      <c r="AE4042">
        <v>-0.23570000000000799</v>
      </c>
      <c r="AF4042">
        <v>0.101548438545719</v>
      </c>
      <c r="AG4042">
        <v>-1.1111770088620001</v>
      </c>
      <c r="AH4042">
        <v>16.521997085419098</v>
      </c>
      <c r="AI4042">
        <v>93.8475267332351</v>
      </c>
      <c r="AJ4042">
        <v>89.647849854259107</v>
      </c>
      <c r="AK4042">
        <v>16.559632064783099</v>
      </c>
      <c r="AL4042">
        <v>72.331593777971804</v>
      </c>
      <c r="AM4042">
        <v>91.438236778013803</v>
      </c>
      <c r="AN4042">
        <v>0.99999999185548305</v>
      </c>
    </row>
    <row r="4043" spans="1:40" x14ac:dyDescent="0.25">
      <c r="A4043" t="str">
        <f>"20190304164931734"</f>
        <v>20190304164931734</v>
      </c>
      <c r="B4043" t="str">
        <f>"1551689371719688"</f>
        <v>1551689371719688</v>
      </c>
      <c r="C4043" t="s">
        <v>40</v>
      </c>
      <c r="D4043">
        <v>4.243849</v>
      </c>
      <c r="E4043">
        <v>0.52408670000000002</v>
      </c>
      <c r="F4043" t="s">
        <v>46</v>
      </c>
      <c r="G4043">
        <v>-250.8921</v>
      </c>
      <c r="H4043" s="1">
        <v>-1.083059E-6</v>
      </c>
      <c r="I4043">
        <v>215.09690000000001</v>
      </c>
      <c r="J4043">
        <v>-267.36219999999997</v>
      </c>
      <c r="K4043">
        <v>1.1112249999999999</v>
      </c>
      <c r="L4043">
        <v>215.3176</v>
      </c>
      <c r="M4043">
        <v>0.99986269999999999</v>
      </c>
      <c r="N4043">
        <v>-1.4777119999999999E-2</v>
      </c>
      <c r="O4043">
        <v>-7.5015869999999997E-3</v>
      </c>
      <c r="P4043">
        <v>0.95696409999999998</v>
      </c>
      <c r="Q4043">
        <v>0.28983490000000001</v>
      </c>
      <c r="R4043">
        <v>1.4674629999999999E-2</v>
      </c>
      <c r="S4043">
        <v>3.1995239999999998</v>
      </c>
      <c r="T4043">
        <v>-0.2124693</v>
      </c>
      <c r="U4043">
        <v>-4.2495730000000002E-2</v>
      </c>
      <c r="V4043">
        <v>-2.231764E-2</v>
      </c>
      <c r="W4043">
        <v>0.30390840000000002</v>
      </c>
      <c r="X4043">
        <v>0.95243979999999995</v>
      </c>
      <c r="Y4043">
        <v>5.773037E-3</v>
      </c>
      <c r="Z4043">
        <v>1.526341E-4</v>
      </c>
      <c r="AA4043">
        <v>0.99998330000000002</v>
      </c>
      <c r="AB4043">
        <v>36</v>
      </c>
      <c r="AC4043">
        <v>16.470099999999899</v>
      </c>
      <c r="AD4043">
        <v>-1.1112260830589999</v>
      </c>
      <c r="AE4043">
        <v>-0.22069999999999301</v>
      </c>
      <c r="AF4043">
        <v>9.6688355700471601E-2</v>
      </c>
      <c r="AG4043">
        <v>-1.1112260830589999</v>
      </c>
      <c r="AH4043">
        <v>16.3966662900134</v>
      </c>
      <c r="AI4043">
        <v>93.877023135566603</v>
      </c>
      <c r="AJ4043">
        <v>89.662140437479295</v>
      </c>
      <c r="AK4043">
        <v>16.4345622841577</v>
      </c>
      <c r="AL4043">
        <v>72.3074969898191</v>
      </c>
      <c r="AM4043">
        <v>91.342313317847001</v>
      </c>
      <c r="AN4043">
        <v>0.99999998263488399</v>
      </c>
    </row>
    <row r="4044" spans="1:40" x14ac:dyDescent="0.25">
      <c r="A4044" t="str">
        <f>"20190304164931751"</f>
        <v>20190304164931751</v>
      </c>
      <c r="B4044" t="str">
        <f>"1551689371740184"</f>
        <v>1551689371740184</v>
      </c>
      <c r="C4044" t="s">
        <v>40</v>
      </c>
      <c r="D4044">
        <v>4.2495589999999996</v>
      </c>
      <c r="E4044">
        <v>0.52300539999999995</v>
      </c>
      <c r="F4044" t="s">
        <v>46</v>
      </c>
      <c r="G4044">
        <v>-250.64349999999999</v>
      </c>
      <c r="H4044" s="1">
        <v>-1.215605E-6</v>
      </c>
      <c r="I4044">
        <v>215.10290000000001</v>
      </c>
      <c r="J4044">
        <v>-267.08690000000001</v>
      </c>
      <c r="K4044">
        <v>1.1112770000000001</v>
      </c>
      <c r="L4044">
        <v>215.31610000000001</v>
      </c>
      <c r="M4044">
        <v>0.99986739999999996</v>
      </c>
      <c r="N4044">
        <v>-1.477466E-2</v>
      </c>
      <c r="O4044">
        <v>-6.8761600000000001E-3</v>
      </c>
      <c r="P4044">
        <v>0.95687440000000001</v>
      </c>
      <c r="Q4044">
        <v>0.29024729999999999</v>
      </c>
      <c r="R4044">
        <v>1.217821E-2</v>
      </c>
      <c r="S4044">
        <v>3.199951</v>
      </c>
      <c r="T4044">
        <v>-0.21268899999999999</v>
      </c>
      <c r="U4044">
        <v>-4.1091919999999997E-2</v>
      </c>
      <c r="V4044">
        <v>-1.9258839999999999E-2</v>
      </c>
      <c r="W4044">
        <v>0.30432039999999999</v>
      </c>
      <c r="X4044">
        <v>0.95237510000000003</v>
      </c>
      <c r="Y4044">
        <v>5.9568190000000003E-3</v>
      </c>
      <c r="Z4044">
        <v>1.1318789999999999E-4</v>
      </c>
      <c r="AA4044">
        <v>0.99998220000000004</v>
      </c>
      <c r="AB4044">
        <v>36</v>
      </c>
      <c r="AC4044">
        <v>16.4434</v>
      </c>
      <c r="AD4044">
        <v>-1.1112782156050001</v>
      </c>
      <c r="AE4044">
        <v>-0.2132</v>
      </c>
      <c r="AF4044">
        <v>9.96600845693804E-2</v>
      </c>
      <c r="AG4044">
        <v>-1.1112782156050001</v>
      </c>
      <c r="AH4044">
        <v>16.3697239737388</v>
      </c>
      <c r="AI4044">
        <v>93.883561866951098</v>
      </c>
      <c r="AJ4044">
        <v>89.651183386180307</v>
      </c>
      <c r="AK4044">
        <v>16.407703507234999</v>
      </c>
      <c r="AL4044">
        <v>72.282719056334997</v>
      </c>
      <c r="AM4044">
        <v>91.158471990253503</v>
      </c>
      <c r="AN4044">
        <v>1.0000000699371501</v>
      </c>
    </row>
    <row r="4045" spans="1:40" x14ac:dyDescent="0.25">
      <c r="A4045" t="str">
        <f>"20190304164931768"</f>
        <v>20190304164931768</v>
      </c>
      <c r="B4045" t="str">
        <f>"1551689371759704"</f>
        <v>1551689371759704</v>
      </c>
      <c r="C4045" t="s">
        <v>40</v>
      </c>
      <c r="D4045">
        <v>4.2542359999999997</v>
      </c>
      <c r="E4045">
        <v>0.52218180000000003</v>
      </c>
      <c r="F4045" t="s">
        <v>46</v>
      </c>
      <c r="G4045">
        <v>-250.4837</v>
      </c>
      <c r="H4045" s="1">
        <v>-1.3007089999999999E-6</v>
      </c>
      <c r="I4045">
        <v>215.1044</v>
      </c>
      <c r="J4045">
        <v>-266.80810000000002</v>
      </c>
      <c r="K4045">
        <v>1.111326</v>
      </c>
      <c r="L4045">
        <v>215.31479999999999</v>
      </c>
      <c r="M4045">
        <v>0.99987170000000003</v>
      </c>
      <c r="N4045">
        <v>-1.477228E-2</v>
      </c>
      <c r="O4045">
        <v>-6.1992330000000002E-3</v>
      </c>
      <c r="P4045">
        <v>0.95677350000000005</v>
      </c>
      <c r="Q4045">
        <v>0.29062189999999999</v>
      </c>
      <c r="R4045">
        <v>1.1123630000000001E-2</v>
      </c>
      <c r="S4045">
        <v>3.2007140000000001</v>
      </c>
      <c r="T4045">
        <v>-0.2142297</v>
      </c>
      <c r="U4045">
        <v>-4.0801999999999998E-2</v>
      </c>
      <c r="V4045">
        <v>-1.759405E-2</v>
      </c>
      <c r="W4045">
        <v>0.30469190000000002</v>
      </c>
      <c r="X4045">
        <v>0.95228840000000003</v>
      </c>
      <c r="Y4045">
        <v>6.5376540000000004E-3</v>
      </c>
      <c r="Z4045" s="1">
        <v>5.604603E-5</v>
      </c>
      <c r="AA4045">
        <v>0.99997860000000005</v>
      </c>
      <c r="AB4045">
        <v>36</v>
      </c>
      <c r="AC4045">
        <v>16.324400000000001</v>
      </c>
      <c r="AD4045">
        <v>-1.1113273007089901</v>
      </c>
      <c r="AE4045">
        <v>-0.21039999999999201</v>
      </c>
      <c r="AF4045">
        <v>0.108682543519285</v>
      </c>
      <c r="AG4045">
        <v>-1.1113273007089901</v>
      </c>
      <c r="AH4045">
        <v>16.2500910251491</v>
      </c>
      <c r="AI4045">
        <v>93.912221453370407</v>
      </c>
      <c r="AJ4045">
        <v>89.616804718448506</v>
      </c>
      <c r="AK4045">
        <v>16.288410560585699</v>
      </c>
      <c r="AL4045">
        <v>72.260370256857001</v>
      </c>
      <c r="AM4045">
        <v>91.058450500332199</v>
      </c>
      <c r="AN4045">
        <v>0.99999995064778502</v>
      </c>
    </row>
    <row r="4046" spans="1:40" x14ac:dyDescent="0.25">
      <c r="A4046" t="str">
        <f>"20190304164931782"</f>
        <v>20190304164931782</v>
      </c>
      <c r="B4046" t="str">
        <f>"1551689371770440"</f>
        <v>1551689371770440</v>
      </c>
      <c r="C4046" t="s">
        <v>40</v>
      </c>
      <c r="D4046">
        <v>4.2607839999999904</v>
      </c>
      <c r="E4046">
        <v>0.52177569999999995</v>
      </c>
      <c r="F4046" t="s">
        <v>46</v>
      </c>
      <c r="G4046">
        <v>-250.2885</v>
      </c>
      <c r="H4046" s="1">
        <v>-1.4052689999999999E-6</v>
      </c>
      <c r="I4046">
        <v>215.12010000000001</v>
      </c>
      <c r="J4046">
        <v>-266.59949999999998</v>
      </c>
      <c r="K4046">
        <v>1.1113649999999999</v>
      </c>
      <c r="L4046">
        <v>215.31399999999999</v>
      </c>
      <c r="M4046">
        <v>0.99987490000000001</v>
      </c>
      <c r="N4046">
        <v>-1.4770500000000001E-2</v>
      </c>
      <c r="O4046">
        <v>-5.6647210000000002E-3</v>
      </c>
      <c r="P4046">
        <v>0.95672610000000002</v>
      </c>
      <c r="Q4046">
        <v>0.29081109999999999</v>
      </c>
      <c r="R4046">
        <v>1.0202279999999999E-2</v>
      </c>
      <c r="S4046">
        <v>3.2013850000000001</v>
      </c>
      <c r="T4046">
        <v>-0.215368</v>
      </c>
      <c r="U4046">
        <v>-3.7734990000000003E-2</v>
      </c>
      <c r="V4046">
        <v>-1.6188979999999999E-2</v>
      </c>
      <c r="W4046">
        <v>0.30487999999999998</v>
      </c>
      <c r="X4046">
        <v>0.95225320000000002</v>
      </c>
      <c r="Y4046">
        <v>6.1120699999999998E-3</v>
      </c>
      <c r="Z4046" s="1">
        <v>4.6481150000000001E-5</v>
      </c>
      <c r="AA4046">
        <v>0.99998129999999996</v>
      </c>
      <c r="AB4046">
        <v>36</v>
      </c>
      <c r="AC4046">
        <v>16.3109999999999</v>
      </c>
      <c r="AD4046">
        <v>-1.111366405269</v>
      </c>
      <c r="AE4046">
        <v>-0.19390000000001301</v>
      </c>
      <c r="AF4046">
        <v>0.10102062314566</v>
      </c>
      <c r="AG4046">
        <v>-1.111366405269</v>
      </c>
      <c r="AH4046">
        <v>16.236469339251101</v>
      </c>
      <c r="AI4046">
        <v>93.915642525912006</v>
      </c>
      <c r="AJ4046">
        <v>89.643519749074798</v>
      </c>
      <c r="AK4046">
        <v>16.2747742551933</v>
      </c>
      <c r="AL4046">
        <v>72.249055931573196</v>
      </c>
      <c r="AM4046">
        <v>90.973975074789095</v>
      </c>
      <c r="AN4046">
        <v>1.0000000271918399</v>
      </c>
    </row>
    <row r="4047" spans="1:40" x14ac:dyDescent="0.25">
      <c r="A4047" t="str">
        <f>"20190304164931797"</f>
        <v>20190304164931797</v>
      </c>
      <c r="B4047" t="str">
        <f>"1551689371789960"</f>
        <v>1551689371789960</v>
      </c>
      <c r="C4047" t="s">
        <v>40</v>
      </c>
      <c r="D4047">
        <v>4.7304909999999998</v>
      </c>
      <c r="E4047">
        <v>0.52116070000000003</v>
      </c>
      <c r="F4047" t="s">
        <v>46</v>
      </c>
      <c r="G4047">
        <v>-250.09649999999999</v>
      </c>
      <c r="H4047" s="1">
        <v>-1.5075340000000001E-6</v>
      </c>
      <c r="I4047">
        <v>215.12209999999999</v>
      </c>
      <c r="J4047">
        <v>-266.33909999999997</v>
      </c>
      <c r="K4047">
        <v>1.111407</v>
      </c>
      <c r="L4047">
        <v>215.31309999999999</v>
      </c>
      <c r="M4047">
        <v>0.99987879999999996</v>
      </c>
      <c r="N4047">
        <v>-1.476821E-2</v>
      </c>
      <c r="O4047">
        <v>-4.9655680000000001E-3</v>
      </c>
      <c r="P4047">
        <v>0.95674709999999996</v>
      </c>
      <c r="Q4047">
        <v>0.29080840000000002</v>
      </c>
      <c r="R4047">
        <v>8.1180860000000001E-3</v>
      </c>
      <c r="S4047">
        <v>3.2016300000000002</v>
      </c>
      <c r="T4047">
        <v>-0.21560789999999999</v>
      </c>
      <c r="U4047">
        <v>-3.7231449999999999E-2</v>
      </c>
      <c r="V4047">
        <v>-1.3470859999999999E-2</v>
      </c>
      <c r="W4047">
        <v>0.30487950000000003</v>
      </c>
      <c r="X4047">
        <v>0.95229569999999997</v>
      </c>
      <c r="Y4047">
        <v>6.6506809999999899E-3</v>
      </c>
      <c r="Z4047" s="1">
        <v>-1.212549E-5</v>
      </c>
      <c r="AA4047">
        <v>0.99997789999999998</v>
      </c>
      <c r="AB4047">
        <v>36</v>
      </c>
      <c r="AC4047">
        <v>16.2425999999999</v>
      </c>
      <c r="AD4047">
        <v>-1.1114085075339999</v>
      </c>
      <c r="AE4047">
        <v>-0.191000000000002</v>
      </c>
      <c r="AF4047">
        <v>0.109821011488663</v>
      </c>
      <c r="AG4047">
        <v>-1.1114085075339999</v>
      </c>
      <c r="AH4047">
        <v>16.167660855363199</v>
      </c>
      <c r="AI4047">
        <v>93.932389008790906</v>
      </c>
      <c r="AJ4047">
        <v>89.610816694876405</v>
      </c>
      <c r="AK4047">
        <v>16.2061885420115</v>
      </c>
      <c r="AL4047">
        <v>72.249086189861998</v>
      </c>
      <c r="AM4047">
        <v>90.810433093396995</v>
      </c>
      <c r="AN4047">
        <v>1.0000000369139299</v>
      </c>
    </row>
    <row r="4048" spans="1:40" x14ac:dyDescent="0.25">
      <c r="A4048" t="str">
        <f>"20190304164931820"</f>
        <v>20190304164931820</v>
      </c>
      <c r="B4048" t="str">
        <f>"1551689371809481"</f>
        <v>1551689371809481</v>
      </c>
      <c r="C4048" t="s">
        <v>40</v>
      </c>
      <c r="D4048">
        <v>4.2902849999999999</v>
      </c>
      <c r="E4048">
        <v>0.52052520000000002</v>
      </c>
      <c r="F4048" t="s">
        <v>41</v>
      </c>
      <c r="G4048">
        <v>-265.3263</v>
      </c>
      <c r="H4048">
        <v>1.0427280000000001</v>
      </c>
      <c r="I4048">
        <v>215.3006</v>
      </c>
      <c r="J4048">
        <v>-265.99209999999999</v>
      </c>
      <c r="K4048">
        <v>1.111469</v>
      </c>
      <c r="L4048">
        <v>215.3124</v>
      </c>
      <c r="M4048">
        <v>0.99988310000000002</v>
      </c>
      <c r="N4048">
        <v>-1.4765149999999999E-2</v>
      </c>
      <c r="O4048">
        <v>-3.9733260000000001E-3</v>
      </c>
      <c r="P4048">
        <v>0.95669800000000005</v>
      </c>
      <c r="Q4048">
        <v>0.2910065</v>
      </c>
      <c r="R4048">
        <v>6.6424240000000001E-3</v>
      </c>
      <c r="S4048">
        <v>3.2019959999999998</v>
      </c>
      <c r="T4048">
        <v>-0.21722559999999999</v>
      </c>
      <c r="U4048">
        <v>-3.93219E-2</v>
      </c>
      <c r="V4048">
        <v>-1.109019E-2</v>
      </c>
      <c r="W4048">
        <v>0.3050775</v>
      </c>
      <c r="X4048">
        <v>0.95226290000000002</v>
      </c>
      <c r="Y4048">
        <v>8.2883360000000003E-3</v>
      </c>
      <c r="Z4048">
        <v>-1.314744E-4</v>
      </c>
      <c r="AA4048">
        <v>0.99996569999999996</v>
      </c>
      <c r="AB4048">
        <v>36</v>
      </c>
      <c r="AC4048">
        <v>0.66579999999998996</v>
      </c>
      <c r="AD4048">
        <v>-6.8740999999999899E-2</v>
      </c>
      <c r="AE4048">
        <v>-1.17999999999938E-2</v>
      </c>
      <c r="AF4048">
        <v>9.0576565944326705E-3</v>
      </c>
      <c r="AG4048">
        <v>-6.8740999999999899E-2</v>
      </c>
      <c r="AH4048">
        <v>0.65882101851085695</v>
      </c>
      <c r="AI4048">
        <v>95.956095591555297</v>
      </c>
      <c r="AJ4048">
        <v>89.212331138798703</v>
      </c>
      <c r="AK4048">
        <v>0.66245943321509504</v>
      </c>
      <c r="AL4048">
        <v>72.237172567909298</v>
      </c>
      <c r="AM4048">
        <v>90.667244681471502</v>
      </c>
      <c r="AN4048">
        <v>0.99999995201844605</v>
      </c>
    </row>
    <row r="4049" spans="1:40" x14ac:dyDescent="0.25">
      <c r="A4049" t="str">
        <f>"20190304164931841"</f>
        <v>20190304164931841</v>
      </c>
      <c r="B4049" t="str">
        <f>"1551689371829976"</f>
        <v>1551689371829976</v>
      </c>
      <c r="C4049" t="s">
        <v>40</v>
      </c>
      <c r="D4049">
        <v>4.2740039999999997</v>
      </c>
      <c r="E4049">
        <v>0.51980870000000001</v>
      </c>
      <c r="F4049" t="s">
        <v>41</v>
      </c>
      <c r="G4049">
        <v>-264.99889999999999</v>
      </c>
      <c r="H4049">
        <v>1.0441530000000001</v>
      </c>
      <c r="I4049">
        <v>215.30009999999999</v>
      </c>
      <c r="J4049">
        <v>-265.64359999999999</v>
      </c>
      <c r="K4049">
        <v>1.1115280000000001</v>
      </c>
      <c r="L4049">
        <v>215.31200000000001</v>
      </c>
      <c r="M4049">
        <v>0.99988679999999996</v>
      </c>
      <c r="N4049">
        <v>-1.4762300000000001E-2</v>
      </c>
      <c r="O4049">
        <v>-2.9197469999999999E-3</v>
      </c>
      <c r="P4049">
        <v>0.95662780000000003</v>
      </c>
      <c r="Q4049">
        <v>0.2912611</v>
      </c>
      <c r="R4049">
        <v>5.4888609999999899E-3</v>
      </c>
      <c r="S4049">
        <v>3.202118</v>
      </c>
      <c r="T4049">
        <v>-0.2171324</v>
      </c>
      <c r="U4049">
        <v>-3.9199829999999998E-2</v>
      </c>
      <c r="V4049">
        <v>-8.9715980000000008E-3</v>
      </c>
      <c r="W4049">
        <v>0.30533130000000003</v>
      </c>
      <c r="X4049">
        <v>0.95220389999999999</v>
      </c>
      <c r="Y4049">
        <v>9.2991180000000003E-3</v>
      </c>
      <c r="Z4049">
        <v>-2.2896390000000001E-4</v>
      </c>
      <c r="AA4049">
        <v>0.99995670000000003</v>
      </c>
      <c r="AB4049">
        <v>36</v>
      </c>
      <c r="AC4049">
        <v>0.64470000000000005</v>
      </c>
      <c r="AD4049">
        <v>-6.7374999999999893E-2</v>
      </c>
      <c r="AE4049">
        <v>-1.19000000000255E-2</v>
      </c>
      <c r="AF4049">
        <v>9.9091968778953696E-3</v>
      </c>
      <c r="AG4049">
        <v>-6.7374999999999893E-2</v>
      </c>
      <c r="AH4049">
        <v>0.63776897977402702</v>
      </c>
      <c r="AI4049">
        <v>96.029733954281994</v>
      </c>
      <c r="AJ4049">
        <v>89.109850906253499</v>
      </c>
      <c r="AK4049">
        <v>0.64139446081936802</v>
      </c>
      <c r="AL4049">
        <v>72.221902815713705</v>
      </c>
      <c r="AM4049">
        <v>90.539820820875903</v>
      </c>
      <c r="AN4049">
        <v>0.99999997975278598</v>
      </c>
    </row>
    <row r="4050" spans="1:40" x14ac:dyDescent="0.25">
      <c r="A4050" t="str">
        <f>"20190304164931864"</f>
        <v>20190304164931864</v>
      </c>
      <c r="B4050" t="str">
        <f>"1551689371850473"</f>
        <v>1551689371850473</v>
      </c>
      <c r="C4050" t="s">
        <v>40</v>
      </c>
      <c r="D4050">
        <v>4.2671409999999996</v>
      </c>
      <c r="E4050">
        <v>0.51913009999999904</v>
      </c>
      <c r="F4050" t="s">
        <v>46</v>
      </c>
      <c r="G4050">
        <v>-249.2586</v>
      </c>
      <c r="H4050" s="1">
        <v>3.3680740000000001E-6</v>
      </c>
      <c r="I4050">
        <v>215.12209999999999</v>
      </c>
      <c r="J4050">
        <v>-265.28489999999999</v>
      </c>
      <c r="K4050">
        <v>1.1115870000000001</v>
      </c>
      <c r="L4050">
        <v>215.31200000000001</v>
      </c>
      <c r="M4050">
        <v>0.99988960000000005</v>
      </c>
      <c r="N4050">
        <v>-1.475923E-2</v>
      </c>
      <c r="O4050">
        <v>-1.778349E-3</v>
      </c>
      <c r="P4050">
        <v>0.95662329999999995</v>
      </c>
      <c r="Q4050">
        <v>0.29129699999999997</v>
      </c>
      <c r="R4050">
        <v>4.2764919999999998E-3</v>
      </c>
      <c r="S4050">
        <v>3.2023320000000002</v>
      </c>
      <c r="T4050">
        <v>-0.21723899999999999</v>
      </c>
      <c r="U4050">
        <v>-3.7109379999999997E-2</v>
      </c>
      <c r="V4050">
        <v>-6.7089790000000003E-3</v>
      </c>
      <c r="W4050">
        <v>0.305369</v>
      </c>
      <c r="X4050">
        <v>0.95221040000000001</v>
      </c>
      <c r="Y4050">
        <v>9.7841290000000008E-3</v>
      </c>
      <c r="Z4050">
        <v>-3.0951280000000002E-4</v>
      </c>
      <c r="AA4050">
        <v>0.99995210000000001</v>
      </c>
      <c r="AB4050">
        <v>36</v>
      </c>
      <c r="AC4050">
        <v>16.0262999999999</v>
      </c>
      <c r="AD4050">
        <v>-1.111583631926</v>
      </c>
      <c r="AE4050">
        <v>-0.189900000000022</v>
      </c>
      <c r="AF4050">
        <v>0.16062362292690199</v>
      </c>
      <c r="AG4050">
        <v>-1.111583631926</v>
      </c>
      <c r="AH4050">
        <v>15.949891353509001</v>
      </c>
      <c r="AI4050">
        <v>93.986423626107893</v>
      </c>
      <c r="AJ4050">
        <v>89.423021487191903</v>
      </c>
      <c r="AK4050">
        <v>15.9893856138298</v>
      </c>
      <c r="AL4050">
        <v>72.219633718736404</v>
      </c>
      <c r="AM4050">
        <v>90.403681603385607</v>
      </c>
      <c r="AN4050">
        <v>0.999999941214189</v>
      </c>
    </row>
    <row r="4051" spans="1:40" x14ac:dyDescent="0.25">
      <c r="A4051" t="str">
        <f>"20190304164931886"</f>
        <v>20190304164931886</v>
      </c>
      <c r="B4051" t="str">
        <f>"1551689371879752"</f>
        <v>1551689371879752</v>
      </c>
      <c r="C4051" t="s">
        <v>40</v>
      </c>
      <c r="D4051">
        <v>4.2790730000000003</v>
      </c>
      <c r="E4051">
        <v>0.51840450000000005</v>
      </c>
      <c r="F4051" t="s">
        <v>46</v>
      </c>
      <c r="G4051">
        <v>-248.95519999999999</v>
      </c>
      <c r="H4051" s="1">
        <v>3.2062779999999999E-6</v>
      </c>
      <c r="I4051">
        <v>215.12979999999999</v>
      </c>
      <c r="J4051">
        <v>-264.92239999999998</v>
      </c>
      <c r="K4051">
        <v>1.111648</v>
      </c>
      <c r="L4051">
        <v>215.3126</v>
      </c>
      <c r="M4051">
        <v>0.99989090000000003</v>
      </c>
      <c r="N4051">
        <v>-1.4756129999999999E-2</v>
      </c>
      <c r="O4051">
        <v>-5.6796669999999996E-4</v>
      </c>
      <c r="P4051">
        <v>0.95645080000000005</v>
      </c>
      <c r="Q4051">
        <v>0.29187679999999999</v>
      </c>
      <c r="R4051">
        <v>3.1293739999999999E-3</v>
      </c>
      <c r="S4051">
        <v>3.2025450000000002</v>
      </c>
      <c r="T4051">
        <v>-0.2180011</v>
      </c>
      <c r="U4051">
        <v>-3.5736080000000003E-2</v>
      </c>
      <c r="V4051">
        <v>-4.4455650000000003E-3</v>
      </c>
      <c r="W4051">
        <v>0.30594829999999901</v>
      </c>
      <c r="X4051">
        <v>0.95203780000000005</v>
      </c>
      <c r="Y4051">
        <v>1.0561020000000001E-2</v>
      </c>
      <c r="Z4051">
        <v>-4.0681760000000001E-4</v>
      </c>
      <c r="AA4051">
        <v>0.99994419999999995</v>
      </c>
      <c r="AB4051">
        <v>36</v>
      </c>
      <c r="AC4051">
        <v>15.967199999999901</v>
      </c>
      <c r="AD4051">
        <v>-1.111644793722</v>
      </c>
      <c r="AE4051">
        <v>-0.18280000000001401</v>
      </c>
      <c r="AF4051">
        <v>0.17289224273728801</v>
      </c>
      <c r="AG4051">
        <v>-1.111644793722</v>
      </c>
      <c r="AH4051">
        <v>15.8902908427601</v>
      </c>
      <c r="AI4051">
        <v>94.001512840835403</v>
      </c>
      <c r="AJ4051">
        <v>89.3766253213049</v>
      </c>
      <c r="AK4051">
        <v>15.9300655661712</v>
      </c>
      <c r="AL4051">
        <v>72.184775905539695</v>
      </c>
      <c r="AM4051">
        <v>90.267542171946999</v>
      </c>
      <c r="AN4051">
        <v>1.0000000489749401</v>
      </c>
    </row>
    <row r="4052" spans="1:40" x14ac:dyDescent="0.25">
      <c r="A4052" t="str">
        <f>"20190304164931903"</f>
        <v>20190304164931903</v>
      </c>
      <c r="B4052" t="str">
        <f>"1551689371889512"</f>
        <v>1551689371889512</v>
      </c>
      <c r="C4052" t="s">
        <v>40</v>
      </c>
      <c r="D4052">
        <v>4.2909660000000001</v>
      </c>
      <c r="E4052">
        <v>0.51816139999999999</v>
      </c>
      <c r="F4052" t="s">
        <v>46</v>
      </c>
      <c r="G4052">
        <v>-248.4529</v>
      </c>
      <c r="H4052" s="1">
        <v>2.9385470000000001E-6</v>
      </c>
      <c r="I4052">
        <v>215.14019999999999</v>
      </c>
      <c r="J4052">
        <v>-264.65609999999998</v>
      </c>
      <c r="K4052">
        <v>1.1116870000000001</v>
      </c>
      <c r="L4052">
        <v>215.31319999999999</v>
      </c>
      <c r="M4052">
        <v>0.99989119999999998</v>
      </c>
      <c r="N4052">
        <v>-1.4753870000000001E-2</v>
      </c>
      <c r="O4052">
        <v>3.5464999999999997E-4</v>
      </c>
      <c r="P4052">
        <v>0.95643210000000001</v>
      </c>
      <c r="Q4052">
        <v>0.2919408</v>
      </c>
      <c r="R4052">
        <v>2.8884900000000001E-3</v>
      </c>
      <c r="S4052">
        <v>3.2026669999999999</v>
      </c>
      <c r="T4052">
        <v>-0.21617140000000001</v>
      </c>
      <c r="U4052">
        <v>-3.3508299999999998E-2</v>
      </c>
      <c r="V4052">
        <v>-3.3509740000000001E-3</v>
      </c>
      <c r="W4052">
        <v>0.30601279999999997</v>
      </c>
      <c r="X4052">
        <v>0.95202149999999996</v>
      </c>
      <c r="Y4052">
        <v>1.078631E-2</v>
      </c>
      <c r="Z4052">
        <v>-4.619685E-4</v>
      </c>
      <c r="AA4052">
        <v>0.99994170000000004</v>
      </c>
      <c r="AB4052">
        <v>36</v>
      </c>
      <c r="AC4052">
        <v>16.203199999999899</v>
      </c>
      <c r="AD4052">
        <v>-1.1116840614529999</v>
      </c>
      <c r="AE4052">
        <v>-0.17300000000000099</v>
      </c>
      <c r="AF4052">
        <v>0.177909720589117</v>
      </c>
      <c r="AG4052">
        <v>-1.1116840614529999</v>
      </c>
      <c r="AH4052">
        <v>16.127232422488099</v>
      </c>
      <c r="AI4052">
        <v>93.943041681515894</v>
      </c>
      <c r="AJ4052">
        <v>89.367959586473802</v>
      </c>
      <c r="AK4052">
        <v>16.1664813404192</v>
      </c>
      <c r="AL4052">
        <v>72.180893241457596</v>
      </c>
      <c r="AM4052">
        <v>90.201671784260299</v>
      </c>
      <c r="AN4052">
        <v>0.99999999962641895</v>
      </c>
    </row>
    <row r="4053" spans="1:40" x14ac:dyDescent="0.25">
      <c r="A4053" t="str">
        <f>"20190304164931917"</f>
        <v>20190304164931917</v>
      </c>
      <c r="B4053" t="str">
        <f>"1551689371910008"</f>
        <v>1551689371910008</v>
      </c>
      <c r="C4053" t="s">
        <v>40</v>
      </c>
      <c r="D4053">
        <v>4.2771710000000001</v>
      </c>
      <c r="E4053">
        <v>0.50921450000000001</v>
      </c>
      <c r="F4053" t="s">
        <v>46</v>
      </c>
      <c r="G4053">
        <v>-248.19759999999999</v>
      </c>
      <c r="H4053" s="1">
        <v>2.8022320000000001E-6</v>
      </c>
      <c r="I4053">
        <v>215.14949999999999</v>
      </c>
      <c r="J4053">
        <v>-264.42599999999999</v>
      </c>
      <c r="K4053">
        <v>1.11172</v>
      </c>
      <c r="L4053">
        <v>215.3141</v>
      </c>
      <c r="M4053">
        <v>0.99989050000000002</v>
      </c>
      <c r="N4053">
        <v>-1.475191E-2</v>
      </c>
      <c r="O4053">
        <v>1.1703589999999999E-3</v>
      </c>
      <c r="P4053">
        <v>0.95643290000000003</v>
      </c>
      <c r="Q4053">
        <v>0.2919428</v>
      </c>
      <c r="R4053">
        <v>2.358373E-3</v>
      </c>
      <c r="S4053">
        <v>3.2027890000000001</v>
      </c>
      <c r="T4053">
        <v>-0.2163303</v>
      </c>
      <c r="U4053">
        <v>-3.1860350000000003E-2</v>
      </c>
      <c r="V4053">
        <v>-2.0644489999999999E-3</v>
      </c>
      <c r="W4053">
        <v>0.3060156</v>
      </c>
      <c r="X4053">
        <v>0.95202430000000005</v>
      </c>
      <c r="Y4053">
        <v>1.10852E-2</v>
      </c>
      <c r="Z4053">
        <v>-5.1752929999999996E-4</v>
      </c>
      <c r="AA4053">
        <v>0.99993840000000001</v>
      </c>
      <c r="AB4053">
        <v>36</v>
      </c>
      <c r="AC4053">
        <v>16.228399999999901</v>
      </c>
      <c r="AD4053">
        <v>-1.111717197768</v>
      </c>
      <c r="AE4053">
        <v>-0.16460000000000699</v>
      </c>
      <c r="AF4053">
        <v>0.18273753544430801</v>
      </c>
      <c r="AG4053">
        <v>-1.111717197768</v>
      </c>
      <c r="AH4053">
        <v>16.152403114301901</v>
      </c>
      <c r="AI4053">
        <v>93.937021108051894</v>
      </c>
      <c r="AJ4053">
        <v>89.351821347849693</v>
      </c>
      <c r="AK4053">
        <v>16.1916470595669</v>
      </c>
      <c r="AL4053">
        <v>72.180725446850701</v>
      </c>
      <c r="AM4053">
        <v>90.124244758581298</v>
      </c>
      <c r="AN4053">
        <v>1.00000003859176</v>
      </c>
    </row>
    <row r="4054" spans="1:40" x14ac:dyDescent="0.25">
      <c r="A4054" t="str">
        <f>"20190304164931929"</f>
        <v>20190304164931929</v>
      </c>
      <c r="B4054" t="str">
        <f>"1551689371919768"</f>
        <v>1551689371919768</v>
      </c>
      <c r="C4054" t="s">
        <v>40</v>
      </c>
      <c r="D4054">
        <v>4.302454</v>
      </c>
      <c r="E4054">
        <v>0.50895519999999905</v>
      </c>
      <c r="F4054" t="s">
        <v>46</v>
      </c>
      <c r="G4054">
        <v>-249.02699999999999</v>
      </c>
      <c r="H4054" s="1">
        <v>3.2280510000000002E-6</v>
      </c>
      <c r="I4054">
        <v>215.50559999999999</v>
      </c>
      <c r="J4054">
        <v>-264.22480000000002</v>
      </c>
      <c r="K4054">
        <v>1.111739</v>
      </c>
      <c r="L4054">
        <v>215.315</v>
      </c>
      <c r="M4054">
        <v>0.99988949999999999</v>
      </c>
      <c r="N4054">
        <v>-1.475019E-2</v>
      </c>
      <c r="O4054">
        <v>1.9012829999999999E-3</v>
      </c>
      <c r="P4054">
        <v>0.95640539999999996</v>
      </c>
      <c r="Q4054">
        <v>0.29204200000000002</v>
      </c>
      <c r="R4054">
        <v>7.1314719999999998E-4</v>
      </c>
      <c r="S4054">
        <v>3.2072449999999999</v>
      </c>
      <c r="T4054">
        <v>-0.23154340000000001</v>
      </c>
      <c r="U4054">
        <v>3.988647E-2</v>
      </c>
      <c r="V4054">
        <v>2.6064829999999998E-4</v>
      </c>
      <c r="W4054">
        <v>0.30611909999999998</v>
      </c>
      <c r="X4054">
        <v>0.95199319999999998</v>
      </c>
      <c r="Y4054">
        <v>-1.050424E-2</v>
      </c>
      <c r="Z4054">
        <v>3.472007E-4</v>
      </c>
      <c r="AA4054">
        <v>0.99994470000000002</v>
      </c>
      <c r="AB4054">
        <v>36</v>
      </c>
      <c r="AC4054">
        <v>15.197800000000001</v>
      </c>
      <c r="AD4054">
        <v>-1.111735771949</v>
      </c>
      <c r="AE4054">
        <v>0.190599999999989</v>
      </c>
      <c r="AF4054">
        <v>-0.160840659193969</v>
      </c>
      <c r="AG4054">
        <v>-1.111735771949</v>
      </c>
      <c r="AH4054">
        <v>15.1172539850715</v>
      </c>
      <c r="AI4054">
        <v>94.205771896230701</v>
      </c>
      <c r="AJ4054">
        <v>90.609577853748206</v>
      </c>
      <c r="AK4054">
        <v>15.1589311692296</v>
      </c>
      <c r="AL4054">
        <v>72.174495912788899</v>
      </c>
      <c r="AM4054">
        <v>89.984312863627494</v>
      </c>
      <c r="AN4054">
        <v>1.00000001208429</v>
      </c>
    </row>
    <row r="4055" spans="1:40" x14ac:dyDescent="0.25">
      <c r="A4055" t="str">
        <f>"20190304164931947"</f>
        <v>20190304164931947</v>
      </c>
      <c r="B4055" t="str">
        <f>"1551689371940264"</f>
        <v>1551689371940264</v>
      </c>
      <c r="C4055" t="s">
        <v>40</v>
      </c>
      <c r="D4055">
        <v>4.3157310000000004</v>
      </c>
      <c r="E4055">
        <v>0.50937529999999998</v>
      </c>
      <c r="F4055" t="s">
        <v>46</v>
      </c>
      <c r="G4055">
        <v>-248.99100000000001</v>
      </c>
      <c r="H4055" s="1">
        <v>3.2094679999999999E-6</v>
      </c>
      <c r="I4055">
        <v>215.49289999999999</v>
      </c>
      <c r="J4055">
        <v>-263.95850000000002</v>
      </c>
      <c r="K4055">
        <v>1.1117729999999999</v>
      </c>
      <c r="L4055">
        <v>215.31639999999999</v>
      </c>
      <c r="M4055">
        <v>0.99988710000000003</v>
      </c>
      <c r="N4055">
        <v>-1.474785E-2</v>
      </c>
      <c r="O4055">
        <v>2.884396E-3</v>
      </c>
      <c r="P4055">
        <v>0.95636339999999997</v>
      </c>
      <c r="Q4055">
        <v>0.29217919999999997</v>
      </c>
      <c r="R4055">
        <v>7.7225269999999999E-4</v>
      </c>
      <c r="S4055">
        <v>3.208221</v>
      </c>
      <c r="T4055">
        <v>-0.2341309</v>
      </c>
      <c r="U4055">
        <v>3.7475590000000003E-2</v>
      </c>
      <c r="V4055">
        <v>1.1184459999999999E-3</v>
      </c>
      <c r="W4055">
        <v>0.30625609999999998</v>
      </c>
      <c r="X4055">
        <v>0.95194849999999998</v>
      </c>
      <c r="Y4055">
        <v>-8.7725800000000003E-3</v>
      </c>
      <c r="Z4055">
        <v>2.1674969999999999E-4</v>
      </c>
      <c r="AA4055">
        <v>0.99996149999999995</v>
      </c>
      <c r="AB4055">
        <v>36</v>
      </c>
      <c r="AC4055">
        <v>14.967499999999999</v>
      </c>
      <c r="AD4055">
        <v>-1.1117697905320001</v>
      </c>
      <c r="AE4055">
        <v>0.17650000000000399</v>
      </c>
      <c r="AF4055">
        <v>-0.13259092350382701</v>
      </c>
      <c r="AG4055">
        <v>-1.1117697905320001</v>
      </c>
      <c r="AH4055">
        <v>14.8858278450163</v>
      </c>
      <c r="AI4055">
        <v>94.271120094981598</v>
      </c>
      <c r="AJ4055">
        <v>90.510331000692403</v>
      </c>
      <c r="AK4055">
        <v>14.927876039530799</v>
      </c>
      <c r="AL4055">
        <v>72.166250111100396</v>
      </c>
      <c r="AM4055">
        <v>89.932683116862805</v>
      </c>
      <c r="AN4055">
        <v>0.99999999818045704</v>
      </c>
    </row>
    <row r="4056" spans="1:40" x14ac:dyDescent="0.25">
      <c r="A4056" t="str">
        <f>"20190304164931959"</f>
        <v>20190304164931959</v>
      </c>
      <c r="B4056" t="str">
        <f>"1551689371950024"</f>
        <v>1551689371950024</v>
      </c>
      <c r="C4056" t="s">
        <v>40</v>
      </c>
      <c r="D4056">
        <v>4.3039560000000003</v>
      </c>
      <c r="E4056">
        <v>0.50953249999999894</v>
      </c>
      <c r="F4056" t="s">
        <v>46</v>
      </c>
      <c r="G4056">
        <v>-248.40199999999999</v>
      </c>
      <c r="H4056" s="1">
        <v>2.896503E-6</v>
      </c>
      <c r="I4056">
        <v>215.48140000000001</v>
      </c>
      <c r="J4056">
        <v>-263.74779999999998</v>
      </c>
      <c r="K4056">
        <v>1.1117999999999999</v>
      </c>
      <c r="L4056">
        <v>215.3177</v>
      </c>
      <c r="M4056">
        <v>0.99988449999999995</v>
      </c>
      <c r="N4056">
        <v>-1.4745950000000001E-2</v>
      </c>
      <c r="O4056">
        <v>3.6723559999999999E-3</v>
      </c>
      <c r="P4056">
        <v>0.95615720000000004</v>
      </c>
      <c r="Q4056">
        <v>0.29285339999999999</v>
      </c>
      <c r="R4056">
        <v>6.4500050000000002E-4</v>
      </c>
      <c r="S4056">
        <v>3.2068789999999998</v>
      </c>
      <c r="T4056">
        <v>-0.229184</v>
      </c>
      <c r="U4056">
        <v>3.4011840000000002E-2</v>
      </c>
      <c r="V4056">
        <v>1.9804380000000002E-3</v>
      </c>
      <c r="W4056">
        <v>0.30692829999999999</v>
      </c>
      <c r="X4056">
        <v>0.95173059999999998</v>
      </c>
      <c r="Y4056">
        <v>-6.917294E-3</v>
      </c>
      <c r="Z4056" s="1">
        <v>8.9931639999999994E-5</v>
      </c>
      <c r="AA4056">
        <v>0.99997610000000003</v>
      </c>
      <c r="AB4056">
        <v>36</v>
      </c>
      <c r="AC4056">
        <v>15.345799999999899</v>
      </c>
      <c r="AD4056">
        <v>-1.111797103497</v>
      </c>
      <c r="AE4056">
        <v>0.16370000000000501</v>
      </c>
      <c r="AF4056">
        <v>-0.106777122106866</v>
      </c>
      <c r="AG4056">
        <v>-1.111797103497</v>
      </c>
      <c r="AH4056">
        <v>15.2661755330539</v>
      </c>
      <c r="AI4056">
        <v>94.165252011440202</v>
      </c>
      <c r="AJ4056">
        <v>90.400740753345701</v>
      </c>
      <c r="AK4056">
        <v>15.306979112782599</v>
      </c>
      <c r="AL4056">
        <v>72.125787622738898</v>
      </c>
      <c r="AM4056">
        <v>89.880774480499795</v>
      </c>
      <c r="AN4056">
        <v>1.0000000192259599</v>
      </c>
    </row>
    <row r="4057" spans="1:40" x14ac:dyDescent="0.25">
      <c r="A4057" t="str">
        <f>"20190304164931975"</f>
        <v>20190304164931975</v>
      </c>
      <c r="B4057" t="str">
        <f>"1551689371969544"</f>
        <v>1551689371969544</v>
      </c>
      <c r="C4057" t="s">
        <v>40</v>
      </c>
      <c r="D4057">
        <v>4.3441140000000003</v>
      </c>
      <c r="E4057">
        <v>0.5094282</v>
      </c>
      <c r="F4057" t="s">
        <v>46</v>
      </c>
      <c r="G4057">
        <v>-247.8871</v>
      </c>
      <c r="H4057" s="1">
        <v>2.6228020000000002E-6</v>
      </c>
      <c r="I4057">
        <v>215.47450000000001</v>
      </c>
      <c r="J4057">
        <v>-263.5043</v>
      </c>
      <c r="K4057">
        <v>1.111828</v>
      </c>
      <c r="L4057">
        <v>215.3194</v>
      </c>
      <c r="M4057">
        <v>0.99988089999999996</v>
      </c>
      <c r="N4057">
        <v>-1.474372E-2</v>
      </c>
      <c r="O4057">
        <v>4.5930479999999997E-3</v>
      </c>
      <c r="P4057">
        <v>0.9558236</v>
      </c>
      <c r="Q4057">
        <v>0.29394120000000001</v>
      </c>
      <c r="R4057">
        <v>-3.6206839999999998E-4</v>
      </c>
      <c r="S4057">
        <v>3.2064210000000002</v>
      </c>
      <c r="T4057">
        <v>-0.22476180000000001</v>
      </c>
      <c r="U4057">
        <v>3.1692499999999998E-2</v>
      </c>
      <c r="V4057">
        <v>3.8470039999999998E-3</v>
      </c>
      <c r="W4057">
        <v>0.30801410000000001</v>
      </c>
      <c r="X4057">
        <v>0.95137400000000005</v>
      </c>
      <c r="Y4057">
        <v>-5.2815010000000001E-3</v>
      </c>
      <c r="Z4057" s="1">
        <v>-3.0026350000000001E-5</v>
      </c>
      <c r="AA4057">
        <v>0.99998609999999999</v>
      </c>
      <c r="AB4057">
        <v>36</v>
      </c>
      <c r="AC4057">
        <v>15.617199999999899</v>
      </c>
      <c r="AD4057">
        <v>-1.111825377198</v>
      </c>
      <c r="AE4057">
        <v>0.15510000000000401</v>
      </c>
      <c r="AF4057">
        <v>-8.2939700966582597E-2</v>
      </c>
      <c r="AG4057">
        <v>-1.111825377198</v>
      </c>
      <c r="AH4057">
        <v>15.538998336063599</v>
      </c>
      <c r="AI4057">
        <v>94.092517504918405</v>
      </c>
      <c r="AJ4057">
        <v>90.305814415434497</v>
      </c>
      <c r="AK4057">
        <v>15.5789442502233</v>
      </c>
      <c r="AL4057">
        <v>72.0604081322506</v>
      </c>
      <c r="AM4057">
        <v>89.768318356777101</v>
      </c>
      <c r="AN4057">
        <v>0.99999998655729205</v>
      </c>
    </row>
    <row r="4058" spans="1:40" x14ac:dyDescent="0.25">
      <c r="A4058" t="str">
        <f>"20190304164931991"</f>
        <v>20190304164931991</v>
      </c>
      <c r="B4058" t="str">
        <f>"1551689371980280"</f>
        <v>1551689371980280</v>
      </c>
      <c r="C4058" t="s">
        <v>40</v>
      </c>
      <c r="D4058">
        <v>4.3243260000000001</v>
      </c>
      <c r="E4058">
        <v>0.50938809999999901</v>
      </c>
      <c r="F4058" t="s">
        <v>41</v>
      </c>
      <c r="G4058">
        <v>-262.45190000000002</v>
      </c>
      <c r="H4058">
        <v>1.0397829999999999</v>
      </c>
      <c r="I4058">
        <v>215.3287</v>
      </c>
      <c r="J4058">
        <v>-263.2432</v>
      </c>
      <c r="K4058">
        <v>1.1118479999999999</v>
      </c>
      <c r="L4058">
        <v>215.32149999999999</v>
      </c>
      <c r="M4058">
        <v>0.99987579999999998</v>
      </c>
      <c r="N4058">
        <v>-1.4741229999999999E-2</v>
      </c>
      <c r="O4058">
        <v>5.5919409999999996E-3</v>
      </c>
      <c r="P4058">
        <v>0.9556732</v>
      </c>
      <c r="Q4058">
        <v>0.29442960000000001</v>
      </c>
      <c r="R4058">
        <v>-7.2034449999999999E-4</v>
      </c>
      <c r="S4058">
        <v>3.2061769999999998</v>
      </c>
      <c r="T4058">
        <v>-0.2195165</v>
      </c>
      <c r="U4058">
        <v>2.8488159999999998E-2</v>
      </c>
      <c r="V4058">
        <v>5.1444619999999998E-3</v>
      </c>
      <c r="W4058">
        <v>0.30850179999999999</v>
      </c>
      <c r="X4058">
        <v>0.95120979999999999</v>
      </c>
      <c r="Y4058">
        <v>-3.2912739999999998E-3</v>
      </c>
      <c r="Z4058">
        <v>-1.6321040000000001E-4</v>
      </c>
      <c r="AA4058">
        <v>0.99999459999999996</v>
      </c>
      <c r="AB4058">
        <v>36</v>
      </c>
      <c r="AC4058">
        <v>0.79129999999997802</v>
      </c>
      <c r="AD4058">
        <v>-7.2065000000000004E-2</v>
      </c>
      <c r="AE4058">
        <v>7.2000000000116398E-3</v>
      </c>
      <c r="AF4058">
        <v>-2.7516833564113601E-3</v>
      </c>
      <c r="AG4058">
        <v>-7.2065000000000004E-2</v>
      </c>
      <c r="AH4058">
        <v>0.78481910461652904</v>
      </c>
      <c r="AI4058">
        <v>95.246366680317394</v>
      </c>
      <c r="AJ4058">
        <v>90.200886033378595</v>
      </c>
      <c r="AK4058">
        <v>0.78812560100366202</v>
      </c>
      <c r="AL4058">
        <v>72.031033980700201</v>
      </c>
      <c r="AM4058">
        <v>89.690128206589307</v>
      </c>
      <c r="AN4058">
        <v>0.99999995485427295</v>
      </c>
    </row>
    <row r="4059" spans="1:40" x14ac:dyDescent="0.25">
      <c r="A4059" t="str">
        <f>"20190304164932005"</f>
        <v>20190304164932005</v>
      </c>
      <c r="B4059" t="str">
        <f>"1551689371999800"</f>
        <v>1551689371999800</v>
      </c>
      <c r="C4059" t="s">
        <v>40</v>
      </c>
      <c r="D4059">
        <v>4.347016</v>
      </c>
      <c r="E4059">
        <v>0.50893359999999999</v>
      </c>
      <c r="F4059" t="s">
        <v>46</v>
      </c>
      <c r="G4059">
        <v>-246.7835</v>
      </c>
      <c r="H4059" s="1">
        <v>2.0360539999999999E-6</v>
      </c>
      <c r="I4059">
        <v>215.46260000000001</v>
      </c>
      <c r="J4059">
        <v>-263.02499999999998</v>
      </c>
      <c r="K4059">
        <v>1.1118629999999901</v>
      </c>
      <c r="L4059">
        <v>215.3235</v>
      </c>
      <c r="M4059">
        <v>0.99987079999999995</v>
      </c>
      <c r="N4059">
        <v>-1.4739189999999999E-2</v>
      </c>
      <c r="O4059">
        <v>6.4317860000000001E-3</v>
      </c>
      <c r="P4059">
        <v>0.95556620000000003</v>
      </c>
      <c r="Q4059">
        <v>0.29477500000000001</v>
      </c>
      <c r="R4059">
        <v>-1.15018E-3</v>
      </c>
      <c r="S4059">
        <v>3.205902</v>
      </c>
      <c r="T4059">
        <v>-0.21655740000000001</v>
      </c>
      <c r="U4059">
        <v>2.7481080000000001E-2</v>
      </c>
      <c r="V4059">
        <v>6.3666900000000004E-3</v>
      </c>
      <c r="W4059">
        <v>0.30884729999999999</v>
      </c>
      <c r="X4059">
        <v>0.95109030000000006</v>
      </c>
      <c r="Y4059">
        <v>-2.1422939999999999E-3</v>
      </c>
      <c r="Z4059">
        <v>-2.511546E-4</v>
      </c>
      <c r="AA4059">
        <v>0.99999769999999999</v>
      </c>
      <c r="AB4059">
        <v>36</v>
      </c>
      <c r="AC4059">
        <v>16.241499999999899</v>
      </c>
      <c r="AD4059">
        <v>-1.11186096394599</v>
      </c>
      <c r="AE4059">
        <v>0.13910000000001299</v>
      </c>
      <c r="AF4059">
        <v>-3.4462436738236998E-2</v>
      </c>
      <c r="AG4059">
        <v>-1.11186096394599</v>
      </c>
      <c r="AH4059">
        <v>16.1663009190965</v>
      </c>
      <c r="AI4059">
        <v>93.934396326767299</v>
      </c>
      <c r="AJ4059">
        <v>90.122139826279096</v>
      </c>
      <c r="AK4059">
        <v>16.204527388031799</v>
      </c>
      <c r="AL4059">
        <v>72.010222348914198</v>
      </c>
      <c r="AM4059">
        <v>89.616462266686696</v>
      </c>
      <c r="AN4059">
        <v>0.99999997410646702</v>
      </c>
    </row>
    <row r="4060" spans="1:40" x14ac:dyDescent="0.25">
      <c r="A4060" t="str">
        <f>"20190304164932019"</f>
        <v>20190304164932019</v>
      </c>
      <c r="B4060" t="str">
        <f>"1551689372009560"</f>
        <v>1551689372009560</v>
      </c>
      <c r="C4060" t="s">
        <v>40</v>
      </c>
      <c r="D4060">
        <v>4.3465350000000003</v>
      </c>
      <c r="E4060">
        <v>0.50893359999999999</v>
      </c>
      <c r="F4060" t="s">
        <v>46</v>
      </c>
      <c r="G4060">
        <v>-246.49709999999999</v>
      </c>
      <c r="H4060" s="1">
        <v>1.88293E-6</v>
      </c>
      <c r="I4060">
        <v>215.4795</v>
      </c>
      <c r="J4060">
        <v>-262.80369999999999</v>
      </c>
      <c r="K4060">
        <v>1.1118760000000001</v>
      </c>
      <c r="L4060">
        <v>215.32570000000001</v>
      </c>
      <c r="M4060">
        <v>0.9998648</v>
      </c>
      <c r="N4060">
        <v>-1.47371E-2</v>
      </c>
      <c r="O4060">
        <v>7.2863880000000004E-3</v>
      </c>
      <c r="P4060">
        <v>0.95530890000000002</v>
      </c>
      <c r="Q4060">
        <v>0.29559340000000001</v>
      </c>
      <c r="R4060">
        <v>-3.0907320000000001E-3</v>
      </c>
      <c r="S4060">
        <v>3.2060849999999999</v>
      </c>
      <c r="T4060">
        <v>-0.21567990000000001</v>
      </c>
      <c r="U4060">
        <v>3.0258179999999999E-2</v>
      </c>
      <c r="V4060">
        <v>9.1120130000000004E-3</v>
      </c>
      <c r="W4060">
        <v>0.30966850000000001</v>
      </c>
      <c r="X4060">
        <v>0.95080089999999995</v>
      </c>
      <c r="Y4060">
        <v>-2.1543109999999999E-3</v>
      </c>
      <c r="Z4060">
        <v>-2.9403159999999998E-4</v>
      </c>
      <c r="AA4060">
        <v>0.99999760000000004</v>
      </c>
      <c r="AB4060">
        <v>36</v>
      </c>
      <c r="AC4060">
        <v>16.3066</v>
      </c>
      <c r="AD4060">
        <v>-1.1118741170699999</v>
      </c>
      <c r="AE4060">
        <v>0.153799999999989</v>
      </c>
      <c r="AF4060">
        <v>-3.4804987601608502E-2</v>
      </c>
      <c r="AG4060">
        <v>-1.1118741170699999</v>
      </c>
      <c r="AH4060">
        <v>16.231828420797399</v>
      </c>
      <c r="AI4060">
        <v>93.918608951901305</v>
      </c>
      <c r="AJ4060">
        <v>90.122855896922005</v>
      </c>
      <c r="AK4060">
        <v>16.269902560297599</v>
      </c>
      <c r="AL4060">
        <v>71.960745724275498</v>
      </c>
      <c r="AM4060">
        <v>89.450921948648698</v>
      </c>
      <c r="AN4060">
        <v>0.99999998005698498</v>
      </c>
    </row>
    <row r="4061" spans="1:40" x14ac:dyDescent="0.25">
      <c r="A4061" t="str">
        <f>"20190304164932035"</f>
        <v>20190304164932035</v>
      </c>
      <c r="B4061" t="str">
        <f>"1551689372030056"</f>
        <v>1551689372030056</v>
      </c>
      <c r="C4061" t="s">
        <v>40</v>
      </c>
      <c r="D4061">
        <v>4.3576860000000002</v>
      </c>
      <c r="E4061">
        <v>0.50572419999999996</v>
      </c>
      <c r="F4061" t="s">
        <v>46</v>
      </c>
      <c r="G4061">
        <v>-246.0598</v>
      </c>
      <c r="H4061" s="1">
        <v>1.6513040000000001E-6</v>
      </c>
      <c r="I4061">
        <v>215.4546</v>
      </c>
      <c r="J4061">
        <v>-262.54539999999997</v>
      </c>
      <c r="K4061">
        <v>1.1118870000000001</v>
      </c>
      <c r="L4061">
        <v>215.32849999999999</v>
      </c>
      <c r="M4061">
        <v>0.99985710000000005</v>
      </c>
      <c r="N4061">
        <v>-1.4734540000000001E-2</v>
      </c>
      <c r="O4061">
        <v>8.2868239999999999E-3</v>
      </c>
      <c r="P4061">
        <v>0.95526069999999996</v>
      </c>
      <c r="Q4061">
        <v>0.29574119999999998</v>
      </c>
      <c r="R4061">
        <v>-3.781773E-3</v>
      </c>
      <c r="S4061">
        <v>3.206299</v>
      </c>
      <c r="T4061">
        <v>-0.21291350000000001</v>
      </c>
      <c r="U4061">
        <v>2.4673460000000001E-2</v>
      </c>
      <c r="V4061">
        <v>1.0751149999999999E-2</v>
      </c>
      <c r="W4061">
        <v>0.30981769999999997</v>
      </c>
      <c r="X4061">
        <v>0.9507352</v>
      </c>
      <c r="Y4061">
        <v>5.8005329999999996E-4</v>
      </c>
      <c r="Z4061">
        <v>-4.5117440000000001E-4</v>
      </c>
      <c r="AA4061">
        <v>0.99999970000000005</v>
      </c>
      <c r="AB4061">
        <v>36</v>
      </c>
      <c r="AC4061">
        <v>16.485599999999899</v>
      </c>
      <c r="AD4061">
        <v>-1.1118853486960001</v>
      </c>
      <c r="AE4061">
        <v>0.12610000000000801</v>
      </c>
      <c r="AF4061">
        <v>1.04847371427158E-2</v>
      </c>
      <c r="AG4061">
        <v>-1.1118853486960001</v>
      </c>
      <c r="AH4061">
        <v>16.411428617950701</v>
      </c>
      <c r="AI4061">
        <v>93.875903794487797</v>
      </c>
      <c r="AJ4061">
        <v>89.963395562943504</v>
      </c>
      <c r="AK4061">
        <v>16.449054326630701</v>
      </c>
      <c r="AL4061">
        <v>71.951755546342994</v>
      </c>
      <c r="AM4061">
        <v>89.352112696771698</v>
      </c>
      <c r="AN4061">
        <v>1.0000000074893201</v>
      </c>
    </row>
    <row r="4062" spans="1:40" x14ac:dyDescent="0.25">
      <c r="A4062" t="str">
        <f>"20190304164932053"</f>
        <v>20190304164932053</v>
      </c>
      <c r="B4062" t="str">
        <f>"1551689372039817"</f>
        <v>1551689372039817</v>
      </c>
      <c r="C4062" t="s">
        <v>40</v>
      </c>
      <c r="D4062">
        <v>4.3596629999999896</v>
      </c>
      <c r="E4062">
        <v>0.50561210000000001</v>
      </c>
      <c r="F4062" t="s">
        <v>41</v>
      </c>
      <c r="G4062">
        <v>-261.50810000000001</v>
      </c>
      <c r="H4062">
        <v>1.0356529999999999</v>
      </c>
      <c r="I4062">
        <v>215.34479999999999</v>
      </c>
      <c r="J4062">
        <v>-262.26139999999998</v>
      </c>
      <c r="K4062">
        <v>1.111893</v>
      </c>
      <c r="L4062">
        <v>215.33189999999999</v>
      </c>
      <c r="M4062">
        <v>0.9998475</v>
      </c>
      <c r="N4062">
        <v>-1.473169E-2</v>
      </c>
      <c r="O4062">
        <v>9.3887369999999994E-3</v>
      </c>
      <c r="P4062">
        <v>0.95486680000000002</v>
      </c>
      <c r="Q4062">
        <v>0.29697089999999998</v>
      </c>
      <c r="R4062">
        <v>-6.1639140000000004E-3</v>
      </c>
      <c r="S4062">
        <v>3.2138369999999998</v>
      </c>
      <c r="T4062">
        <v>-0.23629649999999999</v>
      </c>
      <c r="U4062">
        <v>5.1193240000000001E-2</v>
      </c>
      <c r="V4062">
        <v>1.417296E-2</v>
      </c>
      <c r="W4062">
        <v>0.31104929999999997</v>
      </c>
      <c r="X4062">
        <v>0.95028809999999997</v>
      </c>
      <c r="Y4062">
        <v>-6.532749E-3</v>
      </c>
      <c r="Z4062">
        <v>-2.63121E-4</v>
      </c>
      <c r="AA4062">
        <v>0.99997860000000005</v>
      </c>
      <c r="AB4062">
        <v>35</v>
      </c>
      <c r="AC4062">
        <v>0.753299999999967</v>
      </c>
      <c r="AD4062">
        <v>-7.6239999999999794E-2</v>
      </c>
      <c r="AE4062">
        <v>1.29000000000019E-2</v>
      </c>
      <c r="AF4062">
        <v>-5.7670736569555101E-3</v>
      </c>
      <c r="AG4062">
        <v>-7.6239999999999794E-2</v>
      </c>
      <c r="AH4062">
        <v>0.74575137995602803</v>
      </c>
      <c r="AI4062">
        <v>95.837035854229697</v>
      </c>
      <c r="AJ4062">
        <v>90.443073124531907</v>
      </c>
      <c r="AK4062">
        <v>0.74966053480551098</v>
      </c>
      <c r="AL4062">
        <v>71.877522566146098</v>
      </c>
      <c r="AM4062">
        <v>89.145532193123103</v>
      </c>
      <c r="AN4062">
        <v>1.0000000064136301</v>
      </c>
    </row>
    <row r="4063" spans="1:40" x14ac:dyDescent="0.25">
      <c r="A4063" t="str">
        <f>"20190304164932078"</f>
        <v>20190304164932078</v>
      </c>
      <c r="B4063" t="str">
        <f>"1551689372070072"</f>
        <v>1551689372070072</v>
      </c>
      <c r="C4063" t="s">
        <v>40</v>
      </c>
      <c r="D4063">
        <v>4.3834220000000004</v>
      </c>
      <c r="E4063">
        <v>0.50525329999999902</v>
      </c>
      <c r="F4063" t="s">
        <v>46</v>
      </c>
      <c r="G4063">
        <v>-246.89269999999999</v>
      </c>
      <c r="H4063" s="1">
        <v>2.0904610000000001E-6</v>
      </c>
      <c r="I4063">
        <v>215.5471</v>
      </c>
      <c r="J4063">
        <v>-261.88</v>
      </c>
      <c r="K4063">
        <v>1.1119049999999999</v>
      </c>
      <c r="L4063">
        <v>215.33699999999999</v>
      </c>
      <c r="M4063">
        <v>0.99983239999999995</v>
      </c>
      <c r="N4063">
        <v>-1.4727799999999999E-2</v>
      </c>
      <c r="O4063">
        <v>1.086847E-2</v>
      </c>
      <c r="P4063">
        <v>0.95431600000000005</v>
      </c>
      <c r="Q4063">
        <v>0.29866859999999901</v>
      </c>
      <c r="R4063">
        <v>-8.8386460000000003E-3</v>
      </c>
      <c r="S4063">
        <v>3.2144170000000001</v>
      </c>
      <c r="T4063">
        <v>-0.23255519999999999</v>
      </c>
      <c r="U4063">
        <v>4.501343E-2</v>
      </c>
      <c r="V4063">
        <v>1.8244070000000001E-2</v>
      </c>
      <c r="W4063">
        <v>0.31274689999999999</v>
      </c>
      <c r="X4063">
        <v>0.94966130000000004</v>
      </c>
      <c r="Y4063">
        <v>-3.1409509999999999E-3</v>
      </c>
      <c r="Z4063">
        <v>-4.8867279999999995E-4</v>
      </c>
      <c r="AA4063">
        <v>0.99999490000000002</v>
      </c>
      <c r="AB4063">
        <v>35</v>
      </c>
      <c r="AC4063">
        <v>14.987299999999999</v>
      </c>
      <c r="AD4063">
        <v>-1.1119029095389901</v>
      </c>
      <c r="AE4063">
        <v>0.210099999999982</v>
      </c>
      <c r="AF4063">
        <v>-4.6922670658313702E-2</v>
      </c>
      <c r="AG4063">
        <v>-1.1119029095389901</v>
      </c>
      <c r="AH4063">
        <v>14.906666538954299</v>
      </c>
      <c r="AI4063">
        <v>94.265827696582804</v>
      </c>
      <c r="AJ4063">
        <v>90.1803530055316</v>
      </c>
      <c r="AK4063">
        <v>14.948151628908599</v>
      </c>
      <c r="AL4063">
        <v>71.775150849960298</v>
      </c>
      <c r="AM4063">
        <v>88.899418514655096</v>
      </c>
      <c r="AN4063">
        <v>1.0000000271337299</v>
      </c>
    </row>
    <row r="4064" spans="1:40" x14ac:dyDescent="0.25">
      <c r="A4064" t="str">
        <f>"20190304164932098"</f>
        <v>20190304164932098</v>
      </c>
      <c r="B4064" t="str">
        <f>"1551689372089592"</f>
        <v>1551689372089592</v>
      </c>
      <c r="C4064" t="s">
        <v>40</v>
      </c>
      <c r="D4064">
        <v>4.3522879999999997</v>
      </c>
      <c r="E4064">
        <v>0.50504259999999901</v>
      </c>
      <c r="F4064" t="s">
        <v>41</v>
      </c>
      <c r="G4064">
        <v>-260.87310000000002</v>
      </c>
      <c r="H4064">
        <v>1.0403439999999999</v>
      </c>
      <c r="I4064">
        <v>215.3492</v>
      </c>
      <c r="J4064">
        <v>-261.56</v>
      </c>
      <c r="K4064">
        <v>1.1119129999999999</v>
      </c>
      <c r="L4064">
        <v>215.3416</v>
      </c>
      <c r="M4064">
        <v>0.9998184</v>
      </c>
      <c r="N4064">
        <v>-1.472447E-2</v>
      </c>
      <c r="O4064">
        <v>1.21058E-2</v>
      </c>
      <c r="P4064">
        <v>0.95382060000000002</v>
      </c>
      <c r="Q4064">
        <v>0.30013610000000002</v>
      </c>
      <c r="R4064">
        <v>-1.203506E-2</v>
      </c>
      <c r="S4064">
        <v>3.215576</v>
      </c>
      <c r="T4064">
        <v>-0.22877739999999999</v>
      </c>
      <c r="U4064">
        <v>3.9978029999999998E-2</v>
      </c>
      <c r="V4064">
        <v>2.260827E-2</v>
      </c>
      <c r="W4064">
        <v>0.3142163</v>
      </c>
      <c r="X4064">
        <v>0.94908219999999999</v>
      </c>
      <c r="Y4064">
        <v>-3.4276139999999999E-4</v>
      </c>
      <c r="Z4064">
        <v>-6.6734729999999999E-4</v>
      </c>
      <c r="AA4064">
        <v>0.99999970000000005</v>
      </c>
      <c r="AB4064">
        <v>35</v>
      </c>
      <c r="AC4064">
        <v>0.68689999999997997</v>
      </c>
      <c r="AD4064">
        <v>-7.1568999999999702E-2</v>
      </c>
      <c r="AE4064">
        <v>7.5999999999964898E-3</v>
      </c>
      <c r="AF4064">
        <v>7.0923346139285196E-4</v>
      </c>
      <c r="AG4064">
        <v>-7.1568999999999702E-2</v>
      </c>
      <c r="AH4064">
        <v>0.67956532872705799</v>
      </c>
      <c r="AI4064">
        <v>96.0119886220307</v>
      </c>
      <c r="AJ4064">
        <v>89.940202850917203</v>
      </c>
      <c r="AK4064">
        <v>0.68332397936924305</v>
      </c>
      <c r="AL4064">
        <v>71.686491342413703</v>
      </c>
      <c r="AM4064">
        <v>88.635404267656398</v>
      </c>
      <c r="AN4064">
        <v>1.0000000197074601</v>
      </c>
    </row>
    <row r="4065" spans="1:40" x14ac:dyDescent="0.25">
      <c r="A4065" t="str">
        <f>"20190304164932119"</f>
        <v>20190304164932119</v>
      </c>
      <c r="B4065" t="str">
        <f>"1551689372110088"</f>
        <v>1551689372110088</v>
      </c>
      <c r="C4065" t="s">
        <v>40</v>
      </c>
      <c r="D4065">
        <v>4.5175530000000004</v>
      </c>
      <c r="E4065">
        <v>0.52183029999999997</v>
      </c>
      <c r="F4065" t="s">
        <v>41</v>
      </c>
      <c r="G4065">
        <v>-260.5573</v>
      </c>
      <c r="H4065">
        <v>1.0414870000000001</v>
      </c>
      <c r="I4065">
        <v>215.35159999999999</v>
      </c>
      <c r="J4065">
        <v>-261.21839999999997</v>
      </c>
      <c r="K4065">
        <v>1.111918</v>
      </c>
      <c r="L4065">
        <v>215.34710000000001</v>
      </c>
      <c r="M4065">
        <v>0.99980159999999996</v>
      </c>
      <c r="N4065">
        <v>-1.472097E-2</v>
      </c>
      <c r="O4065">
        <v>1.3421819999999999E-2</v>
      </c>
      <c r="P4065">
        <v>0.95325490000000002</v>
      </c>
      <c r="Q4065">
        <v>0.3017765</v>
      </c>
      <c r="R4065">
        <v>-1.53722999999999E-2</v>
      </c>
      <c r="S4065">
        <v>3.2167659999999998</v>
      </c>
      <c r="T4065">
        <v>-0.22600020000000001</v>
      </c>
      <c r="U4065">
        <v>3.2089230000000003E-2</v>
      </c>
      <c r="V4065">
        <v>2.7187599999999999E-2</v>
      </c>
      <c r="W4065">
        <v>0.31585809999999997</v>
      </c>
      <c r="X4065">
        <v>0.94841679999999995</v>
      </c>
      <c r="Y4065">
        <v>3.4175289999999999E-3</v>
      </c>
      <c r="Z4065">
        <v>-8.8944789999999903E-4</v>
      </c>
      <c r="AA4065">
        <v>0.99999369999999999</v>
      </c>
      <c r="AB4065">
        <v>35</v>
      </c>
      <c r="AC4065">
        <v>0.66109999999997604</v>
      </c>
      <c r="AD4065">
        <v>-7.0430999999999896E-2</v>
      </c>
      <c r="AE4065">
        <v>4.4999999999788499E-3</v>
      </c>
      <c r="AF4065">
        <v>4.3254406253938598E-3</v>
      </c>
      <c r="AG4065">
        <v>-7.0430999999999896E-2</v>
      </c>
      <c r="AH4065">
        <v>0.65368193801502295</v>
      </c>
      <c r="AI4065">
        <v>96.149479912304699</v>
      </c>
      <c r="AJ4065">
        <v>89.620876972483302</v>
      </c>
      <c r="AK4065">
        <v>0.65747951396578097</v>
      </c>
      <c r="AL4065">
        <v>71.587375073402299</v>
      </c>
      <c r="AM4065">
        <v>88.357991705385999</v>
      </c>
      <c r="AN4065">
        <v>0.99999996572580396</v>
      </c>
    </row>
    <row r="4066" spans="1:40" x14ac:dyDescent="0.25">
      <c r="A4066" t="str">
        <f>"20190304164932136"</f>
        <v>20190304164932136</v>
      </c>
      <c r="B4066" t="str">
        <f>"1551689372129608"</f>
        <v>1551689372129608</v>
      </c>
      <c r="C4066" t="s">
        <v>40</v>
      </c>
      <c r="D4066">
        <v>4.3029570000000001</v>
      </c>
      <c r="E4066">
        <v>0.53462270000000001</v>
      </c>
      <c r="F4066" t="s">
        <v>41</v>
      </c>
      <c r="G4066">
        <v>-260.24509999999998</v>
      </c>
      <c r="H4066">
        <v>1.042616</v>
      </c>
      <c r="I4066">
        <v>215.31280000000001</v>
      </c>
      <c r="J4066">
        <v>-260.95530000000002</v>
      </c>
      <c r="K4066">
        <v>1.11192</v>
      </c>
      <c r="L4066">
        <v>215.35149999999999</v>
      </c>
      <c r="M4066">
        <v>0.99978769999999995</v>
      </c>
      <c r="N4066">
        <v>-1.4718530000000001E-2</v>
      </c>
      <c r="O4066">
        <v>1.442834E-2</v>
      </c>
      <c r="P4066">
        <v>0.95313510000000001</v>
      </c>
      <c r="Q4066">
        <v>0.30207529999999999</v>
      </c>
      <c r="R4066">
        <v>-1.6866180000000001E-2</v>
      </c>
      <c r="S4066">
        <v>3.2179570000000002</v>
      </c>
      <c r="T4066">
        <v>-0.22939229999999999</v>
      </c>
      <c r="U4066">
        <v>-0.1119995</v>
      </c>
      <c r="V4066">
        <v>2.9640349999999999E-2</v>
      </c>
      <c r="W4066">
        <v>0.31615939999999998</v>
      </c>
      <c r="X4066">
        <v>0.94824299999999995</v>
      </c>
      <c r="Y4066">
        <v>4.902799E-2</v>
      </c>
      <c r="Z4066">
        <v>-2.9210909999999998E-3</v>
      </c>
      <c r="AA4066">
        <v>0.99879309999999999</v>
      </c>
      <c r="AB4066">
        <v>35</v>
      </c>
      <c r="AC4066">
        <v>0.71020000000004202</v>
      </c>
      <c r="AD4066">
        <v>-6.9304000000000004E-2</v>
      </c>
      <c r="AE4066">
        <v>-3.8699999999977301E-2</v>
      </c>
      <c r="AF4066">
        <v>4.8483762234399402E-2</v>
      </c>
      <c r="AG4066">
        <v>-6.9304000000000004E-2</v>
      </c>
      <c r="AH4066">
        <v>0.70289406067662497</v>
      </c>
      <c r="AI4066">
        <v>95.617790128535304</v>
      </c>
      <c r="AJ4066">
        <v>86.0541396141885</v>
      </c>
      <c r="AK4066">
        <v>0.70796453311650898</v>
      </c>
      <c r="AL4066">
        <v>71.569181085927298</v>
      </c>
      <c r="AM4066">
        <v>88.209621192447301</v>
      </c>
      <c r="AN4066">
        <v>1.0000000518027301</v>
      </c>
    </row>
    <row r="4067" spans="1:40" x14ac:dyDescent="0.25">
      <c r="A4067" t="str">
        <f>"20190304164932150"</f>
        <v>20190304164932150</v>
      </c>
      <c r="B4067" t="str">
        <f>"1551689372140344"</f>
        <v>1551689372140344</v>
      </c>
      <c r="C4067" t="s">
        <v>40</v>
      </c>
      <c r="D4067">
        <v>4.3354229999999996</v>
      </c>
      <c r="E4067">
        <v>0.53750089999999995</v>
      </c>
      <c r="F4067" t="s">
        <v>41</v>
      </c>
      <c r="G4067">
        <v>-259.9316</v>
      </c>
      <c r="H4067">
        <v>1.0389790000000001</v>
      </c>
      <c r="I4067">
        <v>215.2816</v>
      </c>
      <c r="J4067">
        <v>-260.73840000000001</v>
      </c>
      <c r="K4067">
        <v>1.1119159999999999</v>
      </c>
      <c r="L4067">
        <v>215.3554</v>
      </c>
      <c r="M4067">
        <v>0.99977559999999999</v>
      </c>
      <c r="N4067">
        <v>-1.4716129999999999E-2</v>
      </c>
      <c r="O4067">
        <v>1.524796E-2</v>
      </c>
      <c r="P4067">
        <v>0.9529533</v>
      </c>
      <c r="Q4067">
        <v>0.30257089999999998</v>
      </c>
      <c r="R4067">
        <v>-1.8204990000000001E-2</v>
      </c>
      <c r="S4067">
        <v>3.2163089999999999</v>
      </c>
      <c r="T4067">
        <v>-0.2292891</v>
      </c>
      <c r="U4067">
        <v>-0.219223</v>
      </c>
      <c r="V4067">
        <v>3.1761089999999999E-2</v>
      </c>
      <c r="W4067">
        <v>0.31665559999999998</v>
      </c>
      <c r="X4067">
        <v>0.94800870000000004</v>
      </c>
      <c r="Y4067">
        <v>8.2931119999999997E-2</v>
      </c>
      <c r="Z4067">
        <v>-4.4213890000000004E-3</v>
      </c>
      <c r="AA4067">
        <v>0.99654549999999997</v>
      </c>
      <c r="AB4067">
        <v>35</v>
      </c>
      <c r="AC4067">
        <v>0.80680000000000895</v>
      </c>
      <c r="AD4067">
        <v>-7.2936999999999794E-2</v>
      </c>
      <c r="AE4067">
        <v>-7.3800000000005597E-2</v>
      </c>
      <c r="AF4067">
        <v>8.5402626902317202E-2</v>
      </c>
      <c r="AG4067">
        <v>-7.2936999999999794E-2</v>
      </c>
      <c r="AH4067">
        <v>0.799104138634396</v>
      </c>
      <c r="AI4067">
        <v>95.185764947258804</v>
      </c>
      <c r="AJ4067">
        <v>83.899785172252393</v>
      </c>
      <c r="AK4067">
        <v>0.80695776781281203</v>
      </c>
      <c r="AL4067">
        <v>71.539210474702998</v>
      </c>
      <c r="AM4067">
        <v>88.081139972760596</v>
      </c>
      <c r="AN4067">
        <v>1.0000000155625099</v>
      </c>
    </row>
    <row r="4068" spans="1:40" x14ac:dyDescent="0.25">
      <c r="A4068" t="str">
        <f>"20190304164932166"</f>
        <v>20190304164932166</v>
      </c>
      <c r="B4068" t="str">
        <f>"1551689372159868"</f>
        <v>1551689372159868</v>
      </c>
      <c r="C4068" t="s">
        <v>40</v>
      </c>
      <c r="D4068">
        <v>4.3331330000000001</v>
      </c>
      <c r="E4068">
        <v>0.54149219999999998</v>
      </c>
      <c r="F4068" t="s">
        <v>46</v>
      </c>
      <c r="G4068">
        <v>-244.91919999999999</v>
      </c>
      <c r="H4068" s="1">
        <v>1.1016519999999999E-6</v>
      </c>
      <c r="I4068">
        <v>214.14279999999999</v>
      </c>
      <c r="J4068">
        <v>-260.49509999999998</v>
      </c>
      <c r="K4068">
        <v>1.111904</v>
      </c>
      <c r="L4068">
        <v>215.36</v>
      </c>
      <c r="M4068">
        <v>0.99976129999999996</v>
      </c>
      <c r="N4068">
        <v>-1.4713250000000001E-2</v>
      </c>
      <c r="O4068">
        <v>1.6155300000000001E-2</v>
      </c>
      <c r="P4068">
        <v>0.95276309999999997</v>
      </c>
      <c r="Q4068">
        <v>0.30294690000000002</v>
      </c>
      <c r="R4068">
        <v>-2.1579890000000001E-2</v>
      </c>
      <c r="S4068">
        <v>3.215179</v>
      </c>
      <c r="T4068">
        <v>-0.22599079999999999</v>
      </c>
      <c r="U4068">
        <v>-0.24646000000000001</v>
      </c>
      <c r="V4068">
        <v>3.6004990000000001E-2</v>
      </c>
      <c r="W4068">
        <v>0.3170364</v>
      </c>
      <c r="X4068">
        <v>0.94772970000000001</v>
      </c>
      <c r="Y4068">
        <v>9.2231930000000004E-2</v>
      </c>
      <c r="Z4068">
        <v>-4.8087820000000002E-3</v>
      </c>
      <c r="AA4068">
        <v>0.99572590000000005</v>
      </c>
      <c r="AB4068">
        <v>35</v>
      </c>
      <c r="AC4068">
        <v>15.575899999999899</v>
      </c>
      <c r="AD4068">
        <v>-1.1119028983479999</v>
      </c>
      <c r="AE4068">
        <v>-1.2172000000000101</v>
      </c>
      <c r="AF4068">
        <v>1.4613001254872799</v>
      </c>
      <c r="AG4068">
        <v>-1.1119028983479999</v>
      </c>
      <c r="AH4068">
        <v>15.475814763125699</v>
      </c>
      <c r="AI4068">
        <v>94.0913761539028</v>
      </c>
      <c r="AJ4068">
        <v>84.605853185797301</v>
      </c>
      <c r="AK4068">
        <v>15.5843693710937</v>
      </c>
      <c r="AL4068">
        <v>71.516206953100195</v>
      </c>
      <c r="AM4068">
        <v>87.8243349871547</v>
      </c>
      <c r="AN4068">
        <v>1.0000000112459699</v>
      </c>
    </row>
    <row r="4069" spans="1:40" x14ac:dyDescent="0.25">
      <c r="A4069" t="str">
        <f>"20190304164932182"</f>
        <v>20190304164932182</v>
      </c>
      <c r="B4069" t="str">
        <f>"1551689372169625"</f>
        <v>1551689372169625</v>
      </c>
      <c r="C4069" t="s">
        <v>40</v>
      </c>
      <c r="D4069">
        <v>4.3215440000000003</v>
      </c>
      <c r="E4069">
        <v>0.54250279999999995</v>
      </c>
      <c r="F4069" t="s">
        <v>41</v>
      </c>
      <c r="G4069">
        <v>-259.60919999999999</v>
      </c>
      <c r="H4069">
        <v>1.049469</v>
      </c>
      <c r="I4069">
        <v>215.28020000000001</v>
      </c>
      <c r="J4069">
        <v>-260.24560000000002</v>
      </c>
      <c r="K4069">
        <v>1.1118870000000001</v>
      </c>
      <c r="L4069">
        <v>215.36490000000001</v>
      </c>
      <c r="M4069">
        <v>0.99974609999999997</v>
      </c>
      <c r="N4069">
        <v>-1.471017E-2</v>
      </c>
      <c r="O4069">
        <v>1.7067329999999999E-2</v>
      </c>
      <c r="P4069">
        <v>0.95267420000000003</v>
      </c>
      <c r="Q4069">
        <v>0.30317949999999999</v>
      </c>
      <c r="R4069">
        <v>-2.2233719999999998E-2</v>
      </c>
      <c r="S4069">
        <v>3.214264</v>
      </c>
      <c r="T4069">
        <v>-0.2266426</v>
      </c>
      <c r="U4069">
        <v>-0.2892151</v>
      </c>
      <c r="V4069">
        <v>3.7538929999999998E-2</v>
      </c>
      <c r="W4069">
        <v>0.31726749999999998</v>
      </c>
      <c r="X4069">
        <v>0.94759280000000001</v>
      </c>
      <c r="Y4069">
        <v>0.1062608</v>
      </c>
      <c r="Z4069">
        <v>-5.4679180000000004E-3</v>
      </c>
      <c r="AA4069">
        <v>0.99432330000000002</v>
      </c>
      <c r="AB4069">
        <v>35</v>
      </c>
      <c r="AC4069">
        <v>0.63640000000003705</v>
      </c>
      <c r="AD4069">
        <v>-6.2418000000000001E-2</v>
      </c>
      <c r="AE4069">
        <v>-8.4699999999997999E-2</v>
      </c>
      <c r="AF4069">
        <v>9.4655777444626402E-2</v>
      </c>
      <c r="AG4069">
        <v>-6.2418000000000001E-2</v>
      </c>
      <c r="AH4069">
        <v>0.62891686413787695</v>
      </c>
      <c r="AI4069">
        <v>95.605143529624996</v>
      </c>
      <c r="AJ4069">
        <v>81.440881375240707</v>
      </c>
      <c r="AK4069">
        <v>0.63905566653044199</v>
      </c>
      <c r="AL4069">
        <v>71.502244443551206</v>
      </c>
      <c r="AM4069">
        <v>87.731411443270204</v>
      </c>
      <c r="AN4069">
        <v>0.99999997621681702</v>
      </c>
    </row>
    <row r="4070" spans="1:40" x14ac:dyDescent="0.25">
      <c r="A4070" t="str">
        <f>"20190304164932196"</f>
        <v>20190304164932196</v>
      </c>
      <c r="B4070" t="str">
        <f>"1551689372190120"</f>
        <v>1551689372190120</v>
      </c>
      <c r="C4070" t="s">
        <v>40</v>
      </c>
      <c r="D4070">
        <v>4.3389829999999998</v>
      </c>
      <c r="E4070">
        <v>0.54406560000000004</v>
      </c>
      <c r="F4070" t="s">
        <v>41</v>
      </c>
      <c r="G4070">
        <v>-259.29730000000001</v>
      </c>
      <c r="H4070">
        <v>1.0455749999999999</v>
      </c>
      <c r="I4070">
        <v>215.2765</v>
      </c>
      <c r="J4070">
        <v>-260.01389999999998</v>
      </c>
      <c r="K4070">
        <v>1.1118650000000001</v>
      </c>
      <c r="L4070">
        <v>215.36959999999999</v>
      </c>
      <c r="M4070">
        <v>0.99973179999999995</v>
      </c>
      <c r="N4070">
        <v>-1.470725E-2</v>
      </c>
      <c r="O4070">
        <v>1.7893820000000001E-2</v>
      </c>
      <c r="P4070">
        <v>0.95255259999999997</v>
      </c>
      <c r="Q4070">
        <v>0.3034849</v>
      </c>
      <c r="R4070">
        <v>-2.3248339999999999E-2</v>
      </c>
      <c r="S4070">
        <v>3.213562</v>
      </c>
      <c r="T4070">
        <v>-0.2247267</v>
      </c>
      <c r="U4070">
        <v>-0.29962159999999999</v>
      </c>
      <c r="V4070">
        <v>3.9354779999999999E-2</v>
      </c>
      <c r="W4070">
        <v>0.31757039999999997</v>
      </c>
      <c r="X4070">
        <v>0.94741770000000003</v>
      </c>
      <c r="Y4070">
        <v>0.1102867</v>
      </c>
      <c r="Z4070">
        <v>-5.6422019999999998E-3</v>
      </c>
      <c r="AA4070">
        <v>0.99388379999999998</v>
      </c>
      <c r="AB4070">
        <v>35</v>
      </c>
      <c r="AC4070">
        <v>0.71659999999997104</v>
      </c>
      <c r="AD4070">
        <v>-6.6289999999999905E-2</v>
      </c>
      <c r="AE4070">
        <v>-9.3099999999992605E-2</v>
      </c>
      <c r="AF4070">
        <v>0.105025361003054</v>
      </c>
      <c r="AG4070">
        <v>-6.6289999999999905E-2</v>
      </c>
      <c r="AH4070">
        <v>0.70885388063327304</v>
      </c>
      <c r="AI4070">
        <v>95.285236219949496</v>
      </c>
      <c r="AJ4070">
        <v>81.572242323311201</v>
      </c>
      <c r="AK4070">
        <v>0.71965166201619502</v>
      </c>
      <c r="AL4070">
        <v>71.483944098143098</v>
      </c>
      <c r="AM4070">
        <v>87.621358324147806</v>
      </c>
      <c r="AN4070">
        <v>1.0000000279691399</v>
      </c>
    </row>
    <row r="4071" spans="1:40" x14ac:dyDescent="0.25">
      <c r="A4071" t="str">
        <f>"20190304164932208"</f>
        <v>20190304164932208</v>
      </c>
      <c r="B4071" t="str">
        <f>"1551689372199880"</f>
        <v>1551689372199880</v>
      </c>
      <c r="C4071" t="s">
        <v>40</v>
      </c>
      <c r="D4071">
        <v>4.3186349999999996</v>
      </c>
      <c r="E4071">
        <v>0.54451989999999995</v>
      </c>
      <c r="F4071" t="s">
        <v>41</v>
      </c>
      <c r="G4071">
        <v>-258.98719999999997</v>
      </c>
      <c r="H4071">
        <v>1.039377</v>
      </c>
      <c r="I4071">
        <v>215.26859999999999</v>
      </c>
      <c r="J4071">
        <v>-259.81670000000003</v>
      </c>
      <c r="K4071">
        <v>1.1118410000000001</v>
      </c>
      <c r="L4071">
        <v>215.37379999999999</v>
      </c>
      <c r="M4071">
        <v>0.99971949999999998</v>
      </c>
      <c r="N4071">
        <v>-1.470457E-2</v>
      </c>
      <c r="O4071">
        <v>1.8570429999999999E-2</v>
      </c>
      <c r="P4071">
        <v>0.95246980000000003</v>
      </c>
      <c r="Q4071">
        <v>0.30352879999999999</v>
      </c>
      <c r="R4071">
        <v>-2.5920450000000001E-2</v>
      </c>
      <c r="S4071">
        <v>3.2140810000000002</v>
      </c>
      <c r="T4071">
        <v>-0.22711529999999999</v>
      </c>
      <c r="U4071">
        <v>-0.3153687</v>
      </c>
      <c r="V4071">
        <v>4.268835E-2</v>
      </c>
      <c r="W4071">
        <v>0.31761709999999999</v>
      </c>
      <c r="X4071">
        <v>0.94725769999999998</v>
      </c>
      <c r="Y4071">
        <v>0.115744</v>
      </c>
      <c r="Z4071">
        <v>-5.9644809999999998E-3</v>
      </c>
      <c r="AA4071">
        <v>0.99326119999999996</v>
      </c>
      <c r="AB4071">
        <v>35</v>
      </c>
      <c r="AC4071">
        <v>0.82950000000005197</v>
      </c>
      <c r="AD4071">
        <v>-7.2464000000000001E-2</v>
      </c>
      <c r="AE4071">
        <v>-0.10519999999999601</v>
      </c>
      <c r="AF4071">
        <v>0.119688741106492</v>
      </c>
      <c r="AG4071">
        <v>-7.2464000000000001E-2</v>
      </c>
      <c r="AH4071">
        <v>0.82123503094554395</v>
      </c>
      <c r="AI4071">
        <v>94.990146872222894</v>
      </c>
      <c r="AJ4071">
        <v>81.707958284635296</v>
      </c>
      <c r="AK4071">
        <v>0.83306866589482698</v>
      </c>
      <c r="AL4071">
        <v>71.481122403944397</v>
      </c>
      <c r="AM4071">
        <v>87.419700510223393</v>
      </c>
      <c r="AN4071">
        <v>1.0000000338237101</v>
      </c>
    </row>
    <row r="4072" spans="1:40" x14ac:dyDescent="0.25">
      <c r="A4072" t="str">
        <f>"20190304164932226"</f>
        <v>20190304164932226</v>
      </c>
      <c r="B4072" t="str">
        <f>"1551689372220376"</f>
        <v>1551689372220376</v>
      </c>
      <c r="C4072" t="s">
        <v>40</v>
      </c>
      <c r="D4072">
        <v>4.3412169999999897</v>
      </c>
      <c r="E4072">
        <v>0.54534209999999905</v>
      </c>
      <c r="F4072" t="s">
        <v>46</v>
      </c>
      <c r="G4072">
        <v>-244.16130000000001</v>
      </c>
      <c r="H4072" s="1">
        <v>7.1435019999999997E-7</v>
      </c>
      <c r="I4072">
        <v>213.7773</v>
      </c>
      <c r="J4072">
        <v>-259.55399999999997</v>
      </c>
      <c r="K4072">
        <v>1.111802</v>
      </c>
      <c r="L4072">
        <v>215.37950000000001</v>
      </c>
      <c r="M4072">
        <v>0.99970289999999995</v>
      </c>
      <c r="N4072">
        <v>-1.4700960000000001E-2</v>
      </c>
      <c r="O4072">
        <v>1.944282E-2</v>
      </c>
      <c r="P4072">
        <v>0.95236129999999997</v>
      </c>
      <c r="Q4072">
        <v>0.30381750000000002</v>
      </c>
      <c r="R4072">
        <v>-2.6514119999999999E-2</v>
      </c>
      <c r="S4072">
        <v>3.2135310000000001</v>
      </c>
      <c r="T4072">
        <v>-0.22822509999999999</v>
      </c>
      <c r="U4072">
        <v>-0.32771299999999998</v>
      </c>
      <c r="V4072">
        <v>4.4139369999999997E-2</v>
      </c>
      <c r="W4072">
        <v>0.31789959999999901</v>
      </c>
      <c r="X4072">
        <v>0.94709639999999995</v>
      </c>
      <c r="Y4072">
        <v>0.1203848</v>
      </c>
      <c r="Z4072">
        <v>-6.2380909999999899E-3</v>
      </c>
      <c r="AA4072">
        <v>0.99270769999999997</v>
      </c>
      <c r="AB4072">
        <v>35</v>
      </c>
      <c r="AC4072">
        <v>15.3927</v>
      </c>
      <c r="AD4072">
        <v>-1.1118012856498001</v>
      </c>
      <c r="AE4072">
        <v>-1.6022000000000101</v>
      </c>
      <c r="AF4072">
        <v>1.8914449157576601</v>
      </c>
      <c r="AG4072">
        <v>-1.1118012856498001</v>
      </c>
      <c r="AH4072">
        <v>15.2797741557269</v>
      </c>
      <c r="AI4072">
        <v>94.130261050201796</v>
      </c>
      <c r="AJ4072">
        <v>82.943396644893298</v>
      </c>
      <c r="AK4072">
        <v>15.436488079162899</v>
      </c>
      <c r="AL4072">
        <v>71.464051240079797</v>
      </c>
      <c r="AM4072">
        <v>87.331664463089396</v>
      </c>
      <c r="AN4072">
        <v>1.00000001527855</v>
      </c>
    </row>
    <row r="4073" spans="1:40" x14ac:dyDescent="0.25">
      <c r="A4073" t="str">
        <f>"20190304164932238"</f>
        <v>20190304164932238</v>
      </c>
      <c r="B4073" t="str">
        <f>"1551689372230136"</f>
        <v>1551689372230136</v>
      </c>
      <c r="C4073" t="s">
        <v>40</v>
      </c>
      <c r="D4073">
        <v>4.3193270000000004</v>
      </c>
      <c r="E4073">
        <v>0.5454869</v>
      </c>
      <c r="F4073" t="s">
        <v>41</v>
      </c>
      <c r="G4073">
        <v>-258.66730000000001</v>
      </c>
      <c r="H4073">
        <v>1.048197</v>
      </c>
      <c r="I4073">
        <v>215.2868</v>
      </c>
      <c r="J4073">
        <v>-259.3433</v>
      </c>
      <c r="K4073">
        <v>1.1117680000000001</v>
      </c>
      <c r="L4073">
        <v>215.3843</v>
      </c>
      <c r="M4073">
        <v>0.99968970000000001</v>
      </c>
      <c r="N4073">
        <v>-1.4698050000000001E-2</v>
      </c>
      <c r="O4073">
        <v>2.011427E-2</v>
      </c>
      <c r="P4073">
        <v>0.95223869999999999</v>
      </c>
      <c r="Q4073">
        <v>0.30415009999999998</v>
      </c>
      <c r="R4073">
        <v>-2.7098859999999999E-2</v>
      </c>
      <c r="S4073">
        <v>3.2143250000000001</v>
      </c>
      <c r="T4073">
        <v>-0.2306242</v>
      </c>
      <c r="U4073">
        <v>-0.33596799999999999</v>
      </c>
      <c r="V4073">
        <v>4.538706E-2</v>
      </c>
      <c r="W4073">
        <v>0.31822650000000002</v>
      </c>
      <c r="X4073">
        <v>0.94692759999999998</v>
      </c>
      <c r="Y4073">
        <v>0.1235305</v>
      </c>
      <c r="Z4073">
        <v>-6.4688910000000001E-3</v>
      </c>
      <c r="AA4073">
        <v>0.99231970000000003</v>
      </c>
      <c r="AB4073">
        <v>35</v>
      </c>
      <c r="AC4073">
        <v>0.67599999999998694</v>
      </c>
      <c r="AD4073">
        <v>-6.3571000000000003E-2</v>
      </c>
      <c r="AE4073">
        <v>-9.7499999999996603E-2</v>
      </c>
      <c r="AF4073">
        <v>0.110124940458198</v>
      </c>
      <c r="AG4073">
        <v>-6.3571000000000003E-2</v>
      </c>
      <c r="AH4073">
        <v>0.66811378921512998</v>
      </c>
      <c r="AI4073">
        <v>95.363387965618102</v>
      </c>
      <c r="AJ4073">
        <v>80.640118618502896</v>
      </c>
      <c r="AK4073">
        <v>0.68010646952614795</v>
      </c>
      <c r="AL4073">
        <v>71.4442947353797</v>
      </c>
      <c r="AM4073">
        <v>87.255863808484705</v>
      </c>
      <c r="AN4073">
        <v>0.99999998507972598</v>
      </c>
    </row>
    <row r="4074" spans="1:40" x14ac:dyDescent="0.25">
      <c r="A4074" t="str">
        <f>"20190304164932254"</f>
        <v>20190304164932254</v>
      </c>
      <c r="B4074" t="str">
        <f>"1551689372249656"</f>
        <v>1551689372249656</v>
      </c>
      <c r="C4074" t="s">
        <v>40</v>
      </c>
      <c r="D4074">
        <v>4.3453679999999997</v>
      </c>
      <c r="E4074">
        <v>0.54586429999999997</v>
      </c>
      <c r="F4074" t="s">
        <v>41</v>
      </c>
      <c r="G4074">
        <v>-258.35840000000002</v>
      </c>
      <c r="H4074">
        <v>1.041339</v>
      </c>
      <c r="I4074">
        <v>215.28020000000001</v>
      </c>
      <c r="J4074">
        <v>-259.10390000000001</v>
      </c>
      <c r="K4074">
        <v>1.111729</v>
      </c>
      <c r="L4074">
        <v>215.38980000000001</v>
      </c>
      <c r="M4074">
        <v>0.99967490000000003</v>
      </c>
      <c r="N4074">
        <v>-1.4694749999999999E-2</v>
      </c>
      <c r="O4074">
        <v>2.0837999999999999E-2</v>
      </c>
      <c r="P4074">
        <v>0.95213570000000003</v>
      </c>
      <c r="Q4074">
        <v>0.3042666</v>
      </c>
      <c r="R4074">
        <v>-2.9321469999999999E-2</v>
      </c>
      <c r="S4074">
        <v>3.214264</v>
      </c>
      <c r="T4074">
        <v>-0.2299658</v>
      </c>
      <c r="U4074">
        <v>-0.33900449999999999</v>
      </c>
      <c r="V4074">
        <v>4.8331739999999998E-2</v>
      </c>
      <c r="W4074">
        <v>0.31833990000000001</v>
      </c>
      <c r="X4074">
        <v>0.94674369999999997</v>
      </c>
      <c r="Y4074">
        <v>0.1251739</v>
      </c>
      <c r="Z4074">
        <v>-6.5636480000000001E-3</v>
      </c>
      <c r="AA4074">
        <v>0.99211309999999997</v>
      </c>
      <c r="AB4074">
        <v>35</v>
      </c>
      <c r="AC4074">
        <v>0.74549999999999195</v>
      </c>
      <c r="AD4074">
        <v>-7.0390000000000105E-2</v>
      </c>
      <c r="AE4074">
        <v>-0.1096</v>
      </c>
      <c r="AF4074">
        <v>0.12403025316316101</v>
      </c>
      <c r="AG4074">
        <v>-7.0390000000000105E-2</v>
      </c>
      <c r="AH4074">
        <v>0.73662583585153096</v>
      </c>
      <c r="AI4074">
        <v>95.383138391915494</v>
      </c>
      <c r="AJ4074">
        <v>80.442402964937301</v>
      </c>
      <c r="AK4074">
        <v>0.75030385700973401</v>
      </c>
      <c r="AL4074">
        <v>71.437440125180501</v>
      </c>
      <c r="AM4074">
        <v>87.077558777946095</v>
      </c>
      <c r="AN4074">
        <v>0.999999941256562</v>
      </c>
    </row>
    <row r="4075" spans="1:40" x14ac:dyDescent="0.25">
      <c r="A4075" t="str">
        <f>"20190304164932278"</f>
        <v>20190304164932278</v>
      </c>
      <c r="B4075" t="str">
        <f>"1551689372270153"</f>
        <v>1551689372270153</v>
      </c>
      <c r="C4075" t="s">
        <v>40</v>
      </c>
      <c r="D4075">
        <v>4.341863</v>
      </c>
      <c r="E4075">
        <v>0.54601690000000003</v>
      </c>
      <c r="F4075" t="s">
        <v>46</v>
      </c>
      <c r="G4075">
        <v>-243.7501</v>
      </c>
      <c r="H4075" s="1">
        <v>4.9781329999999999E-7</v>
      </c>
      <c r="I4075">
        <v>213.72499999999999</v>
      </c>
      <c r="J4075">
        <v>-258.74329999999998</v>
      </c>
      <c r="K4075">
        <v>1.11165</v>
      </c>
      <c r="L4075">
        <v>215.39830000000001</v>
      </c>
      <c r="M4075">
        <v>0.99965389999999998</v>
      </c>
      <c r="N4075">
        <v>-1.4689570000000001E-2</v>
      </c>
      <c r="O4075">
        <v>2.182373E-2</v>
      </c>
      <c r="P4075">
        <v>0.95209219999999894</v>
      </c>
      <c r="Q4075">
        <v>0.3042261</v>
      </c>
      <c r="R4075">
        <v>-3.1101859999999999E-2</v>
      </c>
      <c r="S4075">
        <v>3.2144469999999998</v>
      </c>
      <c r="T4075">
        <v>-0.2327507</v>
      </c>
      <c r="U4075">
        <v>-0.3485413</v>
      </c>
      <c r="V4075">
        <v>5.1113390000000002E-2</v>
      </c>
      <c r="W4075">
        <v>0.31828889999999999</v>
      </c>
      <c r="X4075">
        <v>0.94661479999999998</v>
      </c>
      <c r="Y4075">
        <v>0.12903239999999999</v>
      </c>
      <c r="Z4075">
        <v>-6.8584559999999998E-3</v>
      </c>
      <c r="AA4075">
        <v>0.99161670000000002</v>
      </c>
      <c r="AB4075">
        <v>35</v>
      </c>
      <c r="AC4075">
        <v>14.9931999999999</v>
      </c>
      <c r="AD4075">
        <v>-1.1116495021866999</v>
      </c>
      <c r="AE4075">
        <v>-1.67330000000001</v>
      </c>
      <c r="AF4075">
        <v>1.9893428329674401</v>
      </c>
      <c r="AG4075">
        <v>-1.1116495021866999</v>
      </c>
      <c r="AH4075">
        <v>14.8723552110957</v>
      </c>
      <c r="AI4075">
        <v>94.237085288422804</v>
      </c>
      <c r="AJ4075">
        <v>82.381275956712898</v>
      </c>
      <c r="AK4075">
        <v>15.0459362968144</v>
      </c>
      <c r="AL4075">
        <v>71.4405234990666</v>
      </c>
      <c r="AM4075">
        <v>86.909259885703406</v>
      </c>
      <c r="AN4075">
        <v>0.999999991039771</v>
      </c>
    </row>
    <row r="4076" spans="1:40" x14ac:dyDescent="0.25">
      <c r="A4076" t="str">
        <f>"20190304164932299"</f>
        <v>20190304164932299</v>
      </c>
      <c r="B4076" t="str">
        <f>"1551689372289673"</f>
        <v>1551689372289673</v>
      </c>
      <c r="C4076" t="s">
        <v>40</v>
      </c>
      <c r="D4076">
        <v>4.3149089999999903</v>
      </c>
      <c r="E4076">
        <v>0.54611989999999999</v>
      </c>
      <c r="F4076" t="s">
        <v>41</v>
      </c>
      <c r="G4076">
        <v>-257.73469999999998</v>
      </c>
      <c r="H4076">
        <v>1.0380739999999999</v>
      </c>
      <c r="I4076">
        <v>215.2869</v>
      </c>
      <c r="J4076">
        <v>-258.41149999999999</v>
      </c>
      <c r="K4076">
        <v>1.1115630000000001</v>
      </c>
      <c r="L4076">
        <v>215.40639999999999</v>
      </c>
      <c r="M4076">
        <v>0.99963639999999998</v>
      </c>
      <c r="N4076">
        <v>-1.468506E-2</v>
      </c>
      <c r="O4076">
        <v>2.2617479999999999E-2</v>
      </c>
      <c r="P4076">
        <v>0.95194250000000002</v>
      </c>
      <c r="Q4076">
        <v>0.30453809999999998</v>
      </c>
      <c r="R4076">
        <v>-3.2587629999999999E-2</v>
      </c>
      <c r="S4076">
        <v>3.2144010000000001</v>
      </c>
      <c r="T4076">
        <v>-0.23471420000000001</v>
      </c>
      <c r="U4076">
        <v>-0.35383609999999999</v>
      </c>
      <c r="V4076">
        <v>5.3419769999999998E-2</v>
      </c>
      <c r="W4076">
        <v>0.31858760000000003</v>
      </c>
      <c r="X4076">
        <v>0.94638690000000003</v>
      </c>
      <c r="Y4076">
        <v>0.13141929999999999</v>
      </c>
      <c r="Z4076">
        <v>-7.0608260000000001E-3</v>
      </c>
      <c r="AA4076">
        <v>0.99130169999999995</v>
      </c>
      <c r="AB4076">
        <v>35</v>
      </c>
      <c r="AC4076">
        <v>0.67680000000001395</v>
      </c>
      <c r="AD4076">
        <v>-7.3488999999999902E-2</v>
      </c>
      <c r="AE4076">
        <v>-0.11949999999998701</v>
      </c>
      <c r="AF4076">
        <v>0.13325497129837699</v>
      </c>
      <c r="AG4076">
        <v>-7.3488999999999902E-2</v>
      </c>
      <c r="AH4076">
        <v>0.66630533664956804</v>
      </c>
      <c r="AI4076">
        <v>96.172640902141794</v>
      </c>
      <c r="AJ4076">
        <v>78.690571564781607</v>
      </c>
      <c r="AK4076">
        <v>0.68346201221752301</v>
      </c>
      <c r="AL4076">
        <v>71.422468582570602</v>
      </c>
      <c r="AM4076">
        <v>86.769309765987501</v>
      </c>
      <c r="AN4076">
        <v>0.99999994759610999</v>
      </c>
    </row>
    <row r="4077" spans="1:40" x14ac:dyDescent="0.25">
      <c r="A4077" t="str">
        <f>"20190304164932317"</f>
        <v>20190304164932317</v>
      </c>
      <c r="B4077" t="str">
        <f>"1551689372310169"</f>
        <v>1551689372310169</v>
      </c>
      <c r="C4077" t="s">
        <v>40</v>
      </c>
      <c r="D4077">
        <v>4.3387640000000003</v>
      </c>
      <c r="E4077">
        <v>0.54623049999999995</v>
      </c>
      <c r="F4077" t="s">
        <v>41</v>
      </c>
      <c r="G4077">
        <v>-257.4221</v>
      </c>
      <c r="H4077">
        <v>1.0388090000000001</v>
      </c>
      <c r="I4077">
        <v>215.29589999999999</v>
      </c>
      <c r="J4077">
        <v>-258.13740000000001</v>
      </c>
      <c r="K4077">
        <v>1.1114889999999999</v>
      </c>
      <c r="L4077">
        <v>215.41309999999999</v>
      </c>
      <c r="M4077">
        <v>0.99962289999999998</v>
      </c>
      <c r="N4077">
        <v>-1.4681349999999999E-2</v>
      </c>
      <c r="O4077">
        <v>2.3204909999999999E-2</v>
      </c>
      <c r="P4077">
        <v>0.95191440000000005</v>
      </c>
      <c r="Q4077">
        <v>0.30462640000000002</v>
      </c>
      <c r="R4077">
        <v>-3.2581690000000003E-2</v>
      </c>
      <c r="S4077">
        <v>3.2148279999999998</v>
      </c>
      <c r="T4077">
        <v>-0.23645330000000001</v>
      </c>
      <c r="U4077">
        <v>-0.35852050000000002</v>
      </c>
      <c r="V4077">
        <v>5.4030269999999998E-2</v>
      </c>
      <c r="W4077">
        <v>0.31866220000000001</v>
      </c>
      <c r="X4077">
        <v>0.94632709999999998</v>
      </c>
      <c r="Y4077">
        <v>0.13340060000000001</v>
      </c>
      <c r="Z4077">
        <v>-7.2284949999999997E-3</v>
      </c>
      <c r="AA4077">
        <v>0.99103580000000002</v>
      </c>
      <c r="AB4077">
        <v>35</v>
      </c>
      <c r="AC4077">
        <v>0.71530000000001304</v>
      </c>
      <c r="AD4077">
        <v>-7.26799999999998E-2</v>
      </c>
      <c r="AE4077">
        <v>-0.117199999999996</v>
      </c>
      <c r="AF4077">
        <v>0.13243714507348001</v>
      </c>
      <c r="AG4077">
        <v>-7.26799999999998E-2</v>
      </c>
      <c r="AH4077">
        <v>0.70529624201530094</v>
      </c>
      <c r="AI4077">
        <v>95.783130746660802</v>
      </c>
      <c r="AJ4077">
        <v>79.365113024810299</v>
      </c>
      <c r="AK4077">
        <v>0.72129381585878005</v>
      </c>
      <c r="AL4077">
        <v>71.417958842498507</v>
      </c>
      <c r="AM4077">
        <v>86.732261814833805</v>
      </c>
      <c r="AN4077">
        <v>0.99999992398975801</v>
      </c>
    </row>
    <row r="4078" spans="1:40" x14ac:dyDescent="0.25">
      <c r="A4078" t="str">
        <f>"20190304164932331"</f>
        <v>20190304164932331</v>
      </c>
      <c r="B4078" t="str">
        <f>"1551689372319928"</f>
        <v>1551689372319928</v>
      </c>
      <c r="C4078" t="s">
        <v>40</v>
      </c>
      <c r="D4078">
        <v>4.3395609999999998</v>
      </c>
      <c r="E4078">
        <v>0.54627479999999995</v>
      </c>
      <c r="F4078" t="s">
        <v>41</v>
      </c>
      <c r="G4078">
        <v>-257.11189999999999</v>
      </c>
      <c r="H4078">
        <v>1.035658</v>
      </c>
      <c r="I4078">
        <v>215.29849999999999</v>
      </c>
      <c r="J4078">
        <v>-257.89699999999999</v>
      </c>
      <c r="K4078">
        <v>1.1114219999999999</v>
      </c>
      <c r="L4078">
        <v>215.41919999999999</v>
      </c>
      <c r="M4078">
        <v>0.99961250000000001</v>
      </c>
      <c r="N4078">
        <v>-1.4678170000000001E-2</v>
      </c>
      <c r="O4078">
        <v>2.3654339999999999E-2</v>
      </c>
      <c r="P4078">
        <v>0.95200980000000002</v>
      </c>
      <c r="Q4078">
        <v>0.30418260000000003</v>
      </c>
      <c r="R4078">
        <v>-3.3917450000000002E-2</v>
      </c>
      <c r="S4078">
        <v>3.2153930000000002</v>
      </c>
      <c r="T4078">
        <v>-0.2378643</v>
      </c>
      <c r="U4078">
        <v>-0.35876459999999999</v>
      </c>
      <c r="V4078">
        <v>5.5848790000000002E-2</v>
      </c>
      <c r="W4078">
        <v>0.3182102</v>
      </c>
      <c r="X4078">
        <v>0.94637369999999998</v>
      </c>
      <c r="Y4078">
        <v>0.13389379999999901</v>
      </c>
      <c r="Z4078">
        <v>-7.3147289999999998E-3</v>
      </c>
      <c r="AA4078">
        <v>0.99096870000000004</v>
      </c>
      <c r="AB4078">
        <v>35</v>
      </c>
      <c r="AC4078">
        <v>0.78509999999999902</v>
      </c>
      <c r="AD4078">
        <v>-7.5763999999999901E-2</v>
      </c>
      <c r="AE4078">
        <v>-0.120699999999999</v>
      </c>
      <c r="AF4078">
        <v>0.13798390952418299</v>
      </c>
      <c r="AG4078">
        <v>-7.5763999999999901E-2</v>
      </c>
      <c r="AH4078">
        <v>0.77497442622202894</v>
      </c>
      <c r="AI4078">
        <v>95.497754550338001</v>
      </c>
      <c r="AJ4078">
        <v>79.904303954657905</v>
      </c>
      <c r="AK4078">
        <v>0.79080029355188097</v>
      </c>
      <c r="AL4078">
        <v>71.445280141429905</v>
      </c>
      <c r="AM4078">
        <v>86.622694549469301</v>
      </c>
      <c r="AN4078">
        <v>0.99999999939009698</v>
      </c>
    </row>
    <row r="4079" spans="1:40" x14ac:dyDescent="0.25">
      <c r="A4079" t="str">
        <f>"20190304164932349"</f>
        <v>20190304164932349</v>
      </c>
      <c r="B4079" t="str">
        <f>"1551689372340425"</f>
        <v>1551689372340425</v>
      </c>
      <c r="C4079" t="s">
        <v>40</v>
      </c>
      <c r="D4079">
        <v>4.3219909999999997</v>
      </c>
      <c r="E4079">
        <v>0.54638120000000001</v>
      </c>
      <c r="F4079" t="s">
        <v>46</v>
      </c>
      <c r="G4079">
        <v>-243.0214</v>
      </c>
      <c r="H4079" s="1">
        <v>1.09167899999999E-7</v>
      </c>
      <c r="I4079">
        <v>213.74379999999999</v>
      </c>
      <c r="J4079">
        <v>-257.63229999999999</v>
      </c>
      <c r="K4079">
        <v>1.1113440000000001</v>
      </c>
      <c r="L4079">
        <v>215.42590000000001</v>
      </c>
      <c r="M4079">
        <v>0.9996024</v>
      </c>
      <c r="N4079">
        <v>-1.467457E-2</v>
      </c>
      <c r="O4079">
        <v>2.4081990000000001E-2</v>
      </c>
      <c r="P4079">
        <v>0.95187999999999995</v>
      </c>
      <c r="Q4079">
        <v>0.30448789999999998</v>
      </c>
      <c r="R4079">
        <v>-3.4807249999999998E-2</v>
      </c>
      <c r="S4079">
        <v>3.2151179999999999</v>
      </c>
      <c r="T4079">
        <v>-0.2402146</v>
      </c>
      <c r="U4079">
        <v>-0.36210629999999999</v>
      </c>
      <c r="V4079">
        <v>5.7200819999999999E-2</v>
      </c>
      <c r="W4079">
        <v>0.3185018</v>
      </c>
      <c r="X4079">
        <v>0.9461948</v>
      </c>
      <c r="Y4079">
        <v>0.1353297</v>
      </c>
      <c r="Z4079">
        <v>-7.4701910000000002E-3</v>
      </c>
      <c r="AA4079">
        <v>0.99077249999999994</v>
      </c>
      <c r="AB4079">
        <v>35</v>
      </c>
      <c r="AC4079">
        <v>14.6108999999999</v>
      </c>
      <c r="AD4079">
        <v>-1.1113438908321001</v>
      </c>
      <c r="AE4079">
        <v>-1.6821000000000099</v>
      </c>
      <c r="AF4079">
        <v>2.0219643487066499</v>
      </c>
      <c r="AG4079">
        <v>-1.1113438908321001</v>
      </c>
      <c r="AH4079">
        <v>14.4834507432215</v>
      </c>
      <c r="AI4079">
        <v>94.345839529366003</v>
      </c>
      <c r="AJ4079">
        <v>82.052579018030599</v>
      </c>
      <c r="AK4079">
        <v>14.6660754976392</v>
      </c>
      <c r="AL4079">
        <v>71.427655052374902</v>
      </c>
      <c r="AM4079">
        <v>86.540477940404301</v>
      </c>
      <c r="AN4079">
        <v>0.99999996497947496</v>
      </c>
    </row>
    <row r="4080" spans="1:40" x14ac:dyDescent="0.25">
      <c r="A4080" t="str">
        <f>"20190304164932362"</f>
        <v>20190304164932362</v>
      </c>
      <c r="B4080" t="str">
        <f>"1551689372350184"</f>
        <v>1551689372350184</v>
      </c>
      <c r="C4080" t="s">
        <v>40</v>
      </c>
      <c r="D4080">
        <v>4.371238</v>
      </c>
      <c r="E4080">
        <v>0.54640310000000003</v>
      </c>
      <c r="F4080" t="s">
        <v>46</v>
      </c>
      <c r="G4080">
        <v>-242.76939999999999</v>
      </c>
      <c r="H4080" s="1">
        <v>-2.468084E-8</v>
      </c>
      <c r="I4080">
        <v>213.7388</v>
      </c>
      <c r="J4080">
        <v>-257.42329999999998</v>
      </c>
      <c r="K4080">
        <v>1.1112820000000001</v>
      </c>
      <c r="L4080">
        <v>215.43119999999999</v>
      </c>
      <c r="M4080">
        <v>0.99959549999999997</v>
      </c>
      <c r="N4080">
        <v>-1.4671729999999999E-2</v>
      </c>
      <c r="O4080">
        <v>2.4367440000000001E-2</v>
      </c>
      <c r="P4080">
        <v>0.95172520000000005</v>
      </c>
      <c r="Q4080">
        <v>0.30491380000000001</v>
      </c>
      <c r="R4080">
        <v>-3.5310149999999998E-2</v>
      </c>
      <c r="S4080">
        <v>3.215179</v>
      </c>
      <c r="T4080">
        <v>-0.2404085</v>
      </c>
      <c r="U4080">
        <v>-0.36497499999999999</v>
      </c>
      <c r="V4080">
        <v>5.8019550000000003E-2</v>
      </c>
      <c r="W4080">
        <v>0.31891389999999997</v>
      </c>
      <c r="X4080">
        <v>0.94600620000000002</v>
      </c>
      <c r="Y4080">
        <v>0.1364783</v>
      </c>
      <c r="Z4080">
        <v>-7.5434689999999997E-3</v>
      </c>
      <c r="AA4080">
        <v>0.99061440000000001</v>
      </c>
      <c r="AB4080">
        <v>35</v>
      </c>
      <c r="AC4080">
        <v>14.653899999999901</v>
      </c>
      <c r="AD4080">
        <v>-1.1112820246808399</v>
      </c>
      <c r="AE4080">
        <v>-1.6923999999999899</v>
      </c>
      <c r="AF4080">
        <v>2.0374506862682402</v>
      </c>
      <c r="AG4080">
        <v>-1.1112820246808399</v>
      </c>
      <c r="AH4080">
        <v>14.5258655594748</v>
      </c>
      <c r="AI4080">
        <v>94.332567911455797</v>
      </c>
      <c r="AJ4080">
        <v>82.015575411624098</v>
      </c>
      <c r="AK4080">
        <v>14.7100959646526</v>
      </c>
      <c r="AL4080">
        <v>71.402745837837003</v>
      </c>
      <c r="AM4080">
        <v>86.490385959606201</v>
      </c>
      <c r="AN4080">
        <v>1.00000003711692</v>
      </c>
    </row>
    <row r="4081" spans="1:40" x14ac:dyDescent="0.25">
      <c r="A4081" t="str">
        <f>"20190304164932377"</f>
        <v>20190304164932377</v>
      </c>
      <c r="B4081" t="str">
        <f>"1551689372369704"</f>
        <v>1551689372369704</v>
      </c>
      <c r="C4081" t="s">
        <v>40</v>
      </c>
      <c r="D4081">
        <v>4.3417690000000002</v>
      </c>
      <c r="E4081">
        <v>0.54643199999999903</v>
      </c>
      <c r="F4081" t="s">
        <v>41</v>
      </c>
      <c r="G4081">
        <v>-256.48599999999999</v>
      </c>
      <c r="H4081">
        <v>1.041442</v>
      </c>
      <c r="I4081">
        <v>215.3246</v>
      </c>
      <c r="J4081">
        <v>-257.19069999999999</v>
      </c>
      <c r="K4081">
        <v>1.11121</v>
      </c>
      <c r="L4081">
        <v>215.43719999999999</v>
      </c>
      <c r="M4081">
        <v>0.99958880000000006</v>
      </c>
      <c r="N4081">
        <v>-1.46686E-2</v>
      </c>
      <c r="O4081">
        <v>2.4635310000000001E-2</v>
      </c>
      <c r="P4081">
        <v>0.95159660000000001</v>
      </c>
      <c r="Q4081">
        <v>0.30510120000000002</v>
      </c>
      <c r="R4081">
        <v>-3.7110820000000003E-2</v>
      </c>
      <c r="S4081">
        <v>3.2154389999999999</v>
      </c>
      <c r="T4081">
        <v>-0.23972689999999999</v>
      </c>
      <c r="U4081">
        <v>-0.36497499999999999</v>
      </c>
      <c r="V4081">
        <v>6.0128309999999997E-2</v>
      </c>
      <c r="W4081">
        <v>0.31908839999999999</v>
      </c>
      <c r="X4081">
        <v>0.94581559999999998</v>
      </c>
      <c r="Y4081">
        <v>0.1367362</v>
      </c>
      <c r="Z4081">
        <v>-7.5507250000000003E-3</v>
      </c>
      <c r="AA4081">
        <v>0.99057870000000003</v>
      </c>
      <c r="AB4081">
        <v>35</v>
      </c>
      <c r="AC4081">
        <v>0.70470000000000199</v>
      </c>
      <c r="AD4081">
        <v>-6.9767999999999997E-2</v>
      </c>
      <c r="AE4081">
        <v>-0.112599999999986</v>
      </c>
      <c r="AF4081">
        <v>0.128698128249671</v>
      </c>
      <c r="AG4081">
        <v>-6.9767999999999997E-2</v>
      </c>
      <c r="AH4081">
        <v>0.69506856175336795</v>
      </c>
      <c r="AI4081">
        <v>95.636728453003897</v>
      </c>
      <c r="AJ4081">
        <v>79.509979254919401</v>
      </c>
      <c r="AK4081">
        <v>0.71031759627427604</v>
      </c>
      <c r="AL4081">
        <v>71.392195564657101</v>
      </c>
      <c r="AM4081">
        <v>86.362432099683303</v>
      </c>
      <c r="AN4081">
        <v>0.99999998494068698</v>
      </c>
    </row>
    <row r="4082" spans="1:40" x14ac:dyDescent="0.25">
      <c r="A4082" t="str">
        <f>"20190304164932394"</f>
        <v>20190304164932394</v>
      </c>
      <c r="B4082" t="str">
        <f>"1551689372380440"</f>
        <v>1551689372380440</v>
      </c>
      <c r="C4082" t="s">
        <v>40</v>
      </c>
      <c r="D4082">
        <v>4.284751</v>
      </c>
      <c r="E4082">
        <v>0.54644040000000005</v>
      </c>
      <c r="F4082" t="s">
        <v>41</v>
      </c>
      <c r="G4082">
        <v>-256.17840000000001</v>
      </c>
      <c r="H4082">
        <v>1.035447</v>
      </c>
      <c r="I4082">
        <v>215.321</v>
      </c>
      <c r="J4082">
        <v>-256.93669999999997</v>
      </c>
      <c r="K4082">
        <v>1.111127</v>
      </c>
      <c r="L4082">
        <v>215.44370000000001</v>
      </c>
      <c r="M4082">
        <v>0.99958360000000002</v>
      </c>
      <c r="N4082">
        <v>-1.466524E-2</v>
      </c>
      <c r="O4082">
        <v>2.4854370000000001E-2</v>
      </c>
      <c r="P4082">
        <v>0.95158920000000002</v>
      </c>
      <c r="Q4082">
        <v>0.3050542</v>
      </c>
      <c r="R4082">
        <v>-3.7685589999999998E-2</v>
      </c>
      <c r="S4082">
        <v>3.215363</v>
      </c>
      <c r="T4082">
        <v>-0.24072289999999999</v>
      </c>
      <c r="U4082">
        <v>-0.36889650000000002</v>
      </c>
      <c r="V4082">
        <v>6.0975679999999997E-2</v>
      </c>
      <c r="W4082">
        <v>0.31902599999999998</v>
      </c>
      <c r="X4082">
        <v>0.94578240000000002</v>
      </c>
      <c r="Y4082">
        <v>0.1381395</v>
      </c>
      <c r="Z4082">
        <v>-7.6547419999999904E-3</v>
      </c>
      <c r="AA4082">
        <v>0.99038320000000002</v>
      </c>
      <c r="AB4082">
        <v>35</v>
      </c>
      <c r="AC4082">
        <v>0.758299999999962</v>
      </c>
      <c r="AD4082">
        <v>-7.56799999999999E-2</v>
      </c>
      <c r="AE4082">
        <v>-0.122700000000008</v>
      </c>
      <c r="AF4082">
        <v>0.14015082972940501</v>
      </c>
      <c r="AG4082">
        <v>-7.56799999999999E-2</v>
      </c>
      <c r="AH4082">
        <v>0.74775774536181405</v>
      </c>
      <c r="AI4082">
        <v>95.680925494982802</v>
      </c>
      <c r="AJ4082">
        <v>79.384323229091606</v>
      </c>
      <c r="AK4082">
        <v>0.76453342845321404</v>
      </c>
      <c r="AL4082">
        <v>71.3959679899625</v>
      </c>
      <c r="AM4082">
        <v>86.311180385691401</v>
      </c>
      <c r="AN4082">
        <v>0.999999985188611</v>
      </c>
    </row>
    <row r="4083" spans="1:40" x14ac:dyDescent="0.25">
      <c r="A4083" t="str">
        <f>"20190304164932410"</f>
        <v>20190304164932410</v>
      </c>
      <c r="B4083" t="str">
        <f>"1551689372399960"</f>
        <v>1551689372399960</v>
      </c>
      <c r="C4083" t="s">
        <v>40</v>
      </c>
      <c r="D4083">
        <v>4.3455409999999999</v>
      </c>
      <c r="E4083">
        <v>0.5464253</v>
      </c>
      <c r="F4083" t="s">
        <v>46</v>
      </c>
      <c r="G4083">
        <v>-242.12370000000001</v>
      </c>
      <c r="H4083" s="1">
        <v>-3.6827909999999998E-7</v>
      </c>
      <c r="I4083">
        <v>213.73859999999999</v>
      </c>
      <c r="J4083">
        <v>-256.68130000000002</v>
      </c>
      <c r="K4083">
        <v>1.1110439999999999</v>
      </c>
      <c r="L4083">
        <v>215.4503</v>
      </c>
      <c r="M4083">
        <v>0.99957969999999896</v>
      </c>
      <c r="N4083">
        <v>-1.4662089999999999E-2</v>
      </c>
      <c r="O4083">
        <v>2.5008160000000001E-2</v>
      </c>
      <c r="P4083">
        <v>0.95134410000000003</v>
      </c>
      <c r="Q4083">
        <v>0.3055949</v>
      </c>
      <c r="R4083">
        <v>-3.9450279999999997E-2</v>
      </c>
      <c r="S4083">
        <v>3.215271</v>
      </c>
      <c r="T4083">
        <v>-0.2411789</v>
      </c>
      <c r="U4083">
        <v>-0.37010189999999998</v>
      </c>
      <c r="V4083">
        <v>6.2943520000000003E-2</v>
      </c>
      <c r="W4083">
        <v>0.31954880000000002</v>
      </c>
      <c r="X4083">
        <v>0.94547689999999995</v>
      </c>
      <c r="Y4083">
        <v>0.13865769999999999</v>
      </c>
      <c r="Z4083">
        <v>-7.7003189999999997E-3</v>
      </c>
      <c r="AA4083">
        <v>0.99031040000000004</v>
      </c>
      <c r="AB4083">
        <v>35</v>
      </c>
      <c r="AC4083">
        <v>14.557600000000001</v>
      </c>
      <c r="AD4083">
        <v>-1.1110443682791</v>
      </c>
      <c r="AE4083">
        <v>-1.7117</v>
      </c>
      <c r="AF4083">
        <v>2.06340738493429</v>
      </c>
      <c r="AG4083">
        <v>-1.1110443682791</v>
      </c>
      <c r="AH4083">
        <v>14.4273441874646</v>
      </c>
      <c r="AI4083">
        <v>94.359448295828003</v>
      </c>
      <c r="AJ4083">
        <v>81.860719904250402</v>
      </c>
      <c r="AK4083">
        <v>14.6164403986762</v>
      </c>
      <c r="AL4083">
        <v>71.364358521234493</v>
      </c>
      <c r="AM4083">
        <v>86.191250881731605</v>
      </c>
      <c r="AN4083">
        <v>0.99999994536251802</v>
      </c>
    </row>
    <row r="4084" spans="1:40" x14ac:dyDescent="0.25">
      <c r="A4084" t="str">
        <f>"20190304164932427"</f>
        <v>20190304164932427</v>
      </c>
      <c r="B4084" t="str">
        <f>"1551689372420456"</f>
        <v>1551689372420456</v>
      </c>
      <c r="C4084" t="s">
        <v>40</v>
      </c>
      <c r="D4084">
        <v>4.3282119999999997</v>
      </c>
      <c r="E4084">
        <v>0.54639979999999999</v>
      </c>
      <c r="F4084" t="s">
        <v>46</v>
      </c>
      <c r="G4084">
        <v>-241.8</v>
      </c>
      <c r="H4084" s="1">
        <v>-5.3965179999999996E-7</v>
      </c>
      <c r="I4084">
        <v>213.7183</v>
      </c>
      <c r="J4084">
        <v>-256.41309999999999</v>
      </c>
      <c r="K4084">
        <v>1.110975</v>
      </c>
      <c r="L4084">
        <v>215.4571</v>
      </c>
      <c r="M4084">
        <v>0.99957700000000005</v>
      </c>
      <c r="N4084">
        <v>-1.465877E-2</v>
      </c>
      <c r="O4084">
        <v>2.512004E-2</v>
      </c>
      <c r="P4084">
        <v>0.9511676</v>
      </c>
      <c r="Q4084">
        <v>0.30606430000000001</v>
      </c>
      <c r="R4084">
        <v>-4.006175E-2</v>
      </c>
      <c r="S4084">
        <v>3.2150270000000001</v>
      </c>
      <c r="T4084">
        <v>-0.24003620000000001</v>
      </c>
      <c r="U4084">
        <v>-0.37417600000000001</v>
      </c>
      <c r="V4084">
        <v>6.3717819999999994E-2</v>
      </c>
      <c r="W4084">
        <v>0.32000060000000002</v>
      </c>
      <c r="X4084">
        <v>0.94527229999999995</v>
      </c>
      <c r="Y4084">
        <v>0.1400151</v>
      </c>
      <c r="Z4084">
        <v>-7.73412199999999E-3</v>
      </c>
      <c r="AA4084">
        <v>0.99011919999999998</v>
      </c>
      <c r="AB4084">
        <v>35</v>
      </c>
      <c r="AC4084">
        <v>14.6130999999999</v>
      </c>
      <c r="AD4084">
        <v>-1.1109755396518</v>
      </c>
      <c r="AE4084">
        <v>-1.7387999999999899</v>
      </c>
      <c r="AF4084">
        <v>2.09344121199545</v>
      </c>
      <c r="AG4084">
        <v>-1.1109755396518</v>
      </c>
      <c r="AH4084">
        <v>14.4822661083781</v>
      </c>
      <c r="AI4084">
        <v>94.341777851371205</v>
      </c>
      <c r="AJ4084">
        <v>81.774751669983601</v>
      </c>
      <c r="AK4084">
        <v>14.6749035564689</v>
      </c>
      <c r="AL4084">
        <v>71.3370394656516</v>
      </c>
      <c r="AM4084">
        <v>86.143706009419503</v>
      </c>
      <c r="AN4084">
        <v>1.0000000328666001</v>
      </c>
    </row>
    <row r="4085" spans="1:40" x14ac:dyDescent="0.25">
      <c r="A4085" t="str">
        <f>"20190304164932440"</f>
        <v>20190304164932440</v>
      </c>
      <c r="B4085" t="str">
        <f>"1551689372430217"</f>
        <v>1551689372430217</v>
      </c>
      <c r="C4085" t="s">
        <v>40</v>
      </c>
      <c r="D4085">
        <v>4.3491849999999896</v>
      </c>
      <c r="E4085">
        <v>0.54639190000000004</v>
      </c>
      <c r="F4085" t="s">
        <v>46</v>
      </c>
      <c r="G4085">
        <v>-241.49010000000001</v>
      </c>
      <c r="H4085" s="1">
        <v>-7.0443559999999995E-7</v>
      </c>
      <c r="I4085">
        <v>213.71440000000001</v>
      </c>
      <c r="J4085">
        <v>-256.20979999999997</v>
      </c>
      <c r="K4085">
        <v>1.1109260000000001</v>
      </c>
      <c r="L4085">
        <v>215.4623</v>
      </c>
      <c r="M4085">
        <v>0.99957560000000001</v>
      </c>
      <c r="N4085">
        <v>-1.4656199999999999E-2</v>
      </c>
      <c r="O4085">
        <v>2.5177919999999999E-2</v>
      </c>
      <c r="P4085">
        <v>0.95097149999999997</v>
      </c>
      <c r="Q4085">
        <v>0.30656139999999998</v>
      </c>
      <c r="R4085">
        <v>-4.0907789999999999E-2</v>
      </c>
      <c r="S4085">
        <v>3.2152250000000002</v>
      </c>
      <c r="T4085">
        <v>-0.23936299999999999</v>
      </c>
      <c r="U4085">
        <v>-0.375473</v>
      </c>
      <c r="V4085">
        <v>6.4654690000000001E-2</v>
      </c>
      <c r="W4085">
        <v>0.32048399999999999</v>
      </c>
      <c r="X4085">
        <v>0.94504489999999997</v>
      </c>
      <c r="Y4085">
        <v>0.14046069999999999</v>
      </c>
      <c r="Z4085">
        <v>-7.7368940000000002E-3</v>
      </c>
      <c r="AA4085">
        <v>0.99005600000000005</v>
      </c>
      <c r="AB4085">
        <v>35</v>
      </c>
      <c r="AC4085">
        <v>14.7196999999999</v>
      </c>
      <c r="AD4085">
        <v>-1.1109267044355999</v>
      </c>
      <c r="AE4085">
        <v>-1.74789999999998</v>
      </c>
      <c r="AF4085">
        <v>2.1061669926878901</v>
      </c>
      <c r="AG4085">
        <v>-1.1109267044355999</v>
      </c>
      <c r="AH4085">
        <v>14.5890749656461</v>
      </c>
      <c r="AI4085">
        <v>94.310035521086803</v>
      </c>
      <c r="AJ4085">
        <v>81.785191183576899</v>
      </c>
      <c r="AK4085">
        <v>14.7821245393535</v>
      </c>
      <c r="AL4085">
        <v>71.307803164208906</v>
      </c>
      <c r="AM4085">
        <v>86.086241558047902</v>
      </c>
      <c r="AN4085">
        <v>1.0000000431055001</v>
      </c>
    </row>
    <row r="4086" spans="1:40" x14ac:dyDescent="0.25">
      <c r="A4086" t="str">
        <f>"20190304164932456"</f>
        <v>20190304164932456</v>
      </c>
      <c r="B4086" t="str">
        <f>"1551689372449740"</f>
        <v>1551689372449740</v>
      </c>
      <c r="C4086" t="s">
        <v>40</v>
      </c>
      <c r="D4086">
        <v>4.3411650000000002</v>
      </c>
      <c r="E4086">
        <v>0.546386699999999</v>
      </c>
      <c r="F4086" t="s">
        <v>41</v>
      </c>
      <c r="G4086">
        <v>-255.24539999999999</v>
      </c>
      <c r="H4086">
        <v>1.0394570000000001</v>
      </c>
      <c r="I4086">
        <v>215.34889999999999</v>
      </c>
      <c r="J4086">
        <v>-255.97040000000001</v>
      </c>
      <c r="K4086">
        <v>1.110878</v>
      </c>
      <c r="L4086">
        <v>215.4684</v>
      </c>
      <c r="M4086">
        <v>0.99957450000000003</v>
      </c>
      <c r="N4086">
        <v>-1.46531E-2</v>
      </c>
      <c r="O4086">
        <v>2.5220820000000001E-2</v>
      </c>
      <c r="P4086">
        <v>0.95055279999999998</v>
      </c>
      <c r="Q4086">
        <v>0.30764140000000001</v>
      </c>
      <c r="R4086">
        <v>-4.249758E-2</v>
      </c>
      <c r="S4086">
        <v>3.2152560000000001</v>
      </c>
      <c r="T4086">
        <v>-0.23835400000000001</v>
      </c>
      <c r="U4086">
        <v>-0.37762449999999997</v>
      </c>
      <c r="V4086">
        <v>6.6315680000000002E-2</v>
      </c>
      <c r="W4086">
        <v>0.32154709999999997</v>
      </c>
      <c r="X4086">
        <v>0.94456850000000003</v>
      </c>
      <c r="Y4086">
        <v>0.14115730000000001</v>
      </c>
      <c r="Z4086">
        <v>-7.7401060000000001E-3</v>
      </c>
      <c r="AA4086">
        <v>0.98995690000000003</v>
      </c>
      <c r="AB4086">
        <v>35</v>
      </c>
      <c r="AC4086">
        <v>0.72500000000002196</v>
      </c>
      <c r="AD4086">
        <v>-7.1420999999999901E-2</v>
      </c>
      <c r="AE4086">
        <v>-0.119500000000016</v>
      </c>
      <c r="AF4086">
        <v>0.136459781963917</v>
      </c>
      <c r="AG4086">
        <v>-7.1420999999999901E-2</v>
      </c>
      <c r="AH4086">
        <v>0.71499988750157195</v>
      </c>
      <c r="AI4086">
        <v>95.6038406451692</v>
      </c>
      <c r="AJ4086">
        <v>79.194876932487801</v>
      </c>
      <c r="AK4086">
        <v>0.73140075913407498</v>
      </c>
      <c r="AL4086">
        <v>71.243486828207196</v>
      </c>
      <c r="AM4086">
        <v>85.984003146200095</v>
      </c>
      <c r="AN4086">
        <v>0.99999997906226101</v>
      </c>
    </row>
    <row r="4087" spans="1:40" x14ac:dyDescent="0.25">
      <c r="A4087" t="str">
        <f>"20190304164932479"</f>
        <v>20190304164932479</v>
      </c>
      <c r="B4087" t="str">
        <f>"1551689372470233"</f>
        <v>1551689372470233</v>
      </c>
      <c r="C4087" t="s">
        <v>40</v>
      </c>
      <c r="D4087">
        <v>4.3288440000000001</v>
      </c>
      <c r="E4087">
        <v>0.54633980000000004</v>
      </c>
      <c r="F4087" t="s">
        <v>41</v>
      </c>
      <c r="G4087">
        <v>-254.9359</v>
      </c>
      <c r="H4087">
        <v>1.034977</v>
      </c>
      <c r="I4087">
        <v>215.34530000000001</v>
      </c>
      <c r="J4087">
        <v>-255.6071</v>
      </c>
      <c r="K4087">
        <v>1.1108199999999999</v>
      </c>
      <c r="L4087">
        <v>215.4776</v>
      </c>
      <c r="M4087">
        <v>0.99957430000000003</v>
      </c>
      <c r="N4087">
        <v>-1.46485E-2</v>
      </c>
      <c r="O4087">
        <v>2.5234280000000001E-2</v>
      </c>
      <c r="P4087">
        <v>0.95013069999999999</v>
      </c>
      <c r="Q4087">
        <v>0.30863449999999998</v>
      </c>
      <c r="R4087">
        <v>-4.4680930000000001E-2</v>
      </c>
      <c r="S4087">
        <v>3.2153930000000002</v>
      </c>
      <c r="T4087">
        <v>-0.23607420000000001</v>
      </c>
      <c r="U4087">
        <v>-0.38163760000000002</v>
      </c>
      <c r="V4087">
        <v>6.8547629999999998E-2</v>
      </c>
      <c r="W4087">
        <v>0.322519</v>
      </c>
      <c r="X4087">
        <v>0.94407770000000002</v>
      </c>
      <c r="Y4087">
        <v>0.1423894</v>
      </c>
      <c r="Z4087">
        <v>-7.7266059999999996E-3</v>
      </c>
      <c r="AA4087">
        <v>0.98978049999999995</v>
      </c>
      <c r="AB4087">
        <v>35</v>
      </c>
      <c r="AC4087">
        <v>0.67119999999999802</v>
      </c>
      <c r="AD4087">
        <v>-7.5843000000000105E-2</v>
      </c>
      <c r="AE4087">
        <v>-0.13229999999998601</v>
      </c>
      <c r="AF4087">
        <v>0.147385470188866</v>
      </c>
      <c r="AG4087">
        <v>-7.5843000000000105E-2</v>
      </c>
      <c r="AH4087">
        <v>0.65954120529285898</v>
      </c>
      <c r="AI4087">
        <v>96.403259934331203</v>
      </c>
      <c r="AJ4087">
        <v>77.403264541194204</v>
      </c>
      <c r="AK4087">
        <v>0.68005090908765797</v>
      </c>
      <c r="AL4087">
        <v>71.184667943955503</v>
      </c>
      <c r="AM4087">
        <v>85.847153438122106</v>
      </c>
      <c r="AN4087">
        <v>0.99999999328845302</v>
      </c>
    </row>
    <row r="4088" spans="1:40" x14ac:dyDescent="0.25">
      <c r="A4088" t="str">
        <f>"20190304164932499"</f>
        <v>20190304164932499</v>
      </c>
      <c r="B4088" t="str">
        <f>"1551689372489752"</f>
        <v>1551689372489752</v>
      </c>
      <c r="C4088" t="s">
        <v>40</v>
      </c>
      <c r="D4088">
        <v>4.3267119999999997</v>
      </c>
      <c r="E4088">
        <v>0.54634280000000002</v>
      </c>
      <c r="F4088" t="s">
        <v>46</v>
      </c>
      <c r="G4088">
        <v>-240.33670000000001</v>
      </c>
      <c r="H4088" s="1">
        <v>-1.3149370000000001E-6</v>
      </c>
      <c r="I4088">
        <v>213.6397</v>
      </c>
      <c r="J4088">
        <v>-255.2979</v>
      </c>
      <c r="K4088">
        <v>1.110787</v>
      </c>
      <c r="L4088">
        <v>215.4854</v>
      </c>
      <c r="M4088">
        <v>0.99957470000000004</v>
      </c>
      <c r="N4088">
        <v>-1.4644600000000001E-2</v>
      </c>
      <c r="O4088">
        <v>2.5217940000000001E-2</v>
      </c>
      <c r="P4088">
        <v>0.94990390000000002</v>
      </c>
      <c r="Q4088">
        <v>0.30905640000000001</v>
      </c>
      <c r="R4088">
        <v>-4.6549939999999998E-2</v>
      </c>
      <c r="S4088">
        <v>3.2152400000000001</v>
      </c>
      <c r="T4088">
        <v>-0.2338866</v>
      </c>
      <c r="U4088">
        <v>-0.38697809999999999</v>
      </c>
      <c r="V4088">
        <v>7.0425559999999998E-2</v>
      </c>
      <c r="W4088">
        <v>0.32292700000000002</v>
      </c>
      <c r="X4088">
        <v>0.94379999999999997</v>
      </c>
      <c r="Y4088">
        <v>0.14400309999999999</v>
      </c>
      <c r="Z4088">
        <v>-7.7303980000000003E-3</v>
      </c>
      <c r="AA4088">
        <v>0.98954699999999995</v>
      </c>
      <c r="AB4088">
        <v>35</v>
      </c>
      <c r="AC4088">
        <v>14.9611999999999</v>
      </c>
      <c r="AD4088">
        <v>-1.1107883149369999</v>
      </c>
      <c r="AE4088">
        <v>-1.8456999999999899</v>
      </c>
      <c r="AF4088">
        <v>2.2104421340583702</v>
      </c>
      <c r="AG4088">
        <v>-1.1107883149369999</v>
      </c>
      <c r="AH4088">
        <v>14.829373272913401</v>
      </c>
      <c r="AI4088">
        <v>94.237079351684102</v>
      </c>
      <c r="AJ4088">
        <v>81.522006174658202</v>
      </c>
      <c r="AK4088">
        <v>15.0343013398036</v>
      </c>
      <c r="AL4088">
        <v>71.159970339532507</v>
      </c>
      <c r="AM4088">
        <v>85.732545950910804</v>
      </c>
      <c r="AN4088">
        <v>1.00000002341515</v>
      </c>
    </row>
    <row r="4089" spans="1:40" x14ac:dyDescent="0.25">
      <c r="A4089" t="str">
        <f>"20190304164932517"</f>
        <v>20190304164932517</v>
      </c>
      <c r="B4089" t="str">
        <f>"1551689372510249"</f>
        <v>1551689372510249</v>
      </c>
      <c r="C4089" t="s">
        <v>40</v>
      </c>
      <c r="D4089">
        <v>4.3148160000000004</v>
      </c>
      <c r="E4089">
        <v>0.54630959999999995</v>
      </c>
      <c r="F4089" t="s">
        <v>46</v>
      </c>
      <c r="G4089">
        <v>-239.98920000000001</v>
      </c>
      <c r="H4089" s="1">
        <v>-1.498947E-6</v>
      </c>
      <c r="I4089">
        <v>213.61920000000001</v>
      </c>
      <c r="J4089">
        <v>-255.02350000000001</v>
      </c>
      <c r="K4089">
        <v>1.1107549999999999</v>
      </c>
      <c r="L4089">
        <v>215.4924</v>
      </c>
      <c r="M4089">
        <v>0.99957560000000001</v>
      </c>
      <c r="N4089">
        <v>-1.464117E-2</v>
      </c>
      <c r="O4089">
        <v>2.519018E-2</v>
      </c>
      <c r="P4089">
        <v>0.94974270000000005</v>
      </c>
      <c r="Q4089">
        <v>0.30938059999999901</v>
      </c>
      <c r="R4089">
        <v>-4.7675330000000002E-2</v>
      </c>
      <c r="S4089">
        <v>3.2149049999999999</v>
      </c>
      <c r="T4089">
        <v>-0.2332716</v>
      </c>
      <c r="U4089">
        <v>-0.39192199999999999</v>
      </c>
      <c r="V4089">
        <v>7.1541999999999994E-2</v>
      </c>
      <c r="W4089">
        <v>0.32324069999999999</v>
      </c>
      <c r="X4089">
        <v>0.94360860000000002</v>
      </c>
      <c r="Y4089">
        <v>0.14548529999999901</v>
      </c>
      <c r="Z4089">
        <v>-7.7748030000000003E-3</v>
      </c>
      <c r="AA4089">
        <v>0.98932989999999998</v>
      </c>
      <c r="AB4089">
        <v>35</v>
      </c>
      <c r="AC4089">
        <v>15.0343</v>
      </c>
      <c r="AD4089">
        <v>-1.110756498947</v>
      </c>
      <c r="AE4089">
        <v>-1.87319999999999</v>
      </c>
      <c r="AF4089">
        <v>2.2393262772148002</v>
      </c>
      <c r="AG4089">
        <v>-1.110756498947</v>
      </c>
      <c r="AH4089">
        <v>14.9022369378017</v>
      </c>
      <c r="AI4089">
        <v>94.215573244139804</v>
      </c>
      <c r="AJ4089">
        <v>81.454229119214702</v>
      </c>
      <c r="AK4089">
        <v>15.110427787662401</v>
      </c>
      <c r="AL4089">
        <v>71.140977628074893</v>
      </c>
      <c r="AM4089">
        <v>85.664274937255499</v>
      </c>
      <c r="AN4089">
        <v>0.99999999894722502</v>
      </c>
    </row>
    <row r="4090" spans="1:40" x14ac:dyDescent="0.25">
      <c r="A4090" t="str">
        <f>"20190304164932533"</f>
        <v>20190304164932533</v>
      </c>
      <c r="B4090" t="str">
        <f>"1551689372529769"</f>
        <v>1551689372529769</v>
      </c>
      <c r="C4090" t="s">
        <v>40</v>
      </c>
      <c r="D4090">
        <v>4.3308910000000003</v>
      </c>
      <c r="E4090">
        <v>0.54634539999999998</v>
      </c>
      <c r="F4090" t="s">
        <v>46</v>
      </c>
      <c r="G4090">
        <v>-239.69489999999999</v>
      </c>
      <c r="H4090" s="1">
        <v>3.6663310000000002E-6</v>
      </c>
      <c r="I4090">
        <v>213.6096</v>
      </c>
      <c r="J4090">
        <v>-254.76949999999999</v>
      </c>
      <c r="K4090">
        <v>1.110735</v>
      </c>
      <c r="L4090">
        <v>215.49879999999999</v>
      </c>
      <c r="M4090">
        <v>0.99957629999999997</v>
      </c>
      <c r="N4090">
        <v>-1.463803E-2</v>
      </c>
      <c r="O4090">
        <v>2.5159730000000002E-2</v>
      </c>
      <c r="P4090">
        <v>0.94953359999999998</v>
      </c>
      <c r="Q4090">
        <v>0.30968200000000001</v>
      </c>
      <c r="R4090">
        <v>-4.983013E-2</v>
      </c>
      <c r="S4090">
        <v>3.2148279999999998</v>
      </c>
      <c r="T4090">
        <v>-0.23295440000000001</v>
      </c>
      <c r="U4090">
        <v>-0.39486690000000002</v>
      </c>
      <c r="V4090">
        <v>7.3678740000000006E-2</v>
      </c>
      <c r="W4090">
        <v>0.32353169999999998</v>
      </c>
      <c r="X4090">
        <v>0.94334439999999997</v>
      </c>
      <c r="Y4090">
        <v>0.14634949999999999</v>
      </c>
      <c r="Z4090">
        <v>-7.8006769999999998E-3</v>
      </c>
      <c r="AA4090">
        <v>0.98920220000000003</v>
      </c>
      <c r="AB4090">
        <v>35</v>
      </c>
      <c r="AC4090">
        <v>15.0746</v>
      </c>
      <c r="AD4090">
        <v>-1.1107313336689999</v>
      </c>
      <c r="AE4090">
        <v>-1.88919999999998</v>
      </c>
      <c r="AF4090">
        <v>2.2558574716325599</v>
      </c>
      <c r="AG4090">
        <v>-1.1107313336689999</v>
      </c>
      <c r="AH4090">
        <v>14.9424209509608</v>
      </c>
      <c r="AI4090">
        <v>94.203749058429693</v>
      </c>
      <c r="AJ4090">
        <v>81.414887519984305</v>
      </c>
      <c r="AK4090">
        <v>15.1525100529129</v>
      </c>
      <c r="AL4090">
        <v>71.123357562872599</v>
      </c>
      <c r="AM4090">
        <v>85.534050798871704</v>
      </c>
      <c r="AN4090">
        <v>0.99999998732211803</v>
      </c>
    </row>
    <row r="4091" spans="1:40" x14ac:dyDescent="0.25">
      <c r="A4091" t="str">
        <f>"20190304164932557"</f>
        <v>20190304164932557</v>
      </c>
      <c r="B4091" t="str">
        <f>"1551689372550264"</f>
        <v>1551689372550264</v>
      </c>
      <c r="C4091" t="s">
        <v>40</v>
      </c>
      <c r="D4091">
        <v>4.3248949999999997</v>
      </c>
      <c r="E4091">
        <v>0.54632899999999995</v>
      </c>
      <c r="F4091" t="s">
        <v>46</v>
      </c>
      <c r="G4091">
        <v>-239.39769999999999</v>
      </c>
      <c r="H4091" s="1">
        <v>3.5094019999999999E-6</v>
      </c>
      <c r="I4091">
        <v>213.58170000000001</v>
      </c>
      <c r="J4091">
        <v>-254.4186</v>
      </c>
      <c r="K4091">
        <v>1.110716</v>
      </c>
      <c r="L4091">
        <v>215.5076</v>
      </c>
      <c r="M4091">
        <v>0.99957750000000001</v>
      </c>
      <c r="N4091">
        <v>-1.4633780000000001E-2</v>
      </c>
      <c r="O4091">
        <v>2.5116719999999999E-2</v>
      </c>
      <c r="P4091">
        <v>0.94928990000000002</v>
      </c>
      <c r="Q4091">
        <v>0.31018030000000002</v>
      </c>
      <c r="R4091">
        <v>-5.135228E-2</v>
      </c>
      <c r="S4091">
        <v>3.2141419999999998</v>
      </c>
      <c r="T4091">
        <v>-0.23224620000000001</v>
      </c>
      <c r="U4091">
        <v>-0.40084839999999999</v>
      </c>
      <c r="V4091">
        <v>7.5172500000000003E-2</v>
      </c>
      <c r="W4091">
        <v>0.32401760000000002</v>
      </c>
      <c r="X4091">
        <v>0.9430598</v>
      </c>
      <c r="Y4091">
        <v>0.14814269999999999</v>
      </c>
      <c r="Z4091">
        <v>-7.8550059999999994E-3</v>
      </c>
      <c r="AA4091">
        <v>0.9889348</v>
      </c>
      <c r="AB4091">
        <v>35</v>
      </c>
      <c r="AC4091">
        <v>15.020899999999999</v>
      </c>
      <c r="AD4091">
        <v>-1.1107124905979999</v>
      </c>
      <c r="AE4091">
        <v>-1.92589999999998</v>
      </c>
      <c r="AF4091">
        <v>2.2902881372410602</v>
      </c>
      <c r="AG4091">
        <v>-1.1107124905979999</v>
      </c>
      <c r="AH4091">
        <v>14.887696624689699</v>
      </c>
      <c r="AI4091">
        <v>94.217279071889607</v>
      </c>
      <c r="AJ4091">
        <v>81.254314178511606</v>
      </c>
      <c r="AK4091">
        <v>15.1037284395991</v>
      </c>
      <c r="AL4091">
        <v>71.0939337343613</v>
      </c>
      <c r="AM4091">
        <v>85.442516583908997</v>
      </c>
      <c r="AN4091">
        <v>1.0000000481210201</v>
      </c>
    </row>
    <row r="4092" spans="1:40" x14ac:dyDescent="0.25">
      <c r="A4092" t="str">
        <f>"20190304164932572"</f>
        <v>20190304164932572</v>
      </c>
      <c r="B4092" t="str">
        <f>"1551689372560025"</f>
        <v>1551689372560025</v>
      </c>
      <c r="C4092" t="s">
        <v>40</v>
      </c>
      <c r="D4092">
        <v>4.3315349999999997</v>
      </c>
      <c r="E4092">
        <v>0.54631300000000005</v>
      </c>
      <c r="F4092" t="s">
        <v>46</v>
      </c>
      <c r="G4092">
        <v>-238.94640000000001</v>
      </c>
      <c r="H4092" s="1">
        <v>3.2703810000000002E-6</v>
      </c>
      <c r="I4092">
        <v>213.55670000000001</v>
      </c>
      <c r="J4092">
        <v>-254.17529999999999</v>
      </c>
      <c r="K4092">
        <v>1.1107049999999901</v>
      </c>
      <c r="L4092">
        <v>215.5137</v>
      </c>
      <c r="M4092">
        <v>0.99957810000000002</v>
      </c>
      <c r="N4092">
        <v>-1.4630850000000001E-2</v>
      </c>
      <c r="O4092">
        <v>2.5088019999999999E-2</v>
      </c>
      <c r="P4092">
        <v>0.949156</v>
      </c>
      <c r="Q4092">
        <v>0.31049690000000002</v>
      </c>
      <c r="R4092">
        <v>-5.190732E-2</v>
      </c>
      <c r="S4092">
        <v>3.2137150000000001</v>
      </c>
      <c r="T4092">
        <v>-0.23070560000000001</v>
      </c>
      <c r="U4092">
        <v>-0.40521239999999997</v>
      </c>
      <c r="V4092">
        <v>7.5707259999999998E-2</v>
      </c>
      <c r="W4092">
        <v>0.32432699999999998</v>
      </c>
      <c r="X4092">
        <v>0.94291060000000004</v>
      </c>
      <c r="Y4092">
        <v>0.1494547</v>
      </c>
      <c r="Z4092">
        <v>-7.8629919999999992E-3</v>
      </c>
      <c r="AA4092">
        <v>0.98873730000000004</v>
      </c>
      <c r="AB4092">
        <v>34</v>
      </c>
      <c r="AC4092">
        <v>15.2288999999999</v>
      </c>
      <c r="AD4092">
        <v>-1.1107017296189901</v>
      </c>
      <c r="AE4092">
        <v>-1.9569999999999901</v>
      </c>
      <c r="AF4092">
        <v>2.32631433980688</v>
      </c>
      <c r="AG4092">
        <v>-1.1107017296189901</v>
      </c>
      <c r="AH4092">
        <v>15.0960068169313</v>
      </c>
      <c r="AI4092">
        <v>94.159085869105496</v>
      </c>
      <c r="AJ4092">
        <v>81.239557255277006</v>
      </c>
      <c r="AK4092">
        <v>15.314529655089199</v>
      </c>
      <c r="AL4092">
        <v>71.075193437514699</v>
      </c>
      <c r="AM4092">
        <v>85.409510570696</v>
      </c>
      <c r="AN4092">
        <v>0.99999999586903299</v>
      </c>
    </row>
    <row r="4093" spans="1:40" x14ac:dyDescent="0.25">
      <c r="A4093" t="str">
        <f>"20190304164932587"</f>
        <v>20190304164932587</v>
      </c>
      <c r="B4093" t="str">
        <f>"1551689372579545"</f>
        <v>1551689372579545</v>
      </c>
      <c r="C4093" t="s">
        <v>40</v>
      </c>
      <c r="D4093">
        <v>4.3177139999999996</v>
      </c>
      <c r="E4093">
        <v>0.54625760000000001</v>
      </c>
      <c r="F4093" t="s">
        <v>46</v>
      </c>
      <c r="G4093">
        <v>-238.65369999999999</v>
      </c>
      <c r="H4093" s="1">
        <v>3.114983E-6</v>
      </c>
      <c r="I4093">
        <v>213.5479</v>
      </c>
      <c r="J4093">
        <v>-253.94470000000001</v>
      </c>
      <c r="K4093">
        <v>1.1107020000000001</v>
      </c>
      <c r="L4093">
        <v>215.51949999999999</v>
      </c>
      <c r="M4093">
        <v>0.999579</v>
      </c>
      <c r="N4093">
        <v>-1.462808E-2</v>
      </c>
      <c r="O4093">
        <v>2.506158E-2</v>
      </c>
      <c r="P4093">
        <v>0.94896329999999995</v>
      </c>
      <c r="Q4093">
        <v>0.31097750000000002</v>
      </c>
      <c r="R4093">
        <v>-5.2553490000000001E-2</v>
      </c>
      <c r="S4093">
        <v>3.2136840000000002</v>
      </c>
      <c r="T4093">
        <v>-0.229966</v>
      </c>
      <c r="U4093">
        <v>-0.40701290000000001</v>
      </c>
      <c r="V4093">
        <v>7.6331040000000003E-2</v>
      </c>
      <c r="W4093">
        <v>0.32480009999999998</v>
      </c>
      <c r="X4093">
        <v>0.94269749999999997</v>
      </c>
      <c r="Y4093">
        <v>0.14997639999999901</v>
      </c>
      <c r="Z4093">
        <v>-7.8608259999999996E-3</v>
      </c>
      <c r="AA4093">
        <v>0.98865829999999999</v>
      </c>
      <c r="AB4093">
        <v>34</v>
      </c>
      <c r="AC4093">
        <v>15.291</v>
      </c>
      <c r="AD4093">
        <v>-1.1106988850170001</v>
      </c>
      <c r="AE4093">
        <v>-1.97159999999999</v>
      </c>
      <c r="AF4093">
        <v>2.3420829811275601</v>
      </c>
      <c r="AG4093">
        <v>-1.1106988850170001</v>
      </c>
      <c r="AH4093">
        <v>15.158110252393801</v>
      </c>
      <c r="AI4093">
        <v>94.141840387893296</v>
      </c>
      <c r="AJ4093">
        <v>81.216672875371799</v>
      </c>
      <c r="AK4093">
        <v>15.3781439428622</v>
      </c>
      <c r="AL4093">
        <v>71.046536522301196</v>
      </c>
      <c r="AM4093">
        <v>85.370809818482897</v>
      </c>
      <c r="AN4093">
        <v>1.0000000545668599</v>
      </c>
    </row>
    <row r="4094" spans="1:40" x14ac:dyDescent="0.25">
      <c r="A4094" t="str">
        <f>"20190304164932601"</f>
        <v>20190304164932601</v>
      </c>
      <c r="B4094" t="str">
        <f>"1551689372590281"</f>
        <v>1551689372590281</v>
      </c>
      <c r="C4094" t="s">
        <v>40</v>
      </c>
      <c r="D4094">
        <v>4.3238430000000001</v>
      </c>
      <c r="E4094">
        <v>0.54624189999999995</v>
      </c>
      <c r="F4094" t="s">
        <v>46</v>
      </c>
      <c r="G4094">
        <v>-238.3468</v>
      </c>
      <c r="H4094" s="1">
        <v>2.9521379999999999E-6</v>
      </c>
      <c r="I4094">
        <v>213.53700000000001</v>
      </c>
      <c r="J4094">
        <v>-253.74430000000001</v>
      </c>
      <c r="K4094">
        <v>1.1107020000000001</v>
      </c>
      <c r="L4094">
        <v>215.52449999999999</v>
      </c>
      <c r="M4094">
        <v>0.99957949999999995</v>
      </c>
      <c r="N4094">
        <v>-1.462568E-2</v>
      </c>
      <c r="O4094">
        <v>2.5038640000000001E-2</v>
      </c>
      <c r="P4094">
        <v>0.94871859999999997</v>
      </c>
      <c r="Q4094">
        <v>0.31160880000000002</v>
      </c>
      <c r="R4094">
        <v>-5.3226900000000001E-2</v>
      </c>
      <c r="S4094">
        <v>3.2137150000000001</v>
      </c>
      <c r="T4094">
        <v>-0.22884289999999999</v>
      </c>
      <c r="U4094">
        <v>-0.40846250000000001</v>
      </c>
      <c r="V4094">
        <v>7.6982499999999995E-2</v>
      </c>
      <c r="W4094">
        <v>0.32542379999999999</v>
      </c>
      <c r="X4094">
        <v>0.94242939999999997</v>
      </c>
      <c r="Y4094">
        <v>0.1503948</v>
      </c>
      <c r="Z4094">
        <v>-7.8423639999999992E-3</v>
      </c>
      <c r="AA4094">
        <v>0.98859490000000005</v>
      </c>
      <c r="AB4094">
        <v>34</v>
      </c>
      <c r="AC4094">
        <v>15.397500000000001</v>
      </c>
      <c r="AD4094">
        <v>-1.110699047862</v>
      </c>
      <c r="AE4094">
        <v>-1.9874999999999801</v>
      </c>
      <c r="AF4094">
        <v>2.3603696414976798</v>
      </c>
      <c r="AG4094">
        <v>-1.110699047862</v>
      </c>
      <c r="AH4094">
        <v>15.2647740450229</v>
      </c>
      <c r="AI4094">
        <v>94.112926020559399</v>
      </c>
      <c r="AJ4094">
        <v>81.210052244641304</v>
      </c>
      <c r="AK4094">
        <v>15.486068702709201</v>
      </c>
      <c r="AL4094">
        <v>71.008748517072306</v>
      </c>
      <c r="AM4094">
        <v>85.330152908628904</v>
      </c>
      <c r="AN4094">
        <v>1.0000000644485201</v>
      </c>
    </row>
    <row r="4095" spans="1:40" x14ac:dyDescent="0.25">
      <c r="A4095" t="str">
        <f>"20190304164932622"</f>
        <v>20190304164932622</v>
      </c>
      <c r="B4095" t="str">
        <f>"1551689372609800"</f>
        <v>1551689372609800</v>
      </c>
      <c r="C4095" t="s">
        <v>40</v>
      </c>
      <c r="D4095">
        <v>4.3377990000000004</v>
      </c>
      <c r="E4095">
        <v>0.54620389999999996</v>
      </c>
      <c r="F4095" t="s">
        <v>46</v>
      </c>
      <c r="G4095">
        <v>-238.02010000000001</v>
      </c>
      <c r="H4095" s="1">
        <v>2.779331E-6</v>
      </c>
      <c r="I4095">
        <v>213.51349999999999</v>
      </c>
      <c r="J4095">
        <v>-253.40559999999999</v>
      </c>
      <c r="K4095">
        <v>1.1106959999999999</v>
      </c>
      <c r="L4095">
        <v>215.53299999999999</v>
      </c>
      <c r="M4095">
        <v>0.99958060000000004</v>
      </c>
      <c r="N4095">
        <v>-1.46217E-2</v>
      </c>
      <c r="O4095">
        <v>2.4999210000000001E-2</v>
      </c>
      <c r="P4095">
        <v>0.94830879999999995</v>
      </c>
      <c r="Q4095">
        <v>0.31275540000000002</v>
      </c>
      <c r="R4095">
        <v>-5.379892E-2</v>
      </c>
      <c r="S4095">
        <v>3.213654</v>
      </c>
      <c r="T4095">
        <v>-0.22700110000000001</v>
      </c>
      <c r="U4095">
        <v>-0.41099550000000001</v>
      </c>
      <c r="V4095">
        <v>7.7514799999999995E-2</v>
      </c>
      <c r="W4095">
        <v>0.32655889999999999</v>
      </c>
      <c r="X4095">
        <v>0.94199299999999997</v>
      </c>
      <c r="Y4095">
        <v>0.15113019999999999</v>
      </c>
      <c r="Z4095">
        <v>-7.8140299999999996E-3</v>
      </c>
      <c r="AA4095">
        <v>0.988483</v>
      </c>
      <c r="AB4095">
        <v>34</v>
      </c>
      <c r="AC4095">
        <v>15.385499999999899</v>
      </c>
      <c r="AD4095">
        <v>-1.1106932206689999</v>
      </c>
      <c r="AE4095">
        <v>-2.0194999999999901</v>
      </c>
      <c r="AF4095">
        <v>2.3912839906355701</v>
      </c>
      <c r="AG4095">
        <v>-1.1106932206689999</v>
      </c>
      <c r="AH4095">
        <v>15.252059027449601</v>
      </c>
      <c r="AI4095">
        <v>94.1149773223419</v>
      </c>
      <c r="AJ4095">
        <v>81.089457559125194</v>
      </c>
      <c r="AK4095">
        <v>15.478281013443301</v>
      </c>
      <c r="AL4095">
        <v>70.939953454514296</v>
      </c>
      <c r="AM4095">
        <v>85.295838731547704</v>
      </c>
      <c r="AN4095">
        <v>1.0000000357186201</v>
      </c>
    </row>
    <row r="4096" spans="1:40" x14ac:dyDescent="0.25">
      <c r="A4096" t="str">
        <f>"20190304164932640"</f>
        <v>20190304164932640</v>
      </c>
      <c r="B4096" t="str">
        <f>"1551689372630297"</f>
        <v>1551689372630297</v>
      </c>
      <c r="C4096" t="s">
        <v>40</v>
      </c>
      <c r="D4096">
        <v>4.3011839999999903</v>
      </c>
      <c r="E4096">
        <v>0.54616239999999905</v>
      </c>
      <c r="F4096" t="s">
        <v>46</v>
      </c>
      <c r="G4096">
        <v>-237.46860000000001</v>
      </c>
      <c r="H4096" s="1">
        <v>2.487097E-6</v>
      </c>
      <c r="I4096">
        <v>213.48509999999999</v>
      </c>
      <c r="J4096">
        <v>-253.14320000000001</v>
      </c>
      <c r="K4096">
        <v>1.1106940000000001</v>
      </c>
      <c r="L4096">
        <v>215.5395</v>
      </c>
      <c r="M4096">
        <v>0.99958150000000001</v>
      </c>
      <c r="N4096">
        <v>-1.4618620000000001E-2</v>
      </c>
      <c r="O4096">
        <v>2.4965970000000001E-2</v>
      </c>
      <c r="P4096">
        <v>0.94834370000000001</v>
      </c>
      <c r="Q4096">
        <v>0.31262440000000002</v>
      </c>
      <c r="R4096">
        <v>-5.3948500000000003E-2</v>
      </c>
      <c r="S4096">
        <v>3.2139890000000002</v>
      </c>
      <c r="T4096">
        <v>-0.22399259999999999</v>
      </c>
      <c r="U4096">
        <v>-0.41299439999999998</v>
      </c>
      <c r="V4096">
        <v>7.7639059999999996E-2</v>
      </c>
      <c r="W4096">
        <v>0.32642359999999998</v>
      </c>
      <c r="X4096">
        <v>0.94202960000000002</v>
      </c>
      <c r="Y4096">
        <v>0.15169969999999999</v>
      </c>
      <c r="Z4096">
        <v>-7.7415660000000001E-3</v>
      </c>
      <c r="AA4096">
        <v>0.98839630000000001</v>
      </c>
      <c r="AB4096">
        <v>34</v>
      </c>
      <c r="AC4096">
        <v>15.6745999999999</v>
      </c>
      <c r="AD4096">
        <v>-1.1106915129029999</v>
      </c>
      <c r="AE4096">
        <v>-2.05440000000001</v>
      </c>
      <c r="AF4096">
        <v>2.4331223949738998</v>
      </c>
      <c r="AG4096">
        <v>-1.1106915129029999</v>
      </c>
      <c r="AH4096">
        <v>15.5416999633307</v>
      </c>
      <c r="AI4096">
        <v>94.038680523463896</v>
      </c>
      <c r="AJ4096">
        <v>81.102313284341705</v>
      </c>
      <c r="AK4096">
        <v>15.770166707297401</v>
      </c>
      <c r="AL4096">
        <v>70.948153890257004</v>
      </c>
      <c r="AM4096">
        <v>85.288513891021097</v>
      </c>
      <c r="AN4096">
        <v>0.99999997877540103</v>
      </c>
    </row>
    <row r="4097" spans="1:40" x14ac:dyDescent="0.25">
      <c r="A4097" t="str">
        <f>"20190304164932654"</f>
        <v>20190304164932654</v>
      </c>
      <c r="B4097" t="str">
        <f>"1551689372649816"</f>
        <v>1551689372649816</v>
      </c>
      <c r="C4097" t="s">
        <v>40</v>
      </c>
      <c r="D4097">
        <v>4.3114049999999997</v>
      </c>
      <c r="E4097">
        <v>0.5461163</v>
      </c>
      <c r="F4097" t="s">
        <v>46</v>
      </c>
      <c r="G4097">
        <v>-237.298</v>
      </c>
      <c r="H4097" s="1">
        <v>2.3955580000000001E-6</v>
      </c>
      <c r="I4097">
        <v>213.50139999999999</v>
      </c>
      <c r="J4097">
        <v>-252.91669999999999</v>
      </c>
      <c r="K4097">
        <v>1.110687</v>
      </c>
      <c r="L4097">
        <v>215.54519999999999</v>
      </c>
      <c r="M4097">
        <v>0.99958239999999998</v>
      </c>
      <c r="N4097">
        <v>-1.4615990000000001E-2</v>
      </c>
      <c r="O4097">
        <v>2.4935309999999999E-2</v>
      </c>
      <c r="P4097">
        <v>0.94822879999999998</v>
      </c>
      <c r="Q4097">
        <v>0.312971</v>
      </c>
      <c r="R4097">
        <v>-5.395585E-2</v>
      </c>
      <c r="S4097">
        <v>3.214172</v>
      </c>
      <c r="T4097">
        <v>-0.2253008</v>
      </c>
      <c r="U4097">
        <v>-0.4134216</v>
      </c>
      <c r="V4097">
        <v>7.7619170000000001E-2</v>
      </c>
      <c r="W4097">
        <v>0.32676519999999998</v>
      </c>
      <c r="X4097">
        <v>0.94191279999999999</v>
      </c>
      <c r="Y4097">
        <v>0.15178620000000001</v>
      </c>
      <c r="Z4097">
        <v>-7.7836880000000004E-3</v>
      </c>
      <c r="AA4097">
        <v>0.98838269999999995</v>
      </c>
      <c r="AB4097">
        <v>34</v>
      </c>
      <c r="AC4097">
        <v>15.618699999999899</v>
      </c>
      <c r="AD4097">
        <v>-1.110684604442</v>
      </c>
      <c r="AE4097">
        <v>-2.0438000000000001</v>
      </c>
      <c r="AF4097">
        <v>2.4206280362013599</v>
      </c>
      <c r="AG4097">
        <v>-1.110684604442</v>
      </c>
      <c r="AH4097">
        <v>15.485880871499599</v>
      </c>
      <c r="AI4097">
        <v>94.053314048730797</v>
      </c>
      <c r="AJ4097">
        <v>81.115876723895397</v>
      </c>
      <c r="AK4097">
        <v>15.7132290362759</v>
      </c>
      <c r="AL4097">
        <v>70.927446100623001</v>
      </c>
      <c r="AM4097">
        <v>85.289134012915696</v>
      </c>
      <c r="AN4097">
        <v>0.999999977143184</v>
      </c>
    </row>
    <row r="4098" spans="1:40" x14ac:dyDescent="0.25">
      <c r="A4098" t="str">
        <f>"20190304164932670"</f>
        <v>20190304164932670</v>
      </c>
      <c r="B4098" t="str">
        <f>"1551689372660553"</f>
        <v>1551689372660553</v>
      </c>
      <c r="C4098" t="s">
        <v>40</v>
      </c>
      <c r="D4098">
        <v>4.4057409999999999</v>
      </c>
      <c r="E4098">
        <v>0.54613080000000003</v>
      </c>
      <c r="F4098" t="s">
        <v>46</v>
      </c>
      <c r="G4098">
        <v>-237.06209999999999</v>
      </c>
      <c r="H4098" s="1">
        <v>2.2698880000000002E-6</v>
      </c>
      <c r="I4098">
        <v>213.5052</v>
      </c>
      <c r="J4098">
        <v>-252.6823</v>
      </c>
      <c r="K4098">
        <v>1.1106819999999999</v>
      </c>
      <c r="L4098">
        <v>215.55099999999999</v>
      </c>
      <c r="M4098">
        <v>0.99958329999999995</v>
      </c>
      <c r="N4098">
        <v>-1.4613309999999999E-2</v>
      </c>
      <c r="O4098">
        <v>2.4897059999999999E-2</v>
      </c>
      <c r="P4098">
        <v>0.94817249999999997</v>
      </c>
      <c r="Q4098">
        <v>0.31314520000000001</v>
      </c>
      <c r="R4098">
        <v>-5.3937880000000001E-2</v>
      </c>
      <c r="S4098">
        <v>3.2145999999999999</v>
      </c>
      <c r="T4098">
        <v>-0.2251976</v>
      </c>
      <c r="U4098">
        <v>-0.41361999999999999</v>
      </c>
      <c r="V4098">
        <v>7.7569170000000007E-2</v>
      </c>
      <c r="W4098">
        <v>0.32693470000000002</v>
      </c>
      <c r="X4098">
        <v>0.94185810000000003</v>
      </c>
      <c r="Y4098">
        <v>0.15179229999999999</v>
      </c>
      <c r="Z4098">
        <v>-7.7775329999999997E-3</v>
      </c>
      <c r="AA4098">
        <v>0.98838179999999998</v>
      </c>
      <c r="AB4098">
        <v>34</v>
      </c>
      <c r="AC4098">
        <v>15.620200000000001</v>
      </c>
      <c r="AD4098">
        <v>-1.1106797301119999</v>
      </c>
      <c r="AE4098">
        <v>-2.0457999999999799</v>
      </c>
      <c r="AF4098">
        <v>2.4220648886826401</v>
      </c>
      <c r="AG4098">
        <v>-1.1106797301119999</v>
      </c>
      <c r="AH4098">
        <v>15.4874337121921</v>
      </c>
      <c r="AI4098">
        <v>94.052843739317893</v>
      </c>
      <c r="AJ4098">
        <v>81.111564472278701</v>
      </c>
      <c r="AK4098">
        <v>15.714980457430199</v>
      </c>
      <c r="AL4098">
        <v>70.917170071843898</v>
      </c>
      <c r="AM4098">
        <v>85.291882783452493</v>
      </c>
      <c r="AN4098">
        <v>0.99999997736709401</v>
      </c>
    </row>
    <row r="4099" spans="1:40" x14ac:dyDescent="0.25">
      <c r="A4099" t="str">
        <f>"20190304164932690"</f>
        <v>20190304164932690</v>
      </c>
      <c r="B4099" t="str">
        <f>"1551689372680073"</f>
        <v>1551689372680073</v>
      </c>
      <c r="C4099" t="s">
        <v>40</v>
      </c>
      <c r="D4099">
        <v>4.3544530000000004</v>
      </c>
      <c r="E4099">
        <v>0.54613489999999998</v>
      </c>
      <c r="F4099" t="s">
        <v>46</v>
      </c>
      <c r="G4099">
        <v>-236.82140000000001</v>
      </c>
      <c r="H4099" s="1">
        <v>2.141839E-6</v>
      </c>
      <c r="I4099">
        <v>213.50389999999999</v>
      </c>
      <c r="J4099">
        <v>-252.37209999999999</v>
      </c>
      <c r="K4099">
        <v>1.1106670000000001</v>
      </c>
      <c r="L4099">
        <v>215.55869999999999</v>
      </c>
      <c r="M4099">
        <v>0.99958499999999995</v>
      </c>
      <c r="N4099">
        <v>-1.4609799999999999E-2</v>
      </c>
      <c r="O4099">
        <v>2.482989E-2</v>
      </c>
      <c r="P4099">
        <v>0.9480845</v>
      </c>
      <c r="Q4099">
        <v>0.31345689999999998</v>
      </c>
      <c r="R4099">
        <v>-5.3672369999999997E-2</v>
      </c>
      <c r="S4099">
        <v>3.2147220000000001</v>
      </c>
      <c r="T4099">
        <v>-0.2251157</v>
      </c>
      <c r="U4099">
        <v>-0.41490169999999998</v>
      </c>
      <c r="V4099">
        <v>7.724955E-2</v>
      </c>
      <c r="W4099">
        <v>0.32723930000000001</v>
      </c>
      <c r="X4099">
        <v>0.94177860000000002</v>
      </c>
      <c r="Y4099">
        <v>0.152108299999999</v>
      </c>
      <c r="Z4099">
        <v>-7.7840239999999996E-3</v>
      </c>
      <c r="AA4099">
        <v>0.98833320000000002</v>
      </c>
      <c r="AB4099">
        <v>34</v>
      </c>
      <c r="AC4099">
        <v>15.5506999999999</v>
      </c>
      <c r="AD4099">
        <v>-1.1106648581609999</v>
      </c>
      <c r="AE4099">
        <v>-2.0548000000000002</v>
      </c>
      <c r="AF4099">
        <v>2.4281559276407401</v>
      </c>
      <c r="AG4099">
        <v>-1.1106648581609999</v>
      </c>
      <c r="AH4099">
        <v>15.417581203089499</v>
      </c>
      <c r="AI4099">
        <v>94.070404238885601</v>
      </c>
      <c r="AJ4099">
        <v>81.049851522560402</v>
      </c>
      <c r="AK4099">
        <v>15.647086878711599</v>
      </c>
      <c r="AL4099">
        <v>70.8987022109891</v>
      </c>
      <c r="AM4099">
        <v>85.310801638627595</v>
      </c>
      <c r="AN4099">
        <v>0.99999999192882605</v>
      </c>
    </row>
    <row r="4100" spans="1:40" x14ac:dyDescent="0.25">
      <c r="A4100" t="str">
        <f>"20190304164932712"</f>
        <v>20190304164932712</v>
      </c>
      <c r="B4100" t="str">
        <f>"1551689372699593"</f>
        <v>1551689372699593</v>
      </c>
      <c r="C4100" t="s">
        <v>40</v>
      </c>
      <c r="D4100">
        <v>4.2540639999999996</v>
      </c>
      <c r="E4100">
        <v>0.55876419999999904</v>
      </c>
      <c r="F4100" t="s">
        <v>46</v>
      </c>
      <c r="G4100">
        <v>-236.47790000000001</v>
      </c>
      <c r="H4100" s="1">
        <v>1.9590300000000002E-6</v>
      </c>
      <c r="I4100">
        <v>213.5044</v>
      </c>
      <c r="J4100">
        <v>-252.03980000000001</v>
      </c>
      <c r="K4100">
        <v>1.110649</v>
      </c>
      <c r="L4100">
        <v>215.5668</v>
      </c>
      <c r="M4100">
        <v>0.99958749999999996</v>
      </c>
      <c r="N4100">
        <v>-1.4606050000000001E-2</v>
      </c>
      <c r="O4100">
        <v>2.4726789999999998E-2</v>
      </c>
      <c r="P4100">
        <v>0.94790810000000003</v>
      </c>
      <c r="Q4100">
        <v>0.31404720000000003</v>
      </c>
      <c r="R4100">
        <v>-5.3332089999999999E-2</v>
      </c>
      <c r="S4100">
        <v>3.215042</v>
      </c>
      <c r="T4100">
        <v>-0.2246631</v>
      </c>
      <c r="U4100">
        <v>-0.41552729999999999</v>
      </c>
      <c r="V4100">
        <v>7.6827119999999999E-2</v>
      </c>
      <c r="W4100">
        <v>0.32781919999999998</v>
      </c>
      <c r="X4100">
        <v>0.94161150000000005</v>
      </c>
      <c r="Y4100">
        <v>0.15218489999999901</v>
      </c>
      <c r="Z4100">
        <v>-7.7665219999999997E-3</v>
      </c>
      <c r="AA4100">
        <v>0.98832149999999996</v>
      </c>
      <c r="AB4100">
        <v>34</v>
      </c>
      <c r="AC4100">
        <v>15.5619</v>
      </c>
      <c r="AD4100">
        <v>-1.11064704097</v>
      </c>
      <c r="AE4100">
        <v>-2.06239999999999</v>
      </c>
      <c r="AF4100">
        <v>2.43442019136462</v>
      </c>
      <c r="AG4100">
        <v>-1.11064704097</v>
      </c>
      <c r="AH4100">
        <v>15.4289063545981</v>
      </c>
      <c r="AI4100">
        <v>94.067180404672598</v>
      </c>
      <c r="AJ4100">
        <v>81.033615975751204</v>
      </c>
      <c r="AK4100">
        <v>15.659217407543</v>
      </c>
      <c r="AL4100">
        <v>70.863537363401505</v>
      </c>
      <c r="AM4100">
        <v>85.335506573691603</v>
      </c>
      <c r="AN4100">
        <v>1.0000000255941901</v>
      </c>
    </row>
    <row r="4101" spans="1:40" x14ac:dyDescent="0.25">
      <c r="A4101" t="str">
        <f>"20190304164932729"</f>
        <v>20190304164932729</v>
      </c>
      <c r="B4101" t="str">
        <f>"1551689372720089"</f>
        <v>1551689372720089</v>
      </c>
      <c r="C4101" t="s">
        <v>40</v>
      </c>
      <c r="D4101">
        <v>4.2905470000000001</v>
      </c>
      <c r="E4101">
        <v>0.56039069999999902</v>
      </c>
      <c r="F4101" t="s">
        <v>46</v>
      </c>
      <c r="G4101">
        <v>-236.2962</v>
      </c>
      <c r="H4101" s="1">
        <v>1.882954E-6</v>
      </c>
      <c r="I4101">
        <v>213.0334</v>
      </c>
      <c r="J4101">
        <v>-251.77709999999999</v>
      </c>
      <c r="K4101">
        <v>1.110625</v>
      </c>
      <c r="L4101">
        <v>215.57320000000001</v>
      </c>
      <c r="M4101">
        <v>0.99959050000000005</v>
      </c>
      <c r="N4101">
        <v>-1.4603130000000001E-2</v>
      </c>
      <c r="O4101">
        <v>2.4613630000000001E-2</v>
      </c>
      <c r="P4101">
        <v>0.94779069999999999</v>
      </c>
      <c r="Q4101">
        <v>0.31437540000000003</v>
      </c>
      <c r="R4101">
        <v>-5.3487130000000001E-2</v>
      </c>
      <c r="S4101">
        <v>3.2108310000000002</v>
      </c>
      <c r="T4101">
        <v>-0.2265122</v>
      </c>
      <c r="U4101">
        <v>-0.51669309999999902</v>
      </c>
      <c r="V4101">
        <v>7.6893400000000001E-2</v>
      </c>
      <c r="W4101">
        <v>0.32813809999999999</v>
      </c>
      <c r="X4101">
        <v>0.94149499999999997</v>
      </c>
      <c r="Y4101">
        <v>0.18255950000000001</v>
      </c>
      <c r="Z4101">
        <v>-9.1012699999999998E-3</v>
      </c>
      <c r="AA4101">
        <v>0.98315269999999999</v>
      </c>
      <c r="AB4101">
        <v>34</v>
      </c>
      <c r="AC4101">
        <v>15.480899999999901</v>
      </c>
      <c r="AD4101">
        <v>-1.1106231170459999</v>
      </c>
      <c r="AE4101">
        <v>-2.5398000000000098</v>
      </c>
      <c r="AF4101">
        <v>2.90554965584636</v>
      </c>
      <c r="AG4101">
        <v>-1.1106231170459999</v>
      </c>
      <c r="AH4101">
        <v>15.3368212455362</v>
      </c>
      <c r="AI4101">
        <v>94.069731036051493</v>
      </c>
      <c r="AJ4101">
        <v>79.272490820430804</v>
      </c>
      <c r="AK4101">
        <v>15.649082670503001</v>
      </c>
      <c r="AL4101">
        <v>70.844195782626102</v>
      </c>
      <c r="AM4101">
        <v>85.330925096243902</v>
      </c>
      <c r="AN4101">
        <v>1.0000000213300799</v>
      </c>
    </row>
    <row r="4102" spans="1:40" x14ac:dyDescent="0.25">
      <c r="A4102" t="str">
        <f>"20190304164932742"</f>
        <v>20190304164932742</v>
      </c>
      <c r="B4102" t="str">
        <f>"1551689372729849"</f>
        <v>1551689372729849</v>
      </c>
      <c r="C4102" t="s">
        <v>40</v>
      </c>
      <c r="D4102">
        <v>4.2615160000000003</v>
      </c>
      <c r="E4102">
        <v>0.56110079999999996</v>
      </c>
      <c r="F4102" t="s">
        <v>46</v>
      </c>
      <c r="G4102">
        <v>-235.02850000000001</v>
      </c>
      <c r="H4102" s="1">
        <v>1.2187850000000001E-6</v>
      </c>
      <c r="I4102">
        <v>212.79409999999999</v>
      </c>
      <c r="J4102">
        <v>-251.57230000000001</v>
      </c>
      <c r="K4102">
        <v>1.110598</v>
      </c>
      <c r="L4102">
        <v>215.57820000000001</v>
      </c>
      <c r="M4102">
        <v>0.99959330000000002</v>
      </c>
      <c r="N4102">
        <v>-1.460087E-2</v>
      </c>
      <c r="O4102">
        <v>2.4503110000000002E-2</v>
      </c>
      <c r="P4102">
        <v>0.94776269999999996</v>
      </c>
      <c r="Q4102">
        <v>0.31448609999999999</v>
      </c>
      <c r="R4102">
        <v>-5.3337519999999999E-2</v>
      </c>
      <c r="S4102">
        <v>3.205765</v>
      </c>
      <c r="T4102">
        <v>-0.21257889999999999</v>
      </c>
      <c r="U4102">
        <v>-0.53195190000000003</v>
      </c>
      <c r="V4102">
        <v>7.6658030000000002E-2</v>
      </c>
      <c r="W4102">
        <v>0.32824170000000003</v>
      </c>
      <c r="X4102">
        <v>0.94147809999999998</v>
      </c>
      <c r="Y4102">
        <v>0.18730069999999999</v>
      </c>
      <c r="Z4102">
        <v>-8.7976740000000001E-3</v>
      </c>
      <c r="AA4102">
        <v>0.9822632</v>
      </c>
      <c r="AB4102">
        <v>34</v>
      </c>
      <c r="AC4102">
        <v>16.543800000000001</v>
      </c>
      <c r="AD4102">
        <v>-1.1105967812149999</v>
      </c>
      <c r="AE4102">
        <v>-2.78410000000002</v>
      </c>
      <c r="AF4102">
        <v>3.1747684393638802</v>
      </c>
      <c r="AG4102">
        <v>-1.1105967812149999</v>
      </c>
      <c r="AH4102">
        <v>16.398739222973798</v>
      </c>
      <c r="AI4102">
        <v>93.803994508308804</v>
      </c>
      <c r="AJ4102">
        <v>79.043179486736094</v>
      </c>
      <c r="AK4102">
        <v>16.740108361570599</v>
      </c>
      <c r="AL4102">
        <v>70.837912257417003</v>
      </c>
      <c r="AM4102">
        <v>85.3450710019181</v>
      </c>
      <c r="AN4102">
        <v>1.0000000399809801</v>
      </c>
    </row>
    <row r="4103" spans="1:40" x14ac:dyDescent="0.25">
      <c r="A4103" t="str">
        <f>"20190304164932757"</f>
        <v>20190304164932757</v>
      </c>
      <c r="B4103" t="str">
        <f>"1551689372750345"</f>
        <v>1551689372750345</v>
      </c>
      <c r="C4103" t="s">
        <v>40</v>
      </c>
      <c r="D4103">
        <v>4.276408</v>
      </c>
      <c r="E4103">
        <v>0.56051759999999995</v>
      </c>
      <c r="F4103" t="s">
        <v>46</v>
      </c>
      <c r="G4103">
        <v>-234.64429999999999</v>
      </c>
      <c r="H4103" s="1">
        <v>1.016864E-6</v>
      </c>
      <c r="I4103">
        <v>212.7362</v>
      </c>
      <c r="J4103">
        <v>-251.35239999999999</v>
      </c>
      <c r="K4103">
        <v>1.1105689999999999</v>
      </c>
      <c r="L4103">
        <v>215.58349999999999</v>
      </c>
      <c r="M4103">
        <v>0.99959659999999995</v>
      </c>
      <c r="N4103">
        <v>-1.459848E-2</v>
      </c>
      <c r="O4103">
        <v>2.436425E-2</v>
      </c>
      <c r="P4103">
        <v>0.94761600000000001</v>
      </c>
      <c r="Q4103">
        <v>0.31489149999999999</v>
      </c>
      <c r="R4103">
        <v>-5.354892E-2</v>
      </c>
      <c r="S4103">
        <v>3.2048489999999998</v>
      </c>
      <c r="T4103">
        <v>-0.21026130000000001</v>
      </c>
      <c r="U4103">
        <v>-0.53805539999999996</v>
      </c>
      <c r="V4103">
        <v>7.6758580000000007E-2</v>
      </c>
      <c r="W4103">
        <v>0.32863710000000002</v>
      </c>
      <c r="X4103">
        <v>0.9413319</v>
      </c>
      <c r="Y4103">
        <v>0.18903539999999999</v>
      </c>
      <c r="Z4103">
        <v>-8.7763259999999992E-3</v>
      </c>
      <c r="AA4103">
        <v>0.981931</v>
      </c>
      <c r="AB4103">
        <v>34</v>
      </c>
      <c r="AC4103">
        <v>16.708100000000002</v>
      </c>
      <c r="AD4103">
        <v>-1.110567983136</v>
      </c>
      <c r="AE4103">
        <v>-2.84729999999999</v>
      </c>
      <c r="AF4103">
        <v>3.2396690199684199</v>
      </c>
      <c r="AG4103">
        <v>-1.110567983136</v>
      </c>
      <c r="AH4103">
        <v>16.5626489612212</v>
      </c>
      <c r="AI4103">
        <v>93.764950506994595</v>
      </c>
      <c r="AJ4103">
        <v>78.932626994242199</v>
      </c>
      <c r="AK4103">
        <v>16.913017389477002</v>
      </c>
      <c r="AL4103">
        <v>70.813925816015001</v>
      </c>
      <c r="AM4103">
        <v>85.338271438655994</v>
      </c>
      <c r="AN4103">
        <v>0.999999984528818</v>
      </c>
    </row>
    <row r="4104" spans="1:40" x14ac:dyDescent="0.25">
      <c r="A4104" t="str">
        <f>"20190304164932774"</f>
        <v>20190304164932774</v>
      </c>
      <c r="B4104" t="str">
        <f>"1551689372769865"</f>
        <v>1551689372769865</v>
      </c>
      <c r="C4104" t="s">
        <v>40</v>
      </c>
      <c r="D4104">
        <v>4.2437120000000004</v>
      </c>
      <c r="E4104">
        <v>0.56049199999999999</v>
      </c>
      <c r="F4104" t="s">
        <v>46</v>
      </c>
      <c r="G4104">
        <v>-239.27590000000001</v>
      </c>
      <c r="H4104" s="1">
        <v>3.4430450000000001E-6</v>
      </c>
      <c r="I4104">
        <v>213.61779999999999</v>
      </c>
      <c r="J4104">
        <v>-251.08779999999999</v>
      </c>
      <c r="K4104">
        <v>1.1105290000000001</v>
      </c>
      <c r="L4104">
        <v>215.5898</v>
      </c>
      <c r="M4104">
        <v>0.99960170000000004</v>
      </c>
      <c r="N4104">
        <v>-1.4595779999999999E-2</v>
      </c>
      <c r="O4104">
        <v>2.4155030000000001E-2</v>
      </c>
      <c r="P4104">
        <v>0.94753560000000003</v>
      </c>
      <c r="Q4104">
        <v>0.31507629999999998</v>
      </c>
      <c r="R4104">
        <v>-5.3880579999999997E-2</v>
      </c>
      <c r="S4104">
        <v>3.2349399999999999</v>
      </c>
      <c r="T4104">
        <v>-0.29748799999999997</v>
      </c>
      <c r="U4104">
        <v>-0.52655030000000003</v>
      </c>
      <c r="V4104">
        <v>7.6923149999999996E-2</v>
      </c>
      <c r="W4104">
        <v>0.32881050000000001</v>
      </c>
      <c r="X4104">
        <v>0.94125800000000004</v>
      </c>
      <c r="Y4104">
        <v>0.18350420000000001</v>
      </c>
      <c r="Z4104">
        <v>-1.156999E-2</v>
      </c>
      <c r="AA4104">
        <v>0.98295080000000001</v>
      </c>
      <c r="AB4104">
        <v>34</v>
      </c>
      <c r="AC4104">
        <v>11.8118999999999</v>
      </c>
      <c r="AD4104">
        <v>-1.1105255569550001</v>
      </c>
      <c r="AE4104">
        <v>-1.972</v>
      </c>
      <c r="AF4104">
        <v>2.23752981550229</v>
      </c>
      <c r="AG4104">
        <v>-1.1105255569550001</v>
      </c>
      <c r="AH4104">
        <v>11.6605380576576</v>
      </c>
      <c r="AI4104">
        <v>95.343415812547406</v>
      </c>
      <c r="AJ4104">
        <v>79.1376045792708</v>
      </c>
      <c r="AK4104">
        <v>11.925097671801</v>
      </c>
      <c r="AL4104">
        <v>70.803407796271102</v>
      </c>
      <c r="AM4104">
        <v>85.327955749408204</v>
      </c>
      <c r="AN4104">
        <v>1.0000000692400799</v>
      </c>
    </row>
    <row r="4105" spans="1:40" x14ac:dyDescent="0.25">
      <c r="A4105" t="str">
        <f>"20190304164932787"</f>
        <v>20190304164932787</v>
      </c>
      <c r="B4105" t="str">
        <f>"1551689372779625"</f>
        <v>1551689372779625</v>
      </c>
      <c r="C4105" t="s">
        <v>40</v>
      </c>
      <c r="D4105">
        <v>4.3398329999999996</v>
      </c>
      <c r="E4105">
        <v>0.56036490000000005</v>
      </c>
      <c r="F4105" t="s">
        <v>46</v>
      </c>
      <c r="G4105">
        <v>-238.6225</v>
      </c>
      <c r="H4105" s="1">
        <v>3.098192E-6</v>
      </c>
      <c r="I4105">
        <v>213.55160000000001</v>
      </c>
      <c r="J4105">
        <v>-250.88630000000001</v>
      </c>
      <c r="K4105">
        <v>1.110501</v>
      </c>
      <c r="L4105">
        <v>215.59440000000001</v>
      </c>
      <c r="M4105">
        <v>0.99960640000000001</v>
      </c>
      <c r="N4105">
        <v>-1.4593790000000001E-2</v>
      </c>
      <c r="O4105">
        <v>2.3962290000000001E-2</v>
      </c>
      <c r="P4105">
        <v>0.94744059999999997</v>
      </c>
      <c r="Q4105">
        <v>0.31531609999999999</v>
      </c>
      <c r="R4105">
        <v>-5.4149080000000002E-2</v>
      </c>
      <c r="S4105">
        <v>3.2318120000000001</v>
      </c>
      <c r="T4105">
        <v>-0.28791809999999901</v>
      </c>
      <c r="U4105">
        <v>-0.52841190000000005</v>
      </c>
      <c r="V4105">
        <v>7.7033190000000001E-2</v>
      </c>
      <c r="W4105">
        <v>0.32904099999999997</v>
      </c>
      <c r="X4105">
        <v>0.94116840000000002</v>
      </c>
      <c r="Y4105">
        <v>0.1840704</v>
      </c>
      <c r="Z4105">
        <v>-1.1255289999999999E-2</v>
      </c>
      <c r="AA4105">
        <v>0.98284859999999996</v>
      </c>
      <c r="AB4105">
        <v>34</v>
      </c>
      <c r="AC4105">
        <v>12.2638</v>
      </c>
      <c r="AD4105">
        <v>-1.1104979018079999</v>
      </c>
      <c r="AE4105">
        <v>-2.0428000000000002</v>
      </c>
      <c r="AF4105">
        <v>2.3176230930061901</v>
      </c>
      <c r="AG4105">
        <v>-1.1104979018079999</v>
      </c>
      <c r="AH4105">
        <v>12.1146704182396</v>
      </c>
      <c r="AI4105">
        <v>95.144630042128895</v>
      </c>
      <c r="AJ4105">
        <v>79.169765471446297</v>
      </c>
      <c r="AK4105">
        <v>12.384257011776</v>
      </c>
      <c r="AL4105">
        <v>70.789422052763101</v>
      </c>
      <c r="AM4105">
        <v>85.3208585149833</v>
      </c>
      <c r="AN4105">
        <v>1.00000002460056</v>
      </c>
    </row>
    <row r="4106" spans="1:40" x14ac:dyDescent="0.25">
      <c r="A4106" t="str">
        <f>"20190304164932802"</f>
        <v>20190304164932802</v>
      </c>
      <c r="B4106" t="str">
        <f>"1551689372790361"</f>
        <v>1551689372790361</v>
      </c>
      <c r="C4106" t="s">
        <v>40</v>
      </c>
      <c r="D4106">
        <v>4.3118379999999998</v>
      </c>
      <c r="E4106">
        <v>0.56026279999999995</v>
      </c>
      <c r="F4106" t="s">
        <v>46</v>
      </c>
      <c r="G4106">
        <v>-238.22659999999999</v>
      </c>
      <c r="H4106" s="1">
        <v>2.8889029999999999E-6</v>
      </c>
      <c r="I4106">
        <v>213.52010000000001</v>
      </c>
      <c r="J4106">
        <v>-250.6738</v>
      </c>
      <c r="K4106">
        <v>1.1104689999999999</v>
      </c>
      <c r="L4106">
        <v>215.5993</v>
      </c>
      <c r="M4106">
        <v>0.9996119</v>
      </c>
      <c r="N4106">
        <v>-1.4591639999999999E-2</v>
      </c>
      <c r="O4106">
        <v>2.373629E-2</v>
      </c>
      <c r="P4106">
        <v>0.94717620000000002</v>
      </c>
      <c r="Q4106">
        <v>0.3160348</v>
      </c>
      <c r="R4106">
        <v>-5.4591460000000001E-2</v>
      </c>
      <c r="S4106">
        <v>3.2304840000000001</v>
      </c>
      <c r="T4106">
        <v>-0.28337489999999999</v>
      </c>
      <c r="U4106">
        <v>-0.5293274</v>
      </c>
      <c r="V4106">
        <v>7.7284399999999906E-2</v>
      </c>
      <c r="W4106">
        <v>0.32974700000000001</v>
      </c>
      <c r="X4106">
        <v>0.94090059999999998</v>
      </c>
      <c r="Y4106">
        <v>0.1842097</v>
      </c>
      <c r="Z4106">
        <v>-1.1088529999999999E-2</v>
      </c>
      <c r="AA4106">
        <v>0.98282440000000004</v>
      </c>
      <c r="AB4106">
        <v>34</v>
      </c>
      <c r="AC4106">
        <v>12.4472</v>
      </c>
      <c r="AD4106">
        <v>-1.110466111097</v>
      </c>
      <c r="AE4106">
        <v>-2.0791999999999802</v>
      </c>
      <c r="AF4106">
        <v>2.3558542077001898</v>
      </c>
      <c r="AG4106">
        <v>-1.110466111097</v>
      </c>
      <c r="AH4106">
        <v>12.299101326949</v>
      </c>
      <c r="AI4106">
        <v>95.0675211610627</v>
      </c>
      <c r="AJ4106">
        <v>79.156516841925196</v>
      </c>
      <c r="AK4106">
        <v>12.571836678957901</v>
      </c>
      <c r="AL4106">
        <v>70.746578869150298</v>
      </c>
      <c r="AM4106">
        <v>85.304337498700704</v>
      </c>
      <c r="AN4106">
        <v>0.99999995078635795</v>
      </c>
    </row>
    <row r="4107" spans="1:40" x14ac:dyDescent="0.25">
      <c r="A4107" t="str">
        <f>"20190304164932824"</f>
        <v>20190304164932824</v>
      </c>
      <c r="B4107" t="str">
        <f>"1551689372809881"</f>
        <v>1551689372809881</v>
      </c>
      <c r="C4107" t="s">
        <v>40</v>
      </c>
      <c r="D4107">
        <v>4.3665139999999996</v>
      </c>
      <c r="E4107">
        <v>0.56005660000000002</v>
      </c>
      <c r="F4107" t="s">
        <v>46</v>
      </c>
      <c r="G4107">
        <v>-237.83160000000001</v>
      </c>
      <c r="H4107" s="1">
        <v>2.680054E-6</v>
      </c>
      <c r="I4107">
        <v>213.48939999999999</v>
      </c>
      <c r="J4107">
        <v>-250.3313</v>
      </c>
      <c r="K4107">
        <v>1.1104130000000001</v>
      </c>
      <c r="L4107">
        <v>215.6071</v>
      </c>
      <c r="M4107">
        <v>0.99962200000000001</v>
      </c>
      <c r="N4107">
        <v>-1.458803E-2</v>
      </c>
      <c r="O4107">
        <v>2.3305570000000001E-2</v>
      </c>
      <c r="P4107">
        <v>0.94694210000000001</v>
      </c>
      <c r="Q4107">
        <v>0.31660500000000003</v>
      </c>
      <c r="R4107">
        <v>-5.5337219999999999E-2</v>
      </c>
      <c r="S4107">
        <v>3.2299039999999999</v>
      </c>
      <c r="T4107">
        <v>-0.27928979999999998</v>
      </c>
      <c r="U4107">
        <v>-0.53067019999999998</v>
      </c>
      <c r="V4107">
        <v>7.7666869999999999E-2</v>
      </c>
      <c r="W4107">
        <v>0.33029839999999999</v>
      </c>
      <c r="X4107">
        <v>0.9406757</v>
      </c>
      <c r="Y4107">
        <v>0.1842366</v>
      </c>
      <c r="Z4107">
        <v>-1.0915579999999999E-2</v>
      </c>
      <c r="AA4107">
        <v>0.98282130000000001</v>
      </c>
      <c r="AB4107">
        <v>34</v>
      </c>
      <c r="AC4107">
        <v>12.499699999999899</v>
      </c>
      <c r="AD4107">
        <v>-1.11041031994599</v>
      </c>
      <c r="AE4107">
        <v>-2.1177000000000099</v>
      </c>
      <c r="AF4107">
        <v>2.3901325126813302</v>
      </c>
      <c r="AG4107">
        <v>-1.11041031994599</v>
      </c>
      <c r="AH4107">
        <v>12.3521855257138</v>
      </c>
      <c r="AI4107">
        <v>95.043785146061694</v>
      </c>
      <c r="AJ4107">
        <v>79.048678446157098</v>
      </c>
      <c r="AK4107">
        <v>12.6302110737894</v>
      </c>
      <c r="AL4107">
        <v>70.713111330318597</v>
      </c>
      <c r="AM4107">
        <v>85.280080896106099</v>
      </c>
      <c r="AN4107">
        <v>0.99999997415432296</v>
      </c>
    </row>
    <row r="4108" spans="1:40" x14ac:dyDescent="0.25">
      <c r="A4108" t="str">
        <f>"20190304164932848"</f>
        <v>20190304164932848</v>
      </c>
      <c r="B4108" t="str">
        <f>"1551689372840137"</f>
        <v>1551689372840137</v>
      </c>
      <c r="C4108" t="s">
        <v>40</v>
      </c>
      <c r="D4108">
        <v>4.3342869999999998</v>
      </c>
      <c r="E4108">
        <v>0.55984230000000001</v>
      </c>
      <c r="F4108" t="s">
        <v>46</v>
      </c>
      <c r="G4108">
        <v>-237.38040000000001</v>
      </c>
      <c r="H4108" s="1">
        <v>2.440579E-6</v>
      </c>
      <c r="I4108">
        <v>213.47450000000001</v>
      </c>
      <c r="J4108">
        <v>-249.965</v>
      </c>
      <c r="K4108">
        <v>1.1103620000000001</v>
      </c>
      <c r="L4108">
        <v>215.61510000000001</v>
      </c>
      <c r="M4108">
        <v>0.99963460000000004</v>
      </c>
      <c r="N4108">
        <v>-1.458417E-2</v>
      </c>
      <c r="O4108">
        <v>2.2763849999999999E-2</v>
      </c>
      <c r="P4108">
        <v>0.94661249999999997</v>
      </c>
      <c r="Q4108">
        <v>0.31745709999999999</v>
      </c>
      <c r="R4108">
        <v>-5.6090429999999997E-2</v>
      </c>
      <c r="S4108">
        <v>3.2296140000000002</v>
      </c>
      <c r="T4108">
        <v>-0.27690720000000002</v>
      </c>
      <c r="U4108">
        <v>-0.53181460000000003</v>
      </c>
      <c r="V4108">
        <v>7.7952919999999995E-2</v>
      </c>
      <c r="W4108">
        <v>0.33112999999999998</v>
      </c>
      <c r="X4108">
        <v>0.94035970000000002</v>
      </c>
      <c r="Y4108">
        <v>0.18407280000000001</v>
      </c>
      <c r="Z4108">
        <v>-1.0785339999999999E-2</v>
      </c>
      <c r="AA4108">
        <v>0.98285350000000005</v>
      </c>
      <c r="AB4108">
        <v>34</v>
      </c>
      <c r="AC4108">
        <v>12.584599999999901</v>
      </c>
      <c r="AD4108">
        <v>-1.1103595594210001</v>
      </c>
      <c r="AE4108">
        <v>-2.1406000000000001</v>
      </c>
      <c r="AF4108">
        <v>2.40832836962826</v>
      </c>
      <c r="AG4108">
        <v>-1.1103595594210001</v>
      </c>
      <c r="AH4108">
        <v>12.4384961966985</v>
      </c>
      <c r="AI4108">
        <v>95.008625469076804</v>
      </c>
      <c r="AJ4108">
        <v>79.042041339513901</v>
      </c>
      <c r="AK4108">
        <v>12.7180631985549</v>
      </c>
      <c r="AL4108">
        <v>70.662624765236203</v>
      </c>
      <c r="AM4108">
        <v>85.261191571707698</v>
      </c>
      <c r="AN4108">
        <v>1.0000000500102999</v>
      </c>
    </row>
    <row r="4109" spans="1:40" x14ac:dyDescent="0.25">
      <c r="A4109" t="str">
        <f>"20190304164932869"</f>
        <v>20190304164932869</v>
      </c>
      <c r="B4109" t="str">
        <f>"1551689372859657"</f>
        <v>1551689372859657</v>
      </c>
      <c r="C4109" t="s">
        <v>40</v>
      </c>
      <c r="D4109">
        <v>4.3671879999999996</v>
      </c>
      <c r="E4109">
        <v>0.55959709999999996</v>
      </c>
      <c r="F4109" t="s">
        <v>46</v>
      </c>
      <c r="G4109">
        <v>-237.08789999999999</v>
      </c>
      <c r="H4109" s="1">
        <v>2.2841759999999998E-6</v>
      </c>
      <c r="I4109">
        <v>213.4924</v>
      </c>
      <c r="J4109">
        <v>-249.65299999999999</v>
      </c>
      <c r="K4109">
        <v>1.110317</v>
      </c>
      <c r="L4109">
        <v>215.6217</v>
      </c>
      <c r="M4109">
        <v>0.99964640000000005</v>
      </c>
      <c r="N4109">
        <v>-1.4580930000000001E-2</v>
      </c>
      <c r="O4109">
        <v>2.2240880000000001E-2</v>
      </c>
      <c r="P4109">
        <v>0.94626569999999999</v>
      </c>
      <c r="Q4109">
        <v>0.31841550000000002</v>
      </c>
      <c r="R4109">
        <v>-5.6504569999999997E-2</v>
      </c>
      <c r="S4109">
        <v>3.2310940000000001</v>
      </c>
      <c r="T4109">
        <v>-0.2786092</v>
      </c>
      <c r="U4109">
        <v>-0.53260799999999997</v>
      </c>
      <c r="V4109">
        <v>7.7908530000000004E-2</v>
      </c>
      <c r="W4109">
        <v>0.33207059999999999</v>
      </c>
      <c r="X4109">
        <v>0.94003159999999997</v>
      </c>
      <c r="Y4109">
        <v>0.1837154</v>
      </c>
      <c r="Z4109">
        <v>-1.078523E-2</v>
      </c>
      <c r="AA4109">
        <v>0.98292029999999997</v>
      </c>
      <c r="AB4109">
        <v>34</v>
      </c>
      <c r="AC4109">
        <v>12.565099999999999</v>
      </c>
      <c r="AD4109">
        <v>-1.1103147158239901</v>
      </c>
      <c r="AE4109">
        <v>-2.1293000000000002</v>
      </c>
      <c r="AF4109">
        <v>2.3901198035489202</v>
      </c>
      <c r="AG4109">
        <v>-1.1103147158239901</v>
      </c>
      <c r="AH4109">
        <v>12.420353341881199</v>
      </c>
      <c r="AI4109">
        <v>95.016801781659296</v>
      </c>
      <c r="AJ4109">
        <v>79.107398536982203</v>
      </c>
      <c r="AK4109">
        <v>12.696875544033301</v>
      </c>
      <c r="AL4109">
        <v>70.605499556373104</v>
      </c>
      <c r="AM4109">
        <v>85.262232260622696</v>
      </c>
      <c r="AN4109">
        <v>1.0000000157148401</v>
      </c>
    </row>
    <row r="4110" spans="1:40" x14ac:dyDescent="0.25">
      <c r="A4110" t="str">
        <f>"20190304164932891"</f>
        <v>20190304164932891</v>
      </c>
      <c r="B4110" t="str">
        <f>"1551689372880152"</f>
        <v>1551689372880152</v>
      </c>
      <c r="C4110" t="s">
        <v>40</v>
      </c>
      <c r="D4110">
        <v>4.3501529999999997</v>
      </c>
      <c r="E4110">
        <v>0.55939890000000003</v>
      </c>
      <c r="F4110" t="s">
        <v>46</v>
      </c>
      <c r="G4110">
        <v>-236.8169</v>
      </c>
      <c r="H4110" s="1">
        <v>2.1391859999999998E-6</v>
      </c>
      <c r="I4110">
        <v>213.50989999999999</v>
      </c>
      <c r="J4110">
        <v>-249.32230000000001</v>
      </c>
      <c r="K4110">
        <v>1.110274</v>
      </c>
      <c r="L4110">
        <v>215.6284</v>
      </c>
      <c r="M4110">
        <v>0.99965999999999999</v>
      </c>
      <c r="N4110">
        <v>-1.457751E-2</v>
      </c>
      <c r="O4110">
        <v>2.16294E-2</v>
      </c>
      <c r="P4110">
        <v>0.94589409999999896</v>
      </c>
      <c r="Q4110">
        <v>0.31942949999999998</v>
      </c>
      <c r="R4110">
        <v>-5.7005800000000002E-2</v>
      </c>
      <c r="S4110">
        <v>3.2326969999999999</v>
      </c>
      <c r="T4110">
        <v>-0.27962599999999999</v>
      </c>
      <c r="U4110">
        <v>-0.53182980000000002</v>
      </c>
      <c r="V4110">
        <v>7.7867549999999994E-2</v>
      </c>
      <c r="W4110">
        <v>0.33306669999999999</v>
      </c>
      <c r="X4110">
        <v>0.93968249999999998</v>
      </c>
      <c r="Y4110">
        <v>0.182806</v>
      </c>
      <c r="Z4110">
        <v>-1.072653E-2</v>
      </c>
      <c r="AA4110">
        <v>0.98309049999999998</v>
      </c>
      <c r="AB4110">
        <v>34</v>
      </c>
      <c r="AC4110">
        <v>12.5054</v>
      </c>
      <c r="AD4110">
        <v>-1.1102718608140001</v>
      </c>
      <c r="AE4110">
        <v>-2.1185000000000098</v>
      </c>
      <c r="AF4110">
        <v>2.3703542277968501</v>
      </c>
      <c r="AG4110">
        <v>-1.1102718608140001</v>
      </c>
      <c r="AH4110">
        <v>12.3619228018065</v>
      </c>
      <c r="AI4110">
        <v>95.040839430509806</v>
      </c>
      <c r="AJ4110">
        <v>79.145488779919603</v>
      </c>
      <c r="AK4110">
        <v>12.6359969186437</v>
      </c>
      <c r="AL4110">
        <v>70.544982049629894</v>
      </c>
      <c r="AM4110">
        <v>85.262961802956795</v>
      </c>
      <c r="AN4110">
        <v>0.99999999139907103</v>
      </c>
    </row>
    <row r="4111" spans="1:40" x14ac:dyDescent="0.25">
      <c r="A4111" t="str">
        <f>"20190304164932913"</f>
        <v>20190304164932913</v>
      </c>
      <c r="B4111" t="str">
        <f>"1551689372910409"</f>
        <v>1551689372910409</v>
      </c>
      <c r="C4111" t="s">
        <v>40</v>
      </c>
      <c r="D4111">
        <v>4.4926120000000003</v>
      </c>
      <c r="E4111">
        <v>0.55984630000000002</v>
      </c>
      <c r="F4111" t="s">
        <v>46</v>
      </c>
      <c r="G4111">
        <v>-236.61359999999999</v>
      </c>
      <c r="H4111" s="1">
        <v>2.0296649999999999E-6</v>
      </c>
      <c r="I4111">
        <v>213.53989999999999</v>
      </c>
      <c r="J4111">
        <v>-248.9907</v>
      </c>
      <c r="K4111">
        <v>1.110233</v>
      </c>
      <c r="L4111">
        <v>215.63499999999999</v>
      </c>
      <c r="M4111">
        <v>0.99967410000000001</v>
      </c>
      <c r="N4111">
        <v>-1.4574109999999999E-2</v>
      </c>
      <c r="O4111">
        <v>2.096224E-2</v>
      </c>
      <c r="P4111">
        <v>0.9453551</v>
      </c>
      <c r="Q4111">
        <v>0.320913</v>
      </c>
      <c r="R4111">
        <v>-5.7607560000000002E-2</v>
      </c>
      <c r="S4111">
        <v>3.235001</v>
      </c>
      <c r="T4111">
        <v>-0.28261819999999999</v>
      </c>
      <c r="U4111">
        <v>-0.53161619999999998</v>
      </c>
      <c r="V4111">
        <v>7.7870120000000001E-2</v>
      </c>
      <c r="W4111">
        <v>0.3345303</v>
      </c>
      <c r="X4111">
        <v>0.93916230000000001</v>
      </c>
      <c r="Y4111">
        <v>0.18196409999999999</v>
      </c>
      <c r="Z4111">
        <v>-1.073203E-2</v>
      </c>
      <c r="AA4111">
        <v>0.98324659999999997</v>
      </c>
      <c r="AB4111">
        <v>34</v>
      </c>
      <c r="AC4111">
        <v>12.3771</v>
      </c>
      <c r="AD4111">
        <v>-1.110230970335</v>
      </c>
      <c r="AE4111">
        <v>-2.0951</v>
      </c>
      <c r="AF4111">
        <v>2.3358477347407498</v>
      </c>
      <c r="AG4111">
        <v>-1.110230970335</v>
      </c>
      <c r="AH4111">
        <v>12.234756395394299</v>
      </c>
      <c r="AI4111">
        <v>95.093546216009898</v>
      </c>
      <c r="AJ4111">
        <v>79.191220017990105</v>
      </c>
      <c r="AK4111">
        <v>12.505121410927099</v>
      </c>
      <c r="AL4111">
        <v>70.456022778288599</v>
      </c>
      <c r="AM4111">
        <v>85.260194199551705</v>
      </c>
      <c r="AN4111">
        <v>1.0000000514740901</v>
      </c>
    </row>
    <row r="4112" spans="1:40" x14ac:dyDescent="0.25">
      <c r="A4112" t="str">
        <f>"20190304164932928"</f>
        <v>20190304164932928</v>
      </c>
      <c r="B4112" t="str">
        <f>"1551689372920169"</f>
        <v>1551689372920169</v>
      </c>
      <c r="C4112" t="s">
        <v>40</v>
      </c>
      <c r="D4112">
        <v>4.2924449999999998</v>
      </c>
      <c r="E4112">
        <v>0.56021669999999901</v>
      </c>
      <c r="F4112" t="s">
        <v>46</v>
      </c>
      <c r="G4112">
        <v>-235.89250000000001</v>
      </c>
      <c r="H4112" s="1">
        <v>1.6495710000000001E-6</v>
      </c>
      <c r="I4112">
        <v>213.45760000000001</v>
      </c>
      <c r="J4112">
        <v>-248.74270000000001</v>
      </c>
      <c r="K4112">
        <v>1.1102050000000001</v>
      </c>
      <c r="L4112">
        <v>215.6396</v>
      </c>
      <c r="M4112">
        <v>0.99968509999999999</v>
      </c>
      <c r="N4112">
        <v>-1.4571590000000001E-2</v>
      </c>
      <c r="O4112">
        <v>2.0430259999999999E-2</v>
      </c>
      <c r="P4112">
        <v>0.94502839999999999</v>
      </c>
      <c r="Q4112">
        <v>0.32177630000000002</v>
      </c>
      <c r="R4112">
        <v>-5.8150470000000003E-2</v>
      </c>
      <c r="S4112">
        <v>3.2336879999999999</v>
      </c>
      <c r="T4112">
        <v>-0.27409470000000002</v>
      </c>
      <c r="U4112">
        <v>-0.53755189999999997</v>
      </c>
      <c r="V4112">
        <v>7.7932600000000005E-2</v>
      </c>
      <c r="W4112">
        <v>0.33537990000000001</v>
      </c>
      <c r="X4112">
        <v>0.93885399999999997</v>
      </c>
      <c r="Y4112">
        <v>0.1833043</v>
      </c>
      <c r="Z4112">
        <v>-1.0471980000000001E-2</v>
      </c>
      <c r="AA4112">
        <v>0.98300050000000005</v>
      </c>
      <c r="AB4112">
        <v>34</v>
      </c>
      <c r="AC4112">
        <v>12.850199999999999</v>
      </c>
      <c r="AD4112">
        <v>-1.1102033504290001</v>
      </c>
      <c r="AE4112">
        <v>-2.18199999999998</v>
      </c>
      <c r="AF4112">
        <v>2.4265008919722</v>
      </c>
      <c r="AG4112">
        <v>-1.1102033504290001</v>
      </c>
      <c r="AH4112">
        <v>12.710716895538001</v>
      </c>
      <c r="AI4112">
        <v>94.903657214994098</v>
      </c>
      <c r="AJ4112">
        <v>79.192162726336093</v>
      </c>
      <c r="AK4112">
        <v>12.9877935792251</v>
      </c>
      <c r="AL4112">
        <v>70.404358891383097</v>
      </c>
      <c r="AM4112">
        <v>85.254857924301803</v>
      </c>
      <c r="AN4112">
        <v>1.00000000039138</v>
      </c>
    </row>
    <row r="4113" spans="1:40" x14ac:dyDescent="0.25">
      <c r="A4113" t="str">
        <f>"20190304164932942"</f>
        <v>20190304164932942</v>
      </c>
      <c r="B4113" t="str">
        <f>"1551689372939690"</f>
        <v>1551689372939690</v>
      </c>
      <c r="C4113" t="s">
        <v>40</v>
      </c>
      <c r="D4113">
        <v>4.2926489999999999</v>
      </c>
      <c r="E4113">
        <v>0.56087189999999998</v>
      </c>
      <c r="F4113" t="s">
        <v>46</v>
      </c>
      <c r="G4113">
        <v>-235.5265</v>
      </c>
      <c r="H4113" s="1">
        <v>1.4561689999999999E-6</v>
      </c>
      <c r="I4113">
        <v>213.4263</v>
      </c>
      <c r="J4113">
        <v>-248.54689999999999</v>
      </c>
      <c r="K4113">
        <v>1.110188</v>
      </c>
      <c r="L4113">
        <v>215.64330000000001</v>
      </c>
      <c r="M4113">
        <v>0.99969390000000002</v>
      </c>
      <c r="N4113">
        <v>-1.456966E-2</v>
      </c>
      <c r="O4113">
        <v>1.9996969999999999E-2</v>
      </c>
      <c r="P4113">
        <v>0.94467959999999995</v>
      </c>
      <c r="Q4113">
        <v>0.32273879999999999</v>
      </c>
      <c r="R4113">
        <v>-5.8482960000000001E-2</v>
      </c>
      <c r="S4113">
        <v>3.233673</v>
      </c>
      <c r="T4113">
        <v>-0.27163989999999999</v>
      </c>
      <c r="U4113">
        <v>-0.54156490000000002</v>
      </c>
      <c r="V4113">
        <v>7.7870519999999999E-2</v>
      </c>
      <c r="W4113">
        <v>0.33633159999999901</v>
      </c>
      <c r="X4113">
        <v>0.93851859999999998</v>
      </c>
      <c r="Y4113">
        <v>0.1840774</v>
      </c>
      <c r="Z4113">
        <v>-1.039501E-2</v>
      </c>
      <c r="AA4113">
        <v>0.98285679999999997</v>
      </c>
      <c r="AB4113">
        <v>34</v>
      </c>
      <c r="AC4113">
        <v>13.020399999999899</v>
      </c>
      <c r="AD4113">
        <v>-1.1101865438309999</v>
      </c>
      <c r="AE4113">
        <v>-2.2170000000000099</v>
      </c>
      <c r="AF4113">
        <v>2.45957511981358</v>
      </c>
      <c r="AG4113">
        <v>-1.1101865438309999</v>
      </c>
      <c r="AH4113">
        <v>12.882439497177099</v>
      </c>
      <c r="AI4113">
        <v>94.838510992870894</v>
      </c>
      <c r="AJ4113">
        <v>79.190909508005802</v>
      </c>
      <c r="AK4113">
        <v>13.162039026326401</v>
      </c>
      <c r="AL4113">
        <v>70.346467030766306</v>
      </c>
      <c r="AM4113">
        <v>85.256933891485801</v>
      </c>
      <c r="AN4113">
        <v>0.99999996279479397</v>
      </c>
    </row>
    <row r="4114" spans="1:40" x14ac:dyDescent="0.25">
      <c r="A4114" t="str">
        <f>"20190304164932958"</f>
        <v>20190304164932958</v>
      </c>
      <c r="B4114" t="str">
        <f>"1551689372950425"</f>
        <v>1551689372950425</v>
      </c>
      <c r="C4114" t="s">
        <v>40</v>
      </c>
      <c r="D4114">
        <v>4.4265999999999996</v>
      </c>
      <c r="E4114">
        <v>0.56113489999999999</v>
      </c>
      <c r="F4114" t="s">
        <v>46</v>
      </c>
      <c r="G4114">
        <v>-235.27019999999999</v>
      </c>
      <c r="H4114" s="1">
        <v>1.3210909999999999E-6</v>
      </c>
      <c r="I4114">
        <v>213.3956</v>
      </c>
      <c r="J4114">
        <v>-248.3142</v>
      </c>
      <c r="K4114">
        <v>1.1101760000000001</v>
      </c>
      <c r="L4114">
        <v>215.6474</v>
      </c>
      <c r="M4114">
        <v>0.99970420000000004</v>
      </c>
      <c r="N4114">
        <v>-1.456739E-2</v>
      </c>
      <c r="O4114">
        <v>1.9469719999999999E-2</v>
      </c>
      <c r="P4114">
        <v>0.94388150000000004</v>
      </c>
      <c r="Q4114">
        <v>0.32492769999999999</v>
      </c>
      <c r="R4114">
        <v>-5.9241479999999999E-2</v>
      </c>
      <c r="S4114">
        <v>3.2341920000000002</v>
      </c>
      <c r="T4114">
        <v>-0.27043889999999998</v>
      </c>
      <c r="U4114">
        <v>-0.54753109999999905</v>
      </c>
      <c r="V4114">
        <v>7.8140630000000003E-2</v>
      </c>
      <c r="W4114">
        <v>0.33850190000000002</v>
      </c>
      <c r="X4114">
        <v>0.93771559999999998</v>
      </c>
      <c r="Y4114">
        <v>0.18529970000000001</v>
      </c>
      <c r="Z4114">
        <v>-1.0374599999999999E-2</v>
      </c>
      <c r="AA4114">
        <v>0.98262729999999998</v>
      </c>
      <c r="AB4114">
        <v>34</v>
      </c>
      <c r="AC4114">
        <v>13.044</v>
      </c>
      <c r="AD4114">
        <v>-1.1101746789089999</v>
      </c>
      <c r="AE4114">
        <v>-2.2517999999999998</v>
      </c>
      <c r="AF4114">
        <v>2.4878632436767099</v>
      </c>
      <c r="AG4114">
        <v>-1.1101746789089999</v>
      </c>
      <c r="AH4114">
        <v>12.9068922112998</v>
      </c>
      <c r="AI4114">
        <v>94.8277090109939</v>
      </c>
      <c r="AJ4114">
        <v>79.089780556807</v>
      </c>
      <c r="AK4114">
        <v>13.191278099223</v>
      </c>
      <c r="AL4114">
        <v>70.214372436953099</v>
      </c>
      <c r="AM4114">
        <v>85.236500098369902</v>
      </c>
      <c r="AN4114">
        <v>1.00000002042188</v>
      </c>
    </row>
    <row r="4115" spans="1:40" x14ac:dyDescent="0.25">
      <c r="A4115" t="str">
        <f>"20190304164932979"</f>
        <v>20190304164932979</v>
      </c>
      <c r="B4115" t="str">
        <f>"1551689372969945"</f>
        <v>1551689372969945</v>
      </c>
      <c r="C4115" t="s">
        <v>40</v>
      </c>
      <c r="D4115">
        <v>4.3298350000000001</v>
      </c>
      <c r="E4115">
        <v>0.56132939999999998</v>
      </c>
      <c r="F4115" t="s">
        <v>46</v>
      </c>
      <c r="G4115">
        <v>-234.7319</v>
      </c>
      <c r="H4115" s="1">
        <v>1.037501E-6</v>
      </c>
      <c r="I4115">
        <v>213.33019999999999</v>
      </c>
      <c r="J4115">
        <v>-247.97800000000001</v>
      </c>
      <c r="K4115">
        <v>1.110155</v>
      </c>
      <c r="L4115">
        <v>215.65309999999999</v>
      </c>
      <c r="M4115">
        <v>0.99971940000000004</v>
      </c>
      <c r="N4115">
        <v>-1.456404E-2</v>
      </c>
      <c r="O4115">
        <v>1.868446E-2</v>
      </c>
      <c r="P4115">
        <v>0.94347829999999999</v>
      </c>
      <c r="Q4115">
        <v>0.3258856</v>
      </c>
      <c r="R4115">
        <v>-6.03951E-2</v>
      </c>
      <c r="S4115">
        <v>3.2347410000000001</v>
      </c>
      <c r="T4115">
        <v>-0.26439649999999998</v>
      </c>
      <c r="U4115">
        <v>-0.55186459999999904</v>
      </c>
      <c r="V4115">
        <v>7.8571769999999999E-2</v>
      </c>
      <c r="W4115">
        <v>0.33944479999999999</v>
      </c>
      <c r="X4115">
        <v>0.93733860000000002</v>
      </c>
      <c r="Y4115">
        <v>0.1858128</v>
      </c>
      <c r="Z4115">
        <v>-1.0137139999999999E-2</v>
      </c>
      <c r="AA4115">
        <v>0.98253290000000004</v>
      </c>
      <c r="AB4115">
        <v>34</v>
      </c>
      <c r="AC4115">
        <v>13.246099999999901</v>
      </c>
      <c r="AD4115">
        <v>-1.110153962499</v>
      </c>
      <c r="AE4115">
        <v>-2.3229000000000002</v>
      </c>
      <c r="AF4115">
        <v>2.5526219557869898</v>
      </c>
      <c r="AG4115">
        <v>-1.110153962499</v>
      </c>
      <c r="AH4115">
        <v>13.1110348816437</v>
      </c>
      <c r="AI4115">
        <v>94.751087293863506</v>
      </c>
      <c r="AJ4115">
        <v>78.982757462116993</v>
      </c>
      <c r="AK4115">
        <v>13.403266629344399</v>
      </c>
      <c r="AL4115">
        <v>70.156947540411196</v>
      </c>
      <c r="AM4115">
        <v>85.208422038745695</v>
      </c>
      <c r="AN4115">
        <v>0.99999997316896605</v>
      </c>
    </row>
    <row r="4116" spans="1:40" x14ac:dyDescent="0.25">
      <c r="A4116" t="str">
        <f>"20190304164933002"</f>
        <v>20190304164933002</v>
      </c>
      <c r="B4116" t="str">
        <f>"1551689372990441"</f>
        <v>1551689372990441</v>
      </c>
      <c r="C4116" t="s">
        <v>40</v>
      </c>
      <c r="D4116">
        <v>4.3169529999999998</v>
      </c>
      <c r="E4116">
        <v>0.56159199999999998</v>
      </c>
      <c r="F4116" t="s">
        <v>46</v>
      </c>
      <c r="G4116">
        <v>-234.33369999999999</v>
      </c>
      <c r="H4116" s="1">
        <v>8.2672019999999901E-7</v>
      </c>
      <c r="I4116">
        <v>213.3047</v>
      </c>
      <c r="J4116">
        <v>-247.6455</v>
      </c>
      <c r="K4116">
        <v>1.1101350000000001</v>
      </c>
      <c r="L4116">
        <v>215.65860000000001</v>
      </c>
      <c r="M4116">
        <v>0.99973400000000001</v>
      </c>
      <c r="N4116">
        <v>-1.456059E-2</v>
      </c>
      <c r="O4116">
        <v>1.7893220000000001E-2</v>
      </c>
      <c r="P4116">
        <v>0.94345610000000002</v>
      </c>
      <c r="Q4116">
        <v>0.32555269999999997</v>
      </c>
      <c r="R4116">
        <v>-6.2500959999999994E-2</v>
      </c>
      <c r="S4116">
        <v>3.234985</v>
      </c>
      <c r="T4116">
        <v>-0.26321169999999999</v>
      </c>
      <c r="U4116">
        <v>-0.55679319999999999</v>
      </c>
      <c r="V4116">
        <v>7.9947950000000004E-2</v>
      </c>
      <c r="W4116">
        <v>0.33910269999999998</v>
      </c>
      <c r="X4116">
        <v>0.93734609999999996</v>
      </c>
      <c r="Y4116">
        <v>0.18648290000000001</v>
      </c>
      <c r="Z4116">
        <v>-1.0074380000000001E-2</v>
      </c>
      <c r="AA4116">
        <v>0.98240660000000002</v>
      </c>
      <c r="AB4116">
        <v>34</v>
      </c>
      <c r="AC4116">
        <v>13.3118</v>
      </c>
      <c r="AD4116">
        <v>-1.1101341732798</v>
      </c>
      <c r="AE4116">
        <v>-2.3538999999999999</v>
      </c>
      <c r="AF4116">
        <v>2.57437812458326</v>
      </c>
      <c r="AG4116">
        <v>-1.1101341732798</v>
      </c>
      <c r="AH4116">
        <v>13.1786705260568</v>
      </c>
      <c r="AI4116">
        <v>94.726154595922907</v>
      </c>
      <c r="AJ4116">
        <v>78.946788113461494</v>
      </c>
      <c r="AK4116">
        <v>13.473573299068599</v>
      </c>
      <c r="AL4116">
        <v>70.177785137372993</v>
      </c>
      <c r="AM4116">
        <v>85.124937665350501</v>
      </c>
      <c r="AN4116">
        <v>1.00000001352085</v>
      </c>
    </row>
    <row r="4117" spans="1:40" x14ac:dyDescent="0.25">
      <c r="A4117" t="str">
        <f>"20190304164933020"</f>
        <v>20190304164933020</v>
      </c>
      <c r="B4117" t="str">
        <f>"1551689373009961"</f>
        <v>1551689373009961</v>
      </c>
      <c r="C4117" t="s">
        <v>40</v>
      </c>
      <c r="D4117">
        <v>4.2715800000000002</v>
      </c>
      <c r="E4117">
        <v>0.56175180000000002</v>
      </c>
      <c r="F4117" t="s">
        <v>46</v>
      </c>
      <c r="G4117">
        <v>-234.36109999999999</v>
      </c>
      <c r="H4117" s="1">
        <v>8.3951779999999995E-7</v>
      </c>
      <c r="I4117">
        <v>213.34530000000001</v>
      </c>
      <c r="J4117">
        <v>-247.36680000000001</v>
      </c>
      <c r="K4117">
        <v>1.1101160000000001</v>
      </c>
      <c r="L4117">
        <v>215.66290000000001</v>
      </c>
      <c r="M4117">
        <v>0.99974580000000002</v>
      </c>
      <c r="N4117">
        <v>-1.455767E-2</v>
      </c>
      <c r="O4117">
        <v>1.7223140000000001E-2</v>
      </c>
      <c r="P4117">
        <v>0.9434032</v>
      </c>
      <c r="Q4117">
        <v>0.3254589</v>
      </c>
      <c r="R4117">
        <v>-6.377418E-2</v>
      </c>
      <c r="S4117">
        <v>3.2357640000000001</v>
      </c>
      <c r="T4117">
        <v>-0.2704009</v>
      </c>
      <c r="U4117">
        <v>-0.56346130000000005</v>
      </c>
      <c r="V4117">
        <v>8.059848E-2</v>
      </c>
      <c r="W4117">
        <v>0.33900170000000002</v>
      </c>
      <c r="X4117">
        <v>0.93732689999999996</v>
      </c>
      <c r="Y4117">
        <v>0.18770909999999999</v>
      </c>
      <c r="Z4117">
        <v>-1.03287E-2</v>
      </c>
      <c r="AA4117">
        <v>0.98217030000000005</v>
      </c>
      <c r="AB4117">
        <v>34</v>
      </c>
      <c r="AC4117">
        <v>13.005699999999999</v>
      </c>
      <c r="AD4117">
        <v>-1.1101151604821999</v>
      </c>
      <c r="AE4117">
        <v>-2.3175999999999899</v>
      </c>
      <c r="AF4117">
        <v>2.52345965422708</v>
      </c>
      <c r="AG4117">
        <v>-1.1101151604821999</v>
      </c>
      <c r="AH4117">
        <v>12.872948581546799</v>
      </c>
      <c r="AI4117">
        <v>94.837167344259299</v>
      </c>
      <c r="AJ4117">
        <v>78.909054012870598</v>
      </c>
      <c r="AK4117">
        <v>13.1648398956916</v>
      </c>
      <c r="AL4117">
        <v>70.183935929585104</v>
      </c>
      <c r="AM4117">
        <v>85.085363005151805</v>
      </c>
      <c r="AN4117">
        <v>0.99999999252240501</v>
      </c>
    </row>
    <row r="4118" spans="1:40" x14ac:dyDescent="0.25">
      <c r="A4118" t="str">
        <f>"20190304164933034"</f>
        <v>20190304164933034</v>
      </c>
      <c r="B4118" t="str">
        <f>"1551689373030458"</f>
        <v>1551689373030458</v>
      </c>
      <c r="C4118" t="s">
        <v>40</v>
      </c>
      <c r="D4118">
        <v>4.2876969999999996</v>
      </c>
      <c r="E4118">
        <v>0.56188090000000002</v>
      </c>
      <c r="F4118" t="s">
        <v>46</v>
      </c>
      <c r="G4118">
        <v>-234.37450000000001</v>
      </c>
      <c r="H4118" s="1">
        <v>8.4496610000000002E-7</v>
      </c>
      <c r="I4118">
        <v>213.3843</v>
      </c>
      <c r="J4118">
        <v>-247.1628</v>
      </c>
      <c r="K4118">
        <v>1.1101099999999999</v>
      </c>
      <c r="L4118">
        <v>215.666</v>
      </c>
      <c r="M4118">
        <v>0.99975409999999998</v>
      </c>
      <c r="N4118">
        <v>-1.455555E-2</v>
      </c>
      <c r="O4118">
        <v>1.6731010000000001E-2</v>
      </c>
      <c r="P4118">
        <v>0.94325510000000001</v>
      </c>
      <c r="Q4118">
        <v>0.32564359999999998</v>
      </c>
      <c r="R4118">
        <v>-6.5007910000000002E-2</v>
      </c>
      <c r="S4118">
        <v>3.2370000000000001</v>
      </c>
      <c r="T4118">
        <v>-0.27658250000000001</v>
      </c>
      <c r="U4118">
        <v>-0.56770319999999996</v>
      </c>
      <c r="V4118">
        <v>8.1371689999999997E-2</v>
      </c>
      <c r="W4118">
        <v>0.33918019999999999</v>
      </c>
      <c r="X4118">
        <v>0.93719549999999996</v>
      </c>
      <c r="Y4118">
        <v>0.18837619999999999</v>
      </c>
      <c r="Z4118">
        <v>-1.0532349999999999E-2</v>
      </c>
      <c r="AA4118">
        <v>0.98204049999999998</v>
      </c>
      <c r="AB4118">
        <v>34</v>
      </c>
      <c r="AC4118">
        <v>12.7882999999999</v>
      </c>
      <c r="AD4118">
        <v>-1.1101091550339</v>
      </c>
      <c r="AE4118">
        <v>-2.2816999999999998</v>
      </c>
      <c r="AF4118">
        <v>2.4772730940210801</v>
      </c>
      <c r="AG4118">
        <v>-1.1101091550339</v>
      </c>
      <c r="AH4118">
        <v>12.6559054856294</v>
      </c>
      <c r="AI4118">
        <v>94.919957996162793</v>
      </c>
      <c r="AJ4118">
        <v>78.924924129143093</v>
      </c>
      <c r="AK4118">
        <v>12.943769465640001</v>
      </c>
      <c r="AL4118">
        <v>70.173064337509302</v>
      </c>
      <c r="AM4118">
        <v>85.037757211584506</v>
      </c>
      <c r="AN4118">
        <v>0.99999998261287204</v>
      </c>
    </row>
    <row r="4119" spans="1:40" x14ac:dyDescent="0.25">
      <c r="A4119" t="str">
        <f>"20190304164933047"</f>
        <v>20190304164933047</v>
      </c>
      <c r="B4119" t="str">
        <f>"1551689373040217"</f>
        <v>1551689373040217</v>
      </c>
      <c r="C4119" t="s">
        <v>40</v>
      </c>
      <c r="D4119">
        <v>4.2957530000000004</v>
      </c>
      <c r="E4119">
        <v>0.56193490000000001</v>
      </c>
      <c r="F4119" t="s">
        <v>46</v>
      </c>
      <c r="G4119">
        <v>-234.36609999999999</v>
      </c>
      <c r="H4119" s="1">
        <v>8.3948040000000002E-7</v>
      </c>
      <c r="I4119">
        <v>213.4075</v>
      </c>
      <c r="J4119">
        <v>-246.971</v>
      </c>
      <c r="K4119">
        <v>1.110106</v>
      </c>
      <c r="L4119">
        <v>215.6687</v>
      </c>
      <c r="M4119">
        <v>0.99976180000000003</v>
      </c>
      <c r="N4119">
        <v>-1.455351E-2</v>
      </c>
      <c r="O4119">
        <v>1.6269530000000001E-2</v>
      </c>
      <c r="P4119">
        <v>0.94304670000000002</v>
      </c>
      <c r="Q4119">
        <v>0.32584930000000001</v>
      </c>
      <c r="R4119">
        <v>-6.6971970000000006E-2</v>
      </c>
      <c r="S4119">
        <v>3.238083</v>
      </c>
      <c r="T4119">
        <v>-0.28090199999999999</v>
      </c>
      <c r="U4119">
        <v>-0.57147219999999999</v>
      </c>
      <c r="V4119">
        <v>8.2900260000000003E-2</v>
      </c>
      <c r="W4119">
        <v>0.3393776</v>
      </c>
      <c r="X4119">
        <v>0.93699010000000005</v>
      </c>
      <c r="Y4119">
        <v>0.1889509</v>
      </c>
      <c r="Z4119">
        <v>-1.067035E-2</v>
      </c>
      <c r="AA4119">
        <v>0.98192860000000004</v>
      </c>
      <c r="AB4119">
        <v>34</v>
      </c>
      <c r="AC4119">
        <v>12.604899999999899</v>
      </c>
      <c r="AD4119">
        <v>-1.1101051605196</v>
      </c>
      <c r="AE4119">
        <v>-2.2612000000000001</v>
      </c>
      <c r="AF4119">
        <v>2.4476058944768702</v>
      </c>
      <c r="AG4119">
        <v>-1.1101051605196</v>
      </c>
      <c r="AH4119">
        <v>12.472713932630599</v>
      </c>
      <c r="AI4119">
        <v>94.991373693319801</v>
      </c>
      <c r="AJ4119">
        <v>78.897537460051097</v>
      </c>
      <c r="AK4119">
        <v>12.758985105694199</v>
      </c>
      <c r="AL4119">
        <v>70.161041933939003</v>
      </c>
      <c r="AM4119">
        <v>84.943917487139899</v>
      </c>
      <c r="AN4119">
        <v>1.0000000279939101</v>
      </c>
    </row>
    <row r="4120" spans="1:40" x14ac:dyDescent="0.25">
      <c r="A4120" t="str">
        <f>"20190304164933064"</f>
        <v>20190304164933064</v>
      </c>
      <c r="B4120" t="str">
        <f>"1551689373059738"</f>
        <v>1551689373059738</v>
      </c>
      <c r="C4120" t="s">
        <v>40</v>
      </c>
      <c r="D4120">
        <v>4.3122410000000002</v>
      </c>
      <c r="E4120">
        <v>0.56201579999999995</v>
      </c>
      <c r="F4120" t="s">
        <v>46</v>
      </c>
      <c r="G4120">
        <v>-234.2518</v>
      </c>
      <c r="H4120" s="1">
        <v>7.7903329999999996E-7</v>
      </c>
      <c r="I4120">
        <v>213.39859999999999</v>
      </c>
      <c r="J4120">
        <v>-246.7225</v>
      </c>
      <c r="K4120">
        <v>1.110107</v>
      </c>
      <c r="L4120">
        <v>215.6721</v>
      </c>
      <c r="M4120">
        <v>0.99977130000000003</v>
      </c>
      <c r="N4120">
        <v>-1.45509E-2</v>
      </c>
      <c r="O4120">
        <v>1.56781E-2</v>
      </c>
      <c r="P4120">
        <v>0.94286510000000001</v>
      </c>
      <c r="Q4120">
        <v>0.32612170000000001</v>
      </c>
      <c r="R4120">
        <v>-6.8192199999999994E-2</v>
      </c>
      <c r="S4120">
        <v>3.237762</v>
      </c>
      <c r="T4120">
        <v>-0.28258559999999999</v>
      </c>
      <c r="U4120">
        <v>-0.57788090000000003</v>
      </c>
      <c r="V4120">
        <v>8.3561700000000003E-2</v>
      </c>
      <c r="W4120">
        <v>0.339644</v>
      </c>
      <c r="X4120">
        <v>0.93683479999999997</v>
      </c>
      <c r="Y4120">
        <v>0.19025729999999999</v>
      </c>
      <c r="Z4120">
        <v>-1.0750010000000001E-2</v>
      </c>
      <c r="AA4120">
        <v>0.98167539999999998</v>
      </c>
      <c r="AB4120">
        <v>34</v>
      </c>
      <c r="AC4120">
        <v>12.4706999999999</v>
      </c>
      <c r="AD4120">
        <v>-1.1101062209667001</v>
      </c>
      <c r="AE4120">
        <v>-2.2735000000000101</v>
      </c>
      <c r="AF4120">
        <v>2.4499688651598799</v>
      </c>
      <c r="AG4120">
        <v>-1.1101062209667001</v>
      </c>
      <c r="AH4120">
        <v>12.338890040589201</v>
      </c>
      <c r="AI4120">
        <v>95.043023767726794</v>
      </c>
      <c r="AJ4120">
        <v>78.769605862096299</v>
      </c>
      <c r="AK4120">
        <v>12.628653558310701</v>
      </c>
      <c r="AL4120">
        <v>70.144814368176299</v>
      </c>
      <c r="AM4120">
        <v>84.902947540272095</v>
      </c>
      <c r="AN4120">
        <v>1.0000000234669599</v>
      </c>
    </row>
    <row r="4121" spans="1:40" x14ac:dyDescent="0.25">
      <c r="A4121" t="str">
        <f>"20190304164933081"</f>
        <v>20190304164933081</v>
      </c>
      <c r="B4121" t="str">
        <f>"1551689373070473"</f>
        <v>1551689373070473</v>
      </c>
      <c r="C4121" t="s">
        <v>40</v>
      </c>
      <c r="D4121">
        <v>4.3192890000000004</v>
      </c>
      <c r="E4121">
        <v>0.56208359999999902</v>
      </c>
      <c r="F4121" t="s">
        <v>46</v>
      </c>
      <c r="G4121">
        <v>-234.12639999999999</v>
      </c>
      <c r="H4121" s="1">
        <v>7.1198509999999997E-7</v>
      </c>
      <c r="I4121">
        <v>213.40629999999999</v>
      </c>
      <c r="J4121">
        <v>-246.47149999999999</v>
      </c>
      <c r="K4121">
        <v>1.1101110000000001</v>
      </c>
      <c r="L4121">
        <v>215.6755</v>
      </c>
      <c r="M4121">
        <v>0.99978040000000001</v>
      </c>
      <c r="N4121">
        <v>-1.454826E-2</v>
      </c>
      <c r="O4121">
        <v>1.5090579999999999E-2</v>
      </c>
      <c r="P4121">
        <v>0.94262659999999998</v>
      </c>
      <c r="Q4121">
        <v>0.32649519999999999</v>
      </c>
      <c r="R4121">
        <v>-6.9687490000000005E-2</v>
      </c>
      <c r="S4121">
        <v>3.2383730000000002</v>
      </c>
      <c r="T4121">
        <v>-0.28540070000000001</v>
      </c>
      <c r="U4121">
        <v>-0.58253480000000002</v>
      </c>
      <c r="V4121">
        <v>8.4497589999999997E-2</v>
      </c>
      <c r="W4121">
        <v>0.3400109</v>
      </c>
      <c r="X4121">
        <v>0.9366177</v>
      </c>
      <c r="Y4121">
        <v>0.190998</v>
      </c>
      <c r="Z4121">
        <v>-1.0837039999999999E-2</v>
      </c>
      <c r="AA4121">
        <v>0.98153060000000003</v>
      </c>
      <c r="AB4121">
        <v>33</v>
      </c>
      <c r="AC4121">
        <v>12.3451</v>
      </c>
      <c r="AD4121">
        <v>-1.1101102880148901</v>
      </c>
      <c r="AE4121">
        <v>-2.2692000000000099</v>
      </c>
      <c r="AF4121">
        <v>2.43620027685491</v>
      </c>
      <c r="AG4121">
        <v>-1.1101102880148901</v>
      </c>
      <c r="AH4121">
        <v>12.2139109334579</v>
      </c>
      <c r="AI4121">
        <v>95.093497705123397</v>
      </c>
      <c r="AJ4121">
        <v>78.719758978459197</v>
      </c>
      <c r="AK4121">
        <v>12.503880874790299</v>
      </c>
      <c r="AL4121">
        <v>70.122461539289105</v>
      </c>
      <c r="AM4121">
        <v>84.844978187490995</v>
      </c>
      <c r="AN4121">
        <v>0.99999998539395396</v>
      </c>
    </row>
    <row r="4122" spans="1:40" x14ac:dyDescent="0.25">
      <c r="A4122" t="str">
        <f>"20190304164933104"</f>
        <v>20190304164933104</v>
      </c>
      <c r="B4122" t="str">
        <f>"1551689373099753"</f>
        <v>1551689373099753</v>
      </c>
      <c r="C4122" t="s">
        <v>40</v>
      </c>
      <c r="D4122">
        <v>4.3070760000000003</v>
      </c>
      <c r="E4122">
        <v>0.56223699999999999</v>
      </c>
      <c r="F4122" t="s">
        <v>46</v>
      </c>
      <c r="G4122">
        <v>-233.90190000000001</v>
      </c>
      <c r="H4122" s="1">
        <v>5.9326849999999998E-7</v>
      </c>
      <c r="I4122">
        <v>213.38810000000001</v>
      </c>
      <c r="J4122">
        <v>-246.11959999999999</v>
      </c>
      <c r="K4122">
        <v>1.1101219999999901</v>
      </c>
      <c r="L4122">
        <v>215.68</v>
      </c>
      <c r="M4122">
        <v>0.99979220000000002</v>
      </c>
      <c r="N4122">
        <v>-1.4544420000000001E-2</v>
      </c>
      <c r="O4122">
        <v>1.428899E-2</v>
      </c>
      <c r="P4122">
        <v>0.94259550000000003</v>
      </c>
      <c r="Q4122">
        <v>0.32611329999999999</v>
      </c>
      <c r="R4122">
        <v>-7.1860389999999996E-2</v>
      </c>
      <c r="S4122">
        <v>3.238083</v>
      </c>
      <c r="T4122">
        <v>-0.28597640000000002</v>
      </c>
      <c r="U4122">
        <v>-0.58924869999999996</v>
      </c>
      <c r="V4122">
        <v>8.590391E-2</v>
      </c>
      <c r="W4122">
        <v>0.33962560000000003</v>
      </c>
      <c r="X4122">
        <v>0.93662959999999995</v>
      </c>
      <c r="Y4122">
        <v>0.19219059999999999</v>
      </c>
      <c r="Z4122">
        <v>-1.0857840000000001E-2</v>
      </c>
      <c r="AA4122">
        <v>0.98129759999999999</v>
      </c>
      <c r="AB4122">
        <v>33</v>
      </c>
      <c r="AC4122">
        <v>12.217699999999899</v>
      </c>
      <c r="AD4122">
        <v>-1.11012140673149</v>
      </c>
      <c r="AE4122">
        <v>-2.2918999999999898</v>
      </c>
      <c r="AF4122">
        <v>2.4467496654679599</v>
      </c>
      <c r="AG4122">
        <v>-1.11012140673149</v>
      </c>
      <c r="AH4122">
        <v>12.087301215884199</v>
      </c>
      <c r="AI4122">
        <v>95.143688579510695</v>
      </c>
      <c r="AJ4122">
        <v>78.556633177847601</v>
      </c>
      <c r="AK4122">
        <v>12.3823182056781</v>
      </c>
      <c r="AL4122">
        <v>70.145935140582907</v>
      </c>
      <c r="AM4122">
        <v>84.759721537776798</v>
      </c>
      <c r="AN4122">
        <v>1.0000000187624001</v>
      </c>
    </row>
    <row r="4123" spans="1:40" x14ac:dyDescent="0.25">
      <c r="A4123" t="str">
        <f>"20190304164933126"</f>
        <v>20190304164933126</v>
      </c>
      <c r="B4123" t="str">
        <f>"1551689373120249"</f>
        <v>1551689373120249</v>
      </c>
      <c r="C4123" t="s">
        <v>40</v>
      </c>
      <c r="D4123">
        <v>4.3392619999999997</v>
      </c>
      <c r="E4123">
        <v>0.56238529999999998</v>
      </c>
      <c r="F4123" t="s">
        <v>46</v>
      </c>
      <c r="G4123">
        <v>-233.83670000000001</v>
      </c>
      <c r="H4123" s="1">
        <v>5.5767619999999898E-7</v>
      </c>
      <c r="I4123">
        <v>213.40889999999999</v>
      </c>
      <c r="J4123">
        <v>-245.78919999999999</v>
      </c>
      <c r="K4123">
        <v>1.110144</v>
      </c>
      <c r="L4123">
        <v>215.68389999999999</v>
      </c>
      <c r="M4123">
        <v>0.99980239999999998</v>
      </c>
      <c r="N4123">
        <v>-1.454076E-2</v>
      </c>
      <c r="O4123">
        <v>1.35624E-2</v>
      </c>
      <c r="P4123">
        <v>0.9426466</v>
      </c>
      <c r="Q4123">
        <v>0.32559680000000002</v>
      </c>
      <c r="R4123">
        <v>-7.3515709999999998E-2</v>
      </c>
      <c r="S4123">
        <v>3.2383120000000001</v>
      </c>
      <c r="T4123">
        <v>-0.29267549999999998</v>
      </c>
      <c r="U4123">
        <v>-0.59873959999999904</v>
      </c>
      <c r="V4123">
        <v>8.6859839999999994E-2</v>
      </c>
      <c r="W4123">
        <v>0.33910889999999999</v>
      </c>
      <c r="X4123">
        <v>0.93672869999999997</v>
      </c>
      <c r="Y4123">
        <v>0.1942015</v>
      </c>
      <c r="Z4123">
        <v>-1.113018E-2</v>
      </c>
      <c r="AA4123">
        <v>0.98089850000000001</v>
      </c>
      <c r="AB4123">
        <v>33</v>
      </c>
      <c r="AC4123">
        <v>11.952499999999899</v>
      </c>
      <c r="AD4123">
        <v>-1.1101434423237999</v>
      </c>
      <c r="AE4123">
        <v>-2.2749999999999999</v>
      </c>
      <c r="AF4123">
        <v>2.41679257584582</v>
      </c>
      <c r="AG4123">
        <v>-1.1101434423237999</v>
      </c>
      <c r="AH4123">
        <v>11.8221233102671</v>
      </c>
      <c r="AI4123">
        <v>95.256479743821799</v>
      </c>
      <c r="AJ4123">
        <v>78.4462377945177</v>
      </c>
      <c r="AK4123">
        <v>12.1175865740814</v>
      </c>
      <c r="AL4123">
        <v>70.177408647233506</v>
      </c>
      <c r="AM4123">
        <v>84.702295634109603</v>
      </c>
      <c r="AN4123">
        <v>1.0000000676338601</v>
      </c>
    </row>
    <row r="4124" spans="1:40" x14ac:dyDescent="0.25">
      <c r="A4124" t="str">
        <f>"20190304164933142"</f>
        <v>20190304164933142</v>
      </c>
      <c r="B4124" t="str">
        <f>"1551689373130009"</f>
        <v>1551689373130009</v>
      </c>
      <c r="C4124" t="s">
        <v>40</v>
      </c>
      <c r="D4124">
        <v>4.266902</v>
      </c>
      <c r="E4124">
        <v>0.5624458</v>
      </c>
      <c r="F4124" t="s">
        <v>46</v>
      </c>
      <c r="G4124">
        <v>-233.70849999999999</v>
      </c>
      <c r="H4124" s="1">
        <v>4.8874459999999998E-7</v>
      </c>
      <c r="I4124">
        <v>213.4248</v>
      </c>
      <c r="J4124">
        <v>-245.55799999999999</v>
      </c>
      <c r="K4124">
        <v>1.1101540000000001</v>
      </c>
      <c r="L4124">
        <v>215.6865</v>
      </c>
      <c r="M4124">
        <v>0.99980899999999995</v>
      </c>
      <c r="N4124">
        <v>-1.4538219999999999E-2</v>
      </c>
      <c r="O4124">
        <v>1.307124E-2</v>
      </c>
      <c r="P4124">
        <v>0.94258929999999996</v>
      </c>
      <c r="Q4124">
        <v>0.32552769999999998</v>
      </c>
      <c r="R4124">
        <v>-7.4547440000000006E-2</v>
      </c>
      <c r="S4124">
        <v>3.238083</v>
      </c>
      <c r="T4124">
        <v>-0.29756009999999899</v>
      </c>
      <c r="U4124">
        <v>-0.60552980000000001</v>
      </c>
      <c r="V4124">
        <v>8.7416160000000007E-2</v>
      </c>
      <c r="W4124">
        <v>0.33903939999999999</v>
      </c>
      <c r="X4124">
        <v>0.93670209999999998</v>
      </c>
      <c r="Y4124">
        <v>0.19568540000000001</v>
      </c>
      <c r="Z4124">
        <v>-1.1334449999999999E-2</v>
      </c>
      <c r="AA4124">
        <v>0.98060130000000001</v>
      </c>
      <c r="AB4124">
        <v>33</v>
      </c>
      <c r="AC4124">
        <v>11.849500000000001</v>
      </c>
      <c r="AD4124">
        <v>-1.1101535112554</v>
      </c>
      <c r="AE4124">
        <v>-2.2616999999999901</v>
      </c>
      <c r="AF4124">
        <v>2.3961183227403202</v>
      </c>
      <c r="AG4124">
        <v>-1.1101535112554</v>
      </c>
      <c r="AH4124">
        <v>11.7196687145079</v>
      </c>
      <c r="AI4124">
        <v>95.302195611275494</v>
      </c>
      <c r="AJ4124">
        <v>78.444968393263494</v>
      </c>
      <c r="AK4124">
        <v>12.013511502177</v>
      </c>
      <c r="AL4124">
        <v>70.181641339622402</v>
      </c>
      <c r="AM4124">
        <v>84.668409268883195</v>
      </c>
      <c r="AN4124">
        <v>1.0000000619629501</v>
      </c>
    </row>
    <row r="4125" spans="1:40" x14ac:dyDescent="0.25">
      <c r="A4125" t="str">
        <f>"20190304164933158"</f>
        <v>20190304164933158</v>
      </c>
      <c r="B4125" t="str">
        <f>"1551689373150035"</f>
        <v>1551689373150035</v>
      </c>
      <c r="C4125" t="s">
        <v>40</v>
      </c>
      <c r="D4125">
        <v>4.2611210000000002</v>
      </c>
      <c r="E4125">
        <v>0.56257449999999998</v>
      </c>
      <c r="F4125" t="s">
        <v>46</v>
      </c>
      <c r="G4125">
        <v>-233.53960000000001</v>
      </c>
      <c r="H4125" s="1">
        <v>3.990001E-7</v>
      </c>
      <c r="I4125">
        <v>213.42250000000001</v>
      </c>
      <c r="J4125">
        <v>-245.30850000000001</v>
      </c>
      <c r="K4125">
        <v>1.1101730000000001</v>
      </c>
      <c r="L4125">
        <v>215.6893</v>
      </c>
      <c r="M4125">
        <v>0.99981549999999997</v>
      </c>
      <c r="N4125">
        <v>-1.453546E-2</v>
      </c>
      <c r="O4125">
        <v>1.255772E-2</v>
      </c>
      <c r="P4125">
        <v>0.94260370000000004</v>
      </c>
      <c r="Q4125">
        <v>0.32514969999999999</v>
      </c>
      <c r="R4125">
        <v>-7.6000750000000006E-2</v>
      </c>
      <c r="S4125">
        <v>3.2377929999999999</v>
      </c>
      <c r="T4125">
        <v>-0.29907800000000001</v>
      </c>
      <c r="U4125">
        <v>-0.60993960000000003</v>
      </c>
      <c r="V4125">
        <v>8.8370939999999995E-2</v>
      </c>
      <c r="W4125">
        <v>0.33866160000000001</v>
      </c>
      <c r="X4125">
        <v>0.9367491</v>
      </c>
      <c r="Y4125">
        <v>0.19647629999999999</v>
      </c>
      <c r="Z4125">
        <v>-1.1387700000000001E-2</v>
      </c>
      <c r="AA4125">
        <v>0.98044249999999999</v>
      </c>
      <c r="AB4125">
        <v>33</v>
      </c>
      <c r="AC4125">
        <v>11.7689</v>
      </c>
      <c r="AD4125">
        <v>-1.11017260099989</v>
      </c>
      <c r="AE4125">
        <v>-2.2667999999999799</v>
      </c>
      <c r="AF4125">
        <v>2.3938877345718401</v>
      </c>
      <c r="AG4125">
        <v>-1.11017260099989</v>
      </c>
      <c r="AH4125">
        <v>11.6396344335927</v>
      </c>
      <c r="AI4125">
        <v>95.337266890121199</v>
      </c>
      <c r="AJ4125">
        <v>78.378208110775901</v>
      </c>
      <c r="AK4125">
        <v>11.9350019454302</v>
      </c>
      <c r="AL4125">
        <v>70.204647302420597</v>
      </c>
      <c r="AM4125">
        <v>84.610786246530907</v>
      </c>
      <c r="AN4125">
        <v>0.99999998935092604</v>
      </c>
    </row>
    <row r="4126" spans="1:40" x14ac:dyDescent="0.25">
      <c r="A4126" t="str">
        <f>"20190304164933176"</f>
        <v>20190304164933176</v>
      </c>
      <c r="B4126" t="str">
        <f>"1551689373169555"</f>
        <v>1551689373169555</v>
      </c>
      <c r="C4126" t="s">
        <v>40</v>
      </c>
      <c r="D4126">
        <v>4.2857599999999998</v>
      </c>
      <c r="E4126">
        <v>0.56244159999999999</v>
      </c>
      <c r="F4126" t="s">
        <v>46</v>
      </c>
      <c r="G4126">
        <v>-233.46080000000001</v>
      </c>
      <c r="H4126" s="1">
        <v>3.5647319999999998E-7</v>
      </c>
      <c r="I4126">
        <v>213.4358</v>
      </c>
      <c r="J4126">
        <v>-245.0463</v>
      </c>
      <c r="K4126">
        <v>1.1101909999999999</v>
      </c>
      <c r="L4126">
        <v>215.69200000000001</v>
      </c>
      <c r="M4126">
        <v>0.99982199999999999</v>
      </c>
      <c r="N4126">
        <v>-1.45325E-2</v>
      </c>
      <c r="O4126">
        <v>1.2037799999999901E-2</v>
      </c>
      <c r="P4126">
        <v>0.94268560000000001</v>
      </c>
      <c r="Q4126">
        <v>0.32463439999999999</v>
      </c>
      <c r="R4126">
        <v>-7.7178430000000006E-2</v>
      </c>
      <c r="S4126">
        <v>3.2376559999999999</v>
      </c>
      <c r="T4126">
        <v>-0.30338100000000001</v>
      </c>
      <c r="U4126">
        <v>-0.61582950000000003</v>
      </c>
      <c r="V4126">
        <v>8.9043079999999997E-2</v>
      </c>
      <c r="W4126">
        <v>0.33814840000000002</v>
      </c>
      <c r="X4126">
        <v>0.93687089999999995</v>
      </c>
      <c r="Y4126">
        <v>0.19766529999999999</v>
      </c>
      <c r="Z4126">
        <v>-1.1554679999999999E-2</v>
      </c>
      <c r="AA4126">
        <v>0.98020149999999995</v>
      </c>
      <c r="AB4126">
        <v>33</v>
      </c>
      <c r="AC4126">
        <v>11.5854999999999</v>
      </c>
      <c r="AD4126">
        <v>-1.1101906435268001</v>
      </c>
      <c r="AE4126">
        <v>-2.2562000000000002</v>
      </c>
      <c r="AF4126">
        <v>2.3745076981100102</v>
      </c>
      <c r="AG4126">
        <v>-1.1101906435268001</v>
      </c>
      <c r="AH4126">
        <v>11.456144480611901</v>
      </c>
      <c r="AI4126">
        <v>95.420624406002005</v>
      </c>
      <c r="AJ4126">
        <v>78.290148995735294</v>
      </c>
      <c r="AK4126">
        <v>11.752193686032101</v>
      </c>
      <c r="AL4126">
        <v>70.235896284464104</v>
      </c>
      <c r="AM4126">
        <v>84.570742249934796</v>
      </c>
      <c r="AN4126">
        <v>1.00000004689262</v>
      </c>
    </row>
    <row r="4127" spans="1:40" x14ac:dyDescent="0.25">
      <c r="A4127" t="str">
        <f>"20190304164933189"</f>
        <v>20190304164933189</v>
      </c>
      <c r="B4127" t="str">
        <f>"1551689373180291"</f>
        <v>1551689373180291</v>
      </c>
      <c r="C4127" t="s">
        <v>40</v>
      </c>
      <c r="D4127">
        <v>4.3043899999999997</v>
      </c>
      <c r="E4127">
        <v>0.56244159999999999</v>
      </c>
      <c r="F4127" t="s">
        <v>46</v>
      </c>
      <c r="G4127">
        <v>-233.3398</v>
      </c>
      <c r="H4127" s="1">
        <v>2.9124919999999997E-7</v>
      </c>
      <c r="I4127">
        <v>213.4554</v>
      </c>
      <c r="J4127">
        <v>-244.8509</v>
      </c>
      <c r="K4127">
        <v>1.110201</v>
      </c>
      <c r="L4127">
        <v>215.69399999999999</v>
      </c>
      <c r="M4127">
        <v>0.9998264</v>
      </c>
      <c r="N4127">
        <v>-1.4530360000000001E-2</v>
      </c>
      <c r="O4127">
        <v>1.166355E-2</v>
      </c>
      <c r="P4127">
        <v>0.94271159999999998</v>
      </c>
      <c r="Q4127">
        <v>0.32438309999999998</v>
      </c>
      <c r="R4127">
        <v>-7.7912609999999993E-2</v>
      </c>
      <c r="S4127">
        <v>3.2375029999999998</v>
      </c>
      <c r="T4127">
        <v>-0.30703009999999997</v>
      </c>
      <c r="U4127">
        <v>-0.61856080000000002</v>
      </c>
      <c r="V4127">
        <v>8.9413549999999994E-2</v>
      </c>
      <c r="W4127">
        <v>0.33789829999999998</v>
      </c>
      <c r="X4127">
        <v>0.93692580000000003</v>
      </c>
      <c r="Y4127">
        <v>0.19808120000000001</v>
      </c>
      <c r="Z4127">
        <v>-1.167025E-2</v>
      </c>
      <c r="AA4127">
        <v>0.98011610000000005</v>
      </c>
      <c r="AB4127">
        <v>33</v>
      </c>
      <c r="AC4127">
        <v>11.511100000000001</v>
      </c>
      <c r="AD4127">
        <v>-1.1102007087507999</v>
      </c>
      <c r="AE4127">
        <v>-2.2386000000000101</v>
      </c>
      <c r="AF4127">
        <v>2.3516446612033399</v>
      </c>
      <c r="AG4127">
        <v>-1.1102007087507999</v>
      </c>
      <c r="AH4127">
        <v>11.3821869218381</v>
      </c>
      <c r="AI4127">
        <v>95.456395423179202</v>
      </c>
      <c r="AJ4127">
        <v>78.326515873746999</v>
      </c>
      <c r="AK4127">
        <v>11.6754853153922</v>
      </c>
      <c r="AL4127">
        <v>70.251121212448794</v>
      </c>
      <c r="AM4127">
        <v>84.548606778251894</v>
      </c>
      <c r="AN4127">
        <v>0.99999999938606599</v>
      </c>
    </row>
    <row r="4128" spans="1:40" x14ac:dyDescent="0.25">
      <c r="A4128" t="str">
        <f>"20190304164933203"</f>
        <v>20190304164933203</v>
      </c>
      <c r="B4128" t="str">
        <f>"1551689373199811"</f>
        <v>1551689373199811</v>
      </c>
      <c r="C4128" t="s">
        <v>40</v>
      </c>
      <c r="D4128">
        <v>4.2581670000000003</v>
      </c>
      <c r="E4128">
        <v>0.54708049999999997</v>
      </c>
      <c r="F4128" t="s">
        <v>46</v>
      </c>
      <c r="G4128">
        <v>-233.18270000000001</v>
      </c>
      <c r="H4128" s="1">
        <v>2.076309E-7</v>
      </c>
      <c r="I4128">
        <v>213.4556</v>
      </c>
      <c r="J4128">
        <v>-244.6403</v>
      </c>
      <c r="K4128">
        <v>1.1102160000000001</v>
      </c>
      <c r="L4128">
        <v>215.6961</v>
      </c>
      <c r="M4128">
        <v>0.99983100000000003</v>
      </c>
      <c r="N4128">
        <v>-1.4528040000000001E-2</v>
      </c>
      <c r="O4128">
        <v>1.126658E-2</v>
      </c>
      <c r="P4128">
        <v>0.94275960000000003</v>
      </c>
      <c r="Q4128">
        <v>0.324013</v>
      </c>
      <c r="R4128">
        <v>-7.8867409999999999E-2</v>
      </c>
      <c r="S4128">
        <v>3.2369690000000002</v>
      </c>
      <c r="T4128">
        <v>-0.3079904</v>
      </c>
      <c r="U4128">
        <v>-0.62098690000000001</v>
      </c>
      <c r="V4128">
        <v>8.9983380000000002E-2</v>
      </c>
      <c r="W4128">
        <v>0.33752949999999998</v>
      </c>
      <c r="X4128">
        <v>0.93700419999999995</v>
      </c>
      <c r="Y4128">
        <v>0.19842389999999999</v>
      </c>
      <c r="Z4128">
        <v>-1.169045E-2</v>
      </c>
      <c r="AA4128">
        <v>0.98004659999999999</v>
      </c>
      <c r="AB4128">
        <v>33</v>
      </c>
      <c r="AC4128">
        <v>11.4575999999999</v>
      </c>
      <c r="AD4128">
        <v>-1.1102157923691001</v>
      </c>
      <c r="AE4128">
        <v>-2.2404999999999902</v>
      </c>
      <c r="AF4128">
        <v>2.3482235021067002</v>
      </c>
      <c r="AG4128">
        <v>-1.1102157923691001</v>
      </c>
      <c r="AH4128">
        <v>11.329173292193</v>
      </c>
      <c r="AI4128">
        <v>95.481128128952506</v>
      </c>
      <c r="AJ4128">
        <v>78.289988780580501</v>
      </c>
      <c r="AK4128">
        <v>11.6231192115547</v>
      </c>
      <c r="AL4128">
        <v>70.2735712913085</v>
      </c>
      <c r="AM4128">
        <v>84.514532694347395</v>
      </c>
      <c r="AN4128">
        <v>1.0000000214320499</v>
      </c>
    </row>
    <row r="4129" spans="1:40" x14ac:dyDescent="0.25">
      <c r="A4129" t="str">
        <f>"20190304164933219"</f>
        <v>20190304164933219</v>
      </c>
      <c r="B4129" t="str">
        <f>"1551689373209572"</f>
        <v>1551689373209572</v>
      </c>
      <c r="C4129" t="s">
        <v>40</v>
      </c>
      <c r="D4129">
        <v>4.2053129999999896</v>
      </c>
      <c r="E4129">
        <v>0.54652419999999902</v>
      </c>
      <c r="F4129" t="s">
        <v>41</v>
      </c>
      <c r="G4129">
        <v>-243.73990000000001</v>
      </c>
      <c r="H4129">
        <v>1.0266980000000001</v>
      </c>
      <c r="I4129">
        <v>215.5564</v>
      </c>
      <c r="J4129">
        <v>-244.4008</v>
      </c>
      <c r="K4129">
        <v>1.1102299999999901</v>
      </c>
      <c r="L4129">
        <v>215.69829999999999</v>
      </c>
      <c r="M4129">
        <v>0.99983599999999995</v>
      </c>
      <c r="N4129">
        <v>-1.4525389999999999E-2</v>
      </c>
      <c r="O4129">
        <v>1.082294E-2</v>
      </c>
      <c r="P4129">
        <v>0.94259490000000001</v>
      </c>
      <c r="Q4129">
        <v>0.32429010000000003</v>
      </c>
      <c r="R4129">
        <v>-7.9694570000000006E-2</v>
      </c>
      <c r="S4129">
        <v>3.2435610000000001</v>
      </c>
      <c r="T4129">
        <v>-0.3009772</v>
      </c>
      <c r="U4129">
        <v>-0.50241089999999999</v>
      </c>
      <c r="V4129">
        <v>9.0380360000000007E-2</v>
      </c>
      <c r="W4129">
        <v>0.3378041</v>
      </c>
      <c r="X4129">
        <v>0.93686700000000001</v>
      </c>
      <c r="Y4129">
        <v>0.162931399999999</v>
      </c>
      <c r="Z4129">
        <v>-9.5324729999999996E-3</v>
      </c>
      <c r="AA4129">
        <v>0.98659129999999995</v>
      </c>
      <c r="AB4129">
        <v>33</v>
      </c>
      <c r="AC4129">
        <v>0.66089999999999705</v>
      </c>
      <c r="AD4129">
        <v>-8.3531999999999898E-2</v>
      </c>
      <c r="AE4129">
        <v>-0.141899999999992</v>
      </c>
      <c r="AF4129">
        <v>0.14680351732087099</v>
      </c>
      <c r="AG4129">
        <v>-8.3531999999999898E-2</v>
      </c>
      <c r="AH4129">
        <v>0.64940836976697502</v>
      </c>
      <c r="AI4129">
        <v>97.151084442686695</v>
      </c>
      <c r="AJ4129">
        <v>77.261968550240098</v>
      </c>
      <c r="AK4129">
        <v>0.67101423117932402</v>
      </c>
      <c r="AL4129">
        <v>70.256855625904095</v>
      </c>
      <c r="AM4129">
        <v>84.489679140274703</v>
      </c>
      <c r="AN4129">
        <v>0.99999999756976898</v>
      </c>
    </row>
    <row r="4130" spans="1:40" x14ac:dyDescent="0.25">
      <c r="A4130" t="str">
        <f>"20190304164933233"</f>
        <v>20190304164933233</v>
      </c>
      <c r="B4130" t="str">
        <f>"1551689373230068"</f>
        <v>1551689373230068</v>
      </c>
      <c r="C4130" t="s">
        <v>40</v>
      </c>
      <c r="D4130">
        <v>4.2236560000000001</v>
      </c>
      <c r="E4130">
        <v>0.54529179999999999</v>
      </c>
      <c r="F4130" t="s">
        <v>41</v>
      </c>
      <c r="G4130">
        <v>-243.44319999999999</v>
      </c>
      <c r="H4130">
        <v>1.024721</v>
      </c>
      <c r="I4130">
        <v>215.54990000000001</v>
      </c>
      <c r="J4130">
        <v>-244.1944</v>
      </c>
      <c r="K4130">
        <v>1.110244</v>
      </c>
      <c r="L4130">
        <v>215.7002</v>
      </c>
      <c r="M4130">
        <v>0.99984010000000001</v>
      </c>
      <c r="N4130">
        <v>-1.452316E-2</v>
      </c>
      <c r="O4130">
        <v>1.0446220000000001E-2</v>
      </c>
      <c r="P4130">
        <v>0.94232519999999997</v>
      </c>
      <c r="Q4130">
        <v>0.32493499999999997</v>
      </c>
      <c r="R4130">
        <v>-8.0255309999999996E-2</v>
      </c>
      <c r="S4130">
        <v>3.2398380000000002</v>
      </c>
      <c r="T4130">
        <v>-0.28938720000000001</v>
      </c>
      <c r="U4130">
        <v>-0.50175479999999995</v>
      </c>
      <c r="V4130">
        <v>9.0576829999999997E-2</v>
      </c>
      <c r="W4130">
        <v>0.33844489999999999</v>
      </c>
      <c r="X4130">
        <v>0.93661669999999997</v>
      </c>
      <c r="Y4130">
        <v>0.16259560000000001</v>
      </c>
      <c r="Z4130">
        <v>-9.1703219999999998E-3</v>
      </c>
      <c r="AA4130">
        <v>0.98665020000000003</v>
      </c>
      <c r="AB4130">
        <v>33</v>
      </c>
      <c r="AC4130">
        <v>0.75120000000001097</v>
      </c>
      <c r="AD4130">
        <v>-8.5523000000000002E-2</v>
      </c>
      <c r="AE4130">
        <v>-0.150299999999987</v>
      </c>
      <c r="AF4130">
        <v>0.15619325336984899</v>
      </c>
      <c r="AG4130">
        <v>-8.5523000000000002E-2</v>
      </c>
      <c r="AH4130">
        <v>0.74036195004633798</v>
      </c>
      <c r="AI4130">
        <v>96.448614065281205</v>
      </c>
      <c r="AJ4130">
        <v>78.0870690092828</v>
      </c>
      <c r="AK4130">
        <v>0.761476416577477</v>
      </c>
      <c r="AL4130">
        <v>70.217842269347599</v>
      </c>
      <c r="AM4130">
        <v>84.4763080715515</v>
      </c>
      <c r="AN4130">
        <v>0.99999997759387405</v>
      </c>
    </row>
    <row r="4131" spans="1:40" x14ac:dyDescent="0.25">
      <c r="A4131" t="str">
        <f>"20190304164933248"</f>
        <v>20190304164933248</v>
      </c>
      <c r="B4131" t="str">
        <f>"1551689373239828"</f>
        <v>1551689373239828</v>
      </c>
      <c r="C4131" t="s">
        <v>40</v>
      </c>
      <c r="D4131">
        <v>4.2573600000000003</v>
      </c>
      <c r="E4131">
        <v>0.54507749999999999</v>
      </c>
      <c r="F4131" t="s">
        <v>41</v>
      </c>
      <c r="G4131">
        <v>-243.4341</v>
      </c>
      <c r="H4131">
        <v>1.0427660000000001</v>
      </c>
      <c r="I4131">
        <v>215.58410000000001</v>
      </c>
      <c r="J4131">
        <v>-243.97790000000001</v>
      </c>
      <c r="K4131">
        <v>1.1102639999999999</v>
      </c>
      <c r="L4131">
        <v>215.702</v>
      </c>
      <c r="M4131">
        <v>0.99984410000000001</v>
      </c>
      <c r="N4131">
        <v>-1.452081E-2</v>
      </c>
      <c r="O4131">
        <v>1.0055629999999999E-2</v>
      </c>
      <c r="P4131">
        <v>0.94201060000000003</v>
      </c>
      <c r="Q4131">
        <v>0.3257487</v>
      </c>
      <c r="R4131">
        <v>-8.0647860000000002E-2</v>
      </c>
      <c r="S4131">
        <v>3.2407379999999999</v>
      </c>
      <c r="T4131">
        <v>-0.28774420000000001</v>
      </c>
      <c r="U4131">
        <v>-0.49417109999999898</v>
      </c>
      <c r="V4131">
        <v>9.0593720000000003E-2</v>
      </c>
      <c r="W4131">
        <v>0.33925379999999999</v>
      </c>
      <c r="X4131">
        <v>0.9363224</v>
      </c>
      <c r="Y4131">
        <v>0.15993379999999999</v>
      </c>
      <c r="Z4131">
        <v>-8.9575590000000004E-3</v>
      </c>
      <c r="AA4131">
        <v>0.9870871</v>
      </c>
      <c r="AB4131">
        <v>33</v>
      </c>
      <c r="AC4131">
        <v>0.54380000000000395</v>
      </c>
      <c r="AD4131">
        <v>-6.7497999999999794E-2</v>
      </c>
      <c r="AE4131">
        <v>-0.117899999999991</v>
      </c>
      <c r="AF4131">
        <v>0.121573929209532</v>
      </c>
      <c r="AG4131">
        <v>-6.7497999999999794E-2</v>
      </c>
      <c r="AH4131">
        <v>0.53471853917256196</v>
      </c>
      <c r="AI4131">
        <v>97.017214731157097</v>
      </c>
      <c r="AJ4131">
        <v>77.190946441221897</v>
      </c>
      <c r="AK4131">
        <v>0.55250349899551199</v>
      </c>
      <c r="AL4131">
        <v>70.168581932648806</v>
      </c>
      <c r="AM4131">
        <v>84.473558681001705</v>
      </c>
      <c r="AN4131">
        <v>0.99999999982981902</v>
      </c>
    </row>
    <row r="4132" spans="1:40" x14ac:dyDescent="0.25">
      <c r="A4132" t="str">
        <f>"20190304164933265"</f>
        <v>20190304164933265</v>
      </c>
      <c r="B4132" t="str">
        <f>"1551689373260324"</f>
        <v>1551689373260324</v>
      </c>
      <c r="C4132" t="s">
        <v>40</v>
      </c>
      <c r="D4132">
        <v>4.2012519999999904</v>
      </c>
      <c r="E4132">
        <v>0.54474999999999996</v>
      </c>
      <c r="F4132" t="s">
        <v>41</v>
      </c>
      <c r="G4132">
        <v>-243.1421</v>
      </c>
      <c r="H4132">
        <v>1.0361750000000001</v>
      </c>
      <c r="I4132">
        <v>215.5745</v>
      </c>
      <c r="J4132">
        <v>-243.72579999999999</v>
      </c>
      <c r="K4132">
        <v>1.1102749999999999</v>
      </c>
      <c r="L4132">
        <v>215.70410000000001</v>
      </c>
      <c r="M4132">
        <v>0.99984850000000003</v>
      </c>
      <c r="N4132">
        <v>-1.4518029999999999E-2</v>
      </c>
      <c r="O4132">
        <v>9.6034039999999994E-3</v>
      </c>
      <c r="P4132">
        <v>0.94185039999999998</v>
      </c>
      <c r="Q4132">
        <v>0.3261366</v>
      </c>
      <c r="R4132">
        <v>-8.0951899999999993E-2</v>
      </c>
      <c r="S4132">
        <v>3.2418209999999998</v>
      </c>
      <c r="T4132">
        <v>-0.2874719</v>
      </c>
      <c r="U4132">
        <v>-0.4936371</v>
      </c>
      <c r="V4132">
        <v>9.046535E-2</v>
      </c>
      <c r="W4132">
        <v>0.33963870000000002</v>
      </c>
      <c r="X4132">
        <v>0.93619529999999995</v>
      </c>
      <c r="Y4132">
        <v>0.15928519999999999</v>
      </c>
      <c r="Z4132">
        <v>-8.8807720000000003E-3</v>
      </c>
      <c r="AA4132">
        <v>0.98719270000000003</v>
      </c>
      <c r="AB4132">
        <v>33</v>
      </c>
      <c r="AC4132">
        <v>0.583699999999993</v>
      </c>
      <c r="AD4132">
        <v>-7.4099999999999805E-2</v>
      </c>
      <c r="AE4132">
        <v>-0.12960000000001001</v>
      </c>
      <c r="AF4132">
        <v>0.13315501490582901</v>
      </c>
      <c r="AG4132">
        <v>-7.4099999999999805E-2</v>
      </c>
      <c r="AH4132">
        <v>0.57361824058230804</v>
      </c>
      <c r="AI4132">
        <v>97.172070991293793</v>
      </c>
      <c r="AJ4132">
        <v>76.931285113563007</v>
      </c>
      <c r="AK4132">
        <v>0.59351407222012298</v>
      </c>
      <c r="AL4132">
        <v>70.145137423687999</v>
      </c>
      <c r="AM4132">
        <v>84.480596592329704</v>
      </c>
      <c r="AN4132">
        <v>1.0000000329151999</v>
      </c>
    </row>
    <row r="4133" spans="1:40" x14ac:dyDescent="0.25">
      <c r="A4133" t="str">
        <f>"20190304164933282"</f>
        <v>20190304164933282</v>
      </c>
      <c r="B4133" t="str">
        <f>"1551689373270083"</f>
        <v>1551689373270083</v>
      </c>
      <c r="C4133" t="s">
        <v>40</v>
      </c>
      <c r="D4133">
        <v>4.24641</v>
      </c>
      <c r="E4133">
        <v>0.54472919999999903</v>
      </c>
      <c r="F4133" t="s">
        <v>41</v>
      </c>
      <c r="G4133">
        <v>-242.84829999999999</v>
      </c>
      <c r="H4133">
        <v>1.032985</v>
      </c>
      <c r="I4133">
        <v>215.57079999999999</v>
      </c>
      <c r="J4133">
        <v>-243.48330000000001</v>
      </c>
      <c r="K4133">
        <v>1.1102879999999999</v>
      </c>
      <c r="L4133">
        <v>215.70599999999999</v>
      </c>
      <c r="M4133">
        <v>0.99985259999999998</v>
      </c>
      <c r="N4133">
        <v>-1.451536E-2</v>
      </c>
      <c r="O4133">
        <v>9.1699199999999998E-3</v>
      </c>
      <c r="P4133">
        <v>0.94164559999999997</v>
      </c>
      <c r="Q4133">
        <v>0.32664720000000003</v>
      </c>
      <c r="R4133">
        <v>-8.1273730000000002E-2</v>
      </c>
      <c r="S4133">
        <v>3.2418369999999999</v>
      </c>
      <c r="T4133">
        <v>-0.28559699999999999</v>
      </c>
      <c r="U4133">
        <v>-0.49188229999999999</v>
      </c>
      <c r="V4133">
        <v>9.0374049999999997E-2</v>
      </c>
      <c r="W4133">
        <v>0.3401458</v>
      </c>
      <c r="X4133">
        <v>0.93601999999999996</v>
      </c>
      <c r="Y4133">
        <v>0.1583484</v>
      </c>
      <c r="Z4133">
        <v>-8.7502769999999903E-3</v>
      </c>
      <c r="AA4133">
        <v>0.98734449999999996</v>
      </c>
      <c r="AB4133">
        <v>33</v>
      </c>
      <c r="AC4133">
        <v>0.63500000000001899</v>
      </c>
      <c r="AD4133">
        <v>-7.73029999999999E-2</v>
      </c>
      <c r="AE4133">
        <v>-0.13519999999999699</v>
      </c>
      <c r="AF4133">
        <v>0.139046534337081</v>
      </c>
      <c r="AG4133">
        <v>-7.73029999999999E-2</v>
      </c>
      <c r="AH4133">
        <v>0.62487441273736599</v>
      </c>
      <c r="AI4133">
        <v>96.885479862027594</v>
      </c>
      <c r="AJ4133">
        <v>77.454980225346503</v>
      </c>
      <c r="AK4133">
        <v>0.644808284852188</v>
      </c>
      <c r="AL4133">
        <v>70.114243532861806</v>
      </c>
      <c r="AM4133">
        <v>84.485106289095796</v>
      </c>
      <c r="AN4133">
        <v>1.00000003728552</v>
      </c>
    </row>
    <row r="4134" spans="1:40" x14ac:dyDescent="0.25">
      <c r="A4134" t="str">
        <f>"20190304164933305"</f>
        <v>20190304164933305</v>
      </c>
      <c r="B4134" t="str">
        <f>"1551689373300339"</f>
        <v>1551689373300339</v>
      </c>
      <c r="C4134" t="s">
        <v>40</v>
      </c>
      <c r="D4134">
        <v>4.2559480000000001</v>
      </c>
      <c r="E4134">
        <v>0.54485439999999996</v>
      </c>
      <c r="F4134" t="s">
        <v>41</v>
      </c>
      <c r="G4134">
        <v>-242.55520000000001</v>
      </c>
      <c r="H4134">
        <v>1.0286519999999999</v>
      </c>
      <c r="I4134">
        <v>215.56489999999999</v>
      </c>
      <c r="J4134">
        <v>-243.1482</v>
      </c>
      <c r="K4134">
        <v>1.110295</v>
      </c>
      <c r="L4134">
        <v>215.70840000000001</v>
      </c>
      <c r="M4134">
        <v>0.99985809999999997</v>
      </c>
      <c r="N4134">
        <v>-1.4511700000000001E-2</v>
      </c>
      <c r="O4134">
        <v>8.570935E-3</v>
      </c>
      <c r="P4134">
        <v>0.94126750000000003</v>
      </c>
      <c r="Q4134">
        <v>0.32770300000000002</v>
      </c>
      <c r="R4134">
        <v>-8.1402870000000002E-2</v>
      </c>
      <c r="S4134">
        <v>3.2423860000000002</v>
      </c>
      <c r="T4134">
        <v>-0.28529870000000002</v>
      </c>
      <c r="U4134">
        <v>-0.49237059999999999</v>
      </c>
      <c r="V4134">
        <v>8.9933399999999997E-2</v>
      </c>
      <c r="W4134">
        <v>0.34119529999999998</v>
      </c>
      <c r="X4134">
        <v>0.93568039999999997</v>
      </c>
      <c r="Y4134">
        <v>0.15788279999999999</v>
      </c>
      <c r="Z4134">
        <v>-8.6731849999999999E-3</v>
      </c>
      <c r="AA4134">
        <v>0.98741979999999996</v>
      </c>
      <c r="AB4134">
        <v>33</v>
      </c>
      <c r="AC4134">
        <v>0.59299999999998898</v>
      </c>
      <c r="AD4134">
        <v>-8.1642999999999896E-2</v>
      </c>
      <c r="AE4134">
        <v>-0.143500000000017</v>
      </c>
      <c r="AF4134">
        <v>0.14596410447974401</v>
      </c>
      <c r="AG4134">
        <v>-8.1642999999999896E-2</v>
      </c>
      <c r="AH4134">
        <v>0.58133835524254096</v>
      </c>
      <c r="AI4134">
        <v>97.756623469627797</v>
      </c>
      <c r="AJ4134">
        <v>75.905377018920802</v>
      </c>
      <c r="AK4134">
        <v>0.60491766590311802</v>
      </c>
      <c r="AL4134">
        <v>70.050285685733897</v>
      </c>
      <c r="AM4134">
        <v>84.5098517586014</v>
      </c>
      <c r="AN4134">
        <v>1.0000000300609</v>
      </c>
    </row>
    <row r="4135" spans="1:40" x14ac:dyDescent="0.25">
      <c r="A4135" t="str">
        <f>"20190304164933326"</f>
        <v>20190304164933326</v>
      </c>
      <c r="B4135" t="str">
        <f>"1551689373319859"</f>
        <v>1551689373319859</v>
      </c>
      <c r="C4135" t="s">
        <v>40</v>
      </c>
      <c r="D4135">
        <v>4.2544789999999999</v>
      </c>
      <c r="E4135">
        <v>0.54508219999999996</v>
      </c>
      <c r="F4135" t="s">
        <v>41</v>
      </c>
      <c r="G4135">
        <v>-242.25739999999999</v>
      </c>
      <c r="H4135">
        <v>1.0336069999999999</v>
      </c>
      <c r="I4135">
        <v>215.57300000000001</v>
      </c>
      <c r="J4135">
        <v>-242.821</v>
      </c>
      <c r="K4135">
        <v>1.1103019999999999</v>
      </c>
      <c r="L4135">
        <v>215.7106</v>
      </c>
      <c r="M4135">
        <v>0.99986280000000005</v>
      </c>
      <c r="N4135">
        <v>-1.4508139999999999E-2</v>
      </c>
      <c r="O4135">
        <v>7.984863E-3</v>
      </c>
      <c r="P4135">
        <v>0.94093419999999905</v>
      </c>
      <c r="Q4135">
        <v>0.32866640000000003</v>
      </c>
      <c r="R4135">
        <v>-8.1371310000000002E-2</v>
      </c>
      <c r="S4135">
        <v>3.2417449999999999</v>
      </c>
      <c r="T4135">
        <v>-0.27914369999999999</v>
      </c>
      <c r="U4135">
        <v>-0.49278260000000002</v>
      </c>
      <c r="V4135">
        <v>8.9345729999999998E-2</v>
      </c>
      <c r="W4135">
        <v>0.34215299999999998</v>
      </c>
      <c r="X4135">
        <v>0.93538690000000002</v>
      </c>
      <c r="Y4135">
        <v>0.1574874</v>
      </c>
      <c r="Z4135">
        <v>-8.4485110000000006E-3</v>
      </c>
      <c r="AA4135">
        <v>0.9874849</v>
      </c>
      <c r="AB4135">
        <v>33</v>
      </c>
      <c r="AC4135">
        <v>0.56360000000000798</v>
      </c>
      <c r="AD4135">
        <v>-7.6695000000000096E-2</v>
      </c>
      <c r="AE4135">
        <v>-0.13760000000002001</v>
      </c>
      <c r="AF4135">
        <v>0.13965570178064299</v>
      </c>
      <c r="AG4135">
        <v>-7.6695000000000096E-2</v>
      </c>
      <c r="AH4135">
        <v>0.552821959065394</v>
      </c>
      <c r="AI4135">
        <v>97.660758844493699</v>
      </c>
      <c r="AJ4135">
        <v>75.822382045029201</v>
      </c>
      <c r="AK4135">
        <v>0.57532421858439398</v>
      </c>
      <c r="AL4135">
        <v>69.991899005813394</v>
      </c>
      <c r="AM4135">
        <v>84.543808927651597</v>
      </c>
      <c r="AN4135">
        <v>0.99999999378492099</v>
      </c>
    </row>
    <row r="4136" spans="1:40" x14ac:dyDescent="0.25">
      <c r="A4136" t="str">
        <f>"20190304164933348"</f>
        <v>20190304164933348</v>
      </c>
      <c r="B4136" t="str">
        <f>"1551689373340355"</f>
        <v>1551689373340355</v>
      </c>
      <c r="C4136" t="s">
        <v>40</v>
      </c>
      <c r="D4136">
        <v>4.2362699999999904</v>
      </c>
      <c r="E4136">
        <v>0.54552909999999999</v>
      </c>
      <c r="F4136" t="s">
        <v>41</v>
      </c>
      <c r="G4136">
        <v>-241.96019999999999</v>
      </c>
      <c r="H4136">
        <v>1.0373829999999999</v>
      </c>
      <c r="I4136">
        <v>215.57919999999999</v>
      </c>
      <c r="J4136">
        <v>-242.5016</v>
      </c>
      <c r="K4136">
        <v>1.1103099999999999</v>
      </c>
      <c r="L4136">
        <v>215.71260000000001</v>
      </c>
      <c r="M4136">
        <v>0.99986730000000001</v>
      </c>
      <c r="N4136">
        <v>-1.4504660000000001E-2</v>
      </c>
      <c r="O4136">
        <v>7.4104569999999996E-3</v>
      </c>
      <c r="P4136">
        <v>0.94074020000000003</v>
      </c>
      <c r="Q4136">
        <v>0.32936549999999998</v>
      </c>
      <c r="R4136">
        <v>-8.0784350000000005E-2</v>
      </c>
      <c r="S4136">
        <v>3.2415919999999998</v>
      </c>
      <c r="T4136">
        <v>-0.27474009999999999</v>
      </c>
      <c r="U4136">
        <v>-0.49398799999999998</v>
      </c>
      <c r="V4136">
        <v>8.821532E-2</v>
      </c>
      <c r="W4136">
        <v>0.34284880000000001</v>
      </c>
      <c r="X4136">
        <v>0.93523940000000005</v>
      </c>
      <c r="Y4136">
        <v>0.15730820000000001</v>
      </c>
      <c r="Z4136">
        <v>-8.282935E-3</v>
      </c>
      <c r="AA4136">
        <v>0.98751480000000003</v>
      </c>
      <c r="AB4136">
        <v>33</v>
      </c>
      <c r="AC4136">
        <v>0.54140000000000998</v>
      </c>
      <c r="AD4136">
        <v>-7.2927000000000103E-2</v>
      </c>
      <c r="AE4136">
        <v>-0.133400000000023</v>
      </c>
      <c r="AF4136">
        <v>0.135097827423796</v>
      </c>
      <c r="AG4136">
        <v>-7.2927000000000103E-2</v>
      </c>
      <c r="AH4136">
        <v>0.531308038095333</v>
      </c>
      <c r="AI4136">
        <v>97.577357295433401</v>
      </c>
      <c r="AJ4136">
        <v>75.733511244855094</v>
      </c>
      <c r="AK4136">
        <v>0.55304430351314704</v>
      </c>
      <c r="AL4136">
        <v>69.949466052403295</v>
      </c>
      <c r="AM4136">
        <v>84.6115876719347</v>
      </c>
      <c r="AN4136">
        <v>0.99999998882825103</v>
      </c>
    </row>
    <row r="4137" spans="1:40" x14ac:dyDescent="0.25">
      <c r="A4137" t="str">
        <f>"20190304164933365"</f>
        <v>20190304164933365</v>
      </c>
      <c r="B4137" t="str">
        <f>"1551689373359876"</f>
        <v>1551689373359876</v>
      </c>
      <c r="C4137" t="s">
        <v>40</v>
      </c>
      <c r="D4137">
        <v>4.2302089999999897</v>
      </c>
      <c r="E4137">
        <v>0.54584540000000004</v>
      </c>
      <c r="F4137" t="s">
        <v>41</v>
      </c>
      <c r="G4137">
        <v>-241.66460000000001</v>
      </c>
      <c r="H4137">
        <v>1.0396350000000001</v>
      </c>
      <c r="I4137">
        <v>215.58459999999999</v>
      </c>
      <c r="J4137">
        <v>-242.24690000000001</v>
      </c>
      <c r="K4137">
        <v>1.1103149999999999</v>
      </c>
      <c r="L4137">
        <v>215.714</v>
      </c>
      <c r="M4137">
        <v>0.9998707</v>
      </c>
      <c r="N4137">
        <v>-1.450189E-2</v>
      </c>
      <c r="O4137">
        <v>6.9518310000000003E-3</v>
      </c>
      <c r="P4137">
        <v>0.94057329999999995</v>
      </c>
      <c r="Q4137">
        <v>0.32982299999999998</v>
      </c>
      <c r="R4137">
        <v>-8.0861500000000003E-2</v>
      </c>
      <c r="S4137">
        <v>3.2422330000000001</v>
      </c>
      <c r="T4137">
        <v>-0.27378609999999998</v>
      </c>
      <c r="U4137">
        <v>-0.4960175</v>
      </c>
      <c r="V4137">
        <v>8.7858790000000006E-2</v>
      </c>
      <c r="W4137">
        <v>0.34330290000000002</v>
      </c>
      <c r="X4137">
        <v>0.9351064</v>
      </c>
      <c r="Y4137">
        <v>0.15743550000000001</v>
      </c>
      <c r="Z4137">
        <v>-8.23039699999999E-3</v>
      </c>
      <c r="AA4137">
        <v>0.98749500000000001</v>
      </c>
      <c r="AB4137">
        <v>33</v>
      </c>
      <c r="AC4137">
        <v>0.58230000000000304</v>
      </c>
      <c r="AD4137">
        <v>-7.0679999999999799E-2</v>
      </c>
      <c r="AE4137">
        <v>-0.12940000000003199</v>
      </c>
      <c r="AF4137">
        <v>0.13159772370335501</v>
      </c>
      <c r="AG4137">
        <v>-7.0679999999999799E-2</v>
      </c>
      <c r="AH4137">
        <v>0.57333664620524305</v>
      </c>
      <c r="AI4137">
        <v>96.851465761426894</v>
      </c>
      <c r="AJ4137">
        <v>77.072836625254993</v>
      </c>
      <c r="AK4137">
        <v>0.592476609804793</v>
      </c>
      <c r="AL4137">
        <v>69.921767435304005</v>
      </c>
      <c r="AM4137">
        <v>84.632479147943798</v>
      </c>
      <c r="AN4137">
        <v>1.00000001372481</v>
      </c>
    </row>
    <row r="4138" spans="1:40" x14ac:dyDescent="0.25">
      <c r="A4138" t="str">
        <f>"20190304164933379"</f>
        <v>20190304164933379</v>
      </c>
      <c r="B4138" t="str">
        <f>"1551689373370612"</f>
        <v>1551689373370612</v>
      </c>
      <c r="C4138" t="s">
        <v>40</v>
      </c>
      <c r="D4138">
        <v>4.2584759999999999</v>
      </c>
      <c r="E4138">
        <v>0.54586259999999998</v>
      </c>
      <c r="F4138" t="s">
        <v>41</v>
      </c>
      <c r="G4138">
        <v>-241.3725</v>
      </c>
      <c r="H4138">
        <v>1.0364899999999999</v>
      </c>
      <c r="I4138">
        <v>215.57929999999999</v>
      </c>
      <c r="J4138">
        <v>-242.0472</v>
      </c>
      <c r="K4138">
        <v>1.1103190000000001</v>
      </c>
      <c r="L4138">
        <v>215.715</v>
      </c>
      <c r="M4138">
        <v>0.99987320000000002</v>
      </c>
      <c r="N4138">
        <v>-1.4499710000000001E-2</v>
      </c>
      <c r="O4138">
        <v>6.5923680000000004E-3</v>
      </c>
      <c r="P4138">
        <v>0.94057219999999997</v>
      </c>
      <c r="Q4138">
        <v>0.32994230000000002</v>
      </c>
      <c r="R4138">
        <v>-8.0387910000000007E-2</v>
      </c>
      <c r="S4138">
        <v>3.242661</v>
      </c>
      <c r="T4138">
        <v>-0.27384340000000001</v>
      </c>
      <c r="U4138">
        <v>-0.49914550000000002</v>
      </c>
      <c r="V4138">
        <v>8.7045709999999998E-2</v>
      </c>
      <c r="W4138">
        <v>0.34342159999999999</v>
      </c>
      <c r="X4138">
        <v>0.93513880000000005</v>
      </c>
      <c r="Y4138">
        <v>0.157990299999999</v>
      </c>
      <c r="Z4138">
        <v>-8.232718E-3</v>
      </c>
      <c r="AA4138">
        <v>0.98740640000000002</v>
      </c>
      <c r="AB4138">
        <v>33</v>
      </c>
      <c r="AC4138">
        <v>0.67470000000000097</v>
      </c>
      <c r="AD4138">
        <v>-7.3829000000000103E-2</v>
      </c>
      <c r="AE4138">
        <v>-0.135700000000014</v>
      </c>
      <c r="AF4138">
        <v>0.138550905536305</v>
      </c>
      <c r="AG4138">
        <v>-7.3829000000000103E-2</v>
      </c>
      <c r="AH4138">
        <v>0.66612470515839095</v>
      </c>
      <c r="AI4138">
        <v>96.193005064236303</v>
      </c>
      <c r="AJ4138">
        <v>78.250266500322397</v>
      </c>
      <c r="AK4138">
        <v>0.68437504154395001</v>
      </c>
      <c r="AL4138">
        <v>69.914525119934694</v>
      </c>
      <c r="AM4138">
        <v>84.682049383653506</v>
      </c>
      <c r="AN4138">
        <v>0.99999996312070105</v>
      </c>
    </row>
    <row r="4139" spans="1:40" x14ac:dyDescent="0.25">
      <c r="A4139" t="str">
        <f>"20190304164933393"</f>
        <v>20190304164933393</v>
      </c>
      <c r="B4139" t="str">
        <f>"1551689373390132"</f>
        <v>1551689373390132</v>
      </c>
      <c r="C4139" t="s">
        <v>40</v>
      </c>
      <c r="D4139">
        <v>4.2864890000000004</v>
      </c>
      <c r="E4139">
        <v>0.54619499999999999</v>
      </c>
      <c r="F4139" t="s">
        <v>41</v>
      </c>
      <c r="G4139">
        <v>-241.0831</v>
      </c>
      <c r="H4139">
        <v>1.028462</v>
      </c>
      <c r="I4139">
        <v>215.56700000000001</v>
      </c>
      <c r="J4139">
        <v>-241.84280000000001</v>
      </c>
      <c r="K4139">
        <v>1.1103289999999999</v>
      </c>
      <c r="L4139">
        <v>215.71600000000001</v>
      </c>
      <c r="M4139">
        <v>0.99987550000000003</v>
      </c>
      <c r="N4139">
        <v>-1.449746E-2</v>
      </c>
      <c r="O4139">
        <v>6.225403E-3</v>
      </c>
      <c r="P4139">
        <v>0.94053770000000003</v>
      </c>
      <c r="Q4139">
        <v>0.33024750000000003</v>
      </c>
      <c r="R4139">
        <v>-7.9531710000000005E-2</v>
      </c>
      <c r="S4139">
        <v>3.2435909999999999</v>
      </c>
      <c r="T4139">
        <v>-0.27536880000000002</v>
      </c>
      <c r="U4139">
        <v>-0.4979095</v>
      </c>
      <c r="V4139">
        <v>8.5842999999999905E-2</v>
      </c>
      <c r="W4139">
        <v>0.34372709999999901</v>
      </c>
      <c r="X4139">
        <v>0.93513780000000002</v>
      </c>
      <c r="Y4139">
        <v>0.1572152</v>
      </c>
      <c r="Z4139">
        <v>-8.2065650000000007E-3</v>
      </c>
      <c r="AA4139">
        <v>0.98753029999999997</v>
      </c>
      <c r="AB4139">
        <v>33</v>
      </c>
      <c r="AC4139">
        <v>0.75970000000000903</v>
      </c>
      <c r="AD4139">
        <v>-8.1867000000000106E-2</v>
      </c>
      <c r="AE4139">
        <v>-0.14899999999997199</v>
      </c>
      <c r="AF4139">
        <v>0.15202699861539601</v>
      </c>
      <c r="AG4139">
        <v>-8.1867000000000106E-2</v>
      </c>
      <c r="AH4139">
        <v>0.75036658198018602</v>
      </c>
      <c r="AI4139">
        <v>96.103451459931605</v>
      </c>
      <c r="AJ4139">
        <v>78.546699789072505</v>
      </c>
      <c r="AK4139">
        <v>0.76997689663367996</v>
      </c>
      <c r="AL4139">
        <v>69.895887894944394</v>
      </c>
      <c r="AM4139">
        <v>84.755109256170897</v>
      </c>
      <c r="AN4139">
        <v>1.0000000224561201</v>
      </c>
    </row>
    <row r="4140" spans="1:40" x14ac:dyDescent="0.25">
      <c r="A4140" t="str">
        <f>"20190304164933409"</f>
        <v>20190304164933409</v>
      </c>
      <c r="B4140" t="str">
        <f>"1551689373399892"</f>
        <v>1551689373399892</v>
      </c>
      <c r="C4140" t="s">
        <v>40</v>
      </c>
      <c r="D4140">
        <v>4.2655149999999997</v>
      </c>
      <c r="E4140">
        <v>0.54626059999999999</v>
      </c>
      <c r="F4140" t="s">
        <v>41</v>
      </c>
      <c r="G4140">
        <v>-241.06970000000001</v>
      </c>
      <c r="H4140">
        <v>1.0444899999999999</v>
      </c>
      <c r="I4140">
        <v>215.59729999999999</v>
      </c>
      <c r="J4140">
        <v>-241.59700000000001</v>
      </c>
      <c r="K4140">
        <v>1.110336</v>
      </c>
      <c r="L4140">
        <v>215.71709999999999</v>
      </c>
      <c r="M4140">
        <v>0.99987820000000005</v>
      </c>
      <c r="N4140">
        <v>-1.4494750000000001E-2</v>
      </c>
      <c r="O4140">
        <v>5.7907890000000002E-3</v>
      </c>
      <c r="P4140">
        <v>0.94048790000000004</v>
      </c>
      <c r="Q4140">
        <v>0.33047259999999901</v>
      </c>
      <c r="R4140">
        <v>-7.9188350000000005E-2</v>
      </c>
      <c r="S4140">
        <v>3.2445369999999998</v>
      </c>
      <c r="T4140">
        <v>-0.27627230000000003</v>
      </c>
      <c r="U4140">
        <v>-0.49848940000000003</v>
      </c>
      <c r="V4140">
        <v>8.5086670000000003E-2</v>
      </c>
      <c r="W4140">
        <v>0.34395130000000002</v>
      </c>
      <c r="X4140">
        <v>0.93512450000000003</v>
      </c>
      <c r="Y4140">
        <v>0.1569139</v>
      </c>
      <c r="Z4140">
        <v>-8.1821910000000001E-3</v>
      </c>
      <c r="AA4140">
        <v>0.98757839999999997</v>
      </c>
      <c r="AB4140">
        <v>33</v>
      </c>
      <c r="AC4140">
        <v>0.52729999999999599</v>
      </c>
      <c r="AD4140">
        <v>-6.5846000000000002E-2</v>
      </c>
      <c r="AE4140">
        <v>-0.11979999999999701</v>
      </c>
      <c r="AF4140">
        <v>0.12105675352754799</v>
      </c>
      <c r="AG4140">
        <v>-6.5846000000000002E-2</v>
      </c>
      <c r="AH4140">
        <v>0.51890300401317602</v>
      </c>
      <c r="AI4140">
        <v>97.044685132563998</v>
      </c>
      <c r="AJ4140">
        <v>76.868136334620999</v>
      </c>
      <c r="AK4140">
        <v>0.53688989640756701</v>
      </c>
      <c r="AL4140">
        <v>69.8822083541707</v>
      </c>
      <c r="AM4140">
        <v>84.800992106259201</v>
      </c>
      <c r="AN4140">
        <v>1.0000000343418101</v>
      </c>
    </row>
    <row r="4141" spans="1:40" x14ac:dyDescent="0.25">
      <c r="A4141" t="str">
        <f>"20190304164933427"</f>
        <v>20190304164933427</v>
      </c>
      <c r="B4141" t="str">
        <f>"1551689373420387"</f>
        <v>1551689373420387</v>
      </c>
      <c r="C4141" t="s">
        <v>40</v>
      </c>
      <c r="D4141">
        <v>4.2639750000000003</v>
      </c>
      <c r="E4141">
        <v>0.54634439999999995</v>
      </c>
      <c r="F4141" t="s">
        <v>41</v>
      </c>
      <c r="G4141">
        <v>-240.7835</v>
      </c>
      <c r="H4141">
        <v>1.0408790000000001</v>
      </c>
      <c r="I4141">
        <v>215.59190000000001</v>
      </c>
      <c r="J4141">
        <v>-241.3425</v>
      </c>
      <c r="K4141">
        <v>1.1103459999999901</v>
      </c>
      <c r="L4141">
        <v>215.7182</v>
      </c>
      <c r="M4141">
        <v>0.99988069999999896</v>
      </c>
      <c r="N4141">
        <v>-1.449192E-2</v>
      </c>
      <c r="O4141">
        <v>5.3588159999999998E-3</v>
      </c>
      <c r="P4141">
        <v>0.94046779999999996</v>
      </c>
      <c r="Q4141">
        <v>0.33079899999999901</v>
      </c>
      <c r="R4141">
        <v>-7.8056249999999994E-2</v>
      </c>
      <c r="S4141">
        <v>3.2452549999999998</v>
      </c>
      <c r="T4141">
        <v>-0.2772444</v>
      </c>
      <c r="U4141">
        <v>-0.4985504</v>
      </c>
      <c r="V4141">
        <v>8.3538340000000003E-2</v>
      </c>
      <c r="W4141">
        <v>0.34427999999999997</v>
      </c>
      <c r="X4141">
        <v>0.9351431</v>
      </c>
      <c r="Y4141">
        <v>0.15647150000000001</v>
      </c>
      <c r="Z4141">
        <v>-8.1529930000000007E-3</v>
      </c>
      <c r="AA4141">
        <v>0.98764879999999999</v>
      </c>
      <c r="AB4141">
        <v>33</v>
      </c>
      <c r="AC4141">
        <v>0.55899999999999705</v>
      </c>
      <c r="AD4141">
        <v>-6.9466999999999696E-2</v>
      </c>
      <c r="AE4141">
        <v>-0.12629999999998601</v>
      </c>
      <c r="AF4141">
        <v>0.127421868158452</v>
      </c>
      <c r="AG4141">
        <v>-6.9466999999999696E-2</v>
      </c>
      <c r="AH4141">
        <v>0.55023054073917499</v>
      </c>
      <c r="AI4141">
        <v>97.011918910693296</v>
      </c>
      <c r="AJ4141">
        <v>76.961337613252397</v>
      </c>
      <c r="AK4141">
        <v>0.56904801601983901</v>
      </c>
      <c r="AL4141">
        <v>69.862149402260997</v>
      </c>
      <c r="AM4141">
        <v>84.895195453938499</v>
      </c>
      <c r="AN4141">
        <v>0.99999999506378201</v>
      </c>
    </row>
    <row r="4142" spans="1:40" x14ac:dyDescent="0.25">
      <c r="A4142" t="str">
        <f>"20190304164933444"</f>
        <v>20190304164933444</v>
      </c>
      <c r="B4142" t="str">
        <f>"1551689373439907"</f>
        <v>1551689373439907</v>
      </c>
      <c r="C4142" t="s">
        <v>40</v>
      </c>
      <c r="D4142">
        <v>4.2828390000000001</v>
      </c>
      <c r="E4142">
        <v>0.54632380000000003</v>
      </c>
      <c r="F4142" t="s">
        <v>41</v>
      </c>
      <c r="G4142">
        <v>-240.4932</v>
      </c>
      <c r="H4142">
        <v>1.03722</v>
      </c>
      <c r="I4142">
        <v>215.5882</v>
      </c>
      <c r="J4142">
        <v>-241.08969999999999</v>
      </c>
      <c r="K4142">
        <v>1.110368</v>
      </c>
      <c r="L4142">
        <v>215.7191</v>
      </c>
      <c r="M4142">
        <v>0.99988279999999996</v>
      </c>
      <c r="N4142">
        <v>-1.4489190000000001E-2</v>
      </c>
      <c r="O4142">
        <v>4.9576009999999998E-3</v>
      </c>
      <c r="P4142">
        <v>0.94043699999999997</v>
      </c>
      <c r="Q4142">
        <v>0.33092559999999999</v>
      </c>
      <c r="R4142">
        <v>-7.7889120000000006E-2</v>
      </c>
      <c r="S4142">
        <v>3.247055</v>
      </c>
      <c r="T4142">
        <v>-0.279626599999999</v>
      </c>
      <c r="U4142">
        <v>-0.49641420000000003</v>
      </c>
      <c r="V4142">
        <v>8.2975859999999999E-2</v>
      </c>
      <c r="W4142">
        <v>0.34440890000000002</v>
      </c>
      <c r="X4142">
        <v>0.93514569999999997</v>
      </c>
      <c r="Y4142">
        <v>0.15535370000000001</v>
      </c>
      <c r="Z4142">
        <v>-8.1254329999999996E-3</v>
      </c>
      <c r="AA4142">
        <v>0.98782550000000002</v>
      </c>
      <c r="AB4142">
        <v>33</v>
      </c>
      <c r="AC4142">
        <v>0.59649999999999104</v>
      </c>
      <c r="AD4142">
        <v>-7.3147999999999894E-2</v>
      </c>
      <c r="AE4142">
        <v>-0.13089999999999599</v>
      </c>
      <c r="AF4142">
        <v>0.13196265677487201</v>
      </c>
      <c r="AG4142">
        <v>-7.3147999999999894E-2</v>
      </c>
      <c r="AH4142">
        <v>0.58741605732080204</v>
      </c>
      <c r="AI4142">
        <v>96.927309567203395</v>
      </c>
      <c r="AJ4142">
        <v>77.338738643576704</v>
      </c>
      <c r="AK4142">
        <v>0.60648363299053498</v>
      </c>
      <c r="AL4142">
        <v>69.854282611865003</v>
      </c>
      <c r="AM4142">
        <v>84.929401338493193</v>
      </c>
      <c r="AN4142">
        <v>0.999999981985219</v>
      </c>
    </row>
    <row r="4143" spans="1:40" x14ac:dyDescent="0.25">
      <c r="A4143" t="str">
        <f>"20190304164933458"</f>
        <v>20190304164933458</v>
      </c>
      <c r="B4143" t="str">
        <f>"1551689373449668"</f>
        <v>1551689373449668</v>
      </c>
      <c r="C4143" t="s">
        <v>40</v>
      </c>
      <c r="D4143">
        <v>4.2830240000000002</v>
      </c>
      <c r="E4143">
        <v>0.53739049999999999</v>
      </c>
      <c r="F4143" t="s">
        <v>41</v>
      </c>
      <c r="G4143">
        <v>-240.2029</v>
      </c>
      <c r="H4143">
        <v>1.0338020000000001</v>
      </c>
      <c r="I4143">
        <v>215.58340000000001</v>
      </c>
      <c r="J4143">
        <v>-240.88810000000001</v>
      </c>
      <c r="K4143">
        <v>1.110393</v>
      </c>
      <c r="L4143">
        <v>215.71979999999999</v>
      </c>
      <c r="M4143">
        <v>0.9998842</v>
      </c>
      <c r="N4143">
        <v>-1.448705E-2</v>
      </c>
      <c r="O4143">
        <v>4.6609169999999997E-3</v>
      </c>
      <c r="P4143">
        <v>0.94040880000000004</v>
      </c>
      <c r="Q4143">
        <v>0.33110139999999999</v>
      </c>
      <c r="R4143">
        <v>-7.7483399999999994E-2</v>
      </c>
      <c r="S4143">
        <v>3.2475890000000001</v>
      </c>
      <c r="T4143">
        <v>-0.28048410000000001</v>
      </c>
      <c r="U4143">
        <v>-0.49629210000000001</v>
      </c>
      <c r="V4143">
        <v>8.227044E-2</v>
      </c>
      <c r="W4143">
        <v>0.34458840000000002</v>
      </c>
      <c r="X4143">
        <v>0.93514189999999997</v>
      </c>
      <c r="Y4143">
        <v>0.15499869999999999</v>
      </c>
      <c r="Z4143">
        <v>-8.1067610000000005E-3</v>
      </c>
      <c r="AA4143">
        <v>0.98788140000000002</v>
      </c>
      <c r="AB4143">
        <v>33</v>
      </c>
      <c r="AC4143">
        <v>0.68520000000000802</v>
      </c>
      <c r="AD4143">
        <v>-7.6590999999999798E-2</v>
      </c>
      <c r="AE4143">
        <v>-0.13639999999998001</v>
      </c>
      <c r="AF4143">
        <v>0.13793477184514</v>
      </c>
      <c r="AG4143">
        <v>-7.6590999999999798E-2</v>
      </c>
      <c r="AH4143">
        <v>0.67642723313417497</v>
      </c>
      <c r="AI4143">
        <v>96.330821821191705</v>
      </c>
      <c r="AJ4143">
        <v>78.474454773111205</v>
      </c>
      <c r="AK4143">
        <v>0.69458331702577403</v>
      </c>
      <c r="AL4143">
        <v>69.843327415517805</v>
      </c>
      <c r="AM4143">
        <v>84.972266863929406</v>
      </c>
      <c r="AN4143">
        <v>0.99999998192398099</v>
      </c>
    </row>
    <row r="4144" spans="1:40" x14ac:dyDescent="0.25">
      <c r="A4144" t="str">
        <f>"20190304164933471"</f>
        <v>20190304164933471</v>
      </c>
      <c r="B4144" t="str">
        <f>"1551689373460404"</f>
        <v>1551689373460404</v>
      </c>
      <c r="C4144" t="s">
        <v>40</v>
      </c>
      <c r="D4144">
        <v>4.2639310000000004</v>
      </c>
      <c r="E4144">
        <v>0.5380684</v>
      </c>
      <c r="F4144" t="s">
        <v>41</v>
      </c>
      <c r="G4144">
        <v>-239.9203</v>
      </c>
      <c r="H4144">
        <v>1.0184310000000001</v>
      </c>
      <c r="I4144">
        <v>215.59450000000001</v>
      </c>
      <c r="J4144">
        <v>-240.69640000000001</v>
      </c>
      <c r="K4144">
        <v>1.110417</v>
      </c>
      <c r="L4144">
        <v>215.72040000000001</v>
      </c>
      <c r="M4144">
        <v>0.99988540000000004</v>
      </c>
      <c r="N4144">
        <v>-1.4484840000000001E-2</v>
      </c>
      <c r="O4144">
        <v>4.4096109999999999E-3</v>
      </c>
      <c r="P4144">
        <v>0.94047630000000004</v>
      </c>
      <c r="Q4144">
        <v>0.33101340000000001</v>
      </c>
      <c r="R4144">
        <v>-7.7036859999999999E-2</v>
      </c>
      <c r="S4144">
        <v>3.2646329999999999</v>
      </c>
      <c r="T4144">
        <v>-0.31032859999999901</v>
      </c>
      <c r="U4144">
        <v>-0.42195129999999997</v>
      </c>
      <c r="V4144">
        <v>8.1560969999999997E-2</v>
      </c>
      <c r="W4144">
        <v>0.3445069</v>
      </c>
      <c r="X4144">
        <v>0.93523409999999996</v>
      </c>
      <c r="Y4144">
        <v>0.13186589999999901</v>
      </c>
      <c r="Z4144">
        <v>-7.5421369999999904E-3</v>
      </c>
      <c r="AA4144">
        <v>0.99123890000000003</v>
      </c>
      <c r="AB4144">
        <v>33</v>
      </c>
      <c r="AC4144">
        <v>0.776100000000013</v>
      </c>
      <c r="AD4144">
        <v>-9.1986000000000095E-2</v>
      </c>
      <c r="AE4144">
        <v>-0.12590000000000101</v>
      </c>
      <c r="AF4144">
        <v>0.12757523578169599</v>
      </c>
      <c r="AG4144">
        <v>-9.1986000000000095E-2</v>
      </c>
      <c r="AH4144">
        <v>0.76506532150290096</v>
      </c>
      <c r="AI4144">
        <v>96.763422529037896</v>
      </c>
      <c r="AJ4144">
        <v>80.532989011974905</v>
      </c>
      <c r="AK4144">
        <v>0.78106453712039203</v>
      </c>
      <c r="AL4144">
        <v>69.8483021635315</v>
      </c>
      <c r="AM4144">
        <v>85.015893734609307</v>
      </c>
      <c r="AN4144">
        <v>1.0000000088888801</v>
      </c>
    </row>
    <row r="4145" spans="1:40" x14ac:dyDescent="0.25">
      <c r="A4145" t="str">
        <f>"20190304164933494"</f>
        <v>20190304164933494</v>
      </c>
      <c r="B4145" t="str">
        <f>"1551689373489684"</f>
        <v>1551689373489684</v>
      </c>
      <c r="C4145" t="s">
        <v>40</v>
      </c>
      <c r="D4145">
        <v>4.2382489999999997</v>
      </c>
      <c r="E4145">
        <v>0.53781630000000002</v>
      </c>
      <c r="F4145" t="s">
        <v>41</v>
      </c>
      <c r="G4145">
        <v>-239.91040000000001</v>
      </c>
      <c r="H4145">
        <v>1.039401</v>
      </c>
      <c r="I4145">
        <v>215.61680000000001</v>
      </c>
      <c r="J4145">
        <v>-240.3656</v>
      </c>
      <c r="K4145">
        <v>1.1104769999999999</v>
      </c>
      <c r="L4145">
        <v>215.72139999999999</v>
      </c>
      <c r="M4145">
        <v>0.99988699999999997</v>
      </c>
      <c r="N4145">
        <v>-1.448083E-2</v>
      </c>
      <c r="O4145">
        <v>4.0497969999999999E-3</v>
      </c>
      <c r="P4145">
        <v>0.9407778</v>
      </c>
      <c r="Q4145">
        <v>0.33017449999999998</v>
      </c>
      <c r="R4145">
        <v>-7.6956990000000003E-2</v>
      </c>
      <c r="S4145">
        <v>3.2584379999999999</v>
      </c>
      <c r="T4145">
        <v>-0.29453289999999999</v>
      </c>
      <c r="U4145">
        <v>-0.42852780000000001</v>
      </c>
      <c r="V4145">
        <v>8.1083509999999998E-2</v>
      </c>
      <c r="W4145">
        <v>0.34368399999999999</v>
      </c>
      <c r="X4145">
        <v>0.93557829999999997</v>
      </c>
      <c r="Y4145">
        <v>0.13377</v>
      </c>
      <c r="Z4145">
        <v>-7.2882809999999998E-3</v>
      </c>
      <c r="AA4145">
        <v>0.99098560000000002</v>
      </c>
      <c r="AB4145">
        <v>33</v>
      </c>
      <c r="AC4145">
        <v>0.45519999999999</v>
      </c>
      <c r="AD4145">
        <v>-7.1075999999999903E-2</v>
      </c>
      <c r="AE4145">
        <v>-0.104599999999976</v>
      </c>
      <c r="AF4145">
        <v>0.10403362938228899</v>
      </c>
      <c r="AG4145">
        <v>-7.1075999999999903E-2</v>
      </c>
      <c r="AH4145">
        <v>0.44447951598580698</v>
      </c>
      <c r="AI4145">
        <v>98.849916997243696</v>
      </c>
      <c r="AJ4145">
        <v>76.8266511536481</v>
      </c>
      <c r="AK4145">
        <v>0.46199224446891801</v>
      </c>
      <c r="AL4145">
        <v>69.898516897734496</v>
      </c>
      <c r="AM4145">
        <v>85.046739037181496</v>
      </c>
      <c r="AN4145">
        <v>0.99999999144040497</v>
      </c>
    </row>
    <row r="4146" spans="1:40" x14ac:dyDescent="0.25">
      <c r="A4146" t="str">
        <f>"20190304164933517"</f>
        <v>20190304164933517</v>
      </c>
      <c r="B4146" t="str">
        <f>"1551689373510179"</f>
        <v>1551689373510179</v>
      </c>
      <c r="C4146" t="s">
        <v>40</v>
      </c>
      <c r="D4146">
        <v>4.241441</v>
      </c>
      <c r="E4146">
        <v>0.53807479999999996</v>
      </c>
      <c r="F4146" t="s">
        <v>41</v>
      </c>
      <c r="G4146">
        <v>-239.61709999999999</v>
      </c>
      <c r="H4146">
        <v>1.041809</v>
      </c>
      <c r="I4146">
        <v>215.6232</v>
      </c>
      <c r="J4146">
        <v>-240.02850000000001</v>
      </c>
      <c r="K4146">
        <v>1.110563</v>
      </c>
      <c r="L4146">
        <v>215.7225</v>
      </c>
      <c r="M4146">
        <v>0.99988809999999995</v>
      </c>
      <c r="N4146">
        <v>-1.447668E-2</v>
      </c>
      <c r="O4146">
        <v>3.805339E-3</v>
      </c>
      <c r="P4146">
        <v>0.94119249999999999</v>
      </c>
      <c r="Q4146">
        <v>0.328984</v>
      </c>
      <c r="R4146">
        <v>-7.6983850000000006E-2</v>
      </c>
      <c r="S4146">
        <v>3.2588810000000001</v>
      </c>
      <c r="T4146">
        <v>-0.29907240000000002</v>
      </c>
      <c r="U4146">
        <v>-0.42704769999999997</v>
      </c>
      <c r="V4146">
        <v>8.0806550000000005E-2</v>
      </c>
      <c r="W4146">
        <v>0.34251369999999998</v>
      </c>
      <c r="X4146">
        <v>0.93603130000000001</v>
      </c>
      <c r="Y4146">
        <v>0.1330537</v>
      </c>
      <c r="Z4146">
        <v>-7.3285219999999996E-3</v>
      </c>
      <c r="AA4146">
        <v>0.99108169999999995</v>
      </c>
      <c r="AB4146">
        <v>33</v>
      </c>
      <c r="AC4146">
        <v>0.41140000000001398</v>
      </c>
      <c r="AD4146">
        <v>-6.8753999999999899E-2</v>
      </c>
      <c r="AE4146">
        <v>-9.92999999999995E-2</v>
      </c>
      <c r="AF4146">
        <v>9.8271367095146694E-2</v>
      </c>
      <c r="AG4146">
        <v>-6.8753999999999899E-2</v>
      </c>
      <c r="AH4146">
        <v>0.40045035911402299</v>
      </c>
      <c r="AI4146">
        <v>99.466646541647805</v>
      </c>
      <c r="AJ4146">
        <v>76.2119662057911</v>
      </c>
      <c r="AK4146">
        <v>0.41802495645750498</v>
      </c>
      <c r="AL4146">
        <v>69.9699027881408</v>
      </c>
      <c r="AM4146">
        <v>85.065951559686596</v>
      </c>
      <c r="AN4146">
        <v>0.99999996389514001</v>
      </c>
    </row>
    <row r="4147" spans="1:40" x14ac:dyDescent="0.25">
      <c r="A4147" t="str">
        <f>"20190304164933538"</f>
        <v>20190304164933538</v>
      </c>
      <c r="B4147" t="str">
        <f>"1551689373529700"</f>
        <v>1551689373529700</v>
      </c>
      <c r="C4147" t="s">
        <v>40</v>
      </c>
      <c r="D4147">
        <v>4.2631489999999896</v>
      </c>
      <c r="E4147">
        <v>0.53884770000000004</v>
      </c>
      <c r="F4147" t="s">
        <v>41</v>
      </c>
      <c r="G4147">
        <v>-239.04499999999999</v>
      </c>
      <c r="H4147">
        <v>1.020265</v>
      </c>
      <c r="I4147">
        <v>215.59229999999999</v>
      </c>
      <c r="J4147">
        <v>-239.7216</v>
      </c>
      <c r="K4147">
        <v>1.1106560000000001</v>
      </c>
      <c r="L4147">
        <v>215.7235</v>
      </c>
      <c r="M4147">
        <v>0.99988849999999996</v>
      </c>
      <c r="N4147">
        <v>-1.4473069999999999E-2</v>
      </c>
      <c r="O4147">
        <v>3.704972E-3</v>
      </c>
      <c r="P4147">
        <v>0.94158410000000003</v>
      </c>
      <c r="Q4147">
        <v>0.3279051</v>
      </c>
      <c r="R4147">
        <v>-7.6793920000000002E-2</v>
      </c>
      <c r="S4147">
        <v>3.2567599999999999</v>
      </c>
      <c r="T4147">
        <v>-0.2990756</v>
      </c>
      <c r="U4147">
        <v>-0.43089290000000002</v>
      </c>
      <c r="V4147">
        <v>8.0445680000000006E-2</v>
      </c>
      <c r="W4147">
        <v>0.34145619999999999</v>
      </c>
      <c r="X4147">
        <v>0.93644870000000002</v>
      </c>
      <c r="Y4147">
        <v>0.13418179999999999</v>
      </c>
      <c r="Z4147">
        <v>-7.384046E-3</v>
      </c>
      <c r="AA4147">
        <v>0.99092919999999995</v>
      </c>
      <c r="AB4147">
        <v>33</v>
      </c>
      <c r="AC4147">
        <v>0.67660000000000697</v>
      </c>
      <c r="AD4147">
        <v>-9.0390999999999805E-2</v>
      </c>
      <c r="AE4147">
        <v>-0.13120000000000601</v>
      </c>
      <c r="AF4147">
        <v>0.13144514648936001</v>
      </c>
      <c r="AG4147">
        <v>-9.0390999999999805E-2</v>
      </c>
      <c r="AH4147">
        <v>0.66467606216587405</v>
      </c>
      <c r="AI4147">
        <v>97.598896326937407</v>
      </c>
      <c r="AJ4147">
        <v>78.813625660084398</v>
      </c>
      <c r="AK4147">
        <v>0.68355148089441098</v>
      </c>
      <c r="AL4147">
        <v>70.0343816262275</v>
      </c>
      <c r="AM4147">
        <v>85.090056988452702</v>
      </c>
      <c r="AN4147">
        <v>1.0000000058403899</v>
      </c>
    </row>
    <row r="4148" spans="1:40" x14ac:dyDescent="0.25">
      <c r="A4148" t="str">
        <f>"20190304164933555"</f>
        <v>20190304164933555</v>
      </c>
      <c r="B4148" t="str">
        <f>"1551689373550195"</f>
        <v>1551689373550195</v>
      </c>
      <c r="C4148" t="s">
        <v>40</v>
      </c>
      <c r="D4148">
        <v>4.2611429999999997</v>
      </c>
      <c r="E4148">
        <v>0.53901449999999995</v>
      </c>
      <c r="F4148" t="s">
        <v>41</v>
      </c>
      <c r="G4148">
        <v>-238.75399999999999</v>
      </c>
      <c r="H4148">
        <v>1.020826</v>
      </c>
      <c r="I4148">
        <v>215.5932</v>
      </c>
      <c r="J4148">
        <v>-239.47669999999999</v>
      </c>
      <c r="K4148">
        <v>1.1107340000000001</v>
      </c>
      <c r="L4148">
        <v>215.7244</v>
      </c>
      <c r="M4148">
        <v>0.99988849999999996</v>
      </c>
      <c r="N4148">
        <v>-1.447028E-2</v>
      </c>
      <c r="O4148">
        <v>3.6918329999999998E-3</v>
      </c>
      <c r="P4148">
        <v>0.94170869999999995</v>
      </c>
      <c r="Q4148">
        <v>0.32749840000000002</v>
      </c>
      <c r="R4148">
        <v>-7.7002440000000005E-2</v>
      </c>
      <c r="S4148">
        <v>3.2557070000000001</v>
      </c>
      <c r="T4148">
        <v>-0.30237730000000002</v>
      </c>
      <c r="U4148">
        <v>-0.43820189999999998</v>
      </c>
      <c r="V4148">
        <v>8.0581219999999995E-2</v>
      </c>
      <c r="W4148">
        <v>0.34106259999999999</v>
      </c>
      <c r="X4148">
        <v>0.93658050000000004</v>
      </c>
      <c r="Y4148">
        <v>0.1363713</v>
      </c>
      <c r="Z4148">
        <v>-7.5721510000000001E-3</v>
      </c>
      <c r="AA4148">
        <v>0.99062879999999998</v>
      </c>
      <c r="AB4148">
        <v>33</v>
      </c>
      <c r="AC4148">
        <v>0.72269999999997403</v>
      </c>
      <c r="AD4148">
        <v>-8.9908000000000099E-2</v>
      </c>
      <c r="AE4148">
        <v>-0.13120000000000601</v>
      </c>
      <c r="AF4148">
        <v>0.131891347343742</v>
      </c>
      <c r="AG4148">
        <v>-8.9908000000000099E-2</v>
      </c>
      <c r="AH4148">
        <v>0.71154952248216097</v>
      </c>
      <c r="AI4148">
        <v>97.082079615739701</v>
      </c>
      <c r="AJ4148">
        <v>79.498953843490597</v>
      </c>
      <c r="AK4148">
        <v>0.72923350095339001</v>
      </c>
      <c r="AL4148">
        <v>70.058374031907206</v>
      </c>
      <c r="AM4148">
        <v>85.082513661167795</v>
      </c>
      <c r="AN4148">
        <v>1.0000000315578399</v>
      </c>
    </row>
    <row r="4149" spans="1:40" x14ac:dyDescent="0.25">
      <c r="A4149" t="str">
        <f>"20190304164933572"</f>
        <v>20190304164933572</v>
      </c>
      <c r="B4149" t="str">
        <f>"1551689373559956"</f>
        <v>1551689373559956</v>
      </c>
      <c r="C4149" t="s">
        <v>40</v>
      </c>
      <c r="D4149">
        <v>4.2468110000000001</v>
      </c>
      <c r="E4149">
        <v>0.53909779999999996</v>
      </c>
      <c r="F4149" t="s">
        <v>41</v>
      </c>
      <c r="G4149">
        <v>-238.74350000000001</v>
      </c>
      <c r="H4149">
        <v>1.0422640000000001</v>
      </c>
      <c r="I4149">
        <v>215.625</v>
      </c>
      <c r="J4149">
        <v>-239.23589999999999</v>
      </c>
      <c r="K4149">
        <v>1.110808</v>
      </c>
      <c r="L4149">
        <v>215.7253</v>
      </c>
      <c r="M4149">
        <v>0.99988840000000001</v>
      </c>
      <c r="N4149">
        <v>-1.4467570000000001E-2</v>
      </c>
      <c r="O4149">
        <v>3.7604190000000001E-3</v>
      </c>
      <c r="P4149">
        <v>0.9417006</v>
      </c>
      <c r="Q4149">
        <v>0.32747969999999998</v>
      </c>
      <c r="R4149">
        <v>-7.7183769999999999E-2</v>
      </c>
      <c r="S4149">
        <v>3.2554319999999999</v>
      </c>
      <c r="T4149">
        <v>-0.30412820000000002</v>
      </c>
      <c r="U4149">
        <v>-0.44071959999999999</v>
      </c>
      <c r="V4149">
        <v>8.0767699999999998E-2</v>
      </c>
      <c r="W4149">
        <v>0.341055</v>
      </c>
      <c r="X4149">
        <v>0.93656719999999904</v>
      </c>
      <c r="Y4149">
        <v>0.13719100000000001</v>
      </c>
      <c r="Z4149">
        <v>-7.6598899999999999E-3</v>
      </c>
      <c r="AA4149">
        <v>0.99051500000000003</v>
      </c>
      <c r="AB4149">
        <v>33</v>
      </c>
      <c r="AC4149">
        <v>0.49239999999997502</v>
      </c>
      <c r="AD4149">
        <v>-6.8544000000000105E-2</v>
      </c>
      <c r="AE4149">
        <v>-0.100300000000004</v>
      </c>
      <c r="AF4149">
        <v>0.100285234188265</v>
      </c>
      <c r="AG4149">
        <v>-6.8544000000000105E-2</v>
      </c>
      <c r="AH4149">
        <v>0.48303214084749302</v>
      </c>
      <c r="AI4149">
        <v>97.910075731755597</v>
      </c>
      <c r="AJ4149">
        <v>78.271103439925895</v>
      </c>
      <c r="AK4149">
        <v>0.49807173903355301</v>
      </c>
      <c r="AL4149">
        <v>70.058837164177902</v>
      </c>
      <c r="AM4149">
        <v>85.071120025636901</v>
      </c>
      <c r="AN4149">
        <v>1.0000000272520599</v>
      </c>
    </row>
    <row r="4150" spans="1:40" x14ac:dyDescent="0.25">
      <c r="A4150" t="str">
        <f>"20190304164933590"</f>
        <v>20190304164933590</v>
      </c>
      <c r="B4150" t="str">
        <f>"1551689373580452"</f>
        <v>1551689373580452</v>
      </c>
      <c r="C4150" t="s">
        <v>40</v>
      </c>
      <c r="D4150">
        <v>4.2343710000000003</v>
      </c>
      <c r="E4150">
        <v>0.53924159999999999</v>
      </c>
      <c r="F4150" t="s">
        <v>41</v>
      </c>
      <c r="G4150">
        <v>-238.45570000000001</v>
      </c>
      <c r="H4150">
        <v>1.037955</v>
      </c>
      <c r="I4150">
        <v>215.619</v>
      </c>
      <c r="J4150">
        <v>-238.97020000000001</v>
      </c>
      <c r="K4150">
        <v>1.1108880000000001</v>
      </c>
      <c r="L4150">
        <v>215.72640000000001</v>
      </c>
      <c r="M4150">
        <v>0.99988759999999999</v>
      </c>
      <c r="N4150">
        <v>-1.4464589999999999E-2</v>
      </c>
      <c r="O4150">
        <v>3.920743E-3</v>
      </c>
      <c r="P4150">
        <v>0.9417278</v>
      </c>
      <c r="Q4150">
        <v>0.32737759999999999</v>
      </c>
      <c r="R4150">
        <v>-7.7284779999999997E-2</v>
      </c>
      <c r="S4150">
        <v>3.25528</v>
      </c>
      <c r="T4150">
        <v>-0.30425809999999998</v>
      </c>
      <c r="U4150">
        <v>-0.44248959999999998</v>
      </c>
      <c r="V4150">
        <v>8.0950889999999998E-2</v>
      </c>
      <c r="W4150">
        <v>0.34096680000000001</v>
      </c>
      <c r="X4150">
        <v>0.93658350000000001</v>
      </c>
      <c r="Y4150">
        <v>0.13788039999999999</v>
      </c>
      <c r="Z4150">
        <v>-7.7122629999999996E-3</v>
      </c>
      <c r="AA4150">
        <v>0.99041889999999999</v>
      </c>
      <c r="AB4150">
        <v>33</v>
      </c>
      <c r="AC4150">
        <v>0.51449999999999796</v>
      </c>
      <c r="AD4150">
        <v>-7.2932999999999901E-2</v>
      </c>
      <c r="AE4150">
        <v>-0.10739999999998399</v>
      </c>
      <c r="AF4150">
        <v>0.10734954388701699</v>
      </c>
      <c r="AG4150">
        <v>-7.2932999999999901E-2</v>
      </c>
      <c r="AH4150">
        <v>0.50436317198195502</v>
      </c>
      <c r="AI4150">
        <v>98.050288356116695</v>
      </c>
      <c r="AJ4150">
        <v>77.9843667517722</v>
      </c>
      <c r="AK4150">
        <v>0.52079300716642696</v>
      </c>
      <c r="AL4150">
        <v>70.0642129093455</v>
      </c>
      <c r="AM4150">
        <v>85.060081592423899</v>
      </c>
      <c r="AN4150">
        <v>1.0000000288831401</v>
      </c>
    </row>
    <row r="4151" spans="1:40" x14ac:dyDescent="0.25">
      <c r="A4151" t="str">
        <f>"20190304164933605"</f>
        <v>20190304164933605</v>
      </c>
      <c r="B4151" t="str">
        <f>"1551689373599972"</f>
        <v>1551689373599972</v>
      </c>
      <c r="C4151" t="s">
        <v>40</v>
      </c>
      <c r="D4151">
        <v>4.2234030000000002</v>
      </c>
      <c r="E4151">
        <v>0.53940869999999996</v>
      </c>
      <c r="F4151" t="s">
        <v>41</v>
      </c>
      <c r="G4151">
        <v>-238.167</v>
      </c>
      <c r="H4151">
        <v>1.03546</v>
      </c>
      <c r="I4151">
        <v>215.61689999999999</v>
      </c>
      <c r="J4151">
        <v>-238.75239999999999</v>
      </c>
      <c r="K4151">
        <v>1.1109579999999999</v>
      </c>
      <c r="L4151">
        <v>215.72739999999999</v>
      </c>
      <c r="M4151">
        <v>0.99988699999999997</v>
      </c>
      <c r="N4151">
        <v>-1.446222E-2</v>
      </c>
      <c r="O4151">
        <v>4.1168000000000003E-3</v>
      </c>
      <c r="P4151">
        <v>0.94170699999999996</v>
      </c>
      <c r="Q4151">
        <v>0.32746180000000003</v>
      </c>
      <c r="R4151">
        <v>-7.7182260000000003E-2</v>
      </c>
      <c r="S4151">
        <v>3.2554630000000002</v>
      </c>
      <c r="T4151">
        <v>-0.30571150000000002</v>
      </c>
      <c r="U4151">
        <v>-0.44415280000000001</v>
      </c>
      <c r="V4151">
        <v>8.0975409999999998E-2</v>
      </c>
      <c r="W4151">
        <v>0.34106219999999998</v>
      </c>
      <c r="X4151">
        <v>0.93654660000000001</v>
      </c>
      <c r="Y4151">
        <v>0.13855390000000001</v>
      </c>
      <c r="Z4151">
        <v>-7.7955150000000003E-3</v>
      </c>
      <c r="AA4151">
        <v>0.99032419999999999</v>
      </c>
      <c r="AB4151">
        <v>32</v>
      </c>
      <c r="AC4151">
        <v>0.58539999999999204</v>
      </c>
      <c r="AD4151">
        <v>-7.5497999999999801E-2</v>
      </c>
      <c r="AE4151">
        <v>-0.110500000000001</v>
      </c>
      <c r="AF4151">
        <v>0.111124567137492</v>
      </c>
      <c r="AG4151">
        <v>-7.5497999999999801E-2</v>
      </c>
      <c r="AH4151">
        <v>0.57569411364143397</v>
      </c>
      <c r="AI4151">
        <v>97.337352341885406</v>
      </c>
      <c r="AJ4151">
        <v>79.074729055810593</v>
      </c>
      <c r="AK4151">
        <v>0.59116184747232403</v>
      </c>
      <c r="AL4151">
        <v>70.058397498921806</v>
      </c>
      <c r="AM4151">
        <v>85.058398972393206</v>
      </c>
      <c r="AN4151">
        <v>0.99999998763253395</v>
      </c>
    </row>
    <row r="4152" spans="1:40" x14ac:dyDescent="0.25">
      <c r="A4152" t="str">
        <f>"20190304164933618"</f>
        <v>20190304164933618</v>
      </c>
      <c r="B4152" t="str">
        <f>"1551689373609732"</f>
        <v>1551689373609732</v>
      </c>
      <c r="C4152" t="s">
        <v>40</v>
      </c>
      <c r="D4152">
        <v>4.2453620000000001</v>
      </c>
      <c r="E4152">
        <v>0.53945569999999998</v>
      </c>
      <c r="F4152" t="s">
        <v>41</v>
      </c>
      <c r="G4152">
        <v>-237.88050000000001</v>
      </c>
      <c r="H4152">
        <v>1.028894</v>
      </c>
      <c r="I4152">
        <v>215.6079</v>
      </c>
      <c r="J4152">
        <v>-238.5641</v>
      </c>
      <c r="K4152">
        <v>1.111024</v>
      </c>
      <c r="L4152">
        <v>215.72839999999999</v>
      </c>
      <c r="M4152">
        <v>0.99988619999999995</v>
      </c>
      <c r="N4152">
        <v>-1.4460260000000001E-2</v>
      </c>
      <c r="O4152">
        <v>4.3191599999999998E-3</v>
      </c>
      <c r="P4152">
        <v>0.94149050000000001</v>
      </c>
      <c r="Q4152">
        <v>0.32821630000000002</v>
      </c>
      <c r="R4152">
        <v>-7.6614280000000007E-2</v>
      </c>
      <c r="S4152">
        <v>3.255798</v>
      </c>
      <c r="T4152">
        <v>-0.30655969999999999</v>
      </c>
      <c r="U4152">
        <v>-0.4454651</v>
      </c>
      <c r="V4152">
        <v>8.0548069999999999E-2</v>
      </c>
      <c r="W4152">
        <v>0.34182240000000003</v>
      </c>
      <c r="X4152">
        <v>0.93630630000000004</v>
      </c>
      <c r="Y4152">
        <v>0.13912539999999901</v>
      </c>
      <c r="Z4152">
        <v>-7.8603600000000003E-3</v>
      </c>
      <c r="AA4152">
        <v>0.9902436</v>
      </c>
      <c r="AB4152">
        <v>32</v>
      </c>
      <c r="AC4152">
        <v>0.683599999999984</v>
      </c>
      <c r="AD4152">
        <v>-8.2129999999999995E-2</v>
      </c>
      <c r="AE4152">
        <v>-0.120499999999992</v>
      </c>
      <c r="AF4152">
        <v>0.12174736764699701</v>
      </c>
      <c r="AG4152">
        <v>-8.2129999999999995E-2</v>
      </c>
      <c r="AH4152">
        <v>0.67364249456464698</v>
      </c>
      <c r="AI4152">
        <v>96.841395909911498</v>
      </c>
      <c r="AJ4152">
        <v>79.755521479369406</v>
      </c>
      <c r="AK4152">
        <v>0.68946498744479601</v>
      </c>
      <c r="AL4152">
        <v>70.012056856353894</v>
      </c>
      <c r="AM4152">
        <v>85.083094278848904</v>
      </c>
      <c r="AN4152">
        <v>1.00000001607108</v>
      </c>
    </row>
    <row r="4153" spans="1:40" x14ac:dyDescent="0.25">
      <c r="A4153" t="str">
        <f>"20190304164933639"</f>
        <v>20190304164933639</v>
      </c>
      <c r="B4153" t="str">
        <f>"1551689373630228"</f>
        <v>1551689373630228</v>
      </c>
      <c r="C4153" t="s">
        <v>40</v>
      </c>
      <c r="D4153">
        <v>4.2505620000000004</v>
      </c>
      <c r="E4153">
        <v>0.53961009999999998</v>
      </c>
      <c r="F4153" t="s">
        <v>41</v>
      </c>
      <c r="G4153">
        <v>-237.595</v>
      </c>
      <c r="H4153">
        <v>1.0205610000000001</v>
      </c>
      <c r="I4153">
        <v>215.5959</v>
      </c>
      <c r="J4153">
        <v>-238.26750000000001</v>
      </c>
      <c r="K4153">
        <v>1.1111089999999999</v>
      </c>
      <c r="L4153">
        <v>215.73</v>
      </c>
      <c r="M4153">
        <v>0.99988440000000001</v>
      </c>
      <c r="N4153">
        <v>-1.445744E-2</v>
      </c>
      <c r="O4153">
        <v>4.7076619999999996E-3</v>
      </c>
      <c r="P4153">
        <v>0.94130740000000002</v>
      </c>
      <c r="Q4153">
        <v>0.32897209999999899</v>
      </c>
      <c r="R4153">
        <v>-7.5616760000000005E-2</v>
      </c>
      <c r="S4153">
        <v>3.256119</v>
      </c>
      <c r="T4153">
        <v>-0.30391089999999998</v>
      </c>
      <c r="U4153">
        <v>-0.44544980000000001</v>
      </c>
      <c r="V4153">
        <v>7.9844940000000003E-2</v>
      </c>
      <c r="W4153">
        <v>0.34258899999999998</v>
      </c>
      <c r="X4153">
        <v>0.93608630000000004</v>
      </c>
      <c r="Y4153">
        <v>0.13950109999999999</v>
      </c>
      <c r="Z4153">
        <v>-7.8506099999999992E-3</v>
      </c>
      <c r="AA4153">
        <v>0.99019080000000004</v>
      </c>
      <c r="AB4153">
        <v>32</v>
      </c>
      <c r="AC4153">
        <v>0.67250000000001298</v>
      </c>
      <c r="AD4153">
        <v>-9.0548000000000003E-2</v>
      </c>
      <c r="AE4153">
        <v>-0.13409999999998901</v>
      </c>
      <c r="AF4153">
        <v>0.13491245619589501</v>
      </c>
      <c r="AG4153">
        <v>-9.0548000000000003E-2</v>
      </c>
      <c r="AH4153">
        <v>0.66034757045736403</v>
      </c>
      <c r="AI4153">
        <v>97.651674086942805</v>
      </c>
      <c r="AJ4153">
        <v>78.453081448754205</v>
      </c>
      <c r="AK4153">
        <v>0.68004354636284403</v>
      </c>
      <c r="AL4153">
        <v>69.965311321032999</v>
      </c>
      <c r="AM4153">
        <v>85.124667827374097</v>
      </c>
      <c r="AN4153">
        <v>0.99999999920614602</v>
      </c>
    </row>
    <row r="4154" spans="1:40" x14ac:dyDescent="0.25">
      <c r="A4154" t="str">
        <f>"20190304164933656"</f>
        <v>20190304164933656</v>
      </c>
      <c r="B4154" t="str">
        <f>"1551689373649748"</f>
        <v>1551689373649748</v>
      </c>
      <c r="C4154" t="s">
        <v>40</v>
      </c>
      <c r="D4154">
        <v>4.2235050000000003</v>
      </c>
      <c r="E4154">
        <v>0.53978689999999996</v>
      </c>
      <c r="F4154" t="s">
        <v>41</v>
      </c>
      <c r="G4154">
        <v>-237.3056</v>
      </c>
      <c r="H4154">
        <v>1.021741</v>
      </c>
      <c r="I4154">
        <v>215.5986</v>
      </c>
      <c r="J4154">
        <v>-238.01140000000001</v>
      </c>
      <c r="K4154">
        <v>1.1111679999999999</v>
      </c>
      <c r="L4154">
        <v>215.73159999999999</v>
      </c>
      <c r="M4154">
        <v>0.99988250000000001</v>
      </c>
      <c r="N4154">
        <v>-1.445485E-2</v>
      </c>
      <c r="O4154">
        <v>5.0868729999999996E-3</v>
      </c>
      <c r="P4154">
        <v>0.94132669999999996</v>
      </c>
      <c r="Q4154">
        <v>0.329146299999999</v>
      </c>
      <c r="R4154">
        <v>-7.4611720000000006E-2</v>
      </c>
      <c r="S4154">
        <v>3.2571720000000002</v>
      </c>
      <c r="T4154">
        <v>-0.302766799999999</v>
      </c>
      <c r="U4154">
        <v>-0.44429020000000002</v>
      </c>
      <c r="V4154">
        <v>7.9145999999999994E-2</v>
      </c>
      <c r="W4154">
        <v>0.34277170000000001</v>
      </c>
      <c r="X4154">
        <v>0.93607879999999999</v>
      </c>
      <c r="Y4154">
        <v>0.1394917</v>
      </c>
      <c r="Z4154">
        <v>-7.8515630000000006E-3</v>
      </c>
      <c r="AA4154">
        <v>0.99019210000000002</v>
      </c>
      <c r="AB4154">
        <v>32</v>
      </c>
      <c r="AC4154">
        <v>0.70580000000000997</v>
      </c>
      <c r="AD4154">
        <v>-8.9426999999999895E-2</v>
      </c>
      <c r="AE4154">
        <v>-0.13299999999998099</v>
      </c>
      <c r="AF4154">
        <v>0.134503737000671</v>
      </c>
      <c r="AG4154">
        <v>-8.9426999999999895E-2</v>
      </c>
      <c r="AH4154">
        <v>0.69434963157351104</v>
      </c>
      <c r="AI4154">
        <v>97.206350677777607</v>
      </c>
      <c r="AJ4154">
        <v>79.036911245892398</v>
      </c>
      <c r="AK4154">
        <v>0.71288838850300795</v>
      </c>
      <c r="AL4154">
        <v>69.954169233159107</v>
      </c>
      <c r="AM4154">
        <v>85.167103542020101</v>
      </c>
      <c r="AN4154">
        <v>1.0000000237231601</v>
      </c>
    </row>
    <row r="4155" spans="1:40" x14ac:dyDescent="0.25">
      <c r="A4155" t="str">
        <f>"20190304164933670"</f>
        <v>20190304164933670</v>
      </c>
      <c r="B4155" t="str">
        <f>"1551689373660484"</f>
        <v>1551689373660484</v>
      </c>
      <c r="C4155" t="s">
        <v>40</v>
      </c>
      <c r="D4155">
        <v>4.2211220000000003</v>
      </c>
      <c r="E4155">
        <v>0.53990300000000002</v>
      </c>
      <c r="F4155" t="s">
        <v>41</v>
      </c>
      <c r="G4155">
        <v>-237.01830000000001</v>
      </c>
      <c r="H4155">
        <v>1.0189539999999999</v>
      </c>
      <c r="I4155">
        <v>215.59630000000001</v>
      </c>
      <c r="J4155">
        <v>-237.81</v>
      </c>
      <c r="K4155">
        <v>1.1112010000000001</v>
      </c>
      <c r="L4155">
        <v>215.7329</v>
      </c>
      <c r="M4155">
        <v>0.99988100000000002</v>
      </c>
      <c r="N4155">
        <v>-1.4452649999999999E-2</v>
      </c>
      <c r="O4155">
        <v>5.4116579999999997E-3</v>
      </c>
      <c r="P4155">
        <v>0.94135539999999995</v>
      </c>
      <c r="Q4155">
        <v>0.32932869999999997</v>
      </c>
      <c r="R4155">
        <v>-7.3437959999999997E-2</v>
      </c>
      <c r="S4155">
        <v>3.25766</v>
      </c>
      <c r="T4155">
        <v>-0.30259950000000002</v>
      </c>
      <c r="U4155">
        <v>-0.44332890000000003</v>
      </c>
      <c r="V4155">
        <v>7.8247730000000001E-2</v>
      </c>
      <c r="W4155">
        <v>0.3429584</v>
      </c>
      <c r="X4155">
        <v>0.93608590000000003</v>
      </c>
      <c r="Y4155">
        <v>0.139506399999999</v>
      </c>
      <c r="Z4155">
        <v>-7.8727980000000003E-3</v>
      </c>
      <c r="AA4155">
        <v>0.99018989999999996</v>
      </c>
      <c r="AB4155">
        <v>32</v>
      </c>
      <c r="AC4155">
        <v>0.79169999999999097</v>
      </c>
      <c r="AD4155">
        <v>-9.2246999999999899E-2</v>
      </c>
      <c r="AE4155">
        <v>-0.13659999999998701</v>
      </c>
      <c r="AF4155">
        <v>0.13904964357395999</v>
      </c>
      <c r="AG4155">
        <v>-9.2246999999999899E-2</v>
      </c>
      <c r="AH4155">
        <v>0.78065701372974505</v>
      </c>
      <c r="AI4155">
        <v>96.635666468568502</v>
      </c>
      <c r="AJ4155">
        <v>79.900465944099096</v>
      </c>
      <c r="AK4155">
        <v>0.79829172955285499</v>
      </c>
      <c r="AL4155">
        <v>69.942781193912595</v>
      </c>
      <c r="AM4155">
        <v>85.221735303570696</v>
      </c>
      <c r="AN4155">
        <v>0.99999999177976095</v>
      </c>
    </row>
    <row r="4156" spans="1:40" x14ac:dyDescent="0.25">
      <c r="A4156" t="str">
        <f>"20190304164933684"</f>
        <v>20190304164933684</v>
      </c>
      <c r="B4156" t="str">
        <f>"1551689373680004"</f>
        <v>1551689373680004</v>
      </c>
      <c r="C4156" t="s">
        <v>40</v>
      </c>
      <c r="D4156">
        <v>4.8996950000000004</v>
      </c>
      <c r="E4156">
        <v>0.54011589999999998</v>
      </c>
      <c r="F4156" t="s">
        <v>41</v>
      </c>
      <c r="G4156">
        <v>-237.01009999999999</v>
      </c>
      <c r="H4156">
        <v>1.036994</v>
      </c>
      <c r="I4156">
        <v>215.62430000000001</v>
      </c>
      <c r="J4156">
        <v>-237.61779999999999</v>
      </c>
      <c r="K4156">
        <v>1.1112340000000001</v>
      </c>
      <c r="L4156">
        <v>215.73429999999999</v>
      </c>
      <c r="M4156">
        <v>0.99987910000000002</v>
      </c>
      <c r="N4156">
        <v>-1.445049E-2</v>
      </c>
      <c r="O4156">
        <v>5.7336720000000004E-3</v>
      </c>
      <c r="P4156">
        <v>0.94136540000000002</v>
      </c>
      <c r="Q4156">
        <v>0.32973619999999998</v>
      </c>
      <c r="R4156">
        <v>-7.1450440000000004E-2</v>
      </c>
      <c r="S4156">
        <v>3.2582089999999999</v>
      </c>
      <c r="T4156">
        <v>-0.30234609999999901</v>
      </c>
      <c r="U4156">
        <v>-0.44175720000000002</v>
      </c>
      <c r="V4156">
        <v>7.6540750000000005E-2</v>
      </c>
      <c r="W4156">
        <v>0.34336739999999999</v>
      </c>
      <c r="X4156">
        <v>0.9360771</v>
      </c>
      <c r="Y4156">
        <v>0.13933519999999999</v>
      </c>
      <c r="Z4156">
        <v>-7.8818299999999994E-3</v>
      </c>
      <c r="AA4156">
        <v>0.99021389999999998</v>
      </c>
      <c r="AB4156">
        <v>32</v>
      </c>
      <c r="AC4156">
        <v>0.60769999999999402</v>
      </c>
      <c r="AD4156">
        <v>-7.424E-2</v>
      </c>
      <c r="AE4156">
        <v>-0.109999999999985</v>
      </c>
      <c r="AF4156">
        <v>0.11186633447755399</v>
      </c>
      <c r="AG4156">
        <v>-7.424E-2</v>
      </c>
      <c r="AH4156">
        <v>0.59841162942967396</v>
      </c>
      <c r="AI4156">
        <v>96.9528452870818</v>
      </c>
      <c r="AJ4156">
        <v>79.411411847063604</v>
      </c>
      <c r="AK4156">
        <v>0.61328796876028902</v>
      </c>
      <c r="AL4156">
        <v>69.917832334624194</v>
      </c>
      <c r="AM4156">
        <v>85.325462701267398</v>
      </c>
      <c r="AN4156">
        <v>0.99999999746886603</v>
      </c>
    </row>
    <row r="4157" spans="1:40" x14ac:dyDescent="0.25">
      <c r="A4157" t="str">
        <f>"20190304164933707"</f>
        <v>20190304164933707</v>
      </c>
      <c r="B4157" t="str">
        <f>"1551689373700499"</f>
        <v>1551689373700499</v>
      </c>
      <c r="C4157" t="s">
        <v>40</v>
      </c>
      <c r="D4157">
        <v>4.2125240000000002</v>
      </c>
      <c r="E4157">
        <v>0.54044499999999995</v>
      </c>
      <c r="F4157" t="s">
        <v>41</v>
      </c>
      <c r="G4157">
        <v>-236.72550000000001</v>
      </c>
      <c r="H4157">
        <v>1.0291809999999999</v>
      </c>
      <c r="I4157">
        <v>215.61429999999999</v>
      </c>
      <c r="J4157">
        <v>-237.27459999999999</v>
      </c>
      <c r="K4157">
        <v>1.111262</v>
      </c>
      <c r="L4157">
        <v>215.73679999999999</v>
      </c>
      <c r="M4157">
        <v>0.99987559999999998</v>
      </c>
      <c r="N4157">
        <v>-1.4446560000000001E-2</v>
      </c>
      <c r="O4157">
        <v>6.327025E-3</v>
      </c>
      <c r="P4157">
        <v>0.94163470000000005</v>
      </c>
      <c r="Q4157">
        <v>0.32941589999999998</v>
      </c>
      <c r="R4157">
        <v>-6.9348800000000002E-2</v>
      </c>
      <c r="S4157">
        <v>3.2586520000000001</v>
      </c>
      <c r="T4157">
        <v>-0.29975390000000002</v>
      </c>
      <c r="U4157">
        <v>-0.43740839999999998</v>
      </c>
      <c r="V4157">
        <v>7.4972540000000004E-2</v>
      </c>
      <c r="W4157">
        <v>0.34305160000000001</v>
      </c>
      <c r="X4157">
        <v>0.93631980000000004</v>
      </c>
      <c r="Y4157">
        <v>0.13861989999999999</v>
      </c>
      <c r="Z4157">
        <v>-7.8296100000000007E-3</v>
      </c>
      <c r="AA4157">
        <v>0.99031469999999999</v>
      </c>
      <c r="AB4157">
        <v>32</v>
      </c>
      <c r="AC4157">
        <v>0.54909999999998105</v>
      </c>
      <c r="AD4157">
        <v>-8.2081000000000001E-2</v>
      </c>
      <c r="AE4157">
        <v>-0.122500000000002</v>
      </c>
      <c r="AF4157">
        <v>0.12334656045819301</v>
      </c>
      <c r="AG4157">
        <v>-8.2081000000000001E-2</v>
      </c>
      <c r="AH4157">
        <v>0.53688586828861595</v>
      </c>
      <c r="AI4157">
        <v>98.474819805219894</v>
      </c>
      <c r="AJ4157">
        <v>77.061141346342694</v>
      </c>
      <c r="AK4157">
        <v>0.55695430701798898</v>
      </c>
      <c r="AL4157">
        <v>69.937097041917994</v>
      </c>
      <c r="AM4157">
        <v>85.422007611433301</v>
      </c>
      <c r="AN4157">
        <v>1.0000000249443199</v>
      </c>
    </row>
    <row r="4158" spans="1:40" x14ac:dyDescent="0.25">
      <c r="A4158" t="str">
        <f>"20190304164933728"</f>
        <v>20190304164933728</v>
      </c>
      <c r="B4158" t="str">
        <f>"1551689373720020"</f>
        <v>1551689373720020</v>
      </c>
      <c r="C4158" t="s">
        <v>40</v>
      </c>
      <c r="D4158">
        <v>4.206366</v>
      </c>
      <c r="E4158">
        <v>0.54070469999999904</v>
      </c>
      <c r="F4158" t="s">
        <v>41</v>
      </c>
      <c r="G4158">
        <v>-236.43559999999999</v>
      </c>
      <c r="H4158">
        <v>1.03359</v>
      </c>
      <c r="I4158">
        <v>215.62540000000001</v>
      </c>
      <c r="J4158">
        <v>-236.971</v>
      </c>
      <c r="K4158">
        <v>1.1112770000000001</v>
      </c>
      <c r="L4158">
        <v>215.73929999999999</v>
      </c>
      <c r="M4158">
        <v>0.99987230000000005</v>
      </c>
      <c r="N4158">
        <v>-1.4443020000000001E-2</v>
      </c>
      <c r="O4158">
        <v>6.8519890000000002E-3</v>
      </c>
      <c r="P4158">
        <v>0.94210720000000003</v>
      </c>
      <c r="Q4158">
        <v>0.32834259999999998</v>
      </c>
      <c r="R4158">
        <v>-6.8010920000000002E-2</v>
      </c>
      <c r="S4158">
        <v>3.2596889999999998</v>
      </c>
      <c r="T4158">
        <v>-0.3019017</v>
      </c>
      <c r="U4158">
        <v>-0.43231199999999997</v>
      </c>
      <c r="V4158">
        <v>7.4122359999999998E-2</v>
      </c>
      <c r="W4158">
        <v>0.34198279999999998</v>
      </c>
      <c r="X4158">
        <v>0.93677840000000001</v>
      </c>
      <c r="Y4158">
        <v>0.13757150000000001</v>
      </c>
      <c r="Z4158">
        <v>-7.862071E-3</v>
      </c>
      <c r="AA4158">
        <v>0.99046060000000002</v>
      </c>
      <c r="AB4158">
        <v>32</v>
      </c>
      <c r="AC4158">
        <v>0.535399999999981</v>
      </c>
      <c r="AD4158">
        <v>-7.7687000000000006E-2</v>
      </c>
      <c r="AE4158">
        <v>-0.113899999999972</v>
      </c>
      <c r="AF4158">
        <v>0.11524492440852201</v>
      </c>
      <c r="AG4158">
        <v>-7.7687000000000006E-2</v>
      </c>
      <c r="AH4158">
        <v>0.52405112595888903</v>
      </c>
      <c r="AI4158">
        <v>98.238240924978001</v>
      </c>
      <c r="AJ4158">
        <v>77.597412389083701</v>
      </c>
      <c r="AK4158">
        <v>0.54216809680181799</v>
      </c>
      <c r="AL4158">
        <v>70.002278274285999</v>
      </c>
      <c r="AM4158">
        <v>85.4759112183621</v>
      </c>
      <c r="AN4158">
        <v>1.0000000652271801</v>
      </c>
    </row>
    <row r="4159" spans="1:40" x14ac:dyDescent="0.25">
      <c r="A4159" t="str">
        <f>"20190304164933746"</f>
        <v>20190304164933746</v>
      </c>
      <c r="B4159" t="str">
        <f>"1551689373740516"</f>
        <v>1551689373740516</v>
      </c>
      <c r="C4159" t="s">
        <v>40</v>
      </c>
      <c r="D4159">
        <v>4.1883860000000004</v>
      </c>
      <c r="E4159">
        <v>0.54081029999999997</v>
      </c>
      <c r="F4159" t="s">
        <v>41</v>
      </c>
      <c r="G4159">
        <v>-236.1481</v>
      </c>
      <c r="H4159">
        <v>1.0337350000000001</v>
      </c>
      <c r="I4159">
        <v>215.6311</v>
      </c>
      <c r="J4159">
        <v>-236.7209</v>
      </c>
      <c r="K4159">
        <v>1.1112770000000001</v>
      </c>
      <c r="L4159">
        <v>215.7414</v>
      </c>
      <c r="M4159">
        <v>0.99986949999999997</v>
      </c>
      <c r="N4159">
        <v>-1.4440069999999999E-2</v>
      </c>
      <c r="O4159">
        <v>7.2682010000000002E-3</v>
      </c>
      <c r="P4159">
        <v>0.94226960000000004</v>
      </c>
      <c r="Q4159">
        <v>0.32805060000000003</v>
      </c>
      <c r="R4159">
        <v>-6.7162479999999997E-2</v>
      </c>
      <c r="S4159">
        <v>3.2605740000000001</v>
      </c>
      <c r="T4159">
        <v>-0.30737609999999999</v>
      </c>
      <c r="U4159">
        <v>-0.42781069999999999</v>
      </c>
      <c r="V4159">
        <v>7.3667999999999997E-2</v>
      </c>
      <c r="W4159">
        <v>0.34168920000000003</v>
      </c>
      <c r="X4159">
        <v>0.93692129999999996</v>
      </c>
      <c r="Y4159">
        <v>0.13658489999999901</v>
      </c>
      <c r="Z4159">
        <v>-7.965916E-3</v>
      </c>
      <c r="AA4159">
        <v>0.99059640000000004</v>
      </c>
      <c r="AB4159">
        <v>32</v>
      </c>
      <c r="AC4159">
        <v>0.57279999999999998</v>
      </c>
      <c r="AD4159">
        <v>-7.7542E-2</v>
      </c>
      <c r="AE4159">
        <v>-0.110299999999995</v>
      </c>
      <c r="AF4159">
        <v>0.112473255574067</v>
      </c>
      <c r="AG4159">
        <v>-7.7542E-2</v>
      </c>
      <c r="AH4159">
        <v>0.56205122189682599</v>
      </c>
      <c r="AI4159">
        <v>97.704228658572802</v>
      </c>
      <c r="AJ4159">
        <v>78.683891320362306</v>
      </c>
      <c r="AK4159">
        <v>0.57841556948196404</v>
      </c>
      <c r="AL4159">
        <v>70.020177342592405</v>
      </c>
      <c r="AM4159">
        <v>85.5042121889242</v>
      </c>
      <c r="AN4159">
        <v>1.0000000030071601</v>
      </c>
    </row>
    <row r="4160" spans="1:40" x14ac:dyDescent="0.25">
      <c r="A4160" t="str">
        <f>"20190304164933762"</f>
        <v>20190304164933762</v>
      </c>
      <c r="B4160" t="str">
        <f>"1551689373750276"</f>
        <v>1551689373750276</v>
      </c>
      <c r="C4160" t="s">
        <v>40</v>
      </c>
      <c r="D4160">
        <v>4.18757</v>
      </c>
      <c r="E4160">
        <v>0.54115609999999903</v>
      </c>
      <c r="F4160" t="s">
        <v>41</v>
      </c>
      <c r="G4160">
        <v>-235.86269999999999</v>
      </c>
      <c r="H4160">
        <v>1.0299149999999999</v>
      </c>
      <c r="I4160">
        <v>215.6293</v>
      </c>
      <c r="J4160">
        <v>-236.48920000000001</v>
      </c>
      <c r="K4160">
        <v>1.1112660000000001</v>
      </c>
      <c r="L4160">
        <v>215.74350000000001</v>
      </c>
      <c r="M4160">
        <v>0.9998667</v>
      </c>
      <c r="N4160">
        <v>-1.443734E-2</v>
      </c>
      <c r="O4160">
        <v>7.6323629999999996E-3</v>
      </c>
      <c r="P4160">
        <v>0.94241739999999996</v>
      </c>
      <c r="Q4160">
        <v>0.3278452</v>
      </c>
      <c r="R4160">
        <v>-6.6084149999999994E-2</v>
      </c>
      <c r="S4160">
        <v>3.2611539999999999</v>
      </c>
      <c r="T4160">
        <v>-0.30927179999999999</v>
      </c>
      <c r="U4160">
        <v>-0.42541499999999999</v>
      </c>
      <c r="V4160">
        <v>7.2940980000000002E-2</v>
      </c>
      <c r="W4160">
        <v>0.34148129999999999</v>
      </c>
      <c r="X4160">
        <v>0.93705400000000005</v>
      </c>
      <c r="Y4160">
        <v>0.13620009999999999</v>
      </c>
      <c r="Z4160">
        <v>-8.0164390000000002E-3</v>
      </c>
      <c r="AA4160">
        <v>0.99064890000000005</v>
      </c>
      <c r="AB4160">
        <v>32</v>
      </c>
      <c r="AC4160">
        <v>0.62650000000002104</v>
      </c>
      <c r="AD4160">
        <v>-8.1351000000000104E-2</v>
      </c>
      <c r="AE4160">
        <v>-0.11420000000001</v>
      </c>
      <c r="AF4160">
        <v>0.11706843155129</v>
      </c>
      <c r="AG4160">
        <v>-8.1351000000000104E-2</v>
      </c>
      <c r="AH4160">
        <v>0.61556476988925102</v>
      </c>
      <c r="AI4160">
        <v>97.397314344924894</v>
      </c>
      <c r="AJ4160">
        <v>79.232050265869105</v>
      </c>
      <c r="AK4160">
        <v>0.63185677870517898</v>
      </c>
      <c r="AL4160">
        <v>70.0328520747955</v>
      </c>
      <c r="AM4160">
        <v>85.549029193806504</v>
      </c>
      <c r="AN4160">
        <v>1.0000000318645199</v>
      </c>
    </row>
    <row r="4161" spans="1:40" x14ac:dyDescent="0.25">
      <c r="A4161" t="str">
        <f>"20190304164933785"</f>
        <v>20190304164933785</v>
      </c>
      <c r="B4161" t="str">
        <f>"1551689373780532"</f>
        <v>1551689373780532</v>
      </c>
      <c r="C4161" t="s">
        <v>40</v>
      </c>
      <c r="D4161">
        <v>4.356738</v>
      </c>
      <c r="E4161">
        <v>0.54159369999999996</v>
      </c>
      <c r="F4161" t="s">
        <v>41</v>
      </c>
      <c r="G4161">
        <v>-235.57830000000001</v>
      </c>
      <c r="H4161">
        <v>1.0246090000000001</v>
      </c>
      <c r="I4161">
        <v>215.62479999999999</v>
      </c>
      <c r="J4161">
        <v>-236.16229999999999</v>
      </c>
      <c r="K4161">
        <v>1.1112409999999999</v>
      </c>
      <c r="L4161">
        <v>215.74639999999999</v>
      </c>
      <c r="M4161">
        <v>0.9998631</v>
      </c>
      <c r="N4161">
        <v>-1.443348E-2</v>
      </c>
      <c r="O4161">
        <v>8.0972730000000003E-3</v>
      </c>
      <c r="P4161">
        <v>0.94238379999999999</v>
      </c>
      <c r="Q4161">
        <v>0.32810319999999998</v>
      </c>
      <c r="R4161">
        <v>-6.5281240000000004E-2</v>
      </c>
      <c r="S4161">
        <v>3.2615970000000001</v>
      </c>
      <c r="T4161">
        <v>-0.3104557</v>
      </c>
      <c r="U4161">
        <v>-0.42387390000000003</v>
      </c>
      <c r="V4161">
        <v>7.2596850000000004E-2</v>
      </c>
      <c r="W4161">
        <v>0.34172960000000002</v>
      </c>
      <c r="X4161">
        <v>0.9369902</v>
      </c>
      <c r="Y4161">
        <v>0.13617679999999999</v>
      </c>
      <c r="Z4161">
        <v>-8.0786780000000006E-3</v>
      </c>
      <c r="AA4161">
        <v>0.99065159999999997</v>
      </c>
      <c r="AB4161">
        <v>32</v>
      </c>
      <c r="AC4161">
        <v>0.58399999999997398</v>
      </c>
      <c r="AD4161">
        <v>-8.6631999999999806E-2</v>
      </c>
      <c r="AE4161">
        <v>-0.1216</v>
      </c>
      <c r="AF4161">
        <v>0.123716008450295</v>
      </c>
      <c r="AG4161">
        <v>-8.6631999999999806E-2</v>
      </c>
      <c r="AH4161">
        <v>0.570954082098723</v>
      </c>
      <c r="AI4161">
        <v>98.434960340445798</v>
      </c>
      <c r="AJ4161">
        <v>77.773986805607606</v>
      </c>
      <c r="AK4161">
        <v>0.59059234505373503</v>
      </c>
      <c r="AL4161">
        <v>70.017714865490902</v>
      </c>
      <c r="AM4161">
        <v>85.569644303091806</v>
      </c>
      <c r="AN4161">
        <v>1.00000002852106</v>
      </c>
    </row>
    <row r="4162" spans="1:40" x14ac:dyDescent="0.25">
      <c r="A4162" t="str">
        <f>"20190304164933804"</f>
        <v>20190304164933804</v>
      </c>
      <c r="B4162" t="str">
        <f>"1551689373800053"</f>
        <v>1551689373800053</v>
      </c>
      <c r="C4162" t="s">
        <v>40</v>
      </c>
      <c r="D4162">
        <v>4.2303660000000001</v>
      </c>
      <c r="E4162">
        <v>0.54180759999999994</v>
      </c>
      <c r="F4162" t="s">
        <v>41</v>
      </c>
      <c r="G4162">
        <v>-235.28989999999999</v>
      </c>
      <c r="H4162">
        <v>1.0286</v>
      </c>
      <c r="I4162">
        <v>215.63249999999999</v>
      </c>
      <c r="J4162">
        <v>-235.87780000000001</v>
      </c>
      <c r="K4162">
        <v>1.11121</v>
      </c>
      <c r="L4162">
        <v>215.7491</v>
      </c>
      <c r="M4162">
        <v>0.99986030000000004</v>
      </c>
      <c r="N4162">
        <v>-1.4430170000000001E-2</v>
      </c>
      <c r="O4162">
        <v>8.4507890000000002E-3</v>
      </c>
      <c r="P4162">
        <v>0.94247740000000002</v>
      </c>
      <c r="Q4162">
        <v>0.32799640000000002</v>
      </c>
      <c r="R4162">
        <v>-6.4458619999999994E-2</v>
      </c>
      <c r="S4162">
        <v>3.2615810000000001</v>
      </c>
      <c r="T4162">
        <v>-0.30914059999999999</v>
      </c>
      <c r="U4162">
        <v>-0.4252319</v>
      </c>
      <c r="V4162">
        <v>7.2135489999999997E-2</v>
      </c>
      <c r="W4162">
        <v>0.341614799999999</v>
      </c>
      <c r="X4162">
        <v>0.9370676</v>
      </c>
      <c r="Y4162">
        <v>0.1369341</v>
      </c>
      <c r="Z4162">
        <v>-8.1173300000000007E-3</v>
      </c>
      <c r="AA4162">
        <v>0.99054690000000001</v>
      </c>
      <c r="AB4162">
        <v>32</v>
      </c>
      <c r="AC4162">
        <v>0.58790000000001896</v>
      </c>
      <c r="AD4162">
        <v>-8.2610000000000003E-2</v>
      </c>
      <c r="AE4162">
        <v>-0.11660000000000501</v>
      </c>
      <c r="AF4162">
        <v>0.119298173217272</v>
      </c>
      <c r="AG4162">
        <v>-8.2610000000000003E-2</v>
      </c>
      <c r="AH4162">
        <v>0.57595174613423294</v>
      </c>
      <c r="AI4162">
        <v>97.994944668388499</v>
      </c>
      <c r="AJ4162">
        <v>78.297682010095798</v>
      </c>
      <c r="AK4162">
        <v>0.59395023369643596</v>
      </c>
      <c r="AL4162">
        <v>70.024711845160397</v>
      </c>
      <c r="AM4162">
        <v>85.598050802458701</v>
      </c>
      <c r="AN4162">
        <v>0.99999994373316803</v>
      </c>
    </row>
    <row r="4163" spans="1:40" x14ac:dyDescent="0.25">
      <c r="A4163" t="str">
        <f>"20190304164933819"</f>
        <v>20190304164933819</v>
      </c>
      <c r="B4163" t="str">
        <f>"1551689373809812"</f>
        <v>1551689373809812</v>
      </c>
      <c r="C4163" t="s">
        <v>40</v>
      </c>
      <c r="D4163">
        <v>4.2109550000000002</v>
      </c>
      <c r="E4163">
        <v>0.54180759999999994</v>
      </c>
      <c r="F4163" t="s">
        <v>41</v>
      </c>
      <c r="G4163">
        <v>-235.00389999999999</v>
      </c>
      <c r="H4163">
        <v>1.0280849999999999</v>
      </c>
      <c r="I4163">
        <v>215.6352</v>
      </c>
      <c r="J4163">
        <v>-235.6712</v>
      </c>
      <c r="K4163">
        <v>1.1111770000000001</v>
      </c>
      <c r="L4163">
        <v>215.75110000000001</v>
      </c>
      <c r="M4163">
        <v>0.99985840000000004</v>
      </c>
      <c r="N4163">
        <v>-1.4427809999999999E-2</v>
      </c>
      <c r="O4163">
        <v>8.6781440000000005E-3</v>
      </c>
      <c r="P4163">
        <v>0.94243160000000004</v>
      </c>
      <c r="Q4163">
        <v>0.32835350000000002</v>
      </c>
      <c r="R4163">
        <v>-6.3299149999999998E-2</v>
      </c>
      <c r="S4163">
        <v>3.26207</v>
      </c>
      <c r="T4163">
        <v>-0.31036219999999998</v>
      </c>
      <c r="U4163">
        <v>-0.42462159999999899</v>
      </c>
      <c r="V4163">
        <v>7.1212600000000001E-2</v>
      </c>
      <c r="W4163">
        <v>0.34196300000000002</v>
      </c>
      <c r="X4163">
        <v>0.93701120000000004</v>
      </c>
      <c r="Y4163">
        <v>0.13695199999999999</v>
      </c>
      <c r="Z4163">
        <v>-8.1639169999999997E-3</v>
      </c>
      <c r="AA4163">
        <v>0.99054399999999998</v>
      </c>
      <c r="AB4163">
        <v>32</v>
      </c>
      <c r="AC4163">
        <v>0.667300000000011</v>
      </c>
      <c r="AD4163">
        <v>-8.3091999999999902E-2</v>
      </c>
      <c r="AE4163">
        <v>-0.11590000000001</v>
      </c>
      <c r="AF4163">
        <v>0.119882792195998</v>
      </c>
      <c r="AG4163">
        <v>-8.3091999999999902E-2</v>
      </c>
      <c r="AH4163">
        <v>0.65638956875223098</v>
      </c>
      <c r="AI4163">
        <v>97.098472692802304</v>
      </c>
      <c r="AJ4163">
        <v>79.649596973560307</v>
      </c>
      <c r="AK4163">
        <v>0.67240124203889495</v>
      </c>
      <c r="AL4163">
        <v>70.003483286967494</v>
      </c>
      <c r="AM4163">
        <v>85.653890917408404</v>
      </c>
      <c r="AN4163">
        <v>0.99999995834659905</v>
      </c>
    </row>
    <row r="4164" spans="1:40" x14ac:dyDescent="0.25">
      <c r="A4164" t="str">
        <f>"20190304164933840"</f>
        <v>20190304164933840</v>
      </c>
      <c r="B4164" t="str">
        <f>"1551689373830308"</f>
        <v>1551689373830308</v>
      </c>
      <c r="C4164" t="s">
        <v>40</v>
      </c>
      <c r="D4164">
        <v>4.2064599999999999</v>
      </c>
      <c r="E4164">
        <v>0.55270430000000004</v>
      </c>
      <c r="F4164" t="s">
        <v>41</v>
      </c>
      <c r="G4164">
        <v>-234.72110000000001</v>
      </c>
      <c r="H4164">
        <v>1.02118</v>
      </c>
      <c r="I4164">
        <v>215.62860000000001</v>
      </c>
      <c r="J4164">
        <v>-235.3793</v>
      </c>
      <c r="K4164">
        <v>1.111132</v>
      </c>
      <c r="L4164">
        <v>215.75389999999999</v>
      </c>
      <c r="M4164">
        <v>0.99985599999999997</v>
      </c>
      <c r="N4164">
        <v>-1.442448E-2</v>
      </c>
      <c r="O4164">
        <v>8.9465969999999902E-3</v>
      </c>
      <c r="P4164">
        <v>0.94231830000000005</v>
      </c>
      <c r="Q4164">
        <v>0.32885579999999998</v>
      </c>
      <c r="R4164">
        <v>-6.2374069999999997E-2</v>
      </c>
      <c r="S4164">
        <v>3.2627410000000001</v>
      </c>
      <c r="T4164">
        <v>-0.30909510000000001</v>
      </c>
      <c r="U4164">
        <v>-0.4204407</v>
      </c>
      <c r="V4164">
        <v>7.057542E-2</v>
      </c>
      <c r="W4164">
        <v>0.3424527</v>
      </c>
      <c r="X4164">
        <v>0.93688059999999995</v>
      </c>
      <c r="Y4164">
        <v>0.135953399999999</v>
      </c>
      <c r="Z4164">
        <v>-8.1002490000000003E-3</v>
      </c>
      <c r="AA4164">
        <v>0.99068210000000001</v>
      </c>
      <c r="AB4164">
        <v>32</v>
      </c>
      <c r="AC4164">
        <v>0.65819999999999301</v>
      </c>
      <c r="AD4164">
        <v>-8.9952000000000004E-2</v>
      </c>
      <c r="AE4164">
        <v>-0.12529999999998101</v>
      </c>
      <c r="AF4164">
        <v>0.12886167374150601</v>
      </c>
      <c r="AG4164">
        <v>-8.9952000000000004E-2</v>
      </c>
      <c r="AH4164">
        <v>0.64541963303090399</v>
      </c>
      <c r="AI4164">
        <v>97.782531397414601</v>
      </c>
      <c r="AJ4164">
        <v>78.709039967958304</v>
      </c>
      <c r="AK4164">
        <v>0.66427644543910302</v>
      </c>
      <c r="AL4164">
        <v>69.973623559765102</v>
      </c>
      <c r="AM4164">
        <v>85.692032857882197</v>
      </c>
      <c r="AN4164">
        <v>1.00000000015091</v>
      </c>
    </row>
    <row r="4165" spans="1:40" x14ac:dyDescent="0.25">
      <c r="A4165" t="str">
        <f>"20190304164933862"</f>
        <v>20190304164933862</v>
      </c>
      <c r="B4165" t="str">
        <f>"1551689373849828"</f>
        <v>1551689373849828</v>
      </c>
      <c r="C4165" t="s">
        <v>40</v>
      </c>
      <c r="D4165">
        <v>4.1828440000000002</v>
      </c>
      <c r="E4165">
        <v>0.55401899999999904</v>
      </c>
      <c r="F4165" t="s">
        <v>41</v>
      </c>
      <c r="G4165">
        <v>-234.43469999999999</v>
      </c>
      <c r="H4165">
        <v>1.0212019999999999</v>
      </c>
      <c r="I4165">
        <v>215.6078</v>
      </c>
      <c r="J4165">
        <v>-235.06190000000001</v>
      </c>
      <c r="K4165">
        <v>1.1110819999999999</v>
      </c>
      <c r="L4165">
        <v>215.75700000000001</v>
      </c>
      <c r="M4165">
        <v>0.99985400000000002</v>
      </c>
      <c r="N4165">
        <v>-1.442096E-2</v>
      </c>
      <c r="O4165">
        <v>9.1730409999999998E-3</v>
      </c>
      <c r="P4165">
        <v>0.94243659999999996</v>
      </c>
      <c r="Q4165">
        <v>0.32861669999999998</v>
      </c>
      <c r="R4165">
        <v>-6.1841609999999998E-2</v>
      </c>
      <c r="S4165">
        <v>3.258591</v>
      </c>
      <c r="T4165">
        <v>-0.31032130000000002</v>
      </c>
      <c r="U4165">
        <v>-0.50372309999999998</v>
      </c>
      <c r="V4165">
        <v>7.0299249999999994E-2</v>
      </c>
      <c r="W4165">
        <v>0.34220270000000003</v>
      </c>
      <c r="X4165">
        <v>0.93699270000000001</v>
      </c>
      <c r="Y4165">
        <v>0.16097739999999999</v>
      </c>
      <c r="Z4165">
        <v>-9.5089119999999996E-3</v>
      </c>
      <c r="AA4165">
        <v>0.98691229999999996</v>
      </c>
      <c r="AB4165">
        <v>32</v>
      </c>
      <c r="AC4165">
        <v>0.62720000000001597</v>
      </c>
      <c r="AD4165">
        <v>-8.9879999999999904E-2</v>
      </c>
      <c r="AE4165">
        <v>-0.14920000000000699</v>
      </c>
      <c r="AF4165">
        <v>0.15199349554861699</v>
      </c>
      <c r="AG4165">
        <v>-8.9879999999999904E-2</v>
      </c>
      <c r="AH4165">
        <v>0.61387356124322601</v>
      </c>
      <c r="AI4165">
        <v>98.088871901408993</v>
      </c>
      <c r="AJ4165">
        <v>76.093391045154206</v>
      </c>
      <c r="AK4165">
        <v>0.63876536089751201</v>
      </c>
      <c r="AL4165">
        <v>69.988868517001194</v>
      </c>
      <c r="AM4165">
        <v>85.709338823733205</v>
      </c>
      <c r="AN4165">
        <v>0.999999996145571</v>
      </c>
    </row>
    <row r="4166" spans="1:40" x14ac:dyDescent="0.25">
      <c r="A4166" t="str">
        <f>"20190304164933885"</f>
        <v>20190304164933885</v>
      </c>
      <c r="B4166" t="str">
        <f>"1551689373880087"</f>
        <v>1551689373880087</v>
      </c>
      <c r="C4166" t="s">
        <v>40</v>
      </c>
      <c r="D4166">
        <v>4.1520440000000001</v>
      </c>
      <c r="E4166">
        <v>0.55539859999999996</v>
      </c>
      <c r="F4166" t="s">
        <v>41</v>
      </c>
      <c r="G4166">
        <v>-234.1497</v>
      </c>
      <c r="H4166">
        <v>1.020993</v>
      </c>
      <c r="I4166">
        <v>215.61439999999999</v>
      </c>
      <c r="J4166">
        <v>-234.7345</v>
      </c>
      <c r="K4166">
        <v>1.1110340000000001</v>
      </c>
      <c r="L4166">
        <v>215.7603</v>
      </c>
      <c r="M4166">
        <v>0.99985239999999997</v>
      </c>
      <c r="N4166">
        <v>-1.4417340000000001E-2</v>
      </c>
      <c r="O4166">
        <v>9.3435159999999996E-3</v>
      </c>
      <c r="P4166">
        <v>0.94271039999999995</v>
      </c>
      <c r="Q4166">
        <v>0.3279012</v>
      </c>
      <c r="R4166">
        <v>-6.1464169999999999E-2</v>
      </c>
      <c r="S4166">
        <v>3.2621000000000002</v>
      </c>
      <c r="T4166">
        <v>-0.3221657</v>
      </c>
      <c r="U4166">
        <v>-0.51019289999999995</v>
      </c>
      <c r="V4166">
        <v>7.0126679999999997E-2</v>
      </c>
      <c r="W4166">
        <v>0.34147909999999998</v>
      </c>
      <c r="X4166">
        <v>0.93726960000000004</v>
      </c>
      <c r="Y4166">
        <v>0.16282559999999999</v>
      </c>
      <c r="Z4166">
        <v>-9.9383900000000001E-3</v>
      </c>
      <c r="AA4166">
        <v>0.98660479999999995</v>
      </c>
      <c r="AB4166">
        <v>32</v>
      </c>
      <c r="AC4166">
        <v>0.58480000000000099</v>
      </c>
      <c r="AD4166">
        <v>-9.0040999999999996E-2</v>
      </c>
      <c r="AE4166">
        <v>-0.14590000000001099</v>
      </c>
      <c r="AF4166">
        <v>0.148054117549655</v>
      </c>
      <c r="AG4166">
        <v>-9.0040999999999996E-2</v>
      </c>
      <c r="AH4166">
        <v>0.57067517599100603</v>
      </c>
      <c r="AI4166">
        <v>98.683329250764402</v>
      </c>
      <c r="AJ4166">
        <v>75.456015922394499</v>
      </c>
      <c r="AK4166">
        <v>0.59640385637315596</v>
      </c>
      <c r="AL4166">
        <v>70.0329858367908</v>
      </c>
      <c r="AM4166">
        <v>85.721092116723099</v>
      </c>
      <c r="AN4166">
        <v>1.00000001503439</v>
      </c>
    </row>
    <row r="4167" spans="1:40" x14ac:dyDescent="0.25">
      <c r="A4167" t="str">
        <f>"20190304164933908"</f>
        <v>20190304164933908</v>
      </c>
      <c r="B4167" t="str">
        <f>"1551689373899604"</f>
        <v>1551689373899604</v>
      </c>
      <c r="C4167" t="s">
        <v>40</v>
      </c>
      <c r="D4167">
        <v>4.1273669999999996</v>
      </c>
      <c r="E4167">
        <v>0.55625400000000003</v>
      </c>
      <c r="F4167" t="s">
        <v>41</v>
      </c>
      <c r="G4167">
        <v>-233.86359999999999</v>
      </c>
      <c r="H4167">
        <v>1.0236160000000001</v>
      </c>
      <c r="I4167">
        <v>215.6215</v>
      </c>
      <c r="J4167">
        <v>-234.40450000000001</v>
      </c>
      <c r="K4167">
        <v>1.110986</v>
      </c>
      <c r="L4167">
        <v>215.76349999999999</v>
      </c>
      <c r="M4167">
        <v>0.9998515</v>
      </c>
      <c r="N4167">
        <v>-1.441373E-2</v>
      </c>
      <c r="O4167">
        <v>9.4600610000000005E-3</v>
      </c>
      <c r="P4167">
        <v>0.94298119999999996</v>
      </c>
      <c r="Q4167">
        <v>0.32720549999999998</v>
      </c>
      <c r="R4167">
        <v>-6.1017780000000001E-2</v>
      </c>
      <c r="S4167">
        <v>3.2624819999999999</v>
      </c>
      <c r="T4167">
        <v>-0.32763969999999998</v>
      </c>
      <c r="U4167">
        <v>-0.5187988</v>
      </c>
      <c r="V4167">
        <v>6.9830729999999994E-2</v>
      </c>
      <c r="W4167">
        <v>0.34077619999999997</v>
      </c>
      <c r="X4167">
        <v>0.93754740000000003</v>
      </c>
      <c r="Y4167">
        <v>0.1654177</v>
      </c>
      <c r="Z4167">
        <v>-1.024373E-2</v>
      </c>
      <c r="AA4167">
        <v>0.9861704</v>
      </c>
      <c r="AB4167">
        <v>32</v>
      </c>
      <c r="AC4167">
        <v>0.54090000000002103</v>
      </c>
      <c r="AD4167">
        <v>-8.7369999999999906E-2</v>
      </c>
      <c r="AE4167">
        <v>-0.14199999999999499</v>
      </c>
      <c r="AF4167">
        <v>0.14360588136858399</v>
      </c>
      <c r="AG4167">
        <v>-8.7369999999999906E-2</v>
      </c>
      <c r="AH4167">
        <v>0.52667679695357505</v>
      </c>
      <c r="AI4167">
        <v>99.092873336540805</v>
      </c>
      <c r="AJ4167">
        <v>74.748247611676405</v>
      </c>
      <c r="AK4167">
        <v>0.55285134938148195</v>
      </c>
      <c r="AL4167">
        <v>70.0758273030998</v>
      </c>
      <c r="AM4167">
        <v>85.740341286012793</v>
      </c>
      <c r="AN4167">
        <v>0.99999993829276401</v>
      </c>
    </row>
    <row r="4168" spans="1:40" x14ac:dyDescent="0.25">
      <c r="A4168" t="str">
        <f>"20190304164933931"</f>
        <v>20190304164933931</v>
      </c>
      <c r="B4168" t="str">
        <f>"1551689373920100"</f>
        <v>1551689373920100</v>
      </c>
      <c r="C4168" t="s">
        <v>40</v>
      </c>
      <c r="D4168">
        <v>4.1034980000000001</v>
      </c>
      <c r="E4168">
        <v>0.55697830000000004</v>
      </c>
      <c r="F4168" t="s">
        <v>41</v>
      </c>
      <c r="G4168">
        <v>-233.5772</v>
      </c>
      <c r="H4168">
        <v>1.0275700000000001</v>
      </c>
      <c r="I4168">
        <v>215.63050000000001</v>
      </c>
      <c r="J4168">
        <v>-234.07390000000001</v>
      </c>
      <c r="K4168">
        <v>1.1109370000000001</v>
      </c>
      <c r="L4168">
        <v>215.76679999999999</v>
      </c>
      <c r="M4168">
        <v>0.99985080000000004</v>
      </c>
      <c r="N4168">
        <v>-1.441016E-2</v>
      </c>
      <c r="O4168">
        <v>9.5305070000000006E-3</v>
      </c>
      <c r="P4168">
        <v>0.9431216</v>
      </c>
      <c r="Q4168">
        <v>0.32684200000000002</v>
      </c>
      <c r="R4168">
        <v>-6.0793279999999998E-2</v>
      </c>
      <c r="S4168">
        <v>3.2616420000000002</v>
      </c>
      <c r="T4168">
        <v>-0.32893909999999998</v>
      </c>
      <c r="U4168">
        <v>-0.52368159999999997</v>
      </c>
      <c r="V4168">
        <v>6.9707160000000004E-2</v>
      </c>
      <c r="W4168">
        <v>0.3404045</v>
      </c>
      <c r="X4168">
        <v>0.93769170000000002</v>
      </c>
      <c r="Y4168">
        <v>0.1669496</v>
      </c>
      <c r="Z4168">
        <v>-1.037486E-2</v>
      </c>
      <c r="AA4168">
        <v>0.98591079999999998</v>
      </c>
      <c r="AB4168">
        <v>32</v>
      </c>
      <c r="AC4168">
        <v>0.49670000000000403</v>
      </c>
      <c r="AD4168">
        <v>-8.33669999999999E-2</v>
      </c>
      <c r="AE4168">
        <v>-0.136299999999977</v>
      </c>
      <c r="AF4168">
        <v>0.13742775654030201</v>
      </c>
      <c r="AG4168">
        <v>-8.33669999999999E-2</v>
      </c>
      <c r="AH4168">
        <v>0.48273164237320498</v>
      </c>
      <c r="AI4168">
        <v>99.430653917608794</v>
      </c>
      <c r="AJ4168">
        <v>74.108999177806297</v>
      </c>
      <c r="AK4168">
        <v>0.50878903634515604</v>
      </c>
      <c r="AL4168">
        <v>70.098480069025698</v>
      </c>
      <c r="AM4168">
        <v>85.748503314407898</v>
      </c>
      <c r="AN4168">
        <v>1.0000000180122</v>
      </c>
    </row>
    <row r="4169" spans="1:40" x14ac:dyDescent="0.25">
      <c r="A4169" t="str">
        <f>"20190304164933951"</f>
        <v>20190304164933951</v>
      </c>
      <c r="B4169" t="str">
        <f>"1551689373939620"</f>
        <v>1551689373939620</v>
      </c>
      <c r="C4169" t="s">
        <v>40</v>
      </c>
      <c r="D4169">
        <v>4.1153360000000001</v>
      </c>
      <c r="E4169">
        <v>0.55750049999999995</v>
      </c>
      <c r="F4169" t="s">
        <v>41</v>
      </c>
      <c r="G4169">
        <v>-233.29079999999999</v>
      </c>
      <c r="H4169">
        <v>1.0319769999999999</v>
      </c>
      <c r="I4169">
        <v>215.6396</v>
      </c>
      <c r="J4169">
        <v>-233.79159999999999</v>
      </c>
      <c r="K4169">
        <v>1.110908</v>
      </c>
      <c r="L4169">
        <v>215.76949999999999</v>
      </c>
      <c r="M4169">
        <v>0.99985049999999998</v>
      </c>
      <c r="N4169">
        <v>-1.4407130000000001E-2</v>
      </c>
      <c r="O4169">
        <v>9.5612639999999999E-3</v>
      </c>
      <c r="P4169">
        <v>0.94325159999999997</v>
      </c>
      <c r="Q4169">
        <v>0.32641989999999999</v>
      </c>
      <c r="R4169">
        <v>-6.1046030000000001E-2</v>
      </c>
      <c r="S4169">
        <v>3.26091</v>
      </c>
      <c r="T4169">
        <v>-0.32908880000000001</v>
      </c>
      <c r="U4169">
        <v>-0.52813719999999997</v>
      </c>
      <c r="V4169">
        <v>7.0013850000000002E-2</v>
      </c>
      <c r="W4169">
        <v>0.33997680000000002</v>
      </c>
      <c r="X4169">
        <v>0.93782399999999999</v>
      </c>
      <c r="Y4169">
        <v>0.16831840000000001</v>
      </c>
      <c r="Z4169">
        <v>-1.0461099999999999E-2</v>
      </c>
      <c r="AA4169">
        <v>0.98567720000000003</v>
      </c>
      <c r="AB4169">
        <v>32</v>
      </c>
      <c r="AC4169">
        <v>0.50079999999999802</v>
      </c>
      <c r="AD4169">
        <v>-7.8930999999999807E-2</v>
      </c>
      <c r="AE4169">
        <v>-0.12989999999999199</v>
      </c>
      <c r="AF4169">
        <v>0.13161940946237199</v>
      </c>
      <c r="AG4169">
        <v>-7.8930999999999807E-2</v>
      </c>
      <c r="AH4169">
        <v>0.48817278999762997</v>
      </c>
      <c r="AI4169">
        <v>98.872941016047406</v>
      </c>
      <c r="AJ4169">
        <v>74.910910032642704</v>
      </c>
      <c r="AK4169">
        <v>0.51172887802262401</v>
      </c>
      <c r="AL4169">
        <v>70.124539586224898</v>
      </c>
      <c r="AM4169">
        <v>85.730467242726306</v>
      </c>
      <c r="AN4169">
        <v>1.0000000093530299</v>
      </c>
    </row>
    <row r="4170" spans="1:40" x14ac:dyDescent="0.25">
      <c r="A4170" t="str">
        <f>"20190304164933969"</f>
        <v>20190304164933969</v>
      </c>
      <c r="B4170" t="str">
        <f>"1551689373960116"</f>
        <v>1551689373960116</v>
      </c>
      <c r="C4170" t="s">
        <v>40</v>
      </c>
      <c r="D4170">
        <v>4.0885129999999998</v>
      </c>
      <c r="E4170">
        <v>0.55802850000000004</v>
      </c>
      <c r="F4170" t="s">
        <v>41</v>
      </c>
      <c r="G4170">
        <v>-233.00540000000001</v>
      </c>
      <c r="H4170">
        <v>1.0333570000000001</v>
      </c>
      <c r="I4170">
        <v>215.64080000000001</v>
      </c>
      <c r="J4170">
        <v>-233.53479999999999</v>
      </c>
      <c r="K4170">
        <v>1.1108880000000001</v>
      </c>
      <c r="L4170">
        <v>215.77199999999999</v>
      </c>
      <c r="M4170">
        <v>0.99985049999999998</v>
      </c>
      <c r="N4170">
        <v>-1.440434E-2</v>
      </c>
      <c r="O4170">
        <v>9.5731400000000008E-3</v>
      </c>
      <c r="P4170">
        <v>0.94327070000000002</v>
      </c>
      <c r="Q4170">
        <v>0.32642490000000002</v>
      </c>
      <c r="R4170">
        <v>-6.0724420000000001E-2</v>
      </c>
      <c r="S4170">
        <v>3.2571560000000002</v>
      </c>
      <c r="T4170">
        <v>-0.32136439999999999</v>
      </c>
      <c r="U4170">
        <v>-0.53343200000000002</v>
      </c>
      <c r="V4170">
        <v>6.972064E-2</v>
      </c>
      <c r="W4170">
        <v>0.3399759</v>
      </c>
      <c r="X4170">
        <v>0.93784619999999996</v>
      </c>
      <c r="Y4170">
        <v>0.170101799999999</v>
      </c>
      <c r="Z4170">
        <v>-1.035228E-2</v>
      </c>
      <c r="AA4170">
        <v>0.98537209999999997</v>
      </c>
      <c r="AB4170">
        <v>32</v>
      </c>
      <c r="AC4170">
        <v>0.529399999999981</v>
      </c>
      <c r="AD4170">
        <v>-7.7530999999999795E-2</v>
      </c>
      <c r="AE4170">
        <v>-0.13120000000000601</v>
      </c>
      <c r="AF4170">
        <v>0.13356364686700201</v>
      </c>
      <c r="AG4170">
        <v>-7.7530999999999795E-2</v>
      </c>
      <c r="AH4170">
        <v>0.51765940188710602</v>
      </c>
      <c r="AI4170">
        <v>98.251666792864995</v>
      </c>
      <c r="AJ4170">
        <v>75.532391144278904</v>
      </c>
      <c r="AK4170">
        <v>0.54020510927566201</v>
      </c>
      <c r="AL4170">
        <v>70.124595002377603</v>
      </c>
      <c r="AM4170">
        <v>85.748382127644902</v>
      </c>
      <c r="AN4170">
        <v>1.00000003753862</v>
      </c>
    </row>
    <row r="4171" spans="1:40" x14ac:dyDescent="0.25">
      <c r="A4171" t="str">
        <f>"20190304164933982"</f>
        <v>20190304164933982</v>
      </c>
      <c r="B4171" t="str">
        <f>"1551689373969876"</f>
        <v>1551689373969876</v>
      </c>
      <c r="C4171" t="s">
        <v>40</v>
      </c>
      <c r="D4171">
        <v>4.0968900000000001</v>
      </c>
      <c r="E4171">
        <v>0.55831200000000003</v>
      </c>
      <c r="F4171" t="s">
        <v>41</v>
      </c>
      <c r="G4171">
        <v>-232.72139999999999</v>
      </c>
      <c r="H4171">
        <v>1.032251</v>
      </c>
      <c r="I4171">
        <v>215.63730000000001</v>
      </c>
      <c r="J4171">
        <v>-233.3493</v>
      </c>
      <c r="K4171">
        <v>1.1108739999999999</v>
      </c>
      <c r="L4171">
        <v>215.77379999999999</v>
      </c>
      <c r="M4171">
        <v>0.99985049999999998</v>
      </c>
      <c r="N4171">
        <v>-1.440234E-2</v>
      </c>
      <c r="O4171">
        <v>9.5761600000000002E-3</v>
      </c>
      <c r="P4171">
        <v>0.943268</v>
      </c>
      <c r="Q4171">
        <v>0.326470599999999</v>
      </c>
      <c r="R4171">
        <v>-6.0517759999999997E-2</v>
      </c>
      <c r="S4171">
        <v>3.2547299999999999</v>
      </c>
      <c r="T4171">
        <v>-0.31485740000000001</v>
      </c>
      <c r="U4171">
        <v>-0.53784180000000004</v>
      </c>
      <c r="V4171">
        <v>6.9527199999999997E-2</v>
      </c>
      <c r="W4171">
        <v>0.34001759999999998</v>
      </c>
      <c r="X4171">
        <v>0.93784540000000005</v>
      </c>
      <c r="Y4171">
        <v>0.17154910000000001</v>
      </c>
      <c r="Z4171">
        <v>-1.025147E-2</v>
      </c>
      <c r="AA4171">
        <v>0.98512219999999995</v>
      </c>
      <c r="AB4171">
        <v>32</v>
      </c>
      <c r="AC4171">
        <v>0.627900000000011</v>
      </c>
      <c r="AD4171">
        <v>-7.8622999999999804E-2</v>
      </c>
      <c r="AE4171">
        <v>-0.136499999999983</v>
      </c>
      <c r="AF4171">
        <v>0.140405163624582</v>
      </c>
      <c r="AG4171">
        <v>-7.8622999999999804E-2</v>
      </c>
      <c r="AH4171">
        <v>0.61732171438786299</v>
      </c>
      <c r="AI4171">
        <v>97.079304681401894</v>
      </c>
      <c r="AJ4171">
        <v>77.186487459448301</v>
      </c>
      <c r="AK4171">
        <v>0.63795084854259398</v>
      </c>
      <c r="AL4171">
        <v>70.122053578972896</v>
      </c>
      <c r="AM4171">
        <v>85.760131567490404</v>
      </c>
      <c r="AN4171">
        <v>0.99999999707538001</v>
      </c>
    </row>
    <row r="4172" spans="1:40" x14ac:dyDescent="0.25">
      <c r="A4172" t="str">
        <f>"20190304164933997"</f>
        <v>20190304164933997</v>
      </c>
      <c r="B4172" t="str">
        <f>"1551689373990372"</f>
        <v>1551689373990372</v>
      </c>
      <c r="C4172" t="s">
        <v>40</v>
      </c>
      <c r="D4172">
        <v>4.0138020000000001</v>
      </c>
      <c r="E4172">
        <v>0.5586274</v>
      </c>
      <c r="F4172" t="s">
        <v>41</v>
      </c>
      <c r="G4172">
        <v>-232.44220000000001</v>
      </c>
      <c r="H4172">
        <v>1.0230189999999999</v>
      </c>
      <c r="I4172">
        <v>215.6233</v>
      </c>
      <c r="J4172">
        <v>-233.1481</v>
      </c>
      <c r="K4172">
        <v>1.11087</v>
      </c>
      <c r="L4172">
        <v>215.7758</v>
      </c>
      <c r="M4172">
        <v>0.99985049999999998</v>
      </c>
      <c r="N4172">
        <v>-1.440019E-2</v>
      </c>
      <c r="O4172">
        <v>9.5759799999999996E-3</v>
      </c>
      <c r="P4172">
        <v>0.9433996</v>
      </c>
      <c r="Q4172">
        <v>0.32631199999999999</v>
      </c>
      <c r="R4172">
        <v>-5.930879E-2</v>
      </c>
      <c r="S4172">
        <v>3.254883</v>
      </c>
      <c r="T4172">
        <v>-0.31523570000000001</v>
      </c>
      <c r="U4172">
        <v>-0.54008480000000003</v>
      </c>
      <c r="V4172">
        <v>6.8328630000000001E-2</v>
      </c>
      <c r="W4172">
        <v>0.33985710000000002</v>
      </c>
      <c r="X4172">
        <v>0.93799169999999998</v>
      </c>
      <c r="Y4172">
        <v>0.17219699999999999</v>
      </c>
      <c r="Z4172">
        <v>-1.029718E-2</v>
      </c>
      <c r="AA4172">
        <v>0.98500869999999996</v>
      </c>
      <c r="AB4172">
        <v>32</v>
      </c>
      <c r="AC4172">
        <v>0.70589999999998498</v>
      </c>
      <c r="AD4172">
        <v>-8.7850999999999901E-2</v>
      </c>
      <c r="AE4172">
        <v>-0.15250000000000299</v>
      </c>
      <c r="AF4172">
        <v>0.156931158405577</v>
      </c>
      <c r="AG4172">
        <v>-8.7850999999999901E-2</v>
      </c>
      <c r="AH4172">
        <v>0.69413547441053702</v>
      </c>
      <c r="AI4172">
        <v>97.037344325012896</v>
      </c>
      <c r="AJ4172">
        <v>77.2606530629876</v>
      </c>
      <c r="AK4172">
        <v>0.71705595563711599</v>
      </c>
      <c r="AL4172">
        <v>70.131832749639599</v>
      </c>
      <c r="AM4172">
        <v>85.833610025217595</v>
      </c>
      <c r="AN4172">
        <v>1.0000000396834801</v>
      </c>
    </row>
    <row r="4173" spans="1:40" x14ac:dyDescent="0.25">
      <c r="A4173" t="str">
        <f>"20190304164934016"</f>
        <v>20190304164934016</v>
      </c>
      <c r="B4173" t="str">
        <f>"1551689374009892"</f>
        <v>1551689374009892</v>
      </c>
      <c r="C4173" t="s">
        <v>40</v>
      </c>
      <c r="D4173">
        <v>3.993179</v>
      </c>
      <c r="E4173">
        <v>0.55908100000000005</v>
      </c>
      <c r="F4173" t="s">
        <v>41</v>
      </c>
      <c r="G4173">
        <v>-232.1618</v>
      </c>
      <c r="H4173">
        <v>1.01563</v>
      </c>
      <c r="I4173">
        <v>215.61150000000001</v>
      </c>
      <c r="J4173">
        <v>-232.87970000000001</v>
      </c>
      <c r="K4173">
        <v>1.1108579999999999</v>
      </c>
      <c r="L4173">
        <v>215.7784</v>
      </c>
      <c r="M4173">
        <v>0.99985069999999998</v>
      </c>
      <c r="N4173">
        <v>-1.439733E-2</v>
      </c>
      <c r="O4173">
        <v>9.5707540000000008E-3</v>
      </c>
      <c r="P4173">
        <v>0.94343030000000005</v>
      </c>
      <c r="Q4173">
        <v>0.3264147</v>
      </c>
      <c r="R4173">
        <v>-5.8249259999999997E-2</v>
      </c>
      <c r="S4173">
        <v>3.2546689999999998</v>
      </c>
      <c r="T4173">
        <v>-0.31434479999999998</v>
      </c>
      <c r="U4173">
        <v>-0.54139709999999996</v>
      </c>
      <c r="V4173">
        <v>6.7272890000000002E-2</v>
      </c>
      <c r="W4173">
        <v>0.33995570000000003</v>
      </c>
      <c r="X4173">
        <v>0.93803230000000004</v>
      </c>
      <c r="Y4173">
        <v>0.17259160000000001</v>
      </c>
      <c r="Z4173">
        <v>-1.029277E-2</v>
      </c>
      <c r="AA4173">
        <v>0.98493969999999997</v>
      </c>
      <c r="AB4173">
        <v>32</v>
      </c>
      <c r="AC4173">
        <v>0.71790000000001397</v>
      </c>
      <c r="AD4173">
        <v>-9.5227999999999799E-2</v>
      </c>
      <c r="AE4173">
        <v>-0.16689999999999799</v>
      </c>
      <c r="AF4173">
        <v>0.170910852998058</v>
      </c>
      <c r="AG4173">
        <v>-9.5227999999999799E-2</v>
      </c>
      <c r="AH4173">
        <v>0.70450904655117996</v>
      </c>
      <c r="AI4173">
        <v>97.483478018203002</v>
      </c>
      <c r="AJ4173">
        <v>76.363727947260202</v>
      </c>
      <c r="AK4173">
        <v>0.73117158610614597</v>
      </c>
      <c r="AL4173">
        <v>70.125826097843799</v>
      </c>
      <c r="AM4173">
        <v>85.897940031043404</v>
      </c>
      <c r="AN4173">
        <v>1.00000005776736</v>
      </c>
    </row>
    <row r="4174" spans="1:40" x14ac:dyDescent="0.25">
      <c r="A4174" t="str">
        <f>"20190304164934029"</f>
        <v>20190304164934029</v>
      </c>
      <c r="B4174" t="str">
        <f>"1551689374019652"</f>
        <v>1551689374019652</v>
      </c>
      <c r="C4174" t="s">
        <v>40</v>
      </c>
      <c r="D4174">
        <v>4.0796210000000004</v>
      </c>
      <c r="E4174">
        <v>0.5593574</v>
      </c>
      <c r="F4174" t="s">
        <v>41</v>
      </c>
      <c r="G4174">
        <v>-231.87880000000001</v>
      </c>
      <c r="H4174">
        <v>1.0149490000000001</v>
      </c>
      <c r="I4174">
        <v>215.61109999999999</v>
      </c>
      <c r="J4174">
        <v>-232.68629999999999</v>
      </c>
      <c r="K4174">
        <v>1.1108499999999999</v>
      </c>
      <c r="L4174">
        <v>215.78030000000001</v>
      </c>
      <c r="M4174">
        <v>0.99985060000000003</v>
      </c>
      <c r="N4174">
        <v>-1.439528E-2</v>
      </c>
      <c r="O4174">
        <v>9.5663299999999996E-3</v>
      </c>
      <c r="P4174">
        <v>0.94355100000000003</v>
      </c>
      <c r="Q4174">
        <v>0.32629200000000003</v>
      </c>
      <c r="R4174">
        <v>-5.6967049999999998E-2</v>
      </c>
      <c r="S4174">
        <v>3.2542420000000001</v>
      </c>
      <c r="T4174">
        <v>-0.31186740000000002</v>
      </c>
      <c r="U4174">
        <v>-0.54354859999999905</v>
      </c>
      <c r="V4174">
        <v>6.5991889999999997E-2</v>
      </c>
      <c r="W4174">
        <v>0.33983239999999998</v>
      </c>
      <c r="X4174">
        <v>0.93816790000000005</v>
      </c>
      <c r="Y4174">
        <v>0.17325199999999999</v>
      </c>
      <c r="Z4174">
        <v>-1.025713E-2</v>
      </c>
      <c r="AA4174">
        <v>0.98482409999999998</v>
      </c>
      <c r="AB4174">
        <v>32</v>
      </c>
      <c r="AC4174">
        <v>0.80749999999997601</v>
      </c>
      <c r="AD4174">
        <v>-9.5901E-2</v>
      </c>
      <c r="AE4174">
        <v>-0.169200000000017</v>
      </c>
      <c r="AF4174">
        <v>0.174559328332591</v>
      </c>
      <c r="AG4174">
        <v>-9.5901E-2</v>
      </c>
      <c r="AH4174">
        <v>0.79510132430867997</v>
      </c>
      <c r="AI4174">
        <v>96.718992292294203</v>
      </c>
      <c r="AJ4174">
        <v>77.617531848587404</v>
      </c>
      <c r="AK4174">
        <v>0.81966705242210502</v>
      </c>
      <c r="AL4174">
        <v>70.133336676800397</v>
      </c>
      <c r="AM4174">
        <v>85.976371453946101</v>
      </c>
      <c r="AN4174">
        <v>0.99999999911297099</v>
      </c>
    </row>
    <row r="4175" spans="1:40" x14ac:dyDescent="0.25">
      <c r="A4175" t="str">
        <f>"20190304164934051"</f>
        <v>20190304164934051</v>
      </c>
      <c r="B4175" t="str">
        <f>"1551689374040148"</f>
        <v>1551689374040148</v>
      </c>
      <c r="C4175" t="s">
        <v>40</v>
      </c>
      <c r="D4175">
        <v>4.0312089999999996</v>
      </c>
      <c r="E4175">
        <v>0.55987699999999996</v>
      </c>
      <c r="F4175" t="s">
        <v>41</v>
      </c>
      <c r="G4175">
        <v>-231.8717</v>
      </c>
      <c r="H4175">
        <v>1.0328029999999999</v>
      </c>
      <c r="I4175">
        <v>215.64429999999999</v>
      </c>
      <c r="J4175">
        <v>-232.3708</v>
      </c>
      <c r="K4175">
        <v>1.1108480000000001</v>
      </c>
      <c r="L4175">
        <v>215.7833</v>
      </c>
      <c r="M4175">
        <v>0.99985080000000004</v>
      </c>
      <c r="N4175">
        <v>-1.4391940000000001E-2</v>
      </c>
      <c r="O4175">
        <v>9.5561580000000004E-3</v>
      </c>
      <c r="P4175">
        <v>0.94361189999999995</v>
      </c>
      <c r="Q4175">
        <v>0.32633430000000002</v>
      </c>
      <c r="R4175">
        <v>-5.5703530000000001E-2</v>
      </c>
      <c r="S4175">
        <v>3.2545470000000001</v>
      </c>
      <c r="T4175">
        <v>-0.31190069999999998</v>
      </c>
      <c r="U4175">
        <v>-0.54306030000000005</v>
      </c>
      <c r="V4175">
        <v>6.4725290000000005E-2</v>
      </c>
      <c r="W4175">
        <v>0.3398719</v>
      </c>
      <c r="X4175">
        <v>0.93824180000000001</v>
      </c>
      <c r="Y4175">
        <v>0.17308409999999999</v>
      </c>
      <c r="Z4175">
        <v>-1.024708E-2</v>
      </c>
      <c r="AA4175">
        <v>0.98485370000000005</v>
      </c>
      <c r="AB4175">
        <v>32</v>
      </c>
      <c r="AC4175">
        <v>0.49909999999999799</v>
      </c>
      <c r="AD4175">
        <v>-7.8044999999999906E-2</v>
      </c>
      <c r="AE4175">
        <v>-0.13900000000001</v>
      </c>
      <c r="AF4175">
        <v>0.14057372804443999</v>
      </c>
      <c r="AG4175">
        <v>-7.8044999999999906E-2</v>
      </c>
      <c r="AH4175">
        <v>0.48670447468681599</v>
      </c>
      <c r="AI4175">
        <v>98.757955180606501</v>
      </c>
      <c r="AJ4175">
        <v>73.889818281600796</v>
      </c>
      <c r="AK4175">
        <v>0.51257510739547396</v>
      </c>
      <c r="AL4175">
        <v>70.130929728961107</v>
      </c>
      <c r="AM4175">
        <v>86.053661482599196</v>
      </c>
      <c r="AN4175">
        <v>0.99999997342121605</v>
      </c>
    </row>
    <row r="4176" spans="1:40" x14ac:dyDescent="0.25">
      <c r="A4176" t="str">
        <f>"20190304164934075"</f>
        <v>20190304164934075</v>
      </c>
      <c r="B4176" t="str">
        <f>"1551689374070404"</f>
        <v>1551689374070404</v>
      </c>
      <c r="C4176" t="s">
        <v>40</v>
      </c>
      <c r="D4176">
        <v>4.0161790000000002</v>
      </c>
      <c r="E4176">
        <v>0.56065769999999904</v>
      </c>
      <c r="F4176" t="s">
        <v>41</v>
      </c>
      <c r="G4176">
        <v>-231.5874</v>
      </c>
      <c r="H4176">
        <v>1.036324</v>
      </c>
      <c r="I4176">
        <v>215.65199999999999</v>
      </c>
      <c r="J4176">
        <v>-232.04769999999999</v>
      </c>
      <c r="K4176">
        <v>1.11084</v>
      </c>
      <c r="L4176">
        <v>215.78639999999999</v>
      </c>
      <c r="M4176">
        <v>0.99985119999999905</v>
      </c>
      <c r="N4176">
        <v>-1.438846E-2</v>
      </c>
      <c r="O4176">
        <v>9.5357470000000007E-3</v>
      </c>
      <c r="P4176">
        <v>0.94368929999999995</v>
      </c>
      <c r="Q4176">
        <v>0.3262988</v>
      </c>
      <c r="R4176">
        <v>-5.4588089999999999E-2</v>
      </c>
      <c r="S4176">
        <v>3.2542879999999998</v>
      </c>
      <c r="T4176">
        <v>-0.30981219999999998</v>
      </c>
      <c r="U4176">
        <v>-0.54405209999999904</v>
      </c>
      <c r="V4176">
        <v>6.3599470000000005E-2</v>
      </c>
      <c r="W4176">
        <v>0.33983229999999998</v>
      </c>
      <c r="X4176">
        <v>0.93833319999999998</v>
      </c>
      <c r="Y4176">
        <v>0.173378799999999</v>
      </c>
      <c r="Z4176">
        <v>-1.0200860000000001E-2</v>
      </c>
      <c r="AA4176">
        <v>0.98480239999999997</v>
      </c>
      <c r="AB4176">
        <v>32</v>
      </c>
      <c r="AC4176">
        <v>0.460299999999989</v>
      </c>
      <c r="AD4176">
        <v>-7.4515999999999999E-2</v>
      </c>
      <c r="AE4176">
        <v>-0.13439999999997099</v>
      </c>
      <c r="AF4176">
        <v>0.13551128621564601</v>
      </c>
      <c r="AG4176">
        <v>-7.4515999999999999E-2</v>
      </c>
      <c r="AH4176">
        <v>0.44817469813944399</v>
      </c>
      <c r="AI4176">
        <v>99.042763811074593</v>
      </c>
      <c r="AJ4176">
        <v>73.176644494051203</v>
      </c>
      <c r="AK4176">
        <v>0.47410600396978803</v>
      </c>
      <c r="AL4176">
        <v>70.133343604355403</v>
      </c>
      <c r="AM4176">
        <v>86.122468684110302</v>
      </c>
      <c r="AN4176">
        <v>1.0000000394649</v>
      </c>
    </row>
    <row r="4177" spans="1:40" x14ac:dyDescent="0.25">
      <c r="A4177" t="str">
        <f>"20190304164934098"</f>
        <v>20190304164934098</v>
      </c>
      <c r="B4177" t="str">
        <f>"1551689374089928"</f>
        <v>1551689374089928</v>
      </c>
      <c r="C4177" t="s">
        <v>40</v>
      </c>
      <c r="D4177">
        <v>3.9834550000000002</v>
      </c>
      <c r="E4177">
        <v>0.56114759999999997</v>
      </c>
      <c r="F4177" t="s">
        <v>41</v>
      </c>
      <c r="G4177">
        <v>-231.30199999999999</v>
      </c>
      <c r="H4177">
        <v>1.0411280000000001</v>
      </c>
      <c r="I4177">
        <v>215.66059999999999</v>
      </c>
      <c r="J4177">
        <v>-231.72219999999999</v>
      </c>
      <c r="K4177">
        <v>1.1108290000000001</v>
      </c>
      <c r="L4177">
        <v>215.7895</v>
      </c>
      <c r="M4177">
        <v>0.99985139999999995</v>
      </c>
      <c r="N4177">
        <v>-1.438496E-2</v>
      </c>
      <c r="O4177">
        <v>9.5007809999999998E-3</v>
      </c>
      <c r="P4177">
        <v>0.94374930000000001</v>
      </c>
      <c r="Q4177">
        <v>0.32620009999999999</v>
      </c>
      <c r="R4177">
        <v>-5.413917E-2</v>
      </c>
      <c r="S4177">
        <v>3.252472</v>
      </c>
      <c r="T4177">
        <v>-0.30420900000000001</v>
      </c>
      <c r="U4177">
        <v>-0.54812620000000001</v>
      </c>
      <c r="V4177">
        <v>6.3129469999999993E-2</v>
      </c>
      <c r="W4177">
        <v>0.33972920000000001</v>
      </c>
      <c r="X4177">
        <v>0.93840219999999996</v>
      </c>
      <c r="Y4177">
        <v>0.17465729999999999</v>
      </c>
      <c r="Z4177">
        <v>-1.010691E-2</v>
      </c>
      <c r="AA4177">
        <v>0.98457740000000005</v>
      </c>
      <c r="AB4177">
        <v>32</v>
      </c>
      <c r="AC4177">
        <v>0.42019999999996499</v>
      </c>
      <c r="AD4177">
        <v>-6.9700999999999999E-2</v>
      </c>
      <c r="AE4177">
        <v>-0.128900000000015</v>
      </c>
      <c r="AF4177">
        <v>0.12962692615191401</v>
      </c>
      <c r="AG4177">
        <v>-6.9700999999999999E-2</v>
      </c>
      <c r="AH4177">
        <v>0.408678681486627</v>
      </c>
      <c r="AI4177">
        <v>99.233805485974699</v>
      </c>
      <c r="AJ4177">
        <v>72.401730854005194</v>
      </c>
      <c r="AK4177">
        <v>0.43437269030895798</v>
      </c>
      <c r="AL4177">
        <v>70.139623129852296</v>
      </c>
      <c r="AM4177">
        <v>86.151319346290293</v>
      </c>
      <c r="AN4177">
        <v>0.99999997413997999</v>
      </c>
    </row>
    <row r="4178" spans="1:40" x14ac:dyDescent="0.25">
      <c r="A4178" t="str">
        <f>"20190304164934119"</f>
        <v>20190304164934119</v>
      </c>
      <c r="B4178" t="str">
        <f>"1551689374110421"</f>
        <v>1551689374110421</v>
      </c>
      <c r="C4178" t="s">
        <v>40</v>
      </c>
      <c r="D4178">
        <v>4.2957130000000001</v>
      </c>
      <c r="E4178">
        <v>0.56158419999999998</v>
      </c>
      <c r="F4178" t="s">
        <v>41</v>
      </c>
      <c r="G4178">
        <v>-230.74809999999999</v>
      </c>
      <c r="H4178">
        <v>1.0200640000000001</v>
      </c>
      <c r="I4178">
        <v>215.62430000000001</v>
      </c>
      <c r="J4178">
        <v>-231.4144</v>
      </c>
      <c r="K4178">
        <v>1.1108209999999901</v>
      </c>
      <c r="L4178">
        <v>215.79230000000001</v>
      </c>
      <c r="M4178">
        <v>0.99985190000000002</v>
      </c>
      <c r="N4178">
        <v>-1.4381649999999999E-2</v>
      </c>
      <c r="O4178">
        <v>9.4555620000000007E-3</v>
      </c>
      <c r="P4178">
        <v>0.94365560000000004</v>
      </c>
      <c r="Q4178">
        <v>0.32642300000000002</v>
      </c>
      <c r="R4178">
        <v>-5.4426549999999997E-2</v>
      </c>
      <c r="S4178">
        <v>3.2519529999999999</v>
      </c>
      <c r="T4178">
        <v>-0.30307889999999998</v>
      </c>
      <c r="U4178">
        <v>-0.55117799999999995</v>
      </c>
      <c r="V4178">
        <v>6.338502E-2</v>
      </c>
      <c r="W4178">
        <v>0.33994590000000002</v>
      </c>
      <c r="X4178">
        <v>0.93830659999999999</v>
      </c>
      <c r="Y4178">
        <v>0.17553869999999999</v>
      </c>
      <c r="Z4178">
        <v>-1.011781E-2</v>
      </c>
      <c r="AA4178">
        <v>0.98442050000000003</v>
      </c>
      <c r="AB4178">
        <v>32</v>
      </c>
      <c r="AC4178">
        <v>0.666300000000006</v>
      </c>
      <c r="AD4178">
        <v>-9.0756999999999893E-2</v>
      </c>
      <c r="AE4178">
        <v>-0.16800000000000601</v>
      </c>
      <c r="AF4178">
        <v>0.171305087150874</v>
      </c>
      <c r="AG4178">
        <v>-9.0756999999999893E-2</v>
      </c>
      <c r="AH4178">
        <v>0.65328541692467601</v>
      </c>
      <c r="AI4178">
        <v>97.653600477236694</v>
      </c>
      <c r="AJ4178">
        <v>75.306657745680198</v>
      </c>
      <c r="AK4178">
        <v>0.68144266222420902</v>
      </c>
      <c r="AL4178">
        <v>70.126423525532502</v>
      </c>
      <c r="AM4178">
        <v>86.135394361615894</v>
      </c>
      <c r="AN4178">
        <v>1.00000007564538</v>
      </c>
    </row>
    <row r="4179" spans="1:40" x14ac:dyDescent="0.25">
      <c r="A4179" t="str">
        <f>"20190304164934141"</f>
        <v>20190304164934141</v>
      </c>
      <c r="B4179" t="str">
        <f>"1551689374129940"</f>
        <v>1551689374129940</v>
      </c>
      <c r="C4179" t="s">
        <v>40</v>
      </c>
      <c r="D4179">
        <v>3.9651320000000001</v>
      </c>
      <c r="E4179">
        <v>0.56205769999999899</v>
      </c>
      <c r="F4179" t="s">
        <v>41</v>
      </c>
      <c r="G4179">
        <v>-230.46549999999999</v>
      </c>
      <c r="H4179">
        <v>1.022905</v>
      </c>
      <c r="I4179">
        <v>215.62979999999999</v>
      </c>
      <c r="J4179">
        <v>-231.10640000000001</v>
      </c>
      <c r="K4179">
        <v>1.1108100000000001</v>
      </c>
      <c r="L4179">
        <v>215.79519999999999</v>
      </c>
      <c r="M4179">
        <v>0.99985250000000003</v>
      </c>
      <c r="N4179">
        <v>-1.4378419999999999E-2</v>
      </c>
      <c r="O4179">
        <v>9.4007250000000004E-3</v>
      </c>
      <c r="P4179">
        <v>0.94353580000000004</v>
      </c>
      <c r="Q4179">
        <v>0.3266828</v>
      </c>
      <c r="R4179">
        <v>-5.4942829999999998E-2</v>
      </c>
      <c r="S4179">
        <v>3.251312</v>
      </c>
      <c r="T4179">
        <v>-0.30134870000000002</v>
      </c>
      <c r="U4179">
        <v>-0.55592350000000001</v>
      </c>
      <c r="V4179">
        <v>6.3858129999999999E-2</v>
      </c>
      <c r="W4179">
        <v>0.34019870000000002</v>
      </c>
      <c r="X4179">
        <v>0.93818279999999998</v>
      </c>
      <c r="Y4179">
        <v>0.17691570000000001</v>
      </c>
      <c r="Z4179">
        <v>-1.0136259999999999E-2</v>
      </c>
      <c r="AA4179">
        <v>0.98417379999999999</v>
      </c>
      <c r="AB4179">
        <v>31</v>
      </c>
      <c r="AC4179">
        <v>0.64090000000001601</v>
      </c>
      <c r="AD4179">
        <v>-8.7905000000000094E-2</v>
      </c>
      <c r="AE4179">
        <v>-0.16540000000000499</v>
      </c>
      <c r="AF4179">
        <v>0.168447201606894</v>
      </c>
      <c r="AG4179">
        <v>-8.7905000000000094E-2</v>
      </c>
      <c r="AH4179">
        <v>0.62823594374422198</v>
      </c>
      <c r="AI4179">
        <v>97.696873844437704</v>
      </c>
      <c r="AJ4179">
        <v>74.990479694227005</v>
      </c>
      <c r="AK4179">
        <v>0.65633996508393899</v>
      </c>
      <c r="AL4179">
        <v>70.111019412150398</v>
      </c>
      <c r="AM4179">
        <v>86.106124898503793</v>
      </c>
      <c r="AN4179">
        <v>0.99999999123231298</v>
      </c>
    </row>
    <row r="4180" spans="1:40" x14ac:dyDescent="0.25">
      <c r="A4180" t="str">
        <f>"20190304164934164"</f>
        <v>20190304164934164</v>
      </c>
      <c r="B4180" t="str">
        <f>"1551689374160196"</f>
        <v>1551689374160196</v>
      </c>
      <c r="C4180" t="s">
        <v>40</v>
      </c>
      <c r="D4180">
        <v>4.0010199999999996</v>
      </c>
      <c r="E4180">
        <v>0.56243940000000003</v>
      </c>
      <c r="F4180" t="s">
        <v>41</v>
      </c>
      <c r="G4180">
        <v>-230.1729</v>
      </c>
      <c r="H4180">
        <v>1.0251859999999999</v>
      </c>
      <c r="I4180">
        <v>215.63409999999999</v>
      </c>
      <c r="J4180">
        <v>-230.79580000000001</v>
      </c>
      <c r="K4180">
        <v>1.1108070000000001</v>
      </c>
      <c r="L4180">
        <v>215.79810000000001</v>
      </c>
      <c r="M4180">
        <v>0.99985310000000005</v>
      </c>
      <c r="N4180">
        <v>-1.437532E-2</v>
      </c>
      <c r="O4180">
        <v>9.3361759999999998E-3</v>
      </c>
      <c r="P4180">
        <v>0.94338200000000005</v>
      </c>
      <c r="Q4180">
        <v>0.32706740000000001</v>
      </c>
      <c r="R4180">
        <v>-5.5294570000000001E-2</v>
      </c>
      <c r="S4180">
        <v>3.2501370000000001</v>
      </c>
      <c r="T4180">
        <v>-0.29821500000000001</v>
      </c>
      <c r="U4180">
        <v>-0.5605774</v>
      </c>
      <c r="V4180">
        <v>6.4154139999999998E-2</v>
      </c>
      <c r="W4180">
        <v>0.34057670000000001</v>
      </c>
      <c r="X4180">
        <v>0.93802549999999996</v>
      </c>
      <c r="Y4180">
        <v>0.17829049999999999</v>
      </c>
      <c r="Z4180">
        <v>-1.0112670000000001E-2</v>
      </c>
      <c r="AA4180">
        <v>0.98392590000000002</v>
      </c>
      <c r="AB4180">
        <v>31</v>
      </c>
      <c r="AC4180">
        <v>0.622900000000015</v>
      </c>
      <c r="AD4180">
        <v>-8.5620999999999697E-2</v>
      </c>
      <c r="AE4180">
        <v>-0.16400000000001499</v>
      </c>
      <c r="AF4180">
        <v>0.166860662472467</v>
      </c>
      <c r="AG4180">
        <v>-8.5620999999999697E-2</v>
      </c>
      <c r="AH4180">
        <v>0.61055356632267599</v>
      </c>
      <c r="AI4180">
        <v>97.703876819340294</v>
      </c>
      <c r="AJ4180">
        <v>74.714659410273399</v>
      </c>
      <c r="AK4180">
        <v>0.63870892718912997</v>
      </c>
      <c r="AL4180">
        <v>70.087987203407593</v>
      </c>
      <c r="AM4180">
        <v>86.087477063395298</v>
      </c>
      <c r="AN4180">
        <v>1.00000004045613</v>
      </c>
    </row>
    <row r="4181" spans="1:40" x14ac:dyDescent="0.25">
      <c r="A4181" t="str">
        <f>"20190304164934186"</f>
        <v>20190304164934186</v>
      </c>
      <c r="B4181" t="str">
        <f>"1551689374179716"</f>
        <v>1551689374179716</v>
      </c>
      <c r="C4181" t="s">
        <v>40</v>
      </c>
      <c r="D4181">
        <v>4.0338900000000004</v>
      </c>
      <c r="E4181">
        <v>0.56276079999999995</v>
      </c>
      <c r="F4181" t="s">
        <v>41</v>
      </c>
      <c r="G4181">
        <v>-229.8922</v>
      </c>
      <c r="H4181">
        <v>1.027345</v>
      </c>
      <c r="I4181">
        <v>215.64070000000001</v>
      </c>
      <c r="J4181">
        <v>-230.47810000000001</v>
      </c>
      <c r="K4181">
        <v>1.110806</v>
      </c>
      <c r="L4181">
        <v>215.80090000000001</v>
      </c>
      <c r="M4181">
        <v>0.99985389999999996</v>
      </c>
      <c r="N4181">
        <v>-1.437187E-2</v>
      </c>
      <c r="O4181">
        <v>9.263103E-3</v>
      </c>
      <c r="P4181">
        <v>0.94303970000000004</v>
      </c>
      <c r="Q4181">
        <v>0.32799489999999998</v>
      </c>
      <c r="R4181">
        <v>-5.5637560000000003E-2</v>
      </c>
      <c r="S4181">
        <v>3.2510379999999999</v>
      </c>
      <c r="T4181">
        <v>-0.300378599999999</v>
      </c>
      <c r="U4181">
        <v>-0.56570430000000005</v>
      </c>
      <c r="V4181">
        <v>6.4429310000000004E-2</v>
      </c>
      <c r="W4181">
        <v>0.34149559999999901</v>
      </c>
      <c r="X4181">
        <v>0.93767239999999996</v>
      </c>
      <c r="Y4181">
        <v>0.17966170000000001</v>
      </c>
      <c r="Z4181">
        <v>-1.024069E-2</v>
      </c>
      <c r="AA4181">
        <v>0.98367519999999997</v>
      </c>
      <c r="AB4181">
        <v>31</v>
      </c>
      <c r="AC4181">
        <v>0.58590000000000897</v>
      </c>
      <c r="AD4181">
        <v>-8.3460999999999702E-2</v>
      </c>
      <c r="AE4181">
        <v>-0.16020000000000301</v>
      </c>
      <c r="AF4181">
        <v>0.16255191449350201</v>
      </c>
      <c r="AG4181">
        <v>-8.3460999999999702E-2</v>
      </c>
      <c r="AH4181">
        <v>0.57356175784369601</v>
      </c>
      <c r="AI4181">
        <v>97.969594982173405</v>
      </c>
      <c r="AJ4181">
        <v>74.176853002510398</v>
      </c>
      <c r="AK4181">
        <v>0.60196507663423005</v>
      </c>
      <c r="AL4181">
        <v>70.031978747146596</v>
      </c>
      <c r="AM4181">
        <v>86.069272916879598</v>
      </c>
      <c r="AN4181">
        <v>0.99999995526409702</v>
      </c>
    </row>
    <row r="4182" spans="1:40" x14ac:dyDescent="0.25">
      <c r="A4182" t="str">
        <f>"20190304164934208"</f>
        <v>20190304164934208</v>
      </c>
      <c r="B4182" t="str">
        <f>"1551689374200218"</f>
        <v>1551689374200218</v>
      </c>
      <c r="C4182" t="s">
        <v>40</v>
      </c>
      <c r="D4182">
        <v>4.0168939999999997</v>
      </c>
      <c r="E4182">
        <v>0.56298570000000003</v>
      </c>
      <c r="F4182" t="s">
        <v>46</v>
      </c>
      <c r="G4182">
        <v>-218.3535</v>
      </c>
      <c r="H4182" s="1">
        <v>2.9496710000000002E-6</v>
      </c>
      <c r="I4182">
        <v>213.6754</v>
      </c>
      <c r="J4182">
        <v>-230.1737</v>
      </c>
      <c r="K4182">
        <v>1.1108089999999999</v>
      </c>
      <c r="L4182">
        <v>215.80369999999999</v>
      </c>
      <c r="M4182">
        <v>0.99985449999999998</v>
      </c>
      <c r="N4182">
        <v>-1.43684E-2</v>
      </c>
      <c r="O4182">
        <v>9.1897690000000004E-3</v>
      </c>
      <c r="P4182">
        <v>0.94273320000000005</v>
      </c>
      <c r="Q4182">
        <v>0.32883309999999999</v>
      </c>
      <c r="R4182">
        <v>-5.5881880000000002E-2</v>
      </c>
      <c r="S4182">
        <v>3.2511749999999999</v>
      </c>
      <c r="T4182">
        <v>-0.2978594</v>
      </c>
      <c r="U4182">
        <v>-0.56996150000000001</v>
      </c>
      <c r="V4182">
        <v>6.4604220000000004E-2</v>
      </c>
      <c r="W4182">
        <v>0.3423255</v>
      </c>
      <c r="X4182">
        <v>0.93735769999999996</v>
      </c>
      <c r="Y4182">
        <v>0.18084120000000001</v>
      </c>
      <c r="Z4182">
        <v>-1.0219850000000001E-2</v>
      </c>
      <c r="AA4182">
        <v>0.98345919999999998</v>
      </c>
      <c r="AB4182">
        <v>31</v>
      </c>
      <c r="AC4182">
        <v>11.8202</v>
      </c>
      <c r="AD4182">
        <v>-1.110806050329</v>
      </c>
      <c r="AE4182">
        <v>-2.1282999999999901</v>
      </c>
      <c r="AF4182">
        <v>2.2178744910792201</v>
      </c>
      <c r="AG4182">
        <v>-1.110806050329</v>
      </c>
      <c r="AH4182">
        <v>11.700057621885801</v>
      </c>
      <c r="AI4182">
        <v>95.329078086935795</v>
      </c>
      <c r="AJ4182">
        <v>79.266311954382005</v>
      </c>
      <c r="AK4182">
        <v>11.9601089332445</v>
      </c>
      <c r="AL4182">
        <v>69.981379488507699</v>
      </c>
      <c r="AM4182">
        <v>86.057316464097795</v>
      </c>
      <c r="AN4182">
        <v>0.999999955470673</v>
      </c>
    </row>
    <row r="4183" spans="1:40" x14ac:dyDescent="0.25">
      <c r="A4183" t="str">
        <f>"20190304164934230"</f>
        <v>20190304164934230</v>
      </c>
      <c r="B4183" t="str">
        <f>"1551689374219732"</f>
        <v>1551689374219732</v>
      </c>
      <c r="C4183" t="s">
        <v>40</v>
      </c>
      <c r="D4183">
        <v>3.8940739999999998</v>
      </c>
      <c r="E4183">
        <v>0.56314929999999996</v>
      </c>
      <c r="F4183" t="s">
        <v>46</v>
      </c>
      <c r="G4183">
        <v>-217.9906</v>
      </c>
      <c r="H4183" s="1">
        <v>2.7573569999999999E-6</v>
      </c>
      <c r="I4183">
        <v>213.6566</v>
      </c>
      <c r="J4183">
        <v>-229.8597</v>
      </c>
      <c r="K4183">
        <v>1.1108070000000001</v>
      </c>
      <c r="L4183">
        <v>215.8065</v>
      </c>
      <c r="M4183">
        <v>0.9998553</v>
      </c>
      <c r="N4183">
        <v>-1.4364780000000001E-2</v>
      </c>
      <c r="O4183">
        <v>9.1132330000000001E-3</v>
      </c>
      <c r="P4183">
        <v>0.94262020000000002</v>
      </c>
      <c r="Q4183">
        <v>0.32918599999999998</v>
      </c>
      <c r="R4183">
        <v>-5.5712039999999997E-2</v>
      </c>
      <c r="S4183">
        <v>3.2516780000000001</v>
      </c>
      <c r="T4183">
        <v>-0.29647430000000002</v>
      </c>
      <c r="U4183">
        <v>-0.57305909999999904</v>
      </c>
      <c r="V4183">
        <v>6.4362849999999999E-2</v>
      </c>
      <c r="W4183">
        <v>0.34267320000000001</v>
      </c>
      <c r="X4183">
        <v>0.93724730000000001</v>
      </c>
      <c r="Y4183">
        <v>0.18165319999999999</v>
      </c>
      <c r="Z4183">
        <v>-1.021241E-2</v>
      </c>
      <c r="AA4183">
        <v>0.98330960000000001</v>
      </c>
      <c r="AB4183">
        <v>31</v>
      </c>
      <c r="AC4183">
        <v>11.8691</v>
      </c>
      <c r="AD4183">
        <v>-1.11080424264299</v>
      </c>
      <c r="AE4183">
        <v>-2.1499000000000001</v>
      </c>
      <c r="AF4183">
        <v>2.23899999697118</v>
      </c>
      <c r="AG4183">
        <v>-1.11080424264299</v>
      </c>
      <c r="AH4183">
        <v>11.7493724182397</v>
      </c>
      <c r="AI4183">
        <v>95.305859993157696</v>
      </c>
      <c r="AJ4183">
        <v>79.210882101493695</v>
      </c>
      <c r="AK4183">
        <v>12.0122753579163</v>
      </c>
      <c r="AL4183">
        <v>69.960176201516205</v>
      </c>
      <c r="AM4183">
        <v>86.071539421574499</v>
      </c>
      <c r="AN4183">
        <v>0.99999999990782595</v>
      </c>
    </row>
    <row r="4184" spans="1:40" x14ac:dyDescent="0.25">
      <c r="A4184" t="str">
        <f>"20190304164934253"</f>
        <v>20190304164934253</v>
      </c>
      <c r="B4184" t="str">
        <f>"1551689374249988"</f>
        <v>1551689374249988</v>
      </c>
      <c r="C4184" t="s">
        <v>40</v>
      </c>
      <c r="D4184">
        <v>3.9214259999999999</v>
      </c>
      <c r="E4184">
        <v>0.56342599999999998</v>
      </c>
      <c r="F4184" t="s">
        <v>46</v>
      </c>
      <c r="G4184">
        <v>-217.60650000000001</v>
      </c>
      <c r="H4184" s="1">
        <v>2.5536020000000001E-6</v>
      </c>
      <c r="I4184">
        <v>213.64240000000001</v>
      </c>
      <c r="J4184">
        <v>-229.54409999999999</v>
      </c>
      <c r="K4184">
        <v>1.1108009999999999</v>
      </c>
      <c r="L4184">
        <v>215.80930000000001</v>
      </c>
      <c r="M4184">
        <v>0.99985610000000003</v>
      </c>
      <c r="N4184">
        <v>-1.4361199999999999E-2</v>
      </c>
      <c r="O4184">
        <v>9.0374189999999997E-3</v>
      </c>
      <c r="P4184">
        <v>0.94285569999999996</v>
      </c>
      <c r="Q4184">
        <v>0.328542</v>
      </c>
      <c r="R4184">
        <v>-5.5528750000000002E-2</v>
      </c>
      <c r="S4184">
        <v>3.2516020000000001</v>
      </c>
      <c r="T4184">
        <v>-0.29477120000000001</v>
      </c>
      <c r="U4184">
        <v>-0.574295</v>
      </c>
      <c r="V4184">
        <v>6.4111280000000007E-2</v>
      </c>
      <c r="W4184">
        <v>0.34202929999999998</v>
      </c>
      <c r="X4184">
        <v>0.93749970000000005</v>
      </c>
      <c r="Y4184">
        <v>0.18195330000000001</v>
      </c>
      <c r="Z4184">
        <v>-1.017032E-2</v>
      </c>
      <c r="AA4184">
        <v>0.98325459999999998</v>
      </c>
      <c r="AB4184">
        <v>31</v>
      </c>
      <c r="AC4184">
        <v>11.9375999999999</v>
      </c>
      <c r="AD4184">
        <v>-1.1107984463980001</v>
      </c>
      <c r="AE4184">
        <v>-2.1668999999999898</v>
      </c>
      <c r="AF4184">
        <v>2.2557991622158999</v>
      </c>
      <c r="AG4184">
        <v>-1.1107984463980001</v>
      </c>
      <c r="AH4184">
        <v>11.8184625751017</v>
      </c>
      <c r="AI4184">
        <v>95.274693594610397</v>
      </c>
      <c r="AJ4184">
        <v>79.193886976645899</v>
      </c>
      <c r="AK4184">
        <v>12.082986414287401</v>
      </c>
      <c r="AL4184">
        <v>69.99944154181</v>
      </c>
      <c r="AM4184">
        <v>86.087896742233099</v>
      </c>
      <c r="AN4184">
        <v>0.99999999289090902</v>
      </c>
    </row>
    <row r="4185" spans="1:40" x14ac:dyDescent="0.25">
      <c r="A4185" t="str">
        <f>"20190304164934276"</f>
        <v>20190304164934276</v>
      </c>
      <c r="B4185" t="str">
        <f>"1551689374270484"</f>
        <v>1551689374270484</v>
      </c>
      <c r="C4185" t="s">
        <v>40</v>
      </c>
      <c r="D4185">
        <v>3.8930410000000002</v>
      </c>
      <c r="E4185">
        <v>0.56369440000000004</v>
      </c>
      <c r="F4185" t="s">
        <v>46</v>
      </c>
      <c r="G4185">
        <v>-217.4898</v>
      </c>
      <c r="H4185" s="1">
        <v>2.4900450000000001E-6</v>
      </c>
      <c r="I4185">
        <v>213.67529999999999</v>
      </c>
      <c r="J4185">
        <v>-229.22559999999999</v>
      </c>
      <c r="K4185">
        <v>1.1107959999999999</v>
      </c>
      <c r="L4185">
        <v>215.81209999999999</v>
      </c>
      <c r="M4185">
        <v>0.99985670000000004</v>
      </c>
      <c r="N4185">
        <v>-1.435757E-2</v>
      </c>
      <c r="O4185">
        <v>8.9622069999999998E-3</v>
      </c>
      <c r="P4185">
        <v>0.94295580000000001</v>
      </c>
      <c r="Q4185">
        <v>0.32823239999999998</v>
      </c>
      <c r="R4185">
        <v>-5.5659119999999999E-2</v>
      </c>
      <c r="S4185">
        <v>3.252335</v>
      </c>
      <c r="T4185">
        <v>-0.29970160000000001</v>
      </c>
      <c r="U4185">
        <v>-0.57575989999999999</v>
      </c>
      <c r="V4185">
        <v>6.4172709999999994E-2</v>
      </c>
      <c r="W4185">
        <v>0.34171750000000001</v>
      </c>
      <c r="X4185">
        <v>0.93760920000000003</v>
      </c>
      <c r="Y4185">
        <v>0.18224280000000001</v>
      </c>
      <c r="Z4185">
        <v>-1.032689E-2</v>
      </c>
      <c r="AA4185">
        <v>0.9831993</v>
      </c>
      <c r="AB4185">
        <v>31</v>
      </c>
      <c r="AC4185">
        <v>11.7357999999999</v>
      </c>
      <c r="AD4185">
        <v>-1.1107935099549999</v>
      </c>
      <c r="AE4185">
        <v>-2.1367999999999898</v>
      </c>
      <c r="AF4185">
        <v>2.2226308912157</v>
      </c>
      <c r="AG4185">
        <v>-1.1107935099549999</v>
      </c>
      <c r="AH4185">
        <v>11.615456654969</v>
      </c>
      <c r="AI4185">
        <v>95.365850789723893</v>
      </c>
      <c r="AJ4185">
        <v>79.167334049254094</v>
      </c>
      <c r="AK4185">
        <v>11.878248339035901</v>
      </c>
      <c r="AL4185">
        <v>70.018451942358695</v>
      </c>
      <c r="AM4185">
        <v>86.084615802628207</v>
      </c>
      <c r="AN4185">
        <v>0.99999999921981697</v>
      </c>
    </row>
    <row r="4186" spans="1:40" x14ac:dyDescent="0.25">
      <c r="A4186" t="str">
        <f>"20190304164934297"</f>
        <v>20190304164934297</v>
      </c>
      <c r="B4186" t="str">
        <f>"1551689374290008"</f>
        <v>1551689374290008</v>
      </c>
      <c r="C4186" t="s">
        <v>40</v>
      </c>
      <c r="D4186">
        <v>3.874196</v>
      </c>
      <c r="E4186">
        <v>0.56389829999999996</v>
      </c>
      <c r="F4186" t="s">
        <v>46</v>
      </c>
      <c r="G4186">
        <v>-217.26849999999999</v>
      </c>
      <c r="H4186" s="1">
        <v>2.3716560000000002E-6</v>
      </c>
      <c r="I4186">
        <v>213.6893</v>
      </c>
      <c r="J4186">
        <v>-228.92250000000001</v>
      </c>
      <c r="K4186">
        <v>1.1108</v>
      </c>
      <c r="L4186">
        <v>215.81469999999999</v>
      </c>
      <c r="M4186">
        <v>0.99985749999999995</v>
      </c>
      <c r="N4186">
        <v>-1.435413E-2</v>
      </c>
      <c r="O4186">
        <v>8.8915920000000002E-3</v>
      </c>
      <c r="P4186">
        <v>0.94314900000000002</v>
      </c>
      <c r="Q4186">
        <v>0.32770939999999998</v>
      </c>
      <c r="R4186">
        <v>-5.5469879999999999E-2</v>
      </c>
      <c r="S4186">
        <v>3.2525789999999999</v>
      </c>
      <c r="T4186">
        <v>-0.30215969999999998</v>
      </c>
      <c r="U4186">
        <v>-0.57743840000000002</v>
      </c>
      <c r="V4186">
        <v>6.3919089999999998E-2</v>
      </c>
      <c r="W4186">
        <v>0.34119450000000001</v>
      </c>
      <c r="X4186">
        <v>0.93781700000000001</v>
      </c>
      <c r="Y4186">
        <v>0.18263740000000001</v>
      </c>
      <c r="Z4186">
        <v>-1.041573E-2</v>
      </c>
      <c r="AA4186">
        <v>0.98312520000000003</v>
      </c>
      <c r="AB4186">
        <v>31</v>
      </c>
      <c r="AC4186">
        <v>11.654</v>
      </c>
      <c r="AD4186">
        <v>-1.110797628344</v>
      </c>
      <c r="AE4186">
        <v>-2.12539999999998</v>
      </c>
      <c r="AF4186">
        <v>2.2095221324850698</v>
      </c>
      <c r="AG4186">
        <v>-1.110797628344</v>
      </c>
      <c r="AH4186">
        <v>11.5332336846683</v>
      </c>
      <c r="AI4186">
        <v>95.403673592103701</v>
      </c>
      <c r="AJ4186">
        <v>79.154755937567103</v>
      </c>
      <c r="AK4186">
        <v>11.795394806882999</v>
      </c>
      <c r="AL4186">
        <v>70.050334472023806</v>
      </c>
      <c r="AM4186">
        <v>86.100903612325496</v>
      </c>
      <c r="AN4186">
        <v>1.0000000311928301</v>
      </c>
    </row>
    <row r="4187" spans="1:40" x14ac:dyDescent="0.25">
      <c r="A4187" t="str">
        <f>"20190304164934320"</f>
        <v>20190304164934320</v>
      </c>
      <c r="B4187" t="str">
        <f>"1551689374310500"</f>
        <v>1551689374310500</v>
      </c>
      <c r="C4187" t="s">
        <v>40</v>
      </c>
      <c r="D4187">
        <v>3.9045209999999999</v>
      </c>
      <c r="E4187">
        <v>0.56413310000000005</v>
      </c>
      <c r="F4187" t="s">
        <v>46</v>
      </c>
      <c r="G4187">
        <v>-217.0753</v>
      </c>
      <c r="H4187" s="1">
        <v>2.2677369999999999E-6</v>
      </c>
      <c r="I4187">
        <v>213.71430000000001</v>
      </c>
      <c r="J4187">
        <v>-228.61259999999999</v>
      </c>
      <c r="K4187">
        <v>1.110806</v>
      </c>
      <c r="L4187">
        <v>215.81739999999999</v>
      </c>
      <c r="M4187">
        <v>0.99985829999999998</v>
      </c>
      <c r="N4187">
        <v>-1.4350659999999999E-2</v>
      </c>
      <c r="O4187">
        <v>8.8196130000000005E-3</v>
      </c>
      <c r="P4187">
        <v>0.94299330000000003</v>
      </c>
      <c r="Q4187">
        <v>0.32817239999999998</v>
      </c>
      <c r="R4187">
        <v>-5.537893E-2</v>
      </c>
      <c r="S4187">
        <v>3.2528839999999999</v>
      </c>
      <c r="T4187">
        <v>-0.30499150000000003</v>
      </c>
      <c r="U4187">
        <v>-0.57670589999999999</v>
      </c>
      <c r="V4187">
        <v>6.3759270000000007E-2</v>
      </c>
      <c r="W4187">
        <v>0.341651599999999</v>
      </c>
      <c r="X4187">
        <v>0.93766139999999998</v>
      </c>
      <c r="Y4187">
        <v>0.18232200000000001</v>
      </c>
      <c r="Z4187">
        <v>-1.047823E-2</v>
      </c>
      <c r="AA4187">
        <v>0.98318300000000003</v>
      </c>
      <c r="AB4187">
        <v>31</v>
      </c>
      <c r="AC4187">
        <v>11.537299999999901</v>
      </c>
      <c r="AD4187">
        <v>-1.110803732263</v>
      </c>
      <c r="AE4187">
        <v>-2.10309999999998</v>
      </c>
      <c r="AF4187">
        <v>2.1851786210205701</v>
      </c>
      <c r="AG4187">
        <v>-1.110803732263</v>
      </c>
      <c r="AH4187">
        <v>11.4158820221702</v>
      </c>
      <c r="AI4187">
        <v>95.459081044048702</v>
      </c>
      <c r="AJ4187">
        <v>79.163767890616398</v>
      </c>
      <c r="AK4187">
        <v>11.676097502225799</v>
      </c>
      <c r="AL4187">
        <v>70.022469147878994</v>
      </c>
      <c r="AM4187">
        <v>86.109979312574296</v>
      </c>
      <c r="AN4187">
        <v>0.99999998067172602</v>
      </c>
    </row>
    <row r="4188" spans="1:40" x14ac:dyDescent="0.25">
      <c r="A4188" t="str">
        <f>"20190304164934342"</f>
        <v>20190304164934342</v>
      </c>
      <c r="B4188" t="str">
        <f>"1551689374339781"</f>
        <v>1551689374339781</v>
      </c>
      <c r="C4188" t="s">
        <v>40</v>
      </c>
      <c r="D4188">
        <v>3.8494000000000002</v>
      </c>
      <c r="E4188">
        <v>0.56442559999999997</v>
      </c>
      <c r="F4188" t="s">
        <v>46</v>
      </c>
      <c r="G4188">
        <v>-216.61420000000001</v>
      </c>
      <c r="H4188" s="1">
        <v>2.0238680000000002E-6</v>
      </c>
      <c r="I4188">
        <v>213.68</v>
      </c>
      <c r="J4188">
        <v>-228.30420000000001</v>
      </c>
      <c r="K4188">
        <v>1.110803</v>
      </c>
      <c r="L4188">
        <v>215.8201</v>
      </c>
      <c r="M4188">
        <v>0.99985889999999999</v>
      </c>
      <c r="N4188">
        <v>-1.434739E-2</v>
      </c>
      <c r="O4188">
        <v>8.7481139999999995E-3</v>
      </c>
      <c r="P4188">
        <v>0.9428841</v>
      </c>
      <c r="Q4188">
        <v>0.32851029999999998</v>
      </c>
      <c r="R4188">
        <v>-5.5234209999999999E-2</v>
      </c>
      <c r="S4188">
        <v>3.2521209999999998</v>
      </c>
      <c r="T4188">
        <v>-0.30107810000000002</v>
      </c>
      <c r="U4188">
        <v>-0.57933040000000002</v>
      </c>
      <c r="V4188">
        <v>6.3546190000000002E-2</v>
      </c>
      <c r="W4188">
        <v>0.34198450000000002</v>
      </c>
      <c r="X4188">
        <v>0.93755449999999996</v>
      </c>
      <c r="Y4188">
        <v>0.18307889999999999</v>
      </c>
      <c r="Z4188">
        <v>-1.039549E-2</v>
      </c>
      <c r="AA4188">
        <v>0.98304329999999995</v>
      </c>
      <c r="AB4188">
        <v>31</v>
      </c>
      <c r="AC4188">
        <v>11.6899999999999</v>
      </c>
      <c r="AD4188">
        <v>-1.1108009761319999</v>
      </c>
      <c r="AE4188">
        <v>-2.1400999999999799</v>
      </c>
      <c r="AF4188">
        <v>2.2228744007327701</v>
      </c>
      <c r="AG4188">
        <v>-1.1108009761319999</v>
      </c>
      <c r="AH4188">
        <v>11.569752188996</v>
      </c>
      <c r="AI4188">
        <v>95.386189831868506</v>
      </c>
      <c r="AJ4188">
        <v>79.124396686050304</v>
      </c>
      <c r="AK4188">
        <v>11.8336053307852</v>
      </c>
      <c r="AL4188">
        <v>70.002172813174795</v>
      </c>
      <c r="AM4188">
        <v>86.122499121032604</v>
      </c>
      <c r="AN4188">
        <v>0.99999997848700695</v>
      </c>
    </row>
    <row r="4189" spans="1:40" x14ac:dyDescent="0.25">
      <c r="A4189" t="str">
        <f>"20190304164934366"</f>
        <v>20190304164934366</v>
      </c>
      <c r="B4189" t="str">
        <f>"1551689374360276"</f>
        <v>1551689374360276</v>
      </c>
      <c r="C4189" t="s">
        <v>40</v>
      </c>
      <c r="D4189">
        <v>3.8219120000000002</v>
      </c>
      <c r="E4189">
        <v>0.56456809999999902</v>
      </c>
      <c r="F4189" t="s">
        <v>46</v>
      </c>
      <c r="G4189">
        <v>-216.16309999999999</v>
      </c>
      <c r="H4189" s="1">
        <v>1.7853329999999999E-6</v>
      </c>
      <c r="I4189">
        <v>213.64570000000001</v>
      </c>
      <c r="J4189">
        <v>-227.98220000000001</v>
      </c>
      <c r="K4189">
        <v>1.110803</v>
      </c>
      <c r="L4189">
        <v>215.8228</v>
      </c>
      <c r="M4189">
        <v>0.99985950000000001</v>
      </c>
      <c r="N4189">
        <v>-1.434389E-2</v>
      </c>
      <c r="O4189">
        <v>8.6727920000000003E-3</v>
      </c>
      <c r="P4189">
        <v>0.94300289999999998</v>
      </c>
      <c r="Q4189">
        <v>0.32803929999999998</v>
      </c>
      <c r="R4189">
        <v>-5.5998619999999999E-2</v>
      </c>
      <c r="S4189">
        <v>3.2512509999999999</v>
      </c>
      <c r="T4189">
        <v>-0.29745949999999999</v>
      </c>
      <c r="U4189">
        <v>-0.58226009999999995</v>
      </c>
      <c r="V4189">
        <v>6.4241190000000004E-2</v>
      </c>
      <c r="W4189">
        <v>0.34151219999999999</v>
      </c>
      <c r="X4189">
        <v>0.93767929999999999</v>
      </c>
      <c r="Y4189">
        <v>0.1839249</v>
      </c>
      <c r="Z4189">
        <v>-1.0325569999999999E-2</v>
      </c>
      <c r="AA4189">
        <v>0.98288609999999998</v>
      </c>
      <c r="AB4189">
        <v>31</v>
      </c>
      <c r="AC4189">
        <v>11.819100000000001</v>
      </c>
      <c r="AD4189">
        <v>-1.1108012146670001</v>
      </c>
      <c r="AE4189">
        <v>-2.17709999999999</v>
      </c>
      <c r="AF4189">
        <v>2.2602240552313799</v>
      </c>
      <c r="AG4189">
        <v>-1.1108012146670001</v>
      </c>
      <c r="AH4189">
        <v>11.699819853859101</v>
      </c>
      <c r="AI4189">
        <v>95.325619477569802</v>
      </c>
      <c r="AJ4189">
        <v>79.066034109807802</v>
      </c>
      <c r="AK4189">
        <v>11.967801666601501</v>
      </c>
      <c r="AL4189">
        <v>70.030967552456204</v>
      </c>
      <c r="AM4189">
        <v>86.080742741534905</v>
      </c>
      <c r="AN4189">
        <v>0.99999999144497298</v>
      </c>
    </row>
    <row r="4190" spans="1:40" x14ac:dyDescent="0.25">
      <c r="A4190" t="str">
        <f>"20190304164934386"</f>
        <v>20190304164934386</v>
      </c>
      <c r="B4190" t="str">
        <f>"1551689374379796"</f>
        <v>1551689374379796</v>
      </c>
      <c r="C4190" t="s">
        <v>40</v>
      </c>
      <c r="D4190">
        <v>3.8532169999999999</v>
      </c>
      <c r="E4190">
        <v>0.56472109999999998</v>
      </c>
      <c r="F4190" t="s">
        <v>46</v>
      </c>
      <c r="G4190">
        <v>-215.95869999999999</v>
      </c>
      <c r="H4190" s="1">
        <v>1.67595E-6</v>
      </c>
      <c r="I4190">
        <v>213.6601</v>
      </c>
      <c r="J4190">
        <v>-227.68600000000001</v>
      </c>
      <c r="K4190">
        <v>1.1108049999999901</v>
      </c>
      <c r="L4190">
        <v>215.8253</v>
      </c>
      <c r="M4190">
        <v>0.99986030000000004</v>
      </c>
      <c r="N4190">
        <v>-1.43406E-2</v>
      </c>
      <c r="O4190">
        <v>8.5994109999999995E-3</v>
      </c>
      <c r="P4190">
        <v>0.94303519999999996</v>
      </c>
      <c r="Q4190">
        <v>0.32759429999999901</v>
      </c>
      <c r="R4190">
        <v>-5.8025390000000003E-2</v>
      </c>
      <c r="S4190">
        <v>3.2510829999999999</v>
      </c>
      <c r="T4190">
        <v>-0.30035519999999999</v>
      </c>
      <c r="U4190">
        <v>-0.58477780000000001</v>
      </c>
      <c r="V4190">
        <v>6.6200499999999995E-2</v>
      </c>
      <c r="W4190">
        <v>0.34106350000000002</v>
      </c>
      <c r="X4190">
        <v>0.93770640000000005</v>
      </c>
      <c r="Y4190">
        <v>0.18457979999999999</v>
      </c>
      <c r="Z4190">
        <v>-1.0442689999999999E-2</v>
      </c>
      <c r="AA4190">
        <v>0.98276200000000002</v>
      </c>
      <c r="AB4190">
        <v>31</v>
      </c>
      <c r="AC4190">
        <v>11.7272999999999</v>
      </c>
      <c r="AD4190">
        <v>-1.1108033240499999</v>
      </c>
      <c r="AE4190">
        <v>-2.1651999999999898</v>
      </c>
      <c r="AF4190">
        <v>2.2464875731204601</v>
      </c>
      <c r="AG4190">
        <v>-1.1108033240499999</v>
      </c>
      <c r="AH4190">
        <v>11.6075376357498</v>
      </c>
      <c r="AI4190">
        <v>95.367372452919298</v>
      </c>
      <c r="AJ4190">
        <v>79.046568317601199</v>
      </c>
      <c r="AK4190">
        <v>11.874995596052001</v>
      </c>
      <c r="AL4190">
        <v>70.058319662189803</v>
      </c>
      <c r="AM4190">
        <v>85.961714219922698</v>
      </c>
      <c r="AN4190">
        <v>1.0000000549167201</v>
      </c>
    </row>
    <row r="4191" spans="1:40" x14ac:dyDescent="0.25">
      <c r="A4191" t="str">
        <f>"20190304164934409"</f>
        <v>20190304164934409</v>
      </c>
      <c r="B4191" t="str">
        <f>"1551689374400293"</f>
        <v>1551689374400293</v>
      </c>
      <c r="C4191" t="s">
        <v>40</v>
      </c>
      <c r="D4191">
        <v>3.8138040000000002</v>
      </c>
      <c r="E4191">
        <v>0.56489219999999996</v>
      </c>
      <c r="F4191" t="s">
        <v>46</v>
      </c>
      <c r="G4191">
        <v>-215.74180000000001</v>
      </c>
      <c r="H4191" s="1">
        <v>1.560939E-6</v>
      </c>
      <c r="I4191">
        <v>213.65020000000001</v>
      </c>
      <c r="J4191">
        <v>-227.37549999999999</v>
      </c>
      <c r="K4191">
        <v>1.110798</v>
      </c>
      <c r="L4191">
        <v>215.8278</v>
      </c>
      <c r="M4191">
        <v>0.99986109999999995</v>
      </c>
      <c r="N4191">
        <v>-1.43372E-2</v>
      </c>
      <c r="O4191">
        <v>8.5141209999999995E-3</v>
      </c>
      <c r="P4191">
        <v>0.94329110000000005</v>
      </c>
      <c r="Q4191">
        <v>0.3265112</v>
      </c>
      <c r="R4191">
        <v>-5.9938320000000003E-2</v>
      </c>
      <c r="S4191">
        <v>3.2498170000000002</v>
      </c>
      <c r="T4191">
        <v>-0.3022319</v>
      </c>
      <c r="U4191">
        <v>-0.59181209999999995</v>
      </c>
      <c r="V4191">
        <v>6.8038989999999994E-2</v>
      </c>
      <c r="W4191">
        <v>0.3399799</v>
      </c>
      <c r="X4191">
        <v>0.93796820000000003</v>
      </c>
      <c r="Y4191">
        <v>0.1866015</v>
      </c>
      <c r="Z4191">
        <v>-1.060298E-2</v>
      </c>
      <c r="AA4191">
        <v>0.98237850000000004</v>
      </c>
      <c r="AB4191">
        <v>31</v>
      </c>
      <c r="AC4191">
        <v>11.6336999999999</v>
      </c>
      <c r="AD4191">
        <v>-1.1107964390609999</v>
      </c>
      <c r="AE4191">
        <v>-2.17759999999998</v>
      </c>
      <c r="AF4191">
        <v>2.2567048839780401</v>
      </c>
      <c r="AG4191">
        <v>-1.1107964390609999</v>
      </c>
      <c r="AH4191">
        <v>11.5133265435796</v>
      </c>
      <c r="AI4191">
        <v>95.408505860625297</v>
      </c>
      <c r="AJ4191">
        <v>78.910159342595804</v>
      </c>
      <c r="AK4191">
        <v>11.7848747876885</v>
      </c>
      <c r="AL4191">
        <v>70.124350326279796</v>
      </c>
      <c r="AM4191">
        <v>85.851105662633202</v>
      </c>
      <c r="AN4191">
        <v>0.99999999038773502</v>
      </c>
    </row>
    <row r="4192" spans="1:40" x14ac:dyDescent="0.25">
      <c r="A4192" t="str">
        <f>"20190304164934431"</f>
        <v>20190304164934431</v>
      </c>
      <c r="B4192" t="str">
        <f>"1551689374419812"</f>
        <v>1551689374419812</v>
      </c>
      <c r="C4192" t="s">
        <v>40</v>
      </c>
      <c r="D4192">
        <v>3.7827039999999998</v>
      </c>
      <c r="E4192">
        <v>0.56507350000000001</v>
      </c>
      <c r="F4192" t="s">
        <v>46</v>
      </c>
      <c r="G4192">
        <v>-215.60239999999999</v>
      </c>
      <c r="H4192" s="1">
        <v>1.486596E-6</v>
      </c>
      <c r="I4192">
        <v>213.65369999999999</v>
      </c>
      <c r="J4192">
        <v>-227.06720000000001</v>
      </c>
      <c r="K4192">
        <v>1.1107830000000001</v>
      </c>
      <c r="L4192">
        <v>215.8304</v>
      </c>
      <c r="M4192">
        <v>0.99986200000000003</v>
      </c>
      <c r="N4192">
        <v>-1.433386E-2</v>
      </c>
      <c r="O4192">
        <v>8.4167879999999997E-3</v>
      </c>
      <c r="P4192">
        <v>0.94339090000000003</v>
      </c>
      <c r="Q4192">
        <v>0.32595950000000001</v>
      </c>
      <c r="R4192">
        <v>-6.1354249999999999E-2</v>
      </c>
      <c r="S4192">
        <v>3.2483219999999999</v>
      </c>
      <c r="T4192">
        <v>-0.30647970000000002</v>
      </c>
      <c r="U4192">
        <v>-0.59986879999999998</v>
      </c>
      <c r="V4192">
        <v>6.9370719999999997E-2</v>
      </c>
      <c r="W4192">
        <v>0.33942470000000002</v>
      </c>
      <c r="X4192">
        <v>0.93807169999999895</v>
      </c>
      <c r="Y4192">
        <v>0.1889062</v>
      </c>
      <c r="Z4192">
        <v>-1.085303E-2</v>
      </c>
      <c r="AA4192">
        <v>0.98193509999999995</v>
      </c>
      <c r="AB4192">
        <v>31</v>
      </c>
      <c r="AC4192">
        <v>11.4648</v>
      </c>
      <c r="AD4192">
        <v>-1.110781513404</v>
      </c>
      <c r="AE4192">
        <v>-2.1767000000000101</v>
      </c>
      <c r="AF4192">
        <v>2.2527191450433399</v>
      </c>
      <c r="AG4192">
        <v>-1.110781513404</v>
      </c>
      <c r="AH4192">
        <v>11.3432968571953</v>
      </c>
      <c r="AI4192">
        <v>95.486332255007298</v>
      </c>
      <c r="AJ4192">
        <v>78.767506857672601</v>
      </c>
      <c r="AK4192">
        <v>11.6180447024197</v>
      </c>
      <c r="AL4192">
        <v>70.158171789719603</v>
      </c>
      <c r="AM4192">
        <v>85.770656088571997</v>
      </c>
      <c r="AN4192">
        <v>0.99999996905214805</v>
      </c>
    </row>
    <row r="4193" spans="1:40" x14ac:dyDescent="0.25">
      <c r="A4193" t="str">
        <f>"20190304164934454"</f>
        <v>20190304164934454</v>
      </c>
      <c r="B4193" t="str">
        <f>"1551689374450340"</f>
        <v>1551689374450340</v>
      </c>
      <c r="C4193" t="s">
        <v>40</v>
      </c>
      <c r="D4193">
        <v>3.7920729999999998</v>
      </c>
      <c r="E4193">
        <v>0.56532309999999997</v>
      </c>
      <c r="F4193" t="s">
        <v>46</v>
      </c>
      <c r="G4193">
        <v>-215.36279999999999</v>
      </c>
      <c r="H4193" s="1">
        <v>1.359811E-6</v>
      </c>
      <c r="I4193">
        <v>213.63759999999999</v>
      </c>
      <c r="J4193">
        <v>-226.75620000000001</v>
      </c>
      <c r="K4193">
        <v>1.1107750000000001</v>
      </c>
      <c r="L4193">
        <v>215.83279999999999</v>
      </c>
      <c r="M4193">
        <v>0.99986299999999995</v>
      </c>
      <c r="N4193">
        <v>-1.4330529999999999E-2</v>
      </c>
      <c r="O4193">
        <v>8.2995800000000008E-3</v>
      </c>
      <c r="P4193">
        <v>0.94339360000000005</v>
      </c>
      <c r="Q4193">
        <v>0.32567659999999998</v>
      </c>
      <c r="R4193">
        <v>-6.2799779999999999E-2</v>
      </c>
      <c r="S4193">
        <v>3.2468870000000001</v>
      </c>
      <c r="T4193">
        <v>-0.30813790000000002</v>
      </c>
      <c r="U4193">
        <v>-0.60829160000000004</v>
      </c>
      <c r="V4193">
        <v>7.0716490000000007E-2</v>
      </c>
      <c r="W4193">
        <v>0.3391363</v>
      </c>
      <c r="X4193">
        <v>0.93807549999999995</v>
      </c>
      <c r="Y4193">
        <v>0.19130829999999999</v>
      </c>
      <c r="Z4193">
        <v>-1.10276E-2</v>
      </c>
      <c r="AA4193">
        <v>0.98146800000000001</v>
      </c>
      <c r="AB4193">
        <v>31</v>
      </c>
      <c r="AC4193">
        <v>11.3934</v>
      </c>
      <c r="AD4193">
        <v>-1.110773640189</v>
      </c>
      <c r="AE4193">
        <v>-2.1951999999999998</v>
      </c>
      <c r="AF4193">
        <v>2.2689009069837001</v>
      </c>
      <c r="AG4193">
        <v>-1.110773640189</v>
      </c>
      <c r="AH4193">
        <v>11.2714875549247</v>
      </c>
      <c r="AI4193">
        <v>95.518182410221698</v>
      </c>
      <c r="AJ4193">
        <v>78.618707746103297</v>
      </c>
      <c r="AK4193">
        <v>11.551110816985201</v>
      </c>
      <c r="AL4193">
        <v>70.175737379137203</v>
      </c>
      <c r="AM4193">
        <v>85.688931951131195</v>
      </c>
      <c r="AN4193">
        <v>0.999999947817928</v>
      </c>
    </row>
    <row r="4194" spans="1:40" x14ac:dyDescent="0.25">
      <c r="A4194" t="str">
        <f>"20190304164934477"</f>
        <v>20190304164934477</v>
      </c>
      <c r="B4194" t="str">
        <f>"1551689374469864"</f>
        <v>1551689374469864</v>
      </c>
      <c r="C4194" t="s">
        <v>40</v>
      </c>
      <c r="D4194">
        <v>3.778556</v>
      </c>
      <c r="E4194">
        <v>0.56549439999999995</v>
      </c>
      <c r="F4194" t="s">
        <v>46</v>
      </c>
      <c r="G4194">
        <v>-215.10820000000001</v>
      </c>
      <c r="H4194" s="1">
        <v>1.2250149999999999E-6</v>
      </c>
      <c r="I4194">
        <v>213.62200000000001</v>
      </c>
      <c r="J4194">
        <v>-226.4453</v>
      </c>
      <c r="K4194">
        <v>1.1107549999999999</v>
      </c>
      <c r="L4194">
        <v>215.83529999999999</v>
      </c>
      <c r="M4194">
        <v>0.99986419999999998</v>
      </c>
      <c r="N4194">
        <v>-1.432727E-2</v>
      </c>
      <c r="O4194">
        <v>8.1516739999999994E-3</v>
      </c>
      <c r="P4194">
        <v>0.94334799999999996</v>
      </c>
      <c r="Q4194">
        <v>0.32557839999999999</v>
      </c>
      <c r="R4194">
        <v>-6.3979309999999998E-2</v>
      </c>
      <c r="S4194">
        <v>3.2458800000000001</v>
      </c>
      <c r="T4194">
        <v>-0.3095328</v>
      </c>
      <c r="U4194">
        <v>-0.6160736</v>
      </c>
      <c r="V4194">
        <v>7.1772719999999998E-2</v>
      </c>
      <c r="W4194">
        <v>0.33903040000000001</v>
      </c>
      <c r="X4194">
        <v>0.93803360000000002</v>
      </c>
      <c r="Y4194">
        <v>0.19347110000000001</v>
      </c>
      <c r="Z4194">
        <v>-1.117829E-2</v>
      </c>
      <c r="AA4194">
        <v>0.98104230000000003</v>
      </c>
      <c r="AB4194">
        <v>31</v>
      </c>
      <c r="AC4194">
        <v>11.3370999999999</v>
      </c>
      <c r="AD4194">
        <v>-1.1107537749849901</v>
      </c>
      <c r="AE4194">
        <v>-2.2132999999999701</v>
      </c>
      <c r="AF4194">
        <v>2.2845279205892699</v>
      </c>
      <c r="AG4194">
        <v>-1.1107537749849901</v>
      </c>
      <c r="AH4194">
        <v>11.214977729363</v>
      </c>
      <c r="AI4194">
        <v>95.543135300535596</v>
      </c>
      <c r="AJ4194">
        <v>78.486191281057799</v>
      </c>
      <c r="AK4194">
        <v>11.499068103055199</v>
      </c>
      <c r="AL4194">
        <v>70.182187877819402</v>
      </c>
      <c r="AM4194">
        <v>85.624594840796505</v>
      </c>
      <c r="AN4194">
        <v>0.99999998509465904</v>
      </c>
    </row>
    <row r="4195" spans="1:40" x14ac:dyDescent="0.25">
      <c r="A4195" t="str">
        <f>"20190304164934498"</f>
        <v>20190304164934498</v>
      </c>
      <c r="B4195" t="str">
        <f>"1551689374490357"</f>
        <v>1551689374490357</v>
      </c>
      <c r="C4195" t="s">
        <v>40</v>
      </c>
      <c r="D4195">
        <v>3.7625630000000001</v>
      </c>
      <c r="E4195">
        <v>0.56565149999999997</v>
      </c>
      <c r="F4195" t="s">
        <v>46</v>
      </c>
      <c r="G4195">
        <v>-214.82400000000001</v>
      </c>
      <c r="H4195" s="1">
        <v>1.0742649999999999E-6</v>
      </c>
      <c r="I4195">
        <v>213.61009999999999</v>
      </c>
      <c r="J4195">
        <v>-226.14699999999999</v>
      </c>
      <c r="K4195">
        <v>1.110727</v>
      </c>
      <c r="L4195">
        <v>215.83750000000001</v>
      </c>
      <c r="M4195">
        <v>0.99986569999999997</v>
      </c>
      <c r="N4195">
        <v>-1.4324170000000001E-2</v>
      </c>
      <c r="O4195">
        <v>7.9730830000000006E-3</v>
      </c>
      <c r="P4195">
        <v>0.94328710000000004</v>
      </c>
      <c r="Q4195">
        <v>0.32573990000000003</v>
      </c>
      <c r="R4195">
        <v>-6.405632E-2</v>
      </c>
      <c r="S4195">
        <v>3.2450869999999998</v>
      </c>
      <c r="T4195">
        <v>-0.3101603</v>
      </c>
      <c r="U4195">
        <v>-0.62135309999999999</v>
      </c>
      <c r="V4195">
        <v>7.170232E-2</v>
      </c>
      <c r="W4195">
        <v>0.33918379999999998</v>
      </c>
      <c r="X4195">
        <v>0.93798360000000003</v>
      </c>
      <c r="Y4195">
        <v>0.1948693</v>
      </c>
      <c r="Z4195">
        <v>-1.126095E-2</v>
      </c>
      <c r="AA4195">
        <v>0.98076459999999999</v>
      </c>
      <c r="AB4195">
        <v>31</v>
      </c>
      <c r="AC4195">
        <v>11.323</v>
      </c>
      <c r="AD4195">
        <v>-1.110725925735</v>
      </c>
      <c r="AE4195">
        <v>-2.22740000000001</v>
      </c>
      <c r="AF4195">
        <v>2.2963441558881801</v>
      </c>
      <c r="AG4195">
        <v>-1.110725925735</v>
      </c>
      <c r="AH4195">
        <v>11.2011110183107</v>
      </c>
      <c r="AI4195">
        <v>95.548402526764605</v>
      </c>
      <c r="AJ4195">
        <v>78.414302395462897</v>
      </c>
      <c r="AK4195">
        <v>11.487897832454101</v>
      </c>
      <c r="AL4195">
        <v>70.172846536766301</v>
      </c>
      <c r="AM4195">
        <v>85.6286378172898</v>
      </c>
      <c r="AN4195">
        <v>1.0000000533723801</v>
      </c>
    </row>
    <row r="4196" spans="1:40" x14ac:dyDescent="0.25">
      <c r="A4196" t="str">
        <f>"20190304164934521"</f>
        <v>20190304164934521</v>
      </c>
      <c r="B4196" t="str">
        <f>"1551689374509876"</f>
        <v>1551689374509876</v>
      </c>
      <c r="C4196" t="s">
        <v>40</v>
      </c>
      <c r="D4196">
        <v>3.7601260000000001</v>
      </c>
      <c r="E4196">
        <v>0.5658166</v>
      </c>
      <c r="F4196" t="s">
        <v>46</v>
      </c>
      <c r="G4196">
        <v>-214.51169999999999</v>
      </c>
      <c r="H4196" s="1">
        <v>9.0835350000000005E-7</v>
      </c>
      <c r="I4196">
        <v>213.6037</v>
      </c>
      <c r="J4196">
        <v>-225.83619999999999</v>
      </c>
      <c r="K4196">
        <v>1.1107049999999901</v>
      </c>
      <c r="L4196">
        <v>215.8398</v>
      </c>
      <c r="M4196">
        <v>0.99986739999999996</v>
      </c>
      <c r="N4196">
        <v>-1.4320950000000001E-2</v>
      </c>
      <c r="O4196">
        <v>7.7524839999999996E-3</v>
      </c>
      <c r="P4196">
        <v>0.94318639999999998</v>
      </c>
      <c r="Q4196">
        <v>0.3259957</v>
      </c>
      <c r="R4196">
        <v>-6.4235509999999996E-2</v>
      </c>
      <c r="S4196">
        <v>3.2450100000000002</v>
      </c>
      <c r="T4196">
        <v>-0.30977440000000001</v>
      </c>
      <c r="U4196">
        <v>-0.62300109999999997</v>
      </c>
      <c r="V4196">
        <v>7.1696640000000006E-2</v>
      </c>
      <c r="W4196">
        <v>0.33943010000000001</v>
      </c>
      <c r="X4196">
        <v>0.93789489999999998</v>
      </c>
      <c r="Y4196">
        <v>0.19513939999999999</v>
      </c>
      <c r="Z4196">
        <v>-1.1245140000000001E-2</v>
      </c>
      <c r="AA4196">
        <v>0.980711</v>
      </c>
      <c r="AB4196">
        <v>31</v>
      </c>
      <c r="AC4196">
        <v>11.3245</v>
      </c>
      <c r="AD4196">
        <v>-1.1107040916465001</v>
      </c>
      <c r="AE4196">
        <v>-2.2360999999999902</v>
      </c>
      <c r="AF4196">
        <v>2.30251660422361</v>
      </c>
      <c r="AG4196">
        <v>-1.1107040916465001</v>
      </c>
      <c r="AH4196">
        <v>11.2030969644485</v>
      </c>
      <c r="AI4196">
        <v>95.546757982501802</v>
      </c>
      <c r="AJ4196">
        <v>78.386009122557894</v>
      </c>
      <c r="AK4196">
        <v>11.491067308425301</v>
      </c>
      <c r="AL4196">
        <v>70.157843964031301</v>
      </c>
      <c r="AM4196">
        <v>85.628570978713995</v>
      </c>
      <c r="AN4196">
        <v>1.0000000222096499</v>
      </c>
    </row>
    <row r="4197" spans="1:40" x14ac:dyDescent="0.25">
      <c r="A4197" t="str">
        <f>"20190304164934544"</f>
        <v>20190304164934544</v>
      </c>
      <c r="B4197" t="str">
        <f>"1551689374540132"</f>
        <v>1551689374540132</v>
      </c>
      <c r="C4197" t="s">
        <v>40</v>
      </c>
      <c r="D4197">
        <v>3.788459</v>
      </c>
      <c r="E4197">
        <v>0.56606650000000003</v>
      </c>
      <c r="F4197" t="s">
        <v>46</v>
      </c>
      <c r="G4197">
        <v>-214.1754</v>
      </c>
      <c r="H4197" s="1">
        <v>7.2983509999999898E-7</v>
      </c>
      <c r="I4197">
        <v>213.5934</v>
      </c>
      <c r="J4197">
        <v>-225.52289999999999</v>
      </c>
      <c r="K4197">
        <v>1.110676</v>
      </c>
      <c r="L4197">
        <v>215.84190000000001</v>
      </c>
      <c r="M4197">
        <v>0.99986949999999997</v>
      </c>
      <c r="N4197">
        <v>-1.4317720000000001E-2</v>
      </c>
      <c r="O4197">
        <v>7.4872599999999999E-3</v>
      </c>
      <c r="P4197">
        <v>0.94312240000000003</v>
      </c>
      <c r="Q4197">
        <v>0.32608419999999999</v>
      </c>
      <c r="R4197">
        <v>-6.472617E-2</v>
      </c>
      <c r="S4197">
        <v>3.2449490000000001</v>
      </c>
      <c r="T4197">
        <v>-0.309085</v>
      </c>
      <c r="U4197">
        <v>-0.62510679999999996</v>
      </c>
      <c r="V4197">
        <v>7.1962289999999998E-2</v>
      </c>
      <c r="W4197">
        <v>0.33950950000000002</v>
      </c>
      <c r="X4197">
        <v>0.93784579999999995</v>
      </c>
      <c r="Y4197">
        <v>0.1954997</v>
      </c>
      <c r="Z4197">
        <v>-1.1220829999999999E-2</v>
      </c>
      <c r="AA4197">
        <v>0.98063959999999994</v>
      </c>
      <c r="AB4197">
        <v>31</v>
      </c>
      <c r="AC4197">
        <v>11.347499999999901</v>
      </c>
      <c r="AD4197">
        <v>-1.1106752701649001</v>
      </c>
      <c r="AE4197">
        <v>-2.2484999999999999</v>
      </c>
      <c r="AF4197">
        <v>2.31209390147988</v>
      </c>
      <c r="AG4197">
        <v>-1.1106752701649001</v>
      </c>
      <c r="AH4197">
        <v>11.2268531443108</v>
      </c>
      <c r="AI4197">
        <v>95.534497194984596</v>
      </c>
      <c r="AJ4197">
        <v>78.363022315494703</v>
      </c>
      <c r="AK4197">
        <v>11.5161455916873</v>
      </c>
      <c r="AL4197">
        <v>70.153007183476603</v>
      </c>
      <c r="AM4197">
        <v>85.612208304491901</v>
      </c>
      <c r="AN4197">
        <v>1.00000000817496</v>
      </c>
    </row>
    <row r="4198" spans="1:40" x14ac:dyDescent="0.25">
      <c r="A4198" t="str">
        <f>"20190304164934566"</f>
        <v>20190304164934566</v>
      </c>
      <c r="B4198" t="str">
        <f>"1551689374560163"</f>
        <v>1551689374560163</v>
      </c>
      <c r="C4198" t="s">
        <v>40</v>
      </c>
      <c r="D4198">
        <v>3.6953260000000001</v>
      </c>
      <c r="E4198">
        <v>0.56628440000000002</v>
      </c>
      <c r="F4198" t="s">
        <v>46</v>
      </c>
      <c r="G4198">
        <v>-213.88210000000001</v>
      </c>
      <c r="H4198" s="1">
        <v>5.7397630000000003E-7</v>
      </c>
      <c r="I4198">
        <v>213.58930000000001</v>
      </c>
      <c r="J4198">
        <v>-225.20500000000001</v>
      </c>
      <c r="K4198">
        <v>1.1106339999999999</v>
      </c>
      <c r="L4198">
        <v>215.84399999999999</v>
      </c>
      <c r="M4198">
        <v>0.99987199999999998</v>
      </c>
      <c r="N4198">
        <v>-1.4314500000000001E-2</v>
      </c>
      <c r="O4198">
        <v>7.1627990000000001E-3</v>
      </c>
      <c r="P4198">
        <v>0.94325579999999998</v>
      </c>
      <c r="Q4198">
        <v>0.32559939999999998</v>
      </c>
      <c r="R4198">
        <v>-6.522116E-2</v>
      </c>
      <c r="S4198">
        <v>3.2448730000000001</v>
      </c>
      <c r="T4198">
        <v>-0.30959999999999999</v>
      </c>
      <c r="U4198">
        <v>-0.62791439999999998</v>
      </c>
      <c r="V4198">
        <v>7.2182739999999995E-2</v>
      </c>
      <c r="W4198">
        <v>0.33901740000000002</v>
      </c>
      <c r="X4198">
        <v>0.93800689999999998</v>
      </c>
      <c r="Y4198">
        <v>0.19599929999999999</v>
      </c>
      <c r="Z4198">
        <v>-1.123769E-2</v>
      </c>
      <c r="AA4198">
        <v>0.98053959999999996</v>
      </c>
      <c r="AB4198">
        <v>31</v>
      </c>
      <c r="AC4198">
        <v>11.322900000000001</v>
      </c>
      <c r="AD4198">
        <v>-1.1106334260236901</v>
      </c>
      <c r="AE4198">
        <v>-2.2547000000000099</v>
      </c>
      <c r="AF4198">
        <v>2.3143368013780998</v>
      </c>
      <c r="AG4198">
        <v>-1.1106334260236901</v>
      </c>
      <c r="AH4198">
        <v>11.2027851912475</v>
      </c>
      <c r="AI4198">
        <v>95.545405008364796</v>
      </c>
      <c r="AJ4198">
        <v>78.327703512453795</v>
      </c>
      <c r="AK4198">
        <v>11.493130882333499</v>
      </c>
      <c r="AL4198">
        <v>70.182980847064599</v>
      </c>
      <c r="AM4198">
        <v>85.599572353255297</v>
      </c>
      <c r="AN4198">
        <v>1.00000004495213</v>
      </c>
    </row>
    <row r="4199" spans="1:40" x14ac:dyDescent="0.25">
      <c r="A4199" t="str">
        <f>"20190304164934585"</f>
        <v>20190304164934585</v>
      </c>
      <c r="B4199" t="str">
        <f>"1551689374579679"</f>
        <v>1551689374579679</v>
      </c>
      <c r="C4199" t="s">
        <v>40</v>
      </c>
      <c r="D4199">
        <v>3.8073679999999999</v>
      </c>
      <c r="E4199">
        <v>0.56652499999999995</v>
      </c>
      <c r="F4199" t="s">
        <v>46</v>
      </c>
      <c r="G4199">
        <v>-213.60929999999999</v>
      </c>
      <c r="H4199" s="1">
        <v>4.2886360000000003E-7</v>
      </c>
      <c r="I4199">
        <v>213.5882</v>
      </c>
      <c r="J4199">
        <v>-224.95699999999999</v>
      </c>
      <c r="K4199">
        <v>1.110603</v>
      </c>
      <c r="L4199">
        <v>215.84549999999999</v>
      </c>
      <c r="M4199">
        <v>0.99987409999999999</v>
      </c>
      <c r="N4199">
        <v>-1.431201E-2</v>
      </c>
      <c r="O4199">
        <v>6.8643609999999898E-3</v>
      </c>
      <c r="P4199">
        <v>0.94330820000000004</v>
      </c>
      <c r="Q4199">
        <v>0.32536859999999901</v>
      </c>
      <c r="R4199">
        <v>-6.5615149999999997E-2</v>
      </c>
      <c r="S4199">
        <v>3.2441249999999999</v>
      </c>
      <c r="T4199">
        <v>-0.31072329999999998</v>
      </c>
      <c r="U4199">
        <v>-0.63108830000000005</v>
      </c>
      <c r="V4199">
        <v>7.2323830000000006E-2</v>
      </c>
      <c r="W4199">
        <v>0.3387792</v>
      </c>
      <c r="X4199">
        <v>0.93808199999999997</v>
      </c>
      <c r="Y4199">
        <v>0.1966638</v>
      </c>
      <c r="Z4199">
        <v>-1.128701E-2</v>
      </c>
      <c r="AA4199">
        <v>0.980406</v>
      </c>
      <c r="AB4199">
        <v>31</v>
      </c>
      <c r="AC4199">
        <v>11.3477</v>
      </c>
      <c r="AD4199">
        <v>-1.1106025711364</v>
      </c>
      <c r="AE4199">
        <v>-2.2572999999999799</v>
      </c>
      <c r="AF4199">
        <v>2.3138298686221299</v>
      </c>
      <c r="AG4199">
        <v>-1.1106025711364</v>
      </c>
      <c r="AH4199">
        <v>11.228476938845001</v>
      </c>
      <c r="AI4199">
        <v>95.5332061953725</v>
      </c>
      <c r="AJ4199">
        <v>78.356161710618096</v>
      </c>
      <c r="AK4199">
        <v>11.518070198523599</v>
      </c>
      <c r="AL4199">
        <v>70.197485402268399</v>
      </c>
      <c r="AM4199">
        <v>85.591356639678395</v>
      </c>
      <c r="AN4199">
        <v>0.99999996073125297</v>
      </c>
    </row>
    <row r="4200" spans="1:40" x14ac:dyDescent="0.25">
      <c r="A4200" t="str">
        <f>"20190304164934599"</f>
        <v>20190304164934599</v>
      </c>
      <c r="B4200" t="str">
        <f>"1551689374590415"</f>
        <v>1551689374590415</v>
      </c>
      <c r="C4200" t="s">
        <v>40</v>
      </c>
      <c r="D4200">
        <v>3.8159070000000002</v>
      </c>
      <c r="E4200">
        <v>0.56660219999999994</v>
      </c>
      <c r="F4200" t="s">
        <v>46</v>
      </c>
      <c r="G4200">
        <v>-213.3776</v>
      </c>
      <c r="H4200" s="1">
        <v>3.057885E-7</v>
      </c>
      <c r="I4200">
        <v>213.5831</v>
      </c>
      <c r="J4200">
        <v>-224.76429999999999</v>
      </c>
      <c r="K4200">
        <v>1.110579</v>
      </c>
      <c r="L4200">
        <v>215.84649999999999</v>
      </c>
      <c r="M4200">
        <v>0.99987590000000004</v>
      </c>
      <c r="N4200">
        <v>-1.4310089999999999E-2</v>
      </c>
      <c r="O4200">
        <v>6.6056329999999996E-3</v>
      </c>
      <c r="P4200">
        <v>0.94288839999999996</v>
      </c>
      <c r="Q4200">
        <v>0.32634920000000001</v>
      </c>
      <c r="R4200">
        <v>-6.6768049999999995E-2</v>
      </c>
      <c r="S4200">
        <v>3.2435459999999998</v>
      </c>
      <c r="T4200">
        <v>-0.31109629999999999</v>
      </c>
      <c r="U4200">
        <v>-0.63372799999999996</v>
      </c>
      <c r="V4200">
        <v>7.3255529999999999E-2</v>
      </c>
      <c r="W4200">
        <v>0.33974579999999999</v>
      </c>
      <c r="X4200">
        <v>0.9376601</v>
      </c>
      <c r="Y4200">
        <v>0.1972072</v>
      </c>
      <c r="Z4200">
        <v>-1.130867E-2</v>
      </c>
      <c r="AA4200">
        <v>0.98029659999999996</v>
      </c>
      <c r="AB4200">
        <v>31</v>
      </c>
      <c r="AC4200">
        <v>11.3866999999999</v>
      </c>
      <c r="AD4200">
        <v>-1.1105786942114999</v>
      </c>
      <c r="AE4200">
        <v>-2.2633999999999901</v>
      </c>
      <c r="AF4200">
        <v>2.3173681862064601</v>
      </c>
      <c r="AG4200">
        <v>-1.1105786942114999</v>
      </c>
      <c r="AH4200">
        <v>11.2683806777369</v>
      </c>
      <c r="AI4200">
        <v>95.514064991456706</v>
      </c>
      <c r="AJ4200">
        <v>78.379012705394601</v>
      </c>
      <c r="AK4200">
        <v>11.557680712187601</v>
      </c>
      <c r="AL4200">
        <v>70.138612865443505</v>
      </c>
      <c r="AM4200">
        <v>85.532790244394803</v>
      </c>
      <c r="AN4200">
        <v>1.00000002221261</v>
      </c>
    </row>
    <row r="4201" spans="1:40" x14ac:dyDescent="0.25">
      <c r="A4201" t="str">
        <f>"20190304164934617"</f>
        <v>20190304164934617</v>
      </c>
      <c r="B4201" t="str">
        <f>"1551689374609934"</f>
        <v>1551689374609934</v>
      </c>
      <c r="C4201" t="s">
        <v>40</v>
      </c>
      <c r="D4201">
        <v>3.7825169999999999</v>
      </c>
      <c r="E4201">
        <v>0.56684119999999905</v>
      </c>
      <c r="F4201" t="s">
        <v>46</v>
      </c>
      <c r="G4201">
        <v>-213.089</v>
      </c>
      <c r="H4201" s="1">
        <v>1.5350320000000001E-7</v>
      </c>
      <c r="I4201">
        <v>213.55269999999999</v>
      </c>
      <c r="J4201">
        <v>-224.5069</v>
      </c>
      <c r="K4201">
        <v>1.1105370000000001</v>
      </c>
      <c r="L4201">
        <v>215.84780000000001</v>
      </c>
      <c r="M4201">
        <v>0.9998785</v>
      </c>
      <c r="N4201">
        <v>-1.430765E-2</v>
      </c>
      <c r="O4201">
        <v>6.2159909999999997E-3</v>
      </c>
      <c r="P4201">
        <v>0.94267009999999996</v>
      </c>
      <c r="Q4201">
        <v>0.32681500000000002</v>
      </c>
      <c r="R4201">
        <v>-6.7566899999999999E-2</v>
      </c>
      <c r="S4201">
        <v>3.2433779999999999</v>
      </c>
      <c r="T4201">
        <v>-0.3085154</v>
      </c>
      <c r="U4201">
        <v>-0.63722230000000002</v>
      </c>
      <c r="V4201">
        <v>7.3722969999999999E-2</v>
      </c>
      <c r="W4201">
        <v>0.34019880000000002</v>
      </c>
      <c r="X4201">
        <v>0.93745919999999905</v>
      </c>
      <c r="Y4201">
        <v>0.19786590000000001</v>
      </c>
      <c r="Z4201">
        <v>-1.1230240000000001E-2</v>
      </c>
      <c r="AA4201">
        <v>0.98016479999999995</v>
      </c>
      <c r="AB4201">
        <v>31</v>
      </c>
      <c r="AC4201">
        <v>11.4178999999999</v>
      </c>
      <c r="AD4201">
        <v>-1.1105368464968</v>
      </c>
      <c r="AE4201">
        <v>-2.2951000000000099</v>
      </c>
      <c r="AF4201">
        <v>2.3447167422290902</v>
      </c>
      <c r="AG4201">
        <v>-1.1105368464968</v>
      </c>
      <c r="AH4201">
        <v>11.3006584812208</v>
      </c>
      <c r="AI4201">
        <v>95.496222323685203</v>
      </c>
      <c r="AJ4201">
        <v>78.278304852901002</v>
      </c>
      <c r="AK4201">
        <v>11.594648368877101</v>
      </c>
      <c r="AL4201">
        <v>70.111014034554202</v>
      </c>
      <c r="AM4201">
        <v>85.503442207615606</v>
      </c>
      <c r="AN4201">
        <v>1.0000000257458499</v>
      </c>
    </row>
    <row r="4202" spans="1:40" x14ac:dyDescent="0.25">
      <c r="A4202" t="str">
        <f>"20190304164934632"</f>
        <v>20190304164934632</v>
      </c>
      <c r="B4202" t="str">
        <f>"1551689374619695"</f>
        <v>1551689374619695</v>
      </c>
      <c r="C4202" t="s">
        <v>40</v>
      </c>
      <c r="D4202">
        <v>3.7959610000000001</v>
      </c>
      <c r="E4202">
        <v>0.56684119999999905</v>
      </c>
      <c r="F4202" t="s">
        <v>46</v>
      </c>
      <c r="G4202">
        <v>-212.76390000000001</v>
      </c>
      <c r="H4202" s="1">
        <v>-1.8296149999999999E-8</v>
      </c>
      <c r="I4202">
        <v>213.52600000000001</v>
      </c>
      <c r="J4202">
        <v>-224.30369999999999</v>
      </c>
      <c r="K4202">
        <v>1.110509</v>
      </c>
      <c r="L4202">
        <v>215.84880000000001</v>
      </c>
      <c r="M4202">
        <v>0.99988049999999995</v>
      </c>
      <c r="N4202">
        <v>-1.4305750000000001E-2</v>
      </c>
      <c r="O4202">
        <v>5.8738039999999998E-3</v>
      </c>
      <c r="P4202">
        <v>0.94236679999999995</v>
      </c>
      <c r="Q4202">
        <v>0.32727089999999998</v>
      </c>
      <c r="R4202">
        <v>-6.9561819999999996E-2</v>
      </c>
      <c r="S4202">
        <v>3.2427980000000001</v>
      </c>
      <c r="T4202">
        <v>-0.30667220000000001</v>
      </c>
      <c r="U4202">
        <v>-0.64117429999999997</v>
      </c>
      <c r="V4202">
        <v>7.5424430000000001E-2</v>
      </c>
      <c r="W4202">
        <v>0.3406399</v>
      </c>
      <c r="X4202">
        <v>0.93716359999999999</v>
      </c>
      <c r="Y4202">
        <v>0.1987215</v>
      </c>
      <c r="Z4202">
        <v>-1.1191E-2</v>
      </c>
      <c r="AA4202">
        <v>0.97999210000000003</v>
      </c>
      <c r="AB4202">
        <v>31</v>
      </c>
      <c r="AC4202">
        <v>11.5397999999999</v>
      </c>
      <c r="AD4202">
        <v>-1.1105090182961499</v>
      </c>
      <c r="AE4202">
        <v>-2.32280000000002</v>
      </c>
      <c r="AF4202">
        <v>2.3694607467846298</v>
      </c>
      <c r="AG4202">
        <v>-1.1105090182961499</v>
      </c>
      <c r="AH4202">
        <v>11.424277682040801</v>
      </c>
      <c r="AI4202">
        <v>95.437057163338295</v>
      </c>
      <c r="AJ4202">
        <v>78.282656987332601</v>
      </c>
      <c r="AK4202">
        <v>11.7201405736725</v>
      </c>
      <c r="AL4202">
        <v>70.084134970506</v>
      </c>
      <c r="AM4202">
        <v>85.398661377084807</v>
      </c>
      <c r="AN4202">
        <v>0.99999999963889696</v>
      </c>
    </row>
    <row r="4203" spans="1:40" x14ac:dyDescent="0.25">
      <c r="A4203" t="str">
        <f>"20190304164934650"</f>
        <v>20190304164934650</v>
      </c>
      <c r="B4203" t="str">
        <f>"1551689374640191"</f>
        <v>1551689374640191</v>
      </c>
      <c r="C4203" t="s">
        <v>40</v>
      </c>
      <c r="D4203">
        <v>3.8361969999999999</v>
      </c>
      <c r="E4203">
        <v>0.57654559999999999</v>
      </c>
      <c r="F4203" t="s">
        <v>46</v>
      </c>
      <c r="G4203">
        <v>-212.52070000000001</v>
      </c>
      <c r="H4203" s="1">
        <v>-1.4656939999999999E-7</v>
      </c>
      <c r="I4203">
        <v>213.499</v>
      </c>
      <c r="J4203">
        <v>-224.0592</v>
      </c>
      <c r="K4203">
        <v>1.110463</v>
      </c>
      <c r="L4203">
        <v>215.84970000000001</v>
      </c>
      <c r="M4203">
        <v>0.99988310000000002</v>
      </c>
      <c r="N4203">
        <v>-1.43035E-2</v>
      </c>
      <c r="O4203">
        <v>5.4203319999999999E-3</v>
      </c>
      <c r="P4203">
        <v>0.94226549999999998</v>
      </c>
      <c r="Q4203">
        <v>0.32731789999999999</v>
      </c>
      <c r="R4203">
        <v>-7.0703859999999993E-2</v>
      </c>
      <c r="S4203">
        <v>3.2418369999999999</v>
      </c>
      <c r="T4203">
        <v>-0.30553089999999999</v>
      </c>
      <c r="U4203">
        <v>-0.64648439999999996</v>
      </c>
      <c r="V4203">
        <v>7.6175160000000006E-2</v>
      </c>
      <c r="W4203">
        <v>0.34067540000000002</v>
      </c>
      <c r="X4203">
        <v>0.93708999999999998</v>
      </c>
      <c r="Y4203">
        <v>0.199879</v>
      </c>
      <c r="Z4203">
        <v>-1.1182299999999999E-2</v>
      </c>
      <c r="AA4203">
        <v>0.97975679999999998</v>
      </c>
      <c r="AB4203">
        <v>31</v>
      </c>
      <c r="AC4203">
        <v>11.538500000000001</v>
      </c>
      <c r="AD4203">
        <v>-1.1104631465693999</v>
      </c>
      <c r="AE4203">
        <v>-2.3506999999999798</v>
      </c>
      <c r="AF4203">
        <v>2.3919428011347601</v>
      </c>
      <c r="AG4203">
        <v>-1.1104631465693999</v>
      </c>
      <c r="AH4203">
        <v>11.423993978413</v>
      </c>
      <c r="AI4203">
        <v>95.434838840478093</v>
      </c>
      <c r="AJ4203">
        <v>78.174310829322096</v>
      </c>
      <c r="AK4203">
        <v>11.7244256653623</v>
      </c>
      <c r="AL4203">
        <v>70.081972111525303</v>
      </c>
      <c r="AM4203">
        <v>85.352698603201006</v>
      </c>
      <c r="AN4203">
        <v>1.0000000256330901</v>
      </c>
    </row>
    <row r="4204" spans="1:40" x14ac:dyDescent="0.25">
      <c r="A4204" t="str">
        <f>"20190304164934665"</f>
        <v>20190304164934665</v>
      </c>
      <c r="B4204" t="str">
        <f>"1551689374660217"</f>
        <v>1551689374660217</v>
      </c>
      <c r="C4204" t="s">
        <v>40</v>
      </c>
      <c r="D4204">
        <v>3.8145180000000001</v>
      </c>
      <c r="E4204">
        <v>0.57624849999999905</v>
      </c>
      <c r="F4204" t="s">
        <v>46</v>
      </c>
      <c r="G4204">
        <v>-211.56729999999999</v>
      </c>
      <c r="H4204" s="1">
        <v>-6.3332319999999896E-7</v>
      </c>
      <c r="I4204">
        <v>213.02780000000001</v>
      </c>
      <c r="J4204">
        <v>-223.87479999999999</v>
      </c>
      <c r="K4204">
        <v>1.1104309999999999</v>
      </c>
      <c r="L4204">
        <v>215.8503</v>
      </c>
      <c r="M4204">
        <v>0.99988509999999997</v>
      </c>
      <c r="N4204">
        <v>-1.430182E-2</v>
      </c>
      <c r="O4204">
        <v>5.046142E-3</v>
      </c>
      <c r="P4204">
        <v>0.94226290000000001</v>
      </c>
      <c r="Q4204">
        <v>0.32703450000000001</v>
      </c>
      <c r="R4204">
        <v>-7.2038130000000006E-2</v>
      </c>
      <c r="S4204">
        <v>3.2288060000000001</v>
      </c>
      <c r="T4204">
        <v>-0.28702319999999998</v>
      </c>
      <c r="U4204">
        <v>-0.72940059999999995</v>
      </c>
      <c r="V4204">
        <v>7.7183989999999994E-2</v>
      </c>
      <c r="W4204">
        <v>0.34038299999999999</v>
      </c>
      <c r="X4204">
        <v>0.93711369999999905</v>
      </c>
      <c r="Y4204">
        <v>0.2242749</v>
      </c>
      <c r="Z4204">
        <v>-1.1824090000000001E-2</v>
      </c>
      <c r="AA4204">
        <v>0.97445420000000005</v>
      </c>
      <c r="AB4204">
        <v>31</v>
      </c>
      <c r="AC4204">
        <v>12.307499999999999</v>
      </c>
      <c r="AD4204">
        <v>-1.1104316333231901</v>
      </c>
      <c r="AE4204">
        <v>-2.82249999999999</v>
      </c>
      <c r="AF4204">
        <v>2.8624387491401602</v>
      </c>
      <c r="AG4204">
        <v>-1.1104316333231901</v>
      </c>
      <c r="AH4204">
        <v>12.1987583783748</v>
      </c>
      <c r="AI4204">
        <v>95.064388686205902</v>
      </c>
      <c r="AJ4204">
        <v>76.794453888173805</v>
      </c>
      <c r="AK4204">
        <v>12.5792018816311</v>
      </c>
      <c r="AL4204">
        <v>70.099790222329403</v>
      </c>
      <c r="AM4204">
        <v>85.291545290452504</v>
      </c>
      <c r="AN4204">
        <v>1.0000000208644999</v>
      </c>
    </row>
    <row r="4205" spans="1:40" x14ac:dyDescent="0.25">
      <c r="A4205" t="str">
        <f>"20190304164934678"</f>
        <v>20190304164934678</v>
      </c>
      <c r="B4205" t="str">
        <f>"1551689374669977"</f>
        <v>1551689374669977</v>
      </c>
      <c r="C4205" t="s">
        <v>40</v>
      </c>
      <c r="D4205">
        <v>3.8450030000000002</v>
      </c>
      <c r="E4205">
        <v>0.57627200000000001</v>
      </c>
      <c r="F4205" t="s">
        <v>46</v>
      </c>
      <c r="G4205">
        <v>-211.5624</v>
      </c>
      <c r="H4205" s="1">
        <v>-6.3746690000000003E-7</v>
      </c>
      <c r="I4205">
        <v>213.0634</v>
      </c>
      <c r="J4205">
        <v>-223.69049999999999</v>
      </c>
      <c r="K4205">
        <v>1.1103940000000001</v>
      </c>
      <c r="L4205">
        <v>215.8509</v>
      </c>
      <c r="M4205">
        <v>0.99988690000000002</v>
      </c>
      <c r="N4205">
        <v>-1.4300159999999999E-2</v>
      </c>
      <c r="O4205">
        <v>4.6513290000000001E-3</v>
      </c>
      <c r="P4205">
        <v>0.94234910000000005</v>
      </c>
      <c r="Q4205">
        <v>0.32633430000000002</v>
      </c>
      <c r="R4205">
        <v>-7.4054670000000003E-2</v>
      </c>
      <c r="S4205">
        <v>3.229034</v>
      </c>
      <c r="T4205">
        <v>-0.29122189999999998</v>
      </c>
      <c r="U4205">
        <v>-0.73091130000000004</v>
      </c>
      <c r="V4205">
        <v>7.8855540000000002E-2</v>
      </c>
      <c r="W4205">
        <v>0.3396749</v>
      </c>
      <c r="X4205">
        <v>0.93723140000000005</v>
      </c>
      <c r="Y4205">
        <v>0.22428310000000001</v>
      </c>
      <c r="Z4205">
        <v>-1.194335E-2</v>
      </c>
      <c r="AA4205">
        <v>0.97445079999999995</v>
      </c>
      <c r="AB4205">
        <v>30</v>
      </c>
      <c r="AC4205">
        <v>12.1280999999999</v>
      </c>
      <c r="AD4205">
        <v>-1.11039463746689</v>
      </c>
      <c r="AE4205">
        <v>-2.7874999999999899</v>
      </c>
      <c r="AF4205">
        <v>2.8214237057745799</v>
      </c>
      <c r="AG4205">
        <v>-1.11039463746689</v>
      </c>
      <c r="AH4205">
        <v>12.019306232364499</v>
      </c>
      <c r="AI4205">
        <v>95.139325881509706</v>
      </c>
      <c r="AJ4205">
        <v>76.789513765568103</v>
      </c>
      <c r="AK4205">
        <v>12.395851333643</v>
      </c>
      <c r="AL4205">
        <v>70.142930820991694</v>
      </c>
      <c r="AM4205">
        <v>85.190650323511505</v>
      </c>
      <c r="AN4205">
        <v>0.99999996551232995</v>
      </c>
    </row>
    <row r="4206" spans="1:40" x14ac:dyDescent="0.25">
      <c r="A4206" t="str">
        <f>"20190304164934699"</f>
        <v>20190304164934699</v>
      </c>
      <c r="B4206" t="str">
        <f>"1551689374690473"</f>
        <v>1551689374690473</v>
      </c>
      <c r="C4206" t="s">
        <v>40</v>
      </c>
      <c r="D4206">
        <v>3.837653</v>
      </c>
      <c r="E4206">
        <v>0.57629839999999999</v>
      </c>
      <c r="F4206" t="s">
        <v>46</v>
      </c>
      <c r="G4206">
        <v>-211.56890000000001</v>
      </c>
      <c r="H4206" s="1">
        <v>-6.3471789999999996E-7</v>
      </c>
      <c r="I4206">
        <v>213.07910000000001</v>
      </c>
      <c r="J4206">
        <v>-223.39830000000001</v>
      </c>
      <c r="K4206">
        <v>1.1103430000000001</v>
      </c>
      <c r="L4206">
        <v>215.85149999999999</v>
      </c>
      <c r="M4206">
        <v>0.99988999999999995</v>
      </c>
      <c r="N4206">
        <v>-1.4297560000000001E-2</v>
      </c>
      <c r="O4206">
        <v>3.9666270000000003E-3</v>
      </c>
      <c r="P4206">
        <v>0.94223259999999998</v>
      </c>
      <c r="Q4206">
        <v>0.32607380000000002</v>
      </c>
      <c r="R4206">
        <v>-7.6640890000000003E-2</v>
      </c>
      <c r="S4206">
        <v>3.2279049999999998</v>
      </c>
      <c r="T4206">
        <v>-0.29569139999999999</v>
      </c>
      <c r="U4206">
        <v>-0.73811340000000003</v>
      </c>
      <c r="V4206">
        <v>8.0838119999999999E-2</v>
      </c>
      <c r="W4206">
        <v>0.33939819999999998</v>
      </c>
      <c r="X4206">
        <v>0.93716279999999996</v>
      </c>
      <c r="Y4206">
        <v>0.22572200000000001</v>
      </c>
      <c r="Z4206">
        <v>-1.212652E-2</v>
      </c>
      <c r="AA4206">
        <v>0.97411630000000005</v>
      </c>
      <c r="AB4206">
        <v>30</v>
      </c>
      <c r="AC4206">
        <v>11.8293999999999</v>
      </c>
      <c r="AD4206">
        <v>-1.1103436347178901</v>
      </c>
      <c r="AE4206">
        <v>-2.77239999999997</v>
      </c>
      <c r="AF4206">
        <v>2.7959552424638399</v>
      </c>
      <c r="AG4206">
        <v>-1.1103436347178901</v>
      </c>
      <c r="AH4206">
        <v>11.720425033383799</v>
      </c>
      <c r="AI4206">
        <v>95.264938305444204</v>
      </c>
      <c r="AJ4206">
        <v>76.582625361709006</v>
      </c>
      <c r="AK4206">
        <v>12.1003550224028</v>
      </c>
      <c r="AL4206">
        <v>70.159787140473995</v>
      </c>
      <c r="AM4206">
        <v>85.069963553495</v>
      </c>
      <c r="AN4206">
        <v>1.0000000267561</v>
      </c>
    </row>
    <row r="4207" spans="1:40" x14ac:dyDescent="0.25">
      <c r="A4207" t="str">
        <f>"20190304164934718"</f>
        <v>20190304164934718</v>
      </c>
      <c r="B4207" t="str">
        <f>"1551689374709993"</f>
        <v>1551689374709993</v>
      </c>
      <c r="C4207" t="s">
        <v>40</v>
      </c>
      <c r="D4207">
        <v>3.833752</v>
      </c>
      <c r="E4207">
        <v>0.57644969999999995</v>
      </c>
      <c r="F4207" t="s">
        <v>46</v>
      </c>
      <c r="G4207">
        <v>-211.51920000000001</v>
      </c>
      <c r="H4207" s="1">
        <v>-6.6222669999999996E-7</v>
      </c>
      <c r="I4207">
        <v>213.10409999999999</v>
      </c>
      <c r="J4207">
        <v>-223.13130000000001</v>
      </c>
      <c r="K4207">
        <v>1.1103000000000001</v>
      </c>
      <c r="L4207">
        <v>215.8519</v>
      </c>
      <c r="M4207">
        <v>0.99989249999999996</v>
      </c>
      <c r="N4207">
        <v>-1.4295209999999999E-2</v>
      </c>
      <c r="O4207">
        <v>3.2916989999999999E-3</v>
      </c>
      <c r="P4207">
        <v>0.94210320000000003</v>
      </c>
      <c r="Q4207">
        <v>0.326071</v>
      </c>
      <c r="R4207">
        <v>-7.8227820000000003E-2</v>
      </c>
      <c r="S4207">
        <v>3.2275999999999998</v>
      </c>
      <c r="T4207">
        <v>-0.30168620000000002</v>
      </c>
      <c r="U4207">
        <v>-0.74649049999999995</v>
      </c>
      <c r="V4207">
        <v>8.1825609999999993E-2</v>
      </c>
      <c r="W4207">
        <v>0.33938210000000002</v>
      </c>
      <c r="X4207">
        <v>0.93708290000000005</v>
      </c>
      <c r="Y4207">
        <v>0.22743959999999999</v>
      </c>
      <c r="Z4207">
        <v>-1.237657E-2</v>
      </c>
      <c r="AA4207">
        <v>0.97371350000000001</v>
      </c>
      <c r="AB4207">
        <v>30</v>
      </c>
      <c r="AC4207">
        <v>11.6120999999999</v>
      </c>
      <c r="AD4207">
        <v>-1.1103006622267</v>
      </c>
      <c r="AE4207">
        <v>-2.74780000000001</v>
      </c>
      <c r="AF4207">
        <v>2.7620993817266002</v>
      </c>
      <c r="AG4207">
        <v>-1.1103006622267</v>
      </c>
      <c r="AH4207">
        <v>11.503399320955999</v>
      </c>
      <c r="AI4207">
        <v>95.361607821105906</v>
      </c>
      <c r="AJ4207">
        <v>76.498222015842103</v>
      </c>
      <c r="AK4207">
        <v>11.8823464220012</v>
      </c>
      <c r="AL4207">
        <v>70.160767274140795</v>
      </c>
      <c r="AM4207">
        <v>85.009618890323594</v>
      </c>
      <c r="AN4207">
        <v>1.00000000086234</v>
      </c>
    </row>
    <row r="4208" spans="1:40" x14ac:dyDescent="0.25">
      <c r="A4208" t="str">
        <f>"20190304164934734"</f>
        <v>20190304164934734</v>
      </c>
      <c r="B4208" t="str">
        <f>"1551689374730489"</f>
        <v>1551689374730489</v>
      </c>
      <c r="C4208" t="s">
        <v>40</v>
      </c>
      <c r="D4208">
        <v>3.8604829999999999</v>
      </c>
      <c r="E4208">
        <v>0.57635970000000003</v>
      </c>
      <c r="F4208" t="s">
        <v>46</v>
      </c>
      <c r="G4208">
        <v>-211.3408</v>
      </c>
      <c r="H4208" s="1">
        <v>-7.5723569999999898E-7</v>
      </c>
      <c r="I4208">
        <v>213.10499999999999</v>
      </c>
      <c r="J4208">
        <v>-222.9212</v>
      </c>
      <c r="K4208">
        <v>1.1102620000000001</v>
      </c>
      <c r="L4208">
        <v>215.852</v>
      </c>
      <c r="M4208">
        <v>0.99989419999999996</v>
      </c>
      <c r="N4208">
        <v>-1.42934E-2</v>
      </c>
      <c r="O4208">
        <v>2.732614E-3</v>
      </c>
      <c r="P4208">
        <v>0.94181040000000005</v>
      </c>
      <c r="Q4208">
        <v>0.32635900000000001</v>
      </c>
      <c r="R4208">
        <v>-8.0516790000000005E-2</v>
      </c>
      <c r="S4208">
        <v>3.227112</v>
      </c>
      <c r="T4208">
        <v>-0.30389369999999999</v>
      </c>
      <c r="U4208">
        <v>-0.75184629999999997</v>
      </c>
      <c r="V4208">
        <v>8.3614789999999994E-2</v>
      </c>
      <c r="W4208">
        <v>0.3396557</v>
      </c>
      <c r="X4208">
        <v>0.93682580000000004</v>
      </c>
      <c r="Y4208">
        <v>0.2284427</v>
      </c>
      <c r="Z4208">
        <v>-1.2464630000000001E-2</v>
      </c>
      <c r="AA4208">
        <v>0.9734775</v>
      </c>
      <c r="AB4208">
        <v>30</v>
      </c>
      <c r="AC4208">
        <v>11.5803999999999</v>
      </c>
      <c r="AD4208">
        <v>-1.11026275723569</v>
      </c>
      <c r="AE4208">
        <v>-2.7470000000000101</v>
      </c>
      <c r="AF4208">
        <v>2.7546660374935699</v>
      </c>
      <c r="AG4208">
        <v>-1.11026275723569</v>
      </c>
      <c r="AH4208">
        <v>11.473008901491699</v>
      </c>
      <c r="AI4208">
        <v>95.375558848264404</v>
      </c>
      <c r="AJ4208">
        <v>76.498865366671893</v>
      </c>
      <c r="AK4208">
        <v>11.851194101099299</v>
      </c>
      <c r="AL4208">
        <v>70.144101225986006</v>
      </c>
      <c r="AM4208">
        <v>84.899677519626394</v>
      </c>
      <c r="AN4208">
        <v>1.0000000035974299</v>
      </c>
    </row>
    <row r="4209" spans="1:40" x14ac:dyDescent="0.25">
      <c r="A4209" t="str">
        <f>"20190304164934757"</f>
        <v>20190304164934757</v>
      </c>
      <c r="B4209" t="str">
        <f>"1551689374750514"</f>
        <v>1551689374750514</v>
      </c>
      <c r="C4209" t="s">
        <v>40</v>
      </c>
      <c r="D4209">
        <v>3.8481429999999999</v>
      </c>
      <c r="E4209">
        <v>0.57616880000000004</v>
      </c>
      <c r="F4209" t="s">
        <v>46</v>
      </c>
      <c r="G4209">
        <v>-211.3776</v>
      </c>
      <c r="H4209" s="1">
        <v>-7.3950530000000003E-7</v>
      </c>
      <c r="I4209">
        <v>213.14830000000001</v>
      </c>
      <c r="J4209">
        <v>-222.6199</v>
      </c>
      <c r="K4209">
        <v>1.1102179999999999</v>
      </c>
      <c r="L4209">
        <v>215.8519</v>
      </c>
      <c r="M4209">
        <v>0.99989620000000001</v>
      </c>
      <c r="N4209">
        <v>-1.42907E-2</v>
      </c>
      <c r="O4209">
        <v>1.8787529999999999E-3</v>
      </c>
      <c r="P4209">
        <v>0.94148109999999996</v>
      </c>
      <c r="Q4209">
        <v>0.32670700000000003</v>
      </c>
      <c r="R4209">
        <v>-8.2922979999999993E-2</v>
      </c>
      <c r="S4209">
        <v>3.2283170000000001</v>
      </c>
      <c r="T4209">
        <v>-0.31049949999999998</v>
      </c>
      <c r="U4209">
        <v>-0.75613399999999997</v>
      </c>
      <c r="V4209">
        <v>8.525373E-2</v>
      </c>
      <c r="W4209">
        <v>0.33998529999999999</v>
      </c>
      <c r="X4209">
        <v>0.93655849999999996</v>
      </c>
      <c r="Y4209">
        <v>0.2287141</v>
      </c>
      <c r="Z4209">
        <v>-1.263975E-2</v>
      </c>
      <c r="AA4209">
        <v>0.97341160000000004</v>
      </c>
      <c r="AB4209">
        <v>30</v>
      </c>
      <c r="AC4209">
        <v>11.2423</v>
      </c>
      <c r="AD4209">
        <v>-1.1102187395053</v>
      </c>
      <c r="AE4209">
        <v>-2.70359999999999</v>
      </c>
      <c r="AF4209">
        <v>2.69982882735221</v>
      </c>
      <c r="AG4209">
        <v>-1.1102187395053</v>
      </c>
      <c r="AH4209">
        <v>11.134549432908001</v>
      </c>
      <c r="AI4209">
        <v>95.534764386716901</v>
      </c>
      <c r="AJ4209">
        <v>76.370360689444695</v>
      </c>
      <c r="AK4209">
        <v>11.5108580227723</v>
      </c>
      <c r="AL4209">
        <v>70.124021806185198</v>
      </c>
      <c r="AM4209">
        <v>84.798772587767004</v>
      </c>
      <c r="AN4209">
        <v>1.00000001330862</v>
      </c>
    </row>
    <row r="4210" spans="1:40" x14ac:dyDescent="0.25">
      <c r="A4210" t="str">
        <f>"20190304164934777"</f>
        <v>20190304164934777</v>
      </c>
      <c r="B4210" t="str">
        <f>"1551689374770034"</f>
        <v>1551689374770034</v>
      </c>
      <c r="C4210" t="s">
        <v>40</v>
      </c>
      <c r="D4210">
        <v>3.8557199999999998</v>
      </c>
      <c r="E4210">
        <v>0.57608009999999998</v>
      </c>
      <c r="F4210" t="s">
        <v>46</v>
      </c>
      <c r="G4210">
        <v>-211.27029999999999</v>
      </c>
      <c r="H4210" s="1">
        <v>-7.9801909999999996E-7</v>
      </c>
      <c r="I4210">
        <v>213.18039999999999</v>
      </c>
      <c r="J4210">
        <v>-222.3366</v>
      </c>
      <c r="K4210">
        <v>1.1101810000000001</v>
      </c>
      <c r="L4210">
        <v>215.85159999999999</v>
      </c>
      <c r="M4210">
        <v>0.99989740000000005</v>
      </c>
      <c r="N4210">
        <v>-1.4288220000000001E-2</v>
      </c>
      <c r="O4210">
        <v>1.017441E-3</v>
      </c>
      <c r="P4210">
        <v>0.94134980000000001</v>
      </c>
      <c r="Q4210">
        <v>0.32651760000000002</v>
      </c>
      <c r="R4210">
        <v>-8.5129440000000001E-2</v>
      </c>
      <c r="S4210">
        <v>3.2291259999999999</v>
      </c>
      <c r="T4210">
        <v>-0.3158743</v>
      </c>
      <c r="U4210">
        <v>-0.76008609999999999</v>
      </c>
      <c r="V4210">
        <v>8.6685419999999999E-2</v>
      </c>
      <c r="W4210">
        <v>0.33978130000000001</v>
      </c>
      <c r="X4210">
        <v>0.93650109999999998</v>
      </c>
      <c r="Y4210">
        <v>0.2289157</v>
      </c>
      <c r="Z4210">
        <v>-1.276556E-2</v>
      </c>
      <c r="AA4210">
        <v>0.97336259999999997</v>
      </c>
      <c r="AB4210">
        <v>30</v>
      </c>
      <c r="AC4210">
        <v>11.0663</v>
      </c>
      <c r="AD4210">
        <v>-1.11018179801909</v>
      </c>
      <c r="AE4210">
        <v>-2.67119999999999</v>
      </c>
      <c r="AF4210">
        <v>2.65718872239853</v>
      </c>
      <c r="AG4210">
        <v>-1.11018179801909</v>
      </c>
      <c r="AH4210">
        <v>10.959350771494</v>
      </c>
      <c r="AI4210">
        <v>95.622514515891297</v>
      </c>
      <c r="AJ4210">
        <v>76.371146484564306</v>
      </c>
      <c r="AK4210">
        <v>11.331395539109099</v>
      </c>
      <c r="AL4210">
        <v>70.136449794306799</v>
      </c>
      <c r="AM4210">
        <v>84.711595750744095</v>
      </c>
      <c r="AN4210">
        <v>1.00000000208573</v>
      </c>
    </row>
    <row r="4211" spans="1:40" x14ac:dyDescent="0.25">
      <c r="A4211" t="str">
        <f>"20190304164934800"</f>
        <v>20190304164934800</v>
      </c>
      <c r="B4211" t="str">
        <f>"1551689374790531"</f>
        <v>1551689374790531</v>
      </c>
      <c r="C4211" t="s">
        <v>40</v>
      </c>
      <c r="D4211">
        <v>3.8767</v>
      </c>
      <c r="E4211">
        <v>0.57605519999999999</v>
      </c>
      <c r="F4211" t="s">
        <v>46</v>
      </c>
      <c r="G4211">
        <v>-211.23490000000001</v>
      </c>
      <c r="H4211" s="1">
        <v>-8.1871609999999995E-7</v>
      </c>
      <c r="I4211">
        <v>213.22229999999999</v>
      </c>
      <c r="J4211">
        <v>-222.0318</v>
      </c>
      <c r="K4211">
        <v>1.1101319999999999</v>
      </c>
      <c r="L4211">
        <v>215.85079999999999</v>
      </c>
      <c r="M4211">
        <v>0.99989790000000001</v>
      </c>
      <c r="N4211">
        <v>-1.428569E-2</v>
      </c>
      <c r="O4211" s="1">
        <v>3.7407370000000002E-5</v>
      </c>
      <c r="P4211">
        <v>0.94104299999999996</v>
      </c>
      <c r="Q4211">
        <v>0.32669209999999999</v>
      </c>
      <c r="R4211">
        <v>-8.7809230000000002E-2</v>
      </c>
      <c r="S4211">
        <v>3.2297669999999998</v>
      </c>
      <c r="T4211">
        <v>-0.3229805</v>
      </c>
      <c r="U4211">
        <v>-0.76492309999999997</v>
      </c>
      <c r="V4211">
        <v>8.8481580000000004E-2</v>
      </c>
      <c r="W4211">
        <v>0.33993689999999999</v>
      </c>
      <c r="X4211">
        <v>0.93627660000000001</v>
      </c>
      <c r="Y4211">
        <v>0.22925129999999999</v>
      </c>
      <c r="Z4211">
        <v>-1.2946849999999999E-2</v>
      </c>
      <c r="AA4211">
        <v>0.97328110000000001</v>
      </c>
      <c r="AB4211">
        <v>30</v>
      </c>
      <c r="AC4211">
        <v>10.7968999999999</v>
      </c>
      <c r="AD4211">
        <v>-1.1101328187160999</v>
      </c>
      <c r="AE4211">
        <v>-2.6284999999999998</v>
      </c>
      <c r="AF4211">
        <v>2.6029257982286902</v>
      </c>
      <c r="AG4211">
        <v>-1.1101328187160999</v>
      </c>
      <c r="AH4211">
        <v>10.690110553478201</v>
      </c>
      <c r="AI4211">
        <v>95.761575249631093</v>
      </c>
      <c r="AJ4211">
        <v>76.315391941244698</v>
      </c>
      <c r="AK4211">
        <v>11.0583037230789</v>
      </c>
      <c r="AL4211">
        <v>70.126969836798807</v>
      </c>
      <c r="AM4211">
        <v>84.601371763260801</v>
      </c>
      <c r="AN4211">
        <v>0.99999997884423297</v>
      </c>
    </row>
    <row r="4212" spans="1:40" x14ac:dyDescent="0.25">
      <c r="A4212" t="str">
        <f>"20190304164934823"</f>
        <v>20190304164934823</v>
      </c>
      <c r="B4212" t="str">
        <f>"1551689374819810"</f>
        <v>1551689374819810</v>
      </c>
      <c r="C4212" t="s">
        <v>40</v>
      </c>
      <c r="D4212">
        <v>3.8849629999999999</v>
      </c>
      <c r="E4212">
        <v>0.57602299999999995</v>
      </c>
      <c r="F4212" t="s">
        <v>46</v>
      </c>
      <c r="G4212">
        <v>-210.8974</v>
      </c>
      <c r="H4212" s="1">
        <v>-9.9654899999999999E-7</v>
      </c>
      <c r="I4212">
        <v>213.18190000000001</v>
      </c>
      <c r="J4212">
        <v>-221.72370000000001</v>
      </c>
      <c r="K4212">
        <v>1.11009</v>
      </c>
      <c r="L4212">
        <v>215.84970000000001</v>
      </c>
      <c r="M4212">
        <v>0.99989749999999999</v>
      </c>
      <c r="N4212">
        <v>-1.428317E-2</v>
      </c>
      <c r="O4212">
        <v>-1.0120890000000001E-3</v>
      </c>
      <c r="P4212">
        <v>0.94076910000000002</v>
      </c>
      <c r="Q4212">
        <v>0.32674639999999999</v>
      </c>
      <c r="R4212">
        <v>-9.0502700000000005E-2</v>
      </c>
      <c r="S4212">
        <v>3.2274630000000002</v>
      </c>
      <c r="T4212">
        <v>-0.32178699999999999</v>
      </c>
      <c r="U4212">
        <v>-0.77363590000000004</v>
      </c>
      <c r="V4212">
        <v>9.0227269999999998E-2</v>
      </c>
      <c r="W4212">
        <v>0.33997230000000001</v>
      </c>
      <c r="X4212">
        <v>0.93609710000000002</v>
      </c>
      <c r="Y4212">
        <v>0.23087440000000001</v>
      </c>
      <c r="Z4212">
        <v>-1.291309E-2</v>
      </c>
      <c r="AA4212">
        <v>0.97289789999999998</v>
      </c>
      <c r="AB4212">
        <v>30</v>
      </c>
      <c r="AC4212">
        <v>10.8263</v>
      </c>
      <c r="AD4212">
        <v>-1.110090996549</v>
      </c>
      <c r="AE4212">
        <v>-2.6678000000000002</v>
      </c>
      <c r="AF4212">
        <v>2.63076454930843</v>
      </c>
      <c r="AG4212">
        <v>-1.110090996549</v>
      </c>
      <c r="AH4212">
        <v>10.722712682599701</v>
      </c>
      <c r="AI4212">
        <v>95.741517969000796</v>
      </c>
      <c r="AJ4212">
        <v>76.215050031927504</v>
      </c>
      <c r="AK4212">
        <v>11.096386412166</v>
      </c>
      <c r="AL4212">
        <v>70.124812576884693</v>
      </c>
      <c r="AM4212">
        <v>84.494458860693101</v>
      </c>
      <c r="AN4212">
        <v>0.99999995282367504</v>
      </c>
    </row>
    <row r="4213" spans="1:40" x14ac:dyDescent="0.25">
      <c r="A4213" t="str">
        <f>"20190304164934846"</f>
        <v>20190304164934846</v>
      </c>
      <c r="B4213" t="str">
        <f>"1551689374840306"</f>
        <v>1551689374840306</v>
      </c>
      <c r="C4213" t="s">
        <v>40</v>
      </c>
      <c r="D4213">
        <v>3.9645969999999999</v>
      </c>
      <c r="E4213">
        <v>0.5760554</v>
      </c>
      <c r="F4213" t="s">
        <v>46</v>
      </c>
      <c r="G4213">
        <v>-210.7398</v>
      </c>
      <c r="H4213" s="1">
        <v>-1.080552E-6</v>
      </c>
      <c r="I4213">
        <v>213.18559999999999</v>
      </c>
      <c r="J4213">
        <v>-221.41900000000001</v>
      </c>
      <c r="K4213">
        <v>1.110044</v>
      </c>
      <c r="L4213">
        <v>215.84819999999999</v>
      </c>
      <c r="M4213">
        <v>0.99989589999999995</v>
      </c>
      <c r="N4213">
        <v>-1.428076E-2</v>
      </c>
      <c r="O4213">
        <v>-2.116784E-3</v>
      </c>
      <c r="P4213">
        <v>0.94038560000000004</v>
      </c>
      <c r="Q4213">
        <v>0.32676670000000002</v>
      </c>
      <c r="R4213">
        <v>-9.4330810000000001E-2</v>
      </c>
      <c r="S4213">
        <v>3.2268520000000001</v>
      </c>
      <c r="T4213">
        <v>-0.32612449999999998</v>
      </c>
      <c r="U4213">
        <v>-0.78266910000000001</v>
      </c>
      <c r="V4213">
        <v>9.3059039999999996E-2</v>
      </c>
      <c r="W4213">
        <v>0.33996959999999998</v>
      </c>
      <c r="X4213">
        <v>0.93582089999999996</v>
      </c>
      <c r="Y4213">
        <v>0.2323798</v>
      </c>
      <c r="Z4213">
        <v>-1.305389E-2</v>
      </c>
      <c r="AA4213">
        <v>0.97253750000000005</v>
      </c>
      <c r="AB4213">
        <v>30</v>
      </c>
      <c r="AC4213">
        <v>10.6792</v>
      </c>
      <c r="AD4213">
        <v>-1.1100450805519999</v>
      </c>
      <c r="AE4213">
        <v>-2.6625999999999901</v>
      </c>
      <c r="AF4213">
        <v>2.6134022679678202</v>
      </c>
      <c r="AG4213">
        <v>-1.1100450805519999</v>
      </c>
      <c r="AH4213">
        <v>10.5772197946125</v>
      </c>
      <c r="AI4213">
        <v>95.817391581290494</v>
      </c>
      <c r="AJ4213">
        <v>76.121414482931499</v>
      </c>
      <c r="AK4213">
        <v>10.951696219244701</v>
      </c>
      <c r="AL4213">
        <v>70.124978783195502</v>
      </c>
      <c r="AM4213">
        <v>84.321115363717297</v>
      </c>
      <c r="AN4213">
        <v>1.00000003536334</v>
      </c>
    </row>
    <row r="4214" spans="1:40" x14ac:dyDescent="0.25">
      <c r="A4214" t="str">
        <f>"20190304164934867"</f>
        <v>20190304164934867</v>
      </c>
      <c r="B4214" t="str">
        <f>"1551689374860333"</f>
        <v>1551689374860333</v>
      </c>
      <c r="C4214" t="s">
        <v>40</v>
      </c>
      <c r="D4214">
        <v>3.9673250000000002</v>
      </c>
      <c r="E4214">
        <v>0.57608490000000001</v>
      </c>
      <c r="F4214" t="s">
        <v>46</v>
      </c>
      <c r="G4214">
        <v>-210.50550000000001</v>
      </c>
      <c r="H4214" s="1">
        <v>-1.2038189999999999E-6</v>
      </c>
      <c r="I4214">
        <v>213.1532</v>
      </c>
      <c r="J4214">
        <v>-221.12430000000001</v>
      </c>
      <c r="K4214">
        <v>1.1099870000000001</v>
      </c>
      <c r="L4214">
        <v>215.84639999999999</v>
      </c>
      <c r="M4214">
        <v>0.99989280000000003</v>
      </c>
      <c r="N4214">
        <v>-1.427877E-2</v>
      </c>
      <c r="O4214">
        <v>-3.2611739999999999E-3</v>
      </c>
      <c r="P4214">
        <v>0.93996550000000001</v>
      </c>
      <c r="Q4214">
        <v>0.32682679999999997</v>
      </c>
      <c r="R4214">
        <v>-9.8232079999999999E-2</v>
      </c>
      <c r="S4214">
        <v>3.2242890000000002</v>
      </c>
      <c r="T4214">
        <v>-0.32795360000000001</v>
      </c>
      <c r="U4214">
        <v>-0.79621889999999995</v>
      </c>
      <c r="V4214">
        <v>9.5931329999999995E-2</v>
      </c>
      <c r="W4214">
        <v>0.34000449999999999</v>
      </c>
      <c r="X4214">
        <v>0.93551810000000002</v>
      </c>
      <c r="Y4214">
        <v>0.23527310000000001</v>
      </c>
      <c r="Z4214">
        <v>-1.318831E-2</v>
      </c>
      <c r="AA4214">
        <v>0.97183980000000003</v>
      </c>
      <c r="AB4214">
        <v>30</v>
      </c>
      <c r="AC4214">
        <v>10.618799999999901</v>
      </c>
      <c r="AD4214">
        <v>-1.1099882038189901</v>
      </c>
      <c r="AE4214">
        <v>-2.6931999999999898</v>
      </c>
      <c r="AF4214">
        <v>2.6315364222516502</v>
      </c>
      <c r="AG4214">
        <v>-1.1099882038189901</v>
      </c>
      <c r="AH4214">
        <v>10.5195314322296</v>
      </c>
      <c r="AI4214">
        <v>95.844589931926805</v>
      </c>
      <c r="AJ4214">
        <v>75.955280310672194</v>
      </c>
      <c r="AK4214">
        <v>10.9003485865325</v>
      </c>
      <c r="AL4214">
        <v>70.122851719096104</v>
      </c>
      <c r="AM4214">
        <v>84.145152767919697</v>
      </c>
      <c r="AN4214">
        <v>0.999999997761714</v>
      </c>
    </row>
    <row r="4215" spans="1:40" x14ac:dyDescent="0.25">
      <c r="A4215" t="str">
        <f>"20190304164934886"</f>
        <v>20190304164934886</v>
      </c>
      <c r="B4215" t="str">
        <f>"1551689374879854"</f>
        <v>1551689374879854</v>
      </c>
      <c r="C4215" t="s">
        <v>40</v>
      </c>
      <c r="D4215">
        <v>3.9387940000000001</v>
      </c>
      <c r="E4215">
        <v>0.57616820000000002</v>
      </c>
      <c r="F4215" t="s">
        <v>46</v>
      </c>
      <c r="G4215">
        <v>-210.27670000000001</v>
      </c>
      <c r="H4215" s="1">
        <v>-1.324241E-6</v>
      </c>
      <c r="I4215">
        <v>213.12270000000001</v>
      </c>
      <c r="J4215">
        <v>-220.86789999999999</v>
      </c>
      <c r="K4215">
        <v>1.109931</v>
      </c>
      <c r="L4215">
        <v>215.84450000000001</v>
      </c>
      <c r="M4215">
        <v>0.99988869999999996</v>
      </c>
      <c r="N4215">
        <v>-1.427725E-2</v>
      </c>
      <c r="O4215">
        <v>-4.3288279999999998E-3</v>
      </c>
      <c r="P4215">
        <v>0.93976150000000003</v>
      </c>
      <c r="Q4215">
        <v>0.32678839999999998</v>
      </c>
      <c r="R4215">
        <v>-0.1002888</v>
      </c>
      <c r="S4215">
        <v>3.221695</v>
      </c>
      <c r="T4215">
        <v>-0.32966319999999999</v>
      </c>
      <c r="U4215">
        <v>-0.80891420000000003</v>
      </c>
      <c r="V4215">
        <v>9.7032110000000005E-2</v>
      </c>
      <c r="W4215">
        <v>0.339947099999999</v>
      </c>
      <c r="X4215">
        <v>0.93542539999999996</v>
      </c>
      <c r="Y4215">
        <v>0.23799809999999999</v>
      </c>
      <c r="Z4215">
        <v>-1.331629E-2</v>
      </c>
      <c r="AA4215">
        <v>0.97117439999999999</v>
      </c>
      <c r="AB4215">
        <v>30</v>
      </c>
      <c r="AC4215">
        <v>10.591199999999899</v>
      </c>
      <c r="AD4215">
        <v>-1.109932324241</v>
      </c>
      <c r="AE4215">
        <v>-2.7218</v>
      </c>
      <c r="AF4215">
        <v>2.64863567166099</v>
      </c>
      <c r="AG4215">
        <v>-1.109932324241</v>
      </c>
      <c r="AH4215">
        <v>10.4947654141942</v>
      </c>
      <c r="AI4215">
        <v>95.854942613595696</v>
      </c>
      <c r="AJ4215">
        <v>75.835656553372701</v>
      </c>
      <c r="AK4215">
        <v>10.880593815806</v>
      </c>
      <c r="AL4215">
        <v>70.126348229957202</v>
      </c>
      <c r="AM4215">
        <v>84.077862399160395</v>
      </c>
      <c r="AN4215">
        <v>0.99999997006731001</v>
      </c>
    </row>
    <row r="4216" spans="1:40" x14ac:dyDescent="0.25">
      <c r="A4216" t="str">
        <f>"20190304164934900"</f>
        <v>20190304164934900</v>
      </c>
      <c r="B4216" t="str">
        <f>"1551689374890589"</f>
        <v>1551689374890589</v>
      </c>
      <c r="C4216" t="s">
        <v>40</v>
      </c>
      <c r="D4216">
        <v>4.08927</v>
      </c>
      <c r="E4216">
        <v>0.57616820000000002</v>
      </c>
      <c r="F4216" t="s">
        <v>46</v>
      </c>
      <c r="G4216">
        <v>-210.1438</v>
      </c>
      <c r="H4216" s="1">
        <v>-1.395246E-6</v>
      </c>
      <c r="I4216">
        <v>213.1283</v>
      </c>
      <c r="J4216">
        <v>-220.6788</v>
      </c>
      <c r="K4216">
        <v>1.109885</v>
      </c>
      <c r="L4216">
        <v>215.84280000000001</v>
      </c>
      <c r="M4216">
        <v>0.99988469999999996</v>
      </c>
      <c r="N4216">
        <v>-1.427615E-2</v>
      </c>
      <c r="O4216">
        <v>-5.1617039999999996E-3</v>
      </c>
      <c r="P4216">
        <v>0.93948069999999895</v>
      </c>
      <c r="Q4216">
        <v>0.32656010000000002</v>
      </c>
      <c r="R4216">
        <v>-0.1036088</v>
      </c>
      <c r="S4216">
        <v>3.2211460000000001</v>
      </c>
      <c r="T4216">
        <v>-0.33338400000000001</v>
      </c>
      <c r="U4216">
        <v>-0.815841699999999</v>
      </c>
      <c r="V4216">
        <v>9.9608959999999996E-2</v>
      </c>
      <c r="W4216">
        <v>0.33969779999999999</v>
      </c>
      <c r="X4216">
        <v>0.9352452</v>
      </c>
      <c r="Y4216">
        <v>0.23916080000000001</v>
      </c>
      <c r="Z4216">
        <v>-1.3439629999999999E-2</v>
      </c>
      <c r="AA4216">
        <v>0.9708869</v>
      </c>
      <c r="AB4216">
        <v>30</v>
      </c>
      <c r="AC4216">
        <v>10.534999999999901</v>
      </c>
      <c r="AD4216">
        <v>-1.1098863952460001</v>
      </c>
      <c r="AE4216">
        <v>-2.7145000000000099</v>
      </c>
      <c r="AF4216">
        <v>2.6326785541294</v>
      </c>
      <c r="AG4216">
        <v>-1.1098863952460001</v>
      </c>
      <c r="AH4216">
        <v>10.4402097643612</v>
      </c>
      <c r="AI4216">
        <v>95.885372327246202</v>
      </c>
      <c r="AJ4216">
        <v>75.846948578331293</v>
      </c>
      <c r="AK4216">
        <v>10.8240853703021</v>
      </c>
      <c r="AL4216">
        <v>70.141537798223496</v>
      </c>
      <c r="AM4216">
        <v>83.920590030762298</v>
      </c>
      <c r="AN4216">
        <v>1.00000006218007</v>
      </c>
    </row>
    <row r="4217" spans="1:40" x14ac:dyDescent="0.25">
      <c r="A4217" t="str">
        <f>"20190304164934920"</f>
        <v>20190304164934920</v>
      </c>
      <c r="B4217" t="str">
        <f>"1551689374910110"</f>
        <v>1551689374910110</v>
      </c>
      <c r="C4217" t="s">
        <v>40</v>
      </c>
      <c r="D4217">
        <v>3.8646389999999999</v>
      </c>
      <c r="E4217">
        <v>0.58376709999999998</v>
      </c>
      <c r="F4217" t="s">
        <v>46</v>
      </c>
      <c r="G4217">
        <v>-209.99789999999999</v>
      </c>
      <c r="H4217" s="1">
        <v>-1.4715889999999999E-6</v>
      </c>
      <c r="I4217">
        <v>213.09950000000001</v>
      </c>
      <c r="J4217">
        <v>-220.40780000000001</v>
      </c>
      <c r="K4217">
        <v>1.1098059999999901</v>
      </c>
      <c r="L4217">
        <v>215.84010000000001</v>
      </c>
      <c r="M4217">
        <v>0.99987749999999997</v>
      </c>
      <c r="N4217">
        <v>-1.427467E-2</v>
      </c>
      <c r="O4217">
        <v>-6.4385010000000001E-3</v>
      </c>
      <c r="P4217">
        <v>0.93924609999999997</v>
      </c>
      <c r="Q4217">
        <v>0.32664700000000002</v>
      </c>
      <c r="R4217">
        <v>-0.1054462</v>
      </c>
      <c r="S4217">
        <v>3.2183229999999998</v>
      </c>
      <c r="T4217">
        <v>-0.334426</v>
      </c>
      <c r="U4217">
        <v>-0.82661439999999997</v>
      </c>
      <c r="V4217">
        <v>0.10031089999999999</v>
      </c>
      <c r="W4217">
        <v>0.33976190000000001</v>
      </c>
      <c r="X4217">
        <v>0.93514679999999994</v>
      </c>
      <c r="Y4217">
        <v>0.24115919999999999</v>
      </c>
      <c r="Z4217">
        <v>-1.348566E-2</v>
      </c>
      <c r="AA4217">
        <v>0.97039189999999997</v>
      </c>
      <c r="AB4217">
        <v>30</v>
      </c>
      <c r="AC4217">
        <v>10.4099</v>
      </c>
      <c r="AD4217">
        <v>-1.1098074715889901</v>
      </c>
      <c r="AE4217">
        <v>-2.7406000000000001</v>
      </c>
      <c r="AF4217">
        <v>2.6453939298254401</v>
      </c>
      <c r="AG4217">
        <v>-1.1098074715889901</v>
      </c>
      <c r="AH4217">
        <v>10.317663381575199</v>
      </c>
      <c r="AI4217">
        <v>95.948389294900494</v>
      </c>
      <c r="AJ4217">
        <v>75.619443189530898</v>
      </c>
      <c r="AK4217">
        <v>10.7090596843724</v>
      </c>
      <c r="AL4217">
        <v>70.137631215876397</v>
      </c>
      <c r="AM4217">
        <v>83.877433607375195</v>
      </c>
      <c r="AN4217">
        <v>0.99999998145032898</v>
      </c>
    </row>
    <row r="4218" spans="1:40" x14ac:dyDescent="0.25">
      <c r="A4218" t="str">
        <f>"20190304164934937"</f>
        <v>20190304164934937</v>
      </c>
      <c r="B4218" t="str">
        <f>"1551689374930606"</f>
        <v>1551689374930606</v>
      </c>
      <c r="C4218" t="s">
        <v>40</v>
      </c>
      <c r="D4218">
        <v>3.963956</v>
      </c>
      <c r="E4218">
        <v>0.58381280000000002</v>
      </c>
      <c r="F4218" t="s">
        <v>45</v>
      </c>
      <c r="G4218">
        <v>-208.26769999999999</v>
      </c>
      <c r="H4218" s="1">
        <v>6.074199E-6</v>
      </c>
      <c r="I4218">
        <v>212.43360000000001</v>
      </c>
      <c r="J4218">
        <v>-220.1857</v>
      </c>
      <c r="K4218">
        <v>1.109742</v>
      </c>
      <c r="L4218">
        <v>215.83760000000001</v>
      </c>
      <c r="M4218">
        <v>0.99986969999999997</v>
      </c>
      <c r="N4218">
        <v>-1.4273640000000001E-2</v>
      </c>
      <c r="O4218">
        <v>-7.5539889999999997E-3</v>
      </c>
      <c r="P4218">
        <v>0.93902560000000002</v>
      </c>
      <c r="Q4218">
        <v>0.32697739999999997</v>
      </c>
      <c r="R4218">
        <v>-0.1063819</v>
      </c>
      <c r="S4218">
        <v>3.1949920000000001</v>
      </c>
      <c r="T4218">
        <v>-0.29207490000000003</v>
      </c>
      <c r="U4218">
        <v>-0.896514899999999</v>
      </c>
      <c r="V4218">
        <v>0.1002572</v>
      </c>
      <c r="W4218">
        <v>0.34007359999999998</v>
      </c>
      <c r="X4218">
        <v>0.93503930000000002</v>
      </c>
      <c r="Y4218">
        <v>0.26172519999999999</v>
      </c>
      <c r="Z4218">
        <v>-1.3050539999999999E-2</v>
      </c>
      <c r="AA4218">
        <v>0.96505419999999997</v>
      </c>
      <c r="AB4218">
        <v>30</v>
      </c>
      <c r="AC4218">
        <v>11.917999999999999</v>
      </c>
      <c r="AD4218">
        <v>-1.109735925801</v>
      </c>
      <c r="AE4218">
        <v>-3.4039999999999901</v>
      </c>
      <c r="AF4218">
        <v>3.2875115286438499</v>
      </c>
      <c r="AG4218">
        <v>-1.109735925801</v>
      </c>
      <c r="AH4218">
        <v>11.848395819344899</v>
      </c>
      <c r="AI4218">
        <v>95.157064266133403</v>
      </c>
      <c r="AJ4218">
        <v>74.492543705379205</v>
      </c>
      <c r="AK4218">
        <v>12.3460005413838</v>
      </c>
      <c r="AL4218">
        <v>70.118642298199504</v>
      </c>
      <c r="AM4218">
        <v>83.879988171778805</v>
      </c>
      <c r="AN4218">
        <v>1.00000002605664</v>
      </c>
    </row>
    <row r="4219" spans="1:40" x14ac:dyDescent="0.25">
      <c r="A4219" t="str">
        <f>"20190304164934958"</f>
        <v>20190304164934958</v>
      </c>
      <c r="B4219" t="str">
        <f>"1551689374949656"</f>
        <v>1551689374949656</v>
      </c>
      <c r="C4219" t="s">
        <v>40</v>
      </c>
      <c r="D4219">
        <v>4.0594599999999996</v>
      </c>
      <c r="E4219">
        <v>0.58369309999999996</v>
      </c>
      <c r="F4219" t="s">
        <v>45</v>
      </c>
      <c r="G4219">
        <v>-208.79650000000001</v>
      </c>
      <c r="H4219" s="1">
        <v>6.291009E-6</v>
      </c>
      <c r="I4219">
        <v>212.63589999999999</v>
      </c>
      <c r="J4219">
        <v>-219.91480000000001</v>
      </c>
      <c r="K4219">
        <v>1.109653</v>
      </c>
      <c r="L4219">
        <v>215.834</v>
      </c>
      <c r="M4219">
        <v>0.99985749999999995</v>
      </c>
      <c r="N4219">
        <v>-1.427281E-2</v>
      </c>
      <c r="O4219">
        <v>-9.0207599999999992E-3</v>
      </c>
      <c r="P4219">
        <v>0.93870430000000005</v>
      </c>
      <c r="Q4219">
        <v>0.32797999999999999</v>
      </c>
      <c r="R4219">
        <v>-0.1061298</v>
      </c>
      <c r="S4219">
        <v>3.2014619999999998</v>
      </c>
      <c r="T4219">
        <v>-0.31194280000000002</v>
      </c>
      <c r="U4219">
        <v>-0.89997859999999996</v>
      </c>
      <c r="V4219">
        <v>9.8706630000000004E-2</v>
      </c>
      <c r="W4219">
        <v>0.34105550000000001</v>
      </c>
      <c r="X4219">
        <v>0.93484659999999997</v>
      </c>
      <c r="Y4219">
        <v>0.26063570000000003</v>
      </c>
      <c r="Z4219">
        <v>-1.359489E-2</v>
      </c>
      <c r="AA4219">
        <v>0.96534149999999996</v>
      </c>
      <c r="AB4219">
        <v>30</v>
      </c>
      <c r="AC4219">
        <v>11.1183</v>
      </c>
      <c r="AD4219">
        <v>-1.109646708991</v>
      </c>
      <c r="AE4219">
        <v>-3.1981000000000099</v>
      </c>
      <c r="AF4219">
        <v>3.0694266127046301</v>
      </c>
      <c r="AG4219">
        <v>-1.109646708991</v>
      </c>
      <c r="AH4219">
        <v>11.045089310992401</v>
      </c>
      <c r="AI4219">
        <v>95.528831426289003</v>
      </c>
      <c r="AJ4219">
        <v>74.469405875537802</v>
      </c>
      <c r="AK4219">
        <v>11.517234626304701</v>
      </c>
      <c r="AL4219">
        <v>70.058806314031997</v>
      </c>
      <c r="AM4219">
        <v>83.972704917570397</v>
      </c>
      <c r="AN4219">
        <v>1.0000000092088801</v>
      </c>
    </row>
    <row r="4220" spans="1:40" x14ac:dyDescent="0.25">
      <c r="A4220" t="str">
        <f>"20190304164934978"</f>
        <v>20190304164934978</v>
      </c>
      <c r="B4220" t="str">
        <f>"1551689374970152"</f>
        <v>1551689374970152</v>
      </c>
      <c r="C4220" t="s">
        <v>40</v>
      </c>
      <c r="D4220">
        <v>4.0063579999999996</v>
      </c>
      <c r="E4220">
        <v>0.58419390000000004</v>
      </c>
      <c r="F4220" t="s">
        <v>45</v>
      </c>
      <c r="G4220">
        <v>-208.67590000000001</v>
      </c>
      <c r="H4220" s="1">
        <v>6.2338959999999996E-6</v>
      </c>
      <c r="I4220">
        <v>212.6772</v>
      </c>
      <c r="J4220">
        <v>-219.62710000000001</v>
      </c>
      <c r="K4220">
        <v>1.1095549999999901</v>
      </c>
      <c r="L4220">
        <v>215.8296</v>
      </c>
      <c r="M4220">
        <v>0.99984070000000003</v>
      </c>
      <c r="N4220">
        <v>-1.427222E-2</v>
      </c>
      <c r="O4220">
        <v>-1.072179E-2</v>
      </c>
      <c r="P4220">
        <v>0.93832959999999999</v>
      </c>
      <c r="Q4220">
        <v>0.32868730000000002</v>
      </c>
      <c r="R4220">
        <v>-0.10724880000000001</v>
      </c>
      <c r="S4220">
        <v>3.2047119999999998</v>
      </c>
      <c r="T4220">
        <v>-0.3164092</v>
      </c>
      <c r="U4220">
        <v>-0.90014649999999996</v>
      </c>
      <c r="V4220">
        <v>9.8321699999999998E-2</v>
      </c>
      <c r="W4220">
        <v>0.34173540000000002</v>
      </c>
      <c r="X4220">
        <v>0.93463890000000005</v>
      </c>
      <c r="Y4220">
        <v>0.25876850000000001</v>
      </c>
      <c r="Z4220">
        <v>-1.3503960000000001E-2</v>
      </c>
      <c r="AA4220">
        <v>0.96584499999999995</v>
      </c>
      <c r="AB4220">
        <v>30</v>
      </c>
      <c r="AC4220">
        <v>10.9512</v>
      </c>
      <c r="AD4220">
        <v>-1.10954876610399</v>
      </c>
      <c r="AE4220">
        <v>-3.1524000000000001</v>
      </c>
      <c r="AF4220">
        <v>3.0062915089632498</v>
      </c>
      <c r="AG4220">
        <v>-1.10954876610399</v>
      </c>
      <c r="AH4220">
        <v>10.881222161597099</v>
      </c>
      <c r="AI4220">
        <v>95.613394483045397</v>
      </c>
      <c r="AJ4220">
        <v>74.555454488214295</v>
      </c>
      <c r="AK4220">
        <v>11.3432747842613</v>
      </c>
      <c r="AL4220">
        <v>70.017361852273297</v>
      </c>
      <c r="AM4220">
        <v>83.994713287276497</v>
      </c>
      <c r="AN4220">
        <v>1.00000005684862</v>
      </c>
    </row>
    <row r="4221" spans="1:40" x14ac:dyDescent="0.25">
      <c r="A4221" t="str">
        <f>"20190304164935001"</f>
        <v>20190304164935001</v>
      </c>
      <c r="B4221" t="str">
        <f>"1551689374989672"</f>
        <v>1551689374989672</v>
      </c>
      <c r="C4221" t="s">
        <v>40</v>
      </c>
      <c r="D4221">
        <v>4.0533270000000003</v>
      </c>
      <c r="E4221">
        <v>0.58437649999999997</v>
      </c>
      <c r="F4221" t="s">
        <v>46</v>
      </c>
      <c r="G4221">
        <v>-210.60769999999999</v>
      </c>
      <c r="H4221" s="1">
        <v>-1.1561240000000001E-6</v>
      </c>
      <c r="I4221">
        <v>213.3056</v>
      </c>
      <c r="J4221">
        <v>-219.33019999999999</v>
      </c>
      <c r="K4221">
        <v>1.109434</v>
      </c>
      <c r="L4221">
        <v>215.8244</v>
      </c>
      <c r="M4221">
        <v>0.99981810000000004</v>
      </c>
      <c r="N4221">
        <v>-1.4272440000000001E-2</v>
      </c>
      <c r="O4221">
        <v>-1.265494E-2</v>
      </c>
      <c r="P4221">
        <v>0.93777779999999999</v>
      </c>
      <c r="Q4221">
        <v>0.32982430000000001</v>
      </c>
      <c r="R4221">
        <v>-0.1085771</v>
      </c>
      <c r="S4221">
        <v>3.233063</v>
      </c>
      <c r="T4221">
        <v>-0.39772740000000001</v>
      </c>
      <c r="U4221">
        <v>-0.90476990000000002</v>
      </c>
      <c r="V4221">
        <v>9.7950270000000006E-2</v>
      </c>
      <c r="W4221">
        <v>0.3428389</v>
      </c>
      <c r="X4221">
        <v>0.93427369999999998</v>
      </c>
      <c r="Y4221">
        <v>0.25534950000000001</v>
      </c>
      <c r="Z4221">
        <v>-1.5874889999999999E-2</v>
      </c>
      <c r="AA4221">
        <v>0.96671850000000004</v>
      </c>
      <c r="AB4221">
        <v>30</v>
      </c>
      <c r="AC4221">
        <v>8.7224999999999895</v>
      </c>
      <c r="AD4221">
        <v>-1.1094351561239999</v>
      </c>
      <c r="AE4221">
        <v>-2.5188000000000001</v>
      </c>
      <c r="AF4221">
        <v>2.3727724578606399</v>
      </c>
      <c r="AG4221">
        <v>-1.1094351561239999</v>
      </c>
      <c r="AH4221">
        <v>8.6248872232246505</v>
      </c>
      <c r="AI4221">
        <v>97.069955286957807</v>
      </c>
      <c r="AJ4221">
        <v>74.618014655555896</v>
      </c>
      <c r="AK4221">
        <v>9.0138546202925696</v>
      </c>
      <c r="AL4221">
        <v>69.950071294730506</v>
      </c>
      <c r="AM4221">
        <v>84.014912971187101</v>
      </c>
      <c r="AN4221">
        <v>1.0000000566289799</v>
      </c>
    </row>
    <row r="4222" spans="1:40" x14ac:dyDescent="0.25">
      <c r="A4222" t="str">
        <f>"20190304164935020"</f>
        <v>20190304164935020</v>
      </c>
      <c r="B4222" t="str">
        <f>"1551689375010168"</f>
        <v>1551689375010168</v>
      </c>
      <c r="C4222" t="s">
        <v>40</v>
      </c>
      <c r="D4222">
        <v>4.0587039999999996</v>
      </c>
      <c r="E4222">
        <v>0.58404609999999901</v>
      </c>
      <c r="F4222" t="s">
        <v>45</v>
      </c>
      <c r="G4222">
        <v>-208.32380000000001</v>
      </c>
      <c r="H4222" s="1">
        <v>6.0775340000000003E-6</v>
      </c>
      <c r="I4222">
        <v>212.6799</v>
      </c>
      <c r="J4222">
        <v>-219.07249999999999</v>
      </c>
      <c r="K4222">
        <v>1.1093120000000001</v>
      </c>
      <c r="L4222">
        <v>215.8193</v>
      </c>
      <c r="M4222">
        <v>0.99979309999999999</v>
      </c>
      <c r="N4222">
        <v>-1.427353E-2</v>
      </c>
      <c r="O4222">
        <v>-1.449398E-2</v>
      </c>
      <c r="P4222">
        <v>0.93738030000000006</v>
      </c>
      <c r="Q4222">
        <v>0.33041120000000002</v>
      </c>
      <c r="R4222">
        <v>-0.1102118</v>
      </c>
      <c r="S4222">
        <v>3.20668</v>
      </c>
      <c r="T4222">
        <v>-0.32322899999999999</v>
      </c>
      <c r="U4222">
        <v>-0.916153</v>
      </c>
      <c r="V4222">
        <v>9.7972119999999996E-2</v>
      </c>
      <c r="W4222">
        <v>0.34339389999999997</v>
      </c>
      <c r="X4222">
        <v>0.93406750000000005</v>
      </c>
      <c r="Y4222">
        <v>0.25939479999999998</v>
      </c>
      <c r="Z4222">
        <v>-1.3453390000000001E-2</v>
      </c>
      <c r="AA4222">
        <v>0.96567769999999997</v>
      </c>
      <c r="AB4222">
        <v>30</v>
      </c>
      <c r="AC4222">
        <v>10.7486999999999</v>
      </c>
      <c r="AD4222">
        <v>-1.109305922466</v>
      </c>
      <c r="AE4222">
        <v>-3.13939999999999</v>
      </c>
      <c r="AF4222">
        <v>2.9542701505028401</v>
      </c>
      <c r="AG4222">
        <v>-1.109305922466</v>
      </c>
      <c r="AH4222">
        <v>10.6881857136903</v>
      </c>
      <c r="AI4222">
        <v>95.712690378634406</v>
      </c>
      <c r="AJ4222">
        <v>74.548924079880194</v>
      </c>
      <c r="AK4222">
        <v>11.1443073181829</v>
      </c>
      <c r="AL4222">
        <v>69.9162157668747</v>
      </c>
      <c r="AM4222">
        <v>84.012275627785996</v>
      </c>
      <c r="AN4222">
        <v>1.00000000070537</v>
      </c>
    </row>
    <row r="4223" spans="1:40" x14ac:dyDescent="0.25">
      <c r="A4223" t="str">
        <f>"20190304164935036"</f>
        <v>20190304164935036</v>
      </c>
      <c r="B4223" t="str">
        <f>"1551689375029689"</f>
        <v>1551689375029689</v>
      </c>
      <c r="C4223" t="s">
        <v>40</v>
      </c>
      <c r="D4223">
        <v>4.0357690000000002</v>
      </c>
      <c r="E4223">
        <v>0.58383350000000001</v>
      </c>
      <c r="F4223" t="s">
        <v>45</v>
      </c>
      <c r="G4223">
        <v>-208.2225</v>
      </c>
      <c r="H4223" s="1">
        <v>6.0302399999999997E-6</v>
      </c>
      <c r="I4223">
        <v>212.7072</v>
      </c>
      <c r="J4223">
        <v>-218.87010000000001</v>
      </c>
      <c r="K4223">
        <v>1.1092029999999999</v>
      </c>
      <c r="L4223">
        <v>215.81489999999999</v>
      </c>
      <c r="M4223">
        <v>0.99976949999999998</v>
      </c>
      <c r="N4223">
        <v>-1.427493E-2</v>
      </c>
      <c r="O4223">
        <v>-1.6041730000000001E-2</v>
      </c>
      <c r="P4223">
        <v>0.93704370000000003</v>
      </c>
      <c r="Q4223">
        <v>0.33109480000000002</v>
      </c>
      <c r="R4223">
        <v>-0.1110211</v>
      </c>
      <c r="S4223">
        <v>3.2078250000000001</v>
      </c>
      <c r="T4223">
        <v>-0.3279705</v>
      </c>
      <c r="U4223">
        <v>-0.92008970000000001</v>
      </c>
      <c r="V4223">
        <v>9.7429340000000003E-2</v>
      </c>
      <c r="W4223">
        <v>0.34405210000000003</v>
      </c>
      <c r="X4223">
        <v>0.93388210000000005</v>
      </c>
      <c r="Y4223">
        <v>0.25887769999999999</v>
      </c>
      <c r="Z4223">
        <v>-1.3451400000000001E-2</v>
      </c>
      <c r="AA4223">
        <v>0.96581640000000002</v>
      </c>
      <c r="AB4223">
        <v>30</v>
      </c>
      <c r="AC4223">
        <v>10.647600000000001</v>
      </c>
      <c r="AD4223">
        <v>-1.1091969697599999</v>
      </c>
      <c r="AE4223">
        <v>-3.1076999999999901</v>
      </c>
      <c r="AF4223">
        <v>2.9074020769077098</v>
      </c>
      <c r="AG4223">
        <v>-1.1091969697599999</v>
      </c>
      <c r="AH4223">
        <v>10.590183503051</v>
      </c>
      <c r="AI4223">
        <v>95.767377885416906</v>
      </c>
      <c r="AJ4223">
        <v>74.648389995598393</v>
      </c>
      <c r="AK4223">
        <v>11.037902490184701</v>
      </c>
      <c r="AL4223">
        <v>69.876057884322293</v>
      </c>
      <c r="AM4223">
        <v>84.044035799171994</v>
      </c>
      <c r="AN4223">
        <v>1.00000005025382</v>
      </c>
    </row>
    <row r="4224" spans="1:40" x14ac:dyDescent="0.25">
      <c r="A4224" t="str">
        <f>"20190304164935054"</f>
        <v>20190304164935054</v>
      </c>
      <c r="B4224" t="str">
        <f>"1551689375049715"</f>
        <v>1551689375049715</v>
      </c>
      <c r="C4224" t="s">
        <v>40</v>
      </c>
      <c r="D4224">
        <v>4.0917870000000001</v>
      </c>
      <c r="E4224">
        <v>0.58235939999999997</v>
      </c>
      <c r="F4224" t="s">
        <v>45</v>
      </c>
      <c r="G4224">
        <v>-207.9177</v>
      </c>
      <c r="H4224" s="1">
        <v>5.8990970000000001E-6</v>
      </c>
      <c r="I4224">
        <v>212.66120000000001</v>
      </c>
      <c r="J4224">
        <v>-218.6113</v>
      </c>
      <c r="K4224">
        <v>1.109043</v>
      </c>
      <c r="L4224">
        <v>215.80850000000001</v>
      </c>
      <c r="M4224">
        <v>0.99973230000000002</v>
      </c>
      <c r="N4224">
        <v>-1.427786E-2</v>
      </c>
      <c r="O4224">
        <v>-1.821627E-2</v>
      </c>
      <c r="P4224">
        <v>0.93681130000000001</v>
      </c>
      <c r="Q4224">
        <v>0.33114329999999997</v>
      </c>
      <c r="R4224">
        <v>-0.1128237</v>
      </c>
      <c r="S4224">
        <v>3.2069399999999999</v>
      </c>
      <c r="T4224">
        <v>-0.32478030000000002</v>
      </c>
      <c r="U4224">
        <v>-0.92341609999999996</v>
      </c>
      <c r="V4224">
        <v>9.7329390000000002E-2</v>
      </c>
      <c r="W4224">
        <v>0.34406599999999998</v>
      </c>
      <c r="X4224">
        <v>0.93388740000000003</v>
      </c>
      <c r="Y4224">
        <v>0.25781120000000002</v>
      </c>
      <c r="Z4224">
        <v>-1.309842E-2</v>
      </c>
      <c r="AA4224">
        <v>0.96610649999999998</v>
      </c>
      <c r="AB4224">
        <v>30</v>
      </c>
      <c r="AC4224">
        <v>10.6936</v>
      </c>
      <c r="AD4224">
        <v>-1.109037100903</v>
      </c>
      <c r="AE4224">
        <v>-3.1473</v>
      </c>
      <c r="AF4224">
        <v>2.9230269923612999</v>
      </c>
      <c r="AG4224">
        <v>-1.109037100903</v>
      </c>
      <c r="AH4224">
        <v>10.6438063113639</v>
      </c>
      <c r="AI4224">
        <v>95.7375715205239</v>
      </c>
      <c r="AJ4224">
        <v>74.643867687455796</v>
      </c>
      <c r="AK4224">
        <v>11.093451351273901</v>
      </c>
      <c r="AL4224">
        <v>69.8752096668197</v>
      </c>
      <c r="AM4224">
        <v>84.050135524561796</v>
      </c>
      <c r="AN4224">
        <v>1.00000004919626</v>
      </c>
    </row>
    <row r="4225" spans="1:40" x14ac:dyDescent="0.25">
      <c r="A4225" t="str">
        <f>"20190304164935068"</f>
        <v>20190304164935068</v>
      </c>
      <c r="B4225" t="str">
        <f>"1551689375060450"</f>
        <v>1551689375060450</v>
      </c>
      <c r="C4225" t="s">
        <v>40</v>
      </c>
      <c r="D4225">
        <v>4.0743689999999999</v>
      </c>
      <c r="E4225">
        <v>0.5823566</v>
      </c>
      <c r="F4225" t="s">
        <v>46</v>
      </c>
      <c r="G4225">
        <v>-210.4845</v>
      </c>
      <c r="H4225" s="1">
        <v>-1.2312289999999999E-6</v>
      </c>
      <c r="I4225">
        <v>213.52459999999999</v>
      </c>
      <c r="J4225">
        <v>-218.434</v>
      </c>
      <c r="K4225">
        <v>1.1089230000000001</v>
      </c>
      <c r="L4225">
        <v>215.80359999999999</v>
      </c>
      <c r="M4225">
        <v>0.99970119999999896</v>
      </c>
      <c r="N4225">
        <v>-1.428097E-2</v>
      </c>
      <c r="O4225">
        <v>-1.9844440000000001E-2</v>
      </c>
      <c r="P4225">
        <v>0.93667880000000003</v>
      </c>
      <c r="Q4225">
        <v>0.33103389999999999</v>
      </c>
      <c r="R4225">
        <v>-0.1142343</v>
      </c>
      <c r="S4225">
        <v>3.2491150000000002</v>
      </c>
      <c r="T4225">
        <v>-0.4433993</v>
      </c>
      <c r="U4225">
        <v>-0.9131165</v>
      </c>
      <c r="V4225">
        <v>9.7313460000000004E-2</v>
      </c>
      <c r="W4225">
        <v>0.34393259999999998</v>
      </c>
      <c r="X4225">
        <v>0.93393809999999999</v>
      </c>
      <c r="Y4225">
        <v>0.24915319999999999</v>
      </c>
      <c r="Z4225">
        <v>-1.6060390000000001E-2</v>
      </c>
      <c r="AA4225">
        <v>0.96833089999999999</v>
      </c>
      <c r="AB4225">
        <v>30</v>
      </c>
      <c r="AC4225">
        <v>7.94950000000002</v>
      </c>
      <c r="AD4225">
        <v>-1.108924231229</v>
      </c>
      <c r="AE4225">
        <v>-2.2789999999999901</v>
      </c>
      <c r="AF4225">
        <v>2.0833208405760999</v>
      </c>
      <c r="AG4225">
        <v>-1.108924231229</v>
      </c>
      <c r="AH4225">
        <v>7.8519755328890204</v>
      </c>
      <c r="AI4225">
        <v>97.773151584237993</v>
      </c>
      <c r="AJ4225">
        <v>75.140406216051403</v>
      </c>
      <c r="AK4225">
        <v>8.1989913065250501</v>
      </c>
      <c r="AL4225">
        <v>69.883347812648395</v>
      </c>
      <c r="AM4225">
        <v>84.051422988372707</v>
      </c>
      <c r="AN4225">
        <v>0.99999995873576897</v>
      </c>
    </row>
    <row r="4226" spans="1:40" x14ac:dyDescent="0.25">
      <c r="A4226" t="str">
        <f>"20190304164935086"</f>
        <v>20190304164935086</v>
      </c>
      <c r="B4226" t="str">
        <f>"1551689375079971"</f>
        <v>1551689375079971</v>
      </c>
      <c r="C4226" t="s">
        <v>40</v>
      </c>
      <c r="D4226">
        <v>4.0987239999999998</v>
      </c>
      <c r="E4226">
        <v>0.58204820000000002</v>
      </c>
      <c r="F4226" t="s">
        <v>46</v>
      </c>
      <c r="G4226">
        <v>-210.33840000000001</v>
      </c>
      <c r="H4226" s="1">
        <v>-1.3084620000000001E-6</v>
      </c>
      <c r="I4226">
        <v>213.5128</v>
      </c>
      <c r="J4226">
        <v>-218.18979999999999</v>
      </c>
      <c r="K4226">
        <v>1.1087480000000001</v>
      </c>
      <c r="L4226">
        <v>215.7963</v>
      </c>
      <c r="M4226">
        <v>0.99965099999999996</v>
      </c>
      <c r="N4226">
        <v>-1.4285849999999999E-2</v>
      </c>
      <c r="O4226">
        <v>-2.2231310000000001E-2</v>
      </c>
      <c r="P4226">
        <v>0.93648980000000004</v>
      </c>
      <c r="Q4226">
        <v>0.33067600000000003</v>
      </c>
      <c r="R4226">
        <v>-0.11679340000000001</v>
      </c>
      <c r="S4226">
        <v>3.2479399999999998</v>
      </c>
      <c r="T4226">
        <v>-0.44489840000000003</v>
      </c>
      <c r="U4226">
        <v>-0.91906739999999998</v>
      </c>
      <c r="V4226">
        <v>9.7779690000000002E-2</v>
      </c>
      <c r="W4226">
        <v>0.34353719999999999</v>
      </c>
      <c r="X4226">
        <v>0.93403499999999995</v>
      </c>
      <c r="Y4226">
        <v>0.24858469999999999</v>
      </c>
      <c r="Z4226">
        <v>-1.5782259999999999E-2</v>
      </c>
      <c r="AA4226">
        <v>0.96848160000000005</v>
      </c>
      <c r="AB4226">
        <v>30</v>
      </c>
      <c r="AC4226">
        <v>7.8513999999999804</v>
      </c>
      <c r="AD4226">
        <v>-1.1087493084619999</v>
      </c>
      <c r="AE4226">
        <v>-2.2835000000000001</v>
      </c>
      <c r="AF4226">
        <v>2.0703044264843999</v>
      </c>
      <c r="AG4226">
        <v>-1.1087493084619999</v>
      </c>
      <c r="AH4226">
        <v>7.7575917015296501</v>
      </c>
      <c r="AI4226">
        <v>97.862330826290005</v>
      </c>
      <c r="AJ4226">
        <v>75.057458963029703</v>
      </c>
      <c r="AK4226">
        <v>8.1052892887902299</v>
      </c>
      <c r="AL4226">
        <v>69.907474025216899</v>
      </c>
      <c r="AM4226">
        <v>84.023744672288402</v>
      </c>
      <c r="AN4226">
        <v>1.00000002839266</v>
      </c>
    </row>
    <row r="4227" spans="1:40" x14ac:dyDescent="0.25">
      <c r="A4227" t="str">
        <f>"20190304164935101"</f>
        <v>20190304164935101</v>
      </c>
      <c r="B4227" t="str">
        <f>"1551689375089731"</f>
        <v>1551689375089731</v>
      </c>
      <c r="C4227" t="s">
        <v>40</v>
      </c>
      <c r="D4227">
        <v>4.0835619999999997</v>
      </c>
      <c r="E4227">
        <v>0.58193189999999995</v>
      </c>
      <c r="F4227" t="s">
        <v>46</v>
      </c>
      <c r="G4227">
        <v>-210.0692</v>
      </c>
      <c r="H4227" s="1">
        <v>-1.4502450000000001E-6</v>
      </c>
      <c r="I4227">
        <v>213.47929999999999</v>
      </c>
      <c r="J4227">
        <v>-217.99080000000001</v>
      </c>
      <c r="K4227">
        <v>1.1085929999999999</v>
      </c>
      <c r="L4227">
        <v>215.78980000000001</v>
      </c>
      <c r="M4227">
        <v>0.99960210000000005</v>
      </c>
      <c r="N4227">
        <v>-1.429064E-2</v>
      </c>
      <c r="O4227">
        <v>-2.4321180000000001E-2</v>
      </c>
      <c r="P4227">
        <v>0.93638399999999999</v>
      </c>
      <c r="Q4227">
        <v>0.3297542</v>
      </c>
      <c r="R4227">
        <v>-0.1201972</v>
      </c>
      <c r="S4227">
        <v>3.244415</v>
      </c>
      <c r="T4227">
        <v>-0.44298029999999999</v>
      </c>
      <c r="U4227">
        <v>-0.92572019999999999</v>
      </c>
      <c r="V4227">
        <v>9.9342100000000003E-2</v>
      </c>
      <c r="W4227">
        <v>0.34257860000000001</v>
      </c>
      <c r="X4227">
        <v>0.9342222</v>
      </c>
      <c r="Y4227">
        <v>0.24870239999999999</v>
      </c>
      <c r="Z4227">
        <v>-1.549533E-2</v>
      </c>
      <c r="AA4227">
        <v>0.96845599999999998</v>
      </c>
      <c r="AB4227">
        <v>30</v>
      </c>
      <c r="AC4227">
        <v>7.9216000000000104</v>
      </c>
      <c r="AD4227">
        <v>-1.108594450245</v>
      </c>
      <c r="AE4227">
        <v>-2.31050000000001</v>
      </c>
      <c r="AF4227">
        <v>2.0795987184232998</v>
      </c>
      <c r="AG4227">
        <v>-1.108594450245</v>
      </c>
      <c r="AH4227">
        <v>7.8340566386423403</v>
      </c>
      <c r="AI4227">
        <v>97.788173353558406</v>
      </c>
      <c r="AJ4227">
        <v>75.133353768466606</v>
      </c>
      <c r="AK4227">
        <v>8.1808407821102396</v>
      </c>
      <c r="AL4227">
        <v>69.965946314944802</v>
      </c>
      <c r="AM4227">
        <v>83.930165860758805</v>
      </c>
      <c r="AN4227">
        <v>1.0000000344916</v>
      </c>
    </row>
    <row r="4228" spans="1:40" x14ac:dyDescent="0.25">
      <c r="A4228" t="str">
        <f>"20190304164935124"</f>
        <v>20190304164935124</v>
      </c>
      <c r="B4228" t="str">
        <f>"1551689375119990"</f>
        <v>1551689375119990</v>
      </c>
      <c r="C4228" t="s">
        <v>40</v>
      </c>
      <c r="D4228">
        <v>4.0887419999999999</v>
      </c>
      <c r="E4228">
        <v>0.58185439999999999</v>
      </c>
      <c r="F4228" t="s">
        <v>46</v>
      </c>
      <c r="G4228">
        <v>-210.0557</v>
      </c>
      <c r="H4228" s="1">
        <v>-1.4585089999999999E-6</v>
      </c>
      <c r="I4228">
        <v>213.50370000000001</v>
      </c>
      <c r="J4228">
        <v>-217.68799999999999</v>
      </c>
      <c r="K4228">
        <v>1.108366</v>
      </c>
      <c r="L4228">
        <v>215.77889999999999</v>
      </c>
      <c r="M4228">
        <v>0.99951250000000003</v>
      </c>
      <c r="N4228">
        <v>-1.4299310000000001E-2</v>
      </c>
      <c r="O4228">
        <v>-2.7754839999999999E-2</v>
      </c>
      <c r="P4228">
        <v>0.93611639999999996</v>
      </c>
      <c r="Q4228">
        <v>0.32854709999999998</v>
      </c>
      <c r="R4228">
        <v>-0.12547130000000001</v>
      </c>
      <c r="S4228">
        <v>3.243439</v>
      </c>
      <c r="T4228">
        <v>-0.4531367</v>
      </c>
      <c r="U4228">
        <v>-0.9344635</v>
      </c>
      <c r="V4228">
        <v>0.10157629999999999</v>
      </c>
      <c r="W4228">
        <v>0.34131499999999998</v>
      </c>
      <c r="X4228">
        <v>0.93444439999999995</v>
      </c>
      <c r="Y4228">
        <v>0.24780559999999999</v>
      </c>
      <c r="Z4228">
        <v>-1.531282E-2</v>
      </c>
      <c r="AA4228">
        <v>0.96868869999999896</v>
      </c>
      <c r="AB4228">
        <v>30</v>
      </c>
      <c r="AC4228">
        <v>7.6322999999999803</v>
      </c>
      <c r="AD4228">
        <v>-1.108367458509</v>
      </c>
      <c r="AE4228">
        <v>-2.2751999999999799</v>
      </c>
      <c r="AF4228">
        <v>2.0232816584039601</v>
      </c>
      <c r="AG4228">
        <v>-1.108367458509</v>
      </c>
      <c r="AH4228">
        <v>7.5463562285724901</v>
      </c>
      <c r="AI4228">
        <v>98.074332950903397</v>
      </c>
      <c r="AJ4228">
        <v>74.991204973965097</v>
      </c>
      <c r="AK4228">
        <v>7.8911114186044999</v>
      </c>
      <c r="AL4228">
        <v>70.0429888748656</v>
      </c>
      <c r="AM4228">
        <v>83.796172957258307</v>
      </c>
      <c r="AN4228">
        <v>1.0000000053190199</v>
      </c>
    </row>
    <row r="4229" spans="1:40" x14ac:dyDescent="0.25">
      <c r="A4229" t="str">
        <f>"20190304164935148"</f>
        <v>20190304164935148</v>
      </c>
      <c r="B4229" t="str">
        <f>"1551689375140482"</f>
        <v>1551689375140482</v>
      </c>
      <c r="C4229" t="s">
        <v>40</v>
      </c>
      <c r="D4229">
        <v>4.1106109999999996</v>
      </c>
      <c r="E4229">
        <v>0.58166340000000005</v>
      </c>
      <c r="F4229" t="s">
        <v>46</v>
      </c>
      <c r="G4229">
        <v>-210.02430000000001</v>
      </c>
      <c r="H4229" s="1">
        <v>-1.4764820000000001E-6</v>
      </c>
      <c r="I4229">
        <v>213.53270000000001</v>
      </c>
      <c r="J4229">
        <v>-217.37440000000001</v>
      </c>
      <c r="K4229">
        <v>1.108152</v>
      </c>
      <c r="L4229">
        <v>215.76609999999999</v>
      </c>
      <c r="M4229">
        <v>0.99939849999999997</v>
      </c>
      <c r="N4229">
        <v>-1.4308390000000001E-2</v>
      </c>
      <c r="O4229">
        <v>-3.1589159999999998E-2</v>
      </c>
      <c r="P4229">
        <v>0.9354865</v>
      </c>
      <c r="Q4229">
        <v>0.32814140000000003</v>
      </c>
      <c r="R4229">
        <v>-0.13110359999999999</v>
      </c>
      <c r="S4229">
        <v>3.2419280000000001</v>
      </c>
      <c r="T4229">
        <v>-0.46886990000000001</v>
      </c>
      <c r="U4229">
        <v>-0.95016480000000003</v>
      </c>
      <c r="V4229">
        <v>0.10379770000000001</v>
      </c>
      <c r="W4229">
        <v>0.34084969999999998</v>
      </c>
      <c r="X4229">
        <v>0.93437009999999998</v>
      </c>
      <c r="Y4229">
        <v>0.24841379999999999</v>
      </c>
      <c r="Z4229">
        <v>-1.5325439999999999E-2</v>
      </c>
      <c r="AA4229">
        <v>0.96853270000000002</v>
      </c>
      <c r="AB4229">
        <v>30</v>
      </c>
      <c r="AC4229">
        <v>7.3500999999999896</v>
      </c>
      <c r="AD4229">
        <v>-1.108153476482</v>
      </c>
      <c r="AE4229">
        <v>-2.2333999999999801</v>
      </c>
      <c r="AF4229">
        <v>1.95930596274972</v>
      </c>
      <c r="AG4229">
        <v>-1.108153476482</v>
      </c>
      <c r="AH4229">
        <v>7.2657928957045304</v>
      </c>
      <c r="AI4229">
        <v>98.376967462953999</v>
      </c>
      <c r="AJ4229">
        <v>74.908493300874895</v>
      </c>
      <c r="AK4229">
        <v>7.6064860735017596</v>
      </c>
      <c r="AL4229">
        <v>70.071348796253204</v>
      </c>
      <c r="AM4229">
        <v>83.661092392418396</v>
      </c>
      <c r="AN4229">
        <v>0.99999998214469399</v>
      </c>
    </row>
    <row r="4230" spans="1:40" x14ac:dyDescent="0.25">
      <c r="A4230" t="str">
        <f>"20190304164935169"</f>
        <v>20190304164935169</v>
      </c>
      <c r="B4230" t="str">
        <f>"1551689375160509"</f>
        <v>1551689375160509</v>
      </c>
      <c r="C4230" t="s">
        <v>40</v>
      </c>
      <c r="D4230">
        <v>4.1571619999999996</v>
      </c>
      <c r="E4230">
        <v>0.58160290000000003</v>
      </c>
      <c r="F4230" t="s">
        <v>45</v>
      </c>
      <c r="G4230">
        <v>-209.7244</v>
      </c>
      <c r="H4230" s="1">
        <v>6.6290380000000002E-6</v>
      </c>
      <c r="I4230">
        <v>213.476</v>
      </c>
      <c r="J4230">
        <v>-217.09780000000001</v>
      </c>
      <c r="K4230">
        <v>1.10798</v>
      </c>
      <c r="L4230">
        <v>215.75360000000001</v>
      </c>
      <c r="M4230">
        <v>0.99927840000000001</v>
      </c>
      <c r="N4230">
        <v>-1.4315680000000001E-2</v>
      </c>
      <c r="O4230">
        <v>-3.5183659999999999E-2</v>
      </c>
      <c r="P4230">
        <v>0.93498820000000005</v>
      </c>
      <c r="Q4230">
        <v>0.327441599999999</v>
      </c>
      <c r="R4230">
        <v>-0.13630539999999999</v>
      </c>
      <c r="S4230">
        <v>3.235535</v>
      </c>
      <c r="T4230">
        <v>-0.46868670000000001</v>
      </c>
      <c r="U4230">
        <v>-0.96858219999999995</v>
      </c>
      <c r="V4230">
        <v>0.1057678</v>
      </c>
      <c r="W4230">
        <v>0.34010190000000001</v>
      </c>
      <c r="X4230">
        <v>0.93442170000000002</v>
      </c>
      <c r="Y4230">
        <v>0.25051899999999999</v>
      </c>
      <c r="Z4230">
        <v>-1.504574E-2</v>
      </c>
      <c r="AA4230">
        <v>0.96799469999999999</v>
      </c>
      <c r="AB4230">
        <v>30</v>
      </c>
      <c r="AC4230">
        <v>7.3734000000000002</v>
      </c>
      <c r="AD4230">
        <v>-1.1079733709620001</v>
      </c>
      <c r="AE4230">
        <v>-2.2776000000000001</v>
      </c>
      <c r="AF4230">
        <v>1.9760080693914801</v>
      </c>
      <c r="AG4230">
        <v>-1.1079733709620001</v>
      </c>
      <c r="AH4230">
        <v>7.2985308003321601</v>
      </c>
      <c r="AI4230">
        <v>98.336352245191804</v>
      </c>
      <c r="AJ4230">
        <v>74.850886137922402</v>
      </c>
      <c r="AK4230">
        <v>7.6420393040377901</v>
      </c>
      <c r="AL4230">
        <v>70.116917960757704</v>
      </c>
      <c r="AM4230">
        <v>83.542139484625693</v>
      </c>
      <c r="AN4230">
        <v>1.0000000216656599</v>
      </c>
    </row>
    <row r="4231" spans="1:40" x14ac:dyDescent="0.25">
      <c r="A4231" t="str">
        <f>"20190304164935190"</f>
        <v>20190304164935190</v>
      </c>
      <c r="B4231" t="str">
        <f>"1551689375180029"</f>
        <v>1551689375180029</v>
      </c>
      <c r="C4231" t="s">
        <v>40</v>
      </c>
      <c r="D4231">
        <v>4.0773239999999999</v>
      </c>
      <c r="E4231">
        <v>0.5813391</v>
      </c>
      <c r="F4231" t="s">
        <v>45</v>
      </c>
      <c r="G4231">
        <v>-209.48519999999999</v>
      </c>
      <c r="H4231" s="1">
        <v>6.5273019999999998E-6</v>
      </c>
      <c r="I4231">
        <v>213.42660000000001</v>
      </c>
      <c r="J4231">
        <v>-216.80529999999999</v>
      </c>
      <c r="K4231">
        <v>1.1078269999999999</v>
      </c>
      <c r="L4231">
        <v>215.73920000000001</v>
      </c>
      <c r="M4231">
        <v>0.99912970000000001</v>
      </c>
      <c r="N4231">
        <v>-1.4322629999999999E-2</v>
      </c>
      <c r="O4231">
        <v>-3.9176030000000001E-2</v>
      </c>
      <c r="P4231">
        <v>0.93453240000000004</v>
      </c>
      <c r="Q4231">
        <v>0.32633759999999901</v>
      </c>
      <c r="R4231">
        <v>-0.14196139999999999</v>
      </c>
      <c r="S4231">
        <v>3.2293240000000001</v>
      </c>
      <c r="T4231">
        <v>-0.47000989999999998</v>
      </c>
      <c r="U4231">
        <v>-0.98715209999999998</v>
      </c>
      <c r="V4231">
        <v>0.1078016</v>
      </c>
      <c r="W4231">
        <v>0.33895370000000002</v>
      </c>
      <c r="X4231">
        <v>0.93460639999999995</v>
      </c>
      <c r="Y4231">
        <v>0.25225999999999998</v>
      </c>
      <c r="Z4231">
        <v>-1.4725210000000001E-2</v>
      </c>
      <c r="AA4231">
        <v>0.96754739999999995</v>
      </c>
      <c r="AB4231">
        <v>30</v>
      </c>
      <c r="AC4231">
        <v>7.3200999999999903</v>
      </c>
      <c r="AD4231">
        <v>-1.1078204726980001</v>
      </c>
      <c r="AE4231">
        <v>-2.3126000000000002</v>
      </c>
      <c r="AF4231">
        <v>1.9827317948907801</v>
      </c>
      <c r="AG4231">
        <v>-1.1078204726980001</v>
      </c>
      <c r="AH4231">
        <v>7.2540212303311398</v>
      </c>
      <c r="AI4231">
        <v>98.380219288802195</v>
      </c>
      <c r="AJ4231">
        <v>74.712815515171499</v>
      </c>
      <c r="AK4231">
        <v>7.6012706556400502</v>
      </c>
      <c r="AL4231">
        <v>70.1868585155255</v>
      </c>
      <c r="AM4231">
        <v>83.420330127122199</v>
      </c>
      <c r="AN4231">
        <v>0.99999995931360397</v>
      </c>
    </row>
    <row r="4232" spans="1:40" x14ac:dyDescent="0.25">
      <c r="A4232" t="str">
        <f>"20190304164935214"</f>
        <v>20190304164935214</v>
      </c>
      <c r="B4232" t="str">
        <f>"1551689375210285"</f>
        <v>1551689375210285</v>
      </c>
      <c r="C4232" t="s">
        <v>40</v>
      </c>
      <c r="D4232">
        <v>4.0885170000000004</v>
      </c>
      <c r="E4232">
        <v>0.58083459999999998</v>
      </c>
      <c r="F4232" t="s">
        <v>45</v>
      </c>
      <c r="G4232">
        <v>-209.07169999999999</v>
      </c>
      <c r="H4232" s="1">
        <v>6.3526570000000001E-6</v>
      </c>
      <c r="I4232">
        <v>213.32650000000001</v>
      </c>
      <c r="J4232">
        <v>-216.5052</v>
      </c>
      <c r="K4232">
        <v>1.107688</v>
      </c>
      <c r="L4232">
        <v>215.72290000000001</v>
      </c>
      <c r="M4232">
        <v>0.99895330000000004</v>
      </c>
      <c r="N4232">
        <v>-1.432929E-2</v>
      </c>
      <c r="O4232">
        <v>-4.3441779999999999E-2</v>
      </c>
      <c r="P4232">
        <v>0.93384679999999998</v>
      </c>
      <c r="Q4232">
        <v>0.32534269999999998</v>
      </c>
      <c r="R4232">
        <v>-0.1486025</v>
      </c>
      <c r="S4232">
        <v>3.218658</v>
      </c>
      <c r="T4232">
        <v>-0.46106200000000003</v>
      </c>
      <c r="U4232">
        <v>-1.0041199999999999</v>
      </c>
      <c r="V4232">
        <v>0.1105564</v>
      </c>
      <c r="W4232">
        <v>0.33790949999999997</v>
      </c>
      <c r="X4232">
        <v>0.93466269999999996</v>
      </c>
      <c r="Y4232">
        <v>0.25377260000000001</v>
      </c>
      <c r="Z4232">
        <v>-1.4108229999999999E-2</v>
      </c>
      <c r="AA4232">
        <v>0.96716100000000005</v>
      </c>
      <c r="AB4232">
        <v>30</v>
      </c>
      <c r="AC4232">
        <v>7.4335000000000004</v>
      </c>
      <c r="AD4232">
        <v>-1.107681647343</v>
      </c>
      <c r="AE4232">
        <v>-2.3963999999999999</v>
      </c>
      <c r="AF4232">
        <v>2.0303409801265002</v>
      </c>
      <c r="AG4232">
        <v>-1.107681647343</v>
      </c>
      <c r="AH4232">
        <v>7.3821104311778702</v>
      </c>
      <c r="AI4232">
        <v>98.232271491005605</v>
      </c>
      <c r="AJ4232">
        <v>74.621868261510002</v>
      </c>
      <c r="AK4232">
        <v>7.7359419300785</v>
      </c>
      <c r="AL4232">
        <v>70.250438488199407</v>
      </c>
      <c r="AM4232">
        <v>83.254124251982205</v>
      </c>
      <c r="AN4232">
        <v>0.99999995527124896</v>
      </c>
    </row>
    <row r="4233" spans="1:40" x14ac:dyDescent="0.25">
      <c r="A4233" t="str">
        <f>"20190304164935229"</f>
        <v>20190304164935229</v>
      </c>
      <c r="B4233" t="str">
        <f>"1551689375220046"</f>
        <v>1551689375220046</v>
      </c>
      <c r="C4233" t="s">
        <v>40</v>
      </c>
      <c r="D4233">
        <v>4.0959180000000002</v>
      </c>
      <c r="E4233">
        <v>0.58078929999999995</v>
      </c>
      <c r="F4233" t="s">
        <v>45</v>
      </c>
      <c r="G4233">
        <v>-208.6652</v>
      </c>
      <c r="H4233" s="1">
        <v>6.1809109999999996E-6</v>
      </c>
      <c r="I4233">
        <v>213.22919999999999</v>
      </c>
      <c r="J4233">
        <v>-216.2919</v>
      </c>
      <c r="K4233">
        <v>1.107605</v>
      </c>
      <c r="L4233">
        <v>215.71039999999999</v>
      </c>
      <c r="M4233">
        <v>0.99881240000000004</v>
      </c>
      <c r="N4233">
        <v>-1.4333810000000001E-2</v>
      </c>
      <c r="O4233">
        <v>-4.656913E-2</v>
      </c>
      <c r="P4233">
        <v>0.93321849999999995</v>
      </c>
      <c r="Q4233">
        <v>0.32523279999999999</v>
      </c>
      <c r="R4233">
        <v>-0.1527326</v>
      </c>
      <c r="S4233">
        <v>3.2080540000000002</v>
      </c>
      <c r="T4233">
        <v>-0.45325090000000001</v>
      </c>
      <c r="U4233">
        <v>-1.020416</v>
      </c>
      <c r="V4233">
        <v>0.1118355</v>
      </c>
      <c r="W4233">
        <v>0.33777089999999999</v>
      </c>
      <c r="X4233">
        <v>0.93456070000000002</v>
      </c>
      <c r="Y4233">
        <v>0.2561831</v>
      </c>
      <c r="Z4233">
        <v>-1.3741690000000001E-2</v>
      </c>
      <c r="AA4233">
        <v>0.96653060000000002</v>
      </c>
      <c r="AB4233">
        <v>30</v>
      </c>
      <c r="AC4233">
        <v>7.6266999999999996</v>
      </c>
      <c r="AD4233">
        <v>-1.10759881908899</v>
      </c>
      <c r="AE4233">
        <v>-2.4811999999999999</v>
      </c>
      <c r="AF4233">
        <v>2.0835642859686501</v>
      </c>
      <c r="AG4233">
        <v>-1.10759881908899</v>
      </c>
      <c r="AH4233">
        <v>7.5892400299284004</v>
      </c>
      <c r="AI4233">
        <v>98.010953934159403</v>
      </c>
      <c r="AJ4233">
        <v>74.648154059410302</v>
      </c>
      <c r="AK4233">
        <v>7.9476147056635202</v>
      </c>
      <c r="AL4233">
        <v>70.258877322572602</v>
      </c>
      <c r="AM4233">
        <v>83.176070749255601</v>
      </c>
      <c r="AN4233">
        <v>1.0000000309657699</v>
      </c>
    </row>
    <row r="4234" spans="1:40" x14ac:dyDescent="0.25">
      <c r="A4234" t="str">
        <f>"20190304164935247"</f>
        <v>20190304164935247</v>
      </c>
      <c r="B4234" t="str">
        <f>"1551689375240544"</f>
        <v>1551689375240544</v>
      </c>
      <c r="C4234" t="s">
        <v>40</v>
      </c>
      <c r="D4234">
        <v>4.0956419999999998</v>
      </c>
      <c r="E4234">
        <v>0.58112969999999997</v>
      </c>
      <c r="F4234" t="s">
        <v>45</v>
      </c>
      <c r="G4234">
        <v>-208.4187</v>
      </c>
      <c r="H4234" s="1">
        <v>6.0767209999999997E-6</v>
      </c>
      <c r="I4234">
        <v>213.17060000000001</v>
      </c>
      <c r="J4234">
        <v>-216.06020000000001</v>
      </c>
      <c r="K4234">
        <v>1.107524</v>
      </c>
      <c r="L4234">
        <v>215.6961</v>
      </c>
      <c r="M4234">
        <v>0.99864509999999995</v>
      </c>
      <c r="N4234">
        <v>-1.4338200000000001E-2</v>
      </c>
      <c r="O4234">
        <v>-5.0024220000000001E-2</v>
      </c>
      <c r="P4234">
        <v>0.93260860000000001</v>
      </c>
      <c r="Q4234">
        <v>0.32422580000000001</v>
      </c>
      <c r="R4234">
        <v>-0.15849009999999999</v>
      </c>
      <c r="S4234">
        <v>3.2026370000000002</v>
      </c>
      <c r="T4234">
        <v>-0.4505458</v>
      </c>
      <c r="U4234">
        <v>-1.033142</v>
      </c>
      <c r="V4234">
        <v>0.1144213</v>
      </c>
      <c r="W4234">
        <v>0.33672679999999999</v>
      </c>
      <c r="X4234">
        <v>0.93462440000000002</v>
      </c>
      <c r="Y4234">
        <v>0.25683519999999999</v>
      </c>
      <c r="Z4234">
        <v>-1.3316390000000001E-2</v>
      </c>
      <c r="AA4234">
        <v>0.96636350000000004</v>
      </c>
      <c r="AB4234">
        <v>29</v>
      </c>
      <c r="AC4234">
        <v>7.6414999999999997</v>
      </c>
      <c r="AD4234">
        <v>-1.107517923279</v>
      </c>
      <c r="AE4234">
        <v>-2.5254999999999899</v>
      </c>
      <c r="AF4234">
        <v>2.1002642696553999</v>
      </c>
      <c r="AG4234">
        <v>-1.107517923279</v>
      </c>
      <c r="AH4234">
        <v>7.61408811394337</v>
      </c>
      <c r="AI4234">
        <v>97.981957398608301</v>
      </c>
      <c r="AJ4234">
        <v>74.5790542549138</v>
      </c>
      <c r="AK4234">
        <v>7.9757158775666701</v>
      </c>
      <c r="AL4234">
        <v>70.322421374061406</v>
      </c>
      <c r="AM4234">
        <v>83.020301797359494</v>
      </c>
      <c r="AN4234">
        <v>0.99999997040364397</v>
      </c>
    </row>
    <row r="4235" spans="1:40" x14ac:dyDescent="0.25">
      <c r="A4235" t="str">
        <f>"20190304164935269"</f>
        <v>20190304164935269</v>
      </c>
      <c r="B4235" t="str">
        <f>"1551689375260568"</f>
        <v>1551689375260568</v>
      </c>
      <c r="C4235" t="s">
        <v>40</v>
      </c>
      <c r="D4235">
        <v>4.0885579999999999</v>
      </c>
      <c r="E4235">
        <v>0.58035239999999999</v>
      </c>
      <c r="F4235" t="s">
        <v>45</v>
      </c>
      <c r="G4235">
        <v>-207.04849999999999</v>
      </c>
      <c r="H4235" s="1">
        <v>5.5103079999999998E-6</v>
      </c>
      <c r="I4235">
        <v>212.69900000000001</v>
      </c>
      <c r="J4235">
        <v>-215.77010000000001</v>
      </c>
      <c r="K4235">
        <v>1.1074409999999999</v>
      </c>
      <c r="L4235">
        <v>215.67689999999999</v>
      </c>
      <c r="M4235">
        <v>0.99841500000000005</v>
      </c>
      <c r="N4235">
        <v>-1.434289E-2</v>
      </c>
      <c r="O4235">
        <v>-5.442379E-2</v>
      </c>
      <c r="P4235">
        <v>0.93196429999999997</v>
      </c>
      <c r="Q4235">
        <v>0.32275720000000002</v>
      </c>
      <c r="R4235">
        <v>-0.16513829999999999</v>
      </c>
      <c r="S4235">
        <v>3.173019</v>
      </c>
      <c r="T4235">
        <v>-0.38995649999999998</v>
      </c>
      <c r="U4235">
        <v>-1.055267</v>
      </c>
      <c r="V4235">
        <v>0.1170089</v>
      </c>
      <c r="W4235">
        <v>0.33522170000000001</v>
      </c>
      <c r="X4235">
        <v>0.93484509999999998</v>
      </c>
      <c r="Y4235">
        <v>0.2617583</v>
      </c>
      <c r="Z4235">
        <v>-1.182828E-2</v>
      </c>
      <c r="AA4235">
        <v>0.9650609</v>
      </c>
      <c r="AB4235">
        <v>29</v>
      </c>
      <c r="AC4235">
        <v>8.72160000000002</v>
      </c>
      <c r="AD4235">
        <v>-1.107435489692</v>
      </c>
      <c r="AE4235">
        <v>-2.9778999999999698</v>
      </c>
      <c r="AF4235">
        <v>2.46320666419382</v>
      </c>
      <c r="AG4235">
        <v>-1.107435489692</v>
      </c>
      <c r="AH4235">
        <v>8.7444898726988605</v>
      </c>
      <c r="AI4235">
        <v>96.950059866184503</v>
      </c>
      <c r="AJ4235">
        <v>74.268176843076105</v>
      </c>
      <c r="AK4235">
        <v>9.15204368259303</v>
      </c>
      <c r="AL4235">
        <v>70.413980357655902</v>
      </c>
      <c r="AM4235">
        <v>82.865735035431101</v>
      </c>
      <c r="AN4235">
        <v>1.0000000159120499</v>
      </c>
    </row>
    <row r="4236" spans="1:40" x14ac:dyDescent="0.25">
      <c r="A4236" t="str">
        <f>"20190304164935286"</f>
        <v>20190304164935286</v>
      </c>
      <c r="B4236" t="str">
        <f>"1551689375280089"</f>
        <v>1551689375280089</v>
      </c>
      <c r="C4236" t="s">
        <v>40</v>
      </c>
      <c r="D4236">
        <v>4.1167009999999999</v>
      </c>
      <c r="E4236">
        <v>0.57940819999999904</v>
      </c>
      <c r="F4236" t="s">
        <v>45</v>
      </c>
      <c r="G4236">
        <v>-207.01650000000001</v>
      </c>
      <c r="H4236" s="1">
        <v>5.4941060000000002E-6</v>
      </c>
      <c r="I4236">
        <v>212.72219999999999</v>
      </c>
      <c r="J4236">
        <v>-215.5455</v>
      </c>
      <c r="K4236">
        <v>1.1073900000000001</v>
      </c>
      <c r="L4236">
        <v>215.6611</v>
      </c>
      <c r="M4236">
        <v>0.99822040000000001</v>
      </c>
      <c r="N4236">
        <v>-1.434597E-2</v>
      </c>
      <c r="O4236">
        <v>-5.788045E-2</v>
      </c>
      <c r="P4236">
        <v>0.9313669</v>
      </c>
      <c r="Q4236">
        <v>0.32207760000000002</v>
      </c>
      <c r="R4236">
        <v>-0.16977020000000001</v>
      </c>
      <c r="S4236">
        <v>3.16832</v>
      </c>
      <c r="T4236">
        <v>-0.40082980000000001</v>
      </c>
      <c r="U4236">
        <v>-1.0694429999999999</v>
      </c>
      <c r="V4236">
        <v>0.1184499</v>
      </c>
      <c r="W4236">
        <v>0.33451950000000003</v>
      </c>
      <c r="X4236">
        <v>0.9349151</v>
      </c>
      <c r="Y4236">
        <v>0.26265129999999998</v>
      </c>
      <c r="Z4236">
        <v>-1.1777940000000001E-2</v>
      </c>
      <c r="AA4236">
        <v>0.96481899999999998</v>
      </c>
      <c r="AB4236">
        <v>29</v>
      </c>
      <c r="AC4236">
        <v>8.5289999999999893</v>
      </c>
      <c r="AD4236">
        <v>-1.1073845058939999</v>
      </c>
      <c r="AE4236">
        <v>-2.9389000000000101</v>
      </c>
      <c r="AF4236">
        <v>2.40403328917537</v>
      </c>
      <c r="AG4236">
        <v>-1.1073845058939999</v>
      </c>
      <c r="AH4236">
        <v>8.5558950502970497</v>
      </c>
      <c r="AI4236">
        <v>97.102682095220601</v>
      </c>
      <c r="AJ4236">
        <v>74.305712096977302</v>
      </c>
      <c r="AK4236">
        <v>8.9559486717519192</v>
      </c>
      <c r="AL4236">
        <v>70.456677531211596</v>
      </c>
      <c r="AM4236">
        <v>82.7793312879963</v>
      </c>
      <c r="AN4236">
        <v>0.999999959449134</v>
      </c>
    </row>
    <row r="4237" spans="1:40" x14ac:dyDescent="0.25">
      <c r="A4237" t="str">
        <f>"20190304164935303"</f>
        <v>20190304164935303</v>
      </c>
      <c r="B4237" t="str">
        <f>"1551689375289848"</f>
        <v>1551689375289848</v>
      </c>
      <c r="C4237" t="s">
        <v>40</v>
      </c>
      <c r="D4237">
        <v>4.1113920000000004</v>
      </c>
      <c r="E4237">
        <v>0.57937260000000002</v>
      </c>
      <c r="F4237" t="s">
        <v>45</v>
      </c>
      <c r="G4237">
        <v>-206.965</v>
      </c>
      <c r="H4237" s="1">
        <v>5.469274E-6</v>
      </c>
      <c r="I4237">
        <v>212.74520000000001</v>
      </c>
      <c r="J4237">
        <v>-215.32859999999999</v>
      </c>
      <c r="K4237">
        <v>1.1073459999999999</v>
      </c>
      <c r="L4237">
        <v>215.64500000000001</v>
      </c>
      <c r="M4237">
        <v>0.99801890000000004</v>
      </c>
      <c r="N4237">
        <v>-1.434858E-2</v>
      </c>
      <c r="O4237">
        <v>-6.1257020000000002E-2</v>
      </c>
      <c r="P4237">
        <v>0.93073459999999997</v>
      </c>
      <c r="Q4237">
        <v>0.32094790000000001</v>
      </c>
      <c r="R4237">
        <v>-0.1752871</v>
      </c>
      <c r="S4237">
        <v>3.1662750000000002</v>
      </c>
      <c r="T4237">
        <v>-0.40863440000000001</v>
      </c>
      <c r="U4237">
        <v>-1.0759890000000001</v>
      </c>
      <c r="V4237">
        <v>0.120842</v>
      </c>
      <c r="W4237">
        <v>0.33335979999999998</v>
      </c>
      <c r="X4237">
        <v>0.93502320000000005</v>
      </c>
      <c r="Y4237">
        <v>0.2613335</v>
      </c>
      <c r="Z4237">
        <v>-1.1491700000000001E-2</v>
      </c>
      <c r="AA4237">
        <v>0.96518020000000004</v>
      </c>
      <c r="AB4237">
        <v>29</v>
      </c>
      <c r="AC4237">
        <v>8.3635999999999893</v>
      </c>
      <c r="AD4237">
        <v>-1.107340530726</v>
      </c>
      <c r="AE4237">
        <v>-2.8997999999999902</v>
      </c>
      <c r="AF4237">
        <v>2.34527096797932</v>
      </c>
      <c r="AG4237">
        <v>-1.107340530726</v>
      </c>
      <c r="AH4237">
        <v>8.3941842988465201</v>
      </c>
      <c r="AI4237">
        <v>97.240744261183394</v>
      </c>
      <c r="AJ4237">
        <v>74.390042724359503</v>
      </c>
      <c r="AK4237">
        <v>8.7857173302603293</v>
      </c>
      <c r="AL4237">
        <v>70.527170230917406</v>
      </c>
      <c r="AM4237">
        <v>82.635937149840601</v>
      </c>
      <c r="AN4237">
        <v>0.999999964879139</v>
      </c>
    </row>
    <row r="4238" spans="1:40" x14ac:dyDescent="0.25">
      <c r="A4238" t="str">
        <f>"20190304164935319"</f>
        <v>20190304164935319</v>
      </c>
      <c r="B4238" t="str">
        <f>"1551689375310345"</f>
        <v>1551689375310345</v>
      </c>
      <c r="C4238" t="s">
        <v>40</v>
      </c>
      <c r="D4238">
        <v>4.1899879999999996</v>
      </c>
      <c r="E4238">
        <v>0.57978299999999905</v>
      </c>
      <c r="F4238" t="s">
        <v>45</v>
      </c>
      <c r="G4238">
        <v>-206.84690000000001</v>
      </c>
      <c r="H4238" s="1">
        <v>5.4196050000000001E-6</v>
      </c>
      <c r="I4238">
        <v>212.7139</v>
      </c>
      <c r="J4238">
        <v>-215.10720000000001</v>
      </c>
      <c r="K4238">
        <v>1.107307</v>
      </c>
      <c r="L4238">
        <v>215.62790000000001</v>
      </c>
      <c r="M4238">
        <v>0.99779899999999999</v>
      </c>
      <c r="N4238">
        <v>-1.435107E-2</v>
      </c>
      <c r="O4238">
        <v>-6.4739409999999997E-2</v>
      </c>
      <c r="P4238">
        <v>0.93006860000000002</v>
      </c>
      <c r="Q4238">
        <v>0.32063999999999998</v>
      </c>
      <c r="R4238">
        <v>-0.17933940000000001</v>
      </c>
      <c r="S4238">
        <v>3.1598510000000002</v>
      </c>
      <c r="T4238">
        <v>-0.4125394</v>
      </c>
      <c r="U4238">
        <v>-1.0920099999999999</v>
      </c>
      <c r="V4238">
        <v>0.1216802</v>
      </c>
      <c r="W4238">
        <v>0.33303529999999998</v>
      </c>
      <c r="X4238">
        <v>0.93503020000000003</v>
      </c>
      <c r="Y4238">
        <v>0.26291579999999998</v>
      </c>
      <c r="Z4238">
        <v>-1.130915E-2</v>
      </c>
      <c r="AA4238">
        <v>0.96475250000000001</v>
      </c>
      <c r="AB4238">
        <v>29</v>
      </c>
      <c r="AC4238">
        <v>8.2603000000000009</v>
      </c>
      <c r="AD4238">
        <v>-1.1073015803949999</v>
      </c>
      <c r="AE4238">
        <v>-2.9140000000000099</v>
      </c>
      <c r="AF4238">
        <v>2.3357365915116999</v>
      </c>
      <c r="AG4238">
        <v>-1.1073015803949999</v>
      </c>
      <c r="AH4238">
        <v>8.2990124948783492</v>
      </c>
      <c r="AI4238">
        <v>97.318759947725297</v>
      </c>
      <c r="AJ4238">
        <v>74.280874544593203</v>
      </c>
      <c r="AK4238">
        <v>8.6922603852518794</v>
      </c>
      <c r="AL4238">
        <v>70.546890819272704</v>
      </c>
      <c r="AM4238">
        <v>82.585478913546694</v>
      </c>
      <c r="AN4238">
        <v>1.0000000285150801</v>
      </c>
    </row>
    <row r="4239" spans="1:40" x14ac:dyDescent="0.25">
      <c r="A4239" t="str">
        <f>"20190304164935334"</f>
        <v>20190304164935334</v>
      </c>
      <c r="B4239" t="str">
        <f>"1551689375329864"</f>
        <v>1551689375329864</v>
      </c>
      <c r="C4239" t="s">
        <v>40</v>
      </c>
      <c r="D4239">
        <v>4.1642089999999996</v>
      </c>
      <c r="E4239">
        <v>0.58018729999999996</v>
      </c>
      <c r="F4239" t="s">
        <v>45</v>
      </c>
      <c r="G4239">
        <v>-207.04349999999999</v>
      </c>
      <c r="H4239" s="1">
        <v>5.4991560000000003E-6</v>
      </c>
      <c r="I4239">
        <v>212.80160000000001</v>
      </c>
      <c r="J4239">
        <v>-214.90819999999999</v>
      </c>
      <c r="K4239">
        <v>1.107272</v>
      </c>
      <c r="L4239">
        <v>215.61189999999999</v>
      </c>
      <c r="M4239">
        <v>0.99758880000000005</v>
      </c>
      <c r="N4239">
        <v>-1.4353319999999999E-2</v>
      </c>
      <c r="O4239">
        <v>-6.7902420000000005E-2</v>
      </c>
      <c r="P4239">
        <v>0.92929850000000003</v>
      </c>
      <c r="Q4239">
        <v>0.32087700000000002</v>
      </c>
      <c r="R4239">
        <v>-0.18287210000000001</v>
      </c>
      <c r="S4239">
        <v>3.161575</v>
      </c>
      <c r="T4239">
        <v>-0.43414550000000002</v>
      </c>
      <c r="U4239">
        <v>-1.1081240000000001</v>
      </c>
      <c r="V4239">
        <v>0.1223096</v>
      </c>
      <c r="W4239">
        <v>0.33325559999999999</v>
      </c>
      <c r="X4239">
        <v>0.93486950000000002</v>
      </c>
      <c r="Y4239">
        <v>0.26392130000000003</v>
      </c>
      <c r="Z4239">
        <v>-1.1440250000000001E-2</v>
      </c>
      <c r="AA4239">
        <v>0.96447629999999995</v>
      </c>
      <c r="AB4239">
        <v>29</v>
      </c>
      <c r="AC4239">
        <v>7.8646999999999903</v>
      </c>
      <c r="AD4239">
        <v>-1.1072665008439999</v>
      </c>
      <c r="AE4239">
        <v>-2.8102999999999798</v>
      </c>
      <c r="AF4239">
        <v>2.23051877413155</v>
      </c>
      <c r="AG4239">
        <v>-1.1072665008439999</v>
      </c>
      <c r="AH4239">
        <v>7.8985548510722801</v>
      </c>
      <c r="AI4239">
        <v>97.683371122734002</v>
      </c>
      <c r="AJ4239">
        <v>74.230542778419604</v>
      </c>
      <c r="AK4239">
        <v>8.2818127146804095</v>
      </c>
      <c r="AL4239">
        <v>70.533502397838703</v>
      </c>
      <c r="AM4239">
        <v>82.546290119244603</v>
      </c>
      <c r="AN4239">
        <v>0.99999995760688398</v>
      </c>
    </row>
    <row r="4240" spans="1:40" x14ac:dyDescent="0.25">
      <c r="A4240" t="str">
        <f>"20190304164935350"</f>
        <v>20190304164935350</v>
      </c>
      <c r="B4240" t="str">
        <f>"1551689375339624"</f>
        <v>1551689375339624</v>
      </c>
      <c r="C4240" t="s">
        <v>40</v>
      </c>
      <c r="D4240">
        <v>4.1642270000000003</v>
      </c>
      <c r="E4240">
        <v>0.58028990000000003</v>
      </c>
      <c r="F4240" t="s">
        <v>45</v>
      </c>
      <c r="G4240">
        <v>-207.12610000000001</v>
      </c>
      <c r="H4240" s="1">
        <v>5.5317379999999997E-6</v>
      </c>
      <c r="I4240">
        <v>212.84739999999999</v>
      </c>
      <c r="J4240">
        <v>-214.69890000000001</v>
      </c>
      <c r="K4240">
        <v>1.1072310000000001</v>
      </c>
      <c r="L4240">
        <v>215.5941</v>
      </c>
      <c r="M4240">
        <v>0.9973533</v>
      </c>
      <c r="N4240">
        <v>-1.435609E-2</v>
      </c>
      <c r="O4240">
        <v>-7.1277519999999997E-2</v>
      </c>
      <c r="P4240">
        <v>0.92836890000000005</v>
      </c>
      <c r="Q4240">
        <v>0.32162849999999998</v>
      </c>
      <c r="R4240">
        <v>-0.1862434</v>
      </c>
      <c r="S4240">
        <v>3.1625670000000001</v>
      </c>
      <c r="T4240">
        <v>-0.44997730000000002</v>
      </c>
      <c r="U4240">
        <v>-1.1234280000000001</v>
      </c>
      <c r="V4240">
        <v>0.1225991</v>
      </c>
      <c r="W4240">
        <v>0.33399099999999998</v>
      </c>
      <c r="X4240">
        <v>0.93456910000000004</v>
      </c>
      <c r="Y4240">
        <v>0.26460440000000002</v>
      </c>
      <c r="Z4240">
        <v>-1.138025E-2</v>
      </c>
      <c r="AA4240">
        <v>0.96428990000000003</v>
      </c>
      <c r="AB4240">
        <v>29</v>
      </c>
      <c r="AC4240">
        <v>7.5728</v>
      </c>
      <c r="AD4240">
        <v>-1.10722546826199</v>
      </c>
      <c r="AE4240">
        <v>-2.7467000000000001</v>
      </c>
      <c r="AF4240">
        <v>2.1590962616569298</v>
      </c>
      <c r="AG4240">
        <v>-1.10722546826199</v>
      </c>
      <c r="AH4240">
        <v>7.6056453014124097</v>
      </c>
      <c r="AI4240">
        <v>97.972180171846404</v>
      </c>
      <c r="AJ4240">
        <v>74.151776548677802</v>
      </c>
      <c r="AK4240">
        <v>7.9833254571992498</v>
      </c>
      <c r="AL4240">
        <v>70.488806430723002</v>
      </c>
      <c r="AM4240">
        <v>82.526472357290004</v>
      </c>
      <c r="AN4240">
        <v>0.99999996503830901</v>
      </c>
    </row>
    <row r="4241" spans="1:40" x14ac:dyDescent="0.25">
      <c r="A4241" t="str">
        <f>"20190304164935370"</f>
        <v>20190304164935370</v>
      </c>
      <c r="B4241" t="str">
        <f>"1551689375359653"</f>
        <v>1551689375359653</v>
      </c>
      <c r="C4241" t="s">
        <v>40</v>
      </c>
      <c r="D4241">
        <v>4.1842649999999999</v>
      </c>
      <c r="E4241">
        <v>0.58108210000000005</v>
      </c>
      <c r="F4241" t="s">
        <v>45</v>
      </c>
      <c r="G4241">
        <v>-206.9804</v>
      </c>
      <c r="H4241" s="1">
        <v>5.4703209999999999E-6</v>
      </c>
      <c r="I4241">
        <v>212.81120000000001</v>
      </c>
      <c r="J4241">
        <v>-214.44470000000001</v>
      </c>
      <c r="K4241">
        <v>1.1071690000000001</v>
      </c>
      <c r="L4241">
        <v>215.57149999999999</v>
      </c>
      <c r="M4241">
        <v>0.99704610000000005</v>
      </c>
      <c r="N4241">
        <v>-1.435986E-2</v>
      </c>
      <c r="O4241">
        <v>-7.5452459999999999E-2</v>
      </c>
      <c r="P4241">
        <v>0.92737020000000003</v>
      </c>
      <c r="Q4241">
        <v>0.32220169999999998</v>
      </c>
      <c r="R4241">
        <v>-0.19018599999999999</v>
      </c>
      <c r="S4241">
        <v>3.1599430000000002</v>
      </c>
      <c r="T4241">
        <v>-0.453295</v>
      </c>
      <c r="U4241">
        <v>-1.139297</v>
      </c>
      <c r="V4241">
        <v>0.12273000000000001</v>
      </c>
      <c r="W4241">
        <v>0.33454509999999998</v>
      </c>
      <c r="X4241">
        <v>0.93435380000000001</v>
      </c>
      <c r="Y4241">
        <v>0.26511289999999998</v>
      </c>
      <c r="Z4241">
        <v>-1.096782E-2</v>
      </c>
      <c r="AA4241">
        <v>0.96415499999999998</v>
      </c>
      <c r="AB4241">
        <v>29</v>
      </c>
      <c r="AC4241">
        <v>7.4642999999999997</v>
      </c>
      <c r="AD4241">
        <v>-1.1071635296789999</v>
      </c>
      <c r="AE4241">
        <v>-2.7602999999999702</v>
      </c>
      <c r="AF4241">
        <v>2.1476064306418898</v>
      </c>
      <c r="AG4241">
        <v>-1.1071635296789999</v>
      </c>
      <c r="AH4241">
        <v>7.5060359866374</v>
      </c>
      <c r="AI4241">
        <v>98.071445768515801</v>
      </c>
      <c r="AJ4241">
        <v>74.033260327849504</v>
      </c>
      <c r="AK4241">
        <v>7.8853408737404296</v>
      </c>
      <c r="AL4241">
        <v>70.455122929291505</v>
      </c>
      <c r="AM4241">
        <v>82.516878776112605</v>
      </c>
      <c r="AN4241">
        <v>1.0000000502042199</v>
      </c>
    </row>
    <row r="4242" spans="1:40" x14ac:dyDescent="0.25">
      <c r="A4242" t="str">
        <f>"20190304164935392"</f>
        <v>20190304164935392</v>
      </c>
      <c r="B4242" t="str">
        <f>"1551689375380149"</f>
        <v>1551689375380149</v>
      </c>
      <c r="C4242" t="s">
        <v>40</v>
      </c>
      <c r="D4242">
        <v>4.1506019999999904</v>
      </c>
      <c r="E4242">
        <v>0.581395199999999</v>
      </c>
      <c r="F4242" t="s">
        <v>45</v>
      </c>
      <c r="G4242">
        <v>-206.66399999999999</v>
      </c>
      <c r="H4242" s="1">
        <v>5.3396249999999997E-6</v>
      </c>
      <c r="I4242">
        <v>212.70140000000001</v>
      </c>
      <c r="J4242">
        <v>-214.15729999999999</v>
      </c>
      <c r="K4242">
        <v>1.107075</v>
      </c>
      <c r="L4242">
        <v>215.5446</v>
      </c>
      <c r="M4242">
        <v>0.99666739999999998</v>
      </c>
      <c r="N4242">
        <v>-1.436568E-2</v>
      </c>
      <c r="O4242">
        <v>-8.029683E-2</v>
      </c>
      <c r="P4242">
        <v>0.92646280000000003</v>
      </c>
      <c r="Q4242">
        <v>0.322268</v>
      </c>
      <c r="R4242">
        <v>-0.19444800000000001</v>
      </c>
      <c r="S4242">
        <v>3.1523279999999998</v>
      </c>
      <c r="T4242">
        <v>-0.4485652</v>
      </c>
      <c r="U4242">
        <v>-1.162811</v>
      </c>
      <c r="V4242">
        <v>0.1225637</v>
      </c>
      <c r="W4242">
        <v>0.33459050000000001</v>
      </c>
      <c r="X4242">
        <v>0.9343593</v>
      </c>
      <c r="Y4242">
        <v>0.26756550000000001</v>
      </c>
      <c r="Z4242">
        <v>-1.049273E-2</v>
      </c>
      <c r="AA4242">
        <v>0.96348259999999997</v>
      </c>
      <c r="AB4242">
        <v>29</v>
      </c>
      <c r="AC4242">
        <v>7.4932999999999703</v>
      </c>
      <c r="AD4242">
        <v>-1.1070696603749901</v>
      </c>
      <c r="AE4242">
        <v>-2.8431999999999902</v>
      </c>
      <c r="AF4242">
        <v>2.1904717556461799</v>
      </c>
      <c r="AG4242">
        <v>-1.1070696603749901</v>
      </c>
      <c r="AH4242">
        <v>7.5533019461247797</v>
      </c>
      <c r="AI4242">
        <v>98.012749854969996</v>
      </c>
      <c r="AJ4242">
        <v>73.827741686906705</v>
      </c>
      <c r="AK4242">
        <v>7.9420488562170704</v>
      </c>
      <c r="AL4242">
        <v>70.4523612497062</v>
      </c>
      <c r="AM4242">
        <v>82.5269472661777</v>
      </c>
      <c r="AN4242">
        <v>0.99999998237221399</v>
      </c>
    </row>
    <row r="4243" spans="1:40" x14ac:dyDescent="0.25">
      <c r="A4243" t="str">
        <f>"20190304164935415"</f>
        <v>20190304164935415</v>
      </c>
      <c r="B4243" t="str">
        <f>"1551689375410405"</f>
        <v>1551689375410405</v>
      </c>
      <c r="C4243" t="s">
        <v>40</v>
      </c>
      <c r="D4243">
        <v>4.228796</v>
      </c>
      <c r="E4243">
        <v>0.58173359999999996</v>
      </c>
      <c r="F4243" t="s">
        <v>45</v>
      </c>
      <c r="G4243">
        <v>-206.26609999999999</v>
      </c>
      <c r="H4243" s="1">
        <v>5.1742920000000004E-6</v>
      </c>
      <c r="I4243">
        <v>212.57400000000001</v>
      </c>
      <c r="J4243">
        <v>-213.8554</v>
      </c>
      <c r="K4243">
        <v>1.1069420000000001</v>
      </c>
      <c r="L4243">
        <v>215.5147</v>
      </c>
      <c r="M4243">
        <v>0.99622999999999995</v>
      </c>
      <c r="N4243">
        <v>-1.4374059999999999E-2</v>
      </c>
      <c r="O4243">
        <v>-8.555161E-2</v>
      </c>
      <c r="P4243">
        <v>0.9254194</v>
      </c>
      <c r="Q4243">
        <v>0.32230540000000002</v>
      </c>
      <c r="R4243">
        <v>-0.1992941</v>
      </c>
      <c r="S4243">
        <v>3.143173</v>
      </c>
      <c r="T4243">
        <v>-0.44096390000000002</v>
      </c>
      <c r="U4243">
        <v>-1.183243</v>
      </c>
      <c r="V4243">
        <v>0.1226285</v>
      </c>
      <c r="W4243">
        <v>0.33459899999999998</v>
      </c>
      <c r="X4243">
        <v>0.9343477</v>
      </c>
      <c r="Y4243">
        <v>0.26897559999999998</v>
      </c>
      <c r="Z4243">
        <v>-9.8606939999999997E-3</v>
      </c>
      <c r="AA4243">
        <v>0.96309650000000002</v>
      </c>
      <c r="AB4243">
        <v>29</v>
      </c>
      <c r="AC4243">
        <v>7.5892999999999997</v>
      </c>
      <c r="AD4243">
        <v>-1.1069368257079999</v>
      </c>
      <c r="AE4243">
        <v>-2.9406999999999899</v>
      </c>
      <c r="AF4243">
        <v>2.2391557352295299</v>
      </c>
      <c r="AG4243">
        <v>-1.1069368257079999</v>
      </c>
      <c r="AH4243">
        <v>7.6711868356694097</v>
      </c>
      <c r="AI4243">
        <v>97.886295841157406</v>
      </c>
      <c r="AJ4243">
        <v>73.7279136127068</v>
      </c>
      <c r="AK4243">
        <v>8.0676040439815502</v>
      </c>
      <c r="AL4243">
        <v>70.451843426606303</v>
      </c>
      <c r="AM4243">
        <v>82.522949143905194</v>
      </c>
      <c r="AN4243">
        <v>0.99999993215426697</v>
      </c>
    </row>
    <row r="4244" spans="1:40" x14ac:dyDescent="0.25">
      <c r="A4244" t="str">
        <f>"20190304164935430"</f>
        <v>20190304164935430</v>
      </c>
      <c r="B4244" t="str">
        <f>"1551689375420165"</f>
        <v>1551689375420165</v>
      </c>
      <c r="C4244" t="s">
        <v>40</v>
      </c>
      <c r="D4244">
        <v>4.2431359999999998</v>
      </c>
      <c r="E4244">
        <v>0.58168450000000005</v>
      </c>
      <c r="F4244" t="s">
        <v>45</v>
      </c>
      <c r="G4244">
        <v>-205.82089999999999</v>
      </c>
      <c r="H4244" s="1">
        <v>4.9899049999999998E-6</v>
      </c>
      <c r="I4244">
        <v>212.42500000000001</v>
      </c>
      <c r="J4244">
        <v>-213.6499</v>
      </c>
      <c r="K4244">
        <v>1.10684</v>
      </c>
      <c r="L4244">
        <v>215.4932</v>
      </c>
      <c r="M4244">
        <v>0.9959036</v>
      </c>
      <c r="N4244">
        <v>-1.438129E-2</v>
      </c>
      <c r="O4244">
        <v>-8.9270719999999998E-2</v>
      </c>
      <c r="P4244">
        <v>0.92464049999999998</v>
      </c>
      <c r="Q4244">
        <v>0.32261260000000003</v>
      </c>
      <c r="R4244">
        <v>-0.20238880000000001</v>
      </c>
      <c r="S4244">
        <v>3.1326290000000001</v>
      </c>
      <c r="T4244">
        <v>-0.43159340000000002</v>
      </c>
      <c r="U4244">
        <v>-1.2046809999999999</v>
      </c>
      <c r="V4244">
        <v>0.1223577</v>
      </c>
      <c r="W4244">
        <v>0.33488620000000002</v>
      </c>
      <c r="X4244">
        <v>0.93428040000000001</v>
      </c>
      <c r="Y4244">
        <v>0.27226650000000002</v>
      </c>
      <c r="Z4244">
        <v>-9.5437769999999998E-3</v>
      </c>
      <c r="AA4244">
        <v>0.96217450000000004</v>
      </c>
      <c r="AB4244">
        <v>29</v>
      </c>
      <c r="AC4244">
        <v>7.8289999999999997</v>
      </c>
      <c r="AD4244">
        <v>-1.106835010095</v>
      </c>
      <c r="AE4244">
        <v>-3.0681999999999898</v>
      </c>
      <c r="AF4244">
        <v>2.3168327735437102</v>
      </c>
      <c r="AG4244">
        <v>-1.106835010095</v>
      </c>
      <c r="AH4244">
        <v>7.9341949098958997</v>
      </c>
      <c r="AI4244">
        <v>97.627080215501394</v>
      </c>
      <c r="AJ4244">
        <v>73.721877145600601</v>
      </c>
      <c r="AK4244">
        <v>8.3393193192463997</v>
      </c>
      <c r="AL4244">
        <v>70.434382426459294</v>
      </c>
      <c r="AM4244">
        <v>82.538743098749904</v>
      </c>
      <c r="AN4244">
        <v>1.0000000197619401</v>
      </c>
    </row>
    <row r="4245" spans="1:40" x14ac:dyDescent="0.25">
      <c r="A4245" t="str">
        <f>"20190304164935448"</f>
        <v>20190304164935448</v>
      </c>
      <c r="B4245" t="str">
        <f>"1551689375439685"</f>
        <v>1551689375439685</v>
      </c>
      <c r="C4245" t="s">
        <v>40</v>
      </c>
      <c r="D4245">
        <v>4.2558680000000004</v>
      </c>
      <c r="E4245">
        <v>0.58155849999999998</v>
      </c>
      <c r="F4245" t="s">
        <v>45</v>
      </c>
      <c r="G4245">
        <v>-205.69569999999999</v>
      </c>
      <c r="H4245" s="1">
        <v>4.9361110000000001E-6</v>
      </c>
      <c r="I4245">
        <v>212.4049</v>
      </c>
      <c r="J4245">
        <v>-213.43109999999999</v>
      </c>
      <c r="K4245">
        <v>1.106732</v>
      </c>
      <c r="L4245">
        <v>215.4693</v>
      </c>
      <c r="M4245">
        <v>0.99553009999999997</v>
      </c>
      <c r="N4245">
        <v>-1.438979E-2</v>
      </c>
      <c r="O4245">
        <v>-9.3342369999999994E-2</v>
      </c>
      <c r="P4245">
        <v>0.92362529999999998</v>
      </c>
      <c r="Q4245">
        <v>0.3232197</v>
      </c>
      <c r="R4245">
        <v>-0.20602309999999999</v>
      </c>
      <c r="S4245">
        <v>3.1304470000000002</v>
      </c>
      <c r="T4245">
        <v>-0.43560559999999998</v>
      </c>
      <c r="U4245">
        <v>-1.2154240000000001</v>
      </c>
      <c r="V4245">
        <v>0.12233040000000001</v>
      </c>
      <c r="W4245">
        <v>0.33546520000000002</v>
      </c>
      <c r="X4245">
        <v>0.93407620000000002</v>
      </c>
      <c r="Y4245">
        <v>0.27143479999999998</v>
      </c>
      <c r="Z4245">
        <v>-9.0619640000000005E-3</v>
      </c>
      <c r="AA4245">
        <v>0.96241410000000005</v>
      </c>
      <c r="AB4245">
        <v>29</v>
      </c>
      <c r="AC4245">
        <v>7.7353999999999896</v>
      </c>
      <c r="AD4245">
        <v>-1.1067270638889899</v>
      </c>
      <c r="AE4245">
        <v>-3.0644</v>
      </c>
      <c r="AF4245">
        <v>2.28841364376474</v>
      </c>
      <c r="AG4245">
        <v>-1.1067270638889899</v>
      </c>
      <c r="AH4245">
        <v>7.8488182284160901</v>
      </c>
      <c r="AI4245">
        <v>97.709219948647402</v>
      </c>
      <c r="AJ4245">
        <v>73.745345768640206</v>
      </c>
      <c r="AK4245">
        <v>8.2501896573127098</v>
      </c>
      <c r="AL4245">
        <v>70.399170749008206</v>
      </c>
      <c r="AM4245">
        <v>82.538776689922301</v>
      </c>
      <c r="AN4245">
        <v>0.99999998729081996</v>
      </c>
    </row>
    <row r="4246" spans="1:40" x14ac:dyDescent="0.25">
      <c r="A4246" t="str">
        <f>"20190304164935470"</f>
        <v>20190304164935470</v>
      </c>
      <c r="B4246" t="str">
        <f>"1551689375460180"</f>
        <v>1551689375460180</v>
      </c>
      <c r="C4246" t="s">
        <v>40</v>
      </c>
      <c r="D4246">
        <v>4.2435</v>
      </c>
      <c r="E4246">
        <v>0.58146969999999898</v>
      </c>
      <c r="F4246" t="s">
        <v>45</v>
      </c>
      <c r="G4246">
        <v>-205.62119999999999</v>
      </c>
      <c r="H4246" s="1">
        <v>4.9026670000000002E-6</v>
      </c>
      <c r="I4246">
        <v>212.40989999999999</v>
      </c>
      <c r="J4246">
        <v>-213.1413</v>
      </c>
      <c r="K4246">
        <v>1.1065780000000001</v>
      </c>
      <c r="L4246">
        <v>215.43610000000001</v>
      </c>
      <c r="M4246">
        <v>0.99499059999999995</v>
      </c>
      <c r="N4246">
        <v>-1.440257E-2</v>
      </c>
      <c r="O4246">
        <v>-9.8926979999999998E-2</v>
      </c>
      <c r="P4246">
        <v>0.92177949999999997</v>
      </c>
      <c r="Q4246">
        <v>0.32485979999999998</v>
      </c>
      <c r="R4246">
        <v>-0.21163470000000001</v>
      </c>
      <c r="S4246">
        <v>3.1298219999999999</v>
      </c>
      <c r="T4246">
        <v>-0.44352330000000001</v>
      </c>
      <c r="U4246">
        <v>-1.2260279999999999</v>
      </c>
      <c r="V4246">
        <v>0.1229759</v>
      </c>
      <c r="W4246">
        <v>0.33705449999999998</v>
      </c>
      <c r="X4246">
        <v>0.93341909999999895</v>
      </c>
      <c r="Y4246">
        <v>0.26893470000000003</v>
      </c>
      <c r="Z4246">
        <v>-8.3060210000000002E-3</v>
      </c>
      <c r="AA4246">
        <v>0.96312260000000005</v>
      </c>
      <c r="AB4246">
        <v>29</v>
      </c>
      <c r="AC4246">
        <v>7.52010000000001</v>
      </c>
      <c r="AD4246">
        <v>-1.1065730973329999</v>
      </c>
      <c r="AE4246">
        <v>-3.02620000000001</v>
      </c>
      <c r="AF4246">
        <v>2.2258557404498398</v>
      </c>
      <c r="AG4246">
        <v>-1.1065730973329999</v>
      </c>
      <c r="AH4246">
        <v>7.6402318350450598</v>
      </c>
      <c r="AI4246">
        <v>97.916447013874404</v>
      </c>
      <c r="AJ4246">
        <v>73.757387538333603</v>
      </c>
      <c r="AK4246">
        <v>8.0344309251041999</v>
      </c>
      <c r="AL4246">
        <v>70.302480694872301</v>
      </c>
      <c r="AM4246">
        <v>82.494633448450699</v>
      </c>
      <c r="AN4246">
        <v>1.00000001209793</v>
      </c>
    </row>
    <row r="4247" spans="1:40" x14ac:dyDescent="0.25">
      <c r="A4247" t="str">
        <f>"20190304164935493"</f>
        <v>20190304164935493</v>
      </c>
      <c r="B4247" t="str">
        <f>"1551689375490437"</f>
        <v>1551689375490437</v>
      </c>
      <c r="C4247" t="s">
        <v>40</v>
      </c>
      <c r="D4247">
        <v>4.2566420000000003</v>
      </c>
      <c r="E4247">
        <v>0.58135859999999995</v>
      </c>
      <c r="F4247" t="s">
        <v>45</v>
      </c>
      <c r="G4247">
        <v>-205.39850000000001</v>
      </c>
      <c r="H4247" s="1">
        <v>4.8082559999999998E-6</v>
      </c>
      <c r="I4247">
        <v>212.35980000000001</v>
      </c>
      <c r="J4247">
        <v>-212.8476</v>
      </c>
      <c r="K4247">
        <v>1.1064320000000001</v>
      </c>
      <c r="L4247">
        <v>215.4006</v>
      </c>
      <c r="M4247">
        <v>0.99438839999999995</v>
      </c>
      <c r="N4247">
        <v>-1.441663E-2</v>
      </c>
      <c r="O4247">
        <v>-0.10480399999999999</v>
      </c>
      <c r="P4247">
        <v>0.9194852</v>
      </c>
      <c r="Q4247">
        <v>0.32712570000000002</v>
      </c>
      <c r="R4247">
        <v>-0.21802750000000001</v>
      </c>
      <c r="S4247">
        <v>3.1268310000000001</v>
      </c>
      <c r="T4247">
        <v>-0.4468763</v>
      </c>
      <c r="U4247">
        <v>-1.24234</v>
      </c>
      <c r="V4247">
        <v>0.124185199999999</v>
      </c>
      <c r="W4247">
        <v>0.33926050000000002</v>
      </c>
      <c r="X4247">
        <v>0.93245929999999999</v>
      </c>
      <c r="Y4247">
        <v>0.26793349999999999</v>
      </c>
      <c r="Z4247">
        <v>-7.559189E-3</v>
      </c>
      <c r="AA4247">
        <v>0.96340780000000004</v>
      </c>
      <c r="AB4247">
        <v>29</v>
      </c>
      <c r="AC4247">
        <v>7.4490999999999801</v>
      </c>
      <c r="AD4247">
        <v>-1.1064271917439901</v>
      </c>
      <c r="AE4247">
        <v>-3.0407999999999902</v>
      </c>
      <c r="AF4247">
        <v>2.2016398045217702</v>
      </c>
      <c r="AG4247">
        <v>-1.1064271917439901</v>
      </c>
      <c r="AH4247">
        <v>7.5833840948857798</v>
      </c>
      <c r="AI4247">
        <v>97.976123476812404</v>
      </c>
      <c r="AJ4247">
        <v>73.810708982375502</v>
      </c>
      <c r="AK4247">
        <v>7.9736511893894502</v>
      </c>
      <c r="AL4247">
        <v>70.168173820633399</v>
      </c>
      <c r="AM4247">
        <v>82.41397237468</v>
      </c>
      <c r="AN4247">
        <v>0.99999999845789</v>
      </c>
    </row>
    <row r="4248" spans="1:40" x14ac:dyDescent="0.25">
      <c r="A4248" t="str">
        <f>"20190304164935516"</f>
        <v>20190304164935516</v>
      </c>
      <c r="B4248" t="str">
        <f>"1551689375509968"</f>
        <v>1551689375509968</v>
      </c>
      <c r="C4248" t="s">
        <v>40</v>
      </c>
      <c r="D4248">
        <v>4.2177259999999999</v>
      </c>
      <c r="E4248">
        <v>0.57952519999999996</v>
      </c>
      <c r="F4248" t="s">
        <v>45</v>
      </c>
      <c r="G4248">
        <v>-205.1249</v>
      </c>
      <c r="H4248" s="1">
        <v>4.6936320000000003E-6</v>
      </c>
      <c r="I4248">
        <v>212.28319999999999</v>
      </c>
      <c r="J4248">
        <v>-212.54740000000001</v>
      </c>
      <c r="K4248">
        <v>1.106285</v>
      </c>
      <c r="L4248">
        <v>215.3623</v>
      </c>
      <c r="M4248">
        <v>0.99371180000000003</v>
      </c>
      <c r="N4248">
        <v>-1.443083E-2</v>
      </c>
      <c r="O4248">
        <v>-0.1110353</v>
      </c>
      <c r="P4248">
        <v>0.91734870000000002</v>
      </c>
      <c r="Q4248">
        <v>0.32861249999999997</v>
      </c>
      <c r="R4248">
        <v>-0.224689</v>
      </c>
      <c r="S4248">
        <v>3.1229550000000001</v>
      </c>
      <c r="T4248">
        <v>-0.4474224</v>
      </c>
      <c r="U4248">
        <v>-1.260635</v>
      </c>
      <c r="V4248">
        <v>0.12530659999999999</v>
      </c>
      <c r="W4248">
        <v>0.3406942</v>
      </c>
      <c r="X4248">
        <v>0.93178629999999996</v>
      </c>
      <c r="Y4248">
        <v>0.26721790000000001</v>
      </c>
      <c r="Z4248">
        <v>-6.7600910000000002E-3</v>
      </c>
      <c r="AA4248">
        <v>0.96361240000000004</v>
      </c>
      <c r="AB4248">
        <v>29</v>
      </c>
      <c r="AC4248">
        <v>7.4225000000000101</v>
      </c>
      <c r="AD4248">
        <v>-1.106280306368</v>
      </c>
      <c r="AE4248">
        <v>-3.0791000000000102</v>
      </c>
      <c r="AF4248">
        <v>2.1942246492435502</v>
      </c>
      <c r="AG4248">
        <v>-1.106280306368</v>
      </c>
      <c r="AH4248">
        <v>7.5749519662728799</v>
      </c>
      <c r="AI4248">
        <v>97.985223826416501</v>
      </c>
      <c r="AJ4248">
        <v>73.845364910884001</v>
      </c>
      <c r="AK4248">
        <v>7.9635654840622099</v>
      </c>
      <c r="AL4248">
        <v>70.080825784527704</v>
      </c>
      <c r="AM4248">
        <v>82.340816083209603</v>
      </c>
      <c r="AN4248">
        <v>0.999999995392444</v>
      </c>
    </row>
    <row r="4249" spans="1:40" x14ac:dyDescent="0.25">
      <c r="A4249" t="str">
        <f>"20190304164935538"</f>
        <v>20190304164935538</v>
      </c>
      <c r="B4249" t="str">
        <f>"1551689375530454"</f>
        <v>1551689375530454</v>
      </c>
      <c r="C4249" t="s">
        <v>40</v>
      </c>
      <c r="D4249">
        <v>4.2848649999999999</v>
      </c>
      <c r="E4249">
        <v>0.57957689999999995</v>
      </c>
      <c r="F4249" t="s">
        <v>45</v>
      </c>
      <c r="G4249">
        <v>-205.7921</v>
      </c>
      <c r="H4249" s="1">
        <v>4.9580510000000001E-6</v>
      </c>
      <c r="I4249">
        <v>212.64279999999999</v>
      </c>
      <c r="J4249">
        <v>-212.26159999999999</v>
      </c>
      <c r="K4249">
        <v>1.106168</v>
      </c>
      <c r="L4249">
        <v>215.3237</v>
      </c>
      <c r="M4249">
        <v>0.99300809999999995</v>
      </c>
      <c r="N4249">
        <v>-1.444354E-2</v>
      </c>
      <c r="O4249">
        <v>-0.11716</v>
      </c>
      <c r="P4249">
        <v>0.91542749999999995</v>
      </c>
      <c r="Q4249">
        <v>0.32926809999999901</v>
      </c>
      <c r="R4249">
        <v>-0.23146349999999999</v>
      </c>
      <c r="S4249">
        <v>3.1446839999999998</v>
      </c>
      <c r="T4249">
        <v>-0.51498500000000003</v>
      </c>
      <c r="U4249">
        <v>-1.2659450000000001</v>
      </c>
      <c r="V4249">
        <v>0.1265925</v>
      </c>
      <c r="W4249">
        <v>0.3413042</v>
      </c>
      <c r="X4249">
        <v>0.93138920000000003</v>
      </c>
      <c r="Y4249">
        <v>0.26002589999999998</v>
      </c>
      <c r="Z4249">
        <v>-5.7412260000000003E-3</v>
      </c>
      <c r="AA4249">
        <v>0.96558460000000002</v>
      </c>
      <c r="AB4249">
        <v>29</v>
      </c>
      <c r="AC4249">
        <v>6.4694999999999796</v>
      </c>
      <c r="AD4249">
        <v>-1.1061630419490001</v>
      </c>
      <c r="AE4249">
        <v>-2.6808999999999998</v>
      </c>
      <c r="AF4249">
        <v>1.8580291805222899</v>
      </c>
      <c r="AG4249">
        <v>-1.1061630419490001</v>
      </c>
      <c r="AH4249">
        <v>6.57501494225248</v>
      </c>
      <c r="AI4249">
        <v>99.196233501608205</v>
      </c>
      <c r="AJ4249">
        <v>74.220273287433997</v>
      </c>
      <c r="AK4249">
        <v>6.9214659286808304</v>
      </c>
      <c r="AL4249">
        <v>70.043647713289801</v>
      </c>
      <c r="AM4249">
        <v>82.259905897273597</v>
      </c>
      <c r="AN4249">
        <v>1.00000002993526</v>
      </c>
    </row>
    <row r="4250" spans="1:40" x14ac:dyDescent="0.25">
      <c r="A4250" t="str">
        <f>"20190304164935560"</f>
        <v>20190304164935560</v>
      </c>
      <c r="B4250" t="str">
        <f>"1551689375549973"</f>
        <v>1551689375549973</v>
      </c>
      <c r="C4250" t="s">
        <v>40</v>
      </c>
      <c r="D4250">
        <v>4.2938640000000001</v>
      </c>
      <c r="E4250">
        <v>0.57946519999999901</v>
      </c>
      <c r="F4250" t="s">
        <v>45</v>
      </c>
      <c r="G4250">
        <v>-205.7064</v>
      </c>
      <c r="H4250" s="1">
        <v>4.9205779999999998E-6</v>
      </c>
      <c r="I4250">
        <v>212.63679999999999</v>
      </c>
      <c r="J4250">
        <v>-211.98140000000001</v>
      </c>
      <c r="K4250">
        <v>1.1060859999999999</v>
      </c>
      <c r="L4250">
        <v>215.28399999999999</v>
      </c>
      <c r="M4250">
        <v>0.99226550000000002</v>
      </c>
      <c r="N4250">
        <v>-1.4454669999999999E-2</v>
      </c>
      <c r="O4250">
        <v>-0.12328989999999999</v>
      </c>
      <c r="P4250">
        <v>0.91300939999999997</v>
      </c>
      <c r="Q4250">
        <v>0.3302582</v>
      </c>
      <c r="R4250">
        <v>-0.23946500000000001</v>
      </c>
      <c r="S4250">
        <v>3.142242</v>
      </c>
      <c r="T4250">
        <v>-0.5302384</v>
      </c>
      <c r="U4250">
        <v>-1.287949</v>
      </c>
      <c r="V4250">
        <v>0.12913859999999999</v>
      </c>
      <c r="W4250">
        <v>0.34223589999999998</v>
      </c>
      <c r="X4250">
        <v>0.93069749999999996</v>
      </c>
      <c r="Y4250">
        <v>0.26008100000000001</v>
      </c>
      <c r="Z4250">
        <v>-4.9278830000000001E-3</v>
      </c>
      <c r="AA4250">
        <v>0.96557420000000005</v>
      </c>
      <c r="AB4250">
        <v>29</v>
      </c>
      <c r="AC4250">
        <v>6.2750000000000004</v>
      </c>
      <c r="AD4250">
        <v>-1.106081079422</v>
      </c>
      <c r="AE4250">
        <v>-2.6472000000000202</v>
      </c>
      <c r="AF4250">
        <v>1.8056484233422101</v>
      </c>
      <c r="AG4250">
        <v>-1.106081079422</v>
      </c>
      <c r="AH4250">
        <v>6.3851082476999199</v>
      </c>
      <c r="AI4250">
        <v>99.463691536326394</v>
      </c>
      <c r="AJ4250">
        <v>74.209597047056704</v>
      </c>
      <c r="AK4250">
        <v>6.7270639150984097</v>
      </c>
      <c r="AL4250">
        <v>69.986844409942094</v>
      </c>
      <c r="AM4250">
        <v>82.100383552547797</v>
      </c>
      <c r="AN4250">
        <v>1.0000000128825099</v>
      </c>
    </row>
    <row r="4251" spans="1:40" x14ac:dyDescent="0.25">
      <c r="A4251" t="str">
        <f>"20190304164935582"</f>
        <v>20190304164935582</v>
      </c>
      <c r="B4251" t="str">
        <f>"1551689375570469"</f>
        <v>1551689375570469</v>
      </c>
      <c r="C4251" t="s">
        <v>40</v>
      </c>
      <c r="D4251">
        <v>4.2273529999999999</v>
      </c>
      <c r="E4251">
        <v>0.57932830000000002</v>
      </c>
      <c r="F4251" t="s">
        <v>45</v>
      </c>
      <c r="G4251">
        <v>-205.5136</v>
      </c>
      <c r="H4251" s="1">
        <v>4.8397569999999997E-6</v>
      </c>
      <c r="I4251">
        <v>212.58349999999999</v>
      </c>
      <c r="J4251">
        <v>-211.69839999999999</v>
      </c>
      <c r="K4251">
        <v>1.1060049999999999</v>
      </c>
      <c r="L4251">
        <v>215.24199999999999</v>
      </c>
      <c r="M4251">
        <v>0.99146389999999995</v>
      </c>
      <c r="N4251">
        <v>-1.4463749999999999E-2</v>
      </c>
      <c r="O4251">
        <v>-0.12957650000000001</v>
      </c>
      <c r="P4251">
        <v>0.91128390000000004</v>
      </c>
      <c r="Q4251">
        <v>0.3294743</v>
      </c>
      <c r="R4251">
        <v>-0.2469983</v>
      </c>
      <c r="S4251">
        <v>3.1363979999999998</v>
      </c>
      <c r="T4251">
        <v>-0.53636359999999905</v>
      </c>
      <c r="U4251">
        <v>-1.309509</v>
      </c>
      <c r="V4251">
        <v>0.1309486</v>
      </c>
      <c r="W4251">
        <v>0.341418099999999</v>
      </c>
      <c r="X4251">
        <v>0.93074489999999999</v>
      </c>
      <c r="Y4251">
        <v>0.26027909999999999</v>
      </c>
      <c r="Z4251">
        <v>-4.0471420000000001E-3</v>
      </c>
      <c r="AA4251">
        <v>0.96552490000000002</v>
      </c>
      <c r="AB4251">
        <v>29</v>
      </c>
      <c r="AC4251">
        <v>6.1847999999999903</v>
      </c>
      <c r="AD4251">
        <v>-1.1060001602430001</v>
      </c>
      <c r="AE4251">
        <v>-2.6585000000000298</v>
      </c>
      <c r="AF4251">
        <v>1.7863770724988799</v>
      </c>
      <c r="AG4251">
        <v>-1.1060001602430001</v>
      </c>
      <c r="AH4251">
        <v>6.3069295348155601</v>
      </c>
      <c r="AI4251">
        <v>99.577044039545598</v>
      </c>
      <c r="AJ4251">
        <v>74.185736615441499</v>
      </c>
      <c r="AK4251">
        <v>6.6476867823879902</v>
      </c>
      <c r="AL4251">
        <v>70.036703254284703</v>
      </c>
      <c r="AM4251">
        <v>81.991492403632606</v>
      </c>
      <c r="AN4251">
        <v>0.99999996186278906</v>
      </c>
    </row>
    <row r="4252" spans="1:40" x14ac:dyDescent="0.25">
      <c r="A4252" t="str">
        <f>"20190304164935604"</f>
        <v>20190304164935604</v>
      </c>
      <c r="B4252" t="str">
        <f>"1551689375599749"</f>
        <v>1551689375599749</v>
      </c>
      <c r="C4252" t="s">
        <v>40</v>
      </c>
      <c r="D4252">
        <v>4.3081940000000003</v>
      </c>
      <c r="E4252">
        <v>0.5793663</v>
      </c>
      <c r="F4252" t="s">
        <v>45</v>
      </c>
      <c r="G4252">
        <v>-205.26490000000001</v>
      </c>
      <c r="H4252" s="1">
        <v>4.7366730000000002E-6</v>
      </c>
      <c r="I4252">
        <v>212.50120000000001</v>
      </c>
      <c r="J4252">
        <v>-211.41079999999999</v>
      </c>
      <c r="K4252">
        <v>1.105947</v>
      </c>
      <c r="L4252">
        <v>215.19739999999999</v>
      </c>
      <c r="M4252">
        <v>0.99059949999999997</v>
      </c>
      <c r="N4252">
        <v>-1.44706E-2</v>
      </c>
      <c r="O4252">
        <v>-0.13602700000000001</v>
      </c>
      <c r="P4252">
        <v>0.90954469999999998</v>
      </c>
      <c r="Q4252">
        <v>0.32894659999999998</v>
      </c>
      <c r="R4252">
        <v>-0.25401279999999998</v>
      </c>
      <c r="S4252">
        <v>3.1254270000000002</v>
      </c>
      <c r="T4252">
        <v>-0.53730149999999999</v>
      </c>
      <c r="U4252">
        <v>-1.3314820000000001</v>
      </c>
      <c r="V4252">
        <v>0.13207360000000001</v>
      </c>
      <c r="W4252">
        <v>0.3408699</v>
      </c>
      <c r="X4252">
        <v>0.93078689999999997</v>
      </c>
      <c r="Y4252">
        <v>0.26100699999999999</v>
      </c>
      <c r="Z4252">
        <v>-3.1738360000000002E-3</v>
      </c>
      <c r="AA4252">
        <v>0.96533170000000001</v>
      </c>
      <c r="AB4252">
        <v>29</v>
      </c>
      <c r="AC4252">
        <v>6.1458999999999797</v>
      </c>
      <c r="AD4252">
        <v>-1.105942263327</v>
      </c>
      <c r="AE4252">
        <v>-2.69619999999997</v>
      </c>
      <c r="AF4252">
        <v>1.7865248202794699</v>
      </c>
      <c r="AG4252">
        <v>-1.105942263327</v>
      </c>
      <c r="AH4252">
        <v>6.2848902541763696</v>
      </c>
      <c r="AI4252">
        <v>99.606991386355901</v>
      </c>
      <c r="AJ4252">
        <v>74.131821985391198</v>
      </c>
      <c r="AK4252">
        <v>6.6268110528616004</v>
      </c>
      <c r="AL4252">
        <v>70.070117835852599</v>
      </c>
      <c r="AM4252">
        <v>81.923953667892306</v>
      </c>
      <c r="AN4252">
        <v>0.99999998887728903</v>
      </c>
    </row>
    <row r="4253" spans="1:40" x14ac:dyDescent="0.25">
      <c r="A4253" t="str">
        <f>"20190304164935627"</f>
        <v>20190304164935627</v>
      </c>
      <c r="B4253" t="str">
        <f>"1551689375620248"</f>
        <v>1551689375620248</v>
      </c>
      <c r="C4253" t="s">
        <v>40</v>
      </c>
      <c r="D4253">
        <v>4.3603319999999997</v>
      </c>
      <c r="E4253">
        <v>0.57941350000000003</v>
      </c>
      <c r="F4253" t="s">
        <v>45</v>
      </c>
      <c r="G4253">
        <v>-204.9605</v>
      </c>
      <c r="H4253" s="1">
        <v>4.6113280000000001E-6</v>
      </c>
      <c r="I4253">
        <v>212.39060000000001</v>
      </c>
      <c r="J4253">
        <v>-211.12739999999999</v>
      </c>
      <c r="K4253">
        <v>1.1059129999999999</v>
      </c>
      <c r="L4253">
        <v>215.1515</v>
      </c>
      <c r="M4253">
        <v>0.98970130000000001</v>
      </c>
      <c r="N4253">
        <v>-1.4475470000000001E-2</v>
      </c>
      <c r="O4253">
        <v>-0.14241409999999999</v>
      </c>
      <c r="P4253">
        <v>0.90793310000000005</v>
      </c>
      <c r="Q4253">
        <v>0.3279202</v>
      </c>
      <c r="R4253">
        <v>-0.26101010000000002</v>
      </c>
      <c r="S4253">
        <v>3.113083</v>
      </c>
      <c r="T4253">
        <v>-0.53375410000000001</v>
      </c>
      <c r="U4253">
        <v>-1.3545990000000001</v>
      </c>
      <c r="V4253">
        <v>0.13319829999999999</v>
      </c>
      <c r="W4253">
        <v>0.33982970000000001</v>
      </c>
      <c r="X4253">
        <v>0.93100700000000003</v>
      </c>
      <c r="Y4253">
        <v>0.26227209999999901</v>
      </c>
      <c r="Z4253">
        <v>-2.3653989999999998E-3</v>
      </c>
      <c r="AA4253">
        <v>0.96499109999999999</v>
      </c>
      <c r="AB4253">
        <v>29</v>
      </c>
      <c r="AC4253">
        <v>6.1668999999999903</v>
      </c>
      <c r="AD4253">
        <v>-1.105908388672</v>
      </c>
      <c r="AE4253">
        <v>-2.7608999999999901</v>
      </c>
      <c r="AF4253">
        <v>1.8060243819299899</v>
      </c>
      <c r="AG4253">
        <v>-1.105908388672</v>
      </c>
      <c r="AH4253">
        <v>6.3277429140573904</v>
      </c>
      <c r="AI4253">
        <v>99.539990800535705</v>
      </c>
      <c r="AJ4253">
        <v>74.070528997313005</v>
      </c>
      <c r="AK4253">
        <v>6.6727121786170498</v>
      </c>
      <c r="AL4253">
        <v>70.133501660984706</v>
      </c>
      <c r="AM4253">
        <v>81.857998659779497</v>
      </c>
      <c r="AN4253">
        <v>1.0000000230869801</v>
      </c>
    </row>
    <row r="4254" spans="1:40" x14ac:dyDescent="0.25">
      <c r="A4254" t="str">
        <f>"20190304164935649"</f>
        <v>20190304164935649</v>
      </c>
      <c r="B4254" t="str">
        <f>"1551689375639765"</f>
        <v>1551689375639765</v>
      </c>
      <c r="C4254" t="s">
        <v>40</v>
      </c>
      <c r="D4254">
        <v>4.3756089999999999</v>
      </c>
      <c r="E4254">
        <v>0.57952269999999995</v>
      </c>
      <c r="F4254" t="s">
        <v>45</v>
      </c>
      <c r="G4254">
        <v>-204.81219999999999</v>
      </c>
      <c r="H4254" s="1">
        <v>4.5494710000000001E-6</v>
      </c>
      <c r="I4254">
        <v>212.3459</v>
      </c>
      <c r="J4254">
        <v>-210.8391</v>
      </c>
      <c r="K4254">
        <v>1.1059060000000001</v>
      </c>
      <c r="L4254">
        <v>215.10290000000001</v>
      </c>
      <c r="M4254">
        <v>0.98874260000000003</v>
      </c>
      <c r="N4254">
        <v>-1.447901E-2</v>
      </c>
      <c r="O4254">
        <v>-0.1489241</v>
      </c>
      <c r="P4254">
        <v>0.90624369999999999</v>
      </c>
      <c r="Q4254">
        <v>0.32685439999999999</v>
      </c>
      <c r="R4254">
        <v>-0.26812009999999997</v>
      </c>
      <c r="S4254">
        <v>3.104095</v>
      </c>
      <c r="T4254">
        <v>-0.54357849999999996</v>
      </c>
      <c r="U4254">
        <v>-1.3790129999999901</v>
      </c>
      <c r="V4254">
        <v>0.13431360000000001</v>
      </c>
      <c r="W4254">
        <v>0.33875359999999999</v>
      </c>
      <c r="X4254">
        <v>0.93123889999999998</v>
      </c>
      <c r="Y4254">
        <v>0.26329130000000001</v>
      </c>
      <c r="Z4254">
        <v>-1.46623E-3</v>
      </c>
      <c r="AA4254">
        <v>0.96471519999999999</v>
      </c>
      <c r="AB4254">
        <v>29</v>
      </c>
      <c r="AC4254">
        <v>6.0269000000000101</v>
      </c>
      <c r="AD4254">
        <v>-1.1059014505289999</v>
      </c>
      <c r="AE4254">
        <v>-2.7570000000000001</v>
      </c>
      <c r="AF4254">
        <v>1.77906874403274</v>
      </c>
      <c r="AG4254">
        <v>-1.1059014505289999</v>
      </c>
      <c r="AH4254">
        <v>6.1977371440683102</v>
      </c>
      <c r="AI4254">
        <v>99.732116139611307</v>
      </c>
      <c r="AJ4254">
        <v>73.983803346036694</v>
      </c>
      <c r="AK4254">
        <v>6.5421746630031503</v>
      </c>
      <c r="AL4254">
        <v>70.199045510243096</v>
      </c>
      <c r="AM4254">
        <v>81.792765680171399</v>
      </c>
      <c r="AN4254">
        <v>1.0000000167655601</v>
      </c>
    </row>
    <row r="4255" spans="1:40" x14ac:dyDescent="0.25">
      <c r="A4255" t="str">
        <f>"20190304164935670"</f>
        <v>20190304164935670</v>
      </c>
      <c r="B4255" t="str">
        <f>"1551689375660261"</f>
        <v>1551689375660261</v>
      </c>
      <c r="C4255" t="s">
        <v>40</v>
      </c>
      <c r="D4255">
        <v>4.3731879999999999</v>
      </c>
      <c r="E4255">
        <v>0.57963949999999997</v>
      </c>
      <c r="F4255" t="s">
        <v>45</v>
      </c>
      <c r="G4255">
        <v>-204.6258</v>
      </c>
      <c r="H4255" s="1">
        <v>4.4723679999999997E-6</v>
      </c>
      <c r="I4255">
        <v>212.2826</v>
      </c>
      <c r="J4255">
        <v>-210.5599</v>
      </c>
      <c r="K4255">
        <v>1.1059049999999999</v>
      </c>
      <c r="L4255">
        <v>215.054</v>
      </c>
      <c r="M4255">
        <v>0.98777250000000005</v>
      </c>
      <c r="N4255">
        <v>-1.4481020000000001E-2</v>
      </c>
      <c r="O4255">
        <v>-0.15522849999999999</v>
      </c>
      <c r="P4255">
        <v>0.904775</v>
      </c>
      <c r="Q4255">
        <v>0.32532759999999999</v>
      </c>
      <c r="R4255">
        <v>-0.27485399999999999</v>
      </c>
      <c r="S4255">
        <v>3.0934910000000002</v>
      </c>
      <c r="T4255">
        <v>-0.55060629999999999</v>
      </c>
      <c r="U4255">
        <v>-1.40419</v>
      </c>
      <c r="V4255">
        <v>0.1352005</v>
      </c>
      <c r="W4255">
        <v>0.33722380000000002</v>
      </c>
      <c r="X4255">
        <v>0.93166570000000004</v>
      </c>
      <c r="Y4255">
        <v>0.26489359999999901</v>
      </c>
      <c r="Z4255">
        <v>-6.3328820000000004E-4</v>
      </c>
      <c r="AA4255">
        <v>0.96427739999999995</v>
      </c>
      <c r="AB4255">
        <v>29</v>
      </c>
      <c r="AC4255">
        <v>5.9340999999999999</v>
      </c>
      <c r="AD4255">
        <v>-1.105900527632</v>
      </c>
      <c r="AE4255">
        <v>-2.7713999999999999</v>
      </c>
      <c r="AF4255">
        <v>1.7662029911256101</v>
      </c>
      <c r="AG4255">
        <v>-1.105900527632</v>
      </c>
      <c r="AH4255">
        <v>6.1179628255501104</v>
      </c>
      <c r="AI4255">
        <v>99.852323129020107</v>
      </c>
      <c r="AJ4255">
        <v>73.897028266332697</v>
      </c>
      <c r="AK4255">
        <v>6.4631229384633304</v>
      </c>
      <c r="AL4255">
        <v>70.292177499241802</v>
      </c>
      <c r="AM4255">
        <v>81.743049205445701</v>
      </c>
      <c r="AN4255">
        <v>1.0000000215215801</v>
      </c>
    </row>
    <row r="4256" spans="1:40" x14ac:dyDescent="0.25">
      <c r="A4256" t="str">
        <f>"20190304164935694"</f>
        <v>20190304164935694</v>
      </c>
      <c r="B4256" t="str">
        <f>"1551689375690517"</f>
        <v>1551689375690517</v>
      </c>
      <c r="C4256" t="s">
        <v>40</v>
      </c>
      <c r="D4256">
        <v>4.3729399999999998</v>
      </c>
      <c r="E4256">
        <v>0.57968520000000001</v>
      </c>
      <c r="F4256" t="s">
        <v>41</v>
      </c>
      <c r="G4256">
        <v>-209.8416</v>
      </c>
      <c r="H4256">
        <v>0.97571889999999994</v>
      </c>
      <c r="I4256">
        <v>214.721</v>
      </c>
      <c r="J4256">
        <v>-210.2698</v>
      </c>
      <c r="K4256">
        <v>1.105904</v>
      </c>
      <c r="L4256">
        <v>215.00129999999999</v>
      </c>
      <c r="M4256">
        <v>0.98672190000000004</v>
      </c>
      <c r="N4256">
        <v>-1.448194E-2</v>
      </c>
      <c r="O4256">
        <v>-0.161772</v>
      </c>
      <c r="P4256">
        <v>0.90316549999999995</v>
      </c>
      <c r="Q4256">
        <v>0.32403490000000001</v>
      </c>
      <c r="R4256">
        <v>-0.28159089999999998</v>
      </c>
      <c r="S4256">
        <v>3.0826259999999999</v>
      </c>
      <c r="T4256">
        <v>-0.55832409999999999</v>
      </c>
      <c r="U4256">
        <v>-1.428299</v>
      </c>
      <c r="V4256">
        <v>0.135879</v>
      </c>
      <c r="W4256">
        <v>0.33593099999999998</v>
      </c>
      <c r="X4256">
        <v>0.93203400000000003</v>
      </c>
      <c r="Y4256">
        <v>0.26601529999999901</v>
      </c>
      <c r="Z4256">
        <v>3.1070780000000002E-4</v>
      </c>
      <c r="AA4256">
        <v>0.96396879999999996</v>
      </c>
      <c r="AB4256">
        <v>29</v>
      </c>
      <c r="AC4256">
        <v>0.42820000000000302</v>
      </c>
      <c r="AD4256">
        <v>-0.130185099999999</v>
      </c>
      <c r="AE4256">
        <v>-0.28030000000001098</v>
      </c>
      <c r="AF4256">
        <v>0.19472888106505101</v>
      </c>
      <c r="AG4256">
        <v>-0.130185099999999</v>
      </c>
      <c r="AH4256">
        <v>0.43947138861170398</v>
      </c>
      <c r="AI4256">
        <v>105.154134902745</v>
      </c>
      <c r="AJ4256">
        <v>66.101965084138897</v>
      </c>
      <c r="AK4256">
        <v>0.49799859316182399</v>
      </c>
      <c r="AL4256">
        <v>70.370839678114294</v>
      </c>
      <c r="AM4256">
        <v>81.705420805654896</v>
      </c>
      <c r="AN4256">
        <v>1.0000000582789901</v>
      </c>
    </row>
    <row r="4257" spans="1:40" x14ac:dyDescent="0.25">
      <c r="A4257" t="str">
        <f>"20190304164935716"</f>
        <v>20190304164935716</v>
      </c>
      <c r="B4257" t="str">
        <f>"1551689375710040"</f>
        <v>1551689375710040</v>
      </c>
      <c r="C4257" t="s">
        <v>40</v>
      </c>
      <c r="D4257">
        <v>4.3970390000000004</v>
      </c>
      <c r="E4257">
        <v>0.57961759999999996</v>
      </c>
      <c r="F4257" t="s">
        <v>41</v>
      </c>
      <c r="G4257">
        <v>-209.58799999999999</v>
      </c>
      <c r="H4257">
        <v>0.98020580000000002</v>
      </c>
      <c r="I4257">
        <v>214.6789</v>
      </c>
      <c r="J4257">
        <v>-209.98179999999999</v>
      </c>
      <c r="K4257">
        <v>1.1059060000000001</v>
      </c>
      <c r="L4257">
        <v>214.9469</v>
      </c>
      <c r="M4257">
        <v>0.98563619999999996</v>
      </c>
      <c r="N4257">
        <v>-1.448197E-2</v>
      </c>
      <c r="O4257">
        <v>-0.1682604</v>
      </c>
      <c r="P4257">
        <v>0.90123240000000004</v>
      </c>
      <c r="Q4257">
        <v>0.32325100000000001</v>
      </c>
      <c r="R4257">
        <v>-0.28859839999999998</v>
      </c>
      <c r="S4257">
        <v>3.072174</v>
      </c>
      <c r="T4257">
        <v>-0.5659689</v>
      </c>
      <c r="U4257">
        <v>-1.451462</v>
      </c>
      <c r="V4257">
        <v>0.1369291</v>
      </c>
      <c r="W4257">
        <v>0.33513860000000001</v>
      </c>
      <c r="X4257">
        <v>0.93216549999999998</v>
      </c>
      <c r="Y4257">
        <v>0.26689629999999998</v>
      </c>
      <c r="Z4257">
        <v>1.2962729999999999E-3</v>
      </c>
      <c r="AA4257">
        <v>0.96372440000000004</v>
      </c>
      <c r="AB4257">
        <v>29</v>
      </c>
      <c r="AC4257">
        <v>0.39379999999999798</v>
      </c>
      <c r="AD4257">
        <v>-0.12570019999999901</v>
      </c>
      <c r="AE4257">
        <v>-0.26800000000000002</v>
      </c>
      <c r="AF4257">
        <v>0.18502587886081301</v>
      </c>
      <c r="AG4257">
        <v>-0.12570019999999901</v>
      </c>
      <c r="AH4257">
        <v>0.40507502258769101</v>
      </c>
      <c r="AI4257">
        <v>105.762353658403</v>
      </c>
      <c r="AJ4257">
        <v>65.4505295541896</v>
      </c>
      <c r="AK4257">
        <v>0.462731985119545</v>
      </c>
      <c r="AL4257">
        <v>70.419033429668403</v>
      </c>
      <c r="AM4257">
        <v>81.643383086363002</v>
      </c>
      <c r="AN4257">
        <v>0.99999998951350999</v>
      </c>
    </row>
    <row r="4258" spans="1:40" x14ac:dyDescent="0.25">
      <c r="A4258" t="str">
        <f>"20190304164935739"</f>
        <v>20190304164935739</v>
      </c>
      <c r="B4258" t="str">
        <f>"1551689375730533"</f>
        <v>1551689375730533</v>
      </c>
      <c r="C4258" t="s">
        <v>40</v>
      </c>
      <c r="D4258">
        <v>4.3882219999999998</v>
      </c>
      <c r="E4258">
        <v>0.57957709999999996</v>
      </c>
      <c r="F4258" t="s">
        <v>45</v>
      </c>
      <c r="G4258">
        <v>-204.06229999999999</v>
      </c>
      <c r="H4258" s="1">
        <v>4.2379539999999999E-6</v>
      </c>
      <c r="I4258">
        <v>212.1054</v>
      </c>
      <c r="J4258">
        <v>-209.70330000000001</v>
      </c>
      <c r="K4258">
        <v>1.105918</v>
      </c>
      <c r="L4258">
        <v>214.89240000000001</v>
      </c>
      <c r="M4258">
        <v>0.98454640000000004</v>
      </c>
      <c r="N4258">
        <v>-1.4481529999999999E-2</v>
      </c>
      <c r="O4258">
        <v>-0.1745244</v>
      </c>
      <c r="P4258">
        <v>0.89933999999999903</v>
      </c>
      <c r="Q4258">
        <v>0.32331389999999999</v>
      </c>
      <c r="R4258">
        <v>-0.29437350000000001</v>
      </c>
      <c r="S4258">
        <v>3.0631710000000001</v>
      </c>
      <c r="T4258">
        <v>-0.57227640000000002</v>
      </c>
      <c r="U4258">
        <v>-1.470383</v>
      </c>
      <c r="V4258">
        <v>0.1369785</v>
      </c>
      <c r="W4258">
        <v>0.33520290000000003</v>
      </c>
      <c r="X4258">
        <v>0.93213520000000005</v>
      </c>
      <c r="Y4258">
        <v>0.26674920000000002</v>
      </c>
      <c r="Z4258">
        <v>2.3572110000000001E-3</v>
      </c>
      <c r="AA4258">
        <v>0.96376309999999998</v>
      </c>
      <c r="AB4258">
        <v>29</v>
      </c>
      <c r="AC4258">
        <v>5.6410000000000098</v>
      </c>
      <c r="AD4258">
        <v>-1.105913762046</v>
      </c>
      <c r="AE4258">
        <v>-2.7869999999999999</v>
      </c>
      <c r="AF4258">
        <v>1.70689019416756</v>
      </c>
      <c r="AG4258">
        <v>-1.105913762046</v>
      </c>
      <c r="AH4258">
        <v>5.8598246323286203</v>
      </c>
      <c r="AI4258">
        <v>100.270417874239</v>
      </c>
      <c r="AJ4258">
        <v>73.759850074785106</v>
      </c>
      <c r="AK4258">
        <v>6.2027464969699899</v>
      </c>
      <c r="AL4258">
        <v>70.415124613926494</v>
      </c>
      <c r="AM4258">
        <v>81.640142963592794</v>
      </c>
      <c r="AN4258">
        <v>1.00000006235484</v>
      </c>
    </row>
    <row r="4259" spans="1:40" x14ac:dyDescent="0.25">
      <c r="A4259" t="str">
        <f>"20190304164935761"</f>
        <v>20190304164935761</v>
      </c>
      <c r="B4259" t="str">
        <f>"1551689375750053"</f>
        <v>1551689375750053</v>
      </c>
      <c r="C4259" t="s">
        <v>40</v>
      </c>
      <c r="D4259">
        <v>4.4138250000000001</v>
      </c>
      <c r="E4259">
        <v>0.57953599999999905</v>
      </c>
      <c r="F4259" t="s">
        <v>45</v>
      </c>
      <c r="G4259">
        <v>-203.83019999999999</v>
      </c>
      <c r="H4259" s="1">
        <v>4.141443E-6</v>
      </c>
      <c r="I4259">
        <v>212.0318</v>
      </c>
      <c r="J4259">
        <v>-209.42230000000001</v>
      </c>
      <c r="K4259">
        <v>1.105934</v>
      </c>
      <c r="L4259">
        <v>214.8355</v>
      </c>
      <c r="M4259">
        <v>0.9834058</v>
      </c>
      <c r="N4259">
        <v>-1.4480659999999999E-2</v>
      </c>
      <c r="O4259">
        <v>-0.180841</v>
      </c>
      <c r="P4259">
        <v>0.89754539999999905</v>
      </c>
      <c r="Q4259">
        <v>0.3239534</v>
      </c>
      <c r="R4259">
        <v>-0.29910989999999998</v>
      </c>
      <c r="S4259">
        <v>3.0554960000000002</v>
      </c>
      <c r="T4259">
        <v>-0.57535029999999998</v>
      </c>
      <c r="U4259">
        <v>-1.4881899999999999</v>
      </c>
      <c r="V4259">
        <v>0.13594319999999999</v>
      </c>
      <c r="W4259">
        <v>0.3358564</v>
      </c>
      <c r="X4259">
        <v>0.93205150000000003</v>
      </c>
      <c r="Y4259">
        <v>0.26612409999999997</v>
      </c>
      <c r="Z4259">
        <v>3.4505389999999999E-3</v>
      </c>
      <c r="AA4259">
        <v>0.96393260000000003</v>
      </c>
      <c r="AB4259">
        <v>29</v>
      </c>
      <c r="AC4259">
        <v>5.5921000000000101</v>
      </c>
      <c r="AD4259">
        <v>-1.1059298585570001</v>
      </c>
      <c r="AE4259">
        <v>-2.8036999999999899</v>
      </c>
      <c r="AF4259">
        <v>1.69315721130492</v>
      </c>
      <c r="AG4259">
        <v>-1.1059298585570001</v>
      </c>
      <c r="AH4259">
        <v>5.8248996582514696</v>
      </c>
      <c r="AI4259">
        <v>100.33247965814201</v>
      </c>
      <c r="AJ4259">
        <v>73.792132154166694</v>
      </c>
      <c r="AK4259">
        <v>6.1659807186642999</v>
      </c>
      <c r="AL4259">
        <v>70.375377158699905</v>
      </c>
      <c r="AM4259">
        <v>81.701709994245505</v>
      </c>
      <c r="AN4259">
        <v>1.0000000368497199</v>
      </c>
    </row>
    <row r="4260" spans="1:40" x14ac:dyDescent="0.25">
      <c r="A4260" t="str">
        <f>"20190304164935783"</f>
        <v>20190304164935783</v>
      </c>
      <c r="B4260" t="str">
        <f>"1551689375780310"</f>
        <v>1551689375780310</v>
      </c>
      <c r="C4260" t="s">
        <v>40</v>
      </c>
      <c r="D4260">
        <v>4.4012089999999997</v>
      </c>
      <c r="E4260">
        <v>0.57950709999999905</v>
      </c>
      <c r="F4260" t="s">
        <v>45</v>
      </c>
      <c r="G4260">
        <v>-203.56700000000001</v>
      </c>
      <c r="H4260" s="1">
        <v>4.0322189999999996E-6</v>
      </c>
      <c r="I4260">
        <v>211.94659999999999</v>
      </c>
      <c r="J4260">
        <v>-209.14240000000001</v>
      </c>
      <c r="K4260">
        <v>1.1059600000000001</v>
      </c>
      <c r="L4260">
        <v>214.77699999999999</v>
      </c>
      <c r="M4260">
        <v>0.98222779999999998</v>
      </c>
      <c r="N4260">
        <v>-1.447936E-2</v>
      </c>
      <c r="O4260">
        <v>-0.18713299999999999</v>
      </c>
      <c r="P4260">
        <v>0.895339</v>
      </c>
      <c r="Q4260">
        <v>0.32531080000000001</v>
      </c>
      <c r="R4260">
        <v>-0.30420530000000001</v>
      </c>
      <c r="S4260">
        <v>3.0489809999999999</v>
      </c>
      <c r="T4260">
        <v>-0.57588319999999904</v>
      </c>
      <c r="U4260">
        <v>-1.5043029999999999</v>
      </c>
      <c r="V4260">
        <v>0.13536819999999999</v>
      </c>
      <c r="W4260">
        <v>0.33721790000000001</v>
      </c>
      <c r="X4260">
        <v>0.93164349999999996</v>
      </c>
      <c r="Y4260">
        <v>0.26495970000000002</v>
      </c>
      <c r="Z4260">
        <v>4.5626219999999997E-3</v>
      </c>
      <c r="AA4260">
        <v>0.96424869999999996</v>
      </c>
      <c r="AB4260">
        <v>28</v>
      </c>
      <c r="AC4260">
        <v>5.5754000000000001</v>
      </c>
      <c r="AD4260">
        <v>-1.105955967781</v>
      </c>
      <c r="AE4260">
        <v>-2.83040000000002</v>
      </c>
      <c r="AF4260">
        <v>1.6842462616354299</v>
      </c>
      <c r="AG4260">
        <v>-1.105955967781</v>
      </c>
      <c r="AH4260">
        <v>5.8243864296597403</v>
      </c>
      <c r="AI4260">
        <v>100.33767783984401</v>
      </c>
      <c r="AJ4260">
        <v>73.871640456277703</v>
      </c>
      <c r="AK4260">
        <v>6.1630594151369298</v>
      </c>
      <c r="AL4260">
        <v>70.292536881893597</v>
      </c>
      <c r="AM4260">
        <v>81.732754648101405</v>
      </c>
      <c r="AN4260">
        <v>1.0000000363719399</v>
      </c>
    </row>
    <row r="4261" spans="1:40" x14ac:dyDescent="0.25">
      <c r="A4261" t="str">
        <f>"20190304164935806"</f>
        <v>20190304164935806</v>
      </c>
      <c r="B4261" t="str">
        <f>"1551689375799829"</f>
        <v>1551689375799829</v>
      </c>
      <c r="C4261" t="s">
        <v>40</v>
      </c>
      <c r="D4261">
        <v>4.5768440000000004</v>
      </c>
      <c r="E4261">
        <v>0.5794435</v>
      </c>
      <c r="F4261" t="s">
        <v>45</v>
      </c>
      <c r="G4261">
        <v>-203.2927</v>
      </c>
      <c r="H4261" s="1">
        <v>3.9188179999999997E-6</v>
      </c>
      <c r="I4261">
        <v>211.8519</v>
      </c>
      <c r="J4261">
        <v>-208.85659999999999</v>
      </c>
      <c r="K4261">
        <v>1.105985</v>
      </c>
      <c r="L4261">
        <v>214.71530000000001</v>
      </c>
      <c r="M4261">
        <v>0.98098129999999994</v>
      </c>
      <c r="N4261">
        <v>-1.4477769999999999E-2</v>
      </c>
      <c r="O4261">
        <v>-0.19356139999999999</v>
      </c>
      <c r="P4261">
        <v>0.89316340000000005</v>
      </c>
      <c r="Q4261">
        <v>0.32622659999999998</v>
      </c>
      <c r="R4261">
        <v>-0.30957249999999997</v>
      </c>
      <c r="S4261">
        <v>3.0427399999999998</v>
      </c>
      <c r="T4261">
        <v>-0.5752583</v>
      </c>
      <c r="U4261">
        <v>-1.521469</v>
      </c>
      <c r="V4261">
        <v>0.1349207</v>
      </c>
      <c r="W4261">
        <v>0.33813799999999999</v>
      </c>
      <c r="X4261">
        <v>0.93137479999999995</v>
      </c>
      <c r="Y4261">
        <v>0.26388790000000001</v>
      </c>
      <c r="Z4261">
        <v>5.6666299999999998E-3</v>
      </c>
      <c r="AA4261">
        <v>0.96453670000000002</v>
      </c>
      <c r="AB4261">
        <v>28</v>
      </c>
      <c r="AC4261">
        <v>5.5638999999999896</v>
      </c>
      <c r="AD4261">
        <v>-1.1059810811819999</v>
      </c>
      <c r="AE4261">
        <v>-2.8634000000000102</v>
      </c>
      <c r="AF4261">
        <v>1.6796952483579299</v>
      </c>
      <c r="AG4261">
        <v>-1.1059810811819999</v>
      </c>
      <c r="AH4261">
        <v>5.8308075996032702</v>
      </c>
      <c r="AI4261">
        <v>100.329726960117</v>
      </c>
      <c r="AJ4261">
        <v>73.929764420715003</v>
      </c>
      <c r="AK4261">
        <v>6.1678916610848402</v>
      </c>
      <c r="AL4261">
        <v>70.236527673205998</v>
      </c>
      <c r="AM4261">
        <v>81.757363928866397</v>
      </c>
      <c r="AN4261">
        <v>0.99999996020376403</v>
      </c>
    </row>
    <row r="4262" spans="1:40" x14ac:dyDescent="0.25">
      <c r="A4262" t="str">
        <f>"20190304164935828"</f>
        <v>20190304164935828</v>
      </c>
      <c r="B4262" t="str">
        <f>"1551689375820326"</f>
        <v>1551689375820326</v>
      </c>
      <c r="C4262" t="s">
        <v>40</v>
      </c>
      <c r="D4262">
        <v>4.4117430000000004</v>
      </c>
      <c r="E4262">
        <v>0.57935429999999999</v>
      </c>
      <c r="F4262" t="s">
        <v>45</v>
      </c>
      <c r="G4262">
        <v>-203.00729999999999</v>
      </c>
      <c r="H4262" s="1">
        <v>3.8017829999999999E-6</v>
      </c>
      <c r="I4262">
        <v>211.7433</v>
      </c>
      <c r="J4262">
        <v>-208.58</v>
      </c>
      <c r="K4262">
        <v>1.1060049999999999</v>
      </c>
      <c r="L4262">
        <v>214.65379999999999</v>
      </c>
      <c r="M4262">
        <v>0.97973149999999998</v>
      </c>
      <c r="N4262">
        <v>-1.4476340000000001E-2</v>
      </c>
      <c r="O4262">
        <v>-0.19979169999999999</v>
      </c>
      <c r="P4262">
        <v>0.89145239999999903</v>
      </c>
      <c r="Q4262">
        <v>0.32715109999999997</v>
      </c>
      <c r="R4262">
        <v>-0.31350460000000002</v>
      </c>
      <c r="S4262">
        <v>3.0340579999999999</v>
      </c>
      <c r="T4262">
        <v>-0.57368140000000001</v>
      </c>
      <c r="U4262">
        <v>-1.541595</v>
      </c>
      <c r="V4262">
        <v>0.13316729999999999</v>
      </c>
      <c r="W4262">
        <v>0.33908339999999998</v>
      </c>
      <c r="X4262">
        <v>0.93128350000000004</v>
      </c>
      <c r="Y4262">
        <v>0.26403919999999997</v>
      </c>
      <c r="Z4262">
        <v>6.6045670000000004E-3</v>
      </c>
      <c r="AA4262">
        <v>0.96448929999999999</v>
      </c>
      <c r="AB4262">
        <v>28</v>
      </c>
      <c r="AC4262">
        <v>5.5727000000000197</v>
      </c>
      <c r="AD4262">
        <v>-1.1060011982169999</v>
      </c>
      <c r="AE4262">
        <v>-2.9104999999999799</v>
      </c>
      <c r="AF4262">
        <v>1.6861295592854699</v>
      </c>
      <c r="AG4262">
        <v>-1.1060011982169999</v>
      </c>
      <c r="AH4262">
        <v>5.8605070709684499</v>
      </c>
      <c r="AI4262">
        <v>100.279648395094</v>
      </c>
      <c r="AJ4262">
        <v>73.948916082715897</v>
      </c>
      <c r="AK4262">
        <v>6.1977265727059097</v>
      </c>
      <c r="AL4262">
        <v>70.178960714767399</v>
      </c>
      <c r="AM4262">
        <v>81.862252640870693</v>
      </c>
      <c r="AN4262">
        <v>1.0000000196585499</v>
      </c>
    </row>
    <row r="4263" spans="1:40" x14ac:dyDescent="0.25">
      <c r="A4263" t="str">
        <f>"20190304164935850"</f>
        <v>20190304164935850</v>
      </c>
      <c r="B4263" t="str">
        <f>"1551689375839845"</f>
        <v>1551689375839845</v>
      </c>
      <c r="C4263" t="s">
        <v>40</v>
      </c>
      <c r="D4263">
        <v>4.4152139999999997</v>
      </c>
      <c r="E4263">
        <v>0.57660840000000002</v>
      </c>
      <c r="F4263" t="s">
        <v>41</v>
      </c>
      <c r="G4263">
        <v>-207.8468</v>
      </c>
      <c r="H4263">
        <v>0.96856489999999995</v>
      </c>
      <c r="I4263">
        <v>214.27520000000001</v>
      </c>
      <c r="J4263">
        <v>-208.3023</v>
      </c>
      <c r="K4263">
        <v>1.106001</v>
      </c>
      <c r="L4263">
        <v>214.59010000000001</v>
      </c>
      <c r="M4263">
        <v>0.97842980000000002</v>
      </c>
      <c r="N4263">
        <v>-1.4475379999999999E-2</v>
      </c>
      <c r="O4263">
        <v>-0.20607239999999999</v>
      </c>
      <c r="P4263">
        <v>0.88925549999999998</v>
      </c>
      <c r="Q4263">
        <v>0.32861750000000001</v>
      </c>
      <c r="R4263">
        <v>-0.31817570000000001</v>
      </c>
      <c r="S4263">
        <v>3.024292</v>
      </c>
      <c r="T4263">
        <v>-0.56671119999999997</v>
      </c>
      <c r="U4263">
        <v>-1.561005</v>
      </c>
      <c r="V4263">
        <v>0.13220079999999901</v>
      </c>
      <c r="W4263">
        <v>0.3405552</v>
      </c>
      <c r="X4263">
        <v>0.93088409999999999</v>
      </c>
      <c r="Y4263">
        <v>0.26411059999999997</v>
      </c>
      <c r="Z4263">
        <v>7.4406469999999999E-3</v>
      </c>
      <c r="AA4263">
        <v>0.96446370000000003</v>
      </c>
      <c r="AB4263">
        <v>28</v>
      </c>
      <c r="AC4263">
        <v>0.45550000000000002</v>
      </c>
      <c r="AD4263">
        <v>-0.13743610000000001</v>
      </c>
      <c r="AE4263">
        <v>-0.31489999999999402</v>
      </c>
      <c r="AF4263">
        <v>0.20183148635905199</v>
      </c>
      <c r="AG4263">
        <v>-0.13743610000000001</v>
      </c>
      <c r="AH4263">
        <v>0.48099205484891899</v>
      </c>
      <c r="AI4263">
        <v>104.760737972461</v>
      </c>
      <c r="AJ4263">
        <v>67.236347482396894</v>
      </c>
      <c r="AK4263">
        <v>0.53942375485039595</v>
      </c>
      <c r="AL4263">
        <v>70.089297617752607</v>
      </c>
      <c r="AM4263">
        <v>81.917111314208995</v>
      </c>
      <c r="AN4263">
        <v>1.0000000517002401</v>
      </c>
    </row>
    <row r="4264" spans="1:40" x14ac:dyDescent="0.25">
      <c r="A4264" t="str">
        <f>"20190304164935872"</f>
        <v>20190304164935872</v>
      </c>
      <c r="B4264" t="str">
        <f>"1551689375860342"</f>
        <v>1551689375860342</v>
      </c>
      <c r="C4264" t="s">
        <v>40</v>
      </c>
      <c r="D4264">
        <v>4.4101809999999997</v>
      </c>
      <c r="E4264">
        <v>0.57650199999999996</v>
      </c>
      <c r="F4264" t="s">
        <v>45</v>
      </c>
      <c r="G4264">
        <v>-201.32810000000001</v>
      </c>
      <c r="H4264" s="1">
        <v>3.1261820000000002E-6</v>
      </c>
      <c r="I4264">
        <v>210.95339999999999</v>
      </c>
      <c r="J4264">
        <v>-208.0317</v>
      </c>
      <c r="K4264">
        <v>1.105977</v>
      </c>
      <c r="L4264">
        <v>214.52619999999999</v>
      </c>
      <c r="M4264">
        <v>0.97711099999999995</v>
      </c>
      <c r="N4264">
        <v>-1.447532E-2</v>
      </c>
      <c r="O4264">
        <v>-0.21223719999999999</v>
      </c>
      <c r="P4264">
        <v>0.88669509999999996</v>
      </c>
      <c r="Q4264">
        <v>0.33100679999999999</v>
      </c>
      <c r="R4264">
        <v>-0.32280989999999998</v>
      </c>
      <c r="S4264">
        <v>2.990875</v>
      </c>
      <c r="T4264">
        <v>-0.4743097</v>
      </c>
      <c r="U4264">
        <v>-1.559601</v>
      </c>
      <c r="V4264">
        <v>0.13141159999999999</v>
      </c>
      <c r="W4264">
        <v>0.34293879999999999</v>
      </c>
      <c r="X4264">
        <v>0.93012039999999996</v>
      </c>
      <c r="Y4264">
        <v>0.26247189999999998</v>
      </c>
      <c r="Z4264">
        <v>6.474301E-3</v>
      </c>
      <c r="AA4264">
        <v>0.9649179</v>
      </c>
      <c r="AB4264">
        <v>28</v>
      </c>
      <c r="AC4264">
        <v>6.70359999999999</v>
      </c>
      <c r="AD4264">
        <v>-1.1059738738180001</v>
      </c>
      <c r="AE4264">
        <v>-3.5728</v>
      </c>
      <c r="AF4264">
        <v>2.0255484241761099</v>
      </c>
      <c r="AG4264">
        <v>-1.1059738738180001</v>
      </c>
      <c r="AH4264">
        <v>7.1574851873005301</v>
      </c>
      <c r="AI4264">
        <v>98.456831233862104</v>
      </c>
      <c r="AJ4264">
        <v>74.198634301051698</v>
      </c>
      <c r="AK4264">
        <v>7.5203469889810801</v>
      </c>
      <c r="AL4264">
        <v>69.943976736096005</v>
      </c>
      <c r="AM4264">
        <v>81.958220441925903</v>
      </c>
      <c r="AN4264">
        <v>0.99999999382808002</v>
      </c>
    </row>
    <row r="4265" spans="1:40" x14ac:dyDescent="0.25">
      <c r="A4265" t="str">
        <f>"20190304164935895"</f>
        <v>20190304164935895</v>
      </c>
      <c r="B4265" t="str">
        <f>"1551689375890601"</f>
        <v>1551689375890601</v>
      </c>
      <c r="C4265" t="s">
        <v>40</v>
      </c>
      <c r="D4265">
        <v>4.3964420000000004</v>
      </c>
      <c r="E4265">
        <v>0.57675799999999999</v>
      </c>
      <c r="F4265" t="s">
        <v>45</v>
      </c>
      <c r="G4265">
        <v>-200.96969999999999</v>
      </c>
      <c r="H4265" s="1">
        <v>2.981922E-6</v>
      </c>
      <c r="I4265">
        <v>210.7852</v>
      </c>
      <c r="J4265">
        <v>-207.74709999999999</v>
      </c>
      <c r="K4265">
        <v>1.1059330000000001</v>
      </c>
      <c r="L4265">
        <v>214.4571</v>
      </c>
      <c r="M4265">
        <v>0.97566330000000001</v>
      </c>
      <c r="N4265">
        <v>-1.4476869999999999E-2</v>
      </c>
      <c r="O4265">
        <v>-0.2187963</v>
      </c>
      <c r="P4265">
        <v>0.88445599999999902</v>
      </c>
      <c r="Q4265">
        <v>0.33185120000000001</v>
      </c>
      <c r="R4265">
        <v>-0.32804349999999999</v>
      </c>
      <c r="S4265">
        <v>2.9824980000000001</v>
      </c>
      <c r="T4265">
        <v>-0.46708539999999998</v>
      </c>
      <c r="U4265">
        <v>-1.5799559999999999</v>
      </c>
      <c r="V4265">
        <v>0.13076569999999901</v>
      </c>
      <c r="W4265">
        <v>0.34377849999999999</v>
      </c>
      <c r="X4265">
        <v>0.92990139999999999</v>
      </c>
      <c r="Y4265">
        <v>0.26233410000000001</v>
      </c>
      <c r="Z4265">
        <v>7.1433349999999998E-3</v>
      </c>
      <c r="AA4265">
        <v>0.96495070000000005</v>
      </c>
      <c r="AB4265">
        <v>28</v>
      </c>
      <c r="AC4265">
        <v>6.7774000000000001</v>
      </c>
      <c r="AD4265">
        <v>-1.1059300180779901</v>
      </c>
      <c r="AE4265">
        <v>-3.6718999999999902</v>
      </c>
      <c r="AF4265">
        <v>2.0575333739979702</v>
      </c>
      <c r="AG4265">
        <v>-1.1059300180779901</v>
      </c>
      <c r="AH4265">
        <v>7.2670423758616103</v>
      </c>
      <c r="AI4265">
        <v>98.330523599081502</v>
      </c>
      <c r="AJ4265">
        <v>74.1914766719119</v>
      </c>
      <c r="AK4265">
        <v>7.6332450296430201</v>
      </c>
      <c r="AL4265">
        <v>69.892750667569601</v>
      </c>
      <c r="AM4265">
        <v>81.995372912783097</v>
      </c>
      <c r="AN4265">
        <v>0.99999996954034898</v>
      </c>
    </row>
    <row r="4266" spans="1:40" x14ac:dyDescent="0.25">
      <c r="A4266" t="str">
        <f>"20190304164935916"</f>
        <v>20190304164935916</v>
      </c>
      <c r="B4266" t="str">
        <f>"1551689375910121"</f>
        <v>1551689375910121</v>
      </c>
      <c r="C4266" t="s">
        <v>40</v>
      </c>
      <c r="D4266">
        <v>4.4130760000000002</v>
      </c>
      <c r="E4266">
        <v>0.576513099999999</v>
      </c>
      <c r="F4266" t="s">
        <v>45</v>
      </c>
      <c r="G4266">
        <v>-200.67429999999999</v>
      </c>
      <c r="H4266" s="1">
        <v>2.863455E-6</v>
      </c>
      <c r="I4266">
        <v>210.64179999999999</v>
      </c>
      <c r="J4266">
        <v>-207.47669999999999</v>
      </c>
      <c r="K4266">
        <v>1.10588</v>
      </c>
      <c r="L4266">
        <v>214.38919999999999</v>
      </c>
      <c r="M4266">
        <v>0.97421959999999996</v>
      </c>
      <c r="N4266">
        <v>-1.448055E-2</v>
      </c>
      <c r="O4266">
        <v>-0.2251368</v>
      </c>
      <c r="P4266">
        <v>0.88179909999999995</v>
      </c>
      <c r="Q4266">
        <v>0.33405420000000002</v>
      </c>
      <c r="R4266">
        <v>-0.33292379999999999</v>
      </c>
      <c r="S4266">
        <v>2.9716800000000001</v>
      </c>
      <c r="T4266">
        <v>-0.46465990000000001</v>
      </c>
      <c r="U4266">
        <v>-1.602997</v>
      </c>
      <c r="V4266">
        <v>0.13011420000000001</v>
      </c>
      <c r="W4266">
        <v>0.345964099999999</v>
      </c>
      <c r="X4266">
        <v>0.92918199999999995</v>
      </c>
      <c r="Y4266">
        <v>0.26336870000000001</v>
      </c>
      <c r="Z4266">
        <v>7.800123E-3</v>
      </c>
      <c r="AA4266">
        <v>0.96466370000000001</v>
      </c>
      <c r="AB4266">
        <v>28</v>
      </c>
      <c r="AC4266">
        <v>6.8023999999999996</v>
      </c>
      <c r="AD4266">
        <v>-1.105877136545</v>
      </c>
      <c r="AE4266">
        <v>-3.7473999999999901</v>
      </c>
      <c r="AF4266">
        <v>2.0774201803897898</v>
      </c>
      <c r="AG4266">
        <v>-1.105877136545</v>
      </c>
      <c r="AH4266">
        <v>7.3230102262819203</v>
      </c>
      <c r="AI4266">
        <v>98.266169127190096</v>
      </c>
      <c r="AJ4266">
        <v>74.162213828696807</v>
      </c>
      <c r="AK4266">
        <v>7.6918864800030304</v>
      </c>
      <c r="AL4266">
        <v>69.759341434934399</v>
      </c>
      <c r="AM4266">
        <v>82.028652706500097</v>
      </c>
      <c r="AN4266">
        <v>1.00000002632722</v>
      </c>
    </row>
    <row r="4267" spans="1:40" x14ac:dyDescent="0.25">
      <c r="A4267" t="str">
        <f>"20190304164935939"</f>
        <v>20190304164935939</v>
      </c>
      <c r="B4267" t="str">
        <f>"1551689375930613"</f>
        <v>1551689375930613</v>
      </c>
      <c r="C4267" t="s">
        <v>40</v>
      </c>
      <c r="D4267">
        <v>4.3382019999999999</v>
      </c>
      <c r="E4267">
        <v>0.5761231</v>
      </c>
      <c r="F4267" t="s">
        <v>45</v>
      </c>
      <c r="G4267">
        <v>-200.42359999999999</v>
      </c>
      <c r="H4267" s="1">
        <v>2.7611999999999999E-6</v>
      </c>
      <c r="I4267">
        <v>210.53989999999999</v>
      </c>
      <c r="J4267">
        <v>-207.20310000000001</v>
      </c>
      <c r="K4267">
        <v>1.105818</v>
      </c>
      <c r="L4267">
        <v>214.3185</v>
      </c>
      <c r="M4267">
        <v>0.97268429999999995</v>
      </c>
      <c r="N4267">
        <v>-1.4486519999999999E-2</v>
      </c>
      <c r="O4267">
        <v>-0.23167940000000001</v>
      </c>
      <c r="P4267">
        <v>0.87912429999999997</v>
      </c>
      <c r="Q4267">
        <v>0.33537450000000002</v>
      </c>
      <c r="R4267">
        <v>-0.33862160000000002</v>
      </c>
      <c r="S4267">
        <v>2.9670260000000002</v>
      </c>
      <c r="T4267">
        <v>-0.46520729999999999</v>
      </c>
      <c r="U4267">
        <v>-1.6192629999999999</v>
      </c>
      <c r="V4267">
        <v>0.13007869999999999</v>
      </c>
      <c r="W4267">
        <v>0.34725980000000001</v>
      </c>
      <c r="X4267">
        <v>0.92870350000000002</v>
      </c>
      <c r="Y4267">
        <v>0.26166610000000001</v>
      </c>
      <c r="Z4267">
        <v>8.7643679999999998E-3</v>
      </c>
      <c r="AA4267">
        <v>0.96511860000000005</v>
      </c>
      <c r="AB4267">
        <v>28</v>
      </c>
      <c r="AC4267">
        <v>6.7795000000000103</v>
      </c>
      <c r="AD4267">
        <v>-1.1058152388</v>
      </c>
      <c r="AE4267">
        <v>-3.7786000000000102</v>
      </c>
      <c r="AF4267">
        <v>2.0630564301290999</v>
      </c>
      <c r="AG4267">
        <v>-1.1058152388</v>
      </c>
      <c r="AH4267">
        <v>7.3218907549631203</v>
      </c>
      <c r="AI4267">
        <v>98.271054663133199</v>
      </c>
      <c r="AJ4267">
        <v>74.263993356795197</v>
      </c>
      <c r="AK4267">
        <v>7.6869443476503498</v>
      </c>
      <c r="AL4267">
        <v>69.680196751219498</v>
      </c>
      <c r="AM4267">
        <v>82.026746426897105</v>
      </c>
      <c r="AN4267">
        <v>1.0000000139009899</v>
      </c>
    </row>
    <row r="4268" spans="1:40" x14ac:dyDescent="0.25">
      <c r="A4268" t="str">
        <f>"20190304164935962"</f>
        <v>20190304164935962</v>
      </c>
      <c r="B4268" t="str">
        <f>"1551689375950133"</f>
        <v>1551689375950133</v>
      </c>
      <c r="C4268" t="s">
        <v>40</v>
      </c>
      <c r="D4268">
        <v>4.386889</v>
      </c>
      <c r="E4268">
        <v>0.57581990000000005</v>
      </c>
      <c r="F4268" t="s">
        <v>45</v>
      </c>
      <c r="G4268">
        <v>-200.0532</v>
      </c>
      <c r="H4268" s="1">
        <v>2.6127649999999999E-6</v>
      </c>
      <c r="I4268">
        <v>210.35919999999999</v>
      </c>
      <c r="J4268">
        <v>-206.9256</v>
      </c>
      <c r="K4268">
        <v>1.1057570000000001</v>
      </c>
      <c r="L4268">
        <v>214.24459999999999</v>
      </c>
      <c r="M4268">
        <v>0.971051</v>
      </c>
      <c r="N4268">
        <v>-1.449372E-2</v>
      </c>
      <c r="O4268">
        <v>-0.23843249999999999</v>
      </c>
      <c r="P4268">
        <v>0.87636550000000002</v>
      </c>
      <c r="Q4268">
        <v>0.33668239999999999</v>
      </c>
      <c r="R4268">
        <v>-0.34442519999999999</v>
      </c>
      <c r="S4268">
        <v>2.9563449999999998</v>
      </c>
      <c r="T4268">
        <v>-0.4572368</v>
      </c>
      <c r="U4268">
        <v>-1.6370849999999999</v>
      </c>
      <c r="V4268">
        <v>0.1299688</v>
      </c>
      <c r="W4268">
        <v>0.34854420000000003</v>
      </c>
      <c r="X4268">
        <v>0.9282376</v>
      </c>
      <c r="Y4268">
        <v>0.2609649</v>
      </c>
      <c r="Z4268">
        <v>9.425058E-3</v>
      </c>
      <c r="AA4268">
        <v>0.96530229999999995</v>
      </c>
      <c r="AB4268">
        <v>28</v>
      </c>
      <c r="AC4268">
        <v>6.8723999999999901</v>
      </c>
      <c r="AD4268">
        <v>-1.105754387235</v>
      </c>
      <c r="AE4268">
        <v>-3.8854000000000002</v>
      </c>
      <c r="AF4268">
        <v>2.0934730873891998</v>
      </c>
      <c r="AG4268">
        <v>-1.105754387235</v>
      </c>
      <c r="AH4268">
        <v>7.4544162552677298</v>
      </c>
      <c r="AI4268">
        <v>98.127492434068103</v>
      </c>
      <c r="AJ4268">
        <v>74.313313125868305</v>
      </c>
      <c r="AK4268">
        <v>7.8213581965865799</v>
      </c>
      <c r="AL4268">
        <v>69.601702186927099</v>
      </c>
      <c r="AM4268">
        <v>82.029449077387397</v>
      </c>
      <c r="AN4268">
        <v>0.99999999519041904</v>
      </c>
    </row>
    <row r="4269" spans="1:40" x14ac:dyDescent="0.25">
      <c r="A4269" t="str">
        <f>"20190304164935984"</f>
        <v>20190304164935984</v>
      </c>
      <c r="B4269" t="str">
        <f>"1551689375980389"</f>
        <v>1551689375980389</v>
      </c>
      <c r="C4269" t="s">
        <v>40</v>
      </c>
      <c r="D4269">
        <v>4.4283039999999998</v>
      </c>
      <c r="E4269">
        <v>0.57551149999999995</v>
      </c>
      <c r="F4269" t="s">
        <v>45</v>
      </c>
      <c r="G4269">
        <v>-199.85329999999999</v>
      </c>
      <c r="H4269" s="1">
        <v>2.5960440000000002E-6</v>
      </c>
      <c r="I4269">
        <v>210.27809999999999</v>
      </c>
      <c r="J4269">
        <v>-206.65559999999999</v>
      </c>
      <c r="K4269">
        <v>1.1056809999999999</v>
      </c>
      <c r="L4269">
        <v>214.17060000000001</v>
      </c>
      <c r="M4269">
        <v>0.96938100000000005</v>
      </c>
      <c r="N4269">
        <v>-1.4500799999999901E-2</v>
      </c>
      <c r="O4269">
        <v>-0.24513299999999999</v>
      </c>
      <c r="P4269">
        <v>0.87359759999999997</v>
      </c>
      <c r="Q4269">
        <v>0.33631820000000001</v>
      </c>
      <c r="R4269">
        <v>-0.35173480000000001</v>
      </c>
      <c r="S4269">
        <v>2.9501650000000001</v>
      </c>
      <c r="T4269">
        <v>-0.46125840000000001</v>
      </c>
      <c r="U4269">
        <v>-1.6546019999999999</v>
      </c>
      <c r="V4269">
        <v>0.13134849999999901</v>
      </c>
      <c r="W4269">
        <v>0.3481437</v>
      </c>
      <c r="X4269">
        <v>0.92819370000000001</v>
      </c>
      <c r="Y4269">
        <v>0.25957809999999998</v>
      </c>
      <c r="Z4269">
        <v>1.0489679999999999E-2</v>
      </c>
      <c r="AA4269">
        <v>0.9656652</v>
      </c>
      <c r="AB4269">
        <v>28</v>
      </c>
      <c r="AC4269">
        <v>6.8022999999999998</v>
      </c>
      <c r="AD4269">
        <v>-1.1056784039559999</v>
      </c>
      <c r="AE4269">
        <v>-3.8925000000000098</v>
      </c>
      <c r="AF4269">
        <v>2.06496884372583</v>
      </c>
      <c r="AG4269">
        <v>-1.1056784039559999</v>
      </c>
      <c r="AH4269">
        <v>7.4016756820467897</v>
      </c>
      <c r="AI4269">
        <v>98.187945746284001</v>
      </c>
      <c r="AJ4269">
        <v>74.4116063348051</v>
      </c>
      <c r="AK4269">
        <v>7.7634672640989404</v>
      </c>
      <c r="AL4269">
        <v>69.626182621158094</v>
      </c>
      <c r="AM4269">
        <v>81.945565286327394</v>
      </c>
      <c r="AN4269">
        <v>1.0000000045108099</v>
      </c>
    </row>
    <row r="4270" spans="1:40" x14ac:dyDescent="0.25">
      <c r="A4270" t="str">
        <f>"20190304164936007"</f>
        <v>20190304164936007</v>
      </c>
      <c r="B4270" t="str">
        <f>"1551689375999913"</f>
        <v>1551689375999913</v>
      </c>
      <c r="C4270" t="s">
        <v>40</v>
      </c>
      <c r="D4270">
        <v>4.3814209999999996</v>
      </c>
      <c r="E4270">
        <v>0.57522850000000003</v>
      </c>
      <c r="F4270" t="s">
        <v>45</v>
      </c>
      <c r="G4270">
        <v>-199.76740000000001</v>
      </c>
      <c r="H4270" s="1">
        <v>2.6129899999999999E-6</v>
      </c>
      <c r="I4270">
        <v>210.2586</v>
      </c>
      <c r="J4270">
        <v>-206.37389999999999</v>
      </c>
      <c r="K4270">
        <v>1.105593</v>
      </c>
      <c r="L4270">
        <v>214.09110000000001</v>
      </c>
      <c r="M4270">
        <v>0.96754969999999996</v>
      </c>
      <c r="N4270">
        <v>-1.450857E-2</v>
      </c>
      <c r="O4270">
        <v>-0.25226389999999999</v>
      </c>
      <c r="P4270">
        <v>0.87129020000000001</v>
      </c>
      <c r="Q4270">
        <v>0.33488089999999998</v>
      </c>
      <c r="R4270">
        <v>-0.35875949999999901</v>
      </c>
      <c r="S4270">
        <v>2.942993</v>
      </c>
      <c r="T4270">
        <v>-0.47240520000000003</v>
      </c>
      <c r="U4270">
        <v>-1.6714169999999999</v>
      </c>
      <c r="V4270">
        <v>0.13190439999999901</v>
      </c>
      <c r="W4270">
        <v>0.34668729999999998</v>
      </c>
      <c r="X4270">
        <v>0.92865989999999998</v>
      </c>
      <c r="Y4270">
        <v>0.25770120000000002</v>
      </c>
      <c r="Z4270">
        <v>1.1928859999999999E-2</v>
      </c>
      <c r="AA4270">
        <v>0.96615099999999998</v>
      </c>
      <c r="AB4270">
        <v>28</v>
      </c>
      <c r="AC4270">
        <v>6.6064999999999801</v>
      </c>
      <c r="AD4270">
        <v>-1.1055903870099999</v>
      </c>
      <c r="AE4270">
        <v>-3.8325</v>
      </c>
      <c r="AF4270">
        <v>1.9998625064725499</v>
      </c>
      <c r="AG4270">
        <v>-1.1055903870099999</v>
      </c>
      <c r="AH4270">
        <v>7.2086430450971903</v>
      </c>
      <c r="AI4270">
        <v>98.406790816443902</v>
      </c>
      <c r="AJ4270">
        <v>74.494620729674196</v>
      </c>
      <c r="AK4270">
        <v>7.5621633611204002</v>
      </c>
      <c r="AL4270">
        <v>69.715171776968106</v>
      </c>
      <c r="AM4270">
        <v>81.9159336476297</v>
      </c>
      <c r="AN4270">
        <v>1.0000000322943201</v>
      </c>
    </row>
    <row r="4271" spans="1:40" x14ac:dyDescent="0.25">
      <c r="A4271" t="str">
        <f>"20190304164936029"</f>
        <v>20190304164936029</v>
      </c>
      <c r="B4271" t="str">
        <f>"1551689376020405"</f>
        <v>1551689376020405</v>
      </c>
      <c r="C4271" t="s">
        <v>40</v>
      </c>
      <c r="D4271">
        <v>4.3530259999999998</v>
      </c>
      <c r="E4271">
        <v>0.57506809999999997</v>
      </c>
      <c r="F4271" t="s">
        <v>45</v>
      </c>
      <c r="G4271">
        <v>-199.67019999999999</v>
      </c>
      <c r="H4271" s="1">
        <v>2.6330259999999999E-6</v>
      </c>
      <c r="I4271">
        <v>210.22669999999999</v>
      </c>
      <c r="J4271">
        <v>-206.11279999999999</v>
      </c>
      <c r="K4271">
        <v>1.105505</v>
      </c>
      <c r="L4271">
        <v>214.0153</v>
      </c>
      <c r="M4271">
        <v>0.96576819999999997</v>
      </c>
      <c r="N4271">
        <v>-1.451669E-2</v>
      </c>
      <c r="O4271">
        <v>-0.25900020000000001</v>
      </c>
      <c r="P4271">
        <v>0.86951699999999998</v>
      </c>
      <c r="Q4271">
        <v>0.33337600000000001</v>
      </c>
      <c r="R4271">
        <v>-0.36441829999999997</v>
      </c>
      <c r="S4271">
        <v>2.932938</v>
      </c>
      <c r="T4271">
        <v>-0.48370429999999998</v>
      </c>
      <c r="U4271">
        <v>-1.690704</v>
      </c>
      <c r="V4271">
        <v>0.13136400000000001</v>
      </c>
      <c r="W4271">
        <v>0.34518280000000001</v>
      </c>
      <c r="X4271">
        <v>0.92929669999999998</v>
      </c>
      <c r="Y4271">
        <v>0.2572082</v>
      </c>
      <c r="Z4271">
        <v>1.3269909999999999E-2</v>
      </c>
      <c r="AA4271">
        <v>0.96626489999999998</v>
      </c>
      <c r="AB4271">
        <v>28</v>
      </c>
      <c r="AC4271">
        <v>6.4425999999999899</v>
      </c>
      <c r="AD4271">
        <v>-1.1055023669740001</v>
      </c>
      <c r="AE4271">
        <v>-3.7886000000000002</v>
      </c>
      <c r="AF4271">
        <v>1.9478683256170199</v>
      </c>
      <c r="AG4271">
        <v>-1.1055023669740001</v>
      </c>
      <c r="AH4271">
        <v>7.0498269437799603</v>
      </c>
      <c r="AI4271">
        <v>98.595155376432601</v>
      </c>
      <c r="AJ4271">
        <v>74.554515517692096</v>
      </c>
      <c r="AK4271">
        <v>7.3970525504806997</v>
      </c>
      <c r="AL4271">
        <v>69.807045283005806</v>
      </c>
      <c r="AM4271">
        <v>81.954063085179897</v>
      </c>
      <c r="AN4271">
        <v>1.0000000112713601</v>
      </c>
    </row>
    <row r="4272" spans="1:40" x14ac:dyDescent="0.25">
      <c r="A4272" t="str">
        <f>"20190304164936050"</f>
        <v>20190304164936050</v>
      </c>
      <c r="B4272" t="str">
        <f>"1551689376039929"</f>
        <v>1551689376039929</v>
      </c>
      <c r="C4272" t="s">
        <v>40</v>
      </c>
      <c r="D4272">
        <v>4.3414060000000001</v>
      </c>
      <c r="E4272">
        <v>0.57490319999999995</v>
      </c>
      <c r="F4272" t="s">
        <v>45</v>
      </c>
      <c r="G4272">
        <v>-199.57140000000001</v>
      </c>
      <c r="H4272" s="1">
        <v>2.6541039999999998E-6</v>
      </c>
      <c r="I4272">
        <v>210.18610000000001</v>
      </c>
      <c r="J4272">
        <v>-205.84370000000001</v>
      </c>
      <c r="K4272">
        <v>1.105434</v>
      </c>
      <c r="L4272">
        <v>213.935</v>
      </c>
      <c r="M4272">
        <v>0.96384780000000003</v>
      </c>
      <c r="N4272">
        <v>-1.452551E-2</v>
      </c>
      <c r="O4272">
        <v>-0.26605759999999901</v>
      </c>
      <c r="P4272">
        <v>0.86715719999999996</v>
      </c>
      <c r="Q4272">
        <v>0.3322813</v>
      </c>
      <c r="R4272">
        <v>-0.3709826</v>
      </c>
      <c r="S4272">
        <v>2.9225310000000002</v>
      </c>
      <c r="T4272">
        <v>-0.49390859999999898</v>
      </c>
      <c r="U4272">
        <v>-1.7108000000000001</v>
      </c>
      <c r="V4272">
        <v>0.13153020000000001</v>
      </c>
      <c r="W4272">
        <v>0.34407670000000001</v>
      </c>
      <c r="X4272">
        <v>0.92968329999999999</v>
      </c>
      <c r="Y4272">
        <v>0.25663740000000002</v>
      </c>
      <c r="Z4272">
        <v>1.46619E-2</v>
      </c>
      <c r="AA4272">
        <v>0.96639649999999999</v>
      </c>
      <c r="AB4272">
        <v>28</v>
      </c>
      <c r="AC4272">
        <v>6.2723000000000004</v>
      </c>
      <c r="AD4272">
        <v>-1.1054313458959999</v>
      </c>
      <c r="AE4272">
        <v>-3.7488999999999901</v>
      </c>
      <c r="AF4272">
        <v>1.9012699408276299</v>
      </c>
      <c r="AG4272">
        <v>-1.1054313458959999</v>
      </c>
      <c r="AH4272">
        <v>6.8861180059919196</v>
      </c>
      <c r="AI4272">
        <v>98.796219394193102</v>
      </c>
      <c r="AJ4272">
        <v>74.565072428136702</v>
      </c>
      <c r="AK4272">
        <v>7.2287915339170103</v>
      </c>
      <c r="AL4272">
        <v>69.874555780008194</v>
      </c>
      <c r="AM4272">
        <v>81.947323076469701</v>
      </c>
      <c r="AN4272">
        <v>1.0000000036469101</v>
      </c>
    </row>
    <row r="4273" spans="1:40" x14ac:dyDescent="0.25">
      <c r="A4273" t="str">
        <f>"20190304164936074"</f>
        <v>20190304164936074</v>
      </c>
      <c r="B4273" t="str">
        <f>"1551689376070181"</f>
        <v>1551689376070181</v>
      </c>
      <c r="C4273" t="s">
        <v>40</v>
      </c>
      <c r="D4273">
        <v>4.3345070000000003</v>
      </c>
      <c r="E4273">
        <v>0.57466329999999999</v>
      </c>
      <c r="F4273" t="s">
        <v>41</v>
      </c>
      <c r="G4273">
        <v>-205.15600000000001</v>
      </c>
      <c r="H4273">
        <v>0.98668359999999999</v>
      </c>
      <c r="I4273">
        <v>213.5258</v>
      </c>
      <c r="J4273">
        <v>-205.57239999999999</v>
      </c>
      <c r="K4273">
        <v>1.1053729999999999</v>
      </c>
      <c r="L4273">
        <v>213.8519</v>
      </c>
      <c r="M4273">
        <v>0.96182699999999999</v>
      </c>
      <c r="N4273">
        <v>-1.453397E-2</v>
      </c>
      <c r="O4273">
        <v>-0.27327279999999998</v>
      </c>
      <c r="P4273">
        <v>0.86376169999999997</v>
      </c>
      <c r="Q4273">
        <v>0.3330359</v>
      </c>
      <c r="R4273">
        <v>-0.37815779999999999</v>
      </c>
      <c r="S4273">
        <v>2.9112550000000001</v>
      </c>
      <c r="T4273">
        <v>-0.50248090000000001</v>
      </c>
      <c r="U4273">
        <v>-1.7317499999999999</v>
      </c>
      <c r="V4273">
        <v>0.13242089999999901</v>
      </c>
      <c r="W4273">
        <v>0.3448001</v>
      </c>
      <c r="X4273">
        <v>0.92928869999999997</v>
      </c>
      <c r="Y4273">
        <v>0.25623190000000001</v>
      </c>
      <c r="Z4273">
        <v>1.603796E-2</v>
      </c>
      <c r="AA4273">
        <v>0.96648230000000002</v>
      </c>
      <c r="AB4273">
        <v>28</v>
      </c>
      <c r="AC4273">
        <v>0.41640000000000998</v>
      </c>
      <c r="AD4273">
        <v>-0.1186894</v>
      </c>
      <c r="AE4273">
        <v>-0.326099999999996</v>
      </c>
      <c r="AF4273">
        <v>0.19029864521123699</v>
      </c>
      <c r="AG4273">
        <v>-0.1186894</v>
      </c>
      <c r="AH4273">
        <v>0.46619320939062497</v>
      </c>
      <c r="AI4273">
        <v>103.26316654545499</v>
      </c>
      <c r="AJ4273">
        <v>67.794867213658307</v>
      </c>
      <c r="AK4273">
        <v>0.51733630891666904</v>
      </c>
      <c r="AL4273">
        <v>69.830405250969505</v>
      </c>
      <c r="AM4273">
        <v>81.890117729485198</v>
      </c>
      <c r="AN4273">
        <v>0.99999994583225305</v>
      </c>
    </row>
    <row r="4274" spans="1:40" x14ac:dyDescent="0.25">
      <c r="A4274" t="str">
        <f>"20190304164936096"</f>
        <v>20190304164936096</v>
      </c>
      <c r="B4274" t="str">
        <f>"1551689376090677"</f>
        <v>1551689376090677</v>
      </c>
      <c r="C4274" t="s">
        <v>40</v>
      </c>
      <c r="D4274">
        <v>4.3208060000000001</v>
      </c>
      <c r="E4274">
        <v>0.57446149999999996</v>
      </c>
      <c r="F4274" t="s">
        <v>41</v>
      </c>
      <c r="G4274">
        <v>-204.9179</v>
      </c>
      <c r="H4274">
        <v>0.99106550000000004</v>
      </c>
      <c r="I4274">
        <v>213.45580000000001</v>
      </c>
      <c r="J4274">
        <v>-205.2954</v>
      </c>
      <c r="K4274">
        <v>1.1053109999999999</v>
      </c>
      <c r="L4274">
        <v>213.76439999999999</v>
      </c>
      <c r="M4274">
        <v>0.95967519999999995</v>
      </c>
      <c r="N4274">
        <v>-1.4541729999999999E-2</v>
      </c>
      <c r="O4274">
        <v>-0.28073490000000001</v>
      </c>
      <c r="P4274">
        <v>0.86045740000000004</v>
      </c>
      <c r="Q4274">
        <v>0.33325870000000002</v>
      </c>
      <c r="R4274">
        <v>-0.38542409999999999</v>
      </c>
      <c r="S4274">
        <v>2.900131</v>
      </c>
      <c r="T4274">
        <v>-0.50643009999999999</v>
      </c>
      <c r="U4274">
        <v>-1.7548680000000001</v>
      </c>
      <c r="V4274">
        <v>0.13311489999999901</v>
      </c>
      <c r="W4274">
        <v>0.34500009999999998</v>
      </c>
      <c r="X4274">
        <v>0.92911540000000004</v>
      </c>
      <c r="Y4274">
        <v>0.25607190000000002</v>
      </c>
      <c r="Z4274">
        <v>1.7248380000000001E-2</v>
      </c>
      <c r="AA4274">
        <v>0.96650389999999997</v>
      </c>
      <c r="AB4274">
        <v>28</v>
      </c>
      <c r="AC4274">
        <v>0.377499999999997</v>
      </c>
      <c r="AD4274">
        <v>-0.1142455</v>
      </c>
      <c r="AE4274">
        <v>-0.308599999999984</v>
      </c>
      <c r="AF4274">
        <v>0.18029991103849799</v>
      </c>
      <c r="AG4274">
        <v>-0.1142455</v>
      </c>
      <c r="AH4274">
        <v>0.42559433920984302</v>
      </c>
      <c r="AI4274">
        <v>103.883640216337</v>
      </c>
      <c r="AJ4274">
        <v>67.040412717845399</v>
      </c>
      <c r="AK4274">
        <v>0.47612039838490799</v>
      </c>
      <c r="AL4274">
        <v>69.8181988881705</v>
      </c>
      <c r="AM4274">
        <v>81.846684687057603</v>
      </c>
      <c r="AN4274">
        <v>1.00000003605958</v>
      </c>
    </row>
    <row r="4275" spans="1:40" x14ac:dyDescent="0.25">
      <c r="A4275" t="str">
        <f>"20190304164936111"</f>
        <v>20190304164936111</v>
      </c>
      <c r="B4275" t="str">
        <f>"1551689376100437"</f>
        <v>1551689376100437</v>
      </c>
      <c r="C4275" t="s">
        <v>40</v>
      </c>
      <c r="D4275">
        <v>4.3226370000000003</v>
      </c>
      <c r="E4275">
        <v>0.57433519999999905</v>
      </c>
      <c r="F4275" t="s">
        <v>45</v>
      </c>
      <c r="G4275">
        <v>-199.0317</v>
      </c>
      <c r="H4275" s="1">
        <v>2.7740999999999998E-6</v>
      </c>
      <c r="I4275">
        <v>209.9084</v>
      </c>
      <c r="J4275">
        <v>-205.1146</v>
      </c>
      <c r="K4275">
        <v>1.105278</v>
      </c>
      <c r="L4275">
        <v>213.70590000000001</v>
      </c>
      <c r="M4275">
        <v>0.95822410000000002</v>
      </c>
      <c r="N4275">
        <v>-1.454603E-2</v>
      </c>
      <c r="O4275">
        <v>-0.28564850000000003</v>
      </c>
      <c r="P4275">
        <v>0.85831080000000004</v>
      </c>
      <c r="Q4275">
        <v>0.33299580000000001</v>
      </c>
      <c r="R4275">
        <v>-0.39040580000000003</v>
      </c>
      <c r="S4275">
        <v>2.8876040000000001</v>
      </c>
      <c r="T4275">
        <v>-0.50955890000000004</v>
      </c>
      <c r="U4275">
        <v>-1.7776639999999999</v>
      </c>
      <c r="V4275">
        <v>0.13373589999999999</v>
      </c>
      <c r="W4275">
        <v>0.34472360000000002</v>
      </c>
      <c r="X4275">
        <v>0.92912879999999998</v>
      </c>
      <c r="Y4275">
        <v>0.25853670000000001</v>
      </c>
      <c r="Z4275">
        <v>1.786985E-2</v>
      </c>
      <c r="AA4275">
        <v>0.96583620000000003</v>
      </c>
      <c r="AB4275">
        <v>28</v>
      </c>
      <c r="AC4275">
        <v>6.0828999999999898</v>
      </c>
      <c r="AD4275">
        <v>-1.1052752259</v>
      </c>
      <c r="AE4275">
        <v>-3.7975000000000101</v>
      </c>
      <c r="AF4275">
        <v>1.85736108369288</v>
      </c>
      <c r="AG4275">
        <v>-1.1052752259</v>
      </c>
      <c r="AH4275">
        <v>6.7538144419061803</v>
      </c>
      <c r="AI4275">
        <v>98.966982143657702</v>
      </c>
      <c r="AJ4275">
        <v>74.623258872771999</v>
      </c>
      <c r="AK4275">
        <v>7.0912222526096</v>
      </c>
      <c r="AL4275">
        <v>69.835075570717507</v>
      </c>
      <c r="AM4275">
        <v>81.809279773670795</v>
      </c>
      <c r="AN4275">
        <v>0.99999998916760402</v>
      </c>
    </row>
    <row r="4276" spans="1:40" x14ac:dyDescent="0.25">
      <c r="A4276" t="str">
        <f>"20190304164936129"</f>
        <v>20190304164936129</v>
      </c>
      <c r="B4276" t="str">
        <f>"1551689376119958"</f>
        <v>1551689376119958</v>
      </c>
      <c r="C4276" t="s">
        <v>40</v>
      </c>
      <c r="D4276">
        <v>4.3217420000000004</v>
      </c>
      <c r="E4276">
        <v>0.57409429999999995</v>
      </c>
      <c r="F4276" t="s">
        <v>41</v>
      </c>
      <c r="G4276">
        <v>-204.44649999999999</v>
      </c>
      <c r="H4276">
        <v>0.98618249999999996</v>
      </c>
      <c r="I4276">
        <v>213.29</v>
      </c>
      <c r="J4276">
        <v>-204.9008</v>
      </c>
      <c r="K4276">
        <v>1.105243</v>
      </c>
      <c r="L4276">
        <v>213.63550000000001</v>
      </c>
      <c r="M4276">
        <v>0.95646299999999995</v>
      </c>
      <c r="N4276">
        <v>-1.455041E-2</v>
      </c>
      <c r="O4276">
        <v>-0.291491</v>
      </c>
      <c r="P4276">
        <v>0.85577579999999998</v>
      </c>
      <c r="Q4276">
        <v>0.33154529999999999</v>
      </c>
      <c r="R4276">
        <v>-0.39714690000000002</v>
      </c>
      <c r="S4276">
        <v>2.879181</v>
      </c>
      <c r="T4276">
        <v>-0.5129418</v>
      </c>
      <c r="U4276">
        <v>-1.791885</v>
      </c>
      <c r="V4276">
        <v>0.1352226</v>
      </c>
      <c r="W4276">
        <v>0.34325229999999901</v>
      </c>
      <c r="X4276">
        <v>0.92945829999999996</v>
      </c>
      <c r="Y4276">
        <v>0.25740950000000001</v>
      </c>
      <c r="Z4276">
        <v>1.894767E-2</v>
      </c>
      <c r="AA4276">
        <v>0.96611659999999999</v>
      </c>
      <c r="AB4276">
        <v>28</v>
      </c>
      <c r="AC4276">
        <v>0.45430000000001702</v>
      </c>
      <c r="AD4276">
        <v>-0.119060499999999</v>
      </c>
      <c r="AE4276">
        <v>-0.34550000000001502</v>
      </c>
      <c r="AF4276">
        <v>0.189795591577677</v>
      </c>
      <c r="AG4276">
        <v>-0.119060499999999</v>
      </c>
      <c r="AH4276">
        <v>0.51296615835275505</v>
      </c>
      <c r="AI4276">
        <v>102.28056314767601</v>
      </c>
      <c r="AJ4276">
        <v>69.695711680347998</v>
      </c>
      <c r="AK4276">
        <v>0.55976070678259804</v>
      </c>
      <c r="AL4276">
        <v>69.924854138810403</v>
      </c>
      <c r="AM4276">
        <v>81.7223767306442</v>
      </c>
      <c r="AN4276">
        <v>1.0000000122224699</v>
      </c>
    </row>
    <row r="4277" spans="1:40" x14ac:dyDescent="0.25">
      <c r="A4277" t="str">
        <f>"20190304164936153"</f>
        <v>20190304164936153</v>
      </c>
      <c r="B4277" t="str">
        <f>"1551689376140454"</f>
        <v>1551689376140454</v>
      </c>
      <c r="C4277" t="s">
        <v>40</v>
      </c>
      <c r="D4277">
        <v>4.1913309999999999</v>
      </c>
      <c r="E4277">
        <v>0.57411219999999996</v>
      </c>
      <c r="F4277" t="s">
        <v>41</v>
      </c>
      <c r="G4277">
        <v>-204.21440000000001</v>
      </c>
      <c r="H4277">
        <v>0.98023559999999998</v>
      </c>
      <c r="I4277">
        <v>213.202</v>
      </c>
      <c r="J4277">
        <v>-204.63</v>
      </c>
      <c r="K4277">
        <v>1.105216</v>
      </c>
      <c r="L4277">
        <v>213.54419999999999</v>
      </c>
      <c r="M4277">
        <v>0.95416590000000001</v>
      </c>
      <c r="N4277">
        <v>-1.4554660000000001E-2</v>
      </c>
      <c r="O4277">
        <v>-0.29892410000000003</v>
      </c>
      <c r="P4277">
        <v>0.85308099999999998</v>
      </c>
      <c r="Q4277">
        <v>0.32921669999999997</v>
      </c>
      <c r="R4277">
        <v>-0.404808</v>
      </c>
      <c r="S4277">
        <v>2.8676910000000002</v>
      </c>
      <c r="T4277">
        <v>-0.52208140000000003</v>
      </c>
      <c r="U4277">
        <v>-1.810379</v>
      </c>
      <c r="V4277">
        <v>0.13605</v>
      </c>
      <c r="W4277">
        <v>0.34091919999999998</v>
      </c>
      <c r="X4277">
        <v>0.93019589999999996</v>
      </c>
      <c r="Y4277">
        <v>0.25617099999999998</v>
      </c>
      <c r="Z4277">
        <v>2.056933E-2</v>
      </c>
      <c r="AA4277">
        <v>0.96641259999999996</v>
      </c>
      <c r="AB4277">
        <v>28</v>
      </c>
      <c r="AC4277">
        <v>0.41559999999998298</v>
      </c>
      <c r="AD4277">
        <v>-0.12498040000000001</v>
      </c>
      <c r="AE4277">
        <v>-0.34219999999999101</v>
      </c>
      <c r="AF4277">
        <v>0.19195852083395901</v>
      </c>
      <c r="AG4277">
        <v>-0.12498040000000001</v>
      </c>
      <c r="AH4277">
        <v>0.47338299766820802</v>
      </c>
      <c r="AI4277">
        <v>103.74819575100599</v>
      </c>
      <c r="AJ4277">
        <v>67.927267466543697</v>
      </c>
      <c r="AK4277">
        <v>0.52588937675737502</v>
      </c>
      <c r="AL4277">
        <v>70.067112536015799</v>
      </c>
      <c r="AM4277">
        <v>81.678946648141903</v>
      </c>
      <c r="AN4277">
        <v>0.999999957902724</v>
      </c>
    </row>
    <row r="4278" spans="1:40" x14ac:dyDescent="0.25">
      <c r="A4278" t="str">
        <f>"20190304164936175"</f>
        <v>20190304164936175</v>
      </c>
      <c r="B4278" t="str">
        <f>"1551689376170711"</f>
        <v>1551689376170711</v>
      </c>
      <c r="C4278" t="s">
        <v>40</v>
      </c>
      <c r="D4278">
        <v>4.2989410000000001</v>
      </c>
      <c r="E4278">
        <v>0.57371470000000002</v>
      </c>
      <c r="F4278" t="s">
        <v>41</v>
      </c>
      <c r="G4278">
        <v>-203.97669999999999</v>
      </c>
      <c r="H4278">
        <v>0.98415660000000005</v>
      </c>
      <c r="I4278">
        <v>213.12360000000001</v>
      </c>
      <c r="J4278">
        <v>-204.36070000000001</v>
      </c>
      <c r="K4278">
        <v>1.1052</v>
      </c>
      <c r="L4278">
        <v>213.4511</v>
      </c>
      <c r="M4278">
        <v>0.95180960000000003</v>
      </c>
      <c r="N4278">
        <v>-1.4557560000000001E-2</v>
      </c>
      <c r="O4278">
        <v>-0.30634410000000001</v>
      </c>
      <c r="P4278">
        <v>0.85017379999999998</v>
      </c>
      <c r="Q4278">
        <v>0.32722040000000002</v>
      </c>
      <c r="R4278">
        <v>-0.41247010000000001</v>
      </c>
      <c r="S4278">
        <v>2.8498540000000001</v>
      </c>
      <c r="T4278">
        <v>-0.5279064</v>
      </c>
      <c r="U4278">
        <v>-1.834579</v>
      </c>
      <c r="V4278">
        <v>0.1369292</v>
      </c>
      <c r="W4278">
        <v>0.33891909999999997</v>
      </c>
      <c r="X4278">
        <v>0.9307976</v>
      </c>
      <c r="Y4278">
        <v>0.25724900000000001</v>
      </c>
      <c r="Z4278">
        <v>2.1879610000000001E-2</v>
      </c>
      <c r="AA4278">
        <v>0.9660974</v>
      </c>
      <c r="AB4278">
        <v>28</v>
      </c>
      <c r="AC4278">
        <v>0.384000000000014</v>
      </c>
      <c r="AD4278">
        <v>-0.1210434</v>
      </c>
      <c r="AE4278">
        <v>-0.32749999999998602</v>
      </c>
      <c r="AF4278">
        <v>0.18354426894985701</v>
      </c>
      <c r="AG4278">
        <v>-0.1210434</v>
      </c>
      <c r="AH4278">
        <v>0.44053173806534202</v>
      </c>
      <c r="AI4278">
        <v>104.23197909159499</v>
      </c>
      <c r="AJ4278">
        <v>67.381312190505</v>
      </c>
      <c r="AK4278">
        <v>0.49234968832199899</v>
      </c>
      <c r="AL4278">
        <v>70.188965835769594</v>
      </c>
      <c r="AM4278">
        <v>81.631269977139297</v>
      </c>
      <c r="AN4278">
        <v>0.999999967161604</v>
      </c>
    </row>
    <row r="4279" spans="1:40" x14ac:dyDescent="0.25">
      <c r="A4279" t="str">
        <f>"20190304164936198"</f>
        <v>20190304164936198</v>
      </c>
      <c r="B4279" t="str">
        <f>"1551689376190230"</f>
        <v>1551689376190230</v>
      </c>
      <c r="C4279" t="s">
        <v>40</v>
      </c>
      <c r="D4279">
        <v>4.4285249999999996</v>
      </c>
      <c r="E4279">
        <v>0.57408340000000002</v>
      </c>
      <c r="F4279" t="s">
        <v>41</v>
      </c>
      <c r="G4279">
        <v>-203.7406</v>
      </c>
      <c r="H4279">
        <v>0.98699329999999996</v>
      </c>
      <c r="I4279">
        <v>213.0453</v>
      </c>
      <c r="J4279">
        <v>-204.0976</v>
      </c>
      <c r="K4279">
        <v>1.1052029999999999</v>
      </c>
      <c r="L4279">
        <v>213.35759999999999</v>
      </c>
      <c r="M4279">
        <v>0.94944039999999996</v>
      </c>
      <c r="N4279">
        <v>-1.455907E-2</v>
      </c>
      <c r="O4279">
        <v>-0.31360959999999899</v>
      </c>
      <c r="P4279">
        <v>0.84674709999999997</v>
      </c>
      <c r="Q4279">
        <v>0.32633299999999998</v>
      </c>
      <c r="R4279">
        <v>-0.42015049999999998</v>
      </c>
      <c r="S4279">
        <v>2.8365330000000002</v>
      </c>
      <c r="T4279">
        <v>-0.54042029999999996</v>
      </c>
      <c r="U4279">
        <v>-1.855453</v>
      </c>
      <c r="V4279">
        <v>0.13812820000000001</v>
      </c>
      <c r="W4279">
        <v>0.33801910000000002</v>
      </c>
      <c r="X4279">
        <v>0.93094770000000004</v>
      </c>
      <c r="Y4279">
        <v>0.25699630000000001</v>
      </c>
      <c r="Z4279">
        <v>2.36565E-2</v>
      </c>
      <c r="AA4279">
        <v>0.96612279999999995</v>
      </c>
      <c r="AB4279">
        <v>28</v>
      </c>
      <c r="AC4279">
        <v>0.35699999999999898</v>
      </c>
      <c r="AD4279">
        <v>-0.1182097</v>
      </c>
      <c r="AE4279">
        <v>-0.31229999999999303</v>
      </c>
      <c r="AF4279">
        <v>0.17377782395123301</v>
      </c>
      <c r="AG4279">
        <v>-0.1182097</v>
      </c>
      <c r="AH4279">
        <v>0.41138563171072101</v>
      </c>
      <c r="AI4279">
        <v>104.826049117531</v>
      </c>
      <c r="AJ4279">
        <v>67.09979559656</v>
      </c>
      <c r="AK4279">
        <v>0.46196363844933203</v>
      </c>
      <c r="AL4279">
        <v>70.2437664880417</v>
      </c>
      <c r="AM4279">
        <v>81.560383042970301</v>
      </c>
      <c r="AN4279">
        <v>0.99999996586766904</v>
      </c>
    </row>
    <row r="4280" spans="1:40" x14ac:dyDescent="0.25">
      <c r="A4280" t="str">
        <f>"20190304164936218"</f>
        <v>20190304164936218</v>
      </c>
      <c r="B4280" t="str">
        <f>"1551689376210729"</f>
        <v>1551689376210729</v>
      </c>
      <c r="C4280" t="s">
        <v>40</v>
      </c>
      <c r="D4280">
        <v>4.4752359999999998</v>
      </c>
      <c r="E4280">
        <v>0.57511000000000001</v>
      </c>
      <c r="F4280" t="s">
        <v>45</v>
      </c>
      <c r="G4280">
        <v>-198.37190000000001</v>
      </c>
      <c r="H4280" s="1">
        <v>2.9398370000000002E-6</v>
      </c>
      <c r="I4280">
        <v>209.52889999999999</v>
      </c>
      <c r="J4280">
        <v>-203.8426</v>
      </c>
      <c r="K4280">
        <v>1.1052120000000001</v>
      </c>
      <c r="L4280">
        <v>213.26490000000001</v>
      </c>
      <c r="M4280">
        <v>0.94708349999999997</v>
      </c>
      <c r="N4280">
        <v>-1.455975E-2</v>
      </c>
      <c r="O4280">
        <v>-0.32065690000000002</v>
      </c>
      <c r="P4280">
        <v>0.84342260000000002</v>
      </c>
      <c r="Q4280">
        <v>0.3266732</v>
      </c>
      <c r="R4280">
        <v>-0.42652479999999998</v>
      </c>
      <c r="S4280">
        <v>2.8176730000000001</v>
      </c>
      <c r="T4280">
        <v>-0.54387680000000005</v>
      </c>
      <c r="U4280">
        <v>-1.884155</v>
      </c>
      <c r="V4280">
        <v>0.1382727</v>
      </c>
      <c r="W4280">
        <v>0.33835789999999999</v>
      </c>
      <c r="X4280">
        <v>0.93080320000000005</v>
      </c>
      <c r="Y4280">
        <v>0.25963809999999998</v>
      </c>
      <c r="Z4280">
        <v>2.4689630000000001E-2</v>
      </c>
      <c r="AA4280">
        <v>0.96539030000000003</v>
      </c>
      <c r="AB4280">
        <v>28</v>
      </c>
      <c r="AC4280">
        <v>5.4706999999999901</v>
      </c>
      <c r="AD4280">
        <v>-1.105209060163</v>
      </c>
      <c r="AE4280">
        <v>-3.73600000000001</v>
      </c>
      <c r="AF4280">
        <v>1.7359584250312301</v>
      </c>
      <c r="AG4280">
        <v>-1.105209060163</v>
      </c>
      <c r="AH4280">
        <v>6.2070978826524401</v>
      </c>
      <c r="AI4280">
        <v>99.730205220652294</v>
      </c>
      <c r="AJ4280">
        <v>74.375122319232005</v>
      </c>
      <c r="AK4280">
        <v>6.5393503381399896</v>
      </c>
      <c r="AL4280">
        <v>70.2231400459372</v>
      </c>
      <c r="AM4280">
        <v>81.550388856423595</v>
      </c>
      <c r="AN4280">
        <v>1.0000000025939699</v>
      </c>
    </row>
    <row r="4281" spans="1:40" x14ac:dyDescent="0.25">
      <c r="A4281" t="str">
        <f>"20190304164936240"</f>
        <v>20190304164936240</v>
      </c>
      <c r="B4281" t="str">
        <f>"1551689376230246"</f>
        <v>1551689376230246</v>
      </c>
      <c r="C4281" t="s">
        <v>40</v>
      </c>
      <c r="D4281">
        <v>4.4227400000000001</v>
      </c>
      <c r="E4281">
        <v>0.57603789999999999</v>
      </c>
      <c r="F4281" t="s">
        <v>45</v>
      </c>
      <c r="G4281">
        <v>-198.1292</v>
      </c>
      <c r="H4281" s="1">
        <v>3.028159E-6</v>
      </c>
      <c r="I4281">
        <v>209.3579</v>
      </c>
      <c r="J4281">
        <v>-203.583</v>
      </c>
      <c r="K4281">
        <v>1.1052219999999999</v>
      </c>
      <c r="L4281">
        <v>213.16820000000001</v>
      </c>
      <c r="M4281">
        <v>0.94462500000000005</v>
      </c>
      <c r="N4281">
        <v>-1.45597E-2</v>
      </c>
      <c r="O4281">
        <v>-0.32782879999999998</v>
      </c>
      <c r="P4281">
        <v>0.83977060000000003</v>
      </c>
      <c r="Q4281">
        <v>0.32709070000000001</v>
      </c>
      <c r="R4281">
        <v>-0.43335600000000002</v>
      </c>
      <c r="S4281">
        <v>2.7987980000000001</v>
      </c>
      <c r="T4281">
        <v>-0.54140350000000004</v>
      </c>
      <c r="U4281">
        <v>-1.9138790000000001</v>
      </c>
      <c r="V4281">
        <v>0.13882269999999999</v>
      </c>
      <c r="W4281">
        <v>0.33876800000000001</v>
      </c>
      <c r="X4281">
        <v>0.93057219999999996</v>
      </c>
      <c r="Y4281">
        <v>0.262370099999999</v>
      </c>
      <c r="Z4281">
        <v>2.539402E-2</v>
      </c>
      <c r="AA4281">
        <v>0.96463310000000002</v>
      </c>
      <c r="AB4281">
        <v>28</v>
      </c>
      <c r="AC4281">
        <v>5.4538000000000002</v>
      </c>
      <c r="AD4281">
        <v>-1.1052189718409999</v>
      </c>
      <c r="AE4281">
        <v>-3.81030000000001</v>
      </c>
      <c r="AF4281">
        <v>1.7629321569199501</v>
      </c>
      <c r="AG4281">
        <v>-1.1052189718409999</v>
      </c>
      <c r="AH4281">
        <v>6.2296794412791199</v>
      </c>
      <c r="AI4281">
        <v>99.687471332110206</v>
      </c>
      <c r="AJ4281">
        <v>74.199058520549102</v>
      </c>
      <c r="AK4281">
        <v>6.5679787382965404</v>
      </c>
      <c r="AL4281">
        <v>70.198169486058902</v>
      </c>
      <c r="AM4281">
        <v>81.515192263530295</v>
      </c>
      <c r="AN4281">
        <v>1.0000000596360601</v>
      </c>
    </row>
    <row r="4282" spans="1:40" x14ac:dyDescent="0.25">
      <c r="A4282" t="str">
        <f>"20190304164936263"</f>
        <v>20190304164936263</v>
      </c>
      <c r="B4282" t="str">
        <f>"1551689376260502"</f>
        <v>1551689376260502</v>
      </c>
      <c r="C4282" t="s">
        <v>40</v>
      </c>
      <c r="D4282">
        <v>4.3659359999999996</v>
      </c>
      <c r="E4282">
        <v>0.57746239999999904</v>
      </c>
      <c r="F4282" t="s">
        <v>45</v>
      </c>
      <c r="G4282">
        <v>-197.87469999999999</v>
      </c>
      <c r="H4282" s="1">
        <v>3.1219180000000002E-6</v>
      </c>
      <c r="I4282">
        <v>209.17429999999999</v>
      </c>
      <c r="J4282">
        <v>-203.31979999999999</v>
      </c>
      <c r="K4282">
        <v>1.1052360000000001</v>
      </c>
      <c r="L4282">
        <v>213.06800000000001</v>
      </c>
      <c r="M4282">
        <v>0.94206939999999995</v>
      </c>
      <c r="N4282">
        <v>-1.4559010000000001E-2</v>
      </c>
      <c r="O4282">
        <v>-0.33510230000000002</v>
      </c>
      <c r="P4282">
        <v>0.83635919999999897</v>
      </c>
      <c r="Q4282">
        <v>0.32695780000000002</v>
      </c>
      <c r="R4282">
        <v>-0.44000250000000002</v>
      </c>
      <c r="S4282">
        <v>2.778702</v>
      </c>
      <c r="T4282">
        <v>-0.53799580000000002</v>
      </c>
      <c r="U4282">
        <v>-1.9441379999999999</v>
      </c>
      <c r="V4282">
        <v>0.13899909999999999</v>
      </c>
      <c r="W4282">
        <v>0.3386361</v>
      </c>
      <c r="X4282">
        <v>0.93059380000000003</v>
      </c>
      <c r="Y4282">
        <v>0.26528960000000001</v>
      </c>
      <c r="Z4282">
        <v>2.603803E-2</v>
      </c>
      <c r="AA4282">
        <v>0.96381709999999998</v>
      </c>
      <c r="AB4282">
        <v>28</v>
      </c>
      <c r="AC4282">
        <v>5.4450999999999903</v>
      </c>
      <c r="AD4282">
        <v>-1.105232878082</v>
      </c>
      <c r="AE4282">
        <v>-3.8936999999999902</v>
      </c>
      <c r="AF4282">
        <v>1.79473988599931</v>
      </c>
      <c r="AG4282">
        <v>-1.105232878082</v>
      </c>
      <c r="AH4282">
        <v>6.2643619640577901</v>
      </c>
      <c r="AI4282">
        <v>99.626225231812001</v>
      </c>
      <c r="AJ4282">
        <v>74.012990674424501</v>
      </c>
      <c r="AK4282">
        <v>6.60945245764914</v>
      </c>
      <c r="AL4282">
        <v>70.206200094109903</v>
      </c>
      <c r="AM4282">
        <v>81.504762280930095</v>
      </c>
      <c r="AN4282">
        <v>0.99999998931122902</v>
      </c>
    </row>
    <row r="4283" spans="1:40" x14ac:dyDescent="0.25">
      <c r="A4283" t="str">
        <f>"20190304164936286"</f>
        <v>20190304164936286</v>
      </c>
      <c r="B4283" t="str">
        <f>"1551689376280025"</f>
        <v>1551689376280025</v>
      </c>
      <c r="C4283" t="s">
        <v>40</v>
      </c>
      <c r="D4283">
        <v>4.3528019999999996</v>
      </c>
      <c r="E4283">
        <v>0.5782794</v>
      </c>
      <c r="F4283" t="s">
        <v>45</v>
      </c>
      <c r="G4283">
        <v>-197.62469999999999</v>
      </c>
      <c r="H4283" s="1">
        <v>3.215776E-6</v>
      </c>
      <c r="I4283">
        <v>208.9873</v>
      </c>
      <c r="J4283">
        <v>-203.054</v>
      </c>
      <c r="K4283">
        <v>1.105254</v>
      </c>
      <c r="L4283">
        <v>212.96440000000001</v>
      </c>
      <c r="M4283">
        <v>0.93942639999999999</v>
      </c>
      <c r="N4283">
        <v>-1.455775E-2</v>
      </c>
      <c r="O4283">
        <v>-0.34244140000000001</v>
      </c>
      <c r="P4283">
        <v>0.83306190000000002</v>
      </c>
      <c r="Q4283">
        <v>0.32694060000000003</v>
      </c>
      <c r="R4283">
        <v>-0.44622630000000002</v>
      </c>
      <c r="S4283">
        <v>2.7569119999999998</v>
      </c>
      <c r="T4283">
        <v>-0.53503129999999999</v>
      </c>
      <c r="U4283">
        <v>-1.9753879999999999</v>
      </c>
      <c r="V4283">
        <v>0.13866220000000001</v>
      </c>
      <c r="W4283">
        <v>0.33862799999999998</v>
      </c>
      <c r="X4283">
        <v>0.930647</v>
      </c>
      <c r="Y4283">
        <v>0.26861740000000001</v>
      </c>
      <c r="Z4283">
        <v>2.6678879999999999E-2</v>
      </c>
      <c r="AA4283">
        <v>0.96287739999999999</v>
      </c>
      <c r="AB4283">
        <v>28</v>
      </c>
      <c r="AC4283">
        <v>5.4293000000000102</v>
      </c>
      <c r="AD4283">
        <v>-1.105250784224</v>
      </c>
      <c r="AE4283">
        <v>-3.9771000000000001</v>
      </c>
      <c r="AF4283">
        <v>1.8278773847282199</v>
      </c>
      <c r="AG4283">
        <v>-1.105250784224</v>
      </c>
      <c r="AH4283">
        <v>6.2933081241759101</v>
      </c>
      <c r="AI4283">
        <v>99.573041483804104</v>
      </c>
      <c r="AJ4283">
        <v>73.804178100789997</v>
      </c>
      <c r="AK4283">
        <v>6.6459342590374204</v>
      </c>
      <c r="AL4283">
        <v>70.206693208010606</v>
      </c>
      <c r="AM4283">
        <v>81.525530726011098</v>
      </c>
      <c r="AN4283">
        <v>0.999999983350919</v>
      </c>
    </row>
    <row r="4284" spans="1:40" x14ac:dyDescent="0.25">
      <c r="A4284" t="str">
        <f>"20190304164936308"</f>
        <v>20190304164936308</v>
      </c>
      <c r="B4284" t="str">
        <f>"1551689376300521"</f>
        <v>1551689376300521</v>
      </c>
      <c r="C4284" t="s">
        <v>40</v>
      </c>
      <c r="D4284">
        <v>4.3140890000000001</v>
      </c>
      <c r="E4284">
        <v>0.57902119999999901</v>
      </c>
      <c r="F4284" t="s">
        <v>45</v>
      </c>
      <c r="G4284">
        <v>-197.37430000000001</v>
      </c>
      <c r="H4284" s="1">
        <v>3.3066370000000002E-6</v>
      </c>
      <c r="I4284">
        <v>208.81200000000001</v>
      </c>
      <c r="J4284">
        <v>-202.80680000000001</v>
      </c>
      <c r="K4284">
        <v>1.1052679999999999</v>
      </c>
      <c r="L4284">
        <v>212.86590000000001</v>
      </c>
      <c r="M4284">
        <v>0.93690969999999996</v>
      </c>
      <c r="N4284">
        <v>-1.455618E-2</v>
      </c>
      <c r="O4284">
        <v>-0.34926829999999998</v>
      </c>
      <c r="P4284">
        <v>0.82979919999999996</v>
      </c>
      <c r="Q4284">
        <v>0.3268974</v>
      </c>
      <c r="R4284">
        <v>-0.45229619999999998</v>
      </c>
      <c r="S4284">
        <v>2.7380369999999998</v>
      </c>
      <c r="T4284">
        <v>-0.53280899999999998</v>
      </c>
      <c r="U4284">
        <v>-2.00177</v>
      </c>
      <c r="V4284">
        <v>0.13866629999999899</v>
      </c>
      <c r="W4284">
        <v>0.3385881</v>
      </c>
      <c r="X4284">
        <v>0.93066099999999996</v>
      </c>
      <c r="Y4284">
        <v>0.27085009999999998</v>
      </c>
      <c r="Z4284">
        <v>2.737595E-2</v>
      </c>
      <c r="AA4284">
        <v>0.96223219999999998</v>
      </c>
      <c r="AB4284">
        <v>28</v>
      </c>
      <c r="AC4284">
        <v>5.4325000000000001</v>
      </c>
      <c r="AD4284">
        <v>-1.1052646933629999</v>
      </c>
      <c r="AE4284">
        <v>-4.0538999999999898</v>
      </c>
      <c r="AF4284">
        <v>1.8517066636366899</v>
      </c>
      <c r="AG4284">
        <v>-1.1052646933629999</v>
      </c>
      <c r="AH4284">
        <v>6.3378403852069196</v>
      </c>
      <c r="AI4284">
        <v>99.502819484855706</v>
      </c>
      <c r="AJ4284">
        <v>73.713388913334299</v>
      </c>
      <c r="AK4284">
        <v>6.6946731330895597</v>
      </c>
      <c r="AL4284">
        <v>70.2091246318994</v>
      </c>
      <c r="AM4284">
        <v>81.525409423902403</v>
      </c>
      <c r="AN4284">
        <v>1.0000000705691401</v>
      </c>
    </row>
    <row r="4285" spans="1:40" x14ac:dyDescent="0.25">
      <c r="A4285" t="str">
        <f>"20190304164936330"</f>
        <v>20190304164936330</v>
      </c>
      <c r="B4285" t="str">
        <f>"1551689376320041"</f>
        <v>1551689376320041</v>
      </c>
      <c r="C4285" t="s">
        <v>40</v>
      </c>
      <c r="D4285">
        <v>4.2737980000000002</v>
      </c>
      <c r="E4285">
        <v>0.57972760000000001</v>
      </c>
      <c r="F4285" t="s">
        <v>45</v>
      </c>
      <c r="G4285">
        <v>-197.14580000000001</v>
      </c>
      <c r="H4285" s="1">
        <v>3.3905150000000002E-6</v>
      </c>
      <c r="I4285">
        <v>208.6482</v>
      </c>
      <c r="J4285">
        <v>-202.54179999999999</v>
      </c>
      <c r="K4285">
        <v>1.105286</v>
      </c>
      <c r="L4285">
        <v>212.75800000000001</v>
      </c>
      <c r="M4285">
        <v>0.93414870000000005</v>
      </c>
      <c r="N4285">
        <v>-1.455423E-2</v>
      </c>
      <c r="O4285">
        <v>-0.35658719999999999</v>
      </c>
      <c r="P4285">
        <v>0.82615090000000002</v>
      </c>
      <c r="Q4285">
        <v>0.32680330000000002</v>
      </c>
      <c r="R4285">
        <v>-0.45899319999999999</v>
      </c>
      <c r="S4285">
        <v>2.7199399999999998</v>
      </c>
      <c r="T4285">
        <v>-0.53105019999999903</v>
      </c>
      <c r="U4285">
        <v>-2.0264739999999999</v>
      </c>
      <c r="V4285">
        <v>0.1388876</v>
      </c>
      <c r="W4285">
        <v>0.33849380000000001</v>
      </c>
      <c r="X4285">
        <v>0.9306622</v>
      </c>
      <c r="Y4285">
        <v>0.27205659999999998</v>
      </c>
      <c r="Z4285">
        <v>2.8258579999999998E-2</v>
      </c>
      <c r="AA4285">
        <v>0.9618662</v>
      </c>
      <c r="AB4285">
        <v>28</v>
      </c>
      <c r="AC4285">
        <v>5.3959999999999804</v>
      </c>
      <c r="AD4285">
        <v>-1.1052826094849999</v>
      </c>
      <c r="AE4285">
        <v>-4.1097999999999697</v>
      </c>
      <c r="AF4285">
        <v>1.8656823882248099</v>
      </c>
      <c r="AG4285">
        <v>-1.1052826094849999</v>
      </c>
      <c r="AH4285">
        <v>6.33854748403746</v>
      </c>
      <c r="AI4285">
        <v>99.496459411475996</v>
      </c>
      <c r="AJ4285">
        <v>73.5987820435803</v>
      </c>
      <c r="AK4285">
        <v>6.69922418104961</v>
      </c>
      <c r="AL4285">
        <v>70.214864697616406</v>
      </c>
      <c r="AM4285">
        <v>81.512092316762505</v>
      </c>
      <c r="AN4285">
        <v>0.99999997429051901</v>
      </c>
    </row>
    <row r="4286" spans="1:40" x14ac:dyDescent="0.25">
      <c r="A4286" t="str">
        <f>"20190304164936346"</f>
        <v>20190304164936346</v>
      </c>
      <c r="B4286" t="str">
        <f>"1551689376340534"</f>
        <v>1551689376340534</v>
      </c>
      <c r="C4286" t="s">
        <v>40</v>
      </c>
      <c r="D4286">
        <v>4.2451610000000004</v>
      </c>
      <c r="E4286">
        <v>0.58042689999999997</v>
      </c>
      <c r="F4286" t="s">
        <v>45</v>
      </c>
      <c r="G4286">
        <v>-196.9051</v>
      </c>
      <c r="H4286" s="1">
        <v>3.4795520000000001E-6</v>
      </c>
      <c r="I4286">
        <v>208.47329999999999</v>
      </c>
      <c r="J4286">
        <v>-202.37200000000001</v>
      </c>
      <c r="K4286">
        <v>1.105297</v>
      </c>
      <c r="L4286">
        <v>212.6875</v>
      </c>
      <c r="M4286">
        <v>0.93234430000000001</v>
      </c>
      <c r="N4286">
        <v>-1.4552789999999999E-2</v>
      </c>
      <c r="O4286">
        <v>-0.36127900000000002</v>
      </c>
      <c r="P4286">
        <v>0.82377990000000001</v>
      </c>
      <c r="Q4286">
        <v>0.32652140000000002</v>
      </c>
      <c r="R4286">
        <v>-0.46343400000000001</v>
      </c>
      <c r="S4286">
        <v>2.7003330000000001</v>
      </c>
      <c r="T4286">
        <v>-0.52949999999999997</v>
      </c>
      <c r="U4286">
        <v>-2.0526580000000001</v>
      </c>
      <c r="V4286">
        <v>0.13916809999999999</v>
      </c>
      <c r="W4286">
        <v>0.33821069999999998</v>
      </c>
      <c r="X4286">
        <v>0.93072319999999997</v>
      </c>
      <c r="Y4286">
        <v>0.27647969999999999</v>
      </c>
      <c r="Z4286">
        <v>2.8487350000000002E-2</v>
      </c>
      <c r="AA4286">
        <v>0.96059749999999999</v>
      </c>
      <c r="AB4286">
        <v>27</v>
      </c>
      <c r="AC4286">
        <v>5.4669000000000096</v>
      </c>
      <c r="AD4286">
        <v>-1.1052935204480001</v>
      </c>
      <c r="AE4286">
        <v>-4.2141999999999999</v>
      </c>
      <c r="AF4286">
        <v>1.9053617430898999</v>
      </c>
      <c r="AG4286">
        <v>-1.1052935204480001</v>
      </c>
      <c r="AH4286">
        <v>6.4547336210364303</v>
      </c>
      <c r="AI4286">
        <v>99.326533504661398</v>
      </c>
      <c r="AJ4286">
        <v>73.5540170446438</v>
      </c>
      <c r="AK4286">
        <v>6.8202392375130803</v>
      </c>
      <c r="AL4286">
        <v>70.232101415140804</v>
      </c>
      <c r="AM4286">
        <v>81.495749685982304</v>
      </c>
      <c r="AN4286">
        <v>0.99999995633516803</v>
      </c>
    </row>
    <row r="4287" spans="1:40" x14ac:dyDescent="0.25">
      <c r="A4287" t="str">
        <f>"20190304164936365"</f>
        <v>20190304164936365</v>
      </c>
      <c r="B4287" t="str">
        <f>"1551689376360053"</f>
        <v>1551689376360053</v>
      </c>
      <c r="C4287" t="s">
        <v>40</v>
      </c>
      <c r="D4287">
        <v>4.2416580000000002</v>
      </c>
      <c r="E4287">
        <v>0.5810573</v>
      </c>
      <c r="F4287" t="s">
        <v>45</v>
      </c>
      <c r="G4287">
        <v>-196.75479999999999</v>
      </c>
      <c r="H4287" s="1">
        <v>3.5370109999999999E-6</v>
      </c>
      <c r="I4287">
        <v>208.3569</v>
      </c>
      <c r="J4287">
        <v>-202.15549999999999</v>
      </c>
      <c r="K4287">
        <v>1.105308</v>
      </c>
      <c r="L4287">
        <v>212.59620000000001</v>
      </c>
      <c r="M4287">
        <v>0.93000369999999999</v>
      </c>
      <c r="N4287">
        <v>-1.4550850000000001E-2</v>
      </c>
      <c r="O4287">
        <v>-0.36726219999999998</v>
      </c>
      <c r="P4287">
        <v>0.82076450000000001</v>
      </c>
      <c r="Q4287">
        <v>0.32646969999999997</v>
      </c>
      <c r="R4287">
        <v>-0.46878969999999998</v>
      </c>
      <c r="S4287">
        <v>2.6862180000000002</v>
      </c>
      <c r="T4287">
        <v>-0.52857279999999995</v>
      </c>
      <c r="U4287">
        <v>-2.0709689999999998</v>
      </c>
      <c r="V4287">
        <v>0.1392322</v>
      </c>
      <c r="W4287">
        <v>0.33816040000000003</v>
      </c>
      <c r="X4287">
        <v>0.930732</v>
      </c>
      <c r="Y4287">
        <v>0.27689940000000002</v>
      </c>
      <c r="Z4287">
        <v>2.9287069999999998E-2</v>
      </c>
      <c r="AA4287">
        <v>0.96045250000000004</v>
      </c>
      <c r="AB4287">
        <v>27</v>
      </c>
      <c r="AC4287">
        <v>5.4006999999999996</v>
      </c>
      <c r="AD4287">
        <v>-1.1053044629890001</v>
      </c>
      <c r="AE4287">
        <v>-4.2393000000000098</v>
      </c>
      <c r="AF4287">
        <v>1.9098030343002901</v>
      </c>
      <c r="AG4287">
        <v>-1.1053044629890001</v>
      </c>
      <c r="AH4287">
        <v>6.4140696684915799</v>
      </c>
      <c r="AI4287">
        <v>99.378266230815797</v>
      </c>
      <c r="AJ4287">
        <v>73.418986832599501</v>
      </c>
      <c r="AK4287">
        <v>6.78301815551084</v>
      </c>
      <c r="AL4287">
        <v>70.235165940492607</v>
      </c>
      <c r="AM4287">
        <v>81.491969260355305</v>
      </c>
      <c r="AN4287">
        <v>1.0000000587344899</v>
      </c>
    </row>
    <row r="4288" spans="1:40" x14ac:dyDescent="0.25">
      <c r="A4288" t="str">
        <f>"20190304164936387"</f>
        <v>20190304164936387</v>
      </c>
      <c r="B4288" t="str">
        <f>"1551689376380549"</f>
        <v>1551689376380549</v>
      </c>
      <c r="C4288" t="s">
        <v>40</v>
      </c>
      <c r="D4288">
        <v>4.2536490000000002</v>
      </c>
      <c r="E4288">
        <v>0.58161280000000004</v>
      </c>
      <c r="F4288" t="s">
        <v>45</v>
      </c>
      <c r="G4288">
        <v>-196.55279999999999</v>
      </c>
      <c r="H4288" s="1">
        <v>3.612862E-6</v>
      </c>
      <c r="I4288">
        <v>208.20580000000001</v>
      </c>
      <c r="J4288">
        <v>-201.90219999999999</v>
      </c>
      <c r="K4288">
        <v>1.1053200000000001</v>
      </c>
      <c r="L4288">
        <v>212.48740000000001</v>
      </c>
      <c r="M4288">
        <v>0.92720559999999996</v>
      </c>
      <c r="N4288">
        <v>-1.454856E-2</v>
      </c>
      <c r="O4288">
        <v>-0.3742704</v>
      </c>
      <c r="P4288">
        <v>0.81766139999999998</v>
      </c>
      <c r="Q4288">
        <v>0.3264049</v>
      </c>
      <c r="R4288">
        <v>-0.47422559999999903</v>
      </c>
      <c r="S4288">
        <v>2.669708</v>
      </c>
      <c r="T4288">
        <v>-0.52668319999999902</v>
      </c>
      <c r="U4288">
        <v>-2.0920559999999999</v>
      </c>
      <c r="V4288">
        <v>0.13835899999999901</v>
      </c>
      <c r="W4288">
        <v>0.33811200000000002</v>
      </c>
      <c r="X4288">
        <v>0.93087980000000003</v>
      </c>
      <c r="Y4288">
        <v>0.27728589999999997</v>
      </c>
      <c r="Z4288">
        <v>3.0173470000000001E-2</v>
      </c>
      <c r="AA4288">
        <v>0.96031359999999999</v>
      </c>
      <c r="AB4288">
        <v>27</v>
      </c>
      <c r="AC4288">
        <v>5.3494000000000002</v>
      </c>
      <c r="AD4288">
        <v>-1.1053163871380001</v>
      </c>
      <c r="AE4288">
        <v>-4.2815999999999903</v>
      </c>
      <c r="AF4288">
        <v>1.91809523165627</v>
      </c>
      <c r="AG4288">
        <v>-1.1053163871380001</v>
      </c>
      <c r="AH4288">
        <v>6.3967033830471296</v>
      </c>
      <c r="AI4288">
        <v>99.398042065607399</v>
      </c>
      <c r="AJ4288">
        <v>73.308281515042594</v>
      </c>
      <c r="AK4288">
        <v>6.7689458414191002</v>
      </c>
      <c r="AL4288">
        <v>70.238112850466095</v>
      </c>
      <c r="AM4288">
        <v>81.545877082272796</v>
      </c>
      <c r="AN4288">
        <v>1.0000000697365099</v>
      </c>
    </row>
    <row r="4289" spans="1:40" x14ac:dyDescent="0.25">
      <c r="A4289" t="str">
        <f>"20190304164936408"</f>
        <v>20190304164936408</v>
      </c>
      <c r="B4289" t="str">
        <f>"1551689376400069"</f>
        <v>1551689376400069</v>
      </c>
      <c r="C4289" t="s">
        <v>40</v>
      </c>
      <c r="D4289">
        <v>4.2974759999999996</v>
      </c>
      <c r="E4289">
        <v>0.58207019999999998</v>
      </c>
      <c r="F4289" t="s">
        <v>45</v>
      </c>
      <c r="G4289">
        <v>-196.31020000000001</v>
      </c>
      <c r="H4289" s="1">
        <v>3.704237E-6</v>
      </c>
      <c r="I4289">
        <v>208.02330000000001</v>
      </c>
      <c r="J4289">
        <v>-201.6559</v>
      </c>
      <c r="K4289">
        <v>1.105329</v>
      </c>
      <c r="L4289">
        <v>212.3793</v>
      </c>
      <c r="M4289">
        <v>0.92441980000000001</v>
      </c>
      <c r="N4289">
        <v>-1.454652E-2</v>
      </c>
      <c r="O4289">
        <v>-0.38109949999999998</v>
      </c>
      <c r="P4289">
        <v>0.81427919999999998</v>
      </c>
      <c r="Q4289">
        <v>0.32693319999999998</v>
      </c>
      <c r="R4289">
        <v>-0.47965039999999998</v>
      </c>
      <c r="S4289">
        <v>2.650833</v>
      </c>
      <c r="T4289">
        <v>-0.52395939999999996</v>
      </c>
      <c r="U4289">
        <v>-2.1161189999999999</v>
      </c>
      <c r="V4289">
        <v>0.13775799999999999</v>
      </c>
      <c r="W4289">
        <v>0.3386477</v>
      </c>
      <c r="X4289">
        <v>0.93077410000000005</v>
      </c>
      <c r="Y4289">
        <v>0.27889370000000002</v>
      </c>
      <c r="Z4289">
        <v>3.08633E-2</v>
      </c>
      <c r="AA4289">
        <v>0.95982590000000001</v>
      </c>
      <c r="AB4289">
        <v>27</v>
      </c>
      <c r="AC4289">
        <v>5.3456999999999901</v>
      </c>
      <c r="AD4289">
        <v>-1.105325295763</v>
      </c>
      <c r="AE4289">
        <v>-4.3559999999999901</v>
      </c>
      <c r="AF4289">
        <v>1.9398970065993899</v>
      </c>
      <c r="AG4289">
        <v>-1.105325295763</v>
      </c>
      <c r="AH4289">
        <v>6.4370491733202</v>
      </c>
      <c r="AI4289">
        <v>99.336439945928902</v>
      </c>
      <c r="AJ4289">
        <v>73.229066842988701</v>
      </c>
      <c r="AK4289">
        <v>6.8132625419404702</v>
      </c>
      <c r="AL4289">
        <v>70.205493499635693</v>
      </c>
      <c r="AM4289">
        <v>81.581130314304801</v>
      </c>
      <c r="AN4289">
        <v>0.99999997825504905</v>
      </c>
    </row>
    <row r="4290" spans="1:40" x14ac:dyDescent="0.25">
      <c r="A4290" t="str">
        <f>"20190304164936431"</f>
        <v>20190304164936431</v>
      </c>
      <c r="B4290" t="str">
        <f>"1551689376420565"</f>
        <v>1551689376420565</v>
      </c>
      <c r="C4290" t="s">
        <v>40</v>
      </c>
      <c r="D4290">
        <v>4.2500629999999999</v>
      </c>
      <c r="E4290">
        <v>0.58249859999999998</v>
      </c>
      <c r="F4290" t="s">
        <v>45</v>
      </c>
      <c r="G4290">
        <v>-196.0573</v>
      </c>
      <c r="H4290" s="1">
        <v>3.800076E-6</v>
      </c>
      <c r="I4290">
        <v>207.83070000000001</v>
      </c>
      <c r="J4290">
        <v>-201.40289999999999</v>
      </c>
      <c r="K4290">
        <v>1.105342</v>
      </c>
      <c r="L4290">
        <v>212.26599999999999</v>
      </c>
      <c r="M4290">
        <v>0.92148770000000002</v>
      </c>
      <c r="N4290">
        <v>-1.454476E-2</v>
      </c>
      <c r="O4290">
        <v>-0.3881347</v>
      </c>
      <c r="P4290">
        <v>0.81028730000000004</v>
      </c>
      <c r="Q4290">
        <v>0.32804660000000002</v>
      </c>
      <c r="R4290">
        <v>-0.48561310000000002</v>
      </c>
      <c r="S4290">
        <v>2.6329189999999998</v>
      </c>
      <c r="T4290">
        <v>-0.51981949999999999</v>
      </c>
      <c r="U4290">
        <v>-2.1391140000000002</v>
      </c>
      <c r="V4290">
        <v>0.13768059999999999</v>
      </c>
      <c r="W4290">
        <v>0.33975519999999998</v>
      </c>
      <c r="X4290">
        <v>0.93038189999999998</v>
      </c>
      <c r="Y4290">
        <v>0.27986179999999999</v>
      </c>
      <c r="Z4290">
        <v>3.1518690000000002E-2</v>
      </c>
      <c r="AA4290">
        <v>0.95952280000000001</v>
      </c>
      <c r="AB4290">
        <v>27</v>
      </c>
      <c r="AC4290">
        <v>5.3455999999999904</v>
      </c>
      <c r="AD4290">
        <v>-1.105338199924</v>
      </c>
      <c r="AE4290">
        <v>-4.4352999999999803</v>
      </c>
      <c r="AF4290">
        <v>1.962771268577</v>
      </c>
      <c r="AG4290">
        <v>-1.105338199924</v>
      </c>
      <c r="AH4290">
        <v>6.4839100053602499</v>
      </c>
      <c r="AI4290">
        <v>99.266842337524494</v>
      </c>
      <c r="AJ4290">
        <v>73.158193739738493</v>
      </c>
      <c r="AK4290">
        <v>6.8640609369799002</v>
      </c>
      <c r="AL4290">
        <v>70.138040004084502</v>
      </c>
      <c r="AM4290">
        <v>81.582296585030406</v>
      </c>
      <c r="AN4290">
        <v>1.0000000116954999</v>
      </c>
    </row>
    <row r="4291" spans="1:40" x14ac:dyDescent="0.25">
      <c r="A4291" t="str">
        <f>"20190304164936453"</f>
        <v>20190304164936453</v>
      </c>
      <c r="B4291" t="str">
        <f>"1551689376449846"</f>
        <v>1551689376449846</v>
      </c>
      <c r="C4291" t="s">
        <v>40</v>
      </c>
      <c r="D4291">
        <v>4.3109449999999896</v>
      </c>
      <c r="E4291">
        <v>0.58275809999999995</v>
      </c>
      <c r="F4291" t="s">
        <v>45</v>
      </c>
      <c r="G4291">
        <v>-195.7842</v>
      </c>
      <c r="H4291" s="1">
        <v>3.9046800000000004E-6</v>
      </c>
      <c r="I4291">
        <v>207.61869999999999</v>
      </c>
      <c r="J4291">
        <v>-201.1524</v>
      </c>
      <c r="K4291">
        <v>1.105345</v>
      </c>
      <c r="L4291">
        <v>212.1515</v>
      </c>
      <c r="M4291">
        <v>0.9185065</v>
      </c>
      <c r="N4291">
        <v>-1.4543779999999999E-2</v>
      </c>
      <c r="O4291">
        <v>-0.39513860000000001</v>
      </c>
      <c r="P4291">
        <v>0.80677769999999904</v>
      </c>
      <c r="Q4291">
        <v>0.3280534</v>
      </c>
      <c r="R4291">
        <v>-0.49141760000000001</v>
      </c>
      <c r="S4291">
        <v>2.6145779999999998</v>
      </c>
      <c r="T4291">
        <v>-0.51434950000000002</v>
      </c>
      <c r="U4291">
        <v>-2.1625670000000001</v>
      </c>
      <c r="V4291">
        <v>0.13728270000000001</v>
      </c>
      <c r="W4291">
        <v>0.33976509999999999</v>
      </c>
      <c r="X4291">
        <v>0.93043710000000002</v>
      </c>
      <c r="Y4291">
        <v>0.28100599999999998</v>
      </c>
      <c r="Z4291">
        <v>3.2035870000000001E-2</v>
      </c>
      <c r="AA4291">
        <v>0.9591712</v>
      </c>
      <c r="AB4291">
        <v>27</v>
      </c>
      <c r="AC4291">
        <v>5.3681999999999999</v>
      </c>
      <c r="AD4291">
        <v>-1.10534109532</v>
      </c>
      <c r="AE4291">
        <v>-4.5327999999999999</v>
      </c>
      <c r="AF4291">
        <v>1.99310862565798</v>
      </c>
      <c r="AG4291">
        <v>-1.10534109532</v>
      </c>
      <c r="AH4291">
        <v>6.5601541314113003</v>
      </c>
      <c r="AI4291">
        <v>99.158234055773505</v>
      </c>
      <c r="AJ4291">
        <v>73.100148656261993</v>
      </c>
      <c r="AK4291">
        <v>6.9447738018273997</v>
      </c>
      <c r="AL4291">
        <v>70.1374372767891</v>
      </c>
      <c r="AM4291">
        <v>81.606767745001804</v>
      </c>
      <c r="AN4291">
        <v>1.0000000299768499</v>
      </c>
    </row>
    <row r="4292" spans="1:40" x14ac:dyDescent="0.25">
      <c r="A4292" t="str">
        <f>"20190304164936476"</f>
        <v>20190304164936476</v>
      </c>
      <c r="B4292" t="str">
        <f>"1551689376470342"</f>
        <v>1551689376470342</v>
      </c>
      <c r="C4292" t="s">
        <v>40</v>
      </c>
      <c r="D4292">
        <v>4.3180589999999999</v>
      </c>
      <c r="E4292">
        <v>0.58300359999999996</v>
      </c>
      <c r="F4292" t="s">
        <v>45</v>
      </c>
      <c r="G4292">
        <v>-195.57040000000001</v>
      </c>
      <c r="H4292" s="1">
        <v>3.9859229999999998E-6</v>
      </c>
      <c r="I4292">
        <v>207.45509999999999</v>
      </c>
      <c r="J4292">
        <v>-200.89769999999999</v>
      </c>
      <c r="K4292">
        <v>1.1053269999999999</v>
      </c>
      <c r="L4292">
        <v>212.03270000000001</v>
      </c>
      <c r="M4292">
        <v>0.9153867</v>
      </c>
      <c r="N4292">
        <v>-1.4544079999999999E-2</v>
      </c>
      <c r="O4292">
        <v>-0.40231309999999998</v>
      </c>
      <c r="P4292">
        <v>0.8029963</v>
      </c>
      <c r="Q4292">
        <v>0.32801540000000001</v>
      </c>
      <c r="R4292">
        <v>-0.49759720000000002</v>
      </c>
      <c r="S4292">
        <v>2.5967859999999998</v>
      </c>
      <c r="T4292">
        <v>-0.51421139999999999</v>
      </c>
      <c r="U4292">
        <v>-2.1847989999999999</v>
      </c>
      <c r="V4292">
        <v>0.13715720000000001</v>
      </c>
      <c r="W4292">
        <v>0.33972249999999998</v>
      </c>
      <c r="X4292">
        <v>0.9304711</v>
      </c>
      <c r="Y4292">
        <v>0.2815957</v>
      </c>
      <c r="Z4292">
        <v>3.302012E-2</v>
      </c>
      <c r="AA4292">
        <v>0.95896479999999995</v>
      </c>
      <c r="AB4292">
        <v>27</v>
      </c>
      <c r="AC4292">
        <v>5.3272999999999797</v>
      </c>
      <c r="AD4292">
        <v>-1.1053230140769901</v>
      </c>
      <c r="AE4292">
        <v>-4.5776000000000101</v>
      </c>
      <c r="AF4292">
        <v>1.99777432187601</v>
      </c>
      <c r="AG4292">
        <v>-1.1053230140769901</v>
      </c>
      <c r="AH4292">
        <v>6.55651025445224</v>
      </c>
      <c r="AI4292">
        <v>99.160881856820296</v>
      </c>
      <c r="AJ4292">
        <v>73.053976109224493</v>
      </c>
      <c r="AK4292">
        <v>6.9426700860211401</v>
      </c>
      <c r="AL4292">
        <v>70.140031226637007</v>
      </c>
      <c r="AM4292">
        <v>81.614633512271396</v>
      </c>
      <c r="AN4292">
        <v>0.99999997122664896</v>
      </c>
    </row>
    <row r="4293" spans="1:40" x14ac:dyDescent="0.25">
      <c r="A4293" t="str">
        <f>"20190304164936498"</f>
        <v>20190304164936498</v>
      </c>
      <c r="B4293" t="str">
        <f>"1551689376489861"</f>
        <v>1551689376489861</v>
      </c>
      <c r="C4293" t="s">
        <v>40</v>
      </c>
      <c r="D4293">
        <v>4.3134290000000002</v>
      </c>
      <c r="E4293">
        <v>0.58323269999999905</v>
      </c>
      <c r="F4293" t="s">
        <v>45</v>
      </c>
      <c r="G4293">
        <v>-195.3519</v>
      </c>
      <c r="H4293" s="1">
        <v>4.0703769999999996E-6</v>
      </c>
      <c r="I4293">
        <v>207.2826</v>
      </c>
      <c r="J4293">
        <v>-200.65559999999999</v>
      </c>
      <c r="K4293">
        <v>1.1052959999999901</v>
      </c>
      <c r="L4293">
        <v>211.91730000000001</v>
      </c>
      <c r="M4293">
        <v>0.91232500000000005</v>
      </c>
      <c r="N4293">
        <v>-1.454604E-2</v>
      </c>
      <c r="O4293">
        <v>-0.40920849999999998</v>
      </c>
      <c r="P4293">
        <v>0.798759</v>
      </c>
      <c r="Q4293">
        <v>0.32857540000000002</v>
      </c>
      <c r="R4293">
        <v>-0.50400670000000003</v>
      </c>
      <c r="S4293">
        <v>2.5777130000000001</v>
      </c>
      <c r="T4293">
        <v>-0.51375219999999999</v>
      </c>
      <c r="U4293">
        <v>-2.2078700000000002</v>
      </c>
      <c r="V4293">
        <v>0.13771510000000001</v>
      </c>
      <c r="W4293">
        <v>0.34026149999999999</v>
      </c>
      <c r="X4293">
        <v>0.93019180000000001</v>
      </c>
      <c r="Y4293">
        <v>0.28285399999999999</v>
      </c>
      <c r="Z4293">
        <v>3.3886449999999999E-2</v>
      </c>
      <c r="AA4293">
        <v>0.95856419999999998</v>
      </c>
      <c r="AB4293">
        <v>27</v>
      </c>
      <c r="AC4293">
        <v>5.3036999999999903</v>
      </c>
      <c r="AD4293">
        <v>-1.1052919296229999</v>
      </c>
      <c r="AE4293">
        <v>-4.6346999999999996</v>
      </c>
      <c r="AF4293">
        <v>2.0087836353689399</v>
      </c>
      <c r="AG4293">
        <v>-1.1052919296229999</v>
      </c>
      <c r="AH4293">
        <v>6.5740781895536697</v>
      </c>
      <c r="AI4293">
        <v>99.134404932474695</v>
      </c>
      <c r="AJ4293">
        <v>73.008877614509899</v>
      </c>
      <c r="AK4293">
        <v>6.9624267310888897</v>
      </c>
      <c r="AL4293">
        <v>70.107194405284901</v>
      </c>
      <c r="AM4293">
        <v>81.578521462239095</v>
      </c>
      <c r="AN4293">
        <v>1.0000000609687401</v>
      </c>
    </row>
    <row r="4294" spans="1:40" x14ac:dyDescent="0.25">
      <c r="A4294" t="str">
        <f>"20190304164936520"</f>
        <v>20190304164936520</v>
      </c>
      <c r="B4294" t="str">
        <f>"1551689376510358"</f>
        <v>1551689376510358</v>
      </c>
      <c r="C4294" t="s">
        <v>40</v>
      </c>
      <c r="D4294">
        <v>4.2461479999999998</v>
      </c>
      <c r="E4294">
        <v>0.60376039999999997</v>
      </c>
      <c r="F4294" t="s">
        <v>45</v>
      </c>
      <c r="G4294">
        <v>-195.12620000000001</v>
      </c>
      <c r="H4294" s="1">
        <v>4.1600699999999998E-6</v>
      </c>
      <c r="I4294">
        <v>207.095</v>
      </c>
      <c r="J4294">
        <v>-200.41149999999999</v>
      </c>
      <c r="K4294">
        <v>1.105254</v>
      </c>
      <c r="L4294">
        <v>211.79849999999999</v>
      </c>
      <c r="M4294">
        <v>0.90914399999999995</v>
      </c>
      <c r="N4294">
        <v>-1.454913E-2</v>
      </c>
      <c r="O4294">
        <v>-0.41622789999999998</v>
      </c>
      <c r="P4294">
        <v>0.79431200000000002</v>
      </c>
      <c r="Q4294">
        <v>0.32860549999999999</v>
      </c>
      <c r="R4294">
        <v>-0.51096649999999999</v>
      </c>
      <c r="S4294">
        <v>2.5583649999999998</v>
      </c>
      <c r="T4294">
        <v>-0.51139440000000003</v>
      </c>
      <c r="U4294">
        <v>-2.2311399999999999</v>
      </c>
      <c r="V4294">
        <v>0.1387178</v>
      </c>
      <c r="W4294">
        <v>0.34026459999999997</v>
      </c>
      <c r="X4294">
        <v>0.93004160000000002</v>
      </c>
      <c r="Y4294">
        <v>0.2840432</v>
      </c>
      <c r="Z4294">
        <v>3.461732E-2</v>
      </c>
      <c r="AA4294">
        <v>0.95818630000000005</v>
      </c>
      <c r="AB4294">
        <v>27</v>
      </c>
      <c r="AC4294">
        <v>5.2852999999999701</v>
      </c>
      <c r="AD4294">
        <v>-1.1052498399299999</v>
      </c>
      <c r="AE4294">
        <v>-4.7034999999999902</v>
      </c>
      <c r="AF4294">
        <v>2.0270225147129501</v>
      </c>
      <c r="AG4294">
        <v>-1.1052498399299999</v>
      </c>
      <c r="AH4294">
        <v>6.6024194406243701</v>
      </c>
      <c r="AI4294">
        <v>99.091878644295306</v>
      </c>
      <c r="AJ4294">
        <v>72.932881356887194</v>
      </c>
      <c r="AK4294">
        <v>6.9944506541795803</v>
      </c>
      <c r="AL4294">
        <v>70.107004292636105</v>
      </c>
      <c r="AM4294">
        <v>81.516743785569204</v>
      </c>
      <c r="AN4294">
        <v>1.0000000018902799</v>
      </c>
    </row>
    <row r="4295" spans="1:40" x14ac:dyDescent="0.25">
      <c r="A4295" t="str">
        <f>"20190304164936543"</f>
        <v>20190304164936543</v>
      </c>
      <c r="B4295" t="str">
        <f>"1551689376540613"</f>
        <v>1551689376540613</v>
      </c>
      <c r="C4295" t="s">
        <v>40</v>
      </c>
      <c r="D4295">
        <v>4.3245750000000003</v>
      </c>
      <c r="E4295">
        <v>0.60502860000000003</v>
      </c>
      <c r="F4295" t="s">
        <v>45</v>
      </c>
      <c r="G4295">
        <v>-195.1979</v>
      </c>
      <c r="H4295" s="1">
        <v>4.2728979999999997E-6</v>
      </c>
      <c r="I4295">
        <v>206.71510000000001</v>
      </c>
      <c r="J4295">
        <v>-200.16149999999999</v>
      </c>
      <c r="K4295">
        <v>1.1052040000000001</v>
      </c>
      <c r="L4295">
        <v>211.67429999999999</v>
      </c>
      <c r="M4295">
        <v>0.90578049999999999</v>
      </c>
      <c r="N4295">
        <v>-1.455272E-2</v>
      </c>
      <c r="O4295">
        <v>-0.42349720000000002</v>
      </c>
      <c r="P4295">
        <v>0.7897554</v>
      </c>
      <c r="Q4295">
        <v>0.32824700000000001</v>
      </c>
      <c r="R4295">
        <v>-0.51820859999999902</v>
      </c>
      <c r="S4295">
        <v>2.4532620000000001</v>
      </c>
      <c r="T4295">
        <v>-0.52007700000000001</v>
      </c>
      <c r="U4295">
        <v>-2.3919980000000001</v>
      </c>
      <c r="V4295">
        <v>0.13974739999999999</v>
      </c>
      <c r="W4295">
        <v>0.33988040000000003</v>
      </c>
      <c r="X4295">
        <v>0.93002799999999997</v>
      </c>
      <c r="Y4295">
        <v>0.3288605</v>
      </c>
      <c r="Z4295">
        <v>3.2390700000000001E-2</v>
      </c>
      <c r="AA4295">
        <v>0.94382290000000002</v>
      </c>
      <c r="AB4295">
        <v>27</v>
      </c>
      <c r="AC4295">
        <v>4.96359999999998</v>
      </c>
      <c r="AD4295">
        <v>-1.105199727102</v>
      </c>
      <c r="AE4295">
        <v>-4.9591999999999796</v>
      </c>
      <c r="AF4295">
        <v>2.3322634742863499</v>
      </c>
      <c r="AG4295">
        <v>-1.105199727102</v>
      </c>
      <c r="AH4295">
        <v>6.4371269896476502</v>
      </c>
      <c r="AI4295">
        <v>99.169752242352203</v>
      </c>
      <c r="AJ4295">
        <v>70.083821495075696</v>
      </c>
      <c r="AK4295">
        <v>6.9352377919669603</v>
      </c>
      <c r="AL4295">
        <v>70.130413503485897</v>
      </c>
      <c r="AM4295">
        <v>81.454581941906198</v>
      </c>
      <c r="AN4295">
        <v>1.0000000514474501</v>
      </c>
    </row>
    <row r="4296" spans="1:40" x14ac:dyDescent="0.25">
      <c r="A4296" t="str">
        <f>"20190304164936558"</f>
        <v>20190304164936558</v>
      </c>
      <c r="B4296" t="str">
        <f>"1551689376550373"</f>
        <v>1551689376550373</v>
      </c>
      <c r="C4296" t="s">
        <v>40</v>
      </c>
      <c r="D4296">
        <v>4.3034679999999996</v>
      </c>
      <c r="E4296">
        <v>0.60470440000000003</v>
      </c>
      <c r="F4296" t="s">
        <v>45</v>
      </c>
      <c r="G4296">
        <v>-194.95910000000001</v>
      </c>
      <c r="H4296" s="1">
        <v>4.4095049999999901E-6</v>
      </c>
      <c r="I4296">
        <v>206.47839999999999</v>
      </c>
      <c r="J4296">
        <v>-200.00059999999999</v>
      </c>
      <c r="K4296">
        <v>1.1051690000000001</v>
      </c>
      <c r="L4296">
        <v>211.5932</v>
      </c>
      <c r="M4296">
        <v>0.90355640000000004</v>
      </c>
      <c r="N4296">
        <v>-1.455527E-2</v>
      </c>
      <c r="O4296">
        <v>-0.42822199999999999</v>
      </c>
      <c r="P4296">
        <v>0.78671899999999995</v>
      </c>
      <c r="Q4296">
        <v>0.3282677</v>
      </c>
      <c r="R4296">
        <v>-0.52279449999999905</v>
      </c>
      <c r="S4296">
        <v>2.4240719999999998</v>
      </c>
      <c r="T4296">
        <v>-0.51496569999999997</v>
      </c>
      <c r="U4296">
        <v>-2.4210210000000001</v>
      </c>
      <c r="V4296">
        <v>0.1403344</v>
      </c>
      <c r="W4296">
        <v>0.33988259999999998</v>
      </c>
      <c r="X4296">
        <v>0.92993870000000001</v>
      </c>
      <c r="Y4296">
        <v>0.33522469999999999</v>
      </c>
      <c r="Z4296">
        <v>3.2181969999999997E-2</v>
      </c>
      <c r="AA4296">
        <v>0.94158839999999999</v>
      </c>
      <c r="AB4296">
        <v>27</v>
      </c>
      <c r="AC4296">
        <v>5.0414999999999797</v>
      </c>
      <c r="AD4296">
        <v>-1.105164590495</v>
      </c>
      <c r="AE4296">
        <v>-5.1147999999999998</v>
      </c>
      <c r="AF4296">
        <v>2.4059166068867501</v>
      </c>
      <c r="AG4296">
        <v>-1.105164590495</v>
      </c>
      <c r="AH4296">
        <v>6.5902046555198996</v>
      </c>
      <c r="AI4296">
        <v>98.952160307697497</v>
      </c>
      <c r="AJ4296">
        <v>69.944144038137907</v>
      </c>
      <c r="AK4296">
        <v>7.1021560735465101</v>
      </c>
      <c r="AL4296">
        <v>70.130277490783001</v>
      </c>
      <c r="AM4296">
        <v>81.418408957206793</v>
      </c>
      <c r="AN4296">
        <v>0.99999995568190403</v>
      </c>
    </row>
    <row r="4297" spans="1:40" x14ac:dyDescent="0.25">
      <c r="A4297" t="str">
        <f>"20190304164936577"</f>
        <v>20190304164936577</v>
      </c>
      <c r="B4297" t="str">
        <f>"1551689376569894"</f>
        <v>1551689376569894</v>
      </c>
      <c r="C4297" t="s">
        <v>40</v>
      </c>
      <c r="D4297">
        <v>4.2886249999999997</v>
      </c>
      <c r="E4297">
        <v>0.60410090000000005</v>
      </c>
      <c r="F4297" t="s">
        <v>45</v>
      </c>
      <c r="G4297">
        <v>-194.84800000000001</v>
      </c>
      <c r="H4297" s="1">
        <v>4.4629759999999996E-6</v>
      </c>
      <c r="I4297">
        <v>206.39689999999999</v>
      </c>
      <c r="J4297">
        <v>-199.78389999999999</v>
      </c>
      <c r="K4297">
        <v>1.1051200000000001</v>
      </c>
      <c r="L4297">
        <v>211.482</v>
      </c>
      <c r="M4297">
        <v>0.90047409999999894</v>
      </c>
      <c r="N4297">
        <v>-1.4559900000000001E-2</v>
      </c>
      <c r="O4297">
        <v>-0.43466569999999999</v>
      </c>
      <c r="P4297">
        <v>0.78218339999999997</v>
      </c>
      <c r="Q4297">
        <v>0.32755719999999999</v>
      </c>
      <c r="R4297">
        <v>-0.52999569999999996</v>
      </c>
      <c r="S4297">
        <v>2.4124599999999998</v>
      </c>
      <c r="T4297">
        <v>-0.51743530000000004</v>
      </c>
      <c r="U4297">
        <v>-2.4329070000000002</v>
      </c>
      <c r="V4297">
        <v>0.1421415</v>
      </c>
      <c r="W4297">
        <v>0.33913359999999998</v>
      </c>
      <c r="X4297">
        <v>0.92993769999999998</v>
      </c>
      <c r="Y4297">
        <v>0.3331345</v>
      </c>
      <c r="Z4297">
        <v>3.3498449999999999E-2</v>
      </c>
      <c r="AA4297">
        <v>0.94228400000000001</v>
      </c>
      <c r="AB4297">
        <v>27</v>
      </c>
      <c r="AC4297">
        <v>4.9359000000000002</v>
      </c>
      <c r="AD4297">
        <v>-1.105115537024</v>
      </c>
      <c r="AE4297">
        <v>-5.0851000000000104</v>
      </c>
      <c r="AF4297">
        <v>2.3760128014867501</v>
      </c>
      <c r="AG4297">
        <v>-1.105115537024</v>
      </c>
      <c r="AH4297">
        <v>6.4976647218823897</v>
      </c>
      <c r="AI4297">
        <v>99.075434673977398</v>
      </c>
      <c r="AJ4297">
        <v>69.913958678910404</v>
      </c>
      <c r="AK4297">
        <v>7.0061661428341697</v>
      </c>
      <c r="AL4297">
        <v>70.175902183672207</v>
      </c>
      <c r="AM4297">
        <v>81.309570355891594</v>
      </c>
      <c r="AN4297">
        <v>0.99999996527624901</v>
      </c>
    </row>
    <row r="4298" spans="1:40" x14ac:dyDescent="0.25">
      <c r="A4298" t="str">
        <f>"20190304164936599"</f>
        <v>20190304164936599</v>
      </c>
      <c r="B4298" t="str">
        <f>"1551689376590390"</f>
        <v>1551689376590390</v>
      </c>
      <c r="C4298" t="s">
        <v>40</v>
      </c>
      <c r="D4298">
        <v>4.2919</v>
      </c>
      <c r="E4298">
        <v>0.60374309999999998</v>
      </c>
      <c r="F4298" t="s">
        <v>45</v>
      </c>
      <c r="G4298">
        <v>-194.73570000000001</v>
      </c>
      <c r="H4298" s="1">
        <v>4.5155180000000003E-6</v>
      </c>
      <c r="I4298">
        <v>206.3186</v>
      </c>
      <c r="J4298">
        <v>-199.5497</v>
      </c>
      <c r="K4298">
        <v>1.105059</v>
      </c>
      <c r="L4298">
        <v>211.35939999999999</v>
      </c>
      <c r="M4298">
        <v>0.89702680000000001</v>
      </c>
      <c r="N4298">
        <v>-1.4566809999999999E-2</v>
      </c>
      <c r="O4298">
        <v>-0.44173639999999997</v>
      </c>
      <c r="P4298">
        <v>0.77734259999999999</v>
      </c>
      <c r="Q4298">
        <v>0.32641799999999999</v>
      </c>
      <c r="R4298">
        <v>-0.53776420000000003</v>
      </c>
      <c r="S4298">
        <v>2.3950809999999998</v>
      </c>
      <c r="T4298">
        <v>-0.5243179</v>
      </c>
      <c r="U4298">
        <v>-2.449738</v>
      </c>
      <c r="V4298">
        <v>0.14392729999999901</v>
      </c>
      <c r="W4298">
        <v>0.33795579999999997</v>
      </c>
      <c r="X4298">
        <v>0.93009189999999997</v>
      </c>
      <c r="Y4298">
        <v>0.33244119999999999</v>
      </c>
      <c r="Z4298">
        <v>3.5175459999999999E-2</v>
      </c>
      <c r="AA4298">
        <v>0.94246779999999997</v>
      </c>
      <c r="AB4298">
        <v>27</v>
      </c>
      <c r="AC4298">
        <v>4.8139999999999903</v>
      </c>
      <c r="AD4298">
        <v>-1.1050544844820001</v>
      </c>
      <c r="AE4298">
        <v>-5.0407999999999902</v>
      </c>
      <c r="AF4298">
        <v>2.3367345818504699</v>
      </c>
      <c r="AG4298">
        <v>-1.1050544844820001</v>
      </c>
      <c r="AH4298">
        <v>6.3851960469449303</v>
      </c>
      <c r="AI4298">
        <v>99.231210857272401</v>
      </c>
      <c r="AJ4298">
        <v>69.899330154937601</v>
      </c>
      <c r="AK4298">
        <v>6.8885559065460802</v>
      </c>
      <c r="AL4298">
        <v>70.247622162537994</v>
      </c>
      <c r="AM4298">
        <v>81.203521435001093</v>
      </c>
      <c r="AN4298">
        <v>1.0000000664422599</v>
      </c>
    </row>
    <row r="4299" spans="1:40" x14ac:dyDescent="0.25">
      <c r="A4299" t="str">
        <f>"20190304164936620"</f>
        <v>20190304164936620</v>
      </c>
      <c r="B4299" t="str">
        <f>"1551689376609910"</f>
        <v>1551689376609910</v>
      </c>
      <c r="C4299" t="s">
        <v>40</v>
      </c>
      <c r="D4299">
        <v>4.27515</v>
      </c>
      <c r="E4299">
        <v>0.60338709999999995</v>
      </c>
      <c r="F4299" t="s">
        <v>45</v>
      </c>
      <c r="G4299">
        <v>-194.6037</v>
      </c>
      <c r="H4299" s="1">
        <v>4.584012E-6</v>
      </c>
      <c r="I4299">
        <v>206.20769999999999</v>
      </c>
      <c r="J4299">
        <v>-199.31659999999999</v>
      </c>
      <c r="K4299">
        <v>1.104989</v>
      </c>
      <c r="L4299">
        <v>211.23490000000001</v>
      </c>
      <c r="M4299">
        <v>0.89347109999999996</v>
      </c>
      <c r="N4299">
        <v>-1.4575340000000001E-2</v>
      </c>
      <c r="O4299">
        <v>-0.44888430000000001</v>
      </c>
      <c r="P4299">
        <v>0.77287419999999996</v>
      </c>
      <c r="Q4299">
        <v>0.32445279999999999</v>
      </c>
      <c r="R4299">
        <v>-0.54534039999999995</v>
      </c>
      <c r="S4299">
        <v>2.3723909999999999</v>
      </c>
      <c r="T4299">
        <v>-0.53004669999999998</v>
      </c>
      <c r="U4299">
        <v>-2.4710540000000001</v>
      </c>
      <c r="V4299">
        <v>0.14526439999999999</v>
      </c>
      <c r="W4299">
        <v>0.33596160000000003</v>
      </c>
      <c r="X4299">
        <v>0.9306063</v>
      </c>
      <c r="Y4299">
        <v>0.33352779999999999</v>
      </c>
      <c r="Z4299">
        <v>3.6655889999999997E-2</v>
      </c>
      <c r="AA4299">
        <v>0.94202730000000001</v>
      </c>
      <c r="AB4299">
        <v>27</v>
      </c>
      <c r="AC4299">
        <v>4.7128999999999897</v>
      </c>
      <c r="AD4299">
        <v>-1.104984415988</v>
      </c>
      <c r="AE4299">
        <v>-5.0272000000000201</v>
      </c>
      <c r="AF4299">
        <v>2.3167902350274798</v>
      </c>
      <c r="AG4299">
        <v>-1.104984415988</v>
      </c>
      <c r="AH4299">
        <v>6.3060072875111501</v>
      </c>
      <c r="AI4299">
        <v>99.340268145146894</v>
      </c>
      <c r="AJ4299">
        <v>69.826962860980998</v>
      </c>
      <c r="AK4299">
        <v>6.8083944849603704</v>
      </c>
      <c r="AL4299">
        <v>70.368977339807103</v>
      </c>
      <c r="AM4299">
        <v>81.127925527584495</v>
      </c>
      <c r="AN4299">
        <v>1.0000000140908001</v>
      </c>
    </row>
    <row r="4300" spans="1:40" x14ac:dyDescent="0.25">
      <c r="A4300" t="str">
        <f>"20190304164936644"</f>
        <v>20190304164936644</v>
      </c>
      <c r="B4300" t="str">
        <f>"1551689376640166"</f>
        <v>1551689376640166</v>
      </c>
      <c r="C4300" t="s">
        <v>40</v>
      </c>
      <c r="D4300">
        <v>4.2760290000000003</v>
      </c>
      <c r="E4300">
        <v>0.60295989999999999</v>
      </c>
      <c r="F4300" t="s">
        <v>45</v>
      </c>
      <c r="G4300">
        <v>-194.4932</v>
      </c>
      <c r="H4300" s="1">
        <v>4.639782E-6</v>
      </c>
      <c r="I4300">
        <v>206.11920000000001</v>
      </c>
      <c r="J4300">
        <v>-199.0752</v>
      </c>
      <c r="K4300">
        <v>1.1049070000000001</v>
      </c>
      <c r="L4300">
        <v>211.10319999999999</v>
      </c>
      <c r="M4300">
        <v>0.88964940000000003</v>
      </c>
      <c r="N4300">
        <v>-1.458543E-2</v>
      </c>
      <c r="O4300">
        <v>-0.45641120000000002</v>
      </c>
      <c r="P4300">
        <v>0.76730549999999997</v>
      </c>
      <c r="Q4300">
        <v>0.32360820000000001</v>
      </c>
      <c r="R4300">
        <v>-0.55364250000000004</v>
      </c>
      <c r="S4300">
        <v>2.349396</v>
      </c>
      <c r="T4300">
        <v>-0.53821869999999905</v>
      </c>
      <c r="U4300">
        <v>-2.49173</v>
      </c>
      <c r="V4300">
        <v>0.14734610000000001</v>
      </c>
      <c r="W4300">
        <v>0.335066799999999</v>
      </c>
      <c r="X4300">
        <v>0.93060160000000003</v>
      </c>
      <c r="Y4300">
        <v>0.3341382</v>
      </c>
      <c r="Z4300">
        <v>3.847739E-2</v>
      </c>
      <c r="AA4300">
        <v>0.94173839999999998</v>
      </c>
      <c r="AB4300">
        <v>27</v>
      </c>
      <c r="AC4300">
        <v>4.5819999999999901</v>
      </c>
      <c r="AD4300">
        <v>-1.1049023602179999</v>
      </c>
      <c r="AE4300">
        <v>-4.9839999999999796</v>
      </c>
      <c r="AF4300">
        <v>2.2821996379885099</v>
      </c>
      <c r="AG4300">
        <v>-1.1049023602179999</v>
      </c>
      <c r="AH4300">
        <v>6.1870123805431696</v>
      </c>
      <c r="AI4300">
        <v>99.511493216466604</v>
      </c>
      <c r="AJ4300">
        <v>69.752524764434696</v>
      </c>
      <c r="AK4300">
        <v>6.6864315303639197</v>
      </c>
      <c r="AL4300">
        <v>70.423399642519698</v>
      </c>
      <c r="AM4300">
        <v>81.002805725774294</v>
      </c>
      <c r="AN4300">
        <v>0.99999998578500404</v>
      </c>
    </row>
    <row r="4301" spans="1:40" x14ac:dyDescent="0.25">
      <c r="A4301" t="str">
        <f>"20190304164936667"</f>
        <v>20190304164936667</v>
      </c>
      <c r="B4301" t="str">
        <f>"1551689376660251"</f>
        <v>1551689376660251</v>
      </c>
      <c r="C4301" t="s">
        <v>40</v>
      </c>
      <c r="D4301">
        <v>4.3174330000000003</v>
      </c>
      <c r="E4301">
        <v>0.60267539999999997</v>
      </c>
      <c r="F4301" t="s">
        <v>45</v>
      </c>
      <c r="G4301">
        <v>-194.34729999999999</v>
      </c>
      <c r="H4301" s="1">
        <v>4.7174489999999998E-6</v>
      </c>
      <c r="I4301">
        <v>205.99100000000001</v>
      </c>
      <c r="J4301">
        <v>-198.8202</v>
      </c>
      <c r="K4301">
        <v>1.1048089999999999</v>
      </c>
      <c r="L4301">
        <v>210.96119999999999</v>
      </c>
      <c r="M4301">
        <v>0.88544259999999997</v>
      </c>
      <c r="N4301">
        <v>-1.459388E-2</v>
      </c>
      <c r="O4301">
        <v>-0.46451949999999997</v>
      </c>
      <c r="P4301">
        <v>0.76092299999999902</v>
      </c>
      <c r="Q4301">
        <v>0.32370359999999998</v>
      </c>
      <c r="R4301">
        <v>-0.56232769999999899</v>
      </c>
      <c r="S4301">
        <v>2.3249970000000002</v>
      </c>
      <c r="T4301">
        <v>-0.54335019999999901</v>
      </c>
      <c r="U4301">
        <v>-2.513992</v>
      </c>
      <c r="V4301">
        <v>0.14953279999999999</v>
      </c>
      <c r="W4301">
        <v>0.3350978</v>
      </c>
      <c r="X4301">
        <v>0.9302416</v>
      </c>
      <c r="Y4301">
        <v>0.33468109999999901</v>
      </c>
      <c r="Z4301">
        <v>4.0159710000000001E-2</v>
      </c>
      <c r="AA4301">
        <v>0.94147530000000001</v>
      </c>
      <c r="AB4301">
        <v>27</v>
      </c>
      <c r="AC4301">
        <v>4.4729000000000099</v>
      </c>
      <c r="AD4301">
        <v>-1.1048042825509901</v>
      </c>
      <c r="AE4301">
        <v>-4.9702000000000002</v>
      </c>
      <c r="AF4301">
        <v>2.2615829498551099</v>
      </c>
      <c r="AG4301">
        <v>-1.1048042825509901</v>
      </c>
      <c r="AH4301">
        <v>6.10329659143519</v>
      </c>
      <c r="AI4301">
        <v>99.633514282417906</v>
      </c>
      <c r="AJ4301">
        <v>69.667760368202593</v>
      </c>
      <c r="AK4301">
        <v>6.60193753566654</v>
      </c>
      <c r="AL4301">
        <v>70.421515067659698</v>
      </c>
      <c r="AM4301">
        <v>80.868041150444199</v>
      </c>
      <c r="AN4301">
        <v>1.00000001410562</v>
      </c>
    </row>
    <row r="4302" spans="1:40" x14ac:dyDescent="0.25">
      <c r="A4302" t="str">
        <f>"20190304164936688"</f>
        <v>20190304164936688</v>
      </c>
      <c r="B4302" t="str">
        <f>"1551689376680747"</f>
        <v>1551689376680747</v>
      </c>
      <c r="C4302" t="s">
        <v>40</v>
      </c>
      <c r="D4302">
        <v>4.2785659999999996</v>
      </c>
      <c r="E4302">
        <v>0.6025047</v>
      </c>
      <c r="F4302" t="s">
        <v>45</v>
      </c>
      <c r="G4302">
        <v>-194.15389999999999</v>
      </c>
      <c r="H4302" s="1">
        <v>4.8255919999999998E-6</v>
      </c>
      <c r="I4302">
        <v>205.8064</v>
      </c>
      <c r="J4302">
        <v>-198.6018</v>
      </c>
      <c r="K4302">
        <v>1.1047180000000001</v>
      </c>
      <c r="L4302">
        <v>210.83680000000001</v>
      </c>
      <c r="M4302">
        <v>0.88168230000000003</v>
      </c>
      <c r="N4302">
        <v>-1.4590840000000001E-2</v>
      </c>
      <c r="O4302">
        <v>-0.47161779999999998</v>
      </c>
      <c r="P4302">
        <v>0.75485089999999999</v>
      </c>
      <c r="Q4302">
        <v>0.3246617</v>
      </c>
      <c r="R4302">
        <v>-0.56990810000000003</v>
      </c>
      <c r="S4302">
        <v>2.2980040000000002</v>
      </c>
      <c r="T4302">
        <v>-0.54408120000000004</v>
      </c>
      <c r="U4302">
        <v>-2.5385589999999998</v>
      </c>
      <c r="V4302">
        <v>0.151660299999999</v>
      </c>
      <c r="W4302">
        <v>0.33597549999999998</v>
      </c>
      <c r="X4302">
        <v>0.92958039999999997</v>
      </c>
      <c r="Y4302">
        <v>0.33717819999999998</v>
      </c>
      <c r="Z4302">
        <v>4.1147200000000002E-2</v>
      </c>
      <c r="AA4302">
        <v>0.94054119999999997</v>
      </c>
      <c r="AB4302">
        <v>27</v>
      </c>
      <c r="AC4302">
        <v>4.4478999999999997</v>
      </c>
      <c r="AD4302">
        <v>-1.1047131744079901</v>
      </c>
      <c r="AE4302">
        <v>-5.03040000000001</v>
      </c>
      <c r="AF4302">
        <v>2.2761475913729101</v>
      </c>
      <c r="AG4302">
        <v>-1.1047131744079901</v>
      </c>
      <c r="AH4302">
        <v>6.1288452588566003</v>
      </c>
      <c r="AI4302">
        <v>99.590774355580905</v>
      </c>
      <c r="AJ4302">
        <v>69.625870392528299</v>
      </c>
      <c r="AK4302">
        <v>6.6305341611692503</v>
      </c>
      <c r="AL4302">
        <v>70.368132545960705</v>
      </c>
      <c r="AM4302">
        <v>80.733877929619595</v>
      </c>
      <c r="AN4302">
        <v>1.0000000516302401</v>
      </c>
    </row>
    <row r="4303" spans="1:40" x14ac:dyDescent="0.25">
      <c r="A4303" t="str">
        <f>"20190304164936710"</f>
        <v>20190304164936710</v>
      </c>
      <c r="B4303" t="str">
        <f>"1551689376700267"</f>
        <v>1551689376700267</v>
      </c>
      <c r="C4303" t="s">
        <v>40</v>
      </c>
      <c r="D4303">
        <v>4.347899</v>
      </c>
      <c r="E4303">
        <v>0.60214109999999998</v>
      </c>
      <c r="F4303" t="s">
        <v>45</v>
      </c>
      <c r="G4303">
        <v>-193.95830000000001</v>
      </c>
      <c r="H4303" s="1">
        <v>4.9419400000000003E-6</v>
      </c>
      <c r="I4303">
        <v>205.6</v>
      </c>
      <c r="J4303">
        <v>-198.3681</v>
      </c>
      <c r="K4303">
        <v>1.1045860000000001</v>
      </c>
      <c r="L4303">
        <v>210.70099999999999</v>
      </c>
      <c r="M4303">
        <v>0.87747699999999995</v>
      </c>
      <c r="N4303">
        <v>-1.4567699999999999E-2</v>
      </c>
      <c r="O4303">
        <v>-0.47939730000000003</v>
      </c>
      <c r="P4303">
        <v>0.74840530000000005</v>
      </c>
      <c r="Q4303">
        <v>0.32549509999999998</v>
      </c>
      <c r="R4303">
        <v>-0.57787759999999999</v>
      </c>
      <c r="S4303">
        <v>2.272141</v>
      </c>
      <c r="T4303">
        <v>-0.54054820000000003</v>
      </c>
      <c r="U4303">
        <v>-2.5624389999999999</v>
      </c>
      <c r="V4303">
        <v>0.15359220000000001</v>
      </c>
      <c r="W4303">
        <v>0.33670339999999999</v>
      </c>
      <c r="X4303">
        <v>0.92899960000000004</v>
      </c>
      <c r="Y4303">
        <v>0.33856259999999999</v>
      </c>
      <c r="Z4303">
        <v>4.1947600000000002E-2</v>
      </c>
      <c r="AA4303">
        <v>0.94000839999999997</v>
      </c>
      <c r="AB4303">
        <v>27</v>
      </c>
      <c r="AC4303">
        <v>4.40979999999999</v>
      </c>
      <c r="AD4303">
        <v>-1.10458105806</v>
      </c>
      <c r="AE4303">
        <v>-5.1009999999999902</v>
      </c>
      <c r="AF4303">
        <v>2.30048112349672</v>
      </c>
      <c r="AG4303">
        <v>-1.10458105806</v>
      </c>
      <c r="AH4303">
        <v>6.1505243042064404</v>
      </c>
      <c r="AI4303">
        <v>99.548349063296598</v>
      </c>
      <c r="AJ4303">
        <v>69.492691037796902</v>
      </c>
      <c r="AK4303">
        <v>6.6589234813161697</v>
      </c>
      <c r="AL4303">
        <v>70.323845848902096</v>
      </c>
      <c r="AM4303">
        <v>80.612167597823799</v>
      </c>
      <c r="AN4303">
        <v>1.0000000001362801</v>
      </c>
    </row>
    <row r="4304" spans="1:40" x14ac:dyDescent="0.25">
      <c r="A4304" t="str">
        <f>"20190304164936733"</f>
        <v>20190304164936733</v>
      </c>
      <c r="B4304" t="str">
        <f>"1551689376730522"</f>
        <v>1551689376730522</v>
      </c>
      <c r="C4304" t="s">
        <v>40</v>
      </c>
      <c r="D4304">
        <v>4.3664500000000004</v>
      </c>
      <c r="E4304">
        <v>0.60167419999999905</v>
      </c>
      <c r="F4304" t="s">
        <v>45</v>
      </c>
      <c r="G4304">
        <v>-193.767</v>
      </c>
      <c r="H4304" s="1">
        <v>5.0547050000000004E-6</v>
      </c>
      <c r="I4304">
        <v>205.40100000000001</v>
      </c>
      <c r="J4304">
        <v>-198.12950000000001</v>
      </c>
      <c r="K4304">
        <v>1.1044229999999999</v>
      </c>
      <c r="L4304">
        <v>210.5591</v>
      </c>
      <c r="M4304">
        <v>0.87297230000000003</v>
      </c>
      <c r="N4304">
        <v>-1.452061E-2</v>
      </c>
      <c r="O4304">
        <v>-0.48755349999999997</v>
      </c>
      <c r="P4304">
        <v>0.74150150000000004</v>
      </c>
      <c r="Q4304">
        <v>0.3260998</v>
      </c>
      <c r="R4304">
        <v>-0.5863739</v>
      </c>
      <c r="S4304">
        <v>2.2456510000000001</v>
      </c>
      <c r="T4304">
        <v>-0.53910709999999995</v>
      </c>
      <c r="U4304">
        <v>-2.5867309999999999</v>
      </c>
      <c r="V4304">
        <v>0.155804</v>
      </c>
      <c r="W4304">
        <v>0.33716489999999999</v>
      </c>
      <c r="X4304">
        <v>0.92846379999999995</v>
      </c>
      <c r="Y4304">
        <v>0.33971010000000001</v>
      </c>
      <c r="Z4304">
        <v>4.3025870000000001E-2</v>
      </c>
      <c r="AA4304">
        <v>0.93954550000000003</v>
      </c>
      <c r="AB4304">
        <v>27</v>
      </c>
      <c r="AC4304">
        <v>4.3625000000000096</v>
      </c>
      <c r="AD4304">
        <v>-1.104417945295</v>
      </c>
      <c r="AE4304">
        <v>-5.1581000000000099</v>
      </c>
      <c r="AF4304">
        <v>2.31432261503585</v>
      </c>
      <c r="AG4304">
        <v>-1.104417945295</v>
      </c>
      <c r="AH4304">
        <v>6.1592419438602404</v>
      </c>
      <c r="AI4304">
        <v>99.528417655192399</v>
      </c>
      <c r="AJ4304">
        <v>69.406392399595902</v>
      </c>
      <c r="AK4304">
        <v>6.67173811591576</v>
      </c>
      <c r="AL4304">
        <v>70.295762577196896</v>
      </c>
      <c r="AM4304">
        <v>80.474042597093302</v>
      </c>
      <c r="AN4304">
        <v>1.0000000420592201</v>
      </c>
    </row>
    <row r="4305" spans="1:40" x14ac:dyDescent="0.25">
      <c r="A4305" t="str">
        <f>"20190304164936756"</f>
        <v>20190304164936756</v>
      </c>
      <c r="B4305" t="str">
        <f>"1551689376750046"</f>
        <v>1551689376750046</v>
      </c>
      <c r="C4305" t="s">
        <v>40</v>
      </c>
      <c r="D4305">
        <v>4.3608409999999997</v>
      </c>
      <c r="E4305">
        <v>0.60125600000000001</v>
      </c>
      <c r="F4305" t="s">
        <v>45</v>
      </c>
      <c r="G4305">
        <v>-193.58619999999999</v>
      </c>
      <c r="H4305" s="1">
        <v>5.1611329999999999E-6</v>
      </c>
      <c r="I4305">
        <v>205.2133</v>
      </c>
      <c r="J4305">
        <v>-197.8939</v>
      </c>
      <c r="K4305">
        <v>1.104233</v>
      </c>
      <c r="L4305">
        <v>210.41579999999999</v>
      </c>
      <c r="M4305">
        <v>0.86829040000000002</v>
      </c>
      <c r="N4305">
        <v>-1.445512E-2</v>
      </c>
      <c r="O4305">
        <v>-0.4958456</v>
      </c>
      <c r="P4305">
        <v>0.73379209999999995</v>
      </c>
      <c r="Q4305">
        <v>0.32679809999999998</v>
      </c>
      <c r="R4305">
        <v>-0.59561070000000005</v>
      </c>
      <c r="S4305">
        <v>2.2186129999999999</v>
      </c>
      <c r="T4305">
        <v>-0.53932449999999998</v>
      </c>
      <c r="U4305">
        <v>-2.6105649999999998</v>
      </c>
      <c r="V4305">
        <v>0.15890570000000001</v>
      </c>
      <c r="W4305">
        <v>0.33767709999999901</v>
      </c>
      <c r="X4305">
        <v>0.92775169999999996</v>
      </c>
      <c r="Y4305">
        <v>0.34069919999999998</v>
      </c>
      <c r="Z4305">
        <v>4.4315199999999999E-2</v>
      </c>
      <c r="AA4305">
        <v>0.93912739999999995</v>
      </c>
      <c r="AB4305">
        <v>27</v>
      </c>
      <c r="AC4305">
        <v>4.3077000000000103</v>
      </c>
      <c r="AD4305">
        <v>-1.1042278388669999</v>
      </c>
      <c r="AE4305">
        <v>-5.2024999999999801</v>
      </c>
      <c r="AF4305">
        <v>2.3195814647341102</v>
      </c>
      <c r="AG4305">
        <v>-1.1042278388669999</v>
      </c>
      <c r="AH4305">
        <v>6.15610120632277</v>
      </c>
      <c r="AI4305">
        <v>99.528353624239898</v>
      </c>
      <c r="AJ4305">
        <v>69.353896262259298</v>
      </c>
      <c r="AK4305">
        <v>6.6706341043528701</v>
      </c>
      <c r="AL4305">
        <v>70.2645871489878</v>
      </c>
      <c r="AM4305">
        <v>80.280667818625105</v>
      </c>
      <c r="AN4305">
        <v>1.00000003110489</v>
      </c>
    </row>
    <row r="4306" spans="1:40" x14ac:dyDescent="0.25">
      <c r="A4306" t="str">
        <f>"20190304164936778"</f>
        <v>20190304164936778</v>
      </c>
      <c r="B4306" t="str">
        <f>"1551689376770069"</f>
        <v>1551689376770069</v>
      </c>
      <c r="C4306" t="s">
        <v>40</v>
      </c>
      <c r="D4306">
        <v>4.3813690000000003</v>
      </c>
      <c r="E4306">
        <v>0.60096059999999996</v>
      </c>
      <c r="F4306" t="s">
        <v>45</v>
      </c>
      <c r="G4306">
        <v>-193.4186</v>
      </c>
      <c r="H4306" s="1">
        <v>5.2645460000000002E-6</v>
      </c>
      <c r="I4306">
        <v>205.02590000000001</v>
      </c>
      <c r="J4306">
        <v>-197.6651</v>
      </c>
      <c r="K4306">
        <v>1.104025</v>
      </c>
      <c r="L4306">
        <v>210.2731</v>
      </c>
      <c r="M4306">
        <v>0.86348259999999899</v>
      </c>
      <c r="N4306">
        <v>-1.438249E-2</v>
      </c>
      <c r="O4306">
        <v>-0.5041736</v>
      </c>
      <c r="P4306">
        <v>0.72585369999999905</v>
      </c>
      <c r="Q4306">
        <v>0.32783869999999998</v>
      </c>
      <c r="R4306">
        <v>-0.60469719999999905</v>
      </c>
      <c r="S4306">
        <v>2.1889799999999999</v>
      </c>
      <c r="T4306">
        <v>-0.5401087</v>
      </c>
      <c r="U4306">
        <v>-2.636368</v>
      </c>
      <c r="V4306">
        <v>0.16194829999999999</v>
      </c>
      <c r="W4306">
        <v>0.33851720000000002</v>
      </c>
      <c r="X4306">
        <v>0.92691900000000005</v>
      </c>
      <c r="Y4306">
        <v>0.34248000000000001</v>
      </c>
      <c r="Z4306">
        <v>4.5609700000000003E-2</v>
      </c>
      <c r="AA4306">
        <v>0.93841739999999996</v>
      </c>
      <c r="AB4306">
        <v>27</v>
      </c>
      <c r="AC4306">
        <v>4.2464999999999904</v>
      </c>
      <c r="AD4306">
        <v>-1.104019735454</v>
      </c>
      <c r="AE4306">
        <v>-5.2471999999999897</v>
      </c>
      <c r="AF4306">
        <v>2.3278706974630001</v>
      </c>
      <c r="AG4306">
        <v>-1.104019735454</v>
      </c>
      <c r="AH4306">
        <v>6.1484636066249898</v>
      </c>
      <c r="AI4306">
        <v>99.532587974158005</v>
      </c>
      <c r="AJ4306">
        <v>69.262825865842899</v>
      </c>
      <c r="AK4306">
        <v>6.6664418007187898</v>
      </c>
      <c r="AL4306">
        <v>70.213440175068499</v>
      </c>
      <c r="AM4306">
        <v>80.089500546659295</v>
      </c>
      <c r="AN4306">
        <v>0.99999998956486502</v>
      </c>
    </row>
    <row r="4307" spans="1:40" x14ac:dyDescent="0.25">
      <c r="A4307" t="str">
        <f>"20190304164936800"</f>
        <v>20190304164936800</v>
      </c>
      <c r="B4307" t="str">
        <f>"1551689376790565"</f>
        <v>1551689376790565</v>
      </c>
      <c r="C4307" t="s">
        <v>40</v>
      </c>
      <c r="D4307">
        <v>4.3566669999999998</v>
      </c>
      <c r="E4307">
        <v>0.60062090000000001</v>
      </c>
      <c r="F4307" t="s">
        <v>45</v>
      </c>
      <c r="G4307">
        <v>-193.2398</v>
      </c>
      <c r="H4307" s="1">
        <v>5.3779949999999997E-6</v>
      </c>
      <c r="I4307">
        <v>204.81710000000001</v>
      </c>
      <c r="J4307">
        <v>-197.43940000000001</v>
      </c>
      <c r="K4307">
        <v>1.103834</v>
      </c>
      <c r="L4307">
        <v>210.12899999999999</v>
      </c>
      <c r="M4307">
        <v>0.85850300000000002</v>
      </c>
      <c r="N4307">
        <v>-1.4311330000000001E-2</v>
      </c>
      <c r="O4307">
        <v>-0.51260879999999998</v>
      </c>
      <c r="P4307">
        <v>0.71747439999999996</v>
      </c>
      <c r="Q4307">
        <v>0.328241</v>
      </c>
      <c r="R4307">
        <v>-0.61440099999999997</v>
      </c>
      <c r="S4307">
        <v>2.15889</v>
      </c>
      <c r="T4307">
        <v>-0.5385972</v>
      </c>
      <c r="U4307">
        <v>-2.6616970000000002</v>
      </c>
      <c r="V4307">
        <v>0.1655914</v>
      </c>
      <c r="W4307">
        <v>0.33871279999999998</v>
      </c>
      <c r="X4307">
        <v>0.92620360000000002</v>
      </c>
      <c r="Y4307">
        <v>0.34409650000000003</v>
      </c>
      <c r="Z4307">
        <v>4.6709670000000002E-2</v>
      </c>
      <c r="AA4307">
        <v>0.93777169999999999</v>
      </c>
      <c r="AB4307">
        <v>27</v>
      </c>
      <c r="AC4307">
        <v>4.1996000000000002</v>
      </c>
      <c r="AD4307">
        <v>-1.103828622005</v>
      </c>
      <c r="AE4307">
        <v>-5.3118999999999996</v>
      </c>
      <c r="AF4307">
        <v>2.34545168819229</v>
      </c>
      <c r="AG4307">
        <v>-1.103828622005</v>
      </c>
      <c r="AH4307">
        <v>6.1651199445575804</v>
      </c>
      <c r="AI4307">
        <v>99.500028655417793</v>
      </c>
      <c r="AJ4307">
        <v>69.1712361942499</v>
      </c>
      <c r="AK4307">
        <v>6.6879208412766902</v>
      </c>
      <c r="AL4307">
        <v>70.201529519599404</v>
      </c>
      <c r="AM4307">
        <v>79.8634648281013</v>
      </c>
      <c r="AN4307">
        <v>0.99999999064538003</v>
      </c>
    </row>
    <row r="4308" spans="1:40" x14ac:dyDescent="0.25">
      <c r="A4308" t="str">
        <f>"20190304164936823"</f>
        <v>20190304164936823</v>
      </c>
      <c r="B4308" t="str">
        <f>"1551689376819846"</f>
        <v>1551689376819846</v>
      </c>
      <c r="C4308" t="s">
        <v>40</v>
      </c>
      <c r="D4308">
        <v>4.3838990000000004</v>
      </c>
      <c r="E4308">
        <v>0.59565279999999998</v>
      </c>
      <c r="F4308" t="s">
        <v>45</v>
      </c>
      <c r="G4308">
        <v>-193.0916</v>
      </c>
      <c r="H4308" s="1">
        <v>5.4766719999999997E-6</v>
      </c>
      <c r="I4308">
        <v>204.631</v>
      </c>
      <c r="J4308">
        <v>-197.20529999999999</v>
      </c>
      <c r="K4308">
        <v>1.1036410000000001</v>
      </c>
      <c r="L4308">
        <v>209.9759</v>
      </c>
      <c r="M4308">
        <v>0.85306219999999999</v>
      </c>
      <c r="N4308">
        <v>-1.423817E-2</v>
      </c>
      <c r="O4308">
        <v>-0.52161539999999995</v>
      </c>
      <c r="P4308">
        <v>0.70881300000000003</v>
      </c>
      <c r="Q4308">
        <v>0.329080599999999</v>
      </c>
      <c r="R4308">
        <v>-0.62393160000000003</v>
      </c>
      <c r="S4308">
        <v>2.1260219999999999</v>
      </c>
      <c r="T4308">
        <v>-0.53975589999999996</v>
      </c>
      <c r="U4308">
        <v>-2.6884610000000002</v>
      </c>
      <c r="V4308">
        <v>0.1685991</v>
      </c>
      <c r="W4308">
        <v>0.3393485</v>
      </c>
      <c r="X4308">
        <v>0.92542800000000003</v>
      </c>
      <c r="Y4308">
        <v>0.3458735</v>
      </c>
      <c r="Z4308">
        <v>4.8171510000000001E-2</v>
      </c>
      <c r="AA4308">
        <v>0.93704379999999998</v>
      </c>
      <c r="AB4308">
        <v>27</v>
      </c>
      <c r="AC4308">
        <v>4.1136999999999899</v>
      </c>
      <c r="AD4308">
        <v>-1.103635523328</v>
      </c>
      <c r="AE4308">
        <v>-5.3449000000000204</v>
      </c>
      <c r="AF4308">
        <v>2.3510572715734801</v>
      </c>
      <c r="AG4308">
        <v>-1.103635523328</v>
      </c>
      <c r="AH4308">
        <v>6.1336325445012498</v>
      </c>
      <c r="AI4308">
        <v>99.537313312993902</v>
      </c>
      <c r="AJ4308">
        <v>69.027879236013106</v>
      </c>
      <c r="AK4308">
        <v>6.6608505352946397</v>
      </c>
      <c r="AL4308">
        <v>70.162814306677006</v>
      </c>
      <c r="AM4308">
        <v>79.674810270847203</v>
      </c>
      <c r="AN4308">
        <v>1.0000000220785199</v>
      </c>
    </row>
    <row r="4309" spans="1:40" x14ac:dyDescent="0.25">
      <c r="A4309" t="str">
        <f>"20190304164936846"</f>
        <v>20190304164936846</v>
      </c>
      <c r="B4309" t="str">
        <f>"1551689376840341"</f>
        <v>1551689376840341</v>
      </c>
      <c r="C4309" t="s">
        <v>40</v>
      </c>
      <c r="D4309">
        <v>4.422186</v>
      </c>
      <c r="E4309">
        <v>0.59495569999999998</v>
      </c>
      <c r="F4309" t="s">
        <v>45</v>
      </c>
      <c r="G4309">
        <v>-193.04730000000001</v>
      </c>
      <c r="H4309" s="1">
        <v>5.4597910000000002E-6</v>
      </c>
      <c r="I4309">
        <v>204.70650000000001</v>
      </c>
      <c r="J4309">
        <v>-196.9812</v>
      </c>
      <c r="K4309">
        <v>1.10344</v>
      </c>
      <c r="L4309">
        <v>209.82570000000001</v>
      </c>
      <c r="M4309">
        <v>0.84756260000000005</v>
      </c>
      <c r="N4309">
        <v>-1.4174279999999999E-2</v>
      </c>
      <c r="O4309">
        <v>-0.53050629999999999</v>
      </c>
      <c r="P4309">
        <v>0.69986470000000001</v>
      </c>
      <c r="Q4309">
        <v>0.32952300000000001</v>
      </c>
      <c r="R4309">
        <v>-0.63372269999999997</v>
      </c>
      <c r="S4309">
        <v>2.1244049999999999</v>
      </c>
      <c r="T4309">
        <v>-0.56386919999999996</v>
      </c>
      <c r="U4309">
        <v>-2.6922450000000002</v>
      </c>
      <c r="V4309">
        <v>0.17207439999999999</v>
      </c>
      <c r="W4309">
        <v>0.33958300000000002</v>
      </c>
      <c r="X4309">
        <v>0.92470200000000002</v>
      </c>
      <c r="Y4309">
        <v>0.3372869</v>
      </c>
      <c r="Z4309">
        <v>5.2922289999999997E-2</v>
      </c>
      <c r="AA4309">
        <v>0.9399132</v>
      </c>
      <c r="AB4309">
        <v>27</v>
      </c>
      <c r="AC4309">
        <v>3.9338999999999902</v>
      </c>
      <c r="AD4309">
        <v>-1.103434540209</v>
      </c>
      <c r="AE4309">
        <v>-5.1192000000000002</v>
      </c>
      <c r="AF4309">
        <v>2.1881904412504198</v>
      </c>
      <c r="AG4309">
        <v>-1.103434540209</v>
      </c>
      <c r="AH4309">
        <v>5.8788736151375103</v>
      </c>
      <c r="AI4309">
        <v>99.976543022471702</v>
      </c>
      <c r="AJ4309">
        <v>69.584102730428</v>
      </c>
      <c r="AK4309">
        <v>6.3692150359731103</v>
      </c>
      <c r="AL4309">
        <v>70.148529798117295</v>
      </c>
      <c r="AM4309">
        <v>79.458611279501895</v>
      </c>
      <c r="AN4309">
        <v>1.0000000009141701</v>
      </c>
    </row>
    <row r="4310" spans="1:40" x14ac:dyDescent="0.25">
      <c r="A4310" t="str">
        <f>"20190304164936868"</f>
        <v>20190304164936868</v>
      </c>
      <c r="B4310" t="str">
        <f>"1551689376860368"</f>
        <v>1551689376860368</v>
      </c>
      <c r="C4310" t="s">
        <v>40</v>
      </c>
      <c r="D4310">
        <v>4.4358199999999997</v>
      </c>
      <c r="E4310">
        <v>0.594149699999999</v>
      </c>
      <c r="F4310" t="s">
        <v>45</v>
      </c>
      <c r="G4310">
        <v>-192.9085</v>
      </c>
      <c r="H4310" s="1">
        <v>5.5451849999999997E-6</v>
      </c>
      <c r="I4310">
        <v>204.53039999999999</v>
      </c>
      <c r="J4310">
        <v>-196.75640000000001</v>
      </c>
      <c r="K4310">
        <v>1.1032169999999999</v>
      </c>
      <c r="L4310">
        <v>209.6712</v>
      </c>
      <c r="M4310">
        <v>0.84172789999999997</v>
      </c>
      <c r="N4310">
        <v>-1.412327E-2</v>
      </c>
      <c r="O4310">
        <v>-0.53971740000000001</v>
      </c>
      <c r="P4310">
        <v>0.69073969999999996</v>
      </c>
      <c r="Q4310">
        <v>0.32971479999999997</v>
      </c>
      <c r="R4310">
        <v>-0.64355790000000002</v>
      </c>
      <c r="S4310">
        <v>2.0912630000000001</v>
      </c>
      <c r="T4310">
        <v>-0.5665886</v>
      </c>
      <c r="U4310">
        <v>-2.7189939999999999</v>
      </c>
      <c r="V4310">
        <v>0.17531479999999999</v>
      </c>
      <c r="W4310">
        <v>0.33957090000000001</v>
      </c>
      <c r="X4310">
        <v>0.92409759999999996</v>
      </c>
      <c r="Y4310">
        <v>0.33876650000000003</v>
      </c>
      <c r="Z4310">
        <v>5.467462E-2</v>
      </c>
      <c r="AA4310">
        <v>0.93928060000000002</v>
      </c>
      <c r="AB4310">
        <v>27</v>
      </c>
      <c r="AC4310">
        <v>3.8479000000000001</v>
      </c>
      <c r="AD4310">
        <v>-1.103211454815</v>
      </c>
      <c r="AE4310">
        <v>-5.1408000000000103</v>
      </c>
      <c r="AF4310">
        <v>2.1860758133309601</v>
      </c>
      <c r="AG4310">
        <v>-1.103211454815</v>
      </c>
      <c r="AH4310">
        <v>5.8416402414508397</v>
      </c>
      <c r="AI4310">
        <v>100.03037988668601</v>
      </c>
      <c r="AJ4310">
        <v>69.482997722907001</v>
      </c>
      <c r="AK4310">
        <v>6.3340953328951004</v>
      </c>
      <c r="AL4310">
        <v>70.149267369033595</v>
      </c>
      <c r="AM4310">
        <v>79.257816597322304</v>
      </c>
      <c r="AN4310">
        <v>1.0000000247758001</v>
      </c>
    </row>
    <row r="4311" spans="1:40" x14ac:dyDescent="0.25">
      <c r="A4311" t="str">
        <f>"20190304164936889"</f>
        <v>20190304164936889</v>
      </c>
      <c r="B4311" t="str">
        <f>"1551689376879889"</f>
        <v>1551689376879889</v>
      </c>
      <c r="C4311" t="s">
        <v>40</v>
      </c>
      <c r="D4311">
        <v>4.4432359999999997</v>
      </c>
      <c r="E4311">
        <v>0.59366989999999997</v>
      </c>
      <c r="F4311" t="s">
        <v>45</v>
      </c>
      <c r="G4311">
        <v>-192.78380000000001</v>
      </c>
      <c r="H4311" s="1">
        <v>5.6152E-6</v>
      </c>
      <c r="I4311">
        <v>204.37039999999999</v>
      </c>
      <c r="J4311">
        <v>-196.54400000000001</v>
      </c>
      <c r="K4311">
        <v>1.102983</v>
      </c>
      <c r="L4311">
        <v>209.52160000000001</v>
      </c>
      <c r="M4311">
        <v>0.83589380000000002</v>
      </c>
      <c r="N4311">
        <v>-1.408674E-2</v>
      </c>
      <c r="O4311">
        <v>-0.5487109</v>
      </c>
      <c r="P4311">
        <v>0.68134629999999996</v>
      </c>
      <c r="Q4311">
        <v>0.33042529999999998</v>
      </c>
      <c r="R4311">
        <v>-0.65313639999999995</v>
      </c>
      <c r="S4311">
        <v>2.0577549999999998</v>
      </c>
      <c r="T4311">
        <v>-0.57145170000000001</v>
      </c>
      <c r="U4311">
        <v>-2.7457579999999999</v>
      </c>
      <c r="V4311">
        <v>0.17871329999999999</v>
      </c>
      <c r="W4311">
        <v>0.34007459999999901</v>
      </c>
      <c r="X4311">
        <v>0.923261</v>
      </c>
      <c r="Y4311">
        <v>0.34049590000000002</v>
      </c>
      <c r="Z4311">
        <v>5.6618670000000003E-2</v>
      </c>
      <c r="AA4311">
        <v>0.93853969999999998</v>
      </c>
      <c r="AB4311">
        <v>27</v>
      </c>
      <c r="AC4311">
        <v>3.76019999999999</v>
      </c>
      <c r="AD4311">
        <v>-1.1029773848</v>
      </c>
      <c r="AE4311">
        <v>-5.15120000000001</v>
      </c>
      <c r="AF4311">
        <v>2.1776808795430602</v>
      </c>
      <c r="AG4311">
        <v>-1.1029773848</v>
      </c>
      <c r="AH4311">
        <v>5.7968542246960304</v>
      </c>
      <c r="AI4311">
        <v>100.09948894255599</v>
      </c>
      <c r="AJ4311">
        <v>69.410509034178901</v>
      </c>
      <c r="AK4311">
        <v>6.28986263974691</v>
      </c>
      <c r="AL4311">
        <v>70.118581362481606</v>
      </c>
      <c r="AM4311">
        <v>79.044883226218303</v>
      </c>
      <c r="AN4311">
        <v>1.00000002564152</v>
      </c>
    </row>
    <row r="4312" spans="1:40" x14ac:dyDescent="0.25">
      <c r="A4312" t="str">
        <f>"20190304164936912"</f>
        <v>20190304164936912</v>
      </c>
      <c r="B4312" t="str">
        <f>"1551689376900384"</f>
        <v>1551689376900384</v>
      </c>
      <c r="C4312" t="s">
        <v>40</v>
      </c>
      <c r="D4312">
        <v>4.4701050000000002</v>
      </c>
      <c r="E4312">
        <v>0.59317069999999905</v>
      </c>
      <c r="F4312" t="s">
        <v>45</v>
      </c>
      <c r="G4312">
        <v>-192.63939999999999</v>
      </c>
      <c r="H4312" s="1">
        <v>5.7022549999999998E-6</v>
      </c>
      <c r="I4312">
        <v>204.1626</v>
      </c>
      <c r="J4312">
        <v>-196.32650000000001</v>
      </c>
      <c r="K4312">
        <v>1.1027089999999999</v>
      </c>
      <c r="L4312">
        <v>209.36439999999999</v>
      </c>
      <c r="M4312">
        <v>0.82956719999999895</v>
      </c>
      <c r="N4312">
        <v>-1.405519E-2</v>
      </c>
      <c r="O4312">
        <v>-0.55823009999999995</v>
      </c>
      <c r="P4312">
        <v>0.67132230000000004</v>
      </c>
      <c r="Q4312">
        <v>0.33129439999999999</v>
      </c>
      <c r="R4312">
        <v>-0.66300109999999901</v>
      </c>
      <c r="S4312">
        <v>2.020966</v>
      </c>
      <c r="T4312">
        <v>-0.570891699999999</v>
      </c>
      <c r="U4312">
        <v>-2.7737880000000001</v>
      </c>
      <c r="V4312">
        <v>0.18210850000000001</v>
      </c>
      <c r="W4312">
        <v>0.34072419999999998</v>
      </c>
      <c r="X4312">
        <v>0.9223576</v>
      </c>
      <c r="Y4312">
        <v>0.34245429999999999</v>
      </c>
      <c r="Z4312">
        <v>5.8035070000000001E-2</v>
      </c>
      <c r="AA4312">
        <v>0.93774040000000003</v>
      </c>
      <c r="AB4312">
        <v>27</v>
      </c>
      <c r="AC4312">
        <v>3.6871000000000098</v>
      </c>
      <c r="AD4312">
        <v>-1.102703297745</v>
      </c>
      <c r="AE4312">
        <v>-5.2017999999999898</v>
      </c>
      <c r="AF4312">
        <v>2.1916620971866601</v>
      </c>
      <c r="AG4312">
        <v>-1.102703297745</v>
      </c>
      <c r="AH4312">
        <v>5.7899095050176204</v>
      </c>
      <c r="AI4312">
        <v>100.099530596062</v>
      </c>
      <c r="AJ4312">
        <v>69.2667759936447</v>
      </c>
      <c r="AK4312">
        <v>6.2882739593147301</v>
      </c>
      <c r="AL4312">
        <v>70.078997915714098</v>
      </c>
      <c r="AM4312">
        <v>78.831279167459599</v>
      </c>
      <c r="AN4312">
        <v>1.00000001425782</v>
      </c>
    </row>
    <row r="4313" spans="1:40" x14ac:dyDescent="0.25">
      <c r="A4313" t="str">
        <f>"20190304164936934"</f>
        <v>20190304164936934</v>
      </c>
      <c r="B4313" t="str">
        <f>"1551689376930641"</f>
        <v>1551689376930641</v>
      </c>
      <c r="C4313" t="s">
        <v>40</v>
      </c>
      <c r="D4313">
        <v>4.5061289999999996</v>
      </c>
      <c r="E4313">
        <v>0.59236909999999998</v>
      </c>
      <c r="F4313" t="s">
        <v>45</v>
      </c>
      <c r="G4313">
        <v>-192.5</v>
      </c>
      <c r="H4313" s="1">
        <v>5.785734E-6</v>
      </c>
      <c r="I4313">
        <v>203.964</v>
      </c>
      <c r="J4313">
        <v>-196.10480000000001</v>
      </c>
      <c r="K4313">
        <v>1.1024130000000001</v>
      </c>
      <c r="L4313">
        <v>209.19970000000001</v>
      </c>
      <c r="M4313">
        <v>0.82271879999999997</v>
      </c>
      <c r="N4313">
        <v>-1.4025030000000001E-2</v>
      </c>
      <c r="O4313">
        <v>-0.5682758</v>
      </c>
      <c r="P4313">
        <v>0.66075629999999996</v>
      </c>
      <c r="Q4313">
        <v>0.33173010000000003</v>
      </c>
      <c r="R4313">
        <v>-0.67331770000000002</v>
      </c>
      <c r="S4313">
        <v>1.9847109999999999</v>
      </c>
      <c r="T4313">
        <v>-0.57194400000000001</v>
      </c>
      <c r="U4313">
        <v>-2.8010250000000001</v>
      </c>
      <c r="V4313">
        <v>0.18556210000000001</v>
      </c>
      <c r="W4313">
        <v>0.34092729999999999</v>
      </c>
      <c r="X4313">
        <v>0.92159389999999997</v>
      </c>
      <c r="Y4313">
        <v>0.34349469999999999</v>
      </c>
      <c r="Z4313">
        <v>5.9806850000000002E-2</v>
      </c>
      <c r="AA4313">
        <v>0.93724839999999998</v>
      </c>
      <c r="AB4313">
        <v>27</v>
      </c>
      <c r="AC4313">
        <v>3.6048000000000102</v>
      </c>
      <c r="AD4313">
        <v>-1.102407214266</v>
      </c>
      <c r="AE4313">
        <v>-5.23569999999998</v>
      </c>
      <c r="AF4313">
        <v>2.1932451312999999</v>
      </c>
      <c r="AG4313">
        <v>-1.102407214266</v>
      </c>
      <c r="AH4313">
        <v>5.7681563679504499</v>
      </c>
      <c r="AI4313">
        <v>100.12856436567699</v>
      </c>
      <c r="AJ4313">
        <v>69.181529438461496</v>
      </c>
      <c r="AK4313">
        <v>6.2687521690655696</v>
      </c>
      <c r="AL4313">
        <v>70.066620086197304</v>
      </c>
      <c r="AM4313">
        <v>78.615762238572302</v>
      </c>
      <c r="AN4313">
        <v>1.00000001667945</v>
      </c>
    </row>
    <row r="4314" spans="1:40" x14ac:dyDescent="0.25">
      <c r="A4314" t="str">
        <f>"20190304164936958"</f>
        <v>20190304164936958</v>
      </c>
      <c r="B4314" t="str">
        <f>"1551689376950163"</f>
        <v>1551689376950163</v>
      </c>
      <c r="C4314" t="s">
        <v>40</v>
      </c>
      <c r="D4314">
        <v>4.503768</v>
      </c>
      <c r="E4314">
        <v>0.59210209999999996</v>
      </c>
      <c r="F4314" t="s">
        <v>45</v>
      </c>
      <c r="G4314">
        <v>-192.37889999999999</v>
      </c>
      <c r="H4314" s="1">
        <v>5.8568070000000004E-6</v>
      </c>
      <c r="I4314">
        <v>203.797</v>
      </c>
      <c r="J4314">
        <v>-195.88290000000001</v>
      </c>
      <c r="K4314">
        <v>1.102115</v>
      </c>
      <c r="L4314">
        <v>209.0299</v>
      </c>
      <c r="M4314">
        <v>0.81541149999999996</v>
      </c>
      <c r="N4314">
        <v>-1.400158E-2</v>
      </c>
      <c r="O4314">
        <v>-0.57871260000000002</v>
      </c>
      <c r="P4314">
        <v>0.65017499999999995</v>
      </c>
      <c r="Q4314">
        <v>0.33304149999999999</v>
      </c>
      <c r="R4314">
        <v>-0.68290280000000003</v>
      </c>
      <c r="S4314">
        <v>1.9494020000000001</v>
      </c>
      <c r="T4314">
        <v>-0.57679469999999899</v>
      </c>
      <c r="U4314">
        <v>-2.8267519999999999</v>
      </c>
      <c r="V4314">
        <v>0.1879585</v>
      </c>
      <c r="W4314">
        <v>0.34202480000000002</v>
      </c>
      <c r="X4314">
        <v>0.92070110000000005</v>
      </c>
      <c r="Y4314">
        <v>0.3435608</v>
      </c>
      <c r="Z4314">
        <v>6.2202729999999998E-2</v>
      </c>
      <c r="AA4314">
        <v>0.93706820000000002</v>
      </c>
      <c r="AB4314">
        <v>27</v>
      </c>
      <c r="AC4314">
        <v>3.5040000000000102</v>
      </c>
      <c r="AD4314">
        <v>-1.1021091431929999</v>
      </c>
      <c r="AE4314">
        <v>-5.2328999999999999</v>
      </c>
      <c r="AF4314">
        <v>2.1728331183237501</v>
      </c>
      <c r="AG4314">
        <v>-1.1021091431929999</v>
      </c>
      <c r="AH4314">
        <v>5.7112147568577196</v>
      </c>
      <c r="AI4314">
        <v>100.223997796541</v>
      </c>
      <c r="AJ4314">
        <v>69.170669725765293</v>
      </c>
      <c r="AK4314">
        <v>6.2091724345957298</v>
      </c>
      <c r="AL4314">
        <v>69.999714787108999</v>
      </c>
      <c r="AM4314">
        <v>78.461775952383803</v>
      </c>
      <c r="AN4314">
        <v>0.99999993853924796</v>
      </c>
    </row>
    <row r="4315" spans="1:40" x14ac:dyDescent="0.25">
      <c r="A4315" t="str">
        <f>"20190304164936979"</f>
        <v>20190304164936979</v>
      </c>
      <c r="B4315" t="str">
        <f>"1551689376970186"</f>
        <v>1551689376970186</v>
      </c>
      <c r="C4315" t="s">
        <v>40</v>
      </c>
      <c r="D4315">
        <v>4.5309589999999904</v>
      </c>
      <c r="E4315">
        <v>0.59183189999999997</v>
      </c>
      <c r="F4315" t="s">
        <v>45</v>
      </c>
      <c r="G4315">
        <v>-192.215</v>
      </c>
      <c r="H4315" s="1">
        <v>5.9608840000000004E-6</v>
      </c>
      <c r="I4315">
        <v>203.54130000000001</v>
      </c>
      <c r="J4315">
        <v>-195.6728</v>
      </c>
      <c r="K4315">
        <v>1.1018269999999999</v>
      </c>
      <c r="L4315">
        <v>208.86420000000001</v>
      </c>
      <c r="M4315">
        <v>0.80805150000000003</v>
      </c>
      <c r="N4315">
        <v>-1.398538E-2</v>
      </c>
      <c r="O4315">
        <v>-0.58894619999999998</v>
      </c>
      <c r="P4315">
        <v>0.64055740000000005</v>
      </c>
      <c r="Q4315">
        <v>0.3340321</v>
      </c>
      <c r="R4315">
        <v>-0.69145449999999997</v>
      </c>
      <c r="S4315">
        <v>1.908417</v>
      </c>
      <c r="T4315">
        <v>-0.57342199999999999</v>
      </c>
      <c r="U4315">
        <v>-2.8556979999999998</v>
      </c>
      <c r="V4315">
        <v>0.189107</v>
      </c>
      <c r="W4315">
        <v>0.3428447</v>
      </c>
      <c r="X4315">
        <v>0.92016089999999995</v>
      </c>
      <c r="Y4315">
        <v>0.34545799999999999</v>
      </c>
      <c r="Z4315">
        <v>6.3407870000000005E-2</v>
      </c>
      <c r="AA4315">
        <v>0.93628960000000006</v>
      </c>
      <c r="AB4315">
        <v>27</v>
      </c>
      <c r="AC4315">
        <v>3.45779999999999</v>
      </c>
      <c r="AD4315">
        <v>-1.1018210391159999</v>
      </c>
      <c r="AE4315">
        <v>-5.3228999999999997</v>
      </c>
      <c r="AF4315">
        <v>2.1986891563128399</v>
      </c>
      <c r="AG4315">
        <v>-1.1018210391159999</v>
      </c>
      <c r="AH4315">
        <v>5.7561171899192001</v>
      </c>
      <c r="AI4315">
        <v>100.13827068206901</v>
      </c>
      <c r="AJ4315">
        <v>69.094425312572497</v>
      </c>
      <c r="AK4315">
        <v>6.2594831026539</v>
      </c>
      <c r="AL4315">
        <v>69.949716644216593</v>
      </c>
      <c r="AM4315">
        <v>78.386551429739598</v>
      </c>
      <c r="AN4315">
        <v>1.0000000138279499</v>
      </c>
    </row>
    <row r="4316" spans="1:40" x14ac:dyDescent="0.25">
      <c r="A4316" t="str">
        <f>"20190304164937001"</f>
        <v>20190304164937001</v>
      </c>
      <c r="B4316" t="str">
        <f>"1551689376990683"</f>
        <v>1551689376990683</v>
      </c>
      <c r="C4316" t="s">
        <v>40</v>
      </c>
      <c r="D4316">
        <v>4.2203339999999896</v>
      </c>
      <c r="E4316">
        <v>0.58555380000000001</v>
      </c>
      <c r="F4316" t="s">
        <v>45</v>
      </c>
      <c r="G4316">
        <v>-192.0625</v>
      </c>
      <c r="H4316" s="1">
        <v>6.0834180000000001E-6</v>
      </c>
      <c r="I4316">
        <v>203.29599999999999</v>
      </c>
      <c r="J4316">
        <v>-195.46729999999999</v>
      </c>
      <c r="K4316">
        <v>1.1015680000000001</v>
      </c>
      <c r="L4316">
        <v>208.69759999999999</v>
      </c>
      <c r="M4316">
        <v>0.80044219999999999</v>
      </c>
      <c r="N4316">
        <v>-1.397146E-2</v>
      </c>
      <c r="O4316">
        <v>-0.59924730000000004</v>
      </c>
      <c r="P4316">
        <v>0.63016000000000005</v>
      </c>
      <c r="Q4316">
        <v>0.3344319</v>
      </c>
      <c r="R4316">
        <v>-0.70075259999999995</v>
      </c>
      <c r="S4316">
        <v>1.86911</v>
      </c>
      <c r="T4316">
        <v>-0.57042179999999998</v>
      </c>
      <c r="U4316">
        <v>-2.882736</v>
      </c>
      <c r="V4316">
        <v>0.19113949999999999</v>
      </c>
      <c r="W4316">
        <v>0.34306690000000001</v>
      </c>
      <c r="X4316">
        <v>0.91965799999999998</v>
      </c>
      <c r="Y4316">
        <v>0.34649590000000002</v>
      </c>
      <c r="Z4316">
        <v>6.4725489999999997E-2</v>
      </c>
      <c r="AA4316">
        <v>0.93581579999999998</v>
      </c>
      <c r="AB4316">
        <v>27</v>
      </c>
      <c r="AC4316">
        <v>3.4047999999999901</v>
      </c>
      <c r="AD4316">
        <v>-1.1015619165819901</v>
      </c>
      <c r="AE4316">
        <v>-5.4016000000000002</v>
      </c>
      <c r="AF4316">
        <v>2.2175722387806598</v>
      </c>
      <c r="AG4316">
        <v>-1.1015619165819901</v>
      </c>
      <c r="AH4316">
        <v>5.7904786862468098</v>
      </c>
      <c r="AI4316">
        <v>100.073749720447</v>
      </c>
      <c r="AJ4316">
        <v>69.044722868337502</v>
      </c>
      <c r="AK4316">
        <v>6.29767486507148</v>
      </c>
      <c r="AL4316">
        <v>69.936163711449296</v>
      </c>
      <c r="AM4316">
        <v>78.258936370687493</v>
      </c>
      <c r="AN4316">
        <v>1.0000000216499201</v>
      </c>
    </row>
    <row r="4317" spans="1:40" x14ac:dyDescent="0.25">
      <c r="A4317" t="str">
        <f>"20190304164937023"</f>
        <v>20190304164937023</v>
      </c>
      <c r="B4317" t="str">
        <f>"1551689377019963"</f>
        <v>1551689377019963</v>
      </c>
      <c r="C4317" t="s">
        <v>40</v>
      </c>
      <c r="D4317">
        <v>4.5619310000000004</v>
      </c>
      <c r="E4317">
        <v>0.58533690000000005</v>
      </c>
      <c r="F4317" t="s">
        <v>45</v>
      </c>
      <c r="G4317">
        <v>-192.11510000000001</v>
      </c>
      <c r="H4317" s="1">
        <v>5.9805590000000003E-6</v>
      </c>
      <c r="I4317">
        <v>203.5506</v>
      </c>
      <c r="J4317">
        <v>-195.2587</v>
      </c>
      <c r="K4317">
        <v>1.101318</v>
      </c>
      <c r="L4317">
        <v>208.52340000000001</v>
      </c>
      <c r="M4317">
        <v>0.79227689999999995</v>
      </c>
      <c r="N4317">
        <v>-1.395096E-2</v>
      </c>
      <c r="O4317">
        <v>-0.61000239999999994</v>
      </c>
      <c r="P4317">
        <v>0.61875329999999995</v>
      </c>
      <c r="Q4317">
        <v>0.3354993</v>
      </c>
      <c r="R4317">
        <v>-0.71034149999999996</v>
      </c>
      <c r="S4317">
        <v>1.879486</v>
      </c>
      <c r="T4317">
        <v>-0.61760470000000001</v>
      </c>
      <c r="U4317">
        <v>-2.8856809999999999</v>
      </c>
      <c r="V4317">
        <v>0.1934227</v>
      </c>
      <c r="W4317">
        <v>0.34394279999999999</v>
      </c>
      <c r="X4317">
        <v>0.91885309999999998</v>
      </c>
      <c r="Y4317">
        <v>0.33235819999999999</v>
      </c>
      <c r="Z4317">
        <v>7.3845330000000001E-2</v>
      </c>
      <c r="AA4317">
        <v>0.94025789999999998</v>
      </c>
      <c r="AB4317">
        <v>27</v>
      </c>
      <c r="AC4317">
        <v>3.14359999999999</v>
      </c>
      <c r="AD4317">
        <v>-1.101312019441</v>
      </c>
      <c r="AE4317">
        <v>-4.9728000000000003</v>
      </c>
      <c r="AF4317">
        <v>1.9539542613474099</v>
      </c>
      <c r="AG4317">
        <v>-1.101312019441</v>
      </c>
      <c r="AH4317">
        <v>5.3375135748265796</v>
      </c>
      <c r="AI4317">
        <v>100.965700012513</v>
      </c>
      <c r="AJ4317">
        <v>69.893357766358307</v>
      </c>
      <c r="AK4317">
        <v>5.7896352718509796</v>
      </c>
      <c r="AL4317">
        <v>69.882726395531193</v>
      </c>
      <c r="AM4317">
        <v>78.112539609653098</v>
      </c>
      <c r="AN4317">
        <v>1.0000000049633699</v>
      </c>
    </row>
    <row r="4318" spans="1:40" x14ac:dyDescent="0.25">
      <c r="A4318" t="str">
        <f>"20190304164937047"</f>
        <v>20190304164937047</v>
      </c>
      <c r="B4318" t="str">
        <f>"1551689377040458"</f>
        <v>1551689377040458</v>
      </c>
      <c r="C4318" t="s">
        <v>40</v>
      </c>
      <c r="D4318">
        <v>4.664339</v>
      </c>
      <c r="E4318">
        <v>0.58547990000000005</v>
      </c>
      <c r="F4318" t="s">
        <v>45</v>
      </c>
      <c r="G4318">
        <v>-191.9579</v>
      </c>
      <c r="H4318" s="1">
        <v>6.113132E-6</v>
      </c>
      <c r="I4318">
        <v>203.29060000000001</v>
      </c>
      <c r="J4318">
        <v>-195.04499999999999</v>
      </c>
      <c r="K4318">
        <v>1.1010629999999999</v>
      </c>
      <c r="L4318">
        <v>208.33949999999999</v>
      </c>
      <c r="M4318">
        <v>0.78341859999999997</v>
      </c>
      <c r="N4318">
        <v>-1.3924219999999999E-2</v>
      </c>
      <c r="O4318">
        <v>-0.62133870000000002</v>
      </c>
      <c r="P4318">
        <v>0.60717399999999999</v>
      </c>
      <c r="Q4318">
        <v>0.33663729999999997</v>
      </c>
      <c r="R4318">
        <v>-0.71973319999999996</v>
      </c>
      <c r="S4318">
        <v>1.837189</v>
      </c>
      <c r="T4318">
        <v>-0.61297950000000001</v>
      </c>
      <c r="U4318">
        <v>-2.9125209999999999</v>
      </c>
      <c r="V4318">
        <v>0.19490009999999999</v>
      </c>
      <c r="W4318">
        <v>0.34490080000000001</v>
      </c>
      <c r="X4318">
        <v>0.91818160000000004</v>
      </c>
      <c r="Y4318">
        <v>0.33253739999999998</v>
      </c>
      <c r="Z4318">
        <v>7.5356980000000004E-2</v>
      </c>
      <c r="AA4318">
        <v>0.94007459999999998</v>
      </c>
      <c r="AB4318">
        <v>27</v>
      </c>
      <c r="AC4318">
        <v>3.0870999999999902</v>
      </c>
      <c r="AD4318">
        <v>-1.101056886868</v>
      </c>
      <c r="AE4318">
        <v>-5.0488999999999704</v>
      </c>
      <c r="AF4318">
        <v>1.96929443681229</v>
      </c>
      <c r="AG4318">
        <v>-1.101056886868</v>
      </c>
      <c r="AH4318">
        <v>5.3702080617202803</v>
      </c>
      <c r="AI4318">
        <v>100.89592177795301</v>
      </c>
      <c r="AJ4318">
        <v>69.861644970973202</v>
      </c>
      <c r="AK4318">
        <v>5.8249104261906703</v>
      </c>
      <c r="AL4318">
        <v>69.824260296754204</v>
      </c>
      <c r="AM4318">
        <v>78.0158477772179</v>
      </c>
      <c r="AN4318">
        <v>1.0000000306996</v>
      </c>
    </row>
    <row r="4319" spans="1:40" x14ac:dyDescent="0.25">
      <c r="A4319" t="str">
        <f>"20190304164937068"</f>
        <v>20190304164937068</v>
      </c>
      <c r="B4319" t="str">
        <f>"1551689377060315"</f>
        <v>1551689377060315</v>
      </c>
      <c r="C4319" t="s">
        <v>40</v>
      </c>
      <c r="D4319">
        <v>4.7135959999999999</v>
      </c>
      <c r="E4319">
        <v>0.58646940000000003</v>
      </c>
      <c r="F4319" t="s">
        <v>45</v>
      </c>
      <c r="G4319">
        <v>-191.8133</v>
      </c>
      <c r="H4319" s="1">
        <v>6.2429939999999996E-6</v>
      </c>
      <c r="I4319">
        <v>203.03210000000001</v>
      </c>
      <c r="J4319">
        <v>-194.84960000000001</v>
      </c>
      <c r="K4319">
        <v>1.1008199999999999</v>
      </c>
      <c r="L4319">
        <v>208.16630000000001</v>
      </c>
      <c r="M4319">
        <v>0.77485999999999999</v>
      </c>
      <c r="N4319">
        <v>-1.390158E-2</v>
      </c>
      <c r="O4319">
        <v>-0.63198009999999905</v>
      </c>
      <c r="P4319">
        <v>0.59690940000000003</v>
      </c>
      <c r="Q4319">
        <v>0.33790589999999998</v>
      </c>
      <c r="R4319">
        <v>-0.72768060000000001</v>
      </c>
      <c r="S4319">
        <v>1.79158</v>
      </c>
      <c r="T4319">
        <v>-0.61041159999999905</v>
      </c>
      <c r="U4319">
        <v>-2.9423680000000001</v>
      </c>
      <c r="V4319">
        <v>0.19514570000000001</v>
      </c>
      <c r="W4319">
        <v>0.34603339999999999</v>
      </c>
      <c r="X4319">
        <v>0.91770320000000005</v>
      </c>
      <c r="Y4319">
        <v>0.33458290000000002</v>
      </c>
      <c r="Z4319">
        <v>7.6812630000000007E-2</v>
      </c>
      <c r="AA4319">
        <v>0.93923060000000003</v>
      </c>
      <c r="AB4319">
        <v>27</v>
      </c>
      <c r="AC4319">
        <v>3.03630000000001</v>
      </c>
      <c r="AD4319">
        <v>-1.1008137570059999</v>
      </c>
      <c r="AE4319">
        <v>-5.1341999999999901</v>
      </c>
      <c r="AF4319">
        <v>1.99176628537884</v>
      </c>
      <c r="AG4319">
        <v>-1.1008137570059999</v>
      </c>
      <c r="AH4319">
        <v>5.4135789476978298</v>
      </c>
      <c r="AI4319">
        <v>100.804220306734</v>
      </c>
      <c r="AJ4319">
        <v>69.8004002804539</v>
      </c>
      <c r="AK4319">
        <v>5.8724578232748996</v>
      </c>
      <c r="AL4319">
        <v>69.755110175512598</v>
      </c>
      <c r="AM4319">
        <v>77.995109988550197</v>
      </c>
      <c r="AN4319">
        <v>1.00000006071714</v>
      </c>
    </row>
    <row r="4320" spans="1:40" x14ac:dyDescent="0.25">
      <c r="A4320" t="str">
        <f>"20190304164937090"</f>
        <v>20190304164937090</v>
      </c>
      <c r="B4320" t="str">
        <f>"1551689377079835"</f>
        <v>1551689377079835</v>
      </c>
      <c r="C4320" t="s">
        <v>40</v>
      </c>
      <c r="D4320">
        <v>4.672383</v>
      </c>
      <c r="E4320">
        <v>0.60068199999999905</v>
      </c>
      <c r="F4320" t="s">
        <v>45</v>
      </c>
      <c r="G4320">
        <v>-191.66730000000001</v>
      </c>
      <c r="H4320" s="1">
        <v>6.3865300000000002E-6</v>
      </c>
      <c r="I4320">
        <v>202.73599999999999</v>
      </c>
      <c r="J4320">
        <v>-194.6514</v>
      </c>
      <c r="K4320">
        <v>1.1005670000000001</v>
      </c>
      <c r="L4320">
        <v>207.98519999999999</v>
      </c>
      <c r="M4320">
        <v>0.76569549999999997</v>
      </c>
      <c r="N4320">
        <v>-1.3880719999999999E-2</v>
      </c>
      <c r="O4320">
        <v>-0.64305349999999994</v>
      </c>
      <c r="P4320">
        <v>0.58543800000000001</v>
      </c>
      <c r="Q4320">
        <v>0.33850010000000003</v>
      </c>
      <c r="R4320">
        <v>-0.73666849999999995</v>
      </c>
      <c r="S4320">
        <v>1.7424470000000001</v>
      </c>
      <c r="T4320">
        <v>-0.60274110000000003</v>
      </c>
      <c r="U4320">
        <v>-2.973312</v>
      </c>
      <c r="V4320">
        <v>0.19633980000000001</v>
      </c>
      <c r="W4320">
        <v>0.34646510000000003</v>
      </c>
      <c r="X4320">
        <v>0.91728549999999998</v>
      </c>
      <c r="Y4320">
        <v>0.33687840000000002</v>
      </c>
      <c r="Z4320">
        <v>7.7588859999999996E-2</v>
      </c>
      <c r="AA4320">
        <v>0.93834580000000001</v>
      </c>
      <c r="AB4320">
        <v>27</v>
      </c>
      <c r="AC4320">
        <v>2.9840999999999802</v>
      </c>
      <c r="AD4320">
        <v>-1.1005606134699999</v>
      </c>
      <c r="AE4320">
        <v>-5.2492000000000001</v>
      </c>
      <c r="AF4320">
        <v>2.03301466373183</v>
      </c>
      <c r="AG4320">
        <v>-1.1005606134699999</v>
      </c>
      <c r="AH4320">
        <v>5.4789526347287696</v>
      </c>
      <c r="AI4320">
        <v>100.665251404833</v>
      </c>
      <c r="AJ4320">
        <v>69.642175002513895</v>
      </c>
      <c r="AK4320">
        <v>5.9467053282024498</v>
      </c>
      <c r="AL4320">
        <v>69.728744154539498</v>
      </c>
      <c r="AM4320">
        <v>77.918464320460998</v>
      </c>
      <c r="AN4320">
        <v>1.00000003554614</v>
      </c>
    </row>
    <row r="4321" spans="1:40" x14ac:dyDescent="0.25">
      <c r="A4321" t="str">
        <f>"20190304164937113"</f>
        <v>20190304164937113</v>
      </c>
      <c r="B4321" t="str">
        <f>"1551689377110091"</f>
        <v>1551689377110091</v>
      </c>
      <c r="C4321" t="s">
        <v>40</v>
      </c>
      <c r="D4321">
        <v>4.7358529999999996</v>
      </c>
      <c r="E4321">
        <v>0.60050990000000004</v>
      </c>
      <c r="F4321" t="s">
        <v>45</v>
      </c>
      <c r="G4321">
        <v>-191.47640000000001</v>
      </c>
      <c r="H4321" s="1">
        <v>6.7417439999999997E-6</v>
      </c>
      <c r="I4321">
        <v>201.87479999999999</v>
      </c>
      <c r="J4321">
        <v>-194.4513</v>
      </c>
      <c r="K4321">
        <v>1.1003050000000001</v>
      </c>
      <c r="L4321">
        <v>207.79660000000001</v>
      </c>
      <c r="M4321">
        <v>0.75592090000000001</v>
      </c>
      <c r="N4321">
        <v>-1.38607E-2</v>
      </c>
      <c r="O4321">
        <v>-0.65451649999999995</v>
      </c>
      <c r="P4321">
        <v>0.5721868</v>
      </c>
      <c r="Q4321">
        <v>0.33946090000000001</v>
      </c>
      <c r="R4321">
        <v>-0.746571599999999</v>
      </c>
      <c r="S4321">
        <v>1.590851</v>
      </c>
      <c r="T4321">
        <v>-0.5514348</v>
      </c>
      <c r="U4321">
        <v>-3.0615839999999999</v>
      </c>
      <c r="V4321">
        <v>0.1988193</v>
      </c>
      <c r="W4321">
        <v>0.34721960000000002</v>
      </c>
      <c r="X4321">
        <v>0.9164658</v>
      </c>
      <c r="Y4321">
        <v>0.36972329999999998</v>
      </c>
      <c r="Z4321">
        <v>6.9708489999999998E-2</v>
      </c>
      <c r="AA4321">
        <v>0.92652330000000005</v>
      </c>
      <c r="AB4321">
        <v>27</v>
      </c>
      <c r="AC4321">
        <v>2.9748999999999901</v>
      </c>
      <c r="AD4321">
        <v>-1.1002982582559999</v>
      </c>
      <c r="AE4321">
        <v>-5.9218000000000099</v>
      </c>
      <c r="AF4321">
        <v>2.4616741594451801</v>
      </c>
      <c r="AG4321">
        <v>-1.1002982582559999</v>
      </c>
      <c r="AH4321">
        <v>5.9609694122377697</v>
      </c>
      <c r="AI4321">
        <v>99.681919639988905</v>
      </c>
      <c r="AJ4321">
        <v>67.561067972592596</v>
      </c>
      <c r="AK4321">
        <v>6.5424500195290403</v>
      </c>
      <c r="AL4321">
        <v>69.6826539248665</v>
      </c>
      <c r="AM4321">
        <v>77.759847340619899</v>
      </c>
      <c r="AN4321">
        <v>1.0000000636231401</v>
      </c>
    </row>
    <row r="4322" spans="1:40" x14ac:dyDescent="0.25">
      <c r="A4322" t="str">
        <f>"20190304164937127"</f>
        <v>20190304164937127</v>
      </c>
      <c r="B4322" t="str">
        <f>"1551689377119851"</f>
        <v>1551689377119851</v>
      </c>
      <c r="C4322" t="s">
        <v>40</v>
      </c>
      <c r="D4322">
        <v>4.7634790000000002</v>
      </c>
      <c r="E4322">
        <v>0.60028559999999997</v>
      </c>
      <c r="F4322" t="s">
        <v>45</v>
      </c>
      <c r="G4322">
        <v>-191.3725</v>
      </c>
      <c r="H4322" s="1">
        <v>6.8601209999999997E-6</v>
      </c>
      <c r="I4322">
        <v>201.6181</v>
      </c>
      <c r="J4322">
        <v>-194.3253</v>
      </c>
      <c r="K4322">
        <v>1.1001339999999999</v>
      </c>
      <c r="L4322">
        <v>207.67410000000001</v>
      </c>
      <c r="M4322">
        <v>0.74944069999999996</v>
      </c>
      <c r="N4322">
        <v>-1.384781E-2</v>
      </c>
      <c r="O4322">
        <v>-0.66192680000000004</v>
      </c>
      <c r="P4322">
        <v>0.56379299999999999</v>
      </c>
      <c r="Q4322">
        <v>0.33956170000000002</v>
      </c>
      <c r="R4322">
        <v>-0.75288480000000002</v>
      </c>
      <c r="S4322">
        <v>1.539185</v>
      </c>
      <c r="T4322">
        <v>-0.55007079999999997</v>
      </c>
      <c r="U4322">
        <v>-3.0887910000000001</v>
      </c>
      <c r="V4322">
        <v>0.20016639999999999</v>
      </c>
      <c r="W4322">
        <v>0.3471959</v>
      </c>
      <c r="X4322">
        <v>0.91618140000000003</v>
      </c>
      <c r="Y4322">
        <v>0.37623269999999998</v>
      </c>
      <c r="Z4322">
        <v>7.0312840000000001E-2</v>
      </c>
      <c r="AA4322">
        <v>0.92385340000000005</v>
      </c>
      <c r="AB4322">
        <v>27</v>
      </c>
      <c r="AC4322">
        <v>2.9527999999999901</v>
      </c>
      <c r="AD4322">
        <v>-1.100127139879</v>
      </c>
      <c r="AE4322">
        <v>-6.0560000000000098</v>
      </c>
      <c r="AF4322">
        <v>2.5172101700043799</v>
      </c>
      <c r="AG4322">
        <v>-1.100127139879</v>
      </c>
      <c r="AH4322">
        <v>6.0605883459435299</v>
      </c>
      <c r="AI4322">
        <v>99.516413425153402</v>
      </c>
      <c r="AJ4322">
        <v>67.444889916279607</v>
      </c>
      <c r="AK4322">
        <v>6.6541233729814699</v>
      </c>
      <c r="AL4322">
        <v>69.684099913634</v>
      </c>
      <c r="AM4322">
        <v>77.675731413967497</v>
      </c>
      <c r="AN4322">
        <v>0.99999996918586398</v>
      </c>
    </row>
    <row r="4323" spans="1:40" x14ac:dyDescent="0.25">
      <c r="A4323" t="str">
        <f>"20190304164937148"</f>
        <v>20190304164937148</v>
      </c>
      <c r="B4323" t="str">
        <f>"1551689377140347"</f>
        <v>1551689377140347</v>
      </c>
      <c r="C4323" t="s">
        <v>40</v>
      </c>
      <c r="D4323">
        <v>4.7152979999999998</v>
      </c>
      <c r="E4323">
        <v>0.60008070000000002</v>
      </c>
      <c r="F4323" t="s">
        <v>45</v>
      </c>
      <c r="G4323">
        <v>-191.3211</v>
      </c>
      <c r="H4323" s="1">
        <v>6.9203289999999998E-6</v>
      </c>
      <c r="I4323">
        <v>201.48650000000001</v>
      </c>
      <c r="J4323">
        <v>-194.14869999999999</v>
      </c>
      <c r="K4323">
        <v>1.0998870000000001</v>
      </c>
      <c r="L4323">
        <v>207.49850000000001</v>
      </c>
      <c r="M4323">
        <v>0.73999019999999904</v>
      </c>
      <c r="N4323">
        <v>-1.3826979999999999E-2</v>
      </c>
      <c r="O4323">
        <v>-0.67247579999999996</v>
      </c>
      <c r="P4323">
        <v>0.55074119999999904</v>
      </c>
      <c r="Q4323">
        <v>0.33851229999999999</v>
      </c>
      <c r="R4323">
        <v>-0.76295100000000005</v>
      </c>
      <c r="S4323">
        <v>1.5074459999999901</v>
      </c>
      <c r="T4323">
        <v>-0.55202090000000004</v>
      </c>
      <c r="U4323">
        <v>-3.1047820000000002</v>
      </c>
      <c r="V4323">
        <v>0.20349339999999999</v>
      </c>
      <c r="W4323">
        <v>0.34592830000000002</v>
      </c>
      <c r="X4323">
        <v>0.91592799999999996</v>
      </c>
      <c r="Y4323">
        <v>0.37272359999999999</v>
      </c>
      <c r="Z4323">
        <v>7.2693850000000004E-2</v>
      </c>
      <c r="AA4323">
        <v>0.92509070000000004</v>
      </c>
      <c r="AB4323">
        <v>27</v>
      </c>
      <c r="AC4323">
        <v>2.8275999999999799</v>
      </c>
      <c r="AD4323">
        <v>-1.099880079671</v>
      </c>
      <c r="AE4323">
        <v>-6.0119999999999996</v>
      </c>
      <c r="AF4323">
        <v>2.4796124948263398</v>
      </c>
      <c r="AG4323">
        <v>-1.099880079671</v>
      </c>
      <c r="AH4323">
        <v>5.9722246469713296</v>
      </c>
      <c r="AI4323">
        <v>99.652960965290106</v>
      </c>
      <c r="AJ4323">
        <v>67.452226620754203</v>
      </c>
      <c r="AK4323">
        <v>6.5593964316884996</v>
      </c>
      <c r="AL4323">
        <v>69.761527622382999</v>
      </c>
      <c r="AM4323">
        <v>77.473943705254499</v>
      </c>
      <c r="AN4323">
        <v>1.00000002688422</v>
      </c>
    </row>
    <row r="4324" spans="1:40" x14ac:dyDescent="0.25">
      <c r="A4324" t="str">
        <f>"20190304164937172"</f>
        <v>20190304164937172</v>
      </c>
      <c r="B4324" t="str">
        <f>"1551689377170603"</f>
        <v>1551689377170603</v>
      </c>
      <c r="C4324" t="s">
        <v>40</v>
      </c>
      <c r="D4324">
        <v>4.4353009999999999</v>
      </c>
      <c r="E4324">
        <v>0.60249540000000001</v>
      </c>
      <c r="F4324" t="s">
        <v>45</v>
      </c>
      <c r="G4324">
        <v>-191.27799999999999</v>
      </c>
      <c r="H4324" s="1">
        <v>6.9874680000000004E-6</v>
      </c>
      <c r="I4324">
        <v>201.32900000000001</v>
      </c>
      <c r="J4324">
        <v>-193.94560000000001</v>
      </c>
      <c r="K4324">
        <v>1.0996030000000001</v>
      </c>
      <c r="L4324">
        <v>207.29</v>
      </c>
      <c r="M4324">
        <v>0.72852050000000002</v>
      </c>
      <c r="N4324">
        <v>-1.380258E-2</v>
      </c>
      <c r="O4324">
        <v>-0.68488499999999997</v>
      </c>
      <c r="P4324">
        <v>0.53672119999999901</v>
      </c>
      <c r="Q4324">
        <v>0.33801900000000001</v>
      </c>
      <c r="R4324">
        <v>-0.77309359999999905</v>
      </c>
      <c r="S4324">
        <v>1.455795</v>
      </c>
      <c r="T4324">
        <v>-0.55777739999999998</v>
      </c>
      <c r="U4324">
        <v>-3.1287229999999999</v>
      </c>
      <c r="V4324">
        <v>0.2051057</v>
      </c>
      <c r="W4324">
        <v>0.34524319999999997</v>
      </c>
      <c r="X4324">
        <v>0.9158269</v>
      </c>
      <c r="Y4324">
        <v>0.37240909999999999</v>
      </c>
      <c r="Z4324">
        <v>7.5802969999999997E-2</v>
      </c>
      <c r="AA4324">
        <v>0.92496780000000001</v>
      </c>
      <c r="AB4324">
        <v>27</v>
      </c>
      <c r="AC4324">
        <v>2.6676000000000202</v>
      </c>
      <c r="AD4324">
        <v>-1.0995960125319999</v>
      </c>
      <c r="AE4324">
        <v>-5.9609999999999799</v>
      </c>
      <c r="AF4324">
        <v>2.4465904779382801</v>
      </c>
      <c r="AG4324">
        <v>-1.0995960125319999</v>
      </c>
      <c r="AH4324">
        <v>5.8604320309897204</v>
      </c>
      <c r="AI4324">
        <v>99.823233331469297</v>
      </c>
      <c r="AJ4324">
        <v>67.340628407197698</v>
      </c>
      <c r="AK4324">
        <v>6.4451206309397202</v>
      </c>
      <c r="AL4324">
        <v>69.803359027116301</v>
      </c>
      <c r="AM4324">
        <v>77.376517788740102</v>
      </c>
      <c r="AN4324">
        <v>1.0000000630411601</v>
      </c>
    </row>
    <row r="4325" spans="1:40" x14ac:dyDescent="0.25">
      <c r="A4325" t="str">
        <f>"20190304164937194"</f>
        <v>20190304164937194</v>
      </c>
      <c r="B4325" t="str">
        <f>"1551689377190123"</f>
        <v>1551689377190123</v>
      </c>
      <c r="C4325" t="s">
        <v>40</v>
      </c>
      <c r="D4325">
        <v>4.4394879999999999</v>
      </c>
      <c r="E4325">
        <v>0.60202630000000001</v>
      </c>
      <c r="F4325" t="s">
        <v>45</v>
      </c>
      <c r="G4325">
        <v>-191.11879999999999</v>
      </c>
      <c r="H4325" s="1">
        <v>7.2275440000000002E-6</v>
      </c>
      <c r="I4325">
        <v>200.7697</v>
      </c>
      <c r="J4325">
        <v>-193.78</v>
      </c>
      <c r="K4325">
        <v>1.099372</v>
      </c>
      <c r="L4325">
        <v>207.114</v>
      </c>
      <c r="M4325">
        <v>0.71864640000000002</v>
      </c>
      <c r="N4325">
        <v>-1.3784029999999999E-2</v>
      </c>
      <c r="O4325">
        <v>-0.6952391</v>
      </c>
      <c r="P4325">
        <v>0.52455580000000002</v>
      </c>
      <c r="Q4325">
        <v>0.33883730000000001</v>
      </c>
      <c r="R4325">
        <v>-0.78104419999999897</v>
      </c>
      <c r="S4325">
        <v>1.370819</v>
      </c>
      <c r="T4325">
        <v>-0.53323509999999996</v>
      </c>
      <c r="U4325">
        <v>-3.1619259999999998</v>
      </c>
      <c r="V4325">
        <v>0.20628199999999999</v>
      </c>
      <c r="W4325">
        <v>0.34590680000000001</v>
      </c>
      <c r="X4325">
        <v>0.91531209999999996</v>
      </c>
      <c r="Y4325">
        <v>0.38342169999999998</v>
      </c>
      <c r="Z4325">
        <v>7.3171710000000001E-2</v>
      </c>
      <c r="AA4325">
        <v>0.92067030000000005</v>
      </c>
      <c r="AB4325">
        <v>27</v>
      </c>
      <c r="AC4325">
        <v>2.6612</v>
      </c>
      <c r="AD4325">
        <v>-1.0993647724560001</v>
      </c>
      <c r="AE4325">
        <v>-6.3442999999999996</v>
      </c>
      <c r="AF4325">
        <v>2.6419348696718399</v>
      </c>
      <c r="AG4325">
        <v>-1.0993647724560001</v>
      </c>
      <c r="AH4325">
        <v>6.1664115218698798</v>
      </c>
      <c r="AI4325">
        <v>99.306653396753603</v>
      </c>
      <c r="AJ4325">
        <v>66.807791087311898</v>
      </c>
      <c r="AK4325">
        <v>6.7980183741701401</v>
      </c>
      <c r="AL4325">
        <v>69.762840158858197</v>
      </c>
      <c r="AM4325">
        <v>77.299552646305798</v>
      </c>
      <c r="AN4325">
        <v>1.0000000091083201</v>
      </c>
    </row>
    <row r="4326" spans="1:40" x14ac:dyDescent="0.25">
      <c r="A4326" t="str">
        <f>"20190304164937214"</f>
        <v>20190304164937214</v>
      </c>
      <c r="B4326" t="str">
        <f>"1551689377210620"</f>
        <v>1551689377210620</v>
      </c>
      <c r="C4326" t="s">
        <v>40</v>
      </c>
      <c r="D4326">
        <v>4.7748299999999997</v>
      </c>
      <c r="E4326">
        <v>0.60100509999999996</v>
      </c>
      <c r="F4326" t="s">
        <v>45</v>
      </c>
      <c r="G4326">
        <v>-191.0488</v>
      </c>
      <c r="H4326" s="1">
        <v>7.3295650000000002E-6</v>
      </c>
      <c r="I4326">
        <v>200.53380000000001</v>
      </c>
      <c r="J4326">
        <v>-193.6002</v>
      </c>
      <c r="K4326">
        <v>1.0991379999999999</v>
      </c>
      <c r="L4326">
        <v>206.9169</v>
      </c>
      <c r="M4326">
        <v>0.70738449999999997</v>
      </c>
      <c r="N4326">
        <v>-1.376231E-2</v>
      </c>
      <c r="O4326">
        <v>-0.70669519999999997</v>
      </c>
      <c r="P4326">
        <v>0.51078699999999999</v>
      </c>
      <c r="Q4326">
        <v>0.33933659999999999</v>
      </c>
      <c r="R4326">
        <v>-0.78990360000000004</v>
      </c>
      <c r="S4326">
        <v>1.321655</v>
      </c>
      <c r="T4326">
        <v>-0.53198400000000001</v>
      </c>
      <c r="U4326">
        <v>-3.184158</v>
      </c>
      <c r="V4326">
        <v>0.20766860000000001</v>
      </c>
      <c r="W4326">
        <v>0.34623739999999997</v>
      </c>
      <c r="X4326">
        <v>0.91487339999999995</v>
      </c>
      <c r="Y4326">
        <v>0.38305149999999999</v>
      </c>
      <c r="Z4326">
        <v>7.4950699999999995E-2</v>
      </c>
      <c r="AA4326">
        <v>0.92068119999999998</v>
      </c>
      <c r="AB4326">
        <v>27</v>
      </c>
      <c r="AC4326">
        <v>2.5514000000000001</v>
      </c>
      <c r="AD4326">
        <v>-1.0991306704349999</v>
      </c>
      <c r="AE4326">
        <v>-6.3830999999999802</v>
      </c>
      <c r="AF4326">
        <v>2.6448811273257702</v>
      </c>
      <c r="AG4326">
        <v>-1.0991306704349999</v>
      </c>
      <c r="AH4326">
        <v>6.1588661674551703</v>
      </c>
      <c r="AI4326">
        <v>99.312579836845202</v>
      </c>
      <c r="AJ4326">
        <v>66.759240908193505</v>
      </c>
      <c r="AK4326">
        <v>6.7922836275437497</v>
      </c>
      <c r="AL4326">
        <v>69.742649609834899</v>
      </c>
      <c r="AM4326">
        <v>77.211049763224395</v>
      </c>
      <c r="AN4326">
        <v>0.999999961306139</v>
      </c>
    </row>
    <row r="4327" spans="1:40" x14ac:dyDescent="0.25">
      <c r="A4327" t="str">
        <f>"20190304164937236"</f>
        <v>20190304164937236</v>
      </c>
      <c r="B4327" t="str">
        <f>"1551689377230158"</f>
        <v>1551689377230158</v>
      </c>
      <c r="C4327" t="s">
        <v>40</v>
      </c>
      <c r="D4327">
        <v>4.7825959999999998</v>
      </c>
      <c r="E4327">
        <v>0.60263540000000004</v>
      </c>
      <c r="F4327" t="s">
        <v>45</v>
      </c>
      <c r="G4327">
        <v>-190.99610000000001</v>
      </c>
      <c r="H4327" s="1">
        <v>7.402883E-6</v>
      </c>
      <c r="I4327">
        <v>200.36609999999999</v>
      </c>
      <c r="J4327">
        <v>-193.41380000000001</v>
      </c>
      <c r="K4327">
        <v>1.0989100000000001</v>
      </c>
      <c r="L4327">
        <v>206.70500000000001</v>
      </c>
      <c r="M4327">
        <v>0.69506190000000001</v>
      </c>
      <c r="N4327">
        <v>-1.374003E-2</v>
      </c>
      <c r="O4327">
        <v>-0.71881899999999999</v>
      </c>
      <c r="P4327">
        <v>0.4968378</v>
      </c>
      <c r="Q4327">
        <v>0.33950279999999999</v>
      </c>
      <c r="R4327">
        <v>-0.79868070000000002</v>
      </c>
      <c r="S4327">
        <v>1.274124</v>
      </c>
      <c r="T4327">
        <v>-0.53776990000000002</v>
      </c>
      <c r="U4327">
        <v>-3.2050930000000002</v>
      </c>
      <c r="V4327">
        <v>0.20805190000000001</v>
      </c>
      <c r="W4327">
        <v>0.3462691</v>
      </c>
      <c r="X4327">
        <v>0.91477439999999999</v>
      </c>
      <c r="Y4327">
        <v>0.38104349999999998</v>
      </c>
      <c r="Z4327">
        <v>7.8101649999999995E-2</v>
      </c>
      <c r="AA4327">
        <v>0.92125239999999997</v>
      </c>
      <c r="AB4327">
        <v>27</v>
      </c>
      <c r="AC4327">
        <v>2.4176999999999902</v>
      </c>
      <c r="AD4327">
        <v>-1.0989025971169999</v>
      </c>
      <c r="AE4327">
        <v>-6.3389000000000202</v>
      </c>
      <c r="AF4327">
        <v>2.6000733725226</v>
      </c>
      <c r="AG4327">
        <v>-1.0989025971169999</v>
      </c>
      <c r="AH4327">
        <v>6.0780918483170003</v>
      </c>
      <c r="AI4327">
        <v>99.437791384080498</v>
      </c>
      <c r="AJ4327">
        <v>66.839831268915603</v>
      </c>
      <c r="AK4327">
        <v>6.7015795882037503</v>
      </c>
      <c r="AL4327">
        <v>69.740715295836395</v>
      </c>
      <c r="AM4327">
        <v>77.186882381883194</v>
      </c>
      <c r="AN4327">
        <v>1.00000004280188</v>
      </c>
    </row>
    <row r="4328" spans="1:40" x14ac:dyDescent="0.25">
      <c r="A4328" t="str">
        <f>"20190304164937258"</f>
        <v>20190304164937258</v>
      </c>
      <c r="B4328" t="str">
        <f>"1551689377250639"</f>
        <v>1551689377250639</v>
      </c>
      <c r="C4328" t="s">
        <v>40</v>
      </c>
      <c r="D4328">
        <v>4.7620699999999996</v>
      </c>
      <c r="E4328">
        <v>0.60150839999999905</v>
      </c>
      <c r="F4328" t="s">
        <v>45</v>
      </c>
      <c r="G4328">
        <v>-190.87029999999999</v>
      </c>
      <c r="H4328" s="1">
        <v>7.6150559999999998E-6</v>
      </c>
      <c r="I4328">
        <v>199.8605</v>
      </c>
      <c r="J4328">
        <v>-193.2432</v>
      </c>
      <c r="K4328">
        <v>1.0987199999999999</v>
      </c>
      <c r="L4328">
        <v>206.50389999999999</v>
      </c>
      <c r="M4328">
        <v>0.68318230000000002</v>
      </c>
      <c r="N4328">
        <v>-1.3719179999999999E-2</v>
      </c>
      <c r="O4328">
        <v>-0.73011919999999897</v>
      </c>
      <c r="P4328">
        <v>0.48405769999999998</v>
      </c>
      <c r="Q4328">
        <v>0.33962310000000001</v>
      </c>
      <c r="R4328">
        <v>-0.80643959999999903</v>
      </c>
      <c r="S4328">
        <v>1.2003170000000001</v>
      </c>
      <c r="T4328">
        <v>-0.51858070000000001</v>
      </c>
      <c r="U4328">
        <v>-3.2299349999999998</v>
      </c>
      <c r="V4328">
        <v>0.20773469999999999</v>
      </c>
      <c r="W4328">
        <v>0.3462942</v>
      </c>
      <c r="X4328">
        <v>0.91483689999999995</v>
      </c>
      <c r="Y4328">
        <v>0.38661719999999999</v>
      </c>
      <c r="Z4328">
        <v>7.6606220000000003E-2</v>
      </c>
      <c r="AA4328">
        <v>0.91905309999999996</v>
      </c>
      <c r="AB4328">
        <v>27</v>
      </c>
      <c r="AC4328">
        <v>2.3729000000000098</v>
      </c>
      <c r="AD4328">
        <v>-1.0987123849439999</v>
      </c>
      <c r="AE4328">
        <v>-6.6433999999999802</v>
      </c>
      <c r="AF4328">
        <v>2.7399535578316701</v>
      </c>
      <c r="AG4328">
        <v>-1.0987123849439999</v>
      </c>
      <c r="AH4328">
        <v>6.3189259121038504</v>
      </c>
      <c r="AI4328">
        <v>99.063748176080196</v>
      </c>
      <c r="AJ4328">
        <v>66.557931509092299</v>
      </c>
      <c r="AK4328">
        <v>6.9744776927423899</v>
      </c>
      <c r="AL4328">
        <v>69.739180705166902</v>
      </c>
      <c r="AM4328">
        <v>77.206619412043594</v>
      </c>
      <c r="AN4328">
        <v>0.99999996606966901</v>
      </c>
    </row>
    <row r="4329" spans="1:40" x14ac:dyDescent="0.25">
      <c r="A4329" t="str">
        <f>"20190304164937277"</f>
        <v>20190304164937277</v>
      </c>
      <c r="B4329" t="str">
        <f>"1551689377270155"</f>
        <v>1551689377270155</v>
      </c>
      <c r="C4329" t="s">
        <v>40</v>
      </c>
      <c r="D4329">
        <v>4.4749689999999998</v>
      </c>
      <c r="E4329">
        <v>0.60200830000000005</v>
      </c>
      <c r="F4329" t="s">
        <v>45</v>
      </c>
      <c r="G4329">
        <v>-190.8262</v>
      </c>
      <c r="H4329" s="1">
        <v>7.6719129999999906E-6</v>
      </c>
      <c r="I4329">
        <v>199.7329</v>
      </c>
      <c r="J4329">
        <v>-193.09350000000001</v>
      </c>
      <c r="K4329">
        <v>1.0985670000000001</v>
      </c>
      <c r="L4329">
        <v>206.3218</v>
      </c>
      <c r="M4329">
        <v>0.67228959999999904</v>
      </c>
      <c r="N4329">
        <v>-1.3699100000000001E-2</v>
      </c>
      <c r="O4329">
        <v>-0.74016150000000003</v>
      </c>
      <c r="P4329">
        <v>0.47222360000000002</v>
      </c>
      <c r="Q4329">
        <v>0.33936719999999998</v>
      </c>
      <c r="R4329">
        <v>-0.81353219999999904</v>
      </c>
      <c r="S4329">
        <v>1.1588290000000001</v>
      </c>
      <c r="T4329">
        <v>-0.52677019999999997</v>
      </c>
      <c r="U4329">
        <v>-3.2463380000000002</v>
      </c>
      <c r="V4329">
        <v>0.20772660000000001</v>
      </c>
      <c r="W4329">
        <v>0.3459547</v>
      </c>
      <c r="X4329">
        <v>0.91496719999999998</v>
      </c>
      <c r="Y4329">
        <v>0.3849342</v>
      </c>
      <c r="Z4329">
        <v>7.9810909999999999E-2</v>
      </c>
      <c r="AA4329">
        <v>0.91948680000000005</v>
      </c>
      <c r="AB4329">
        <v>27</v>
      </c>
      <c r="AC4329">
        <v>2.2673000000000001</v>
      </c>
      <c r="AD4329">
        <v>-1.0985593280869901</v>
      </c>
      <c r="AE4329">
        <v>-6.58889999999999</v>
      </c>
      <c r="AF4329">
        <v>2.6850023139559598</v>
      </c>
      <c r="AG4329">
        <v>-1.0985593280869901</v>
      </c>
      <c r="AH4329">
        <v>6.2464747095791102</v>
      </c>
      <c r="AI4329">
        <v>99.178207958427606</v>
      </c>
      <c r="AJ4329">
        <v>66.739895979054893</v>
      </c>
      <c r="AK4329">
        <v>6.8872720521761899</v>
      </c>
      <c r="AL4329">
        <v>69.759914608415698</v>
      </c>
      <c r="AM4329">
        <v>77.208863730900703</v>
      </c>
      <c r="AN4329">
        <v>0.99999998593774397</v>
      </c>
    </row>
    <row r="4330" spans="1:40" x14ac:dyDescent="0.25">
      <c r="A4330" t="str">
        <f>"20190304164937291"</f>
        <v>20190304164937291</v>
      </c>
      <c r="B4330" t="str">
        <f>"1551689377279915"</f>
        <v>1551689377279915</v>
      </c>
      <c r="C4330" t="s">
        <v>40</v>
      </c>
      <c r="D4330">
        <v>4.7835590000000003</v>
      </c>
      <c r="E4330">
        <v>0.601433</v>
      </c>
      <c r="F4330" t="s">
        <v>42</v>
      </c>
      <c r="G4330">
        <v>-190.7525</v>
      </c>
      <c r="H4330" s="1">
        <v>-4.3625649999999996E-6</v>
      </c>
      <c r="I4330">
        <v>199.41409999999999</v>
      </c>
      <c r="J4330">
        <v>-192.9871</v>
      </c>
      <c r="K4330">
        <v>1.0984700000000001</v>
      </c>
      <c r="L4330">
        <v>206.18870000000001</v>
      </c>
      <c r="M4330">
        <v>0.66426269999999998</v>
      </c>
      <c r="N4330">
        <v>-1.368248E-2</v>
      </c>
      <c r="O4330">
        <v>-0.74737410000000004</v>
      </c>
      <c r="P4330">
        <v>0.46387230000000002</v>
      </c>
      <c r="Q4330">
        <v>0.33848070000000002</v>
      </c>
      <c r="R4330">
        <v>-0.81868999999999903</v>
      </c>
      <c r="S4330">
        <v>1.105591</v>
      </c>
      <c r="T4330">
        <v>-0.51882529999999905</v>
      </c>
      <c r="U4330">
        <v>-3.2622990000000001</v>
      </c>
      <c r="V4330">
        <v>0.20750589999999999</v>
      </c>
      <c r="W4330">
        <v>0.345022099999999</v>
      </c>
      <c r="X4330">
        <v>0.91536930000000005</v>
      </c>
      <c r="Y4330">
        <v>0.38976290000000002</v>
      </c>
      <c r="Z4330">
        <v>7.9467350000000006E-2</v>
      </c>
      <c r="AA4330">
        <v>0.91748019999999997</v>
      </c>
      <c r="AB4330">
        <v>27</v>
      </c>
      <c r="AC4330">
        <v>2.2345999999999999</v>
      </c>
      <c r="AD4330">
        <v>-1.098474362565</v>
      </c>
      <c r="AE4330">
        <v>-6.7746000000000199</v>
      </c>
      <c r="AF4330">
        <v>2.7647404599723</v>
      </c>
      <c r="AG4330">
        <v>-1.098474362565</v>
      </c>
      <c r="AH4330">
        <v>6.3964645965246199</v>
      </c>
      <c r="AI4330">
        <v>98.958195955388703</v>
      </c>
      <c r="AJ4330">
        <v>66.624576880791594</v>
      </c>
      <c r="AK4330">
        <v>7.0544450576082403</v>
      </c>
      <c r="AL4330">
        <v>69.816854144327195</v>
      </c>
      <c r="AM4330">
        <v>77.227436256074398</v>
      </c>
      <c r="AN4330">
        <v>0.99999995170285305</v>
      </c>
    </row>
    <row r="4331" spans="1:40" x14ac:dyDescent="0.25">
      <c r="A4331" t="str">
        <f>"20190304164937315"</f>
        <v>20190304164937315</v>
      </c>
      <c r="B4331" t="str">
        <f>"1551689377310172"</f>
        <v>1551689377310172</v>
      </c>
      <c r="C4331" t="s">
        <v>40</v>
      </c>
      <c r="D4331">
        <v>4.7928550000000003</v>
      </c>
      <c r="E4331">
        <v>0.59993920000000001</v>
      </c>
      <c r="F4331" t="s">
        <v>42</v>
      </c>
      <c r="G4331">
        <v>-190.7405</v>
      </c>
      <c r="H4331" s="1">
        <v>-4.3482960000000003E-6</v>
      </c>
      <c r="I4331">
        <v>199.3785</v>
      </c>
      <c r="J4331">
        <v>-192.81319999999999</v>
      </c>
      <c r="K4331">
        <v>1.0983229999999999</v>
      </c>
      <c r="L4331">
        <v>205.9649</v>
      </c>
      <c r="M4331">
        <v>0.65065660000000003</v>
      </c>
      <c r="N4331">
        <v>-1.3647589999999999E-2</v>
      </c>
      <c r="O4331">
        <v>-0.75924959999999997</v>
      </c>
      <c r="P4331">
        <v>0.45072899999999999</v>
      </c>
      <c r="Q4331">
        <v>0.33776129999999999</v>
      </c>
      <c r="R4331">
        <v>-0.82629359999999996</v>
      </c>
      <c r="S4331">
        <v>1.0791170000000001</v>
      </c>
      <c r="T4331">
        <v>-0.52762699999999996</v>
      </c>
      <c r="U4331">
        <v>-3.271118</v>
      </c>
      <c r="V4331">
        <v>0.20586840000000001</v>
      </c>
      <c r="W4331">
        <v>0.3442675</v>
      </c>
      <c r="X4331">
        <v>0.91602300000000003</v>
      </c>
      <c r="Y4331">
        <v>0.38068489999999999</v>
      </c>
      <c r="Z4331">
        <v>8.3664370000000002E-2</v>
      </c>
      <c r="AA4331">
        <v>0.92091219999999996</v>
      </c>
      <c r="AB4331">
        <v>27</v>
      </c>
      <c r="AC4331">
        <v>2.07269999999999</v>
      </c>
      <c r="AD4331">
        <v>-1.0983273482960001</v>
      </c>
      <c r="AE4331">
        <v>-6.5863999999999896</v>
      </c>
      <c r="AF4331">
        <v>2.6451132819353802</v>
      </c>
      <c r="AG4331">
        <v>-1.0983273482960001</v>
      </c>
      <c r="AH4331">
        <v>6.1932264065398401</v>
      </c>
      <c r="AI4331">
        <v>99.262880835577803</v>
      </c>
      <c r="AJ4331">
        <v>66.872779314584804</v>
      </c>
      <c r="AK4331">
        <v>6.82341560810627</v>
      </c>
      <c r="AL4331">
        <v>69.8629128208661</v>
      </c>
      <c r="AM4331">
        <v>77.333713563411607</v>
      </c>
      <c r="AN4331">
        <v>1.0000000231018999</v>
      </c>
    </row>
    <row r="4332" spans="1:40" x14ac:dyDescent="0.25">
      <c r="A4332" t="str">
        <f>"20190304164937331"</f>
        <v>20190304164937331</v>
      </c>
      <c r="B4332" t="str">
        <f>"1551689377319932"</f>
        <v>1551689377319932</v>
      </c>
      <c r="C4332" t="s">
        <v>40</v>
      </c>
      <c r="D4332">
        <v>4.4767199999999896</v>
      </c>
      <c r="E4332">
        <v>0.60064530000000005</v>
      </c>
      <c r="F4332" t="s">
        <v>42</v>
      </c>
      <c r="G4332">
        <v>-190.7062</v>
      </c>
      <c r="H4332" s="1">
        <v>-4.3142039999999901E-6</v>
      </c>
      <c r="I4332">
        <v>199.2962</v>
      </c>
      <c r="J4332">
        <v>-192.6936</v>
      </c>
      <c r="K4332">
        <v>1.098241</v>
      </c>
      <c r="L4332">
        <v>205.80529999999999</v>
      </c>
      <c r="M4332">
        <v>0.64088859999999903</v>
      </c>
      <c r="N4332">
        <v>-1.361626E-2</v>
      </c>
      <c r="O4332">
        <v>-0.76751329999999995</v>
      </c>
      <c r="P4332">
        <v>0.44110850000000001</v>
      </c>
      <c r="Q4332">
        <v>0.33743060000000002</v>
      </c>
      <c r="R4332">
        <v>-0.83160319999999899</v>
      </c>
      <c r="S4332">
        <v>1.0380860000000001</v>
      </c>
      <c r="T4332">
        <v>-0.54112819999999995</v>
      </c>
      <c r="U4332">
        <v>-3.2855829999999999</v>
      </c>
      <c r="V4332">
        <v>0.2049079</v>
      </c>
      <c r="W4332">
        <v>0.3439084</v>
      </c>
      <c r="X4332">
        <v>0.9163732</v>
      </c>
      <c r="Y4332">
        <v>0.3805712</v>
      </c>
      <c r="Z4332">
        <v>8.7565850000000001E-2</v>
      </c>
      <c r="AA4332">
        <v>0.92059639999999998</v>
      </c>
      <c r="AB4332">
        <v>27</v>
      </c>
      <c r="AC4332">
        <v>1.9874000000000001</v>
      </c>
      <c r="AD4332">
        <v>-1.0982453142039901</v>
      </c>
      <c r="AE4332">
        <v>-6.5090999999999797</v>
      </c>
      <c r="AF4332">
        <v>2.5793302643549101</v>
      </c>
      <c r="AG4332">
        <v>-1.0982453142039901</v>
      </c>
      <c r="AH4332">
        <v>6.1109711530574602</v>
      </c>
      <c r="AI4332">
        <v>99.401315683452097</v>
      </c>
      <c r="AJ4332">
        <v>67.116272535568896</v>
      </c>
      <c r="AK4332">
        <v>6.7233217843777702</v>
      </c>
      <c r="AL4332">
        <v>69.884826118296402</v>
      </c>
      <c r="AM4332">
        <v>77.395580241600499</v>
      </c>
      <c r="AN4332">
        <v>1.0000000383756</v>
      </c>
    </row>
    <row r="4333" spans="1:40" x14ac:dyDescent="0.25">
      <c r="A4333" t="str">
        <f>"20190304164937345"</f>
        <v>20190304164937345</v>
      </c>
      <c r="B4333" t="str">
        <f>"1551689377340427"</f>
        <v>1551689377340427</v>
      </c>
      <c r="C4333" t="s">
        <v>40</v>
      </c>
      <c r="D4333">
        <v>4.752561</v>
      </c>
      <c r="E4333">
        <v>0.59976249999999998</v>
      </c>
      <c r="F4333" t="s">
        <v>42</v>
      </c>
      <c r="G4333">
        <v>-190.64789999999999</v>
      </c>
      <c r="H4333" s="1">
        <v>-4.1980649999999998E-6</v>
      </c>
      <c r="I4333">
        <v>198.9853</v>
      </c>
      <c r="J4333">
        <v>-192.5915</v>
      </c>
      <c r="K4333">
        <v>1.0981799999999999</v>
      </c>
      <c r="L4333">
        <v>205.66560000000001</v>
      </c>
      <c r="M4333">
        <v>0.63230249999999999</v>
      </c>
      <c r="N4333">
        <v>-1.358476E-2</v>
      </c>
      <c r="O4333">
        <v>-0.77460269999999898</v>
      </c>
      <c r="P4333">
        <v>0.43315409999999999</v>
      </c>
      <c r="Q4333">
        <v>0.33758589999999999</v>
      </c>
      <c r="R4333">
        <v>-0.83571169999999995</v>
      </c>
      <c r="S4333">
        <v>0.98933409999999999</v>
      </c>
      <c r="T4333">
        <v>-0.53112159999999997</v>
      </c>
      <c r="U4333">
        <v>-3.2982330000000002</v>
      </c>
      <c r="V4333">
        <v>0.20344760000000001</v>
      </c>
      <c r="W4333">
        <v>0.34405790000000003</v>
      </c>
      <c r="X4333">
        <v>0.91664239999999997</v>
      </c>
      <c r="Y4333">
        <v>0.38369760000000003</v>
      </c>
      <c r="Z4333">
        <v>8.6925189999999999E-2</v>
      </c>
      <c r="AA4333">
        <v>0.91935860000000003</v>
      </c>
      <c r="AB4333">
        <v>27</v>
      </c>
      <c r="AC4333">
        <v>1.9436</v>
      </c>
      <c r="AD4333">
        <v>-1.098184198065</v>
      </c>
      <c r="AE4333">
        <v>-6.6803000000000097</v>
      </c>
      <c r="AF4333">
        <v>2.6526119008545499</v>
      </c>
      <c r="AG4333">
        <v>-1.098184198065</v>
      </c>
      <c r="AH4333">
        <v>6.2484288276191</v>
      </c>
      <c r="AI4333">
        <v>99.189644968484103</v>
      </c>
      <c r="AJ4333">
        <v>66.9975819382379</v>
      </c>
      <c r="AK4333">
        <v>6.8764250336389399</v>
      </c>
      <c r="AL4333">
        <v>69.875703473200701</v>
      </c>
      <c r="AM4333">
        <v>77.486126681602798</v>
      </c>
      <c r="AN4333">
        <v>1.0000000269879601</v>
      </c>
    </row>
    <row r="4334" spans="1:40" x14ac:dyDescent="0.25">
      <c r="A4334" t="str">
        <f>"20190304164937359"</f>
        <v>20190304164937359</v>
      </c>
      <c r="B4334" t="str">
        <f>"1551689377350188"</f>
        <v>1551689377350188</v>
      </c>
      <c r="C4334" t="s">
        <v>40</v>
      </c>
      <c r="D4334">
        <v>4.4692800000000004</v>
      </c>
      <c r="E4334">
        <v>0.6003366</v>
      </c>
      <c r="F4334" t="s">
        <v>42</v>
      </c>
      <c r="G4334">
        <v>-190.62029999999999</v>
      </c>
      <c r="H4334" s="1">
        <v>-4.1527460000000001E-6</v>
      </c>
      <c r="I4334">
        <v>198.8845</v>
      </c>
      <c r="J4334">
        <v>-192.49039999999999</v>
      </c>
      <c r="K4334">
        <v>1.0981190000000001</v>
      </c>
      <c r="L4334">
        <v>205.52440000000001</v>
      </c>
      <c r="M4334">
        <v>0.62358780000000003</v>
      </c>
      <c r="N4334">
        <v>-1.354967E-2</v>
      </c>
      <c r="O4334">
        <v>-0.78163609999999994</v>
      </c>
      <c r="P4334">
        <v>0.42487219999999998</v>
      </c>
      <c r="Q4334">
        <v>0.33900859999999999</v>
      </c>
      <c r="R4334">
        <v>-0.83937919999999999</v>
      </c>
      <c r="S4334">
        <v>0.96157840000000006</v>
      </c>
      <c r="T4334">
        <v>-0.53569389999999995</v>
      </c>
      <c r="U4334">
        <v>-3.3077999999999999</v>
      </c>
      <c r="V4334">
        <v>0.20195920000000001</v>
      </c>
      <c r="W4334">
        <v>0.34547050000000001</v>
      </c>
      <c r="X4334">
        <v>0.91644020000000004</v>
      </c>
      <c r="Y4334">
        <v>0.3812451</v>
      </c>
      <c r="Z4334">
        <v>8.9174959999999998E-2</v>
      </c>
      <c r="AA4334">
        <v>0.92016299999999995</v>
      </c>
      <c r="AB4334">
        <v>27</v>
      </c>
      <c r="AC4334">
        <v>1.8701000000000001</v>
      </c>
      <c r="AD4334">
        <v>-1.098123152746</v>
      </c>
      <c r="AE4334">
        <v>-6.6399000000000097</v>
      </c>
      <c r="AF4334">
        <v>2.6128555856523601</v>
      </c>
      <c r="AG4334">
        <v>-1.098123152746</v>
      </c>
      <c r="AH4334">
        <v>6.1996334864508098</v>
      </c>
      <c r="AI4334">
        <v>99.270252668509301</v>
      </c>
      <c r="AJ4334">
        <v>67.146852188739203</v>
      </c>
      <c r="AK4334">
        <v>6.8167693327846903</v>
      </c>
      <c r="AL4334">
        <v>69.789480788982601</v>
      </c>
      <c r="AM4334">
        <v>77.572167131352501</v>
      </c>
      <c r="AN4334">
        <v>1.00000001250546</v>
      </c>
    </row>
    <row r="4335" spans="1:40" x14ac:dyDescent="0.25">
      <c r="A4335" t="str">
        <f>"20190304164937383"</f>
        <v>20190304164937383</v>
      </c>
      <c r="B4335" t="str">
        <f>"1551689377380444"</f>
        <v>1551689377380444</v>
      </c>
      <c r="C4335" t="s">
        <v>40</v>
      </c>
      <c r="D4335">
        <v>4.7754979999999998</v>
      </c>
      <c r="E4335">
        <v>0.60004360000000001</v>
      </c>
      <c r="F4335" t="s">
        <v>42</v>
      </c>
      <c r="G4335">
        <v>-190.5479</v>
      </c>
      <c r="H4335" s="1">
        <v>-3.9812780000000001E-6</v>
      </c>
      <c r="I4335">
        <v>198.52969999999999</v>
      </c>
      <c r="J4335">
        <v>-192.33090000000001</v>
      </c>
      <c r="K4335">
        <v>1.098042</v>
      </c>
      <c r="L4335">
        <v>205.29419999999999</v>
      </c>
      <c r="M4335">
        <v>0.60933349999999997</v>
      </c>
      <c r="N4335">
        <v>-1.348476E-2</v>
      </c>
      <c r="O4335">
        <v>-0.792799699999999</v>
      </c>
      <c r="P4335">
        <v>0.40837259999999997</v>
      </c>
      <c r="Q4335">
        <v>0.34045570000000003</v>
      </c>
      <c r="R4335">
        <v>-0.8469489</v>
      </c>
      <c r="S4335">
        <v>0.92144780000000004</v>
      </c>
      <c r="T4335">
        <v>-0.52091719999999997</v>
      </c>
      <c r="U4335">
        <v>-3.3180689999999999</v>
      </c>
      <c r="V4335">
        <v>0.2030334</v>
      </c>
      <c r="W4335">
        <v>0.34678979999999998</v>
      </c>
      <c r="X4335">
        <v>0.91570430000000003</v>
      </c>
      <c r="Y4335">
        <v>0.37558550000000002</v>
      </c>
      <c r="Z4335">
        <v>8.8807490000000003E-2</v>
      </c>
      <c r="AA4335">
        <v>0.92252299999999998</v>
      </c>
      <c r="AB4335">
        <v>27</v>
      </c>
      <c r="AC4335">
        <v>1.7830000000000099</v>
      </c>
      <c r="AD4335">
        <v>-1.0980459812779999</v>
      </c>
      <c r="AE4335">
        <v>-6.7644999999999902</v>
      </c>
      <c r="AF4335">
        <v>2.64339323253497</v>
      </c>
      <c r="AG4335">
        <v>-1.0980459812779999</v>
      </c>
      <c r="AH4335">
        <v>6.2948303146409401</v>
      </c>
      <c r="AI4335">
        <v>99.136694302094796</v>
      </c>
      <c r="AJ4335">
        <v>67.220963898542607</v>
      </c>
      <c r="AK4335">
        <v>6.9150648188527502</v>
      </c>
      <c r="AL4335">
        <v>69.708910812673196</v>
      </c>
      <c r="AM4335">
        <v>77.498410980261596</v>
      </c>
      <c r="AN4335">
        <v>1.0000000459690399</v>
      </c>
    </row>
    <row r="4336" spans="1:40" x14ac:dyDescent="0.25">
      <c r="A4336" t="str">
        <f>"20190304164937405"</f>
        <v>20190304164937405</v>
      </c>
      <c r="B4336" t="str">
        <f>"1551689377399964"</f>
        <v>1551689377399964</v>
      </c>
      <c r="C4336" t="s">
        <v>40</v>
      </c>
      <c r="D4336">
        <v>4.7766979999999997</v>
      </c>
      <c r="E4336">
        <v>0.59949919999999901</v>
      </c>
      <c r="F4336" t="s">
        <v>42</v>
      </c>
      <c r="G4336">
        <v>-190.4913</v>
      </c>
      <c r="H4336" s="1">
        <v>-3.8229159999999999E-6</v>
      </c>
      <c r="I4336">
        <v>198.19569999999999</v>
      </c>
      <c r="J4336">
        <v>-192.17509999999999</v>
      </c>
      <c r="K4336">
        <v>1.097977</v>
      </c>
      <c r="L4336">
        <v>205.06049999999999</v>
      </c>
      <c r="M4336">
        <v>0.59481700000000004</v>
      </c>
      <c r="N4336">
        <v>-1.341256E-2</v>
      </c>
      <c r="O4336">
        <v>-0.8037493</v>
      </c>
      <c r="P4336">
        <v>0.39203670000000002</v>
      </c>
      <c r="Q4336">
        <v>0.34130519999999998</v>
      </c>
      <c r="R4336">
        <v>-0.85429390000000005</v>
      </c>
      <c r="S4336">
        <v>0.86372380000000004</v>
      </c>
      <c r="T4336">
        <v>-0.51555439999999997</v>
      </c>
      <c r="U4336">
        <v>-3.3328859999999998</v>
      </c>
      <c r="V4336">
        <v>0.20382510000000001</v>
      </c>
      <c r="W4336">
        <v>0.34752270000000002</v>
      </c>
      <c r="X4336">
        <v>0.91525040000000002</v>
      </c>
      <c r="Y4336">
        <v>0.37472810000000001</v>
      </c>
      <c r="Z4336">
        <v>8.9842690000000003E-2</v>
      </c>
      <c r="AA4336">
        <v>0.92277149999999997</v>
      </c>
      <c r="AB4336">
        <v>27</v>
      </c>
      <c r="AC4336">
        <v>1.68379999999999</v>
      </c>
      <c r="AD4336">
        <v>-1.097980822916</v>
      </c>
      <c r="AE4336">
        <v>-6.8647999999999998</v>
      </c>
      <c r="AF4336">
        <v>2.6658642270825799</v>
      </c>
      <c r="AG4336">
        <v>-1.097980822916</v>
      </c>
      <c r="AH4336">
        <v>6.3661017527626802</v>
      </c>
      <c r="AI4336">
        <v>99.039288009677705</v>
      </c>
      <c r="AJ4336">
        <v>67.278049157307606</v>
      </c>
      <c r="AK4336">
        <v>6.9885367203197797</v>
      </c>
      <c r="AL4336">
        <v>69.664132892869503</v>
      </c>
      <c r="AM4336">
        <v>77.445177929796401</v>
      </c>
      <c r="AN4336">
        <v>0.99999999655272998</v>
      </c>
    </row>
    <row r="4337" spans="1:40" x14ac:dyDescent="0.25">
      <c r="A4337" t="str">
        <f>"20190304164937428"</f>
        <v>20190304164937428</v>
      </c>
      <c r="B4337" t="str">
        <f>"1551689377420459"</f>
        <v>1551689377420459</v>
      </c>
      <c r="C4337" t="s">
        <v>40</v>
      </c>
      <c r="D4337">
        <v>4.8311099999999998</v>
      </c>
      <c r="E4337">
        <v>0.59887979999999996</v>
      </c>
      <c r="F4337" t="s">
        <v>42</v>
      </c>
      <c r="G4337">
        <v>-190.46129999999999</v>
      </c>
      <c r="H4337" s="1">
        <v>-3.7172210000000001E-6</v>
      </c>
      <c r="I4337">
        <v>197.96789999999999</v>
      </c>
      <c r="J4337">
        <v>-192.02539999999999</v>
      </c>
      <c r="K4337">
        <v>1.097933</v>
      </c>
      <c r="L4337">
        <v>204.8271</v>
      </c>
      <c r="M4337">
        <v>0.58029249999999999</v>
      </c>
      <c r="N4337">
        <v>-1.333788E-2</v>
      </c>
      <c r="O4337">
        <v>-0.814299</v>
      </c>
      <c r="P4337">
        <v>0.37737179999999998</v>
      </c>
      <c r="Q4337">
        <v>0.34180670000000002</v>
      </c>
      <c r="R4337">
        <v>-0.86067359999999904</v>
      </c>
      <c r="S4337">
        <v>0.80885309999999999</v>
      </c>
      <c r="T4337">
        <v>-0.51821740000000005</v>
      </c>
      <c r="U4337">
        <v>-3.3475039999999998</v>
      </c>
      <c r="V4337">
        <v>0.20296310000000001</v>
      </c>
      <c r="W4337">
        <v>0.34796890000000003</v>
      </c>
      <c r="X4337">
        <v>0.91527239999999999</v>
      </c>
      <c r="Y4337">
        <v>0.37335459999999998</v>
      </c>
      <c r="Z4337">
        <v>9.235923E-2</v>
      </c>
      <c r="AA4337">
        <v>0.92307969999999895</v>
      </c>
      <c r="AB4337">
        <v>27</v>
      </c>
      <c r="AC4337">
        <v>1.5640999999999901</v>
      </c>
      <c r="AD4337">
        <v>-1.0979367172209999</v>
      </c>
      <c r="AE4337">
        <v>-6.8592000000000102</v>
      </c>
      <c r="AF4337">
        <v>2.6425771568298502</v>
      </c>
      <c r="AG4337">
        <v>-1.0979367172209999</v>
      </c>
      <c r="AH4337">
        <v>6.33925800183105</v>
      </c>
      <c r="AI4337">
        <v>99.082605614702004</v>
      </c>
      <c r="AJ4337">
        <v>67.370742843899095</v>
      </c>
      <c r="AK4337">
        <v>6.9552046036475499</v>
      </c>
      <c r="AL4337">
        <v>69.636865193032406</v>
      </c>
      <c r="AM4337">
        <v>77.496891733570706</v>
      </c>
      <c r="AN4337">
        <v>0.99999997076528901</v>
      </c>
    </row>
    <row r="4338" spans="1:40" x14ac:dyDescent="0.25">
      <c r="A4338" t="str">
        <f>"20190304164937442"</f>
        <v>20190304164937442</v>
      </c>
      <c r="B4338" t="str">
        <f>"1551689377439980"</f>
        <v>1551689377439980</v>
      </c>
      <c r="C4338" t="s">
        <v>40</v>
      </c>
      <c r="D4338">
        <v>4.5002149999999999</v>
      </c>
      <c r="E4338">
        <v>0.59916389999999997</v>
      </c>
      <c r="F4338" t="s">
        <v>42</v>
      </c>
      <c r="G4338">
        <v>-190.43520000000001</v>
      </c>
      <c r="H4338" s="1">
        <v>-3.6086539999999999E-6</v>
      </c>
      <c r="I4338">
        <v>197.73099999999999</v>
      </c>
      <c r="J4338">
        <v>-191.92949999999999</v>
      </c>
      <c r="K4338">
        <v>1.097909</v>
      </c>
      <c r="L4338">
        <v>204.6728</v>
      </c>
      <c r="M4338">
        <v>0.57067900000000005</v>
      </c>
      <c r="N4338">
        <v>-1.3286259999999999E-2</v>
      </c>
      <c r="O4338">
        <v>-0.82106559999999995</v>
      </c>
      <c r="P4338">
        <v>0.36793799999999999</v>
      </c>
      <c r="Q4338">
        <v>0.34193600000000002</v>
      </c>
      <c r="R4338">
        <v>-0.86469719999999906</v>
      </c>
      <c r="S4338">
        <v>0.7533569</v>
      </c>
      <c r="T4338">
        <v>-0.52016579999999901</v>
      </c>
      <c r="U4338">
        <v>-3.3619080000000001</v>
      </c>
      <c r="V4338">
        <v>0.20219129999999999</v>
      </c>
      <c r="W4338">
        <v>0.3480704</v>
      </c>
      <c r="X4338">
        <v>0.91540469999999896</v>
      </c>
      <c r="Y4338">
        <v>0.37781520000000002</v>
      </c>
      <c r="Z4338">
        <v>9.3737790000000001E-2</v>
      </c>
      <c r="AA4338">
        <v>0.92112369999999999</v>
      </c>
      <c r="AB4338">
        <v>27</v>
      </c>
      <c r="AC4338">
        <v>1.49429999999998</v>
      </c>
      <c r="AD4338">
        <v>-1.0979126086540001</v>
      </c>
      <c r="AE4338">
        <v>-6.9417999999999997</v>
      </c>
      <c r="AF4338">
        <v>2.6710078915001101</v>
      </c>
      <c r="AG4338">
        <v>-1.0979126086540001</v>
      </c>
      <c r="AH4338">
        <v>6.4000147646293799</v>
      </c>
      <c r="AI4338">
        <v>98.996080503391298</v>
      </c>
      <c r="AJ4338">
        <v>67.347074555226698</v>
      </c>
      <c r="AK4338">
        <v>7.0213876292490403</v>
      </c>
      <c r="AL4338">
        <v>69.630663463829904</v>
      </c>
      <c r="AM4338">
        <v>77.544694111491594</v>
      </c>
      <c r="AN4338">
        <v>1.0000000449669599</v>
      </c>
    </row>
    <row r="4339" spans="1:40" x14ac:dyDescent="0.25">
      <c r="A4339" t="str">
        <f>"20190304164937456"</f>
        <v>20190304164937456</v>
      </c>
      <c r="B4339" t="str">
        <f>"1551689377450716"</f>
        <v>1551689377450716</v>
      </c>
      <c r="C4339" t="s">
        <v>40</v>
      </c>
      <c r="D4339">
        <v>4.8441749999999999</v>
      </c>
      <c r="E4339">
        <v>0.59891419999999995</v>
      </c>
      <c r="F4339" t="s">
        <v>42</v>
      </c>
      <c r="G4339">
        <v>-190.41079999999999</v>
      </c>
      <c r="H4339" s="1">
        <v>-3.488195E-6</v>
      </c>
      <c r="I4339">
        <v>197.46539999999999</v>
      </c>
      <c r="J4339">
        <v>-191.8391</v>
      </c>
      <c r="K4339">
        <v>1.0978889999999999</v>
      </c>
      <c r="L4339">
        <v>204.52379999999999</v>
      </c>
      <c r="M4339">
        <v>0.56139289999999997</v>
      </c>
      <c r="N4339">
        <v>-1.32345E-2</v>
      </c>
      <c r="O4339">
        <v>-0.8274437</v>
      </c>
      <c r="P4339">
        <v>0.35839159999999998</v>
      </c>
      <c r="Q4339">
        <v>0.3420087</v>
      </c>
      <c r="R4339">
        <v>-0.86866889999999997</v>
      </c>
      <c r="S4339">
        <v>0.71020509999999903</v>
      </c>
      <c r="T4339">
        <v>-0.51339820000000003</v>
      </c>
      <c r="U4339">
        <v>-3.3702549999999998</v>
      </c>
      <c r="V4339">
        <v>0.20195160000000001</v>
      </c>
      <c r="W4339">
        <v>0.34809899999999999</v>
      </c>
      <c r="X4339">
        <v>0.91544669999999895</v>
      </c>
      <c r="Y4339">
        <v>0.37913180000000002</v>
      </c>
      <c r="Z4339">
        <v>9.3538670000000004E-2</v>
      </c>
      <c r="AA4339">
        <v>0.9206029</v>
      </c>
      <c r="AB4339">
        <v>27</v>
      </c>
      <c r="AC4339">
        <v>1.4282999999999999</v>
      </c>
      <c r="AD4339">
        <v>-1.0978924881949901</v>
      </c>
      <c r="AE4339">
        <v>-7.0583999999999998</v>
      </c>
      <c r="AF4339">
        <v>2.7177738613713398</v>
      </c>
      <c r="AG4339">
        <v>-1.0978924881949901</v>
      </c>
      <c r="AH4339">
        <v>6.4919593587786597</v>
      </c>
      <c r="AI4339">
        <v>98.866535878505402</v>
      </c>
      <c r="AJ4339">
        <v>67.284014538065094</v>
      </c>
      <c r="AK4339">
        <v>7.1230049131825099</v>
      </c>
      <c r="AL4339">
        <v>69.628914780731805</v>
      </c>
      <c r="AM4339">
        <v>77.559552998852894</v>
      </c>
      <c r="AN4339">
        <v>1.0000000115422201</v>
      </c>
    </row>
    <row r="4340" spans="1:40" x14ac:dyDescent="0.25">
      <c r="A4340" t="str">
        <f>"20190304164937471"</f>
        <v>20190304164937471</v>
      </c>
      <c r="B4340" t="str">
        <f>"1551689377460476"</f>
        <v>1551689377460476</v>
      </c>
      <c r="C4340" t="s">
        <v>40</v>
      </c>
      <c r="D4340">
        <v>4.788081</v>
      </c>
      <c r="E4340">
        <v>0.59874669999999997</v>
      </c>
      <c r="F4340" t="s">
        <v>42</v>
      </c>
      <c r="G4340">
        <v>-190.4015</v>
      </c>
      <c r="H4340" s="1">
        <v>-3.4201270000000002E-6</v>
      </c>
      <c r="I4340">
        <v>197.3125</v>
      </c>
      <c r="J4340">
        <v>-191.74870000000001</v>
      </c>
      <c r="K4340">
        <v>1.0978730000000001</v>
      </c>
      <c r="L4340">
        <v>204.37039999999999</v>
      </c>
      <c r="M4340">
        <v>0.55184979999999995</v>
      </c>
      <c r="N4340">
        <v>-1.317757E-2</v>
      </c>
      <c r="O4340">
        <v>-0.83383949999999996</v>
      </c>
      <c r="P4340">
        <v>0.34892260000000003</v>
      </c>
      <c r="Q4340">
        <v>0.34208840000000001</v>
      </c>
      <c r="R4340">
        <v>-0.87248419999999904</v>
      </c>
      <c r="S4340">
        <v>0.67346189999999995</v>
      </c>
      <c r="T4340">
        <v>-0.51431930000000003</v>
      </c>
      <c r="U4340">
        <v>-3.3782199999999998</v>
      </c>
      <c r="V4340">
        <v>0.20137440000000001</v>
      </c>
      <c r="W4340">
        <v>0.34814420000000001</v>
      </c>
      <c r="X4340">
        <v>0.9155567</v>
      </c>
      <c r="Y4340">
        <v>0.37857610000000003</v>
      </c>
      <c r="Z4340">
        <v>9.4952549999999997E-2</v>
      </c>
      <c r="AA4340">
        <v>0.92068680000000003</v>
      </c>
      <c r="AB4340">
        <v>27</v>
      </c>
      <c r="AC4340">
        <v>1.3472000000000099</v>
      </c>
      <c r="AD4340">
        <v>-1.0978764201269999</v>
      </c>
      <c r="AE4340">
        <v>-7.0578999999999796</v>
      </c>
      <c r="AF4340">
        <v>2.7085583435396101</v>
      </c>
      <c r="AG4340">
        <v>-1.0978764201269999</v>
      </c>
      <c r="AH4340">
        <v>6.4779481976152899</v>
      </c>
      <c r="AI4340">
        <v>98.886889721159804</v>
      </c>
      <c r="AJ4340">
        <v>67.309230055197901</v>
      </c>
      <c r="AK4340">
        <v>7.1067175112857903</v>
      </c>
      <c r="AL4340">
        <v>69.626153070744706</v>
      </c>
      <c r="AM4340">
        <v>77.595451099395305</v>
      </c>
      <c r="AN4340">
        <v>1.0000000519419401</v>
      </c>
    </row>
    <row r="4341" spans="1:40" x14ac:dyDescent="0.25">
      <c r="A4341" t="str">
        <f>"20190304164937488"</f>
        <v>20190304164937488</v>
      </c>
      <c r="B4341" t="str">
        <f>"1551689377479996"</f>
        <v>1551689377479996</v>
      </c>
      <c r="C4341" t="s">
        <v>40</v>
      </c>
      <c r="D4341">
        <v>4.8145259999999999</v>
      </c>
      <c r="E4341">
        <v>0.59850669999999995</v>
      </c>
      <c r="F4341" t="s">
        <v>42</v>
      </c>
      <c r="G4341">
        <v>-190.39080000000001</v>
      </c>
      <c r="H4341" s="1">
        <v>-3.345654E-6</v>
      </c>
      <c r="I4341">
        <v>197.1455</v>
      </c>
      <c r="J4341">
        <v>-191.64500000000001</v>
      </c>
      <c r="K4341">
        <v>1.0978540000000001</v>
      </c>
      <c r="L4341">
        <v>204.1893</v>
      </c>
      <c r="M4341">
        <v>0.5405993</v>
      </c>
      <c r="N4341">
        <v>-1.3106720000000001E-2</v>
      </c>
      <c r="O4341">
        <v>-0.84117799999999998</v>
      </c>
      <c r="P4341">
        <v>0.337207599999999</v>
      </c>
      <c r="Q4341">
        <v>0.3422732</v>
      </c>
      <c r="R4341">
        <v>-0.87700650000000002</v>
      </c>
      <c r="S4341">
        <v>0.63635249999999999</v>
      </c>
      <c r="T4341">
        <v>-0.51448479999999996</v>
      </c>
      <c r="U4341">
        <v>-3.3856959999999998</v>
      </c>
      <c r="V4341">
        <v>0.2012998</v>
      </c>
      <c r="W4341">
        <v>0.34826659999999998</v>
      </c>
      <c r="X4341">
        <v>0.91552650000000002</v>
      </c>
      <c r="Y4341">
        <v>0.37629390000000001</v>
      </c>
      <c r="Z4341">
        <v>9.6495049999999999E-2</v>
      </c>
      <c r="AA4341">
        <v>0.92146159999999999</v>
      </c>
      <c r="AB4341">
        <v>27</v>
      </c>
      <c r="AC4341">
        <v>1.25419999999999</v>
      </c>
      <c r="AD4341">
        <v>-1.0978573456539999</v>
      </c>
      <c r="AE4341">
        <v>-7.0438000000000001</v>
      </c>
      <c r="AF4341">
        <v>2.6897705169574602</v>
      </c>
      <c r="AG4341">
        <v>-1.0978573456539999</v>
      </c>
      <c r="AH4341">
        <v>6.4517620110405902</v>
      </c>
      <c r="AI4341">
        <v>98.926020780380995</v>
      </c>
      <c r="AJ4341">
        <v>67.368510604826596</v>
      </c>
      <c r="AK4341">
        <v>7.0756900181117803</v>
      </c>
      <c r="AL4341">
        <v>69.618670843937096</v>
      </c>
      <c r="AM4341">
        <v>77.599507856209897</v>
      </c>
      <c r="AN4341">
        <v>1.00000000317892</v>
      </c>
    </row>
    <row r="4342" spans="1:40" x14ac:dyDescent="0.25">
      <c r="A4342" t="str">
        <f>"20190304164937502"</f>
        <v>20190304164937502</v>
      </c>
      <c r="B4342" t="str">
        <f>"1551689377489756"</f>
        <v>1551689377489756</v>
      </c>
      <c r="C4342" t="s">
        <v>40</v>
      </c>
      <c r="D4342">
        <v>4.8368799999999998</v>
      </c>
      <c r="E4342">
        <v>0.59824650000000001</v>
      </c>
      <c r="F4342" t="s">
        <v>42</v>
      </c>
      <c r="G4342">
        <v>-190.3819</v>
      </c>
      <c r="H4342" s="1">
        <v>-3.2631129999999999E-6</v>
      </c>
      <c r="I4342">
        <v>196.95859999999999</v>
      </c>
      <c r="J4342">
        <v>-191.5643</v>
      </c>
      <c r="K4342">
        <v>1.097845</v>
      </c>
      <c r="L4342">
        <v>204.0445</v>
      </c>
      <c r="M4342">
        <v>0.53161080000000005</v>
      </c>
      <c r="N4342">
        <v>-1.304512E-2</v>
      </c>
      <c r="O4342">
        <v>-0.84688839999999999</v>
      </c>
      <c r="P4342">
        <v>0.32846209999999998</v>
      </c>
      <c r="Q4342">
        <v>0.34235680000000002</v>
      </c>
      <c r="R4342">
        <v>-0.88028680000000004</v>
      </c>
      <c r="S4342">
        <v>0.59288019999999997</v>
      </c>
      <c r="T4342">
        <v>-0.51530500000000001</v>
      </c>
      <c r="U4342">
        <v>-3.393875</v>
      </c>
      <c r="V4342">
        <v>0.20063890000000001</v>
      </c>
      <c r="W4342">
        <v>0.3483176</v>
      </c>
      <c r="X4342">
        <v>0.91565220000000003</v>
      </c>
      <c r="Y4342">
        <v>0.37827159999999999</v>
      </c>
      <c r="Z4342">
        <v>9.7668939999999996E-2</v>
      </c>
      <c r="AA4342">
        <v>0.92052780000000001</v>
      </c>
      <c r="AB4342">
        <v>27</v>
      </c>
      <c r="AC4342">
        <v>1.1823999999999999</v>
      </c>
      <c r="AD4342">
        <v>-1.097848263113</v>
      </c>
      <c r="AE4342">
        <v>-7.0858999999999996</v>
      </c>
      <c r="AF4342">
        <v>2.7026956070078501</v>
      </c>
      <c r="AG4342">
        <v>-1.097848263113</v>
      </c>
      <c r="AH4342">
        <v>6.4787987603967903</v>
      </c>
      <c r="AI4342">
        <v>98.888502261203797</v>
      </c>
      <c r="AJ4342">
        <v>67.356055333747605</v>
      </c>
      <c r="AK4342">
        <v>7.1052563451770503</v>
      </c>
      <c r="AL4342">
        <v>69.615554252439495</v>
      </c>
      <c r="AM4342">
        <v>77.640611900294203</v>
      </c>
      <c r="AN4342">
        <v>1.0000000350139</v>
      </c>
    </row>
    <row r="4343" spans="1:40" x14ac:dyDescent="0.25">
      <c r="A4343" t="str">
        <f>"20190304164937517"</f>
        <v>20190304164937517</v>
      </c>
      <c r="B4343" t="str">
        <f>"1551689377510251"</f>
        <v>1551689377510251</v>
      </c>
      <c r="C4343" t="s">
        <v>40</v>
      </c>
      <c r="D4343">
        <v>4.8597270000000004</v>
      </c>
      <c r="E4343">
        <v>0.59776409999999902</v>
      </c>
      <c r="F4343" t="s">
        <v>42</v>
      </c>
      <c r="G4343">
        <v>-190.37309999999999</v>
      </c>
      <c r="H4343" s="1">
        <v>-3.2012960000000001E-6</v>
      </c>
      <c r="I4343">
        <v>196.82</v>
      </c>
      <c r="J4343">
        <v>-191.47239999999999</v>
      </c>
      <c r="K4343">
        <v>1.0978460000000001</v>
      </c>
      <c r="L4343">
        <v>203.8759</v>
      </c>
      <c r="M4343">
        <v>0.52115769999999995</v>
      </c>
      <c r="N4343">
        <v>-1.2967279999999999E-2</v>
      </c>
      <c r="O4343">
        <v>-0.85336209999999901</v>
      </c>
      <c r="P4343">
        <v>0.31999529999999998</v>
      </c>
      <c r="Q4343">
        <v>0.34283720000000001</v>
      </c>
      <c r="R4343">
        <v>-0.88321340000000004</v>
      </c>
      <c r="S4343">
        <v>0.56054689999999996</v>
      </c>
      <c r="T4343">
        <v>-0.51662779999999997</v>
      </c>
      <c r="U4343">
        <v>-3.3997039999999998</v>
      </c>
      <c r="V4343">
        <v>0.1980672</v>
      </c>
      <c r="W4343">
        <v>0.34881459999999997</v>
      </c>
      <c r="X4343">
        <v>0.91602280000000003</v>
      </c>
      <c r="Y4343">
        <v>0.37569979999999997</v>
      </c>
      <c r="Z4343">
        <v>9.9333850000000001E-2</v>
      </c>
      <c r="AA4343">
        <v>0.92140250000000001</v>
      </c>
      <c r="AB4343">
        <v>27</v>
      </c>
      <c r="AC4343">
        <v>1.09929999999999</v>
      </c>
      <c r="AD4343">
        <v>-1.0978492012959999</v>
      </c>
      <c r="AE4343">
        <v>-7.0559000000000003</v>
      </c>
      <c r="AF4343">
        <v>2.6761141847595602</v>
      </c>
      <c r="AG4343">
        <v>-1.0978492012959999</v>
      </c>
      <c r="AH4343">
        <v>6.4424295288728297</v>
      </c>
      <c r="AI4343">
        <v>98.943406928481494</v>
      </c>
      <c r="AJ4343">
        <v>67.442540439534497</v>
      </c>
      <c r="AK4343">
        <v>7.0619939275781203</v>
      </c>
      <c r="AL4343">
        <v>69.585172227926705</v>
      </c>
      <c r="AM4343">
        <v>77.799040314256899</v>
      </c>
      <c r="AN4343">
        <v>1.00000000550442</v>
      </c>
    </row>
    <row r="4344" spans="1:40" x14ac:dyDescent="0.25">
      <c r="A4344" t="str">
        <f>"20190304164937531"</f>
        <v>20190304164937531</v>
      </c>
      <c r="B4344" t="str">
        <f>"1551689377520012"</f>
        <v>1551689377520012</v>
      </c>
      <c r="C4344" t="s">
        <v>40</v>
      </c>
      <c r="D4344">
        <v>4.521541</v>
      </c>
      <c r="E4344">
        <v>0.59776409999999902</v>
      </c>
      <c r="F4344" t="s">
        <v>42</v>
      </c>
      <c r="G4344">
        <v>-190.34909999999999</v>
      </c>
      <c r="H4344" s="1">
        <v>-3.114847E-6</v>
      </c>
      <c r="I4344">
        <v>196.63339999999999</v>
      </c>
      <c r="J4344">
        <v>-191.38849999999999</v>
      </c>
      <c r="K4344">
        <v>1.0978460000000001</v>
      </c>
      <c r="L4344">
        <v>203.71690000000001</v>
      </c>
      <c r="M4344">
        <v>0.51132489999999997</v>
      </c>
      <c r="N4344">
        <v>-1.288652E-2</v>
      </c>
      <c r="O4344">
        <v>-0.85929089999999997</v>
      </c>
      <c r="P4344">
        <v>0.31114709999999901</v>
      </c>
      <c r="Q4344">
        <v>0.34288740000000001</v>
      </c>
      <c r="R4344">
        <v>-0.88634990000000002</v>
      </c>
      <c r="S4344">
        <v>0.5282135</v>
      </c>
      <c r="T4344">
        <v>-0.51624479999999995</v>
      </c>
      <c r="U4344">
        <v>-3.4057010000000001</v>
      </c>
      <c r="V4344">
        <v>0.196682</v>
      </c>
      <c r="W4344">
        <v>0.34884229999999999</v>
      </c>
      <c r="X4344">
        <v>0.91631070000000003</v>
      </c>
      <c r="Y4344">
        <v>0.37387340000000002</v>
      </c>
      <c r="Z4344">
        <v>0.1004946</v>
      </c>
      <c r="AA4344">
        <v>0.92201929999999999</v>
      </c>
      <c r="AB4344">
        <v>27</v>
      </c>
      <c r="AC4344">
        <v>1.0394000000000001</v>
      </c>
      <c r="AD4344">
        <v>-1.097849114847</v>
      </c>
      <c r="AE4344">
        <v>-7.0835000000000097</v>
      </c>
      <c r="AF4344">
        <v>2.66635126225311</v>
      </c>
      <c r="AG4344">
        <v>-1.097849114847</v>
      </c>
      <c r="AH4344">
        <v>6.46674456019693</v>
      </c>
      <c r="AI4344">
        <v>98.919839579980007</v>
      </c>
      <c r="AJ4344">
        <v>67.592794273913995</v>
      </c>
      <c r="AK4344">
        <v>7.0805004723907503</v>
      </c>
      <c r="AL4344">
        <v>69.583479267097502</v>
      </c>
      <c r="AM4344">
        <v>77.885533295833895</v>
      </c>
      <c r="AN4344">
        <v>1.00000002916388</v>
      </c>
    </row>
    <row r="4345" spans="1:40" x14ac:dyDescent="0.25">
      <c r="A4345" t="str">
        <f>"20190304164937549"</f>
        <v>20190304164937549</v>
      </c>
      <c r="B4345" t="str">
        <f>"1551689377540511"</f>
        <v>1551689377540511</v>
      </c>
      <c r="C4345" t="s">
        <v>40</v>
      </c>
      <c r="D4345">
        <v>4.8713129999999998</v>
      </c>
      <c r="E4345">
        <v>0.59716429999999998</v>
      </c>
      <c r="F4345" t="s">
        <v>42</v>
      </c>
      <c r="G4345">
        <v>-190.34049999999999</v>
      </c>
      <c r="H4345" s="1">
        <v>-3.0334649999999999E-6</v>
      </c>
      <c r="I4345">
        <v>196.44900000000001</v>
      </c>
      <c r="J4345">
        <v>-191.29050000000001</v>
      </c>
      <c r="K4345">
        <v>1.0978520000000001</v>
      </c>
      <c r="L4345">
        <v>203.5256</v>
      </c>
      <c r="M4345">
        <v>0.4995346</v>
      </c>
      <c r="N4345">
        <v>-1.278521E-2</v>
      </c>
      <c r="O4345">
        <v>-0.86619959999999996</v>
      </c>
      <c r="P4345">
        <v>0.304255</v>
      </c>
      <c r="Q4345">
        <v>0.34434609999999999</v>
      </c>
      <c r="R4345">
        <v>-0.8881751</v>
      </c>
      <c r="S4345">
        <v>0.49189759999999999</v>
      </c>
      <c r="T4345">
        <v>-0.515304599999999</v>
      </c>
      <c r="U4345">
        <v>-3.411362</v>
      </c>
      <c r="V4345">
        <v>0.19099340000000001</v>
      </c>
      <c r="W4345">
        <v>0.35039870000000001</v>
      </c>
      <c r="X4345">
        <v>0.91691999999999996</v>
      </c>
      <c r="Y4345">
        <v>0.37105949999999999</v>
      </c>
      <c r="Z4345">
        <v>0.1018047</v>
      </c>
      <c r="AA4345">
        <v>0.92301169999999999</v>
      </c>
      <c r="AB4345">
        <v>27</v>
      </c>
      <c r="AC4345">
        <v>0.95000000000001705</v>
      </c>
      <c r="AD4345">
        <v>-1.0978550334649999</v>
      </c>
      <c r="AE4345">
        <v>-7.0765999999999796</v>
      </c>
      <c r="AF4345">
        <v>2.6496945920775801</v>
      </c>
      <c r="AG4345">
        <v>-1.0978550334649999</v>
      </c>
      <c r="AH4345">
        <v>6.4523006324138201</v>
      </c>
      <c r="AI4345">
        <v>98.944667127985895</v>
      </c>
      <c r="AJ4345">
        <v>67.674059673314801</v>
      </c>
      <c r="AK4345">
        <v>7.0610445797231298</v>
      </c>
      <c r="AL4345">
        <v>69.488296831524906</v>
      </c>
      <c r="AM4345">
        <v>78.2336035391357</v>
      </c>
      <c r="AN4345">
        <v>1.00000000710262</v>
      </c>
    </row>
    <row r="4346" spans="1:40" x14ac:dyDescent="0.25">
      <c r="A4346" t="str">
        <f>"20190304164937571"</f>
        <v>20190304164937571</v>
      </c>
      <c r="B4346" t="str">
        <f>"1551689377560030"</f>
        <v>1551689377560030</v>
      </c>
      <c r="C4346" t="s">
        <v>40</v>
      </c>
      <c r="D4346">
        <v>4.5634860000000002</v>
      </c>
      <c r="E4346">
        <v>0.59759300000000004</v>
      </c>
      <c r="F4346" t="s">
        <v>42</v>
      </c>
      <c r="G4346">
        <v>-190.2954</v>
      </c>
      <c r="H4346" s="1">
        <v>-2.9076910000000001E-6</v>
      </c>
      <c r="I4346">
        <v>196.18379999999999</v>
      </c>
      <c r="J4346">
        <v>-191.16919999999999</v>
      </c>
      <c r="K4346">
        <v>1.097858</v>
      </c>
      <c r="L4346">
        <v>203.2801</v>
      </c>
      <c r="M4346">
        <v>0.48443789999999998</v>
      </c>
      <c r="N4346">
        <v>-1.26494E-2</v>
      </c>
      <c r="O4346">
        <v>-0.87473429999999996</v>
      </c>
      <c r="P4346">
        <v>0.29310720000000001</v>
      </c>
      <c r="Q4346">
        <v>0.34510420000000003</v>
      </c>
      <c r="R4346">
        <v>-0.89162299999999906</v>
      </c>
      <c r="S4346">
        <v>0.46315000000000001</v>
      </c>
      <c r="T4346">
        <v>-0.51098169999999998</v>
      </c>
      <c r="U4346">
        <v>-3.41716</v>
      </c>
      <c r="V4346">
        <v>0.18641079999999999</v>
      </c>
      <c r="W4346">
        <v>0.35119040000000001</v>
      </c>
      <c r="X4346">
        <v>0.91756000000000004</v>
      </c>
      <c r="Y4346">
        <v>0.36282229999999999</v>
      </c>
      <c r="Z4346">
        <v>0.1028925</v>
      </c>
      <c r="AA4346">
        <v>0.92616039999999999</v>
      </c>
      <c r="AB4346">
        <v>27</v>
      </c>
      <c r="AC4346">
        <v>0.87379999999998803</v>
      </c>
      <c r="AD4346">
        <v>-1.097860907691</v>
      </c>
      <c r="AE4346">
        <v>-7.09630000000001</v>
      </c>
      <c r="AF4346">
        <v>2.6120033397317299</v>
      </c>
      <c r="AG4346">
        <v>-1.097860907691</v>
      </c>
      <c r="AH4346">
        <v>6.4784636747051296</v>
      </c>
      <c r="AI4346">
        <v>98.932080901943493</v>
      </c>
      <c r="AJ4346">
        <v>68.0415690654049</v>
      </c>
      <c r="AK4346">
        <v>7.0709512516973101</v>
      </c>
      <c r="AL4346">
        <v>69.4398578094209</v>
      </c>
      <c r="AM4346">
        <v>78.5161241221886</v>
      </c>
      <c r="AN4346">
        <v>1.0000000185044</v>
      </c>
    </row>
    <row r="4347" spans="1:40" x14ac:dyDescent="0.25">
      <c r="A4347" t="str">
        <f>"20190304164937596"</f>
        <v>20190304164937596</v>
      </c>
      <c r="B4347" t="str">
        <f>"1551689377590284"</f>
        <v>1551689377590284</v>
      </c>
      <c r="C4347" t="s">
        <v>40</v>
      </c>
      <c r="D4347">
        <v>4.9145269999999996</v>
      </c>
      <c r="E4347">
        <v>0.59657590000000005</v>
      </c>
      <c r="F4347" t="s">
        <v>42</v>
      </c>
      <c r="G4347">
        <v>-190.26</v>
      </c>
      <c r="H4347" s="1">
        <v>-2.698498E-6</v>
      </c>
      <c r="I4347">
        <v>195.71809999999999</v>
      </c>
      <c r="J4347">
        <v>-191.04349999999999</v>
      </c>
      <c r="K4347">
        <v>1.0978589999999999</v>
      </c>
      <c r="L4347">
        <v>203.01439999999999</v>
      </c>
      <c r="M4347">
        <v>0.46815639999999997</v>
      </c>
      <c r="N4347">
        <v>-1.2497080000000001E-2</v>
      </c>
      <c r="O4347">
        <v>-0.88355740000000005</v>
      </c>
      <c r="P4347">
        <v>0.28024490000000002</v>
      </c>
      <c r="Q4347">
        <v>0.34643610000000002</v>
      </c>
      <c r="R4347">
        <v>-0.89523489999999994</v>
      </c>
      <c r="S4347">
        <v>0.41140749999999998</v>
      </c>
      <c r="T4347">
        <v>-0.49676629999999999</v>
      </c>
      <c r="U4347">
        <v>-3.4216769999999999</v>
      </c>
      <c r="V4347">
        <v>0.18238070000000001</v>
      </c>
      <c r="W4347">
        <v>0.352520099999999</v>
      </c>
      <c r="X4347">
        <v>0.91785989999999995</v>
      </c>
      <c r="Y4347">
        <v>0.35951709999999998</v>
      </c>
      <c r="Z4347">
        <v>0.1017107</v>
      </c>
      <c r="AA4347">
        <v>0.92757880000000004</v>
      </c>
      <c r="AB4347">
        <v>27</v>
      </c>
      <c r="AC4347">
        <v>0.78350000000000297</v>
      </c>
      <c r="AD4347">
        <v>-1.0978616984980001</v>
      </c>
      <c r="AE4347">
        <v>-7.2962999999999996</v>
      </c>
      <c r="AF4347">
        <v>2.66412460147387</v>
      </c>
      <c r="AG4347">
        <v>-1.0978616984980001</v>
      </c>
      <c r="AH4347">
        <v>6.6648547764748898</v>
      </c>
      <c r="AI4347">
        <v>98.696377252242101</v>
      </c>
      <c r="AJ4347">
        <v>68.212059768976502</v>
      </c>
      <c r="AK4347">
        <v>7.2610708158444099</v>
      </c>
      <c r="AL4347">
        <v>69.3584659402174</v>
      </c>
      <c r="AM4347">
        <v>78.761588749013995</v>
      </c>
      <c r="AN4347">
        <v>0.99999996833225402</v>
      </c>
    </row>
    <row r="4348" spans="1:40" x14ac:dyDescent="0.25">
      <c r="A4348" t="str">
        <f>"20190304164937617"</f>
        <v>20190304164937617</v>
      </c>
      <c r="B4348" t="str">
        <f>"1551689377609803"</f>
        <v>1551689377609803</v>
      </c>
      <c r="C4348" t="s">
        <v>40</v>
      </c>
      <c r="D4348">
        <v>4.5948739999999999</v>
      </c>
      <c r="E4348">
        <v>0.59676660000000004</v>
      </c>
      <c r="F4348" t="s">
        <v>42</v>
      </c>
      <c r="G4348">
        <v>-190.2287</v>
      </c>
      <c r="H4348" s="1">
        <v>-2.5855979999999998E-6</v>
      </c>
      <c r="I4348">
        <v>195.4744</v>
      </c>
      <c r="J4348">
        <v>-190.93029999999999</v>
      </c>
      <c r="K4348">
        <v>1.097869</v>
      </c>
      <c r="L4348">
        <v>202.76300000000001</v>
      </c>
      <c r="M4348">
        <v>0.45281569999999999</v>
      </c>
      <c r="N4348">
        <v>-1.2351880000000001E-2</v>
      </c>
      <c r="O4348">
        <v>-0.8915187</v>
      </c>
      <c r="P4348">
        <v>0.26856859999999999</v>
      </c>
      <c r="Q4348">
        <v>0.34812569999999998</v>
      </c>
      <c r="R4348">
        <v>-0.89815349999999905</v>
      </c>
      <c r="S4348">
        <v>0.37048340000000002</v>
      </c>
      <c r="T4348">
        <v>-0.49916840000000001</v>
      </c>
      <c r="U4348">
        <v>-3.4282680000000001</v>
      </c>
      <c r="V4348">
        <v>0.17818229999999999</v>
      </c>
      <c r="W4348">
        <v>0.35421390000000003</v>
      </c>
      <c r="X4348">
        <v>0.91803250000000003</v>
      </c>
      <c r="Y4348">
        <v>0.35456399999999999</v>
      </c>
      <c r="Z4348">
        <v>0.1040035</v>
      </c>
      <c r="AA4348">
        <v>0.92922959999999999</v>
      </c>
      <c r="AB4348">
        <v>27</v>
      </c>
      <c r="AC4348">
        <v>0.70159999999998401</v>
      </c>
      <c r="AD4348">
        <v>-1.0978715855979999</v>
      </c>
      <c r="AE4348">
        <v>-7.2885999999999997</v>
      </c>
      <c r="AF4348">
        <v>2.6162908073150599</v>
      </c>
      <c r="AG4348">
        <v>-1.0978715855979999</v>
      </c>
      <c r="AH4348">
        <v>6.6662755954952804</v>
      </c>
      <c r="AI4348">
        <v>98.715938046569804</v>
      </c>
      <c r="AJ4348">
        <v>68.571648779470493</v>
      </c>
      <c r="AK4348">
        <v>7.2449658330457796</v>
      </c>
      <c r="AL4348">
        <v>69.254727152059701</v>
      </c>
      <c r="AM4348">
        <v>79.015946241798503</v>
      </c>
      <c r="AN4348">
        <v>1.00000004502137</v>
      </c>
    </row>
    <row r="4349" spans="1:40" x14ac:dyDescent="0.25">
      <c r="A4349" t="str">
        <f>"20190304164937639"</f>
        <v>20190304164937639</v>
      </c>
      <c r="B4349" t="str">
        <f>"1551689377630300"</f>
        <v>1551689377630300</v>
      </c>
      <c r="C4349" t="s">
        <v>40</v>
      </c>
      <c r="D4349">
        <v>4.9339589999999998</v>
      </c>
      <c r="E4349">
        <v>0.59608190000000005</v>
      </c>
      <c r="F4349" t="s">
        <v>42</v>
      </c>
      <c r="G4349">
        <v>-190.20240000000001</v>
      </c>
      <c r="H4349" s="1">
        <v>-2.370675E-6</v>
      </c>
      <c r="I4349">
        <v>194.9897</v>
      </c>
      <c r="J4349">
        <v>-190.82429999999999</v>
      </c>
      <c r="K4349">
        <v>1.0978699999999999</v>
      </c>
      <c r="L4349">
        <v>202.51660000000001</v>
      </c>
      <c r="M4349">
        <v>0.43783280000000002</v>
      </c>
      <c r="N4349">
        <v>-1.221182E-2</v>
      </c>
      <c r="O4349">
        <v>-0.89897349999999998</v>
      </c>
      <c r="P4349">
        <v>0.25741700000000001</v>
      </c>
      <c r="Q4349">
        <v>0.3502441</v>
      </c>
      <c r="R4349">
        <v>-0.90059199999999995</v>
      </c>
      <c r="S4349">
        <v>0.32139590000000001</v>
      </c>
      <c r="T4349">
        <v>-0.48471809999999999</v>
      </c>
      <c r="U4349">
        <v>-3.4319609999999998</v>
      </c>
      <c r="V4349">
        <v>0.17386879999999999</v>
      </c>
      <c r="W4349">
        <v>0.3563404</v>
      </c>
      <c r="X4349">
        <v>0.91803659999999998</v>
      </c>
      <c r="Y4349">
        <v>0.35218559999999999</v>
      </c>
      <c r="Z4349">
        <v>0.10232339999999999</v>
      </c>
      <c r="AA4349">
        <v>0.93032000000000004</v>
      </c>
      <c r="AB4349">
        <v>27</v>
      </c>
      <c r="AC4349">
        <v>0.62189999999998202</v>
      </c>
      <c r="AD4349">
        <v>-1.097872370675</v>
      </c>
      <c r="AE4349">
        <v>-7.5269000000000101</v>
      </c>
      <c r="AF4349">
        <v>2.6800249174096402</v>
      </c>
      <c r="AG4349">
        <v>-1.097872370675</v>
      </c>
      <c r="AH4349">
        <v>6.8936284614986398</v>
      </c>
      <c r="AI4349">
        <v>98.443116483192199</v>
      </c>
      <c r="AJ4349">
        <v>68.755491273079997</v>
      </c>
      <c r="AK4349">
        <v>7.4772970159953003</v>
      </c>
      <c r="AL4349">
        <v>69.124383648060103</v>
      </c>
      <c r="AM4349">
        <v>79.275657995595097</v>
      </c>
      <c r="AN4349">
        <v>1.00000001961257</v>
      </c>
    </row>
    <row r="4350" spans="1:40" x14ac:dyDescent="0.25">
      <c r="A4350" t="str">
        <f>"20190304164937661"</f>
        <v>20190304164937661</v>
      </c>
      <c r="B4350" t="str">
        <f>"1551689377649819"</f>
        <v>1551689377649819</v>
      </c>
      <c r="C4350" t="s">
        <v>40</v>
      </c>
      <c r="D4350">
        <v>4.9469760000000003</v>
      </c>
      <c r="E4350">
        <v>0.59523789999999999</v>
      </c>
      <c r="F4350" t="s">
        <v>42</v>
      </c>
      <c r="G4350">
        <v>-190.18090000000001</v>
      </c>
      <c r="H4350" s="1">
        <v>-2.226453E-6</v>
      </c>
      <c r="I4350">
        <v>194.66679999999999</v>
      </c>
      <c r="J4350">
        <v>-190.71850000000001</v>
      </c>
      <c r="K4350">
        <v>1.0978779999999999</v>
      </c>
      <c r="L4350">
        <v>202.2593</v>
      </c>
      <c r="M4350">
        <v>0.42223100000000002</v>
      </c>
      <c r="N4350">
        <v>-1.2073469999999999E-2</v>
      </c>
      <c r="O4350">
        <v>-0.90640810000000005</v>
      </c>
      <c r="P4350">
        <v>0.24586959999999999</v>
      </c>
      <c r="Q4350">
        <v>0.3525026</v>
      </c>
      <c r="R4350">
        <v>-0.90293440000000003</v>
      </c>
      <c r="S4350">
        <v>0.2817383</v>
      </c>
      <c r="T4350">
        <v>-0.48078320000000002</v>
      </c>
      <c r="U4350">
        <v>-3.4376069999999999</v>
      </c>
      <c r="V4350">
        <v>0.16942260000000001</v>
      </c>
      <c r="W4350">
        <v>0.35860930000000002</v>
      </c>
      <c r="X4350">
        <v>0.91798440000000003</v>
      </c>
      <c r="Y4350">
        <v>0.34682170000000001</v>
      </c>
      <c r="Z4350">
        <v>0.1030219</v>
      </c>
      <c r="AA4350">
        <v>0.93225599999999997</v>
      </c>
      <c r="AB4350">
        <v>27</v>
      </c>
      <c r="AC4350">
        <v>0.53759999999999697</v>
      </c>
      <c r="AD4350">
        <v>-1.0978802264530001</v>
      </c>
      <c r="AE4350">
        <v>-7.5925000000000002</v>
      </c>
      <c r="AF4350">
        <v>2.66329157982236</v>
      </c>
      <c r="AG4350">
        <v>-1.0978802264530001</v>
      </c>
      <c r="AH4350">
        <v>6.9645145909568296</v>
      </c>
      <c r="AI4350">
        <v>98.376069363048103</v>
      </c>
      <c r="AJ4350">
        <v>69.072706671702704</v>
      </c>
      <c r="AK4350">
        <v>7.5367716244052296</v>
      </c>
      <c r="AL4350">
        <v>68.985187150527494</v>
      </c>
      <c r="AM4350">
        <v>79.543195919059798</v>
      </c>
      <c r="AN4350">
        <v>1.0000000030403</v>
      </c>
    </row>
    <row r="4351" spans="1:40" x14ac:dyDescent="0.25">
      <c r="A4351" t="str">
        <f>"20190304164937683"</f>
        <v>20190304164937683</v>
      </c>
      <c r="B4351" t="str">
        <f>"1551689377680076"</f>
        <v>1551689377680076</v>
      </c>
      <c r="C4351" t="s">
        <v>40</v>
      </c>
      <c r="D4351">
        <v>4.9391990000000003</v>
      </c>
      <c r="E4351">
        <v>0.57561519999999899</v>
      </c>
      <c r="F4351" t="s">
        <v>42</v>
      </c>
      <c r="G4351">
        <v>-190.16679999999999</v>
      </c>
      <c r="H4351" s="1">
        <v>-2.0846790000000002E-6</v>
      </c>
      <c r="I4351">
        <v>194.3451</v>
      </c>
      <c r="J4351">
        <v>-190.6164</v>
      </c>
      <c r="K4351">
        <v>1.0978829999999999</v>
      </c>
      <c r="L4351">
        <v>201.9984</v>
      </c>
      <c r="M4351">
        <v>0.40646490000000002</v>
      </c>
      <c r="N4351">
        <v>-1.194458E-2</v>
      </c>
      <c r="O4351">
        <v>-0.91358830000000002</v>
      </c>
      <c r="P4351">
        <v>0.23479810000000001</v>
      </c>
      <c r="Q4351">
        <v>0.3539852</v>
      </c>
      <c r="R4351">
        <v>-0.90529809999999999</v>
      </c>
      <c r="S4351">
        <v>0.24008180000000001</v>
      </c>
      <c r="T4351">
        <v>-0.47771069999999999</v>
      </c>
      <c r="U4351">
        <v>-3.443619</v>
      </c>
      <c r="V4351">
        <v>0.16453880000000001</v>
      </c>
      <c r="W4351">
        <v>0.36012670000000002</v>
      </c>
      <c r="X4351">
        <v>0.9182787</v>
      </c>
      <c r="Y4351">
        <v>0.34193580000000001</v>
      </c>
      <c r="Z4351">
        <v>0.1038104</v>
      </c>
      <c r="AA4351">
        <v>0.93397180000000002</v>
      </c>
      <c r="AB4351">
        <v>27</v>
      </c>
      <c r="AC4351">
        <v>0.449600000000003</v>
      </c>
      <c r="AD4351">
        <v>-1.097885084679</v>
      </c>
      <c r="AE4351">
        <v>-7.6532999999999998</v>
      </c>
      <c r="AF4351">
        <v>2.6459778806519201</v>
      </c>
      <c r="AG4351">
        <v>-1.097885084679</v>
      </c>
      <c r="AH4351">
        <v>7.0310325896301098</v>
      </c>
      <c r="AI4351">
        <v>98.314486651425099</v>
      </c>
      <c r="AJ4351">
        <v>69.377251323935695</v>
      </c>
      <c r="AK4351">
        <v>7.5922308895673503</v>
      </c>
      <c r="AL4351">
        <v>68.892022998906</v>
      </c>
      <c r="AM4351">
        <v>79.841442764892093</v>
      </c>
      <c r="AN4351">
        <v>1.0000000138160099</v>
      </c>
    </row>
    <row r="4352" spans="1:40" x14ac:dyDescent="0.25">
      <c r="A4352" t="str">
        <f>"20190304164937706"</f>
        <v>20190304164937706</v>
      </c>
      <c r="B4352" t="str">
        <f>"1551689377700571"</f>
        <v>1551689377700571</v>
      </c>
      <c r="C4352" t="s">
        <v>40</v>
      </c>
      <c r="D4352">
        <v>4.9338160000000002</v>
      </c>
      <c r="E4352">
        <v>0.57499029999999995</v>
      </c>
      <c r="F4352" t="s">
        <v>42</v>
      </c>
      <c r="G4352">
        <v>-189.9659</v>
      </c>
      <c r="H4352" s="1">
        <v>-2.6970350000000001E-6</v>
      </c>
      <c r="I4352">
        <v>195.89709999999999</v>
      </c>
      <c r="J4352">
        <v>-190.51570000000001</v>
      </c>
      <c r="K4352">
        <v>1.0978840000000001</v>
      </c>
      <c r="L4352">
        <v>201.72749999999999</v>
      </c>
      <c r="M4352">
        <v>0.39015630000000001</v>
      </c>
      <c r="N4352">
        <v>-1.1822060000000001E-2</v>
      </c>
      <c r="O4352">
        <v>-0.92067299999999996</v>
      </c>
      <c r="P4352">
        <v>0.2242574</v>
      </c>
      <c r="Q4352">
        <v>0.35362850000000001</v>
      </c>
      <c r="R4352">
        <v>-0.90810590000000002</v>
      </c>
      <c r="S4352">
        <v>0.36907960000000001</v>
      </c>
      <c r="T4352">
        <v>-0.62290840000000003</v>
      </c>
      <c r="U4352">
        <v>-3.4616850000000001</v>
      </c>
      <c r="V4352">
        <v>0.15889410000000001</v>
      </c>
      <c r="W4352">
        <v>0.3598442</v>
      </c>
      <c r="X4352">
        <v>0.91938279999999994</v>
      </c>
      <c r="Y4352">
        <v>0.29103839999999997</v>
      </c>
      <c r="Z4352">
        <v>0.1406666</v>
      </c>
      <c r="AA4352">
        <v>0.94631370000000004</v>
      </c>
      <c r="AB4352">
        <v>27</v>
      </c>
      <c r="AC4352">
        <v>0.54980000000000395</v>
      </c>
      <c r="AD4352">
        <v>-1.0978866970350001</v>
      </c>
      <c r="AE4352">
        <v>-5.8303999999999903</v>
      </c>
      <c r="AF4352">
        <v>1.70865248621517</v>
      </c>
      <c r="AG4352">
        <v>-1.0978866970350001</v>
      </c>
      <c r="AH4352">
        <v>5.3932388712040504</v>
      </c>
      <c r="AI4352">
        <v>100.982370888647</v>
      </c>
      <c r="AJ4352">
        <v>72.421079880034796</v>
      </c>
      <c r="AK4352">
        <v>5.7629744091087298</v>
      </c>
      <c r="AL4352">
        <v>68.909370950867498</v>
      </c>
      <c r="AM4352">
        <v>80.194607314528497</v>
      </c>
      <c r="AN4352">
        <v>0.99999995811214404</v>
      </c>
    </row>
    <row r="4353" spans="1:40" x14ac:dyDescent="0.25">
      <c r="A4353" t="str">
        <f>"20190304164937728"</f>
        <v>20190304164937728</v>
      </c>
      <c r="B4353" t="str">
        <f>"1551689377720094"</f>
        <v>1551689377720094</v>
      </c>
      <c r="C4353" t="s">
        <v>40</v>
      </c>
      <c r="D4353">
        <v>4.996283</v>
      </c>
      <c r="E4353">
        <v>0.57515709999999998</v>
      </c>
      <c r="F4353" t="s">
        <v>42</v>
      </c>
      <c r="G4353">
        <v>-189.94030000000001</v>
      </c>
      <c r="H4353" s="1">
        <v>-2.6049269999999999E-6</v>
      </c>
      <c r="I4353">
        <v>195.68029999999999</v>
      </c>
      <c r="J4353">
        <v>-190.42500000000001</v>
      </c>
      <c r="K4353">
        <v>1.097899</v>
      </c>
      <c r="L4353">
        <v>201.47059999999999</v>
      </c>
      <c r="M4353">
        <v>0.37476969999999998</v>
      </c>
      <c r="N4353">
        <v>-1.1713950000000001E-2</v>
      </c>
      <c r="O4353">
        <v>-0.92704390000000003</v>
      </c>
      <c r="P4353">
        <v>0.21540519999999999</v>
      </c>
      <c r="Q4353">
        <v>0.353162799999999</v>
      </c>
      <c r="R4353">
        <v>-0.91042670000000003</v>
      </c>
      <c r="S4353">
        <v>0.3298798</v>
      </c>
      <c r="T4353">
        <v>-0.62948789999999999</v>
      </c>
      <c r="U4353">
        <v>-3.4672700000000001</v>
      </c>
      <c r="V4353">
        <v>0.15253920000000001</v>
      </c>
      <c r="W4353">
        <v>0.35949320000000001</v>
      </c>
      <c r="X4353">
        <v>0.92059570000000002</v>
      </c>
      <c r="Y4353">
        <v>0.28590379999999999</v>
      </c>
      <c r="Z4353">
        <v>0.14394079999999901</v>
      </c>
      <c r="AA4353">
        <v>0.9473859</v>
      </c>
      <c r="AB4353">
        <v>27</v>
      </c>
      <c r="AC4353">
        <v>0.48470000000000302</v>
      </c>
      <c r="AD4353">
        <v>-1.0979016049270001</v>
      </c>
      <c r="AE4353">
        <v>-5.7903000000000002</v>
      </c>
      <c r="AF4353">
        <v>1.6614904588638599</v>
      </c>
      <c r="AG4353">
        <v>-1.0979016049270001</v>
      </c>
      <c r="AH4353">
        <v>5.35858220203533</v>
      </c>
      <c r="AI4353">
        <v>101.07259419253</v>
      </c>
      <c r="AJ4353">
        <v>72.773344981735093</v>
      </c>
      <c r="AK4353">
        <v>5.7166722570886304</v>
      </c>
      <c r="AL4353">
        <v>68.930925154812002</v>
      </c>
      <c r="AM4353">
        <v>80.591787693085607</v>
      </c>
      <c r="AN4353">
        <v>1.0000000056206799</v>
      </c>
    </row>
    <row r="4354" spans="1:40" x14ac:dyDescent="0.25">
      <c r="A4354" t="str">
        <f>"20190304164937750"</f>
        <v>20190304164937750</v>
      </c>
      <c r="B4354" t="str">
        <f>"1551689377740591"</f>
        <v>1551689377740591</v>
      </c>
      <c r="C4354" t="s">
        <v>40</v>
      </c>
      <c r="D4354">
        <v>4.9945539999999999</v>
      </c>
      <c r="E4354">
        <v>0.57588709999999999</v>
      </c>
      <c r="F4354" t="s">
        <v>41</v>
      </c>
      <c r="G4354">
        <v>-190.3569</v>
      </c>
      <c r="H4354">
        <v>0.94822530000000005</v>
      </c>
      <c r="I4354">
        <v>200.65369999999999</v>
      </c>
      <c r="J4354">
        <v>-190.3374</v>
      </c>
      <c r="K4354">
        <v>1.0979239999999999</v>
      </c>
      <c r="L4354">
        <v>201.20910000000001</v>
      </c>
      <c r="M4354">
        <v>0.35921389999999997</v>
      </c>
      <c r="N4354">
        <v>-1.160914E-2</v>
      </c>
      <c r="O4354">
        <v>-0.93318310000000004</v>
      </c>
      <c r="P4354">
        <v>0.20533219999999999</v>
      </c>
      <c r="Q4354">
        <v>0.35402070000000002</v>
      </c>
      <c r="R4354">
        <v>-0.91241899999999998</v>
      </c>
      <c r="S4354">
        <v>0.28974909999999998</v>
      </c>
      <c r="T4354">
        <v>-0.63601540000000001</v>
      </c>
      <c r="U4354">
        <v>-3.4732970000000001</v>
      </c>
      <c r="V4354">
        <v>0.1471616</v>
      </c>
      <c r="W4354">
        <v>0.3604367</v>
      </c>
      <c r="X4354">
        <v>0.92110199999999998</v>
      </c>
      <c r="Y4354">
        <v>0.28093420000000002</v>
      </c>
      <c r="Z4354">
        <v>0.14713709999999999</v>
      </c>
      <c r="AA4354">
        <v>0.94838109999999998</v>
      </c>
      <c r="AB4354">
        <v>27</v>
      </c>
      <c r="AC4354">
        <v>-1.9499999999993599E-2</v>
      </c>
      <c r="AD4354">
        <v>-0.14969869999999899</v>
      </c>
      <c r="AE4354">
        <v>-0.55540000000001999</v>
      </c>
      <c r="AF4354">
        <v>0.20299041808376</v>
      </c>
      <c r="AG4354">
        <v>-0.14969869999999899</v>
      </c>
      <c r="AH4354">
        <v>0.47672884654487602</v>
      </c>
      <c r="AI4354">
        <v>106.114644472427</v>
      </c>
      <c r="AJ4354">
        <v>66.935768880326904</v>
      </c>
      <c r="AK4354">
        <v>0.53933774552085401</v>
      </c>
      <c r="AL4354">
        <v>68.872982822664795</v>
      </c>
      <c r="AM4354">
        <v>80.922746503183802</v>
      </c>
      <c r="AN4354">
        <v>1.0000000228127199</v>
      </c>
    </row>
    <row r="4355" spans="1:40" x14ac:dyDescent="0.25">
      <c r="A4355" t="str">
        <f>"20190304164937772"</f>
        <v>20190304164937772</v>
      </c>
      <c r="B4355" t="str">
        <f>"1551689377769867"</f>
        <v>1551689377769867</v>
      </c>
      <c r="C4355" t="s">
        <v>40</v>
      </c>
      <c r="D4355">
        <v>5.0110859999999997</v>
      </c>
      <c r="E4355">
        <v>0.576381699999999</v>
      </c>
      <c r="F4355" t="s">
        <v>41</v>
      </c>
      <c r="G4355">
        <v>-190.2825</v>
      </c>
      <c r="H4355">
        <v>0.95304920000000004</v>
      </c>
      <c r="I4355">
        <v>200.41749999999999</v>
      </c>
      <c r="J4355">
        <v>-190.2527</v>
      </c>
      <c r="K4355">
        <v>1.0979779999999999</v>
      </c>
      <c r="L4355">
        <v>200.94210000000001</v>
      </c>
      <c r="M4355">
        <v>0.34348099999999998</v>
      </c>
      <c r="N4355">
        <v>-1.150815E-2</v>
      </c>
      <c r="O4355">
        <v>-0.93908910000000001</v>
      </c>
      <c r="P4355">
        <v>0.19206989999999999</v>
      </c>
      <c r="Q4355">
        <v>0.353769</v>
      </c>
      <c r="R4355">
        <v>-0.91539999999999999</v>
      </c>
      <c r="S4355">
        <v>0.2417755</v>
      </c>
      <c r="T4355">
        <v>-0.63691709999999901</v>
      </c>
      <c r="U4355">
        <v>-3.4806819999999998</v>
      </c>
      <c r="V4355">
        <v>0.14500199999999999</v>
      </c>
      <c r="W4355">
        <v>0.36018410000000001</v>
      </c>
      <c r="X4355">
        <v>0.92154320000000001</v>
      </c>
      <c r="Y4355">
        <v>0.27798979999999901</v>
      </c>
      <c r="Z4355">
        <v>0.1488062</v>
      </c>
      <c r="AA4355">
        <v>0.9489881</v>
      </c>
      <c r="AB4355">
        <v>27</v>
      </c>
      <c r="AC4355">
        <v>-2.97999999999944E-2</v>
      </c>
      <c r="AD4355">
        <v>-0.1449288</v>
      </c>
      <c r="AE4355">
        <v>-0.52460000000002005</v>
      </c>
      <c r="AF4355">
        <v>0.193470139026691</v>
      </c>
      <c r="AG4355">
        <v>-0.1449288</v>
      </c>
      <c r="AH4355">
        <v>0.44833440227664501</v>
      </c>
      <c r="AI4355">
        <v>106.531115899551</v>
      </c>
      <c r="AJ4355">
        <v>66.658310721863202</v>
      </c>
      <c r="AK4355">
        <v>0.50935134046079</v>
      </c>
      <c r="AL4355">
        <v>68.8884977282666</v>
      </c>
      <c r="AM4355">
        <v>81.057999117267499</v>
      </c>
      <c r="AN4355">
        <v>1.00000001768152</v>
      </c>
    </row>
    <row r="4356" spans="1:40" x14ac:dyDescent="0.25">
      <c r="A4356" t="str">
        <f>"20190304164937798"</f>
        <v>20190304164937798</v>
      </c>
      <c r="B4356" t="str">
        <f>"1551689377790364"</f>
        <v>1551689377790364</v>
      </c>
      <c r="C4356" t="s">
        <v>40</v>
      </c>
      <c r="D4356">
        <v>4.9837160000000003</v>
      </c>
      <c r="E4356">
        <v>0.57655649999999903</v>
      </c>
      <c r="F4356" t="s">
        <v>41</v>
      </c>
      <c r="G4356">
        <v>-190.21019999999999</v>
      </c>
      <c r="H4356">
        <v>0.95680940000000003</v>
      </c>
      <c r="I4356">
        <v>200.18039999999999</v>
      </c>
      <c r="J4356">
        <v>-190.16390000000001</v>
      </c>
      <c r="K4356">
        <v>1.098087</v>
      </c>
      <c r="L4356">
        <v>200.6447</v>
      </c>
      <c r="M4356">
        <v>0.32620209999999999</v>
      </c>
      <c r="N4356">
        <v>-1.1401039999999999E-2</v>
      </c>
      <c r="O4356">
        <v>-0.94523140000000005</v>
      </c>
      <c r="P4356">
        <v>0.17553859999999999</v>
      </c>
      <c r="Q4356">
        <v>0.35213860000000002</v>
      </c>
      <c r="R4356">
        <v>-0.91933940000000003</v>
      </c>
      <c r="S4356">
        <v>0.19432070000000001</v>
      </c>
      <c r="T4356">
        <v>-0.64590119999999995</v>
      </c>
      <c r="U4356">
        <v>-3.4861149999999999</v>
      </c>
      <c r="V4356">
        <v>0.14475569999999999</v>
      </c>
      <c r="W4356">
        <v>0.35850959999999898</v>
      </c>
      <c r="X4356">
        <v>0.92223460000000002</v>
      </c>
      <c r="Y4356">
        <v>0.27337869999999997</v>
      </c>
      <c r="Z4356">
        <v>0.1526546</v>
      </c>
      <c r="AA4356">
        <v>0.94971609999999995</v>
      </c>
      <c r="AB4356">
        <v>27</v>
      </c>
      <c r="AC4356">
        <v>-4.62999999999738E-2</v>
      </c>
      <c r="AD4356">
        <v>-0.141277599999999</v>
      </c>
      <c r="AE4356">
        <v>-0.46430000000000798</v>
      </c>
      <c r="AF4356">
        <v>0.17883754875730101</v>
      </c>
      <c r="AG4356">
        <v>-0.141277599999999</v>
      </c>
      <c r="AH4356">
        <v>0.38820638261985801</v>
      </c>
      <c r="AI4356">
        <v>108.290605393134</v>
      </c>
      <c r="AJ4356">
        <v>65.265587822580301</v>
      </c>
      <c r="AK4356">
        <v>0.450162664615887</v>
      </c>
      <c r="AL4356">
        <v>68.991306400240305</v>
      </c>
      <c r="AM4356">
        <v>81.079528103263002</v>
      </c>
      <c r="AN4356">
        <v>1.0000000017059001</v>
      </c>
    </row>
    <row r="4357" spans="1:40" x14ac:dyDescent="0.25">
      <c r="A4357" t="str">
        <f>"20190304164937820"</f>
        <v>20190304164937820</v>
      </c>
      <c r="B4357" t="str">
        <f>"1551689377809884"</f>
        <v>1551689377809884</v>
      </c>
      <c r="C4357" t="s">
        <v>40</v>
      </c>
      <c r="D4357">
        <v>5.0014089999999998</v>
      </c>
      <c r="E4357">
        <v>0.57671919999999899</v>
      </c>
      <c r="F4357" t="s">
        <v>42</v>
      </c>
      <c r="G4357">
        <v>-189.9273</v>
      </c>
      <c r="H4357" s="1">
        <v>-2.2385260000000001E-6</v>
      </c>
      <c r="I4357">
        <v>194.82079999999999</v>
      </c>
      <c r="J4357">
        <v>-190.08629999999999</v>
      </c>
      <c r="K4357">
        <v>1.0982350000000001</v>
      </c>
      <c r="L4357">
        <v>200.3672</v>
      </c>
      <c r="M4357">
        <v>0.31037910000000002</v>
      </c>
      <c r="N4357">
        <v>-1.130598E-2</v>
      </c>
      <c r="O4357">
        <v>-0.95054550000000004</v>
      </c>
      <c r="P4357">
        <v>0.16167889999999999</v>
      </c>
      <c r="Q4357">
        <v>0.34924240000000001</v>
      </c>
      <c r="R4357">
        <v>-0.92297879999999999</v>
      </c>
      <c r="S4357">
        <v>0.14169309999999999</v>
      </c>
      <c r="T4357">
        <v>-0.65766849999999999</v>
      </c>
      <c r="U4357">
        <v>-3.4880520000000002</v>
      </c>
      <c r="V4357">
        <v>0.1433507</v>
      </c>
      <c r="W4357">
        <v>0.3556337</v>
      </c>
      <c r="X4357">
        <v>0.92356660000000002</v>
      </c>
      <c r="Y4357">
        <v>0.27167350000000001</v>
      </c>
      <c r="Z4357">
        <v>0.15706899999999999</v>
      </c>
      <c r="AA4357">
        <v>0.94948549999999998</v>
      </c>
      <c r="AB4357">
        <v>27</v>
      </c>
      <c r="AC4357">
        <v>0.15899999999999101</v>
      </c>
      <c r="AD4357">
        <v>-1.098237238526</v>
      </c>
      <c r="AE4357">
        <v>-5.5464000000000002</v>
      </c>
      <c r="AF4357">
        <v>1.5112468053766499</v>
      </c>
      <c r="AG4357">
        <v>-1.098237238526</v>
      </c>
      <c r="AH4357">
        <v>5.1211727436579402</v>
      </c>
      <c r="AI4357">
        <v>101.622599089277</v>
      </c>
      <c r="AJ4357">
        <v>73.558786040233301</v>
      </c>
      <c r="AK4357">
        <v>5.4512752828334898</v>
      </c>
      <c r="AL4357">
        <v>69.167712797516003</v>
      </c>
      <c r="AM4357">
        <v>81.177279611690693</v>
      </c>
      <c r="AN4357">
        <v>1.00000000820087</v>
      </c>
    </row>
    <row r="4358" spans="1:40" x14ac:dyDescent="0.25">
      <c r="A4358" t="str">
        <f>"20190304164937840"</f>
        <v>20190304164937840</v>
      </c>
      <c r="B4358" t="str">
        <f>"1551689377830380"</f>
        <v>1551689377830380</v>
      </c>
      <c r="C4358" t="s">
        <v>40</v>
      </c>
      <c r="D4358">
        <v>4.6872030000000002</v>
      </c>
      <c r="E4358">
        <v>0.57676839999999996</v>
      </c>
      <c r="F4358" t="s">
        <v>41</v>
      </c>
      <c r="G4358">
        <v>-190.06290000000001</v>
      </c>
      <c r="H4358">
        <v>0.92112450000000001</v>
      </c>
      <c r="I4358">
        <v>199.44499999999999</v>
      </c>
      <c r="J4358">
        <v>-190.0206</v>
      </c>
      <c r="K4358">
        <v>1.098382</v>
      </c>
      <c r="L4358">
        <v>200.11930000000001</v>
      </c>
      <c r="M4358">
        <v>0.29645280000000002</v>
      </c>
      <c r="N4358">
        <v>-1.122743E-2</v>
      </c>
      <c r="O4358">
        <v>-0.95498150000000004</v>
      </c>
      <c r="P4358">
        <v>0.1507626</v>
      </c>
      <c r="Q4358">
        <v>0.34563329999999998</v>
      </c>
      <c r="R4358">
        <v>-0.92617930000000004</v>
      </c>
      <c r="S4358">
        <v>8.8348389999999999E-2</v>
      </c>
      <c r="T4358">
        <v>-0.66976020000000003</v>
      </c>
      <c r="U4358">
        <v>-3.4882810000000002</v>
      </c>
      <c r="V4358">
        <v>0.1409106</v>
      </c>
      <c r="W4358">
        <v>0.35209170000000001</v>
      </c>
      <c r="X4358">
        <v>0.92529760000000005</v>
      </c>
      <c r="Y4358">
        <v>0.27212520000000001</v>
      </c>
      <c r="Z4358">
        <v>0.16135849999999999</v>
      </c>
      <c r="AA4358">
        <v>0.94863660000000005</v>
      </c>
      <c r="AB4358">
        <v>28</v>
      </c>
      <c r="AC4358">
        <v>-4.2300000000011502E-2</v>
      </c>
      <c r="AD4358">
        <v>-0.17725749999999901</v>
      </c>
      <c r="AE4358">
        <v>-0.674300000000016</v>
      </c>
      <c r="AF4358">
        <v>0.224833038364321</v>
      </c>
      <c r="AG4358">
        <v>-0.17725749999999901</v>
      </c>
      <c r="AH4358">
        <v>0.59077875511134603</v>
      </c>
      <c r="AI4358">
        <v>105.664541843048</v>
      </c>
      <c r="AJ4358">
        <v>69.164645510789498</v>
      </c>
      <c r="AK4358">
        <v>0.65649802279770297</v>
      </c>
      <c r="AL4358">
        <v>69.384693804821893</v>
      </c>
      <c r="AM4358">
        <v>81.341137395137594</v>
      </c>
      <c r="AN4358">
        <v>1.0000000054835001</v>
      </c>
    </row>
    <row r="4359" spans="1:40" x14ac:dyDescent="0.25">
      <c r="A4359" t="str">
        <f>"20190304164937862"</f>
        <v>20190304164937862</v>
      </c>
      <c r="B4359" t="str">
        <f>"1551689377860636"</f>
        <v>1551689377860636</v>
      </c>
      <c r="C4359" t="s">
        <v>40</v>
      </c>
      <c r="D4359">
        <v>5.0055690000000004</v>
      </c>
      <c r="E4359">
        <v>0.57670459999999901</v>
      </c>
      <c r="F4359" t="s">
        <v>41</v>
      </c>
      <c r="G4359">
        <v>-190.0095</v>
      </c>
      <c r="H4359">
        <v>0.92028080000000001</v>
      </c>
      <c r="I4359">
        <v>199.21029999999999</v>
      </c>
      <c r="J4359">
        <v>-189.9538</v>
      </c>
      <c r="K4359">
        <v>1.098557</v>
      </c>
      <c r="L4359">
        <v>199.85159999999999</v>
      </c>
      <c r="M4359">
        <v>0.28170410000000001</v>
      </c>
      <c r="N4359">
        <v>-1.1146959999999999E-2</v>
      </c>
      <c r="O4359">
        <v>-0.95943670000000003</v>
      </c>
      <c r="P4359">
        <v>0.13848940000000001</v>
      </c>
      <c r="Q4359">
        <v>0.34218340000000003</v>
      </c>
      <c r="R4359">
        <v>-0.92937150000000002</v>
      </c>
      <c r="S4359">
        <v>4.3090820000000002E-2</v>
      </c>
      <c r="T4359">
        <v>-0.68284029999999996</v>
      </c>
      <c r="U4359">
        <v>-3.4869379999999999</v>
      </c>
      <c r="V4359">
        <v>0.1389888</v>
      </c>
      <c r="W4359">
        <v>0.34869929999999999</v>
      </c>
      <c r="X4359">
        <v>0.92687160000000002</v>
      </c>
      <c r="Y4359">
        <v>0.26960810000000002</v>
      </c>
      <c r="Z4359">
        <v>0.16608680000000001</v>
      </c>
      <c r="AA4359">
        <v>0.94853929999999997</v>
      </c>
      <c r="AB4359">
        <v>28</v>
      </c>
      <c r="AC4359">
        <v>-5.5700000000001602E-2</v>
      </c>
      <c r="AD4359">
        <v>-0.178276199999999</v>
      </c>
      <c r="AE4359">
        <v>-0.64130000000000098</v>
      </c>
      <c r="AF4359">
        <v>0.21743455935679501</v>
      </c>
      <c r="AG4359">
        <v>-0.178276199999999</v>
      </c>
      <c r="AH4359">
        <v>0.55691699826150598</v>
      </c>
      <c r="AI4359">
        <v>106.60413247408999</v>
      </c>
      <c r="AJ4359">
        <v>68.673062039222899</v>
      </c>
      <c r="AK4359">
        <v>0.62387236999383899</v>
      </c>
      <c r="AL4359">
        <v>69.592221429878606</v>
      </c>
      <c r="AM4359">
        <v>81.471769933454993</v>
      </c>
      <c r="AN4359">
        <v>1.00000002561624</v>
      </c>
    </row>
    <row r="4360" spans="1:40" x14ac:dyDescent="0.25">
      <c r="A4360" t="str">
        <f>"20190304164937885"</f>
        <v>20190304164937885</v>
      </c>
      <c r="B4360" t="str">
        <f>"1551689377880157"</f>
        <v>1551689377880157</v>
      </c>
      <c r="C4360" t="s">
        <v>40</v>
      </c>
      <c r="D4360">
        <v>5.0279980000000002</v>
      </c>
      <c r="E4360">
        <v>0.57670250000000001</v>
      </c>
      <c r="F4360" t="s">
        <v>41</v>
      </c>
      <c r="G4360">
        <v>-189.95509999999999</v>
      </c>
      <c r="H4360">
        <v>0.92136819999999997</v>
      </c>
      <c r="I4360">
        <v>198.96729999999999</v>
      </c>
      <c r="J4360">
        <v>-189.88679999999999</v>
      </c>
      <c r="K4360">
        <v>1.098767</v>
      </c>
      <c r="L4360">
        <v>199.56559999999999</v>
      </c>
      <c r="M4360">
        <v>0.26632689999999998</v>
      </c>
      <c r="N4360">
        <v>-1.10603E-2</v>
      </c>
      <c r="O4360">
        <v>-0.96381930000000005</v>
      </c>
      <c r="P4360">
        <v>0.1262394</v>
      </c>
      <c r="Q4360">
        <v>0.33961570000000002</v>
      </c>
      <c r="R4360">
        <v>-0.93205420000000005</v>
      </c>
      <c r="S4360">
        <v>-4.592896E-3</v>
      </c>
      <c r="T4360">
        <v>-0.69805879999999998</v>
      </c>
      <c r="U4360">
        <v>-3.485687</v>
      </c>
      <c r="V4360">
        <v>0.13634180000000001</v>
      </c>
      <c r="W4360">
        <v>0.3462114</v>
      </c>
      <c r="X4360">
        <v>0.92819640000000003</v>
      </c>
      <c r="Y4360">
        <v>0.26718069999999999</v>
      </c>
      <c r="Z4360">
        <v>0.1713654</v>
      </c>
      <c r="AA4360">
        <v>0.94828710000000005</v>
      </c>
      <c r="AB4360">
        <v>28</v>
      </c>
      <c r="AC4360">
        <v>-6.8299999999993505E-2</v>
      </c>
      <c r="AD4360">
        <v>-0.1773988</v>
      </c>
      <c r="AE4360">
        <v>-0.59829999999999395</v>
      </c>
      <c r="AF4360">
        <v>0.207203999807585</v>
      </c>
      <c r="AG4360">
        <v>-0.1773988</v>
      </c>
      <c r="AH4360">
        <v>0.51389886149206998</v>
      </c>
      <c r="AI4360">
        <v>107.752847435696</v>
      </c>
      <c r="AJ4360">
        <v>68.040709834244097</v>
      </c>
      <c r="AK4360">
        <v>0.58180398040967995</v>
      </c>
      <c r="AL4360">
        <v>69.744238082814206</v>
      </c>
      <c r="AM4360">
        <v>81.643640784431398</v>
      </c>
      <c r="AN4360">
        <v>0.99999998844507998</v>
      </c>
    </row>
    <row r="4361" spans="1:40" x14ac:dyDescent="0.25">
      <c r="A4361" t="str">
        <f>"20190304164937908"</f>
        <v>20190304164937908</v>
      </c>
      <c r="B4361" t="str">
        <f>"1551689377899679"</f>
        <v>1551689377899679</v>
      </c>
      <c r="C4361" t="s">
        <v>40</v>
      </c>
      <c r="D4361">
        <v>4.9894429999999996</v>
      </c>
      <c r="E4361">
        <v>0.57681099999999996</v>
      </c>
      <c r="F4361" t="s">
        <v>41</v>
      </c>
      <c r="G4361">
        <v>-189.89940000000001</v>
      </c>
      <c r="H4361">
        <v>0.92736260000000004</v>
      </c>
      <c r="I4361">
        <v>198.7216</v>
      </c>
      <c r="J4361">
        <v>-189.8244</v>
      </c>
      <c r="K4361">
        <v>1.099008</v>
      </c>
      <c r="L4361">
        <v>199.2818</v>
      </c>
      <c r="M4361">
        <v>0.25147789999999998</v>
      </c>
      <c r="N4361">
        <v>-1.0974319999999999E-2</v>
      </c>
      <c r="O4361">
        <v>-0.96780080000000002</v>
      </c>
      <c r="P4361">
        <v>0.1154265</v>
      </c>
      <c r="Q4361">
        <v>0.33850839999999999</v>
      </c>
      <c r="R4361">
        <v>-0.9338573</v>
      </c>
      <c r="S4361">
        <v>-5.1742549999999998E-2</v>
      </c>
      <c r="T4361">
        <v>-0.70709409999999995</v>
      </c>
      <c r="U4361">
        <v>-3.4833370000000001</v>
      </c>
      <c r="V4361">
        <v>0.1326734</v>
      </c>
      <c r="W4361">
        <v>0.34521190000000002</v>
      </c>
      <c r="X4361">
        <v>0.92909989999999998</v>
      </c>
      <c r="Y4361">
        <v>0.26519749999999997</v>
      </c>
      <c r="Z4361">
        <v>0.17504120000000001</v>
      </c>
      <c r="AA4361">
        <v>0.94817240000000003</v>
      </c>
      <c r="AB4361">
        <v>28</v>
      </c>
      <c r="AC4361">
        <v>-7.5000000000016998E-2</v>
      </c>
      <c r="AD4361">
        <v>-0.171645399999999</v>
      </c>
      <c r="AE4361">
        <v>-0.56020000000000802</v>
      </c>
      <c r="AF4361">
        <v>0.19544988878806199</v>
      </c>
      <c r="AG4361">
        <v>-0.171645399999999</v>
      </c>
      <c r="AH4361">
        <v>0.47914235448292702</v>
      </c>
      <c r="AI4361">
        <v>108.35065150608</v>
      </c>
      <c r="AJ4361">
        <v>67.808660852273604</v>
      </c>
      <c r="AK4361">
        <v>0.54519739381976995</v>
      </c>
      <c r="AL4361">
        <v>69.805269707734197</v>
      </c>
      <c r="AM4361">
        <v>81.873231078344702</v>
      </c>
      <c r="AN4361">
        <v>1.00000005557458</v>
      </c>
    </row>
    <row r="4362" spans="1:40" x14ac:dyDescent="0.25">
      <c r="A4362" t="str">
        <f>"20190304164937929"</f>
        <v>20190304164937929</v>
      </c>
      <c r="B4362" t="str">
        <f>"1551689377920189"</f>
        <v>1551689377920189</v>
      </c>
      <c r="C4362" t="s">
        <v>40</v>
      </c>
      <c r="D4362">
        <v>5.0541980000000004</v>
      </c>
      <c r="E4362">
        <v>0.57678039999999997</v>
      </c>
      <c r="F4362" t="s">
        <v>41</v>
      </c>
      <c r="G4362">
        <v>-189.8466</v>
      </c>
      <c r="H4362">
        <v>0.93440380000000001</v>
      </c>
      <c r="I4362">
        <v>198.47290000000001</v>
      </c>
      <c r="J4362">
        <v>-189.76859999999999</v>
      </c>
      <c r="K4362">
        <v>1.0992470000000001</v>
      </c>
      <c r="L4362">
        <v>199.0103</v>
      </c>
      <c r="M4362">
        <v>0.23766580000000001</v>
      </c>
      <c r="N4362">
        <v>-1.0896799999999899E-2</v>
      </c>
      <c r="O4362">
        <v>-0.97128599999999998</v>
      </c>
      <c r="P4362">
        <v>0.1058344</v>
      </c>
      <c r="Q4362">
        <v>0.33949279999999998</v>
      </c>
      <c r="R4362">
        <v>-0.93463560000000001</v>
      </c>
      <c r="S4362">
        <v>-9.5230099999999998E-2</v>
      </c>
      <c r="T4362">
        <v>-0.70821880000000004</v>
      </c>
      <c r="U4362">
        <v>-3.480972</v>
      </c>
      <c r="V4362">
        <v>0.12868840000000001</v>
      </c>
      <c r="W4362">
        <v>0.34630850000000002</v>
      </c>
      <c r="X4362">
        <v>0.92925219999999997</v>
      </c>
      <c r="Y4362">
        <v>0.2633163</v>
      </c>
      <c r="Z4362">
        <v>0.17656629999999901</v>
      </c>
      <c r="AA4362">
        <v>0.94841379999999997</v>
      </c>
      <c r="AB4362">
        <v>28</v>
      </c>
      <c r="AC4362">
        <v>-7.80000000000029E-2</v>
      </c>
      <c r="AD4362">
        <v>-0.164843199999999</v>
      </c>
      <c r="AE4362">
        <v>-0.537399999999991</v>
      </c>
      <c r="AF4362">
        <v>0.18632428544531701</v>
      </c>
      <c r="AG4362">
        <v>-0.164843199999999</v>
      </c>
      <c r="AH4362">
        <v>0.46098177671451201</v>
      </c>
      <c r="AI4362">
        <v>108.342127340888</v>
      </c>
      <c r="AJ4362">
        <v>67.991927158206906</v>
      </c>
      <c r="AK4362">
        <v>0.52382651555244497</v>
      </c>
      <c r="AL4362">
        <v>69.738307339827003</v>
      </c>
      <c r="AM4362">
        <v>82.115486729486193</v>
      </c>
      <c r="AN4362">
        <v>0.999999966335824</v>
      </c>
    </row>
    <row r="4363" spans="1:40" x14ac:dyDescent="0.25">
      <c r="A4363" t="str">
        <f>"20190304164937953"</f>
        <v>20190304164937953</v>
      </c>
      <c r="B4363" t="str">
        <f>"1551689377950428"</f>
        <v>1551689377950428</v>
      </c>
      <c r="C4363" t="s">
        <v>40</v>
      </c>
      <c r="D4363">
        <v>4.7099769999999896</v>
      </c>
      <c r="E4363">
        <v>0.59757229999999995</v>
      </c>
      <c r="F4363" t="s">
        <v>41</v>
      </c>
      <c r="G4363">
        <v>-189.79910000000001</v>
      </c>
      <c r="H4363">
        <v>0.94011440000000002</v>
      </c>
      <c r="I4363">
        <v>198.22290000000001</v>
      </c>
      <c r="J4363">
        <v>-189.7133</v>
      </c>
      <c r="K4363">
        <v>1.099515</v>
      </c>
      <c r="L4363">
        <v>198.72219999999999</v>
      </c>
      <c r="M4363">
        <v>0.2233918</v>
      </c>
      <c r="N4363">
        <v>-1.082121E-2</v>
      </c>
      <c r="O4363">
        <v>-0.97466889999999995</v>
      </c>
      <c r="P4363">
        <v>9.4414869999999998E-2</v>
      </c>
      <c r="Q4363">
        <v>0.34058490000000002</v>
      </c>
      <c r="R4363">
        <v>-0.93546180000000001</v>
      </c>
      <c r="S4363">
        <v>-0.1343384</v>
      </c>
      <c r="T4363">
        <v>-0.70323769999999997</v>
      </c>
      <c r="U4363">
        <v>-3.4804379999999999</v>
      </c>
      <c r="V4363">
        <v>0.12611259999999999</v>
      </c>
      <c r="W4363">
        <v>0.34747309999999998</v>
      </c>
      <c r="X4363">
        <v>0.92917059999999996</v>
      </c>
      <c r="Y4363">
        <v>0.25983390000000001</v>
      </c>
      <c r="Z4363">
        <v>0.17644279999999901</v>
      </c>
      <c r="AA4363">
        <v>0.94939680000000004</v>
      </c>
      <c r="AB4363">
        <v>28</v>
      </c>
      <c r="AC4363">
        <v>-8.5800000000006094E-2</v>
      </c>
      <c r="AD4363">
        <v>-0.1594006</v>
      </c>
      <c r="AE4363">
        <v>-0.49929999999997599</v>
      </c>
      <c r="AF4363">
        <v>0.177596171077325</v>
      </c>
      <c r="AG4363">
        <v>-0.1594006</v>
      </c>
      <c r="AH4363">
        <v>0.42539953410514397</v>
      </c>
      <c r="AI4363">
        <v>109.074579443819</v>
      </c>
      <c r="AJ4363">
        <v>67.340396680172503</v>
      </c>
      <c r="AK4363">
        <v>0.48776399506170998</v>
      </c>
      <c r="AL4363">
        <v>69.667163147850005</v>
      </c>
      <c r="AM4363">
        <v>82.270704500587698</v>
      </c>
      <c r="AN4363">
        <v>0.999999973503364</v>
      </c>
    </row>
    <row r="4364" spans="1:40" x14ac:dyDescent="0.25">
      <c r="A4364" t="str">
        <f>"20190304164937974"</f>
        <v>20190304164937974</v>
      </c>
      <c r="B4364" t="str">
        <f>"1551689377969948"</f>
        <v>1551689377969948</v>
      </c>
      <c r="C4364" t="s">
        <v>40</v>
      </c>
      <c r="D4364">
        <v>5.0622280000000002</v>
      </c>
      <c r="E4364">
        <v>0.57661770000000001</v>
      </c>
      <c r="F4364" t="s">
        <v>42</v>
      </c>
      <c r="G4364">
        <v>-190.80709999999999</v>
      </c>
      <c r="H4364" s="1">
        <v>-4.1390499999999998E-6</v>
      </c>
      <c r="I4364">
        <v>188.73679999999999</v>
      </c>
      <c r="J4364">
        <v>-189.66480000000001</v>
      </c>
      <c r="K4364">
        <v>1.099747</v>
      </c>
      <c r="L4364">
        <v>198.45070000000001</v>
      </c>
      <c r="M4364">
        <v>0.2102842</v>
      </c>
      <c r="N4364">
        <v>-1.0761120000000001E-2</v>
      </c>
      <c r="O4364">
        <v>-0.97758109999999998</v>
      </c>
      <c r="P4364">
        <v>8.3117159999999995E-2</v>
      </c>
      <c r="Q4364">
        <v>0.34150409999999998</v>
      </c>
      <c r="R4364">
        <v>-0.93619830000000004</v>
      </c>
      <c r="S4364">
        <v>-0.370224</v>
      </c>
      <c r="T4364">
        <v>-0.37216650000000001</v>
      </c>
      <c r="U4364">
        <v>-3.3798680000000001</v>
      </c>
      <c r="V4364">
        <v>0.1246143</v>
      </c>
      <c r="W4364">
        <v>0.34843469999999999</v>
      </c>
      <c r="X4364">
        <v>0.92901270000000002</v>
      </c>
      <c r="Y4364">
        <v>0.31479030000000002</v>
      </c>
      <c r="Z4364">
        <v>9.1856980000000005E-2</v>
      </c>
      <c r="AA4364">
        <v>0.94470600000000005</v>
      </c>
      <c r="AB4364">
        <v>28</v>
      </c>
      <c r="AC4364">
        <v>-1.1422999999999699</v>
      </c>
      <c r="AD4364">
        <v>-1.0997511390500001</v>
      </c>
      <c r="AE4364">
        <v>-9.7139000000000202</v>
      </c>
      <c r="AF4364">
        <v>3.1201071110468002</v>
      </c>
      <c r="AG4364">
        <v>-1.0997511390500001</v>
      </c>
      <c r="AH4364">
        <v>9.1408883437314401</v>
      </c>
      <c r="AI4364">
        <v>96.495776541119696</v>
      </c>
      <c r="AJ4364">
        <v>71.153419652263196</v>
      </c>
      <c r="AK4364">
        <v>9.7211295981903199</v>
      </c>
      <c r="AL4364">
        <v>69.6083964200038</v>
      </c>
      <c r="AM4364">
        <v>82.360159992120202</v>
      </c>
      <c r="AN4364">
        <v>1.0000000303449299</v>
      </c>
    </row>
    <row r="4365" spans="1:40" x14ac:dyDescent="0.25">
      <c r="A4365" t="str">
        <f>"20190304164937999"</f>
        <v>20190304164937999</v>
      </c>
      <c r="B4365" t="str">
        <f>"1551689377990444"</f>
        <v>1551689377990444</v>
      </c>
      <c r="C4365" t="s">
        <v>40</v>
      </c>
      <c r="D4365">
        <v>4.79366</v>
      </c>
      <c r="E4365">
        <v>0.58599199999999996</v>
      </c>
      <c r="F4365" t="s">
        <v>41</v>
      </c>
      <c r="G4365">
        <v>-189.71129999999999</v>
      </c>
      <c r="H4365">
        <v>0.95916299999999999</v>
      </c>
      <c r="I4365">
        <v>197.71690000000001</v>
      </c>
      <c r="J4365">
        <v>-189.6155</v>
      </c>
      <c r="K4365">
        <v>1.099966</v>
      </c>
      <c r="L4365">
        <v>198.15090000000001</v>
      </c>
      <c r="M4365">
        <v>0.19613620000000001</v>
      </c>
      <c r="N4365">
        <v>-1.070919E-2</v>
      </c>
      <c r="O4365">
        <v>-0.98051829999999995</v>
      </c>
      <c r="P4365">
        <v>7.2073680000000001E-2</v>
      </c>
      <c r="Q4365">
        <v>0.34280369999999999</v>
      </c>
      <c r="R4365">
        <v>-0.93663819999999998</v>
      </c>
      <c r="S4365">
        <v>-0.21896360000000001</v>
      </c>
      <c r="T4365">
        <v>-0.66331549999999995</v>
      </c>
      <c r="U4365">
        <v>-3.4658509999999998</v>
      </c>
      <c r="V4365">
        <v>0.1219104</v>
      </c>
      <c r="W4365">
        <v>0.34980699999999998</v>
      </c>
      <c r="X4365">
        <v>0.92885569999999895</v>
      </c>
      <c r="Y4365">
        <v>0.2563261</v>
      </c>
      <c r="Z4365">
        <v>0.168602799999999</v>
      </c>
      <c r="AA4365">
        <v>0.95177199999999995</v>
      </c>
      <c r="AB4365">
        <v>28</v>
      </c>
      <c r="AC4365">
        <v>-9.5799999999996999E-2</v>
      </c>
      <c r="AD4365">
        <v>-0.14080300000000001</v>
      </c>
      <c r="AE4365">
        <v>-0.433999999999997</v>
      </c>
      <c r="AF4365">
        <v>0.162734178579616</v>
      </c>
      <c r="AG4365">
        <v>-0.14080300000000001</v>
      </c>
      <c r="AH4365">
        <v>0.36967582060403198</v>
      </c>
      <c r="AI4365">
        <v>109.218587725955</v>
      </c>
      <c r="AJ4365">
        <v>66.240531498181994</v>
      </c>
      <c r="AK4365">
        <v>0.42774771773353398</v>
      </c>
      <c r="AL4365">
        <v>69.524489108767995</v>
      </c>
      <c r="AM4365">
        <v>82.522785553002194</v>
      </c>
      <c r="AN4365">
        <v>0.99999999714982402</v>
      </c>
    </row>
    <row r="4366" spans="1:40" x14ac:dyDescent="0.25">
      <c r="A4366" t="str">
        <f>"20190304164938020"</f>
        <v>20190304164938020</v>
      </c>
      <c r="B4366" t="str">
        <f>"1551689378009964"</f>
        <v>1551689378009964</v>
      </c>
      <c r="C4366" t="s">
        <v>40</v>
      </c>
      <c r="D4366">
        <v>4.8208880000000001</v>
      </c>
      <c r="E4366">
        <v>0.57303459999999995</v>
      </c>
      <c r="F4366" t="s">
        <v>42</v>
      </c>
      <c r="G4366">
        <v>-190.3486</v>
      </c>
      <c r="H4366" s="1">
        <v>-6.6876369999999999E-7</v>
      </c>
      <c r="I4366">
        <v>190.93180000000001</v>
      </c>
      <c r="J4366">
        <v>-189.5728</v>
      </c>
      <c r="K4366">
        <v>1.1001190000000001</v>
      </c>
      <c r="L4366">
        <v>197.86779999999999</v>
      </c>
      <c r="M4366">
        <v>0.1830097</v>
      </c>
      <c r="N4366">
        <v>-1.0670809999999999E-2</v>
      </c>
      <c r="O4366">
        <v>-0.98305319999999996</v>
      </c>
      <c r="P4366">
        <v>6.4195299999999997E-2</v>
      </c>
      <c r="Q4366">
        <v>0.34612690000000002</v>
      </c>
      <c r="R4366">
        <v>-0.93598890000000001</v>
      </c>
      <c r="S4366">
        <v>-0.34735110000000002</v>
      </c>
      <c r="T4366">
        <v>-0.52116419999999997</v>
      </c>
      <c r="U4366">
        <v>-3.42041</v>
      </c>
      <c r="V4366">
        <v>0.1170313</v>
      </c>
      <c r="W4366">
        <v>0.35324559999999999</v>
      </c>
      <c r="X4366">
        <v>0.9281817</v>
      </c>
      <c r="Y4366">
        <v>0.28021479999999999</v>
      </c>
      <c r="Z4366">
        <v>0.1327759</v>
      </c>
      <c r="AA4366">
        <v>0.95071039999999996</v>
      </c>
      <c r="AB4366">
        <v>28</v>
      </c>
      <c r="AC4366">
        <v>-0.77580000000000304</v>
      </c>
      <c r="AD4366">
        <v>-1.1001196687637</v>
      </c>
      <c r="AE4366">
        <v>-6.9359999999999697</v>
      </c>
      <c r="AF4366">
        <v>1.98285694171572</v>
      </c>
      <c r="AG4366">
        <v>-1.1001196687637</v>
      </c>
      <c r="AH4366">
        <v>6.5149847842509097</v>
      </c>
      <c r="AI4366">
        <v>99.176490776622003</v>
      </c>
      <c r="AJ4366">
        <v>73.072201315575995</v>
      </c>
      <c r="AK4366">
        <v>6.8983339782828601</v>
      </c>
      <c r="AL4366">
        <v>69.314041002343799</v>
      </c>
      <c r="AM4366">
        <v>82.813690551286399</v>
      </c>
      <c r="AN4366">
        <v>1.0000000236569599</v>
      </c>
    </row>
    <row r="4367" spans="1:40" x14ac:dyDescent="0.25">
      <c r="A4367" t="str">
        <f>"20190304164938041"</f>
        <v>20190304164938041</v>
      </c>
      <c r="B4367" t="str">
        <f>"1551689378030460"</f>
        <v>1551689378030460</v>
      </c>
      <c r="C4367" t="s">
        <v>40</v>
      </c>
      <c r="D4367">
        <v>4.8030229999999996</v>
      </c>
      <c r="E4367">
        <v>0.56630800000000003</v>
      </c>
      <c r="F4367" t="s">
        <v>42</v>
      </c>
      <c r="G4367">
        <v>-190.2039</v>
      </c>
      <c r="H4367" s="1">
        <v>-3.071993E-7</v>
      </c>
      <c r="I4367">
        <v>190.1788</v>
      </c>
      <c r="J4367">
        <v>-189.5369</v>
      </c>
      <c r="K4367">
        <v>1.1002160000000001</v>
      </c>
      <c r="L4367">
        <v>197.60919999999999</v>
      </c>
      <c r="M4367">
        <v>0.17116500000000001</v>
      </c>
      <c r="N4367">
        <v>-1.064316E-2</v>
      </c>
      <c r="O4367">
        <v>-0.98518490000000003</v>
      </c>
      <c r="P4367">
        <v>5.7862919999999998E-2</v>
      </c>
      <c r="Q4367">
        <v>0.35024880000000003</v>
      </c>
      <c r="R4367">
        <v>-0.93486769999999997</v>
      </c>
      <c r="S4367">
        <v>-0.27943420000000002</v>
      </c>
      <c r="T4367">
        <v>-0.48710110000000001</v>
      </c>
      <c r="U4367">
        <v>-3.4044650000000001</v>
      </c>
      <c r="V4367">
        <v>0.1118883</v>
      </c>
      <c r="W4367">
        <v>0.35748069999999998</v>
      </c>
      <c r="X4367">
        <v>0.92719390000000002</v>
      </c>
      <c r="Y4367">
        <v>0.25030960000000002</v>
      </c>
      <c r="Z4367">
        <v>0.1254014</v>
      </c>
      <c r="AA4367">
        <v>0.96001020000000004</v>
      </c>
      <c r="AB4367">
        <v>28</v>
      </c>
      <c r="AC4367">
        <v>-0.66700000000000104</v>
      </c>
      <c r="AD4367">
        <v>-1.1002163071993001</v>
      </c>
      <c r="AE4367">
        <v>-7.4303999999999899</v>
      </c>
      <c r="AF4367">
        <v>1.88798944540933</v>
      </c>
      <c r="AG4367">
        <v>-1.1002163071993001</v>
      </c>
      <c r="AH4367">
        <v>7.0531573535001204</v>
      </c>
      <c r="AI4367">
        <v>98.569096548808403</v>
      </c>
      <c r="AJ4367">
        <v>75.014389213192601</v>
      </c>
      <c r="AK4367">
        <v>7.3839019983906304</v>
      </c>
      <c r="AL4367">
        <v>69.054442115162004</v>
      </c>
      <c r="AM4367">
        <v>83.119154176080897</v>
      </c>
      <c r="AN4367">
        <v>0.99999998537329404</v>
      </c>
    </row>
    <row r="4368" spans="1:40" x14ac:dyDescent="0.25">
      <c r="A4368" t="str">
        <f>"20190304164938063"</f>
        <v>20190304164938063</v>
      </c>
      <c r="B4368" t="str">
        <f>"1551689378060716"</f>
        <v>1551689378060716</v>
      </c>
      <c r="C4368" t="s">
        <v>40</v>
      </c>
      <c r="D4368">
        <v>4.7216189999999996</v>
      </c>
      <c r="E4368">
        <v>0.55997129999999995</v>
      </c>
      <c r="F4368" t="s">
        <v>41</v>
      </c>
      <c r="G4368">
        <v>-189.60550000000001</v>
      </c>
      <c r="H4368">
        <v>0.98131009999999996</v>
      </c>
      <c r="I4368">
        <v>196.69110000000001</v>
      </c>
      <c r="J4368">
        <v>-189.501</v>
      </c>
      <c r="K4368">
        <v>1.1002879999999999</v>
      </c>
      <c r="L4368">
        <v>197.32409999999999</v>
      </c>
      <c r="M4368">
        <v>0.15822229999999901</v>
      </c>
      <c r="N4368">
        <v>-1.061981E-2</v>
      </c>
      <c r="O4368">
        <v>-0.98734639999999996</v>
      </c>
      <c r="P4368">
        <v>4.9667250000000003E-2</v>
      </c>
      <c r="Q4368">
        <v>0.35249580000000003</v>
      </c>
      <c r="R4368">
        <v>-0.93449470000000001</v>
      </c>
      <c r="S4368">
        <v>-0.25282290000000002</v>
      </c>
      <c r="T4368">
        <v>-0.43869209999999897</v>
      </c>
      <c r="U4368">
        <v>-3.389008</v>
      </c>
      <c r="V4368">
        <v>0.10770440000000001</v>
      </c>
      <c r="W4368">
        <v>0.3598189</v>
      </c>
      <c r="X4368">
        <v>0.92678479999999996</v>
      </c>
      <c r="Y4368">
        <v>0.230574</v>
      </c>
      <c r="Z4368">
        <v>0.1134474</v>
      </c>
      <c r="AA4368">
        <v>0.96641880000000002</v>
      </c>
      <c r="AB4368">
        <v>28</v>
      </c>
      <c r="AC4368">
        <v>-0.10450000000003</v>
      </c>
      <c r="AD4368">
        <v>-0.118977899999999</v>
      </c>
      <c r="AE4368">
        <v>-0.63299999999998102</v>
      </c>
      <c r="AF4368">
        <v>0.19658314997287499</v>
      </c>
      <c r="AG4368">
        <v>-0.118977899999999</v>
      </c>
      <c r="AH4368">
        <v>0.58825940422128398</v>
      </c>
      <c r="AI4368">
        <v>100.858936551357</v>
      </c>
      <c r="AJ4368">
        <v>71.521523597233994</v>
      </c>
      <c r="AK4368">
        <v>0.63154556620757596</v>
      </c>
      <c r="AL4368">
        <v>68.910924909758293</v>
      </c>
      <c r="AM4368">
        <v>83.371222991112404</v>
      </c>
      <c r="AN4368">
        <v>0.99999997204380398</v>
      </c>
    </row>
    <row r="4369" spans="1:40" x14ac:dyDescent="0.25">
      <c r="A4369" t="str">
        <f>"20190304164938086"</f>
        <v>20190304164938086</v>
      </c>
      <c r="B4369" t="str">
        <f>"1551689378080744"</f>
        <v>1551689378080744</v>
      </c>
      <c r="C4369" t="s">
        <v>40</v>
      </c>
      <c r="D4369">
        <v>4.7901420000000003</v>
      </c>
      <c r="E4369">
        <v>0.55714339999999996</v>
      </c>
      <c r="F4369" t="s">
        <v>41</v>
      </c>
      <c r="G4369">
        <v>-189.56360000000001</v>
      </c>
      <c r="H4369">
        <v>0.99791600000000003</v>
      </c>
      <c r="I4369">
        <v>196.43440000000001</v>
      </c>
      <c r="J4369">
        <v>-189.46690000000001</v>
      </c>
      <c r="K4369">
        <v>1.1003459999999901</v>
      </c>
      <c r="L4369">
        <v>197.02119999999999</v>
      </c>
      <c r="M4369">
        <v>0.14454819999999999</v>
      </c>
      <c r="N4369">
        <v>-1.060118E-2</v>
      </c>
      <c r="O4369">
        <v>-0.98944100000000001</v>
      </c>
      <c r="P4369">
        <v>4.36058E-2</v>
      </c>
      <c r="Q4369">
        <v>0.35485450000000002</v>
      </c>
      <c r="R4369">
        <v>-0.93390430000000002</v>
      </c>
      <c r="S4369">
        <v>-0.2369232</v>
      </c>
      <c r="T4369">
        <v>-0.38748650000000001</v>
      </c>
      <c r="U4369">
        <v>-3.369049</v>
      </c>
      <c r="V4369">
        <v>0.1007618</v>
      </c>
      <c r="W4369">
        <v>0.36233799999999999</v>
      </c>
      <c r="X4369">
        <v>0.92658419999999997</v>
      </c>
      <c r="Y4369">
        <v>0.2131024</v>
      </c>
      <c r="Z4369">
        <v>0.1004201</v>
      </c>
      <c r="AA4369">
        <v>0.97185549999999998</v>
      </c>
      <c r="AB4369">
        <v>28</v>
      </c>
      <c r="AC4369">
        <v>-9.6699999999998398E-2</v>
      </c>
      <c r="AD4369">
        <v>-0.10242999999999899</v>
      </c>
      <c r="AE4369">
        <v>-0.586799999999982</v>
      </c>
      <c r="AF4369">
        <v>0.17530949211558</v>
      </c>
      <c r="AG4369">
        <v>-0.10242999999999899</v>
      </c>
      <c r="AH4369">
        <v>0.55033263219386896</v>
      </c>
      <c r="AI4369">
        <v>100.05645922695599</v>
      </c>
      <c r="AJ4369">
        <v>72.330624336818801</v>
      </c>
      <c r="AK4369">
        <v>0.58659298408969596</v>
      </c>
      <c r="AL4369">
        <v>68.756150304443693</v>
      </c>
      <c r="AM4369">
        <v>83.793733189487199</v>
      </c>
      <c r="AN4369">
        <v>1.0000000231364301</v>
      </c>
    </row>
    <row r="4370" spans="1:40" x14ac:dyDescent="0.25">
      <c r="A4370" t="str">
        <f>"20190304164938098"</f>
        <v>20190304164938098</v>
      </c>
      <c r="B4370" t="str">
        <f>"1551689378090504"</f>
        <v>1551689378090504</v>
      </c>
      <c r="C4370" t="s">
        <v>40</v>
      </c>
      <c r="D4370">
        <v>4.785927</v>
      </c>
      <c r="E4370">
        <v>0.555656699999999</v>
      </c>
      <c r="F4370" t="s">
        <v>41</v>
      </c>
      <c r="G4370">
        <v>-189.5275</v>
      </c>
      <c r="H4370">
        <v>1.009125</v>
      </c>
      <c r="I4370">
        <v>196.17769999999999</v>
      </c>
      <c r="J4370">
        <v>-189.45179999999999</v>
      </c>
      <c r="K4370">
        <v>1.1003639999999999</v>
      </c>
      <c r="L4370">
        <v>196.87450000000001</v>
      </c>
      <c r="M4370">
        <v>0.13794819999999999</v>
      </c>
      <c r="N4370">
        <v>-1.059351E-2</v>
      </c>
      <c r="O4370">
        <v>-0.99038309999999996</v>
      </c>
      <c r="P4370">
        <v>4.1403710000000003E-2</v>
      </c>
      <c r="Q4370">
        <v>0.35528939999999998</v>
      </c>
      <c r="R4370">
        <v>-0.93383930000000004</v>
      </c>
      <c r="S4370">
        <v>-0.24084469999999999</v>
      </c>
      <c r="T4370">
        <v>-0.362985</v>
      </c>
      <c r="U4370">
        <v>-3.3614649999999999</v>
      </c>
      <c r="V4370">
        <v>9.6727969999999996E-2</v>
      </c>
      <c r="W4370">
        <v>0.36286990000000002</v>
      </c>
      <c r="X4370">
        <v>0.92680589999999996</v>
      </c>
      <c r="Y4370">
        <v>0.20792720000000001</v>
      </c>
      <c r="Z4370">
        <v>9.3923290000000006E-2</v>
      </c>
      <c r="AA4370">
        <v>0.9736245</v>
      </c>
      <c r="AB4370">
        <v>28</v>
      </c>
      <c r="AC4370">
        <v>-7.57000000000118E-2</v>
      </c>
      <c r="AD4370">
        <v>-9.1238999999999806E-2</v>
      </c>
      <c r="AE4370">
        <v>-0.69680000000002396</v>
      </c>
      <c r="AF4370">
        <v>0.168252763365004</v>
      </c>
      <c r="AG4370">
        <v>-9.1238999999999806E-2</v>
      </c>
      <c r="AH4370">
        <v>0.66836849903344298</v>
      </c>
      <c r="AI4370">
        <v>97.540963722021502</v>
      </c>
      <c r="AJ4370">
        <v>75.870151987842405</v>
      </c>
      <c r="AK4370">
        <v>0.69523377219549498</v>
      </c>
      <c r="AL4370">
        <v>68.723449086529001</v>
      </c>
      <c r="AM4370">
        <v>84.041780996608594</v>
      </c>
      <c r="AN4370">
        <v>1.0000000203905699</v>
      </c>
    </row>
    <row r="4371" spans="1:40" x14ac:dyDescent="0.25">
      <c r="A4371" t="str">
        <f>"20190304164938109"</f>
        <v>20190304164938109</v>
      </c>
      <c r="B4371" t="str">
        <f>"1551689378100265"</f>
        <v>1551689378100265</v>
      </c>
      <c r="C4371" t="s">
        <v>40</v>
      </c>
      <c r="D4371">
        <v>4.6634159999999998</v>
      </c>
      <c r="E4371">
        <v>0.55404790000000004</v>
      </c>
      <c r="F4371" t="s">
        <v>41</v>
      </c>
      <c r="G4371">
        <v>-189.51900000000001</v>
      </c>
      <c r="H4371">
        <v>0.9960253</v>
      </c>
      <c r="I4371">
        <v>195.92740000000001</v>
      </c>
      <c r="J4371">
        <v>-189.43790000000001</v>
      </c>
      <c r="K4371">
        <v>1.1003810000000001</v>
      </c>
      <c r="L4371">
        <v>196.72819999999999</v>
      </c>
      <c r="M4371">
        <v>0.13137969999999999</v>
      </c>
      <c r="N4371">
        <v>-1.058658E-2</v>
      </c>
      <c r="O4371">
        <v>-0.99127569999999998</v>
      </c>
      <c r="P4371">
        <v>3.8770409999999998E-2</v>
      </c>
      <c r="Q4371">
        <v>0.35511310000000001</v>
      </c>
      <c r="R4371">
        <v>-0.93401920000000005</v>
      </c>
      <c r="S4371">
        <v>-0.2384491</v>
      </c>
      <c r="T4371">
        <v>-0.37049959999999998</v>
      </c>
      <c r="U4371">
        <v>-3.3640590000000001</v>
      </c>
      <c r="V4371">
        <v>9.317491E-2</v>
      </c>
      <c r="W4371">
        <v>0.36278149999999998</v>
      </c>
      <c r="X4371">
        <v>0.92720440000000004</v>
      </c>
      <c r="Y4371">
        <v>0.2006821</v>
      </c>
      <c r="Z4371">
        <v>9.6224550000000006E-2</v>
      </c>
      <c r="AA4371">
        <v>0.97491930000000004</v>
      </c>
      <c r="AB4371">
        <v>28</v>
      </c>
      <c r="AC4371">
        <v>-8.1099999999992095E-2</v>
      </c>
      <c r="AD4371">
        <v>-0.104355699999999</v>
      </c>
      <c r="AE4371">
        <v>-0.80079999999998097</v>
      </c>
      <c r="AF4371">
        <v>0.18254325909363101</v>
      </c>
      <c r="AG4371">
        <v>-0.104355699999999</v>
      </c>
      <c r="AH4371">
        <v>0.77025495701497104</v>
      </c>
      <c r="AI4371">
        <v>97.5100243354442</v>
      </c>
      <c r="AJ4371">
        <v>76.667407531995494</v>
      </c>
      <c r="AK4371">
        <v>0.79843900979921401</v>
      </c>
      <c r="AL4371">
        <v>68.728883734470401</v>
      </c>
      <c r="AM4371">
        <v>84.261602695698102</v>
      </c>
      <c r="AN4371">
        <v>0.99999998998755901</v>
      </c>
    </row>
    <row r="4372" spans="1:40" x14ac:dyDescent="0.25">
      <c r="A4372" t="str">
        <f>"20190304164938120"</f>
        <v>20190304164938120</v>
      </c>
      <c r="B4372" t="str">
        <f>"1551689378110026"</f>
        <v>1551689378110026</v>
      </c>
      <c r="C4372" t="s">
        <v>40</v>
      </c>
      <c r="D4372">
        <v>4.8004759999999997</v>
      </c>
      <c r="E4372">
        <v>0.55320689999999995</v>
      </c>
      <c r="F4372" t="s">
        <v>41</v>
      </c>
      <c r="G4372">
        <v>-189.49459999999999</v>
      </c>
      <c r="H4372">
        <v>1.0128440000000001</v>
      </c>
      <c r="I4372">
        <v>195.92320000000001</v>
      </c>
      <c r="J4372">
        <v>-189.42519999999999</v>
      </c>
      <c r="K4372">
        <v>1.100398</v>
      </c>
      <c r="L4372">
        <v>196.5856</v>
      </c>
      <c r="M4372">
        <v>0.1249961</v>
      </c>
      <c r="N4372">
        <v>-1.05808E-2</v>
      </c>
      <c r="O4372">
        <v>-0.99210100000000001</v>
      </c>
      <c r="P4372">
        <v>3.6537739999999999E-2</v>
      </c>
      <c r="Q4372">
        <v>0.35472749999999997</v>
      </c>
      <c r="R4372">
        <v>-0.93425550000000002</v>
      </c>
      <c r="S4372">
        <v>-0.23690800000000001</v>
      </c>
      <c r="T4372">
        <v>-0.36535859999999998</v>
      </c>
      <c r="U4372">
        <v>-3.360687</v>
      </c>
      <c r="V4372">
        <v>8.9401499999999995E-2</v>
      </c>
      <c r="W4372">
        <v>0.36249120000000001</v>
      </c>
      <c r="X4372">
        <v>0.92768930000000005</v>
      </c>
      <c r="Y4372">
        <v>0.19401109999999999</v>
      </c>
      <c r="Z4372">
        <v>9.5078869999999996E-2</v>
      </c>
      <c r="AA4372">
        <v>0.9763809</v>
      </c>
      <c r="AB4372">
        <v>28</v>
      </c>
      <c r="AC4372">
        <v>-6.9400000000001599E-2</v>
      </c>
      <c r="AD4372">
        <v>-8.7553999999999896E-2</v>
      </c>
      <c r="AE4372">
        <v>-0.662399999999991</v>
      </c>
      <c r="AF4372">
        <v>0.14908140416122301</v>
      </c>
      <c r="AG4372">
        <v>-8.7553999999999896E-2</v>
      </c>
      <c r="AH4372">
        <v>0.63751227445742997</v>
      </c>
      <c r="AI4372">
        <v>97.616923489573495</v>
      </c>
      <c r="AJ4372">
        <v>76.837978260833495</v>
      </c>
      <c r="AK4372">
        <v>0.66053983079490897</v>
      </c>
      <c r="AL4372">
        <v>68.746731095845007</v>
      </c>
      <c r="AM4372">
        <v>84.495399419647796</v>
      </c>
      <c r="AN4372">
        <v>0.999999967807089</v>
      </c>
    </row>
    <row r="4373" spans="1:40" x14ac:dyDescent="0.25">
      <c r="A4373" t="str">
        <f>"20190304164938133"</f>
        <v>20190304164938133</v>
      </c>
      <c r="B4373" t="str">
        <f>"1551689378130521"</f>
        <v>1551689378130521</v>
      </c>
      <c r="C4373" t="s">
        <v>40</v>
      </c>
      <c r="D4373">
        <v>4.7632440000000003</v>
      </c>
      <c r="E4373">
        <v>0.55167390000000005</v>
      </c>
      <c r="F4373" t="s">
        <v>41</v>
      </c>
      <c r="G4373">
        <v>-189.49029999999999</v>
      </c>
      <c r="H4373">
        <v>0.9988977</v>
      </c>
      <c r="I4373">
        <v>195.6721</v>
      </c>
      <c r="J4373">
        <v>-189.4118</v>
      </c>
      <c r="K4373">
        <v>1.100417</v>
      </c>
      <c r="L4373">
        <v>196.42609999999999</v>
      </c>
      <c r="M4373">
        <v>0.117869</v>
      </c>
      <c r="N4373">
        <v>-1.057553E-2</v>
      </c>
      <c r="O4373">
        <v>-0.99297299999999999</v>
      </c>
      <c r="P4373">
        <v>3.3704850000000001E-2</v>
      </c>
      <c r="Q4373">
        <v>0.35423460000000001</v>
      </c>
      <c r="R4373">
        <v>-0.93454930000000003</v>
      </c>
      <c r="S4373">
        <v>-0.23919679999999999</v>
      </c>
      <c r="T4373">
        <v>-0.3730619</v>
      </c>
      <c r="U4373">
        <v>-3.3621059999999998</v>
      </c>
      <c r="V4373">
        <v>8.5527359999999997E-2</v>
      </c>
      <c r="W4373">
        <v>0.36209750000000002</v>
      </c>
      <c r="X4373">
        <v>0.92820820000000004</v>
      </c>
      <c r="Y4373">
        <v>0.1875822</v>
      </c>
      <c r="Z4373">
        <v>9.7455219999999995E-2</v>
      </c>
      <c r="AA4373">
        <v>0.9774024</v>
      </c>
      <c r="AB4373">
        <v>28</v>
      </c>
      <c r="AC4373">
        <v>-7.8499999999991105E-2</v>
      </c>
      <c r="AD4373">
        <v>-0.10151930000000001</v>
      </c>
      <c r="AE4373">
        <v>-0.75399999999999001</v>
      </c>
      <c r="AF4373">
        <v>0.16389170717160201</v>
      </c>
      <c r="AG4373">
        <v>-0.10151930000000001</v>
      </c>
      <c r="AH4373">
        <v>0.72646193325328201</v>
      </c>
      <c r="AI4373">
        <v>97.762644276460605</v>
      </c>
      <c r="AJ4373">
        <v>77.286757525240603</v>
      </c>
      <c r="AK4373">
        <v>0.75160734457441802</v>
      </c>
      <c r="AL4373">
        <v>68.770933225912302</v>
      </c>
      <c r="AM4373">
        <v>84.735492962341795</v>
      </c>
      <c r="AN4373">
        <v>0.99999999568102904</v>
      </c>
    </row>
    <row r="4374" spans="1:40" x14ac:dyDescent="0.25">
      <c r="A4374" t="str">
        <f>"20190304164938146"</f>
        <v>20190304164938146</v>
      </c>
      <c r="B4374" t="str">
        <f>"1551689378140281"</f>
        <v>1551689378140281</v>
      </c>
      <c r="C4374" t="s">
        <v>40</v>
      </c>
      <c r="D4374">
        <v>4.7629960000000002</v>
      </c>
      <c r="E4374">
        <v>0.55105300000000002</v>
      </c>
      <c r="F4374" t="s">
        <v>41</v>
      </c>
      <c r="G4374">
        <v>-189.46539999999999</v>
      </c>
      <c r="H4374">
        <v>1.013117</v>
      </c>
      <c r="I4374">
        <v>195.6687</v>
      </c>
      <c r="J4374">
        <v>-189.4006</v>
      </c>
      <c r="K4374">
        <v>1.100447</v>
      </c>
      <c r="L4374">
        <v>196.27350000000001</v>
      </c>
      <c r="M4374">
        <v>0.1110927</v>
      </c>
      <c r="N4374">
        <v>-1.0570380000000001E-2</v>
      </c>
      <c r="O4374">
        <v>-0.99375409999999997</v>
      </c>
      <c r="P4374">
        <v>3.135081E-2</v>
      </c>
      <c r="Q4374">
        <v>0.35318149999999998</v>
      </c>
      <c r="R4374">
        <v>-0.93502989999999997</v>
      </c>
      <c r="S4374">
        <v>-0.23738100000000001</v>
      </c>
      <c r="T4374">
        <v>-0.38738539999999999</v>
      </c>
      <c r="U4374">
        <v>-3.3655089999999999</v>
      </c>
      <c r="V4374">
        <v>8.1506389999999998E-2</v>
      </c>
      <c r="W4374">
        <v>0.36115049999999999</v>
      </c>
      <c r="X4374">
        <v>0.92893859999999995</v>
      </c>
      <c r="Y4374">
        <v>0.18025430000000001</v>
      </c>
      <c r="Z4374">
        <v>0.1016647</v>
      </c>
      <c r="AA4374">
        <v>0.978352</v>
      </c>
      <c r="AB4374">
        <v>28</v>
      </c>
      <c r="AC4374">
        <v>-6.4799999999991004E-2</v>
      </c>
      <c r="AD4374">
        <v>-8.7329999999999894E-2</v>
      </c>
      <c r="AE4374">
        <v>-0.604800000000011</v>
      </c>
      <c r="AF4374">
        <v>0.12893370612607999</v>
      </c>
      <c r="AG4374">
        <v>-8.7329999999999894E-2</v>
      </c>
      <c r="AH4374">
        <v>0.58186261927486305</v>
      </c>
      <c r="AI4374">
        <v>98.3363728236219</v>
      </c>
      <c r="AJ4374">
        <v>77.505831537236404</v>
      </c>
      <c r="AK4374">
        <v>0.602340881216617</v>
      </c>
      <c r="AL4374">
        <v>68.829129880780897</v>
      </c>
      <c r="AM4374">
        <v>84.985628556274904</v>
      </c>
      <c r="AN4374">
        <v>0.99999994891551902</v>
      </c>
    </row>
    <row r="4375" spans="1:40" x14ac:dyDescent="0.25">
      <c r="A4375" t="str">
        <f>"20190304164938157"</f>
        <v>20190304164938157</v>
      </c>
      <c r="B4375" t="str">
        <f>"1551689378150041"</f>
        <v>1551689378150041</v>
      </c>
      <c r="C4375" t="s">
        <v>40</v>
      </c>
      <c r="D4375">
        <v>4.7324349999999997</v>
      </c>
      <c r="E4375">
        <v>0.5505641</v>
      </c>
      <c r="F4375" t="s">
        <v>41</v>
      </c>
      <c r="G4375">
        <v>-189.46209999999999</v>
      </c>
      <c r="H4375">
        <v>0.99962390000000001</v>
      </c>
      <c r="I4375">
        <v>195.41720000000001</v>
      </c>
      <c r="J4375">
        <v>-189.38890000000001</v>
      </c>
      <c r="K4375">
        <v>1.100495</v>
      </c>
      <c r="L4375">
        <v>196.1061</v>
      </c>
      <c r="M4375">
        <v>0.10369109999999999</v>
      </c>
      <c r="N4375">
        <v>-1.05649E-2</v>
      </c>
      <c r="O4375">
        <v>-0.99455369999999998</v>
      </c>
      <c r="P4375">
        <v>2.859109E-2</v>
      </c>
      <c r="Q4375">
        <v>0.35224499999999997</v>
      </c>
      <c r="R4375">
        <v>-0.93547139999999995</v>
      </c>
      <c r="S4375">
        <v>-0.2415619</v>
      </c>
      <c r="T4375">
        <v>-0.39614440000000001</v>
      </c>
      <c r="U4375">
        <v>-3.3661650000000001</v>
      </c>
      <c r="V4375">
        <v>7.7289629999999998E-2</v>
      </c>
      <c r="W4375">
        <v>0.36032609999999998</v>
      </c>
      <c r="X4375">
        <v>0.92961899999999997</v>
      </c>
      <c r="Y4375">
        <v>0.1741066</v>
      </c>
      <c r="Z4375">
        <v>0.1043559</v>
      </c>
      <c r="AA4375">
        <v>0.97918159999999999</v>
      </c>
      <c r="AB4375">
        <v>28</v>
      </c>
      <c r="AC4375">
        <v>-7.3199999999985693E-2</v>
      </c>
      <c r="AD4375">
        <v>-0.10087110000000001</v>
      </c>
      <c r="AE4375">
        <v>-0.68889999999998897</v>
      </c>
      <c r="AF4375">
        <v>0.14124762756874301</v>
      </c>
      <c r="AG4375">
        <v>-0.10087110000000001</v>
      </c>
      <c r="AH4375">
        <v>0.66352838861885599</v>
      </c>
      <c r="AI4375">
        <v>98.457381530512606</v>
      </c>
      <c r="AJ4375">
        <v>77.982625450157798</v>
      </c>
      <c r="AK4375">
        <v>0.68585406145341499</v>
      </c>
      <c r="AL4375">
        <v>68.879776491844197</v>
      </c>
      <c r="AM4375">
        <v>85.247291555189307</v>
      </c>
      <c r="AN4375">
        <v>1.00000003520387</v>
      </c>
    </row>
    <row r="4376" spans="1:40" x14ac:dyDescent="0.25">
      <c r="A4376" t="str">
        <f>"20190304164938169"</f>
        <v>20190304164938169</v>
      </c>
      <c r="B4376" t="str">
        <f>"1551689378160777"</f>
        <v>1551689378160777</v>
      </c>
      <c r="C4376" t="s">
        <v>40</v>
      </c>
      <c r="D4376">
        <v>4.7678979999999997</v>
      </c>
      <c r="E4376">
        <v>0.55000000000000004</v>
      </c>
      <c r="F4376" t="s">
        <v>41</v>
      </c>
      <c r="G4376">
        <v>-189.45869999999999</v>
      </c>
      <c r="H4376">
        <v>0.98766580000000004</v>
      </c>
      <c r="I4376">
        <v>195.16480000000001</v>
      </c>
      <c r="J4376">
        <v>-189.37950000000001</v>
      </c>
      <c r="K4376">
        <v>1.1005499999999999</v>
      </c>
      <c r="L4376">
        <v>195.952</v>
      </c>
      <c r="M4376">
        <v>9.6935789999999994E-2</v>
      </c>
      <c r="N4376">
        <v>-1.055942E-2</v>
      </c>
      <c r="O4376">
        <v>-0.99523479999999998</v>
      </c>
      <c r="P4376">
        <v>2.6276910000000001E-2</v>
      </c>
      <c r="Q4376">
        <v>0.35148699999999999</v>
      </c>
      <c r="R4376">
        <v>-0.93582419999999999</v>
      </c>
      <c r="S4376">
        <v>-0.249527</v>
      </c>
      <c r="T4376">
        <v>-0.40331479999999997</v>
      </c>
      <c r="U4376">
        <v>-3.3664550000000002</v>
      </c>
      <c r="V4376">
        <v>7.3219039999999999E-2</v>
      </c>
      <c r="W4376">
        <v>0.3596761</v>
      </c>
      <c r="X4376">
        <v>0.93020000000000003</v>
      </c>
      <c r="Y4376">
        <v>0.1697022</v>
      </c>
      <c r="Z4376">
        <v>0.106563</v>
      </c>
      <c r="AA4376">
        <v>0.97971710000000001</v>
      </c>
      <c r="AB4376">
        <v>28</v>
      </c>
      <c r="AC4376">
        <v>-7.9199999999985907E-2</v>
      </c>
      <c r="AD4376">
        <v>-0.112884199999999</v>
      </c>
      <c r="AE4376">
        <v>-0.78719999999998402</v>
      </c>
      <c r="AF4376">
        <v>0.15204385514640301</v>
      </c>
      <c r="AG4376">
        <v>-0.112884199999999</v>
      </c>
      <c r="AH4376">
        <v>0.76033617240124296</v>
      </c>
      <c r="AI4376">
        <v>98.283151663830495</v>
      </c>
      <c r="AJ4376">
        <v>78.691761545230705</v>
      </c>
      <c r="AK4376">
        <v>0.783563189257377</v>
      </c>
      <c r="AL4376">
        <v>68.919694057112807</v>
      </c>
      <c r="AM4376">
        <v>85.499344236253606</v>
      </c>
      <c r="AN4376">
        <v>0.99999998236486498</v>
      </c>
    </row>
    <row r="4377" spans="1:40" x14ac:dyDescent="0.25">
      <c r="A4377" t="str">
        <f>"20190304164938188"</f>
        <v>20190304164938188</v>
      </c>
      <c r="B4377" t="str">
        <f>"1551689378180730"</f>
        <v>1551689378180730</v>
      </c>
      <c r="C4377" t="s">
        <v>40</v>
      </c>
      <c r="D4377">
        <v>4.7913730000000001</v>
      </c>
      <c r="E4377">
        <v>0.54892299999999905</v>
      </c>
      <c r="F4377" t="s">
        <v>41</v>
      </c>
      <c r="G4377">
        <v>-189.43950000000001</v>
      </c>
      <c r="H4377">
        <v>1.0039610000000001</v>
      </c>
      <c r="I4377">
        <v>195.1592</v>
      </c>
      <c r="J4377">
        <v>-189.36699999999999</v>
      </c>
      <c r="K4377">
        <v>1.1006549999999999</v>
      </c>
      <c r="L4377">
        <v>195.71780000000001</v>
      </c>
      <c r="M4377">
        <v>8.6773580000000003E-2</v>
      </c>
      <c r="N4377">
        <v>-1.055216E-2</v>
      </c>
      <c r="O4377">
        <v>-0.99617239999999996</v>
      </c>
      <c r="P4377">
        <v>2.3423820000000001E-2</v>
      </c>
      <c r="Q4377">
        <v>0.35063430000000001</v>
      </c>
      <c r="R4377">
        <v>-0.93621949999999998</v>
      </c>
      <c r="S4377">
        <v>-0.25448609999999999</v>
      </c>
      <c r="T4377">
        <v>-0.40997270000000002</v>
      </c>
      <c r="U4377">
        <v>-3.3668520000000002</v>
      </c>
      <c r="V4377">
        <v>6.6445920000000006E-2</v>
      </c>
      <c r="W4377">
        <v>0.359002299999999</v>
      </c>
      <c r="X4377">
        <v>0.93096849999999998</v>
      </c>
      <c r="Y4377">
        <v>0.16105329999999901</v>
      </c>
      <c r="Z4377">
        <v>0.10871790000000001</v>
      </c>
      <c r="AA4377">
        <v>0.98093949999999996</v>
      </c>
      <c r="AB4377">
        <v>28</v>
      </c>
      <c r="AC4377">
        <v>-7.2499999999990905E-2</v>
      </c>
      <c r="AD4377">
        <v>-9.6693999999999794E-2</v>
      </c>
      <c r="AE4377">
        <v>-0.55860000000001198</v>
      </c>
      <c r="AF4377">
        <v>0.11724597503833301</v>
      </c>
      <c r="AG4377">
        <v>-9.6693999999999794E-2</v>
      </c>
      <c r="AH4377">
        <v>0.53445238374676995</v>
      </c>
      <c r="AI4377">
        <v>100.021794954268</v>
      </c>
      <c r="AJ4377">
        <v>77.626693189273894</v>
      </c>
      <c r="AK4377">
        <v>0.55563990028731203</v>
      </c>
      <c r="AL4377">
        <v>68.961064164583604</v>
      </c>
      <c r="AM4377">
        <v>85.917556880168107</v>
      </c>
      <c r="AN4377">
        <v>1.00000002984109</v>
      </c>
    </row>
    <row r="4378" spans="1:40" x14ac:dyDescent="0.25">
      <c r="A4378" t="str">
        <f>"20190304164938210"</f>
        <v>20190304164938210</v>
      </c>
      <c r="B4378" t="str">
        <f>"1551689378200246"</f>
        <v>1551689378200246</v>
      </c>
      <c r="C4378" t="s">
        <v>40</v>
      </c>
      <c r="D4378">
        <v>4.7995900000000002</v>
      </c>
      <c r="E4378">
        <v>0.54787050000000004</v>
      </c>
      <c r="F4378" t="s">
        <v>41</v>
      </c>
      <c r="G4378">
        <v>-189.42850000000001</v>
      </c>
      <c r="H4378">
        <v>0.99885860000000004</v>
      </c>
      <c r="I4378">
        <v>194.9042</v>
      </c>
      <c r="J4378">
        <v>-189.3544</v>
      </c>
      <c r="K4378">
        <v>1.100838</v>
      </c>
      <c r="L4378">
        <v>195.42910000000001</v>
      </c>
      <c r="M4378">
        <v>7.4467790000000006E-2</v>
      </c>
      <c r="N4378">
        <v>-1.054627E-2</v>
      </c>
      <c r="O4378">
        <v>-0.99716780000000005</v>
      </c>
      <c r="P4378">
        <v>1.5761339999999999E-2</v>
      </c>
      <c r="Q4378">
        <v>0.35123339999999997</v>
      </c>
      <c r="R4378">
        <v>-0.93615570000000004</v>
      </c>
      <c r="S4378">
        <v>-0.25469969999999997</v>
      </c>
      <c r="T4378">
        <v>-0.42133880000000001</v>
      </c>
      <c r="U4378">
        <v>-3.3685299999999998</v>
      </c>
      <c r="V4378">
        <v>6.239923E-2</v>
      </c>
      <c r="W4378">
        <v>0.35971520000000001</v>
      </c>
      <c r="X4378">
        <v>0.9309733</v>
      </c>
      <c r="Y4378">
        <v>0.14885989999999999</v>
      </c>
      <c r="Z4378">
        <v>0.1122316</v>
      </c>
      <c r="AA4378">
        <v>0.98246869999999997</v>
      </c>
      <c r="AB4378">
        <v>28</v>
      </c>
      <c r="AC4378">
        <v>-7.4100000000015598E-2</v>
      </c>
      <c r="AD4378">
        <v>-0.1019794</v>
      </c>
      <c r="AE4378">
        <v>-0.52490000000000203</v>
      </c>
      <c r="AF4378">
        <v>0.108952376100952</v>
      </c>
      <c r="AG4378">
        <v>-0.1019794</v>
      </c>
      <c r="AH4378">
        <v>0.49944048237871402</v>
      </c>
      <c r="AI4378">
        <v>101.282139797383</v>
      </c>
      <c r="AJ4378">
        <v>77.693786288528401</v>
      </c>
      <c r="AK4378">
        <v>0.52125925768381898</v>
      </c>
      <c r="AL4378">
        <v>68.917293200949004</v>
      </c>
      <c r="AM4378">
        <v>86.165439891424498</v>
      </c>
      <c r="AN4378">
        <v>0.99999998716426097</v>
      </c>
    </row>
    <row r="4379" spans="1:40" x14ac:dyDescent="0.25">
      <c r="A4379" t="str">
        <f>"20190304164938232"</f>
        <v>20190304164938232</v>
      </c>
      <c r="B4379" t="str">
        <f>"1551689378220742"</f>
        <v>1551689378220742</v>
      </c>
      <c r="C4379" t="s">
        <v>40</v>
      </c>
      <c r="D4379">
        <v>4.783029</v>
      </c>
      <c r="E4379">
        <v>0.54696219999999995</v>
      </c>
      <c r="F4379" t="s">
        <v>41</v>
      </c>
      <c r="G4379">
        <v>-189.41640000000001</v>
      </c>
      <c r="H4379">
        <v>1.0022230000000001</v>
      </c>
      <c r="I4379">
        <v>194.6448</v>
      </c>
      <c r="J4379">
        <v>-189.34530000000001</v>
      </c>
      <c r="K4379">
        <v>1.101062</v>
      </c>
      <c r="L4379">
        <v>195.1474</v>
      </c>
      <c r="M4379">
        <v>6.2770229999999996E-2</v>
      </c>
      <c r="N4379">
        <v>-1.0543510000000001E-2</v>
      </c>
      <c r="O4379">
        <v>-0.99797219999999998</v>
      </c>
      <c r="P4379">
        <v>1.008907E-2</v>
      </c>
      <c r="Q4379">
        <v>0.34953790000000001</v>
      </c>
      <c r="R4379">
        <v>-0.93686800000000003</v>
      </c>
      <c r="S4379">
        <v>-0.26527399999999901</v>
      </c>
      <c r="T4379">
        <v>-0.42304839999999999</v>
      </c>
      <c r="U4379">
        <v>-3.3677980000000001</v>
      </c>
      <c r="V4379">
        <v>5.6911650000000001E-2</v>
      </c>
      <c r="W4379">
        <v>0.35818070000000002</v>
      </c>
      <c r="X4379">
        <v>0.93191610000000003</v>
      </c>
      <c r="Y4379">
        <v>0.1403431</v>
      </c>
      <c r="Z4379">
        <v>0.1129681</v>
      </c>
      <c r="AA4379">
        <v>0.98363719999999999</v>
      </c>
      <c r="AB4379">
        <v>28</v>
      </c>
      <c r="AC4379">
        <v>-7.1100000000001204E-2</v>
      </c>
      <c r="AD4379">
        <v>-9.8839000000000093E-2</v>
      </c>
      <c r="AE4379">
        <v>-0.50260000000000105</v>
      </c>
      <c r="AF4379">
        <v>9.8765207918116493E-2</v>
      </c>
      <c r="AG4379">
        <v>-9.8839000000000093E-2</v>
      </c>
      <c r="AH4379">
        <v>0.47898503169149498</v>
      </c>
      <c r="AI4379">
        <v>101.42554019646499</v>
      </c>
      <c r="AJ4379">
        <v>78.349080092798104</v>
      </c>
      <c r="AK4379">
        <v>0.498949270768694</v>
      </c>
      <c r="AL4379">
        <v>69.011491092664301</v>
      </c>
      <c r="AM4379">
        <v>86.505315553630794</v>
      </c>
      <c r="AN4379">
        <v>0.99999998359871101</v>
      </c>
    </row>
    <row r="4380" spans="1:40" x14ac:dyDescent="0.25">
      <c r="A4380" t="str">
        <f>"20190304164938253"</f>
        <v>20190304164938253</v>
      </c>
      <c r="B4380" t="str">
        <f>"1551689378250022"</f>
        <v>1551689378250022</v>
      </c>
      <c r="C4380" t="s">
        <v>40</v>
      </c>
      <c r="D4380">
        <v>4.7736729999999996</v>
      </c>
      <c r="E4380">
        <v>0.54573039999999995</v>
      </c>
      <c r="F4380" t="s">
        <v>41</v>
      </c>
      <c r="G4380">
        <v>-189.40790000000001</v>
      </c>
      <c r="H4380">
        <v>1.0028490000000001</v>
      </c>
      <c r="I4380">
        <v>194.38630000000001</v>
      </c>
      <c r="J4380">
        <v>-189.33920000000001</v>
      </c>
      <c r="K4380">
        <v>1.101345</v>
      </c>
      <c r="L4380">
        <v>194.8683</v>
      </c>
      <c r="M4380">
        <v>5.157233E-2</v>
      </c>
      <c r="N4380">
        <v>-1.0545870000000001E-2</v>
      </c>
      <c r="O4380">
        <v>-0.99861359999999999</v>
      </c>
      <c r="P4380">
        <v>6.1517619999999999E-3</v>
      </c>
      <c r="Q4380">
        <v>0.34796729999999998</v>
      </c>
      <c r="R4380">
        <v>-0.93748629999999999</v>
      </c>
      <c r="S4380">
        <v>-0.27687070000000003</v>
      </c>
      <c r="T4380">
        <v>-0.43452479999999899</v>
      </c>
      <c r="U4380">
        <v>-3.3672490000000002</v>
      </c>
      <c r="V4380">
        <v>5.0106530000000003E-2</v>
      </c>
      <c r="W4380">
        <v>0.35680460000000003</v>
      </c>
      <c r="X4380">
        <v>0.93283430000000001</v>
      </c>
      <c r="Y4380">
        <v>0.13258320000000001</v>
      </c>
      <c r="Z4380">
        <v>0.1164632</v>
      </c>
      <c r="AA4380">
        <v>0.98430589999999996</v>
      </c>
      <c r="AB4380">
        <v>28</v>
      </c>
      <c r="AC4380">
        <v>-6.8700000000006797E-2</v>
      </c>
      <c r="AD4380">
        <v>-9.8496000000000097E-2</v>
      </c>
      <c r="AE4380">
        <v>-0.48199999999999898</v>
      </c>
      <c r="AF4380">
        <v>8.9792869778454104E-2</v>
      </c>
      <c r="AG4380">
        <v>-9.8496000000000097E-2</v>
      </c>
      <c r="AH4380">
        <v>0.45902867871128999</v>
      </c>
      <c r="AI4380">
        <v>101.891802923657</v>
      </c>
      <c r="AJ4380">
        <v>78.931851848770506</v>
      </c>
      <c r="AK4380">
        <v>0.477986976138977</v>
      </c>
      <c r="AL4380">
        <v>69.095915451007201</v>
      </c>
      <c r="AM4380">
        <v>86.925352757575496</v>
      </c>
      <c r="AN4380">
        <v>1.00000000909314</v>
      </c>
    </row>
    <row r="4381" spans="1:40" x14ac:dyDescent="0.25">
      <c r="A4381" t="str">
        <f>"20190304164938267"</f>
        <v>20190304164938267</v>
      </c>
      <c r="B4381" t="str">
        <f>"1551689378260759"</f>
        <v>1551689378260759</v>
      </c>
      <c r="C4381" t="s">
        <v>40</v>
      </c>
      <c r="D4381">
        <v>4.7846270000000004</v>
      </c>
      <c r="E4381">
        <v>0.54532499999999995</v>
      </c>
      <c r="F4381" t="s">
        <v>41</v>
      </c>
      <c r="G4381">
        <v>-189.4023</v>
      </c>
      <c r="H4381">
        <v>1.0032970000000001</v>
      </c>
      <c r="I4381">
        <v>194.12729999999999</v>
      </c>
      <c r="J4381">
        <v>-189.33680000000001</v>
      </c>
      <c r="K4381">
        <v>1.1015680000000001</v>
      </c>
      <c r="L4381">
        <v>194.68819999999999</v>
      </c>
      <c r="M4381">
        <v>4.4648399999999998E-2</v>
      </c>
      <c r="N4381">
        <v>-1.054895E-2</v>
      </c>
      <c r="O4381">
        <v>-0.99894700000000003</v>
      </c>
      <c r="P4381">
        <v>1.6582249999999999E-3</v>
      </c>
      <c r="Q4381">
        <v>0.34794449999999999</v>
      </c>
      <c r="R4381">
        <v>-0.93751359999999995</v>
      </c>
      <c r="S4381">
        <v>-0.28611760000000003</v>
      </c>
      <c r="T4381">
        <v>-0.44514429999999999</v>
      </c>
      <c r="U4381">
        <v>-3.3671419999999999</v>
      </c>
      <c r="V4381">
        <v>4.7915970000000002E-2</v>
      </c>
      <c r="W4381">
        <v>0.35685489999999997</v>
      </c>
      <c r="X4381">
        <v>0.93293009999999998</v>
      </c>
      <c r="Y4381">
        <v>0.12836810000000001</v>
      </c>
      <c r="Z4381">
        <v>0.1196078</v>
      </c>
      <c r="AA4381">
        <v>0.98448749999999996</v>
      </c>
      <c r="AB4381">
        <v>29</v>
      </c>
      <c r="AC4381">
        <v>-6.5499999999985903E-2</v>
      </c>
      <c r="AD4381">
        <v>-9.8271000000000205E-2</v>
      </c>
      <c r="AE4381">
        <v>-0.56090000000000295</v>
      </c>
      <c r="AF4381">
        <v>8.7819914434964799E-2</v>
      </c>
      <c r="AG4381">
        <v>-9.8271000000000205E-2</v>
      </c>
      <c r="AH4381">
        <v>0.541031936370861</v>
      </c>
      <c r="AI4381">
        <v>100.16454676473801</v>
      </c>
      <c r="AJ4381">
        <v>80.780202142247205</v>
      </c>
      <c r="AK4381">
        <v>0.55685283781764805</v>
      </c>
      <c r="AL4381">
        <v>69.092829430824196</v>
      </c>
      <c r="AM4381">
        <v>87.059830497079105</v>
      </c>
      <c r="AN4381">
        <v>0.99999996566052896</v>
      </c>
    </row>
    <row r="4382" spans="1:40" x14ac:dyDescent="0.25">
      <c r="A4382" t="str">
        <f>"20190304164938279"</f>
        <v>20190304164938279</v>
      </c>
      <c r="B4382" t="str">
        <f>"1551689378270519"</f>
        <v>1551689378270519</v>
      </c>
      <c r="C4382" t="s">
        <v>40</v>
      </c>
      <c r="D4382">
        <v>4.7982879999999897</v>
      </c>
      <c r="E4382">
        <v>0.54500819999999905</v>
      </c>
      <c r="F4382" t="s">
        <v>41</v>
      </c>
      <c r="G4382">
        <v>-189.4085</v>
      </c>
      <c r="H4382">
        <v>0.99316550000000003</v>
      </c>
      <c r="I4382">
        <v>193.87289999999999</v>
      </c>
      <c r="J4382">
        <v>-189.33539999999999</v>
      </c>
      <c r="K4382">
        <v>1.1017790000000001</v>
      </c>
      <c r="L4382">
        <v>194.5318</v>
      </c>
      <c r="M4382">
        <v>3.8768820000000002E-2</v>
      </c>
      <c r="N4382">
        <v>-1.0553689999999999E-2</v>
      </c>
      <c r="O4382">
        <v>-0.99919259999999999</v>
      </c>
      <c r="P4382">
        <v>-2.8998409999999998E-3</v>
      </c>
      <c r="Q4382">
        <v>0.34919480000000003</v>
      </c>
      <c r="R4382">
        <v>-0.93704580000000004</v>
      </c>
      <c r="S4382">
        <v>-0.29602050000000002</v>
      </c>
      <c r="T4382">
        <v>-0.44766060000000002</v>
      </c>
      <c r="U4382">
        <v>-3.3666230000000001</v>
      </c>
      <c r="V4382">
        <v>4.6788919999999998E-2</v>
      </c>
      <c r="W4382">
        <v>0.3581491</v>
      </c>
      <c r="X4382">
        <v>0.93249130000000002</v>
      </c>
      <c r="Y4382">
        <v>0.12541250000000001</v>
      </c>
      <c r="Z4382">
        <v>0.1204056</v>
      </c>
      <c r="AA4382">
        <v>0.98477110000000001</v>
      </c>
      <c r="AB4382">
        <v>29</v>
      </c>
      <c r="AC4382">
        <v>-7.3100000000010795E-2</v>
      </c>
      <c r="AD4382">
        <v>-0.1086135</v>
      </c>
      <c r="AE4382">
        <v>-0.65890000000001603</v>
      </c>
      <c r="AF4382">
        <v>9.6014018773851198E-2</v>
      </c>
      <c r="AG4382">
        <v>-0.1086135</v>
      </c>
      <c r="AH4382">
        <v>0.63843355859409101</v>
      </c>
      <c r="AI4382">
        <v>99.5496268531776</v>
      </c>
      <c r="AJ4382">
        <v>81.4473823544797</v>
      </c>
      <c r="AK4382">
        <v>0.65468541523579904</v>
      </c>
      <c r="AL4382">
        <v>69.013430709082797</v>
      </c>
      <c r="AM4382">
        <v>87.127521455498595</v>
      </c>
      <c r="AN4382">
        <v>1.0000000027206299</v>
      </c>
    </row>
    <row r="4383" spans="1:40" x14ac:dyDescent="0.25">
      <c r="A4383" t="str">
        <f>"20190304164938291"</f>
        <v>20190304164938291</v>
      </c>
      <c r="B4383" t="str">
        <f>"1551689378280279"</f>
        <v>1551689378280279</v>
      </c>
      <c r="C4383" t="s">
        <v>40</v>
      </c>
      <c r="D4383">
        <v>4.7729049999999997</v>
      </c>
      <c r="E4383">
        <v>0.54460699999999995</v>
      </c>
      <c r="F4383" t="s">
        <v>41</v>
      </c>
      <c r="G4383">
        <v>-189.4178</v>
      </c>
      <c r="H4383">
        <v>0.98118499999999997</v>
      </c>
      <c r="I4383">
        <v>193.61920000000001</v>
      </c>
      <c r="J4383">
        <v>-189.3348</v>
      </c>
      <c r="K4383">
        <v>1.1020099999999999</v>
      </c>
      <c r="L4383">
        <v>194.37629999999999</v>
      </c>
      <c r="M4383">
        <v>3.3123809999999997E-2</v>
      </c>
      <c r="N4383">
        <v>-1.056021E-2</v>
      </c>
      <c r="O4383">
        <v>-0.99939549999999999</v>
      </c>
      <c r="P4383">
        <v>-7.69513199999999E-3</v>
      </c>
      <c r="Q4383">
        <v>0.35031709999999999</v>
      </c>
      <c r="R4383">
        <v>-0.93659939999999997</v>
      </c>
      <c r="S4383">
        <v>-0.30351260000000002</v>
      </c>
      <c r="T4383">
        <v>-0.4446174</v>
      </c>
      <c r="U4383">
        <v>-3.3663020000000001</v>
      </c>
      <c r="V4383">
        <v>4.6103449999999997E-2</v>
      </c>
      <c r="W4383">
        <v>0.3593094</v>
      </c>
      <c r="X4383">
        <v>0.93207899999999999</v>
      </c>
      <c r="Y4383">
        <v>0.1220029</v>
      </c>
      <c r="Z4383">
        <v>0.1195927</v>
      </c>
      <c r="AA4383">
        <v>0.98529840000000002</v>
      </c>
      <c r="AB4383">
        <v>29</v>
      </c>
      <c r="AC4383">
        <v>-8.2999999999998395E-2</v>
      </c>
      <c r="AD4383">
        <v>-0.120824999999999</v>
      </c>
      <c r="AE4383">
        <v>-0.75709999999997901</v>
      </c>
      <c r="AF4383">
        <v>0.105381817131096</v>
      </c>
      <c r="AG4383">
        <v>-0.120824999999999</v>
      </c>
      <c r="AH4383">
        <v>0.73542712043374603</v>
      </c>
      <c r="AI4383">
        <v>99.237205155711806</v>
      </c>
      <c r="AJ4383">
        <v>81.845406067217496</v>
      </c>
      <c r="AK4383">
        <v>0.75269984554025504</v>
      </c>
      <c r="AL4383">
        <v>68.942210412257594</v>
      </c>
      <c r="AM4383">
        <v>87.168285078527006</v>
      </c>
      <c r="AN4383">
        <v>1.0000000176356301</v>
      </c>
    </row>
    <row r="4384" spans="1:40" x14ac:dyDescent="0.25">
      <c r="A4384" t="str">
        <f>"20190304164938304"</f>
        <v>20190304164938304</v>
      </c>
      <c r="B4384" t="str">
        <f>"1551689378300774"</f>
        <v>1551689378300774</v>
      </c>
      <c r="C4384" t="s">
        <v>40</v>
      </c>
      <c r="D4384">
        <v>4.762162</v>
      </c>
      <c r="E4384">
        <v>0.54381919999999995</v>
      </c>
      <c r="F4384" t="s">
        <v>41</v>
      </c>
      <c r="G4384">
        <v>-189.4057</v>
      </c>
      <c r="H4384">
        <v>1.001109</v>
      </c>
      <c r="I4384">
        <v>193.60990000000001</v>
      </c>
      <c r="J4384">
        <v>-189.33500000000001</v>
      </c>
      <c r="K4384">
        <v>1.1022799999999999</v>
      </c>
      <c r="L4384">
        <v>194.20830000000001</v>
      </c>
      <c r="M4384">
        <v>2.725675E-2</v>
      </c>
      <c r="N4384">
        <v>-1.056931E-2</v>
      </c>
      <c r="O4384">
        <v>-0.99957260000000003</v>
      </c>
      <c r="P4384">
        <v>-1.1999070000000001E-2</v>
      </c>
      <c r="Q4384">
        <v>0.35098420000000002</v>
      </c>
      <c r="R4384">
        <v>-0.93630460000000004</v>
      </c>
      <c r="S4384">
        <v>-0.31120300000000001</v>
      </c>
      <c r="T4384">
        <v>-0.4429498</v>
      </c>
      <c r="U4384">
        <v>-3.3661799999999999</v>
      </c>
      <c r="V4384">
        <v>4.4689529999999998E-2</v>
      </c>
      <c r="W4384">
        <v>0.36003550000000001</v>
      </c>
      <c r="X4384">
        <v>0.93186760000000002</v>
      </c>
      <c r="Y4384">
        <v>0.11842</v>
      </c>
      <c r="Z4384">
        <v>0.1191601</v>
      </c>
      <c r="AA4384">
        <v>0.98578779999999999</v>
      </c>
      <c r="AB4384">
        <v>29</v>
      </c>
      <c r="AC4384">
        <v>-7.0699999999987995E-2</v>
      </c>
      <c r="AD4384">
        <v>-0.101170999999999</v>
      </c>
      <c r="AE4384">
        <v>-0.59839999999999705</v>
      </c>
      <c r="AF4384">
        <v>8.4600128351888404E-2</v>
      </c>
      <c r="AG4384">
        <v>-0.101170999999999</v>
      </c>
      <c r="AH4384">
        <v>0.57990253145870596</v>
      </c>
      <c r="AI4384">
        <v>99.794696026484303</v>
      </c>
      <c r="AJ4384">
        <v>81.699855072315898</v>
      </c>
      <c r="AK4384">
        <v>0.59470976026156797</v>
      </c>
      <c r="AL4384">
        <v>68.897623112669706</v>
      </c>
      <c r="AM4384">
        <v>87.254372609548795</v>
      </c>
      <c r="AN4384">
        <v>0.99999996964081495</v>
      </c>
    </row>
    <row r="4385" spans="1:40" x14ac:dyDescent="0.25">
      <c r="A4385" t="str">
        <f>"20190304164938320"</f>
        <v>20190304164938320</v>
      </c>
      <c r="B4385" t="str">
        <f>"1551689378310537"</f>
        <v>1551689378310537</v>
      </c>
      <c r="C4385" t="s">
        <v>40</v>
      </c>
      <c r="D4385">
        <v>4.7384909999999998</v>
      </c>
      <c r="E4385">
        <v>0.54342480000000004</v>
      </c>
      <c r="F4385" t="s">
        <v>41</v>
      </c>
      <c r="G4385">
        <v>-189.4145</v>
      </c>
      <c r="H4385">
        <v>0.9899329</v>
      </c>
      <c r="I4385">
        <v>193.35589999999999</v>
      </c>
      <c r="J4385">
        <v>-189.33619999999999</v>
      </c>
      <c r="K4385">
        <v>1.1026320000000001</v>
      </c>
      <c r="L4385">
        <v>193.99969999999999</v>
      </c>
      <c r="M4385">
        <v>2.024865E-2</v>
      </c>
      <c r="N4385">
        <v>-1.0585020000000001E-2</v>
      </c>
      <c r="O4385">
        <v>-0.99973889999999999</v>
      </c>
      <c r="P4385">
        <v>-1.2902719999999999E-2</v>
      </c>
      <c r="Q4385">
        <v>0.35042770000000001</v>
      </c>
      <c r="R4385">
        <v>-0.93650109999999998</v>
      </c>
      <c r="S4385">
        <v>-0.31356810000000002</v>
      </c>
      <c r="T4385">
        <v>-0.44358619999999999</v>
      </c>
      <c r="U4385">
        <v>-3.366333</v>
      </c>
      <c r="V4385">
        <v>3.8728680000000001E-2</v>
      </c>
      <c r="W4385">
        <v>0.35964309999999899</v>
      </c>
      <c r="X4385">
        <v>0.93228580000000005</v>
      </c>
      <c r="Y4385">
        <v>0.1121419</v>
      </c>
      <c r="Z4385">
        <v>0.1194014</v>
      </c>
      <c r="AA4385">
        <v>0.98649249999999999</v>
      </c>
      <c r="AB4385">
        <v>29</v>
      </c>
      <c r="AC4385">
        <v>-7.8300000000012901E-2</v>
      </c>
      <c r="AD4385">
        <v>-0.1126991</v>
      </c>
      <c r="AE4385">
        <v>-0.64379999999999804</v>
      </c>
      <c r="AF4385">
        <v>8.8643985213372106E-2</v>
      </c>
      <c r="AG4385">
        <v>-0.1126991</v>
      </c>
      <c r="AH4385">
        <v>0.62326187146208301</v>
      </c>
      <c r="AI4385">
        <v>100.14956923454299</v>
      </c>
      <c r="AJ4385">
        <v>81.905344559176001</v>
      </c>
      <c r="AK4385">
        <v>0.63954218287282405</v>
      </c>
      <c r="AL4385">
        <v>68.921719511050995</v>
      </c>
      <c r="AM4385">
        <v>87.621207158314107</v>
      </c>
      <c r="AN4385">
        <v>0.99999994145689397</v>
      </c>
    </row>
    <row r="4386" spans="1:40" x14ac:dyDescent="0.25">
      <c r="A4386" t="str">
        <f>"20190304164938332"</f>
        <v>20190304164938332</v>
      </c>
      <c r="B4386" t="str">
        <f>"1551689378320295"</f>
        <v>1551689378320295</v>
      </c>
      <c r="C4386" t="s">
        <v>40</v>
      </c>
      <c r="D4386">
        <v>4.7172229999999997</v>
      </c>
      <c r="E4386">
        <v>0.54307899999999998</v>
      </c>
      <c r="F4386" t="s">
        <v>41</v>
      </c>
      <c r="G4386">
        <v>-189.4203</v>
      </c>
      <c r="H4386">
        <v>0.98320759999999996</v>
      </c>
      <c r="I4386">
        <v>193.09979999999999</v>
      </c>
      <c r="J4386">
        <v>-189.33770000000001</v>
      </c>
      <c r="K4386">
        <v>1.1029059999999999</v>
      </c>
      <c r="L4386">
        <v>193.84569999999999</v>
      </c>
      <c r="M4386">
        <v>1.531212E-2</v>
      </c>
      <c r="N4386">
        <v>-1.0600389999999999E-2</v>
      </c>
      <c r="O4386">
        <v>-0.99982660000000001</v>
      </c>
      <c r="P4386">
        <v>-1.337551E-2</v>
      </c>
      <c r="Q4386">
        <v>0.349809599999999</v>
      </c>
      <c r="R4386">
        <v>-0.93672560000000005</v>
      </c>
      <c r="S4386">
        <v>-0.31414789999999998</v>
      </c>
      <c r="T4386">
        <v>-0.4465461</v>
      </c>
      <c r="U4386">
        <v>-3.3661799999999999</v>
      </c>
      <c r="V4386">
        <v>3.4338710000000001E-2</v>
      </c>
      <c r="W4386">
        <v>0.35914479999999999</v>
      </c>
      <c r="X4386">
        <v>0.93264990000000003</v>
      </c>
      <c r="Y4386">
        <v>0.1074003</v>
      </c>
      <c r="Z4386">
        <v>0.12029810000000001</v>
      </c>
      <c r="AA4386">
        <v>0.98691110000000004</v>
      </c>
      <c r="AB4386">
        <v>29</v>
      </c>
      <c r="AC4386">
        <v>-8.2599999999985102E-2</v>
      </c>
      <c r="AD4386">
        <v>-0.119698399999999</v>
      </c>
      <c r="AE4386">
        <v>-0.745900000000006</v>
      </c>
      <c r="AF4386">
        <v>9.1679903336921498E-2</v>
      </c>
      <c r="AG4386">
        <v>-0.119698399999999</v>
      </c>
      <c r="AH4386">
        <v>0.72607610279657597</v>
      </c>
      <c r="AI4386">
        <v>99.288927955438396</v>
      </c>
      <c r="AJ4386">
        <v>82.8034827934204</v>
      </c>
      <c r="AK4386">
        <v>0.74156551881185195</v>
      </c>
      <c r="AL4386">
        <v>68.952315116608602</v>
      </c>
      <c r="AM4386">
        <v>87.891411503763806</v>
      </c>
      <c r="AN4386">
        <v>0.99999998517075706</v>
      </c>
    </row>
    <row r="4387" spans="1:40" x14ac:dyDescent="0.25">
      <c r="A4387" t="str">
        <f>"20190304164938348"</f>
        <v>20190304164938348</v>
      </c>
      <c r="B4387" t="str">
        <f>"1551689378340791"</f>
        <v>1551689378340791</v>
      </c>
      <c r="C4387" t="s">
        <v>40</v>
      </c>
      <c r="D4387">
        <v>4.727239</v>
      </c>
      <c r="E4387">
        <v>0.54230310000000004</v>
      </c>
      <c r="F4387" t="s">
        <v>41</v>
      </c>
      <c r="G4387">
        <v>-189.4093</v>
      </c>
      <c r="H4387">
        <v>1.0022340000000001</v>
      </c>
      <c r="I4387">
        <v>193.0907</v>
      </c>
      <c r="J4387">
        <v>-189.34110000000001</v>
      </c>
      <c r="K4387">
        <v>1.1032999999999999</v>
      </c>
      <c r="L4387">
        <v>193.62889999999999</v>
      </c>
      <c r="M4387">
        <v>8.748123E-3</v>
      </c>
      <c r="N4387">
        <v>-1.0626709999999999E-2</v>
      </c>
      <c r="O4387">
        <v>-0.99990520000000005</v>
      </c>
      <c r="P4387">
        <v>-1.555659E-2</v>
      </c>
      <c r="Q4387">
        <v>0.34966239999999998</v>
      </c>
      <c r="R4387">
        <v>-0.93674650000000004</v>
      </c>
      <c r="S4387">
        <v>-0.318222</v>
      </c>
      <c r="T4387">
        <v>-0.44852379999999997</v>
      </c>
      <c r="U4387">
        <v>-3.3656160000000002</v>
      </c>
      <c r="V4387">
        <v>3.0039219999999998E-2</v>
      </c>
      <c r="W4387">
        <v>0.35912470000000002</v>
      </c>
      <c r="X4387">
        <v>0.93280600000000002</v>
      </c>
      <c r="Y4387">
        <v>0.1020686</v>
      </c>
      <c r="Z4387">
        <v>0.1209123</v>
      </c>
      <c r="AA4387">
        <v>0.98740170000000005</v>
      </c>
      <c r="AB4387">
        <v>29</v>
      </c>
      <c r="AC4387">
        <v>-6.8199999999990199E-2</v>
      </c>
      <c r="AD4387">
        <v>-0.101065999999999</v>
      </c>
      <c r="AE4387">
        <v>-0.53819999999998902</v>
      </c>
      <c r="AF4387">
        <v>7.0460494799561194E-2</v>
      </c>
      <c r="AG4387">
        <v>-0.101065999999999</v>
      </c>
      <c r="AH4387">
        <v>0.51955120876011895</v>
      </c>
      <c r="AI4387">
        <v>100.910571448933</v>
      </c>
      <c r="AJ4387">
        <v>82.276780177973393</v>
      </c>
      <c r="AK4387">
        <v>0.53395924583014698</v>
      </c>
      <c r="AL4387">
        <v>68.953548734381002</v>
      </c>
      <c r="AM4387">
        <v>88.155537228501998</v>
      </c>
      <c r="AN4387">
        <v>0.99999996926214796</v>
      </c>
    </row>
    <row r="4388" spans="1:40" x14ac:dyDescent="0.25">
      <c r="A4388" t="str">
        <f>"20190304164938367"</f>
        <v>20190304164938367</v>
      </c>
      <c r="B4388" t="str">
        <f>"1551689378360310"</f>
        <v>1551689378360310</v>
      </c>
      <c r="C4388" t="s">
        <v>40</v>
      </c>
      <c r="D4388">
        <v>4.7108509999999999</v>
      </c>
      <c r="E4388">
        <v>0.54173570000000004</v>
      </c>
      <c r="F4388" t="s">
        <v>41</v>
      </c>
      <c r="G4388">
        <v>-189.41820000000001</v>
      </c>
      <c r="H4388">
        <v>0.99718810000000002</v>
      </c>
      <c r="I4388">
        <v>192.83369999999999</v>
      </c>
      <c r="J4388">
        <v>-189.34559999999999</v>
      </c>
      <c r="K4388">
        <v>1.1037220000000001</v>
      </c>
      <c r="L4388">
        <v>193.40110000000001</v>
      </c>
      <c r="M4388">
        <v>2.2923259999999999E-3</v>
      </c>
      <c r="N4388">
        <v>-1.0660940000000001E-2</v>
      </c>
      <c r="O4388">
        <v>-0.99994070000000002</v>
      </c>
      <c r="P4388">
        <v>-1.817949E-2</v>
      </c>
      <c r="Q4388">
        <v>0.35078680000000001</v>
      </c>
      <c r="R4388">
        <v>-0.93627899999999997</v>
      </c>
      <c r="S4388">
        <v>-0.32635500000000001</v>
      </c>
      <c r="T4388">
        <v>-0.44893880000000003</v>
      </c>
      <c r="U4388">
        <v>-3.3647459999999998</v>
      </c>
      <c r="V4388">
        <v>2.6277169999999999E-2</v>
      </c>
      <c r="W4388">
        <v>0.36036390000000001</v>
      </c>
      <c r="X4388">
        <v>0.93244170000000004</v>
      </c>
      <c r="Y4388">
        <v>9.8035860000000002E-2</v>
      </c>
      <c r="Z4388">
        <v>0.12105349999999999</v>
      </c>
      <c r="AA4388">
        <v>0.98779300000000003</v>
      </c>
      <c r="AB4388">
        <v>29</v>
      </c>
      <c r="AC4388">
        <v>-7.2600000000022605E-2</v>
      </c>
      <c r="AD4388">
        <v>-0.106533899999999</v>
      </c>
      <c r="AE4388">
        <v>-0.56740000000002</v>
      </c>
      <c r="AF4388">
        <v>7.1423218894001106E-2</v>
      </c>
      <c r="AG4388">
        <v>-0.106533899999999</v>
      </c>
      <c r="AH4388">
        <v>0.54821704958931605</v>
      </c>
      <c r="AI4388">
        <v>100.90717043025001</v>
      </c>
      <c r="AJ4388">
        <v>82.577157911187399</v>
      </c>
      <c r="AK4388">
        <v>0.56302103114075996</v>
      </c>
      <c r="AL4388">
        <v>68.8774556586459</v>
      </c>
      <c r="AM4388">
        <v>88.385772999753698</v>
      </c>
      <c r="AN4388">
        <v>1.00000007699265</v>
      </c>
    </row>
    <row r="4389" spans="1:40" x14ac:dyDescent="0.25">
      <c r="A4389" t="str">
        <f>"20190304164938378"</f>
        <v>20190304164938378</v>
      </c>
      <c r="B4389" t="str">
        <f>"1551689378370070"</f>
        <v>1551689378370070</v>
      </c>
      <c r="C4389" t="s">
        <v>40</v>
      </c>
      <c r="D4389">
        <v>4.6772239999999998</v>
      </c>
      <c r="E4389">
        <v>0.54138209999999998</v>
      </c>
      <c r="F4389" t="s">
        <v>41</v>
      </c>
      <c r="G4389">
        <v>-189.4272</v>
      </c>
      <c r="H4389">
        <v>0.99451089999999998</v>
      </c>
      <c r="I4389">
        <v>192.57560000000001</v>
      </c>
      <c r="J4389">
        <v>-189.34950000000001</v>
      </c>
      <c r="K4389">
        <v>1.104033</v>
      </c>
      <c r="L4389">
        <v>193.23750000000001</v>
      </c>
      <c r="M4389">
        <v>-2.0888640000000002E-3</v>
      </c>
      <c r="N4389">
        <v>-1.0690150000000001E-2</v>
      </c>
      <c r="O4389">
        <v>-0.99994079999999996</v>
      </c>
      <c r="P4389">
        <v>-2.2128289999999998E-2</v>
      </c>
      <c r="Q4389">
        <v>0.35154560000000001</v>
      </c>
      <c r="R4389">
        <v>-0.93590910000000005</v>
      </c>
      <c r="S4389">
        <v>-0.33184809999999998</v>
      </c>
      <c r="T4389">
        <v>-0.44491429999999998</v>
      </c>
      <c r="U4389">
        <v>-3.3644259999999999</v>
      </c>
      <c r="V4389">
        <v>2.5876639999999999E-2</v>
      </c>
      <c r="W4389">
        <v>0.36116789999999999</v>
      </c>
      <c r="X4389">
        <v>0.93214169999999996</v>
      </c>
      <c r="Y4389">
        <v>9.5298499999999994E-2</v>
      </c>
      <c r="Z4389">
        <v>0.11988509999999999</v>
      </c>
      <c r="AA4389">
        <v>0.98820330000000001</v>
      </c>
      <c r="AB4389">
        <v>29</v>
      </c>
      <c r="AC4389">
        <v>-7.7699999999992997E-2</v>
      </c>
      <c r="AD4389">
        <v>-0.109522099999999</v>
      </c>
      <c r="AE4389">
        <v>-0.66190000000000204</v>
      </c>
      <c r="AF4389">
        <v>7.4310242345986502E-2</v>
      </c>
      <c r="AG4389">
        <v>-0.109522099999999</v>
      </c>
      <c r="AH4389">
        <v>0.64465084104451498</v>
      </c>
      <c r="AI4389">
        <v>99.579874470122405</v>
      </c>
      <c r="AJ4389">
        <v>83.424418598782296</v>
      </c>
      <c r="AK4389">
        <v>0.658097112412241</v>
      </c>
      <c r="AL4389">
        <v>68.828061922704094</v>
      </c>
      <c r="AM4389">
        <v>88.409853802620006</v>
      </c>
      <c r="AN4389">
        <v>1.0000000006834899</v>
      </c>
    </row>
    <row r="4390" spans="1:40" x14ac:dyDescent="0.25">
      <c r="A4390" t="str">
        <f>"20190304164938390"</f>
        <v>20190304164938390</v>
      </c>
      <c r="B4390" t="str">
        <f>"1551689378380807"</f>
        <v>1551689378380807</v>
      </c>
      <c r="C4390" t="s">
        <v>40</v>
      </c>
      <c r="D4390">
        <v>4.7046619999999999</v>
      </c>
      <c r="E4390">
        <v>0.54108780000000001</v>
      </c>
      <c r="F4390" t="s">
        <v>41</v>
      </c>
      <c r="G4390">
        <v>-189.44130000000001</v>
      </c>
      <c r="H4390">
        <v>0.98324440000000002</v>
      </c>
      <c r="I4390">
        <v>192.3219</v>
      </c>
      <c r="J4390">
        <v>-189.3536</v>
      </c>
      <c r="K4390">
        <v>1.1043289999999999</v>
      </c>
      <c r="L4390">
        <v>193.08260000000001</v>
      </c>
      <c r="M4390">
        <v>-5.9785719999999997E-3</v>
      </c>
      <c r="N4390">
        <v>-1.072205E-2</v>
      </c>
      <c r="O4390">
        <v>-0.9999247</v>
      </c>
      <c r="P4390">
        <v>-2.5907920000000001E-2</v>
      </c>
      <c r="Q4390">
        <v>0.35219089999999997</v>
      </c>
      <c r="R4390">
        <v>-0.93556980000000001</v>
      </c>
      <c r="S4390">
        <v>-0.3370667</v>
      </c>
      <c r="T4390">
        <v>-0.4437392</v>
      </c>
      <c r="U4390">
        <v>-3.364166</v>
      </c>
      <c r="V4390">
        <v>2.577958E-2</v>
      </c>
      <c r="W4390">
        <v>0.36185519999999999</v>
      </c>
      <c r="X4390">
        <v>0.93187779999999998</v>
      </c>
      <c r="Y4390">
        <v>9.2957670000000006E-2</v>
      </c>
      <c r="Z4390">
        <v>0.1195277</v>
      </c>
      <c r="AA4390">
        <v>0.9884695</v>
      </c>
      <c r="AB4390">
        <v>29</v>
      </c>
      <c r="AC4390">
        <v>-8.7700000000012296E-2</v>
      </c>
      <c r="AD4390">
        <v>-0.1210846</v>
      </c>
      <c r="AE4390">
        <v>-0.76070000000001403</v>
      </c>
      <c r="AF4390">
        <v>8.1121867123502805E-2</v>
      </c>
      <c r="AG4390">
        <v>-0.1210846</v>
      </c>
      <c r="AH4390">
        <v>0.74264144305941304</v>
      </c>
      <c r="AI4390">
        <v>99.206535652197005</v>
      </c>
      <c r="AJ4390">
        <v>83.7660558837743</v>
      </c>
      <c r="AK4390">
        <v>0.75680813330204799</v>
      </c>
      <c r="AL4390">
        <v>68.785826076568597</v>
      </c>
      <c r="AM4390">
        <v>88.415366795422102</v>
      </c>
      <c r="AN4390">
        <v>1.0000000033224199</v>
      </c>
    </row>
    <row r="4391" spans="1:40" x14ac:dyDescent="0.25">
      <c r="A4391" t="str">
        <f>"20190304164938403"</f>
        <v>20190304164938403</v>
      </c>
      <c r="B4391" t="str">
        <f>"1551689378390567"</f>
        <v>1551689378390567</v>
      </c>
      <c r="C4391" t="s">
        <v>40</v>
      </c>
      <c r="D4391">
        <v>4.7096640000000001</v>
      </c>
      <c r="E4391">
        <v>0.54078789999999999</v>
      </c>
      <c r="F4391" t="s">
        <v>41</v>
      </c>
      <c r="G4391">
        <v>-189.43219999999999</v>
      </c>
      <c r="H4391">
        <v>1.0029459999999999</v>
      </c>
      <c r="I4391">
        <v>192.31219999999999</v>
      </c>
      <c r="J4391">
        <v>-189.358</v>
      </c>
      <c r="K4391">
        <v>1.104614</v>
      </c>
      <c r="L4391">
        <v>192.93510000000001</v>
      </c>
      <c r="M4391">
        <v>-9.4782919999999993E-3</v>
      </c>
      <c r="N4391">
        <v>-1.075833E-2</v>
      </c>
      <c r="O4391">
        <v>-0.99989720000000004</v>
      </c>
      <c r="P4391">
        <v>-2.8220909999999998E-2</v>
      </c>
      <c r="Q4391">
        <v>0.35277350000000002</v>
      </c>
      <c r="R4391">
        <v>-0.93528299999999998</v>
      </c>
      <c r="S4391">
        <v>-0.3426208</v>
      </c>
      <c r="T4391">
        <v>-0.4426253</v>
      </c>
      <c r="U4391">
        <v>-3.3637540000000001</v>
      </c>
      <c r="V4391">
        <v>2.4594620000000001E-2</v>
      </c>
      <c r="W4391">
        <v>0.36250019999999999</v>
      </c>
      <c r="X4391">
        <v>0.93165920000000002</v>
      </c>
      <c r="Y4391">
        <v>9.1106110000000004E-2</v>
      </c>
      <c r="Z4391">
        <v>0.119183</v>
      </c>
      <c r="AA4391">
        <v>0.98868350000000005</v>
      </c>
      <c r="AB4391">
        <v>29</v>
      </c>
      <c r="AC4391">
        <v>-7.4199999999990496E-2</v>
      </c>
      <c r="AD4391">
        <v>-0.10166799999999999</v>
      </c>
      <c r="AE4391">
        <v>-0.622900000000015</v>
      </c>
      <c r="AF4391">
        <v>6.6544366762937901E-2</v>
      </c>
      <c r="AG4391">
        <v>-0.10166799999999999</v>
      </c>
      <c r="AH4391">
        <v>0.60761503884867096</v>
      </c>
      <c r="AI4391">
        <v>99.443471815506598</v>
      </c>
      <c r="AJ4391">
        <v>83.750028199344797</v>
      </c>
      <c r="AK4391">
        <v>0.61964551996036599</v>
      </c>
      <c r="AL4391">
        <v>68.746180249414294</v>
      </c>
      <c r="AM4391">
        <v>88.487815378057505</v>
      </c>
      <c r="AN4391">
        <v>1.0000000776388001</v>
      </c>
    </row>
    <row r="4392" spans="1:40" x14ac:dyDescent="0.25">
      <c r="A4392" t="str">
        <f>"20190304164938422"</f>
        <v>20190304164938422</v>
      </c>
      <c r="B4392" t="str">
        <f>"1551689378410087"</f>
        <v>1551689378410087</v>
      </c>
      <c r="C4392" t="s">
        <v>40</v>
      </c>
      <c r="D4392">
        <v>4.6994400000000001</v>
      </c>
      <c r="E4392">
        <v>0.54021419999999998</v>
      </c>
      <c r="F4392" t="s">
        <v>41</v>
      </c>
      <c r="G4392">
        <v>-189.44900000000001</v>
      </c>
      <c r="H4392">
        <v>0.9897724</v>
      </c>
      <c r="I4392">
        <v>192.05950000000001</v>
      </c>
      <c r="J4392">
        <v>-189.36670000000001</v>
      </c>
      <c r="K4392">
        <v>1.1051249999999999</v>
      </c>
      <c r="L4392">
        <v>192.673</v>
      </c>
      <c r="M4392">
        <v>-1.5257299999999901E-2</v>
      </c>
      <c r="N4392">
        <v>-1.083722E-2</v>
      </c>
      <c r="O4392">
        <v>-0.99982490000000002</v>
      </c>
      <c r="P4392">
        <v>-3.0583530000000001E-2</v>
      </c>
      <c r="Q4392">
        <v>0.35370069999999998</v>
      </c>
      <c r="R4392">
        <v>-0.93485839999999998</v>
      </c>
      <c r="S4392">
        <v>-0.34902949999999999</v>
      </c>
      <c r="T4392">
        <v>-0.44104490000000002</v>
      </c>
      <c r="U4392">
        <v>-3.3634029999999999</v>
      </c>
      <c r="V4392">
        <v>2.1153559999999998E-2</v>
      </c>
      <c r="W4392">
        <v>0.363566</v>
      </c>
      <c r="X4392">
        <v>0.93132820000000005</v>
      </c>
      <c r="Y4392">
        <v>8.7233710000000006E-2</v>
      </c>
      <c r="Z4392">
        <v>0.11866110000000001</v>
      </c>
      <c r="AA4392">
        <v>0.98909539999999996</v>
      </c>
      <c r="AB4392">
        <v>29</v>
      </c>
      <c r="AC4392">
        <v>-8.2300000000003495E-2</v>
      </c>
      <c r="AD4392">
        <v>-0.115352599999999</v>
      </c>
      <c r="AE4392">
        <v>-0.61349999999998694</v>
      </c>
      <c r="AF4392">
        <v>7.0481824045183494E-2</v>
      </c>
      <c r="AG4392">
        <v>-0.115352599999999</v>
      </c>
      <c r="AH4392">
        <v>0.59405402691116005</v>
      </c>
      <c r="AI4392">
        <v>100.91417281212701</v>
      </c>
      <c r="AJ4392">
        <v>83.233745494192902</v>
      </c>
      <c r="AK4392">
        <v>0.60924059019147903</v>
      </c>
      <c r="AL4392">
        <v>68.680640658108999</v>
      </c>
      <c r="AM4392">
        <v>88.698846066439103</v>
      </c>
      <c r="AN4392">
        <v>0.99999996278595604</v>
      </c>
    </row>
    <row r="4393" spans="1:40" x14ac:dyDescent="0.25">
      <c r="A4393" t="str">
        <f>"20190304164938445"</f>
        <v>20190304164938445</v>
      </c>
      <c r="B4393" t="str">
        <f>"1551689378440343"</f>
        <v>1551689378440343</v>
      </c>
      <c r="C4393" t="s">
        <v>40</v>
      </c>
      <c r="D4393">
        <v>4.6644119999999996</v>
      </c>
      <c r="E4393">
        <v>0.51271440000000001</v>
      </c>
      <c r="F4393" t="s">
        <v>41</v>
      </c>
      <c r="G4393">
        <v>-189.4598</v>
      </c>
      <c r="H4393">
        <v>0.99151210000000001</v>
      </c>
      <c r="I4393">
        <v>191.7998</v>
      </c>
      <c r="J4393">
        <v>-189.37719999999999</v>
      </c>
      <c r="K4393">
        <v>1.1056680000000001</v>
      </c>
      <c r="L4393">
        <v>192.3878</v>
      </c>
      <c r="M4393">
        <v>-2.0889850000000001E-2</v>
      </c>
      <c r="N4393">
        <v>-1.0943080000000001E-2</v>
      </c>
      <c r="O4393">
        <v>-0.99972190000000005</v>
      </c>
      <c r="P4393">
        <v>-3.2770210000000001E-2</v>
      </c>
      <c r="Q4393">
        <v>0.35597790000000001</v>
      </c>
      <c r="R4393">
        <v>-0.93391970000000002</v>
      </c>
      <c r="S4393">
        <v>-0.3585815</v>
      </c>
      <c r="T4393">
        <v>-0.43747740000000002</v>
      </c>
      <c r="U4393">
        <v>-3.3628230000000001</v>
      </c>
      <c r="V4393">
        <v>1.7670769999999999E-2</v>
      </c>
      <c r="W4393">
        <v>0.36599510000000002</v>
      </c>
      <c r="X4393">
        <v>0.93044899999999997</v>
      </c>
      <c r="Y4393">
        <v>8.4433859999999999E-2</v>
      </c>
      <c r="Z4393">
        <v>0.1175278</v>
      </c>
      <c r="AA4393">
        <v>0.98947359999999895</v>
      </c>
      <c r="AB4393">
        <v>29</v>
      </c>
      <c r="AC4393">
        <v>-8.2600000000013496E-2</v>
      </c>
      <c r="AD4393">
        <v>-0.1141559</v>
      </c>
      <c r="AE4393">
        <v>-0.58799999999999297</v>
      </c>
      <c r="AF4393">
        <v>6.77922686540154E-2</v>
      </c>
      <c r="AG4393">
        <v>-0.1141559</v>
      </c>
      <c r="AH4393">
        <v>0.56858137818434895</v>
      </c>
      <c r="AI4393">
        <v>101.27473226387799</v>
      </c>
      <c r="AJ4393">
        <v>83.200691120493602</v>
      </c>
      <c r="AK4393">
        <v>0.58387682332156499</v>
      </c>
      <c r="AL4393">
        <v>68.531164431995506</v>
      </c>
      <c r="AM4393">
        <v>88.911988897534599</v>
      </c>
      <c r="AN4393">
        <v>1.0000000054686999</v>
      </c>
    </row>
    <row r="4394" spans="1:40" x14ac:dyDescent="0.25">
      <c r="A4394" t="str">
        <f>"20190304164938457"</f>
        <v>20190304164938457</v>
      </c>
      <c r="B4394" t="str">
        <f>"1551689378450102"</f>
        <v>1551689378450102</v>
      </c>
      <c r="C4394" t="s">
        <v>40</v>
      </c>
      <c r="D4394">
        <v>4.6728249999999996</v>
      </c>
      <c r="E4394">
        <v>0.51167200000000002</v>
      </c>
      <c r="F4394" t="s">
        <v>41</v>
      </c>
      <c r="G4394">
        <v>-189.4153</v>
      </c>
      <c r="H4394">
        <v>1.0107930000000001</v>
      </c>
      <c r="I4394">
        <v>191.52950000000001</v>
      </c>
      <c r="J4394">
        <v>-189.38419999999999</v>
      </c>
      <c r="K4394">
        <v>1.105996</v>
      </c>
      <c r="L4394">
        <v>192.21</v>
      </c>
      <c r="M4394">
        <v>-2.4121770000000001E-2</v>
      </c>
      <c r="N4394">
        <v>-1.1015280000000001E-2</v>
      </c>
      <c r="O4394">
        <v>-0.99964850000000005</v>
      </c>
      <c r="P4394">
        <v>-3.4570400000000001E-2</v>
      </c>
      <c r="Q4394">
        <v>0.35711710000000002</v>
      </c>
      <c r="R4394">
        <v>-0.93341980000000002</v>
      </c>
      <c r="S4394">
        <v>-0.14797969999999999</v>
      </c>
      <c r="T4394">
        <v>-0.37003229999999998</v>
      </c>
      <c r="U4394">
        <v>-3.3481139999999998</v>
      </c>
      <c r="V4394">
        <v>1.6203209999999999E-2</v>
      </c>
      <c r="W4394">
        <v>0.36722389999999999</v>
      </c>
      <c r="X4394">
        <v>0.92999140000000002</v>
      </c>
      <c r="Y4394">
        <v>1.981289E-2</v>
      </c>
      <c r="Z4394">
        <v>9.8789890000000005E-2</v>
      </c>
      <c r="AA4394">
        <v>0.99491110000000005</v>
      </c>
      <c r="AB4394">
        <v>29</v>
      </c>
      <c r="AC4394">
        <v>-3.11000000000092E-2</v>
      </c>
      <c r="AD4394">
        <v>-9.5202999999999899E-2</v>
      </c>
      <c r="AE4394">
        <v>-0.680499999999994</v>
      </c>
      <c r="AF4394">
        <v>1.4393954223448E-2</v>
      </c>
      <c r="AG4394">
        <v>-9.5202999999999899E-2</v>
      </c>
      <c r="AH4394">
        <v>0.66800496466918002</v>
      </c>
      <c r="AI4394">
        <v>98.109223890254995</v>
      </c>
      <c r="AJ4394">
        <v>88.765600155727398</v>
      </c>
      <c r="AK4394">
        <v>0.67490846042249197</v>
      </c>
      <c r="AL4394">
        <v>68.455489778738794</v>
      </c>
      <c r="AM4394">
        <v>89.001838484199595</v>
      </c>
      <c r="AN4394">
        <v>0.99999997040973598</v>
      </c>
    </row>
    <row r="4395" spans="1:40" x14ac:dyDescent="0.25">
      <c r="A4395" t="str">
        <f>"20190304164938478"</f>
        <v>20190304164938478</v>
      </c>
      <c r="B4395" t="str">
        <f>"1551689378470602"</f>
        <v>1551689378470602</v>
      </c>
      <c r="C4395" t="s">
        <v>40</v>
      </c>
      <c r="D4395">
        <v>5.0433070000000004</v>
      </c>
      <c r="E4395">
        <v>0.51017330000000005</v>
      </c>
      <c r="F4395" t="s">
        <v>41</v>
      </c>
      <c r="G4395">
        <v>-189.42410000000001</v>
      </c>
      <c r="H4395">
        <v>1.0060119999999999</v>
      </c>
      <c r="I4395">
        <v>191.27289999999999</v>
      </c>
      <c r="J4395">
        <v>-189.3955</v>
      </c>
      <c r="K4395">
        <v>1.106479</v>
      </c>
      <c r="L4395">
        <v>191.9425</v>
      </c>
      <c r="M4395">
        <v>-2.8492670000000001E-2</v>
      </c>
      <c r="N4395">
        <v>-1.1132710000000001E-2</v>
      </c>
      <c r="O4395">
        <v>-0.99953210000000003</v>
      </c>
      <c r="P4395">
        <v>-3.4783889999999998E-2</v>
      </c>
      <c r="Q4395">
        <v>0.35844959999999998</v>
      </c>
      <c r="R4395">
        <v>-0.93290099999999998</v>
      </c>
      <c r="S4395">
        <v>-0.1421509</v>
      </c>
      <c r="T4395">
        <v>-0.35690379999999999</v>
      </c>
      <c r="U4395">
        <v>-3.3452609999999998</v>
      </c>
      <c r="V4395">
        <v>1.19664E-2</v>
      </c>
      <c r="W4395">
        <v>0.36871680000000001</v>
      </c>
      <c r="X4395">
        <v>0.92946479999999998</v>
      </c>
      <c r="Y4395">
        <v>1.376812E-2</v>
      </c>
      <c r="Z4395">
        <v>9.4900869999999998E-2</v>
      </c>
      <c r="AA4395">
        <v>0.99539149999999998</v>
      </c>
      <c r="AB4395">
        <v>29</v>
      </c>
      <c r="AC4395">
        <v>-2.8600000000011502E-2</v>
      </c>
      <c r="AD4395">
        <v>-0.100466999999999</v>
      </c>
      <c r="AE4395">
        <v>-0.66960000000000197</v>
      </c>
      <c r="AF4395">
        <v>9.2995435701740004E-3</v>
      </c>
      <c r="AG4395">
        <v>-0.100466999999999</v>
      </c>
      <c r="AH4395">
        <v>0.65541514860999694</v>
      </c>
      <c r="AI4395">
        <v>98.714031867158496</v>
      </c>
      <c r="AJ4395">
        <v>89.187097144374505</v>
      </c>
      <c r="AK4395">
        <v>0.66313582064843901</v>
      </c>
      <c r="AL4395">
        <v>68.363500231418897</v>
      </c>
      <c r="AM4395">
        <v>89.262385903875597</v>
      </c>
      <c r="AN4395">
        <v>1.00000004388511</v>
      </c>
    </row>
    <row r="4396" spans="1:40" x14ac:dyDescent="0.25">
      <c r="A4396" t="str">
        <f>"20190304164938490"</f>
        <v>20190304164938490</v>
      </c>
      <c r="B4396" t="str">
        <f>"1551689378480359"</f>
        <v>1551689378480359</v>
      </c>
      <c r="C4396" t="s">
        <v>40</v>
      </c>
      <c r="D4396">
        <v>4.6753080000000002</v>
      </c>
      <c r="E4396">
        <v>0.50967340000000005</v>
      </c>
      <c r="F4396" t="s">
        <v>41</v>
      </c>
      <c r="G4396">
        <v>-189.43209999999999</v>
      </c>
      <c r="H4396">
        <v>1.0118</v>
      </c>
      <c r="I4396">
        <v>191.01130000000001</v>
      </c>
      <c r="J4396">
        <v>-189.40219999999999</v>
      </c>
      <c r="K4396">
        <v>1.106752</v>
      </c>
      <c r="L4396">
        <v>191.792</v>
      </c>
      <c r="M4396">
        <v>-3.070927E-2</v>
      </c>
      <c r="N4396">
        <v>-1.120549E-2</v>
      </c>
      <c r="O4396">
        <v>-0.99946550000000001</v>
      </c>
      <c r="P4396">
        <v>-3.3345180000000002E-2</v>
      </c>
      <c r="Q4396">
        <v>0.35841190000000001</v>
      </c>
      <c r="R4396">
        <v>-0.93296789999999996</v>
      </c>
      <c r="S4396">
        <v>-0.13101199999999999</v>
      </c>
      <c r="T4396">
        <v>-0.33972439999999998</v>
      </c>
      <c r="U4396">
        <v>-3.3414459999999999</v>
      </c>
      <c r="V4396">
        <v>8.2350649999999997E-3</v>
      </c>
      <c r="W4396">
        <v>0.36878820000000001</v>
      </c>
      <c r="X4396">
        <v>0.929477</v>
      </c>
      <c r="Y4396">
        <v>8.3079460000000001E-3</v>
      </c>
      <c r="Z4396">
        <v>8.9889300000000005E-2</v>
      </c>
      <c r="AA4396">
        <v>0.9959171</v>
      </c>
      <c r="AB4396">
        <v>29</v>
      </c>
      <c r="AC4396">
        <v>-2.98999999999978E-2</v>
      </c>
      <c r="AD4396">
        <v>-9.4951999999999898E-2</v>
      </c>
      <c r="AE4396">
        <v>-0.78069999999999595</v>
      </c>
      <c r="AF4396">
        <v>5.8236429364376396E-3</v>
      </c>
      <c r="AG4396">
        <v>-9.4951999999999898E-2</v>
      </c>
      <c r="AH4396">
        <v>0.76987830847675998</v>
      </c>
      <c r="AI4396">
        <v>97.030799232874202</v>
      </c>
      <c r="AJ4396">
        <v>89.566601897950903</v>
      </c>
      <c r="AK4396">
        <v>0.77573346388053199</v>
      </c>
      <c r="AL4396">
        <v>68.359098687365602</v>
      </c>
      <c r="AM4396">
        <v>89.492378915101099</v>
      </c>
      <c r="AN4396">
        <v>1.00000002314189</v>
      </c>
    </row>
    <row r="4397" spans="1:40" x14ac:dyDescent="0.25">
      <c r="A4397" t="str">
        <f>"20190304164938502"</f>
        <v>20190304164938502</v>
      </c>
      <c r="B4397" t="str">
        <f>"1551689378499879"</f>
        <v>1551689378499879</v>
      </c>
      <c r="C4397" t="s">
        <v>40</v>
      </c>
      <c r="D4397">
        <v>4.6917099999999996</v>
      </c>
      <c r="E4397">
        <v>0.50893379999999999</v>
      </c>
      <c r="F4397" t="s">
        <v>41</v>
      </c>
      <c r="G4397">
        <v>-189.43170000000001</v>
      </c>
      <c r="H4397">
        <v>1.028427</v>
      </c>
      <c r="I4397">
        <v>191.00319999999999</v>
      </c>
      <c r="J4397">
        <v>-189.40940000000001</v>
      </c>
      <c r="K4397">
        <v>1.1070329999999999</v>
      </c>
      <c r="L4397">
        <v>191.63300000000001</v>
      </c>
      <c r="M4397">
        <v>-3.2883410000000002E-2</v>
      </c>
      <c r="N4397">
        <v>-1.12874E-2</v>
      </c>
      <c r="O4397">
        <v>-0.99939549999999999</v>
      </c>
      <c r="P4397">
        <v>-3.1753120000000003E-2</v>
      </c>
      <c r="Q4397">
        <v>0.35831099999999999</v>
      </c>
      <c r="R4397">
        <v>-0.93306230000000001</v>
      </c>
      <c r="S4397">
        <v>-0.12461849999999999</v>
      </c>
      <c r="T4397">
        <v>-0.33149079999999997</v>
      </c>
      <c r="U4397">
        <v>-3.338425</v>
      </c>
      <c r="V4397">
        <v>4.3792290000000001E-3</v>
      </c>
      <c r="W4397">
        <v>0.3688014</v>
      </c>
      <c r="X4397">
        <v>0.92949789999999999</v>
      </c>
      <c r="Y4397">
        <v>4.2739889999999997E-3</v>
      </c>
      <c r="Z4397">
        <v>8.7463659999999999E-2</v>
      </c>
      <c r="AA4397">
        <v>0.99615849999999995</v>
      </c>
      <c r="AB4397">
        <v>29</v>
      </c>
      <c r="AC4397">
        <v>-2.2300000000001301E-2</v>
      </c>
      <c r="AD4397">
        <v>-7.8605999999999898E-2</v>
      </c>
      <c r="AE4397">
        <v>-0.62979999999998804</v>
      </c>
      <c r="AF4397">
        <v>1.55249424179901E-3</v>
      </c>
      <c r="AG4397">
        <v>-7.8605999999999898E-2</v>
      </c>
      <c r="AH4397">
        <v>0.62053818930535698</v>
      </c>
      <c r="AI4397">
        <v>97.219407041956501</v>
      </c>
      <c r="AJ4397">
        <v>89.856654781740602</v>
      </c>
      <c r="AK4397">
        <v>0.62549896711404895</v>
      </c>
      <c r="AL4397">
        <v>68.358284461908397</v>
      </c>
      <c r="AM4397">
        <v>89.730059118223807</v>
      </c>
      <c r="AN4397">
        <v>0.99999999819650198</v>
      </c>
    </row>
    <row r="4398" spans="1:40" x14ac:dyDescent="0.25">
      <c r="A4398" t="str">
        <f>"20190304164938521"</f>
        <v>20190304164938521</v>
      </c>
      <c r="B4398" t="str">
        <f>"1551689378510618"</f>
        <v>1551689378510618</v>
      </c>
      <c r="C4398" t="s">
        <v>40</v>
      </c>
      <c r="D4398">
        <v>4.6655379999999997</v>
      </c>
      <c r="E4398">
        <v>0.5083936</v>
      </c>
      <c r="F4398" t="s">
        <v>41</v>
      </c>
      <c r="G4398">
        <v>-189.44049999999999</v>
      </c>
      <c r="H4398">
        <v>1.01939</v>
      </c>
      <c r="I4398">
        <v>190.749</v>
      </c>
      <c r="J4398">
        <v>-189.42070000000001</v>
      </c>
      <c r="K4398">
        <v>1.1074600000000001</v>
      </c>
      <c r="L4398">
        <v>191.39340000000001</v>
      </c>
      <c r="M4398">
        <v>-3.5846469999999998E-2</v>
      </c>
      <c r="N4398">
        <v>-1.1425950000000001E-2</v>
      </c>
      <c r="O4398">
        <v>-0.99929199999999996</v>
      </c>
      <c r="P4398">
        <v>-2.8295830000000001E-2</v>
      </c>
      <c r="Q4398">
        <v>0.35960940000000002</v>
      </c>
      <c r="R4398">
        <v>-0.93267389999999994</v>
      </c>
      <c r="S4398">
        <v>-0.1170807</v>
      </c>
      <c r="T4398">
        <v>-0.33099820000000002</v>
      </c>
      <c r="U4398">
        <v>-3.3383639999999999</v>
      </c>
      <c r="V4398">
        <v>-2.167605E-3</v>
      </c>
      <c r="W4398">
        <v>0.37027700000000002</v>
      </c>
      <c r="X4398">
        <v>0.92891889999999999</v>
      </c>
      <c r="Y4398">
        <v>-9.3259120000000004E-4</v>
      </c>
      <c r="Z4398">
        <v>8.7171670000000007E-2</v>
      </c>
      <c r="AA4398">
        <v>0.99619290000000005</v>
      </c>
      <c r="AB4398">
        <v>29</v>
      </c>
      <c r="AC4398">
        <v>-1.9799999999975101E-2</v>
      </c>
      <c r="AD4398">
        <v>-8.8069999999999996E-2</v>
      </c>
      <c r="AE4398">
        <v>-0.64439999999998998</v>
      </c>
      <c r="AF4398">
        <v>-3.2529957619673701E-3</v>
      </c>
      <c r="AG4398">
        <v>-8.8069999999999996E-2</v>
      </c>
      <c r="AH4398">
        <v>0.63288532389441299</v>
      </c>
      <c r="AI4398">
        <v>97.922092180985999</v>
      </c>
      <c r="AJ4398">
        <v>90.294494562555897</v>
      </c>
      <c r="AK4398">
        <v>0.63899197184500101</v>
      </c>
      <c r="AL4398">
        <v>68.267299290007998</v>
      </c>
      <c r="AM4398">
        <v>90.133697777852703</v>
      </c>
      <c r="AN4398">
        <v>1.00000003900882</v>
      </c>
    </row>
    <row r="4399" spans="1:40" x14ac:dyDescent="0.25">
      <c r="A4399" t="str">
        <f>"20190304164938535"</f>
        <v>20190304164938535</v>
      </c>
      <c r="B4399" t="str">
        <f>"1551689378530135"</f>
        <v>1551689378530135</v>
      </c>
      <c r="C4399" t="s">
        <v>40</v>
      </c>
      <c r="D4399">
        <v>4.6848890000000001</v>
      </c>
      <c r="E4399">
        <v>0.5077585</v>
      </c>
      <c r="F4399" t="s">
        <v>41</v>
      </c>
      <c r="G4399">
        <v>-189.4494</v>
      </c>
      <c r="H4399">
        <v>1.0186729999999999</v>
      </c>
      <c r="I4399">
        <v>190.4913</v>
      </c>
      <c r="J4399">
        <v>-189.429</v>
      </c>
      <c r="K4399">
        <v>1.1077779999999999</v>
      </c>
      <c r="L4399">
        <v>191.22120000000001</v>
      </c>
      <c r="M4399">
        <v>-3.7752510000000003E-2</v>
      </c>
      <c r="N4399">
        <v>-1.1541020000000001E-2</v>
      </c>
      <c r="O4399">
        <v>-0.99922060000000001</v>
      </c>
      <c r="P4399">
        <v>-2.8155610000000001E-2</v>
      </c>
      <c r="Q4399">
        <v>0.36106680000000002</v>
      </c>
      <c r="R4399">
        <v>-0.93211500000000003</v>
      </c>
      <c r="S4399">
        <v>-0.105957</v>
      </c>
      <c r="T4399">
        <v>-0.32880799999999999</v>
      </c>
      <c r="U4399">
        <v>-3.3401179999999999</v>
      </c>
      <c r="V4399">
        <v>-4.314727E-3</v>
      </c>
      <c r="W4399">
        <v>0.37184709999999899</v>
      </c>
      <c r="X4399">
        <v>0.928284</v>
      </c>
      <c r="Y4399">
        <v>-6.1667519999999898E-3</v>
      </c>
      <c r="Z4399">
        <v>8.63535E-2</v>
      </c>
      <c r="AA4399">
        <v>0.99624550000000001</v>
      </c>
      <c r="AB4399">
        <v>29</v>
      </c>
      <c r="AC4399">
        <v>-2.0399999999994999E-2</v>
      </c>
      <c r="AD4399">
        <v>-8.9105000000000198E-2</v>
      </c>
      <c r="AE4399">
        <v>-0.72990000000001398</v>
      </c>
      <c r="AF4399">
        <v>-7.0666998187535702E-3</v>
      </c>
      <c r="AG4399">
        <v>-8.9105000000000198E-2</v>
      </c>
      <c r="AH4399">
        <v>0.71943631951035403</v>
      </c>
      <c r="AI4399">
        <v>97.060014152841006</v>
      </c>
      <c r="AJ4399">
        <v>90.562772607953093</v>
      </c>
      <c r="AK4399">
        <v>0.72496776280185904</v>
      </c>
      <c r="AL4399">
        <v>68.170422866157395</v>
      </c>
      <c r="AM4399">
        <v>90.266312751860298</v>
      </c>
      <c r="AN4399">
        <v>1.0000000336517401</v>
      </c>
    </row>
    <row r="4400" spans="1:40" x14ac:dyDescent="0.25">
      <c r="A4400" t="str">
        <f>"20190304164938545"</f>
        <v>20190304164938545</v>
      </c>
      <c r="B4400" t="str">
        <f>"1551689378539895"</f>
        <v>1551689378539895</v>
      </c>
      <c r="C4400" t="s">
        <v>40</v>
      </c>
      <c r="D4400">
        <v>4.6731619999999996</v>
      </c>
      <c r="E4400">
        <v>0.50759319999999997</v>
      </c>
      <c r="F4400" t="s">
        <v>41</v>
      </c>
      <c r="G4400">
        <v>-189.45079999999999</v>
      </c>
      <c r="H4400">
        <v>1.0348599999999999</v>
      </c>
      <c r="I4400">
        <v>190.48050000000001</v>
      </c>
      <c r="J4400">
        <v>-189.43620000000001</v>
      </c>
      <c r="K4400">
        <v>1.1080559999999999</v>
      </c>
      <c r="L4400">
        <v>191.07490000000001</v>
      </c>
      <c r="M4400">
        <v>-3.9131409999999998E-2</v>
      </c>
      <c r="N4400">
        <v>-1.1654919999999999E-2</v>
      </c>
      <c r="O4400">
        <v>-0.99916609999999995</v>
      </c>
      <c r="P4400">
        <v>-2.8274799999999999E-2</v>
      </c>
      <c r="Q4400">
        <v>0.36292580000000002</v>
      </c>
      <c r="R4400">
        <v>-0.93138900000000002</v>
      </c>
      <c r="S4400">
        <v>-9.7930909999999996E-2</v>
      </c>
      <c r="T4400">
        <v>-0.3291849</v>
      </c>
      <c r="U4400">
        <v>-3.343048</v>
      </c>
      <c r="V4400">
        <v>-5.6643910000000004E-3</v>
      </c>
      <c r="W4400">
        <v>0.37380809999999998</v>
      </c>
      <c r="X4400">
        <v>0.9274888</v>
      </c>
      <c r="Y4400">
        <v>-9.961302E-3</v>
      </c>
      <c r="Z4400">
        <v>8.6260210000000004E-2</v>
      </c>
      <c r="AA4400">
        <v>0.99622290000000002</v>
      </c>
      <c r="AB4400">
        <v>29</v>
      </c>
      <c r="AC4400">
        <v>-1.4599999999972999E-2</v>
      </c>
      <c r="AD4400">
        <v>-7.3195999999999803E-2</v>
      </c>
      <c r="AE4400">
        <v>-0.59440000000000703</v>
      </c>
      <c r="AF4400">
        <v>-8.5430050790903204E-3</v>
      </c>
      <c r="AG4400">
        <v>-7.3195999999999803E-2</v>
      </c>
      <c r="AH4400">
        <v>0.58564066037715801</v>
      </c>
      <c r="AI4400">
        <v>97.123391353022001</v>
      </c>
      <c r="AJ4400">
        <v>90.835740162252705</v>
      </c>
      <c r="AK4400">
        <v>0.59025894354831698</v>
      </c>
      <c r="AL4400">
        <v>68.049335351470106</v>
      </c>
      <c r="AM4400">
        <v>90.3499143740611</v>
      </c>
      <c r="AN4400">
        <v>1.0000000275382199</v>
      </c>
    </row>
    <row r="4401" spans="1:40" x14ac:dyDescent="0.25">
      <c r="A4401" t="str">
        <f>"20190304164938559"</f>
        <v>20190304164938559</v>
      </c>
      <c r="B4401" t="str">
        <f>"1551689378550631"</f>
        <v>1551689378550631</v>
      </c>
      <c r="C4401" t="s">
        <v>40</v>
      </c>
      <c r="D4401">
        <v>4.6814589999999896</v>
      </c>
      <c r="E4401">
        <v>0.5073375</v>
      </c>
      <c r="F4401" t="s">
        <v>41</v>
      </c>
      <c r="G4401">
        <v>-189.4598</v>
      </c>
      <c r="H4401">
        <v>1.0257559999999999</v>
      </c>
      <c r="I4401">
        <v>190.2296</v>
      </c>
      <c r="J4401">
        <v>-189.44450000000001</v>
      </c>
      <c r="K4401">
        <v>1.1083780000000001</v>
      </c>
      <c r="L4401">
        <v>190.90710000000001</v>
      </c>
      <c r="M4401">
        <v>-4.0599999999999997E-2</v>
      </c>
      <c r="N4401">
        <v>-1.1790299999999899E-2</v>
      </c>
      <c r="O4401">
        <v>-0.99910589999999999</v>
      </c>
      <c r="P4401">
        <v>-2.834646E-2</v>
      </c>
      <c r="Q4401">
        <v>0.36519360000000001</v>
      </c>
      <c r="R4401">
        <v>-0.93050010000000005</v>
      </c>
      <c r="S4401">
        <v>-9.3093869999999995E-2</v>
      </c>
      <c r="T4401">
        <v>-0.32578000000000001</v>
      </c>
      <c r="U4401">
        <v>-3.3451230000000001</v>
      </c>
      <c r="V4401">
        <v>-7.1751890000000002E-3</v>
      </c>
      <c r="W4401">
        <v>0.37619409999999998</v>
      </c>
      <c r="X4401">
        <v>0.92651309999999998</v>
      </c>
      <c r="Y4401">
        <v>-1.2883769999999999E-2</v>
      </c>
      <c r="Z4401">
        <v>8.5053889999999993E-2</v>
      </c>
      <c r="AA4401">
        <v>0.99629310000000004</v>
      </c>
      <c r="AB4401">
        <v>29</v>
      </c>
      <c r="AC4401">
        <v>-1.5299999999996299E-2</v>
      </c>
      <c r="AD4401">
        <v>-8.2622000000000195E-2</v>
      </c>
      <c r="AE4401">
        <v>-0.67750000000000898</v>
      </c>
      <c r="AF4401">
        <v>-1.20420301697812E-2</v>
      </c>
      <c r="AG4401">
        <v>-8.2622000000000195E-2</v>
      </c>
      <c r="AH4401">
        <v>0.66763839777290201</v>
      </c>
      <c r="AI4401">
        <v>97.0534997369503</v>
      </c>
      <c r="AJ4401">
        <v>91.033317889394297</v>
      </c>
      <c r="AK4401">
        <v>0.67283908593019304</v>
      </c>
      <c r="AL4401">
        <v>67.9018653527651</v>
      </c>
      <c r="AM4401">
        <v>90.443706439332601</v>
      </c>
      <c r="AN4401">
        <v>1.0000000043418</v>
      </c>
    </row>
    <row r="4402" spans="1:40" x14ac:dyDescent="0.25">
      <c r="A4402" t="str">
        <f>"20190304164938574"</f>
        <v>20190304164938574</v>
      </c>
      <c r="B4402" t="str">
        <f>"1551689378570151"</f>
        <v>1551689378570151</v>
      </c>
      <c r="C4402" t="s">
        <v>40</v>
      </c>
      <c r="D4402">
        <v>4.6934779999999998</v>
      </c>
      <c r="E4402">
        <v>0.50703719999999997</v>
      </c>
      <c r="F4402" t="s">
        <v>41</v>
      </c>
      <c r="G4402">
        <v>-189.46889999999999</v>
      </c>
      <c r="H4402">
        <v>1.0194080000000001</v>
      </c>
      <c r="I4402">
        <v>189.97620000000001</v>
      </c>
      <c r="J4402">
        <v>-189.4539</v>
      </c>
      <c r="K4402">
        <v>1.1087579999999999</v>
      </c>
      <c r="L4402">
        <v>190.71629999999999</v>
      </c>
      <c r="M4402">
        <v>-4.1994320000000002E-2</v>
      </c>
      <c r="N4402">
        <v>-1.195251E-2</v>
      </c>
      <c r="O4402">
        <v>-0.9990464</v>
      </c>
      <c r="P4402">
        <v>-2.7029890000000001E-2</v>
      </c>
      <c r="Q4402">
        <v>0.36580040000000003</v>
      </c>
      <c r="R4402">
        <v>-0.93030069999999998</v>
      </c>
      <c r="S4402">
        <v>-8.753967E-2</v>
      </c>
      <c r="T4402">
        <v>-0.31996629999999998</v>
      </c>
      <c r="U4402">
        <v>-3.3469850000000001</v>
      </c>
      <c r="V4402">
        <v>-1.009205E-2</v>
      </c>
      <c r="W4402">
        <v>0.3769556</v>
      </c>
      <c r="X4402">
        <v>0.92617629999999995</v>
      </c>
      <c r="Y4402">
        <v>-1.5940550000000001E-2</v>
      </c>
      <c r="Z4402">
        <v>8.3118189999999995E-2</v>
      </c>
      <c r="AA4402">
        <v>0.99641219999999997</v>
      </c>
      <c r="AB4402">
        <v>29</v>
      </c>
      <c r="AC4402">
        <v>-1.49999999999863E-2</v>
      </c>
      <c r="AD4402">
        <v>-8.9349999999999805E-2</v>
      </c>
      <c r="AE4402">
        <v>-0.74009999999998399</v>
      </c>
      <c r="AF4402">
        <v>-1.58643218162767E-2</v>
      </c>
      <c r="AG4402">
        <v>-8.9349999999999805E-2</v>
      </c>
      <c r="AH4402">
        <v>0.729449630271371</v>
      </c>
      <c r="AI4402">
        <v>96.981716253530294</v>
      </c>
      <c r="AJ4402">
        <v>91.245891941332701</v>
      </c>
      <c r="AK4402">
        <v>0.73507269185416602</v>
      </c>
      <c r="AL4402">
        <v>67.854766446795793</v>
      </c>
      <c r="AM4402">
        <v>90.624296894874007</v>
      </c>
      <c r="AN4402">
        <v>0.99999995626312499</v>
      </c>
    </row>
    <row r="4403" spans="1:40" x14ac:dyDescent="0.25">
      <c r="A4403" t="str">
        <f>"20190304164938589"</f>
        <v>20190304164938589</v>
      </c>
      <c r="B4403" t="str">
        <f>"1551689378579911"</f>
        <v>1551689378579911</v>
      </c>
      <c r="C4403" t="s">
        <v>40</v>
      </c>
      <c r="D4403">
        <v>4.6695650000000004</v>
      </c>
      <c r="E4403">
        <v>0.50689479999999998</v>
      </c>
      <c r="F4403" t="s">
        <v>42</v>
      </c>
      <c r="G4403">
        <v>-189.739</v>
      </c>
      <c r="H4403" s="1">
        <v>-4.0501819999999997E-6</v>
      </c>
      <c r="I4403">
        <v>178.9659</v>
      </c>
      <c r="J4403">
        <v>-189.46379999999999</v>
      </c>
      <c r="K4403">
        <v>1.1091629999999999</v>
      </c>
      <c r="L4403">
        <v>190.51519999999999</v>
      </c>
      <c r="M4403">
        <v>-4.310431E-2</v>
      </c>
      <c r="N4403">
        <v>-1.21216E-2</v>
      </c>
      <c r="O4403">
        <v>-0.99899700000000002</v>
      </c>
      <c r="P4403">
        <v>-2.0233770000000002E-2</v>
      </c>
      <c r="Q4403">
        <v>0.36495460000000002</v>
      </c>
      <c r="R4403">
        <v>-0.93080540000000001</v>
      </c>
      <c r="S4403">
        <v>-8.1207280000000007E-2</v>
      </c>
      <c r="T4403">
        <v>-0.31578339999999999</v>
      </c>
      <c r="U4403">
        <v>-3.3465729999999998</v>
      </c>
      <c r="V4403">
        <v>-1.8279920000000002E-2</v>
      </c>
      <c r="W4403">
        <v>0.37629360000000001</v>
      </c>
      <c r="X4403">
        <v>0.92632009999999998</v>
      </c>
      <c r="Y4403">
        <v>-1.8927739999999998E-2</v>
      </c>
      <c r="Z4403">
        <v>8.1721530000000001E-2</v>
      </c>
      <c r="AA4403">
        <v>0.99647549999999996</v>
      </c>
      <c r="AB4403">
        <v>29</v>
      </c>
      <c r="AC4403">
        <v>-0.27520000000001199</v>
      </c>
      <c r="AD4403">
        <v>-1.1091670501819999</v>
      </c>
      <c r="AE4403">
        <v>-11.549299999999899</v>
      </c>
      <c r="AF4403">
        <v>-0.22088094188895099</v>
      </c>
      <c r="AG4403">
        <v>-1.1091670501819999</v>
      </c>
      <c r="AH4403">
        <v>11.4449282215915</v>
      </c>
      <c r="AI4403">
        <v>95.534418492509005</v>
      </c>
      <c r="AJ4403">
        <v>91.105640383604396</v>
      </c>
      <c r="AK4403">
        <v>11.500670499283199</v>
      </c>
      <c r="AL4403">
        <v>67.895711693924795</v>
      </c>
      <c r="AM4403">
        <v>91.130523174913506</v>
      </c>
      <c r="AN4403">
        <v>0.99999997827008802</v>
      </c>
    </row>
    <row r="4404" spans="1:40" x14ac:dyDescent="0.25">
      <c r="A4404" t="str">
        <f>"20190304164938602"</f>
        <v>20190304164938602</v>
      </c>
      <c r="B4404" t="str">
        <f>"1551689378600407"</f>
        <v>1551689378600407</v>
      </c>
      <c r="C4404" t="s">
        <v>40</v>
      </c>
      <c r="D4404">
        <v>4.6275680000000001</v>
      </c>
      <c r="E4404">
        <v>0.5066233</v>
      </c>
      <c r="F4404" t="s">
        <v>41</v>
      </c>
      <c r="G4404">
        <v>-189.4795</v>
      </c>
      <c r="H4404">
        <v>1.0309299999999999</v>
      </c>
      <c r="I4404">
        <v>189.70339999999999</v>
      </c>
      <c r="J4404">
        <v>-189.47200000000001</v>
      </c>
      <c r="K4404">
        <v>1.109499</v>
      </c>
      <c r="L4404">
        <v>190.3486</v>
      </c>
      <c r="M4404">
        <v>-4.3795510000000003E-2</v>
      </c>
      <c r="N4404">
        <v>-1.225736E-2</v>
      </c>
      <c r="O4404">
        <v>-0.99896529999999994</v>
      </c>
      <c r="P4404">
        <v>-1.6906480000000002E-2</v>
      </c>
      <c r="Q4404">
        <v>0.36421179999999997</v>
      </c>
      <c r="R4404">
        <v>-0.93116299999999996</v>
      </c>
      <c r="S4404">
        <v>-6.4041139999999996E-2</v>
      </c>
      <c r="T4404">
        <v>-0.32274629999999999</v>
      </c>
      <c r="U4404">
        <v>-3.3481749999999999</v>
      </c>
      <c r="V4404">
        <v>-2.255308E-2</v>
      </c>
      <c r="W4404">
        <v>0.37567899999999999</v>
      </c>
      <c r="X4404">
        <v>0.92647539999999995</v>
      </c>
      <c r="Y4404">
        <v>-2.4736020000000001E-2</v>
      </c>
      <c r="Z4404">
        <v>8.3585870000000007E-2</v>
      </c>
      <c r="AA4404">
        <v>0.99619349999999995</v>
      </c>
      <c r="AB4404">
        <v>29</v>
      </c>
      <c r="AC4404">
        <v>-7.4999999999931797E-3</v>
      </c>
      <c r="AD4404">
        <v>-7.8569000000000097E-2</v>
      </c>
      <c r="AE4404">
        <v>-0.64520000000001598</v>
      </c>
      <c r="AF4404">
        <v>-2.0462780873654201E-2</v>
      </c>
      <c r="AG4404">
        <v>-7.8569000000000097E-2</v>
      </c>
      <c r="AH4404">
        <v>0.63548693594059202</v>
      </c>
      <c r="AI4404">
        <v>97.044434428973503</v>
      </c>
      <c r="AJ4404">
        <v>91.844296011413206</v>
      </c>
      <c r="AK4404">
        <v>0.64065236978664597</v>
      </c>
      <c r="AL4404">
        <v>67.933714828384893</v>
      </c>
      <c r="AM4404">
        <v>91.394468917684506</v>
      </c>
      <c r="AN4404">
        <v>1.00000000963182</v>
      </c>
    </row>
    <row r="4405" spans="1:40" x14ac:dyDescent="0.25">
      <c r="A4405" t="str">
        <f>"20190304164938614"</f>
        <v>20190304164938614</v>
      </c>
      <c r="B4405" t="str">
        <f>"1551689378610167"</f>
        <v>1551689378610167</v>
      </c>
      <c r="C4405" t="s">
        <v>40</v>
      </c>
      <c r="D4405">
        <v>4.6807679999999996</v>
      </c>
      <c r="E4405">
        <v>0.50651520000000005</v>
      </c>
      <c r="F4405" t="s">
        <v>41</v>
      </c>
      <c r="G4405">
        <v>-189.48670000000001</v>
      </c>
      <c r="H4405">
        <v>1.021568</v>
      </c>
      <c r="I4405">
        <v>189.46080000000001</v>
      </c>
      <c r="J4405">
        <v>-189.4794</v>
      </c>
      <c r="K4405">
        <v>1.109809</v>
      </c>
      <c r="L4405">
        <v>190.19649999999999</v>
      </c>
      <c r="M4405">
        <v>-4.4280859999999998E-2</v>
      </c>
      <c r="N4405">
        <v>-1.237806E-2</v>
      </c>
      <c r="O4405">
        <v>-0.99894249999999996</v>
      </c>
      <c r="P4405">
        <v>-1.430384E-2</v>
      </c>
      <c r="Q4405">
        <v>0.36449310000000001</v>
      </c>
      <c r="R4405">
        <v>-0.93109660000000005</v>
      </c>
      <c r="S4405">
        <v>-5.5191039999999997E-2</v>
      </c>
      <c r="T4405">
        <v>-0.33203080000000001</v>
      </c>
      <c r="U4405">
        <v>-3.3506469999999999</v>
      </c>
      <c r="V4405">
        <v>-2.5868100000000002E-2</v>
      </c>
      <c r="W4405">
        <v>0.37606250000000002</v>
      </c>
      <c r="X4405">
        <v>0.92623310000000003</v>
      </c>
      <c r="Y4405">
        <v>-2.7866930000000002E-2</v>
      </c>
      <c r="Z4405">
        <v>8.6120199999999994E-2</v>
      </c>
      <c r="AA4405">
        <v>0.99589499999999997</v>
      </c>
      <c r="AB4405">
        <v>29</v>
      </c>
      <c r="AC4405">
        <v>-7.3000000000149603E-3</v>
      </c>
      <c r="AD4405">
        <v>-8.8241E-2</v>
      </c>
      <c r="AE4405">
        <v>-0.73569999999998004</v>
      </c>
      <c r="AF4405">
        <v>-2.49284986129584E-2</v>
      </c>
      <c r="AG4405">
        <v>-8.8241E-2</v>
      </c>
      <c r="AH4405">
        <v>0.72487453130801205</v>
      </c>
      <c r="AI4405">
        <v>96.936564860788394</v>
      </c>
      <c r="AJ4405">
        <v>91.969630640208905</v>
      </c>
      <c r="AK4405">
        <v>0.730651072854277</v>
      </c>
      <c r="AL4405">
        <v>67.910001993961899</v>
      </c>
      <c r="AM4405">
        <v>91.599756891799402</v>
      </c>
      <c r="AN4405">
        <v>0.99999995901973404</v>
      </c>
    </row>
    <row r="4406" spans="1:40" x14ac:dyDescent="0.25">
      <c r="A4406" t="str">
        <f>"20190304164938629"</f>
        <v>20190304164938629</v>
      </c>
      <c r="B4406" t="str">
        <f>"1551689378620903"</f>
        <v>1551689378620903</v>
      </c>
      <c r="C4406" t="s">
        <v>40</v>
      </c>
      <c r="D4406">
        <v>4.6681619999999997</v>
      </c>
      <c r="E4406">
        <v>0.50643190000000005</v>
      </c>
      <c r="F4406" t="s">
        <v>42</v>
      </c>
      <c r="G4406">
        <v>-189.6387</v>
      </c>
      <c r="H4406" s="1">
        <v>-4.1034420000000003E-6</v>
      </c>
      <c r="I4406">
        <v>179.04859999999999</v>
      </c>
      <c r="J4406">
        <v>-189.488</v>
      </c>
      <c r="K4406">
        <v>1.110182</v>
      </c>
      <c r="L4406">
        <v>190.0136</v>
      </c>
      <c r="M4406">
        <v>-4.4493489999999997E-2</v>
      </c>
      <c r="N4406">
        <v>-1.251435E-2</v>
      </c>
      <c r="O4406">
        <v>-0.99893129999999997</v>
      </c>
      <c r="P4406">
        <v>-1.265442E-2</v>
      </c>
      <c r="Q4406">
        <v>0.36506149999999998</v>
      </c>
      <c r="R4406">
        <v>-0.93089759999999999</v>
      </c>
      <c r="S4406">
        <v>-4.79126E-2</v>
      </c>
      <c r="T4406">
        <v>-0.33369520000000003</v>
      </c>
      <c r="U4406">
        <v>-3.3518979999999998</v>
      </c>
      <c r="V4406">
        <v>-2.8029220000000001E-2</v>
      </c>
      <c r="W4406">
        <v>0.37673440000000002</v>
      </c>
      <c r="X4406">
        <v>0.92589719999999998</v>
      </c>
      <c r="Y4406">
        <v>-3.0246229999999999E-2</v>
      </c>
      <c r="Z4406">
        <v>8.6433250000000003E-2</v>
      </c>
      <c r="AA4406">
        <v>0.99579839999999997</v>
      </c>
      <c r="AB4406">
        <v>29</v>
      </c>
      <c r="AC4406">
        <v>-0.1507</v>
      </c>
      <c r="AD4406">
        <v>-1.110186103442</v>
      </c>
      <c r="AE4406">
        <v>-10.965</v>
      </c>
      <c r="AF4406">
        <v>-0.33393599006243402</v>
      </c>
      <c r="AG4406">
        <v>-1.110186103442</v>
      </c>
      <c r="AH4406">
        <v>10.8496443059546</v>
      </c>
      <c r="AI4406">
        <v>95.839690460716596</v>
      </c>
      <c r="AJ4406">
        <v>91.762922731647805</v>
      </c>
      <c r="AK4406">
        <v>10.911407241757001</v>
      </c>
      <c r="AL4406">
        <v>67.868450840116495</v>
      </c>
      <c r="AM4406">
        <v>91.733956749955595</v>
      </c>
      <c r="AN4406">
        <v>1.0000000351425</v>
      </c>
    </row>
    <row r="4407" spans="1:40" x14ac:dyDescent="0.25">
      <c r="A4407" t="str">
        <f>"20190304164938648"</f>
        <v>20190304164938648</v>
      </c>
      <c r="B4407" t="str">
        <f>"1551689378640423"</f>
        <v>1551689378640423</v>
      </c>
      <c r="C4407" t="s">
        <v>40</v>
      </c>
      <c r="D4407">
        <v>4.64757</v>
      </c>
      <c r="E4407">
        <v>0.5061755</v>
      </c>
      <c r="F4407" t="s">
        <v>41</v>
      </c>
      <c r="G4407">
        <v>-189.49789999999999</v>
      </c>
      <c r="H4407">
        <v>1.0282979999999999</v>
      </c>
      <c r="I4407">
        <v>189.1926</v>
      </c>
      <c r="J4407">
        <v>-189.49870000000001</v>
      </c>
      <c r="K4407">
        <v>1.110673</v>
      </c>
      <c r="L4407">
        <v>189.7792</v>
      </c>
      <c r="M4407">
        <v>-4.4391149999999997E-2</v>
      </c>
      <c r="N4407">
        <v>-1.2681120000000001E-2</v>
      </c>
      <c r="O4407">
        <v>-0.99893410000000005</v>
      </c>
      <c r="P4407">
        <v>-1.13767E-2</v>
      </c>
      <c r="Q4407">
        <v>0.3671645</v>
      </c>
      <c r="R4407">
        <v>-0.930087</v>
      </c>
      <c r="S4407">
        <v>-4.01001E-2</v>
      </c>
      <c r="T4407">
        <v>-0.33456180000000002</v>
      </c>
      <c r="U4407">
        <v>-3.353348</v>
      </c>
      <c r="V4407">
        <v>-2.959761E-2</v>
      </c>
      <c r="W4407">
        <v>0.37894990000000001</v>
      </c>
      <c r="X4407">
        <v>0.92494379999999998</v>
      </c>
      <c r="Y4407">
        <v>-3.2467650000000001E-2</v>
      </c>
      <c r="Z4407">
        <v>8.6477349999999995E-2</v>
      </c>
      <c r="AA4407">
        <v>0.99572459999999996</v>
      </c>
      <c r="AB4407">
        <v>29</v>
      </c>
      <c r="AC4407">
        <v>8.0000000002655703E-4</v>
      </c>
      <c r="AD4407">
        <v>-8.2375000000000004E-2</v>
      </c>
      <c r="AE4407">
        <v>-0.58660000000000401</v>
      </c>
      <c r="AF4407">
        <v>-2.6322074317149401E-2</v>
      </c>
      <c r="AG4407">
        <v>-8.2375000000000004E-2</v>
      </c>
      <c r="AH4407">
        <v>0.57465398615388397</v>
      </c>
      <c r="AI4407">
        <v>98.149183709445197</v>
      </c>
      <c r="AJ4407">
        <v>92.622604872047305</v>
      </c>
      <c r="AK4407">
        <v>0.58112450991496201</v>
      </c>
      <c r="AL4407">
        <v>67.731348711496693</v>
      </c>
      <c r="AM4407">
        <v>91.832802896680306</v>
      </c>
      <c r="AN4407">
        <v>1.0000000391930799</v>
      </c>
    </row>
    <row r="4408" spans="1:40" x14ac:dyDescent="0.25">
      <c r="A4408" t="str">
        <f>"20190304164938668"</f>
        <v>20190304164938668</v>
      </c>
      <c r="B4408" t="str">
        <f>"1551689378659943"</f>
        <v>1551689378659943</v>
      </c>
      <c r="C4408" t="s">
        <v>40</v>
      </c>
      <c r="D4408">
        <v>4.6745289999999997</v>
      </c>
      <c r="E4408">
        <v>0.50607679999999999</v>
      </c>
      <c r="F4408" t="s">
        <v>42</v>
      </c>
      <c r="G4408">
        <v>-189.58240000000001</v>
      </c>
      <c r="H4408" s="1">
        <v>-3.9051360000000002E-6</v>
      </c>
      <c r="I4408">
        <v>178.56299999999999</v>
      </c>
      <c r="J4408">
        <v>-189.51050000000001</v>
      </c>
      <c r="K4408">
        <v>1.111218</v>
      </c>
      <c r="L4408">
        <v>189.50729999999999</v>
      </c>
      <c r="M4408">
        <v>-4.3686339999999997E-2</v>
      </c>
      <c r="N4408">
        <v>-1.2861910000000001E-2</v>
      </c>
      <c r="O4408">
        <v>-0.99896249999999998</v>
      </c>
      <c r="P4408">
        <v>-7.5693899999999996E-3</v>
      </c>
      <c r="Q4408">
        <v>0.36677490000000001</v>
      </c>
      <c r="R4408">
        <v>-0.93027910000000003</v>
      </c>
      <c r="S4408">
        <v>-2.503967E-2</v>
      </c>
      <c r="T4408">
        <v>-0.33237100000000003</v>
      </c>
      <c r="U4408">
        <v>-3.35643</v>
      </c>
      <c r="V4408">
        <v>-3.3249569999999999E-2</v>
      </c>
      <c r="W4408">
        <v>0.37868819999999997</v>
      </c>
      <c r="X4408">
        <v>0.9249269</v>
      </c>
      <c r="Y4408">
        <v>-3.6237150000000003E-2</v>
      </c>
      <c r="Z4408">
        <v>8.5563210000000001E-2</v>
      </c>
      <c r="AA4408">
        <v>0.99567349999999999</v>
      </c>
      <c r="AB4408">
        <v>29</v>
      </c>
      <c r="AC4408">
        <v>-7.1899999999999395E-2</v>
      </c>
      <c r="AD4408">
        <v>-1.1112219051359999</v>
      </c>
      <c r="AE4408">
        <v>-10.944299999999901</v>
      </c>
      <c r="AF4408">
        <v>-0.40217864974543799</v>
      </c>
      <c r="AG4408">
        <v>-1.1112219051359999</v>
      </c>
      <c r="AH4408">
        <v>10.8253945063058</v>
      </c>
      <c r="AI4408">
        <v>95.856846137454099</v>
      </c>
      <c r="AJ4408">
        <v>92.127640374634794</v>
      </c>
      <c r="AK4408">
        <v>10.889707434358399</v>
      </c>
      <c r="AL4408">
        <v>67.747550275370003</v>
      </c>
      <c r="AM4408">
        <v>92.058800584661995</v>
      </c>
      <c r="AN4408">
        <v>1.00000002853401</v>
      </c>
    </row>
    <row r="4409" spans="1:40" x14ac:dyDescent="0.25">
      <c r="A4409" t="str">
        <f>"20190304164938681"</f>
        <v>20190304164938681</v>
      </c>
      <c r="B4409" t="str">
        <f>"1551689378670679"</f>
        <v>1551689378670679</v>
      </c>
      <c r="C4409" t="s">
        <v>40</v>
      </c>
      <c r="D4409">
        <v>5.1076449999999998</v>
      </c>
      <c r="E4409">
        <v>0.5059979</v>
      </c>
      <c r="F4409" t="s">
        <v>42</v>
      </c>
      <c r="G4409">
        <v>-189.5453</v>
      </c>
      <c r="H4409" s="1">
        <v>-3.8797840000000001E-6</v>
      </c>
      <c r="I4409">
        <v>178.48859999999999</v>
      </c>
      <c r="J4409">
        <v>-189.517</v>
      </c>
      <c r="K4409">
        <v>1.1115330000000001</v>
      </c>
      <c r="L4409">
        <v>189.34809999999999</v>
      </c>
      <c r="M4409">
        <v>-4.2988680000000001E-2</v>
      </c>
      <c r="N4409">
        <v>-1.296139E-2</v>
      </c>
      <c r="O4409">
        <v>-0.99899150000000003</v>
      </c>
      <c r="P4409">
        <v>-4.6068970000000004E-3</v>
      </c>
      <c r="Q4409">
        <v>0.36557020000000001</v>
      </c>
      <c r="R4409">
        <v>-0.9307725</v>
      </c>
      <c r="S4409">
        <v>-1.0604860000000001E-2</v>
      </c>
      <c r="T4409">
        <v>-0.33867730000000001</v>
      </c>
      <c r="U4409">
        <v>-3.358276</v>
      </c>
      <c r="V4409">
        <v>-3.5864239999999999E-2</v>
      </c>
      <c r="W4409">
        <v>0.37755240000000001</v>
      </c>
      <c r="X4409">
        <v>0.92529340000000004</v>
      </c>
      <c r="Y4409">
        <v>-3.9819840000000002E-2</v>
      </c>
      <c r="Z4409">
        <v>8.7257130000000002E-2</v>
      </c>
      <c r="AA4409">
        <v>0.99538959999999999</v>
      </c>
      <c r="AB4409">
        <v>29</v>
      </c>
      <c r="AC4409">
        <v>-2.8300000000001501E-2</v>
      </c>
      <c r="AD4409">
        <v>-1.111536879784</v>
      </c>
      <c r="AE4409">
        <v>-10.859499999999899</v>
      </c>
      <c r="AF4409">
        <v>-0.434053490584899</v>
      </c>
      <c r="AG4409">
        <v>-1.111536879784</v>
      </c>
      <c r="AH4409">
        <v>10.7381752266236</v>
      </c>
      <c r="AI4409">
        <v>95.905001898168194</v>
      </c>
      <c r="AJ4409">
        <v>92.314723042574698</v>
      </c>
      <c r="AK4409">
        <v>10.804273407567999</v>
      </c>
      <c r="AL4409">
        <v>67.817844383606598</v>
      </c>
      <c r="AM4409">
        <v>92.219665119895197</v>
      </c>
      <c r="AN4409">
        <v>0.99999996727004803</v>
      </c>
    </row>
    <row r="4410" spans="1:40" x14ac:dyDescent="0.25">
      <c r="A4410" t="str">
        <f>"20190304164938694"</f>
        <v>20190304164938694</v>
      </c>
      <c r="B4410" t="str">
        <f>"1551689378690199"</f>
        <v>1551689378690199</v>
      </c>
      <c r="C4410" t="s">
        <v>40</v>
      </c>
      <c r="D4410">
        <v>4.6453100000000003</v>
      </c>
      <c r="E4410">
        <v>0.50590679999999999</v>
      </c>
      <c r="F4410" t="s">
        <v>41</v>
      </c>
      <c r="G4410">
        <v>-189.5179</v>
      </c>
      <c r="H4410">
        <v>1.0191509999999999</v>
      </c>
      <c r="I4410">
        <v>188.4427</v>
      </c>
      <c r="J4410">
        <v>-189.52330000000001</v>
      </c>
      <c r="K4410">
        <v>1.111845</v>
      </c>
      <c r="L4410">
        <v>189.18520000000001</v>
      </c>
      <c r="M4410">
        <v>-4.208957E-2</v>
      </c>
      <c r="N4410">
        <v>-1.3058520000000001E-2</v>
      </c>
      <c r="O4410">
        <v>-0.99902860000000004</v>
      </c>
      <c r="P4410">
        <v>-1.7448100000000001E-3</v>
      </c>
      <c r="Q4410">
        <v>0.36472320000000003</v>
      </c>
      <c r="R4410">
        <v>-0.93111469999999996</v>
      </c>
      <c r="S4410">
        <v>-3.2043459999999998E-3</v>
      </c>
      <c r="T4410">
        <v>-0.34279500000000002</v>
      </c>
      <c r="U4410">
        <v>-3.3577880000000002</v>
      </c>
      <c r="V4410">
        <v>-3.818353E-2</v>
      </c>
      <c r="W4410">
        <v>0.37676759999999998</v>
      </c>
      <c r="X4410">
        <v>0.92552049999999997</v>
      </c>
      <c r="Y4410">
        <v>-4.1112460000000003E-2</v>
      </c>
      <c r="Z4410">
        <v>8.8384519999999994E-2</v>
      </c>
      <c r="AA4410">
        <v>0.99523759999999994</v>
      </c>
      <c r="AB4410">
        <v>28</v>
      </c>
      <c r="AC4410">
        <v>5.4000000000087303E-3</v>
      </c>
      <c r="AD4410">
        <v>-9.2693999999999999E-2</v>
      </c>
      <c r="AE4410">
        <v>-0.74250000000000604</v>
      </c>
      <c r="AF4410">
        <v>-3.6086990870569199E-2</v>
      </c>
      <c r="AG4410">
        <v>-9.2693999999999999E-2</v>
      </c>
      <c r="AH4410">
        <v>0.73023441823156998</v>
      </c>
      <c r="AI4410">
        <v>97.225558426937397</v>
      </c>
      <c r="AJ4410">
        <v>92.8291621287201</v>
      </c>
      <c r="AK4410">
        <v>0.73697812322761103</v>
      </c>
      <c r="AL4410">
        <v>67.866396512415307</v>
      </c>
      <c r="AM4410">
        <v>92.362470779383699</v>
      </c>
      <c r="AN4410">
        <v>1.0000000011466299</v>
      </c>
    </row>
    <row r="4411" spans="1:40" x14ac:dyDescent="0.25">
      <c r="A4411" t="str">
        <f>"20190304164938706"</f>
        <v>20190304164938706</v>
      </c>
      <c r="B4411" t="str">
        <f>"1551689378699959"</f>
        <v>1551689378699959</v>
      </c>
      <c r="C4411" t="s">
        <v>40</v>
      </c>
      <c r="D4411">
        <v>4.6623869999999998</v>
      </c>
      <c r="E4411">
        <v>0.50585829999999998</v>
      </c>
      <c r="F4411" t="s">
        <v>42</v>
      </c>
      <c r="G4411">
        <v>-189.51150000000001</v>
      </c>
      <c r="H4411" s="1">
        <v>-3.8303429999999997E-6</v>
      </c>
      <c r="I4411">
        <v>178.35939999999999</v>
      </c>
      <c r="J4411">
        <v>-189.5291</v>
      </c>
      <c r="K4411">
        <v>1.1121399999999999</v>
      </c>
      <c r="L4411">
        <v>189.02549999999999</v>
      </c>
      <c r="M4411">
        <v>-4.0930139999999997E-2</v>
      </c>
      <c r="N4411">
        <v>-1.314653E-2</v>
      </c>
      <c r="O4411">
        <v>-0.99907570000000001</v>
      </c>
      <c r="P4411">
        <v>7.7762179999999901E-4</v>
      </c>
      <c r="Q4411">
        <v>0.36386459999999998</v>
      </c>
      <c r="R4411">
        <v>-0.93145180000000005</v>
      </c>
      <c r="S4411">
        <v>3.6773679999999999E-3</v>
      </c>
      <c r="T4411">
        <v>-0.34477619999999998</v>
      </c>
      <c r="U4411">
        <v>-3.3570099999999998</v>
      </c>
      <c r="V4411">
        <v>-3.9897490000000001E-2</v>
      </c>
      <c r="W4411">
        <v>0.37596400000000002</v>
      </c>
      <c r="X4411">
        <v>0.92577489999999996</v>
      </c>
      <c r="Y4411">
        <v>-4.1991790000000001E-2</v>
      </c>
      <c r="Z4411">
        <v>8.8905789999999998E-2</v>
      </c>
      <c r="AA4411">
        <v>0.99515450000000005</v>
      </c>
      <c r="AB4411">
        <v>28</v>
      </c>
      <c r="AC4411">
        <v>1.75999999999874E-2</v>
      </c>
      <c r="AD4411">
        <v>-1.112143830343</v>
      </c>
      <c r="AE4411">
        <v>-10.6661</v>
      </c>
      <c r="AF4411">
        <v>-0.44930304446095598</v>
      </c>
      <c r="AG4411">
        <v>-1.112143830343</v>
      </c>
      <c r="AH4411">
        <v>10.541829184297301</v>
      </c>
      <c r="AI4411">
        <v>96.016901649680605</v>
      </c>
      <c r="AJ4411">
        <v>92.440524959325003</v>
      </c>
      <c r="AK4411">
        <v>10.609849182530001</v>
      </c>
      <c r="AL4411">
        <v>67.916092433680504</v>
      </c>
      <c r="AM4411">
        <v>92.467710168303498</v>
      </c>
      <c r="AN4411">
        <v>0.99999995223715299</v>
      </c>
    </row>
    <row r="4412" spans="1:40" x14ac:dyDescent="0.25">
      <c r="A4412" t="str">
        <f>"20190304164938722"</f>
        <v>20190304164938722</v>
      </c>
      <c r="B4412" t="str">
        <f>"1551689378710695"</f>
        <v>1551689378710695</v>
      </c>
      <c r="C4412" t="s">
        <v>40</v>
      </c>
      <c r="D4412">
        <v>4.634449</v>
      </c>
      <c r="E4412">
        <v>0.5058513</v>
      </c>
      <c r="F4412" t="s">
        <v>42</v>
      </c>
      <c r="G4412">
        <v>-189.49459999999999</v>
      </c>
      <c r="H4412" s="1">
        <v>-3.8266190000000002E-6</v>
      </c>
      <c r="I4412">
        <v>178.34370000000001</v>
      </c>
      <c r="J4412">
        <v>-189.5359</v>
      </c>
      <c r="K4412">
        <v>1.1125</v>
      </c>
      <c r="L4412">
        <v>188.82400000000001</v>
      </c>
      <c r="M4412">
        <v>-3.9259460000000003E-2</v>
      </c>
      <c r="N4412">
        <v>-1.3251539999999999E-2</v>
      </c>
      <c r="O4412">
        <v>-0.99914119999999995</v>
      </c>
      <c r="P4412">
        <v>3.1338099999999999E-3</v>
      </c>
      <c r="Q4412">
        <v>0.36347279999999998</v>
      </c>
      <c r="R4412">
        <v>-0.93159950000000002</v>
      </c>
      <c r="S4412">
        <v>1.083374E-2</v>
      </c>
      <c r="T4412">
        <v>-0.34954849999999998</v>
      </c>
      <c r="U4412">
        <v>-3.3573</v>
      </c>
      <c r="V4412">
        <v>-4.1015370000000002E-2</v>
      </c>
      <c r="W4412">
        <v>0.37563469999999999</v>
      </c>
      <c r="X4412">
        <v>0.92585969999999995</v>
      </c>
      <c r="Y4412">
        <v>-4.2440899999999997E-2</v>
      </c>
      <c r="Z4412">
        <v>9.0199489999999993E-2</v>
      </c>
      <c r="AA4412">
        <v>0.99501899999999999</v>
      </c>
      <c r="AB4412">
        <v>28</v>
      </c>
      <c r="AC4412">
        <v>4.1300000000006699E-2</v>
      </c>
      <c r="AD4412">
        <v>-1.1125038266189999</v>
      </c>
      <c r="AE4412">
        <v>-10.4803</v>
      </c>
      <c r="AF4412">
        <v>-0.44771037031164401</v>
      </c>
      <c r="AG4412">
        <v>-1.1125038266189999</v>
      </c>
      <c r="AH4412">
        <v>10.3539286285377</v>
      </c>
      <c r="AI4412">
        <v>96.127078325688203</v>
      </c>
      <c r="AJ4412">
        <v>92.475963078639296</v>
      </c>
      <c r="AK4412">
        <v>10.423144793428699</v>
      </c>
      <c r="AL4412">
        <v>67.936451919888597</v>
      </c>
      <c r="AM4412">
        <v>92.536531324386203</v>
      </c>
      <c r="AN4412">
        <v>0.99999993625220596</v>
      </c>
    </row>
    <row r="4413" spans="1:40" x14ac:dyDescent="0.25">
      <c r="A4413" t="str">
        <f>"20190304164938735"</f>
        <v>20190304164938735</v>
      </c>
      <c r="B4413" t="str">
        <f>"1551689378730216"</f>
        <v>1551689378730216</v>
      </c>
      <c r="C4413" t="s">
        <v>40</v>
      </c>
      <c r="D4413">
        <v>4.6251899999999999</v>
      </c>
      <c r="E4413">
        <v>0.50577879999999997</v>
      </c>
      <c r="F4413" t="s">
        <v>41</v>
      </c>
      <c r="G4413">
        <v>-189.53129999999999</v>
      </c>
      <c r="H4413">
        <v>1.0194840000000001</v>
      </c>
      <c r="I4413">
        <v>187.9367</v>
      </c>
      <c r="J4413">
        <v>-189.541</v>
      </c>
      <c r="K4413">
        <v>1.112781</v>
      </c>
      <c r="L4413">
        <v>188.65880000000001</v>
      </c>
      <c r="M4413">
        <v>-3.7721600000000001E-2</v>
      </c>
      <c r="N4413">
        <v>-1.333255E-2</v>
      </c>
      <c r="O4413">
        <v>-0.99919930000000001</v>
      </c>
      <c r="P4413">
        <v>4.7632439999999998E-3</v>
      </c>
      <c r="Q4413">
        <v>0.36293180000000003</v>
      </c>
      <c r="R4413">
        <v>-0.93180370000000001</v>
      </c>
      <c r="S4413">
        <v>1.8112179999999999E-2</v>
      </c>
      <c r="T4413">
        <v>-0.35233940000000002</v>
      </c>
      <c r="U4413">
        <v>-3.3576809999999999</v>
      </c>
      <c r="V4413">
        <v>-4.1462659999999998E-2</v>
      </c>
      <c r="W4413">
        <v>0.37514330000000001</v>
      </c>
      <c r="X4413">
        <v>0.92603899999999995</v>
      </c>
      <c r="Y4413">
        <v>-4.305838E-2</v>
      </c>
      <c r="Z4413">
        <v>9.0931559999999995E-2</v>
      </c>
      <c r="AA4413">
        <v>0.99492590000000003</v>
      </c>
      <c r="AB4413">
        <v>28</v>
      </c>
      <c r="AC4413">
        <v>9.7000000000093695E-3</v>
      </c>
      <c r="AD4413">
        <v>-9.3296999999999894E-2</v>
      </c>
      <c r="AE4413">
        <v>-0.72210000000001096</v>
      </c>
      <c r="AF4413">
        <v>-3.6327962871247399E-2</v>
      </c>
      <c r="AG4413">
        <v>-9.3296999999999894E-2</v>
      </c>
      <c r="AH4413">
        <v>0.70938032819339902</v>
      </c>
      <c r="AI4413">
        <v>97.482787784233693</v>
      </c>
      <c r="AJ4413">
        <v>92.931604058621602</v>
      </c>
      <c r="AK4413">
        <v>0.71641084659791998</v>
      </c>
      <c r="AL4413">
        <v>67.966828649831697</v>
      </c>
      <c r="AM4413">
        <v>92.563660742234603</v>
      </c>
      <c r="AN4413">
        <v>0.99999993861507996</v>
      </c>
    </row>
    <row r="4414" spans="1:40" x14ac:dyDescent="0.25">
      <c r="A4414" t="str">
        <f>"20190304164938747"</f>
        <v>20190304164938747</v>
      </c>
      <c r="B4414" t="str">
        <f>"1551689378739976"</f>
        <v>1551689378739976</v>
      </c>
      <c r="C4414" t="s">
        <v>40</v>
      </c>
      <c r="D4414">
        <v>4.6089919999999998</v>
      </c>
      <c r="E4414">
        <v>0.50573429999999997</v>
      </c>
      <c r="F4414" t="s">
        <v>41</v>
      </c>
      <c r="G4414">
        <v>-189.53370000000001</v>
      </c>
      <c r="H4414">
        <v>1.009836</v>
      </c>
      <c r="I4414">
        <v>187.6918</v>
      </c>
      <c r="J4414">
        <v>-189.5453</v>
      </c>
      <c r="K4414">
        <v>1.1130059999999999</v>
      </c>
      <c r="L4414">
        <v>188.506</v>
      </c>
      <c r="M4414">
        <v>-3.6078359999999997E-2</v>
      </c>
      <c r="N4414">
        <v>-1.340062E-2</v>
      </c>
      <c r="O4414">
        <v>-0.99925920000000001</v>
      </c>
      <c r="P4414">
        <v>6.2219479999999997E-3</v>
      </c>
      <c r="Q4414">
        <v>0.36246830000000002</v>
      </c>
      <c r="R4414">
        <v>-0.93197540000000001</v>
      </c>
      <c r="S4414">
        <v>2.5527950000000001E-2</v>
      </c>
      <c r="T4414">
        <v>-0.35760829999999999</v>
      </c>
      <c r="U4414">
        <v>-3.3587340000000001</v>
      </c>
      <c r="V4414">
        <v>-4.1590809999999999E-2</v>
      </c>
      <c r="W4414">
        <v>0.37472420000000001</v>
      </c>
      <c r="X4414">
        <v>0.926203</v>
      </c>
      <c r="Y4414">
        <v>-4.3608260000000003E-2</v>
      </c>
      <c r="Z4414">
        <v>9.2381019999999994E-2</v>
      </c>
      <c r="AA4414">
        <v>0.99476830000000005</v>
      </c>
      <c r="AB4414">
        <v>28</v>
      </c>
      <c r="AC4414">
        <v>1.15999999999871E-2</v>
      </c>
      <c r="AD4414">
        <v>-0.103169999999999</v>
      </c>
      <c r="AE4414">
        <v>-0.81419999999997095</v>
      </c>
      <c r="AF4414">
        <v>-4.0322780611162602E-2</v>
      </c>
      <c r="AG4414">
        <v>-0.103169999999999</v>
      </c>
      <c r="AH4414">
        <v>0.80040241556148195</v>
      </c>
      <c r="AI4414">
        <v>97.335592444262701</v>
      </c>
      <c r="AJ4414">
        <v>92.884016304447897</v>
      </c>
      <c r="AK4414">
        <v>0.808030941469986</v>
      </c>
      <c r="AL4414">
        <v>67.992732474510106</v>
      </c>
      <c r="AM4414">
        <v>92.571118982206698</v>
      </c>
      <c r="AN4414">
        <v>1.0000000093755399</v>
      </c>
    </row>
    <row r="4415" spans="1:40" x14ac:dyDescent="0.25">
      <c r="A4415" t="str">
        <f>"20190304164938760"</f>
        <v>20190304164938760</v>
      </c>
      <c r="B4415" t="str">
        <f>"1551689378750711"</f>
        <v>1551689378750711</v>
      </c>
      <c r="C4415" t="s">
        <v>40</v>
      </c>
      <c r="D4415">
        <v>4.6137030000000001</v>
      </c>
      <c r="E4415">
        <v>0.5057429</v>
      </c>
      <c r="F4415" t="s">
        <v>41</v>
      </c>
      <c r="G4415">
        <v>-189.53720000000001</v>
      </c>
      <c r="H4415">
        <v>1.0236080000000001</v>
      </c>
      <c r="I4415">
        <v>187.672</v>
      </c>
      <c r="J4415">
        <v>-189.54939999999999</v>
      </c>
      <c r="K4415">
        <v>1.113216</v>
      </c>
      <c r="L4415">
        <v>188.34710000000001</v>
      </c>
      <c r="M4415">
        <v>-3.4301739999999997E-2</v>
      </c>
      <c r="N4415">
        <v>-1.346785E-2</v>
      </c>
      <c r="O4415">
        <v>-0.99932089999999996</v>
      </c>
      <c r="P4415">
        <v>7.9298709999999998E-3</v>
      </c>
      <c r="Q4415">
        <v>0.36161359999999998</v>
      </c>
      <c r="R4415">
        <v>-0.93229450000000003</v>
      </c>
      <c r="S4415">
        <v>3.2379150000000002E-2</v>
      </c>
      <c r="T4415">
        <v>-0.36006959999999999</v>
      </c>
      <c r="U4415">
        <v>-3.3587799999999999</v>
      </c>
      <c r="V4415">
        <v>-4.183742E-2</v>
      </c>
      <c r="W4415">
        <v>0.37391459999999999</v>
      </c>
      <c r="X4415">
        <v>0.92651899999999998</v>
      </c>
      <c r="Y4415">
        <v>-4.3859750000000003E-2</v>
      </c>
      <c r="Z4415">
        <v>9.3041079999999998E-2</v>
      </c>
      <c r="AA4415">
        <v>0.99469580000000002</v>
      </c>
      <c r="AB4415">
        <v>28</v>
      </c>
      <c r="AC4415">
        <v>1.2199999999978599E-2</v>
      </c>
      <c r="AD4415">
        <v>-8.9607999999999896E-2</v>
      </c>
      <c r="AE4415">
        <v>-0.67510000000001402</v>
      </c>
      <c r="AF4415">
        <v>-3.4740167930381601E-2</v>
      </c>
      <c r="AG4415">
        <v>-8.9607999999999896E-2</v>
      </c>
      <c r="AH4415">
        <v>0.66261398539781802</v>
      </c>
      <c r="AI4415">
        <v>97.6911829249525</v>
      </c>
      <c r="AJ4415">
        <v>93.001210740003501</v>
      </c>
      <c r="AK4415">
        <v>0.66954743414982298</v>
      </c>
      <c r="AL4415">
        <v>68.042755112242602</v>
      </c>
      <c r="AM4415">
        <v>92.585462719366106</v>
      </c>
      <c r="AN4415">
        <v>0.99999997758320702</v>
      </c>
    </row>
    <row r="4416" spans="1:40" x14ac:dyDescent="0.25">
      <c r="A4416" t="str">
        <f>"20190304164938771"</f>
        <v>20190304164938771</v>
      </c>
      <c r="B4416" t="str">
        <f>"1551689378760472"</f>
        <v>1551689378760472</v>
      </c>
      <c r="C4416" t="s">
        <v>40</v>
      </c>
      <c r="D4416">
        <v>4.6291399999999996</v>
      </c>
      <c r="E4416">
        <v>0.50575639999999999</v>
      </c>
      <c r="F4416" t="s">
        <v>41</v>
      </c>
      <c r="G4416">
        <v>-189.53880000000001</v>
      </c>
      <c r="H4416">
        <v>1.0145839999999999</v>
      </c>
      <c r="I4416">
        <v>187.4367</v>
      </c>
      <c r="J4416">
        <v>-189.55279999999999</v>
      </c>
      <c r="K4416">
        <v>1.1133789999999999</v>
      </c>
      <c r="L4416">
        <v>188.2011</v>
      </c>
      <c r="M4416">
        <v>-3.2572089999999998E-2</v>
      </c>
      <c r="N4416">
        <v>-1.3524929999999999E-2</v>
      </c>
      <c r="O4416">
        <v>-0.99937799999999999</v>
      </c>
      <c r="P4416">
        <v>9.4032509999999996E-3</v>
      </c>
      <c r="Q4416">
        <v>0.36110370000000003</v>
      </c>
      <c r="R4416">
        <v>-0.93247840000000004</v>
      </c>
      <c r="S4416">
        <v>3.9352419999999999E-2</v>
      </c>
      <c r="T4416">
        <v>-0.3640311</v>
      </c>
      <c r="U4416">
        <v>-3.358749</v>
      </c>
      <c r="V4416">
        <v>-4.1850810000000002E-2</v>
      </c>
      <c r="W4416">
        <v>0.37344490000000002</v>
      </c>
      <c r="X4416">
        <v>0.92670790000000003</v>
      </c>
      <c r="Y4416">
        <v>-4.4193639999999999E-2</v>
      </c>
      <c r="Z4416">
        <v>9.4151360000000003E-2</v>
      </c>
      <c r="AA4416">
        <v>0.99457649999999997</v>
      </c>
      <c r="AB4416">
        <v>28</v>
      </c>
      <c r="AC4416">
        <v>1.3999999999981499E-2</v>
      </c>
      <c r="AD4416">
        <v>-9.8795000000000202E-2</v>
      </c>
      <c r="AE4416">
        <v>-0.76439999999999397</v>
      </c>
      <c r="AF4416">
        <v>-3.8254155049669003E-2</v>
      </c>
      <c r="AG4416">
        <v>-9.8795000000000202E-2</v>
      </c>
      <c r="AH4416">
        <v>0.75099758490221502</v>
      </c>
      <c r="AI4416">
        <v>97.484728736347506</v>
      </c>
      <c r="AJ4416">
        <v>92.915999950262702</v>
      </c>
      <c r="AK4416">
        <v>0.75843338859290998</v>
      </c>
      <c r="AL4416">
        <v>68.071770603181804</v>
      </c>
      <c r="AM4416">
        <v>92.585762596066303</v>
      </c>
      <c r="AN4416">
        <v>1.0000000577780299</v>
      </c>
    </row>
    <row r="4417" spans="1:40" x14ac:dyDescent="0.25">
      <c r="A4417" t="str">
        <f>"20190304164938783"</f>
        <v>20190304164938783</v>
      </c>
      <c r="B4417" t="str">
        <f>"1551689378780498"</f>
        <v>1551689378780498</v>
      </c>
      <c r="C4417" t="s">
        <v>40</v>
      </c>
      <c r="D4417">
        <v>4.5983539999999996</v>
      </c>
      <c r="E4417">
        <v>0.50574399999999997</v>
      </c>
      <c r="F4417" t="s">
        <v>42</v>
      </c>
      <c r="G4417">
        <v>-189.41380000000001</v>
      </c>
      <c r="H4417" s="1">
        <v>-3.700463E-6</v>
      </c>
      <c r="I4417">
        <v>178.0163</v>
      </c>
      <c r="J4417">
        <v>-189.5558</v>
      </c>
      <c r="K4417">
        <v>1.1135060000000001</v>
      </c>
      <c r="L4417">
        <v>188.0548</v>
      </c>
      <c r="M4417">
        <v>-3.0762149999999999E-2</v>
      </c>
      <c r="N4417">
        <v>-1.357672E-2</v>
      </c>
      <c r="O4417">
        <v>-0.99943459999999995</v>
      </c>
      <c r="P4417">
        <v>1.130919E-2</v>
      </c>
      <c r="Q4417">
        <v>0.36059089999999999</v>
      </c>
      <c r="R4417">
        <v>-0.93265600000000004</v>
      </c>
      <c r="S4417">
        <v>4.5822139999999997E-2</v>
      </c>
      <c r="T4417">
        <v>-0.3671951</v>
      </c>
      <c r="U4417">
        <v>-3.3589630000000001</v>
      </c>
      <c r="V4417">
        <v>-4.219096E-2</v>
      </c>
      <c r="W4417">
        <v>0.37296760000000001</v>
      </c>
      <c r="X4417">
        <v>0.92688459999999995</v>
      </c>
      <c r="Y4417">
        <v>-4.4297370000000003E-2</v>
      </c>
      <c r="Z4417">
        <v>9.5026059999999996E-2</v>
      </c>
      <c r="AA4417">
        <v>0.9944887</v>
      </c>
      <c r="AB4417">
        <v>28</v>
      </c>
      <c r="AC4417">
        <v>0.14199999999999499</v>
      </c>
      <c r="AD4417">
        <v>-1.1135097004629999</v>
      </c>
      <c r="AE4417">
        <v>-10.038500000000001</v>
      </c>
      <c r="AF4417">
        <v>-0.44528927277450397</v>
      </c>
      <c r="AG4417">
        <v>-1.1135097004629999</v>
      </c>
      <c r="AH4417">
        <v>9.9075009684314708</v>
      </c>
      <c r="AI4417">
        <v>96.406182041328194</v>
      </c>
      <c r="AJ4417">
        <v>92.573407541197298</v>
      </c>
      <c r="AK4417">
        <v>9.9798177252364599</v>
      </c>
      <c r="AL4417">
        <v>68.101245958194696</v>
      </c>
      <c r="AM4417">
        <v>92.606253712903793</v>
      </c>
      <c r="AN4417">
        <v>0.99999998473632001</v>
      </c>
    </row>
    <row r="4418" spans="1:40" x14ac:dyDescent="0.25">
      <c r="A4418" t="str">
        <f>"20190304164938800"</f>
        <v>20190304164938800</v>
      </c>
      <c r="B4418" t="str">
        <f>"1551689378790258"</f>
        <v>1551689378790258</v>
      </c>
      <c r="C4418" t="s">
        <v>40</v>
      </c>
      <c r="D4418">
        <v>4.6150409999999997</v>
      </c>
      <c r="E4418">
        <v>0.50575349999999997</v>
      </c>
      <c r="F4418" t="s">
        <v>41</v>
      </c>
      <c r="G4418">
        <v>-189.542</v>
      </c>
      <c r="H4418">
        <v>1.017414</v>
      </c>
      <c r="I4418">
        <v>187.1833</v>
      </c>
      <c r="J4418">
        <v>-189.5598</v>
      </c>
      <c r="K4418">
        <v>1.113659</v>
      </c>
      <c r="L4418">
        <v>187.83150000000001</v>
      </c>
      <c r="M4418">
        <v>-2.7916489999999999E-2</v>
      </c>
      <c r="N4418">
        <v>-1.364832E-2</v>
      </c>
      <c r="O4418">
        <v>-0.99951730000000005</v>
      </c>
      <c r="P4418">
        <v>1.372843E-2</v>
      </c>
      <c r="Q4418">
        <v>0.36080269999999998</v>
      </c>
      <c r="R4418">
        <v>-0.93254150000000002</v>
      </c>
      <c r="S4418">
        <v>5.2932739999999999E-2</v>
      </c>
      <c r="T4418">
        <v>-0.37034650000000002</v>
      </c>
      <c r="U4418">
        <v>-3.3591609999999998</v>
      </c>
      <c r="V4418">
        <v>-4.2096889999999998E-2</v>
      </c>
      <c r="W4418">
        <v>0.37323030000000001</v>
      </c>
      <c r="X4418">
        <v>0.92678309999999997</v>
      </c>
      <c r="Y4418">
        <v>-4.3555749999999997E-2</v>
      </c>
      <c r="Z4418">
        <v>9.5883700000000002E-2</v>
      </c>
      <c r="AA4418">
        <v>0.99443910000000002</v>
      </c>
      <c r="AB4418">
        <v>28</v>
      </c>
      <c r="AC4418">
        <v>1.7799999999994001E-2</v>
      </c>
      <c r="AD4418">
        <v>-9.62449999999999E-2</v>
      </c>
      <c r="AE4418">
        <v>-0.648200000000002</v>
      </c>
      <c r="AF4418">
        <v>-3.5116599443091201E-2</v>
      </c>
      <c r="AG4418">
        <v>-9.62449999999999E-2</v>
      </c>
      <c r="AH4418">
        <v>0.63349459196356595</v>
      </c>
      <c r="AI4418">
        <v>98.625677491159195</v>
      </c>
      <c r="AJ4418">
        <v>93.172838213244205</v>
      </c>
      <c r="AK4418">
        <v>0.64172554384918401</v>
      </c>
      <c r="AL4418">
        <v>68.085022339227095</v>
      </c>
      <c r="AM4418">
        <v>92.600735138122303</v>
      </c>
      <c r="AN4418">
        <v>0.99999995971568501</v>
      </c>
    </row>
    <row r="4419" spans="1:40" x14ac:dyDescent="0.25">
      <c r="A4419" t="str">
        <f>"20190304164938816"</f>
        <v>20190304164938816</v>
      </c>
      <c r="B4419" t="str">
        <f>"1551689378810754"</f>
        <v>1551689378810754</v>
      </c>
      <c r="C4419" t="s">
        <v>40</v>
      </c>
      <c r="D4419">
        <v>4.6204340000000004</v>
      </c>
      <c r="E4419">
        <v>0.50581520000000002</v>
      </c>
      <c r="F4419" t="s">
        <v>41</v>
      </c>
      <c r="G4419">
        <v>-189.54339999999999</v>
      </c>
      <c r="H4419">
        <v>1.014764</v>
      </c>
      <c r="I4419">
        <v>186.93430000000001</v>
      </c>
      <c r="J4419">
        <v>-189.5626</v>
      </c>
      <c r="K4419">
        <v>1.1137440000000001</v>
      </c>
      <c r="L4419">
        <v>187.6499</v>
      </c>
      <c r="M4419">
        <v>-2.555062E-2</v>
      </c>
      <c r="N4419">
        <v>-1.370031E-2</v>
      </c>
      <c r="O4419">
        <v>-0.99957980000000002</v>
      </c>
      <c r="P4419">
        <v>1.5325299999999899E-2</v>
      </c>
      <c r="Q4419">
        <v>0.36127569999999998</v>
      </c>
      <c r="R4419">
        <v>-0.93233339999999998</v>
      </c>
      <c r="S4419">
        <v>6.2011719999999999E-2</v>
      </c>
      <c r="T4419">
        <v>-0.37061739999999999</v>
      </c>
      <c r="U4419">
        <v>-3.3594970000000002</v>
      </c>
      <c r="V4419">
        <v>-4.1564810000000001E-2</v>
      </c>
      <c r="W4419">
        <v>0.37374429999999997</v>
      </c>
      <c r="X4419">
        <v>0.92659999999999998</v>
      </c>
      <c r="Y4419">
        <v>-4.387568E-2</v>
      </c>
      <c r="Z4419">
        <v>9.5907199999999998E-2</v>
      </c>
      <c r="AA4419">
        <v>0.99442280000000005</v>
      </c>
      <c r="AB4419">
        <v>28</v>
      </c>
      <c r="AC4419">
        <v>1.9200000000011999E-2</v>
      </c>
      <c r="AD4419">
        <v>-9.8979999999999999E-2</v>
      </c>
      <c r="AE4419">
        <v>-0.71559999999999402</v>
      </c>
      <c r="AF4419">
        <v>-3.6776378041222101E-2</v>
      </c>
      <c r="AG4419">
        <v>-9.8979999999999999E-2</v>
      </c>
      <c r="AH4419">
        <v>0.70146512897309199</v>
      </c>
      <c r="AI4419">
        <v>98.020804604790698</v>
      </c>
      <c r="AJ4419">
        <v>93.001152475864302</v>
      </c>
      <c r="AK4419">
        <v>0.70936793664999198</v>
      </c>
      <c r="AL4419">
        <v>68.053275788238295</v>
      </c>
      <c r="AM4419">
        <v>92.568414403916293</v>
      </c>
      <c r="AN4419">
        <v>0.999999997606413</v>
      </c>
    </row>
    <row r="4420" spans="1:40" x14ac:dyDescent="0.25">
      <c r="A4420" t="str">
        <f>"20190304164938833"</f>
        <v>20190304164938833</v>
      </c>
      <c r="B4420" t="str">
        <f>"1551689378820514"</f>
        <v>1551689378820514</v>
      </c>
      <c r="C4420" t="s">
        <v>40</v>
      </c>
      <c r="D4420">
        <v>4.6234409999999997</v>
      </c>
      <c r="E4420">
        <v>0.50586999999999904</v>
      </c>
      <c r="F4420" t="s">
        <v>41</v>
      </c>
      <c r="G4420">
        <v>-189.5429</v>
      </c>
      <c r="H4420">
        <v>1.0077969999999901</v>
      </c>
      <c r="I4420">
        <v>186.68799999999999</v>
      </c>
      <c r="J4420">
        <v>-189.5652</v>
      </c>
      <c r="K4420">
        <v>1.1137889999999999</v>
      </c>
      <c r="L4420">
        <v>187.4307</v>
      </c>
      <c r="M4420">
        <v>-2.2662169999999999E-2</v>
      </c>
      <c r="N4420">
        <v>-1.375416E-2</v>
      </c>
      <c r="O4420">
        <v>-0.9996486</v>
      </c>
      <c r="P4420">
        <v>1.7259980000000001E-2</v>
      </c>
      <c r="Q4420">
        <v>0.36088049999999999</v>
      </c>
      <c r="R4420">
        <v>-0.93245259999999996</v>
      </c>
      <c r="S4420">
        <v>6.9076540000000006E-2</v>
      </c>
      <c r="T4420">
        <v>-0.37009629999999999</v>
      </c>
      <c r="U4420">
        <v>-3.3600159999999999</v>
      </c>
      <c r="V4420">
        <v>-4.0849339999999998E-2</v>
      </c>
      <c r="W4420">
        <v>0.37340200000000001</v>
      </c>
      <c r="X4420">
        <v>0.92676979999999998</v>
      </c>
      <c r="Y4420">
        <v>-4.3077190000000001E-2</v>
      </c>
      <c r="Z4420">
        <v>9.5695649999999993E-2</v>
      </c>
      <c r="AA4420">
        <v>0.99447810000000003</v>
      </c>
      <c r="AB4420">
        <v>28</v>
      </c>
      <c r="AC4420">
        <v>2.2300000000001301E-2</v>
      </c>
      <c r="AD4420">
        <v>-0.105992</v>
      </c>
      <c r="AE4420">
        <v>-0.74270000000001302</v>
      </c>
      <c r="AF4420">
        <v>-3.8346765919948997E-2</v>
      </c>
      <c r="AG4420">
        <v>-0.105992</v>
      </c>
      <c r="AH4420">
        <v>0.72720640103902701</v>
      </c>
      <c r="AI4420">
        <v>98.281252676018696</v>
      </c>
      <c r="AJ4420">
        <v>93.0185031238085</v>
      </c>
      <c r="AK4420">
        <v>0.73588988866042604</v>
      </c>
      <c r="AL4420">
        <v>68.074418753230205</v>
      </c>
      <c r="AM4420">
        <v>92.523799161301596</v>
      </c>
      <c r="AN4420">
        <v>0.99999999218723701</v>
      </c>
    </row>
    <row r="4421" spans="1:40" x14ac:dyDescent="0.25">
      <c r="A4421" t="str">
        <f>"20190304164938848"</f>
        <v>20190304164938848</v>
      </c>
      <c r="B4421" t="str">
        <f>"1551689378840034"</f>
        <v>1551689378840034</v>
      </c>
      <c r="C4421" t="s">
        <v>40</v>
      </c>
      <c r="D4421">
        <v>4.6123010000000004</v>
      </c>
      <c r="E4421">
        <v>0.50584910000000005</v>
      </c>
      <c r="F4421" t="s">
        <v>42</v>
      </c>
      <c r="G4421">
        <v>-189.33150000000001</v>
      </c>
      <c r="H4421" s="1">
        <v>-3.4397389999999999E-6</v>
      </c>
      <c r="I4421">
        <v>177.37450000000001</v>
      </c>
      <c r="J4421">
        <v>-189.5669</v>
      </c>
      <c r="K4421">
        <v>1.113785</v>
      </c>
      <c r="L4421">
        <v>187.24100000000001</v>
      </c>
      <c r="M4421">
        <v>-2.0185379999999999E-2</v>
      </c>
      <c r="N4421">
        <v>-1.379493E-2</v>
      </c>
      <c r="O4421">
        <v>-0.99970130000000001</v>
      </c>
      <c r="P4421">
        <v>1.7982959999999999E-2</v>
      </c>
      <c r="Q4421">
        <v>0.35886170000000001</v>
      </c>
      <c r="R4421">
        <v>-0.93321770000000004</v>
      </c>
      <c r="S4421">
        <v>7.8079220000000005E-2</v>
      </c>
      <c r="T4421">
        <v>-0.3721275</v>
      </c>
      <c r="U4421">
        <v>-3.3598789999999998</v>
      </c>
      <c r="V4421">
        <v>-3.9268209999999998E-2</v>
      </c>
      <c r="W4421">
        <v>0.37144290000000002</v>
      </c>
      <c r="X4421">
        <v>0.92762500000000003</v>
      </c>
      <c r="Y4421">
        <v>-4.3264419999999998E-2</v>
      </c>
      <c r="Z4421">
        <v>9.6258510000000005E-2</v>
      </c>
      <c r="AA4421">
        <v>0.99441559999999996</v>
      </c>
      <c r="AB4421">
        <v>28</v>
      </c>
      <c r="AC4421">
        <v>0.235399999999998</v>
      </c>
      <c r="AD4421">
        <v>-1.1137884397390001</v>
      </c>
      <c r="AE4421">
        <v>-9.8664999999999701</v>
      </c>
      <c r="AF4421">
        <v>-0.42906542553642801</v>
      </c>
      <c r="AG4421">
        <v>-1.1137884397390001</v>
      </c>
      <c r="AH4421">
        <v>9.7357431402633701</v>
      </c>
      <c r="AI4421">
        <v>96.520103929235901</v>
      </c>
      <c r="AJ4421">
        <v>92.523458167910505</v>
      </c>
      <c r="AK4421">
        <v>9.8086347837541705</v>
      </c>
      <c r="AL4421">
        <v>68.195367337185303</v>
      </c>
      <c r="AM4421">
        <v>92.423996987388804</v>
      </c>
      <c r="AN4421">
        <v>0.99999998045100602</v>
      </c>
    </row>
    <row r="4422" spans="1:40" x14ac:dyDescent="0.25">
      <c r="A4422" t="str">
        <f>"20190304164938871"</f>
        <v>20190304164938871</v>
      </c>
      <c r="B4422" t="str">
        <f>"1551689378860531"</f>
        <v>1551689378860531</v>
      </c>
      <c r="C4422" t="s">
        <v>40</v>
      </c>
      <c r="D4422">
        <v>4.5978320000000004</v>
      </c>
      <c r="E4422">
        <v>0.50591339999999996</v>
      </c>
      <c r="F4422" t="s">
        <v>41</v>
      </c>
      <c r="G4422">
        <v>-189.5463</v>
      </c>
      <c r="H4422">
        <v>1.0218469999999999</v>
      </c>
      <c r="I4422">
        <v>186.4281</v>
      </c>
      <c r="J4422">
        <v>-189.56880000000001</v>
      </c>
      <c r="K4422">
        <v>1.1137159999999999</v>
      </c>
      <c r="L4422">
        <v>186.9529</v>
      </c>
      <c r="M4422">
        <v>-1.6542009999999999E-2</v>
      </c>
      <c r="N4422">
        <v>-1.3848839999999999E-2</v>
      </c>
      <c r="O4422">
        <v>-0.99976739999999997</v>
      </c>
      <c r="P4422">
        <v>2.0022749999999999E-2</v>
      </c>
      <c r="Q4422">
        <v>0.35577710000000001</v>
      </c>
      <c r="R4422">
        <v>-0.93435619999999997</v>
      </c>
      <c r="S4422">
        <v>8.6029049999999996E-2</v>
      </c>
      <c r="T4422">
        <v>-0.38010480000000002</v>
      </c>
      <c r="U4422">
        <v>-3.3591920000000002</v>
      </c>
      <c r="V4422">
        <v>-3.7853640000000001E-2</v>
      </c>
      <c r="W4422">
        <v>0.3684402</v>
      </c>
      <c r="X4422">
        <v>0.9288805</v>
      </c>
      <c r="Y4422">
        <v>-4.1974659999999997E-2</v>
      </c>
      <c r="Z4422">
        <v>9.8570580000000005E-2</v>
      </c>
      <c r="AA4422">
        <v>0.99424440000000003</v>
      </c>
      <c r="AB4422">
        <v>28</v>
      </c>
      <c r="AC4422">
        <v>2.2500000000007899E-2</v>
      </c>
      <c r="AD4422">
        <v>-9.1868999999999895E-2</v>
      </c>
      <c r="AE4422">
        <v>-0.52479999999999805</v>
      </c>
      <c r="AF4422">
        <v>-3.02535983454831E-2</v>
      </c>
      <c r="AG4422">
        <v>-9.1868999999999895E-2</v>
      </c>
      <c r="AH4422">
        <v>0.50879292932799602</v>
      </c>
      <c r="AI4422">
        <v>100.217530643039</v>
      </c>
      <c r="AJ4422">
        <v>93.402887123911199</v>
      </c>
      <c r="AK4422">
        <v>0.51790485449357704</v>
      </c>
      <c r="AL4422">
        <v>68.3805482098563</v>
      </c>
      <c r="AM4422">
        <v>92.333620297480607</v>
      </c>
      <c r="AN4422">
        <v>1.00000003115876</v>
      </c>
    </row>
    <row r="4423" spans="1:40" x14ac:dyDescent="0.25">
      <c r="A4423" t="str">
        <f>"20190304164938890"</f>
        <v>20190304164938890</v>
      </c>
      <c r="B4423" t="str">
        <f>"1551689378880556"</f>
        <v>1551689378880556</v>
      </c>
      <c r="C4423" t="s">
        <v>40</v>
      </c>
      <c r="D4423">
        <v>4.6277569999999999</v>
      </c>
      <c r="E4423">
        <v>0.50600140000000005</v>
      </c>
      <c r="F4423" t="s">
        <v>41</v>
      </c>
      <c r="G4423">
        <v>-189.547</v>
      </c>
      <c r="H4423">
        <v>1.0231980000000001</v>
      </c>
      <c r="I4423">
        <v>186.1771</v>
      </c>
      <c r="J4423">
        <v>-189.56970000000001</v>
      </c>
      <c r="K4423">
        <v>1.1135999999999999</v>
      </c>
      <c r="L4423">
        <v>186.71600000000001</v>
      </c>
      <c r="M4423">
        <v>-1.374089E-2</v>
      </c>
      <c r="N4423">
        <v>-1.388466E-2</v>
      </c>
      <c r="O4423">
        <v>-0.99980910000000001</v>
      </c>
      <c r="P4423">
        <v>2.0784460000000001E-2</v>
      </c>
      <c r="Q4423">
        <v>0.35261199999999998</v>
      </c>
      <c r="R4423">
        <v>-0.9355388</v>
      </c>
      <c r="S4423">
        <v>9.4955440000000002E-2</v>
      </c>
      <c r="T4423">
        <v>-0.39196170000000002</v>
      </c>
      <c r="U4423">
        <v>-3.3579859999999999</v>
      </c>
      <c r="V4423">
        <v>-3.5894570000000001E-2</v>
      </c>
      <c r="W4423">
        <v>0.36534800000000001</v>
      </c>
      <c r="X4423">
        <v>0.93017870000000002</v>
      </c>
      <c r="Y4423">
        <v>-4.1814709999999998E-2</v>
      </c>
      <c r="Z4423">
        <v>0.1020432</v>
      </c>
      <c r="AA4423">
        <v>0.99390080000000003</v>
      </c>
      <c r="AB4423">
        <v>28</v>
      </c>
      <c r="AC4423">
        <v>2.2700000000014601E-2</v>
      </c>
      <c r="AD4423">
        <v>-9.0401999999999802E-2</v>
      </c>
      <c r="AE4423">
        <v>-0.53889999999998395</v>
      </c>
      <c r="AF4423">
        <v>-2.9280999103747402E-2</v>
      </c>
      <c r="AG4423">
        <v>-9.0401999999999802E-2</v>
      </c>
      <c r="AH4423">
        <v>0.52382238113712498</v>
      </c>
      <c r="AI4423">
        <v>99.776765290516806</v>
      </c>
      <c r="AJ4423">
        <v>93.199430958273894</v>
      </c>
      <c r="AK4423">
        <v>0.53237184889199496</v>
      </c>
      <c r="AL4423">
        <v>68.570999162753196</v>
      </c>
      <c r="AM4423">
        <v>92.209884451412194</v>
      </c>
      <c r="AN4423">
        <v>0.99999999759658698</v>
      </c>
    </row>
    <row r="4424" spans="1:40" x14ac:dyDescent="0.25">
      <c r="A4424" t="str">
        <f>"20190304164938903"</f>
        <v>20190304164938903</v>
      </c>
      <c r="B4424" t="str">
        <f>"1551689378900076"</f>
        <v>1551689378900076</v>
      </c>
      <c r="C4424" t="s">
        <v>40</v>
      </c>
      <c r="D4424">
        <v>4.6038889999999997</v>
      </c>
      <c r="E4424">
        <v>0.50607150000000001</v>
      </c>
      <c r="F4424" t="s">
        <v>41</v>
      </c>
      <c r="G4424">
        <v>-189.547</v>
      </c>
      <c r="H4424">
        <v>1.0191840000000001</v>
      </c>
      <c r="I4424">
        <v>185.93029999999999</v>
      </c>
      <c r="J4424">
        <v>-189.5701</v>
      </c>
      <c r="K4424">
        <v>1.1134919999999999</v>
      </c>
      <c r="L4424">
        <v>186.55709999999999</v>
      </c>
      <c r="M4424">
        <v>-1.199392E-2</v>
      </c>
      <c r="N4424">
        <v>-1.3904939999999999E-2</v>
      </c>
      <c r="O4424">
        <v>-0.99983149999999998</v>
      </c>
      <c r="P4424">
        <v>2.0861859999999999E-2</v>
      </c>
      <c r="Q4424">
        <v>0.35173670000000001</v>
      </c>
      <c r="R4424">
        <v>-0.93586670000000005</v>
      </c>
      <c r="S4424">
        <v>9.8022460000000006E-2</v>
      </c>
      <c r="T4424">
        <v>-0.4035823</v>
      </c>
      <c r="U4424">
        <v>-3.3566280000000002</v>
      </c>
      <c r="V4424">
        <v>-3.4241000000000001E-2</v>
      </c>
      <c r="W4424">
        <v>0.36451549999999999</v>
      </c>
      <c r="X4424">
        <v>0.93056760000000005</v>
      </c>
      <c r="Y4424">
        <v>-4.0976989999999998E-2</v>
      </c>
      <c r="Z4424">
        <v>0.10546709999999999</v>
      </c>
      <c r="AA4424">
        <v>0.99357819999999997</v>
      </c>
      <c r="AB4424">
        <v>28</v>
      </c>
      <c r="AC4424">
        <v>2.3099999999999399E-2</v>
      </c>
      <c r="AD4424">
        <v>-9.4307999999999795E-2</v>
      </c>
      <c r="AE4424">
        <v>-0.62680000000000202</v>
      </c>
      <c r="AF4424">
        <v>-2.99399893942504E-2</v>
      </c>
      <c r="AG4424">
        <v>-9.4307999999999795E-2</v>
      </c>
      <c r="AH4424">
        <v>0.61262792634498298</v>
      </c>
      <c r="AI4424">
        <v>98.741148954768207</v>
      </c>
      <c r="AJ4424">
        <v>92.797899324769304</v>
      </c>
      <c r="AK4424">
        <v>0.62056698104772001</v>
      </c>
      <c r="AL4424">
        <v>68.622231812470801</v>
      </c>
      <c r="AM4424">
        <v>92.107294616780194</v>
      </c>
      <c r="AN4424">
        <v>1.0000000269955001</v>
      </c>
    </row>
    <row r="4425" spans="1:40" x14ac:dyDescent="0.25">
      <c r="A4425" t="str">
        <f>"20190304164938916"</f>
        <v>20190304164938916</v>
      </c>
      <c r="B4425" t="str">
        <f>"1551689378910812"</f>
        <v>1551689378910812</v>
      </c>
      <c r="C4425" t="s">
        <v>40</v>
      </c>
      <c r="D4425">
        <v>4.6142719999999997</v>
      </c>
      <c r="E4425">
        <v>0.50613949999999996</v>
      </c>
      <c r="F4425" t="s">
        <v>41</v>
      </c>
      <c r="G4425">
        <v>-189.5446</v>
      </c>
      <c r="H4425">
        <v>1.007992</v>
      </c>
      <c r="I4425">
        <v>185.68709999999999</v>
      </c>
      <c r="J4425">
        <v>-189.5703</v>
      </c>
      <c r="K4425">
        <v>1.1133550000000001</v>
      </c>
      <c r="L4425">
        <v>186.38319999999999</v>
      </c>
      <c r="M4425">
        <v>-1.018408E-2</v>
      </c>
      <c r="N4425">
        <v>-1.392496E-2</v>
      </c>
      <c r="O4425">
        <v>-0.99985119999999905</v>
      </c>
      <c r="P4425">
        <v>2.1393269999999999E-2</v>
      </c>
      <c r="Q4425">
        <v>0.3511744</v>
      </c>
      <c r="R4425">
        <v>-0.9360657</v>
      </c>
      <c r="S4425">
        <v>9.8403930000000001E-2</v>
      </c>
      <c r="T4425">
        <v>-0.40704689999999999</v>
      </c>
      <c r="U4425">
        <v>-3.3563999999999998</v>
      </c>
      <c r="V4425">
        <v>-3.2955159999999997E-2</v>
      </c>
      <c r="W4425">
        <v>0.36399330000000002</v>
      </c>
      <c r="X4425">
        <v>0.93081840000000005</v>
      </c>
      <c r="Y4425">
        <v>-3.9281240000000002E-2</v>
      </c>
      <c r="Z4425">
        <v>0.106474</v>
      </c>
      <c r="AA4425">
        <v>0.99353930000000001</v>
      </c>
      <c r="AB4425">
        <v>28</v>
      </c>
      <c r="AC4425">
        <v>2.57000000000005E-2</v>
      </c>
      <c r="AD4425">
        <v>-0.105362999999999</v>
      </c>
      <c r="AE4425">
        <v>-0.69610000000000105</v>
      </c>
      <c r="AF4425">
        <v>-3.2055096375692801E-2</v>
      </c>
      <c r="AG4425">
        <v>-0.105362999999999</v>
      </c>
      <c r="AH4425">
        <v>0.68023879751946603</v>
      </c>
      <c r="AI4425">
        <v>98.795038160483301</v>
      </c>
      <c r="AJ4425">
        <v>92.697970299072495</v>
      </c>
      <c r="AK4425">
        <v>0.68909630141467404</v>
      </c>
      <c r="AL4425">
        <v>68.6543588631571</v>
      </c>
      <c r="AM4425">
        <v>92.027681487680297</v>
      </c>
      <c r="AN4425">
        <v>1.0000000293970299</v>
      </c>
    </row>
    <row r="4426" spans="1:40" x14ac:dyDescent="0.25">
      <c r="A4426" t="str">
        <f>"20190304164938928"</f>
        <v>20190304164938928</v>
      </c>
      <c r="B4426" t="str">
        <f>"1551689378920572"</f>
        <v>1551689378920572</v>
      </c>
      <c r="C4426" t="s">
        <v>40</v>
      </c>
      <c r="D4426">
        <v>4.6985650000000003</v>
      </c>
      <c r="E4426">
        <v>0.50613949999999996</v>
      </c>
      <c r="F4426" t="s">
        <v>41</v>
      </c>
      <c r="G4426">
        <v>-189.54239999999999</v>
      </c>
      <c r="H4426">
        <v>0.99871829999999995</v>
      </c>
      <c r="I4426">
        <v>185.4417</v>
      </c>
      <c r="J4426">
        <v>-189.5702</v>
      </c>
      <c r="K4426">
        <v>1.1132040000000001</v>
      </c>
      <c r="L4426">
        <v>186.23009999999999</v>
      </c>
      <c r="M4426">
        <v>-8.7672930000000007E-3</v>
      </c>
      <c r="N4426">
        <v>-1.393954E-2</v>
      </c>
      <c r="O4426">
        <v>-0.99986459999999999</v>
      </c>
      <c r="P4426">
        <v>2.1008490000000001E-2</v>
      </c>
      <c r="Q4426">
        <v>0.35103689999999999</v>
      </c>
      <c r="R4426">
        <v>-0.93612629999999997</v>
      </c>
      <c r="S4426">
        <v>9.9655149999999998E-2</v>
      </c>
      <c r="T4426">
        <v>-0.4087846</v>
      </c>
      <c r="U4426">
        <v>-3.3559879999999902</v>
      </c>
      <c r="V4426">
        <v>-3.111046E-2</v>
      </c>
      <c r="W4426">
        <v>0.36389199999999999</v>
      </c>
      <c r="X4426">
        <v>0.93092140000000001</v>
      </c>
      <c r="Y4426">
        <v>-3.8238189999999998E-2</v>
      </c>
      <c r="Z4426">
        <v>0.1069856</v>
      </c>
      <c r="AA4426">
        <v>0.99352499999999999</v>
      </c>
      <c r="AB4426">
        <v>28</v>
      </c>
      <c r="AC4426">
        <v>2.78000000000133E-2</v>
      </c>
      <c r="AD4426">
        <v>-0.1144857</v>
      </c>
      <c r="AE4426">
        <v>-0.78839999999999499</v>
      </c>
      <c r="AF4426">
        <v>-3.3995766063579E-2</v>
      </c>
      <c r="AG4426">
        <v>-0.1144857</v>
      </c>
      <c r="AH4426">
        <v>0.77186993716254304</v>
      </c>
      <c r="AI4426">
        <v>98.428691834338395</v>
      </c>
      <c r="AJ4426">
        <v>92.521870353402704</v>
      </c>
      <c r="AK4426">
        <v>0.78105434350629399</v>
      </c>
      <c r="AL4426">
        <v>68.660588504638596</v>
      </c>
      <c r="AM4426">
        <v>91.914055170440307</v>
      </c>
      <c r="AN4426">
        <v>0.99999995068168401</v>
      </c>
    </row>
    <row r="4427" spans="1:40" x14ac:dyDescent="0.25">
      <c r="A4427" t="str">
        <f>"20190304164938940"</f>
        <v>20190304164938940</v>
      </c>
      <c r="B4427" t="str">
        <f>"1551689378930332"</f>
        <v>1551689378930332</v>
      </c>
      <c r="C4427" t="s">
        <v>40</v>
      </c>
      <c r="D4427">
        <v>4.8610030000000002</v>
      </c>
      <c r="E4427">
        <v>0.52495049999999999</v>
      </c>
      <c r="F4427" t="s">
        <v>41</v>
      </c>
      <c r="G4427">
        <v>-189.5471</v>
      </c>
      <c r="H4427">
        <v>1.0160659999999999</v>
      </c>
      <c r="I4427">
        <v>185.43350000000001</v>
      </c>
      <c r="J4427">
        <v>-189.5702</v>
      </c>
      <c r="K4427">
        <v>1.1130639999999901</v>
      </c>
      <c r="L4427">
        <v>186.09</v>
      </c>
      <c r="M4427">
        <v>-7.5538459999999899E-3</v>
      </c>
      <c r="N4427">
        <v>-1.3952040000000001E-2</v>
      </c>
      <c r="O4427">
        <v>-0.9998745</v>
      </c>
      <c r="P4427">
        <v>2.028307E-2</v>
      </c>
      <c r="Q4427">
        <v>0.35105520000000001</v>
      </c>
      <c r="R4427">
        <v>-0.93613539999999995</v>
      </c>
      <c r="S4427">
        <v>9.8236080000000003E-2</v>
      </c>
      <c r="T4427">
        <v>-0.40941850000000002</v>
      </c>
      <c r="U4427">
        <v>-3.3560029999999998</v>
      </c>
      <c r="V4427">
        <v>-2.9121560000000001E-2</v>
      </c>
      <c r="W4427">
        <v>0.36394270000000001</v>
      </c>
      <c r="X4427">
        <v>0.93096599999999996</v>
      </c>
      <c r="Y4427">
        <v>-3.660646E-2</v>
      </c>
      <c r="Z4427">
        <v>0.107164</v>
      </c>
      <c r="AA4427">
        <v>0.99356719999999998</v>
      </c>
      <c r="AB4427">
        <v>28</v>
      </c>
      <c r="AC4427">
        <v>2.3099999999999399E-2</v>
      </c>
      <c r="AD4427">
        <v>-9.6997999999999904E-2</v>
      </c>
      <c r="AE4427">
        <v>-0.65649999999999398</v>
      </c>
      <c r="AF4427">
        <v>-2.7460203394853999E-2</v>
      </c>
      <c r="AG4427">
        <v>-9.6997999999999904E-2</v>
      </c>
      <c r="AH4427">
        <v>0.64230255274218195</v>
      </c>
      <c r="AI4427">
        <v>98.579971103165093</v>
      </c>
      <c r="AJ4427">
        <v>92.4480616047924</v>
      </c>
      <c r="AK4427">
        <v>0.650165551251072</v>
      </c>
      <c r="AL4427">
        <v>68.657471393561806</v>
      </c>
      <c r="AM4427">
        <v>91.791685814718704</v>
      </c>
      <c r="AN4427">
        <v>1.00000002364806</v>
      </c>
    </row>
    <row r="4428" spans="1:40" x14ac:dyDescent="0.25">
      <c r="A4428" t="str">
        <f>"20190304164938958"</f>
        <v>20190304164938958</v>
      </c>
      <c r="B4428" t="str">
        <f>"1551689378950841"</f>
        <v>1551689378950841</v>
      </c>
      <c r="C4428" t="s">
        <v>40</v>
      </c>
      <c r="D4428">
        <v>4.6936849999999897</v>
      </c>
      <c r="E4428">
        <v>0.56447669999999905</v>
      </c>
      <c r="F4428" t="s">
        <v>41</v>
      </c>
      <c r="G4428">
        <v>-189.58510000000001</v>
      </c>
      <c r="H4428">
        <v>1.005309</v>
      </c>
      <c r="I4428">
        <v>185.1902</v>
      </c>
      <c r="J4428">
        <v>-189.56989999999999</v>
      </c>
      <c r="K4428">
        <v>1.1128169999999999</v>
      </c>
      <c r="L4428">
        <v>185.864</v>
      </c>
      <c r="M4428">
        <v>-5.8238359999999998E-3</v>
      </c>
      <c r="N4428">
        <v>-1.396975E-2</v>
      </c>
      <c r="O4428">
        <v>-0.99988540000000004</v>
      </c>
      <c r="P4428">
        <v>1.7806559999999999E-2</v>
      </c>
      <c r="Q4428">
        <v>0.35129440000000001</v>
      </c>
      <c r="R4428">
        <v>-0.93609549999999997</v>
      </c>
      <c r="S4428">
        <v>-5.5328370000000002E-2</v>
      </c>
      <c r="T4428">
        <v>-0.40202080000000001</v>
      </c>
      <c r="U4428">
        <v>-3.3566129999999998</v>
      </c>
      <c r="V4428">
        <v>-2.4803329999999998E-2</v>
      </c>
      <c r="W4428">
        <v>0.36423359999999999</v>
      </c>
      <c r="X4428">
        <v>0.93097730000000001</v>
      </c>
      <c r="Y4428">
        <v>1.05562E-2</v>
      </c>
      <c r="Z4428">
        <v>0.10502400000000001</v>
      </c>
      <c r="AA4428">
        <v>0.99441369999999896</v>
      </c>
      <c r="AB4428">
        <v>28</v>
      </c>
      <c r="AC4428">
        <v>-1.52000000000214E-2</v>
      </c>
      <c r="AD4428">
        <v>-0.10750799999999899</v>
      </c>
      <c r="AE4428">
        <v>-0.67379999999999995</v>
      </c>
      <c r="AF4428">
        <v>1.0995480771397901E-2</v>
      </c>
      <c r="AG4428">
        <v>-0.10750799999999899</v>
      </c>
      <c r="AH4428">
        <v>0.65715591808254903</v>
      </c>
      <c r="AI4428">
        <v>99.289771868022996</v>
      </c>
      <c r="AJ4428">
        <v>89.041421002304403</v>
      </c>
      <c r="AK4428">
        <v>0.66598256083197305</v>
      </c>
      <c r="AL4428">
        <v>68.639575848278398</v>
      </c>
      <c r="AM4428">
        <v>91.526127465259506</v>
      </c>
      <c r="AN4428">
        <v>1.00000002683166</v>
      </c>
    </row>
    <row r="4429" spans="1:40" x14ac:dyDescent="0.25">
      <c r="A4429" t="str">
        <f>"20190304164938970"</f>
        <v>20190304164938970</v>
      </c>
      <c r="B4429" t="str">
        <f>"1551689378960588"</f>
        <v>1551689378960588</v>
      </c>
      <c r="C4429" t="s">
        <v>40</v>
      </c>
      <c r="D4429">
        <v>4.6554880000000001</v>
      </c>
      <c r="E4429">
        <v>0.56642440000000005</v>
      </c>
      <c r="F4429" t="s">
        <v>41</v>
      </c>
      <c r="G4429">
        <v>-189.6703</v>
      </c>
      <c r="H4429">
        <v>0.98182999999999998</v>
      </c>
      <c r="I4429">
        <v>184.9529</v>
      </c>
      <c r="J4429">
        <v>-189.56970000000001</v>
      </c>
      <c r="K4429">
        <v>1.1126290000000001</v>
      </c>
      <c r="L4429">
        <v>185.7055</v>
      </c>
      <c r="M4429">
        <v>-4.8228109999999998E-3</v>
      </c>
      <c r="N4429">
        <v>-1.3980279999999999E-2</v>
      </c>
      <c r="O4429">
        <v>-0.99989090000000003</v>
      </c>
      <c r="P4429">
        <v>1.6693949999999999E-2</v>
      </c>
      <c r="Q4429">
        <v>0.3518712</v>
      </c>
      <c r="R4429">
        <v>-0.93590010000000001</v>
      </c>
      <c r="S4429">
        <v>-0.37338260000000001</v>
      </c>
      <c r="T4429">
        <v>-0.48826419999999998</v>
      </c>
      <c r="U4429">
        <v>-3.3951259999999999</v>
      </c>
      <c r="V4429">
        <v>-2.2582350000000001E-2</v>
      </c>
      <c r="W4429">
        <v>0.36483700000000002</v>
      </c>
      <c r="X4429">
        <v>0.93079750000000006</v>
      </c>
      <c r="Y4429">
        <v>0.1035127</v>
      </c>
      <c r="Z4429">
        <v>0.12769739999999999</v>
      </c>
      <c r="AA4429">
        <v>0.98639670000000002</v>
      </c>
      <c r="AB4429">
        <v>28</v>
      </c>
      <c r="AC4429">
        <v>-0.10059999999998499</v>
      </c>
      <c r="AD4429">
        <v>-0.130799</v>
      </c>
      <c r="AE4429">
        <v>-0.75260000000000105</v>
      </c>
      <c r="AF4429">
        <v>9.4174218929283099E-2</v>
      </c>
      <c r="AG4429">
        <v>-0.130799</v>
      </c>
      <c r="AH4429">
        <v>0.73137305345352899</v>
      </c>
      <c r="AI4429">
        <v>100.058277398521</v>
      </c>
      <c r="AJ4429">
        <v>82.662762689238093</v>
      </c>
      <c r="AK4429">
        <v>0.74892169499212602</v>
      </c>
      <c r="AL4429">
        <v>68.602448080828296</v>
      </c>
      <c r="AM4429">
        <v>91.389797000653104</v>
      </c>
      <c r="AN4429">
        <v>0.99999999255338601</v>
      </c>
    </row>
    <row r="4430" spans="1:40" x14ac:dyDescent="0.25">
      <c r="A4430" t="str">
        <f>"20190304164938982"</f>
        <v>20190304164938982</v>
      </c>
      <c r="B4430" t="str">
        <f>"1551689378969880"</f>
        <v>1551689378969880</v>
      </c>
      <c r="C4430" t="s">
        <v>40</v>
      </c>
      <c r="D4430">
        <v>4.6384670000000003</v>
      </c>
      <c r="E4430">
        <v>0.56773359999999995</v>
      </c>
      <c r="F4430" t="s">
        <v>41</v>
      </c>
      <c r="G4430">
        <v>-189.6575</v>
      </c>
      <c r="H4430">
        <v>1.000772</v>
      </c>
      <c r="I4430">
        <v>184.9436</v>
      </c>
      <c r="J4430">
        <v>-189.5694</v>
      </c>
      <c r="K4430">
        <v>1.112455</v>
      </c>
      <c r="L4430">
        <v>185.56319999999999</v>
      </c>
      <c r="M4430">
        <v>-4.0655090000000001E-3</v>
      </c>
      <c r="N4430">
        <v>-1.3988850000000001E-2</v>
      </c>
      <c r="O4430">
        <v>-0.99989410000000001</v>
      </c>
      <c r="P4430">
        <v>1.5219440000000001E-2</v>
      </c>
      <c r="Q4430">
        <v>0.35235759999999899</v>
      </c>
      <c r="R4430">
        <v>-0.93574179999999996</v>
      </c>
      <c r="S4430">
        <v>-0.39093020000000001</v>
      </c>
      <c r="T4430">
        <v>-0.49938830000000001</v>
      </c>
      <c r="U4430">
        <v>-3.4001769999999998</v>
      </c>
      <c r="V4430">
        <v>-2.024157E-2</v>
      </c>
      <c r="W4430">
        <v>0.36534660000000002</v>
      </c>
      <c r="X4430">
        <v>0.93065140000000002</v>
      </c>
      <c r="Y4430">
        <v>0.1090811</v>
      </c>
      <c r="Z4430">
        <v>0.1305597</v>
      </c>
      <c r="AA4430">
        <v>0.98542149999999995</v>
      </c>
      <c r="AB4430">
        <v>28</v>
      </c>
      <c r="AC4430">
        <v>-8.8099999999997097E-2</v>
      </c>
      <c r="AD4430">
        <v>-0.11168299999999901</v>
      </c>
      <c r="AE4430">
        <v>-0.61959999999999105</v>
      </c>
      <c r="AF4430">
        <v>8.2938746998690402E-2</v>
      </c>
      <c r="AG4430">
        <v>-0.11168299999999901</v>
      </c>
      <c r="AH4430">
        <v>0.600819235323795</v>
      </c>
      <c r="AI4430">
        <v>100.43347591507801</v>
      </c>
      <c r="AJ4430">
        <v>82.140404765411404</v>
      </c>
      <c r="AK4430">
        <v>0.616713614068785</v>
      </c>
      <c r="AL4430">
        <v>68.571084124099798</v>
      </c>
      <c r="AM4430">
        <v>91.245980725188602</v>
      </c>
      <c r="AN4430">
        <v>0.99999994380478996</v>
      </c>
    </row>
    <row r="4431" spans="1:40" x14ac:dyDescent="0.25">
      <c r="A4431" t="str">
        <f>"20190304164938994"</f>
        <v>20190304164938994</v>
      </c>
      <c r="B4431" t="str">
        <f>"1551689378990376"</f>
        <v>1551689378990376</v>
      </c>
      <c r="C4431" t="s">
        <v>40</v>
      </c>
      <c r="D4431">
        <v>4.6740110000000001</v>
      </c>
      <c r="E4431">
        <v>0.5691311</v>
      </c>
      <c r="F4431" t="s">
        <v>41</v>
      </c>
      <c r="G4431">
        <v>-189.67189999999999</v>
      </c>
      <c r="H4431">
        <v>0.98472400000000004</v>
      </c>
      <c r="I4431">
        <v>184.70179999999999</v>
      </c>
      <c r="J4431">
        <v>-189.5692</v>
      </c>
      <c r="K4431">
        <v>1.112268</v>
      </c>
      <c r="L4431">
        <v>185.41399999999999</v>
      </c>
      <c r="M4431">
        <v>-3.358673E-3</v>
      </c>
      <c r="N4431">
        <v>-1.399739E-2</v>
      </c>
      <c r="O4431">
        <v>-0.99989640000000002</v>
      </c>
      <c r="P4431">
        <v>1.3687609999999999E-2</v>
      </c>
      <c r="Q4431">
        <v>0.35287190000000002</v>
      </c>
      <c r="R4431">
        <v>-0.93557159999999995</v>
      </c>
      <c r="S4431">
        <v>-0.40458680000000002</v>
      </c>
      <c r="T4431">
        <v>-0.50452129999999995</v>
      </c>
      <c r="U4431">
        <v>-3.4025729999999998</v>
      </c>
      <c r="V4431">
        <v>-1.787971E-2</v>
      </c>
      <c r="W4431">
        <v>0.3658824</v>
      </c>
      <c r="X4431">
        <v>0.93048940000000002</v>
      </c>
      <c r="Y4431">
        <v>0.113579399999999</v>
      </c>
      <c r="Z4431">
        <v>0.1318368</v>
      </c>
      <c r="AA4431">
        <v>0.98474300000000003</v>
      </c>
      <c r="AB4431">
        <v>28</v>
      </c>
      <c r="AC4431">
        <v>-0.102699999999998</v>
      </c>
      <c r="AD4431">
        <v>-0.12754399999999999</v>
      </c>
      <c r="AE4431">
        <v>-0.71220000000002404</v>
      </c>
      <c r="AF4431">
        <v>9.7251689269793495E-2</v>
      </c>
      <c r="AG4431">
        <v>-0.12754399999999999</v>
      </c>
      <c r="AH4431">
        <v>0.69083628205545</v>
      </c>
      <c r="AI4431">
        <v>100.360399978578</v>
      </c>
      <c r="AJ4431">
        <v>81.986907722951997</v>
      </c>
      <c r="AK4431">
        <v>0.70921092180396195</v>
      </c>
      <c r="AL4431">
        <v>68.538104360755199</v>
      </c>
      <c r="AM4431">
        <v>91.100824862547896</v>
      </c>
      <c r="AN4431">
        <v>1.0000000690858899</v>
      </c>
    </row>
    <row r="4432" spans="1:40" x14ac:dyDescent="0.25">
      <c r="A4432" t="str">
        <f>"20190304164939006"</f>
        <v>20190304164939006</v>
      </c>
      <c r="B4432" t="str">
        <f>"1551689379000136"</f>
        <v>1551689379000136</v>
      </c>
      <c r="C4432" t="s">
        <v>40</v>
      </c>
      <c r="D4432">
        <v>4.6538519999999997</v>
      </c>
      <c r="E4432">
        <v>0.56947479999999995</v>
      </c>
      <c r="F4432" t="s">
        <v>41</v>
      </c>
      <c r="G4432">
        <v>-189.6583</v>
      </c>
      <c r="H4432">
        <v>1.006669</v>
      </c>
      <c r="I4432">
        <v>184.69110000000001</v>
      </c>
      <c r="J4432">
        <v>-189.56909999999999</v>
      </c>
      <c r="K4432">
        <v>1.112069</v>
      </c>
      <c r="L4432">
        <v>185.26609999999999</v>
      </c>
      <c r="M4432">
        <v>-2.9003589999999999E-3</v>
      </c>
      <c r="N4432">
        <v>-1.400448E-2</v>
      </c>
      <c r="O4432">
        <v>-0.9998977</v>
      </c>
      <c r="P4432">
        <v>1.2219310000000001E-2</v>
      </c>
      <c r="Q4432">
        <v>0.35280549999999999</v>
      </c>
      <c r="R4432">
        <v>-0.93561700000000003</v>
      </c>
      <c r="S4432">
        <v>-0.41867070000000001</v>
      </c>
      <c r="T4432">
        <v>-0.4966893</v>
      </c>
      <c r="U4432">
        <v>-3.400055</v>
      </c>
      <c r="V4432">
        <v>-1.5803060000000001E-2</v>
      </c>
      <c r="W4432">
        <v>0.36583660000000001</v>
      </c>
      <c r="X4432">
        <v>0.93054490000000001</v>
      </c>
      <c r="Y4432">
        <v>0.1181711</v>
      </c>
      <c r="Z4432">
        <v>0.12964100000000001</v>
      </c>
      <c r="AA4432">
        <v>0.98449419999999999</v>
      </c>
      <c r="AB4432">
        <v>28</v>
      </c>
      <c r="AC4432">
        <v>-8.9200000000005206E-2</v>
      </c>
      <c r="AD4432">
        <v>-0.10539999999999899</v>
      </c>
      <c r="AE4432">
        <v>-0.57499999999998797</v>
      </c>
      <c r="AF4432">
        <v>8.4751000207321597E-2</v>
      </c>
      <c r="AG4432">
        <v>-0.10539999999999899</v>
      </c>
      <c r="AH4432">
        <v>0.55698127523271301</v>
      </c>
      <c r="AI4432">
        <v>100.596462593376</v>
      </c>
      <c r="AJ4432">
        <v>81.348163996146297</v>
      </c>
      <c r="AK4432">
        <v>0.57316667121876597</v>
      </c>
      <c r="AL4432">
        <v>68.540922047780398</v>
      </c>
      <c r="AM4432">
        <v>90.972937050280194</v>
      </c>
      <c r="AN4432">
        <v>0.99999998276046598</v>
      </c>
    </row>
    <row r="4433" spans="1:40" x14ac:dyDescent="0.25">
      <c r="A4433" t="str">
        <f>"20190304164939024"</f>
        <v>20190304164939024</v>
      </c>
      <c r="B4433" t="str">
        <f>"1551689379020632"</f>
        <v>1551689379020632</v>
      </c>
      <c r="C4433" t="s">
        <v>40</v>
      </c>
      <c r="D4433">
        <v>4.6592039999999999</v>
      </c>
      <c r="E4433">
        <v>0.56986059999999905</v>
      </c>
      <c r="F4433" t="s">
        <v>41</v>
      </c>
      <c r="G4433">
        <v>-189.67140000000001</v>
      </c>
      <c r="H4433">
        <v>0.99269689999999999</v>
      </c>
      <c r="I4433">
        <v>184.44839999999999</v>
      </c>
      <c r="J4433">
        <v>-189.56899999999999</v>
      </c>
      <c r="K4433">
        <v>1.1117520000000001</v>
      </c>
      <c r="L4433">
        <v>185.04470000000001</v>
      </c>
      <c r="M4433">
        <v>-2.4483370000000001E-3</v>
      </c>
      <c r="N4433">
        <v>-1.4014550000000001E-2</v>
      </c>
      <c r="O4433">
        <v>-0.99989879999999998</v>
      </c>
      <c r="P4433">
        <v>8.3847780000000007E-3</v>
      </c>
      <c r="Q4433">
        <v>0.3526011</v>
      </c>
      <c r="R4433">
        <v>-0.93573649999999997</v>
      </c>
      <c r="S4433">
        <v>-0.42480469999999998</v>
      </c>
      <c r="T4433">
        <v>-0.49627009999999999</v>
      </c>
      <c r="U4433">
        <v>-3.3991389999999999</v>
      </c>
      <c r="V4433">
        <v>-1.1264919999999999E-2</v>
      </c>
      <c r="W4433">
        <v>0.3656626</v>
      </c>
      <c r="X4433">
        <v>0.93067929999999999</v>
      </c>
      <c r="Y4433">
        <v>0.12040099999999999</v>
      </c>
      <c r="Z4433">
        <v>0.12951480000000001</v>
      </c>
      <c r="AA4433">
        <v>0.98424060000000002</v>
      </c>
      <c r="AB4433">
        <v>28</v>
      </c>
      <c r="AC4433">
        <v>-0.102399999999988</v>
      </c>
      <c r="AD4433">
        <v>-0.119055099999999</v>
      </c>
      <c r="AE4433">
        <v>-0.59630000000001304</v>
      </c>
      <c r="AF4433">
        <v>9.7176840723374597E-2</v>
      </c>
      <c r="AG4433">
        <v>-0.119055099999999</v>
      </c>
      <c r="AH4433">
        <v>0.57431115607856098</v>
      </c>
      <c r="AI4433">
        <v>101.551875884192</v>
      </c>
      <c r="AJ4433">
        <v>80.396180627122803</v>
      </c>
      <c r="AK4433">
        <v>0.59451724887111501</v>
      </c>
      <c r="AL4433">
        <v>68.551634018697996</v>
      </c>
      <c r="AM4433">
        <v>90.693472880901894</v>
      </c>
      <c r="AN4433">
        <v>0.99999999745492796</v>
      </c>
    </row>
    <row r="4434" spans="1:40" x14ac:dyDescent="0.25">
      <c r="A4434" t="str">
        <f>"20190304164939038"</f>
        <v>20190304164939038</v>
      </c>
      <c r="B4434" t="str">
        <f>"1551689379030392"</f>
        <v>1551689379030392</v>
      </c>
      <c r="C4434" t="s">
        <v>40</v>
      </c>
      <c r="D4434">
        <v>4.6573379999999904</v>
      </c>
      <c r="E4434">
        <v>0.56997390000000003</v>
      </c>
      <c r="F4434" t="s">
        <v>41</v>
      </c>
      <c r="G4434">
        <v>-189.678</v>
      </c>
      <c r="H4434">
        <v>0.98840059999999996</v>
      </c>
      <c r="I4434">
        <v>184.2011</v>
      </c>
      <c r="J4434">
        <v>-189.56909999999999</v>
      </c>
      <c r="K4434">
        <v>1.1114850000000001</v>
      </c>
      <c r="L4434">
        <v>184.86449999999999</v>
      </c>
      <c r="M4434">
        <v>-2.3213750000000001E-3</v>
      </c>
      <c r="N4434">
        <v>-1.4022339999999999E-2</v>
      </c>
      <c r="O4434">
        <v>-0.99989890000000003</v>
      </c>
      <c r="P4434">
        <v>6.6594430000000001E-3</v>
      </c>
      <c r="Q4434">
        <v>0.35240179999999999</v>
      </c>
      <c r="R4434">
        <v>-0.93582529999999997</v>
      </c>
      <c r="S4434">
        <v>-0.43881229999999899</v>
      </c>
      <c r="T4434">
        <v>-0.49672650000000002</v>
      </c>
      <c r="U4434">
        <v>-3.397141</v>
      </c>
      <c r="V4434">
        <v>-9.1833650000000006E-3</v>
      </c>
      <c r="W4434">
        <v>0.36548069999999999</v>
      </c>
      <c r="X4434">
        <v>0.93077359999999998</v>
      </c>
      <c r="Y4434">
        <v>0.1245839</v>
      </c>
      <c r="Z4434">
        <v>0.12964510000000001</v>
      </c>
      <c r="AA4434">
        <v>0.98370270000000004</v>
      </c>
      <c r="AB4434">
        <v>28</v>
      </c>
      <c r="AC4434">
        <v>-0.10890000000000501</v>
      </c>
      <c r="AD4434">
        <v>-0.1230844</v>
      </c>
      <c r="AE4434">
        <v>-0.66339999999999499</v>
      </c>
      <c r="AF4434">
        <v>0.103877553554215</v>
      </c>
      <c r="AG4434">
        <v>-0.1230844</v>
      </c>
      <c r="AH4434">
        <v>0.64212678643175503</v>
      </c>
      <c r="AI4434">
        <v>100.714961213001</v>
      </c>
      <c r="AJ4434">
        <v>80.810807172462006</v>
      </c>
      <c r="AK4434">
        <v>0.66201746616606805</v>
      </c>
      <c r="AL4434">
        <v>68.562830878597296</v>
      </c>
      <c r="AM4434">
        <v>90.565283527458206</v>
      </c>
      <c r="AN4434">
        <v>0.99999998536108603</v>
      </c>
    </row>
    <row r="4435" spans="1:40" x14ac:dyDescent="0.25">
      <c r="A4435" t="str">
        <f>"20190304164939059"</f>
        <v>20190304164939059</v>
      </c>
      <c r="B4435" t="str">
        <f>"1551689379049911"</f>
        <v>1551689379049911</v>
      </c>
      <c r="C4435" t="s">
        <v>40</v>
      </c>
      <c r="D4435">
        <v>4.6609210000000001</v>
      </c>
      <c r="E4435">
        <v>0.57007549999999996</v>
      </c>
      <c r="F4435" t="s">
        <v>41</v>
      </c>
      <c r="G4435">
        <v>-189.68819999999999</v>
      </c>
      <c r="H4435">
        <v>0.97863409999999995</v>
      </c>
      <c r="I4435">
        <v>183.95660000000001</v>
      </c>
      <c r="J4435">
        <v>-189.56970000000001</v>
      </c>
      <c r="K4435">
        <v>1.111097</v>
      </c>
      <c r="L4435">
        <v>184.60400000000001</v>
      </c>
      <c r="M4435">
        <v>-2.5725499999999998E-3</v>
      </c>
      <c r="N4435">
        <v>-1.403363E-2</v>
      </c>
      <c r="O4435">
        <v>-0.99989839999999997</v>
      </c>
      <c r="P4435">
        <v>1.8103349999999999E-3</v>
      </c>
      <c r="Q4435">
        <v>0.35219250000000002</v>
      </c>
      <c r="R4435">
        <v>-0.93592620000000004</v>
      </c>
      <c r="S4435">
        <v>-0.44485469999999999</v>
      </c>
      <c r="T4435">
        <v>-0.4969208</v>
      </c>
      <c r="U4435">
        <v>-3.3960270000000001</v>
      </c>
      <c r="V4435">
        <v>-4.2238249999999996E-3</v>
      </c>
      <c r="W4435">
        <v>0.36529250000000002</v>
      </c>
      <c r="X4435">
        <v>0.93088320000000002</v>
      </c>
      <c r="Y4435">
        <v>0.12609380000000001</v>
      </c>
      <c r="Z4435">
        <v>0.12970509999999999</v>
      </c>
      <c r="AA4435">
        <v>0.9835024</v>
      </c>
      <c r="AB4435">
        <v>28</v>
      </c>
      <c r="AC4435">
        <v>-0.11849999999998299</v>
      </c>
      <c r="AD4435">
        <v>-0.132462899999999</v>
      </c>
      <c r="AE4435">
        <v>-0.64740000000000397</v>
      </c>
      <c r="AF4435">
        <v>0.112285610887059</v>
      </c>
      <c r="AG4435">
        <v>-0.132462899999999</v>
      </c>
      <c r="AH4435">
        <v>0.62248756901845903</v>
      </c>
      <c r="AI4435">
        <v>101.82774795294</v>
      </c>
      <c r="AJ4435">
        <v>79.774822397510107</v>
      </c>
      <c r="AK4435">
        <v>0.64625478866403796</v>
      </c>
      <c r="AL4435">
        <v>68.574415053928107</v>
      </c>
      <c r="AM4435">
        <v>90.259974275052699</v>
      </c>
      <c r="AN4435">
        <v>0.99999999164805997</v>
      </c>
    </row>
    <row r="4436" spans="1:40" x14ac:dyDescent="0.25">
      <c r="A4436" t="str">
        <f>"20190304164939080"</f>
        <v>20190304164939080</v>
      </c>
      <c r="B4436" t="str">
        <f>"1551689379069939"</f>
        <v>1551689379069939</v>
      </c>
      <c r="C4436" t="s">
        <v>40</v>
      </c>
      <c r="D4436">
        <v>4.6527129999999897</v>
      </c>
      <c r="E4436">
        <v>0.57024129999999995</v>
      </c>
      <c r="F4436" t="s">
        <v>41</v>
      </c>
      <c r="G4436">
        <v>-189.69120000000001</v>
      </c>
      <c r="H4436">
        <v>0.97952220000000001</v>
      </c>
      <c r="I4436">
        <v>183.7072</v>
      </c>
      <c r="J4436">
        <v>-189.57079999999999</v>
      </c>
      <c r="K4436">
        <v>1.1107290000000001</v>
      </c>
      <c r="L4436">
        <v>184.3494</v>
      </c>
      <c r="M4436">
        <v>-3.2410300000000002E-3</v>
      </c>
      <c r="N4436">
        <v>-1.4044360000000001E-2</v>
      </c>
      <c r="O4436">
        <v>-0.99989640000000002</v>
      </c>
      <c r="P4436">
        <v>-3.7224210000000001E-3</v>
      </c>
      <c r="Q4436">
        <v>0.35183150000000002</v>
      </c>
      <c r="R4436">
        <v>-0.93605629999999995</v>
      </c>
      <c r="S4436">
        <v>-0.45956419999999998</v>
      </c>
      <c r="T4436">
        <v>-0.49788690000000002</v>
      </c>
      <c r="U4436">
        <v>-3.3936310000000001</v>
      </c>
      <c r="V4436">
        <v>1.007048E-3</v>
      </c>
      <c r="W4436">
        <v>0.36494270000000001</v>
      </c>
      <c r="X4436">
        <v>0.93102940000000001</v>
      </c>
      <c r="Y4436">
        <v>0.12969829999999999</v>
      </c>
      <c r="Z4436">
        <v>0.12999369999999999</v>
      </c>
      <c r="AA4436">
        <v>0.98299539999999996</v>
      </c>
      <c r="AB4436">
        <v>28</v>
      </c>
      <c r="AC4436">
        <v>-0.12040000000001699</v>
      </c>
      <c r="AD4436">
        <v>-0.13120680000000001</v>
      </c>
      <c r="AE4436">
        <v>-0.64220000000000199</v>
      </c>
      <c r="AF4436">
        <v>0.11373160078482</v>
      </c>
      <c r="AG4436">
        <v>-0.13120680000000001</v>
      </c>
      <c r="AH4436">
        <v>0.61767926317125399</v>
      </c>
      <c r="AI4436">
        <v>101.799798969112</v>
      </c>
      <c r="AJ4436">
        <v>79.567138006807497</v>
      </c>
      <c r="AK4436">
        <v>0.64162120720492199</v>
      </c>
      <c r="AL4436">
        <v>68.595942830103695</v>
      </c>
      <c r="AM4436">
        <v>89.938026041213206</v>
      </c>
      <c r="AN4436">
        <v>0.99999996604666097</v>
      </c>
    </row>
    <row r="4437" spans="1:40" x14ac:dyDescent="0.25">
      <c r="A4437" t="str">
        <f>"20190304164939091"</f>
        <v>20190304164939091</v>
      </c>
      <c r="B4437" t="str">
        <f>"1551689379080676"</f>
        <v>1551689379080676</v>
      </c>
      <c r="C4437" t="s">
        <v>40</v>
      </c>
      <c r="D4437">
        <v>4.6723179999999997</v>
      </c>
      <c r="E4437">
        <v>0.57028440000000002</v>
      </c>
      <c r="F4437" t="s">
        <v>41</v>
      </c>
      <c r="G4437">
        <v>-189.69589999999999</v>
      </c>
      <c r="H4437">
        <v>0.97966679999999995</v>
      </c>
      <c r="I4437">
        <v>183.45830000000001</v>
      </c>
      <c r="J4437">
        <v>-189.57159999999999</v>
      </c>
      <c r="K4437">
        <v>1.110536</v>
      </c>
      <c r="L4437">
        <v>184.2056</v>
      </c>
      <c r="M4437">
        <v>-3.7906770000000001E-3</v>
      </c>
      <c r="N4437">
        <v>-1.404999E-2</v>
      </c>
      <c r="O4437">
        <v>-0.99989410000000001</v>
      </c>
      <c r="P4437">
        <v>-6.5134600000000004E-3</v>
      </c>
      <c r="Q4437">
        <v>0.35194229999999999</v>
      </c>
      <c r="R4437">
        <v>-0.93599900000000003</v>
      </c>
      <c r="S4437">
        <v>-0.47573850000000001</v>
      </c>
      <c r="T4437">
        <v>-0.49862810000000002</v>
      </c>
      <c r="U4437">
        <v>-3.3904879999999999</v>
      </c>
      <c r="V4437">
        <v>3.4570769999999998E-3</v>
      </c>
      <c r="W4437">
        <v>0.36505409999999999</v>
      </c>
      <c r="X4437">
        <v>0.93097989999999997</v>
      </c>
      <c r="Y4437">
        <v>0.1338656</v>
      </c>
      <c r="Z4437">
        <v>0.13024249999999901</v>
      </c>
      <c r="AA4437">
        <v>0.98240360000000004</v>
      </c>
      <c r="AB4437">
        <v>28</v>
      </c>
      <c r="AC4437">
        <v>-0.124300000000005</v>
      </c>
      <c r="AD4437">
        <v>-0.13086919999999999</v>
      </c>
      <c r="AE4437">
        <v>-0.74729999999999497</v>
      </c>
      <c r="AF4437">
        <v>0.117946262458719</v>
      </c>
      <c r="AG4437">
        <v>-0.13086919999999999</v>
      </c>
      <c r="AH4437">
        <v>0.72609741610360901</v>
      </c>
      <c r="AI4437">
        <v>100.087640554963</v>
      </c>
      <c r="AJ4437">
        <v>80.773540112292906</v>
      </c>
      <c r="AK4437">
        <v>0.74716499249426704</v>
      </c>
      <c r="AL4437">
        <v>68.5890880942422</v>
      </c>
      <c r="AM4437">
        <v>89.787240292592301</v>
      </c>
      <c r="AN4437">
        <v>1.0000000107561</v>
      </c>
    </row>
    <row r="4438" spans="1:40" x14ac:dyDescent="0.25">
      <c r="A4438" t="str">
        <f>"20190304164939103"</f>
        <v>20190304164939103</v>
      </c>
      <c r="B4438" t="str">
        <f>"1551689379090436"</f>
        <v>1551689379090436</v>
      </c>
      <c r="C4438" t="s">
        <v>40</v>
      </c>
      <c r="D4438">
        <v>4.6578869999999997</v>
      </c>
      <c r="E4438">
        <v>0.57033540000000005</v>
      </c>
      <c r="F4438" t="s">
        <v>41</v>
      </c>
      <c r="G4438">
        <v>-189.68010000000001</v>
      </c>
      <c r="H4438">
        <v>0.99938130000000003</v>
      </c>
      <c r="I4438">
        <v>183.44890000000001</v>
      </c>
      <c r="J4438">
        <v>-189.5727</v>
      </c>
      <c r="K4438">
        <v>1.1103529999999999</v>
      </c>
      <c r="L4438">
        <v>184.06389999999999</v>
      </c>
      <c r="M4438">
        <v>-4.4750399999999996E-3</v>
      </c>
      <c r="N4438">
        <v>-1.405521E-2</v>
      </c>
      <c r="O4438">
        <v>-0.99989119999999998</v>
      </c>
      <c r="P4438">
        <v>-8.8815960000000003E-3</v>
      </c>
      <c r="Q4438">
        <v>0.3523558</v>
      </c>
      <c r="R4438">
        <v>-0.93582399999999999</v>
      </c>
      <c r="S4438">
        <v>-0.48545840000000001</v>
      </c>
      <c r="T4438">
        <v>-0.49782280000000001</v>
      </c>
      <c r="U4438">
        <v>-3.3889309999999999</v>
      </c>
      <c r="V4438">
        <v>5.3492399999999999E-3</v>
      </c>
      <c r="W4438">
        <v>0.3654656</v>
      </c>
      <c r="X4438">
        <v>0.93080940000000001</v>
      </c>
      <c r="Y4438">
        <v>0.1360132</v>
      </c>
      <c r="Z4438">
        <v>0.13002379999999999</v>
      </c>
      <c r="AA4438">
        <v>0.98213760000000006</v>
      </c>
      <c r="AB4438">
        <v>28</v>
      </c>
      <c r="AC4438">
        <v>-0.107400000000012</v>
      </c>
      <c r="AD4438">
        <v>-0.11097170000000001</v>
      </c>
      <c r="AE4438">
        <v>-0.61499999999998001</v>
      </c>
      <c r="AF4438">
        <v>0.10144139471939199</v>
      </c>
      <c r="AG4438">
        <v>-0.11097170000000001</v>
      </c>
      <c r="AH4438">
        <v>0.59662378328251997</v>
      </c>
      <c r="AI4438">
        <v>100.39077242805701</v>
      </c>
      <c r="AJ4438">
        <v>80.350521837590506</v>
      </c>
      <c r="AK4438">
        <v>0.61527637167524396</v>
      </c>
      <c r="AL4438">
        <v>68.5637590787817</v>
      </c>
      <c r="AM4438">
        <v>89.670732266365405</v>
      </c>
      <c r="AN4438">
        <v>0.99999992914014602</v>
      </c>
    </row>
    <row r="4439" spans="1:40" x14ac:dyDescent="0.25">
      <c r="A4439" t="str">
        <f>"20190304164939116"</f>
        <v>20190304164939116</v>
      </c>
      <c r="B4439" t="str">
        <f>"1551689379109955"</f>
        <v>1551689379109955</v>
      </c>
      <c r="C4439" t="s">
        <v>40</v>
      </c>
      <c r="D4439">
        <v>4.6752180000000001</v>
      </c>
      <c r="E4439">
        <v>0.57039799999999996</v>
      </c>
      <c r="F4439" t="s">
        <v>41</v>
      </c>
      <c r="G4439">
        <v>-189.69759999999999</v>
      </c>
      <c r="H4439">
        <v>0.98499990000000004</v>
      </c>
      <c r="I4439">
        <v>183.2072</v>
      </c>
      <c r="J4439">
        <v>-189.57419999999999</v>
      </c>
      <c r="K4439">
        <v>1.1101510000000001</v>
      </c>
      <c r="L4439">
        <v>183.90270000000001</v>
      </c>
      <c r="M4439">
        <v>-5.3468780000000002E-3</v>
      </c>
      <c r="N4439">
        <v>-1.4060710000000001E-2</v>
      </c>
      <c r="O4439">
        <v>-0.99988690000000002</v>
      </c>
      <c r="P4439">
        <v>-1.123502E-2</v>
      </c>
      <c r="Q4439">
        <v>0.35265740000000001</v>
      </c>
      <c r="R4439">
        <v>-0.93568519999999999</v>
      </c>
      <c r="S4439">
        <v>-0.49357600000000001</v>
      </c>
      <c r="T4439">
        <v>-0.49571199999999999</v>
      </c>
      <c r="U4439">
        <v>-3.3876949999999999</v>
      </c>
      <c r="V4439">
        <v>7.0697049999999999E-3</v>
      </c>
      <c r="W4439">
        <v>0.36576429999999999</v>
      </c>
      <c r="X4439">
        <v>0.93068070000000003</v>
      </c>
      <c r="Y4439">
        <v>0.1375149</v>
      </c>
      <c r="Z4439">
        <v>0.1294315</v>
      </c>
      <c r="AA4439">
        <v>0.98200670000000001</v>
      </c>
      <c r="AB4439">
        <v>28</v>
      </c>
      <c r="AC4439">
        <v>-0.12340000000000299</v>
      </c>
      <c r="AD4439">
        <v>-0.12515109999999999</v>
      </c>
      <c r="AE4439">
        <v>-0.695500000000009</v>
      </c>
      <c r="AF4439">
        <v>0.11603653561128401</v>
      </c>
      <c r="AG4439">
        <v>-0.12515109999999999</v>
      </c>
      <c r="AH4439">
        <v>0.67496175894263</v>
      </c>
      <c r="AI4439">
        <v>100.355896761796</v>
      </c>
      <c r="AJ4439">
        <v>80.245309028491604</v>
      </c>
      <c r="AK4439">
        <v>0.69620446096158295</v>
      </c>
      <c r="AL4439">
        <v>68.545374182184005</v>
      </c>
      <c r="AM4439">
        <v>89.564773968148799</v>
      </c>
      <c r="AN4439">
        <v>1.0000000346178799</v>
      </c>
    </row>
    <row r="4440" spans="1:40" x14ac:dyDescent="0.25">
      <c r="A4440" t="str">
        <f>"20190304164939128"</f>
        <v>20190304164939128</v>
      </c>
      <c r="B4440" t="str">
        <f>"1551689379120692"</f>
        <v>1551689379120692</v>
      </c>
      <c r="C4440" t="s">
        <v>40</v>
      </c>
      <c r="D4440">
        <v>4.6680769999999896</v>
      </c>
      <c r="E4440">
        <v>0.570399199999999</v>
      </c>
      <c r="F4440" t="s">
        <v>41</v>
      </c>
      <c r="G4440">
        <v>-189.71360000000001</v>
      </c>
      <c r="H4440">
        <v>0.97340300000000002</v>
      </c>
      <c r="I4440">
        <v>182.96430000000001</v>
      </c>
      <c r="J4440">
        <v>-189.5761</v>
      </c>
      <c r="K4440">
        <v>1.1099410000000001</v>
      </c>
      <c r="L4440">
        <v>183.7345</v>
      </c>
      <c r="M4440">
        <v>-6.5063530000000003E-3</v>
      </c>
      <c r="N4440">
        <v>-1.406553E-2</v>
      </c>
      <c r="O4440">
        <v>-0.99988010000000005</v>
      </c>
      <c r="P4440">
        <v>-1.397901E-2</v>
      </c>
      <c r="Q4440">
        <v>0.35288199999999997</v>
      </c>
      <c r="R4440">
        <v>-0.9355637</v>
      </c>
      <c r="S4440">
        <v>-0.50251769999999996</v>
      </c>
      <c r="T4440">
        <v>-0.4934133</v>
      </c>
      <c r="U4440">
        <v>-3.386139</v>
      </c>
      <c r="V4440">
        <v>8.9176189999999999E-3</v>
      </c>
      <c r="W4440">
        <v>0.36598399999999998</v>
      </c>
      <c r="X4440">
        <v>0.93057840000000003</v>
      </c>
      <c r="Y4440">
        <v>0.1389802</v>
      </c>
      <c r="Z4440">
        <v>0.12879660000000001</v>
      </c>
      <c r="AA4440">
        <v>0.98188390000000003</v>
      </c>
      <c r="AB4440">
        <v>28</v>
      </c>
      <c r="AC4440">
        <v>-0.137500000000017</v>
      </c>
      <c r="AD4440">
        <v>-0.13653799999999999</v>
      </c>
      <c r="AE4440">
        <v>-0.77019999999998801</v>
      </c>
      <c r="AF4440">
        <v>0.12856966806915299</v>
      </c>
      <c r="AG4440">
        <v>-0.13653799999999999</v>
      </c>
      <c r="AH4440">
        <v>0.74828844453423005</v>
      </c>
      <c r="AI4440">
        <v>100.194645381764</v>
      </c>
      <c r="AJ4440">
        <v>80.250729084373702</v>
      </c>
      <c r="AK4440">
        <v>0.77143268093519901</v>
      </c>
      <c r="AL4440">
        <v>68.531847377033003</v>
      </c>
      <c r="AM4440">
        <v>89.450958358079504</v>
      </c>
      <c r="AN4440">
        <v>0.99999998536559398</v>
      </c>
    </row>
    <row r="4441" spans="1:40" x14ac:dyDescent="0.25">
      <c r="A4441" t="str">
        <f>"20190304164939142"</f>
        <v>20190304164939142</v>
      </c>
      <c r="B4441" t="str">
        <f>"1551689379130453"</f>
        <v>1551689379130453</v>
      </c>
      <c r="C4441" t="s">
        <v>40</v>
      </c>
      <c r="D4441">
        <v>4.6665210000000004</v>
      </c>
      <c r="E4441">
        <v>0.5703703</v>
      </c>
      <c r="F4441" t="s">
        <v>41</v>
      </c>
      <c r="G4441">
        <v>-189.69450000000001</v>
      </c>
      <c r="H4441">
        <v>0.99634230000000001</v>
      </c>
      <c r="I4441">
        <v>182.95349999999999</v>
      </c>
      <c r="J4441">
        <v>-189.57810000000001</v>
      </c>
      <c r="K4441">
        <v>1.1097589999999999</v>
      </c>
      <c r="L4441">
        <v>183.5831</v>
      </c>
      <c r="M4441">
        <v>-7.6527459999999898E-3</v>
      </c>
      <c r="N4441">
        <v>-1.4068270000000001E-2</v>
      </c>
      <c r="O4441">
        <v>-0.99987190000000004</v>
      </c>
      <c r="P4441">
        <v>-1.6414539999999998E-2</v>
      </c>
      <c r="Q4441">
        <v>0.35314190000000001</v>
      </c>
      <c r="R4441">
        <v>-0.93542610000000004</v>
      </c>
      <c r="S4441">
        <v>-0.51225279999999995</v>
      </c>
      <c r="T4441">
        <v>-0.49223850000000002</v>
      </c>
      <c r="U4441">
        <v>-3.3846590000000001</v>
      </c>
      <c r="V4441">
        <v>1.0447120000000001E-2</v>
      </c>
      <c r="W4441">
        <v>0.36623600000000001</v>
      </c>
      <c r="X4441">
        <v>0.93046340000000005</v>
      </c>
      <c r="Y4441">
        <v>0.14067389999999999</v>
      </c>
      <c r="Z4441">
        <v>0.1284737</v>
      </c>
      <c r="AA4441">
        <v>0.98168500000000003</v>
      </c>
      <c r="AB4441">
        <v>28</v>
      </c>
      <c r="AC4441">
        <v>-0.11639999999999801</v>
      </c>
      <c r="AD4441">
        <v>-0.113416699999999</v>
      </c>
      <c r="AE4441">
        <v>-0.62960000000001004</v>
      </c>
      <c r="AF4441">
        <v>0.108183345071638</v>
      </c>
      <c r="AG4441">
        <v>-0.113416699999999</v>
      </c>
      <c r="AH4441">
        <v>0.61129119841535795</v>
      </c>
      <c r="AI4441">
        <v>100.353596209965</v>
      </c>
      <c r="AJ4441">
        <v>79.963987047613003</v>
      </c>
      <c r="AK4441">
        <v>0.63106569646104504</v>
      </c>
      <c r="AL4441">
        <v>68.516332935467503</v>
      </c>
      <c r="AM4441">
        <v>89.356717595974203</v>
      </c>
      <c r="AN4441">
        <v>1.00000004437592</v>
      </c>
    </row>
    <row r="4442" spans="1:40" x14ac:dyDescent="0.25">
      <c r="A4442" t="str">
        <f>"20190304164939159"</f>
        <v>20190304164939159</v>
      </c>
      <c r="B4442" t="str">
        <f>"1551689379149972"</f>
        <v>1551689379149972</v>
      </c>
      <c r="C4442" t="s">
        <v>40</v>
      </c>
      <c r="D4442">
        <v>4.65801</v>
      </c>
      <c r="E4442">
        <v>0.57035049999999998</v>
      </c>
      <c r="F4442" t="s">
        <v>41</v>
      </c>
      <c r="G4442">
        <v>-189.7122</v>
      </c>
      <c r="H4442">
        <v>0.98330830000000002</v>
      </c>
      <c r="I4442">
        <v>182.7116</v>
      </c>
      <c r="J4442">
        <v>-189.58160000000001</v>
      </c>
      <c r="K4442">
        <v>1.1094919999999999</v>
      </c>
      <c r="L4442">
        <v>183.3588</v>
      </c>
      <c r="M4442">
        <v>-9.5606790000000007E-3</v>
      </c>
      <c r="N4442">
        <v>-1.406525E-2</v>
      </c>
      <c r="O4442">
        <v>-0.99985550000000001</v>
      </c>
      <c r="P4442">
        <v>-2.2624020000000002E-2</v>
      </c>
      <c r="Q4442">
        <v>0.35345349999999998</v>
      </c>
      <c r="R4442">
        <v>-0.93517870000000003</v>
      </c>
      <c r="S4442">
        <v>-0.52041629999999905</v>
      </c>
      <c r="T4442">
        <v>-0.49083779999999999</v>
      </c>
      <c r="U4442">
        <v>-3.383286</v>
      </c>
      <c r="V4442">
        <v>1.5110190000000001E-2</v>
      </c>
      <c r="W4442">
        <v>0.36651860000000003</v>
      </c>
      <c r="X4442">
        <v>0.930288</v>
      </c>
      <c r="Y4442">
        <v>0.14116600000000001</v>
      </c>
      <c r="Z4442">
        <v>0.12810339999999901</v>
      </c>
      <c r="AA4442">
        <v>0.9816627</v>
      </c>
      <c r="AB4442">
        <v>28</v>
      </c>
      <c r="AC4442">
        <v>-0.13059999999998601</v>
      </c>
      <c r="AD4442">
        <v>-0.12618369999999901</v>
      </c>
      <c r="AE4442">
        <v>-0.647199999999997</v>
      </c>
      <c r="AF4442">
        <v>0.120021893751072</v>
      </c>
      <c r="AG4442">
        <v>-0.12618369999999901</v>
      </c>
      <c r="AH4442">
        <v>0.62556994080195105</v>
      </c>
      <c r="AI4442">
        <v>101.205049879783</v>
      </c>
      <c r="AJ4442">
        <v>79.139207114270206</v>
      </c>
      <c r="AK4442">
        <v>0.64935763024718596</v>
      </c>
      <c r="AL4442">
        <v>68.498929741561696</v>
      </c>
      <c r="AM4442">
        <v>89.069455917846298</v>
      </c>
      <c r="AN4442">
        <v>0.99999998246589705</v>
      </c>
    </row>
    <row r="4443" spans="1:40" x14ac:dyDescent="0.25">
      <c r="A4443" t="str">
        <f>"20190304164939181"</f>
        <v>20190304164939181</v>
      </c>
      <c r="B4443" t="str">
        <f>"1551689379169998"</f>
        <v>1551689379169998</v>
      </c>
      <c r="C4443" t="s">
        <v>40</v>
      </c>
      <c r="D4443">
        <v>4.7175719999999997</v>
      </c>
      <c r="E4443">
        <v>0.57027469999999902</v>
      </c>
      <c r="F4443" t="s">
        <v>41</v>
      </c>
      <c r="G4443">
        <v>-189.72370000000001</v>
      </c>
      <c r="H4443">
        <v>0.97977329999999996</v>
      </c>
      <c r="I4443">
        <v>182.46530000000001</v>
      </c>
      <c r="J4443">
        <v>-189.58670000000001</v>
      </c>
      <c r="K4443">
        <v>1.109199</v>
      </c>
      <c r="L4443">
        <v>183.0959</v>
      </c>
      <c r="M4443">
        <v>-1.21117E-2</v>
      </c>
      <c r="N4443">
        <v>-1.403766E-2</v>
      </c>
      <c r="O4443">
        <v>-0.9998283</v>
      </c>
      <c r="P4443">
        <v>-2.9305669999999999E-2</v>
      </c>
      <c r="Q4443">
        <v>0.35258899999999999</v>
      </c>
      <c r="R4443">
        <v>-0.93531980000000003</v>
      </c>
      <c r="S4443">
        <v>-0.53668209999999905</v>
      </c>
      <c r="T4443">
        <v>-0.49068689999999998</v>
      </c>
      <c r="U4443">
        <v>-3.3804020000000001</v>
      </c>
      <c r="V4443">
        <v>1.9655160000000001E-2</v>
      </c>
      <c r="W4443">
        <v>0.36560189999999998</v>
      </c>
      <c r="X4443">
        <v>0.93056369999999999</v>
      </c>
      <c r="Y4443">
        <v>0.14337440000000001</v>
      </c>
      <c r="Z4443">
        <v>0.12812860000000001</v>
      </c>
      <c r="AA4443">
        <v>0.98133930000000003</v>
      </c>
      <c r="AB4443">
        <v>28</v>
      </c>
      <c r="AC4443">
        <v>-0.13700000000000001</v>
      </c>
      <c r="AD4443">
        <v>-0.12942569999999901</v>
      </c>
      <c r="AE4443">
        <v>-0.63059999999998695</v>
      </c>
      <c r="AF4443">
        <v>0.12434951079243101</v>
      </c>
      <c r="AG4443">
        <v>-0.12942569999999901</v>
      </c>
      <c r="AH4443">
        <v>0.60776539937502505</v>
      </c>
      <c r="AI4443">
        <v>101.784651692708</v>
      </c>
      <c r="AJ4443">
        <v>78.436805266732193</v>
      </c>
      <c r="AK4443">
        <v>0.63371333687424503</v>
      </c>
      <c r="AL4443">
        <v>68.555369238778496</v>
      </c>
      <c r="AM4443">
        <v>88.789991176597297</v>
      </c>
      <c r="AN4443">
        <v>0.99999993717795999</v>
      </c>
    </row>
    <row r="4444" spans="1:40" x14ac:dyDescent="0.25">
      <c r="A4444" t="str">
        <f>"20190304164939194"</f>
        <v>20190304164939194</v>
      </c>
      <c r="B4444" t="str">
        <f>"1551689379190494"</f>
        <v>1551689379190494</v>
      </c>
      <c r="C4444" t="s">
        <v>40</v>
      </c>
      <c r="D4444">
        <v>4.6576019999999998</v>
      </c>
      <c r="E4444">
        <v>0.57020899999999997</v>
      </c>
      <c r="F4444" t="s">
        <v>41</v>
      </c>
      <c r="G4444">
        <v>-189.73070000000001</v>
      </c>
      <c r="H4444">
        <v>0.98028090000000001</v>
      </c>
      <c r="I4444">
        <v>182.21729999999999</v>
      </c>
      <c r="J4444">
        <v>-189.59039999999999</v>
      </c>
      <c r="K4444">
        <v>1.10902099999999</v>
      </c>
      <c r="L4444">
        <v>182.9289</v>
      </c>
      <c r="M4444">
        <v>-1.385893E-2</v>
      </c>
      <c r="N4444">
        <v>-1.4009539999999999E-2</v>
      </c>
      <c r="O4444">
        <v>-0.99980579999999997</v>
      </c>
      <c r="P4444">
        <v>-3.2960839999999998E-2</v>
      </c>
      <c r="Q4444">
        <v>0.35204099999999999</v>
      </c>
      <c r="R4444">
        <v>-0.93540409999999996</v>
      </c>
      <c r="S4444">
        <v>-0.55352780000000001</v>
      </c>
      <c r="T4444">
        <v>-0.49552000000000002</v>
      </c>
      <c r="U4444">
        <v>-3.376938</v>
      </c>
      <c r="V4444">
        <v>2.1818839999999999E-2</v>
      </c>
      <c r="W4444">
        <v>0.36501149999999999</v>
      </c>
      <c r="X4444">
        <v>0.93074730000000006</v>
      </c>
      <c r="Y4444">
        <v>0.14653640000000001</v>
      </c>
      <c r="Z4444">
        <v>0.12958030000000001</v>
      </c>
      <c r="AA4444">
        <v>0.98068140000000004</v>
      </c>
      <c r="AB4444">
        <v>28</v>
      </c>
      <c r="AC4444">
        <v>-0.14030000000002399</v>
      </c>
      <c r="AD4444">
        <v>-0.128740099999999</v>
      </c>
      <c r="AE4444">
        <v>-0.71160000000000401</v>
      </c>
      <c r="AF4444">
        <v>0.12643992188426301</v>
      </c>
      <c r="AG4444">
        <v>-0.128740099999999</v>
      </c>
      <c r="AH4444">
        <v>0.69168403386855903</v>
      </c>
      <c r="AI4444">
        <v>100.37545978811499</v>
      </c>
      <c r="AJ4444">
        <v>79.640702594721802</v>
      </c>
      <c r="AK4444">
        <v>0.71483415552335705</v>
      </c>
      <c r="AL4444">
        <v>68.591709490469398</v>
      </c>
      <c r="AM4444">
        <v>88.657102177172305</v>
      </c>
      <c r="AN4444">
        <v>0.999999996684242</v>
      </c>
    </row>
    <row r="4445" spans="1:40" x14ac:dyDescent="0.25">
      <c r="A4445" t="str">
        <f>"20190304164939207"</f>
        <v>20190304164939207</v>
      </c>
      <c r="B4445" t="str">
        <f>"1551689379200255"</f>
        <v>1551689379200255</v>
      </c>
      <c r="C4445" t="s">
        <v>40</v>
      </c>
      <c r="D4445">
        <v>4.6812579999999997</v>
      </c>
      <c r="E4445">
        <v>0.57015450000000001</v>
      </c>
      <c r="F4445" t="s">
        <v>41</v>
      </c>
      <c r="G4445">
        <v>-189.71100000000001</v>
      </c>
      <c r="H4445">
        <v>1.002516</v>
      </c>
      <c r="I4445">
        <v>182.20660000000001</v>
      </c>
      <c r="J4445">
        <v>-189.5943</v>
      </c>
      <c r="K4445">
        <v>1.108881</v>
      </c>
      <c r="L4445">
        <v>182.774</v>
      </c>
      <c r="M4445">
        <v>-1.5609120000000001E-2</v>
      </c>
      <c r="N4445">
        <v>-1.3971590000000001E-2</v>
      </c>
      <c r="O4445">
        <v>-0.99978069999999997</v>
      </c>
      <c r="P4445">
        <v>-3.6414879999999997E-2</v>
      </c>
      <c r="Q4445">
        <v>0.35136699999999998</v>
      </c>
      <c r="R4445">
        <v>-0.93552959999999996</v>
      </c>
      <c r="S4445">
        <v>-0.56352230000000003</v>
      </c>
      <c r="T4445">
        <v>-0.49755379999999999</v>
      </c>
      <c r="U4445">
        <v>-3.3745569999999998</v>
      </c>
      <c r="V4445">
        <v>2.3745740000000001E-2</v>
      </c>
      <c r="W4445">
        <v>0.36428870000000002</v>
      </c>
      <c r="X4445">
        <v>0.93098329999999996</v>
      </c>
      <c r="Y4445">
        <v>0.14772669999999999</v>
      </c>
      <c r="Z4445">
        <v>0.13024379999999999</v>
      </c>
      <c r="AA4445">
        <v>0.98041489999999998</v>
      </c>
      <c r="AB4445">
        <v>28</v>
      </c>
      <c r="AC4445">
        <v>-0.11669999999998</v>
      </c>
      <c r="AD4445">
        <v>-0.106365</v>
      </c>
      <c r="AE4445">
        <v>-0.56739999999999202</v>
      </c>
      <c r="AF4445">
        <v>0.10431142582759</v>
      </c>
      <c r="AG4445">
        <v>-0.106365</v>
      </c>
      <c r="AH4445">
        <v>0.55058941443225096</v>
      </c>
      <c r="AI4445">
        <v>100.747323943832</v>
      </c>
      <c r="AJ4445">
        <v>79.272223524672199</v>
      </c>
      <c r="AK4445">
        <v>0.57038854307220599</v>
      </c>
      <c r="AL4445">
        <v>68.6361855996484</v>
      </c>
      <c r="AM4445">
        <v>88.538925711425904</v>
      </c>
      <c r="AN4445">
        <v>1.0000000109973599</v>
      </c>
    </row>
    <row r="4446" spans="1:40" x14ac:dyDescent="0.25">
      <c r="A4446" t="str">
        <f>"20190304164939219"</f>
        <v>20190304164939219</v>
      </c>
      <c r="B4446" t="str">
        <f>"1551689379210015"</f>
        <v>1551689379210015</v>
      </c>
      <c r="C4446" t="s">
        <v>40</v>
      </c>
      <c r="D4446">
        <v>4.7364059999999997</v>
      </c>
      <c r="E4446">
        <v>0.57004489999999997</v>
      </c>
      <c r="F4446" t="s">
        <v>41</v>
      </c>
      <c r="G4446">
        <v>-189.732</v>
      </c>
      <c r="H4446">
        <v>0.98889720000000003</v>
      </c>
      <c r="I4446">
        <v>181.96559999999999</v>
      </c>
      <c r="J4446">
        <v>-189.59870000000001</v>
      </c>
      <c r="K4446">
        <v>1.1087370000000001</v>
      </c>
      <c r="L4446">
        <v>182.61170000000001</v>
      </c>
      <c r="M4446">
        <v>-1.750763E-2</v>
      </c>
      <c r="N4446">
        <v>-1.392184E-2</v>
      </c>
      <c r="O4446">
        <v>-0.99974980000000002</v>
      </c>
      <c r="P4446">
        <v>-4.0130329999999999E-2</v>
      </c>
      <c r="Q4446">
        <v>0.35123179999999998</v>
      </c>
      <c r="R4446">
        <v>-0.93542840000000005</v>
      </c>
      <c r="S4446">
        <v>-0.57380679999999995</v>
      </c>
      <c r="T4446">
        <v>-0.50038400000000005</v>
      </c>
      <c r="U4446">
        <v>-3.37236</v>
      </c>
      <c r="V4446">
        <v>2.5799140000000002E-2</v>
      </c>
      <c r="W4446">
        <v>0.36408879999999999</v>
      </c>
      <c r="X4446">
        <v>0.93100680000000002</v>
      </c>
      <c r="Y4446">
        <v>0.14883869999999999</v>
      </c>
      <c r="Z4446">
        <v>0.1311359</v>
      </c>
      <c r="AA4446">
        <v>0.98012779999999999</v>
      </c>
      <c r="AB4446">
        <v>28</v>
      </c>
      <c r="AC4446">
        <v>-0.13329999999999101</v>
      </c>
      <c r="AD4446">
        <v>-0.1198398</v>
      </c>
      <c r="AE4446">
        <v>-0.64610000000001799</v>
      </c>
      <c r="AF4446">
        <v>0.118070591753505</v>
      </c>
      <c r="AG4446">
        <v>-0.1198398</v>
      </c>
      <c r="AH4446">
        <v>0.62762405552739398</v>
      </c>
      <c r="AI4446">
        <v>100.62797854707399</v>
      </c>
      <c r="AJ4446">
        <v>79.345859331359406</v>
      </c>
      <c r="AK4446">
        <v>0.649780114637033</v>
      </c>
      <c r="AL4446">
        <v>68.648482351453097</v>
      </c>
      <c r="AM4446">
        <v>88.412682221066206</v>
      </c>
      <c r="AN4446">
        <v>0.99999995577820799</v>
      </c>
    </row>
    <row r="4447" spans="1:40" x14ac:dyDescent="0.25">
      <c r="A4447" t="str">
        <f>"20190304164939239"</f>
        <v>20190304164939239</v>
      </c>
      <c r="B4447" t="str">
        <f>"1551689379230510"</f>
        <v>1551689379230510</v>
      </c>
      <c r="C4447" t="s">
        <v>40</v>
      </c>
      <c r="D4447">
        <v>4.4624389999999998</v>
      </c>
      <c r="E4447">
        <v>0.57000099999999998</v>
      </c>
      <c r="F4447" t="s">
        <v>41</v>
      </c>
      <c r="G4447">
        <v>-189.75280000000001</v>
      </c>
      <c r="H4447">
        <v>0.97667870000000001</v>
      </c>
      <c r="I4447">
        <v>181.72380000000001</v>
      </c>
      <c r="J4447">
        <v>-189.60589999999999</v>
      </c>
      <c r="K4447">
        <v>1.10854599999999</v>
      </c>
      <c r="L4447">
        <v>182.3751</v>
      </c>
      <c r="M4447">
        <v>-2.0445419999999999E-2</v>
      </c>
      <c r="N4447">
        <v>-1.3821369999999999E-2</v>
      </c>
      <c r="O4447">
        <v>-0.99969560000000002</v>
      </c>
      <c r="P4447">
        <v>-4.6184749999999997E-2</v>
      </c>
      <c r="Q4447">
        <v>0.35131269999999998</v>
      </c>
      <c r="R4447">
        <v>-0.93511869999999997</v>
      </c>
      <c r="S4447">
        <v>-0.58480829999999995</v>
      </c>
      <c r="T4447">
        <v>-0.50122690000000003</v>
      </c>
      <c r="U4447">
        <v>-3.370209</v>
      </c>
      <c r="V4447">
        <v>2.9256379999999998E-2</v>
      </c>
      <c r="W4447">
        <v>0.36404399999999998</v>
      </c>
      <c r="X4447">
        <v>0.93092220000000003</v>
      </c>
      <c r="Y4447">
        <v>0.14913689999999999</v>
      </c>
      <c r="Z4447">
        <v>0.13151389999999999</v>
      </c>
      <c r="AA4447">
        <v>0.98003180000000001</v>
      </c>
      <c r="AB4447">
        <v>28</v>
      </c>
      <c r="AC4447">
        <v>-0.14690000000001599</v>
      </c>
      <c r="AD4447">
        <v>-0.13186729999999899</v>
      </c>
      <c r="AE4447">
        <v>-0.651299999999992</v>
      </c>
      <c r="AF4447">
        <v>0.12853781530761299</v>
      </c>
      <c r="AG4447">
        <v>-0.13186729999999899</v>
      </c>
      <c r="AH4447">
        <v>0.62960735090838105</v>
      </c>
      <c r="AI4447">
        <v>101.59671806958301</v>
      </c>
      <c r="AJ4447">
        <v>78.461315312690004</v>
      </c>
      <c r="AK4447">
        <v>0.655985038770865</v>
      </c>
      <c r="AL4447">
        <v>68.651240583820893</v>
      </c>
      <c r="AM4447">
        <v>88.199940279464101</v>
      </c>
      <c r="AN4447">
        <v>1.0000000560797699</v>
      </c>
    </row>
    <row r="4448" spans="1:40" x14ac:dyDescent="0.25">
      <c r="A4448" t="str">
        <f>"20190304164939260"</f>
        <v>20190304164939260</v>
      </c>
      <c r="B4448" t="str">
        <f>"1551689379250030"</f>
        <v>1551689379250030</v>
      </c>
      <c r="C4448" t="s">
        <v>40</v>
      </c>
      <c r="D4448">
        <v>4.7260859999999996</v>
      </c>
      <c r="E4448">
        <v>0.58061399999999996</v>
      </c>
      <c r="F4448" t="s">
        <v>41</v>
      </c>
      <c r="G4448">
        <v>-189.76740000000001</v>
      </c>
      <c r="H4448">
        <v>0.97495279999999995</v>
      </c>
      <c r="I4448">
        <v>181.477</v>
      </c>
      <c r="J4448">
        <v>-189.61500000000001</v>
      </c>
      <c r="K4448">
        <v>1.1083689999999999</v>
      </c>
      <c r="L4448">
        <v>182.1086</v>
      </c>
      <c r="M4448">
        <v>-2.3949450000000001E-2</v>
      </c>
      <c r="N4448">
        <v>-1.3682919999999999E-2</v>
      </c>
      <c r="O4448">
        <v>-0.99961960000000005</v>
      </c>
      <c r="P4448">
        <v>-5.248937E-2</v>
      </c>
      <c r="Q4448">
        <v>0.35098889999999999</v>
      </c>
      <c r="R4448">
        <v>-0.93490740000000006</v>
      </c>
      <c r="S4448">
        <v>-0.60504150000000001</v>
      </c>
      <c r="T4448">
        <v>-0.50071549999999998</v>
      </c>
      <c r="U4448">
        <v>-3.3663639999999999</v>
      </c>
      <c r="V4448">
        <v>3.2421989999999998E-2</v>
      </c>
      <c r="W4448">
        <v>0.36356070000000001</v>
      </c>
      <c r="X4448">
        <v>0.93100609999999995</v>
      </c>
      <c r="Y4448">
        <v>0.15157029999999999</v>
      </c>
      <c r="Z4448">
        <v>0.13155320000000001</v>
      </c>
      <c r="AA4448">
        <v>0.97965310000000005</v>
      </c>
      <c r="AB4448">
        <v>28</v>
      </c>
      <c r="AC4448">
        <v>-0.15240000000000001</v>
      </c>
      <c r="AD4448">
        <v>-0.13341620000000001</v>
      </c>
      <c r="AE4448">
        <v>-0.63159999999999095</v>
      </c>
      <c r="AF4448">
        <v>0.13167621169510099</v>
      </c>
      <c r="AG4448">
        <v>-0.13341620000000001</v>
      </c>
      <c r="AH4448">
        <v>0.60937452427481897</v>
      </c>
      <c r="AI4448">
        <v>102.07913074034001</v>
      </c>
      <c r="AJ4448">
        <v>77.806757163306401</v>
      </c>
      <c r="AK4448">
        <v>0.63755456078987804</v>
      </c>
      <c r="AL4448">
        <v>68.680966640003007</v>
      </c>
      <c r="AM4448">
        <v>88.005498805071596</v>
      </c>
      <c r="AN4448">
        <v>0.99999996312862904</v>
      </c>
    </row>
    <row r="4449" spans="1:40" x14ac:dyDescent="0.25">
      <c r="A4449" t="str">
        <f>"20190304164939280"</f>
        <v>20190304164939280</v>
      </c>
      <c r="B4449" t="str">
        <f>"1551689379270056"</f>
        <v>1551689379270056</v>
      </c>
      <c r="C4449" t="s">
        <v>40</v>
      </c>
      <c r="D4449">
        <v>4.7354900000000004</v>
      </c>
      <c r="E4449">
        <v>0.56677290000000002</v>
      </c>
      <c r="F4449" t="s">
        <v>42</v>
      </c>
      <c r="G4449">
        <v>-192.62020000000001</v>
      </c>
      <c r="H4449" s="1">
        <v>-4.7905899999999996E-6</v>
      </c>
      <c r="I4449">
        <v>168.55070000000001</v>
      </c>
      <c r="J4449">
        <v>-189.62459999999999</v>
      </c>
      <c r="K4449">
        <v>1.1082270000000001</v>
      </c>
      <c r="L4449">
        <v>181.85929999999999</v>
      </c>
      <c r="M4449">
        <v>-2.7369379999999999E-2</v>
      </c>
      <c r="N4449">
        <v>-1.354146E-2</v>
      </c>
      <c r="O4449">
        <v>-0.99953369999999997</v>
      </c>
      <c r="P4449">
        <v>-5.8359979999999999E-2</v>
      </c>
      <c r="Q4449">
        <v>0.35138239999999998</v>
      </c>
      <c r="R4449">
        <v>-0.9344114</v>
      </c>
      <c r="S4449">
        <v>-0.7245026</v>
      </c>
      <c r="T4449">
        <v>-0.26720480000000002</v>
      </c>
      <c r="U4449">
        <v>-3.2685089999999999</v>
      </c>
      <c r="V4449">
        <v>3.5213300000000003E-2</v>
      </c>
      <c r="W4449">
        <v>0.36379119999999998</v>
      </c>
      <c r="X4449">
        <v>0.93081469999999999</v>
      </c>
      <c r="Y4449">
        <v>0.18901090000000001</v>
      </c>
      <c r="Z4449">
        <v>6.6274239999999998E-2</v>
      </c>
      <c r="AA4449">
        <v>0.97973600000000005</v>
      </c>
      <c r="AB4449">
        <v>28</v>
      </c>
      <c r="AC4449">
        <v>-2.99560000000002</v>
      </c>
      <c r="AD4449">
        <v>-1.1082317905900001</v>
      </c>
      <c r="AE4449">
        <v>-13.308599999999901</v>
      </c>
      <c r="AF4449">
        <v>2.6129510681985701</v>
      </c>
      <c r="AG4449">
        <v>-1.1082317905900001</v>
      </c>
      <c r="AH4449">
        <v>13.2978453018584</v>
      </c>
      <c r="AI4449">
        <v>94.674987187595093</v>
      </c>
      <c r="AJ4449">
        <v>78.883332352385096</v>
      </c>
      <c r="AK4449">
        <v>13.5973666810391</v>
      </c>
      <c r="AL4449">
        <v>68.666790209671802</v>
      </c>
      <c r="AM4449">
        <v>87.833498105604704</v>
      </c>
      <c r="AN4449">
        <v>1.00000000971521</v>
      </c>
    </row>
    <row r="4450" spans="1:40" x14ac:dyDescent="0.25">
      <c r="A4450" t="str">
        <f>"20190304164939292"</f>
        <v>20190304164939292</v>
      </c>
      <c r="B4450" t="str">
        <f>"1551689379280793"</f>
        <v>1551689379280793</v>
      </c>
      <c r="C4450" t="s">
        <v>40</v>
      </c>
      <c r="D4450">
        <v>4.4740000000000002</v>
      </c>
      <c r="E4450">
        <v>0.56677290000000002</v>
      </c>
      <c r="F4450" t="s">
        <v>41</v>
      </c>
      <c r="G4450">
        <v>-189.7885</v>
      </c>
      <c r="H4450">
        <v>0.9824619</v>
      </c>
      <c r="I4450">
        <v>180.97829999999999</v>
      </c>
      <c r="J4450">
        <v>-189.63069999999999</v>
      </c>
      <c r="K4450">
        <v>1.108147</v>
      </c>
      <c r="L4450">
        <v>181.709</v>
      </c>
      <c r="M4450">
        <v>-2.94839E-2</v>
      </c>
      <c r="N4450">
        <v>-1.3451899999999999E-2</v>
      </c>
      <c r="O4450">
        <v>-0.9994748</v>
      </c>
      <c r="P4450">
        <v>-6.1154189999999997E-2</v>
      </c>
      <c r="Q4450">
        <v>0.35143239999999998</v>
      </c>
      <c r="R4450">
        <v>-0.93421419999999999</v>
      </c>
      <c r="S4450">
        <v>-0.62309269999999894</v>
      </c>
      <c r="T4450">
        <v>-0.47828749999999998</v>
      </c>
      <c r="U4450">
        <v>-3.351486</v>
      </c>
      <c r="V4450">
        <v>3.6090169999999998E-2</v>
      </c>
      <c r="W4450">
        <v>0.36374640000000003</v>
      </c>
      <c r="X4450">
        <v>0.93079860000000003</v>
      </c>
      <c r="Y4450">
        <v>0.15210370000000001</v>
      </c>
      <c r="Z4450">
        <v>0.12590170000000001</v>
      </c>
      <c r="AA4450">
        <v>0.98031279999999998</v>
      </c>
      <c r="AB4450">
        <v>28</v>
      </c>
      <c r="AC4450">
        <v>-0.15780000000000799</v>
      </c>
      <c r="AD4450">
        <v>-0.12568509999999899</v>
      </c>
      <c r="AE4450">
        <v>-0.73070000000001301</v>
      </c>
      <c r="AF4450">
        <v>0.132441706333634</v>
      </c>
      <c r="AG4450">
        <v>-0.12568509999999899</v>
      </c>
      <c r="AH4450">
        <v>0.714828574630618</v>
      </c>
      <c r="AI4450">
        <v>99.808523663421099</v>
      </c>
      <c r="AJ4450">
        <v>79.5034049262444</v>
      </c>
      <c r="AK4450">
        <v>0.73777872092316099</v>
      </c>
      <c r="AL4450">
        <v>68.6695453841633</v>
      </c>
      <c r="AM4450">
        <v>87.7795635647891</v>
      </c>
      <c r="AN4450">
        <v>0.99999998882277397</v>
      </c>
    </row>
    <row r="4451" spans="1:40" x14ac:dyDescent="0.25">
      <c r="A4451" t="str">
        <f>"20190304164939305"</f>
        <v>20190304164939305</v>
      </c>
      <c r="B4451" t="str">
        <f>"1551689379300312"</f>
        <v>1551689379300312</v>
      </c>
      <c r="C4451" t="s">
        <v>40</v>
      </c>
      <c r="D4451">
        <v>4.7169379999999999</v>
      </c>
      <c r="E4451">
        <v>0.57899769999999995</v>
      </c>
      <c r="F4451" t="s">
        <v>41</v>
      </c>
      <c r="G4451">
        <v>-189.77090000000001</v>
      </c>
      <c r="H4451">
        <v>1.0024189999999999</v>
      </c>
      <c r="I4451">
        <v>180.9684</v>
      </c>
      <c r="J4451">
        <v>-189.6371</v>
      </c>
      <c r="K4451">
        <v>1.1080730000000001</v>
      </c>
      <c r="L4451">
        <v>181.5658</v>
      </c>
      <c r="M4451">
        <v>-3.1546530000000003E-2</v>
      </c>
      <c r="N4451">
        <v>-1.336206E-2</v>
      </c>
      <c r="O4451">
        <v>-0.99941310000000005</v>
      </c>
      <c r="P4451">
        <v>-6.4076579999999994E-2</v>
      </c>
      <c r="Q4451">
        <v>0.35174109999999997</v>
      </c>
      <c r="R4451">
        <v>-0.9339018</v>
      </c>
      <c r="S4451">
        <v>-0.63325500000000001</v>
      </c>
      <c r="T4451">
        <v>-0.4780855</v>
      </c>
      <c r="U4451">
        <v>-3.3496549999999998</v>
      </c>
      <c r="V4451">
        <v>3.7140729999999997E-2</v>
      </c>
      <c r="W4451">
        <v>0.36395739999999999</v>
      </c>
      <c r="X4451">
        <v>0.93067480000000002</v>
      </c>
      <c r="Y4451">
        <v>0.1530329</v>
      </c>
      <c r="Z4451">
        <v>0.12594849999999999</v>
      </c>
      <c r="AA4451">
        <v>0.98016219999999998</v>
      </c>
      <c r="AB4451">
        <v>28</v>
      </c>
      <c r="AC4451">
        <v>-0.133800000000007</v>
      </c>
      <c r="AD4451">
        <v>-0.105653999999999</v>
      </c>
      <c r="AE4451">
        <v>-0.59739999999999305</v>
      </c>
      <c r="AF4451">
        <v>0.11156301023217099</v>
      </c>
      <c r="AG4451">
        <v>-0.105653999999999</v>
      </c>
      <c r="AH4451">
        <v>0.58393201068834699</v>
      </c>
      <c r="AI4451">
        <v>100.077441165164</v>
      </c>
      <c r="AJ4451">
        <v>79.183714643524397</v>
      </c>
      <c r="AK4451">
        <v>0.60380929611475798</v>
      </c>
      <c r="AL4451">
        <v>68.656566669729202</v>
      </c>
      <c r="AM4451">
        <v>87.714692101030494</v>
      </c>
      <c r="AN4451">
        <v>1.0000000030973599</v>
      </c>
    </row>
    <row r="4452" spans="1:40" x14ac:dyDescent="0.25">
      <c r="A4452" t="str">
        <f>"20190304164939316"</f>
        <v>20190304164939316</v>
      </c>
      <c r="B4452" t="str">
        <f>"1551689379310072"</f>
        <v>1551689379310072</v>
      </c>
      <c r="C4452" t="s">
        <v>40</v>
      </c>
      <c r="D4452">
        <v>4.7160169999999999</v>
      </c>
      <c r="E4452">
        <v>0.56563940000000001</v>
      </c>
      <c r="F4452" t="s">
        <v>42</v>
      </c>
      <c r="G4452">
        <v>-192.87029999999999</v>
      </c>
      <c r="H4452" s="1">
        <v>-4.46394E-6</v>
      </c>
      <c r="I4452">
        <v>167.58459999999999</v>
      </c>
      <c r="J4452">
        <v>-189.64410000000001</v>
      </c>
      <c r="K4452">
        <v>1.107998</v>
      </c>
      <c r="L4452">
        <v>181.4111</v>
      </c>
      <c r="M4452">
        <v>-3.3796880000000001E-2</v>
      </c>
      <c r="N4452">
        <v>-1.326274E-2</v>
      </c>
      <c r="O4452">
        <v>-0.99934080000000003</v>
      </c>
      <c r="P4452">
        <v>-6.7077390000000001E-2</v>
      </c>
      <c r="Q4452">
        <v>0.35197139999999999</v>
      </c>
      <c r="R4452">
        <v>-0.93360449999999995</v>
      </c>
      <c r="S4452">
        <v>-0.75340269999999898</v>
      </c>
      <c r="T4452">
        <v>-0.25820530000000003</v>
      </c>
      <c r="U4452">
        <v>-3.2579039999999999</v>
      </c>
      <c r="V4452">
        <v>3.8094990000000002E-2</v>
      </c>
      <c r="W4452">
        <v>0.36408170000000001</v>
      </c>
      <c r="X4452">
        <v>0.93058759999999996</v>
      </c>
      <c r="Y4452">
        <v>0.19167300000000001</v>
      </c>
      <c r="Z4452">
        <v>6.4017340000000006E-2</v>
      </c>
      <c r="AA4452">
        <v>0.97936880000000004</v>
      </c>
      <c r="AB4452">
        <v>28</v>
      </c>
      <c r="AC4452">
        <v>-3.2261999999999702</v>
      </c>
      <c r="AD4452">
        <v>-1.1080024639399999</v>
      </c>
      <c r="AE4452">
        <v>-13.826499999999999</v>
      </c>
      <c r="AF4452">
        <v>2.7403337566327099</v>
      </c>
      <c r="AG4452">
        <v>-1.1080024639399999</v>
      </c>
      <c r="AH4452">
        <v>13.843335950560199</v>
      </c>
      <c r="AI4452">
        <v>94.489376350584806</v>
      </c>
      <c r="AJ4452">
        <v>78.802869877053993</v>
      </c>
      <c r="AK4452">
        <v>14.1553893905434</v>
      </c>
      <c r="AL4452">
        <v>68.648920050654795</v>
      </c>
      <c r="AM4452">
        <v>87.6558207646912</v>
      </c>
      <c r="AN4452">
        <v>0.99999999690587504</v>
      </c>
    </row>
    <row r="4453" spans="1:40" x14ac:dyDescent="0.25">
      <c r="A4453" t="str">
        <f>"20190304164939328"</f>
        <v>20190304164939328</v>
      </c>
      <c r="B4453" t="str">
        <f>"1551689379320808"</f>
        <v>1551689379320808</v>
      </c>
      <c r="C4453" t="s">
        <v>40</v>
      </c>
      <c r="D4453">
        <v>4.6773629999999997</v>
      </c>
      <c r="E4453">
        <v>0.56576289999999996</v>
      </c>
      <c r="F4453" t="s">
        <v>41</v>
      </c>
      <c r="G4453">
        <v>-189.82329999999999</v>
      </c>
      <c r="H4453">
        <v>0.97791810000000001</v>
      </c>
      <c r="I4453">
        <v>180.48519999999999</v>
      </c>
      <c r="J4453">
        <v>-189.65190000000001</v>
      </c>
      <c r="K4453">
        <v>1.107928</v>
      </c>
      <c r="L4453">
        <v>181.25319999999999</v>
      </c>
      <c r="M4453">
        <v>-3.6146730000000002E-2</v>
      </c>
      <c r="N4453">
        <v>-1.315614E-2</v>
      </c>
      <c r="O4453">
        <v>-0.99925989999999998</v>
      </c>
      <c r="P4453">
        <v>-7.0676039999999996E-2</v>
      </c>
      <c r="Q4453">
        <v>0.3523965</v>
      </c>
      <c r="R4453">
        <v>-0.93317839999999996</v>
      </c>
      <c r="S4453">
        <v>-0.64630129999999997</v>
      </c>
      <c r="T4453">
        <v>-0.46965499999999999</v>
      </c>
      <c r="U4453">
        <v>-3.3439939999999999</v>
      </c>
      <c r="V4453">
        <v>3.9556040000000001E-2</v>
      </c>
      <c r="W4453">
        <v>0.36438989999999999</v>
      </c>
      <c r="X4453">
        <v>0.93040599999999996</v>
      </c>
      <c r="Y4453">
        <v>0.15253139999999901</v>
      </c>
      <c r="Z4453">
        <v>0.123895699999999</v>
      </c>
      <c r="AA4453">
        <v>0.98050190000000004</v>
      </c>
      <c r="AB4453">
        <v>28</v>
      </c>
      <c r="AC4453">
        <v>-0.17139999999997699</v>
      </c>
      <c r="AD4453">
        <v>-0.13000989999999901</v>
      </c>
      <c r="AE4453">
        <v>-0.76800000000000002</v>
      </c>
      <c r="AF4453">
        <v>0.13971113434146101</v>
      </c>
      <c r="AG4453">
        <v>-0.13000989999999901</v>
      </c>
      <c r="AH4453">
        <v>0.75313550060213497</v>
      </c>
      <c r="AI4453">
        <v>99.632961872788101</v>
      </c>
      <c r="AJ4453">
        <v>79.490753593457896</v>
      </c>
      <c r="AK4453">
        <v>0.77693941683004897</v>
      </c>
      <c r="AL4453">
        <v>68.629959113107205</v>
      </c>
      <c r="AM4453">
        <v>87.565546529657794</v>
      </c>
      <c r="AN4453">
        <v>1.0000000021792399</v>
      </c>
    </row>
    <row r="4454" spans="1:40" x14ac:dyDescent="0.25">
      <c r="A4454" t="str">
        <f>"20190304164939341"</f>
        <v>20190304164939341</v>
      </c>
      <c r="B4454" t="str">
        <f>"1551689379330568"</f>
        <v>1551689379330568</v>
      </c>
      <c r="C4454" t="s">
        <v>40</v>
      </c>
      <c r="D4454">
        <v>4.7614109999999998</v>
      </c>
      <c r="E4454">
        <v>0.5652334</v>
      </c>
      <c r="F4454" t="s">
        <v>41</v>
      </c>
      <c r="G4454">
        <v>-189.80549999999999</v>
      </c>
      <c r="H4454">
        <v>0.99879620000000002</v>
      </c>
      <c r="I4454">
        <v>180.47489999999999</v>
      </c>
      <c r="J4454">
        <v>-189.6592</v>
      </c>
      <c r="K4454">
        <v>1.107869</v>
      </c>
      <c r="L4454">
        <v>181.11109999999999</v>
      </c>
      <c r="M4454">
        <v>-3.8279309999999997E-2</v>
      </c>
      <c r="N4454">
        <v>-1.3059329999999999E-2</v>
      </c>
      <c r="O4454">
        <v>-0.99918169999999995</v>
      </c>
      <c r="P4454">
        <v>-7.3753029999999997E-2</v>
      </c>
      <c r="Q4454">
        <v>0.3528558</v>
      </c>
      <c r="R4454">
        <v>-0.9327666</v>
      </c>
      <c r="S4454">
        <v>-0.65869140000000004</v>
      </c>
      <c r="T4454">
        <v>-0.4684083</v>
      </c>
      <c r="U4454">
        <v>-3.3417970000000001</v>
      </c>
      <c r="V4454">
        <v>4.0691900000000003E-2</v>
      </c>
      <c r="W4454">
        <v>0.36474380000000001</v>
      </c>
      <c r="X4454">
        <v>0.93021830000000005</v>
      </c>
      <c r="Y4454">
        <v>0.15405060000000001</v>
      </c>
      <c r="Z4454">
        <v>0.1236449</v>
      </c>
      <c r="AA4454">
        <v>0.9802961</v>
      </c>
      <c r="AB4454">
        <v>28</v>
      </c>
      <c r="AC4454">
        <v>-0.14629999999999599</v>
      </c>
      <c r="AD4454">
        <v>-0.1090728</v>
      </c>
      <c r="AE4454">
        <v>-0.63620000000000199</v>
      </c>
      <c r="AF4454">
        <v>0.118528441113171</v>
      </c>
      <c r="AG4454">
        <v>-0.1090728</v>
      </c>
      <c r="AH4454">
        <v>0.62391659826778201</v>
      </c>
      <c r="AI4454">
        <v>99.745343873566398</v>
      </c>
      <c r="AJ4454">
        <v>79.243425565865294</v>
      </c>
      <c r="AK4454">
        <v>0.64437395093734096</v>
      </c>
      <c r="AL4454">
        <v>68.608182934263098</v>
      </c>
      <c r="AM4454">
        <v>87.495223773881904</v>
      </c>
      <c r="AN4454">
        <v>0.99999997800946905</v>
      </c>
    </row>
    <row r="4455" spans="1:40" x14ac:dyDescent="0.25">
      <c r="A4455" t="str">
        <f>"20190304164939353"</f>
        <v>20190304164939353</v>
      </c>
      <c r="B4455" t="str">
        <f>"1551689379340328"</f>
        <v>1551689379340328</v>
      </c>
      <c r="C4455" t="s">
        <v>40</v>
      </c>
      <c r="D4455">
        <v>4.7619439999999997</v>
      </c>
      <c r="E4455">
        <v>0.56472919999999904</v>
      </c>
      <c r="F4455" t="s">
        <v>41</v>
      </c>
      <c r="G4455">
        <v>-189.83320000000001</v>
      </c>
      <c r="H4455">
        <v>0.98466120000000001</v>
      </c>
      <c r="I4455">
        <v>180.23410000000001</v>
      </c>
      <c r="J4455">
        <v>-189.66679999999999</v>
      </c>
      <c r="K4455">
        <v>1.107812</v>
      </c>
      <c r="L4455">
        <v>180.96680000000001</v>
      </c>
      <c r="M4455">
        <v>-4.046516E-2</v>
      </c>
      <c r="N4455">
        <v>-1.296011E-2</v>
      </c>
      <c r="O4455">
        <v>-0.99909689999999995</v>
      </c>
      <c r="P4455">
        <v>-7.7127080000000001E-2</v>
      </c>
      <c r="Q4455">
        <v>0.35325610000000002</v>
      </c>
      <c r="R4455">
        <v>-0.93234240000000002</v>
      </c>
      <c r="S4455">
        <v>-0.66313169999999899</v>
      </c>
      <c r="T4455">
        <v>-0.46943309999999999</v>
      </c>
      <c r="U4455">
        <v>-3.3413849999999998</v>
      </c>
      <c r="V4455">
        <v>4.2072720000000001E-2</v>
      </c>
      <c r="W4455">
        <v>0.365035</v>
      </c>
      <c r="X4455">
        <v>0.93004260000000005</v>
      </c>
      <c r="Y4455">
        <v>0.1531585</v>
      </c>
      <c r="Z4455">
        <v>0.12403069999999999</v>
      </c>
      <c r="AA4455">
        <v>0.98038709999999996</v>
      </c>
      <c r="AB4455">
        <v>28</v>
      </c>
      <c r="AC4455">
        <v>-0.16640000000001001</v>
      </c>
      <c r="AD4455">
        <v>-0.1231508</v>
      </c>
      <c r="AE4455">
        <v>-0.73269999999999402</v>
      </c>
      <c r="AF4455">
        <v>0.133038346376495</v>
      </c>
      <c r="AG4455">
        <v>-0.1231508</v>
      </c>
      <c r="AH4455">
        <v>0.71950451612779698</v>
      </c>
      <c r="AI4455">
        <v>99.553775850264202</v>
      </c>
      <c r="AJ4455">
        <v>79.5241709042851</v>
      </c>
      <c r="AK4455">
        <v>0.74199196078901597</v>
      </c>
      <c r="AL4455">
        <v>68.590262229272298</v>
      </c>
      <c r="AM4455">
        <v>87.409853115758196</v>
      </c>
      <c r="AN4455">
        <v>0.99999995140397802</v>
      </c>
    </row>
    <row r="4456" spans="1:40" x14ac:dyDescent="0.25">
      <c r="A4456" t="str">
        <f>"20190304164939370"</f>
        <v>20190304164939370</v>
      </c>
      <c r="B4456" t="str">
        <f>"1551689379360832"</f>
        <v>1551689379360832</v>
      </c>
      <c r="C4456" t="s">
        <v>40</v>
      </c>
      <c r="D4456">
        <v>4.7529640000000004</v>
      </c>
      <c r="E4456">
        <v>0.56443030000000005</v>
      </c>
      <c r="F4456" t="s">
        <v>41</v>
      </c>
      <c r="G4456">
        <v>-189.81559999999999</v>
      </c>
      <c r="H4456">
        <v>1.003423</v>
      </c>
      <c r="I4456">
        <v>180.22470000000001</v>
      </c>
      <c r="J4456">
        <v>-189.67959999999999</v>
      </c>
      <c r="K4456">
        <v>1.107734</v>
      </c>
      <c r="L4456">
        <v>180.74100000000001</v>
      </c>
      <c r="M4456">
        <v>-4.3917459999999998E-2</v>
      </c>
      <c r="N4456">
        <v>-1.280628E-2</v>
      </c>
      <c r="O4456">
        <v>-0.99895319999999999</v>
      </c>
      <c r="P4456">
        <v>-8.1924159999999996E-2</v>
      </c>
      <c r="Q4456">
        <v>0.35319060000000002</v>
      </c>
      <c r="R4456">
        <v>-0.93195779999999995</v>
      </c>
      <c r="S4456">
        <v>-0.66975399999999996</v>
      </c>
      <c r="T4456">
        <v>-0.4698561</v>
      </c>
      <c r="U4456">
        <v>-3.3403170000000002</v>
      </c>
      <c r="V4456">
        <v>4.3693889999999999E-2</v>
      </c>
      <c r="W4456">
        <v>0.36480859999999998</v>
      </c>
      <c r="X4456">
        <v>0.93005680000000002</v>
      </c>
      <c r="Y4456">
        <v>0.15166979999999999</v>
      </c>
      <c r="Z4456">
        <v>0.12431109999999999</v>
      </c>
      <c r="AA4456">
        <v>0.98058299999999998</v>
      </c>
      <c r="AB4456">
        <v>28</v>
      </c>
      <c r="AC4456">
        <v>-0.13599999999999501</v>
      </c>
      <c r="AD4456">
        <v>-0.104311</v>
      </c>
      <c r="AE4456">
        <v>-0.516299999999972</v>
      </c>
      <c r="AF4456">
        <v>0.10903062780165</v>
      </c>
      <c r="AG4456">
        <v>-0.104311</v>
      </c>
      <c r="AH4456">
        <v>0.50259116704026296</v>
      </c>
      <c r="AI4456">
        <v>101.46567916676101</v>
      </c>
      <c r="AJ4456">
        <v>77.760082861082296</v>
      </c>
      <c r="AK4456">
        <v>0.52475360285253403</v>
      </c>
      <c r="AL4456">
        <v>68.604197269830905</v>
      </c>
      <c r="AM4456">
        <v>87.310232973069503</v>
      </c>
      <c r="AN4456">
        <v>1.0000000609417601</v>
      </c>
    </row>
    <row r="4457" spans="1:40" x14ac:dyDescent="0.25">
      <c r="A4457" t="str">
        <f>"20190304164939384"</f>
        <v>20190304164939384</v>
      </c>
      <c r="B4457" t="str">
        <f>"1551689379380344"</f>
        <v>1551689379380344</v>
      </c>
      <c r="C4457" t="s">
        <v>40</v>
      </c>
      <c r="D4457">
        <v>4.7281639999999996</v>
      </c>
      <c r="E4457">
        <v>0.564114</v>
      </c>
      <c r="F4457" t="s">
        <v>41</v>
      </c>
      <c r="G4457">
        <v>-189.83590000000001</v>
      </c>
      <c r="H4457">
        <v>1.0002219999999999</v>
      </c>
      <c r="I4457">
        <v>179.97839999999999</v>
      </c>
      <c r="J4457">
        <v>-189.68889999999999</v>
      </c>
      <c r="K4457">
        <v>1.107693</v>
      </c>
      <c r="L4457">
        <v>180.58600000000001</v>
      </c>
      <c r="M4457">
        <v>-4.6301189999999999E-2</v>
      </c>
      <c r="N4457">
        <v>-1.2702130000000001E-2</v>
      </c>
      <c r="O4457">
        <v>-0.99884689999999998</v>
      </c>
      <c r="P4457">
        <v>-8.4864839999999997E-2</v>
      </c>
      <c r="Q4457">
        <v>0.35336519999999999</v>
      </c>
      <c r="R4457">
        <v>-0.93162840000000002</v>
      </c>
      <c r="S4457">
        <v>-0.68295289999999997</v>
      </c>
      <c r="T4457">
        <v>-0.47032829999999898</v>
      </c>
      <c r="U4457">
        <v>-3.3372190000000002</v>
      </c>
      <c r="V4457">
        <v>4.4438800000000001E-2</v>
      </c>
      <c r="W4457">
        <v>0.36487740000000002</v>
      </c>
      <c r="X4457">
        <v>0.92999449999999995</v>
      </c>
      <c r="Y4457">
        <v>0.1532049</v>
      </c>
      <c r="Z4457">
        <v>0.12458519999999899</v>
      </c>
      <c r="AA4457">
        <v>0.98030949999999994</v>
      </c>
      <c r="AB4457">
        <v>28</v>
      </c>
      <c r="AC4457">
        <v>-0.147000000000019</v>
      </c>
      <c r="AD4457">
        <v>-0.107471</v>
      </c>
      <c r="AE4457">
        <v>-0.60759999999999004</v>
      </c>
      <c r="AF4457">
        <v>0.115299677396864</v>
      </c>
      <c r="AG4457">
        <v>-0.107471</v>
      </c>
      <c r="AH4457">
        <v>0.59613581059304199</v>
      </c>
      <c r="AI4457">
        <v>100.03734865334</v>
      </c>
      <c r="AJ4457">
        <v>79.053482944074304</v>
      </c>
      <c r="AK4457">
        <v>0.61662138798475397</v>
      </c>
      <c r="AL4457">
        <v>68.599963168465905</v>
      </c>
      <c r="AM4457">
        <v>87.2642629026073</v>
      </c>
      <c r="AN4457">
        <v>1.00000004700322</v>
      </c>
    </row>
    <row r="4458" spans="1:40" x14ac:dyDescent="0.25">
      <c r="A4458" t="str">
        <f>"20190304164939394"</f>
        <v>20190304164939394</v>
      </c>
      <c r="B4458" t="str">
        <f>"1551689379390104"</f>
        <v>1551689379390104</v>
      </c>
      <c r="C4458" t="s">
        <v>40</v>
      </c>
      <c r="D4458">
        <v>4.6385300000000003</v>
      </c>
      <c r="E4458">
        <v>0.56420769999999998</v>
      </c>
      <c r="F4458" t="s">
        <v>41</v>
      </c>
      <c r="G4458">
        <v>-189.86490000000001</v>
      </c>
      <c r="H4458">
        <v>0.98846389999999995</v>
      </c>
      <c r="I4458">
        <v>179.7364</v>
      </c>
      <c r="J4458">
        <v>-189.6978</v>
      </c>
      <c r="K4458">
        <v>1.1076619999999999</v>
      </c>
      <c r="L4458">
        <v>180.43989999999999</v>
      </c>
      <c r="M4458">
        <v>-4.8553190000000003E-2</v>
      </c>
      <c r="N4458">
        <v>-1.260467E-2</v>
      </c>
      <c r="O4458">
        <v>-0.99874099999999999</v>
      </c>
      <c r="P4458">
        <v>-8.7604520000000005E-2</v>
      </c>
      <c r="Q4458">
        <v>0.353829</v>
      </c>
      <c r="R4458">
        <v>-0.93119870000000005</v>
      </c>
      <c r="S4458">
        <v>-0.69065859999999901</v>
      </c>
      <c r="T4458">
        <v>-0.46792830000000002</v>
      </c>
      <c r="U4458">
        <v>-3.3347319999999998</v>
      </c>
      <c r="V4458">
        <v>4.510894E-2</v>
      </c>
      <c r="W4458">
        <v>0.36524060000000003</v>
      </c>
      <c r="X4458">
        <v>0.92981959999999997</v>
      </c>
      <c r="Y4458">
        <v>0.15330959999999999</v>
      </c>
      <c r="Z4458">
        <v>0.1240415</v>
      </c>
      <c r="AA4458">
        <v>0.98036210000000001</v>
      </c>
      <c r="AB4458">
        <v>28</v>
      </c>
      <c r="AC4458">
        <v>-0.167100000000004</v>
      </c>
      <c r="AD4458">
        <v>-0.1191981</v>
      </c>
      <c r="AE4458">
        <v>-0.70349999999999102</v>
      </c>
      <c r="AF4458">
        <v>0.12923111178618499</v>
      </c>
      <c r="AG4458">
        <v>-0.1191981</v>
      </c>
      <c r="AH4458">
        <v>0.69197929926060697</v>
      </c>
      <c r="AI4458">
        <v>99.610683618588794</v>
      </c>
      <c r="AJ4458">
        <v>79.421544521319404</v>
      </c>
      <c r="AK4458">
        <v>0.71396373710595695</v>
      </c>
      <c r="AL4458">
        <v>68.577609624433094</v>
      </c>
      <c r="AM4458">
        <v>87.222550380566005</v>
      </c>
      <c r="AN4458">
        <v>1.0000000004502201</v>
      </c>
    </row>
    <row r="4459" spans="1:40" x14ac:dyDescent="0.25">
      <c r="A4459" t="str">
        <f>"20190304164939406"</f>
        <v>20190304164939406</v>
      </c>
      <c r="B4459" t="str">
        <f>"1551689379400840"</f>
        <v>1551689379400840</v>
      </c>
      <c r="C4459" t="s">
        <v>40</v>
      </c>
      <c r="D4459">
        <v>4.6551929999999997</v>
      </c>
      <c r="E4459">
        <v>0.56425890000000001</v>
      </c>
      <c r="F4459" t="s">
        <v>41</v>
      </c>
      <c r="G4459">
        <v>-189.84800000000001</v>
      </c>
      <c r="H4459">
        <v>1.0085569999999999</v>
      </c>
      <c r="I4459">
        <v>179.7261</v>
      </c>
      <c r="J4459">
        <v>-189.7073</v>
      </c>
      <c r="K4459">
        <v>1.107645</v>
      </c>
      <c r="L4459">
        <v>180.2944</v>
      </c>
      <c r="M4459">
        <v>-5.0802220000000002E-2</v>
      </c>
      <c r="N4459">
        <v>-1.251217E-2</v>
      </c>
      <c r="O4459">
        <v>-0.99863049999999998</v>
      </c>
      <c r="P4459">
        <v>-9.0763839999999998E-2</v>
      </c>
      <c r="Q4459">
        <v>0.35443839999999999</v>
      </c>
      <c r="R4459">
        <v>-0.9306643</v>
      </c>
      <c r="S4459">
        <v>-0.70071410000000001</v>
      </c>
      <c r="T4459">
        <v>-0.46253090000000002</v>
      </c>
      <c r="U4459">
        <v>-3.3314819999999998</v>
      </c>
      <c r="V4459">
        <v>4.6200140000000001E-2</v>
      </c>
      <c r="W4459">
        <v>0.36575089999999999</v>
      </c>
      <c r="X4459">
        <v>0.92956539999999999</v>
      </c>
      <c r="Y4459">
        <v>0.1541477</v>
      </c>
      <c r="Z4459">
        <v>0.1226439</v>
      </c>
      <c r="AA4459">
        <v>0.98040649999999996</v>
      </c>
      <c r="AB4459">
        <v>28</v>
      </c>
      <c r="AC4459">
        <v>-0.14069999999998101</v>
      </c>
      <c r="AD4459">
        <v>-9.9087999999999996E-2</v>
      </c>
      <c r="AE4459">
        <v>-0.56829999999999303</v>
      </c>
      <c r="AF4459">
        <v>0.108536105946203</v>
      </c>
      <c r="AG4459">
        <v>-9.9087999999999996E-2</v>
      </c>
      <c r="AH4459">
        <v>0.55871018398510197</v>
      </c>
      <c r="AI4459">
        <v>99.876023589265401</v>
      </c>
      <c r="AJ4459">
        <v>79.006537083117493</v>
      </c>
      <c r="AK4459">
        <v>0.57771583648592495</v>
      </c>
      <c r="AL4459">
        <v>68.546198399898202</v>
      </c>
      <c r="AM4459">
        <v>87.154695423356003</v>
      </c>
      <c r="AN4459">
        <v>1.00000000333199</v>
      </c>
    </row>
    <row r="4460" spans="1:40" x14ac:dyDescent="0.25">
      <c r="A4460" t="str">
        <f>"20190304164939419"</f>
        <v>20190304164939419</v>
      </c>
      <c r="B4460" t="str">
        <f>"1551689379410600"</f>
        <v>1551689379410600</v>
      </c>
      <c r="C4460" t="s">
        <v>40</v>
      </c>
      <c r="D4460">
        <v>4.6286509999999996</v>
      </c>
      <c r="E4460">
        <v>0.56422669999999997</v>
      </c>
      <c r="F4460" t="s">
        <v>41</v>
      </c>
      <c r="G4460">
        <v>-189.88069999999999</v>
      </c>
      <c r="H4460">
        <v>0.99628249999999996</v>
      </c>
      <c r="I4460">
        <v>179.48439999999999</v>
      </c>
      <c r="J4460">
        <v>-189.71770000000001</v>
      </c>
      <c r="K4460">
        <v>1.1076330000000001</v>
      </c>
      <c r="L4460">
        <v>180.1369</v>
      </c>
      <c r="M4460">
        <v>-5.3236819999999997E-2</v>
      </c>
      <c r="N4460">
        <v>-1.241362E-2</v>
      </c>
      <c r="O4460">
        <v>-0.99850490000000003</v>
      </c>
      <c r="P4460">
        <v>-9.3850340000000004E-2</v>
      </c>
      <c r="Q4460">
        <v>0.35530329999999999</v>
      </c>
      <c r="R4460">
        <v>-0.93002790000000002</v>
      </c>
      <c r="S4460">
        <v>-0.71183779999999997</v>
      </c>
      <c r="T4460">
        <v>-0.45744590000000002</v>
      </c>
      <c r="U4460">
        <v>-3.3282929999999999</v>
      </c>
      <c r="V4460">
        <v>4.7051639999999999E-2</v>
      </c>
      <c r="W4460">
        <v>0.3665119</v>
      </c>
      <c r="X4460">
        <v>0.92922289999999996</v>
      </c>
      <c r="Y4460">
        <v>0.1550996</v>
      </c>
      <c r="Z4460">
        <v>0.1213287</v>
      </c>
      <c r="AA4460">
        <v>0.98042010000000002</v>
      </c>
      <c r="AB4460">
        <v>28</v>
      </c>
      <c r="AC4460">
        <v>-0.16299999999998199</v>
      </c>
      <c r="AD4460">
        <v>-0.11135050000000001</v>
      </c>
      <c r="AE4460">
        <v>-0.65250000000000297</v>
      </c>
      <c r="AF4460">
        <v>0.124613277396183</v>
      </c>
      <c r="AG4460">
        <v>-0.11135050000000001</v>
      </c>
      <c r="AH4460">
        <v>0.64263714917868497</v>
      </c>
      <c r="AI4460">
        <v>99.653763996559206</v>
      </c>
      <c r="AJ4460">
        <v>79.026010228998999</v>
      </c>
      <c r="AK4460">
        <v>0.66401047300338201</v>
      </c>
      <c r="AL4460">
        <v>68.499343041495493</v>
      </c>
      <c r="AM4460">
        <v>87.101276872176499</v>
      </c>
      <c r="AN4460">
        <v>1.0000000137763501</v>
      </c>
    </row>
    <row r="4461" spans="1:40" x14ac:dyDescent="0.25">
      <c r="A4461" t="str">
        <f>"20190304164939431"</f>
        <v>20190304164939431</v>
      </c>
      <c r="B4461" t="str">
        <f>"1551689379420361"</f>
        <v>1551689379420361</v>
      </c>
      <c r="C4461" t="s">
        <v>40</v>
      </c>
      <c r="D4461">
        <v>4.7454369999999999</v>
      </c>
      <c r="E4461">
        <v>0.56396849999999998</v>
      </c>
      <c r="F4461" t="s">
        <v>41</v>
      </c>
      <c r="G4461">
        <v>-189.91220000000001</v>
      </c>
      <c r="H4461">
        <v>0.98582729999999996</v>
      </c>
      <c r="I4461">
        <v>179.24170000000001</v>
      </c>
      <c r="J4461">
        <v>-189.7278</v>
      </c>
      <c r="K4461">
        <v>1.1076269999999999</v>
      </c>
      <c r="L4461">
        <v>179.9905</v>
      </c>
      <c r="M4461">
        <v>-5.5496749999999997E-2</v>
      </c>
      <c r="N4461">
        <v>-1.232507E-2</v>
      </c>
      <c r="O4461">
        <v>-0.99838289999999996</v>
      </c>
      <c r="P4461">
        <v>-9.6579689999999996E-2</v>
      </c>
      <c r="Q4461">
        <v>0.35631750000000001</v>
      </c>
      <c r="R4461">
        <v>-0.92935999999999996</v>
      </c>
      <c r="S4461">
        <v>-0.72244259999999905</v>
      </c>
      <c r="T4461">
        <v>-0.4525208</v>
      </c>
      <c r="U4461">
        <v>-3.3256839999999999</v>
      </c>
      <c r="V4461">
        <v>4.7709080000000001E-2</v>
      </c>
      <c r="W4461">
        <v>0.36743320000000002</v>
      </c>
      <c r="X4461">
        <v>0.92882540000000002</v>
      </c>
      <c r="Y4461">
        <v>0.15604399999999999</v>
      </c>
      <c r="Z4461">
        <v>0.1200277</v>
      </c>
      <c r="AA4461">
        <v>0.98043029999999998</v>
      </c>
      <c r="AB4461">
        <v>28</v>
      </c>
      <c r="AC4461">
        <v>-0.18440000000001</v>
      </c>
      <c r="AD4461">
        <v>-0.1217997</v>
      </c>
      <c r="AE4461">
        <v>-0.74879999999998803</v>
      </c>
      <c r="AF4461">
        <v>0.13908706671027701</v>
      </c>
      <c r="AG4461">
        <v>-0.1217997</v>
      </c>
      <c r="AH4461">
        <v>0.73943468584736005</v>
      </c>
      <c r="AI4461">
        <v>99.195336729733995</v>
      </c>
      <c r="AJ4461">
        <v>79.347183135852404</v>
      </c>
      <c r="AK4461">
        <v>0.76219684706796198</v>
      </c>
      <c r="AL4461">
        <v>68.442596363227494</v>
      </c>
      <c r="AM4461">
        <v>87.059588684256696</v>
      </c>
      <c r="AN4461">
        <v>0.99999996823092197</v>
      </c>
    </row>
    <row r="4462" spans="1:40" x14ac:dyDescent="0.25">
      <c r="A4462" t="str">
        <f>"20190304164939445"</f>
        <v>20190304164939445</v>
      </c>
      <c r="B4462" t="str">
        <f>"1551689379440856"</f>
        <v>1551689379440856</v>
      </c>
      <c r="C4462" t="s">
        <v>40</v>
      </c>
      <c r="D4462">
        <v>4.6365420000000004</v>
      </c>
      <c r="E4462">
        <v>0.56382519999999903</v>
      </c>
      <c r="F4462" t="s">
        <v>41</v>
      </c>
      <c r="G4462">
        <v>-189.89439999999999</v>
      </c>
      <c r="H4462">
        <v>1.00499</v>
      </c>
      <c r="I4462">
        <v>179.23179999999999</v>
      </c>
      <c r="J4462">
        <v>-189.74019999999999</v>
      </c>
      <c r="K4462">
        <v>1.107629</v>
      </c>
      <c r="L4462">
        <v>179.8175</v>
      </c>
      <c r="M4462">
        <v>-5.815857E-2</v>
      </c>
      <c r="N4462">
        <v>-1.2224860000000001E-2</v>
      </c>
      <c r="O4462">
        <v>-0.99823249999999997</v>
      </c>
      <c r="P4462">
        <v>-9.9489839999999996E-2</v>
      </c>
      <c r="Q4462">
        <v>0.35714200000000002</v>
      </c>
      <c r="R4462">
        <v>-0.92873680000000003</v>
      </c>
      <c r="S4462">
        <v>-0.72987369999999996</v>
      </c>
      <c r="T4462">
        <v>-0.4497678</v>
      </c>
      <c r="U4462">
        <v>-3.3246150000000001</v>
      </c>
      <c r="V4462">
        <v>4.8165149999999997E-2</v>
      </c>
      <c r="W4462">
        <v>0.36815740000000002</v>
      </c>
      <c r="X4462">
        <v>0.92851510000000004</v>
      </c>
      <c r="Y4462">
        <v>0.15558849999999999</v>
      </c>
      <c r="Z4462">
        <v>0.11932470000000001</v>
      </c>
      <c r="AA4462">
        <v>0.98058849999999997</v>
      </c>
      <c r="AB4462">
        <v>28</v>
      </c>
      <c r="AC4462">
        <v>-0.154200000000003</v>
      </c>
      <c r="AD4462">
        <v>-0.10263899999999999</v>
      </c>
      <c r="AE4462">
        <v>-0.585700000000002</v>
      </c>
      <c r="AF4462">
        <v>0.11652641336254201</v>
      </c>
      <c r="AG4462">
        <v>-0.10263899999999999</v>
      </c>
      <c r="AH4462">
        <v>0.57710336213282998</v>
      </c>
      <c r="AI4462">
        <v>99.889200908834496</v>
      </c>
      <c r="AJ4462">
        <v>78.584549029887</v>
      </c>
      <c r="AK4462">
        <v>0.59762986866216306</v>
      </c>
      <c r="AL4462">
        <v>68.397976326563295</v>
      </c>
      <c r="AM4462">
        <v>87.030539906666903</v>
      </c>
      <c r="AN4462">
        <v>1.00000002188864</v>
      </c>
    </row>
    <row r="4463" spans="1:40" x14ac:dyDescent="0.25">
      <c r="A4463" t="str">
        <f>"20190304164939461"</f>
        <v>20190304164939461</v>
      </c>
      <c r="B4463" t="str">
        <f>"1551689379450616"</f>
        <v>1551689379450616</v>
      </c>
      <c r="C4463" t="s">
        <v>40</v>
      </c>
      <c r="D4463">
        <v>4.6579319999999997</v>
      </c>
      <c r="E4463">
        <v>0.56372239999999996</v>
      </c>
      <c r="F4463" t="s">
        <v>41</v>
      </c>
      <c r="G4463">
        <v>-189.9247</v>
      </c>
      <c r="H4463">
        <v>0.99598629999999999</v>
      </c>
      <c r="I4463">
        <v>178.98830000000001</v>
      </c>
      <c r="J4463">
        <v>-189.75530000000001</v>
      </c>
      <c r="K4463">
        <v>1.10764</v>
      </c>
      <c r="L4463">
        <v>179.61250000000001</v>
      </c>
      <c r="M4463">
        <v>-6.1296919999999998E-2</v>
      </c>
      <c r="N4463">
        <v>-1.2110559999999999E-2</v>
      </c>
      <c r="O4463">
        <v>-0.99804619999999999</v>
      </c>
      <c r="P4463">
        <v>-0.103161</v>
      </c>
      <c r="Q4463">
        <v>0.35935859999999997</v>
      </c>
      <c r="R4463">
        <v>-0.92748030000000004</v>
      </c>
      <c r="S4463">
        <v>-0.73866269999999901</v>
      </c>
      <c r="T4463">
        <v>-0.44735150000000001</v>
      </c>
      <c r="U4463">
        <v>-3.3230740000000001</v>
      </c>
      <c r="V4463">
        <v>4.8981429999999999E-2</v>
      </c>
      <c r="W4463">
        <v>0.37025170000000002</v>
      </c>
      <c r="X4463">
        <v>0.9276392</v>
      </c>
      <c r="Y4463">
        <v>0.15506909999999999</v>
      </c>
      <c r="Z4463">
        <v>0.1187385</v>
      </c>
      <c r="AA4463">
        <v>0.98074190000000006</v>
      </c>
      <c r="AB4463">
        <v>28</v>
      </c>
      <c r="AC4463">
        <v>-0.169399999999996</v>
      </c>
      <c r="AD4463">
        <v>-0.111653699999999</v>
      </c>
      <c r="AE4463">
        <v>-0.62420000000000098</v>
      </c>
      <c r="AF4463">
        <v>0.12703136687293801</v>
      </c>
      <c r="AG4463">
        <v>-0.111653699999999</v>
      </c>
      <c r="AH4463">
        <v>0.61508031909503602</v>
      </c>
      <c r="AI4463">
        <v>100.08045563491</v>
      </c>
      <c r="AJ4463">
        <v>78.330876705624505</v>
      </c>
      <c r="AK4463">
        <v>0.63790854817234499</v>
      </c>
      <c r="AL4463">
        <v>68.268858746141305</v>
      </c>
      <c r="AM4463">
        <v>86.977461293296301</v>
      </c>
      <c r="AN4463">
        <v>0.99999999360718705</v>
      </c>
    </row>
    <row r="4464" spans="1:40" x14ac:dyDescent="0.25">
      <c r="A4464" t="str">
        <f>"20190304164939483"</f>
        <v>20190304164939483</v>
      </c>
      <c r="B4464" t="str">
        <f>"1551689379479896"</f>
        <v>1551689379479896</v>
      </c>
      <c r="C4464" t="s">
        <v>40</v>
      </c>
      <c r="D4464">
        <v>4.6452109999999998</v>
      </c>
      <c r="E4464">
        <v>0.56349450000000001</v>
      </c>
      <c r="F4464" t="s">
        <v>41</v>
      </c>
      <c r="G4464">
        <v>-189.95230000000001</v>
      </c>
      <c r="H4464">
        <v>0.99240910000000004</v>
      </c>
      <c r="I4464">
        <v>178.74189999999999</v>
      </c>
      <c r="J4464">
        <v>-189.77600000000001</v>
      </c>
      <c r="K4464">
        <v>1.1076490000000001</v>
      </c>
      <c r="L4464">
        <v>179.3466</v>
      </c>
      <c r="M4464">
        <v>-6.5329120000000004E-2</v>
      </c>
      <c r="N4464">
        <v>-1.1970130000000001E-2</v>
      </c>
      <c r="O4464">
        <v>-0.99779209999999996</v>
      </c>
      <c r="P4464">
        <v>-0.1065441</v>
      </c>
      <c r="Q4464">
        <v>0.36100080000000001</v>
      </c>
      <c r="R4464">
        <v>-0.92645960000000005</v>
      </c>
      <c r="S4464">
        <v>-0.75122069999999996</v>
      </c>
      <c r="T4464">
        <v>-0.43954910000000003</v>
      </c>
      <c r="U4464">
        <v>-3.3213200000000001</v>
      </c>
      <c r="V4464">
        <v>4.8651449999999999E-2</v>
      </c>
      <c r="W4464">
        <v>0.3717608</v>
      </c>
      <c r="X4464">
        <v>0.92705289999999996</v>
      </c>
      <c r="Y4464">
        <v>0.15477850000000001</v>
      </c>
      <c r="Z4464">
        <v>0.116607</v>
      </c>
      <c r="AA4464">
        <v>0.98104349999999996</v>
      </c>
      <c r="AB4464">
        <v>28</v>
      </c>
      <c r="AC4464">
        <v>-0.17630000000002599</v>
      </c>
      <c r="AD4464">
        <v>-0.11523989999999899</v>
      </c>
      <c r="AE4464">
        <v>-0.60470000000000801</v>
      </c>
      <c r="AF4464">
        <v>0.13199761832906101</v>
      </c>
      <c r="AG4464">
        <v>-0.11523989999999899</v>
      </c>
      <c r="AH4464">
        <v>0.59500958433133799</v>
      </c>
      <c r="AI4464">
        <v>100.70711630113399</v>
      </c>
      <c r="AJ4464">
        <v>77.491999601559996</v>
      </c>
      <c r="AK4464">
        <v>0.62027414200715003</v>
      </c>
      <c r="AL4464">
        <v>68.175750121103405</v>
      </c>
      <c r="AM4464">
        <v>86.995891046640196</v>
      </c>
      <c r="AN4464">
        <v>1.0000000677010701</v>
      </c>
    </row>
    <row r="4465" spans="1:40" x14ac:dyDescent="0.25">
      <c r="A4465" t="str">
        <f>"20190304164939494"</f>
        <v>20190304164939494</v>
      </c>
      <c r="B4465" t="str">
        <f>"1551689379490632"</f>
        <v>1551689379490632</v>
      </c>
      <c r="C4465" t="s">
        <v>40</v>
      </c>
      <c r="D4465">
        <v>4.6757929999999996</v>
      </c>
      <c r="E4465">
        <v>0.56332720000000003</v>
      </c>
      <c r="F4465" t="s">
        <v>41</v>
      </c>
      <c r="G4465">
        <v>-189.97219999999999</v>
      </c>
      <c r="H4465">
        <v>0.99572090000000002</v>
      </c>
      <c r="I4465">
        <v>178.49170000000001</v>
      </c>
      <c r="J4465">
        <v>-189.78809999999999</v>
      </c>
      <c r="K4465">
        <v>1.1076569999999999</v>
      </c>
      <c r="L4465">
        <v>179.1952</v>
      </c>
      <c r="M4465">
        <v>-6.7607769999999998E-2</v>
      </c>
      <c r="N4465">
        <v>-1.1893620000000001E-2</v>
      </c>
      <c r="O4465">
        <v>-0.99764120000000001</v>
      </c>
      <c r="P4465">
        <v>-0.1082187</v>
      </c>
      <c r="Q4465">
        <v>0.36137839999999999</v>
      </c>
      <c r="R4465">
        <v>-0.926118</v>
      </c>
      <c r="S4465">
        <v>-0.76142880000000002</v>
      </c>
      <c r="T4465">
        <v>-0.43459389999999998</v>
      </c>
      <c r="U4465">
        <v>-3.3199010000000002</v>
      </c>
      <c r="V4465">
        <v>4.820812E-2</v>
      </c>
      <c r="W4465">
        <v>0.37207099999999999</v>
      </c>
      <c r="X4465">
        <v>0.92695150000000004</v>
      </c>
      <c r="Y4465">
        <v>0.15551799999999999</v>
      </c>
      <c r="Z4465">
        <v>0.1152345</v>
      </c>
      <c r="AA4465">
        <v>0.98108879999999998</v>
      </c>
      <c r="AB4465">
        <v>28</v>
      </c>
      <c r="AC4465">
        <v>-0.18410000000000001</v>
      </c>
      <c r="AD4465">
        <v>-0.111936099999999</v>
      </c>
      <c r="AE4465">
        <v>-0.70349999999999102</v>
      </c>
      <c r="AF4465">
        <v>0.13296282315417099</v>
      </c>
      <c r="AG4465">
        <v>-0.111936099999999</v>
      </c>
      <c r="AH4465">
        <v>0.69780361688169401</v>
      </c>
      <c r="AI4465">
        <v>98.954860493284201</v>
      </c>
      <c r="AJ4465">
        <v>79.211910949421593</v>
      </c>
      <c r="AK4465">
        <v>0.719123557226094</v>
      </c>
      <c r="AL4465">
        <v>68.156601218598595</v>
      </c>
      <c r="AM4465">
        <v>87.022891090648699</v>
      </c>
      <c r="AN4465">
        <v>0.999999967613591</v>
      </c>
    </row>
    <row r="4466" spans="1:40" x14ac:dyDescent="0.25">
      <c r="A4466" t="str">
        <f>"20190304164939507"</f>
        <v>20190304164939507</v>
      </c>
      <c r="B4466" t="str">
        <f>"1551689379500393"</f>
        <v>1551689379500393</v>
      </c>
      <c r="C4466" t="s">
        <v>40</v>
      </c>
      <c r="D4466">
        <v>4.6627450000000001</v>
      </c>
      <c r="E4466">
        <v>0.56315569999999904</v>
      </c>
      <c r="F4466" t="s">
        <v>41</v>
      </c>
      <c r="G4466">
        <v>-189.9529</v>
      </c>
      <c r="H4466">
        <v>1.0142119999999999</v>
      </c>
      <c r="I4466">
        <v>178.48179999999999</v>
      </c>
      <c r="J4466">
        <v>-189.80070000000001</v>
      </c>
      <c r="K4466">
        <v>1.1076649999999999</v>
      </c>
      <c r="L4466">
        <v>179.0445</v>
      </c>
      <c r="M4466">
        <v>-6.9849889999999998E-2</v>
      </c>
      <c r="N4466">
        <v>-1.182106E-2</v>
      </c>
      <c r="O4466">
        <v>-0.99748769999999998</v>
      </c>
      <c r="P4466">
        <v>-0.10965900000000001</v>
      </c>
      <c r="Q4466">
        <v>0.3615892</v>
      </c>
      <c r="R4466">
        <v>-0.92586639999999998</v>
      </c>
      <c r="S4466">
        <v>-0.76623540000000001</v>
      </c>
      <c r="T4466">
        <v>-0.43467450000000002</v>
      </c>
      <c r="U4466">
        <v>-3.3194270000000001</v>
      </c>
      <c r="V4466">
        <v>4.7555420000000001E-2</v>
      </c>
      <c r="W4466">
        <v>0.37222060000000001</v>
      </c>
      <c r="X4466">
        <v>0.9269252</v>
      </c>
      <c r="Y4466">
        <v>0.15467739999999999</v>
      </c>
      <c r="Z4466">
        <v>0.1153092</v>
      </c>
      <c r="AA4466">
        <v>0.98121290000000005</v>
      </c>
      <c r="AB4466">
        <v>28</v>
      </c>
      <c r="AC4466">
        <v>-0.15219999999999301</v>
      </c>
      <c r="AD4466">
        <v>-9.34529999999998E-2</v>
      </c>
      <c r="AE4466">
        <v>-0.56270000000000597</v>
      </c>
      <c r="AF4466">
        <v>0.109701378846901</v>
      </c>
      <c r="AG4466">
        <v>-9.34529999999998E-2</v>
      </c>
      <c r="AH4466">
        <v>0.55762519427815105</v>
      </c>
      <c r="AI4466">
        <v>99.338100485462803</v>
      </c>
      <c r="AJ4466">
        <v>78.870353761652495</v>
      </c>
      <c r="AK4466">
        <v>0.57594592890622798</v>
      </c>
      <c r="AL4466">
        <v>68.147367445191506</v>
      </c>
      <c r="AM4466">
        <v>87.063044570325403</v>
      </c>
      <c r="AN4466">
        <v>1.0000000097153801</v>
      </c>
    </row>
    <row r="4467" spans="1:40" x14ac:dyDescent="0.25">
      <c r="A4467" t="str">
        <f>"20190304164939518"</f>
        <v>20190304164939518</v>
      </c>
      <c r="B4467" t="str">
        <f>"1551689379510152"</f>
        <v>1551689379510152</v>
      </c>
      <c r="C4467" t="s">
        <v>40</v>
      </c>
      <c r="D4467">
        <v>4.6616759999999999</v>
      </c>
      <c r="E4467">
        <v>0.56301919999999905</v>
      </c>
      <c r="F4467" t="s">
        <v>41</v>
      </c>
      <c r="G4467">
        <v>-189.98750000000001</v>
      </c>
      <c r="H4467">
        <v>1.0020830000000001</v>
      </c>
      <c r="I4467">
        <v>178.2396</v>
      </c>
      <c r="J4467">
        <v>-189.81360000000001</v>
      </c>
      <c r="K4467">
        <v>1.1076779999999999</v>
      </c>
      <c r="L4467">
        <v>178.89269999999999</v>
      </c>
      <c r="M4467">
        <v>-7.2093640000000001E-2</v>
      </c>
      <c r="N4467">
        <v>-1.1749580000000001E-2</v>
      </c>
      <c r="O4467">
        <v>-0.99732860000000001</v>
      </c>
      <c r="P4467">
        <v>-0.1111273</v>
      </c>
      <c r="Q4467">
        <v>0.36205150000000003</v>
      </c>
      <c r="R4467">
        <v>-0.92551030000000001</v>
      </c>
      <c r="S4467">
        <v>-0.76974489999999995</v>
      </c>
      <c r="T4467">
        <v>-0.43535439999999997</v>
      </c>
      <c r="U4467">
        <v>-3.319061</v>
      </c>
      <c r="V4467">
        <v>4.6936640000000002E-2</v>
      </c>
      <c r="W4467">
        <v>0.3726216</v>
      </c>
      <c r="X4467">
        <v>0.92679560000000005</v>
      </c>
      <c r="Y4467">
        <v>0.1534587</v>
      </c>
      <c r="Z4467">
        <v>0.1155591</v>
      </c>
      <c r="AA4467">
        <v>0.98137479999999999</v>
      </c>
      <c r="AB4467">
        <v>28</v>
      </c>
      <c r="AC4467">
        <v>-0.173900000000003</v>
      </c>
      <c r="AD4467">
        <v>-0.10559499999999999</v>
      </c>
      <c r="AE4467">
        <v>-0.65309999999999402</v>
      </c>
      <c r="AF4467">
        <v>0.123348796304017</v>
      </c>
      <c r="AG4467">
        <v>-0.10559499999999999</v>
      </c>
      <c r="AH4467">
        <v>0.64811731571087094</v>
      </c>
      <c r="AI4467">
        <v>99.093231161149404</v>
      </c>
      <c r="AJ4467">
        <v>79.224414153591695</v>
      </c>
      <c r="AK4467">
        <v>0.66814765171997403</v>
      </c>
      <c r="AL4467">
        <v>68.122610602471795</v>
      </c>
      <c r="AM4467">
        <v>87.100789271224102</v>
      </c>
      <c r="AN4467">
        <v>0.99999999457020405</v>
      </c>
    </row>
    <row r="4468" spans="1:40" x14ac:dyDescent="0.25">
      <c r="A4468" t="str">
        <f>"20190304164939531"</f>
        <v>20190304164939531</v>
      </c>
      <c r="B4468" t="str">
        <f>"1551689379520888"</f>
        <v>1551689379520888</v>
      </c>
      <c r="C4468" t="s">
        <v>40</v>
      </c>
      <c r="D4468">
        <v>4.7795209999999999</v>
      </c>
      <c r="E4468">
        <v>0.56304109999999996</v>
      </c>
      <c r="F4468" t="s">
        <v>41</v>
      </c>
      <c r="G4468">
        <v>-190.02250000000001</v>
      </c>
      <c r="H4468">
        <v>0.99040760000000005</v>
      </c>
      <c r="I4468">
        <v>177.99709999999999</v>
      </c>
      <c r="J4468">
        <v>-189.82740000000001</v>
      </c>
      <c r="K4468">
        <v>1.1076950000000001</v>
      </c>
      <c r="L4468">
        <v>178.73410000000001</v>
      </c>
      <c r="M4468">
        <v>-7.4409429999999999E-2</v>
      </c>
      <c r="N4468">
        <v>-1.167809E-2</v>
      </c>
      <c r="O4468">
        <v>-0.99715940000000003</v>
      </c>
      <c r="P4468">
        <v>-0.11259959999999999</v>
      </c>
      <c r="Q4468">
        <v>0.36242249999999998</v>
      </c>
      <c r="R4468">
        <v>-0.92518730000000005</v>
      </c>
      <c r="S4468">
        <v>-0.77368159999999997</v>
      </c>
      <c r="T4468">
        <v>-0.43450470000000002</v>
      </c>
      <c r="U4468">
        <v>-3.3185419999999999</v>
      </c>
      <c r="V4468">
        <v>4.6247219999999999E-2</v>
      </c>
      <c r="W4468">
        <v>0.37293310000000002</v>
      </c>
      <c r="X4468">
        <v>0.926705</v>
      </c>
      <c r="Y4468">
        <v>0.15230959999999999</v>
      </c>
      <c r="Z4468">
        <v>0.1153703</v>
      </c>
      <c r="AA4468">
        <v>0.981576</v>
      </c>
      <c r="AB4468">
        <v>28</v>
      </c>
      <c r="AC4468">
        <v>-0.195099999999996</v>
      </c>
      <c r="AD4468">
        <v>-0.1172874</v>
      </c>
      <c r="AE4468">
        <v>-0.73700000000002297</v>
      </c>
      <c r="AF4468">
        <v>0.13648530919236199</v>
      </c>
      <c r="AG4468">
        <v>-0.1172874</v>
      </c>
      <c r="AH4468">
        <v>0.73214677518526805</v>
      </c>
      <c r="AI4468">
        <v>98.949637817383802</v>
      </c>
      <c r="AJ4468">
        <v>79.440247160910801</v>
      </c>
      <c r="AK4468">
        <v>0.753938640897442</v>
      </c>
      <c r="AL4468">
        <v>68.103377405123595</v>
      </c>
      <c r="AM4468">
        <v>87.143023894663699</v>
      </c>
      <c r="AN4468">
        <v>1.00000002972916</v>
      </c>
    </row>
    <row r="4469" spans="1:40" x14ac:dyDescent="0.25">
      <c r="A4469" t="str">
        <f>"20190304164939543"</f>
        <v>20190304164939543</v>
      </c>
      <c r="B4469" t="str">
        <f>"1551689379540408"</f>
        <v>1551689379540408</v>
      </c>
      <c r="C4469" t="s">
        <v>40</v>
      </c>
      <c r="D4469">
        <v>4.7106890000000003</v>
      </c>
      <c r="E4469">
        <v>0.56978790000000001</v>
      </c>
      <c r="F4469" t="s">
        <v>41</v>
      </c>
      <c r="G4469">
        <v>-190.00309999999999</v>
      </c>
      <c r="H4469">
        <v>1.009717</v>
      </c>
      <c r="I4469">
        <v>177.98670000000001</v>
      </c>
      <c r="J4469">
        <v>-189.8399</v>
      </c>
      <c r="K4469">
        <v>1.1077170000000001</v>
      </c>
      <c r="L4469">
        <v>178.59460000000001</v>
      </c>
      <c r="M4469">
        <v>-7.6420459999999996E-2</v>
      </c>
      <c r="N4469">
        <v>-1.161704E-2</v>
      </c>
      <c r="O4469">
        <v>-0.99700809999999995</v>
      </c>
      <c r="P4469">
        <v>-0.11413</v>
      </c>
      <c r="Q4469">
        <v>0.36266710000000002</v>
      </c>
      <c r="R4469">
        <v>-0.92490399999999995</v>
      </c>
      <c r="S4469">
        <v>-0.77935790000000005</v>
      </c>
      <c r="T4469">
        <v>-0.4349151</v>
      </c>
      <c r="U4469">
        <v>-3.3181150000000001</v>
      </c>
      <c r="V4469">
        <v>4.5896319999999997E-2</v>
      </c>
      <c r="W4469">
        <v>0.37312509999999999</v>
      </c>
      <c r="X4469">
        <v>0.92664519999999995</v>
      </c>
      <c r="Y4469">
        <v>0.1519335</v>
      </c>
      <c r="Z4469">
        <v>0.1155182</v>
      </c>
      <c r="AA4469">
        <v>0.98161690000000001</v>
      </c>
      <c r="AB4469">
        <v>28</v>
      </c>
      <c r="AC4469">
        <v>-0.16319999999998899</v>
      </c>
      <c r="AD4469">
        <v>-9.8000000000000004E-2</v>
      </c>
      <c r="AE4469">
        <v>-0.6079</v>
      </c>
      <c r="AF4469">
        <v>0.113511837298138</v>
      </c>
      <c r="AG4469">
        <v>-9.8000000000000004E-2</v>
      </c>
      <c r="AH4469">
        <v>0.60395385100864196</v>
      </c>
      <c r="AI4469">
        <v>99.060770372627701</v>
      </c>
      <c r="AJ4469">
        <v>79.355557419354696</v>
      </c>
      <c r="AK4469">
        <v>0.62229349293960001</v>
      </c>
      <c r="AL4469">
        <v>68.091521719798706</v>
      </c>
      <c r="AM4469">
        <v>87.164482968881501</v>
      </c>
      <c r="AN4469">
        <v>1.0000000695612901</v>
      </c>
    </row>
    <row r="4470" spans="1:40" x14ac:dyDescent="0.25">
      <c r="A4470" t="str">
        <f>"20190304164939560"</f>
        <v>20190304164939560</v>
      </c>
      <c r="B4470" t="str">
        <f>"1551689379550168"</f>
        <v>1551689379550168</v>
      </c>
      <c r="C4470" t="s">
        <v>40</v>
      </c>
      <c r="D4470">
        <v>4.7055449999999999</v>
      </c>
      <c r="E4470">
        <v>0.57013970000000003</v>
      </c>
      <c r="F4470" t="s">
        <v>41</v>
      </c>
      <c r="G4470">
        <v>-190.05070000000001</v>
      </c>
      <c r="H4470">
        <v>0.98239790000000005</v>
      </c>
      <c r="I4470">
        <v>177.75229999999999</v>
      </c>
      <c r="J4470">
        <v>-189.8597</v>
      </c>
      <c r="K4470">
        <v>1.107745</v>
      </c>
      <c r="L4470">
        <v>178.37870000000001</v>
      </c>
      <c r="M4470">
        <v>-7.9492209999999994E-2</v>
      </c>
      <c r="N4470">
        <v>-1.1525499999999999E-2</v>
      </c>
      <c r="O4470">
        <v>-0.99676900000000002</v>
      </c>
      <c r="P4470">
        <v>-0.1166779</v>
      </c>
      <c r="Q4470">
        <v>0.36361270000000001</v>
      </c>
      <c r="R4470">
        <v>-0.92421450000000005</v>
      </c>
      <c r="S4470">
        <v>-0.834503199999999</v>
      </c>
      <c r="T4470">
        <v>-0.49623440000000002</v>
      </c>
      <c r="U4470">
        <v>-3.3351899999999999</v>
      </c>
      <c r="V4470">
        <v>4.5589629999999999E-2</v>
      </c>
      <c r="W4470">
        <v>0.3739885</v>
      </c>
      <c r="X4470">
        <v>0.92631209999999997</v>
      </c>
      <c r="Y4470">
        <v>0.16256880000000001</v>
      </c>
      <c r="Z4470">
        <v>0.13203799999999999</v>
      </c>
      <c r="AA4470">
        <v>0.97782279999999999</v>
      </c>
      <c r="AB4470">
        <v>28</v>
      </c>
      <c r="AC4470">
        <v>-0.191000000000002</v>
      </c>
      <c r="AD4470">
        <v>-0.12534709999999999</v>
      </c>
      <c r="AE4470">
        <v>-0.62640000000001705</v>
      </c>
      <c r="AF4470">
        <v>0.13562928195830501</v>
      </c>
      <c r="AG4470">
        <v>-0.12534709999999999</v>
      </c>
      <c r="AH4470">
        <v>0.61699684094414697</v>
      </c>
      <c r="AI4470">
        <v>101.222826418167</v>
      </c>
      <c r="AJ4470">
        <v>77.602327162862693</v>
      </c>
      <c r="AK4470">
        <v>0.64404370918284104</v>
      </c>
      <c r="AL4470">
        <v>68.038189310689404</v>
      </c>
      <c r="AM4470">
        <v>87.182388734856801</v>
      </c>
      <c r="AN4470">
        <v>0.999999959551097</v>
      </c>
    </row>
    <row r="4471" spans="1:40" x14ac:dyDescent="0.25">
      <c r="A4471" t="str">
        <f>"20190304164939572"</f>
        <v>20190304164939572</v>
      </c>
      <c r="B4471" t="str">
        <f>"1551689379560905"</f>
        <v>1551689379560905</v>
      </c>
      <c r="C4471" t="s">
        <v>40</v>
      </c>
      <c r="D4471">
        <v>4.6967460000000001</v>
      </c>
      <c r="E4471">
        <v>0.57025760000000003</v>
      </c>
      <c r="F4471" t="s">
        <v>41</v>
      </c>
      <c r="G4471">
        <v>-190.08099999999999</v>
      </c>
      <c r="H4471">
        <v>0.97910560000000002</v>
      </c>
      <c r="I4471">
        <v>177.5052</v>
      </c>
      <c r="J4471">
        <v>-189.87430000000001</v>
      </c>
      <c r="K4471">
        <v>1.1077729999999999</v>
      </c>
      <c r="L4471">
        <v>178.22299999999899</v>
      </c>
      <c r="M4471">
        <v>-8.167017E-2</v>
      </c>
      <c r="N4471">
        <v>-1.146221E-2</v>
      </c>
      <c r="O4471">
        <v>-0.99659370000000003</v>
      </c>
      <c r="P4471">
        <v>-0.11899369999999999</v>
      </c>
      <c r="Q4471">
        <v>0.36370479999999999</v>
      </c>
      <c r="R4471">
        <v>-0.92388300000000001</v>
      </c>
      <c r="S4471">
        <v>-0.84355159999999996</v>
      </c>
      <c r="T4471">
        <v>-0.49068210000000001</v>
      </c>
      <c r="U4471">
        <v>-3.3325499999999999</v>
      </c>
      <c r="V4471">
        <v>4.5858500000000003E-2</v>
      </c>
      <c r="W4471">
        <v>0.37402299999999999</v>
      </c>
      <c r="X4471">
        <v>0.92628500000000003</v>
      </c>
      <c r="Y4471">
        <v>0.1631427</v>
      </c>
      <c r="Z4471">
        <v>0.13054839999999901</v>
      </c>
      <c r="AA4471">
        <v>0.9779272</v>
      </c>
      <c r="AB4471">
        <v>28</v>
      </c>
      <c r="AC4471">
        <v>-0.20669999999998301</v>
      </c>
      <c r="AD4471">
        <v>-0.12866739999999899</v>
      </c>
      <c r="AE4471">
        <v>-0.71779999999998201</v>
      </c>
      <c r="AF4471">
        <v>0.14313573730023499</v>
      </c>
      <c r="AG4471">
        <v>-0.12866739999999899</v>
      </c>
      <c r="AH4471">
        <v>0.71118261943096595</v>
      </c>
      <c r="AI4471">
        <v>100.05759995714899</v>
      </c>
      <c r="AJ4471">
        <v>78.620426504138393</v>
      </c>
      <c r="AK4471">
        <v>0.73676580898948596</v>
      </c>
      <c r="AL4471">
        <v>68.036060103598601</v>
      </c>
      <c r="AM4471">
        <v>87.165715784213006</v>
      </c>
      <c r="AN4471">
        <v>1.00000005388812</v>
      </c>
    </row>
    <row r="4472" spans="1:40" x14ac:dyDescent="0.25">
      <c r="A4472" t="str">
        <f>"20190304164939584"</f>
        <v>20190304164939584</v>
      </c>
      <c r="B4472" t="str">
        <f>"1551689379580424"</f>
        <v>1551689379580424</v>
      </c>
      <c r="C4472" t="s">
        <v>40</v>
      </c>
      <c r="D4472">
        <v>4.6606820000000004</v>
      </c>
      <c r="E4472">
        <v>0.57058980000000004</v>
      </c>
      <c r="F4472" t="s">
        <v>41</v>
      </c>
      <c r="G4472">
        <v>-190.0607</v>
      </c>
      <c r="H4472">
        <v>0.99995480000000003</v>
      </c>
      <c r="I4472">
        <v>177.494</v>
      </c>
      <c r="J4472">
        <v>-189.88740000000001</v>
      </c>
      <c r="K4472">
        <v>1.1078079999999999</v>
      </c>
      <c r="L4472">
        <v>178.08690000000001</v>
      </c>
      <c r="M4472">
        <v>-8.3538020000000004E-2</v>
      </c>
      <c r="N4472">
        <v>-1.141034E-2</v>
      </c>
      <c r="O4472">
        <v>-0.99643939999999998</v>
      </c>
      <c r="P4472">
        <v>-0.1209346</v>
      </c>
      <c r="Q4472">
        <v>0.36343789999999998</v>
      </c>
      <c r="R4472">
        <v>-0.923736</v>
      </c>
      <c r="S4472">
        <v>-0.85092159999999994</v>
      </c>
      <c r="T4472">
        <v>-0.49253639999999999</v>
      </c>
      <c r="U4472">
        <v>-3.3314819999999998</v>
      </c>
      <c r="V4472">
        <v>4.6026329999999997E-2</v>
      </c>
      <c r="W4472">
        <v>0.37371159999999998</v>
      </c>
      <c r="X4472">
        <v>0.92640230000000001</v>
      </c>
      <c r="Y4472">
        <v>0.16338250000000001</v>
      </c>
      <c r="Z4472">
        <v>0.13109870000000001</v>
      </c>
      <c r="AA4472">
        <v>0.9778135</v>
      </c>
      <c r="AB4472">
        <v>28</v>
      </c>
      <c r="AC4472">
        <v>-0.173299999999983</v>
      </c>
      <c r="AD4472">
        <v>-0.107853199999999</v>
      </c>
      <c r="AE4472">
        <v>-0.59289999999998599</v>
      </c>
      <c r="AF4472">
        <v>0.11951764993219199</v>
      </c>
      <c r="AG4472">
        <v>-0.107853199999999</v>
      </c>
      <c r="AH4472">
        <v>0.58739800588615698</v>
      </c>
      <c r="AI4472">
        <v>100.199818076669</v>
      </c>
      <c r="AJ4472">
        <v>78.499046969668001</v>
      </c>
      <c r="AK4472">
        <v>0.60905927356423095</v>
      </c>
      <c r="AL4472">
        <v>68.055295835285094</v>
      </c>
      <c r="AM4472">
        <v>87.155719652184899</v>
      </c>
      <c r="AN4472">
        <v>1.0000000022365501</v>
      </c>
    </row>
    <row r="4473" spans="1:40" x14ac:dyDescent="0.25">
      <c r="A4473" t="str">
        <f>"20190304164939596"</f>
        <v>20190304164939596</v>
      </c>
      <c r="B4473" t="str">
        <f>"1551689379590185"</f>
        <v>1551689379590185</v>
      </c>
      <c r="C4473" t="s">
        <v>40</v>
      </c>
      <c r="D4473">
        <v>4.6696239999999998</v>
      </c>
      <c r="E4473">
        <v>0.57051319999999905</v>
      </c>
      <c r="F4473" t="s">
        <v>41</v>
      </c>
      <c r="G4473">
        <v>-190.1028</v>
      </c>
      <c r="H4473">
        <v>0.98465440000000004</v>
      </c>
      <c r="I4473">
        <v>177.25319999999999</v>
      </c>
      <c r="J4473">
        <v>-189.9015</v>
      </c>
      <c r="K4473">
        <v>1.1078399999999999</v>
      </c>
      <c r="L4473">
        <v>177.94220000000001</v>
      </c>
      <c r="M4473">
        <v>-8.5511130000000005E-2</v>
      </c>
      <c r="N4473">
        <v>-1.1356450000000001E-2</v>
      </c>
      <c r="O4473">
        <v>-0.99627250000000001</v>
      </c>
      <c r="P4473">
        <v>-0.1228423</v>
      </c>
      <c r="Q4473">
        <v>0.36308020000000002</v>
      </c>
      <c r="R4473">
        <v>-0.92362469999999997</v>
      </c>
      <c r="S4473">
        <v>-0.85913090000000003</v>
      </c>
      <c r="T4473">
        <v>-0.4916584</v>
      </c>
      <c r="U4473">
        <v>-3.3286440000000002</v>
      </c>
      <c r="V4473">
        <v>4.6055659999999998E-2</v>
      </c>
      <c r="W4473">
        <v>0.37330950000000002</v>
      </c>
      <c r="X4473">
        <v>0.92656289999999997</v>
      </c>
      <c r="Y4473">
        <v>0.1638973</v>
      </c>
      <c r="Z4473">
        <v>0.1309381</v>
      </c>
      <c r="AA4473">
        <v>0.97774890000000003</v>
      </c>
      <c r="AB4473">
        <v>28</v>
      </c>
      <c r="AC4473">
        <v>-0.201300000000003</v>
      </c>
      <c r="AD4473">
        <v>-0.12318559999999899</v>
      </c>
      <c r="AE4473">
        <v>-0.68900000000002104</v>
      </c>
      <c r="AF4473">
        <v>0.13758939845357501</v>
      </c>
      <c r="AG4473">
        <v>-0.12318559999999899</v>
      </c>
      <c r="AH4473">
        <v>0.68355865874320099</v>
      </c>
      <c r="AI4473">
        <v>100.01899479381601</v>
      </c>
      <c r="AJ4473">
        <v>78.619348595235095</v>
      </c>
      <c r="AK4473">
        <v>0.70806636310234405</v>
      </c>
      <c r="AL4473">
        <v>68.080130919894401</v>
      </c>
      <c r="AM4473">
        <v>87.154402629231001</v>
      </c>
      <c r="AN4473">
        <v>0.99999995713234702</v>
      </c>
    </row>
    <row r="4474" spans="1:40" x14ac:dyDescent="0.25">
      <c r="A4474" t="str">
        <f>"20190304164939606"</f>
        <v>20190304164939606</v>
      </c>
      <c r="B4474" t="str">
        <f>"1551689379599945"</f>
        <v>1551689379599945</v>
      </c>
      <c r="C4474" t="s">
        <v>40</v>
      </c>
      <c r="D4474">
        <v>4.633807</v>
      </c>
      <c r="E4474">
        <v>0.57056030000000002</v>
      </c>
      <c r="F4474" t="s">
        <v>41</v>
      </c>
      <c r="G4474">
        <v>-190.14340000000001</v>
      </c>
      <c r="H4474">
        <v>0.96972369999999997</v>
      </c>
      <c r="I4474">
        <v>177.012</v>
      </c>
      <c r="J4474">
        <v>-189.917</v>
      </c>
      <c r="K4474">
        <v>1.1078840000000001</v>
      </c>
      <c r="L4474">
        <v>177.7877</v>
      </c>
      <c r="M4474">
        <v>-8.7543469999999998E-2</v>
      </c>
      <c r="N4474">
        <v>-1.130419E-2</v>
      </c>
      <c r="O4474">
        <v>-0.99609669999999895</v>
      </c>
      <c r="P4474">
        <v>-0.12475269999999999</v>
      </c>
      <c r="Q4474">
        <v>0.36286780000000002</v>
      </c>
      <c r="R4474">
        <v>-0.92345239999999995</v>
      </c>
      <c r="S4474">
        <v>-0.86471559999999903</v>
      </c>
      <c r="T4474">
        <v>-0.49396879999999999</v>
      </c>
      <c r="U4474">
        <v>-3.3272550000000001</v>
      </c>
      <c r="V4474">
        <v>4.6026099999999903E-2</v>
      </c>
      <c r="W4474">
        <v>0.37305559999999899</v>
      </c>
      <c r="X4474">
        <v>0.92666669999999995</v>
      </c>
      <c r="Y4474">
        <v>0.1634989</v>
      </c>
      <c r="Z4474">
        <v>0.1316425</v>
      </c>
      <c r="AA4474">
        <v>0.97772099999999995</v>
      </c>
      <c r="AB4474">
        <v>28</v>
      </c>
      <c r="AC4474">
        <v>-0.22640000000001201</v>
      </c>
      <c r="AD4474">
        <v>-0.13816030000000001</v>
      </c>
      <c r="AE4474">
        <v>-0.77569999999999995</v>
      </c>
      <c r="AF4474">
        <v>0.153142053809216</v>
      </c>
      <c r="AG4474">
        <v>-0.13816030000000001</v>
      </c>
      <c r="AH4474">
        <v>0.77003214651910701</v>
      </c>
      <c r="AI4474">
        <v>99.9804461340524</v>
      </c>
      <c r="AJ4474">
        <v>78.751922762964696</v>
      </c>
      <c r="AK4474">
        <v>0.79717643204865096</v>
      </c>
      <c r="AL4474">
        <v>68.095812713170105</v>
      </c>
      <c r="AM4474">
        <v>87.156544046717997</v>
      </c>
      <c r="AN4474">
        <v>1.0000000277307199</v>
      </c>
    </row>
    <row r="4475" spans="1:40" x14ac:dyDescent="0.25">
      <c r="A4475" t="str">
        <f>"20190304164939619"</f>
        <v>20190304164939619</v>
      </c>
      <c r="B4475" t="str">
        <f>"1551689379610680"</f>
        <v>1551689379610680</v>
      </c>
      <c r="C4475" t="s">
        <v>40</v>
      </c>
      <c r="D4475">
        <v>4.4539099999999996</v>
      </c>
      <c r="E4475">
        <v>0.57056030000000002</v>
      </c>
      <c r="F4475" t="s">
        <v>41</v>
      </c>
      <c r="G4475">
        <v>-190.12360000000001</v>
      </c>
      <c r="H4475">
        <v>0.99078049999999995</v>
      </c>
      <c r="I4475">
        <v>177.00069999999999</v>
      </c>
      <c r="J4475">
        <v>-189.93170000000001</v>
      </c>
      <c r="K4475">
        <v>1.1079349999999999</v>
      </c>
      <c r="L4475">
        <v>177.6422</v>
      </c>
      <c r="M4475">
        <v>-8.9431839999999999E-2</v>
      </c>
      <c r="N4475">
        <v>-1.125661E-2</v>
      </c>
      <c r="O4475">
        <v>-0.99592919999999996</v>
      </c>
      <c r="P4475">
        <v>-0.12644069999999999</v>
      </c>
      <c r="Q4475">
        <v>0.36228870000000002</v>
      </c>
      <c r="R4475">
        <v>-0.92344959999999998</v>
      </c>
      <c r="S4475">
        <v>-0.87217710000000004</v>
      </c>
      <c r="T4475">
        <v>-0.4947088</v>
      </c>
      <c r="U4475">
        <v>-3.3252410000000001</v>
      </c>
      <c r="V4475">
        <v>4.5891609999999999E-2</v>
      </c>
      <c r="W4475">
        <v>0.37244110000000002</v>
      </c>
      <c r="X4475">
        <v>0.92692050000000004</v>
      </c>
      <c r="Y4475">
        <v>0.1638182</v>
      </c>
      <c r="Z4475">
        <v>0.131906</v>
      </c>
      <c r="AA4475">
        <v>0.97763199999999995</v>
      </c>
      <c r="AB4475">
        <v>28</v>
      </c>
      <c r="AC4475">
        <v>-0.19190000000000401</v>
      </c>
      <c r="AD4475">
        <v>-0.11715449999999999</v>
      </c>
      <c r="AE4475">
        <v>-0.64150000000000695</v>
      </c>
      <c r="AF4475">
        <v>0.12978373849642799</v>
      </c>
      <c r="AG4475">
        <v>-0.11715449999999999</v>
      </c>
      <c r="AH4475">
        <v>0.63660398547542096</v>
      </c>
      <c r="AI4475">
        <v>100.221802286708</v>
      </c>
      <c r="AJ4475">
        <v>78.477082526376805</v>
      </c>
      <c r="AK4475">
        <v>0.66017696867699704</v>
      </c>
      <c r="AL4475">
        <v>68.133755068760607</v>
      </c>
      <c r="AM4475">
        <v>87.165614185236905</v>
      </c>
      <c r="AN4475">
        <v>1.0000000130789199</v>
      </c>
    </row>
    <row r="4476" spans="1:40" x14ac:dyDescent="0.25">
      <c r="A4476" t="str">
        <f>"20190304164939632"</f>
        <v>20190304164939632</v>
      </c>
      <c r="B4476" t="str">
        <f>"1551689379620441"</f>
        <v>1551689379620441</v>
      </c>
      <c r="C4476" t="s">
        <v>40</v>
      </c>
      <c r="D4476">
        <v>4.6220530000000002</v>
      </c>
      <c r="E4476">
        <v>0.57057139999999995</v>
      </c>
      <c r="F4476" t="s">
        <v>41</v>
      </c>
      <c r="G4476">
        <v>-190.16540000000001</v>
      </c>
      <c r="H4476">
        <v>0.97602520000000004</v>
      </c>
      <c r="I4476">
        <v>176.7594</v>
      </c>
      <c r="J4476">
        <v>-189.9479</v>
      </c>
      <c r="K4476">
        <v>1.1079920000000001</v>
      </c>
      <c r="L4476">
        <v>177.4847</v>
      </c>
      <c r="M4476">
        <v>-9.1424229999999995E-2</v>
      </c>
      <c r="N4476">
        <v>-1.1208269999999999E-2</v>
      </c>
      <c r="O4476">
        <v>-0.99574910000000005</v>
      </c>
      <c r="P4476">
        <v>-0.128465</v>
      </c>
      <c r="Q4476">
        <v>0.36220580000000002</v>
      </c>
      <c r="R4476">
        <v>-0.92320310000000005</v>
      </c>
      <c r="S4476">
        <v>-0.87957759999999996</v>
      </c>
      <c r="T4476">
        <v>-0.49648320000000001</v>
      </c>
      <c r="U4476">
        <v>-3.3230590000000002</v>
      </c>
      <c r="V4476">
        <v>4.6010700000000002E-2</v>
      </c>
      <c r="W4476">
        <v>0.37231930000000002</v>
      </c>
      <c r="X4476">
        <v>0.92696350000000005</v>
      </c>
      <c r="Y4476">
        <v>0.1640192</v>
      </c>
      <c r="Z4476">
        <v>0.132468899999999</v>
      </c>
      <c r="AA4476">
        <v>0.97752229999999996</v>
      </c>
      <c r="AB4476">
        <v>28</v>
      </c>
      <c r="AC4476">
        <v>-0.217500000000001</v>
      </c>
      <c r="AD4476">
        <v>-0.1319668</v>
      </c>
      <c r="AE4476">
        <v>-0.72530000000000405</v>
      </c>
      <c r="AF4476">
        <v>0.14584500610656101</v>
      </c>
      <c r="AG4476">
        <v>-0.1319668</v>
      </c>
      <c r="AH4476">
        <v>0.720270839982175</v>
      </c>
      <c r="AI4476">
        <v>100.180327254828</v>
      </c>
      <c r="AJ4476">
        <v>78.553155575795998</v>
      </c>
      <c r="AK4476">
        <v>0.74664321133797995</v>
      </c>
      <c r="AL4476">
        <v>68.141273912862204</v>
      </c>
      <c r="AM4476">
        <v>87.158402522399797</v>
      </c>
      <c r="AN4476">
        <v>0.99999998799961498</v>
      </c>
    </row>
    <row r="4477" spans="1:40" x14ac:dyDescent="0.25">
      <c r="A4477" t="str">
        <f>"20190304164939651"</f>
        <v>20190304164939651</v>
      </c>
      <c r="B4477" t="str">
        <f>"1551689379639961"</f>
        <v>1551689379639961</v>
      </c>
      <c r="C4477" t="s">
        <v>40</v>
      </c>
      <c r="D4477">
        <v>4.614395</v>
      </c>
      <c r="E4477">
        <v>0.57063520000000001</v>
      </c>
      <c r="F4477" t="s">
        <v>41</v>
      </c>
      <c r="G4477">
        <v>-190.14519999999999</v>
      </c>
      <c r="H4477">
        <v>0.99791030000000003</v>
      </c>
      <c r="I4477">
        <v>176.7475</v>
      </c>
      <c r="J4477">
        <v>-189.97280000000001</v>
      </c>
      <c r="K4477">
        <v>1.1080909999999999</v>
      </c>
      <c r="L4477">
        <v>177.24700000000001</v>
      </c>
      <c r="M4477">
        <v>-9.4309729999999994E-2</v>
      </c>
      <c r="N4477">
        <v>-1.1140769999999999E-2</v>
      </c>
      <c r="O4477">
        <v>-0.99548080000000005</v>
      </c>
      <c r="P4477">
        <v>-0.1327026</v>
      </c>
      <c r="Q4477">
        <v>0.36258820000000003</v>
      </c>
      <c r="R4477">
        <v>-0.92245330000000003</v>
      </c>
      <c r="S4477">
        <v>-0.88832089999999997</v>
      </c>
      <c r="T4477">
        <v>-0.49584820000000002</v>
      </c>
      <c r="U4477">
        <v>-3.3204799999999999</v>
      </c>
      <c r="V4477">
        <v>4.7506279999999998E-2</v>
      </c>
      <c r="W4477">
        <v>0.37263839999999998</v>
      </c>
      <c r="X4477">
        <v>0.92675980000000002</v>
      </c>
      <c r="Y4477">
        <v>0.16375719999999999</v>
      </c>
      <c r="Z4477">
        <v>0.1323647</v>
      </c>
      <c r="AA4477">
        <v>0.97758020000000001</v>
      </c>
      <c r="AB4477">
        <v>28</v>
      </c>
      <c r="AC4477">
        <v>-0.17239999999998101</v>
      </c>
      <c r="AD4477">
        <v>-0.11018069999999899</v>
      </c>
      <c r="AE4477">
        <v>-0.49950000000001099</v>
      </c>
      <c r="AF4477">
        <v>0.11933263185971101</v>
      </c>
      <c r="AG4477">
        <v>-0.11018069999999899</v>
      </c>
      <c r="AH4477">
        <v>0.49213669031790902</v>
      </c>
      <c r="AI4477">
        <v>102.27495130927601</v>
      </c>
      <c r="AJ4477">
        <v>76.370061813100094</v>
      </c>
      <c r="AK4477">
        <v>0.51824568076938204</v>
      </c>
      <c r="AL4477">
        <v>68.121572886603701</v>
      </c>
      <c r="AM4477">
        <v>87.065551375719906</v>
      </c>
      <c r="AN4477">
        <v>0.99999997534501806</v>
      </c>
    </row>
    <row r="4478" spans="1:40" x14ac:dyDescent="0.25">
      <c r="A4478" t="str">
        <f>"20190304164939672"</f>
        <v>20190304164939672</v>
      </c>
      <c r="B4478" t="str">
        <f>"1551689379660456"</f>
        <v>1551689379660456</v>
      </c>
      <c r="C4478" t="s">
        <v>40</v>
      </c>
      <c r="D4478">
        <v>4.5960029999999996</v>
      </c>
      <c r="E4478">
        <v>0.57071810000000001</v>
      </c>
      <c r="F4478" t="s">
        <v>41</v>
      </c>
      <c r="G4478">
        <v>-190.17660000000001</v>
      </c>
      <c r="H4478">
        <v>0.99637909999999996</v>
      </c>
      <c r="I4478">
        <v>176.499</v>
      </c>
      <c r="J4478">
        <v>-190.00059999999999</v>
      </c>
      <c r="K4478">
        <v>1.10822</v>
      </c>
      <c r="L4478">
        <v>176.9881</v>
      </c>
      <c r="M4478">
        <v>-9.726696E-2</v>
      </c>
      <c r="N4478">
        <v>-1.1073680000000001E-2</v>
      </c>
      <c r="O4478">
        <v>-0.99519659999999999</v>
      </c>
      <c r="P4478">
        <v>-0.13834579999999999</v>
      </c>
      <c r="Q4478">
        <v>0.36312519999999998</v>
      </c>
      <c r="R4478">
        <v>-0.92141249999999997</v>
      </c>
      <c r="S4478">
        <v>-0.90319819999999995</v>
      </c>
      <c r="T4478">
        <v>-0.4953399</v>
      </c>
      <c r="U4478">
        <v>-3.316986</v>
      </c>
      <c r="V4478">
        <v>5.0332950000000001E-2</v>
      </c>
      <c r="W4478">
        <v>0.37310779999999999</v>
      </c>
      <c r="X4478">
        <v>0.92642170000000001</v>
      </c>
      <c r="Y4478">
        <v>0.1651736</v>
      </c>
      <c r="Z4478">
        <v>0.13227710000000001</v>
      </c>
      <c r="AA4478">
        <v>0.97735380000000005</v>
      </c>
      <c r="AB4478">
        <v>28</v>
      </c>
      <c r="AC4478">
        <v>-0.176000000000016</v>
      </c>
      <c r="AD4478">
        <v>-0.11184089999999999</v>
      </c>
      <c r="AE4478">
        <v>-0.489099999999979</v>
      </c>
      <c r="AF4478">
        <v>0.121943904031783</v>
      </c>
      <c r="AG4478">
        <v>-0.11184089999999999</v>
      </c>
      <c r="AH4478">
        <v>0.48160518914432898</v>
      </c>
      <c r="AI4478">
        <v>102.68697808222601</v>
      </c>
      <c r="AJ4478">
        <v>75.791161114210695</v>
      </c>
      <c r="AK4478">
        <v>0.50923693979725004</v>
      </c>
      <c r="AL4478">
        <v>68.092588515638496</v>
      </c>
      <c r="AM4478">
        <v>86.890149392827098</v>
      </c>
      <c r="AN4478">
        <v>1.00000000125371</v>
      </c>
    </row>
    <row r="4479" spans="1:40" x14ac:dyDescent="0.25">
      <c r="A4479" t="str">
        <f>"20190304164939684"</f>
        <v>20190304164939684</v>
      </c>
      <c r="B4479" t="str">
        <f>"1551689379679977"</f>
        <v>1551689379679977</v>
      </c>
      <c r="C4479" t="s">
        <v>40</v>
      </c>
      <c r="D4479">
        <v>4.617883</v>
      </c>
      <c r="E4479">
        <v>0.57066139999999999</v>
      </c>
      <c r="F4479" t="s">
        <v>41</v>
      </c>
      <c r="G4479">
        <v>-190.2062</v>
      </c>
      <c r="H4479">
        <v>0.99814720000000001</v>
      </c>
      <c r="I4479">
        <v>176.24860000000001</v>
      </c>
      <c r="J4479">
        <v>-190.0179</v>
      </c>
      <c r="K4479">
        <v>1.108314</v>
      </c>
      <c r="L4479">
        <v>176.8305</v>
      </c>
      <c r="M4479">
        <v>-9.8945329999999998E-2</v>
      </c>
      <c r="N4479">
        <v>-1.1036249999999999E-2</v>
      </c>
      <c r="O4479">
        <v>-0.99503180000000002</v>
      </c>
      <c r="P4479">
        <v>-0.14107709999999901</v>
      </c>
      <c r="Q4479">
        <v>0.36289529999999998</v>
      </c>
      <c r="R4479">
        <v>-0.92108860000000004</v>
      </c>
      <c r="S4479">
        <v>-0.92059329999999995</v>
      </c>
      <c r="T4479">
        <v>-0.49304019999999998</v>
      </c>
      <c r="U4479">
        <v>-3.3119510000000001</v>
      </c>
      <c r="V4479">
        <v>5.142087E-2</v>
      </c>
      <c r="W4479">
        <v>0.37284899999999999</v>
      </c>
      <c r="X4479">
        <v>0.92646620000000002</v>
      </c>
      <c r="Y4479">
        <v>0.16867679999999999</v>
      </c>
      <c r="Z4479">
        <v>0.13169879999999901</v>
      </c>
      <c r="AA4479">
        <v>0.97683350000000002</v>
      </c>
      <c r="AB4479">
        <v>28</v>
      </c>
      <c r="AC4479">
        <v>-0.188299999999998</v>
      </c>
      <c r="AD4479">
        <v>-0.1101668</v>
      </c>
      <c r="AE4479">
        <v>-0.58189999999998998</v>
      </c>
      <c r="AF4479">
        <v>0.12571712844834201</v>
      </c>
      <c r="AG4479">
        <v>-0.1101668</v>
      </c>
      <c r="AH4479">
        <v>0.57889419807211295</v>
      </c>
      <c r="AI4479">
        <v>100.53498799449901</v>
      </c>
      <c r="AJ4479">
        <v>77.747459631970202</v>
      </c>
      <c r="AK4479">
        <v>0.60254461475403798</v>
      </c>
      <c r="AL4479">
        <v>68.108571028210505</v>
      </c>
      <c r="AM4479">
        <v>86.823220140504802</v>
      </c>
      <c r="AN4479">
        <v>1.00000005120749</v>
      </c>
    </row>
    <row r="4480" spans="1:40" x14ac:dyDescent="0.25">
      <c r="A4480" t="str">
        <f>"20190304164939697"</f>
        <v>20190304164939697</v>
      </c>
      <c r="B4480" t="str">
        <f>"1551689379690713"</f>
        <v>1551689379690713</v>
      </c>
      <c r="C4480" t="s">
        <v>40</v>
      </c>
      <c r="D4480">
        <v>4.6012729999999999</v>
      </c>
      <c r="E4480">
        <v>0.5706019</v>
      </c>
      <c r="F4480" t="s">
        <v>41</v>
      </c>
      <c r="G4480">
        <v>-190.24940000000001</v>
      </c>
      <c r="H4480">
        <v>0.98533999999999999</v>
      </c>
      <c r="I4480">
        <v>176.00620000000001</v>
      </c>
      <c r="J4480">
        <v>-190.0352</v>
      </c>
      <c r="K4480">
        <v>1.1084160000000001</v>
      </c>
      <c r="L4480">
        <v>176.67339999999999</v>
      </c>
      <c r="M4480">
        <v>-0.10056180000000001</v>
      </c>
      <c r="N4480">
        <v>-1.100056E-2</v>
      </c>
      <c r="O4480">
        <v>-0.99487020000000004</v>
      </c>
      <c r="P4480">
        <v>-0.14356389999999999</v>
      </c>
      <c r="Q4480">
        <v>0.36258430000000003</v>
      </c>
      <c r="R4480">
        <v>-0.92082710000000001</v>
      </c>
      <c r="S4480">
        <v>-0.92895510000000003</v>
      </c>
      <c r="T4480">
        <v>-0.49364819999999998</v>
      </c>
      <c r="U4480">
        <v>-3.3092190000000001</v>
      </c>
      <c r="V4480">
        <v>5.231106E-2</v>
      </c>
      <c r="W4480">
        <v>0.37251319999999999</v>
      </c>
      <c r="X4480">
        <v>0.92655140000000002</v>
      </c>
      <c r="Y4480">
        <v>0.16956459999999901</v>
      </c>
      <c r="Z4480">
        <v>0.13192870000000001</v>
      </c>
      <c r="AA4480">
        <v>0.97664870000000004</v>
      </c>
      <c r="AB4480">
        <v>28</v>
      </c>
      <c r="AC4480">
        <v>-0.214200000000005</v>
      </c>
      <c r="AD4480">
        <v>-0.123076</v>
      </c>
      <c r="AE4480">
        <v>-0.66719999999997903</v>
      </c>
      <c r="AF4480">
        <v>0.141645633815459</v>
      </c>
      <c r="AG4480">
        <v>-0.123076</v>
      </c>
      <c r="AH4480">
        <v>0.66484954737195201</v>
      </c>
      <c r="AI4480">
        <v>100.262520228342</v>
      </c>
      <c r="AJ4480">
        <v>77.972999251206602</v>
      </c>
      <c r="AK4480">
        <v>0.69082277611242204</v>
      </c>
      <c r="AL4480">
        <v>68.129303752268498</v>
      </c>
      <c r="AM4480">
        <v>86.768636338733501</v>
      </c>
      <c r="AN4480">
        <v>1.00000001400726</v>
      </c>
    </row>
    <row r="4481" spans="1:40" x14ac:dyDescent="0.25">
      <c r="A4481" t="str">
        <f>"20190304164939708"</f>
        <v>20190304164939708</v>
      </c>
      <c r="B4481" t="str">
        <f>"1551689379700473"</f>
        <v>1551689379700473</v>
      </c>
      <c r="C4481" t="s">
        <v>40</v>
      </c>
      <c r="D4481">
        <v>4.5851699999999997</v>
      </c>
      <c r="E4481">
        <v>0.57054910000000003</v>
      </c>
      <c r="F4481" t="s">
        <v>41</v>
      </c>
      <c r="G4481">
        <v>-190.2929</v>
      </c>
      <c r="H4481">
        <v>0.9724467</v>
      </c>
      <c r="I4481">
        <v>175.7636</v>
      </c>
      <c r="J4481">
        <v>-190.05250000000001</v>
      </c>
      <c r="K4481">
        <v>1.108533</v>
      </c>
      <c r="L4481">
        <v>176.5181</v>
      </c>
      <c r="M4481">
        <v>-0.1020244</v>
      </c>
      <c r="N4481">
        <v>-1.0968189999999999E-2</v>
      </c>
      <c r="O4481">
        <v>-0.99472150000000004</v>
      </c>
      <c r="P4481">
        <v>-0.1457241</v>
      </c>
      <c r="Q4481">
        <v>0.3624926</v>
      </c>
      <c r="R4481">
        <v>-0.92052369999999994</v>
      </c>
      <c r="S4481">
        <v>-0.93696590000000002</v>
      </c>
      <c r="T4481">
        <v>-0.49413259999999998</v>
      </c>
      <c r="U4481">
        <v>-3.3064420000000001</v>
      </c>
      <c r="V4481">
        <v>5.3013419999999999E-2</v>
      </c>
      <c r="W4481">
        <v>0.37240250000000003</v>
      </c>
      <c r="X4481">
        <v>0.92655589999999999</v>
      </c>
      <c r="Y4481">
        <v>0.17051359999999999</v>
      </c>
      <c r="Z4481">
        <v>0.13212560000000001</v>
      </c>
      <c r="AA4481">
        <v>0.97645680000000001</v>
      </c>
      <c r="AB4481">
        <v>28</v>
      </c>
      <c r="AC4481">
        <v>-0.24039999999999301</v>
      </c>
      <c r="AD4481">
        <v>-0.13608629999999999</v>
      </c>
      <c r="AE4481">
        <v>-0.75450000000000705</v>
      </c>
      <c r="AF4481">
        <v>0.157511482927083</v>
      </c>
      <c r="AG4481">
        <v>-0.13608629999999999</v>
      </c>
      <c r="AH4481">
        <v>0.75285597403442395</v>
      </c>
      <c r="AI4481">
        <v>100.03346257306001</v>
      </c>
      <c r="AJ4481">
        <v>78.183106797084207</v>
      </c>
      <c r="AK4481">
        <v>0.78110272432049499</v>
      </c>
      <c r="AL4481">
        <v>68.136136439496994</v>
      </c>
      <c r="AM4481">
        <v>86.725359757428194</v>
      </c>
      <c r="AN4481">
        <v>0.99999994026557604</v>
      </c>
    </row>
    <row r="4482" spans="1:40" x14ac:dyDescent="0.25">
      <c r="A4482" t="str">
        <f>"20190304164939719"</f>
        <v>20190304164939719</v>
      </c>
      <c r="B4482" t="str">
        <f>"1551689379710232"</f>
        <v>1551689379710232</v>
      </c>
      <c r="C4482" t="s">
        <v>40</v>
      </c>
      <c r="D4482">
        <v>4.5846519999999904</v>
      </c>
      <c r="E4482">
        <v>0.57055049999999996</v>
      </c>
      <c r="F4482" t="s">
        <v>41</v>
      </c>
      <c r="G4482">
        <v>-190.2715</v>
      </c>
      <c r="H4482">
        <v>0.99384399999999995</v>
      </c>
      <c r="I4482">
        <v>175.7518</v>
      </c>
      <c r="J4482">
        <v>-190.06800000000001</v>
      </c>
      <c r="K4482">
        <v>1.108636</v>
      </c>
      <c r="L4482">
        <v>176.3793</v>
      </c>
      <c r="M4482">
        <v>-0.10327020000000001</v>
      </c>
      <c r="N4482">
        <v>-1.0940709999999999E-2</v>
      </c>
      <c r="O4482">
        <v>-0.99459339999999996</v>
      </c>
      <c r="P4482">
        <v>-0.1476836</v>
      </c>
      <c r="Q4482">
        <v>0.36226170000000002</v>
      </c>
      <c r="R4482">
        <v>-0.92030259999999997</v>
      </c>
      <c r="S4482">
        <v>-0.94485469999999905</v>
      </c>
      <c r="T4482">
        <v>-0.49451830000000002</v>
      </c>
      <c r="U4482">
        <v>-3.3041839999999998</v>
      </c>
      <c r="V4482">
        <v>5.3718710000000003E-2</v>
      </c>
      <c r="W4482">
        <v>0.37215690000000001</v>
      </c>
      <c r="X4482">
        <v>0.92661400000000005</v>
      </c>
      <c r="Y4482">
        <v>0.17160529999999999</v>
      </c>
      <c r="Z4482">
        <v>0.1322709</v>
      </c>
      <c r="AA4482">
        <v>0.9762459</v>
      </c>
      <c r="AB4482">
        <v>28</v>
      </c>
      <c r="AC4482">
        <v>-0.203500000000019</v>
      </c>
      <c r="AD4482">
        <v>-0.11479199999999901</v>
      </c>
      <c r="AE4482">
        <v>-0.62749999999999695</v>
      </c>
      <c r="AF4482">
        <v>0.133561573475068</v>
      </c>
      <c r="AG4482">
        <v>-0.11479199999999901</v>
      </c>
      <c r="AH4482">
        <v>0.62619955237895797</v>
      </c>
      <c r="AI4482">
        <v>100.164161974755</v>
      </c>
      <c r="AJ4482">
        <v>77.959845918828094</v>
      </c>
      <c r="AK4482">
        <v>0.65049348695643605</v>
      </c>
      <c r="AL4482">
        <v>68.151299042351198</v>
      </c>
      <c r="AM4482">
        <v>86.682098267243106</v>
      </c>
      <c r="AN4482">
        <v>0.99999998150883695</v>
      </c>
    </row>
    <row r="4483" spans="1:40" x14ac:dyDescent="0.25">
      <c r="A4483" t="str">
        <f>"20190304164939731"</f>
        <v>20190304164939731</v>
      </c>
      <c r="B4483" t="str">
        <f>"1551689379719992"</f>
        <v>1551689379719992</v>
      </c>
      <c r="C4483" t="s">
        <v>40</v>
      </c>
      <c r="D4483">
        <v>4.6069000000000004</v>
      </c>
      <c r="E4483">
        <v>0.5705095</v>
      </c>
      <c r="F4483" t="s">
        <v>41</v>
      </c>
      <c r="G4483">
        <v>-190.31880000000001</v>
      </c>
      <c r="H4483">
        <v>0.97838709999999995</v>
      </c>
      <c r="I4483">
        <v>175.51060000000001</v>
      </c>
      <c r="J4483">
        <v>-190.08500000000001</v>
      </c>
      <c r="K4483">
        <v>1.1087549999999999</v>
      </c>
      <c r="L4483">
        <v>176.22890000000001</v>
      </c>
      <c r="M4483">
        <v>-0.1045377</v>
      </c>
      <c r="N4483">
        <v>-1.091279E-2</v>
      </c>
      <c r="O4483">
        <v>-0.99446129999999999</v>
      </c>
      <c r="P4483">
        <v>-0.14959979999999901</v>
      </c>
      <c r="Q4483">
        <v>0.36241699999999999</v>
      </c>
      <c r="R4483">
        <v>-0.91993170000000002</v>
      </c>
      <c r="S4483">
        <v>-0.95251459999999999</v>
      </c>
      <c r="T4483">
        <v>-0.49511230000000001</v>
      </c>
      <c r="U4483">
        <v>-3.3018489999999998</v>
      </c>
      <c r="V4483">
        <v>5.4366119999999997E-2</v>
      </c>
      <c r="W4483">
        <v>0.37229719999999999</v>
      </c>
      <c r="X4483">
        <v>0.92651989999999995</v>
      </c>
      <c r="Y4483">
        <v>0.172616299999999</v>
      </c>
      <c r="Z4483">
        <v>0.13247999999999999</v>
      </c>
      <c r="AA4483">
        <v>0.97603930000000005</v>
      </c>
      <c r="AB4483">
        <v>28</v>
      </c>
      <c r="AC4483">
        <v>-0.23380000000000201</v>
      </c>
      <c r="AD4483">
        <v>-0.13036789999999901</v>
      </c>
      <c r="AE4483">
        <v>-0.71829999999999905</v>
      </c>
      <c r="AF4483">
        <v>0.15287168660995201</v>
      </c>
      <c r="AG4483">
        <v>-0.13036789999999901</v>
      </c>
      <c r="AH4483">
        <v>0.71743746098888705</v>
      </c>
      <c r="AI4483">
        <v>100.07758016529699</v>
      </c>
      <c r="AJ4483">
        <v>77.971300081911096</v>
      </c>
      <c r="AK4483">
        <v>0.74503828918221504</v>
      </c>
      <c r="AL4483">
        <v>68.142638567548303</v>
      </c>
      <c r="AM4483">
        <v>86.641862106964794</v>
      </c>
      <c r="AN4483">
        <v>1.00000000261385</v>
      </c>
    </row>
    <row r="4484" spans="1:40" x14ac:dyDescent="0.25">
      <c r="A4484" t="str">
        <f>"20190304164939744"</f>
        <v>20190304164939744</v>
      </c>
      <c r="B4484" t="str">
        <f>"1551689379740488"</f>
        <v>1551689379740488</v>
      </c>
      <c r="C4484" t="s">
        <v>40</v>
      </c>
      <c r="D4484">
        <v>4.5737019999999999</v>
      </c>
      <c r="E4484">
        <v>0.57046129999999995</v>
      </c>
      <c r="F4484" t="s">
        <v>41</v>
      </c>
      <c r="G4484">
        <v>-190.29740000000001</v>
      </c>
      <c r="H4484">
        <v>0.99940739999999995</v>
      </c>
      <c r="I4484">
        <v>175.49889999999999</v>
      </c>
      <c r="J4484">
        <v>-190.101</v>
      </c>
      <c r="K4484">
        <v>1.1088720000000001</v>
      </c>
      <c r="L4484">
        <v>176.0881</v>
      </c>
      <c r="M4484">
        <v>-0.1056079</v>
      </c>
      <c r="N4484">
        <v>-1.088858E-2</v>
      </c>
      <c r="O4484">
        <v>-0.99434829999999996</v>
      </c>
      <c r="P4484">
        <v>-0.15151700000000001</v>
      </c>
      <c r="Q4484">
        <v>0.36248059999999999</v>
      </c>
      <c r="R4484">
        <v>-0.91959259999999998</v>
      </c>
      <c r="S4484">
        <v>-0.95932010000000001</v>
      </c>
      <c r="T4484">
        <v>-0.494284</v>
      </c>
      <c r="U4484">
        <v>-3.2998199999999902</v>
      </c>
      <c r="V4484">
        <v>5.5196040000000002E-2</v>
      </c>
      <c r="W4484">
        <v>0.37234980000000001</v>
      </c>
      <c r="X4484">
        <v>0.92644970000000004</v>
      </c>
      <c r="Y4484">
        <v>0.1735807</v>
      </c>
      <c r="Z4484">
        <v>0.1322786</v>
      </c>
      <c r="AA4484">
        <v>0.97589559999999997</v>
      </c>
      <c r="AB4484">
        <v>28</v>
      </c>
      <c r="AC4484">
        <v>-0.19640000000001101</v>
      </c>
      <c r="AD4484">
        <v>-0.109464599999999</v>
      </c>
      <c r="AE4484">
        <v>-0.58920000000000505</v>
      </c>
      <c r="AF4484">
        <v>0.12906439036190201</v>
      </c>
      <c r="AG4484">
        <v>-0.109464599999999</v>
      </c>
      <c r="AH4484">
        <v>0.58836991405412498</v>
      </c>
      <c r="AI4484">
        <v>100.29975649923399</v>
      </c>
      <c r="AJ4484">
        <v>77.627602926924396</v>
      </c>
      <c r="AK4484">
        <v>0.61222485352745004</v>
      </c>
      <c r="AL4484">
        <v>68.139391548495396</v>
      </c>
      <c r="AM4484">
        <v>86.590461112858094</v>
      </c>
      <c r="AN4484">
        <v>1.0000000115109</v>
      </c>
    </row>
    <row r="4485" spans="1:40" x14ac:dyDescent="0.25">
      <c r="A4485" t="str">
        <f>"20190304164939756"</f>
        <v>20190304164939756</v>
      </c>
      <c r="B4485" t="str">
        <f>"1551689379750248"</f>
        <v>1551689379750248</v>
      </c>
      <c r="C4485" t="s">
        <v>40</v>
      </c>
      <c r="D4485">
        <v>4.5705850000000003</v>
      </c>
      <c r="E4485">
        <v>0.57042130000000002</v>
      </c>
      <c r="F4485" t="s">
        <v>41</v>
      </c>
      <c r="G4485">
        <v>-190.3441</v>
      </c>
      <c r="H4485">
        <v>0.98442399999999997</v>
      </c>
      <c r="I4485">
        <v>175.25739999999999</v>
      </c>
      <c r="J4485">
        <v>-190.11779999999999</v>
      </c>
      <c r="K4485">
        <v>1.109003</v>
      </c>
      <c r="L4485">
        <v>175.93989999999999</v>
      </c>
      <c r="M4485">
        <v>-0.1066882</v>
      </c>
      <c r="N4485">
        <v>-1.086407E-2</v>
      </c>
      <c r="O4485">
        <v>-0.99423349999999999</v>
      </c>
      <c r="P4485">
        <v>-0.15384220000000001</v>
      </c>
      <c r="Q4485">
        <v>0.3622997</v>
      </c>
      <c r="R4485">
        <v>-0.91927809999999999</v>
      </c>
      <c r="S4485">
        <v>-0.96479800000000004</v>
      </c>
      <c r="T4485">
        <v>-0.49409890000000001</v>
      </c>
      <c r="U4485">
        <v>-3.298111</v>
      </c>
      <c r="V4485">
        <v>5.6410290000000002E-2</v>
      </c>
      <c r="W4485">
        <v>0.37215819999999999</v>
      </c>
      <c r="X4485">
        <v>0.92645350000000004</v>
      </c>
      <c r="Y4485">
        <v>0.17414109999999999</v>
      </c>
      <c r="Z4485">
        <v>0.1322586</v>
      </c>
      <c r="AA4485">
        <v>0.97579839999999995</v>
      </c>
      <c r="AB4485">
        <v>28</v>
      </c>
      <c r="AC4485">
        <v>-0.22630000000000899</v>
      </c>
      <c r="AD4485">
        <v>-0.124579</v>
      </c>
      <c r="AE4485">
        <v>-0.68250000000000399</v>
      </c>
      <c r="AF4485">
        <v>0.147753974023656</v>
      </c>
      <c r="AG4485">
        <v>-0.124579</v>
      </c>
      <c r="AH4485">
        <v>0.68226869648425903</v>
      </c>
      <c r="AI4485">
        <v>100.118393790285</v>
      </c>
      <c r="AJ4485">
        <v>77.780565351794493</v>
      </c>
      <c r="AK4485">
        <v>0.70911334656958303</v>
      </c>
      <c r="AL4485">
        <v>68.1512184637443</v>
      </c>
      <c r="AM4485">
        <v>86.515652209427301</v>
      </c>
      <c r="AN4485">
        <v>0.999999967153686</v>
      </c>
    </row>
    <row r="4486" spans="1:40" x14ac:dyDescent="0.25">
      <c r="A4486" t="str">
        <f>"20190304164939772"</f>
        <v>20190304164939772</v>
      </c>
      <c r="B4486" t="str">
        <f>"1551689379760008"</f>
        <v>1551689379760008</v>
      </c>
      <c r="C4486" t="s">
        <v>40</v>
      </c>
      <c r="D4486">
        <v>4.5749639999999996</v>
      </c>
      <c r="E4486">
        <v>0.57034560000000001</v>
      </c>
      <c r="F4486" t="s">
        <v>41</v>
      </c>
      <c r="G4486">
        <v>-190.3905</v>
      </c>
      <c r="H4486">
        <v>0.97009889999999999</v>
      </c>
      <c r="I4486">
        <v>175.0153</v>
      </c>
      <c r="J4486">
        <v>-190.14230000000001</v>
      </c>
      <c r="K4486">
        <v>1.1091949999999999</v>
      </c>
      <c r="L4486">
        <v>175.72649999999999</v>
      </c>
      <c r="M4486">
        <v>-0.10797909999999999</v>
      </c>
      <c r="N4486">
        <v>-1.0832329999999999E-2</v>
      </c>
      <c r="O4486">
        <v>-0.99409429999999999</v>
      </c>
      <c r="P4486">
        <v>-0.15768389999999999</v>
      </c>
      <c r="Q4486">
        <v>0.36208439999999997</v>
      </c>
      <c r="R4486">
        <v>-0.91871159999999996</v>
      </c>
      <c r="S4486">
        <v>-0.97158809999999995</v>
      </c>
      <c r="T4486">
        <v>-0.49515989999999999</v>
      </c>
      <c r="U4486">
        <v>-3.2959749999999999</v>
      </c>
      <c r="V4486">
        <v>5.8894759999999997E-2</v>
      </c>
      <c r="W4486">
        <v>0.37193159999999997</v>
      </c>
      <c r="X4486">
        <v>0.92638989999999999</v>
      </c>
      <c r="Y4486">
        <v>0.17487039999999901</v>
      </c>
      <c r="Z4486">
        <v>0.13260159999999999</v>
      </c>
      <c r="AA4486">
        <v>0.97562139999999997</v>
      </c>
      <c r="AB4486">
        <v>28</v>
      </c>
      <c r="AC4486">
        <v>-0.24819999999999701</v>
      </c>
      <c r="AD4486">
        <v>-0.1390961</v>
      </c>
      <c r="AE4486">
        <v>-0.71119999999999095</v>
      </c>
      <c r="AF4486">
        <v>0.164345497184234</v>
      </c>
      <c r="AG4486">
        <v>-0.1390961</v>
      </c>
      <c r="AH4486">
        <v>0.70964545269203805</v>
      </c>
      <c r="AI4486">
        <v>100.810715227166</v>
      </c>
      <c r="AJ4486">
        <v>76.960841478791593</v>
      </c>
      <c r="AK4486">
        <v>0.741588724298334</v>
      </c>
      <c r="AL4486">
        <v>68.165206004030495</v>
      </c>
      <c r="AM4486">
        <v>86.362345890596401</v>
      </c>
      <c r="AN4486">
        <v>0.99999997732801305</v>
      </c>
    </row>
    <row r="4487" spans="1:40" x14ac:dyDescent="0.25">
      <c r="A4487" t="str">
        <f>"20190304164939785"</f>
        <v>20190304164939785</v>
      </c>
      <c r="B4487" t="str">
        <f>"1551689379780504"</f>
        <v>1551689379780504</v>
      </c>
      <c r="C4487" t="s">
        <v>40</v>
      </c>
      <c r="D4487">
        <v>4.5586120000000001</v>
      </c>
      <c r="E4487">
        <v>0.57023809999999997</v>
      </c>
      <c r="F4487" t="s">
        <v>41</v>
      </c>
      <c r="G4487">
        <v>-190.35929999999999</v>
      </c>
      <c r="H4487">
        <v>0.99943099999999996</v>
      </c>
      <c r="I4487">
        <v>174.99879999999999</v>
      </c>
      <c r="J4487">
        <v>-190.15989999999999</v>
      </c>
      <c r="K4487">
        <v>1.109335</v>
      </c>
      <c r="L4487">
        <v>175.57320000000001</v>
      </c>
      <c r="M4487">
        <v>-0.1087685</v>
      </c>
      <c r="N4487">
        <v>-1.0811609999999999E-2</v>
      </c>
      <c r="O4487">
        <v>-0.99400849999999996</v>
      </c>
      <c r="P4487">
        <v>-0.15977559999999999</v>
      </c>
      <c r="Q4487">
        <v>0.36174519999999999</v>
      </c>
      <c r="R4487">
        <v>-0.91848390000000002</v>
      </c>
      <c r="S4487">
        <v>-0.98176569999999996</v>
      </c>
      <c r="T4487">
        <v>-0.49675259999999999</v>
      </c>
      <c r="U4487">
        <v>-3.2927399999999998</v>
      </c>
      <c r="V4487">
        <v>6.0123290000000003E-2</v>
      </c>
      <c r="W4487">
        <v>0.3715907</v>
      </c>
      <c r="X4487">
        <v>0.92644780000000004</v>
      </c>
      <c r="Y4487">
        <v>0.1770989</v>
      </c>
      <c r="Z4487">
        <v>0.13310089999999999</v>
      </c>
      <c r="AA4487">
        <v>0.97515130000000005</v>
      </c>
      <c r="AB4487">
        <v>28</v>
      </c>
      <c r="AC4487">
        <v>-0.199399999999997</v>
      </c>
      <c r="AD4487">
        <v>-0.109904</v>
      </c>
      <c r="AE4487">
        <v>-0.574400000000025</v>
      </c>
      <c r="AF4487">
        <v>0.131442034491141</v>
      </c>
      <c r="AG4487">
        <v>-0.109904</v>
      </c>
      <c r="AH4487">
        <v>0.57392972267012299</v>
      </c>
      <c r="AI4487">
        <v>100.573217243226</v>
      </c>
      <c r="AJ4487">
        <v>77.100514062304995</v>
      </c>
      <c r="AK4487">
        <v>0.59895844948658605</v>
      </c>
      <c r="AL4487">
        <v>68.186246455602799</v>
      </c>
      <c r="AM4487">
        <v>86.286906897889807</v>
      </c>
      <c r="AN4487">
        <v>0.99999999222587699</v>
      </c>
    </row>
    <row r="4488" spans="1:40" x14ac:dyDescent="0.25">
      <c r="A4488" t="str">
        <f>"20190304164939798"</f>
        <v>20190304164939798</v>
      </c>
      <c r="B4488" t="str">
        <f>"1551689379790265"</f>
        <v>1551689379790265</v>
      </c>
      <c r="C4488" t="s">
        <v>40</v>
      </c>
      <c r="D4488">
        <v>4.5560460000000003</v>
      </c>
      <c r="E4488">
        <v>0.57016210000000001</v>
      </c>
      <c r="F4488" t="s">
        <v>41</v>
      </c>
      <c r="G4488">
        <v>-190.4049</v>
      </c>
      <c r="H4488">
        <v>0.98564649999999998</v>
      </c>
      <c r="I4488">
        <v>174.75649999999999</v>
      </c>
      <c r="J4488">
        <v>-190.1788</v>
      </c>
      <c r="K4488">
        <v>1.1094930000000001</v>
      </c>
      <c r="L4488">
        <v>175.40790000000001</v>
      </c>
      <c r="M4488">
        <v>-0.109533199999999</v>
      </c>
      <c r="N4488">
        <v>-1.0790569999999999E-2</v>
      </c>
      <c r="O4488">
        <v>-0.99392460000000005</v>
      </c>
      <c r="P4488">
        <v>-0.16165750000000001</v>
      </c>
      <c r="Q4488">
        <v>0.36170540000000001</v>
      </c>
      <c r="R4488">
        <v>-0.91817000000000004</v>
      </c>
      <c r="S4488">
        <v>-0.98715209999999998</v>
      </c>
      <c r="T4488">
        <v>-0.49842720000000001</v>
      </c>
      <c r="U4488">
        <v>-3.2908170000000001</v>
      </c>
      <c r="V4488">
        <v>6.1164799999999998E-2</v>
      </c>
      <c r="W4488">
        <v>0.37155139999999998</v>
      </c>
      <c r="X4488">
        <v>0.92639539999999998</v>
      </c>
      <c r="Y4488">
        <v>0.17794219999999999</v>
      </c>
      <c r="Z4488">
        <v>0.1336157</v>
      </c>
      <c r="AA4488">
        <v>0.9749274</v>
      </c>
      <c r="AB4488">
        <v>28</v>
      </c>
      <c r="AC4488">
        <v>-0.22610000000000199</v>
      </c>
      <c r="AD4488">
        <v>-0.1238465</v>
      </c>
      <c r="AE4488">
        <v>-0.65140000000002296</v>
      </c>
      <c r="AF4488">
        <v>0.148591731465194</v>
      </c>
      <c r="AG4488">
        <v>-0.1238465</v>
      </c>
      <c r="AH4488">
        <v>0.65123790357080802</v>
      </c>
      <c r="AI4488">
        <v>100.503706104484</v>
      </c>
      <c r="AJ4488">
        <v>77.146960636703497</v>
      </c>
      <c r="AK4488">
        <v>0.67935871619445398</v>
      </c>
      <c r="AL4488">
        <v>68.188672149607299</v>
      </c>
      <c r="AM4488">
        <v>86.222556933275698</v>
      </c>
      <c r="AN4488">
        <v>1.0000000063710699</v>
      </c>
    </row>
    <row r="4489" spans="1:40" x14ac:dyDescent="0.25">
      <c r="A4489" t="str">
        <f>"20190304164939809"</f>
        <v>20190304164939809</v>
      </c>
      <c r="B4489" t="str">
        <f>"1551689379800025"</f>
        <v>1551689379800025</v>
      </c>
      <c r="C4489" t="s">
        <v>40</v>
      </c>
      <c r="D4489">
        <v>4.5385119999999999</v>
      </c>
      <c r="E4489">
        <v>0.57008459999999905</v>
      </c>
      <c r="F4489" t="s">
        <v>41</v>
      </c>
      <c r="G4489">
        <v>-190.44909999999999</v>
      </c>
      <c r="H4489">
        <v>0.97377849999999999</v>
      </c>
      <c r="I4489">
        <v>174.5128</v>
      </c>
      <c r="J4489">
        <v>-190.1968</v>
      </c>
      <c r="K4489">
        <v>1.1096459999999999</v>
      </c>
      <c r="L4489">
        <v>175.25099999999901</v>
      </c>
      <c r="M4489">
        <v>-0.11009819999999999</v>
      </c>
      <c r="N4489">
        <v>-1.0772510000000001E-2</v>
      </c>
      <c r="O4489">
        <v>-0.99386220000000003</v>
      </c>
      <c r="P4489">
        <v>-0.16334660000000001</v>
      </c>
      <c r="Q4489">
        <v>0.36148950000000002</v>
      </c>
      <c r="R4489">
        <v>-0.91795570000000004</v>
      </c>
      <c r="S4489">
        <v>-0.99291989999999997</v>
      </c>
      <c r="T4489">
        <v>-0.498691</v>
      </c>
      <c r="U4489">
        <v>-3.2890169999999999</v>
      </c>
      <c r="V4489">
        <v>6.2193529999999997E-2</v>
      </c>
      <c r="W4489">
        <v>0.37133929999999998</v>
      </c>
      <c r="X4489">
        <v>0.92641189999999995</v>
      </c>
      <c r="Y4489">
        <v>0.17909249999999999</v>
      </c>
      <c r="Z4489">
        <v>0.13372049999999999</v>
      </c>
      <c r="AA4489">
        <v>0.97470239999999997</v>
      </c>
      <c r="AB4489">
        <v>28</v>
      </c>
      <c r="AC4489">
        <v>-0.25229999999999098</v>
      </c>
      <c r="AD4489">
        <v>-0.135867499999999</v>
      </c>
      <c r="AE4489">
        <v>-0.73819999999997699</v>
      </c>
      <c r="AF4489">
        <v>0.16449724464694701</v>
      </c>
      <c r="AG4489">
        <v>-0.135867499999999</v>
      </c>
      <c r="AH4489">
        <v>0.73907345587859596</v>
      </c>
      <c r="AI4489">
        <v>100.173111053178</v>
      </c>
      <c r="AJ4489">
        <v>77.452082167520203</v>
      </c>
      <c r="AK4489">
        <v>0.76925216557187404</v>
      </c>
      <c r="AL4489">
        <v>68.201759960845294</v>
      </c>
      <c r="AM4489">
        <v>86.159280959494097</v>
      </c>
      <c r="AN4489">
        <v>0.99999995967997901</v>
      </c>
    </row>
    <row r="4490" spans="1:40" x14ac:dyDescent="0.25">
      <c r="A4490" t="str">
        <f>"20190304164939825"</f>
        <v>20190304164939825</v>
      </c>
      <c r="B4490" t="str">
        <f>"1551689379820521"</f>
        <v>1551689379820521</v>
      </c>
      <c r="C4490" t="s">
        <v>40</v>
      </c>
      <c r="D4490">
        <v>4.5575960000000002</v>
      </c>
      <c r="E4490">
        <v>0.56999580000000005</v>
      </c>
      <c r="F4490" t="s">
        <v>41</v>
      </c>
      <c r="G4490">
        <v>-190.42490000000001</v>
      </c>
      <c r="H4490">
        <v>0.99562309999999998</v>
      </c>
      <c r="I4490">
        <v>174.50040000000001</v>
      </c>
      <c r="J4490">
        <v>-190.21770000000001</v>
      </c>
      <c r="K4490">
        <v>1.1098239999999999</v>
      </c>
      <c r="L4490">
        <v>175.06829999999999</v>
      </c>
      <c r="M4490">
        <v>-0.1106144</v>
      </c>
      <c r="N4490">
        <v>-1.075335E-2</v>
      </c>
      <c r="O4490">
        <v>-0.99380520000000006</v>
      </c>
      <c r="P4490">
        <v>-0.1651861</v>
      </c>
      <c r="Q4490">
        <v>0.36098940000000002</v>
      </c>
      <c r="R4490">
        <v>-0.91782370000000002</v>
      </c>
      <c r="S4490">
        <v>-0.9988861</v>
      </c>
      <c r="T4490">
        <v>-0.49939319999999998</v>
      </c>
      <c r="U4490">
        <v>-3.2870180000000002</v>
      </c>
      <c r="V4490">
        <v>6.3386159999999997E-2</v>
      </c>
      <c r="W4490">
        <v>0.37084780000000001</v>
      </c>
      <c r="X4490">
        <v>0.92652800000000002</v>
      </c>
      <c r="Y4490">
        <v>0.18035580000000001</v>
      </c>
      <c r="Z4490">
        <v>0.13395679999999999</v>
      </c>
      <c r="AA4490">
        <v>0.97443690000000005</v>
      </c>
      <c r="AB4490">
        <v>28</v>
      </c>
      <c r="AC4490">
        <v>-0.2072</v>
      </c>
      <c r="AD4490">
        <v>-0.11420089999999899</v>
      </c>
      <c r="AE4490">
        <v>-0.56789999999997998</v>
      </c>
      <c r="AF4490">
        <v>0.138175607777037</v>
      </c>
      <c r="AG4490">
        <v>-0.11420089999999899</v>
      </c>
      <c r="AH4490">
        <v>0.56709678790535201</v>
      </c>
      <c r="AI4490">
        <v>101.07031069866601</v>
      </c>
      <c r="AJ4490">
        <v>76.306455285747006</v>
      </c>
      <c r="AK4490">
        <v>0.59475466454491299</v>
      </c>
      <c r="AL4490">
        <v>68.232087549085605</v>
      </c>
      <c r="AM4490">
        <v>86.086346637976405</v>
      </c>
      <c r="AN4490">
        <v>1.0000000154141899</v>
      </c>
    </row>
    <row r="4491" spans="1:40" x14ac:dyDescent="0.25">
      <c r="A4491" t="str">
        <f>"20190304164939841"</f>
        <v>20190304164939841</v>
      </c>
      <c r="B4491" t="str">
        <f>"1551689379830281"</f>
        <v>1551689379830281</v>
      </c>
      <c r="C4491" t="s">
        <v>40</v>
      </c>
      <c r="D4491">
        <v>4.5501120000000004</v>
      </c>
      <c r="E4491">
        <v>0.56995099999999999</v>
      </c>
      <c r="F4491" t="s">
        <v>41</v>
      </c>
      <c r="G4491">
        <v>-190.4667</v>
      </c>
      <c r="H4491">
        <v>0.9859561</v>
      </c>
      <c r="I4491">
        <v>174.25540000000001</v>
      </c>
      <c r="J4491">
        <v>-190.2406</v>
      </c>
      <c r="K4491">
        <v>1.110012</v>
      </c>
      <c r="L4491">
        <v>174.86789999999999</v>
      </c>
      <c r="M4491">
        <v>-0.11102330000000001</v>
      </c>
      <c r="N4491">
        <v>-1.0734260000000001E-2</v>
      </c>
      <c r="O4491">
        <v>-0.99375990000000003</v>
      </c>
      <c r="P4491">
        <v>-0.16813339999999999</v>
      </c>
      <c r="Q4491">
        <v>0.36007119999999998</v>
      </c>
      <c r="R4491">
        <v>-0.9176491</v>
      </c>
      <c r="S4491">
        <v>-1.0052490000000001</v>
      </c>
      <c r="T4491">
        <v>-0.50056480000000003</v>
      </c>
      <c r="U4491">
        <v>-3.2845460000000002</v>
      </c>
      <c r="V4491">
        <v>6.5773109999999996E-2</v>
      </c>
      <c r="W4491">
        <v>0.36993979999999999</v>
      </c>
      <c r="X4491">
        <v>0.92672460000000001</v>
      </c>
      <c r="Y4491">
        <v>0.18186559999999999</v>
      </c>
      <c r="Z4491">
        <v>0.13434189999999999</v>
      </c>
      <c r="AA4491">
        <v>0.97410330000000001</v>
      </c>
      <c r="AB4491">
        <v>28</v>
      </c>
      <c r="AC4491">
        <v>-0.22610000000000199</v>
      </c>
      <c r="AD4491">
        <v>-0.1240559</v>
      </c>
      <c r="AE4491">
        <v>-0.61249999999998295</v>
      </c>
      <c r="AF4491">
        <v>0.15123628592722199</v>
      </c>
      <c r="AG4491">
        <v>-0.1240559</v>
      </c>
      <c r="AH4491">
        <v>0.61173148001131405</v>
      </c>
      <c r="AI4491">
        <v>101.13725587734601</v>
      </c>
      <c r="AJ4491">
        <v>76.113411370153003</v>
      </c>
      <c r="AK4491">
        <v>0.642244255826943</v>
      </c>
      <c r="AL4491">
        <v>68.288095835384894</v>
      </c>
      <c r="AM4491">
        <v>85.940311743676702</v>
      </c>
      <c r="AN4491">
        <v>1.00000002093413</v>
      </c>
    </row>
    <row r="4492" spans="1:40" x14ac:dyDescent="0.25">
      <c r="A4492" t="str">
        <f>"20190304164939859"</f>
        <v>20190304164939859</v>
      </c>
      <c r="B4492" t="str">
        <f>"1551689379850777"</f>
        <v>1551689379850777</v>
      </c>
      <c r="C4492" t="s">
        <v>40</v>
      </c>
      <c r="D4492">
        <v>4.5242789999999999</v>
      </c>
      <c r="E4492">
        <v>0.56986749999999997</v>
      </c>
      <c r="F4492" t="s">
        <v>41</v>
      </c>
      <c r="G4492">
        <v>-190.50659999999999</v>
      </c>
      <c r="H4492">
        <v>0.9781801</v>
      </c>
      <c r="I4492">
        <v>174.00919999999999</v>
      </c>
      <c r="J4492">
        <v>-190.26570000000001</v>
      </c>
      <c r="K4492">
        <v>1.1102209999999999</v>
      </c>
      <c r="L4492">
        <v>174.6474</v>
      </c>
      <c r="M4492">
        <v>-0.111276</v>
      </c>
      <c r="N4492">
        <v>-1.0715560000000001E-2</v>
      </c>
      <c r="O4492">
        <v>-0.99373199999999995</v>
      </c>
      <c r="P4492">
        <v>-0.16992009999999999</v>
      </c>
      <c r="Q4492">
        <v>0.35966520000000002</v>
      </c>
      <c r="R4492">
        <v>-0.91747939999999994</v>
      </c>
      <c r="S4492">
        <v>-1.01593</v>
      </c>
      <c r="T4492">
        <v>-0.5037355</v>
      </c>
      <c r="U4492">
        <v>-3.2807460000000002</v>
      </c>
      <c r="V4492">
        <v>6.7145620000000003E-2</v>
      </c>
      <c r="W4492">
        <v>0.3695486</v>
      </c>
      <c r="X4492">
        <v>0.92678229999999995</v>
      </c>
      <c r="Y4492">
        <v>0.18478520000000001</v>
      </c>
      <c r="Z4492">
        <v>0.13530599999999901</v>
      </c>
      <c r="AA4492">
        <v>0.97342010000000001</v>
      </c>
      <c r="AB4492">
        <v>28</v>
      </c>
      <c r="AC4492">
        <v>-0.24089999999998199</v>
      </c>
      <c r="AD4492">
        <v>-0.13204089999999899</v>
      </c>
      <c r="AE4492">
        <v>-0.63820000000001098</v>
      </c>
      <c r="AF4492">
        <v>0.162302274137469</v>
      </c>
      <c r="AG4492">
        <v>-0.13204089999999899</v>
      </c>
      <c r="AH4492">
        <v>0.63717079506633301</v>
      </c>
      <c r="AI4492">
        <v>101.35496091060401</v>
      </c>
      <c r="AJ4492">
        <v>75.709332690421206</v>
      </c>
      <c r="AK4492">
        <v>0.67064405577658504</v>
      </c>
      <c r="AL4492">
        <v>68.312220547264602</v>
      </c>
      <c r="AM4492">
        <v>85.856146088657198</v>
      </c>
      <c r="AN4492">
        <v>1.00000006682021</v>
      </c>
    </row>
    <row r="4493" spans="1:40" x14ac:dyDescent="0.25">
      <c r="A4493" t="str">
        <f>"20190304164939874"</f>
        <v>20190304164939874</v>
      </c>
      <c r="B4493" t="str">
        <f>"1551689379870297"</f>
        <v>1551689379870297</v>
      </c>
      <c r="C4493" t="s">
        <v>40</v>
      </c>
      <c r="D4493">
        <v>4.531199</v>
      </c>
      <c r="E4493">
        <v>0.56976979999999999</v>
      </c>
      <c r="F4493" t="s">
        <v>41</v>
      </c>
      <c r="G4493">
        <v>-190.542</v>
      </c>
      <c r="H4493">
        <v>0.97371039999999998</v>
      </c>
      <c r="I4493">
        <v>173.76079999999999</v>
      </c>
      <c r="J4493">
        <v>-190.28809999999999</v>
      </c>
      <c r="K4493">
        <v>1.11039</v>
      </c>
      <c r="L4493">
        <v>174.44919999999999</v>
      </c>
      <c r="M4493">
        <v>-0.111343</v>
      </c>
      <c r="N4493">
        <v>-1.070055E-2</v>
      </c>
      <c r="O4493">
        <v>-0.99372470000000002</v>
      </c>
      <c r="P4493">
        <v>-0.1724734</v>
      </c>
      <c r="Q4493">
        <v>0.35851880000000003</v>
      </c>
      <c r="R4493">
        <v>-0.91745189999999999</v>
      </c>
      <c r="S4493">
        <v>-1.0212859999999999</v>
      </c>
      <c r="T4493">
        <v>-0.50490590000000002</v>
      </c>
      <c r="U4493">
        <v>-3.27861</v>
      </c>
      <c r="V4493">
        <v>6.9469649999999994E-2</v>
      </c>
      <c r="W4493">
        <v>0.36841760000000001</v>
      </c>
      <c r="X4493">
        <v>0.92706120000000003</v>
      </c>
      <c r="Y4493">
        <v>0.18633150000000001</v>
      </c>
      <c r="Z4493">
        <v>0.13568529999999901</v>
      </c>
      <c r="AA4493">
        <v>0.97307250000000001</v>
      </c>
      <c r="AB4493">
        <v>28</v>
      </c>
      <c r="AC4493">
        <v>-0.253900000000015</v>
      </c>
      <c r="AD4493">
        <v>-0.13667960000000001</v>
      </c>
      <c r="AE4493">
        <v>-0.68840000000000101</v>
      </c>
      <c r="AF4493">
        <v>0.16977686043554899</v>
      </c>
      <c r="AG4493">
        <v>-0.13667960000000001</v>
      </c>
      <c r="AH4493">
        <v>0.68849943980101203</v>
      </c>
      <c r="AI4493">
        <v>100.909660592649</v>
      </c>
      <c r="AJ4493">
        <v>76.147806285923295</v>
      </c>
      <c r="AK4493">
        <v>0.72217516850264196</v>
      </c>
      <c r="AL4493">
        <v>68.381940693722498</v>
      </c>
      <c r="AM4493">
        <v>85.714530479277798</v>
      </c>
      <c r="AN4493">
        <v>1.00000001440316</v>
      </c>
    </row>
    <row r="4494" spans="1:40" x14ac:dyDescent="0.25">
      <c r="A4494" t="str">
        <f>"20190304164939897"</f>
        <v>20190304164939897</v>
      </c>
      <c r="B4494" t="str">
        <f>"1551689379890793"</f>
        <v>1551689379890793</v>
      </c>
      <c r="C4494" t="s">
        <v>40</v>
      </c>
      <c r="D4494">
        <v>4.5284519999999997</v>
      </c>
      <c r="E4494">
        <v>0.56972440000000002</v>
      </c>
      <c r="F4494" t="s">
        <v>41</v>
      </c>
      <c r="G4494">
        <v>-190.50960000000001</v>
      </c>
      <c r="H4494">
        <v>1.001169</v>
      </c>
      <c r="I4494">
        <v>173.74510000000001</v>
      </c>
      <c r="J4494">
        <v>-190.31979999999999</v>
      </c>
      <c r="K4494">
        <v>1.1106009999999999</v>
      </c>
      <c r="L4494">
        <v>174.16640000000001</v>
      </c>
      <c r="M4494">
        <v>-0.111194</v>
      </c>
      <c r="N4494">
        <v>-1.068184E-2</v>
      </c>
      <c r="O4494">
        <v>-0.99374150000000006</v>
      </c>
      <c r="P4494">
        <v>-0.17450389999999999</v>
      </c>
      <c r="Q4494">
        <v>0.35798669999999999</v>
      </c>
      <c r="R4494">
        <v>-0.91727550000000002</v>
      </c>
      <c r="S4494">
        <v>-1.029709</v>
      </c>
      <c r="T4494">
        <v>-0.50809789999999999</v>
      </c>
      <c r="U4494">
        <v>-3.274902</v>
      </c>
      <c r="V4494">
        <v>7.1455019999999994E-2</v>
      </c>
      <c r="W4494">
        <v>0.36790420000000001</v>
      </c>
      <c r="X4494">
        <v>0.9271142</v>
      </c>
      <c r="Y4494">
        <v>0.18902640000000001</v>
      </c>
      <c r="Z4494">
        <v>0.1366764</v>
      </c>
      <c r="AA4494">
        <v>0.97241379999999999</v>
      </c>
      <c r="AB4494">
        <v>28</v>
      </c>
      <c r="AC4494">
        <v>-0.18980000000001901</v>
      </c>
      <c r="AD4494">
        <v>-0.109431999999999</v>
      </c>
      <c r="AE4494">
        <v>-0.42130000000000201</v>
      </c>
      <c r="AF4494">
        <v>0.13424490227333699</v>
      </c>
      <c r="AG4494">
        <v>-0.109431999999999</v>
      </c>
      <c r="AH4494">
        <v>0.41643664400931502</v>
      </c>
      <c r="AI4494">
        <v>104.042038719457</v>
      </c>
      <c r="AJ4494">
        <v>72.132457316945604</v>
      </c>
      <c r="AK4494">
        <v>0.45101722238082997</v>
      </c>
      <c r="AL4494">
        <v>68.413578876502797</v>
      </c>
      <c r="AM4494">
        <v>85.592783126543793</v>
      </c>
      <c r="AN4494">
        <v>1.0000000300512299</v>
      </c>
    </row>
    <row r="4495" spans="1:40" x14ac:dyDescent="0.25">
      <c r="A4495" t="str">
        <f>"20190304164939908"</f>
        <v>20190304164939908</v>
      </c>
      <c r="B4495" t="str">
        <f>"1551689379900553"</f>
        <v>1551689379900553</v>
      </c>
      <c r="C4495" t="s">
        <v>40</v>
      </c>
      <c r="D4495">
        <v>4.5272790000000001</v>
      </c>
      <c r="E4495">
        <v>0.56965600000000005</v>
      </c>
      <c r="F4495" t="s">
        <v>41</v>
      </c>
      <c r="G4495">
        <v>-190.60730000000001</v>
      </c>
      <c r="H4495">
        <v>0.96973180000000003</v>
      </c>
      <c r="I4495">
        <v>173.26070000000001</v>
      </c>
      <c r="J4495">
        <v>-190.33670000000001</v>
      </c>
      <c r="K4495">
        <v>1.110703</v>
      </c>
      <c r="L4495">
        <v>174.01480000000001</v>
      </c>
      <c r="M4495">
        <v>-0.1109964</v>
      </c>
      <c r="N4495">
        <v>-1.0673180000000001E-2</v>
      </c>
      <c r="O4495">
        <v>-0.99376359999999997</v>
      </c>
      <c r="P4495">
        <v>-0.17541119999999999</v>
      </c>
      <c r="Q4495">
        <v>0.357956</v>
      </c>
      <c r="R4495">
        <v>-0.91711419999999999</v>
      </c>
      <c r="S4495">
        <v>-1.0382229999999999</v>
      </c>
      <c r="T4495">
        <v>-0.50885309999999995</v>
      </c>
      <c r="U4495">
        <v>-3.271652</v>
      </c>
      <c r="V4495">
        <v>7.2467710000000005E-2</v>
      </c>
      <c r="W4495">
        <v>0.36788290000000001</v>
      </c>
      <c r="X4495">
        <v>0.92704399999999998</v>
      </c>
      <c r="Y4495">
        <v>0.1917846</v>
      </c>
      <c r="Z4495">
        <v>0.1369465</v>
      </c>
      <c r="AA4495">
        <v>0.97183560000000002</v>
      </c>
      <c r="AB4495">
        <v>28</v>
      </c>
      <c r="AC4495">
        <v>-0.27060000000000101</v>
      </c>
      <c r="AD4495">
        <v>-0.14097119999999899</v>
      </c>
      <c r="AE4495">
        <v>-0.754099999999994</v>
      </c>
      <c r="AF4495">
        <v>0.17965837238455801</v>
      </c>
      <c r="AG4495">
        <v>-0.14097119999999899</v>
      </c>
      <c r="AH4495">
        <v>0.75606925366520095</v>
      </c>
      <c r="AI4495">
        <v>100.28174832234301</v>
      </c>
      <c r="AJ4495">
        <v>76.633187536850599</v>
      </c>
      <c r="AK4495">
        <v>0.78980423291798296</v>
      </c>
      <c r="AL4495">
        <v>68.414890356961394</v>
      </c>
      <c r="AM4495">
        <v>85.530236474815297</v>
      </c>
      <c r="AN4495">
        <v>0.99999998752052699</v>
      </c>
    </row>
    <row r="4496" spans="1:40" x14ac:dyDescent="0.25">
      <c r="A4496" t="str">
        <f>"20190304164939920"</f>
        <v>20190304164939920</v>
      </c>
      <c r="B4496" t="str">
        <f>"1551689379910313"</f>
        <v>1551689379910313</v>
      </c>
      <c r="C4496" t="s">
        <v>40</v>
      </c>
      <c r="D4496">
        <v>4.5345909999999998</v>
      </c>
      <c r="E4496">
        <v>0.56965600000000005</v>
      </c>
      <c r="F4496" t="s">
        <v>41</v>
      </c>
      <c r="G4496">
        <v>-190.58080000000001</v>
      </c>
      <c r="H4496">
        <v>0.99148910000000001</v>
      </c>
      <c r="I4496">
        <v>173.2482</v>
      </c>
      <c r="J4496">
        <v>-190.35230000000001</v>
      </c>
      <c r="K4496">
        <v>1.110792</v>
      </c>
      <c r="L4496">
        <v>173.87379999999999</v>
      </c>
      <c r="M4496">
        <v>-0.1107793</v>
      </c>
      <c r="N4496">
        <v>-1.0665569999999999E-2</v>
      </c>
      <c r="O4496">
        <v>-0.99378809999999995</v>
      </c>
      <c r="P4496">
        <v>-0.17615539999999999</v>
      </c>
      <c r="Q4496">
        <v>0.35791329999999999</v>
      </c>
      <c r="R4496">
        <v>-0.91698829999999998</v>
      </c>
      <c r="S4496">
        <v>-1.041245</v>
      </c>
      <c r="T4496">
        <v>-0.50863530000000001</v>
      </c>
      <c r="U4496">
        <v>-3.270508</v>
      </c>
      <c r="V4496">
        <v>7.3344919999999994E-2</v>
      </c>
      <c r="W4496">
        <v>0.36784830000000002</v>
      </c>
      <c r="X4496">
        <v>0.9269887</v>
      </c>
      <c r="Y4496">
        <v>0.19291320000000001</v>
      </c>
      <c r="Z4496">
        <v>0.13690959999999999</v>
      </c>
      <c r="AA4496">
        <v>0.97161730000000002</v>
      </c>
      <c r="AB4496">
        <v>28</v>
      </c>
      <c r="AC4496">
        <v>-0.22849999999999601</v>
      </c>
      <c r="AD4496">
        <v>-0.1193029</v>
      </c>
      <c r="AE4496">
        <v>-0.62559999999999105</v>
      </c>
      <c r="AF4496">
        <v>0.15288057317081299</v>
      </c>
      <c r="AG4496">
        <v>-0.1193029</v>
      </c>
      <c r="AH4496">
        <v>0.62694697152259804</v>
      </c>
      <c r="AI4496">
        <v>100.47427451101299</v>
      </c>
      <c r="AJ4496">
        <v>76.295913323051707</v>
      </c>
      <c r="AK4496">
        <v>0.65625311938519904</v>
      </c>
      <c r="AL4496">
        <v>68.4170214224674</v>
      </c>
      <c r="AM4496">
        <v>85.476085195601499</v>
      </c>
      <c r="AN4496">
        <v>0.999999949515191</v>
      </c>
    </row>
    <row r="4497" spans="1:40" x14ac:dyDescent="0.25">
      <c r="A4497" t="str">
        <f>"20190304164939931"</f>
        <v>20190304164939931</v>
      </c>
      <c r="B4497" t="str">
        <f>"1551689379920072"</f>
        <v>1551689379920072</v>
      </c>
      <c r="C4497" t="s">
        <v>40</v>
      </c>
      <c r="D4497">
        <v>4.6915089999999999</v>
      </c>
      <c r="E4497">
        <v>0.56934249999999997</v>
      </c>
      <c r="F4497" t="s">
        <v>41</v>
      </c>
      <c r="G4497">
        <v>-190.63</v>
      </c>
      <c r="H4497">
        <v>0.9757924</v>
      </c>
      <c r="I4497">
        <v>173.00569999999999</v>
      </c>
      <c r="J4497">
        <v>-190.36859999999999</v>
      </c>
      <c r="K4497">
        <v>1.1108750000000001</v>
      </c>
      <c r="L4497">
        <v>173.726</v>
      </c>
      <c r="M4497">
        <v>-0.1105027</v>
      </c>
      <c r="N4497">
        <v>-1.0658229999999999E-2</v>
      </c>
      <c r="O4497">
        <v>-0.99381889999999995</v>
      </c>
      <c r="P4497">
        <v>-0.1767562</v>
      </c>
      <c r="Q4497">
        <v>0.3578691</v>
      </c>
      <c r="R4497">
        <v>-0.91689030000000005</v>
      </c>
      <c r="S4497">
        <v>-1.0446470000000001</v>
      </c>
      <c r="T4497">
        <v>-0.50854520000000003</v>
      </c>
      <c r="U4497">
        <v>-3.2693789999999998</v>
      </c>
      <c r="V4497">
        <v>7.4136670000000002E-2</v>
      </c>
      <c r="W4497">
        <v>0.36781239999999998</v>
      </c>
      <c r="X4497">
        <v>0.92693999999999999</v>
      </c>
      <c r="Y4497">
        <v>0.19420029999999999</v>
      </c>
      <c r="Z4497">
        <v>0.13690439999999901</v>
      </c>
      <c r="AA4497">
        <v>0.97136160000000005</v>
      </c>
      <c r="AB4497">
        <v>28</v>
      </c>
      <c r="AC4497">
        <v>-0.26140000000000801</v>
      </c>
      <c r="AD4497">
        <v>-0.135082599999999</v>
      </c>
      <c r="AE4497">
        <v>-0.72030000000000804</v>
      </c>
      <c r="AF4497">
        <v>0.17476807116109999</v>
      </c>
      <c r="AG4497">
        <v>-0.135082599999999</v>
      </c>
      <c r="AH4497">
        <v>0.722327434822577</v>
      </c>
      <c r="AI4497">
        <v>100.301927344318</v>
      </c>
      <c r="AJ4497">
        <v>76.398600702816793</v>
      </c>
      <c r="AK4497">
        <v>0.75534635142925999</v>
      </c>
      <c r="AL4497">
        <v>68.419234233485597</v>
      </c>
      <c r="AM4497">
        <v>85.427216829791902</v>
      </c>
      <c r="AN4497">
        <v>0.99999998551622404</v>
      </c>
    </row>
    <row r="4498" spans="1:40" x14ac:dyDescent="0.25">
      <c r="A4498" t="str">
        <f>"20190304164939944"</f>
        <v>20190304164939944</v>
      </c>
      <c r="B4498" t="str">
        <f>"1551689379940568"</f>
        <v>1551689379940568</v>
      </c>
      <c r="C4498" t="s">
        <v>40</v>
      </c>
      <c r="D4498">
        <v>4.4552079999999998</v>
      </c>
      <c r="E4498">
        <v>0.53955209999999998</v>
      </c>
      <c r="F4498" t="s">
        <v>41</v>
      </c>
      <c r="G4498">
        <v>-190.60300000000001</v>
      </c>
      <c r="H4498">
        <v>0.99724749999999995</v>
      </c>
      <c r="I4498">
        <v>172.9933</v>
      </c>
      <c r="J4498">
        <v>-190.386</v>
      </c>
      <c r="K4498">
        <v>1.110951</v>
      </c>
      <c r="L4498">
        <v>173.56720000000001</v>
      </c>
      <c r="M4498">
        <v>-0.1101587</v>
      </c>
      <c r="N4498">
        <v>-1.065113E-2</v>
      </c>
      <c r="O4498">
        <v>-0.99385679999999998</v>
      </c>
      <c r="P4498">
        <v>-0.17679539999999999</v>
      </c>
      <c r="Q4498">
        <v>0.35792990000000002</v>
      </c>
      <c r="R4498">
        <v>-0.91685850000000002</v>
      </c>
      <c r="S4498">
        <v>-1.044556</v>
      </c>
      <c r="T4498">
        <v>-0.50702990000000003</v>
      </c>
      <c r="U4498">
        <v>-3.2684479999999998</v>
      </c>
      <c r="V4498">
        <v>7.4431319999999995E-2</v>
      </c>
      <c r="W4498">
        <v>0.3678807</v>
      </c>
      <c r="X4498">
        <v>0.92688930000000003</v>
      </c>
      <c r="Y4498">
        <v>0.19461149999999999</v>
      </c>
      <c r="Z4498">
        <v>0.1365229</v>
      </c>
      <c r="AA4498">
        <v>0.971333</v>
      </c>
      <c r="AB4498">
        <v>28</v>
      </c>
      <c r="AC4498">
        <v>-0.21699999999998401</v>
      </c>
      <c r="AD4498">
        <v>-0.113703499999999</v>
      </c>
      <c r="AE4498">
        <v>-0.57390000000000896</v>
      </c>
      <c r="AF4498">
        <v>0.14739355766847101</v>
      </c>
      <c r="AG4498">
        <v>-0.113703499999999</v>
      </c>
      <c r="AH4498">
        <v>0.57457977049891196</v>
      </c>
      <c r="AI4498">
        <v>100.851034277297</v>
      </c>
      <c r="AJ4498">
        <v>75.6124852885998</v>
      </c>
      <c r="AK4498">
        <v>0.60398283040248801</v>
      </c>
      <c r="AL4498">
        <v>68.415026256708899</v>
      </c>
      <c r="AM4498">
        <v>85.408870176627104</v>
      </c>
      <c r="AN4498">
        <v>1.00000000264196</v>
      </c>
    </row>
    <row r="4499" spans="1:40" x14ac:dyDescent="0.25">
      <c r="A4499" t="str">
        <f>"20190304164939957"</f>
        <v>20190304164939957</v>
      </c>
      <c r="B4499" t="str">
        <f>"1551689379950329"</f>
        <v>1551689379950329</v>
      </c>
      <c r="C4499" t="s">
        <v>40</v>
      </c>
      <c r="D4499">
        <v>4.4694699999999896</v>
      </c>
      <c r="E4499">
        <v>0.53867189999999998</v>
      </c>
      <c r="F4499" t="s">
        <v>41</v>
      </c>
      <c r="G4499">
        <v>-190.5925</v>
      </c>
      <c r="H4499">
        <v>1.00457</v>
      </c>
      <c r="I4499">
        <v>172.7346</v>
      </c>
      <c r="J4499">
        <v>-190.4025</v>
      </c>
      <c r="K4499">
        <v>1.1110180000000001</v>
      </c>
      <c r="L4499">
        <v>173.41550000000001</v>
      </c>
      <c r="M4499">
        <v>-0.1098089</v>
      </c>
      <c r="N4499">
        <v>-1.064496E-2</v>
      </c>
      <c r="O4499">
        <v>-0.9938958</v>
      </c>
      <c r="P4499">
        <v>-0.17680419999999999</v>
      </c>
      <c r="Q4499">
        <v>0.35775509999999999</v>
      </c>
      <c r="R4499">
        <v>-0.9169254</v>
      </c>
      <c r="S4499">
        <v>-0.81318659999999998</v>
      </c>
      <c r="T4499">
        <v>-0.41895470000000001</v>
      </c>
      <c r="U4499">
        <v>-3.2787929999999998</v>
      </c>
      <c r="V4499">
        <v>7.4699280000000007E-2</v>
      </c>
      <c r="W4499">
        <v>0.36771310000000001</v>
      </c>
      <c r="X4499">
        <v>0.92693419999999904</v>
      </c>
      <c r="Y4499">
        <v>0.13104350000000001</v>
      </c>
      <c r="Z4499">
        <v>0.1128</v>
      </c>
      <c r="AA4499">
        <v>0.98493839999999999</v>
      </c>
      <c r="AB4499">
        <v>28</v>
      </c>
      <c r="AC4499">
        <v>-0.189999999999997</v>
      </c>
      <c r="AD4499">
        <v>-0.106448</v>
      </c>
      <c r="AE4499">
        <v>-0.68090000000000805</v>
      </c>
      <c r="AF4499">
        <v>0.111548433668003</v>
      </c>
      <c r="AG4499">
        <v>-0.106448</v>
      </c>
      <c r="AH4499">
        <v>0.68217852542478596</v>
      </c>
      <c r="AI4499">
        <v>98.754552660922897</v>
      </c>
      <c r="AJ4499">
        <v>80.713299222346294</v>
      </c>
      <c r="AK4499">
        <v>0.69938671013146902</v>
      </c>
      <c r="AL4499">
        <v>68.425351866126903</v>
      </c>
      <c r="AM4499">
        <v>85.392634930242494</v>
      </c>
      <c r="AN4499">
        <v>0.99999995873688297</v>
      </c>
    </row>
    <row r="4500" spans="1:40" x14ac:dyDescent="0.25">
      <c r="A4500" t="str">
        <f>"20190304164939972"</f>
        <v>20190304164939972</v>
      </c>
      <c r="B4500" t="str">
        <f>"1551689379969849"</f>
        <v>1551689379969849</v>
      </c>
      <c r="C4500" t="s">
        <v>40</v>
      </c>
      <c r="D4500">
        <v>4.4374880000000001</v>
      </c>
      <c r="E4500">
        <v>0.5363076</v>
      </c>
      <c r="F4500" t="s">
        <v>41</v>
      </c>
      <c r="G4500">
        <v>-190.63120000000001</v>
      </c>
      <c r="H4500">
        <v>0.99450000000000005</v>
      </c>
      <c r="I4500">
        <v>172.48840000000001</v>
      </c>
      <c r="J4500">
        <v>-190.42590000000001</v>
      </c>
      <c r="K4500">
        <v>1.111086</v>
      </c>
      <c r="L4500">
        <v>173.1995</v>
      </c>
      <c r="M4500">
        <v>-0.10925790000000001</v>
      </c>
      <c r="N4500">
        <v>-1.064083E-2</v>
      </c>
      <c r="O4500">
        <v>-0.99395679999999997</v>
      </c>
      <c r="P4500">
        <v>-0.17663499999999999</v>
      </c>
      <c r="Q4500">
        <v>0.35814990000000002</v>
      </c>
      <c r="R4500">
        <v>-0.91680399999999995</v>
      </c>
      <c r="S4500">
        <v>-0.80700680000000002</v>
      </c>
      <c r="T4500">
        <v>-0.41201719999999997</v>
      </c>
      <c r="U4500">
        <v>-3.2769620000000002</v>
      </c>
      <c r="V4500">
        <v>7.4993649999999995E-2</v>
      </c>
      <c r="W4500">
        <v>0.36811569999999999</v>
      </c>
      <c r="X4500">
        <v>0.92675070000000004</v>
      </c>
      <c r="Y4500">
        <v>0.13002449999999999</v>
      </c>
      <c r="Z4500">
        <v>0.11090079999999999</v>
      </c>
      <c r="AA4500">
        <v>0.98528910000000003</v>
      </c>
      <c r="AB4500">
        <v>28</v>
      </c>
      <c r="AC4500">
        <v>-0.20529999999999399</v>
      </c>
      <c r="AD4500">
        <v>-0.116585999999999</v>
      </c>
      <c r="AE4500">
        <v>-0.71109999999998696</v>
      </c>
      <c r="AF4500">
        <v>0.123313497960302</v>
      </c>
      <c r="AG4500">
        <v>-0.116585999999999</v>
      </c>
      <c r="AH4500">
        <v>0.71161772260117995</v>
      </c>
      <c r="AI4500">
        <v>99.169957288319196</v>
      </c>
      <c r="AJ4500">
        <v>80.169060410801606</v>
      </c>
      <c r="AK4500">
        <v>0.73157248259847496</v>
      </c>
      <c r="AL4500">
        <v>68.400546392395697</v>
      </c>
      <c r="AM4500">
        <v>85.373645280010606</v>
      </c>
      <c r="AN4500">
        <v>1.00000003803865</v>
      </c>
    </row>
    <row r="4501" spans="1:40" x14ac:dyDescent="0.25">
      <c r="A4501" t="str">
        <f>"20190304164939986"</f>
        <v>20190304164939986</v>
      </c>
      <c r="B4501" t="str">
        <f>"1551689379980585"</f>
        <v>1551689379980585</v>
      </c>
      <c r="C4501" t="s">
        <v>40</v>
      </c>
      <c r="D4501">
        <v>4.4414879999999997</v>
      </c>
      <c r="E4501">
        <v>0.53573309999999996</v>
      </c>
      <c r="F4501" t="s">
        <v>41</v>
      </c>
      <c r="G4501">
        <v>-190.6009</v>
      </c>
      <c r="H4501">
        <v>1.019007</v>
      </c>
      <c r="I4501">
        <v>172.4735</v>
      </c>
      <c r="J4501">
        <v>-190.44290000000001</v>
      </c>
      <c r="K4501">
        <v>1.1111180000000001</v>
      </c>
      <c r="L4501">
        <v>173.04159999999999</v>
      </c>
      <c r="M4501">
        <v>-0.10883379999999999</v>
      </c>
      <c r="N4501">
        <v>-1.064039E-2</v>
      </c>
      <c r="O4501">
        <v>-0.99400319999999998</v>
      </c>
      <c r="P4501">
        <v>-0.176006</v>
      </c>
      <c r="Q4501">
        <v>0.35837980000000003</v>
      </c>
      <c r="R4501">
        <v>-0.91683479999999995</v>
      </c>
      <c r="S4501">
        <v>-0.78994750000000002</v>
      </c>
      <c r="T4501">
        <v>-0.41664970000000001</v>
      </c>
      <c r="U4501">
        <v>-3.2828369999999998</v>
      </c>
      <c r="V4501">
        <v>7.4727360000000007E-2</v>
      </c>
      <c r="W4501">
        <v>0.3683515</v>
      </c>
      <c r="X4501">
        <v>0.92667849999999996</v>
      </c>
      <c r="Y4501">
        <v>0.1251717</v>
      </c>
      <c r="Z4501">
        <v>0.11215269999999999</v>
      </c>
      <c r="AA4501">
        <v>0.98577579999999998</v>
      </c>
      <c r="AB4501">
        <v>28</v>
      </c>
      <c r="AC4501">
        <v>-0.15799999999998701</v>
      </c>
      <c r="AD4501">
        <v>-9.2110999999999998E-2</v>
      </c>
      <c r="AE4501">
        <v>-0.56809999999998695</v>
      </c>
      <c r="AF4501">
        <v>9.2961010047427697E-2</v>
      </c>
      <c r="AG4501">
        <v>-9.2110999999999998E-2</v>
      </c>
      <c r="AH4501">
        <v>0.56806027650258495</v>
      </c>
      <c r="AI4501">
        <v>99.091478224569599</v>
      </c>
      <c r="AJ4501">
        <v>80.706132258746095</v>
      </c>
      <c r="AK4501">
        <v>0.58293967393738999</v>
      </c>
      <c r="AL4501">
        <v>68.386014657425406</v>
      </c>
      <c r="AM4501">
        <v>85.389644136947297</v>
      </c>
      <c r="AN4501">
        <v>1.0000000241235301</v>
      </c>
    </row>
    <row r="4502" spans="1:40" x14ac:dyDescent="0.25">
      <c r="A4502" t="str">
        <f>"20190304164939999"</f>
        <v>20190304164939999</v>
      </c>
      <c r="B4502" t="str">
        <f>"1551689379990345"</f>
        <v>1551689379990345</v>
      </c>
      <c r="C4502" t="s">
        <v>40</v>
      </c>
      <c r="D4502">
        <v>4.4406929999999996</v>
      </c>
      <c r="E4502">
        <v>0.53563950000000005</v>
      </c>
      <c r="F4502" t="s">
        <v>41</v>
      </c>
      <c r="G4502">
        <v>-190.63730000000001</v>
      </c>
      <c r="H4502">
        <v>1.0076830000000001</v>
      </c>
      <c r="I4502">
        <v>172.2277</v>
      </c>
      <c r="J4502">
        <v>-190.46080000000001</v>
      </c>
      <c r="K4502">
        <v>1.1111530000000001</v>
      </c>
      <c r="L4502">
        <v>172.87440000000001</v>
      </c>
      <c r="M4502">
        <v>-0.10837720000000001</v>
      </c>
      <c r="N4502">
        <v>-1.0641680000000001E-2</v>
      </c>
      <c r="O4502">
        <v>-0.99405310000000002</v>
      </c>
      <c r="P4502">
        <v>-0.1756154</v>
      </c>
      <c r="Q4502">
        <v>0.35847210000000002</v>
      </c>
      <c r="R4502">
        <v>-0.91687390000000002</v>
      </c>
      <c r="S4502">
        <v>-0.78450010000000003</v>
      </c>
      <c r="T4502">
        <v>-0.41754360000000001</v>
      </c>
      <c r="U4502">
        <v>-3.2847599999999999</v>
      </c>
      <c r="V4502">
        <v>7.4732640000000003E-2</v>
      </c>
      <c r="W4502">
        <v>0.36845030000000001</v>
      </c>
      <c r="X4502">
        <v>0.92663870000000004</v>
      </c>
      <c r="Y4502">
        <v>0.1239446</v>
      </c>
      <c r="Z4502">
        <v>0.112382</v>
      </c>
      <c r="AA4502">
        <v>0.98590469999999997</v>
      </c>
      <c r="AB4502">
        <v>28</v>
      </c>
      <c r="AC4502">
        <v>-0.17650000000000399</v>
      </c>
      <c r="AD4502">
        <v>-0.10347000000000001</v>
      </c>
      <c r="AE4502">
        <v>-0.64670000000000905</v>
      </c>
      <c r="AF4502">
        <v>0.102916849614319</v>
      </c>
      <c r="AG4502">
        <v>-0.10347000000000001</v>
      </c>
      <c r="AH4502">
        <v>0.64661485570847399</v>
      </c>
      <c r="AI4502">
        <v>98.980123373599497</v>
      </c>
      <c r="AJ4502">
        <v>80.956515546485406</v>
      </c>
      <c r="AK4502">
        <v>0.66287909188435501</v>
      </c>
      <c r="AL4502">
        <v>68.379923562933399</v>
      </c>
      <c r="AM4502">
        <v>85.389122609006705</v>
      </c>
      <c r="AN4502">
        <v>0.99999993569457202</v>
      </c>
    </row>
    <row r="4503" spans="1:40" x14ac:dyDescent="0.25">
      <c r="A4503" t="str">
        <f>"20190304164940009"</f>
        <v>20190304164940009</v>
      </c>
      <c r="B4503" t="str">
        <f>"1551689380000105"</f>
        <v>1551689380000105</v>
      </c>
      <c r="C4503" t="s">
        <v>40</v>
      </c>
      <c r="D4503">
        <v>4.4622250000000001</v>
      </c>
      <c r="E4503">
        <v>0.53562969999999999</v>
      </c>
      <c r="F4503" t="s">
        <v>41</v>
      </c>
      <c r="G4503">
        <v>-190.67410000000001</v>
      </c>
      <c r="H4503">
        <v>0.99822029999999995</v>
      </c>
      <c r="I4503">
        <v>171.98070000000001</v>
      </c>
      <c r="J4503">
        <v>-190.47630000000001</v>
      </c>
      <c r="K4503">
        <v>1.11117</v>
      </c>
      <c r="L4503">
        <v>172.72829999999999</v>
      </c>
      <c r="M4503">
        <v>-0.1079705</v>
      </c>
      <c r="N4503">
        <v>-1.0645480000000001E-2</v>
      </c>
      <c r="O4503">
        <v>-0.99409700000000001</v>
      </c>
      <c r="P4503">
        <v>-0.17521870000000001</v>
      </c>
      <c r="Q4503">
        <v>0.35875679999999999</v>
      </c>
      <c r="R4503">
        <v>-0.91683780000000004</v>
      </c>
      <c r="S4503">
        <v>-0.78324890000000003</v>
      </c>
      <c r="T4503">
        <v>-0.41508450000000002</v>
      </c>
      <c r="U4503">
        <v>-3.2842560000000001</v>
      </c>
      <c r="V4503">
        <v>7.4705690000000005E-2</v>
      </c>
      <c r="W4503">
        <v>0.36874119999999999</v>
      </c>
      <c r="X4503">
        <v>0.92652520000000005</v>
      </c>
      <c r="Y4503">
        <v>0.1240478</v>
      </c>
      <c r="Z4503">
        <v>0.1116949</v>
      </c>
      <c r="AA4503">
        <v>0.98596980000000001</v>
      </c>
      <c r="AB4503">
        <v>28</v>
      </c>
      <c r="AC4503">
        <v>-0.1978</v>
      </c>
      <c r="AD4503">
        <v>-0.112949699999999</v>
      </c>
      <c r="AE4503">
        <v>-0.74759999999997695</v>
      </c>
      <c r="AF4503">
        <v>0.11349897615094499</v>
      </c>
      <c r="AG4503">
        <v>-0.112949699999999</v>
      </c>
      <c r="AH4503">
        <v>0.74861683096424003</v>
      </c>
      <c r="AI4503">
        <v>98.4844269714512</v>
      </c>
      <c r="AJ4503">
        <v>81.378951266327903</v>
      </c>
      <c r="AK4503">
        <v>0.765550006152664</v>
      </c>
      <c r="AL4503">
        <v>68.361994774336296</v>
      </c>
      <c r="AM4503">
        <v>85.390216012931006</v>
      </c>
      <c r="AN4503">
        <v>0.99999997946542796</v>
      </c>
    </row>
    <row r="4504" spans="1:40" x14ac:dyDescent="0.25">
      <c r="A4504" t="str">
        <f>"20190304164940022"</f>
        <v>20190304164940022</v>
      </c>
      <c r="B4504" t="str">
        <f>"1551689380020600"</f>
        <v>1551689380020600</v>
      </c>
      <c r="C4504" t="s">
        <v>40</v>
      </c>
      <c r="D4504">
        <v>4.4758969999999998</v>
      </c>
      <c r="E4504">
        <v>0.53534329999999997</v>
      </c>
      <c r="F4504" t="s">
        <v>41</v>
      </c>
      <c r="G4504">
        <v>-190.65700000000001</v>
      </c>
      <c r="H4504">
        <v>1.0159009999999999</v>
      </c>
      <c r="I4504">
        <v>171.97049999999999</v>
      </c>
      <c r="J4504">
        <v>-190.49209999999999</v>
      </c>
      <c r="K4504">
        <v>1.1111799999999901</v>
      </c>
      <c r="L4504">
        <v>172.57939999999999</v>
      </c>
      <c r="M4504">
        <v>-0.10755480000000001</v>
      </c>
      <c r="N4504">
        <v>-1.065086E-2</v>
      </c>
      <c r="O4504">
        <v>-0.99414219999999998</v>
      </c>
      <c r="P4504">
        <v>-0.1747763</v>
      </c>
      <c r="Q4504">
        <v>0.35847299999999999</v>
      </c>
      <c r="R4504">
        <v>-0.91703369999999995</v>
      </c>
      <c r="S4504">
        <v>-0.78234859999999995</v>
      </c>
      <c r="T4504">
        <v>-0.4129642</v>
      </c>
      <c r="U4504">
        <v>-3.2841949999999902</v>
      </c>
      <c r="V4504">
        <v>7.4622910000000001E-2</v>
      </c>
      <c r="W4504">
        <v>0.3684655</v>
      </c>
      <c r="X4504">
        <v>0.92664159999999995</v>
      </c>
      <c r="Y4504">
        <v>0.1242272</v>
      </c>
      <c r="Z4504">
        <v>0.1110865</v>
      </c>
      <c r="AA4504">
        <v>0.98601589999999995</v>
      </c>
      <c r="AB4504">
        <v>28</v>
      </c>
      <c r="AC4504">
        <v>-0.16490000000001701</v>
      </c>
      <c r="AD4504">
        <v>-9.5278999999999794E-2</v>
      </c>
      <c r="AE4504">
        <v>-0.60890000000000499</v>
      </c>
      <c r="AF4504">
        <v>9.6253759269978006E-2</v>
      </c>
      <c r="AG4504">
        <v>-9.5278999999999794E-2</v>
      </c>
      <c r="AH4504">
        <v>0.60920698923069505</v>
      </c>
      <c r="AI4504">
        <v>98.781752348314797</v>
      </c>
      <c r="AJ4504">
        <v>81.021575764118893</v>
      </c>
      <c r="AK4504">
        <v>0.62408014688990998</v>
      </c>
      <c r="AL4504">
        <v>68.378988879149006</v>
      </c>
      <c r="AM4504">
        <v>85.395877983079004</v>
      </c>
      <c r="AN4504">
        <v>1.00000002911883</v>
      </c>
    </row>
    <row r="4505" spans="1:40" x14ac:dyDescent="0.25">
      <c r="A4505" t="str">
        <f>"20190304164940041"</f>
        <v>20190304164940041</v>
      </c>
      <c r="B4505" t="str">
        <f>"1551689380030360"</f>
        <v>1551689380030360</v>
      </c>
      <c r="C4505" t="s">
        <v>40</v>
      </c>
      <c r="D4505">
        <v>4.4736609999999999</v>
      </c>
      <c r="E4505">
        <v>0.53526490000000004</v>
      </c>
      <c r="F4505" t="s">
        <v>41</v>
      </c>
      <c r="G4505">
        <v>-190.6944</v>
      </c>
      <c r="H4505">
        <v>1.0026930000000001</v>
      </c>
      <c r="I4505">
        <v>171.7252</v>
      </c>
      <c r="J4505">
        <v>-190.51660000000001</v>
      </c>
      <c r="K4505">
        <v>1.1111869999999999</v>
      </c>
      <c r="L4505">
        <v>172.3476</v>
      </c>
      <c r="M4505">
        <v>-0.106909</v>
      </c>
      <c r="N4505">
        <v>-1.0662339999999999E-2</v>
      </c>
      <c r="O4505">
        <v>-0.99421179999999998</v>
      </c>
      <c r="P4505">
        <v>-0.17417639999999901</v>
      </c>
      <c r="Q4505">
        <v>0.35792279999999999</v>
      </c>
      <c r="R4505">
        <v>-0.91736280000000003</v>
      </c>
      <c r="S4505">
        <v>-0.77804569999999995</v>
      </c>
      <c r="T4505">
        <v>-0.41743089999999999</v>
      </c>
      <c r="U4505">
        <v>-3.2863159999999998</v>
      </c>
      <c r="V4505">
        <v>7.4586990000000006E-2</v>
      </c>
      <c r="W4505">
        <v>0.36792999999999998</v>
      </c>
      <c r="X4505">
        <v>0.92685720000000005</v>
      </c>
      <c r="Y4505">
        <v>0.12347329999999999</v>
      </c>
      <c r="Z4505">
        <v>0.11233029999999999</v>
      </c>
      <c r="AA4505">
        <v>0.98596969999999995</v>
      </c>
      <c r="AB4505">
        <v>28</v>
      </c>
      <c r="AC4505">
        <v>-0.17779999999998999</v>
      </c>
      <c r="AD4505">
        <v>-0.10849399999999999</v>
      </c>
      <c r="AE4505">
        <v>-0.62239999999999895</v>
      </c>
      <c r="AF4505">
        <v>0.107224648950778</v>
      </c>
      <c r="AG4505">
        <v>-0.10849399999999999</v>
      </c>
      <c r="AH4505">
        <v>0.62041255281954799</v>
      </c>
      <c r="AI4505">
        <v>99.777151893586094</v>
      </c>
      <c r="AJ4505">
        <v>80.194548425169501</v>
      </c>
      <c r="AK4505">
        <v>0.63888951241563396</v>
      </c>
      <c r="AL4505">
        <v>68.411988153583707</v>
      </c>
      <c r="AM4505">
        <v>85.399150545988604</v>
      </c>
      <c r="AN4505">
        <v>0.99999998658455003</v>
      </c>
    </row>
    <row r="4506" spans="1:40" x14ac:dyDescent="0.25">
      <c r="A4506" t="str">
        <f>"20190304164940056"</f>
        <v>20190304164940056</v>
      </c>
      <c r="B4506" t="str">
        <f>"1551689380049880"</f>
        <v>1551689380049880</v>
      </c>
      <c r="C4506" t="s">
        <v>40</v>
      </c>
      <c r="D4506">
        <v>4.4440720000000002</v>
      </c>
      <c r="E4506">
        <v>0.53520630000000002</v>
      </c>
      <c r="F4506" t="s">
        <v>41</v>
      </c>
      <c r="G4506">
        <v>-190.7225</v>
      </c>
      <c r="H4506">
        <v>0.99921599999999999</v>
      </c>
      <c r="I4506">
        <v>171.47409999999999</v>
      </c>
      <c r="J4506">
        <v>-190.53659999999999</v>
      </c>
      <c r="K4506">
        <v>1.1111960000000001</v>
      </c>
      <c r="L4506">
        <v>172.1567</v>
      </c>
      <c r="M4506">
        <v>-0.1063813</v>
      </c>
      <c r="N4506">
        <v>-1.067504E-2</v>
      </c>
      <c r="O4506">
        <v>-0.99426829999999999</v>
      </c>
      <c r="P4506">
        <v>-0.17365839999999999</v>
      </c>
      <c r="Q4506">
        <v>0.35754770000000002</v>
      </c>
      <c r="R4506">
        <v>-0.9176069</v>
      </c>
      <c r="S4506">
        <v>-0.77453609999999995</v>
      </c>
      <c r="T4506">
        <v>-0.42147709999999999</v>
      </c>
      <c r="U4506">
        <v>-3.2876129999999999</v>
      </c>
      <c r="V4506">
        <v>7.4537599999999996E-2</v>
      </c>
      <c r="W4506">
        <v>0.36756889999999998</v>
      </c>
      <c r="X4506">
        <v>0.92700450000000001</v>
      </c>
      <c r="Y4506">
        <v>0.12288540000000001</v>
      </c>
      <c r="Z4506">
        <v>0.113472699999999</v>
      </c>
      <c r="AA4506">
        <v>0.98591229999999996</v>
      </c>
      <c r="AB4506">
        <v>28</v>
      </c>
      <c r="AC4506">
        <v>-0.18590000000000301</v>
      </c>
      <c r="AD4506">
        <v>-0.111979999999999</v>
      </c>
      <c r="AE4506">
        <v>-0.68260000000000698</v>
      </c>
      <c r="AF4506">
        <v>0.109482021751764</v>
      </c>
      <c r="AG4506">
        <v>-0.111979999999999</v>
      </c>
      <c r="AH4506">
        <v>0.68143098047351003</v>
      </c>
      <c r="AI4506">
        <v>99.215924864570695</v>
      </c>
      <c r="AJ4506">
        <v>80.872583409640001</v>
      </c>
      <c r="AK4506">
        <v>0.69919526216640204</v>
      </c>
      <c r="AL4506">
        <v>68.434238088834107</v>
      </c>
      <c r="AM4506">
        <v>85.402911525270895</v>
      </c>
      <c r="AN4506">
        <v>1.0000000465406</v>
      </c>
    </row>
    <row r="4507" spans="1:40" x14ac:dyDescent="0.25">
      <c r="A4507" t="str">
        <f>"20190304164940076"</f>
        <v>20190304164940076</v>
      </c>
      <c r="B4507" t="str">
        <f>"1551689380070376"</f>
        <v>1551689380070376</v>
      </c>
      <c r="C4507" t="s">
        <v>40</v>
      </c>
      <c r="D4507">
        <v>4.4559189999999997</v>
      </c>
      <c r="E4507">
        <v>0.53521509999999894</v>
      </c>
      <c r="F4507" t="s">
        <v>41</v>
      </c>
      <c r="G4507">
        <v>-190.755</v>
      </c>
      <c r="H4507">
        <v>0.99130649999999998</v>
      </c>
      <c r="I4507">
        <v>171.2253</v>
      </c>
      <c r="J4507">
        <v>-190.56200000000001</v>
      </c>
      <c r="K4507">
        <v>1.1112</v>
      </c>
      <c r="L4507">
        <v>171.9126</v>
      </c>
      <c r="M4507">
        <v>-0.1057186</v>
      </c>
      <c r="N4507">
        <v>-1.0694469999999999E-2</v>
      </c>
      <c r="O4507">
        <v>-0.99433879999999997</v>
      </c>
      <c r="P4507">
        <v>-0.17325950000000001</v>
      </c>
      <c r="Q4507">
        <v>0.35749069999999999</v>
      </c>
      <c r="R4507">
        <v>-0.91770479999999999</v>
      </c>
      <c r="S4507">
        <v>-0.77087399999999995</v>
      </c>
      <c r="T4507">
        <v>-0.42334379999999999</v>
      </c>
      <c r="U4507">
        <v>-3.2884370000000001</v>
      </c>
      <c r="V4507">
        <v>7.475184E-2</v>
      </c>
      <c r="W4507">
        <v>0.36753039999999998</v>
      </c>
      <c r="X4507">
        <v>0.92700249999999995</v>
      </c>
      <c r="Y4507">
        <v>0.1224372</v>
      </c>
      <c r="Z4507">
        <v>0.1139954</v>
      </c>
      <c r="AA4507">
        <v>0.9859078</v>
      </c>
      <c r="AB4507">
        <v>28</v>
      </c>
      <c r="AC4507">
        <v>-0.19299999999998299</v>
      </c>
      <c r="AD4507">
        <v>-0.119893499999999</v>
      </c>
      <c r="AE4507">
        <v>-0.68729999999999303</v>
      </c>
      <c r="AF4507">
        <v>0.115982428732196</v>
      </c>
      <c r="AG4507">
        <v>-0.119893499999999</v>
      </c>
      <c r="AH4507">
        <v>0.68454481418600799</v>
      </c>
      <c r="AI4507">
        <v>99.797350576679307</v>
      </c>
      <c r="AJ4507">
        <v>80.383698871494801</v>
      </c>
      <c r="AK4507">
        <v>0.70457645273300495</v>
      </c>
      <c r="AL4507">
        <v>68.436609711356795</v>
      </c>
      <c r="AM4507">
        <v>85.389745298583406</v>
      </c>
      <c r="AN4507">
        <v>1.0000000337568899</v>
      </c>
    </row>
    <row r="4508" spans="1:40" x14ac:dyDescent="0.25">
      <c r="A4508" t="str">
        <f>"20190304164940088"</f>
        <v>20190304164940088</v>
      </c>
      <c r="B4508" t="str">
        <f>"1551689380080137"</f>
        <v>1551689380080137</v>
      </c>
      <c r="C4508" t="s">
        <v>40</v>
      </c>
      <c r="D4508">
        <v>4.4802460000000002</v>
      </c>
      <c r="E4508">
        <v>0.53524519999999998</v>
      </c>
      <c r="F4508" t="s">
        <v>41</v>
      </c>
      <c r="G4508">
        <v>-190.7817</v>
      </c>
      <c r="H4508">
        <v>0.98949719999999997</v>
      </c>
      <c r="I4508">
        <v>170.97290000000001</v>
      </c>
      <c r="J4508">
        <v>-190.58009999999999</v>
      </c>
      <c r="K4508">
        <v>1.111205</v>
      </c>
      <c r="L4508">
        <v>171.73779999999999</v>
      </c>
      <c r="M4508">
        <v>-0.1052545</v>
      </c>
      <c r="N4508">
        <v>-1.071194E-2</v>
      </c>
      <c r="O4508">
        <v>-0.99438769999999999</v>
      </c>
      <c r="P4508">
        <v>-0.17313489999999901</v>
      </c>
      <c r="Q4508">
        <v>0.35746099999999997</v>
      </c>
      <c r="R4508">
        <v>-0.91773970000000005</v>
      </c>
      <c r="S4508">
        <v>-0.76872249999999998</v>
      </c>
      <c r="T4508">
        <v>-0.42615579999999997</v>
      </c>
      <c r="U4508">
        <v>-3.2899020000000001</v>
      </c>
      <c r="V4508">
        <v>7.5060189999999999E-2</v>
      </c>
      <c r="W4508">
        <v>0.36751709999999999</v>
      </c>
      <c r="X4508">
        <v>0.9269828</v>
      </c>
      <c r="Y4508">
        <v>0.1221709</v>
      </c>
      <c r="Z4508">
        <v>0.1147589</v>
      </c>
      <c r="AA4508">
        <v>0.98585219999999996</v>
      </c>
      <c r="AB4508">
        <v>28</v>
      </c>
      <c r="AC4508">
        <v>-0.20160000000001299</v>
      </c>
      <c r="AD4508">
        <v>-0.1217078</v>
      </c>
      <c r="AE4508">
        <v>-0.76489999999998204</v>
      </c>
      <c r="AF4508">
        <v>0.11719193600501</v>
      </c>
      <c r="AG4508">
        <v>-0.1217078</v>
      </c>
      <c r="AH4508">
        <v>0.763789761221213</v>
      </c>
      <c r="AI4508">
        <v>98.950784462727498</v>
      </c>
      <c r="AJ4508">
        <v>81.276862559981694</v>
      </c>
      <c r="AK4508">
        <v>0.78225413887802497</v>
      </c>
      <c r="AL4508">
        <v>68.437427900272596</v>
      </c>
      <c r="AM4508">
        <v>85.370712613226104</v>
      </c>
      <c r="AN4508">
        <v>0.99999998120554201</v>
      </c>
    </row>
    <row r="4509" spans="1:40" x14ac:dyDescent="0.25">
      <c r="A4509" t="str">
        <f>"20190304164940100"</f>
        <v>20190304164940100</v>
      </c>
      <c r="B4509" t="str">
        <f>"1551689380089897"</f>
        <v>1551689380089897</v>
      </c>
      <c r="C4509" t="s">
        <v>40</v>
      </c>
      <c r="D4509">
        <v>4.4836830000000001</v>
      </c>
      <c r="E4509">
        <v>0.53530109999999997</v>
      </c>
      <c r="F4509" t="s">
        <v>41</v>
      </c>
      <c r="G4509">
        <v>-190.76130000000001</v>
      </c>
      <c r="H4509">
        <v>1.0103089999999999</v>
      </c>
      <c r="I4509">
        <v>170.96099999999899</v>
      </c>
      <c r="J4509">
        <v>-190.59479999999999</v>
      </c>
      <c r="K4509">
        <v>1.1112089999999999</v>
      </c>
      <c r="L4509">
        <v>171.59549999999999</v>
      </c>
      <c r="M4509">
        <v>-0.104879399999999</v>
      </c>
      <c r="N4509">
        <v>-1.0726869999999999E-2</v>
      </c>
      <c r="O4509">
        <v>-0.99442710000000001</v>
      </c>
      <c r="P4509">
        <v>-0.17298250000000001</v>
      </c>
      <c r="Q4509">
        <v>0.35738599999999998</v>
      </c>
      <c r="R4509">
        <v>-0.91779739999999999</v>
      </c>
      <c r="S4509">
        <v>-0.7670593</v>
      </c>
      <c r="T4509">
        <v>-0.42744680000000002</v>
      </c>
      <c r="U4509">
        <v>-3.2906949999999999</v>
      </c>
      <c r="V4509">
        <v>7.5255100000000005E-2</v>
      </c>
      <c r="W4509">
        <v>0.36745549999999999</v>
      </c>
      <c r="X4509">
        <v>0.92699149999999997</v>
      </c>
      <c r="Y4509">
        <v>0.1220106</v>
      </c>
      <c r="Z4509">
        <v>0.115104</v>
      </c>
      <c r="AA4509">
        <v>0.98583189999999998</v>
      </c>
      <c r="AB4509">
        <v>28</v>
      </c>
      <c r="AC4509">
        <v>-0.166500000000013</v>
      </c>
      <c r="AD4509">
        <v>-0.1009</v>
      </c>
      <c r="AE4509">
        <v>-0.63450000000000195</v>
      </c>
      <c r="AF4509">
        <v>9.6742977458045595E-2</v>
      </c>
      <c r="AG4509">
        <v>-0.1009</v>
      </c>
      <c r="AH4509">
        <v>0.63347623752405802</v>
      </c>
      <c r="AI4509">
        <v>98.948003901416996</v>
      </c>
      <c r="AJ4509">
        <v>81.3170141373744</v>
      </c>
      <c r="AK4509">
        <v>0.64871577535549796</v>
      </c>
      <c r="AL4509">
        <v>68.441224591790203</v>
      </c>
      <c r="AM4509">
        <v>85.358787487040203</v>
      </c>
      <c r="AN4509">
        <v>1.0000000578142501</v>
      </c>
    </row>
    <row r="4510" spans="1:40" x14ac:dyDescent="0.25">
      <c r="A4510" t="str">
        <f>"20190304164940111"</f>
        <v>20190304164940111</v>
      </c>
      <c r="B4510" t="str">
        <f>"1551689380100633"</f>
        <v>1551689380100633</v>
      </c>
      <c r="C4510" t="s">
        <v>40</v>
      </c>
      <c r="D4510">
        <v>4.5010560000000002</v>
      </c>
      <c r="E4510">
        <v>0.53535769999999905</v>
      </c>
      <c r="F4510" t="s">
        <v>41</v>
      </c>
      <c r="G4510">
        <v>-190.7998</v>
      </c>
      <c r="H4510">
        <v>0.99634959999999995</v>
      </c>
      <c r="I4510">
        <v>170.71549999999999</v>
      </c>
      <c r="J4510">
        <v>-190.6096</v>
      </c>
      <c r="K4510">
        <v>1.1112120000000001</v>
      </c>
      <c r="L4510">
        <v>171.4513</v>
      </c>
      <c r="M4510">
        <v>-0.104503399999999</v>
      </c>
      <c r="N4510">
        <v>-1.074286E-2</v>
      </c>
      <c r="O4510">
        <v>-0.99446679999999998</v>
      </c>
      <c r="P4510">
        <v>-0.17312710000000001</v>
      </c>
      <c r="Q4510">
        <v>0.35761769999999998</v>
      </c>
      <c r="R4510">
        <v>-0.9176803</v>
      </c>
      <c r="S4510">
        <v>-0.76628109999999905</v>
      </c>
      <c r="T4510">
        <v>-0.42966219999999999</v>
      </c>
      <c r="U4510">
        <v>-3.2915800000000002</v>
      </c>
      <c r="V4510">
        <v>7.5764250000000005E-2</v>
      </c>
      <c r="W4510">
        <v>0.3677011</v>
      </c>
      <c r="X4510">
        <v>0.92685260000000003</v>
      </c>
      <c r="Y4510">
        <v>0.1220897</v>
      </c>
      <c r="Z4510">
        <v>0.1157067</v>
      </c>
      <c r="AA4510">
        <v>0.9857515</v>
      </c>
      <c r="AB4510">
        <v>29</v>
      </c>
      <c r="AC4510">
        <v>-0.190200000000004</v>
      </c>
      <c r="AD4510">
        <v>-0.1148624</v>
      </c>
      <c r="AE4510">
        <v>-0.735800000000011</v>
      </c>
      <c r="AF4510">
        <v>0.109753377318933</v>
      </c>
      <c r="AG4510">
        <v>-0.1148624</v>
      </c>
      <c r="AH4510">
        <v>0.73486221534688001</v>
      </c>
      <c r="AI4510">
        <v>98.787793265606297</v>
      </c>
      <c r="AJ4510">
        <v>81.505530533619705</v>
      </c>
      <c r="AK4510">
        <v>0.75183884597112705</v>
      </c>
      <c r="AL4510">
        <v>68.426092857350397</v>
      </c>
      <c r="AM4510">
        <v>85.326828091799996</v>
      </c>
      <c r="AN4510">
        <v>1.00000003132301</v>
      </c>
    </row>
    <row r="4511" spans="1:40" x14ac:dyDescent="0.25">
      <c r="A4511" t="str">
        <f>"20190304164940124"</f>
        <v>20190304164940124</v>
      </c>
      <c r="B4511" t="str">
        <f>"1551689380120153"</f>
        <v>1551689380120153</v>
      </c>
      <c r="C4511" t="s">
        <v>40</v>
      </c>
      <c r="D4511">
        <v>4.5320220000000004</v>
      </c>
      <c r="E4511">
        <v>0.535663</v>
      </c>
      <c r="F4511" t="s">
        <v>41</v>
      </c>
      <c r="G4511">
        <v>-190.78319999999999</v>
      </c>
      <c r="H4511">
        <v>1.01383</v>
      </c>
      <c r="I4511">
        <v>170.7054</v>
      </c>
      <c r="J4511">
        <v>-190.62469999999999</v>
      </c>
      <c r="K4511">
        <v>1.111218</v>
      </c>
      <c r="L4511">
        <v>171.3039</v>
      </c>
      <c r="M4511">
        <v>-0.104121699999999</v>
      </c>
      <c r="N4511">
        <v>-1.076293E-2</v>
      </c>
      <c r="O4511">
        <v>-0.99450660000000002</v>
      </c>
      <c r="P4511">
        <v>-0.17328109999999999</v>
      </c>
      <c r="Q4511">
        <v>0.35811349999999997</v>
      </c>
      <c r="R4511">
        <v>-0.91745770000000004</v>
      </c>
      <c r="S4511">
        <v>-0.76591489999999995</v>
      </c>
      <c r="T4511">
        <v>-0.42982910000000002</v>
      </c>
      <c r="U4511">
        <v>-3.292084</v>
      </c>
      <c r="V4511">
        <v>7.6298340000000006E-2</v>
      </c>
      <c r="W4511">
        <v>0.36821320000000002</v>
      </c>
      <c r="X4511">
        <v>0.92660540000000002</v>
      </c>
      <c r="Y4511">
        <v>0.12233239999999899</v>
      </c>
      <c r="Z4511">
        <v>0.11572350000000001</v>
      </c>
      <c r="AA4511">
        <v>0.98571940000000002</v>
      </c>
      <c r="AB4511">
        <v>29</v>
      </c>
      <c r="AC4511">
        <v>-0.158500000000003</v>
      </c>
      <c r="AD4511">
        <v>-9.7388000000000002E-2</v>
      </c>
      <c r="AE4511">
        <v>-0.59850000000000103</v>
      </c>
      <c r="AF4511">
        <v>9.3016489217487106E-2</v>
      </c>
      <c r="AG4511">
        <v>-9.7388000000000002E-2</v>
      </c>
      <c r="AH4511">
        <v>0.59697995460214204</v>
      </c>
      <c r="AI4511">
        <v>99.156720369515497</v>
      </c>
      <c r="AJ4511">
        <v>81.143854146211396</v>
      </c>
      <c r="AK4511">
        <v>0.61198166312980495</v>
      </c>
      <c r="AL4511">
        <v>68.394536766749994</v>
      </c>
      <c r="AM4511">
        <v>85.292782813487506</v>
      </c>
      <c r="AN4511">
        <v>0.99999998232507703</v>
      </c>
    </row>
    <row r="4512" spans="1:40" x14ac:dyDescent="0.25">
      <c r="A4512" t="str">
        <f>"20190304164940141"</f>
        <v>20190304164940141</v>
      </c>
      <c r="B4512" t="str">
        <f>"1551689380129913"</f>
        <v>1551689380129913</v>
      </c>
      <c r="C4512" t="s">
        <v>40</v>
      </c>
      <c r="D4512">
        <v>4.5041449999999896</v>
      </c>
      <c r="E4512">
        <v>0.53569019999999901</v>
      </c>
      <c r="F4512" t="s">
        <v>41</v>
      </c>
      <c r="G4512">
        <v>-190.82220000000001</v>
      </c>
      <c r="H4512">
        <v>1.0011000000000001</v>
      </c>
      <c r="I4512">
        <v>170.45920000000001</v>
      </c>
      <c r="J4512">
        <v>-190.6473</v>
      </c>
      <c r="K4512">
        <v>1.111229</v>
      </c>
      <c r="L4512">
        <v>171.08240000000001</v>
      </c>
      <c r="M4512">
        <v>-0.1035513</v>
      </c>
      <c r="N4512">
        <v>-1.079839E-2</v>
      </c>
      <c r="O4512">
        <v>-0.99456580000000006</v>
      </c>
      <c r="P4512">
        <v>-0.17412320000000001</v>
      </c>
      <c r="Q4512">
        <v>0.3593712</v>
      </c>
      <c r="R4512">
        <v>-0.91680620000000002</v>
      </c>
      <c r="S4512">
        <v>-0.76882930000000005</v>
      </c>
      <c r="T4512">
        <v>-0.42935980000000001</v>
      </c>
      <c r="U4512">
        <v>-3.292313</v>
      </c>
      <c r="V4512">
        <v>7.7736730000000004E-2</v>
      </c>
      <c r="W4512">
        <v>0.36949900000000002</v>
      </c>
      <c r="X4512">
        <v>0.92597379999999996</v>
      </c>
      <c r="Y4512">
        <v>0.12371790000000001</v>
      </c>
      <c r="Z4512">
        <v>0.1155322</v>
      </c>
      <c r="AA4512">
        <v>0.98556889999999997</v>
      </c>
      <c r="AB4512">
        <v>29</v>
      </c>
      <c r="AC4512">
        <v>-0.17490000000000799</v>
      </c>
      <c r="AD4512">
        <v>-0.11012899999999901</v>
      </c>
      <c r="AE4512">
        <v>-0.62319999999999698</v>
      </c>
      <c r="AF4512">
        <v>0.106344255013125</v>
      </c>
      <c r="AG4512">
        <v>-0.11012899999999901</v>
      </c>
      <c r="AH4512">
        <v>0.62001323442015599</v>
      </c>
      <c r="AI4512">
        <v>99.929978762663893</v>
      </c>
      <c r="AJ4512">
        <v>80.267369857068303</v>
      </c>
      <c r="AK4512">
        <v>0.63863440877503597</v>
      </c>
      <c r="AL4512">
        <v>68.315277229211901</v>
      </c>
      <c r="AM4512">
        <v>85.201195834832603</v>
      </c>
      <c r="AN4512">
        <v>0.999999994239266</v>
      </c>
    </row>
    <row r="4513" spans="1:40" x14ac:dyDescent="0.25">
      <c r="A4513" t="str">
        <f>"20190304164940163"</f>
        <v>20190304164940163</v>
      </c>
      <c r="B4513" t="str">
        <f>"1551689380160169"</f>
        <v>1551689380160169</v>
      </c>
      <c r="C4513" t="s">
        <v>40</v>
      </c>
      <c r="D4513">
        <v>4.5239240000000001</v>
      </c>
      <c r="E4513">
        <v>0.53577889999999995</v>
      </c>
      <c r="F4513" t="s">
        <v>41</v>
      </c>
      <c r="G4513">
        <v>-190.85249999999999</v>
      </c>
      <c r="H4513">
        <v>0.99815520000000002</v>
      </c>
      <c r="I4513">
        <v>170.2073</v>
      </c>
      <c r="J4513">
        <v>-190.67609999999999</v>
      </c>
      <c r="K4513">
        <v>1.1112409999999999</v>
      </c>
      <c r="L4513">
        <v>170.79839999999999</v>
      </c>
      <c r="M4513">
        <v>-0.1028227</v>
      </c>
      <c r="N4513">
        <v>-1.0854859999999999E-2</v>
      </c>
      <c r="O4513">
        <v>-0.99464050000000004</v>
      </c>
      <c r="P4513">
        <v>-0.17541880000000001</v>
      </c>
      <c r="Q4513">
        <v>0.36042560000000001</v>
      </c>
      <c r="R4513">
        <v>-0.91614510000000005</v>
      </c>
      <c r="S4513">
        <v>-0.77156069999999999</v>
      </c>
      <c r="T4513">
        <v>-0.4255314</v>
      </c>
      <c r="U4513">
        <v>-3.2925110000000002</v>
      </c>
      <c r="V4513">
        <v>7.9774360000000002E-2</v>
      </c>
      <c r="W4513">
        <v>0.37060199999999999</v>
      </c>
      <c r="X4513">
        <v>0.9253595</v>
      </c>
      <c r="Y4513">
        <v>0.12523709999999999</v>
      </c>
      <c r="Z4513">
        <v>0.1143517</v>
      </c>
      <c r="AA4513">
        <v>0.98551480000000002</v>
      </c>
      <c r="AB4513">
        <v>29</v>
      </c>
      <c r="AC4513">
        <v>-0.176400000000001</v>
      </c>
      <c r="AD4513">
        <v>-0.113085799999999</v>
      </c>
      <c r="AE4513">
        <v>-0.59109999999998297</v>
      </c>
      <c r="AF4513">
        <v>0.110953897700468</v>
      </c>
      <c r="AG4513">
        <v>-0.113085799999999</v>
      </c>
      <c r="AH4513">
        <v>0.58639793647203298</v>
      </c>
      <c r="AI4513">
        <v>100.72954681052001</v>
      </c>
      <c r="AJ4513">
        <v>79.285580153060195</v>
      </c>
      <c r="AK4513">
        <v>0.60742218059206898</v>
      </c>
      <c r="AL4513">
        <v>68.247250977390706</v>
      </c>
      <c r="AM4513">
        <v>85.072767788231602</v>
      </c>
      <c r="AN4513">
        <v>0.99999999757882896</v>
      </c>
    </row>
    <row r="4514" spans="1:40" x14ac:dyDescent="0.25">
      <c r="A4514" t="str">
        <f>"20190304164940176"</f>
        <v>20190304164940176</v>
      </c>
      <c r="B4514" t="str">
        <f>"1551689380169929"</f>
        <v>1551689380169929</v>
      </c>
      <c r="C4514" t="s">
        <v>40</v>
      </c>
      <c r="D4514">
        <v>4.5741899999999998</v>
      </c>
      <c r="E4514">
        <v>0.53574200000000005</v>
      </c>
      <c r="F4514" t="s">
        <v>41</v>
      </c>
      <c r="G4514">
        <v>-190.8758</v>
      </c>
      <c r="H4514">
        <v>1.0021389999999999</v>
      </c>
      <c r="I4514">
        <v>169.95140000000001</v>
      </c>
      <c r="J4514">
        <v>-190.6925</v>
      </c>
      <c r="K4514">
        <v>1.111248</v>
      </c>
      <c r="L4514">
        <v>170.6361</v>
      </c>
      <c r="M4514">
        <v>-0.10240680000000001</v>
      </c>
      <c r="N4514">
        <v>-1.089058E-2</v>
      </c>
      <c r="O4514">
        <v>-0.99468319999999999</v>
      </c>
      <c r="P4514">
        <v>-0.1758063</v>
      </c>
      <c r="Q4514">
        <v>0.36114469999999999</v>
      </c>
      <c r="R4514">
        <v>-0.91578769999999998</v>
      </c>
      <c r="S4514">
        <v>-0.77578740000000002</v>
      </c>
      <c r="T4514">
        <v>-0.42432959999999897</v>
      </c>
      <c r="U4514">
        <v>-3.2929689999999998</v>
      </c>
      <c r="V4514">
        <v>8.0584379999999997E-2</v>
      </c>
      <c r="W4514">
        <v>0.37135119999999999</v>
      </c>
      <c r="X4514">
        <v>0.9249889</v>
      </c>
      <c r="Y4514">
        <v>0.1268301</v>
      </c>
      <c r="Z4514">
        <v>0.1139298</v>
      </c>
      <c r="AA4514">
        <v>0.98535989999999996</v>
      </c>
      <c r="AB4514">
        <v>29</v>
      </c>
      <c r="AC4514">
        <v>-0.18330000000000199</v>
      </c>
      <c r="AD4514">
        <v>-0.109109</v>
      </c>
      <c r="AE4514">
        <v>-0.68469999999999198</v>
      </c>
      <c r="AF4514">
        <v>0.10961673547128201</v>
      </c>
      <c r="AG4514">
        <v>-0.109109</v>
      </c>
      <c r="AH4514">
        <v>0.68367235942974403</v>
      </c>
      <c r="AI4514">
        <v>98.955025609626404</v>
      </c>
      <c r="AJ4514">
        <v>80.8909986396976</v>
      </c>
      <c r="AK4514">
        <v>0.70094828455786495</v>
      </c>
      <c r="AL4514">
        <v>68.201026799260006</v>
      </c>
      <c r="AM4514">
        <v>85.021003223839699</v>
      </c>
      <c r="AN4514">
        <v>1.0000000105823099</v>
      </c>
    </row>
    <row r="4515" spans="1:40" x14ac:dyDescent="0.25">
      <c r="A4515" t="str">
        <f>"20190304164940187"</f>
        <v>20190304164940187</v>
      </c>
      <c r="B4515" t="str">
        <f>"1551689380180666"</f>
        <v>1551689380180666</v>
      </c>
      <c r="C4515" t="s">
        <v>40</v>
      </c>
      <c r="D4515">
        <v>4.5903070000000001</v>
      </c>
      <c r="E4515">
        <v>0.53574999999999995</v>
      </c>
      <c r="F4515" t="s">
        <v>41</v>
      </c>
      <c r="G4515">
        <v>-190.91229999999999</v>
      </c>
      <c r="H4515">
        <v>0.99153939999999996</v>
      </c>
      <c r="I4515">
        <v>169.70359999999999</v>
      </c>
      <c r="J4515">
        <v>-190.70760000000001</v>
      </c>
      <c r="K4515">
        <v>1.111254</v>
      </c>
      <c r="L4515">
        <v>170.4853</v>
      </c>
      <c r="M4515">
        <v>-0.10201979999999999</v>
      </c>
      <c r="N4515">
        <v>-1.092712E-2</v>
      </c>
      <c r="O4515">
        <v>-0.99472240000000001</v>
      </c>
      <c r="P4515">
        <v>-0.17654710000000001</v>
      </c>
      <c r="Q4515">
        <v>0.36154570000000003</v>
      </c>
      <c r="R4515">
        <v>-0.91548660000000004</v>
      </c>
      <c r="S4515">
        <v>-0.77619930000000004</v>
      </c>
      <c r="T4515">
        <v>-0.42289209999999999</v>
      </c>
      <c r="U4515">
        <v>-3.293625</v>
      </c>
      <c r="V4515">
        <v>8.1713030000000006E-2</v>
      </c>
      <c r="W4515">
        <v>0.37178460000000002</v>
      </c>
      <c r="X4515">
        <v>0.92471570000000003</v>
      </c>
      <c r="Y4515">
        <v>0.12730089999999999</v>
      </c>
      <c r="Z4515">
        <v>0.1134555</v>
      </c>
      <c r="AA4515">
        <v>0.9853539</v>
      </c>
      <c r="AB4515">
        <v>29</v>
      </c>
      <c r="AC4515">
        <v>-0.20469999999997401</v>
      </c>
      <c r="AD4515">
        <v>-0.1197146</v>
      </c>
      <c r="AE4515">
        <v>-0.78169999999999995</v>
      </c>
      <c r="AF4515">
        <v>0.12121761329354799</v>
      </c>
      <c r="AG4515">
        <v>-0.1197146</v>
      </c>
      <c r="AH4515">
        <v>0.78135580988037101</v>
      </c>
      <c r="AI4515">
        <v>98.609356086434104</v>
      </c>
      <c r="AJ4515">
        <v>81.181571950963004</v>
      </c>
      <c r="AK4515">
        <v>0.79971382185101403</v>
      </c>
      <c r="AL4515">
        <v>68.174278882633203</v>
      </c>
      <c r="AM4515">
        <v>84.950142415902505</v>
      </c>
      <c r="AN4515">
        <v>0.99999996694771398</v>
      </c>
    </row>
    <row r="4516" spans="1:40" x14ac:dyDescent="0.25">
      <c r="A4516" t="str">
        <f>"20190304164940200"</f>
        <v>20190304164940200</v>
      </c>
      <c r="B4516" t="str">
        <f>"1551689380190425"</f>
        <v>1551689380190425</v>
      </c>
      <c r="C4516" t="s">
        <v>40</v>
      </c>
      <c r="D4516">
        <v>4.5492239999999997</v>
      </c>
      <c r="E4516">
        <v>0.53580469999999902</v>
      </c>
      <c r="F4516" t="s">
        <v>41</v>
      </c>
      <c r="G4516">
        <v>-190.8947</v>
      </c>
      <c r="H4516">
        <v>1.009541</v>
      </c>
      <c r="I4516">
        <v>169.69329999999999</v>
      </c>
      <c r="J4516">
        <v>-190.72239999999999</v>
      </c>
      <c r="K4516">
        <v>1.111264</v>
      </c>
      <c r="L4516">
        <v>170.33670000000001</v>
      </c>
      <c r="M4516">
        <v>-0.1016381</v>
      </c>
      <c r="N4516">
        <v>-1.096544E-2</v>
      </c>
      <c r="O4516">
        <v>-0.99476100000000001</v>
      </c>
      <c r="P4516">
        <v>-0.17716599999999999</v>
      </c>
      <c r="Q4516">
        <v>0.36162290000000002</v>
      </c>
      <c r="R4516">
        <v>-0.91533679999999995</v>
      </c>
      <c r="S4516">
        <v>-0.77787779999999995</v>
      </c>
      <c r="T4516">
        <v>-0.42314259999999898</v>
      </c>
      <c r="U4516">
        <v>-3.2940059999999902</v>
      </c>
      <c r="V4516">
        <v>8.2700480000000007E-2</v>
      </c>
      <c r="W4516">
        <v>0.37189709999999998</v>
      </c>
      <c r="X4516">
        <v>0.92458269999999998</v>
      </c>
      <c r="Y4516">
        <v>0.1281303</v>
      </c>
      <c r="Z4516">
        <v>0.113469899999999</v>
      </c>
      <c r="AA4516">
        <v>0.98524480000000003</v>
      </c>
      <c r="AB4516">
        <v>29</v>
      </c>
      <c r="AC4516">
        <v>-0.172300000000007</v>
      </c>
      <c r="AD4516">
        <v>-0.10172299999999999</v>
      </c>
      <c r="AE4516">
        <v>-0.64340000000001396</v>
      </c>
      <c r="AF4516">
        <v>0.103593558164024</v>
      </c>
      <c r="AG4516">
        <v>-0.10172299999999999</v>
      </c>
      <c r="AH4516">
        <v>0.64259337047490594</v>
      </c>
      <c r="AI4516">
        <v>98.882500490347994</v>
      </c>
      <c r="AJ4516">
        <v>80.842044532297905</v>
      </c>
      <c r="AK4516">
        <v>0.65879088776362404</v>
      </c>
      <c r="AL4516">
        <v>68.167335883780893</v>
      </c>
      <c r="AM4516">
        <v>84.888708088049199</v>
      </c>
      <c r="AN4516">
        <v>0.99999999575996501</v>
      </c>
    </row>
    <row r="4517" spans="1:40" x14ac:dyDescent="0.25">
      <c r="A4517" t="str">
        <f>"20190304164940209"</f>
        <v>20190304164940209</v>
      </c>
      <c r="B4517" t="str">
        <f>"1551689380200185"</f>
        <v>1551689380200185</v>
      </c>
      <c r="C4517" t="s">
        <v>40</v>
      </c>
      <c r="D4517">
        <v>4.5499580000000002</v>
      </c>
      <c r="E4517">
        <v>0.53587949999999995</v>
      </c>
      <c r="F4517" t="s">
        <v>41</v>
      </c>
      <c r="G4517">
        <v>-190.9332</v>
      </c>
      <c r="H4517">
        <v>0.99668590000000001</v>
      </c>
      <c r="I4517">
        <v>169.44669999999999</v>
      </c>
      <c r="J4517">
        <v>-190.73609999999999</v>
      </c>
      <c r="K4517">
        <v>1.1112679999999999</v>
      </c>
      <c r="L4517">
        <v>170.19909999999999</v>
      </c>
      <c r="M4517">
        <v>-0.1012835</v>
      </c>
      <c r="N4517">
        <v>-1.100453E-2</v>
      </c>
      <c r="O4517">
        <v>-0.99479689999999998</v>
      </c>
      <c r="P4517">
        <v>-0.1778266</v>
      </c>
      <c r="Q4517">
        <v>0.36198839999999999</v>
      </c>
      <c r="R4517">
        <v>-0.91506460000000001</v>
      </c>
      <c r="S4517">
        <v>-0.77996829999999995</v>
      </c>
      <c r="T4517">
        <v>-0.4241626</v>
      </c>
      <c r="U4517">
        <v>-3.2941129999999998</v>
      </c>
      <c r="V4517">
        <v>8.3715819999999996E-2</v>
      </c>
      <c r="W4517">
        <v>0.37229760000000001</v>
      </c>
      <c r="X4517">
        <v>0.92433010000000004</v>
      </c>
      <c r="Y4517">
        <v>0.12906110000000001</v>
      </c>
      <c r="Z4517">
        <v>0.11371299999999999</v>
      </c>
      <c r="AA4517">
        <v>0.98509519999999995</v>
      </c>
      <c r="AB4517">
        <v>29</v>
      </c>
      <c r="AC4517">
        <v>-0.19710000000000599</v>
      </c>
      <c r="AD4517">
        <v>-0.11458209999999899</v>
      </c>
      <c r="AE4517">
        <v>-0.75239999999999396</v>
      </c>
      <c r="AF4517">
        <v>0.117329648729032</v>
      </c>
      <c r="AG4517">
        <v>-0.11458209999999899</v>
      </c>
      <c r="AH4517">
        <v>0.75217054563446395</v>
      </c>
      <c r="AI4517">
        <v>98.559626132164496</v>
      </c>
      <c r="AJ4517">
        <v>81.133989991780197</v>
      </c>
      <c r="AK4517">
        <v>0.769841434213134</v>
      </c>
      <c r="AL4517">
        <v>68.142613529619098</v>
      </c>
      <c r="AM4517">
        <v>84.824887460319303</v>
      </c>
      <c r="AN4517">
        <v>0.99999998762502096</v>
      </c>
    </row>
    <row r="4518" spans="1:40" x14ac:dyDescent="0.25">
      <c r="A4518" t="str">
        <f>"20190304164940221"</f>
        <v>20190304164940221</v>
      </c>
      <c r="B4518" t="str">
        <f>"1551689380209946"</f>
        <v>1551689380209946</v>
      </c>
      <c r="C4518" t="s">
        <v>40</v>
      </c>
      <c r="D4518">
        <v>4.5592110000000003</v>
      </c>
      <c r="E4518">
        <v>0.53595109999999901</v>
      </c>
      <c r="F4518" t="s">
        <v>41</v>
      </c>
      <c r="G4518">
        <v>-190.917</v>
      </c>
      <c r="H4518">
        <v>1.0133239999999999</v>
      </c>
      <c r="I4518">
        <v>169.43729999999999</v>
      </c>
      <c r="J4518">
        <v>-190.74969999999999</v>
      </c>
      <c r="K4518">
        <v>1.1112740000000001</v>
      </c>
      <c r="L4518">
        <v>170.0617</v>
      </c>
      <c r="M4518">
        <v>-0.100929</v>
      </c>
      <c r="N4518">
        <v>-1.104634E-2</v>
      </c>
      <c r="O4518">
        <v>-0.99483250000000001</v>
      </c>
      <c r="P4518">
        <v>-0.17870720000000001</v>
      </c>
      <c r="Q4518">
        <v>0.36178759999999999</v>
      </c>
      <c r="R4518">
        <v>-0.91497189999999995</v>
      </c>
      <c r="S4518">
        <v>-0.78182980000000002</v>
      </c>
      <c r="T4518">
        <v>-0.42359229999999998</v>
      </c>
      <c r="U4518">
        <v>-3.294098</v>
      </c>
      <c r="V4518">
        <v>8.4932069999999998E-2</v>
      </c>
      <c r="W4518">
        <v>0.372137</v>
      </c>
      <c r="X4518">
        <v>0.92428390000000005</v>
      </c>
      <c r="Y4518">
        <v>0.12994710000000001</v>
      </c>
      <c r="Z4518">
        <v>0.113499</v>
      </c>
      <c r="AA4518">
        <v>0.98500339999999997</v>
      </c>
      <c r="AB4518">
        <v>29</v>
      </c>
      <c r="AC4518">
        <v>-0.167300000000011</v>
      </c>
      <c r="AD4518">
        <v>-9.7949999999999898E-2</v>
      </c>
      <c r="AE4518">
        <v>-0.62440000000000795</v>
      </c>
      <c r="AF4518">
        <v>0.101100426548933</v>
      </c>
      <c r="AG4518">
        <v>-9.7949999999999898E-2</v>
      </c>
      <c r="AH4518">
        <v>0.62377570779636304</v>
      </c>
      <c r="AI4518">
        <v>98.811004741217999</v>
      </c>
      <c r="AJ4518">
        <v>80.793662491025003</v>
      </c>
      <c r="AK4518">
        <v>0.63946198666162302</v>
      </c>
      <c r="AL4518">
        <v>68.152529391376902</v>
      </c>
      <c r="AM4518">
        <v>84.749857969465097</v>
      </c>
      <c r="AN4518">
        <v>1.0000000655413399</v>
      </c>
    </row>
    <row r="4519" spans="1:40" x14ac:dyDescent="0.25">
      <c r="A4519" t="str">
        <f>"20190304164940232"</f>
        <v>20190304164940232</v>
      </c>
      <c r="B4519" t="str">
        <f>"1551689380230441"</f>
        <v>1551689380230441</v>
      </c>
      <c r="C4519" t="s">
        <v>40</v>
      </c>
      <c r="D4519">
        <v>4.5412589999999904</v>
      </c>
      <c r="E4519">
        <v>0.53622320000000001</v>
      </c>
      <c r="F4519" t="s">
        <v>41</v>
      </c>
      <c r="G4519">
        <v>-190.95689999999999</v>
      </c>
      <c r="H4519">
        <v>0.99890760000000001</v>
      </c>
      <c r="I4519">
        <v>169.19159999999999</v>
      </c>
      <c r="J4519">
        <v>-190.76439999999999</v>
      </c>
      <c r="K4519">
        <v>1.111281</v>
      </c>
      <c r="L4519">
        <v>169.91299999999899</v>
      </c>
      <c r="M4519">
        <v>-0.1005448</v>
      </c>
      <c r="N4519">
        <v>-1.109399E-2</v>
      </c>
      <c r="O4519">
        <v>-0.99487080000000006</v>
      </c>
      <c r="P4519">
        <v>-0.17959349999999999</v>
      </c>
      <c r="Q4519">
        <v>0.36165639999999999</v>
      </c>
      <c r="R4519">
        <v>-0.91485039999999995</v>
      </c>
      <c r="S4519">
        <v>-0.78402709999999998</v>
      </c>
      <c r="T4519">
        <v>-0.4253943</v>
      </c>
      <c r="U4519">
        <v>-3.2938540000000001</v>
      </c>
      <c r="V4519">
        <v>8.6184490000000002E-2</v>
      </c>
      <c r="W4519">
        <v>0.37205110000000002</v>
      </c>
      <c r="X4519">
        <v>0.92420239999999998</v>
      </c>
      <c r="Y4519">
        <v>0.13095419999999999</v>
      </c>
      <c r="Z4519">
        <v>0.1139718</v>
      </c>
      <c r="AA4519">
        <v>0.98481540000000001</v>
      </c>
      <c r="AB4519">
        <v>29</v>
      </c>
      <c r="AC4519">
        <v>-0.19249999999999501</v>
      </c>
      <c r="AD4519">
        <v>-0.1123734</v>
      </c>
      <c r="AE4519">
        <v>-0.72139999999998805</v>
      </c>
      <c r="AF4519">
        <v>0.116351353535945</v>
      </c>
      <c r="AG4519">
        <v>-0.1123734</v>
      </c>
      <c r="AH4519">
        <v>0.72077314911592605</v>
      </c>
      <c r="AI4519">
        <v>98.749975169749504</v>
      </c>
      <c r="AJ4519">
        <v>80.830089865403494</v>
      </c>
      <c r="AK4519">
        <v>0.73870112426047896</v>
      </c>
      <c r="AL4519">
        <v>68.157828767991404</v>
      </c>
      <c r="AM4519">
        <v>84.672413777142197</v>
      </c>
      <c r="AN4519">
        <v>0.99999993174676205</v>
      </c>
    </row>
    <row r="4520" spans="1:40" x14ac:dyDescent="0.25">
      <c r="A4520" t="str">
        <f>"20190304164940244"</f>
        <v>20190304164940244</v>
      </c>
      <c r="B4520" t="str">
        <f>"1551689380240201"</f>
        <v>1551689380240201</v>
      </c>
      <c r="C4520" t="s">
        <v>40</v>
      </c>
      <c r="D4520">
        <v>4.5689489999999999</v>
      </c>
      <c r="E4520">
        <v>0.53629159999999998</v>
      </c>
      <c r="F4520" t="s">
        <v>41</v>
      </c>
      <c r="G4520">
        <v>-190.93950000000001</v>
      </c>
      <c r="H4520">
        <v>1.0164820000000001</v>
      </c>
      <c r="I4520">
        <v>169.1815</v>
      </c>
      <c r="J4520">
        <v>-190.7775</v>
      </c>
      <c r="K4520">
        <v>1.1112869999999999</v>
      </c>
      <c r="L4520">
        <v>169.77959999999999</v>
      </c>
      <c r="M4520">
        <v>-0.1001996</v>
      </c>
      <c r="N4520">
        <v>-1.114095E-2</v>
      </c>
      <c r="O4520">
        <v>-0.99490509999999999</v>
      </c>
      <c r="P4520">
        <v>-0.1805986</v>
      </c>
      <c r="Q4520">
        <v>0.36158240000000003</v>
      </c>
      <c r="R4520">
        <v>-0.91468170000000004</v>
      </c>
      <c r="S4520">
        <v>-0.78816219999999904</v>
      </c>
      <c r="T4520">
        <v>-0.42681750000000002</v>
      </c>
      <c r="U4520">
        <v>-3.2932429999999999</v>
      </c>
      <c r="V4520">
        <v>8.7523069999999994E-2</v>
      </c>
      <c r="W4520">
        <v>0.3720215</v>
      </c>
      <c r="X4520">
        <v>0.92408860000000004</v>
      </c>
      <c r="Y4520">
        <v>0.13249729999999901</v>
      </c>
      <c r="Z4520">
        <v>0.1143356</v>
      </c>
      <c r="AA4520">
        <v>0.98456679999999996</v>
      </c>
      <c r="AB4520">
        <v>29</v>
      </c>
      <c r="AC4520">
        <v>-0.162000000000006</v>
      </c>
      <c r="AD4520">
        <v>-9.4805000000000195E-2</v>
      </c>
      <c r="AE4520">
        <v>-0.59809999999998797</v>
      </c>
      <c r="AF4520">
        <v>9.8935613304573594E-2</v>
      </c>
      <c r="AG4520">
        <v>-9.4805000000000195E-2</v>
      </c>
      <c r="AH4520">
        <v>0.59734028582457599</v>
      </c>
      <c r="AI4520">
        <v>98.899045617852494</v>
      </c>
      <c r="AJ4520">
        <v>80.595652279364501</v>
      </c>
      <c r="AK4520">
        <v>0.61285533421349803</v>
      </c>
      <c r="AL4520">
        <v>68.159657729525804</v>
      </c>
      <c r="AM4520">
        <v>84.589492959518296</v>
      </c>
      <c r="AN4520">
        <v>1.0000000124472099</v>
      </c>
    </row>
    <row r="4521" spans="1:40" x14ac:dyDescent="0.25">
      <c r="A4521" t="str">
        <f>"20190304164940258"</f>
        <v>20190304164940258</v>
      </c>
      <c r="B4521" t="str">
        <f>"1551689380249960"</f>
        <v>1551689380249960</v>
      </c>
      <c r="C4521" t="s">
        <v>40</v>
      </c>
      <c r="D4521">
        <v>4.5070139999999999</v>
      </c>
      <c r="E4521">
        <v>0.5363175</v>
      </c>
      <c r="F4521" t="s">
        <v>41</v>
      </c>
      <c r="G4521">
        <v>-190.9802</v>
      </c>
      <c r="H4521">
        <v>1.0015959999999999</v>
      </c>
      <c r="I4521">
        <v>168.93620000000001</v>
      </c>
      <c r="J4521">
        <v>-190.79570000000001</v>
      </c>
      <c r="K4521">
        <v>1.1112899999999999</v>
      </c>
      <c r="L4521">
        <v>169.59379999999999</v>
      </c>
      <c r="M4521">
        <v>-9.9718630000000003E-2</v>
      </c>
      <c r="N4521">
        <v>-1.1210410000000001E-2</v>
      </c>
      <c r="O4521">
        <v>-0.99495270000000002</v>
      </c>
      <c r="P4521">
        <v>-0.1813254</v>
      </c>
      <c r="Q4521">
        <v>0.36144979999999999</v>
      </c>
      <c r="R4521">
        <v>-0.91459069999999998</v>
      </c>
      <c r="S4521">
        <v>-0.79051210000000005</v>
      </c>
      <c r="T4521">
        <v>-0.42842249999999998</v>
      </c>
      <c r="U4521">
        <v>-3.2931210000000002</v>
      </c>
      <c r="V4521">
        <v>8.8703240000000003E-2</v>
      </c>
      <c r="W4521">
        <v>0.3719538</v>
      </c>
      <c r="X4521">
        <v>0.92400340000000003</v>
      </c>
      <c r="Y4521">
        <v>0.13363659999999999</v>
      </c>
      <c r="Z4521">
        <v>0.1147251</v>
      </c>
      <c r="AA4521">
        <v>0.98436749999999995</v>
      </c>
      <c r="AB4521">
        <v>29</v>
      </c>
      <c r="AC4521">
        <v>-0.18449999999998501</v>
      </c>
      <c r="AD4521">
        <v>-0.109693999999999</v>
      </c>
      <c r="AE4521">
        <v>-0.65759999999997298</v>
      </c>
      <c r="AF4521">
        <v>0.115033903257567</v>
      </c>
      <c r="AG4521">
        <v>-0.109693999999999</v>
      </c>
      <c r="AH4521">
        <v>0.65580469205477498</v>
      </c>
      <c r="AI4521">
        <v>99.355491348955994</v>
      </c>
      <c r="AJ4521">
        <v>80.051030473092695</v>
      </c>
      <c r="AK4521">
        <v>0.67479283239801102</v>
      </c>
      <c r="AL4521">
        <v>68.163838284373</v>
      </c>
      <c r="AM4521">
        <v>84.516476306069094</v>
      </c>
      <c r="AN4521">
        <v>1.0000000886662399</v>
      </c>
    </row>
    <row r="4522" spans="1:40" x14ac:dyDescent="0.25">
      <c r="A4522" t="str">
        <f>"20190304164940276"</f>
        <v>20190304164940276</v>
      </c>
      <c r="B4522" t="str">
        <f>"1551689380270457"</f>
        <v>1551689380270457</v>
      </c>
      <c r="C4522" t="s">
        <v>40</v>
      </c>
      <c r="D4522">
        <v>4.5109909999999998</v>
      </c>
      <c r="E4522">
        <v>0.53645489999999996</v>
      </c>
      <c r="F4522" t="s">
        <v>41</v>
      </c>
      <c r="G4522">
        <v>-191.01390000000001</v>
      </c>
      <c r="H4522">
        <v>0.99296859999999998</v>
      </c>
      <c r="I4522">
        <v>168.68709999999999</v>
      </c>
      <c r="J4522">
        <v>-190.81829999999999</v>
      </c>
      <c r="K4522">
        <v>1.111308</v>
      </c>
      <c r="L4522">
        <v>169.36259999999999</v>
      </c>
      <c r="M4522">
        <v>-9.9121909999999994E-2</v>
      </c>
      <c r="N4522">
        <v>-1.1309980000000001E-2</v>
      </c>
      <c r="O4522">
        <v>-0.99501130000000004</v>
      </c>
      <c r="P4522">
        <v>-0.1836228</v>
      </c>
      <c r="Q4522">
        <v>0.36120770000000002</v>
      </c>
      <c r="R4522">
        <v>-0.91422780000000003</v>
      </c>
      <c r="S4522">
        <v>-0.79188539999999996</v>
      </c>
      <c r="T4522">
        <v>-0.4298322</v>
      </c>
      <c r="U4522">
        <v>-3.2930299999999999</v>
      </c>
      <c r="V4522">
        <v>9.1581430000000005E-2</v>
      </c>
      <c r="W4522">
        <v>0.37180590000000002</v>
      </c>
      <c r="X4522">
        <v>0.92378199999999999</v>
      </c>
      <c r="Y4522">
        <v>0.1346146</v>
      </c>
      <c r="Z4522">
        <v>0.1150346</v>
      </c>
      <c r="AA4522">
        <v>0.98419820000000002</v>
      </c>
      <c r="AB4522">
        <v>29</v>
      </c>
      <c r="AC4522">
        <v>-0.19560000000001301</v>
      </c>
      <c r="AD4522">
        <v>-0.118339399999999</v>
      </c>
      <c r="AE4522">
        <v>-0.67549999999999899</v>
      </c>
      <c r="AF4522">
        <v>0.124159717929382</v>
      </c>
      <c r="AG4522">
        <v>-0.118339399999999</v>
      </c>
      <c r="AH4522">
        <v>0.672519011888707</v>
      </c>
      <c r="AI4522">
        <v>99.817254428443107</v>
      </c>
      <c r="AJ4522">
        <v>79.539896316481205</v>
      </c>
      <c r="AK4522">
        <v>0.69404731142799403</v>
      </c>
      <c r="AL4522">
        <v>68.172964646327699</v>
      </c>
      <c r="AM4522">
        <v>84.338339848700898</v>
      </c>
      <c r="AN4522">
        <v>0.99999998455982697</v>
      </c>
    </row>
    <row r="4523" spans="1:40" x14ac:dyDescent="0.25">
      <c r="A4523" t="str">
        <f>"20190304164940298"</f>
        <v>20190304164940298</v>
      </c>
      <c r="B4523" t="str">
        <f>"1551689380290420"</f>
        <v>1551689380290420</v>
      </c>
      <c r="C4523" t="s">
        <v>40</v>
      </c>
      <c r="D4523">
        <v>4.6614849999999999</v>
      </c>
      <c r="E4523">
        <v>0.53652569999999999</v>
      </c>
      <c r="F4523" t="s">
        <v>41</v>
      </c>
      <c r="G4523">
        <v>-191.04349999999999</v>
      </c>
      <c r="H4523">
        <v>0.98971560000000003</v>
      </c>
      <c r="I4523">
        <v>168.43530000000001</v>
      </c>
      <c r="J4523">
        <v>-190.84540000000001</v>
      </c>
      <c r="K4523">
        <v>1.111329</v>
      </c>
      <c r="L4523">
        <v>169.08240000000001</v>
      </c>
      <c r="M4523">
        <v>-9.8409109999999994E-2</v>
      </c>
      <c r="N4523">
        <v>-1.144831E-2</v>
      </c>
      <c r="O4523">
        <v>-0.99508030000000003</v>
      </c>
      <c r="P4523">
        <v>-0.18583769999999999</v>
      </c>
      <c r="Q4523">
        <v>0.36129610000000001</v>
      </c>
      <c r="R4523">
        <v>-0.91374500000000003</v>
      </c>
      <c r="S4523">
        <v>-0.79853819999999998</v>
      </c>
      <c r="T4523">
        <v>-0.43177450000000001</v>
      </c>
      <c r="U4523">
        <v>-3.2916560000000001</v>
      </c>
      <c r="V4523">
        <v>9.4500700000000007E-2</v>
      </c>
      <c r="W4523">
        <v>0.3720215</v>
      </c>
      <c r="X4523">
        <v>0.92340109999999997</v>
      </c>
      <c r="Y4523">
        <v>0.13728070000000001</v>
      </c>
      <c r="Z4523">
        <v>0.1154719</v>
      </c>
      <c r="AA4523">
        <v>0.9837785</v>
      </c>
      <c r="AB4523">
        <v>29</v>
      </c>
      <c r="AC4523">
        <v>-0.19809999999998201</v>
      </c>
      <c r="AD4523">
        <v>-0.1216134</v>
      </c>
      <c r="AE4523">
        <v>-0.64709999999999401</v>
      </c>
      <c r="AF4523">
        <v>0.129278746779842</v>
      </c>
      <c r="AG4523">
        <v>-0.1216134</v>
      </c>
      <c r="AH4523">
        <v>0.642699721882939</v>
      </c>
      <c r="AI4523">
        <v>100.50930527747001</v>
      </c>
      <c r="AJ4523">
        <v>78.626751549683604</v>
      </c>
      <c r="AK4523">
        <v>0.66675763657939002</v>
      </c>
      <c r="AL4523">
        <v>68.1596571020429</v>
      </c>
      <c r="AM4523">
        <v>84.156703521514402</v>
      </c>
      <c r="AN4523">
        <v>0.99999998512197397</v>
      </c>
    </row>
    <row r="4524" spans="1:40" x14ac:dyDescent="0.25">
      <c r="A4524" t="str">
        <f>"20190304164940308"</f>
        <v>20190304164940308</v>
      </c>
      <c r="B4524" t="str">
        <f>"1551689380300181"</f>
        <v>1551689380300181</v>
      </c>
      <c r="C4524" t="s">
        <v>40</v>
      </c>
      <c r="D4524">
        <v>4.6786120000000002</v>
      </c>
      <c r="E4524">
        <v>0.55942209999999903</v>
      </c>
      <c r="F4524" t="s">
        <v>41</v>
      </c>
      <c r="G4524">
        <v>-191.06630000000001</v>
      </c>
      <c r="H4524">
        <v>0.99276109999999995</v>
      </c>
      <c r="I4524">
        <v>168.1799</v>
      </c>
      <c r="J4524">
        <v>-190.85910000000001</v>
      </c>
      <c r="K4524">
        <v>1.111337</v>
      </c>
      <c r="L4524">
        <v>168.93960000000001</v>
      </c>
      <c r="M4524">
        <v>-9.8050689999999996E-2</v>
      </c>
      <c r="N4524">
        <v>-1.1522330000000001E-2</v>
      </c>
      <c r="O4524">
        <v>-0.99511490000000002</v>
      </c>
      <c r="P4524">
        <v>-0.186945</v>
      </c>
      <c r="Q4524">
        <v>0.36172130000000002</v>
      </c>
      <c r="R4524">
        <v>-0.91335080000000002</v>
      </c>
      <c r="S4524">
        <v>-0.80488590000000004</v>
      </c>
      <c r="T4524">
        <v>-0.43242659999999999</v>
      </c>
      <c r="U4524">
        <v>-3.2904819999999999</v>
      </c>
      <c r="V4524">
        <v>9.5978850000000004E-2</v>
      </c>
      <c r="W4524">
        <v>0.37251230000000002</v>
      </c>
      <c r="X4524">
        <v>0.92305079999999995</v>
      </c>
      <c r="Y4524">
        <v>0.13950319999999999</v>
      </c>
      <c r="Z4524">
        <v>0.1155905</v>
      </c>
      <c r="AA4524">
        <v>0.98345199999999999</v>
      </c>
      <c r="AB4524">
        <v>29</v>
      </c>
      <c r="AC4524">
        <v>-0.2072</v>
      </c>
      <c r="AD4524">
        <v>-0.1185759</v>
      </c>
      <c r="AE4524">
        <v>-0.75970000000000903</v>
      </c>
      <c r="AF4524">
        <v>0.12878716369576901</v>
      </c>
      <c r="AG4524">
        <v>-0.1185759</v>
      </c>
      <c r="AH4524">
        <v>0.75914270011935203</v>
      </c>
      <c r="AI4524">
        <v>98.754592924690101</v>
      </c>
      <c r="AJ4524">
        <v>80.371548433841099</v>
      </c>
      <c r="AK4524">
        <v>0.779066118335351</v>
      </c>
      <c r="AL4524">
        <v>68.129360521248103</v>
      </c>
      <c r="AM4524">
        <v>84.063715848708</v>
      </c>
      <c r="AN4524">
        <v>1.00000006633962</v>
      </c>
    </row>
    <row r="4525" spans="1:40" x14ac:dyDescent="0.25">
      <c r="A4525" t="str">
        <f>"20190304164940321"</f>
        <v>20190304164940321</v>
      </c>
      <c r="B4525" t="str">
        <f>"1551689380309941"</f>
        <v>1551689380309941</v>
      </c>
      <c r="C4525" t="s">
        <v>40</v>
      </c>
      <c r="D4525">
        <v>4.6376559999999998</v>
      </c>
      <c r="E4525">
        <v>0.56296080000000004</v>
      </c>
      <c r="F4525" t="s">
        <v>41</v>
      </c>
      <c r="G4525">
        <v>-191.08920000000001</v>
      </c>
      <c r="H4525">
        <v>1.0012350000000001</v>
      </c>
      <c r="I4525">
        <v>168.17750000000001</v>
      </c>
      <c r="J4525">
        <v>-190.87309999999999</v>
      </c>
      <c r="K4525">
        <v>1.111348</v>
      </c>
      <c r="L4525">
        <v>168.7937</v>
      </c>
      <c r="M4525">
        <v>-9.7690460000000007E-2</v>
      </c>
      <c r="N4525">
        <v>-1.1601200000000001E-2</v>
      </c>
      <c r="O4525">
        <v>-0.99514910000000001</v>
      </c>
      <c r="P4525">
        <v>-0.18773580000000001</v>
      </c>
      <c r="Q4525">
        <v>0.36214059999999998</v>
      </c>
      <c r="R4525">
        <v>-0.91302229999999995</v>
      </c>
      <c r="S4525">
        <v>-0.98658749999999995</v>
      </c>
      <c r="T4525">
        <v>-0.47252959999999999</v>
      </c>
      <c r="U4525">
        <v>-3.2698209999999999</v>
      </c>
      <c r="V4525">
        <v>9.7139790000000004E-2</v>
      </c>
      <c r="W4525">
        <v>0.37300080000000002</v>
      </c>
      <c r="X4525">
        <v>0.92273190000000005</v>
      </c>
      <c r="Y4525">
        <v>0.191466</v>
      </c>
      <c r="Z4525">
        <v>0.1263601</v>
      </c>
      <c r="AA4525">
        <v>0.97333130000000001</v>
      </c>
      <c r="AB4525">
        <v>29</v>
      </c>
      <c r="AC4525">
        <v>-0.21610000000001101</v>
      </c>
      <c r="AD4525">
        <v>-0.110112999999999</v>
      </c>
      <c r="AE4525">
        <v>-0.61619999999999198</v>
      </c>
      <c r="AF4525">
        <v>0.15058341125135599</v>
      </c>
      <c r="AG4525">
        <v>-0.110112999999999</v>
      </c>
      <c r="AH4525">
        <v>0.61682493284747397</v>
      </c>
      <c r="AI4525">
        <v>99.8385393601678</v>
      </c>
      <c r="AJ4525">
        <v>76.280913986195003</v>
      </c>
      <c r="AK4525">
        <v>0.64441697238308804</v>
      </c>
      <c r="AL4525">
        <v>68.099194934604498</v>
      </c>
      <c r="AM4525">
        <v>83.990372768308106</v>
      </c>
      <c r="AN4525">
        <v>0.99999994743974496</v>
      </c>
    </row>
    <row r="4526" spans="1:40" x14ac:dyDescent="0.25">
      <c r="A4526" t="str">
        <f>"20190304164940333"</f>
        <v>20190304164940333</v>
      </c>
      <c r="B4526" t="str">
        <f>"1551689380330436"</f>
        <v>1551689380330436</v>
      </c>
      <c r="C4526" t="s">
        <v>40</v>
      </c>
      <c r="D4526">
        <v>4.6447329999999996</v>
      </c>
      <c r="E4526">
        <v>0.56581689999999996</v>
      </c>
      <c r="F4526" t="s">
        <v>41</v>
      </c>
      <c r="G4526">
        <v>-191.14099999999999</v>
      </c>
      <c r="H4526">
        <v>0.98503379999999996</v>
      </c>
      <c r="I4526">
        <v>167.93350000000001</v>
      </c>
      <c r="J4526">
        <v>-190.8879</v>
      </c>
      <c r="K4526">
        <v>1.111351</v>
      </c>
      <c r="L4526">
        <v>168.6388</v>
      </c>
      <c r="M4526">
        <v>-9.7313529999999995E-2</v>
      </c>
      <c r="N4526">
        <v>-1.1688169999999999E-2</v>
      </c>
      <c r="O4526">
        <v>-0.99518530000000005</v>
      </c>
      <c r="P4526">
        <v>-0.1886005</v>
      </c>
      <c r="Q4526">
        <v>0.3626182</v>
      </c>
      <c r="R4526">
        <v>-0.91265439999999998</v>
      </c>
      <c r="S4526">
        <v>-1.017166</v>
      </c>
      <c r="T4526">
        <v>-0.4797573</v>
      </c>
      <c r="U4526">
        <v>-3.2669220000000001</v>
      </c>
      <c r="V4526">
        <v>9.8396460000000005E-2</v>
      </c>
      <c r="W4526">
        <v>0.3735541</v>
      </c>
      <c r="X4526">
        <v>0.9223749</v>
      </c>
      <c r="Y4526">
        <v>0.2003163</v>
      </c>
      <c r="Z4526">
        <v>0.1281622</v>
      </c>
      <c r="AA4526">
        <v>0.97131250000000002</v>
      </c>
      <c r="AB4526">
        <v>29</v>
      </c>
      <c r="AC4526">
        <v>-0.253099999999989</v>
      </c>
      <c r="AD4526">
        <v>-0.12631719999999999</v>
      </c>
      <c r="AE4526">
        <v>-0.70529999999999404</v>
      </c>
      <c r="AF4526">
        <v>0.178194993195988</v>
      </c>
      <c r="AG4526">
        <v>-0.12631719999999999</v>
      </c>
      <c r="AH4526">
        <v>0.70650735802142195</v>
      </c>
      <c r="AI4526">
        <v>99.8351523781552</v>
      </c>
      <c r="AJ4526">
        <v>75.844127043967802</v>
      </c>
      <c r="AK4526">
        <v>0.73950127623579398</v>
      </c>
      <c r="AL4526">
        <v>68.065024279683797</v>
      </c>
      <c r="AM4526">
        <v>83.910869695979201</v>
      </c>
      <c r="AN4526">
        <v>0.999999992558675</v>
      </c>
    </row>
    <row r="4527" spans="1:40" x14ac:dyDescent="0.25">
      <c r="A4527" t="str">
        <f>"20190304164940345"</f>
        <v>20190304164940345</v>
      </c>
      <c r="B4527" t="str">
        <f>"1551689380340196"</f>
        <v>1551689380340196</v>
      </c>
      <c r="C4527" t="s">
        <v>40</v>
      </c>
      <c r="D4527">
        <v>4.6290849999999999</v>
      </c>
      <c r="E4527">
        <v>0.56674190000000002</v>
      </c>
      <c r="F4527" t="s">
        <v>41</v>
      </c>
      <c r="G4527">
        <v>-191.11660000000001</v>
      </c>
      <c r="H4527">
        <v>1.0041059999999999</v>
      </c>
      <c r="I4527">
        <v>167.92269999999999</v>
      </c>
      <c r="J4527">
        <v>-190.9014</v>
      </c>
      <c r="K4527">
        <v>1.1113459999999999</v>
      </c>
      <c r="L4527">
        <v>168.49680000000001</v>
      </c>
      <c r="M4527">
        <v>-9.6993579999999996E-2</v>
      </c>
      <c r="N4527">
        <v>-1.1778179999999999E-2</v>
      </c>
      <c r="O4527">
        <v>-0.99521539999999997</v>
      </c>
      <c r="P4527">
        <v>-0.1891052</v>
      </c>
      <c r="Q4527">
        <v>0.36314619999999997</v>
      </c>
      <c r="R4527">
        <v>-0.91233989999999998</v>
      </c>
      <c r="S4527">
        <v>-1.0427249999999999</v>
      </c>
      <c r="T4527">
        <v>-0.48921120000000001</v>
      </c>
      <c r="U4527">
        <v>-3.2660520000000002</v>
      </c>
      <c r="V4527">
        <v>9.9244520000000003E-2</v>
      </c>
      <c r="W4527">
        <v>0.37415779999999998</v>
      </c>
      <c r="X4527">
        <v>0.92203930000000001</v>
      </c>
      <c r="Y4527">
        <v>0.2075072</v>
      </c>
      <c r="Z4527">
        <v>0.13055</v>
      </c>
      <c r="AA4527">
        <v>0.96948310000000004</v>
      </c>
      <c r="AB4527">
        <v>29</v>
      </c>
      <c r="AC4527">
        <v>-0.21520000000000999</v>
      </c>
      <c r="AD4527">
        <v>-0.10724</v>
      </c>
      <c r="AE4527">
        <v>-0.57410000000001504</v>
      </c>
      <c r="AF4527">
        <v>0.15379217137632101</v>
      </c>
      <c r="AG4527">
        <v>-0.10724</v>
      </c>
      <c r="AH4527">
        <v>0.574685176107958</v>
      </c>
      <c r="AI4527">
        <v>100.218584475215</v>
      </c>
      <c r="AJ4527">
        <v>75.018071516399999</v>
      </c>
      <c r="AK4527">
        <v>0.60449607212526901</v>
      </c>
      <c r="AL4527">
        <v>68.027730753715801</v>
      </c>
      <c r="AM4527">
        <v>83.856569836891396</v>
      </c>
      <c r="AN4527">
        <v>1.0000000023976801</v>
      </c>
    </row>
    <row r="4528" spans="1:40" x14ac:dyDescent="0.25">
      <c r="A4528" t="str">
        <f>"20190304164940357"</f>
        <v>20190304164940357</v>
      </c>
      <c r="B4528" t="str">
        <f>"1551689380349957"</f>
        <v>1551689380349957</v>
      </c>
      <c r="C4528" t="s">
        <v>40</v>
      </c>
      <c r="D4528">
        <v>4.5983080000000003</v>
      </c>
      <c r="E4528">
        <v>0.5674226</v>
      </c>
      <c r="F4528" t="s">
        <v>41</v>
      </c>
      <c r="G4528">
        <v>-191.1651</v>
      </c>
      <c r="H4528">
        <v>0.98863270000000003</v>
      </c>
      <c r="I4528">
        <v>167.67830000000001</v>
      </c>
      <c r="J4528">
        <v>-190.9169</v>
      </c>
      <c r="K4528">
        <v>1.111335</v>
      </c>
      <c r="L4528">
        <v>168.33410000000001</v>
      </c>
      <c r="M4528">
        <v>-9.6642560000000002E-2</v>
      </c>
      <c r="N4528">
        <v>-1.188548E-2</v>
      </c>
      <c r="O4528">
        <v>-0.99524840000000003</v>
      </c>
      <c r="P4528">
        <v>-0.18960109999999999</v>
      </c>
      <c r="Q4528">
        <v>0.36346329999999999</v>
      </c>
      <c r="R4528">
        <v>-0.91211070000000005</v>
      </c>
      <c r="S4528">
        <v>-1.0523070000000001</v>
      </c>
      <c r="T4528">
        <v>-0.4894753</v>
      </c>
      <c r="U4528">
        <v>-3.2649840000000001</v>
      </c>
      <c r="V4528">
        <v>0.1001122</v>
      </c>
      <c r="W4528">
        <v>0.37456509999999998</v>
      </c>
      <c r="X4528">
        <v>0.92178009999999999</v>
      </c>
      <c r="Y4528">
        <v>0.21052190000000001</v>
      </c>
      <c r="Z4528">
        <v>0.13046469999999999</v>
      </c>
      <c r="AA4528">
        <v>0.96884440000000005</v>
      </c>
      <c r="AB4528">
        <v>28</v>
      </c>
      <c r="AC4528">
        <v>-0.24819999999999701</v>
      </c>
      <c r="AD4528">
        <v>-0.1227023</v>
      </c>
      <c r="AE4528">
        <v>-0.65579999999999905</v>
      </c>
      <c r="AF4528">
        <v>0.17819869454870901</v>
      </c>
      <c r="AG4528">
        <v>-0.1227023</v>
      </c>
      <c r="AH4528">
        <v>0.65661183908142695</v>
      </c>
      <c r="AI4528">
        <v>100.223300770957</v>
      </c>
      <c r="AJ4528">
        <v>74.816155461431705</v>
      </c>
      <c r="AK4528">
        <v>0.69133908929413801</v>
      </c>
      <c r="AL4528">
        <v>68.002564308214502</v>
      </c>
      <c r="AM4528">
        <v>83.801545895393502</v>
      </c>
      <c r="AN4528">
        <v>1.0000000097414199</v>
      </c>
    </row>
    <row r="4529" spans="1:40" x14ac:dyDescent="0.25">
      <c r="A4529" t="str">
        <f>"20190304164940369"</f>
        <v>20190304164940369</v>
      </c>
      <c r="B4529" t="str">
        <f>"1551689380360692"</f>
        <v>1551689380360692</v>
      </c>
      <c r="C4529" t="s">
        <v>40</v>
      </c>
      <c r="D4529">
        <v>4.623291</v>
      </c>
      <c r="E4529">
        <v>0.56789259999999997</v>
      </c>
      <c r="F4529" t="s">
        <v>41</v>
      </c>
      <c r="G4529">
        <v>-191.21019999999999</v>
      </c>
      <c r="H4529">
        <v>0.97600160000000002</v>
      </c>
      <c r="I4529">
        <v>167.4325</v>
      </c>
      <c r="J4529">
        <v>-190.93090000000001</v>
      </c>
      <c r="K4529">
        <v>1.1113139999999999</v>
      </c>
      <c r="L4529">
        <v>168.18639999999999</v>
      </c>
      <c r="M4529">
        <v>-9.6365500000000007E-2</v>
      </c>
      <c r="N4529">
        <v>-1.1991150000000001E-2</v>
      </c>
      <c r="O4529">
        <v>-0.99527410000000005</v>
      </c>
      <c r="P4529">
        <v>-0.1904237</v>
      </c>
      <c r="Q4529">
        <v>0.36364279999999999</v>
      </c>
      <c r="R4529">
        <v>-0.91186840000000002</v>
      </c>
      <c r="S4529">
        <v>-1.060684</v>
      </c>
      <c r="T4529">
        <v>-0.49002980000000002</v>
      </c>
      <c r="U4529">
        <v>-3.2638699999999998</v>
      </c>
      <c r="V4529">
        <v>0.1012477</v>
      </c>
      <c r="W4529">
        <v>0.37483129999999998</v>
      </c>
      <c r="X4529">
        <v>0.92154780000000003</v>
      </c>
      <c r="Y4529">
        <v>0.21313579999999999</v>
      </c>
      <c r="Z4529">
        <v>0.1304768</v>
      </c>
      <c r="AA4529">
        <v>0.96827110000000005</v>
      </c>
      <c r="AB4529">
        <v>28</v>
      </c>
      <c r="AC4529">
        <v>-0.27929999999997701</v>
      </c>
      <c r="AD4529">
        <v>-0.1353124</v>
      </c>
      <c r="AE4529">
        <v>-0.75389999999998702</v>
      </c>
      <c r="AF4529">
        <v>0.19968835057572301</v>
      </c>
      <c r="AG4529">
        <v>-0.1353124</v>
      </c>
      <c r="AH4529">
        <v>0.75589585349364896</v>
      </c>
      <c r="AI4529">
        <v>99.819025334760298</v>
      </c>
      <c r="AJ4529">
        <v>75.201980251709401</v>
      </c>
      <c r="AK4529">
        <v>0.79345032880345201</v>
      </c>
      <c r="AL4529">
        <v>67.986112863307</v>
      </c>
      <c r="AM4529">
        <v>83.730230371434004</v>
      </c>
      <c r="AN4529">
        <v>0.99999997394990903</v>
      </c>
    </row>
    <row r="4530" spans="1:40" x14ac:dyDescent="0.25">
      <c r="A4530" t="str">
        <f>"20190304164940381"</f>
        <v>20190304164940381</v>
      </c>
      <c r="B4530" t="str">
        <f>"1551689380370452"</f>
        <v>1551689380370452</v>
      </c>
      <c r="C4530" t="s">
        <v>40</v>
      </c>
      <c r="D4530">
        <v>4.6143510000000001</v>
      </c>
      <c r="E4530">
        <v>0.56818440000000003</v>
      </c>
      <c r="F4530" t="s">
        <v>41</v>
      </c>
      <c r="G4530">
        <v>-191.18170000000001</v>
      </c>
      <c r="H4530">
        <v>0.99609380000000003</v>
      </c>
      <c r="I4530">
        <v>167.4212</v>
      </c>
      <c r="J4530">
        <v>-190.9452</v>
      </c>
      <c r="K4530">
        <v>1.1112839999999999</v>
      </c>
      <c r="L4530">
        <v>168.03569999999999</v>
      </c>
      <c r="M4530">
        <v>-9.6111009999999997E-2</v>
      </c>
      <c r="N4530">
        <v>-1.210018E-2</v>
      </c>
      <c r="O4530">
        <v>-0.9952974</v>
      </c>
      <c r="P4530">
        <v>-0.19121850000000001</v>
      </c>
      <c r="Q4530">
        <v>0.36397170000000001</v>
      </c>
      <c r="R4530">
        <v>-0.91157060000000001</v>
      </c>
      <c r="S4530">
        <v>-1.067917</v>
      </c>
      <c r="T4530">
        <v>-0.49144490000000002</v>
      </c>
      <c r="U4530">
        <v>-3.2629239999999999</v>
      </c>
      <c r="V4530">
        <v>0.10234600000000001</v>
      </c>
      <c r="W4530">
        <v>0.3752472</v>
      </c>
      <c r="X4530">
        <v>0.9212572</v>
      </c>
      <c r="Y4530">
        <v>0.21539240000000001</v>
      </c>
      <c r="Z4530">
        <v>0.13073489999999999</v>
      </c>
      <c r="AA4530">
        <v>0.96773679999999995</v>
      </c>
      <c r="AB4530">
        <v>28</v>
      </c>
      <c r="AC4530">
        <v>-0.23650000000000601</v>
      </c>
      <c r="AD4530">
        <v>-0.11519019999999899</v>
      </c>
      <c r="AE4530">
        <v>-0.61449999999999205</v>
      </c>
      <c r="AF4530">
        <v>0.17110375664033101</v>
      </c>
      <c r="AG4530">
        <v>-0.11519019999999899</v>
      </c>
      <c r="AH4530">
        <v>0.61554760354293003</v>
      </c>
      <c r="AI4530">
        <v>100.220539669484</v>
      </c>
      <c r="AJ4530">
        <v>74.465665848303104</v>
      </c>
      <c r="AK4530">
        <v>0.64918728417916305</v>
      </c>
      <c r="AL4530">
        <v>67.960407796211797</v>
      </c>
      <c r="AM4530">
        <v>83.660785748394503</v>
      </c>
      <c r="AN4530">
        <v>0.99999999668783901</v>
      </c>
    </row>
    <row r="4531" spans="1:40" x14ac:dyDescent="0.25">
      <c r="A4531" t="str">
        <f>"20190304164940398"</f>
        <v>20190304164940398</v>
      </c>
      <c r="B4531" t="str">
        <f>"1551689380389972"</f>
        <v>1551689380389972</v>
      </c>
      <c r="C4531" t="s">
        <v>40</v>
      </c>
      <c r="D4531">
        <v>4.6021219999999996</v>
      </c>
      <c r="E4531">
        <v>0.56864040000000005</v>
      </c>
      <c r="F4531" t="s">
        <v>41</v>
      </c>
      <c r="G4531">
        <v>-191.22800000000001</v>
      </c>
      <c r="H4531">
        <v>0.98127640000000005</v>
      </c>
      <c r="I4531">
        <v>167.17670000000001</v>
      </c>
      <c r="J4531">
        <v>-190.9659</v>
      </c>
      <c r="K4531">
        <v>1.1112340000000001</v>
      </c>
      <c r="L4531">
        <v>167.81780000000001</v>
      </c>
      <c r="M4531">
        <v>-9.5803360000000004E-2</v>
      </c>
      <c r="N4531">
        <v>-1.2258949999999999E-2</v>
      </c>
      <c r="O4531">
        <v>-0.99532469999999995</v>
      </c>
      <c r="P4531">
        <v>-0.1933164</v>
      </c>
      <c r="Q4531">
        <v>0.3640698</v>
      </c>
      <c r="R4531">
        <v>-0.91108860000000003</v>
      </c>
      <c r="S4531">
        <v>-1.073639</v>
      </c>
      <c r="T4531">
        <v>-0.49394320000000003</v>
      </c>
      <c r="U4531">
        <v>-3.2630309999999998</v>
      </c>
      <c r="V4531">
        <v>0.10483729999999999</v>
      </c>
      <c r="W4531">
        <v>0.37547039999999998</v>
      </c>
      <c r="X4531">
        <v>0.92088599999999998</v>
      </c>
      <c r="Y4531">
        <v>0.21719069999999999</v>
      </c>
      <c r="Z4531">
        <v>0.1312265</v>
      </c>
      <c r="AA4531">
        <v>0.96726820000000002</v>
      </c>
      <c r="AB4531">
        <v>28</v>
      </c>
      <c r="AC4531">
        <v>-0.26209999999997502</v>
      </c>
      <c r="AD4531">
        <v>-0.12995760000000001</v>
      </c>
      <c r="AE4531">
        <v>-0.64109999999999401</v>
      </c>
      <c r="AF4531">
        <v>0.192686181089853</v>
      </c>
      <c r="AG4531">
        <v>-0.12995760000000001</v>
      </c>
      <c r="AH4531">
        <v>0.64070533546435704</v>
      </c>
      <c r="AI4531">
        <v>100.99232236053599</v>
      </c>
      <c r="AJ4531">
        <v>73.261828039336905</v>
      </c>
      <c r="AK4531">
        <v>0.68155723829568904</v>
      </c>
      <c r="AL4531">
        <v>67.946609498244996</v>
      </c>
      <c r="AM4531">
        <v>83.505184371769204</v>
      </c>
      <c r="AN4531">
        <v>0.99999995287172305</v>
      </c>
    </row>
    <row r="4532" spans="1:40" x14ac:dyDescent="0.25">
      <c r="A4532" t="str">
        <f>"20190304164940409"</f>
        <v>20190304164940409</v>
      </c>
      <c r="B4532" t="str">
        <f>"1551689380400708"</f>
        <v>1551689380400708</v>
      </c>
      <c r="C4532" t="s">
        <v>40</v>
      </c>
      <c r="D4532">
        <v>4.4495139999999997</v>
      </c>
      <c r="E4532">
        <v>0.56864040000000005</v>
      </c>
      <c r="F4532" t="s">
        <v>41</v>
      </c>
      <c r="G4532">
        <v>-191.26240000000001</v>
      </c>
      <c r="H4532">
        <v>0.97533990000000004</v>
      </c>
      <c r="I4532">
        <v>166.92689999999999</v>
      </c>
      <c r="J4532">
        <v>-190.98</v>
      </c>
      <c r="K4532">
        <v>1.1111869999999999</v>
      </c>
      <c r="L4532">
        <v>167.6686</v>
      </c>
      <c r="M4532">
        <v>-9.5648449999999996E-2</v>
      </c>
      <c r="N4532">
        <v>-1.236605E-2</v>
      </c>
      <c r="O4532">
        <v>-0.99533859999999996</v>
      </c>
      <c r="P4532">
        <v>-0.1944389</v>
      </c>
      <c r="Q4532">
        <v>0.3643267</v>
      </c>
      <c r="R4532">
        <v>-0.91074730000000004</v>
      </c>
      <c r="S4532">
        <v>-1.084549</v>
      </c>
      <c r="T4532">
        <v>-0.49758239999999998</v>
      </c>
      <c r="U4532">
        <v>-3.2614899999999998</v>
      </c>
      <c r="V4532">
        <v>0.1061854</v>
      </c>
      <c r="W4532">
        <v>0.37580839999999999</v>
      </c>
      <c r="X4532">
        <v>0.92059369999999996</v>
      </c>
      <c r="Y4532">
        <v>0.22035080000000001</v>
      </c>
      <c r="Z4532">
        <v>0.1321001</v>
      </c>
      <c r="AA4532">
        <v>0.96643420000000002</v>
      </c>
      <c r="AB4532">
        <v>28</v>
      </c>
      <c r="AC4532">
        <v>-0.28240000000002402</v>
      </c>
      <c r="AD4532">
        <v>-0.1358471</v>
      </c>
      <c r="AE4532">
        <v>-0.74170000000000802</v>
      </c>
      <c r="AF4532">
        <v>0.20417508695772099</v>
      </c>
      <c r="AG4532">
        <v>-0.1358471</v>
      </c>
      <c r="AH4532">
        <v>0.74352758621172998</v>
      </c>
      <c r="AI4532">
        <v>99.992063701875097</v>
      </c>
      <c r="AJ4532">
        <v>74.644885082444404</v>
      </c>
      <c r="AK4532">
        <v>0.78292730963381596</v>
      </c>
      <c r="AL4532">
        <v>67.925714914885006</v>
      </c>
      <c r="AM4532">
        <v>83.420324829137797</v>
      </c>
      <c r="AN4532">
        <v>1.0000000265817</v>
      </c>
    </row>
    <row r="4533" spans="1:40" x14ac:dyDescent="0.25">
      <c r="A4533" t="str">
        <f>"20190304164940421"</f>
        <v>20190304164940421</v>
      </c>
      <c r="B4533" t="str">
        <f>"1551689380410470"</f>
        <v>1551689380410470</v>
      </c>
      <c r="C4533" t="s">
        <v>40</v>
      </c>
      <c r="D4533">
        <v>4.618169</v>
      </c>
      <c r="E4533">
        <v>0.5688609</v>
      </c>
      <c r="F4533" t="s">
        <v>41</v>
      </c>
      <c r="G4533">
        <v>-191.23169999999999</v>
      </c>
      <c r="H4533">
        <v>0.99648190000000003</v>
      </c>
      <c r="I4533">
        <v>166.91560000000001</v>
      </c>
      <c r="J4533">
        <v>-190.99340000000001</v>
      </c>
      <c r="K4533">
        <v>1.111145</v>
      </c>
      <c r="L4533">
        <v>167.5283</v>
      </c>
      <c r="M4533">
        <v>-9.5541600000000004E-2</v>
      </c>
      <c r="N4533">
        <v>-1.2464660000000001E-2</v>
      </c>
      <c r="O4533">
        <v>-0.99534750000000005</v>
      </c>
      <c r="P4533">
        <v>-0.19538469999999999</v>
      </c>
      <c r="Q4533">
        <v>0.36406300000000003</v>
      </c>
      <c r="R4533">
        <v>-0.91064999999999996</v>
      </c>
      <c r="S4533">
        <v>-1.088455</v>
      </c>
      <c r="T4533">
        <v>-0.4967374</v>
      </c>
      <c r="U4533">
        <v>-3.2603149999999999</v>
      </c>
      <c r="V4533">
        <v>0.1072878</v>
      </c>
      <c r="W4533">
        <v>0.37562109999999999</v>
      </c>
      <c r="X4533">
        <v>0.92054230000000004</v>
      </c>
      <c r="Y4533">
        <v>0.221613</v>
      </c>
      <c r="Z4533">
        <v>0.131768</v>
      </c>
      <c r="AA4533">
        <v>0.96619089999999996</v>
      </c>
      <c r="AB4533">
        <v>28</v>
      </c>
      <c r="AC4533">
        <v>-0.238299999999981</v>
      </c>
      <c r="AD4533">
        <v>-0.1146631</v>
      </c>
      <c r="AE4533">
        <v>-0.61269999999998903</v>
      </c>
      <c r="AF4533">
        <v>0.17339206031116899</v>
      </c>
      <c r="AG4533">
        <v>-0.1146631</v>
      </c>
      <c r="AH4533">
        <v>0.61398789159429701</v>
      </c>
      <c r="AI4533">
        <v>100.188561250188</v>
      </c>
      <c r="AJ4533">
        <v>74.230157844852698</v>
      </c>
      <c r="AK4533">
        <v>0.64822339058766798</v>
      </c>
      <c r="AL4533">
        <v>67.937294296873802</v>
      </c>
      <c r="AM4533">
        <v>83.3522560694134</v>
      </c>
      <c r="AN4533">
        <v>1.0000000044416699</v>
      </c>
    </row>
    <row r="4534" spans="1:40" x14ac:dyDescent="0.25">
      <c r="A4534" t="str">
        <f>"20190304164940431"</f>
        <v>20190304164940431</v>
      </c>
      <c r="B4534" t="str">
        <f>"1551689380420229"</f>
        <v>1551689380420229</v>
      </c>
      <c r="C4534" t="s">
        <v>40</v>
      </c>
      <c r="D4534">
        <v>4.6247749999999996</v>
      </c>
      <c r="E4534">
        <v>0.5690674</v>
      </c>
      <c r="F4534" t="s">
        <v>41</v>
      </c>
      <c r="G4534">
        <v>-191.28059999999999</v>
      </c>
      <c r="H4534">
        <v>0.98005439999999999</v>
      </c>
      <c r="I4534">
        <v>166.67259999999999</v>
      </c>
      <c r="J4534">
        <v>-191.0069</v>
      </c>
      <c r="K4534">
        <v>1.1110979999999999</v>
      </c>
      <c r="L4534">
        <v>167.38679999999999</v>
      </c>
      <c r="M4534">
        <v>-9.5466549999999997E-2</v>
      </c>
      <c r="N4534">
        <v>-1.256229E-2</v>
      </c>
      <c r="O4534">
        <v>-0.99535359999999995</v>
      </c>
      <c r="P4534">
        <v>-0.19679779999999999</v>
      </c>
      <c r="Q4534">
        <v>0.3638942</v>
      </c>
      <c r="R4534">
        <v>-0.91041309999999998</v>
      </c>
      <c r="S4534">
        <v>-1.093369</v>
      </c>
      <c r="T4534">
        <v>-0.49933100000000002</v>
      </c>
      <c r="U4534">
        <v>-3.2593839999999998</v>
      </c>
      <c r="V4534">
        <v>0.1088406</v>
      </c>
      <c r="W4534">
        <v>0.37552609999999997</v>
      </c>
      <c r="X4534">
        <v>0.92039879999999996</v>
      </c>
      <c r="Y4534">
        <v>0.2230482</v>
      </c>
      <c r="Z4534">
        <v>0.13239289999999901</v>
      </c>
      <c r="AA4534">
        <v>0.9657751</v>
      </c>
      <c r="AB4534">
        <v>28</v>
      </c>
      <c r="AC4534">
        <v>-0.27369999999999001</v>
      </c>
      <c r="AD4534">
        <v>-0.13104359999999901</v>
      </c>
      <c r="AE4534">
        <v>-0.71420000000000505</v>
      </c>
      <c r="AF4534">
        <v>0.19843704018069799</v>
      </c>
      <c r="AG4534">
        <v>-0.13104359999999901</v>
      </c>
      <c r="AH4534">
        <v>0.71604916942831298</v>
      </c>
      <c r="AI4534">
        <v>100.00195682971</v>
      </c>
      <c r="AJ4534">
        <v>74.510474836173401</v>
      </c>
      <c r="AK4534">
        <v>0.75450387477839598</v>
      </c>
      <c r="AL4534">
        <v>67.943168161026705</v>
      </c>
      <c r="AM4534">
        <v>83.255879905936993</v>
      </c>
      <c r="AN4534">
        <v>1.0000000395155</v>
      </c>
    </row>
    <row r="4535" spans="1:40" x14ac:dyDescent="0.25">
      <c r="A4535" t="str">
        <f>"20190304164940444"</f>
        <v>20190304164940444</v>
      </c>
      <c r="B4535" t="str">
        <f>"1551689380440724"</f>
        <v>1551689380440724</v>
      </c>
      <c r="C4535" t="s">
        <v>40</v>
      </c>
      <c r="D4535">
        <v>4.6152129999999998</v>
      </c>
      <c r="E4535">
        <v>0.56940259999999998</v>
      </c>
      <c r="F4535" t="s">
        <v>41</v>
      </c>
      <c r="G4535">
        <v>-191.2518</v>
      </c>
      <c r="H4535">
        <v>0.99950099999999997</v>
      </c>
      <c r="I4535">
        <v>166.66159999999999</v>
      </c>
      <c r="J4535">
        <v>-191.02019999999999</v>
      </c>
      <c r="K4535">
        <v>1.1110409999999999</v>
      </c>
      <c r="L4535">
        <v>167.24760000000001</v>
      </c>
      <c r="M4535">
        <v>-9.5465670000000002E-2</v>
      </c>
      <c r="N4535">
        <v>-1.2653869999999999E-2</v>
      </c>
      <c r="O4535">
        <v>-0.99535229999999997</v>
      </c>
      <c r="P4535">
        <v>-0.19825660000000001</v>
      </c>
      <c r="Q4535">
        <v>0.36383490000000002</v>
      </c>
      <c r="R4535">
        <v>-0.91012009999999999</v>
      </c>
      <c r="S4535">
        <v>-1.0996859999999999</v>
      </c>
      <c r="T4535">
        <v>-0.50130160000000001</v>
      </c>
      <c r="U4535">
        <v>-3.257889</v>
      </c>
      <c r="V4535">
        <v>0.11038100000000001</v>
      </c>
      <c r="W4535">
        <v>0.37553180000000003</v>
      </c>
      <c r="X4535">
        <v>0.92021299999999995</v>
      </c>
      <c r="Y4535">
        <v>0.2248406</v>
      </c>
      <c r="Z4535">
        <v>0.1328529</v>
      </c>
      <c r="AA4535">
        <v>0.9652963</v>
      </c>
      <c r="AB4535">
        <v>28</v>
      </c>
      <c r="AC4535">
        <v>-0.23160000000001399</v>
      </c>
      <c r="AD4535">
        <v>-0.111539999999999</v>
      </c>
      <c r="AE4535">
        <v>-0.58600000000001196</v>
      </c>
      <c r="AF4535">
        <v>0.16928994691476501</v>
      </c>
      <c r="AG4535">
        <v>-0.111539999999999</v>
      </c>
      <c r="AH4535">
        <v>0.58703973676180299</v>
      </c>
      <c r="AI4535">
        <v>100.34623374698199</v>
      </c>
      <c r="AJ4535">
        <v>73.913548250424498</v>
      </c>
      <c r="AK4535">
        <v>0.62106031129333195</v>
      </c>
      <c r="AL4535">
        <v>67.942815602802497</v>
      </c>
      <c r="AM4535">
        <v>83.159961684142402</v>
      </c>
      <c r="AN4535">
        <v>1.0000000316706099</v>
      </c>
    </row>
    <row r="4536" spans="1:40" x14ac:dyDescent="0.25">
      <c r="A4536" t="str">
        <f>"20190304164940458"</f>
        <v>20190304164940458</v>
      </c>
      <c r="B4536" t="str">
        <f>"1551689380450484"</f>
        <v>1551689380450484</v>
      </c>
      <c r="C4536" t="s">
        <v>40</v>
      </c>
      <c r="D4536">
        <v>4.6325589999999996</v>
      </c>
      <c r="E4536">
        <v>0.56950290000000003</v>
      </c>
      <c r="F4536" t="s">
        <v>41</v>
      </c>
      <c r="G4536">
        <v>-191.30179999999999</v>
      </c>
      <c r="H4536">
        <v>0.98281819999999998</v>
      </c>
      <c r="I4536">
        <v>166.41909999999999</v>
      </c>
      <c r="J4536">
        <v>-191.03809999999999</v>
      </c>
      <c r="K4536">
        <v>1.1109530000000001</v>
      </c>
      <c r="L4536">
        <v>167.0609</v>
      </c>
      <c r="M4536">
        <v>-9.5529630000000004E-2</v>
      </c>
      <c r="N4536">
        <v>-1.277261E-2</v>
      </c>
      <c r="O4536">
        <v>-0.99534469999999997</v>
      </c>
      <c r="P4536">
        <v>-0.1994871</v>
      </c>
      <c r="Q4536">
        <v>0.36362230000000001</v>
      </c>
      <c r="R4536">
        <v>-0.90993639999999998</v>
      </c>
      <c r="S4536">
        <v>-1.1062620000000001</v>
      </c>
      <c r="T4536">
        <v>-0.50404950000000004</v>
      </c>
      <c r="U4536">
        <v>-3.2568049999999999</v>
      </c>
      <c r="V4536">
        <v>0.1116504</v>
      </c>
      <c r="W4536">
        <v>0.37540269999999998</v>
      </c>
      <c r="X4536">
        <v>0.9201125</v>
      </c>
      <c r="Y4536">
        <v>0.22659119999999999</v>
      </c>
      <c r="Z4536">
        <v>0.13348679999999999</v>
      </c>
      <c r="AA4536">
        <v>0.96479930000000003</v>
      </c>
      <c r="AB4536">
        <v>28</v>
      </c>
      <c r="AC4536">
        <v>-0.26369999999999999</v>
      </c>
      <c r="AD4536">
        <v>-0.12813479999999999</v>
      </c>
      <c r="AE4536">
        <v>-0.64180000000001702</v>
      </c>
      <c r="AF4536">
        <v>0.194543440927753</v>
      </c>
      <c r="AG4536">
        <v>-0.12813479999999999</v>
      </c>
      <c r="AH4536">
        <v>0.64215825065758902</v>
      </c>
      <c r="AI4536">
        <v>100.811410149108</v>
      </c>
      <c r="AJ4536">
        <v>73.145684718404695</v>
      </c>
      <c r="AK4536">
        <v>0.68310533321491895</v>
      </c>
      <c r="AL4536">
        <v>67.950795797361394</v>
      </c>
      <c r="AM4536">
        <v>83.081309814539296</v>
      </c>
      <c r="AN4536">
        <v>1.0000000058218499</v>
      </c>
    </row>
    <row r="4537" spans="1:40" x14ac:dyDescent="0.25">
      <c r="A4537" t="str">
        <f>"20190304164940472"</f>
        <v>20190304164940472</v>
      </c>
      <c r="B4537" t="str">
        <f>"1551689380460244"</f>
        <v>1551689380460244</v>
      </c>
      <c r="C4537" t="s">
        <v>40</v>
      </c>
      <c r="D4537">
        <v>4.6417640000000002</v>
      </c>
      <c r="E4537">
        <v>0.56956929999999995</v>
      </c>
      <c r="F4537" t="s">
        <v>41</v>
      </c>
      <c r="G4537">
        <v>-191.3415</v>
      </c>
      <c r="H4537">
        <v>0.97245559999999998</v>
      </c>
      <c r="I4537">
        <v>166.17089999999999</v>
      </c>
      <c r="J4537">
        <v>-191.05539999999999</v>
      </c>
      <c r="K4537">
        <v>1.1108559999999901</v>
      </c>
      <c r="L4537">
        <v>166.88159999999999</v>
      </c>
      <c r="M4537">
        <v>-9.5709219999999998E-2</v>
      </c>
      <c r="N4537">
        <v>-1.287957E-2</v>
      </c>
      <c r="O4537">
        <v>-0.99532600000000004</v>
      </c>
      <c r="P4537">
        <v>-0.2007602</v>
      </c>
      <c r="Q4537">
        <v>0.36328769999999999</v>
      </c>
      <c r="R4537">
        <v>-0.90978990000000004</v>
      </c>
      <c r="S4537">
        <v>-1.1096950000000001</v>
      </c>
      <c r="T4537">
        <v>-0.50668230000000003</v>
      </c>
      <c r="U4537">
        <v>-3.256119</v>
      </c>
      <c r="V4537">
        <v>0.1128615</v>
      </c>
      <c r="W4537">
        <v>0.37513750000000001</v>
      </c>
      <c r="X4537">
        <v>0.92007289999999997</v>
      </c>
      <c r="Y4537">
        <v>0.22735759999999999</v>
      </c>
      <c r="Z4537">
        <v>0.13411809999999999</v>
      </c>
      <c r="AA4537">
        <v>0.96453140000000004</v>
      </c>
      <c r="AB4537">
        <v>28</v>
      </c>
      <c r="AC4537">
        <v>-0.28610000000000402</v>
      </c>
      <c r="AD4537">
        <v>-0.13840039999999901</v>
      </c>
      <c r="AE4537">
        <v>-0.710700000000002</v>
      </c>
      <c r="AF4537">
        <v>0.20990992776056799</v>
      </c>
      <c r="AG4537">
        <v>-0.13840039999999901</v>
      </c>
      <c r="AH4537">
        <v>0.71159896491471797</v>
      </c>
      <c r="AI4537">
        <v>100.566801447957</v>
      </c>
      <c r="AJ4537">
        <v>73.564812363697001</v>
      </c>
      <c r="AK4537">
        <v>0.75471182272461101</v>
      </c>
      <c r="AL4537">
        <v>67.967188609946305</v>
      </c>
      <c r="AM4537">
        <v>83.006702204397797</v>
      </c>
      <c r="AN4537">
        <v>1.0000000017014501</v>
      </c>
    </row>
    <row r="4538" spans="1:40" x14ac:dyDescent="0.25">
      <c r="A4538" t="str">
        <f>"20190304164940489"</f>
        <v>20190304164940489</v>
      </c>
      <c r="B4538" t="str">
        <f>"1551689380480741"</f>
        <v>1551689380480741</v>
      </c>
      <c r="C4538" t="s">
        <v>40</v>
      </c>
      <c r="D4538">
        <v>4.8776229999999998</v>
      </c>
      <c r="E4538">
        <v>0.56976419999999905</v>
      </c>
      <c r="F4538" t="s">
        <v>41</v>
      </c>
      <c r="G4538">
        <v>-191.30269999999999</v>
      </c>
      <c r="H4538">
        <v>0.99781310000000001</v>
      </c>
      <c r="I4538">
        <v>166.15880000000001</v>
      </c>
      <c r="J4538">
        <v>-191.07589999999999</v>
      </c>
      <c r="K4538">
        <v>1.1107370000000001</v>
      </c>
      <c r="L4538">
        <v>166.67140000000001</v>
      </c>
      <c r="M4538">
        <v>-9.6065559999999994E-2</v>
      </c>
      <c r="N4538">
        <v>-1.299602E-2</v>
      </c>
      <c r="O4538">
        <v>-0.99529040000000002</v>
      </c>
      <c r="P4538">
        <v>-0.20226540000000001</v>
      </c>
      <c r="Q4538">
        <v>0.36314869999999999</v>
      </c>
      <c r="R4538">
        <v>-0.90951190000000004</v>
      </c>
      <c r="S4538">
        <v>-1.113693</v>
      </c>
      <c r="T4538">
        <v>-0.50903149999999997</v>
      </c>
      <c r="U4538">
        <v>-3.2549899999999998</v>
      </c>
      <c r="V4538">
        <v>0.1141814</v>
      </c>
      <c r="W4538">
        <v>0.3750655</v>
      </c>
      <c r="X4538">
        <v>0.91993939999999996</v>
      </c>
      <c r="Y4538">
        <v>0.22814380000000001</v>
      </c>
      <c r="Z4538">
        <v>0.13467029999999999</v>
      </c>
      <c r="AA4538">
        <v>0.96426880000000004</v>
      </c>
      <c r="AB4538">
        <v>28</v>
      </c>
      <c r="AC4538">
        <v>-0.226799999999997</v>
      </c>
      <c r="AD4538">
        <v>-0.11292389999999999</v>
      </c>
      <c r="AE4538">
        <v>-0.51259999999999195</v>
      </c>
      <c r="AF4538">
        <v>0.16961945012803001</v>
      </c>
      <c r="AG4538">
        <v>-0.11292389999999999</v>
      </c>
      <c r="AH4538">
        <v>0.51126831047252896</v>
      </c>
      <c r="AI4538">
        <v>101.839715736632</v>
      </c>
      <c r="AJ4538">
        <v>71.646111687442797</v>
      </c>
      <c r="AK4538">
        <v>0.55037973286302999</v>
      </c>
      <c r="AL4538">
        <v>67.971639050365894</v>
      </c>
      <c r="AM4538">
        <v>82.924724281892097</v>
      </c>
      <c r="AN4538">
        <v>1.0000000105342799</v>
      </c>
    </row>
    <row r="4539" spans="1:40" x14ac:dyDescent="0.25">
      <c r="A4539" t="str">
        <f>"20190304164940502"</f>
        <v>20190304164940502</v>
      </c>
      <c r="B4539" t="str">
        <f>"1551689380490501"</f>
        <v>1551689380490501</v>
      </c>
      <c r="C4539" t="s">
        <v>40</v>
      </c>
      <c r="D4539">
        <v>4.6339449999999998</v>
      </c>
      <c r="E4539">
        <v>0.56984199999999996</v>
      </c>
      <c r="F4539" t="s">
        <v>41</v>
      </c>
      <c r="G4539">
        <v>-191.3381</v>
      </c>
      <c r="H4539">
        <v>0.99075270000000004</v>
      </c>
      <c r="I4539">
        <v>165.91130000000001</v>
      </c>
      <c r="J4539">
        <v>-191.0916</v>
      </c>
      <c r="K4539">
        <v>1.11063</v>
      </c>
      <c r="L4539">
        <v>166.5121</v>
      </c>
      <c r="M4539">
        <v>-9.6437709999999996E-2</v>
      </c>
      <c r="N4539">
        <v>-1.307883E-2</v>
      </c>
      <c r="O4539">
        <v>-0.99525339999999995</v>
      </c>
      <c r="P4539">
        <v>-0.20323040000000001</v>
      </c>
      <c r="Q4539">
        <v>0.36312309999999998</v>
      </c>
      <c r="R4539">
        <v>-0.90930719999999998</v>
      </c>
      <c r="S4539">
        <v>-1.12175</v>
      </c>
      <c r="T4539">
        <v>-0.51358749999999997</v>
      </c>
      <c r="U4539">
        <v>-3.2540589999999998</v>
      </c>
      <c r="V4539">
        <v>0.11492230000000001</v>
      </c>
      <c r="W4539">
        <v>0.37508229999999998</v>
      </c>
      <c r="X4539">
        <v>0.91984030000000006</v>
      </c>
      <c r="Y4539">
        <v>0.22994290000000001</v>
      </c>
      <c r="Z4539">
        <v>0.13582549999999999</v>
      </c>
      <c r="AA4539">
        <v>0.96367930000000002</v>
      </c>
      <c r="AB4539">
        <v>28</v>
      </c>
      <c r="AC4539">
        <v>-0.246499999999997</v>
      </c>
      <c r="AD4539">
        <v>-0.11987729999999901</v>
      </c>
      <c r="AE4539">
        <v>-0.60079999999999201</v>
      </c>
      <c r="AF4539">
        <v>0.181230571904165</v>
      </c>
      <c r="AG4539">
        <v>-0.11987729999999901</v>
      </c>
      <c r="AH4539">
        <v>0.60128386689508495</v>
      </c>
      <c r="AI4539">
        <v>100.80699539022</v>
      </c>
      <c r="AJ4539">
        <v>73.226877509602204</v>
      </c>
      <c r="AK4539">
        <v>0.63934136096165906</v>
      </c>
      <c r="AL4539">
        <v>67.970600944026302</v>
      </c>
      <c r="AM4539">
        <v>82.878524750733703</v>
      </c>
      <c r="AN4539">
        <v>1.00000002215733</v>
      </c>
    </row>
    <row r="4540" spans="1:40" x14ac:dyDescent="0.25">
      <c r="A4540" t="str">
        <f>"20190304164940519"</f>
        <v>20190304164940519</v>
      </c>
      <c r="B4540" t="str">
        <f>"1551689380510020"</f>
        <v>1551689380510020</v>
      </c>
      <c r="C4540" t="s">
        <v>40</v>
      </c>
      <c r="D4540">
        <v>4.4451929999999997</v>
      </c>
      <c r="E4540">
        <v>0.56993799999999994</v>
      </c>
      <c r="F4540" t="s">
        <v>41</v>
      </c>
      <c r="G4540">
        <v>-191.3843</v>
      </c>
      <c r="H4540">
        <v>0.97698189999999996</v>
      </c>
      <c r="I4540">
        <v>165.6671</v>
      </c>
      <c r="J4540">
        <v>-191.11439999999999</v>
      </c>
      <c r="K4540">
        <v>1.11046</v>
      </c>
      <c r="L4540">
        <v>166.28299999999999</v>
      </c>
      <c r="M4540">
        <v>-9.7139699999999995E-2</v>
      </c>
      <c r="N4540">
        <v>-1.3189680000000001E-2</v>
      </c>
      <c r="O4540">
        <v>-0.9951835</v>
      </c>
      <c r="P4540">
        <v>-0.20525099999999999</v>
      </c>
      <c r="Q4540">
        <v>0.36322969999999999</v>
      </c>
      <c r="R4540">
        <v>-0.90881040000000002</v>
      </c>
      <c r="S4540">
        <v>-1.1268309999999999</v>
      </c>
      <c r="T4540">
        <v>-0.51445790000000002</v>
      </c>
      <c r="U4540">
        <v>-3.2528079999999999</v>
      </c>
      <c r="V4540">
        <v>0.1164997</v>
      </c>
      <c r="W4540">
        <v>0.37523390000000001</v>
      </c>
      <c r="X4540">
        <v>0.91957999999999995</v>
      </c>
      <c r="Y4540">
        <v>0.23070650000000001</v>
      </c>
      <c r="Z4540">
        <v>0.135954399999999</v>
      </c>
      <c r="AA4540">
        <v>0.96347859999999996</v>
      </c>
      <c r="AB4540">
        <v>28</v>
      </c>
      <c r="AC4540">
        <v>-0.26990000000000602</v>
      </c>
      <c r="AD4540">
        <v>-0.13347809999999999</v>
      </c>
      <c r="AE4540">
        <v>-0.61589999999998202</v>
      </c>
      <c r="AF4540">
        <v>0.20087509118461899</v>
      </c>
      <c r="AG4540">
        <v>-0.13347809999999999</v>
      </c>
      <c r="AH4540">
        <v>0.61497621260677404</v>
      </c>
      <c r="AI4540">
        <v>101.657604214164</v>
      </c>
      <c r="AJ4540">
        <v>71.910953412657506</v>
      </c>
      <c r="AK4540">
        <v>0.66057773767378203</v>
      </c>
      <c r="AL4540">
        <v>67.9612304002912</v>
      </c>
      <c r="AM4540">
        <v>82.779779299855605</v>
      </c>
      <c r="AN4540">
        <v>1.00000001810464</v>
      </c>
    </row>
    <row r="4541" spans="1:40" x14ac:dyDescent="0.25">
      <c r="A4541" t="str">
        <f>"20190304164940532"</f>
        <v>20190304164940532</v>
      </c>
      <c r="B4541" t="str">
        <f>"1551689380520756"</f>
        <v>1551689380520756</v>
      </c>
      <c r="C4541" t="s">
        <v>40</v>
      </c>
      <c r="D4541">
        <v>4.6003970000000001</v>
      </c>
      <c r="E4541">
        <v>0.57008570000000003</v>
      </c>
      <c r="F4541" t="s">
        <v>41</v>
      </c>
      <c r="G4541">
        <v>-191.41720000000001</v>
      </c>
      <c r="H4541">
        <v>0.97321139999999995</v>
      </c>
      <c r="I4541">
        <v>165.417</v>
      </c>
      <c r="J4541">
        <v>-191.12970000000001</v>
      </c>
      <c r="K4541">
        <v>1.11032999999999</v>
      </c>
      <c r="L4541">
        <v>166.13120000000001</v>
      </c>
      <c r="M4541">
        <v>-9.7718780000000005E-2</v>
      </c>
      <c r="N4541">
        <v>-1.325813E-2</v>
      </c>
      <c r="O4541">
        <v>-0.99512590000000001</v>
      </c>
      <c r="P4541">
        <v>-0.20666599999999999</v>
      </c>
      <c r="Q4541">
        <v>0.36314790000000002</v>
      </c>
      <c r="R4541">
        <v>-0.90852259999999996</v>
      </c>
      <c r="S4541">
        <v>-1.135956</v>
      </c>
      <c r="T4541">
        <v>-0.51512809999999998</v>
      </c>
      <c r="U4541">
        <v>-3.2503510000000002</v>
      </c>
      <c r="V4541">
        <v>0.1175214</v>
      </c>
      <c r="W4541">
        <v>0.3751738</v>
      </c>
      <c r="X4541">
        <v>0.91947449999999997</v>
      </c>
      <c r="Y4541">
        <v>0.232769</v>
      </c>
      <c r="Z4541">
        <v>0.13606940000000001</v>
      </c>
      <c r="AA4541">
        <v>0.96296610000000005</v>
      </c>
      <c r="AB4541">
        <v>28</v>
      </c>
      <c r="AC4541">
        <v>-0.28749999999999398</v>
      </c>
      <c r="AD4541">
        <v>-0.13711859999999901</v>
      </c>
      <c r="AE4541">
        <v>-0.71420000000000505</v>
      </c>
      <c r="AF4541">
        <v>0.209676048902771</v>
      </c>
      <c r="AG4541">
        <v>-0.13711859999999901</v>
      </c>
      <c r="AH4541">
        <v>0.71616142344582201</v>
      </c>
      <c r="AI4541">
        <v>100.41193969296801</v>
      </c>
      <c r="AJ4541">
        <v>73.681149407754106</v>
      </c>
      <c r="AK4541">
        <v>0.75871782658731801</v>
      </c>
      <c r="AL4541">
        <v>67.964945040342201</v>
      </c>
      <c r="AM4541">
        <v>82.716308398228406</v>
      </c>
      <c r="AN4541">
        <v>1.0000000079073199</v>
      </c>
    </row>
    <row r="4542" spans="1:40" x14ac:dyDescent="0.25">
      <c r="A4542" t="str">
        <f>"20190304164940543"</f>
        <v>20190304164940543</v>
      </c>
      <c r="B4542" t="str">
        <f>"1551689380540276"</f>
        <v>1551689380540276</v>
      </c>
      <c r="C4542" t="s">
        <v>40</v>
      </c>
      <c r="D4542">
        <v>4.5522359999999997</v>
      </c>
      <c r="E4542">
        <v>0.57029549999999996</v>
      </c>
      <c r="F4542" t="s">
        <v>41</v>
      </c>
      <c r="G4542">
        <v>-191.38460000000001</v>
      </c>
      <c r="H4542">
        <v>0.99524440000000003</v>
      </c>
      <c r="I4542">
        <v>165.40690000000001</v>
      </c>
      <c r="J4542">
        <v>-191.1437</v>
      </c>
      <c r="K4542">
        <v>1.1102099999999999</v>
      </c>
      <c r="L4542">
        <v>165.9948</v>
      </c>
      <c r="M4542">
        <v>-9.8341860000000003E-2</v>
      </c>
      <c r="N4542">
        <v>-1.3315520000000001E-2</v>
      </c>
      <c r="O4542">
        <v>-0.99506349999999999</v>
      </c>
      <c r="P4542">
        <v>-0.20801810000000001</v>
      </c>
      <c r="Q4542">
        <v>0.36321409999999998</v>
      </c>
      <c r="R4542">
        <v>-0.90818719999999997</v>
      </c>
      <c r="S4542">
        <v>-1.142212</v>
      </c>
      <c r="T4542">
        <v>-0.51610029999999996</v>
      </c>
      <c r="U4542">
        <v>-3.248535</v>
      </c>
      <c r="V4542">
        <v>0.1184346</v>
      </c>
      <c r="W4542">
        <v>0.37525380000000003</v>
      </c>
      <c r="X4542">
        <v>0.91932460000000005</v>
      </c>
      <c r="Y4542">
        <v>0.2339666</v>
      </c>
      <c r="Z4542">
        <v>0.13628760000000001</v>
      </c>
      <c r="AA4542">
        <v>0.96264499999999997</v>
      </c>
      <c r="AB4542">
        <v>28</v>
      </c>
      <c r="AC4542">
        <v>-0.24090000000001</v>
      </c>
      <c r="AD4542">
        <v>-0.1149656</v>
      </c>
      <c r="AE4542">
        <v>-0.58789999999998999</v>
      </c>
      <c r="AF4542">
        <v>0.176144240175929</v>
      </c>
      <c r="AG4542">
        <v>-0.1149656</v>
      </c>
      <c r="AH4542">
        <v>0.58944220091122101</v>
      </c>
      <c r="AI4542">
        <v>100.585095912754</v>
      </c>
      <c r="AJ4542">
        <v>73.362167011738904</v>
      </c>
      <c r="AK4542">
        <v>0.62584821701877502</v>
      </c>
      <c r="AL4542">
        <v>67.959998621533302</v>
      </c>
      <c r="AM4542">
        <v>82.659141574786602</v>
      </c>
      <c r="AN4542">
        <v>0.99999994452837804</v>
      </c>
    </row>
    <row r="4543" spans="1:40" x14ac:dyDescent="0.25">
      <c r="A4543" t="str">
        <f>"20190304164940554"</f>
        <v>20190304164940554</v>
      </c>
      <c r="B4543" t="str">
        <f>"1551689380550037"</f>
        <v>1551689380550037</v>
      </c>
      <c r="C4543" t="s">
        <v>40</v>
      </c>
      <c r="D4543">
        <v>4.5913120000000003</v>
      </c>
      <c r="E4543">
        <v>0.57042869999999901</v>
      </c>
      <c r="F4543" t="s">
        <v>41</v>
      </c>
      <c r="G4543">
        <v>-191.4375</v>
      </c>
      <c r="H4543">
        <v>0.97766920000000002</v>
      </c>
      <c r="I4543">
        <v>165.16489999999999</v>
      </c>
      <c r="J4543">
        <v>-191.15880000000001</v>
      </c>
      <c r="K4543">
        <v>1.110082</v>
      </c>
      <c r="L4543">
        <v>165.84829999999999</v>
      </c>
      <c r="M4543">
        <v>-9.9050579999999999E-2</v>
      </c>
      <c r="N4543">
        <v>-1.3375420000000001E-2</v>
      </c>
      <c r="O4543">
        <v>-0.99499269999999995</v>
      </c>
      <c r="P4543">
        <v>-0.20933669999999999</v>
      </c>
      <c r="Q4543">
        <v>0.36346010000000001</v>
      </c>
      <c r="R4543">
        <v>-0.90778610000000004</v>
      </c>
      <c r="S4543">
        <v>-1.149872</v>
      </c>
      <c r="T4543">
        <v>-0.51861229999999903</v>
      </c>
      <c r="U4543">
        <v>-3.2472989999999999</v>
      </c>
      <c r="V4543">
        <v>0.1192515</v>
      </c>
      <c r="W4543">
        <v>0.37551230000000002</v>
      </c>
      <c r="X4543">
        <v>0.91911350000000003</v>
      </c>
      <c r="Y4543">
        <v>0.23537640000000001</v>
      </c>
      <c r="Z4543">
        <v>0.1368983</v>
      </c>
      <c r="AA4543">
        <v>0.96221449999999997</v>
      </c>
      <c r="AB4543">
        <v>28</v>
      </c>
      <c r="AC4543">
        <v>-0.27869999999998601</v>
      </c>
      <c r="AD4543">
        <v>-0.1324128</v>
      </c>
      <c r="AE4543">
        <v>-0.683400000000006</v>
      </c>
      <c r="AF4543">
        <v>0.20309477790412001</v>
      </c>
      <c r="AG4543">
        <v>-0.1324128</v>
      </c>
      <c r="AH4543">
        <v>0.68557909095345104</v>
      </c>
      <c r="AI4543">
        <v>100.49148166422199</v>
      </c>
      <c r="AJ4543">
        <v>73.498693928058202</v>
      </c>
      <c r="AK4543">
        <v>0.72718589670614797</v>
      </c>
      <c r="AL4543">
        <v>67.944020750990902</v>
      </c>
      <c r="AM4543">
        <v>82.607387352772406</v>
      </c>
      <c r="AN4543">
        <v>1.00000001679289</v>
      </c>
    </row>
    <row r="4544" spans="1:40" x14ac:dyDescent="0.25">
      <c r="A4544" t="str">
        <f>"20190304164940566"</f>
        <v>20190304164940566</v>
      </c>
      <c r="B4544" t="str">
        <f>"1551689380560772"</f>
        <v>1551689380560772</v>
      </c>
      <c r="C4544" t="s">
        <v>40</v>
      </c>
      <c r="D4544">
        <v>4.4896690000000001</v>
      </c>
      <c r="E4544">
        <v>0.57039879999999998</v>
      </c>
      <c r="F4544" t="s">
        <v>41</v>
      </c>
      <c r="G4544">
        <v>-191.40620000000001</v>
      </c>
      <c r="H4544">
        <v>0.9990926</v>
      </c>
      <c r="I4544">
        <v>165.1542</v>
      </c>
      <c r="J4544">
        <v>-191.1738</v>
      </c>
      <c r="K4544">
        <v>1.1099460000000001</v>
      </c>
      <c r="L4544">
        <v>165.7055</v>
      </c>
      <c r="M4544">
        <v>-9.9910040000000006E-2</v>
      </c>
      <c r="N4544">
        <v>-1.3428290000000001E-2</v>
      </c>
      <c r="O4544">
        <v>-0.99490590000000001</v>
      </c>
      <c r="P4544">
        <v>-0.21035670000000001</v>
      </c>
      <c r="Q4544">
        <v>0.3638653</v>
      </c>
      <c r="R4544">
        <v>-0.90738779999999997</v>
      </c>
      <c r="S4544">
        <v>-1.1568909999999999</v>
      </c>
      <c r="T4544">
        <v>-0.51899459999999997</v>
      </c>
      <c r="U4544">
        <v>-3.245743</v>
      </c>
      <c r="V4544">
        <v>0.1196362</v>
      </c>
      <c r="W4544">
        <v>0.37592249999999999</v>
      </c>
      <c r="X4544">
        <v>0.91889580000000004</v>
      </c>
      <c r="Y4544">
        <v>0.23652590000000001</v>
      </c>
      <c r="Z4544">
        <v>0.13693239999999901</v>
      </c>
      <c r="AA4544">
        <v>0.9619278</v>
      </c>
      <c r="AB4544">
        <v>28</v>
      </c>
      <c r="AC4544">
        <v>-0.23240000000001201</v>
      </c>
      <c r="AD4544">
        <v>-0.11085339999999901</v>
      </c>
      <c r="AE4544">
        <v>-0.55129999999999701</v>
      </c>
      <c r="AF4544">
        <v>0.17030487011842901</v>
      </c>
      <c r="AG4544">
        <v>-0.11085339999999901</v>
      </c>
      <c r="AH4544">
        <v>0.55278461320331995</v>
      </c>
      <c r="AI4544">
        <v>100.849030507473</v>
      </c>
      <c r="AJ4544">
        <v>72.876698532332597</v>
      </c>
      <c r="AK4544">
        <v>0.58895080751448103</v>
      </c>
      <c r="AL4544">
        <v>67.918659991633902</v>
      </c>
      <c r="AM4544">
        <v>82.582066732307396</v>
      </c>
      <c r="AN4544">
        <v>1.0000000188071601</v>
      </c>
    </row>
    <row r="4545" spans="1:40" x14ac:dyDescent="0.25">
      <c r="A4545" t="str">
        <f>"20190304164940580"</f>
        <v>20190304164940580</v>
      </c>
      <c r="B4545" t="str">
        <f>"1551689380570532"</f>
        <v>1551689380570532</v>
      </c>
      <c r="C4545" t="s">
        <v>40</v>
      </c>
      <c r="D4545">
        <v>4.6051089999999997</v>
      </c>
      <c r="E4545">
        <v>0.57052369999999997</v>
      </c>
      <c r="F4545" t="s">
        <v>41</v>
      </c>
      <c r="G4545">
        <v>-191.45849999999999</v>
      </c>
      <c r="H4545">
        <v>0.98391130000000004</v>
      </c>
      <c r="I4545">
        <v>164.9119</v>
      </c>
      <c r="J4545">
        <v>-191.19139999999999</v>
      </c>
      <c r="K4545">
        <v>1.1097870000000001</v>
      </c>
      <c r="L4545">
        <v>165.54040000000001</v>
      </c>
      <c r="M4545">
        <v>-0.1009806</v>
      </c>
      <c r="N4545">
        <v>-1.348735E-2</v>
      </c>
      <c r="O4545">
        <v>-0.99479689999999998</v>
      </c>
      <c r="P4545">
        <v>-0.2118139</v>
      </c>
      <c r="Q4545">
        <v>0.36429790000000001</v>
      </c>
      <c r="R4545">
        <v>-0.90687499999999999</v>
      </c>
      <c r="S4545">
        <v>-1.162552</v>
      </c>
      <c r="T4545">
        <v>-0.51491319999999996</v>
      </c>
      <c r="U4545">
        <v>-3.243179</v>
      </c>
      <c r="V4545">
        <v>0.1202955</v>
      </c>
      <c r="W4545">
        <v>0.37635679999999999</v>
      </c>
      <c r="X4545">
        <v>0.91863189999999995</v>
      </c>
      <c r="Y4545">
        <v>0.2372647</v>
      </c>
      <c r="Z4545">
        <v>0.13575299999999901</v>
      </c>
      <c r="AA4545">
        <v>0.96191300000000002</v>
      </c>
      <c r="AB4545">
        <v>28</v>
      </c>
      <c r="AC4545">
        <v>-0.267099999999999</v>
      </c>
      <c r="AD4545">
        <v>-0.12587569999999901</v>
      </c>
      <c r="AE4545">
        <v>-0.62850000000000195</v>
      </c>
      <c r="AF4545">
        <v>0.19561617415712401</v>
      </c>
      <c r="AG4545">
        <v>-0.12587569999999901</v>
      </c>
      <c r="AH4545">
        <v>0.630828354726226</v>
      </c>
      <c r="AI4545">
        <v>100.79044296166801</v>
      </c>
      <c r="AJ4545">
        <v>72.771643180831106</v>
      </c>
      <c r="AK4545">
        <v>0.67235020083953101</v>
      </c>
      <c r="AL4545">
        <v>67.891803975211303</v>
      </c>
      <c r="AM4545">
        <v>82.539527969679597</v>
      </c>
      <c r="AN4545">
        <v>1.0000000079620499</v>
      </c>
    </row>
    <row r="4546" spans="1:40" x14ac:dyDescent="0.25">
      <c r="A4546" t="str">
        <f>"20190304164940591"</f>
        <v>20190304164940591</v>
      </c>
      <c r="B4546" t="str">
        <f>"1551689380580293"</f>
        <v>1551689380580293</v>
      </c>
      <c r="C4546" t="s">
        <v>40</v>
      </c>
      <c r="D4546">
        <v>5.0235399999999997</v>
      </c>
      <c r="E4546">
        <v>0.57052369999999997</v>
      </c>
      <c r="F4546" t="s">
        <v>41</v>
      </c>
      <c r="G4546">
        <v>-191.5102</v>
      </c>
      <c r="H4546">
        <v>0.96982040000000003</v>
      </c>
      <c r="I4546">
        <v>164.65729999999999</v>
      </c>
      <c r="J4546">
        <v>-191.20769999999999</v>
      </c>
      <c r="K4546">
        <v>1.109637</v>
      </c>
      <c r="L4546">
        <v>165.3905</v>
      </c>
      <c r="M4546">
        <v>-0.1020861</v>
      </c>
      <c r="N4546">
        <v>-1.353759E-2</v>
      </c>
      <c r="O4546">
        <v>-0.9946834</v>
      </c>
      <c r="P4546">
        <v>-0.21348790000000001</v>
      </c>
      <c r="Q4546">
        <v>0.36474859999999998</v>
      </c>
      <c r="R4546">
        <v>-0.90630089999999996</v>
      </c>
      <c r="S4546">
        <v>-1.1701509999999999</v>
      </c>
      <c r="T4546">
        <v>-0.51374470000000005</v>
      </c>
      <c r="U4546">
        <v>-3.2411349999999999</v>
      </c>
      <c r="V4546">
        <v>0.12113699999999999</v>
      </c>
      <c r="W4546">
        <v>0.37680160000000001</v>
      </c>
      <c r="X4546">
        <v>0.91833900000000002</v>
      </c>
      <c r="Y4546">
        <v>0.23839170000000001</v>
      </c>
      <c r="Z4546">
        <v>0.1353618</v>
      </c>
      <c r="AA4546">
        <v>0.96168949999999997</v>
      </c>
      <c r="AB4546">
        <v>28</v>
      </c>
      <c r="AC4546">
        <v>-0.30250000000000898</v>
      </c>
      <c r="AD4546">
        <v>-0.13981659999999899</v>
      </c>
      <c r="AE4546">
        <v>-0.73320000000000995</v>
      </c>
      <c r="AF4546">
        <v>0.21924982310383501</v>
      </c>
      <c r="AG4546">
        <v>-0.13981659999999899</v>
      </c>
      <c r="AH4546">
        <v>0.73734006068028002</v>
      </c>
      <c r="AI4546">
        <v>100.301495288585</v>
      </c>
      <c r="AJ4546">
        <v>73.440028869697002</v>
      </c>
      <c r="AK4546">
        <v>0.78185006980278604</v>
      </c>
      <c r="AL4546">
        <v>67.864295038159099</v>
      </c>
      <c r="AM4546">
        <v>82.485565345969604</v>
      </c>
      <c r="AN4546">
        <v>1.00000006872627</v>
      </c>
    </row>
    <row r="4547" spans="1:40" x14ac:dyDescent="0.25">
      <c r="A4547" t="str">
        <f>"20190304164940602"</f>
        <v>20190304164940602</v>
      </c>
      <c r="B4547" t="str">
        <f>"1551689380590052"</f>
        <v>1551689380590052</v>
      </c>
      <c r="C4547" t="s">
        <v>40</v>
      </c>
      <c r="D4547">
        <v>4.5251769999999896</v>
      </c>
      <c r="E4547">
        <v>0.57803930000000003</v>
      </c>
      <c r="F4547" t="s">
        <v>41</v>
      </c>
      <c r="G4547">
        <v>-191.47399999999999</v>
      </c>
      <c r="H4547">
        <v>0.99379830000000002</v>
      </c>
      <c r="I4547">
        <v>164.6575</v>
      </c>
      <c r="J4547">
        <v>-191.2227</v>
      </c>
      <c r="K4547">
        <v>1.1095029999999999</v>
      </c>
      <c r="L4547">
        <v>165.25489999999999</v>
      </c>
      <c r="M4547">
        <v>-0.1031952</v>
      </c>
      <c r="N4547">
        <v>-1.358058E-2</v>
      </c>
      <c r="O4547">
        <v>-0.99456860000000002</v>
      </c>
      <c r="P4547">
        <v>-0.2149847</v>
      </c>
      <c r="Q4547">
        <v>0.36481780000000003</v>
      </c>
      <c r="R4547">
        <v>-0.90591949999999999</v>
      </c>
      <c r="S4547">
        <v>-1.1770780000000001</v>
      </c>
      <c r="T4547">
        <v>-0.51190809999999998</v>
      </c>
      <c r="U4547">
        <v>-3.2389220000000001</v>
      </c>
      <c r="V4547">
        <v>0.1217646</v>
      </c>
      <c r="W4547">
        <v>0.37686609999999998</v>
      </c>
      <c r="X4547">
        <v>0.91822950000000003</v>
      </c>
      <c r="Y4547">
        <v>0.2393624</v>
      </c>
      <c r="Z4547">
        <v>0.13480249999999999</v>
      </c>
      <c r="AA4547">
        <v>0.96152689999999996</v>
      </c>
      <c r="AB4547">
        <v>28</v>
      </c>
      <c r="AC4547">
        <v>-0.25130000000001401</v>
      </c>
      <c r="AD4547">
        <v>-0.11570469999999999</v>
      </c>
      <c r="AE4547">
        <v>-0.59739999999999305</v>
      </c>
      <c r="AF4547">
        <v>0.18248732156688199</v>
      </c>
      <c r="AG4547">
        <v>-0.11570469999999999</v>
      </c>
      <c r="AH4547">
        <v>0.60099038122447801</v>
      </c>
      <c r="AI4547">
        <v>100.437897836899</v>
      </c>
      <c r="AJ4547">
        <v>73.109384464774806</v>
      </c>
      <c r="AK4547">
        <v>0.63865377041014004</v>
      </c>
      <c r="AL4547">
        <v>67.860304788600104</v>
      </c>
      <c r="AM4547">
        <v>82.446191752765102</v>
      </c>
      <c r="AN4547">
        <v>1.0000000449063</v>
      </c>
    </row>
    <row r="4548" spans="1:40" x14ac:dyDescent="0.25">
      <c r="A4548" t="str">
        <f>"20190304164940614"</f>
        <v>20190304164940614</v>
      </c>
      <c r="B4548" t="str">
        <f>"1551689380610550"</f>
        <v>1551689380610550</v>
      </c>
      <c r="C4548" t="s">
        <v>40</v>
      </c>
      <c r="D4548">
        <v>4.6197710000000001</v>
      </c>
      <c r="E4548">
        <v>0.57348219999999905</v>
      </c>
      <c r="F4548" t="s">
        <v>48</v>
      </c>
      <c r="G4548">
        <v>-195.36160000000001</v>
      </c>
      <c r="H4548" s="1">
        <v>-1.337306E-5</v>
      </c>
      <c r="I4548">
        <v>154.75909999999999</v>
      </c>
      <c r="J4548">
        <v>-191.23939999999999</v>
      </c>
      <c r="K4548">
        <v>1.1093500000000001</v>
      </c>
      <c r="L4548">
        <v>165.10489999999999</v>
      </c>
      <c r="M4548">
        <v>-0.10448639999999999</v>
      </c>
      <c r="N4548">
        <v>-1.362652E-2</v>
      </c>
      <c r="O4548">
        <v>-0.99443300000000001</v>
      </c>
      <c r="P4548">
        <v>-0.217173</v>
      </c>
      <c r="Q4548">
        <v>0.36486730000000001</v>
      </c>
      <c r="R4548">
        <v>-0.90537719999999999</v>
      </c>
      <c r="S4548">
        <v>-1.2425079999999999</v>
      </c>
      <c r="T4548">
        <v>-0.33307369999999997</v>
      </c>
      <c r="U4548">
        <v>-3.1508180000000001</v>
      </c>
      <c r="V4548">
        <v>0.12294140000000001</v>
      </c>
      <c r="W4548">
        <v>0.3769054</v>
      </c>
      <c r="X4548">
        <v>0.91805650000000005</v>
      </c>
      <c r="Y4548">
        <v>0.26609539999999998</v>
      </c>
      <c r="Z4548">
        <v>8.5420999999999997E-2</v>
      </c>
      <c r="AA4548">
        <v>0.96015439999999996</v>
      </c>
      <c r="AB4548">
        <v>28</v>
      </c>
      <c r="AC4548">
        <v>-4.1222000000000198</v>
      </c>
      <c r="AD4548">
        <v>-1.1093633730600001</v>
      </c>
      <c r="AE4548">
        <v>-10.345799999999899</v>
      </c>
      <c r="AF4548">
        <v>2.9888788614528501</v>
      </c>
      <c r="AG4548">
        <v>-1.1093633730600001</v>
      </c>
      <c r="AH4548">
        <v>10.614588815209199</v>
      </c>
      <c r="AI4548">
        <v>95.744679312953707</v>
      </c>
      <c r="AJ4548">
        <v>74.273727314721995</v>
      </c>
      <c r="AK4548">
        <v>11.083031158392201</v>
      </c>
      <c r="AL4548">
        <v>67.857872821140305</v>
      </c>
      <c r="AM4548">
        <v>82.372622567001201</v>
      </c>
      <c r="AN4548">
        <v>1.0000000027876801</v>
      </c>
    </row>
    <row r="4549" spans="1:40" x14ac:dyDescent="0.25">
      <c r="A4549" t="str">
        <f>"20190304164940626"</f>
        <v>20190304164940626</v>
      </c>
      <c r="B4549" t="str">
        <f>"1551689380620308"</f>
        <v>1551689380620308</v>
      </c>
      <c r="C4549" t="s">
        <v>40</v>
      </c>
      <c r="D4549">
        <v>4.6230650000000004</v>
      </c>
      <c r="E4549">
        <v>0.57346619999999904</v>
      </c>
      <c r="F4549" t="s">
        <v>41</v>
      </c>
      <c r="G4549">
        <v>-191.50040000000001</v>
      </c>
      <c r="H4549">
        <v>0.99288549999999998</v>
      </c>
      <c r="I4549">
        <v>164.4083</v>
      </c>
      <c r="J4549">
        <v>-191.2568</v>
      </c>
      <c r="K4549">
        <v>1.1091979999999999</v>
      </c>
      <c r="L4549">
        <v>164.95429999999999</v>
      </c>
      <c r="M4549">
        <v>-0.1059556</v>
      </c>
      <c r="N4549">
        <v>-1.3669010000000001E-2</v>
      </c>
      <c r="O4549">
        <v>-0.99427710000000002</v>
      </c>
      <c r="P4549">
        <v>-0.21934680000000001</v>
      </c>
      <c r="Q4549">
        <v>0.36451499999999998</v>
      </c>
      <c r="R4549">
        <v>-0.90499529999999995</v>
      </c>
      <c r="S4549">
        <v>-1.2132719999999999</v>
      </c>
      <c r="T4549">
        <v>-0.54177209999999998</v>
      </c>
      <c r="U4549">
        <v>-3.2408450000000002</v>
      </c>
      <c r="V4549">
        <v>0.1239204</v>
      </c>
      <c r="W4549">
        <v>0.37654179999999998</v>
      </c>
      <c r="X4549">
        <v>0.9180741</v>
      </c>
      <c r="Y4549">
        <v>0.2455282</v>
      </c>
      <c r="Z4549">
        <v>0.14260780000000001</v>
      </c>
      <c r="AA4549">
        <v>0.95884250000000004</v>
      </c>
      <c r="AB4549">
        <v>28</v>
      </c>
      <c r="AC4549">
        <v>-0.243600000000014</v>
      </c>
      <c r="AD4549">
        <v>-0.116312499999999</v>
      </c>
      <c r="AE4549">
        <v>-0.54599999999999205</v>
      </c>
      <c r="AF4549">
        <v>0.17764793014392399</v>
      </c>
      <c r="AG4549">
        <v>-0.116312499999999</v>
      </c>
      <c r="AH4549">
        <v>0.54799910096181303</v>
      </c>
      <c r="AI4549">
        <v>101.41486184835099</v>
      </c>
      <c r="AJ4549">
        <v>72.038571540829196</v>
      </c>
      <c r="AK4549">
        <v>0.58769924229628301</v>
      </c>
      <c r="AL4549">
        <v>67.880362944035994</v>
      </c>
      <c r="AM4549">
        <v>82.312753763883507</v>
      </c>
      <c r="AN4549">
        <v>1.0000000228871</v>
      </c>
    </row>
    <row r="4550" spans="1:40" x14ac:dyDescent="0.25">
      <c r="A4550" t="str">
        <f>"20190304164940639"</f>
        <v>20190304164940639</v>
      </c>
      <c r="B4550" t="str">
        <f>"1551689380630069"</f>
        <v>1551689380630069</v>
      </c>
      <c r="C4550" t="s">
        <v>40</v>
      </c>
      <c r="D4550">
        <v>4.6171040000000003</v>
      </c>
      <c r="E4550">
        <v>0.57352300000000001</v>
      </c>
      <c r="F4550" t="s">
        <v>41</v>
      </c>
      <c r="G4550">
        <v>-191.55359999999999</v>
      </c>
      <c r="H4550">
        <v>0.97697080000000003</v>
      </c>
      <c r="I4550">
        <v>164.16679999999999</v>
      </c>
      <c r="J4550">
        <v>-191.27590000000001</v>
      </c>
      <c r="K4550">
        <v>1.10903</v>
      </c>
      <c r="L4550">
        <v>164.79</v>
      </c>
      <c r="M4550">
        <v>-0.107642</v>
      </c>
      <c r="N4550">
        <v>-1.371343E-2</v>
      </c>
      <c r="O4550">
        <v>-0.99409539999999996</v>
      </c>
      <c r="P4550">
        <v>-0.2216234</v>
      </c>
      <c r="Q4550">
        <v>0.3640756</v>
      </c>
      <c r="R4550">
        <v>-0.90461740000000002</v>
      </c>
      <c r="S4550">
        <v>-1.220078</v>
      </c>
      <c r="T4550">
        <v>-0.54361990000000004</v>
      </c>
      <c r="U4550">
        <v>-3.238159</v>
      </c>
      <c r="V4550">
        <v>0.1248113</v>
      </c>
      <c r="W4550">
        <v>0.37608979999999997</v>
      </c>
      <c r="X4550">
        <v>0.91813860000000003</v>
      </c>
      <c r="Y4550">
        <v>0.24588450000000001</v>
      </c>
      <c r="Z4550">
        <v>0.143103799999999</v>
      </c>
      <c r="AA4550">
        <v>0.95867729999999995</v>
      </c>
      <c r="AB4550">
        <v>28</v>
      </c>
      <c r="AC4550">
        <v>-0.27769999999998102</v>
      </c>
      <c r="AD4550">
        <v>-0.13205919999999899</v>
      </c>
      <c r="AE4550">
        <v>-0.62319999999999698</v>
      </c>
      <c r="AF4550">
        <v>0.20145013525925301</v>
      </c>
      <c r="AG4550">
        <v>-0.13205919999999899</v>
      </c>
      <c r="AH4550">
        <v>0.62601972241833004</v>
      </c>
      <c r="AI4550">
        <v>101.354521611688</v>
      </c>
      <c r="AJ4550">
        <v>72.162074451608802</v>
      </c>
      <c r="AK4550">
        <v>0.67076261237291301</v>
      </c>
      <c r="AL4550">
        <v>67.908313533589407</v>
      </c>
      <c r="AM4550">
        <v>82.258693061317501</v>
      </c>
      <c r="AN4550">
        <v>0.99999994354084298</v>
      </c>
    </row>
    <row r="4551" spans="1:40" x14ac:dyDescent="0.25">
      <c r="A4551" t="str">
        <f>"20190304164940656"</f>
        <v>20190304164940656</v>
      </c>
      <c r="B4551" t="str">
        <f>"1551689380650564"</f>
        <v>1551689380650564</v>
      </c>
      <c r="C4551" t="s">
        <v>40</v>
      </c>
      <c r="D4551">
        <v>4.6567210000000001</v>
      </c>
      <c r="E4551">
        <v>0.57361909999999905</v>
      </c>
      <c r="F4551" t="s">
        <v>48</v>
      </c>
      <c r="G4551">
        <v>-193.77510000000001</v>
      </c>
      <c r="H4551" s="1">
        <v>-1.462237E-5</v>
      </c>
      <c r="I4551">
        <v>158.20490000000001</v>
      </c>
      <c r="J4551">
        <v>-191.3005</v>
      </c>
      <c r="K4551">
        <v>1.108824</v>
      </c>
      <c r="L4551">
        <v>164.5838</v>
      </c>
      <c r="M4551">
        <v>-0.1099424</v>
      </c>
      <c r="N4551">
        <v>-1.3765319999999999E-2</v>
      </c>
      <c r="O4551">
        <v>-0.99384280000000003</v>
      </c>
      <c r="P4551">
        <v>-0.2252963</v>
      </c>
      <c r="Q4551">
        <v>0.36356709999999998</v>
      </c>
      <c r="R4551">
        <v>-0.90391429999999995</v>
      </c>
      <c r="S4551">
        <v>-1.227722</v>
      </c>
      <c r="T4551">
        <v>-0.54480240000000002</v>
      </c>
      <c r="U4551">
        <v>-3.2348020000000002</v>
      </c>
      <c r="V4551">
        <v>0.12659210000000001</v>
      </c>
      <c r="W4551">
        <v>0.3755561</v>
      </c>
      <c r="X4551">
        <v>0.91811330000000002</v>
      </c>
      <c r="Y4551">
        <v>0.24593490000000001</v>
      </c>
      <c r="Z4551">
        <v>0.14341960000000001</v>
      </c>
      <c r="AA4551">
        <v>0.95861719999999895</v>
      </c>
      <c r="AB4551">
        <v>28</v>
      </c>
      <c r="AC4551">
        <v>-2.4746000000000001</v>
      </c>
      <c r="AD4551">
        <v>-1.10883862237</v>
      </c>
      <c r="AE4551">
        <v>-6.3788999999999803</v>
      </c>
      <c r="AF4551">
        <v>1.71322205433376</v>
      </c>
      <c r="AG4551">
        <v>-1.10883862237</v>
      </c>
      <c r="AH4551">
        <v>6.4430913729429902</v>
      </c>
      <c r="AI4551">
        <v>99.442889480486599</v>
      </c>
      <c r="AJ4551">
        <v>75.109567403215905</v>
      </c>
      <c r="AK4551">
        <v>6.75855600982986</v>
      </c>
      <c r="AL4551">
        <v>67.941312340195907</v>
      </c>
      <c r="AM4551">
        <v>82.149394619099596</v>
      </c>
      <c r="AN4551">
        <v>0.99999998783325394</v>
      </c>
    </row>
    <row r="4552" spans="1:40" x14ac:dyDescent="0.25">
      <c r="A4552" t="str">
        <f>"20190304164940671"</f>
        <v>20190304164940671</v>
      </c>
      <c r="B4552" t="str">
        <f>"1551689380660324"</f>
        <v>1551689380660324</v>
      </c>
      <c r="C4552" t="s">
        <v>40</v>
      </c>
      <c r="D4552">
        <v>4.6260370000000002</v>
      </c>
      <c r="E4552">
        <v>0.57369300000000001</v>
      </c>
      <c r="F4552" t="s">
        <v>48</v>
      </c>
      <c r="G4552">
        <v>-193.8116</v>
      </c>
      <c r="H4552" s="1">
        <v>-1.4580919999999999E-5</v>
      </c>
      <c r="I4552">
        <v>158.0402</v>
      </c>
      <c r="J4552">
        <v>-191.32390000000001</v>
      </c>
      <c r="K4552">
        <v>1.108644</v>
      </c>
      <c r="L4552">
        <v>164.39449999999999</v>
      </c>
      <c r="M4552">
        <v>-0.112257</v>
      </c>
      <c r="N4552">
        <v>-1.380935E-2</v>
      </c>
      <c r="O4552">
        <v>-0.99358329999999995</v>
      </c>
      <c r="P4552">
        <v>-0.22814980000000001</v>
      </c>
      <c r="Q4552">
        <v>0.36336239999999997</v>
      </c>
      <c r="R4552">
        <v>-0.90328059999999999</v>
      </c>
      <c r="S4552">
        <v>-1.2395320000000001</v>
      </c>
      <c r="T4552">
        <v>-0.54735089999999997</v>
      </c>
      <c r="U4552">
        <v>-3.2300870000000002</v>
      </c>
      <c r="V4552">
        <v>0.12751379999999901</v>
      </c>
      <c r="W4552">
        <v>0.37533109999999997</v>
      </c>
      <c r="X4552">
        <v>0.91807780000000005</v>
      </c>
      <c r="Y4552">
        <v>0.2471612</v>
      </c>
      <c r="Z4552">
        <v>0.14412800000000001</v>
      </c>
      <c r="AA4552">
        <v>0.95819540000000003</v>
      </c>
      <c r="AB4552">
        <v>28</v>
      </c>
      <c r="AC4552">
        <v>-2.4876999999999798</v>
      </c>
      <c r="AD4552">
        <v>-1.10865858092</v>
      </c>
      <c r="AE4552">
        <v>-6.3542999999999896</v>
      </c>
      <c r="AF4552">
        <v>1.71336510364521</v>
      </c>
      <c r="AG4552">
        <v>-1.10865858092</v>
      </c>
      <c r="AH4552">
        <v>6.4238560069493502</v>
      </c>
      <c r="AI4552">
        <v>99.467251365496395</v>
      </c>
      <c r="AJ4552">
        <v>75.065778008199004</v>
      </c>
      <c r="AK4552">
        <v>6.7402277280115603</v>
      </c>
      <c r="AL4552">
        <v>67.955222275175302</v>
      </c>
      <c r="AM4552">
        <v>82.092653955280895</v>
      </c>
      <c r="AN4552">
        <v>1.0000000253352399</v>
      </c>
    </row>
    <row r="4553" spans="1:40" x14ac:dyDescent="0.25">
      <c r="A4553" t="str">
        <f>"20190304164940686"</f>
        <v>20190304164940686</v>
      </c>
      <c r="B4553" t="str">
        <f>"1551689380680820"</f>
        <v>1551689380680820</v>
      </c>
      <c r="C4553" t="s">
        <v>40</v>
      </c>
      <c r="D4553">
        <v>4.6438969999999999</v>
      </c>
      <c r="E4553">
        <v>0.5738489</v>
      </c>
      <c r="F4553" t="s">
        <v>41</v>
      </c>
      <c r="G4553">
        <v>-191.60589999999999</v>
      </c>
      <c r="H4553">
        <v>0.98490489999999997</v>
      </c>
      <c r="I4553">
        <v>163.667</v>
      </c>
      <c r="J4553">
        <v>-191.34630000000001</v>
      </c>
      <c r="K4553">
        <v>1.108487</v>
      </c>
      <c r="L4553">
        <v>164.21680000000001</v>
      </c>
      <c r="M4553">
        <v>-0.1145569</v>
      </c>
      <c r="N4553">
        <v>-1.3847750000000001E-2</v>
      </c>
      <c r="O4553">
        <v>-0.99332030000000004</v>
      </c>
      <c r="P4553">
        <v>-0.23075860000000001</v>
      </c>
      <c r="Q4553">
        <v>0.36337710000000001</v>
      </c>
      <c r="R4553">
        <v>-0.90261190000000002</v>
      </c>
      <c r="S4553">
        <v>-1.2499389999999999</v>
      </c>
      <c r="T4553">
        <v>-0.54862939999999905</v>
      </c>
      <c r="U4553">
        <v>-3.2261959999999998</v>
      </c>
      <c r="V4553">
        <v>0.12819</v>
      </c>
      <c r="W4553">
        <v>0.37532720000000003</v>
      </c>
      <c r="X4553">
        <v>0.91798519999999995</v>
      </c>
      <c r="Y4553">
        <v>0.24797630000000001</v>
      </c>
      <c r="Z4553">
        <v>0.14446629999999999</v>
      </c>
      <c r="AA4553">
        <v>0.95793379999999995</v>
      </c>
      <c r="AB4553">
        <v>28</v>
      </c>
      <c r="AC4553">
        <v>-0.25959999999997702</v>
      </c>
      <c r="AD4553">
        <v>-0.123582099999999</v>
      </c>
      <c r="AE4553">
        <v>-0.54980000000000395</v>
      </c>
      <c r="AF4553">
        <v>0.18716859692204499</v>
      </c>
      <c r="AG4553">
        <v>-0.123582099999999</v>
      </c>
      <c r="AH4553">
        <v>0.55307214842703201</v>
      </c>
      <c r="AI4553">
        <v>101.95057447889199</v>
      </c>
      <c r="AJ4553">
        <v>71.303345877011793</v>
      </c>
      <c r="AK4553">
        <v>0.59681942032734603</v>
      </c>
      <c r="AL4553">
        <v>67.955462888486196</v>
      </c>
      <c r="AM4553">
        <v>82.0504646684292</v>
      </c>
      <c r="AN4553">
        <v>1.00000000528943</v>
      </c>
    </row>
    <row r="4554" spans="1:40" x14ac:dyDescent="0.25">
      <c r="A4554" t="str">
        <f>"20190304164940700"</f>
        <v>20190304164940700</v>
      </c>
      <c r="B4554" t="str">
        <f>"1551689380690580"</f>
        <v>1551689380690580</v>
      </c>
      <c r="C4554" t="s">
        <v>40</v>
      </c>
      <c r="D4554">
        <v>4.6246710000000002</v>
      </c>
      <c r="E4554">
        <v>0.57393939999999999</v>
      </c>
      <c r="F4554" t="s">
        <v>41</v>
      </c>
      <c r="G4554">
        <v>-191.65690000000001</v>
      </c>
      <c r="H4554">
        <v>0.97369890000000003</v>
      </c>
      <c r="I4554">
        <v>163.42339999999999</v>
      </c>
      <c r="J4554">
        <v>-191.36949999999999</v>
      </c>
      <c r="K4554">
        <v>1.1083419999999999</v>
      </c>
      <c r="L4554">
        <v>164.0368</v>
      </c>
      <c r="M4554">
        <v>-0.1170002</v>
      </c>
      <c r="N4554">
        <v>-1.388412E-2</v>
      </c>
      <c r="O4554">
        <v>-0.9930348</v>
      </c>
      <c r="P4554">
        <v>-0.23396690000000001</v>
      </c>
      <c r="Q4554">
        <v>0.36359340000000001</v>
      </c>
      <c r="R4554">
        <v>-0.90169829999999995</v>
      </c>
      <c r="S4554">
        <v>-1.2602690000000001</v>
      </c>
      <c r="T4554">
        <v>-0.54715009999999997</v>
      </c>
      <c r="U4554">
        <v>-3.2217560000000001</v>
      </c>
      <c r="V4554">
        <v>0.12935430000000001</v>
      </c>
      <c r="W4554">
        <v>0.37551859999999998</v>
      </c>
      <c r="X4554">
        <v>0.91774359999999999</v>
      </c>
      <c r="Y4554">
        <v>0.24872730000000001</v>
      </c>
      <c r="Z4554">
        <v>0.1440525</v>
      </c>
      <c r="AA4554">
        <v>0.95780149999999997</v>
      </c>
      <c r="AB4554">
        <v>28</v>
      </c>
      <c r="AC4554">
        <v>-0.28740000000001897</v>
      </c>
      <c r="AD4554">
        <v>-0.13464309999999999</v>
      </c>
      <c r="AE4554">
        <v>-0.61340000000001205</v>
      </c>
      <c r="AF4554">
        <v>0.205530688477502</v>
      </c>
      <c r="AG4554">
        <v>-0.13464309999999999</v>
      </c>
      <c r="AH4554">
        <v>0.61838401523224795</v>
      </c>
      <c r="AI4554">
        <v>101.674185252583</v>
      </c>
      <c r="AJ4554">
        <v>71.614875020914894</v>
      </c>
      <c r="AK4554">
        <v>0.66540996278865805</v>
      </c>
      <c r="AL4554">
        <v>67.943631698520605</v>
      </c>
      <c r="AM4554">
        <v>81.977113575128897</v>
      </c>
      <c r="AN4554">
        <v>1.0000000346077</v>
      </c>
    </row>
    <row r="4555" spans="1:40" x14ac:dyDescent="0.25">
      <c r="A4555" t="str">
        <f>"20190304164940712"</f>
        <v>20190304164940712</v>
      </c>
      <c r="B4555" t="str">
        <f>"1551689380700341"</f>
        <v>1551689380700341</v>
      </c>
      <c r="C4555" t="s">
        <v>40</v>
      </c>
      <c r="D4555">
        <v>4.6230039999999999</v>
      </c>
      <c r="E4555">
        <v>0.57394250000000002</v>
      </c>
      <c r="F4555" t="s">
        <v>48</v>
      </c>
      <c r="G4555">
        <v>-193.9513</v>
      </c>
      <c r="H4555" s="1">
        <v>-1.442686E-5</v>
      </c>
      <c r="I4555">
        <v>157.50710000000001</v>
      </c>
      <c r="J4555">
        <v>-191.38849999999999</v>
      </c>
      <c r="K4555">
        <v>1.108231</v>
      </c>
      <c r="L4555">
        <v>163.8931</v>
      </c>
      <c r="M4555">
        <v>-0.1190489</v>
      </c>
      <c r="N4555">
        <v>-1.3911069999999999E-2</v>
      </c>
      <c r="O4555">
        <v>-0.99279110000000004</v>
      </c>
      <c r="P4555">
        <v>-0.2362573</v>
      </c>
      <c r="Q4555">
        <v>0.36437510000000001</v>
      </c>
      <c r="R4555">
        <v>-0.90078510000000001</v>
      </c>
      <c r="S4555">
        <v>-1.272079</v>
      </c>
      <c r="T4555">
        <v>-0.54609629999999998</v>
      </c>
      <c r="U4555">
        <v>-3.2171940000000001</v>
      </c>
      <c r="V4555">
        <v>0.12994700000000001</v>
      </c>
      <c r="W4555">
        <v>0.37627850000000002</v>
      </c>
      <c r="X4555">
        <v>0.91734850000000001</v>
      </c>
      <c r="Y4555">
        <v>0.25024980000000002</v>
      </c>
      <c r="Z4555">
        <v>0.14375260000000001</v>
      </c>
      <c r="AA4555">
        <v>0.95744989999999996</v>
      </c>
      <c r="AB4555">
        <v>28</v>
      </c>
      <c r="AC4555">
        <v>-2.56280000000001</v>
      </c>
      <c r="AD4555">
        <v>-1.1082454268599999</v>
      </c>
      <c r="AE4555">
        <v>-6.3859999999999904</v>
      </c>
      <c r="AF4555">
        <v>1.7391387221844801</v>
      </c>
      <c r="AG4555">
        <v>-1.1082454268599999</v>
      </c>
      <c r="AH4555">
        <v>6.4776767522790104</v>
      </c>
      <c r="AI4555">
        <v>99.382503400959607</v>
      </c>
      <c r="AJ4555">
        <v>74.971528457140394</v>
      </c>
      <c r="AK4555">
        <v>6.79802232477752</v>
      </c>
      <c r="AL4555">
        <v>67.896646029487599</v>
      </c>
      <c r="AM4555">
        <v>81.937409242856106</v>
      </c>
      <c r="AN4555">
        <v>1.0000000014117501</v>
      </c>
    </row>
    <row r="4556" spans="1:40" x14ac:dyDescent="0.25">
      <c r="A4556" t="str">
        <f>"20190304164940723"</f>
        <v>20190304164940723</v>
      </c>
      <c r="B4556" t="str">
        <f>"1551689380720836"</f>
        <v>1551689380720836</v>
      </c>
      <c r="C4556" t="s">
        <v>40</v>
      </c>
      <c r="D4556">
        <v>4.6233120000000003</v>
      </c>
      <c r="E4556">
        <v>0.57400390000000001</v>
      </c>
      <c r="F4556" t="s">
        <v>41</v>
      </c>
      <c r="G4556">
        <v>-191.6763</v>
      </c>
      <c r="H4556">
        <v>0.98598439999999998</v>
      </c>
      <c r="I4556">
        <v>163.17080000000001</v>
      </c>
      <c r="J4556">
        <v>-191.4075</v>
      </c>
      <c r="K4556">
        <v>1.1081259999999999</v>
      </c>
      <c r="L4556">
        <v>163.7525</v>
      </c>
      <c r="M4556">
        <v>-0.121146</v>
      </c>
      <c r="N4556">
        <v>-1.393611E-2</v>
      </c>
      <c r="O4556">
        <v>-0.99253690000000006</v>
      </c>
      <c r="P4556">
        <v>-0.23874409999999999</v>
      </c>
      <c r="Q4556">
        <v>0.36535649999999997</v>
      </c>
      <c r="R4556">
        <v>-0.89973119999999995</v>
      </c>
      <c r="S4556">
        <v>-1.2803340000000001</v>
      </c>
      <c r="T4556">
        <v>-0.54393210000000003</v>
      </c>
      <c r="U4556">
        <v>-3.214661</v>
      </c>
      <c r="V4556">
        <v>0.1307043</v>
      </c>
      <c r="W4556">
        <v>0.37723620000000002</v>
      </c>
      <c r="X4556">
        <v>0.91684750000000004</v>
      </c>
      <c r="Y4556">
        <v>0.25062299999999998</v>
      </c>
      <c r="Z4556">
        <v>0.14310229999999999</v>
      </c>
      <c r="AA4556">
        <v>0.95744969999999996</v>
      </c>
      <c r="AB4556">
        <v>28</v>
      </c>
      <c r="AC4556">
        <v>-0.26879999999999798</v>
      </c>
      <c r="AD4556">
        <v>-0.122141599999999</v>
      </c>
      <c r="AE4556">
        <v>-0.58169999999998301</v>
      </c>
      <c r="AF4556">
        <v>0.18945909774498801</v>
      </c>
      <c r="AG4556">
        <v>-0.122141599999999</v>
      </c>
      <c r="AH4556">
        <v>0.58859759027374203</v>
      </c>
      <c r="AI4556">
        <v>101.173906195329</v>
      </c>
      <c r="AJ4556">
        <v>72.157556112779105</v>
      </c>
      <c r="AK4556">
        <v>0.63028600130810497</v>
      </c>
      <c r="AL4556">
        <v>67.837409950588295</v>
      </c>
      <c r="AM4556">
        <v>81.886673492154301</v>
      </c>
      <c r="AN4556">
        <v>1.00000005144258</v>
      </c>
    </row>
    <row r="4557" spans="1:40" x14ac:dyDescent="0.25">
      <c r="A4557" t="str">
        <f>"20190304164940735"</f>
        <v>20190304164940735</v>
      </c>
      <c r="B4557" t="str">
        <f>"1551689380730596"</f>
        <v>1551689380730596</v>
      </c>
      <c r="C4557" t="s">
        <v>40</v>
      </c>
      <c r="D4557">
        <v>4.6331189999999998</v>
      </c>
      <c r="E4557">
        <v>0.57407439999999998</v>
      </c>
      <c r="F4557" t="s">
        <v>48</v>
      </c>
      <c r="G4557">
        <v>-194.05699999999999</v>
      </c>
      <c r="H4557" s="1">
        <v>-1.4287369999999999E-5</v>
      </c>
      <c r="I4557">
        <v>157.1601</v>
      </c>
      <c r="J4557">
        <v>-191.42869999999999</v>
      </c>
      <c r="K4557">
        <v>1.108015</v>
      </c>
      <c r="L4557">
        <v>163.59719999999999</v>
      </c>
      <c r="M4557">
        <v>-0.1235139</v>
      </c>
      <c r="N4557">
        <v>-1.396274E-2</v>
      </c>
      <c r="O4557">
        <v>-0.99224460000000003</v>
      </c>
      <c r="P4557">
        <v>-0.24197979999999999</v>
      </c>
      <c r="Q4557">
        <v>0.36621619999999999</v>
      </c>
      <c r="R4557">
        <v>-0.89851610000000004</v>
      </c>
      <c r="S4557">
        <v>-1.2905580000000001</v>
      </c>
      <c r="T4557">
        <v>-0.53976059999999904</v>
      </c>
      <c r="U4557">
        <v>-3.2110750000000001</v>
      </c>
      <c r="V4557">
        <v>0.13198379999999901</v>
      </c>
      <c r="W4557">
        <v>0.37806529999999999</v>
      </c>
      <c r="X4557">
        <v>0.91632250000000004</v>
      </c>
      <c r="Y4557">
        <v>0.25137500000000002</v>
      </c>
      <c r="Z4557">
        <v>0.14189979999999999</v>
      </c>
      <c r="AA4557">
        <v>0.95743149999999999</v>
      </c>
      <c r="AB4557">
        <v>28</v>
      </c>
      <c r="AC4557">
        <v>-2.6283000000000198</v>
      </c>
      <c r="AD4557">
        <v>-1.1080292873699999</v>
      </c>
      <c r="AE4557">
        <v>-6.4370999999999796</v>
      </c>
      <c r="AF4557">
        <v>1.76811950702271</v>
      </c>
      <c r="AG4557">
        <v>-1.1080292873699999</v>
      </c>
      <c r="AH4557">
        <v>6.5462187461395196</v>
      </c>
      <c r="AI4557">
        <v>99.280504083302205</v>
      </c>
      <c r="AJ4557">
        <v>74.885200381639606</v>
      </c>
      <c r="AK4557">
        <v>6.8707317925452696</v>
      </c>
      <c r="AL4557">
        <v>67.7861059484094</v>
      </c>
      <c r="AM4557">
        <v>81.803693118226903</v>
      </c>
      <c r="AN4557">
        <v>1.0000000092663901</v>
      </c>
    </row>
    <row r="4558" spans="1:40" x14ac:dyDescent="0.25">
      <c r="A4558" t="str">
        <f>"20190304164940746"</f>
        <v>20190304164940746</v>
      </c>
      <c r="B4558" t="str">
        <f>"1551689380740357"</f>
        <v>1551689380740357</v>
      </c>
      <c r="C4558" t="s">
        <v>40</v>
      </c>
      <c r="D4558">
        <v>4.9659870000000002</v>
      </c>
      <c r="E4558">
        <v>0.57407439999999998</v>
      </c>
      <c r="F4558" t="s">
        <v>48</v>
      </c>
      <c r="G4558">
        <v>-194.12270000000001</v>
      </c>
      <c r="H4558" s="1">
        <v>-1.4208830000000001E-5</v>
      </c>
      <c r="I4558">
        <v>156.96350000000001</v>
      </c>
      <c r="J4558">
        <v>-191.44820000000001</v>
      </c>
      <c r="K4558">
        <v>1.1079159999999999</v>
      </c>
      <c r="L4558">
        <v>163.45949999999999</v>
      </c>
      <c r="M4558">
        <v>-0.12573860000000001</v>
      </c>
      <c r="N4558">
        <v>-1.398522E-2</v>
      </c>
      <c r="O4558">
        <v>-0.99196490000000004</v>
      </c>
      <c r="P4558">
        <v>-0.2451314</v>
      </c>
      <c r="Q4558">
        <v>0.36689709999999998</v>
      </c>
      <c r="R4558">
        <v>-0.89738390000000001</v>
      </c>
      <c r="S4558">
        <v>-1.3021849999999999</v>
      </c>
      <c r="T4558">
        <v>-0.53557069999999996</v>
      </c>
      <c r="U4558">
        <v>-3.2064509999999999</v>
      </c>
      <c r="V4558">
        <v>0.1332892</v>
      </c>
      <c r="W4558">
        <v>0.37871729999999998</v>
      </c>
      <c r="X4558">
        <v>0.91586420000000002</v>
      </c>
      <c r="Y4558">
        <v>0.2527316</v>
      </c>
      <c r="Z4558">
        <v>0.1407187</v>
      </c>
      <c r="AA4558">
        <v>0.95724869999999995</v>
      </c>
      <c r="AB4558">
        <v>28</v>
      </c>
      <c r="AC4558">
        <v>-2.6744999999999899</v>
      </c>
      <c r="AD4558">
        <v>-1.10793020882999</v>
      </c>
      <c r="AE4558">
        <v>-6.49599999999998</v>
      </c>
      <c r="AF4558">
        <v>1.7918235152608499</v>
      </c>
      <c r="AG4558">
        <v>-1.10793020882999</v>
      </c>
      <c r="AH4558">
        <v>6.6161896730605401</v>
      </c>
      <c r="AI4558">
        <v>99.181578086993596</v>
      </c>
      <c r="AJ4558">
        <v>74.846425622623698</v>
      </c>
      <c r="AK4558">
        <v>6.9434938357712097</v>
      </c>
      <c r="AL4558">
        <v>67.745748555422793</v>
      </c>
      <c r="AM4558">
        <v>81.719660189882106</v>
      </c>
      <c r="AN4558">
        <v>1.0000000184987801</v>
      </c>
    </row>
    <row r="4559" spans="1:40" x14ac:dyDescent="0.25">
      <c r="A4559" t="str">
        <f>"20190304164940757"</f>
        <v>20190304164940757</v>
      </c>
      <c r="B4559" t="str">
        <f>"1551689380750116"</f>
        <v>1551689380750116</v>
      </c>
      <c r="C4559" t="s">
        <v>40</v>
      </c>
      <c r="D4559">
        <v>4.6599510000000004</v>
      </c>
      <c r="E4559">
        <v>0.57477900000000004</v>
      </c>
      <c r="F4559" t="s">
        <v>41</v>
      </c>
      <c r="G4559">
        <v>-191.76759999999999</v>
      </c>
      <c r="H4559">
        <v>0.9779544</v>
      </c>
      <c r="I4559">
        <v>162.6797</v>
      </c>
      <c r="J4559">
        <v>-191.46770000000001</v>
      </c>
      <c r="K4559">
        <v>1.107815</v>
      </c>
      <c r="L4559">
        <v>163.32230000000001</v>
      </c>
      <c r="M4559">
        <v>-0.1279815</v>
      </c>
      <c r="N4559">
        <v>-1.4006950000000001E-2</v>
      </c>
      <c r="O4559">
        <v>-0.9916779</v>
      </c>
      <c r="P4559">
        <v>-0.24827289999999999</v>
      </c>
      <c r="Q4559">
        <v>0.36745299999999997</v>
      </c>
      <c r="R4559">
        <v>-0.89629219999999898</v>
      </c>
      <c r="S4559">
        <v>-1.3113250000000001</v>
      </c>
      <c r="T4559">
        <v>-0.53357460000000001</v>
      </c>
      <c r="U4559">
        <v>-3.2030180000000001</v>
      </c>
      <c r="V4559">
        <v>0.1345624</v>
      </c>
      <c r="W4559">
        <v>0.37924409999999997</v>
      </c>
      <c r="X4559">
        <v>0.91545989999999999</v>
      </c>
      <c r="Y4559">
        <v>0.253276</v>
      </c>
      <c r="Z4559">
        <v>0.14013809999999999</v>
      </c>
      <c r="AA4559">
        <v>0.95718999999999999</v>
      </c>
      <c r="AB4559">
        <v>28</v>
      </c>
      <c r="AC4559">
        <v>-0.29989999999997902</v>
      </c>
      <c r="AD4559">
        <v>-0.12986059999999999</v>
      </c>
      <c r="AE4559">
        <v>-0.64260000000001505</v>
      </c>
      <c r="AF4559">
        <v>0.20820233335987201</v>
      </c>
      <c r="AG4559">
        <v>-0.12986059999999999</v>
      </c>
      <c r="AH4559">
        <v>0.65377578168425599</v>
      </c>
      <c r="AI4559">
        <v>100.71737079983301</v>
      </c>
      <c r="AJ4559">
        <v>72.335332131543495</v>
      </c>
      <c r="AK4559">
        <v>0.69830849899289904</v>
      </c>
      <c r="AL4559">
        <v>67.713131142277305</v>
      </c>
      <c r="AM4559">
        <v>81.638038107604402</v>
      </c>
      <c r="AN4559">
        <v>0.99999997769328897</v>
      </c>
    </row>
    <row r="4560" spans="1:40" x14ac:dyDescent="0.25">
      <c r="A4560" t="str">
        <f>"20190304164940769"</f>
        <v>20190304164940769</v>
      </c>
      <c r="B4560" t="str">
        <f>"1551689380760854"</f>
        <v>1551689380760854</v>
      </c>
      <c r="C4560" t="s">
        <v>40</v>
      </c>
      <c r="D4560">
        <v>4.933236</v>
      </c>
      <c r="E4560">
        <v>0.57497319999999996</v>
      </c>
      <c r="F4560" t="s">
        <v>48</v>
      </c>
      <c r="G4560">
        <v>-194.28809999999999</v>
      </c>
      <c r="H4560" s="1">
        <v>-1.4037040000000001E-5</v>
      </c>
      <c r="I4560">
        <v>156.52879999999999</v>
      </c>
      <c r="J4560">
        <v>-191.48920000000001</v>
      </c>
      <c r="K4560">
        <v>1.10771</v>
      </c>
      <c r="L4560">
        <v>163.17599999999999</v>
      </c>
      <c r="M4560">
        <v>-0.130466</v>
      </c>
      <c r="N4560">
        <v>-1.4029130000000001E-2</v>
      </c>
      <c r="O4560">
        <v>-0.9913535</v>
      </c>
      <c r="P4560">
        <v>-0.25184250000000002</v>
      </c>
      <c r="Q4560">
        <v>0.36749340000000003</v>
      </c>
      <c r="R4560">
        <v>-0.89527900000000005</v>
      </c>
      <c r="S4560">
        <v>-1.32576</v>
      </c>
      <c r="T4560">
        <v>-0.52075919999999998</v>
      </c>
      <c r="U4560">
        <v>-3.1934049999999998</v>
      </c>
      <c r="V4560">
        <v>0.13602520000000001</v>
      </c>
      <c r="W4560">
        <v>0.37925569999999997</v>
      </c>
      <c r="X4560">
        <v>0.91523889999999997</v>
      </c>
      <c r="Y4560">
        <v>0.25574839999999999</v>
      </c>
      <c r="Z4560">
        <v>0.13668129999999901</v>
      </c>
      <c r="AA4560">
        <v>0.95703240000000001</v>
      </c>
      <c r="AB4560">
        <v>28</v>
      </c>
      <c r="AC4560">
        <v>-2.79889999999997</v>
      </c>
      <c r="AD4560">
        <v>-1.1077240370400001</v>
      </c>
      <c r="AE4560">
        <v>-6.6472000000000202</v>
      </c>
      <c r="AF4560">
        <v>1.8636918096944199</v>
      </c>
      <c r="AG4560">
        <v>-1.1077240370400001</v>
      </c>
      <c r="AH4560">
        <v>6.7952804997837299</v>
      </c>
      <c r="AI4560">
        <v>98.934250310325496</v>
      </c>
      <c r="AJ4560">
        <v>74.663031538866406</v>
      </c>
      <c r="AK4560">
        <v>7.13275800616419</v>
      </c>
      <c r="AL4560">
        <v>67.712413199523596</v>
      </c>
      <c r="AM4560">
        <v>81.546431618057397</v>
      </c>
      <c r="AN4560">
        <v>0.99999999254536998</v>
      </c>
    </row>
    <row r="4561" spans="1:40" x14ac:dyDescent="0.25">
      <c r="A4561" t="str">
        <f>"20190304164940781"</f>
        <v>20190304164940781</v>
      </c>
      <c r="B4561" t="str">
        <f>"1551689380770612"</f>
        <v>1551689380770612</v>
      </c>
      <c r="C4561" t="s">
        <v>40</v>
      </c>
      <c r="D4561">
        <v>4.6104079999999996</v>
      </c>
      <c r="E4561">
        <v>0.57523970000000002</v>
      </c>
      <c r="F4561" t="s">
        <v>48</v>
      </c>
      <c r="G4561">
        <v>-194.34350000000001</v>
      </c>
      <c r="H4561" s="1">
        <v>-1.397632E-5</v>
      </c>
      <c r="I4561">
        <v>156.3758</v>
      </c>
      <c r="J4561">
        <v>-191.51079999999999</v>
      </c>
      <c r="K4561">
        <v>1.1076090000000001</v>
      </c>
      <c r="L4561">
        <v>163.03100000000001</v>
      </c>
      <c r="M4561">
        <v>-0.13298850000000001</v>
      </c>
      <c r="N4561">
        <v>-1.4050099999999999E-2</v>
      </c>
      <c r="O4561">
        <v>-0.99101790000000001</v>
      </c>
      <c r="P4561">
        <v>-0.2548473</v>
      </c>
      <c r="Q4561">
        <v>0.36702810000000002</v>
      </c>
      <c r="R4561">
        <v>-0.89461900000000005</v>
      </c>
      <c r="S4561">
        <v>-1.3380129999999999</v>
      </c>
      <c r="T4561">
        <v>-0.51926220000000001</v>
      </c>
      <c r="U4561">
        <v>-3.1876679999999999</v>
      </c>
      <c r="V4561">
        <v>0.13683960000000001</v>
      </c>
      <c r="W4561">
        <v>0.3787702</v>
      </c>
      <c r="X4561">
        <v>0.91531850000000003</v>
      </c>
      <c r="Y4561">
        <v>0.25705139999999999</v>
      </c>
      <c r="Z4561">
        <v>0.13628609999999999</v>
      </c>
      <c r="AA4561">
        <v>0.95673960000000002</v>
      </c>
      <c r="AB4561">
        <v>28</v>
      </c>
      <c r="AC4561">
        <v>-2.8327000000000102</v>
      </c>
      <c r="AD4561">
        <v>-1.1076229763200001</v>
      </c>
      <c r="AE4561">
        <v>-6.6551999999999998</v>
      </c>
      <c r="AF4561">
        <v>1.8783335731626101</v>
      </c>
      <c r="AG4561">
        <v>-1.1076229763200001</v>
      </c>
      <c r="AH4561">
        <v>6.8130587257945097</v>
      </c>
      <c r="AI4561">
        <v>98.9072993662583</v>
      </c>
      <c r="AJ4561">
        <v>74.586677041904196</v>
      </c>
      <c r="AK4561">
        <v>7.1535120654729099</v>
      </c>
      <c r="AL4561">
        <v>67.742471990474101</v>
      </c>
      <c r="AM4561">
        <v>81.497285517524404</v>
      </c>
      <c r="AN4561">
        <v>0.99999994848922302</v>
      </c>
    </row>
    <row r="4562" spans="1:40" x14ac:dyDescent="0.25">
      <c r="A4562" t="str">
        <f>"20190304164940793"</f>
        <v>20190304164940793</v>
      </c>
      <c r="B4562" t="str">
        <f>"1551689380780376"</f>
        <v>1551689380780376</v>
      </c>
      <c r="C4562" t="s">
        <v>40</v>
      </c>
      <c r="D4562">
        <v>4.5956489999999999</v>
      </c>
      <c r="E4562">
        <v>0.57540040000000003</v>
      </c>
      <c r="F4562" t="s">
        <v>48</v>
      </c>
      <c r="G4562">
        <v>-194.42609999999999</v>
      </c>
      <c r="H4562" s="1">
        <v>-1.3890650000000001E-5</v>
      </c>
      <c r="I4562">
        <v>156.1591</v>
      </c>
      <c r="J4562">
        <v>-191.5333</v>
      </c>
      <c r="K4562">
        <v>1.107504</v>
      </c>
      <c r="L4562">
        <v>162.8828</v>
      </c>
      <c r="M4562">
        <v>-0.1356242</v>
      </c>
      <c r="N4562">
        <v>-1.4070559999999999E-2</v>
      </c>
      <c r="O4562">
        <v>-0.99066050000000005</v>
      </c>
      <c r="P4562">
        <v>-0.25791409999999998</v>
      </c>
      <c r="Q4562">
        <v>0.36608819999999997</v>
      </c>
      <c r="R4562">
        <v>-0.89412539999999996</v>
      </c>
      <c r="S4562">
        <v>-1.3487849999999999</v>
      </c>
      <c r="T4562">
        <v>-0.51245549999999995</v>
      </c>
      <c r="U4562">
        <v>-3.1793979999999999</v>
      </c>
      <c r="V4562">
        <v>0.1375827</v>
      </c>
      <c r="W4562">
        <v>0.37781290000000001</v>
      </c>
      <c r="X4562">
        <v>0.91560280000000005</v>
      </c>
      <c r="Y4562">
        <v>0.2582179</v>
      </c>
      <c r="Z4562">
        <v>0.1345066</v>
      </c>
      <c r="AA4562">
        <v>0.95667729999999995</v>
      </c>
      <c r="AB4562">
        <v>28</v>
      </c>
      <c r="AC4562">
        <v>-2.89279999999999</v>
      </c>
      <c r="AD4562">
        <v>-1.1075178906500001</v>
      </c>
      <c r="AE4562">
        <v>-6.7237</v>
      </c>
      <c r="AF4562">
        <v>1.9103435657855701</v>
      </c>
      <c r="AG4562">
        <v>-1.1075178906500001</v>
      </c>
      <c r="AH4562">
        <v>6.8960550612461002</v>
      </c>
      <c r="AI4562">
        <v>98.798019896526299</v>
      </c>
      <c r="AJ4562">
        <v>74.516216611756093</v>
      </c>
      <c r="AK4562">
        <v>7.2409656693831996</v>
      </c>
      <c r="AL4562">
        <v>67.801726579686402</v>
      </c>
      <c r="AM4562">
        <v>81.454407403263204</v>
      </c>
      <c r="AN4562">
        <v>1.0000000370567601</v>
      </c>
    </row>
    <row r="4563" spans="1:40" x14ac:dyDescent="0.25">
      <c r="A4563" t="str">
        <f>"20190304164940811"</f>
        <v>20190304164940811</v>
      </c>
      <c r="B4563" t="str">
        <f>"1551689380800872"</f>
        <v>1551689380800872</v>
      </c>
      <c r="C4563" t="s">
        <v>40</v>
      </c>
      <c r="D4563">
        <v>4.6668260000000004</v>
      </c>
      <c r="E4563">
        <v>0.57569490000000001</v>
      </c>
      <c r="F4563" t="s">
        <v>41</v>
      </c>
      <c r="G4563">
        <v>-191.8348</v>
      </c>
      <c r="H4563">
        <v>0.99443709999999996</v>
      </c>
      <c r="I4563">
        <v>162.17949999999999</v>
      </c>
      <c r="J4563">
        <v>-191.56790000000001</v>
      </c>
      <c r="K4563">
        <v>1.107364</v>
      </c>
      <c r="L4563">
        <v>162.66220000000001</v>
      </c>
      <c r="M4563">
        <v>-0.139715899999999</v>
      </c>
      <c r="N4563">
        <v>-1.409928E-2</v>
      </c>
      <c r="O4563">
        <v>-0.99009139999999995</v>
      </c>
      <c r="P4563">
        <v>-0.26178659999999998</v>
      </c>
      <c r="Q4563">
        <v>0.36516280000000001</v>
      </c>
      <c r="R4563">
        <v>-0.89337789999999995</v>
      </c>
      <c r="S4563">
        <v>-1.3594360000000001</v>
      </c>
      <c r="T4563">
        <v>-0.509876</v>
      </c>
      <c r="U4563">
        <v>-3.1718440000000001</v>
      </c>
      <c r="V4563">
        <v>0.137847</v>
      </c>
      <c r="W4563">
        <v>0.37686740000000002</v>
      </c>
      <c r="X4563">
        <v>0.91595260000000001</v>
      </c>
      <c r="Y4563">
        <v>0.25780009999999998</v>
      </c>
      <c r="Z4563">
        <v>0.13387109999999999</v>
      </c>
      <c r="AA4563">
        <v>0.95687909999999998</v>
      </c>
      <c r="AB4563">
        <v>28</v>
      </c>
      <c r="AC4563">
        <v>-0.26689999999999198</v>
      </c>
      <c r="AD4563">
        <v>-0.1129269</v>
      </c>
      <c r="AE4563">
        <v>-0.482700000000022</v>
      </c>
      <c r="AF4563">
        <v>0.188915379674959</v>
      </c>
      <c r="AG4563">
        <v>-0.1129269</v>
      </c>
      <c r="AH4563">
        <v>0.49452945067413701</v>
      </c>
      <c r="AI4563">
        <v>102.041689990317</v>
      </c>
      <c r="AJ4563">
        <v>69.092624487349298</v>
      </c>
      <c r="AK4563">
        <v>0.54129555975031596</v>
      </c>
      <c r="AL4563">
        <v>67.8602233052857</v>
      </c>
      <c r="AM4563">
        <v>81.441455444130099</v>
      </c>
      <c r="AN4563">
        <v>0.99999999901925996</v>
      </c>
    </row>
    <row r="4564" spans="1:40" x14ac:dyDescent="0.25">
      <c r="A4564" t="str">
        <f>"20190304164940827"</f>
        <v>20190304164940827</v>
      </c>
      <c r="B4564" t="str">
        <f>"1551689380820393"</f>
        <v>1551689380820393</v>
      </c>
      <c r="C4564" t="s">
        <v>40</v>
      </c>
      <c r="D4564">
        <v>4.5558459999999998</v>
      </c>
      <c r="E4564">
        <v>0.57542280000000001</v>
      </c>
      <c r="F4564" t="s">
        <v>48</v>
      </c>
      <c r="G4564">
        <v>-194.5797</v>
      </c>
      <c r="H4564" s="1">
        <v>-1.3729300000000001E-5</v>
      </c>
      <c r="I4564">
        <v>155.75120000000001</v>
      </c>
      <c r="J4564">
        <v>-191.59819999999999</v>
      </c>
      <c r="K4564">
        <v>1.107245</v>
      </c>
      <c r="L4564">
        <v>162.47489999999999</v>
      </c>
      <c r="M4564">
        <v>-0.14333470000000001</v>
      </c>
      <c r="N4564">
        <v>-1.412298E-2</v>
      </c>
      <c r="O4564">
        <v>-0.98957349999999999</v>
      </c>
      <c r="P4564">
        <v>-0.26491890000000001</v>
      </c>
      <c r="Q4564">
        <v>0.3661123</v>
      </c>
      <c r="R4564">
        <v>-0.89206509999999895</v>
      </c>
      <c r="S4564">
        <v>-1.3777010000000001</v>
      </c>
      <c r="T4564">
        <v>-0.50655589999999995</v>
      </c>
      <c r="U4564">
        <v>-3.1613769999999999</v>
      </c>
      <c r="V4564">
        <v>0.13789680000000001</v>
      </c>
      <c r="W4564">
        <v>0.3777894</v>
      </c>
      <c r="X4564">
        <v>0.91556519999999997</v>
      </c>
      <c r="Y4564">
        <v>0.2601155</v>
      </c>
      <c r="Z4564">
        <v>0.13304160000000001</v>
      </c>
      <c r="AA4564">
        <v>0.95636810000000005</v>
      </c>
      <c r="AB4564">
        <v>28</v>
      </c>
      <c r="AC4564">
        <v>-2.9815000000000098</v>
      </c>
      <c r="AD4564">
        <v>-1.1072587293</v>
      </c>
      <c r="AE4564">
        <v>-6.7236999999999796</v>
      </c>
      <c r="AF4564">
        <v>1.94284103286007</v>
      </c>
      <c r="AG4564">
        <v>-1.1072587293</v>
      </c>
      <c r="AH4564">
        <v>6.9247177721509701</v>
      </c>
      <c r="AI4564">
        <v>98.752242651520305</v>
      </c>
      <c r="AJ4564">
        <v>74.327681069332996</v>
      </c>
      <c r="AK4564">
        <v>7.2768378707045098</v>
      </c>
      <c r="AL4564">
        <v>67.803179867514999</v>
      </c>
      <c r="AM4564">
        <v>81.434840392973697</v>
      </c>
      <c r="AN4564">
        <v>0.99999999682681995</v>
      </c>
    </row>
    <row r="4565" spans="1:40" x14ac:dyDescent="0.25">
      <c r="A4565" t="str">
        <f>"20190304164940840"</f>
        <v>20190304164940840</v>
      </c>
      <c r="B4565" t="str">
        <f>"1551689380830153"</f>
        <v>1551689380830153</v>
      </c>
      <c r="C4565" t="s">
        <v>40</v>
      </c>
      <c r="D4565">
        <v>4.6801550000000001</v>
      </c>
      <c r="E4565">
        <v>0.57538480000000003</v>
      </c>
      <c r="F4565" t="s">
        <v>48</v>
      </c>
      <c r="G4565">
        <v>-194.67910000000001</v>
      </c>
      <c r="H4565" s="1">
        <v>-1.36217899999999E-5</v>
      </c>
      <c r="I4565">
        <v>155.47999999999999</v>
      </c>
      <c r="J4565">
        <v>-191.6268</v>
      </c>
      <c r="K4565">
        <v>1.1071310000000001</v>
      </c>
      <c r="L4565">
        <v>162.30179999999999</v>
      </c>
      <c r="M4565">
        <v>-0.1467841</v>
      </c>
      <c r="N4565">
        <v>-1.414467E-2</v>
      </c>
      <c r="O4565">
        <v>-0.98906760000000005</v>
      </c>
      <c r="P4565">
        <v>-0.26810909999999999</v>
      </c>
      <c r="Q4565">
        <v>0.36754599999999998</v>
      </c>
      <c r="R4565">
        <v>-0.89052109999999995</v>
      </c>
      <c r="S4565">
        <v>-1.3897550000000001</v>
      </c>
      <c r="T4565">
        <v>-0.49946439999999998</v>
      </c>
      <c r="U4565">
        <v>-3.1552730000000002</v>
      </c>
      <c r="V4565">
        <v>0.13819770000000001</v>
      </c>
      <c r="W4565">
        <v>0.37919029999999998</v>
      </c>
      <c r="X4565">
        <v>0.91494050000000005</v>
      </c>
      <c r="Y4565">
        <v>0.26060299999999997</v>
      </c>
      <c r="Z4565">
        <v>0.13105039999999901</v>
      </c>
      <c r="AA4565">
        <v>0.95651019999999998</v>
      </c>
      <c r="AB4565">
        <v>28</v>
      </c>
      <c r="AC4565">
        <v>-3.0522999999999998</v>
      </c>
      <c r="AD4565">
        <v>-1.1071446217899901</v>
      </c>
      <c r="AE4565">
        <v>-6.8217999999999899</v>
      </c>
      <c r="AF4565">
        <v>1.9744687678499599</v>
      </c>
      <c r="AG4565">
        <v>-1.1071446217899901</v>
      </c>
      <c r="AH4565">
        <v>7.0414366128916797</v>
      </c>
      <c r="AI4565">
        <v>98.608833945877194</v>
      </c>
      <c r="AJ4565">
        <v>74.336126857375604</v>
      </c>
      <c r="AK4565">
        <v>7.3963589489792101</v>
      </c>
      <c r="AL4565">
        <v>67.716463080016098</v>
      </c>
      <c r="AM4565">
        <v>81.410655460622394</v>
      </c>
      <c r="AN4565">
        <v>1.00000000321981</v>
      </c>
    </row>
    <row r="4566" spans="1:40" x14ac:dyDescent="0.25">
      <c r="A4566" t="str">
        <f>"20190304164940857"</f>
        <v>20190304164940857</v>
      </c>
      <c r="B4566" t="str">
        <f>"1551689380850661"</f>
        <v>1551689380850661</v>
      </c>
      <c r="C4566" t="s">
        <v>40</v>
      </c>
      <c r="D4566">
        <v>4.960223</v>
      </c>
      <c r="E4566">
        <v>0.57541109999999995</v>
      </c>
      <c r="F4566" t="s">
        <v>48</v>
      </c>
      <c r="G4566">
        <v>-194.7526</v>
      </c>
      <c r="H4566" s="1">
        <v>-1.3540020000000001E-5</v>
      </c>
      <c r="I4566">
        <v>155.27420000000001</v>
      </c>
      <c r="J4566">
        <v>-191.66059999999999</v>
      </c>
      <c r="K4566">
        <v>1.1070070000000001</v>
      </c>
      <c r="L4566">
        <v>162.10249999999999</v>
      </c>
      <c r="M4566">
        <v>-0.150888299999999</v>
      </c>
      <c r="N4566">
        <v>-1.41697E-2</v>
      </c>
      <c r="O4566">
        <v>-0.98844920000000003</v>
      </c>
      <c r="P4566">
        <v>-0.27336319999999997</v>
      </c>
      <c r="Q4566">
        <v>0.37125619999999998</v>
      </c>
      <c r="R4566">
        <v>-0.88737919999999904</v>
      </c>
      <c r="S4566">
        <v>-1.4018550000000001</v>
      </c>
      <c r="T4566">
        <v>-0.49652639999999998</v>
      </c>
      <c r="U4566">
        <v>-3.151672</v>
      </c>
      <c r="V4566">
        <v>0.14022119999999999</v>
      </c>
      <c r="W4566">
        <v>0.38282840000000001</v>
      </c>
      <c r="X4566">
        <v>0.91311580000000003</v>
      </c>
      <c r="Y4566">
        <v>0.26012259999999998</v>
      </c>
      <c r="Z4566">
        <v>0.13012609999999999</v>
      </c>
      <c r="AA4566">
        <v>0.95676719999999904</v>
      </c>
      <c r="AB4566">
        <v>28</v>
      </c>
      <c r="AC4566">
        <v>-3.0920000000000099</v>
      </c>
      <c r="AD4566">
        <v>-1.1070205400199999</v>
      </c>
      <c r="AE4566">
        <v>-6.8282999999999801</v>
      </c>
      <c r="AF4566">
        <v>1.98292760148845</v>
      </c>
      <c r="AG4566">
        <v>-1.1070205400199999</v>
      </c>
      <c r="AH4566">
        <v>7.0626533947362899</v>
      </c>
      <c r="AI4566">
        <v>98.581629085231896</v>
      </c>
      <c r="AJ4566">
        <v>74.317254348603896</v>
      </c>
      <c r="AK4566">
        <v>7.4187983745988699</v>
      </c>
      <c r="AL4566">
        <v>67.491009713337505</v>
      </c>
      <c r="AM4566">
        <v>81.269662398559404</v>
      </c>
      <c r="AN4566">
        <v>1.00000001649281</v>
      </c>
    </row>
    <row r="4567" spans="1:40" x14ac:dyDescent="0.25">
      <c r="A4567" t="str">
        <f>"20190304164940880"</f>
        <v>20190304164940880</v>
      </c>
      <c r="B4567" t="str">
        <f>"1551689380870168"</f>
        <v>1551689380870168</v>
      </c>
      <c r="C4567" t="s">
        <v>40</v>
      </c>
      <c r="D4567">
        <v>4.7449589999999997</v>
      </c>
      <c r="E4567">
        <v>0.57543679999999997</v>
      </c>
      <c r="F4567" t="s">
        <v>48</v>
      </c>
      <c r="G4567">
        <v>-194.89769999999999</v>
      </c>
      <c r="H4567" s="1">
        <v>-1.3407000000000001E-5</v>
      </c>
      <c r="I4567">
        <v>154.9342</v>
      </c>
      <c r="J4567">
        <v>-191.7106</v>
      </c>
      <c r="K4567">
        <v>1.1067959999999999</v>
      </c>
      <c r="L4567">
        <v>161.8193</v>
      </c>
      <c r="M4567">
        <v>-0.1570124</v>
      </c>
      <c r="N4567">
        <v>-1.4205809999999999E-2</v>
      </c>
      <c r="O4567">
        <v>-0.98749439999999999</v>
      </c>
      <c r="P4567">
        <v>-0.28013009999999999</v>
      </c>
      <c r="Q4567">
        <v>0.3742915</v>
      </c>
      <c r="R4567">
        <v>-0.88398690000000002</v>
      </c>
      <c r="S4567">
        <v>-1.420822</v>
      </c>
      <c r="T4567">
        <v>-0.48589650000000001</v>
      </c>
      <c r="U4567">
        <v>-3.146347</v>
      </c>
      <c r="V4567">
        <v>0.14197689999999999</v>
      </c>
      <c r="W4567">
        <v>0.38578479999999998</v>
      </c>
      <c r="X4567">
        <v>0.91159889999999999</v>
      </c>
      <c r="Y4567">
        <v>0.25971919999999998</v>
      </c>
      <c r="Z4567">
        <v>0.1269535</v>
      </c>
      <c r="AA4567">
        <v>0.95730289999999996</v>
      </c>
      <c r="AB4567">
        <v>28</v>
      </c>
      <c r="AC4567">
        <v>-3.1870999999999801</v>
      </c>
      <c r="AD4567">
        <v>-1.1068094070000001</v>
      </c>
      <c r="AE4567">
        <v>-6.8850999999999898</v>
      </c>
      <c r="AF4567">
        <v>2.0233455350413601</v>
      </c>
      <c r="AG4567">
        <v>-1.1068094070000001</v>
      </c>
      <c r="AH4567">
        <v>7.1480261398903604</v>
      </c>
      <c r="AI4567">
        <v>98.474019367494904</v>
      </c>
      <c r="AJ4567">
        <v>74.195116722470402</v>
      </c>
      <c r="AK4567">
        <v>7.5108742443307701</v>
      </c>
      <c r="AL4567">
        <v>67.307528631751893</v>
      </c>
      <c r="AM4567">
        <v>81.147592158519203</v>
      </c>
      <c r="AN4567">
        <v>0.99999995326292801</v>
      </c>
    </row>
    <row r="4568" spans="1:40" x14ac:dyDescent="0.25">
      <c r="A4568" t="str">
        <f>"20190304164940900"</f>
        <v>20190304164940900</v>
      </c>
      <c r="B4568" t="str">
        <f>"1551689380890197"</f>
        <v>1551689380890197</v>
      </c>
      <c r="C4568" t="s">
        <v>40</v>
      </c>
      <c r="D4568">
        <v>5.1997309999999999</v>
      </c>
      <c r="E4568">
        <v>0.57500799999999996</v>
      </c>
      <c r="F4568" t="s">
        <v>48</v>
      </c>
      <c r="G4568">
        <v>-195.07939999999999</v>
      </c>
      <c r="H4568" s="1">
        <v>-1.32578399999999E-5</v>
      </c>
      <c r="I4568">
        <v>154.50139999999999</v>
      </c>
      <c r="J4568">
        <v>-191.75659999999999</v>
      </c>
      <c r="K4568">
        <v>1.1066069999999999</v>
      </c>
      <c r="L4568">
        <v>161.56890000000001</v>
      </c>
      <c r="M4568">
        <v>-0.16267499999999999</v>
      </c>
      <c r="N4568">
        <v>-1.423693E-2</v>
      </c>
      <c r="O4568">
        <v>-0.98657720000000004</v>
      </c>
      <c r="P4568">
        <v>-0.28453590000000001</v>
      </c>
      <c r="Q4568">
        <v>0.3761234</v>
      </c>
      <c r="R4568">
        <v>-0.88179979999999902</v>
      </c>
      <c r="S4568">
        <v>-1.4440770000000001</v>
      </c>
      <c r="T4568">
        <v>-0.47445520000000002</v>
      </c>
      <c r="U4568">
        <v>-3.136978</v>
      </c>
      <c r="V4568">
        <v>0.1416181</v>
      </c>
      <c r="W4568">
        <v>0.38757510000000001</v>
      </c>
      <c r="X4568">
        <v>0.91089509999999996</v>
      </c>
      <c r="Y4568">
        <v>0.26130579999999998</v>
      </c>
      <c r="Z4568">
        <v>0.1236472</v>
      </c>
      <c r="AA4568">
        <v>0.95730380000000004</v>
      </c>
      <c r="AB4568">
        <v>28</v>
      </c>
      <c r="AC4568">
        <v>-3.3228</v>
      </c>
      <c r="AD4568">
        <v>-1.10662025784</v>
      </c>
      <c r="AE4568">
        <v>-7.0675000000000203</v>
      </c>
      <c r="AF4568">
        <v>2.0868081553814899</v>
      </c>
      <c r="AG4568">
        <v>-1.10662025784</v>
      </c>
      <c r="AH4568">
        <v>7.3660308224236299</v>
      </c>
      <c r="AI4568">
        <v>98.224813725587396</v>
      </c>
      <c r="AJ4568">
        <v>74.182490307590299</v>
      </c>
      <c r="AK4568">
        <v>7.7354887854177399</v>
      </c>
      <c r="AL4568">
        <v>67.196301387011502</v>
      </c>
      <c r="AM4568">
        <v>81.162895578645504</v>
      </c>
      <c r="AN4568">
        <v>1.00000001379581</v>
      </c>
    </row>
    <row r="4569" spans="1:40" x14ac:dyDescent="0.25">
      <c r="A4569" t="str">
        <f>"20190304164940912"</f>
        <v>20190304164940912</v>
      </c>
      <c r="B4569" t="str">
        <f>"1551689380900933"</f>
        <v>1551689380900933</v>
      </c>
      <c r="C4569" t="s">
        <v>40</v>
      </c>
      <c r="D4569">
        <v>4.7657179999999997</v>
      </c>
      <c r="E4569">
        <v>0.57481850000000001</v>
      </c>
      <c r="F4569" t="s">
        <v>48</v>
      </c>
      <c r="G4569">
        <v>-195.2456</v>
      </c>
      <c r="H4569" s="1">
        <v>-1.317493E-5</v>
      </c>
      <c r="I4569">
        <v>154.11330000000001</v>
      </c>
      <c r="J4569">
        <v>-191.78370000000001</v>
      </c>
      <c r="K4569">
        <v>1.106498</v>
      </c>
      <c r="L4569">
        <v>161.4255</v>
      </c>
      <c r="M4569">
        <v>-0.16601679999999999</v>
      </c>
      <c r="N4569">
        <v>-1.425425E-2</v>
      </c>
      <c r="O4569">
        <v>-0.98602000000000001</v>
      </c>
      <c r="P4569">
        <v>-0.28715829999999998</v>
      </c>
      <c r="Q4569">
        <v>0.3770886</v>
      </c>
      <c r="R4569">
        <v>-0.88053649999999895</v>
      </c>
      <c r="S4569">
        <v>-1.46373</v>
      </c>
      <c r="T4569">
        <v>-0.46426210000000001</v>
      </c>
      <c r="U4569">
        <v>-3.127853</v>
      </c>
      <c r="V4569">
        <v>0.14142289999999999</v>
      </c>
      <c r="W4569">
        <v>0.38851639999999998</v>
      </c>
      <c r="X4569">
        <v>0.91052429999999995</v>
      </c>
      <c r="Y4569">
        <v>0.2641965</v>
      </c>
      <c r="Z4569">
        <v>0.1207657</v>
      </c>
      <c r="AA4569">
        <v>0.95687820000000001</v>
      </c>
      <c r="AB4569">
        <v>28</v>
      </c>
      <c r="AC4569">
        <v>-3.46189999999998</v>
      </c>
      <c r="AD4569">
        <v>-1.1065111749299901</v>
      </c>
      <c r="AE4569">
        <v>-7.31219999999999</v>
      </c>
      <c r="AF4569">
        <v>2.1593843267916601</v>
      </c>
      <c r="AG4569">
        <v>-1.1065111749299901</v>
      </c>
      <c r="AH4569">
        <v>7.6425375686927302</v>
      </c>
      <c r="AI4569">
        <v>97.931870212474806</v>
      </c>
      <c r="AJ4569">
        <v>74.222462823369398</v>
      </c>
      <c r="AK4569">
        <v>8.0184592123373797</v>
      </c>
      <c r="AL4569">
        <v>67.1377822329558</v>
      </c>
      <c r="AM4569">
        <v>81.171347060702303</v>
      </c>
      <c r="AN4569">
        <v>0.99999996530192903</v>
      </c>
    </row>
    <row r="4570" spans="1:40" x14ac:dyDescent="0.25">
      <c r="A4570" t="str">
        <f>"20190304164940923"</f>
        <v>20190304164940923</v>
      </c>
      <c r="B4570" t="str">
        <f>"1551689380920453"</f>
        <v>1551689380920453</v>
      </c>
      <c r="C4570" t="s">
        <v>40</v>
      </c>
      <c r="D4570">
        <v>4.7711579999999998</v>
      </c>
      <c r="E4570">
        <v>0.5743973</v>
      </c>
      <c r="F4570" t="s">
        <v>48</v>
      </c>
      <c r="G4570">
        <v>-195.34950000000001</v>
      </c>
      <c r="H4570" s="1">
        <v>-1.3125779999999999E-5</v>
      </c>
      <c r="I4570">
        <v>153.88130000000001</v>
      </c>
      <c r="J4570">
        <v>-191.80940000000001</v>
      </c>
      <c r="K4570">
        <v>1.1063940000000001</v>
      </c>
      <c r="L4570">
        <v>161.2928</v>
      </c>
      <c r="M4570">
        <v>-0.16922129999999999</v>
      </c>
      <c r="N4570">
        <v>-1.4270720000000001E-2</v>
      </c>
      <c r="O4570">
        <v>-0.98547490000000004</v>
      </c>
      <c r="P4570">
        <v>-0.2898481</v>
      </c>
      <c r="Q4570">
        <v>0.37804399999999999</v>
      </c>
      <c r="R4570">
        <v>-0.87924460000000004</v>
      </c>
      <c r="S4570">
        <v>-1.4756009999999999</v>
      </c>
      <c r="T4570">
        <v>-0.4578893</v>
      </c>
      <c r="U4570">
        <v>-3.121902</v>
      </c>
      <c r="V4570">
        <v>0.14142589999999999</v>
      </c>
      <c r="W4570">
        <v>0.38944600000000001</v>
      </c>
      <c r="X4570">
        <v>0.91012669999999996</v>
      </c>
      <c r="Y4570">
        <v>0.26483800000000002</v>
      </c>
      <c r="Z4570">
        <v>0.1189539</v>
      </c>
      <c r="AA4570">
        <v>0.9569278</v>
      </c>
      <c r="AB4570">
        <v>28</v>
      </c>
      <c r="AC4570">
        <v>-3.54009999999999</v>
      </c>
      <c r="AD4570">
        <v>-1.1064071257799999</v>
      </c>
      <c r="AE4570">
        <v>-7.4114999999999798</v>
      </c>
      <c r="AF4570">
        <v>2.1948960109097202</v>
      </c>
      <c r="AG4570">
        <v>-1.1064071257799999</v>
      </c>
      <c r="AH4570">
        <v>7.7628512311548601</v>
      </c>
      <c r="AI4570">
        <v>97.809346022730693</v>
      </c>
      <c r="AJ4570">
        <v>74.212092533901398</v>
      </c>
      <c r="AK4570">
        <v>8.1427000720723299</v>
      </c>
      <c r="AL4570">
        <v>67.079968696922805</v>
      </c>
      <c r="AM4570">
        <v>81.167366547932303</v>
      </c>
      <c r="AN4570">
        <v>1.00000004107984</v>
      </c>
    </row>
    <row r="4571" spans="1:40" x14ac:dyDescent="0.25">
      <c r="A4571" t="str">
        <f>"20190304164940936"</f>
        <v>20190304164940936</v>
      </c>
      <c r="B4571" t="str">
        <f>"1551689380930214"</f>
        <v>1551689380930214</v>
      </c>
      <c r="C4571" t="s">
        <v>40</v>
      </c>
      <c r="D4571">
        <v>4.7705380000000002</v>
      </c>
      <c r="E4571">
        <v>0.57410159999999999</v>
      </c>
      <c r="F4571" t="s">
        <v>48</v>
      </c>
      <c r="G4571">
        <v>-195.45529999999999</v>
      </c>
      <c r="H4571" s="1">
        <v>-1.30746699999999E-5</v>
      </c>
      <c r="I4571">
        <v>153.64089999999999</v>
      </c>
      <c r="J4571">
        <v>-191.8383</v>
      </c>
      <c r="K4571">
        <v>1.106277</v>
      </c>
      <c r="L4571">
        <v>161.14519999999999</v>
      </c>
      <c r="M4571">
        <v>-0.17282629999999999</v>
      </c>
      <c r="N4571">
        <v>-1.428856E-2</v>
      </c>
      <c r="O4571">
        <v>-0.98484859999999996</v>
      </c>
      <c r="P4571">
        <v>-0.29310760000000002</v>
      </c>
      <c r="Q4571">
        <v>0.37905470000000002</v>
      </c>
      <c r="R4571">
        <v>-0.87772759999999905</v>
      </c>
      <c r="S4571">
        <v>-1.484818</v>
      </c>
      <c r="T4571">
        <v>-0.45058939999999997</v>
      </c>
      <c r="U4571">
        <v>-3.1162719999999999</v>
      </c>
      <c r="V4571">
        <v>0.1416732</v>
      </c>
      <c r="W4571">
        <v>0.39042379999999999</v>
      </c>
      <c r="X4571">
        <v>0.90966919999999996</v>
      </c>
      <c r="Y4571">
        <v>0.26439810000000002</v>
      </c>
      <c r="Z4571">
        <v>0.1168893</v>
      </c>
      <c r="AA4571">
        <v>0.95730380000000004</v>
      </c>
      <c r="AB4571">
        <v>27</v>
      </c>
      <c r="AC4571">
        <v>-3.6169999999999898</v>
      </c>
      <c r="AD4571">
        <v>-1.10629007467</v>
      </c>
      <c r="AE4571">
        <v>-7.5042999999999997</v>
      </c>
      <c r="AF4571">
        <v>2.2262270465757701</v>
      </c>
      <c r="AG4571">
        <v>-1.10629007467</v>
      </c>
      <c r="AH4571">
        <v>7.8776029185148104</v>
      </c>
      <c r="AI4571">
        <v>97.696439197512504</v>
      </c>
      <c r="AJ4571">
        <v>74.219597190839494</v>
      </c>
      <c r="AK4571">
        <v>8.2605443122116302</v>
      </c>
      <c r="AL4571">
        <v>67.019129083347195</v>
      </c>
      <c r="AM4571">
        <v>81.147786418550695</v>
      </c>
      <c r="AN4571">
        <v>1.0000000463166501</v>
      </c>
    </row>
    <row r="4572" spans="1:40" x14ac:dyDescent="0.25">
      <c r="A4572" t="str">
        <f>"20190304164940946"</f>
        <v>20190304164940946</v>
      </c>
      <c r="B4572" t="str">
        <f>"1551689380940950"</f>
        <v>1551689380940950</v>
      </c>
      <c r="C4572" t="s">
        <v>40</v>
      </c>
      <c r="D4572">
        <v>4.7705270000000004</v>
      </c>
      <c r="E4572">
        <v>0.57382270000000002</v>
      </c>
      <c r="F4572" t="s">
        <v>48</v>
      </c>
      <c r="G4572">
        <v>-195.53440000000001</v>
      </c>
      <c r="H4572" s="1">
        <v>-1.3036370000000001E-5</v>
      </c>
      <c r="I4572">
        <v>153.46080000000001</v>
      </c>
      <c r="J4572">
        <v>-191.86799999999999</v>
      </c>
      <c r="K4572">
        <v>1.1061369999999999</v>
      </c>
      <c r="L4572">
        <v>160.999</v>
      </c>
      <c r="M4572">
        <v>-0.17659449999999999</v>
      </c>
      <c r="N4572">
        <v>-1.430876E-2</v>
      </c>
      <c r="O4572">
        <v>-0.98417969999999999</v>
      </c>
      <c r="P4572">
        <v>-0.29686410000000002</v>
      </c>
      <c r="Q4572">
        <v>0.3800867</v>
      </c>
      <c r="R4572">
        <v>-0.87601669999999998</v>
      </c>
      <c r="S4572">
        <v>-1.4966429999999999</v>
      </c>
      <c r="T4572">
        <v>-0.44796170000000002</v>
      </c>
      <c r="U4572">
        <v>-3.1116030000000001</v>
      </c>
      <c r="V4572">
        <v>0.14231389999999999</v>
      </c>
      <c r="W4572">
        <v>0.3914126</v>
      </c>
      <c r="X4572">
        <v>0.90914399999999995</v>
      </c>
      <c r="Y4572">
        <v>0.2642679</v>
      </c>
      <c r="Z4572">
        <v>0.1160818</v>
      </c>
      <c r="AA4572">
        <v>0.95743800000000001</v>
      </c>
      <c r="AB4572">
        <v>27</v>
      </c>
      <c r="AC4572">
        <v>-3.6663999999999999</v>
      </c>
      <c r="AD4572">
        <v>-1.1061500363700001</v>
      </c>
      <c r="AE4572">
        <v>-7.5381999999999802</v>
      </c>
      <c r="AF4572">
        <v>2.23844652624184</v>
      </c>
      <c r="AG4572">
        <v>-1.1061500363700001</v>
      </c>
      <c r="AH4572">
        <v>7.92916361400182</v>
      </c>
      <c r="AI4572">
        <v>97.646615614890706</v>
      </c>
      <c r="AJ4572">
        <v>74.2353347818174</v>
      </c>
      <c r="AK4572">
        <v>8.3129926242849397</v>
      </c>
      <c r="AL4572">
        <v>66.9575744746178</v>
      </c>
      <c r="AM4572">
        <v>81.103337190499801</v>
      </c>
      <c r="AN4572">
        <v>0.99999994115398305</v>
      </c>
    </row>
    <row r="4573" spans="1:40" x14ac:dyDescent="0.25">
      <c r="A4573" t="str">
        <f>"20190304164940958"</f>
        <v>20190304164940958</v>
      </c>
      <c r="B4573" t="str">
        <f>"1551689380950709"</f>
        <v>1551689380950709</v>
      </c>
      <c r="C4573" t="s">
        <v>40</v>
      </c>
      <c r="D4573">
        <v>4.7789380000000001</v>
      </c>
      <c r="E4573">
        <v>0.57354340000000004</v>
      </c>
      <c r="F4573" t="s">
        <v>48</v>
      </c>
      <c r="G4573">
        <v>-195.62020000000001</v>
      </c>
      <c r="H4573" s="1">
        <v>-1.299863E-5</v>
      </c>
      <c r="I4573">
        <v>153.28049999999999</v>
      </c>
      <c r="J4573">
        <v>-191.89580000000001</v>
      </c>
      <c r="K4573">
        <v>1.1060049999999999</v>
      </c>
      <c r="L4573">
        <v>160.864</v>
      </c>
      <c r="M4573">
        <v>-0.1801247</v>
      </c>
      <c r="N4573">
        <v>-1.432772E-2</v>
      </c>
      <c r="O4573">
        <v>-0.98353939999999995</v>
      </c>
      <c r="P4573">
        <v>-0.30037239999999998</v>
      </c>
      <c r="Q4573">
        <v>0.38062360000000001</v>
      </c>
      <c r="R4573">
        <v>-0.8745868</v>
      </c>
      <c r="S4573">
        <v>-1.509933</v>
      </c>
      <c r="T4573">
        <v>-0.44512770000000002</v>
      </c>
      <c r="U4573">
        <v>-3.1060180000000002</v>
      </c>
      <c r="V4573">
        <v>0.1428722</v>
      </c>
      <c r="W4573">
        <v>0.39191150000000002</v>
      </c>
      <c r="X4573">
        <v>0.90884160000000003</v>
      </c>
      <c r="Y4573">
        <v>0.26484479999999999</v>
      </c>
      <c r="Z4573">
        <v>0.11523029999999999</v>
      </c>
      <c r="AA4573">
        <v>0.95738140000000005</v>
      </c>
      <c r="AB4573">
        <v>27</v>
      </c>
      <c r="AC4573">
        <v>-3.7244000000000002</v>
      </c>
      <c r="AD4573">
        <v>-1.1060179986299901</v>
      </c>
      <c r="AE4573">
        <v>-7.5835000000000097</v>
      </c>
      <c r="AF4573">
        <v>2.2586471036037099</v>
      </c>
      <c r="AG4573">
        <v>-1.1060179986299901</v>
      </c>
      <c r="AH4573">
        <v>7.99337685373653</v>
      </c>
      <c r="AI4573">
        <v>97.584502761588595</v>
      </c>
      <c r="AJ4573">
        <v>74.221574600186401</v>
      </c>
      <c r="AK4573">
        <v>8.3796680171568703</v>
      </c>
      <c r="AL4573">
        <v>66.926510837252707</v>
      </c>
      <c r="AM4573">
        <v>81.066073252731897</v>
      </c>
      <c r="AN4573">
        <v>1.0000000716278199</v>
      </c>
    </row>
    <row r="4574" spans="1:40" x14ac:dyDescent="0.25">
      <c r="A4574" t="str">
        <f>"20190304164940971"</f>
        <v>20190304164940971</v>
      </c>
      <c r="B4574" t="str">
        <f>"1551689380960469"</f>
        <v>1551689380960469</v>
      </c>
      <c r="C4574" t="s">
        <v>40</v>
      </c>
      <c r="D4574">
        <v>4.6546099999999999</v>
      </c>
      <c r="E4574">
        <v>0.57347139999999996</v>
      </c>
      <c r="F4574" t="s">
        <v>48</v>
      </c>
      <c r="G4574">
        <v>-195.6825</v>
      </c>
      <c r="H4574" s="1">
        <v>-1.2970770000000001E-5</v>
      </c>
      <c r="I4574">
        <v>153.14789999999999</v>
      </c>
      <c r="J4574">
        <v>-191.9281</v>
      </c>
      <c r="K4574">
        <v>1.105847</v>
      </c>
      <c r="L4574">
        <v>160.71129999999999</v>
      </c>
      <c r="M4574">
        <v>-0.1842607</v>
      </c>
      <c r="N4574">
        <v>-1.4351600000000001E-2</v>
      </c>
      <c r="O4574">
        <v>-0.9827728</v>
      </c>
      <c r="P4574">
        <v>-0.3043901</v>
      </c>
      <c r="Q4574">
        <v>0.38089200000000001</v>
      </c>
      <c r="R4574">
        <v>-0.87308009999999903</v>
      </c>
      <c r="S4574">
        <v>-1.5218050000000001</v>
      </c>
      <c r="T4574">
        <v>-0.44448660000000001</v>
      </c>
      <c r="U4574">
        <v>-3.1009829999999998</v>
      </c>
      <c r="V4574">
        <v>0.14340649999999999</v>
      </c>
      <c r="W4574">
        <v>0.3921383</v>
      </c>
      <c r="X4574">
        <v>0.90865949999999995</v>
      </c>
      <c r="Y4574">
        <v>0.2643723</v>
      </c>
      <c r="Z4574">
        <v>0.11498609999999999</v>
      </c>
      <c r="AA4574">
        <v>0.95754139999999999</v>
      </c>
      <c r="AB4574">
        <v>27</v>
      </c>
      <c r="AC4574">
        <v>-3.7544</v>
      </c>
      <c r="AD4574">
        <v>-1.1058599707700001</v>
      </c>
      <c r="AE4574">
        <v>-7.5633999999999997</v>
      </c>
      <c r="AF4574">
        <v>2.2575992258961599</v>
      </c>
      <c r="AG4574">
        <v>-1.1058599707700001</v>
      </c>
      <c r="AH4574">
        <v>7.9887076003426802</v>
      </c>
      <c r="AI4574">
        <v>97.587745756314007</v>
      </c>
      <c r="AJ4574">
        <v>74.219771441349494</v>
      </c>
      <c r="AK4574">
        <v>8.3749107257027706</v>
      </c>
      <c r="AL4574">
        <v>66.9123832178838</v>
      </c>
      <c r="AM4574">
        <v>81.031437087793293</v>
      </c>
      <c r="AN4574">
        <v>0.99999997875469404</v>
      </c>
    </row>
    <row r="4575" spans="1:40" x14ac:dyDescent="0.25">
      <c r="A4575" t="str">
        <f>"20190304164940982"</f>
        <v>20190304164940982</v>
      </c>
      <c r="B4575" t="str">
        <f>"1551689380970230"</f>
        <v>1551689380970230</v>
      </c>
      <c r="C4575" t="s">
        <v>40</v>
      </c>
      <c r="D4575">
        <v>4.775347</v>
      </c>
      <c r="E4575">
        <v>0.57320289999999996</v>
      </c>
      <c r="F4575" t="s">
        <v>48</v>
      </c>
      <c r="G4575">
        <v>-195.768</v>
      </c>
      <c r="H4575" s="1">
        <v>-1.2936019999999999E-5</v>
      </c>
      <c r="I4575">
        <v>152.9796</v>
      </c>
      <c r="J4575">
        <v>-191.95699999999999</v>
      </c>
      <c r="K4575">
        <v>1.1057079999999999</v>
      </c>
      <c r="L4575">
        <v>160.5778</v>
      </c>
      <c r="M4575">
        <v>-0.18798999999999999</v>
      </c>
      <c r="N4575">
        <v>-1.437391E-2</v>
      </c>
      <c r="O4575">
        <v>-0.98206579999999999</v>
      </c>
      <c r="P4575">
        <v>-0.30813649999999998</v>
      </c>
      <c r="Q4575">
        <v>0.38109599999999999</v>
      </c>
      <c r="R4575">
        <v>-0.87167559999999999</v>
      </c>
      <c r="S4575">
        <v>-1.5363770000000001</v>
      </c>
      <c r="T4575">
        <v>-0.44246229999999998</v>
      </c>
      <c r="U4575">
        <v>-3.093521</v>
      </c>
      <c r="V4575">
        <v>0.14401939999999999</v>
      </c>
      <c r="W4575">
        <v>0.39230409999999999</v>
      </c>
      <c r="X4575">
        <v>0.90849100000000005</v>
      </c>
      <c r="Y4575">
        <v>0.26528099999999999</v>
      </c>
      <c r="Z4575">
        <v>0.114401</v>
      </c>
      <c r="AA4575">
        <v>0.95736010000000005</v>
      </c>
      <c r="AB4575">
        <v>27</v>
      </c>
      <c r="AC4575">
        <v>-3.8109999999999999</v>
      </c>
      <c r="AD4575">
        <v>-1.10572093602</v>
      </c>
      <c r="AE4575">
        <v>-7.5981999999999896</v>
      </c>
      <c r="AF4575">
        <v>2.2759950284486901</v>
      </c>
      <c r="AG4575">
        <v>-1.10572093602</v>
      </c>
      <c r="AH4575">
        <v>8.0431128528890898</v>
      </c>
      <c r="AI4575">
        <v>97.535343412407599</v>
      </c>
      <c r="AJ4575">
        <v>74.199844986993398</v>
      </c>
      <c r="AK4575">
        <v>8.4317516876498395</v>
      </c>
      <c r="AL4575">
        <v>66.902056488589693</v>
      </c>
      <c r="AM4575">
        <v>80.992090609154801</v>
      </c>
      <c r="AN4575">
        <v>0.99999999576708498</v>
      </c>
    </row>
    <row r="4576" spans="1:40" x14ac:dyDescent="0.25">
      <c r="A4576" t="str">
        <f>"20190304164940994"</f>
        <v>20190304164940994</v>
      </c>
      <c r="B4576" t="str">
        <f>"1551689380990258"</f>
        <v>1551689380990258</v>
      </c>
      <c r="C4576" t="s">
        <v>40</v>
      </c>
      <c r="D4576">
        <v>4.7741920000000002</v>
      </c>
      <c r="E4576">
        <v>0.57268289999999999</v>
      </c>
      <c r="F4576" t="s">
        <v>48</v>
      </c>
      <c r="G4576">
        <v>-195.82040000000001</v>
      </c>
      <c r="H4576" s="1">
        <v>-1.291402E-5</v>
      </c>
      <c r="I4576">
        <v>152.87370000000001</v>
      </c>
      <c r="J4576">
        <v>-191.98849999999999</v>
      </c>
      <c r="K4576">
        <v>1.1055539999999999</v>
      </c>
      <c r="L4576">
        <v>160.43469999999999</v>
      </c>
      <c r="M4576">
        <v>-0.1920578</v>
      </c>
      <c r="N4576">
        <v>-1.4398070000000001E-2</v>
      </c>
      <c r="O4576">
        <v>-0.98127810000000004</v>
      </c>
      <c r="P4576">
        <v>-0.31202659999999999</v>
      </c>
      <c r="Q4576">
        <v>0.3816348</v>
      </c>
      <c r="R4576">
        <v>-0.87005469999999896</v>
      </c>
      <c r="S4576">
        <v>-1.548538</v>
      </c>
      <c r="T4576">
        <v>-0.44320229999999999</v>
      </c>
      <c r="U4576">
        <v>-3.0880130000000001</v>
      </c>
      <c r="V4576">
        <v>0.14451810000000001</v>
      </c>
      <c r="W4576">
        <v>0.39280009999999999</v>
      </c>
      <c r="X4576">
        <v>0.90819749999999999</v>
      </c>
      <c r="Y4576">
        <v>0.26497609999999999</v>
      </c>
      <c r="Z4576">
        <v>0.114556199999999</v>
      </c>
      <c r="AA4576">
        <v>0.957426</v>
      </c>
      <c r="AB4576">
        <v>27</v>
      </c>
      <c r="AC4576">
        <v>-3.8319000000000099</v>
      </c>
      <c r="AD4576">
        <v>-1.10556691402</v>
      </c>
      <c r="AE4576">
        <v>-7.5609999999999697</v>
      </c>
      <c r="AF4576">
        <v>2.2696406655319099</v>
      </c>
      <c r="AG4576">
        <v>-1.10556691402</v>
      </c>
      <c r="AH4576">
        <v>8.01980951877138</v>
      </c>
      <c r="AI4576">
        <v>97.555887309530505</v>
      </c>
      <c r="AJ4576">
        <v>74.198258257678006</v>
      </c>
      <c r="AK4576">
        <v>8.4077875609096999</v>
      </c>
      <c r="AL4576">
        <v>66.871158825888401</v>
      </c>
      <c r="AM4576">
        <v>80.958539995716393</v>
      </c>
      <c r="AN4576">
        <v>1.0000000493969301</v>
      </c>
    </row>
    <row r="4577" spans="1:40" x14ac:dyDescent="0.25">
      <c r="A4577" t="str">
        <f>"20190304164941007"</f>
        <v>20190304164941007</v>
      </c>
      <c r="B4577" t="str">
        <f>"1551689381000994"</f>
        <v>1551689381000994</v>
      </c>
      <c r="C4577" t="s">
        <v>40</v>
      </c>
      <c r="D4577">
        <v>4.784821</v>
      </c>
      <c r="E4577">
        <v>0.57241299999999995</v>
      </c>
      <c r="F4577" t="s">
        <v>48</v>
      </c>
      <c r="G4577">
        <v>-195.8673</v>
      </c>
      <c r="H4577" s="1">
        <v>-1.289104E-5</v>
      </c>
      <c r="I4577">
        <v>152.76580000000001</v>
      </c>
      <c r="J4577">
        <v>-192.0247</v>
      </c>
      <c r="K4577">
        <v>1.105378</v>
      </c>
      <c r="L4577">
        <v>160.2758</v>
      </c>
      <c r="M4577">
        <v>-0.19677700000000001</v>
      </c>
      <c r="N4577">
        <v>-1.4426949999999999E-2</v>
      </c>
      <c r="O4577">
        <v>-0.98034209999999999</v>
      </c>
      <c r="P4577">
        <v>-0.31631389999999998</v>
      </c>
      <c r="Q4577">
        <v>0.38236779999999998</v>
      </c>
      <c r="R4577">
        <v>-0.86818220000000002</v>
      </c>
      <c r="S4577">
        <v>-1.5596920000000001</v>
      </c>
      <c r="T4577">
        <v>-0.44455650000000002</v>
      </c>
      <c r="U4577">
        <v>-3.08371</v>
      </c>
      <c r="V4577">
        <v>0.14487410000000001</v>
      </c>
      <c r="W4577">
        <v>0.39348889999999997</v>
      </c>
      <c r="X4577">
        <v>0.9078425</v>
      </c>
      <c r="Y4577">
        <v>0.26362020000000003</v>
      </c>
      <c r="Z4577">
        <v>0.11483740000000001</v>
      </c>
      <c r="AA4577">
        <v>0.95776649999999997</v>
      </c>
      <c r="AB4577">
        <v>27</v>
      </c>
      <c r="AC4577">
        <v>-3.8426</v>
      </c>
      <c r="AD4577">
        <v>-1.1053908910400001</v>
      </c>
      <c r="AE4577">
        <v>-7.50999999999999</v>
      </c>
      <c r="AF4577">
        <v>2.2508591678390499</v>
      </c>
      <c r="AG4577">
        <v>-1.1053908910400001</v>
      </c>
      <c r="AH4577">
        <v>7.9822964972985</v>
      </c>
      <c r="AI4577">
        <v>97.591796452288094</v>
      </c>
      <c r="AJ4577">
        <v>74.2525351225718</v>
      </c>
      <c r="AK4577">
        <v>8.3669177948766293</v>
      </c>
      <c r="AL4577">
        <v>66.828236395772905</v>
      </c>
      <c r="AM4577">
        <v>80.933151627272494</v>
      </c>
      <c r="AN4577">
        <v>1.00000001204013</v>
      </c>
    </row>
    <row r="4578" spans="1:40" x14ac:dyDescent="0.25">
      <c r="A4578" t="str">
        <f>"20190304164941024"</f>
        <v>20190304164941024</v>
      </c>
      <c r="B4578" t="str">
        <f>"1551689381020514"</f>
        <v>1551689381020514</v>
      </c>
      <c r="C4578" t="s">
        <v>40</v>
      </c>
      <c r="D4578">
        <v>4.7538239999999998</v>
      </c>
      <c r="E4578">
        <v>0.57192559999999903</v>
      </c>
      <c r="F4578" t="s">
        <v>48</v>
      </c>
      <c r="G4578">
        <v>-195.95169999999999</v>
      </c>
      <c r="H4578" s="1">
        <v>-1.2857679999999999E-5</v>
      </c>
      <c r="I4578">
        <v>152.6035</v>
      </c>
      <c r="J4578">
        <v>-192.0701</v>
      </c>
      <c r="K4578">
        <v>1.1051789999999999</v>
      </c>
      <c r="L4578">
        <v>160.08150000000001</v>
      </c>
      <c r="M4578">
        <v>-0.2027098</v>
      </c>
      <c r="N4578">
        <v>-1.446251E-2</v>
      </c>
      <c r="O4578">
        <v>-0.97913209999999995</v>
      </c>
      <c r="P4578">
        <v>-0.3210887</v>
      </c>
      <c r="Q4578">
        <v>0.38445980000000002</v>
      </c>
      <c r="R4578">
        <v>-0.86550159999999998</v>
      </c>
      <c r="S4578">
        <v>-1.574905</v>
      </c>
      <c r="T4578">
        <v>-0.44331559999999998</v>
      </c>
      <c r="U4578">
        <v>-3.076965</v>
      </c>
      <c r="V4578">
        <v>0.14479900000000001</v>
      </c>
      <c r="W4578">
        <v>0.39552860000000001</v>
      </c>
      <c r="X4578">
        <v>0.90696770000000004</v>
      </c>
      <c r="Y4578">
        <v>0.26241150000000002</v>
      </c>
      <c r="Z4578">
        <v>0.1143769</v>
      </c>
      <c r="AA4578">
        <v>0.95815349999999999</v>
      </c>
      <c r="AB4578">
        <v>27</v>
      </c>
      <c r="AC4578">
        <v>-3.8815999999999899</v>
      </c>
      <c r="AD4578">
        <v>-1.1051918576799999</v>
      </c>
      <c r="AE4578">
        <v>-7.4779999999999998</v>
      </c>
      <c r="AF4578">
        <v>2.2463226042172701</v>
      </c>
      <c r="AG4578">
        <v>-1.1051918576799999</v>
      </c>
      <c r="AH4578">
        <v>7.9724572180934503</v>
      </c>
      <c r="AI4578">
        <v>97.600137321547194</v>
      </c>
      <c r="AJ4578">
        <v>74.264266541504696</v>
      </c>
      <c r="AK4578">
        <v>8.3562843644068305</v>
      </c>
      <c r="AL4578">
        <v>66.701054837601504</v>
      </c>
      <c r="AM4578">
        <v>80.929178136168304</v>
      </c>
      <c r="AN4578">
        <v>1.00000001633112</v>
      </c>
    </row>
    <row r="4579" spans="1:40" x14ac:dyDescent="0.25">
      <c r="A4579" t="str">
        <f>"20190304164941037"</f>
        <v>20190304164941037</v>
      </c>
      <c r="B4579" t="str">
        <f>"1551689381030274"</f>
        <v>1551689381030274</v>
      </c>
      <c r="C4579" t="s">
        <v>40</v>
      </c>
      <c r="D4579">
        <v>4.7629380000000001</v>
      </c>
      <c r="E4579">
        <v>0.5716774</v>
      </c>
      <c r="F4579" t="s">
        <v>48</v>
      </c>
      <c r="G4579">
        <v>-196.09540000000001</v>
      </c>
      <c r="H4579" s="1">
        <v>-1.280311E-5</v>
      </c>
      <c r="I4579">
        <v>152.33600000000001</v>
      </c>
      <c r="J4579">
        <v>-192.10749999999999</v>
      </c>
      <c r="K4579">
        <v>1.1050139999999999</v>
      </c>
      <c r="L4579">
        <v>159.92519999999999</v>
      </c>
      <c r="M4579">
        <v>-0.20760410000000001</v>
      </c>
      <c r="N4579">
        <v>-1.449114E-2</v>
      </c>
      <c r="O4579">
        <v>-0.97810560000000002</v>
      </c>
      <c r="P4579">
        <v>-0.324789099999999</v>
      </c>
      <c r="Q4579">
        <v>0.38560129999999998</v>
      </c>
      <c r="R4579">
        <v>-0.86361080000000001</v>
      </c>
      <c r="S4579">
        <v>-1.59494</v>
      </c>
      <c r="T4579">
        <v>-0.43791350000000001</v>
      </c>
      <c r="U4579">
        <v>-3.069016</v>
      </c>
      <c r="V4579">
        <v>0.1444291</v>
      </c>
      <c r="W4579">
        <v>0.39663759999999998</v>
      </c>
      <c r="X4579">
        <v>0.90654219999999996</v>
      </c>
      <c r="Y4579">
        <v>0.26362059999999998</v>
      </c>
      <c r="Z4579">
        <v>0.1127317</v>
      </c>
      <c r="AA4579">
        <v>0.9580166</v>
      </c>
      <c r="AB4579">
        <v>27</v>
      </c>
      <c r="AC4579">
        <v>-3.9879000000000202</v>
      </c>
      <c r="AD4579">
        <v>-1.1050268031099999</v>
      </c>
      <c r="AE4579">
        <v>-7.5891999999999697</v>
      </c>
      <c r="AF4579">
        <v>2.2872825430454</v>
      </c>
      <c r="AG4579">
        <v>-1.1050268031099999</v>
      </c>
      <c r="AH4579">
        <v>8.11695830324987</v>
      </c>
      <c r="AI4579">
        <v>97.465216286718203</v>
      </c>
      <c r="AJ4579">
        <v>74.262662666631698</v>
      </c>
      <c r="AK4579">
        <v>8.5051606548029799</v>
      </c>
      <c r="AL4579">
        <v>66.6318527122733</v>
      </c>
      <c r="AM4579">
        <v>80.947789894662606</v>
      </c>
      <c r="AN4579">
        <v>0.99999995552070398</v>
      </c>
    </row>
    <row r="4580" spans="1:40" x14ac:dyDescent="0.25">
      <c r="A4580" t="str">
        <f>"20190304164941047"</f>
        <v>20190304164941047</v>
      </c>
      <c r="B4580" t="str">
        <f>"1551689381040034"</f>
        <v>1551689381040034</v>
      </c>
      <c r="C4580" t="s">
        <v>40</v>
      </c>
      <c r="D4580">
        <v>4.6719210000000002</v>
      </c>
      <c r="E4580">
        <v>0.57155180000000005</v>
      </c>
      <c r="F4580" t="s">
        <v>48</v>
      </c>
      <c r="G4580">
        <v>-196.1985</v>
      </c>
      <c r="H4580" s="1">
        <v>-1.276356E-5</v>
      </c>
      <c r="I4580">
        <v>152.14250000000001</v>
      </c>
      <c r="J4580">
        <v>-192.14179999999999</v>
      </c>
      <c r="K4580">
        <v>1.104878</v>
      </c>
      <c r="L4580">
        <v>159.78649999999999</v>
      </c>
      <c r="M4580">
        <v>-0.2121112</v>
      </c>
      <c r="N4580">
        <v>-1.451765E-2</v>
      </c>
      <c r="O4580">
        <v>-0.9771377</v>
      </c>
      <c r="P4580">
        <v>-0.32794790000000001</v>
      </c>
      <c r="Q4580">
        <v>0.3868915</v>
      </c>
      <c r="R4580">
        <v>-0.86183849999999995</v>
      </c>
      <c r="S4580">
        <v>-1.609818</v>
      </c>
      <c r="T4580">
        <v>-0.43482920000000003</v>
      </c>
      <c r="U4580">
        <v>-3.0625149999999999</v>
      </c>
      <c r="V4580">
        <v>0.14384279999999999</v>
      </c>
      <c r="W4580">
        <v>0.39790619999999999</v>
      </c>
      <c r="X4580">
        <v>0.90607939999999998</v>
      </c>
      <c r="Y4580">
        <v>0.26371280000000002</v>
      </c>
      <c r="Z4580">
        <v>0.1117679</v>
      </c>
      <c r="AA4580">
        <v>0.95810410000000001</v>
      </c>
      <c r="AB4580">
        <v>27</v>
      </c>
      <c r="AC4580">
        <v>-4.0567000000000002</v>
      </c>
      <c r="AD4580">
        <v>-1.10489076356</v>
      </c>
      <c r="AE4580">
        <v>-7.6439999999999699</v>
      </c>
      <c r="AF4580">
        <v>2.3052443183931799</v>
      </c>
      <c r="AG4580">
        <v>-1.10489076356</v>
      </c>
      <c r="AH4580">
        <v>8.1969666723068695</v>
      </c>
      <c r="AI4580">
        <v>97.393326675533004</v>
      </c>
      <c r="AJ4580">
        <v>74.292350370836601</v>
      </c>
      <c r="AK4580">
        <v>8.5863378453094796</v>
      </c>
      <c r="AL4580">
        <v>66.552649657872806</v>
      </c>
      <c r="AM4580">
        <v>80.979402445591205</v>
      </c>
      <c r="AN4580">
        <v>0.99999998710731997</v>
      </c>
    </row>
    <row r="4581" spans="1:40" x14ac:dyDescent="0.25">
      <c r="A4581" t="str">
        <f>"20190304164941059"</f>
        <v>20190304164941059</v>
      </c>
      <c r="B4581" t="str">
        <f>"1551689381050770"</f>
        <v>1551689381050770</v>
      </c>
      <c r="C4581" t="s">
        <v>40</v>
      </c>
      <c r="D4581">
        <v>4.7322160000000002</v>
      </c>
      <c r="E4581">
        <v>0.57132890000000003</v>
      </c>
      <c r="F4581" t="s">
        <v>48</v>
      </c>
      <c r="G4581">
        <v>-196.3169</v>
      </c>
      <c r="H4581" s="1">
        <v>-1.2719790000000001E-5</v>
      </c>
      <c r="I4581">
        <v>151.92679999999999</v>
      </c>
      <c r="J4581">
        <v>-192.17679999999999</v>
      </c>
      <c r="K4581">
        <v>1.1047530000000001</v>
      </c>
      <c r="L4581">
        <v>159.6473</v>
      </c>
      <c r="M4581">
        <v>-0.21669099999999999</v>
      </c>
      <c r="N4581">
        <v>-1.454329E-2</v>
      </c>
      <c r="O4581">
        <v>-0.97613209999999995</v>
      </c>
      <c r="P4581">
        <v>-0.33146969999999998</v>
      </c>
      <c r="Q4581">
        <v>0.38779130000000001</v>
      </c>
      <c r="R4581">
        <v>-0.86008519999999899</v>
      </c>
      <c r="S4581">
        <v>-1.623383</v>
      </c>
      <c r="T4581">
        <v>-0.42961050000000001</v>
      </c>
      <c r="U4581">
        <v>-3.056076</v>
      </c>
      <c r="V4581">
        <v>0.14353009999999999</v>
      </c>
      <c r="W4581">
        <v>0.39878439999999998</v>
      </c>
      <c r="X4581">
        <v>0.90574279999999996</v>
      </c>
      <c r="Y4581">
        <v>0.26343060000000001</v>
      </c>
      <c r="Z4581">
        <v>0.110207</v>
      </c>
      <c r="AA4581">
        <v>0.95836250000000001</v>
      </c>
      <c r="AB4581">
        <v>27</v>
      </c>
      <c r="AC4581">
        <v>-4.1401000000000101</v>
      </c>
      <c r="AD4581">
        <v>-1.10476571979</v>
      </c>
      <c r="AE4581">
        <v>-7.7205000000000101</v>
      </c>
      <c r="AF4581">
        <v>2.3314937419933899</v>
      </c>
      <c r="AG4581">
        <v>-1.10476571979</v>
      </c>
      <c r="AH4581">
        <v>8.3022099161883904</v>
      </c>
      <c r="AI4581">
        <v>97.300563685245507</v>
      </c>
      <c r="AJ4581">
        <v>74.313766363678795</v>
      </c>
      <c r="AK4581">
        <v>8.6938518423673603</v>
      </c>
      <c r="AL4581">
        <v>66.497791420113202</v>
      </c>
      <c r="AM4581">
        <v>80.995400571779598</v>
      </c>
      <c r="AN4581">
        <v>0.999999953520603</v>
      </c>
    </row>
    <row r="4582" spans="1:40" x14ac:dyDescent="0.25">
      <c r="A4582" t="str">
        <f>"20190304164941073"</f>
        <v>20190304164941073</v>
      </c>
      <c r="B4582" t="str">
        <f>"1551689381060530"</f>
        <v>1551689381060530</v>
      </c>
      <c r="C4582" t="s">
        <v>40</v>
      </c>
      <c r="D4582">
        <v>4.8101750000000001</v>
      </c>
      <c r="E4582">
        <v>0.57105709999999998</v>
      </c>
      <c r="F4582" t="s">
        <v>48</v>
      </c>
      <c r="G4582">
        <v>-196.40729999999999</v>
      </c>
      <c r="H4582" s="1">
        <v>-1.268707E-5</v>
      </c>
      <c r="I4582">
        <v>151.76480000000001</v>
      </c>
      <c r="J4582">
        <v>-192.21709999999999</v>
      </c>
      <c r="K4582">
        <v>1.104614</v>
      </c>
      <c r="L4582">
        <v>159.49080000000001</v>
      </c>
      <c r="M4582">
        <v>-0.22195119999999999</v>
      </c>
      <c r="N4582">
        <v>-1.4571529999999999E-2</v>
      </c>
      <c r="O4582">
        <v>-0.97494899999999995</v>
      </c>
      <c r="P4582">
        <v>-0.33551730000000002</v>
      </c>
      <c r="Q4582">
        <v>0.3887448</v>
      </c>
      <c r="R4582">
        <v>-0.85808280000000003</v>
      </c>
      <c r="S4582">
        <v>-1.636887</v>
      </c>
      <c r="T4582">
        <v>-0.42746089999999998</v>
      </c>
      <c r="U4582">
        <v>-3.0499269999999998</v>
      </c>
      <c r="V4582">
        <v>0.14315700000000001</v>
      </c>
      <c r="W4582">
        <v>0.3997174</v>
      </c>
      <c r="X4582">
        <v>0.90539060000000005</v>
      </c>
      <c r="Y4582">
        <v>0.26237059999999901</v>
      </c>
      <c r="Z4582">
        <v>0.10948860000000001</v>
      </c>
      <c r="AA4582">
        <v>0.95873560000000002</v>
      </c>
      <c r="AB4582">
        <v>27</v>
      </c>
      <c r="AC4582">
        <v>-4.1901999999999999</v>
      </c>
      <c r="AD4582">
        <v>-1.1046266870699999</v>
      </c>
      <c r="AE4582">
        <v>-7.7259999999999902</v>
      </c>
      <c r="AF4582">
        <v>2.3338233810156299</v>
      </c>
      <c r="AG4582">
        <v>-1.1046266870699999</v>
      </c>
      <c r="AH4582">
        <v>8.3317673882661296</v>
      </c>
      <c r="AI4582">
        <v>97.2753777365036</v>
      </c>
      <c r="AJ4582">
        <v>74.351832738436897</v>
      </c>
      <c r="AK4582">
        <v>8.7226876307556402</v>
      </c>
      <c r="AL4582">
        <v>66.439487834840605</v>
      </c>
      <c r="AM4582">
        <v>81.014988686596695</v>
      </c>
      <c r="AN4582">
        <v>1.00000003254005</v>
      </c>
    </row>
    <row r="4583" spans="1:40" x14ac:dyDescent="0.25">
      <c r="A4583" t="str">
        <f>"20190304164941088"</f>
        <v>20190304164941088</v>
      </c>
      <c r="B4583" t="str">
        <f>"1551689381080559"</f>
        <v>1551689381080559</v>
      </c>
      <c r="C4583" t="s">
        <v>40</v>
      </c>
      <c r="D4583">
        <v>4.9770409999999998</v>
      </c>
      <c r="E4583">
        <v>0.57085909999999995</v>
      </c>
      <c r="F4583" t="s">
        <v>48</v>
      </c>
      <c r="G4583">
        <v>-196.5016</v>
      </c>
      <c r="H4583" s="1">
        <v>-1.26534E-5</v>
      </c>
      <c r="I4583">
        <v>151.59780000000001</v>
      </c>
      <c r="J4583">
        <v>-192.26419999999999</v>
      </c>
      <c r="K4583">
        <v>1.1044799999999999</v>
      </c>
      <c r="L4583">
        <v>159.3134</v>
      </c>
      <c r="M4583">
        <v>-0.22806070000000001</v>
      </c>
      <c r="N4583">
        <v>-1.460179E-2</v>
      </c>
      <c r="O4583">
        <v>-0.97353749999999994</v>
      </c>
      <c r="P4583">
        <v>-0.34024680000000002</v>
      </c>
      <c r="Q4583">
        <v>0.38912760000000002</v>
      </c>
      <c r="R4583">
        <v>-0.85604439999999904</v>
      </c>
      <c r="S4583">
        <v>-1.6519009999999901</v>
      </c>
      <c r="T4583">
        <v>-0.42589519999999997</v>
      </c>
      <c r="U4583">
        <v>-3.0431819999999998</v>
      </c>
      <c r="V4583">
        <v>0.14265229999999901</v>
      </c>
      <c r="W4583">
        <v>0.40008880000000002</v>
      </c>
      <c r="X4583">
        <v>0.90530619999999995</v>
      </c>
      <c r="Y4583">
        <v>0.2608992</v>
      </c>
      <c r="Z4583">
        <v>0.1089097</v>
      </c>
      <c r="AA4583">
        <v>0.95920289999999997</v>
      </c>
      <c r="AB4583">
        <v>27</v>
      </c>
      <c r="AC4583">
        <v>-4.2374000000000001</v>
      </c>
      <c r="AD4583">
        <v>-1.1044926533999999</v>
      </c>
      <c r="AE4583">
        <v>-7.7155999999999896</v>
      </c>
      <c r="AF4583">
        <v>2.32922448833388</v>
      </c>
      <c r="AG4583">
        <v>-1.1044926533999999</v>
      </c>
      <c r="AH4583">
        <v>8.3472976501301392</v>
      </c>
      <c r="AI4583">
        <v>97.263112004768402</v>
      </c>
      <c r="AJ4583">
        <v>74.408806084296003</v>
      </c>
      <c r="AK4583">
        <v>8.7362788873946293</v>
      </c>
      <c r="AL4583">
        <v>66.416270617847402</v>
      </c>
      <c r="AM4583">
        <v>81.045330018349802</v>
      </c>
      <c r="AN4583">
        <v>1.0000000211695801</v>
      </c>
    </row>
    <row r="4584" spans="1:40" x14ac:dyDescent="0.25">
      <c r="A4584" t="str">
        <f>"20190304164941102"</f>
        <v>20190304164941102</v>
      </c>
      <c r="B4584" t="str">
        <f>"1551689381090318"</f>
        <v>1551689381090318</v>
      </c>
      <c r="C4584" t="s">
        <v>40</v>
      </c>
      <c r="D4584">
        <v>4.8888150000000001</v>
      </c>
      <c r="E4584">
        <v>0.57094460000000002</v>
      </c>
      <c r="F4584" t="s">
        <v>48</v>
      </c>
      <c r="G4584">
        <v>-196.58320000000001</v>
      </c>
      <c r="H4584" s="1">
        <v>-1.262556E-5</v>
      </c>
      <c r="I4584">
        <v>151.45840000000001</v>
      </c>
      <c r="J4584">
        <v>-192.3098</v>
      </c>
      <c r="K4584">
        <v>1.104365</v>
      </c>
      <c r="L4584">
        <v>159.14599999999999</v>
      </c>
      <c r="M4584">
        <v>-0.23391419999999999</v>
      </c>
      <c r="N4584">
        <v>-1.462843E-2</v>
      </c>
      <c r="O4584">
        <v>-0.97214719999999999</v>
      </c>
      <c r="P4584">
        <v>-0.34439750000000002</v>
      </c>
      <c r="Q4584">
        <v>0.38896540000000002</v>
      </c>
      <c r="R4584">
        <v>-0.85445680000000002</v>
      </c>
      <c r="S4584">
        <v>-1.6688689999999999</v>
      </c>
      <c r="T4584">
        <v>-0.42677710000000002</v>
      </c>
      <c r="U4584">
        <v>-3.0351720000000002</v>
      </c>
      <c r="V4584">
        <v>0.14168629999999999</v>
      </c>
      <c r="W4584">
        <v>0.39993190000000001</v>
      </c>
      <c r="X4584">
        <v>0.90552719999999998</v>
      </c>
      <c r="Y4584">
        <v>0.26027260000000002</v>
      </c>
      <c r="Z4584">
        <v>0.109044</v>
      </c>
      <c r="AA4584">
        <v>0.95935789999999999</v>
      </c>
      <c r="AB4584">
        <v>27</v>
      </c>
      <c r="AC4584">
        <v>-4.2733999999999996</v>
      </c>
      <c r="AD4584">
        <v>-1.10437762556</v>
      </c>
      <c r="AE4584">
        <v>-7.6875999999999998</v>
      </c>
      <c r="AF4584">
        <v>2.3198137410856399</v>
      </c>
      <c r="AG4584">
        <v>-1.10437762556</v>
      </c>
      <c r="AH4584">
        <v>8.3424697947029607</v>
      </c>
      <c r="AI4584">
        <v>97.268317942226105</v>
      </c>
      <c r="AJ4584">
        <v>74.460198758185498</v>
      </c>
      <c r="AK4584">
        <v>8.7291458922794103</v>
      </c>
      <c r="AL4584">
        <v>66.426079239392706</v>
      </c>
      <c r="AM4584">
        <v>81.107131771107404</v>
      </c>
      <c r="AN4584">
        <v>1.0000000210925599</v>
      </c>
    </row>
    <row r="4585" spans="1:40" x14ac:dyDescent="0.25">
      <c r="A4585" t="str">
        <f>"20190304164941116"</f>
        <v>20190304164941116</v>
      </c>
      <c r="B4585" t="str">
        <f>"1551689381110814"</f>
        <v>1551689381110814</v>
      </c>
      <c r="C4585" t="s">
        <v>40</v>
      </c>
      <c r="D4585">
        <v>4.8336319999999997</v>
      </c>
      <c r="E4585">
        <v>0.56756790000000001</v>
      </c>
      <c r="F4585" t="s">
        <v>48</v>
      </c>
      <c r="G4585">
        <v>-196.648</v>
      </c>
      <c r="H4585" s="1">
        <v>-1.26046E-5</v>
      </c>
      <c r="I4585">
        <v>151.35220000000001</v>
      </c>
      <c r="J4585">
        <v>-192.35669999999999</v>
      </c>
      <c r="K4585">
        <v>1.1042559999999999</v>
      </c>
      <c r="L4585">
        <v>158.97710000000001</v>
      </c>
      <c r="M4585">
        <v>-0.2398972</v>
      </c>
      <c r="N4585">
        <v>-1.465356E-2</v>
      </c>
      <c r="O4585">
        <v>-0.97068759999999998</v>
      </c>
      <c r="P4585">
        <v>-0.349333</v>
      </c>
      <c r="Q4585">
        <v>0.38865379999999999</v>
      </c>
      <c r="R4585">
        <v>-0.85259280000000004</v>
      </c>
      <c r="S4585">
        <v>-1.684998</v>
      </c>
      <c r="T4585">
        <v>-0.42894520000000003</v>
      </c>
      <c r="U4585">
        <v>-3.0271150000000002</v>
      </c>
      <c r="V4585">
        <v>0.141405</v>
      </c>
      <c r="W4585">
        <v>0.3996169</v>
      </c>
      <c r="X4585">
        <v>0.90571020000000002</v>
      </c>
      <c r="Y4585">
        <v>0.2592874</v>
      </c>
      <c r="Z4585">
        <v>0.1095444</v>
      </c>
      <c r="AA4585">
        <v>0.95956759999999997</v>
      </c>
      <c r="AB4585">
        <v>27</v>
      </c>
      <c r="AC4585">
        <v>-4.2912999999999997</v>
      </c>
      <c r="AD4585">
        <v>-1.1042686046000001</v>
      </c>
      <c r="AE4585">
        <v>-7.6248999999999896</v>
      </c>
      <c r="AF4585">
        <v>2.2999357155445299</v>
      </c>
      <c r="AG4585">
        <v>-1.1042686046000001</v>
      </c>
      <c r="AH4585">
        <v>8.2995717007621703</v>
      </c>
      <c r="AI4585">
        <v>97.306551520120607</v>
      </c>
      <c r="AJ4585">
        <v>74.511149785209398</v>
      </c>
      <c r="AK4585">
        <v>8.6828568952180092</v>
      </c>
      <c r="AL4585">
        <v>66.445768855746906</v>
      </c>
      <c r="AM4585">
        <v>81.126270821390094</v>
      </c>
      <c r="AN4585">
        <v>1.00000000358732</v>
      </c>
    </row>
    <row r="4586" spans="1:40" x14ac:dyDescent="0.25">
      <c r="A4586" t="str">
        <f>"20190304164941127"</f>
        <v>20190304164941127</v>
      </c>
      <c r="B4586" t="str">
        <f>"1551689381120574"</f>
        <v>1551689381120574</v>
      </c>
      <c r="C4586" t="s">
        <v>40</v>
      </c>
      <c r="D4586">
        <v>4.8350239999999998</v>
      </c>
      <c r="E4586">
        <v>0.56725530000000002</v>
      </c>
      <c r="F4586" t="s">
        <v>41</v>
      </c>
      <c r="G4586">
        <v>-192.80779999999999</v>
      </c>
      <c r="H4586">
        <v>0.92730619999999997</v>
      </c>
      <c r="I4586">
        <v>158.1456</v>
      </c>
      <c r="J4586">
        <v>-192.398</v>
      </c>
      <c r="K4586">
        <v>1.104185</v>
      </c>
      <c r="L4586">
        <v>158.83330000000001</v>
      </c>
      <c r="M4586">
        <v>-0.24507470000000001</v>
      </c>
      <c r="N4586">
        <v>-1.4673220000000001E-2</v>
      </c>
      <c r="O4586">
        <v>-0.96939330000000001</v>
      </c>
      <c r="P4586">
        <v>-0.35386630000000002</v>
      </c>
      <c r="Q4586">
        <v>0.38815080000000002</v>
      </c>
      <c r="R4586">
        <v>-0.85095109999999996</v>
      </c>
      <c r="S4586">
        <v>-1.6961059999999999</v>
      </c>
      <c r="T4586">
        <v>-0.66512890000000002</v>
      </c>
      <c r="U4586">
        <v>-3.126938</v>
      </c>
      <c r="V4586">
        <v>0.14139309999999999</v>
      </c>
      <c r="W4586">
        <v>0.39911239999999998</v>
      </c>
      <c r="X4586">
        <v>0.90593449999999998</v>
      </c>
      <c r="Y4586">
        <v>0.23934179999999999</v>
      </c>
      <c r="Z4586">
        <v>0.17022139999999999</v>
      </c>
      <c r="AA4586">
        <v>0.95589760000000001</v>
      </c>
      <c r="AB4586">
        <v>27</v>
      </c>
      <c r="AC4586">
        <v>-0.40979999999999001</v>
      </c>
      <c r="AD4586">
        <v>-0.176878799999999</v>
      </c>
      <c r="AE4586">
        <v>-0.68770000000000597</v>
      </c>
      <c r="AF4586">
        <v>0.21809695515264599</v>
      </c>
      <c r="AG4586">
        <v>-0.176878799999999</v>
      </c>
      <c r="AH4586">
        <v>0.73145730117900798</v>
      </c>
      <c r="AI4586">
        <v>103.04715330088899</v>
      </c>
      <c r="AJ4586">
        <v>73.397117994494906</v>
      </c>
      <c r="AK4586">
        <v>0.78350633385083301</v>
      </c>
      <c r="AL4586">
        <v>66.477298398304598</v>
      </c>
      <c r="AM4586">
        <v>81.129167629064398</v>
      </c>
      <c r="AN4586">
        <v>1.0000000174257999</v>
      </c>
    </row>
    <row r="4587" spans="1:40" x14ac:dyDescent="0.25">
      <c r="A4587" t="str">
        <f>"20190304164941139"</f>
        <v>20190304164941139</v>
      </c>
      <c r="B4587" t="str">
        <f>"1551689381130335"</f>
        <v>1551689381130335</v>
      </c>
      <c r="C4587" t="s">
        <v>40</v>
      </c>
      <c r="D4587">
        <v>4.7597690000000004</v>
      </c>
      <c r="E4587">
        <v>0.56725559999999997</v>
      </c>
      <c r="F4587" t="s">
        <v>41</v>
      </c>
      <c r="G4587">
        <v>-192.78370000000001</v>
      </c>
      <c r="H4587">
        <v>0.95245599999999997</v>
      </c>
      <c r="I4587">
        <v>158.12870000000001</v>
      </c>
      <c r="J4587">
        <v>-192.43450000000001</v>
      </c>
      <c r="K4587">
        <v>1.1041289999999999</v>
      </c>
      <c r="L4587">
        <v>158.70769999999999</v>
      </c>
      <c r="M4587">
        <v>-0.2496158</v>
      </c>
      <c r="N4587">
        <v>-1.4689199999999999E-2</v>
      </c>
      <c r="O4587">
        <v>-0.96823380000000003</v>
      </c>
      <c r="P4587">
        <v>-0.35801939999999999</v>
      </c>
      <c r="Q4587">
        <v>0.38784950000000001</v>
      </c>
      <c r="R4587">
        <v>-0.84935020000000006</v>
      </c>
      <c r="S4587">
        <v>-1.708099</v>
      </c>
      <c r="T4587">
        <v>-0.67178260000000001</v>
      </c>
      <c r="U4587">
        <v>-3.121613</v>
      </c>
      <c r="V4587">
        <v>0.14158560000000001</v>
      </c>
      <c r="W4587">
        <v>0.39880680000000002</v>
      </c>
      <c r="X4587">
        <v>0.90603900000000004</v>
      </c>
      <c r="Y4587">
        <v>0.23816670000000001</v>
      </c>
      <c r="Z4587">
        <v>0.171821</v>
      </c>
      <c r="AA4587">
        <v>0.95590489999999995</v>
      </c>
      <c r="AB4587">
        <v>27</v>
      </c>
      <c r="AC4587">
        <v>-0.34919999999999601</v>
      </c>
      <c r="AD4587">
        <v>-0.151673</v>
      </c>
      <c r="AE4587">
        <v>-0.57899999999997898</v>
      </c>
      <c r="AF4587">
        <v>0.18432554634759701</v>
      </c>
      <c r="AG4587">
        <v>-0.151673</v>
      </c>
      <c r="AH4587">
        <v>0.61680617143684102</v>
      </c>
      <c r="AI4587">
        <v>103.257408439523</v>
      </c>
      <c r="AJ4587">
        <v>73.361819608271006</v>
      </c>
      <c r="AK4587">
        <v>0.66138525768867396</v>
      </c>
      <c r="AL4587">
        <v>66.496393238962895</v>
      </c>
      <c r="AM4587">
        <v>81.118291047168597</v>
      </c>
      <c r="AN4587">
        <v>1.0000000076872999</v>
      </c>
    </row>
    <row r="4588" spans="1:40" x14ac:dyDescent="0.25">
      <c r="A4588" t="str">
        <f>"20190304164941149"</f>
        <v>20190304164941149</v>
      </c>
      <c r="B4588" t="str">
        <f>"1551689381140094"</f>
        <v>1551689381140094</v>
      </c>
      <c r="C4588" t="s">
        <v>40</v>
      </c>
      <c r="D4588">
        <v>4.8246370000000001</v>
      </c>
      <c r="E4588">
        <v>0.56749169999999904</v>
      </c>
      <c r="F4588" t="s">
        <v>41</v>
      </c>
      <c r="G4588">
        <v>-192.87479999999999</v>
      </c>
      <c r="H4588">
        <v>0.9314365</v>
      </c>
      <c r="I4588">
        <v>157.9101</v>
      </c>
      <c r="J4588">
        <v>-192.4743</v>
      </c>
      <c r="K4588">
        <v>1.104087</v>
      </c>
      <c r="L4588">
        <v>158.57409999999999</v>
      </c>
      <c r="M4588">
        <v>-0.25448159999999997</v>
      </c>
      <c r="N4588">
        <v>-1.470461E-2</v>
      </c>
      <c r="O4588">
        <v>-0.96696599999999999</v>
      </c>
      <c r="P4588">
        <v>-0.36287619999999998</v>
      </c>
      <c r="Q4588">
        <v>0.38783430000000002</v>
      </c>
      <c r="R4588">
        <v>-0.84729310000000002</v>
      </c>
      <c r="S4588">
        <v>-1.7194670000000001</v>
      </c>
      <c r="T4588">
        <v>-0.67438629999999999</v>
      </c>
      <c r="U4588">
        <v>-3.1152799999999998</v>
      </c>
      <c r="V4588">
        <v>0.14226079999999999</v>
      </c>
      <c r="W4588">
        <v>0.39877829999999997</v>
      </c>
      <c r="X4588">
        <v>0.90594580000000002</v>
      </c>
      <c r="Y4588">
        <v>0.23673089999999999</v>
      </c>
      <c r="Z4588">
        <v>0.1723732</v>
      </c>
      <c r="AA4588">
        <v>0.95616210000000001</v>
      </c>
      <c r="AB4588">
        <v>27</v>
      </c>
      <c r="AC4588">
        <v>-0.40049999999999297</v>
      </c>
      <c r="AD4588">
        <v>-0.17265050000000001</v>
      </c>
      <c r="AE4588">
        <v>-0.66399999999998705</v>
      </c>
      <c r="AF4588">
        <v>0.208006130971987</v>
      </c>
      <c r="AG4588">
        <v>-0.17265050000000001</v>
      </c>
      <c r="AH4588">
        <v>0.70892206580987904</v>
      </c>
      <c r="AI4588">
        <v>103.15329026177901</v>
      </c>
      <c r="AJ4588">
        <v>73.647686572425599</v>
      </c>
      <c r="AK4588">
        <v>0.75871288447233598</v>
      </c>
      <c r="AL4588">
        <v>66.4981744490659</v>
      </c>
      <c r="AM4588">
        <v>81.075712331056806</v>
      </c>
      <c r="AN4588">
        <v>1.00000003015258</v>
      </c>
    </row>
    <row r="4589" spans="1:40" x14ac:dyDescent="0.25">
      <c r="A4589" t="str">
        <f>"20190304164941161"</f>
        <v>20190304164941161</v>
      </c>
      <c r="B4589" t="str">
        <f>"1551689381150829"</f>
        <v>1551689381150829</v>
      </c>
      <c r="C4589" t="s">
        <v>40</v>
      </c>
      <c r="D4589">
        <v>4.8323869999999998</v>
      </c>
      <c r="E4589">
        <v>0.56738820000000001</v>
      </c>
      <c r="F4589" t="s">
        <v>41</v>
      </c>
      <c r="G4589">
        <v>-192.8544</v>
      </c>
      <c r="H4589">
        <v>0.95672950000000001</v>
      </c>
      <c r="I4589">
        <v>157.8937</v>
      </c>
      <c r="J4589">
        <v>-192.51230000000001</v>
      </c>
      <c r="K4589">
        <v>1.1040559999999999</v>
      </c>
      <c r="L4589">
        <v>158.4485</v>
      </c>
      <c r="M4589">
        <v>-0.25907340000000001</v>
      </c>
      <c r="N4589">
        <v>-1.471749E-2</v>
      </c>
      <c r="O4589">
        <v>-0.96574579999999999</v>
      </c>
      <c r="P4589">
        <v>-0.36756040000000001</v>
      </c>
      <c r="Q4589">
        <v>0.3877893</v>
      </c>
      <c r="R4589">
        <v>-0.84529259999999995</v>
      </c>
      <c r="S4589">
        <v>-1.7349239999999999</v>
      </c>
      <c r="T4589">
        <v>-0.67250350000000003</v>
      </c>
      <c r="U4589">
        <v>-3.105515</v>
      </c>
      <c r="V4589">
        <v>0.1429993</v>
      </c>
      <c r="W4589">
        <v>0.39872099999999999</v>
      </c>
      <c r="X4589">
        <v>0.90585470000000001</v>
      </c>
      <c r="Y4589">
        <v>0.2370691</v>
      </c>
      <c r="Z4589">
        <v>0.17182539999999999</v>
      </c>
      <c r="AA4589">
        <v>0.9561769</v>
      </c>
      <c r="AB4589">
        <v>27</v>
      </c>
      <c r="AC4589">
        <v>-0.34209999999998703</v>
      </c>
      <c r="AD4589">
        <v>-0.147326499999999</v>
      </c>
      <c r="AE4589">
        <v>-0.55479999999999996</v>
      </c>
      <c r="AF4589">
        <v>0.177594471331529</v>
      </c>
      <c r="AG4589">
        <v>-0.147326499999999</v>
      </c>
      <c r="AH4589">
        <v>0.59413740037429896</v>
      </c>
      <c r="AI4589">
        <v>103.364580157106</v>
      </c>
      <c r="AJ4589">
        <v>73.357992500959199</v>
      </c>
      <c r="AK4589">
        <v>0.63737284565104102</v>
      </c>
      <c r="AL4589">
        <v>66.501753335082597</v>
      </c>
      <c r="AM4589">
        <v>81.029248789765305</v>
      </c>
      <c r="AN4589">
        <v>0.99999998657678901</v>
      </c>
    </row>
    <row r="4590" spans="1:40" x14ac:dyDescent="0.25">
      <c r="A4590" t="str">
        <f>"20190304164941172"</f>
        <v>20190304164941172</v>
      </c>
      <c r="B4590" t="str">
        <f>"1551689381160590"</f>
        <v>1551689381160590</v>
      </c>
      <c r="C4590" t="s">
        <v>40</v>
      </c>
      <c r="D4590">
        <v>4.818263</v>
      </c>
      <c r="E4590">
        <v>0.56745049999999997</v>
      </c>
      <c r="F4590" t="s">
        <v>41</v>
      </c>
      <c r="G4590">
        <v>-192.9477</v>
      </c>
      <c r="H4590">
        <v>0.93591369999999896</v>
      </c>
      <c r="I4590">
        <v>157.6763</v>
      </c>
      <c r="J4590">
        <v>-192.55449999999999</v>
      </c>
      <c r="K4590">
        <v>1.1040299999999901</v>
      </c>
      <c r="L4590">
        <v>158.31120000000001</v>
      </c>
      <c r="M4590">
        <v>-0.26410729999999999</v>
      </c>
      <c r="N4590">
        <v>-1.4730109999999999E-2</v>
      </c>
      <c r="O4590">
        <v>-0.96438069999999998</v>
      </c>
      <c r="P4590">
        <v>-0.37240420000000002</v>
      </c>
      <c r="Q4590">
        <v>0.387735</v>
      </c>
      <c r="R4590">
        <v>-0.84319449999999996</v>
      </c>
      <c r="S4590">
        <v>-1.74682599999999</v>
      </c>
      <c r="T4590">
        <v>-0.67455769999999904</v>
      </c>
      <c r="U4590">
        <v>-3.0989529999999998</v>
      </c>
      <c r="V4590">
        <v>0.14349239999999999</v>
      </c>
      <c r="W4590">
        <v>0.39865980000000001</v>
      </c>
      <c r="X4590">
        <v>0.90580369999999999</v>
      </c>
      <c r="Y4590">
        <v>0.23562089999999999</v>
      </c>
      <c r="Z4590">
        <v>0.172209</v>
      </c>
      <c r="AA4590">
        <v>0.95646580000000003</v>
      </c>
      <c r="AB4590">
        <v>27</v>
      </c>
      <c r="AC4590">
        <v>-0.39320000000000699</v>
      </c>
      <c r="AD4590">
        <v>-0.168116299999999</v>
      </c>
      <c r="AE4590">
        <v>-0.63490000000001601</v>
      </c>
      <c r="AF4590">
        <v>0.201332691018759</v>
      </c>
      <c r="AG4590">
        <v>-0.168116299999999</v>
      </c>
      <c r="AH4590">
        <v>0.68166496445796099</v>
      </c>
      <c r="AI4590">
        <v>103.307333714778</v>
      </c>
      <c r="AJ4590">
        <v>73.5452668702344</v>
      </c>
      <c r="AK4590">
        <v>0.73038692935184601</v>
      </c>
      <c r="AL4590">
        <v>66.505577793556398</v>
      </c>
      <c r="AM4590">
        <v>80.998322345404901</v>
      </c>
      <c r="AN4590">
        <v>1.0000000239637401</v>
      </c>
    </row>
    <row r="4591" spans="1:40" x14ac:dyDescent="0.25">
      <c r="A4591" t="str">
        <f>"20190304164941184"</f>
        <v>20190304164941184</v>
      </c>
      <c r="B4591" t="str">
        <f>"1551689381180617"</f>
        <v>1551689381180617</v>
      </c>
      <c r="C4591" t="s">
        <v>40</v>
      </c>
      <c r="D4591">
        <v>4.8110749999999998</v>
      </c>
      <c r="E4591">
        <v>0.56747130000000001</v>
      </c>
      <c r="F4591" t="s">
        <v>41</v>
      </c>
      <c r="G4591">
        <v>-192.92670000000001</v>
      </c>
      <c r="H4591">
        <v>0.96167610000000003</v>
      </c>
      <c r="I4591">
        <v>157.6593</v>
      </c>
      <c r="J4591">
        <v>-192.59630000000001</v>
      </c>
      <c r="K4591">
        <v>1.1040099999999999</v>
      </c>
      <c r="L4591">
        <v>158.17850000000001</v>
      </c>
      <c r="M4591">
        <v>-0.26898650000000002</v>
      </c>
      <c r="N4591">
        <v>-1.474024E-2</v>
      </c>
      <c r="O4591">
        <v>-0.96303139999999998</v>
      </c>
      <c r="P4591">
        <v>-0.37676500000000002</v>
      </c>
      <c r="Q4591">
        <v>0.38781939999999998</v>
      </c>
      <c r="R4591">
        <v>-0.84121639999999998</v>
      </c>
      <c r="S4591">
        <v>-1.7630459999999999</v>
      </c>
      <c r="T4591">
        <v>-0.67422439999999995</v>
      </c>
      <c r="U4591">
        <v>-3.089264</v>
      </c>
      <c r="V4591">
        <v>0.1436211</v>
      </c>
      <c r="W4591">
        <v>0.3987463</v>
      </c>
      <c r="X4591">
        <v>0.90574520000000003</v>
      </c>
      <c r="Y4591">
        <v>0.2357958</v>
      </c>
      <c r="Z4591">
        <v>0.17202729999999999</v>
      </c>
      <c r="AA4591">
        <v>0.95645539999999996</v>
      </c>
      <c r="AB4591">
        <v>27</v>
      </c>
      <c r="AC4591">
        <v>-0.33039999999999697</v>
      </c>
      <c r="AD4591">
        <v>-0.14233389999999899</v>
      </c>
      <c r="AE4591">
        <v>-0.51920000000001199</v>
      </c>
      <c r="AF4591">
        <v>0.16948134732808301</v>
      </c>
      <c r="AG4591">
        <v>-0.14233389999999899</v>
      </c>
      <c r="AH4591">
        <v>0.55903911106047399</v>
      </c>
      <c r="AI4591">
        <v>103.693504636092</v>
      </c>
      <c r="AJ4591">
        <v>73.134509053213506</v>
      </c>
      <c r="AK4591">
        <v>0.60125501567690598</v>
      </c>
      <c r="AL4591">
        <v>66.500172989065902</v>
      </c>
      <c r="AM4591">
        <v>80.989808648500599</v>
      </c>
      <c r="AN4591">
        <v>0.99999999972596998</v>
      </c>
    </row>
    <row r="4592" spans="1:40" x14ac:dyDescent="0.25">
      <c r="A4592" t="str">
        <f>"20190304164941196"</f>
        <v>20190304164941196</v>
      </c>
      <c r="B4592" t="str">
        <f>"1551689381190377"</f>
        <v>1551689381190377</v>
      </c>
      <c r="C4592" t="s">
        <v>40</v>
      </c>
      <c r="D4592">
        <v>4.8152480000000004</v>
      </c>
      <c r="E4592">
        <v>0.56754910000000003</v>
      </c>
      <c r="F4592" t="s">
        <v>41</v>
      </c>
      <c r="G4592">
        <v>-193.0215</v>
      </c>
      <c r="H4592">
        <v>0.94282410000000005</v>
      </c>
      <c r="I4592">
        <v>157.4419</v>
      </c>
      <c r="J4592">
        <v>-192.64070000000001</v>
      </c>
      <c r="K4592">
        <v>1.1040019999999999</v>
      </c>
      <c r="L4592">
        <v>158.03899999999999</v>
      </c>
      <c r="M4592">
        <v>-0.27411609999999997</v>
      </c>
      <c r="N4592">
        <v>-1.4750030000000001E-2</v>
      </c>
      <c r="O4592">
        <v>-0.96158359999999998</v>
      </c>
      <c r="P4592">
        <v>-0.38154519999999997</v>
      </c>
      <c r="Q4592">
        <v>0.38754349999999999</v>
      </c>
      <c r="R4592">
        <v>-0.8391864</v>
      </c>
      <c r="S4592">
        <v>-1.7777860000000001</v>
      </c>
      <c r="T4592">
        <v>-0.67393049999999999</v>
      </c>
      <c r="U4592">
        <v>-3.0807340000000001</v>
      </c>
      <c r="V4592">
        <v>0.14391679999999901</v>
      </c>
      <c r="W4592">
        <v>0.3984722</v>
      </c>
      <c r="X4592">
        <v>0.90581889999999998</v>
      </c>
      <c r="Y4592">
        <v>0.23521529999999999</v>
      </c>
      <c r="Z4592">
        <v>0.17180589999999901</v>
      </c>
      <c r="AA4592">
        <v>0.95663810000000005</v>
      </c>
      <c r="AB4592">
        <v>27</v>
      </c>
      <c r="AC4592">
        <v>-0.38079999999999298</v>
      </c>
      <c r="AD4592">
        <v>-0.16117790000000001</v>
      </c>
      <c r="AE4592">
        <v>-0.59709999999998298</v>
      </c>
      <c r="AF4592">
        <v>0.19254499082448601</v>
      </c>
      <c r="AG4592">
        <v>-0.16117790000000001</v>
      </c>
      <c r="AH4592">
        <v>0.64519909342923898</v>
      </c>
      <c r="AI4592">
        <v>103.462086504054</v>
      </c>
      <c r="AJ4592">
        <v>73.383463038781201</v>
      </c>
      <c r="AK4592">
        <v>0.69233933811529402</v>
      </c>
      <c r="AL4592">
        <v>66.517297228836398</v>
      </c>
      <c r="AM4592">
        <v>80.972285395602199</v>
      </c>
      <c r="AN4592">
        <v>1.0000000095461401</v>
      </c>
    </row>
    <row r="4593" spans="1:40" x14ac:dyDescent="0.25">
      <c r="A4593" t="str">
        <f>"20190304164941214"</f>
        <v>20190304164941214</v>
      </c>
      <c r="B4593" t="str">
        <f>"1551689381210873"</f>
        <v>1551689381210873</v>
      </c>
      <c r="C4593" t="s">
        <v>40</v>
      </c>
      <c r="D4593">
        <v>4.8028320000000004</v>
      </c>
      <c r="E4593">
        <v>0.56797540000000002</v>
      </c>
      <c r="F4593" t="s">
        <v>41</v>
      </c>
      <c r="G4593">
        <v>-193.11670000000001</v>
      </c>
      <c r="H4593">
        <v>0.92520860000000005</v>
      </c>
      <c r="I4593">
        <v>157.22479999999999</v>
      </c>
      <c r="J4593">
        <v>-192.71019999999999</v>
      </c>
      <c r="K4593">
        <v>1.104007</v>
      </c>
      <c r="L4593">
        <v>157.82669999999999</v>
      </c>
      <c r="M4593">
        <v>-0.281914099999999</v>
      </c>
      <c r="N4593">
        <v>-1.476133E-2</v>
      </c>
      <c r="O4593">
        <v>-0.95932609999999996</v>
      </c>
      <c r="P4593">
        <v>-0.38934249999999998</v>
      </c>
      <c r="Q4593">
        <v>0.38677840000000002</v>
      </c>
      <c r="R4593">
        <v>-0.83595169999999996</v>
      </c>
      <c r="S4593">
        <v>-1.7945099999999901</v>
      </c>
      <c r="T4593">
        <v>-0.67401499999999903</v>
      </c>
      <c r="U4593">
        <v>-3.0702669999999999</v>
      </c>
      <c r="V4593">
        <v>0.14488199999999901</v>
      </c>
      <c r="W4593">
        <v>0.39770539999999999</v>
      </c>
      <c r="X4593">
        <v>0.90600199999999997</v>
      </c>
      <c r="Y4593">
        <v>0.23264889999999999</v>
      </c>
      <c r="Z4593">
        <v>0.1715816</v>
      </c>
      <c r="AA4593">
        <v>0.95730570000000004</v>
      </c>
      <c r="AB4593">
        <v>27</v>
      </c>
      <c r="AC4593">
        <v>-0.40650000000002201</v>
      </c>
      <c r="AD4593">
        <v>-0.1787984</v>
      </c>
      <c r="AE4593">
        <v>-0.60189999999999999</v>
      </c>
      <c r="AF4593">
        <v>0.20771794112185099</v>
      </c>
      <c r="AG4593">
        <v>-0.1787984</v>
      </c>
      <c r="AH4593">
        <v>0.65254654845501903</v>
      </c>
      <c r="AI4593">
        <v>104.63281974912</v>
      </c>
      <c r="AJ4593">
        <v>72.342740591679302</v>
      </c>
      <c r="AK4593">
        <v>0.70776592797832505</v>
      </c>
      <c r="AL4593">
        <v>66.565189933304694</v>
      </c>
      <c r="AM4593">
        <v>80.914552488305105</v>
      </c>
      <c r="AN4593">
        <v>1.0000000015585699</v>
      </c>
    </row>
    <row r="4594" spans="1:40" x14ac:dyDescent="0.25">
      <c r="A4594" t="str">
        <f>"20190304164941226"</f>
        <v>20190304164941226</v>
      </c>
      <c r="B4594" t="str">
        <f>"1551689381220634"</f>
        <v>1551689381220634</v>
      </c>
      <c r="C4594" t="s">
        <v>40</v>
      </c>
      <c r="D4594">
        <v>4.7934809999999999</v>
      </c>
      <c r="E4594">
        <v>0.57338359999999899</v>
      </c>
      <c r="F4594" t="s">
        <v>41</v>
      </c>
      <c r="G4594">
        <v>-193.08609999999999</v>
      </c>
      <c r="H4594">
        <v>0.96544439999999998</v>
      </c>
      <c r="I4594">
        <v>157.19810000000001</v>
      </c>
      <c r="J4594">
        <v>-192.7577</v>
      </c>
      <c r="K4594">
        <v>1.1040179999999999</v>
      </c>
      <c r="L4594">
        <v>157.68549999999999</v>
      </c>
      <c r="M4594">
        <v>-0.28709059999999997</v>
      </c>
      <c r="N4594">
        <v>-1.476646E-2</v>
      </c>
      <c r="O4594">
        <v>-0.95778969999999997</v>
      </c>
      <c r="P4594">
        <v>-0.39501350000000002</v>
      </c>
      <c r="Q4594">
        <v>0.38607550000000002</v>
      </c>
      <c r="R4594">
        <v>-0.83361269999999998</v>
      </c>
      <c r="S4594">
        <v>-1.8237300000000001</v>
      </c>
      <c r="T4594">
        <v>-0.67204900000000001</v>
      </c>
      <c r="U4594">
        <v>-3.0502470000000002</v>
      </c>
      <c r="V4594">
        <v>0.14603160000000001</v>
      </c>
      <c r="W4594">
        <v>0.39699430000000002</v>
      </c>
      <c r="X4594">
        <v>0.90612930000000003</v>
      </c>
      <c r="Y4594">
        <v>0.2369462</v>
      </c>
      <c r="Z4594">
        <v>0.1711674</v>
      </c>
      <c r="AA4594">
        <v>0.95632539999999999</v>
      </c>
      <c r="AB4594">
        <v>27</v>
      </c>
      <c r="AC4594">
        <v>-0.32839999999998698</v>
      </c>
      <c r="AD4594">
        <v>-0.13857359999999899</v>
      </c>
      <c r="AE4594">
        <v>-0.48739999999997902</v>
      </c>
      <c r="AF4594">
        <v>0.16543208671988099</v>
      </c>
      <c r="AG4594">
        <v>-0.13857359999999899</v>
      </c>
      <c r="AH4594">
        <v>0.53161358758132304</v>
      </c>
      <c r="AI4594">
        <v>103.976545849535</v>
      </c>
      <c r="AJ4594">
        <v>72.714453867237097</v>
      </c>
      <c r="AK4594">
        <v>0.57374508663215595</v>
      </c>
      <c r="AL4594">
        <v>66.609588509340497</v>
      </c>
      <c r="AM4594">
        <v>80.844942915431702</v>
      </c>
      <c r="AN4594">
        <v>1.00000000537477</v>
      </c>
    </row>
    <row r="4595" spans="1:40" x14ac:dyDescent="0.25">
      <c r="A4595" t="str">
        <f>"20190304164941240"</f>
        <v>20190304164941240</v>
      </c>
      <c r="B4595" t="str">
        <f>"1551689381230395"</f>
        <v>1551689381230395</v>
      </c>
      <c r="C4595" t="s">
        <v>40</v>
      </c>
      <c r="D4595">
        <v>4.7898740000000002</v>
      </c>
      <c r="E4595">
        <v>0.57274250000000004</v>
      </c>
      <c r="F4595" t="s">
        <v>41</v>
      </c>
      <c r="G4595">
        <v>-193.19980000000001</v>
      </c>
      <c r="H4595">
        <v>0.96015680000000003</v>
      </c>
      <c r="I4595">
        <v>156.9804</v>
      </c>
      <c r="J4595">
        <v>-192.81049999999999</v>
      </c>
      <c r="K4595">
        <v>1.104036</v>
      </c>
      <c r="L4595">
        <v>157.53030000000001</v>
      </c>
      <c r="M4595">
        <v>-0.29276760000000002</v>
      </c>
      <c r="N4595">
        <v>-1.477122E-2</v>
      </c>
      <c r="O4595">
        <v>-0.95606979999999997</v>
      </c>
      <c r="P4595">
        <v>-0.40109070000000002</v>
      </c>
      <c r="Q4595">
        <v>0.3851308</v>
      </c>
      <c r="R4595">
        <v>-0.83114429999999995</v>
      </c>
      <c r="S4595">
        <v>-1.875931</v>
      </c>
      <c r="T4595">
        <v>-0.61034540000000004</v>
      </c>
      <c r="U4595">
        <v>-2.992569</v>
      </c>
      <c r="V4595">
        <v>0.14711440000000001</v>
      </c>
      <c r="W4595">
        <v>0.39604610000000001</v>
      </c>
      <c r="X4595">
        <v>0.90636899999999998</v>
      </c>
      <c r="Y4595">
        <v>0.25270490000000001</v>
      </c>
      <c r="Z4595">
        <v>0.15598789999999901</v>
      </c>
      <c r="AA4595">
        <v>0.95488640000000002</v>
      </c>
      <c r="AB4595">
        <v>27</v>
      </c>
      <c r="AC4595">
        <v>-0.38930000000002002</v>
      </c>
      <c r="AD4595">
        <v>-0.14387919999999901</v>
      </c>
      <c r="AE4595">
        <v>-0.54990000000000705</v>
      </c>
      <c r="AF4595">
        <v>0.20201554815047401</v>
      </c>
      <c r="AG4595">
        <v>-0.14387919999999901</v>
      </c>
      <c r="AH4595">
        <v>0.61188314674462296</v>
      </c>
      <c r="AI4595">
        <v>102.586931227325</v>
      </c>
      <c r="AJ4595">
        <v>71.729163548791803</v>
      </c>
      <c r="AK4595">
        <v>0.66023669328300605</v>
      </c>
      <c r="AL4595">
        <v>66.668766440766603</v>
      </c>
      <c r="AM4595">
        <v>80.780618725596597</v>
      </c>
      <c r="AN4595">
        <v>0.99999996208678399</v>
      </c>
    </row>
    <row r="4596" spans="1:40" x14ac:dyDescent="0.25">
      <c r="A4596" t="str">
        <f>"20190304164941251"</f>
        <v>20190304164941251</v>
      </c>
      <c r="B4596" t="str">
        <f>"1551689381240154"</f>
        <v>1551689381240154</v>
      </c>
      <c r="C4596" t="s">
        <v>40</v>
      </c>
      <c r="D4596">
        <v>5.0091900000000003</v>
      </c>
      <c r="E4596">
        <v>0.57158430000000005</v>
      </c>
      <c r="F4596" t="s">
        <v>41</v>
      </c>
      <c r="G4596">
        <v>-193.29679999999999</v>
      </c>
      <c r="H4596">
        <v>0.9440286</v>
      </c>
      <c r="I4596">
        <v>156.76300000000001</v>
      </c>
      <c r="J4596">
        <v>-192.8586</v>
      </c>
      <c r="K4596">
        <v>1.1040509999999999</v>
      </c>
      <c r="L4596">
        <v>157.3914</v>
      </c>
      <c r="M4596">
        <v>-0.29782720000000001</v>
      </c>
      <c r="N4596">
        <v>-1.4774239999999999E-2</v>
      </c>
      <c r="O4596">
        <v>-0.95450559999999995</v>
      </c>
      <c r="P4596">
        <v>-0.40679520000000002</v>
      </c>
      <c r="Q4596">
        <v>0.38409300000000002</v>
      </c>
      <c r="R4596">
        <v>-0.82884899999999995</v>
      </c>
      <c r="S4596">
        <v>-1.8910979999999999</v>
      </c>
      <c r="T4596">
        <v>-0.62191260000000004</v>
      </c>
      <c r="U4596">
        <v>-2.985077</v>
      </c>
      <c r="V4596">
        <v>0.1483671</v>
      </c>
      <c r="W4596">
        <v>0.39500160000000001</v>
      </c>
      <c r="X4596">
        <v>0.9066206</v>
      </c>
      <c r="Y4596">
        <v>0.2518666</v>
      </c>
      <c r="Z4596">
        <v>0.15888269999999999</v>
      </c>
      <c r="AA4596">
        <v>0.9546306</v>
      </c>
      <c r="AB4596">
        <v>27</v>
      </c>
      <c r="AC4596">
        <v>-0.43819999999999398</v>
      </c>
      <c r="AD4596">
        <v>-0.16002240000000001</v>
      </c>
      <c r="AE4596">
        <v>-0.62839999999999896</v>
      </c>
      <c r="AF4596">
        <v>0.22147194109941001</v>
      </c>
      <c r="AG4596">
        <v>-0.16002240000000001</v>
      </c>
      <c r="AH4596">
        <v>0.69986323126468897</v>
      </c>
      <c r="AI4596">
        <v>102.297713715905</v>
      </c>
      <c r="AJ4596">
        <v>72.440008120467397</v>
      </c>
      <c r="AK4596">
        <v>0.75130921175794996</v>
      </c>
      <c r="AL4596">
        <v>66.733925814383397</v>
      </c>
      <c r="AM4596">
        <v>80.706014251042603</v>
      </c>
      <c r="AN4596">
        <v>0.99999998635466403</v>
      </c>
    </row>
    <row r="4597" spans="1:40" x14ac:dyDescent="0.25">
      <c r="A4597" t="str">
        <f>"20190304164941271"</f>
        <v>20190304164941271</v>
      </c>
      <c r="B4597" t="str">
        <f>"1551689381260653"</f>
        <v>1551689381260653</v>
      </c>
      <c r="C4597" t="s">
        <v>40</v>
      </c>
      <c r="D4597">
        <v>4.9734189999999998</v>
      </c>
      <c r="E4597">
        <v>0.57082790000000005</v>
      </c>
      <c r="F4597" t="s">
        <v>41</v>
      </c>
      <c r="G4597">
        <v>-193.2696</v>
      </c>
      <c r="H4597">
        <v>0.96585620000000005</v>
      </c>
      <c r="I4597">
        <v>156.74719999999999</v>
      </c>
      <c r="J4597">
        <v>-192.93469999999999</v>
      </c>
      <c r="K4597">
        <v>1.1040859999999999</v>
      </c>
      <c r="L4597">
        <v>157.17699999999999</v>
      </c>
      <c r="M4597">
        <v>-0.3056006</v>
      </c>
      <c r="N4597">
        <v>-1.477643E-2</v>
      </c>
      <c r="O4597">
        <v>-0.95204520000000004</v>
      </c>
      <c r="P4597">
        <v>-0.41543659999999999</v>
      </c>
      <c r="Q4597">
        <v>0.38249450000000002</v>
      </c>
      <c r="R4597">
        <v>-0.82529439999999998</v>
      </c>
      <c r="S4597">
        <v>-1.901489</v>
      </c>
      <c r="T4597">
        <v>-0.63906099999999999</v>
      </c>
      <c r="U4597">
        <v>-2.9823909999999998</v>
      </c>
      <c r="V4597">
        <v>0.150162299999999</v>
      </c>
      <c r="W4597">
        <v>0.39339639999999998</v>
      </c>
      <c r="X4597">
        <v>0.90702289999999997</v>
      </c>
      <c r="Y4597">
        <v>0.24635090000000001</v>
      </c>
      <c r="Z4597">
        <v>0.162966</v>
      </c>
      <c r="AA4597">
        <v>0.95538129999999999</v>
      </c>
      <c r="AB4597">
        <v>27</v>
      </c>
      <c r="AC4597">
        <v>-0.33490000000000397</v>
      </c>
      <c r="AD4597">
        <v>-0.13822980000000001</v>
      </c>
      <c r="AE4597">
        <v>-0.42980000000002799</v>
      </c>
      <c r="AF4597">
        <v>0.17617471890867201</v>
      </c>
      <c r="AG4597">
        <v>-0.13822980000000001</v>
      </c>
      <c r="AH4597">
        <v>0.48065566529270898</v>
      </c>
      <c r="AI4597">
        <v>105.11061815581</v>
      </c>
      <c r="AJ4597">
        <v>69.870599526222804</v>
      </c>
      <c r="AK4597">
        <v>0.53025925524083695</v>
      </c>
      <c r="AL4597">
        <v>66.834000711784896</v>
      </c>
      <c r="AM4597">
        <v>80.599653684410697</v>
      </c>
      <c r="AN4597">
        <v>0.99999999249933003</v>
      </c>
    </row>
    <row r="4598" spans="1:40" x14ac:dyDescent="0.25">
      <c r="A4598" t="str">
        <f>"20190304164941285"</f>
        <v>20190304164941285</v>
      </c>
      <c r="B4598" t="str">
        <f>"1551689381280675"</f>
        <v>1551689381280675</v>
      </c>
      <c r="C4598" t="s">
        <v>40</v>
      </c>
      <c r="D4598">
        <v>4.9696480000000003</v>
      </c>
      <c r="E4598">
        <v>0.57090189999999996</v>
      </c>
      <c r="F4598" t="s">
        <v>41</v>
      </c>
      <c r="G4598">
        <v>-193.35820000000001</v>
      </c>
      <c r="H4598">
        <v>0.96051730000000002</v>
      </c>
      <c r="I4598">
        <v>156.52449999999999</v>
      </c>
      <c r="J4598">
        <v>-192.9931</v>
      </c>
      <c r="K4598">
        <v>1.104128</v>
      </c>
      <c r="L4598">
        <v>157.01609999999999</v>
      </c>
      <c r="M4598">
        <v>-0.31140109999999999</v>
      </c>
      <c r="N4598">
        <v>-1.477649E-2</v>
      </c>
      <c r="O4598">
        <v>-0.95016389999999995</v>
      </c>
      <c r="P4598">
        <v>-0.42095149999999998</v>
      </c>
      <c r="Q4598">
        <v>0.38195220000000002</v>
      </c>
      <c r="R4598">
        <v>-0.82274699999999901</v>
      </c>
      <c r="S4598">
        <v>-1.925751</v>
      </c>
      <c r="T4598">
        <v>-0.65279580000000004</v>
      </c>
      <c r="U4598">
        <v>-2.9682309999999998</v>
      </c>
      <c r="V4598">
        <v>0.15057870000000001</v>
      </c>
      <c r="W4598">
        <v>0.39286320000000002</v>
      </c>
      <c r="X4598">
        <v>0.90718500000000002</v>
      </c>
      <c r="Y4598">
        <v>0.2476787</v>
      </c>
      <c r="Z4598">
        <v>0.166465</v>
      </c>
      <c r="AA4598">
        <v>0.95443420000000001</v>
      </c>
      <c r="AB4598">
        <v>27</v>
      </c>
      <c r="AC4598">
        <v>-0.36510000000001203</v>
      </c>
      <c r="AD4598">
        <v>-0.14361069999999901</v>
      </c>
      <c r="AE4598">
        <v>-0.49160000000000498</v>
      </c>
      <c r="AF4598">
        <v>0.18373536278830599</v>
      </c>
      <c r="AG4598">
        <v>-0.14361069999999901</v>
      </c>
      <c r="AH4598">
        <v>0.55057373391025799</v>
      </c>
      <c r="AI4598">
        <v>103.89727333987901</v>
      </c>
      <c r="AJ4598">
        <v>71.545311543531099</v>
      </c>
      <c r="AK4598">
        <v>0.597924872509352</v>
      </c>
      <c r="AL4598">
        <v>66.867226980460302</v>
      </c>
      <c r="AM4598">
        <v>80.575707748653301</v>
      </c>
      <c r="AN4598">
        <v>1.0000000315164601</v>
      </c>
    </row>
    <row r="4599" spans="1:40" x14ac:dyDescent="0.25">
      <c r="A4599" t="str">
        <f>"20190304164941298"</f>
        <v>20190304164941298</v>
      </c>
      <c r="B4599" t="str">
        <f>"1551689381290435"</f>
        <v>1551689381290435</v>
      </c>
      <c r="C4599" t="s">
        <v>40</v>
      </c>
      <c r="D4599">
        <v>4.9945409999999999</v>
      </c>
      <c r="E4599">
        <v>0.57073830000000003</v>
      </c>
      <c r="F4599" t="s">
        <v>41</v>
      </c>
      <c r="G4599">
        <v>-193.4589</v>
      </c>
      <c r="H4599">
        <v>0.94789710000000005</v>
      </c>
      <c r="I4599">
        <v>156.30940000000001</v>
      </c>
      <c r="J4599">
        <v>-193.04949999999999</v>
      </c>
      <c r="K4599">
        <v>1.104166</v>
      </c>
      <c r="L4599">
        <v>156.863</v>
      </c>
      <c r="M4599">
        <v>-0.31689489999999998</v>
      </c>
      <c r="N4599">
        <v>-1.477582E-2</v>
      </c>
      <c r="O4599">
        <v>-0.94834580000000002</v>
      </c>
      <c r="P4599">
        <v>-0.42577930000000003</v>
      </c>
      <c r="Q4599">
        <v>0.38176759999999998</v>
      </c>
      <c r="R4599">
        <v>-0.82034530000000006</v>
      </c>
      <c r="S4599">
        <v>-1.9459230000000001</v>
      </c>
      <c r="T4599">
        <v>-0.65254630000000002</v>
      </c>
      <c r="U4599">
        <v>-2.9536129999999998</v>
      </c>
      <c r="V4599">
        <v>0.1505909</v>
      </c>
      <c r="W4599">
        <v>0.39269310000000002</v>
      </c>
      <c r="X4599">
        <v>0.90725659999999997</v>
      </c>
      <c r="Y4599">
        <v>0.2487955</v>
      </c>
      <c r="Z4599">
        <v>0.16633239999999999</v>
      </c>
      <c r="AA4599">
        <v>0.95416679999999998</v>
      </c>
      <c r="AB4599">
        <v>27</v>
      </c>
      <c r="AC4599">
        <v>-0.40940000000000498</v>
      </c>
      <c r="AD4599">
        <v>-0.15626889999999999</v>
      </c>
      <c r="AE4599">
        <v>-0.55359999999998799</v>
      </c>
      <c r="AF4599">
        <v>0.20241645210015599</v>
      </c>
      <c r="AG4599">
        <v>-0.15626889999999999</v>
      </c>
      <c r="AH4599">
        <v>0.62273519846282599</v>
      </c>
      <c r="AI4599">
        <v>103.422518782818</v>
      </c>
      <c r="AJ4599">
        <v>71.993548911429698</v>
      </c>
      <c r="AK4599">
        <v>0.67319500636335705</v>
      </c>
      <c r="AL4599">
        <v>66.877824269952598</v>
      </c>
      <c r="AM4599">
        <v>80.575688357822699</v>
      </c>
      <c r="AN4599">
        <v>1.00000001409699</v>
      </c>
    </row>
    <row r="4600" spans="1:40" x14ac:dyDescent="0.25">
      <c r="A4600" t="str">
        <f>"20190304164941314"</f>
        <v>20190304164941314</v>
      </c>
      <c r="B4600" t="str">
        <f>"1551689381310931"</f>
        <v>1551689381310931</v>
      </c>
      <c r="C4600" t="s">
        <v>40</v>
      </c>
      <c r="D4600">
        <v>4.4382400000000004</v>
      </c>
      <c r="E4600">
        <v>0.5707757</v>
      </c>
      <c r="F4600" t="s">
        <v>41</v>
      </c>
      <c r="G4600">
        <v>-193.56200000000001</v>
      </c>
      <c r="H4600">
        <v>0.93341929999999995</v>
      </c>
      <c r="I4600">
        <v>156.0951</v>
      </c>
      <c r="J4600">
        <v>-193.12139999999999</v>
      </c>
      <c r="K4600">
        <v>1.1042179999999999</v>
      </c>
      <c r="L4600">
        <v>156.67140000000001</v>
      </c>
      <c r="M4600">
        <v>-0.32373089999999999</v>
      </c>
      <c r="N4600">
        <v>-1.4773629999999999E-2</v>
      </c>
      <c r="O4600">
        <v>-0.94603400000000004</v>
      </c>
      <c r="P4600">
        <v>-0.43147180000000002</v>
      </c>
      <c r="Q4600">
        <v>0.38275399999999998</v>
      </c>
      <c r="R4600">
        <v>-0.81690399999999996</v>
      </c>
      <c r="S4600">
        <v>-1.9635309999999999</v>
      </c>
      <c r="T4600">
        <v>-0.65425789999999995</v>
      </c>
      <c r="U4600">
        <v>-2.9423680000000001</v>
      </c>
      <c r="V4600">
        <v>0.1504645</v>
      </c>
      <c r="W4600">
        <v>0.39369189999999998</v>
      </c>
      <c r="X4600">
        <v>0.9068446</v>
      </c>
      <c r="Y4600">
        <v>0.2474201</v>
      </c>
      <c r="Z4600">
        <v>0.166518</v>
      </c>
      <c r="AA4600">
        <v>0.95449200000000001</v>
      </c>
      <c r="AB4600">
        <v>27</v>
      </c>
      <c r="AC4600">
        <v>-0.44060000000001698</v>
      </c>
      <c r="AD4600">
        <v>-0.170798699999999</v>
      </c>
      <c r="AE4600">
        <v>-0.57630000000000303</v>
      </c>
      <c r="AF4600">
        <v>0.21818658574212799</v>
      </c>
      <c r="AG4600">
        <v>-0.170798699999999</v>
      </c>
      <c r="AH4600">
        <v>0.65177940428933201</v>
      </c>
      <c r="AI4600">
        <v>103.955117234561</v>
      </c>
      <c r="AJ4600">
        <v>71.491758982730104</v>
      </c>
      <c r="AK4600">
        <v>0.708232994130642</v>
      </c>
      <c r="AL4600">
        <v>66.815583920717501</v>
      </c>
      <c r="AM4600">
        <v>80.579255540252703</v>
      </c>
      <c r="AN4600">
        <v>1.00000000321751</v>
      </c>
    </row>
    <row r="4601" spans="1:40" x14ac:dyDescent="0.25">
      <c r="A4601" t="str">
        <f>"20190304164941327"</f>
        <v>20190304164941327</v>
      </c>
      <c r="B4601" t="str">
        <f>"1551689381320692"</f>
        <v>1551689381320692</v>
      </c>
      <c r="C4601" t="s">
        <v>40</v>
      </c>
      <c r="D4601">
        <v>4.7796149999999997</v>
      </c>
      <c r="E4601">
        <v>0.57101979999999997</v>
      </c>
      <c r="F4601" t="s">
        <v>41</v>
      </c>
      <c r="G4601">
        <v>-193.53059999999999</v>
      </c>
      <c r="H4601">
        <v>0.97066609999999998</v>
      </c>
      <c r="I4601">
        <v>156.0692</v>
      </c>
      <c r="J4601">
        <v>-193.17670000000001</v>
      </c>
      <c r="K4601">
        <v>1.104257</v>
      </c>
      <c r="L4601">
        <v>156.52789999999999</v>
      </c>
      <c r="M4601">
        <v>-0.32882149999999999</v>
      </c>
      <c r="N4601">
        <v>-1.4770989999999999E-2</v>
      </c>
      <c r="O4601">
        <v>-0.94427680000000003</v>
      </c>
      <c r="P4601">
        <v>-0.43558570000000002</v>
      </c>
      <c r="Q4601">
        <v>0.38325179999999998</v>
      </c>
      <c r="R4601">
        <v>-0.81448359999999997</v>
      </c>
      <c r="S4601">
        <v>-1.988205</v>
      </c>
      <c r="T4601">
        <v>-0.64905930000000001</v>
      </c>
      <c r="U4601">
        <v>-2.9264220000000001</v>
      </c>
      <c r="V4601">
        <v>0.1502001</v>
      </c>
      <c r="W4601">
        <v>0.39420290000000002</v>
      </c>
      <c r="X4601">
        <v>0.90666650000000004</v>
      </c>
      <c r="Y4601">
        <v>0.25027100000000002</v>
      </c>
      <c r="Z4601">
        <v>0.16504089999999999</v>
      </c>
      <c r="AA4601">
        <v>0.9540052</v>
      </c>
      <c r="AB4601">
        <v>27</v>
      </c>
      <c r="AC4601">
        <v>-0.35389999999998101</v>
      </c>
      <c r="AD4601">
        <v>-0.13359090000000001</v>
      </c>
      <c r="AE4601">
        <v>-0.458699999999993</v>
      </c>
      <c r="AF4601">
        <v>0.17411160398144501</v>
      </c>
      <c r="AG4601">
        <v>-0.13359090000000001</v>
      </c>
      <c r="AH4601">
        <v>0.52182418783087903</v>
      </c>
      <c r="AI4601">
        <v>103.649830053453</v>
      </c>
      <c r="AJ4601">
        <v>71.548233016551194</v>
      </c>
      <c r="AK4601">
        <v>0.56609351012810505</v>
      </c>
      <c r="AL4601">
        <v>66.783731456302604</v>
      </c>
      <c r="AM4601">
        <v>80.593699571492095</v>
      </c>
      <c r="AN4601">
        <v>1.0000000693153299</v>
      </c>
    </row>
    <row r="4602" spans="1:40" x14ac:dyDescent="0.25">
      <c r="A4602" t="str">
        <f>"20190304164941339"</f>
        <v>20190304164941339</v>
      </c>
      <c r="B4602" t="str">
        <f>"1551689381330451"</f>
        <v>1551689381330451</v>
      </c>
      <c r="C4602" t="s">
        <v>40</v>
      </c>
      <c r="D4602">
        <v>4.773949</v>
      </c>
      <c r="E4602">
        <v>0.57106429999999997</v>
      </c>
      <c r="F4602" t="s">
        <v>41</v>
      </c>
      <c r="G4602">
        <v>-193.6377</v>
      </c>
      <c r="H4602">
        <v>0.95621429999999996</v>
      </c>
      <c r="I4602">
        <v>155.85830000000001</v>
      </c>
      <c r="J4602">
        <v>-193.2277</v>
      </c>
      <c r="K4602">
        <v>1.1042940000000001</v>
      </c>
      <c r="L4602">
        <v>156.39660000000001</v>
      </c>
      <c r="M4602">
        <v>-0.33346510000000001</v>
      </c>
      <c r="N4602">
        <v>-1.476861E-2</v>
      </c>
      <c r="O4602">
        <v>-0.94264709999999996</v>
      </c>
      <c r="P4602">
        <v>-0.4389729</v>
      </c>
      <c r="Q4602">
        <v>0.38386740000000003</v>
      </c>
      <c r="R4602">
        <v>-0.81237300000000001</v>
      </c>
      <c r="S4602">
        <v>-2.0055079999999998</v>
      </c>
      <c r="T4602">
        <v>-0.64385349999999997</v>
      </c>
      <c r="U4602">
        <v>-2.9137270000000002</v>
      </c>
      <c r="V4602">
        <v>0.1495822</v>
      </c>
      <c r="W4602">
        <v>0.39483600000000002</v>
      </c>
      <c r="X4602">
        <v>0.90649310000000005</v>
      </c>
      <c r="Y4602">
        <v>0.25143529999999997</v>
      </c>
      <c r="Z4602">
        <v>0.163578799999999</v>
      </c>
      <c r="AA4602">
        <v>0.95395090000000005</v>
      </c>
      <c r="AB4602">
        <v>27</v>
      </c>
      <c r="AC4602">
        <v>-0.40999999999999598</v>
      </c>
      <c r="AD4602">
        <v>-0.14807970000000001</v>
      </c>
      <c r="AE4602">
        <v>-0.53829999999999201</v>
      </c>
      <c r="AF4602">
        <v>0.19754306814387801</v>
      </c>
      <c r="AG4602">
        <v>-0.14807970000000001</v>
      </c>
      <c r="AH4602">
        <v>0.61477560191471603</v>
      </c>
      <c r="AI4602">
        <v>102.915755034474</v>
      </c>
      <c r="AJ4602">
        <v>72.186464603025996</v>
      </c>
      <c r="AK4602">
        <v>0.66249520906448001</v>
      </c>
      <c r="AL4602">
        <v>66.744254318990599</v>
      </c>
      <c r="AM4602">
        <v>80.629948003236606</v>
      </c>
      <c r="AN4602">
        <v>1.00000002090022</v>
      </c>
    </row>
    <row r="4603" spans="1:40" x14ac:dyDescent="0.25">
      <c r="A4603" t="str">
        <f>"20190304164941349"</f>
        <v>20190304164941349</v>
      </c>
      <c r="B4603" t="str">
        <f>"1551689381340212"</f>
        <v>1551689381340212</v>
      </c>
      <c r="C4603" t="s">
        <v>40</v>
      </c>
      <c r="D4603">
        <v>5.0528329999999997</v>
      </c>
      <c r="E4603">
        <v>0.56978600000000001</v>
      </c>
      <c r="F4603" t="s">
        <v>41</v>
      </c>
      <c r="G4603">
        <v>-193.74780000000001</v>
      </c>
      <c r="H4603">
        <v>0.93926019999999999</v>
      </c>
      <c r="I4603">
        <v>155.64840000000001</v>
      </c>
      <c r="J4603">
        <v>-193.2782</v>
      </c>
      <c r="K4603">
        <v>1.1043289999999999</v>
      </c>
      <c r="L4603">
        <v>156.2688</v>
      </c>
      <c r="M4603">
        <v>-0.337972099999999</v>
      </c>
      <c r="N4603">
        <v>-1.476598E-2</v>
      </c>
      <c r="O4603">
        <v>-0.9410404</v>
      </c>
      <c r="P4603">
        <v>-0.44249300000000003</v>
      </c>
      <c r="Q4603">
        <v>0.38456030000000002</v>
      </c>
      <c r="R4603">
        <v>-0.81013199999999996</v>
      </c>
      <c r="S4603">
        <v>-2.0190730000000001</v>
      </c>
      <c r="T4603">
        <v>-0.64062479999999999</v>
      </c>
      <c r="U4603">
        <v>-2.9045869999999998</v>
      </c>
      <c r="V4603">
        <v>0.14926639999999999</v>
      </c>
      <c r="W4603">
        <v>0.39553949999999999</v>
      </c>
      <c r="X4603">
        <v>0.9062384</v>
      </c>
      <c r="Y4603">
        <v>0.25131569999999998</v>
      </c>
      <c r="Z4603">
        <v>0.16255799999999901</v>
      </c>
      <c r="AA4603">
        <v>0.95415689999999997</v>
      </c>
      <c r="AB4603">
        <v>27</v>
      </c>
      <c r="AC4603">
        <v>-0.46960000000001401</v>
      </c>
      <c r="AD4603">
        <v>-0.16506879999999999</v>
      </c>
      <c r="AE4603">
        <v>-0.62039999999998896</v>
      </c>
      <c r="AF4603">
        <v>0.22225701958807301</v>
      </c>
      <c r="AG4603">
        <v>-0.16506879999999999</v>
      </c>
      <c r="AH4603">
        <v>0.71063118950152404</v>
      </c>
      <c r="AI4603">
        <v>102.500004322406</v>
      </c>
      <c r="AJ4603">
        <v>72.632404169716906</v>
      </c>
      <c r="AK4603">
        <v>0.76265495407947403</v>
      </c>
      <c r="AL4603">
        <v>66.700374359192494</v>
      </c>
      <c r="AM4603">
        <v>80.646798866334095</v>
      </c>
      <c r="AN4603">
        <v>0.99999999593188404</v>
      </c>
    </row>
    <row r="4604" spans="1:40" x14ac:dyDescent="0.25">
      <c r="A4604" t="str">
        <f>"20190304164941361"</f>
        <v>20190304164941361</v>
      </c>
      <c r="B4604" t="str">
        <f>"1551689381350949"</f>
        <v>1551689381350949</v>
      </c>
      <c r="C4604" t="s">
        <v>40</v>
      </c>
      <c r="D4604">
        <v>4.7522010000000003</v>
      </c>
      <c r="E4604">
        <v>0.569998</v>
      </c>
      <c r="F4604" t="s">
        <v>41</v>
      </c>
      <c r="G4604">
        <v>-193.72239999999999</v>
      </c>
      <c r="H4604">
        <v>0.96095779999999997</v>
      </c>
      <c r="I4604">
        <v>155.63159999999999</v>
      </c>
      <c r="J4604">
        <v>-193.32550000000001</v>
      </c>
      <c r="K4604">
        <v>1.10436</v>
      </c>
      <c r="L4604">
        <v>156.15039999999999</v>
      </c>
      <c r="M4604">
        <v>-0.34213149999999998</v>
      </c>
      <c r="N4604">
        <v>-1.4763389999999999E-2</v>
      </c>
      <c r="O4604">
        <v>-0.93953629999999999</v>
      </c>
      <c r="P4604">
        <v>-0.44533119999999998</v>
      </c>
      <c r="Q4604">
        <v>0.38529950000000002</v>
      </c>
      <c r="R4604">
        <v>-0.80822340000000004</v>
      </c>
      <c r="S4604">
        <v>-2.0266570000000002</v>
      </c>
      <c r="T4604">
        <v>-0.65406299999999995</v>
      </c>
      <c r="U4604">
        <v>-2.9066160000000001</v>
      </c>
      <c r="V4604">
        <v>0.1485359</v>
      </c>
      <c r="W4604">
        <v>0.39629530000000002</v>
      </c>
      <c r="X4604">
        <v>0.90602819999999995</v>
      </c>
      <c r="Y4604">
        <v>0.24808759999999999</v>
      </c>
      <c r="Z4604">
        <v>0.1655894</v>
      </c>
      <c r="AA4604">
        <v>0.95448040000000001</v>
      </c>
      <c r="AB4604">
        <v>27</v>
      </c>
      <c r="AC4604">
        <v>-0.39689999999998798</v>
      </c>
      <c r="AD4604">
        <v>-0.14340219999999901</v>
      </c>
      <c r="AE4604">
        <v>-0.51879999999999804</v>
      </c>
      <c r="AF4604">
        <v>0.18643984043116099</v>
      </c>
      <c r="AG4604">
        <v>-0.14340219999999901</v>
      </c>
      <c r="AH4604">
        <v>0.59463263512956899</v>
      </c>
      <c r="AI4604">
        <v>102.959035845553</v>
      </c>
      <c r="AJ4604">
        <v>72.591817169651705</v>
      </c>
      <c r="AK4604">
        <v>0.63946225520039301</v>
      </c>
      <c r="AL4604">
        <v>66.653216601839702</v>
      </c>
      <c r="AM4604">
        <v>80.689648024477407</v>
      </c>
      <c r="AN4604">
        <v>0.99999998879306895</v>
      </c>
    </row>
    <row r="4605" spans="1:40" x14ac:dyDescent="0.25">
      <c r="A4605" t="str">
        <f>"20190304164941371"</f>
        <v>20190304164941371</v>
      </c>
      <c r="B4605" t="str">
        <f>"1551689381360708"</f>
        <v>1551689381360708</v>
      </c>
      <c r="C4605" t="s">
        <v>40</v>
      </c>
      <c r="D4605">
        <v>4.7499520000000004</v>
      </c>
      <c r="E4605">
        <v>0.57010209999999995</v>
      </c>
      <c r="F4605" t="s">
        <v>41</v>
      </c>
      <c r="G4605">
        <v>-193.83619999999999</v>
      </c>
      <c r="H4605">
        <v>0.94223630000000003</v>
      </c>
      <c r="I4605">
        <v>155.42619999999999</v>
      </c>
      <c r="J4605">
        <v>-193.3742</v>
      </c>
      <c r="K4605">
        <v>1.10439</v>
      </c>
      <c r="L4605">
        <v>156.03</v>
      </c>
      <c r="M4605">
        <v>-0.34635300000000002</v>
      </c>
      <c r="N4605">
        <v>-1.476069E-2</v>
      </c>
      <c r="O4605">
        <v>-0.9379883</v>
      </c>
      <c r="P4605">
        <v>-0.44809840000000001</v>
      </c>
      <c r="Q4605">
        <v>0.38604830000000001</v>
      </c>
      <c r="R4605">
        <v>-0.8063342</v>
      </c>
      <c r="S4605">
        <v>-2.040756</v>
      </c>
      <c r="T4605">
        <v>-0.64770260000000002</v>
      </c>
      <c r="U4605">
        <v>-2.8961489999999999</v>
      </c>
      <c r="V4605">
        <v>0.14767069999999999</v>
      </c>
      <c r="W4605">
        <v>0.397063</v>
      </c>
      <c r="X4605">
        <v>0.90583349999999996</v>
      </c>
      <c r="Y4605">
        <v>0.24864240000000001</v>
      </c>
      <c r="Z4605">
        <v>0.16379779999999999</v>
      </c>
      <c r="AA4605">
        <v>0.95464510000000002</v>
      </c>
      <c r="AB4605">
        <v>27</v>
      </c>
      <c r="AC4605">
        <v>-0.46199999999998898</v>
      </c>
      <c r="AD4605">
        <v>-0.16215369999999901</v>
      </c>
      <c r="AE4605">
        <v>-0.603800000000006</v>
      </c>
      <c r="AF4605">
        <v>0.21448998512967901</v>
      </c>
      <c r="AG4605">
        <v>-0.16215369999999901</v>
      </c>
      <c r="AH4605">
        <v>0.69484330718254705</v>
      </c>
      <c r="AI4605">
        <v>102.570450505278</v>
      </c>
      <c r="AJ4605">
        <v>72.845155994948399</v>
      </c>
      <c r="AK4605">
        <v>0.74505502996825601</v>
      </c>
      <c r="AL4605">
        <v>66.605299541950401</v>
      </c>
      <c r="AM4605">
        <v>80.740982693758497</v>
      </c>
      <c r="AN4605">
        <v>0.99999999566486997</v>
      </c>
    </row>
    <row r="4606" spans="1:40" x14ac:dyDescent="0.25">
      <c r="A4606" t="str">
        <f>"20190304164941382"</f>
        <v>20190304164941382</v>
      </c>
      <c r="B4606" t="str">
        <f>"1551689381380734"</f>
        <v>1551689381380734</v>
      </c>
      <c r="C4606" t="s">
        <v>40</v>
      </c>
      <c r="D4606">
        <v>4.6885399999999997</v>
      </c>
      <c r="E4606">
        <v>0.57017050000000002</v>
      </c>
      <c r="F4606" t="s">
        <v>41</v>
      </c>
      <c r="G4606">
        <v>-193.81649999999999</v>
      </c>
      <c r="H4606">
        <v>0.96575710000000003</v>
      </c>
      <c r="I4606">
        <v>155.4084</v>
      </c>
      <c r="J4606">
        <v>-193.42339999999999</v>
      </c>
      <c r="K4606">
        <v>1.104419</v>
      </c>
      <c r="L4606">
        <v>155.91050000000001</v>
      </c>
      <c r="M4606">
        <v>-0.35053759999999901</v>
      </c>
      <c r="N4606">
        <v>-1.4757859999999999E-2</v>
      </c>
      <c r="O4606">
        <v>-0.93643240000000005</v>
      </c>
      <c r="P4606">
        <v>-0.45082860000000002</v>
      </c>
      <c r="Q4606">
        <v>0.3868432</v>
      </c>
      <c r="R4606">
        <v>-0.80442930000000001</v>
      </c>
      <c r="S4606">
        <v>-2.0532840000000001</v>
      </c>
      <c r="T4606">
        <v>-0.64323660000000005</v>
      </c>
      <c r="U4606">
        <v>-2.8874360000000001</v>
      </c>
      <c r="V4606">
        <v>0.146813</v>
      </c>
      <c r="W4606">
        <v>0.39787470000000003</v>
      </c>
      <c r="X4606">
        <v>0.9056168</v>
      </c>
      <c r="Y4606">
        <v>0.2485648</v>
      </c>
      <c r="Z4606">
        <v>0.16245660000000001</v>
      </c>
      <c r="AA4606">
        <v>0.95489440000000003</v>
      </c>
      <c r="AB4606">
        <v>27</v>
      </c>
      <c r="AC4606">
        <v>-0.393100000000003</v>
      </c>
      <c r="AD4606">
        <v>-0.1386619</v>
      </c>
      <c r="AE4606">
        <v>-0.50210000000001198</v>
      </c>
      <c r="AF4606">
        <v>0.18345319547081701</v>
      </c>
      <c r="AG4606">
        <v>-0.1386619</v>
      </c>
      <c r="AH4606">
        <v>0.58059259725543999</v>
      </c>
      <c r="AI4606">
        <v>102.82919128364701</v>
      </c>
      <c r="AJ4606">
        <v>72.464725847645795</v>
      </c>
      <c r="AK4606">
        <v>0.62447574927124305</v>
      </c>
      <c r="AL4606">
        <v>66.554618744710098</v>
      </c>
      <c r="AM4606">
        <v>80.791672244094201</v>
      </c>
      <c r="AN4606">
        <v>1.0000000611556601</v>
      </c>
    </row>
    <row r="4607" spans="1:40" x14ac:dyDescent="0.25">
      <c r="A4607" t="str">
        <f>"20190304164941394"</f>
        <v>20190304164941394</v>
      </c>
      <c r="B4607" t="str">
        <f>"1551689381390493"</f>
        <v>1551689381390493</v>
      </c>
      <c r="C4607" t="s">
        <v>40</v>
      </c>
      <c r="D4607">
        <v>4.6810199999999904</v>
      </c>
      <c r="E4607">
        <v>0.57017050000000002</v>
      </c>
      <c r="F4607" t="s">
        <v>41</v>
      </c>
      <c r="G4607">
        <v>-193.93090000000001</v>
      </c>
      <c r="H4607">
        <v>0.94761470000000003</v>
      </c>
      <c r="I4607">
        <v>155.20359999999999</v>
      </c>
      <c r="J4607">
        <v>-193.47460000000001</v>
      </c>
      <c r="K4607">
        <v>1.104449</v>
      </c>
      <c r="L4607">
        <v>155.7867</v>
      </c>
      <c r="M4607">
        <v>-0.35486319999999999</v>
      </c>
      <c r="N4607">
        <v>-1.4755020000000001E-2</v>
      </c>
      <c r="O4607">
        <v>-0.93480189999999996</v>
      </c>
      <c r="P4607">
        <v>-0.45378879999999999</v>
      </c>
      <c r="Q4607">
        <v>0.38782250000000001</v>
      </c>
      <c r="R4607">
        <v>-0.80229030000000001</v>
      </c>
      <c r="S4607">
        <v>-2.0659640000000001</v>
      </c>
      <c r="T4607">
        <v>-0.6379766</v>
      </c>
      <c r="U4607">
        <v>-2.8783110000000001</v>
      </c>
      <c r="V4607">
        <v>0.14611689999999999</v>
      </c>
      <c r="W4607">
        <v>0.39886700000000003</v>
      </c>
      <c r="X4607">
        <v>0.90529269999999995</v>
      </c>
      <c r="Y4607">
        <v>0.24845400000000001</v>
      </c>
      <c r="Z4607">
        <v>0.1609053</v>
      </c>
      <c r="AA4607">
        <v>0.95518590000000003</v>
      </c>
      <c r="AB4607">
        <v>27</v>
      </c>
      <c r="AC4607">
        <v>-0.45629999999999798</v>
      </c>
      <c r="AD4607">
        <v>-0.15683430000000001</v>
      </c>
      <c r="AE4607">
        <v>-0.58310000000000095</v>
      </c>
      <c r="AF4607">
        <v>0.21022118649011201</v>
      </c>
      <c r="AG4607">
        <v>-0.15683430000000001</v>
      </c>
      <c r="AH4607">
        <v>0.67672124572630299</v>
      </c>
      <c r="AI4607">
        <v>102.479704251062</v>
      </c>
      <c r="AJ4607">
        <v>72.742768159170396</v>
      </c>
      <c r="AK4607">
        <v>0.72576965307400398</v>
      </c>
      <c r="AL4607">
        <v>66.492630548916196</v>
      </c>
      <c r="AM4607">
        <v>80.831364371875594</v>
      </c>
      <c r="AN4607">
        <v>0.99999995241394801</v>
      </c>
    </row>
    <row r="4608" spans="1:40" x14ac:dyDescent="0.25">
      <c r="A4608" t="str">
        <f>"20190304164941406"</f>
        <v>20190304164941406</v>
      </c>
      <c r="B4608" t="str">
        <f>"1551689381400253"</f>
        <v>1551689381400253</v>
      </c>
      <c r="C4608" t="s">
        <v>40</v>
      </c>
      <c r="D4608">
        <v>4.8136749999999999</v>
      </c>
      <c r="E4608">
        <v>0.57491269999999906</v>
      </c>
      <c r="F4608" t="s">
        <v>41</v>
      </c>
      <c r="G4608">
        <v>-193.91050000000001</v>
      </c>
      <c r="H4608">
        <v>0.97144830000000004</v>
      </c>
      <c r="I4608">
        <v>155.18510000000001</v>
      </c>
      <c r="J4608">
        <v>-193.53100000000001</v>
      </c>
      <c r="K4608">
        <v>1.1044750000000001</v>
      </c>
      <c r="L4608">
        <v>155.6533</v>
      </c>
      <c r="M4608">
        <v>-0.35951650000000002</v>
      </c>
      <c r="N4608">
        <v>-1.475188E-2</v>
      </c>
      <c r="O4608">
        <v>-0.93302229999999997</v>
      </c>
      <c r="P4608">
        <v>-0.45692539999999998</v>
      </c>
      <c r="Q4608">
        <v>0.3889148</v>
      </c>
      <c r="R4608">
        <v>-0.79997830000000003</v>
      </c>
      <c r="S4608">
        <v>-2.078735</v>
      </c>
      <c r="T4608">
        <v>-0.63395330000000005</v>
      </c>
      <c r="U4608">
        <v>-2.8699949999999999</v>
      </c>
      <c r="V4608">
        <v>0.1453294</v>
      </c>
      <c r="W4608">
        <v>0.39997179999999999</v>
      </c>
      <c r="X4608">
        <v>0.90493199999999996</v>
      </c>
      <c r="Y4608">
        <v>0.2478611</v>
      </c>
      <c r="Z4608">
        <v>0.1596137</v>
      </c>
      <c r="AA4608">
        <v>0.95555659999999998</v>
      </c>
      <c r="AB4608">
        <v>27</v>
      </c>
      <c r="AC4608">
        <v>-0.37950000000003498</v>
      </c>
      <c r="AD4608">
        <v>-0.1330267</v>
      </c>
      <c r="AE4608">
        <v>-0.46819999999999601</v>
      </c>
      <c r="AF4608">
        <v>0.17714621814902501</v>
      </c>
      <c r="AG4608">
        <v>-0.1330267</v>
      </c>
      <c r="AH4608">
        <v>0.54670517159199306</v>
      </c>
      <c r="AI4608">
        <v>103.033059472019</v>
      </c>
      <c r="AJ4608">
        <v>72.046372281291795</v>
      </c>
      <c r="AK4608">
        <v>0.589884251495853</v>
      </c>
      <c r="AL4608">
        <v>66.423584426948295</v>
      </c>
      <c r="AM4608">
        <v>80.876372216869996</v>
      </c>
      <c r="AN4608">
        <v>0.9999999999618</v>
      </c>
    </row>
    <row r="4609" spans="1:40" x14ac:dyDescent="0.25">
      <c r="A4609" t="str">
        <f>"20190304164941417"</f>
        <v>20190304164941417</v>
      </c>
      <c r="B4609" t="str">
        <f>"1551689381410013"</f>
        <v>1551689381410013</v>
      </c>
      <c r="C4609" t="s">
        <v>40</v>
      </c>
      <c r="D4609">
        <v>4.9611679999999998</v>
      </c>
      <c r="E4609">
        <v>0.57523979999999997</v>
      </c>
      <c r="F4609" t="s">
        <v>48</v>
      </c>
      <c r="G4609">
        <v>-198.08359999999999</v>
      </c>
      <c r="H4609" s="1">
        <v>-1.213401E-5</v>
      </c>
      <c r="I4609">
        <v>149.62809999999999</v>
      </c>
      <c r="J4609">
        <v>-193.58860000000001</v>
      </c>
      <c r="K4609">
        <v>1.104498</v>
      </c>
      <c r="L4609">
        <v>155.518</v>
      </c>
      <c r="M4609">
        <v>-0.36423109999999997</v>
      </c>
      <c r="N4609">
        <v>-1.4748860000000001E-2</v>
      </c>
      <c r="O4609">
        <v>-0.93119189999999996</v>
      </c>
      <c r="P4609">
        <v>-0.46026309999999898</v>
      </c>
      <c r="Q4609">
        <v>0.38978119999999999</v>
      </c>
      <c r="R4609">
        <v>-0.7976396</v>
      </c>
      <c r="S4609">
        <v>-2.1107640000000001</v>
      </c>
      <c r="T4609">
        <v>-0.51207510000000001</v>
      </c>
      <c r="U4609">
        <v>-2.7934570000000001</v>
      </c>
      <c r="V4609">
        <v>0.1446741</v>
      </c>
      <c r="W4609">
        <v>0.40084959999999997</v>
      </c>
      <c r="X4609">
        <v>0.90464860000000002</v>
      </c>
      <c r="Y4609">
        <v>0.26516200000000001</v>
      </c>
      <c r="Z4609">
        <v>0.1291339</v>
      </c>
      <c r="AA4609">
        <v>0.95551739999999996</v>
      </c>
      <c r="AB4609">
        <v>27</v>
      </c>
      <c r="AC4609">
        <v>-4.4949999999999699</v>
      </c>
      <c r="AD4609">
        <v>-1.1045101340100001</v>
      </c>
      <c r="AE4609">
        <v>-5.8899000000000097</v>
      </c>
      <c r="AF4609">
        <v>1.99628161208082</v>
      </c>
      <c r="AG4609">
        <v>-1.1045101340100001</v>
      </c>
      <c r="AH4609">
        <v>6.9677764360710199</v>
      </c>
      <c r="AI4609">
        <v>98.6644193705405</v>
      </c>
      <c r="AJ4609">
        <v>74.012888394746597</v>
      </c>
      <c r="AK4609">
        <v>7.3317795502817296</v>
      </c>
      <c r="AL4609">
        <v>66.368699258719801</v>
      </c>
      <c r="AM4609">
        <v>80.914025898723906</v>
      </c>
      <c r="AN4609">
        <v>1.00000004325646</v>
      </c>
    </row>
    <row r="4610" spans="1:40" x14ac:dyDescent="0.25">
      <c r="A4610" t="str">
        <f>"20190304164941429"</f>
        <v>20190304164941429</v>
      </c>
      <c r="B4610" t="str">
        <f>"1551689381420749"</f>
        <v>1551689381420749</v>
      </c>
      <c r="C4610" t="s">
        <v>40</v>
      </c>
      <c r="D4610">
        <v>4.8110949999999999</v>
      </c>
      <c r="E4610">
        <v>0.57565449999999996</v>
      </c>
      <c r="F4610" t="s">
        <v>48</v>
      </c>
      <c r="G4610">
        <v>-198.19810000000001</v>
      </c>
      <c r="H4610" s="1">
        <v>-1.2114960000000001E-5</v>
      </c>
      <c r="I4610">
        <v>149.4864</v>
      </c>
      <c r="J4610">
        <v>-193.64330000000001</v>
      </c>
      <c r="K4610">
        <v>1.1045199999999999</v>
      </c>
      <c r="L4610">
        <v>155.39179999999999</v>
      </c>
      <c r="M4610">
        <v>-0.36862899999999998</v>
      </c>
      <c r="N4610">
        <v>-1.47461E-2</v>
      </c>
      <c r="O4610">
        <v>-0.92945979999999995</v>
      </c>
      <c r="P4610">
        <v>-0.46333079999999999</v>
      </c>
      <c r="Q4610">
        <v>0.3911772</v>
      </c>
      <c r="R4610">
        <v>-0.79517640000000001</v>
      </c>
      <c r="S4610">
        <v>-2.1267399999999999</v>
      </c>
      <c r="T4610">
        <v>-0.50960760000000005</v>
      </c>
      <c r="U4610">
        <v>-2.7829280000000001</v>
      </c>
      <c r="V4610">
        <v>0.14413389999999901</v>
      </c>
      <c r="W4610">
        <v>0.40225050000000001</v>
      </c>
      <c r="X4610">
        <v>0.90411280000000005</v>
      </c>
      <c r="Y4610">
        <v>0.26588149999999999</v>
      </c>
      <c r="Z4610">
        <v>0.1283077</v>
      </c>
      <c r="AA4610">
        <v>0.95542879999999997</v>
      </c>
      <c r="AB4610">
        <v>27</v>
      </c>
      <c r="AC4610">
        <v>-4.5548000000000002</v>
      </c>
      <c r="AD4610">
        <v>-1.10453211496</v>
      </c>
      <c r="AE4610">
        <v>-5.9053999999999798</v>
      </c>
      <c r="AF4610">
        <v>2.0126782008430499</v>
      </c>
      <c r="AG4610">
        <v>-1.10453211496</v>
      </c>
      <c r="AH4610">
        <v>7.0147765850116999</v>
      </c>
      <c r="AI4610">
        <v>98.606468925366897</v>
      </c>
      <c r="AJ4610">
        <v>73.990767178933993</v>
      </c>
      <c r="AK4610">
        <v>7.3809183216423104</v>
      </c>
      <c r="AL4610">
        <v>66.281056321813395</v>
      </c>
      <c r="AM4610">
        <v>80.942113394032901</v>
      </c>
      <c r="AN4610">
        <v>1.0000000005016501</v>
      </c>
    </row>
    <row r="4611" spans="1:40" x14ac:dyDescent="0.25">
      <c r="A4611" t="str">
        <f>"20190304164941441"</f>
        <v>20190304164941441</v>
      </c>
      <c r="B4611" t="str">
        <f>"1551689381430510"</f>
        <v>1551689381430510</v>
      </c>
      <c r="C4611" t="s">
        <v>40</v>
      </c>
      <c r="D4611">
        <v>4.5958550000000002</v>
      </c>
      <c r="E4611">
        <v>0.575542</v>
      </c>
      <c r="F4611" t="s">
        <v>48</v>
      </c>
      <c r="G4611">
        <v>-198.4091</v>
      </c>
      <c r="H4611" s="1">
        <v>-1.208425E-5</v>
      </c>
      <c r="I4611">
        <v>149.22799999999901</v>
      </c>
      <c r="J4611">
        <v>-193.6977</v>
      </c>
      <c r="K4611">
        <v>1.1045419999999999</v>
      </c>
      <c r="L4611">
        <v>155.26759999999999</v>
      </c>
      <c r="M4611">
        <v>-0.37295270000000003</v>
      </c>
      <c r="N4611">
        <v>-1.474349E-2</v>
      </c>
      <c r="O4611">
        <v>-0.92773340000000004</v>
      </c>
      <c r="P4611">
        <v>-0.46653909999999998</v>
      </c>
      <c r="Q4611">
        <v>0.3925556</v>
      </c>
      <c r="R4611">
        <v>-0.79261729999999997</v>
      </c>
      <c r="S4611">
        <v>-2.1411440000000002</v>
      </c>
      <c r="T4611">
        <v>-0.49623539999999999</v>
      </c>
      <c r="U4611">
        <v>-2.7692410000000001</v>
      </c>
      <c r="V4611">
        <v>0.1438335</v>
      </c>
      <c r="W4611">
        <v>0.40362870000000001</v>
      </c>
      <c r="X4611">
        <v>0.90354619999999997</v>
      </c>
      <c r="Y4611">
        <v>0.26709290000000002</v>
      </c>
      <c r="Z4611">
        <v>0.1246597</v>
      </c>
      <c r="AA4611">
        <v>0.95557389999999998</v>
      </c>
      <c r="AB4611">
        <v>27</v>
      </c>
      <c r="AC4611">
        <v>-4.7113999999999896</v>
      </c>
      <c r="AD4611">
        <v>-1.1045540842499999</v>
      </c>
      <c r="AE4611">
        <v>-6.0396000000000001</v>
      </c>
      <c r="AF4611">
        <v>2.0755107673673301</v>
      </c>
      <c r="AG4611">
        <v>-1.1045540842499999</v>
      </c>
      <c r="AH4611">
        <v>7.2111222378235498</v>
      </c>
      <c r="AI4611">
        <v>98.373689761038804</v>
      </c>
      <c r="AJ4611">
        <v>73.943082424334094</v>
      </c>
      <c r="AK4611">
        <v>7.58472600687226</v>
      </c>
      <c r="AL4611">
        <v>66.194776292490303</v>
      </c>
      <c r="AM4611">
        <v>80.955104841171604</v>
      </c>
      <c r="AN4611">
        <v>0.99999996936018898</v>
      </c>
    </row>
    <row r="4612" spans="1:40" x14ac:dyDescent="0.25">
      <c r="A4612" t="str">
        <f>"20190304164941451"</f>
        <v>20190304164941451</v>
      </c>
      <c r="B4612" t="str">
        <f>"1551689381440269"</f>
        <v>1551689381440269</v>
      </c>
      <c r="C4612" t="s">
        <v>40</v>
      </c>
      <c r="D4612">
        <v>4.5946509999999998</v>
      </c>
      <c r="E4612">
        <v>0.57538149999999999</v>
      </c>
      <c r="F4612" t="s">
        <v>48</v>
      </c>
      <c r="G4612">
        <v>-198.608</v>
      </c>
      <c r="H4612" s="1">
        <v>-1.2052650000000001E-5</v>
      </c>
      <c r="I4612">
        <v>148.9743</v>
      </c>
      <c r="J4612">
        <v>-193.7518</v>
      </c>
      <c r="K4612">
        <v>1.1045640000000001</v>
      </c>
      <c r="L4612">
        <v>155.14570000000001</v>
      </c>
      <c r="M4612">
        <v>-0.3771989</v>
      </c>
      <c r="N4612">
        <v>-1.474103E-2</v>
      </c>
      <c r="O4612">
        <v>-0.92601520000000004</v>
      </c>
      <c r="P4612">
        <v>-0.46974379999999999</v>
      </c>
      <c r="Q4612">
        <v>0.39405309999999999</v>
      </c>
      <c r="R4612">
        <v>-0.78997680000000003</v>
      </c>
      <c r="S4612">
        <v>-2.1519469999999998</v>
      </c>
      <c r="T4612">
        <v>-0.48407509999999998</v>
      </c>
      <c r="U4612">
        <v>-2.758057</v>
      </c>
      <c r="V4612">
        <v>0.1436402</v>
      </c>
      <c r="W4612">
        <v>0.40512239999999999</v>
      </c>
      <c r="X4612">
        <v>0.9029083</v>
      </c>
      <c r="Y4612">
        <v>0.26715860000000002</v>
      </c>
      <c r="Z4612">
        <v>0.12130970000000001</v>
      </c>
      <c r="AA4612">
        <v>0.95598649999999996</v>
      </c>
      <c r="AB4612">
        <v>27</v>
      </c>
      <c r="AC4612">
        <v>-4.8562000000000003</v>
      </c>
      <c r="AD4612">
        <v>-1.1045760526499999</v>
      </c>
      <c r="AE4612">
        <v>-6.1714000000000002</v>
      </c>
      <c r="AF4612">
        <v>2.1272189411270901</v>
      </c>
      <c r="AG4612">
        <v>-1.1045760526499999</v>
      </c>
      <c r="AH4612">
        <v>7.4009574963795401</v>
      </c>
      <c r="AI4612">
        <v>98.162842075810502</v>
      </c>
      <c r="AJ4612">
        <v>73.964034946714804</v>
      </c>
      <c r="AK4612">
        <v>7.7794164654422699</v>
      </c>
      <c r="AL4612">
        <v>66.101203234642199</v>
      </c>
      <c r="AM4612">
        <v>80.9607834665524</v>
      </c>
      <c r="AN4612">
        <v>1.00000003212334</v>
      </c>
    </row>
    <row r="4613" spans="1:40" x14ac:dyDescent="0.25">
      <c r="A4613" t="str">
        <f>"20190304164941463"</f>
        <v>20190304164941463</v>
      </c>
      <c r="B4613" t="str">
        <f>"1551689381460766"</f>
        <v>1551689381460766</v>
      </c>
      <c r="C4613" t="s">
        <v>40</v>
      </c>
      <c r="D4613">
        <v>4.5528579999999996</v>
      </c>
      <c r="E4613">
        <v>0.57520260000000001</v>
      </c>
      <c r="F4613" t="s">
        <v>48</v>
      </c>
      <c r="G4613">
        <v>-198.76740000000001</v>
      </c>
      <c r="H4613" s="1">
        <v>-1.202651E-5</v>
      </c>
      <c r="I4613">
        <v>148.768</v>
      </c>
      <c r="J4613">
        <v>-193.8075</v>
      </c>
      <c r="K4613">
        <v>1.104581</v>
      </c>
      <c r="L4613">
        <v>155.02199999999999</v>
      </c>
      <c r="M4613">
        <v>-0.38150859999999998</v>
      </c>
      <c r="N4613">
        <v>-1.473856E-2</v>
      </c>
      <c r="O4613">
        <v>-0.92424779999999995</v>
      </c>
      <c r="P4613">
        <v>-0.47337839999999998</v>
      </c>
      <c r="Q4613">
        <v>0.39515860000000003</v>
      </c>
      <c r="R4613">
        <v>-0.78725029999999996</v>
      </c>
      <c r="S4613">
        <v>-2.1622159999999999</v>
      </c>
      <c r="T4613">
        <v>-0.47618189999999999</v>
      </c>
      <c r="U4613">
        <v>-2.7494049999999999</v>
      </c>
      <c r="V4613">
        <v>0.1438101</v>
      </c>
      <c r="W4613">
        <v>0.40621980000000002</v>
      </c>
      <c r="X4613">
        <v>0.90238799999999997</v>
      </c>
      <c r="Y4613">
        <v>0.26652160000000003</v>
      </c>
      <c r="Z4613">
        <v>0.119033399999999</v>
      </c>
      <c r="AA4613">
        <v>0.95645029999999998</v>
      </c>
      <c r="AB4613">
        <v>27</v>
      </c>
      <c r="AC4613">
        <v>-4.9599000000000002</v>
      </c>
      <c r="AD4613">
        <v>-1.1045930265099999</v>
      </c>
      <c r="AE4613">
        <v>-6.2540000000000102</v>
      </c>
      <c r="AF4613">
        <v>2.1571505453980602</v>
      </c>
      <c r="AG4613">
        <v>-1.1045930265099999</v>
      </c>
      <c r="AH4613">
        <v>7.5291382907798798</v>
      </c>
      <c r="AI4613">
        <v>98.027748376804496</v>
      </c>
      <c r="AJ4613">
        <v>74.012623538743597</v>
      </c>
      <c r="AK4613">
        <v>7.9095731636677797</v>
      </c>
      <c r="AL4613">
        <v>66.032410964499704</v>
      </c>
      <c r="AM4613">
        <v>80.945137084169502</v>
      </c>
      <c r="AN4613">
        <v>0.99999998665902401</v>
      </c>
    </row>
    <row r="4614" spans="1:40" x14ac:dyDescent="0.25">
      <c r="A4614" t="str">
        <f>"20190304164941476"</f>
        <v>20190304164941476</v>
      </c>
      <c r="B4614" t="str">
        <f>"1551689381470525"</f>
        <v>1551689381470525</v>
      </c>
      <c r="C4614" t="s">
        <v>40</v>
      </c>
      <c r="D4614">
        <v>4.567374</v>
      </c>
      <c r="E4614">
        <v>0.57508579999999998</v>
      </c>
      <c r="F4614" t="s">
        <v>48</v>
      </c>
      <c r="G4614">
        <v>-198.9204</v>
      </c>
      <c r="H4614" s="1">
        <v>-1.20031199999999E-5</v>
      </c>
      <c r="I4614">
        <v>148.57669999999999</v>
      </c>
      <c r="J4614">
        <v>-193.86959999999999</v>
      </c>
      <c r="K4614">
        <v>1.104595</v>
      </c>
      <c r="L4614">
        <v>154.88509999999999</v>
      </c>
      <c r="M4614">
        <v>-0.38627400000000001</v>
      </c>
      <c r="N4614">
        <v>-1.473592E-2</v>
      </c>
      <c r="O4614">
        <v>-0.92226649999999999</v>
      </c>
      <c r="P4614">
        <v>-0.4773616</v>
      </c>
      <c r="Q4614">
        <v>0.39604319999999998</v>
      </c>
      <c r="R4614">
        <v>-0.78439550000000002</v>
      </c>
      <c r="S4614">
        <v>-2.173279</v>
      </c>
      <c r="T4614">
        <v>-0.46951569999999998</v>
      </c>
      <c r="U4614">
        <v>-2.7396240000000001</v>
      </c>
      <c r="V4614">
        <v>0.14389779999999999</v>
      </c>
      <c r="W4614">
        <v>0.40709980000000001</v>
      </c>
      <c r="X4614">
        <v>0.90197740000000004</v>
      </c>
      <c r="Y4614">
        <v>0.26573469999999999</v>
      </c>
      <c r="Z4614">
        <v>0.1170865</v>
      </c>
      <c r="AA4614">
        <v>0.95690949999999997</v>
      </c>
      <c r="AB4614">
        <v>26</v>
      </c>
      <c r="AC4614">
        <v>-5.0507999999999997</v>
      </c>
      <c r="AD4614">
        <v>-1.1046070031199999</v>
      </c>
      <c r="AE4614">
        <v>-6.3083999999999998</v>
      </c>
      <c r="AF4614">
        <v>2.1809066253584701</v>
      </c>
      <c r="AG4614">
        <v>-1.1046070031199999</v>
      </c>
      <c r="AH4614">
        <v>7.6273553730982604</v>
      </c>
      <c r="AI4614">
        <v>97.926986388806597</v>
      </c>
      <c r="AJ4614">
        <v>74.043060645331295</v>
      </c>
      <c r="AK4614">
        <v>8.00956055769635</v>
      </c>
      <c r="AL4614">
        <v>65.977222184335901</v>
      </c>
      <c r="AM4614">
        <v>80.935650720001902</v>
      </c>
      <c r="AN4614">
        <v>1.00000002705781</v>
      </c>
    </row>
    <row r="4615" spans="1:40" x14ac:dyDescent="0.25">
      <c r="A4615" t="str">
        <f>"20190304164941493"</f>
        <v>20190304164941493</v>
      </c>
      <c r="B4615" t="str">
        <f>"1551689381490553"</f>
        <v>1551689381490553</v>
      </c>
      <c r="C4615" t="s">
        <v>40</v>
      </c>
      <c r="D4615">
        <v>4.5521310000000001</v>
      </c>
      <c r="E4615">
        <v>0.57472159999999906</v>
      </c>
      <c r="F4615" t="s">
        <v>48</v>
      </c>
      <c r="G4615">
        <v>-199.03970000000001</v>
      </c>
      <c r="H4615" s="1">
        <v>-1.1975719999999999E-5</v>
      </c>
      <c r="I4615">
        <v>148.42699999999999</v>
      </c>
      <c r="J4615">
        <v>-193.95830000000001</v>
      </c>
      <c r="K4615">
        <v>1.1046129999999901</v>
      </c>
      <c r="L4615">
        <v>154.69380000000001</v>
      </c>
      <c r="M4615">
        <v>-0.39294240000000002</v>
      </c>
      <c r="N4615">
        <v>-1.4732169999999999E-2</v>
      </c>
      <c r="O4615">
        <v>-0.91944499999999996</v>
      </c>
      <c r="P4615">
        <v>-0.48234959999999999</v>
      </c>
      <c r="Q4615">
        <v>0.3970455</v>
      </c>
      <c r="R4615">
        <v>-0.78082910000000005</v>
      </c>
      <c r="S4615">
        <v>-2.1856990000000001</v>
      </c>
      <c r="T4615">
        <v>-0.4669874</v>
      </c>
      <c r="U4615">
        <v>-2.7302249999999999</v>
      </c>
      <c r="V4615">
        <v>0.1433073</v>
      </c>
      <c r="W4615">
        <v>0.40810829999999998</v>
      </c>
      <c r="X4615">
        <v>0.90161559999999996</v>
      </c>
      <c r="Y4615">
        <v>0.26308989999999999</v>
      </c>
      <c r="Z4615">
        <v>0.1161087</v>
      </c>
      <c r="AA4615">
        <v>0.95775909999999997</v>
      </c>
      <c r="AB4615">
        <v>26</v>
      </c>
      <c r="AC4615">
        <v>-5.0814000000000004</v>
      </c>
      <c r="AD4615">
        <v>-1.10462497571999</v>
      </c>
      <c r="AE4615">
        <v>-6.2667999999999804</v>
      </c>
      <c r="AF4615">
        <v>2.1691548603900599</v>
      </c>
      <c r="AG4615">
        <v>-1.10462497571999</v>
      </c>
      <c r="AH4615">
        <v>7.6167398448527903</v>
      </c>
      <c r="AI4615">
        <v>97.9403879238168</v>
      </c>
      <c r="AJ4615">
        <v>74.103691577450405</v>
      </c>
      <c r="AK4615">
        <v>7.99625881331428</v>
      </c>
      <c r="AL4615">
        <v>65.913944290587096</v>
      </c>
      <c r="AM4615">
        <v>80.968670464904207</v>
      </c>
      <c r="AN4615">
        <v>1.0000000284627599</v>
      </c>
    </row>
    <row r="4616" spans="1:40" x14ac:dyDescent="0.25">
      <c r="A4616" t="str">
        <f>"20190304164941516"</f>
        <v>20190304164941516</v>
      </c>
      <c r="B4616" t="str">
        <f>"1551689381510073"</f>
        <v>1551689381510073</v>
      </c>
      <c r="C4616" t="s">
        <v>40</v>
      </c>
      <c r="D4616">
        <v>4.5391959999999996</v>
      </c>
      <c r="E4616">
        <v>0.574681</v>
      </c>
      <c r="F4616" t="s">
        <v>48</v>
      </c>
      <c r="G4616">
        <v>-199.18510000000001</v>
      </c>
      <c r="H4616" s="1">
        <v>-1.193963E-5</v>
      </c>
      <c r="I4616">
        <v>148.2355</v>
      </c>
      <c r="J4616">
        <v>-194.07499999999999</v>
      </c>
      <c r="K4616">
        <v>1.104638</v>
      </c>
      <c r="L4616">
        <v>154.44710000000001</v>
      </c>
      <c r="M4616">
        <v>-0.4015494</v>
      </c>
      <c r="N4616">
        <v>-1.4727519999999999E-2</v>
      </c>
      <c r="O4616">
        <v>-0.91571919999999996</v>
      </c>
      <c r="P4616">
        <v>-0.48871229999999899</v>
      </c>
      <c r="Q4616">
        <v>0.39754060000000002</v>
      </c>
      <c r="R4616">
        <v>-0.77660959999999901</v>
      </c>
      <c r="S4616">
        <v>-2.200653</v>
      </c>
      <c r="T4616">
        <v>-0.46508369999999999</v>
      </c>
      <c r="U4616">
        <v>-2.719147</v>
      </c>
      <c r="V4616">
        <v>0.1422979</v>
      </c>
      <c r="W4616">
        <v>0.40862140000000002</v>
      </c>
      <c r="X4616">
        <v>0.90154299999999998</v>
      </c>
      <c r="Y4616">
        <v>0.25920159999999998</v>
      </c>
      <c r="Z4616">
        <v>0.1151827</v>
      </c>
      <c r="AA4616">
        <v>0.95893039999999996</v>
      </c>
      <c r="AB4616">
        <v>26</v>
      </c>
      <c r="AC4616">
        <v>-5.1101000000000099</v>
      </c>
      <c r="AD4616">
        <v>-1.10464993963</v>
      </c>
      <c r="AE4616">
        <v>-6.2115999999999998</v>
      </c>
      <c r="AF4616">
        <v>2.1449333581184198</v>
      </c>
      <c r="AG4616">
        <v>-1.10464993963</v>
      </c>
      <c r="AH4616">
        <v>7.5975787999211599</v>
      </c>
      <c r="AI4616">
        <v>97.965430131576099</v>
      </c>
      <c r="AJ4616">
        <v>74.234670892954995</v>
      </c>
      <c r="AK4616">
        <v>7.9714612349873004</v>
      </c>
      <c r="AL4616">
        <v>65.881736313382504</v>
      </c>
      <c r="AM4616">
        <v>81.030535450179102</v>
      </c>
      <c r="AN4616">
        <v>0.99999996086568399</v>
      </c>
    </row>
    <row r="4617" spans="1:40" x14ac:dyDescent="0.25">
      <c r="A4617" t="str">
        <f>"20190304164941526"</f>
        <v>20190304164941526</v>
      </c>
      <c r="B4617" t="str">
        <f>"1551689381520809"</f>
        <v>1551689381520809</v>
      </c>
      <c r="C4617" t="s">
        <v>40</v>
      </c>
      <c r="D4617">
        <v>4.5477080000000001</v>
      </c>
      <c r="E4617">
        <v>0.57456649999999998</v>
      </c>
      <c r="F4617" t="s">
        <v>48</v>
      </c>
      <c r="G4617">
        <v>-199.3776</v>
      </c>
      <c r="H4617" s="1">
        <v>-1.1899509999999999E-5</v>
      </c>
      <c r="I4617">
        <v>148.0077</v>
      </c>
      <c r="J4617">
        <v>-194.13319999999999</v>
      </c>
      <c r="K4617">
        <v>1.104649</v>
      </c>
      <c r="L4617">
        <v>154.32660000000001</v>
      </c>
      <c r="M4617">
        <v>-0.40575939999999999</v>
      </c>
      <c r="N4617">
        <v>-1.4725200000000001E-2</v>
      </c>
      <c r="O4617">
        <v>-0.91386129999999999</v>
      </c>
      <c r="P4617">
        <v>-0.49189880000000002</v>
      </c>
      <c r="Q4617">
        <v>0.39728330000000001</v>
      </c>
      <c r="R4617">
        <v>-0.7747271</v>
      </c>
      <c r="S4617">
        <v>-2.2239070000000001</v>
      </c>
      <c r="T4617">
        <v>-0.46328350000000001</v>
      </c>
      <c r="U4617">
        <v>-2.7006230000000002</v>
      </c>
      <c r="V4617">
        <v>0.14178279999999999</v>
      </c>
      <c r="W4617">
        <v>0.40837639999999997</v>
      </c>
      <c r="X4617">
        <v>0.90173519999999896</v>
      </c>
      <c r="Y4617">
        <v>0.26294149999999999</v>
      </c>
      <c r="Z4617">
        <v>0.1146677</v>
      </c>
      <c r="AA4617">
        <v>0.95797339999999997</v>
      </c>
      <c r="AB4617">
        <v>26</v>
      </c>
      <c r="AC4617">
        <v>-5.2444000000000104</v>
      </c>
      <c r="AD4617">
        <v>-1.10466089951</v>
      </c>
      <c r="AE4617">
        <v>-6.31890000000001</v>
      </c>
      <c r="AF4617">
        <v>2.1893240713446001</v>
      </c>
      <c r="AG4617">
        <v>-1.10466089951</v>
      </c>
      <c r="AH4617">
        <v>7.7629389886203599</v>
      </c>
      <c r="AI4617">
        <v>97.798537511269203</v>
      </c>
      <c r="AJ4617">
        <v>74.250349742203994</v>
      </c>
      <c r="AK4617">
        <v>8.1410464519812997</v>
      </c>
      <c r="AL4617">
        <v>65.897116702338494</v>
      </c>
      <c r="AM4617">
        <v>81.064352931275394</v>
      </c>
      <c r="AN4617">
        <v>1.00000000868591</v>
      </c>
    </row>
    <row r="4618" spans="1:40" x14ac:dyDescent="0.25">
      <c r="A4618" t="str">
        <f>"20190304164941538"</f>
        <v>20190304164941538</v>
      </c>
      <c r="B4618" t="str">
        <f>"1551689381530569"</f>
        <v>1551689381530569</v>
      </c>
      <c r="C4618" t="s">
        <v>40</v>
      </c>
      <c r="D4618">
        <v>4.5342169999999999</v>
      </c>
      <c r="E4618">
        <v>0.57442019999999905</v>
      </c>
      <c r="F4618" t="s">
        <v>48</v>
      </c>
      <c r="G4618">
        <v>-199.4384</v>
      </c>
      <c r="H4618" s="1">
        <v>-1.1886989999999999E-5</v>
      </c>
      <c r="I4618">
        <v>147.93629999999999</v>
      </c>
      <c r="J4618">
        <v>-194.19110000000001</v>
      </c>
      <c r="K4618">
        <v>1.10466</v>
      </c>
      <c r="L4618">
        <v>154.20769999999999</v>
      </c>
      <c r="M4618">
        <v>-0.40991169999999999</v>
      </c>
      <c r="N4618">
        <v>-1.472297E-2</v>
      </c>
      <c r="O4618">
        <v>-0.91200630000000005</v>
      </c>
      <c r="P4618">
        <v>-0.49516880000000002</v>
      </c>
      <c r="Q4618">
        <v>0.39709620000000001</v>
      </c>
      <c r="R4618">
        <v>-0.7727366</v>
      </c>
      <c r="S4618">
        <v>-2.2348629999999998</v>
      </c>
      <c r="T4618">
        <v>-0.46534910000000002</v>
      </c>
      <c r="U4618">
        <v>-2.691986</v>
      </c>
      <c r="V4618">
        <v>0.14143939999999999</v>
      </c>
      <c r="W4618">
        <v>0.4081979</v>
      </c>
      <c r="X4618">
        <v>0.90186999999999995</v>
      </c>
      <c r="Y4618">
        <v>0.26233709999999999</v>
      </c>
      <c r="Z4618">
        <v>0.11506379999999999</v>
      </c>
      <c r="AA4618">
        <v>0.95809160000000004</v>
      </c>
      <c r="AB4618">
        <v>26</v>
      </c>
      <c r="AC4618">
        <v>-5.2472999999999903</v>
      </c>
      <c r="AD4618">
        <v>-1.1046718869900001</v>
      </c>
      <c r="AE4618">
        <v>-6.2713999999999999</v>
      </c>
      <c r="AF4618">
        <v>2.1753891430020298</v>
      </c>
      <c r="AG4618">
        <v>-1.1046718869900001</v>
      </c>
      <c r="AH4618">
        <v>7.7302600489555404</v>
      </c>
      <c r="AI4618">
        <v>97.832406103620997</v>
      </c>
      <c r="AJ4618">
        <v>74.282752755749598</v>
      </c>
      <c r="AK4618">
        <v>8.1061420124418806</v>
      </c>
      <c r="AL4618">
        <v>65.908321753517995</v>
      </c>
      <c r="AM4618">
        <v>81.086958226549299</v>
      </c>
      <c r="AN4618">
        <v>1.0000000631683801</v>
      </c>
    </row>
    <row r="4619" spans="1:40" x14ac:dyDescent="0.25">
      <c r="A4619" t="str">
        <f>"20190304164941550"</f>
        <v>20190304164941550</v>
      </c>
      <c r="B4619" t="str">
        <f>"1551689381540329"</f>
        <v>1551689381540329</v>
      </c>
      <c r="C4619" t="s">
        <v>40</v>
      </c>
      <c r="D4619">
        <v>4.5428620000000004</v>
      </c>
      <c r="E4619">
        <v>0.57427079999999997</v>
      </c>
      <c r="F4619" t="s">
        <v>48</v>
      </c>
      <c r="G4619">
        <v>-199.49430000000001</v>
      </c>
      <c r="H4619" s="1">
        <v>-1.18747499999999E-5</v>
      </c>
      <c r="I4619">
        <v>147.8682</v>
      </c>
      <c r="J4619">
        <v>-194.2525</v>
      </c>
      <c r="K4619">
        <v>1.1046689999999999</v>
      </c>
      <c r="L4619">
        <v>154.08320000000001</v>
      </c>
      <c r="M4619">
        <v>-0.41426499999999999</v>
      </c>
      <c r="N4619">
        <v>-1.472064E-2</v>
      </c>
      <c r="O4619">
        <v>-0.91003730000000005</v>
      </c>
      <c r="P4619">
        <v>-0.49878060000000002</v>
      </c>
      <c r="Q4619">
        <v>0.39709810000000001</v>
      </c>
      <c r="R4619">
        <v>-0.77040969999999998</v>
      </c>
      <c r="S4619">
        <v>-2.245209</v>
      </c>
      <c r="T4619">
        <v>-0.46767579999999997</v>
      </c>
      <c r="U4619">
        <v>-2.6839140000000001</v>
      </c>
      <c r="V4619">
        <v>0.14134179999999999</v>
      </c>
      <c r="W4619">
        <v>0.40820230000000002</v>
      </c>
      <c r="X4619">
        <v>0.9018832</v>
      </c>
      <c r="Y4619">
        <v>0.26127840000000002</v>
      </c>
      <c r="Z4619">
        <v>0.1155007</v>
      </c>
      <c r="AA4619">
        <v>0.95832839999999997</v>
      </c>
      <c r="AB4619">
        <v>26</v>
      </c>
      <c r="AC4619">
        <v>-5.2418000000000102</v>
      </c>
      <c r="AD4619">
        <v>-1.1046808747499901</v>
      </c>
      <c r="AE4619">
        <v>-6.2149999999999999</v>
      </c>
      <c r="AF4619">
        <v>2.15601230919125</v>
      </c>
      <c r="AG4619">
        <v>-1.1046808747499901</v>
      </c>
      <c r="AH4619">
        <v>7.6863269730974304</v>
      </c>
      <c r="AI4619">
        <v>97.878525341357204</v>
      </c>
      <c r="AJ4619">
        <v>74.331208445314203</v>
      </c>
      <c r="AK4619">
        <v>8.0590527513962602</v>
      </c>
      <c r="AL4619">
        <v>65.908043063704596</v>
      </c>
      <c r="AM4619">
        <v>81.093138282169903</v>
      </c>
      <c r="AN4619">
        <v>0.99999996429738403</v>
      </c>
    </row>
    <row r="4620" spans="1:40" x14ac:dyDescent="0.25">
      <c r="A4620" t="str">
        <f>"20190304164941560"</f>
        <v>20190304164941560</v>
      </c>
      <c r="B4620" t="str">
        <f>"1551689381550089"</f>
        <v>1551689381550089</v>
      </c>
      <c r="C4620" t="s">
        <v>40</v>
      </c>
      <c r="D4620">
        <v>4.555822</v>
      </c>
      <c r="E4620">
        <v>0.57411159999999894</v>
      </c>
      <c r="F4620" t="s">
        <v>48</v>
      </c>
      <c r="G4620">
        <v>-199.56780000000001</v>
      </c>
      <c r="H4620" s="1">
        <v>-1.186087E-5</v>
      </c>
      <c r="I4620">
        <v>147.786</v>
      </c>
      <c r="J4620">
        <v>-194.3073</v>
      </c>
      <c r="K4620">
        <v>1.1046750000000001</v>
      </c>
      <c r="L4620">
        <v>153.97329999999999</v>
      </c>
      <c r="M4620">
        <v>-0.41810789999999998</v>
      </c>
      <c r="N4620">
        <v>-1.471857E-2</v>
      </c>
      <c r="O4620">
        <v>-0.90827820000000004</v>
      </c>
      <c r="P4620">
        <v>-0.50182020000000005</v>
      </c>
      <c r="Q4620">
        <v>0.39691460000000001</v>
      </c>
      <c r="R4620">
        <v>-0.768528199999999</v>
      </c>
      <c r="S4620">
        <v>-2.2573699999999999</v>
      </c>
      <c r="T4620">
        <v>-0.46915200000000001</v>
      </c>
      <c r="U4620">
        <v>-2.6743769999999998</v>
      </c>
      <c r="V4620">
        <v>0.1410399</v>
      </c>
      <c r="W4620">
        <v>0.40802640000000001</v>
      </c>
      <c r="X4620">
        <v>0.90201010000000004</v>
      </c>
      <c r="Y4620">
        <v>0.26140390000000002</v>
      </c>
      <c r="Z4620">
        <v>0.1157551</v>
      </c>
      <c r="AA4620">
        <v>0.95826339999999999</v>
      </c>
      <c r="AB4620">
        <v>26</v>
      </c>
      <c r="AC4620">
        <v>-5.2605000000000004</v>
      </c>
      <c r="AD4620">
        <v>-1.10468686087</v>
      </c>
      <c r="AE4620">
        <v>-6.1872999999999898</v>
      </c>
      <c r="AF4620">
        <v>2.1514684349537601</v>
      </c>
      <c r="AG4620">
        <v>-1.10468686087</v>
      </c>
      <c r="AH4620">
        <v>7.6780311836528004</v>
      </c>
      <c r="AI4620">
        <v>97.887557373231203</v>
      </c>
      <c r="AJ4620">
        <v>74.346546149353401</v>
      </c>
      <c r="AK4620">
        <v>8.0499262322288399</v>
      </c>
      <c r="AL4620">
        <v>65.919083726489106</v>
      </c>
      <c r="AM4620">
        <v>81.113089366336595</v>
      </c>
      <c r="AN4620">
        <v>1.0000000084954801</v>
      </c>
    </row>
    <row r="4621" spans="1:40" x14ac:dyDescent="0.25">
      <c r="A4621" t="str">
        <f>"20190304164941571"</f>
        <v>20190304164941571</v>
      </c>
      <c r="B4621" t="str">
        <f>"1551689381560825"</f>
        <v>1551689381560825</v>
      </c>
      <c r="C4621" t="s">
        <v>40</v>
      </c>
      <c r="D4621">
        <v>4.5338329999999996</v>
      </c>
      <c r="E4621">
        <v>0.57396289999999905</v>
      </c>
      <c r="F4621" t="s">
        <v>48</v>
      </c>
      <c r="G4621">
        <v>-199.62029999999999</v>
      </c>
      <c r="H4621" s="1">
        <v>-1.185036E-5</v>
      </c>
      <c r="I4621">
        <v>147.72540000000001</v>
      </c>
      <c r="J4621">
        <v>-194.37129999999999</v>
      </c>
      <c r="K4621">
        <v>1.104684</v>
      </c>
      <c r="L4621">
        <v>153.84639999999999</v>
      </c>
      <c r="M4621">
        <v>-0.4225486</v>
      </c>
      <c r="N4621">
        <v>-1.4716190000000001E-2</v>
      </c>
      <c r="O4621">
        <v>-0.9062209</v>
      </c>
      <c r="P4621">
        <v>-0.50551959999999996</v>
      </c>
      <c r="Q4621">
        <v>0.39651690000000001</v>
      </c>
      <c r="R4621">
        <v>-0.76630589999999998</v>
      </c>
      <c r="S4621">
        <v>-2.267471</v>
      </c>
      <c r="T4621">
        <v>-0.47145920000000002</v>
      </c>
      <c r="U4621">
        <v>-2.6665040000000002</v>
      </c>
      <c r="V4621">
        <v>0.14087049999999901</v>
      </c>
      <c r="W4621">
        <v>0.40763539999999998</v>
      </c>
      <c r="X4621">
        <v>0.9022133</v>
      </c>
      <c r="Y4621">
        <v>0.26014559999999998</v>
      </c>
      <c r="Z4621">
        <v>0.116163</v>
      </c>
      <c r="AA4621">
        <v>0.95855639999999998</v>
      </c>
      <c r="AB4621">
        <v>26</v>
      </c>
      <c r="AC4621">
        <v>-5.2489999999999899</v>
      </c>
      <c r="AD4621">
        <v>-1.10469585036</v>
      </c>
      <c r="AE4621">
        <v>-6.12099999999998</v>
      </c>
      <c r="AF4621">
        <v>2.1305789227908898</v>
      </c>
      <c r="AG4621">
        <v>-1.10469585036</v>
      </c>
      <c r="AH4621">
        <v>7.6227032502928802</v>
      </c>
      <c r="AI4621">
        <v>97.945581511590404</v>
      </c>
      <c r="AJ4621">
        <v>74.384089559747395</v>
      </c>
      <c r="AK4621">
        <v>7.9915783366034203</v>
      </c>
      <c r="AL4621">
        <v>65.943618803283201</v>
      </c>
      <c r="AM4621">
        <v>81.125560527981094</v>
      </c>
      <c r="AN4621">
        <v>0.99999997790014905</v>
      </c>
    </row>
    <row r="4622" spans="1:40" x14ac:dyDescent="0.25">
      <c r="A4622" t="str">
        <f>"20190304164941582"</f>
        <v>20190304164941582</v>
      </c>
      <c r="B4622" t="str">
        <f>"1551689381580850"</f>
        <v>1551689381580850</v>
      </c>
      <c r="C4622" t="s">
        <v>40</v>
      </c>
      <c r="D4622">
        <v>4.5289210000000004</v>
      </c>
      <c r="E4622">
        <v>0.57368980000000003</v>
      </c>
      <c r="F4622" t="s">
        <v>48</v>
      </c>
      <c r="G4622">
        <v>-199.6782</v>
      </c>
      <c r="H4622" s="1">
        <v>-1.18393899999999E-5</v>
      </c>
      <c r="I4622">
        <v>147.66050000000001</v>
      </c>
      <c r="J4622">
        <v>-194.428</v>
      </c>
      <c r="K4622">
        <v>1.104697</v>
      </c>
      <c r="L4622">
        <v>153.7355</v>
      </c>
      <c r="M4622">
        <v>-0.42643110000000001</v>
      </c>
      <c r="N4622">
        <v>-1.4714029999999999E-2</v>
      </c>
      <c r="O4622">
        <v>-0.90440050000000005</v>
      </c>
      <c r="P4622">
        <v>-0.50865930000000004</v>
      </c>
      <c r="Q4622">
        <v>0.39635320000000002</v>
      </c>
      <c r="R4622">
        <v>-0.76431019999999905</v>
      </c>
      <c r="S4622">
        <v>-2.2792970000000001</v>
      </c>
      <c r="T4622">
        <v>-0.4744622</v>
      </c>
      <c r="U4622">
        <v>-2.6567989999999999</v>
      </c>
      <c r="V4622">
        <v>0.14065459999999999</v>
      </c>
      <c r="W4622">
        <v>0.40747729999999999</v>
      </c>
      <c r="X4622">
        <v>0.90231839999999996</v>
      </c>
      <c r="Y4622">
        <v>0.26013370000000002</v>
      </c>
      <c r="Z4622">
        <v>0.1168212</v>
      </c>
      <c r="AA4622">
        <v>0.95847959999999999</v>
      </c>
      <c r="AB4622">
        <v>26</v>
      </c>
      <c r="AC4622">
        <v>-5.2502000000000004</v>
      </c>
      <c r="AD4622">
        <v>-1.10470883939</v>
      </c>
      <c r="AE4622">
        <v>-6.0749999999999797</v>
      </c>
      <c r="AF4622">
        <v>2.11785816646915</v>
      </c>
      <c r="AG4622">
        <v>-1.10470883939</v>
      </c>
      <c r="AH4622">
        <v>7.5902393318346801</v>
      </c>
      <c r="AI4622">
        <v>97.980201554026294</v>
      </c>
      <c r="AJ4622">
        <v>74.409627316032797</v>
      </c>
      <c r="AK4622">
        <v>7.9572255182090101</v>
      </c>
      <c r="AL4622">
        <v>65.953538565958695</v>
      </c>
      <c r="AM4622">
        <v>81.139961350709797</v>
      </c>
      <c r="AN4622">
        <v>0.99999998074750396</v>
      </c>
    </row>
    <row r="4623" spans="1:40" x14ac:dyDescent="0.25">
      <c r="A4623" t="str">
        <f>"20190304164941593"</f>
        <v>20190304164941593</v>
      </c>
      <c r="B4623" t="str">
        <f>"1551689381580850"</f>
        <v>1551689381580850</v>
      </c>
      <c r="C4623" t="s">
        <v>40</v>
      </c>
      <c r="D4623">
        <v>4.5289210000000004</v>
      </c>
      <c r="E4623">
        <v>0.57368980000000003</v>
      </c>
      <c r="F4623" t="s">
        <v>48</v>
      </c>
      <c r="G4623">
        <v>-199.69550000000001</v>
      </c>
      <c r="H4623" s="1">
        <v>-1.1835239999999999E-5</v>
      </c>
      <c r="I4623">
        <v>147.63820000000001</v>
      </c>
      <c r="J4623">
        <v>-194.48750000000001</v>
      </c>
      <c r="K4623">
        <v>1.1047020000000001</v>
      </c>
      <c r="L4623">
        <v>153.6199</v>
      </c>
      <c r="M4623">
        <v>-0.430477</v>
      </c>
      <c r="N4623">
        <v>-1.4711790000000001E-2</v>
      </c>
      <c r="O4623">
        <v>-0.90248189999999995</v>
      </c>
      <c r="P4623">
        <v>-0.51206479999999999</v>
      </c>
      <c r="Q4623">
        <v>0.39621970000000001</v>
      </c>
      <c r="R4623">
        <v>-0.76210250000000002</v>
      </c>
      <c r="S4623">
        <v>-2.2896420000000002</v>
      </c>
      <c r="T4623">
        <v>-0.48018549999999899</v>
      </c>
      <c r="U4623">
        <v>-2.6503299999999999</v>
      </c>
      <c r="V4623">
        <v>0.14059949999999999</v>
      </c>
      <c r="W4623">
        <v>0.40734619999999999</v>
      </c>
      <c r="X4623">
        <v>0.90238620000000003</v>
      </c>
      <c r="Y4623">
        <v>0.25899709999999998</v>
      </c>
      <c r="Z4623">
        <v>0.1181019</v>
      </c>
      <c r="AA4623">
        <v>0.95863050000000005</v>
      </c>
      <c r="AB4623">
        <v>26</v>
      </c>
      <c r="AC4623">
        <v>-5.2079999999999904</v>
      </c>
      <c r="AD4623">
        <v>-1.1047138352399899</v>
      </c>
      <c r="AE4623">
        <v>-5.9816999999999796</v>
      </c>
      <c r="AF4623">
        <v>2.0849216814915299</v>
      </c>
      <c r="AG4623">
        <v>-1.1047138352399899</v>
      </c>
      <c r="AH4623">
        <v>7.4957021929623897</v>
      </c>
      <c r="AI4623">
        <v>98.081368099256395</v>
      </c>
      <c r="AJ4623">
        <v>74.456147779549397</v>
      </c>
      <c r="AK4623">
        <v>7.8582976808788203</v>
      </c>
      <c r="AL4623">
        <v>65.961764102044299</v>
      </c>
      <c r="AM4623">
        <v>81.144032031353703</v>
      </c>
      <c r="AN4623">
        <v>1.00000000000256</v>
      </c>
    </row>
    <row r="4624" spans="1:40" x14ac:dyDescent="0.25">
      <c r="A4624" t="str">
        <f>"20190304164941605"</f>
        <v>20190304164941605</v>
      </c>
      <c r="B4624" t="str">
        <f>"1551689381600371"</f>
        <v>1551689381600371</v>
      </c>
      <c r="C4624" t="s">
        <v>40</v>
      </c>
      <c r="D4624">
        <v>4.420553</v>
      </c>
      <c r="E4624">
        <v>0.58068989999999998</v>
      </c>
      <c r="F4624" t="s">
        <v>48</v>
      </c>
      <c r="G4624">
        <v>-199.77629999999999</v>
      </c>
      <c r="H4624" s="1">
        <v>-1.1821290000000001E-5</v>
      </c>
      <c r="I4624">
        <v>147.5523</v>
      </c>
      <c r="J4624">
        <v>-194.54990000000001</v>
      </c>
      <c r="K4624">
        <v>1.1047089999999999</v>
      </c>
      <c r="L4624">
        <v>153.50069999999999</v>
      </c>
      <c r="M4624">
        <v>-0.43465900000000002</v>
      </c>
      <c r="N4624">
        <v>-1.4709470000000001E-2</v>
      </c>
      <c r="O4624">
        <v>-0.90047509999999997</v>
      </c>
      <c r="P4624">
        <v>-0.51552749999999903</v>
      </c>
      <c r="Q4624">
        <v>0.39566129999999999</v>
      </c>
      <c r="R4624">
        <v>-0.76005519999999904</v>
      </c>
      <c r="S4624">
        <v>-2.3012999999999999</v>
      </c>
      <c r="T4624">
        <v>-0.48068640000000001</v>
      </c>
      <c r="U4624">
        <v>-2.6401520000000001</v>
      </c>
      <c r="V4624">
        <v>0.14037529999999901</v>
      </c>
      <c r="W4624">
        <v>0.4067962</v>
      </c>
      <c r="X4624">
        <v>0.90266919999999995</v>
      </c>
      <c r="Y4624">
        <v>0.2587508</v>
      </c>
      <c r="Z4624">
        <v>0.1180726</v>
      </c>
      <c r="AA4624">
        <v>0.95870069999999996</v>
      </c>
      <c r="AB4624">
        <v>26</v>
      </c>
      <c r="AC4624">
        <v>-5.2263999999999804</v>
      </c>
      <c r="AD4624">
        <v>-1.1047208212899999</v>
      </c>
      <c r="AE4624">
        <v>-5.9483999999999897</v>
      </c>
      <c r="AF4624">
        <v>2.0804514570161601</v>
      </c>
      <c r="AG4624">
        <v>-1.1047208212899999</v>
      </c>
      <c r="AH4624">
        <v>7.4832535667375302</v>
      </c>
      <c r="AI4624">
        <v>98.094961815027602</v>
      </c>
      <c r="AJ4624">
        <v>74.463309119891406</v>
      </c>
      <c r="AK4624">
        <v>7.8452387026834502</v>
      </c>
      <c r="AL4624">
        <v>65.996265389827698</v>
      </c>
      <c r="AM4624">
        <v>81.1606587742003</v>
      </c>
      <c r="AN4624">
        <v>1.00000002890658</v>
      </c>
    </row>
    <row r="4625" spans="1:40" x14ac:dyDescent="0.25">
      <c r="A4625" t="str">
        <f>"20190304164941616"</f>
        <v>20190304164941616</v>
      </c>
      <c r="B4625" t="str">
        <f>"1551689381610131"</f>
        <v>1551689381610131</v>
      </c>
      <c r="C4625" t="s">
        <v>40</v>
      </c>
      <c r="D4625">
        <v>4.8543770000000004</v>
      </c>
      <c r="E4625">
        <v>0.58068989999999998</v>
      </c>
      <c r="F4625" t="s">
        <v>48</v>
      </c>
      <c r="G4625">
        <v>-202.83709999999999</v>
      </c>
      <c r="H4625" s="1">
        <v>-9.695515E-6</v>
      </c>
      <c r="I4625">
        <v>144.51419999999999</v>
      </c>
      <c r="J4625">
        <v>-194.6156</v>
      </c>
      <c r="K4625">
        <v>1.104716</v>
      </c>
      <c r="L4625">
        <v>153.37569999999999</v>
      </c>
      <c r="M4625">
        <v>-0.43903320000000001</v>
      </c>
      <c r="N4625">
        <v>-1.4707090000000001E-2</v>
      </c>
      <c r="O4625">
        <v>-0.89835039999999999</v>
      </c>
      <c r="P4625">
        <v>-0.51935889999999996</v>
      </c>
      <c r="Q4625">
        <v>0.39531749999999999</v>
      </c>
      <c r="R4625">
        <v>-0.75762149999999995</v>
      </c>
      <c r="S4625">
        <v>-2.3310550000000001</v>
      </c>
      <c r="T4625">
        <v>-0.3107394</v>
      </c>
      <c r="U4625">
        <v>-2.5277400000000001</v>
      </c>
      <c r="V4625">
        <v>0.1404513</v>
      </c>
      <c r="W4625">
        <v>0.40645379999999998</v>
      </c>
      <c r="X4625">
        <v>0.90281160000000005</v>
      </c>
      <c r="Y4625">
        <v>0.28404839999999998</v>
      </c>
      <c r="Z4625">
        <v>7.4400720000000004E-2</v>
      </c>
      <c r="AA4625">
        <v>0.95591890000000002</v>
      </c>
      <c r="AB4625">
        <v>26</v>
      </c>
      <c r="AC4625">
        <v>-8.22149999999999</v>
      </c>
      <c r="AD4625">
        <v>-1.104725695515</v>
      </c>
      <c r="AE4625">
        <v>-8.8614999999999995</v>
      </c>
      <c r="AF4625">
        <v>3.4667186106017001</v>
      </c>
      <c r="AG4625">
        <v>-1.104725695515</v>
      </c>
      <c r="AH4625">
        <v>11.4756486273082</v>
      </c>
      <c r="AI4625">
        <v>95.265149979616496</v>
      </c>
      <c r="AJ4625">
        <v>73.190775714027396</v>
      </c>
      <c r="AK4625">
        <v>12.0386489360253</v>
      </c>
      <c r="AL4625">
        <v>66.017738705387302</v>
      </c>
      <c r="AM4625">
        <v>81.157321659035702</v>
      </c>
      <c r="AN4625">
        <v>1.00000002215034</v>
      </c>
    </row>
    <row r="4626" spans="1:40" x14ac:dyDescent="0.25">
      <c r="A4626" t="str">
        <f>"20190304164941627"</f>
        <v>20190304164941627</v>
      </c>
      <c r="B4626" t="str">
        <f>"1551689381620867"</f>
        <v>1551689381620867</v>
      </c>
      <c r="C4626" t="s">
        <v>40</v>
      </c>
      <c r="D4626">
        <v>4.6233940000000002</v>
      </c>
      <c r="E4626">
        <v>0.57311509999999999</v>
      </c>
      <c r="F4626" t="s">
        <v>48</v>
      </c>
      <c r="G4626">
        <v>-202.91849999999999</v>
      </c>
      <c r="H4626" s="1">
        <v>-9.6515310000000005E-6</v>
      </c>
      <c r="I4626">
        <v>144.46360000000001</v>
      </c>
      <c r="J4626">
        <v>-194.67699999999999</v>
      </c>
      <c r="K4626">
        <v>1.1047229999999999</v>
      </c>
      <c r="L4626">
        <v>153.261</v>
      </c>
      <c r="M4626">
        <v>-0.44305800000000001</v>
      </c>
      <c r="N4626">
        <v>-1.4704760000000001E-2</v>
      </c>
      <c r="O4626">
        <v>-0.89637250000000002</v>
      </c>
      <c r="P4626">
        <v>-0.52280179999999998</v>
      </c>
      <c r="Q4626">
        <v>0.3947175</v>
      </c>
      <c r="R4626">
        <v>-0.7555636</v>
      </c>
      <c r="S4626">
        <v>-2.3437809999999999</v>
      </c>
      <c r="T4626">
        <v>-0.31184980000000001</v>
      </c>
      <c r="U4626">
        <v>-2.5157780000000001</v>
      </c>
      <c r="V4626">
        <v>0.140354799999999</v>
      </c>
      <c r="W4626">
        <v>0.40586040000000001</v>
      </c>
      <c r="X4626">
        <v>0.90309349999999999</v>
      </c>
      <c r="Y4626">
        <v>0.28458840000000002</v>
      </c>
      <c r="Z4626">
        <v>7.4639070000000002E-2</v>
      </c>
      <c r="AA4626">
        <v>0.95573969999999997</v>
      </c>
      <c r="AB4626">
        <v>26</v>
      </c>
      <c r="AC4626">
        <v>-8.2414999999999701</v>
      </c>
      <c r="AD4626">
        <v>-1.1047326515310001</v>
      </c>
      <c r="AE4626">
        <v>-8.7973999999999801</v>
      </c>
      <c r="AF4626">
        <v>3.4610052834651901</v>
      </c>
      <c r="AG4626">
        <v>-1.1047326515310001</v>
      </c>
      <c r="AH4626">
        <v>11.4423577771531</v>
      </c>
      <c r="AI4626">
        <v>95.2798631824582</v>
      </c>
      <c r="AJ4626">
        <v>73.170846736623901</v>
      </c>
      <c r="AK4626">
        <v>12.0052714798087</v>
      </c>
      <c r="AL4626">
        <v>66.0549445759913</v>
      </c>
      <c r="AM4626">
        <v>81.166016141327503</v>
      </c>
      <c r="AN4626">
        <v>1.0000000019567199</v>
      </c>
    </row>
    <row r="4627" spans="1:40" x14ac:dyDescent="0.25">
      <c r="A4627" t="str">
        <f>"20190304164941640"</f>
        <v>20190304164941640</v>
      </c>
      <c r="B4627" t="str">
        <f>"1551689381630627"</f>
        <v>1551689381630627</v>
      </c>
      <c r="C4627" t="s">
        <v>40</v>
      </c>
      <c r="D4627">
        <v>4.6271240000000002</v>
      </c>
      <c r="E4627">
        <v>0.57297929999999997</v>
      </c>
      <c r="F4627" t="s">
        <v>48</v>
      </c>
      <c r="G4627">
        <v>-200.3263</v>
      </c>
      <c r="H4627" s="1">
        <v>-1.15091E-5</v>
      </c>
      <c r="I4627">
        <v>146.96469999999999</v>
      </c>
      <c r="J4627">
        <v>-194.74690000000001</v>
      </c>
      <c r="K4627">
        <v>1.104733</v>
      </c>
      <c r="L4627">
        <v>153.13159999999999</v>
      </c>
      <c r="M4627">
        <v>-0.44759549999999998</v>
      </c>
      <c r="N4627">
        <v>-1.4702150000000001E-2</v>
      </c>
      <c r="O4627">
        <v>-0.89411529999999995</v>
      </c>
      <c r="P4627">
        <v>-0.52658559999999999</v>
      </c>
      <c r="Q4627">
        <v>0.39450849999999998</v>
      </c>
      <c r="R4627">
        <v>-0.75304099999999996</v>
      </c>
      <c r="S4627">
        <v>-2.3296510000000001</v>
      </c>
      <c r="T4627">
        <v>-0.45557500000000001</v>
      </c>
      <c r="U4627">
        <v>-2.596527</v>
      </c>
      <c r="V4627">
        <v>0.14024600000000001</v>
      </c>
      <c r="W4627">
        <v>0.40565509999999999</v>
      </c>
      <c r="X4627">
        <v>0.90320270000000002</v>
      </c>
      <c r="Y4627">
        <v>0.25914569999999998</v>
      </c>
      <c r="Z4627">
        <v>0.11137909999999999</v>
      </c>
      <c r="AA4627">
        <v>0.95939470000000004</v>
      </c>
      <c r="AB4627">
        <v>26</v>
      </c>
      <c r="AC4627">
        <v>-5.5793999999999899</v>
      </c>
      <c r="AD4627">
        <v>-1.1047445091000001</v>
      </c>
      <c r="AE4627">
        <v>-6.1668999999999903</v>
      </c>
      <c r="AF4627">
        <v>2.1899454532359699</v>
      </c>
      <c r="AG4627">
        <v>-1.1047445091000001</v>
      </c>
      <c r="AH4627">
        <v>7.8731634265542896</v>
      </c>
      <c r="AI4627">
        <v>97.698889101751803</v>
      </c>
      <c r="AJ4627">
        <v>74.455922666629903</v>
      </c>
      <c r="AK4627">
        <v>8.2463945976267503</v>
      </c>
      <c r="AL4627">
        <v>66.067815908317698</v>
      </c>
      <c r="AM4627">
        <v>81.173806602079907</v>
      </c>
      <c r="AN4627">
        <v>1.0000000589796401</v>
      </c>
    </row>
    <row r="4628" spans="1:40" x14ac:dyDescent="0.25">
      <c r="A4628" t="str">
        <f>"20190304164941650"</f>
        <v>20190304164941650</v>
      </c>
      <c r="B4628" t="str">
        <f>"1551689381640387"</f>
        <v>1551689381640387</v>
      </c>
      <c r="C4628" t="s">
        <v>40</v>
      </c>
      <c r="D4628">
        <v>4.6374250000000004</v>
      </c>
      <c r="E4628">
        <v>0.57297929999999997</v>
      </c>
      <c r="F4628" t="s">
        <v>48</v>
      </c>
      <c r="G4628">
        <v>-200.42930000000001</v>
      </c>
      <c r="H4628" s="1">
        <v>-1.14320899999999E-5</v>
      </c>
      <c r="I4628">
        <v>146.85939999999999</v>
      </c>
      <c r="J4628">
        <v>-194.80850000000001</v>
      </c>
      <c r="K4628">
        <v>1.104743</v>
      </c>
      <c r="L4628">
        <v>153.0188</v>
      </c>
      <c r="M4628">
        <v>-0.45155459999999897</v>
      </c>
      <c r="N4628">
        <v>-1.469987E-2</v>
      </c>
      <c r="O4628">
        <v>-0.89212239999999998</v>
      </c>
      <c r="P4628">
        <v>-0.53000130000000001</v>
      </c>
      <c r="Q4628">
        <v>0.39412350000000002</v>
      </c>
      <c r="R4628">
        <v>-0.75084319999999904</v>
      </c>
      <c r="S4628">
        <v>-2.3417509999999999</v>
      </c>
      <c r="T4628">
        <v>-0.45527200000000001</v>
      </c>
      <c r="U4628">
        <v>-2.5848390000000001</v>
      </c>
      <c r="V4628">
        <v>0.1402408</v>
      </c>
      <c r="W4628">
        <v>0.40527360000000001</v>
      </c>
      <c r="X4628">
        <v>0.90337469999999997</v>
      </c>
      <c r="Y4628">
        <v>0.2595015</v>
      </c>
      <c r="Z4628">
        <v>0.111180399999999</v>
      </c>
      <c r="AA4628">
        <v>0.9593216</v>
      </c>
      <c r="AB4628">
        <v>26</v>
      </c>
      <c r="AC4628">
        <v>-5.6208</v>
      </c>
      <c r="AD4628">
        <v>-1.10475443209</v>
      </c>
      <c r="AE4628">
        <v>-6.1593999999999998</v>
      </c>
      <c r="AF4628">
        <v>2.1948514319656498</v>
      </c>
      <c r="AG4628">
        <v>-1.10475443209</v>
      </c>
      <c r="AH4628">
        <v>7.8953189124584604</v>
      </c>
      <c r="AI4628">
        <v>97.677922664177999</v>
      </c>
      <c r="AJ4628">
        <v>74.464387475951398</v>
      </c>
      <c r="AK4628">
        <v>8.2688521508761106</v>
      </c>
      <c r="AL4628">
        <v>66.091726813556406</v>
      </c>
      <c r="AM4628">
        <v>81.175782676437194</v>
      </c>
      <c r="AN4628">
        <v>1.00000001072084</v>
      </c>
    </row>
    <row r="4629" spans="1:40" x14ac:dyDescent="0.25">
      <c r="A4629" t="str">
        <f>"20190304164941662"</f>
        <v>20190304164941662</v>
      </c>
      <c r="B4629" t="str">
        <f>"1551689381650147"</f>
        <v>1551689381650147</v>
      </c>
      <c r="C4629" t="s">
        <v>40</v>
      </c>
      <c r="D4629">
        <v>4.4584479999999997</v>
      </c>
      <c r="E4629">
        <v>0.57306969999999902</v>
      </c>
      <c r="F4629" t="s">
        <v>48</v>
      </c>
      <c r="G4629">
        <v>-200.50290000000001</v>
      </c>
      <c r="H4629" s="1">
        <v>-1.1379170000000001E-5</v>
      </c>
      <c r="I4629">
        <v>146.7911</v>
      </c>
      <c r="J4629">
        <v>-194.8716</v>
      </c>
      <c r="K4629">
        <v>1.104752</v>
      </c>
      <c r="L4629">
        <v>152.90459999999999</v>
      </c>
      <c r="M4629">
        <v>-0.45556239999999998</v>
      </c>
      <c r="N4629">
        <v>-1.469752E-2</v>
      </c>
      <c r="O4629">
        <v>-0.89008259999999995</v>
      </c>
      <c r="P4629">
        <v>-0.53343819999999997</v>
      </c>
      <c r="Q4629">
        <v>0.39399810000000002</v>
      </c>
      <c r="R4629">
        <v>-0.74847140000000001</v>
      </c>
      <c r="S4629">
        <v>-2.353485</v>
      </c>
      <c r="T4629">
        <v>-0.45659650000000002</v>
      </c>
      <c r="U4629">
        <v>-2.5738979999999998</v>
      </c>
      <c r="V4629">
        <v>0.14027990000000001</v>
      </c>
      <c r="W4629">
        <v>0.40514850000000002</v>
      </c>
      <c r="X4629">
        <v>0.90342469999999997</v>
      </c>
      <c r="Y4629">
        <v>0.25954850000000002</v>
      </c>
      <c r="Z4629">
        <v>0.111388</v>
      </c>
      <c r="AA4629">
        <v>0.95928480000000005</v>
      </c>
      <c r="AB4629">
        <v>26</v>
      </c>
      <c r="AC4629">
        <v>-5.6313000000000004</v>
      </c>
      <c r="AD4629">
        <v>-1.10476337917</v>
      </c>
      <c r="AE4629">
        <v>-6.1134999999999797</v>
      </c>
      <c r="AF4629">
        <v>2.18881358491014</v>
      </c>
      <c r="AG4629">
        <v>-1.10476337917</v>
      </c>
      <c r="AH4629">
        <v>7.8687805515591904</v>
      </c>
      <c r="AI4629">
        <v>97.703234084836396</v>
      </c>
      <c r="AJ4629">
        <v>74.455333040808895</v>
      </c>
      <c r="AK4629">
        <v>8.24191205983408</v>
      </c>
      <c r="AL4629">
        <v>66.099566065697701</v>
      </c>
      <c r="AM4629">
        <v>81.173841984075807</v>
      </c>
      <c r="AN4629">
        <v>0.999999972983174</v>
      </c>
    </row>
    <row r="4630" spans="1:40" x14ac:dyDescent="0.25">
      <c r="A4630" t="str">
        <f>"20190304164941673"</f>
        <v>20190304164941673</v>
      </c>
      <c r="B4630" t="str">
        <f>"1551689381670643"</f>
        <v>1551689381670643</v>
      </c>
      <c r="C4630" t="s">
        <v>40</v>
      </c>
      <c r="D4630">
        <v>4.6130430000000002</v>
      </c>
      <c r="E4630">
        <v>0.57184590000000002</v>
      </c>
      <c r="F4630" t="s">
        <v>48</v>
      </c>
      <c r="G4630">
        <v>-200.78970000000001</v>
      </c>
      <c r="H4630" s="1">
        <v>-1.116623E-5</v>
      </c>
      <c r="I4630">
        <v>146.50290000000001</v>
      </c>
      <c r="J4630">
        <v>-194.9385</v>
      </c>
      <c r="K4630">
        <v>1.10476</v>
      </c>
      <c r="L4630">
        <v>152.7843</v>
      </c>
      <c r="M4630">
        <v>-0.45978219999999997</v>
      </c>
      <c r="N4630">
        <v>-1.4695049999999999E-2</v>
      </c>
      <c r="O4630">
        <v>-0.88791030000000004</v>
      </c>
      <c r="P4630">
        <v>-0.53705159999999996</v>
      </c>
      <c r="Q4630">
        <v>0.39392840000000001</v>
      </c>
      <c r="R4630">
        <v>-0.74591989999999997</v>
      </c>
      <c r="S4630">
        <v>-2.363083</v>
      </c>
      <c r="T4630">
        <v>-0.44113019999999997</v>
      </c>
      <c r="U4630">
        <v>-2.5561980000000002</v>
      </c>
      <c r="V4630">
        <v>0.14033409999999999</v>
      </c>
      <c r="W4630">
        <v>0.40507880000000002</v>
      </c>
      <c r="X4630">
        <v>0.90344760000000002</v>
      </c>
      <c r="Y4630">
        <v>0.26054569999999999</v>
      </c>
      <c r="Z4630">
        <v>0.1073525</v>
      </c>
      <c r="AA4630">
        <v>0.95947459999999996</v>
      </c>
      <c r="AB4630">
        <v>26</v>
      </c>
      <c r="AC4630">
        <v>-5.8512000000000004</v>
      </c>
      <c r="AD4630">
        <v>-1.1047711662299999</v>
      </c>
      <c r="AE4630">
        <v>-6.2813999999999899</v>
      </c>
      <c r="AF4630">
        <v>2.2699185115116798</v>
      </c>
      <c r="AG4630">
        <v>-1.1047711662299999</v>
      </c>
      <c r="AH4630">
        <v>8.1337746816582701</v>
      </c>
      <c r="AI4630">
        <v>97.4534563420453</v>
      </c>
      <c r="AJ4630">
        <v>74.407006710808005</v>
      </c>
      <c r="AK4630">
        <v>8.51653332939064</v>
      </c>
      <c r="AL4630">
        <v>66.103935510939195</v>
      </c>
      <c r="AM4630">
        <v>81.170705820292298</v>
      </c>
      <c r="AN4630">
        <v>1.0000000298889999</v>
      </c>
    </row>
    <row r="4631" spans="1:40" x14ac:dyDescent="0.25">
      <c r="A4631" t="str">
        <f>"20190304164941686"</f>
        <v>20190304164941686</v>
      </c>
      <c r="B4631" t="str">
        <f>"1551689381680911"</f>
        <v>1551689381680911</v>
      </c>
      <c r="C4631" t="s">
        <v>40</v>
      </c>
      <c r="D4631">
        <v>4.6307349999999996</v>
      </c>
      <c r="E4631">
        <v>0.57146779999999997</v>
      </c>
      <c r="F4631" t="s">
        <v>48</v>
      </c>
      <c r="G4631">
        <v>-200.62459999999999</v>
      </c>
      <c r="H4631" s="1">
        <v>-1.1283109999999999E-5</v>
      </c>
      <c r="I4631">
        <v>146.6497</v>
      </c>
      <c r="J4631">
        <v>-195.0103</v>
      </c>
      <c r="K4631">
        <v>1.104768</v>
      </c>
      <c r="L4631">
        <v>152.6576</v>
      </c>
      <c r="M4631">
        <v>-0.46423690000000001</v>
      </c>
      <c r="N4631">
        <v>-1.4692429999999999E-2</v>
      </c>
      <c r="O4631">
        <v>-0.88558919999999997</v>
      </c>
      <c r="P4631">
        <v>-0.5410121</v>
      </c>
      <c r="Q4631">
        <v>0.39370759999999999</v>
      </c>
      <c r="R4631">
        <v>-0.74316910000000003</v>
      </c>
      <c r="S4631">
        <v>-2.3710170000000002</v>
      </c>
      <c r="T4631">
        <v>-0.46067710000000001</v>
      </c>
      <c r="U4631">
        <v>-2.5580750000000001</v>
      </c>
      <c r="V4631">
        <v>0.14053650000000001</v>
      </c>
      <c r="W4631">
        <v>0.40485690000000002</v>
      </c>
      <c r="X4631">
        <v>0.90351559999999997</v>
      </c>
      <c r="Y4631">
        <v>0.2565442</v>
      </c>
      <c r="Z4631">
        <v>0.1120134</v>
      </c>
      <c r="AA4631">
        <v>0.96001979999999998</v>
      </c>
      <c r="AB4631">
        <v>26</v>
      </c>
      <c r="AC4631">
        <v>-5.6142999999999796</v>
      </c>
      <c r="AD4631">
        <v>-1.1047792831100001</v>
      </c>
      <c r="AE4631">
        <v>-6.0079000000000002</v>
      </c>
      <c r="AF4631">
        <v>2.14440116531902</v>
      </c>
      <c r="AG4631">
        <v>-1.1047792831100001</v>
      </c>
      <c r="AH4631">
        <v>7.7871841427044197</v>
      </c>
      <c r="AI4631">
        <v>97.7885903258193</v>
      </c>
      <c r="AJ4631">
        <v>74.603738914486399</v>
      </c>
      <c r="AK4631">
        <v>8.1522530931392101</v>
      </c>
      <c r="AL4631">
        <v>66.117840649265403</v>
      </c>
      <c r="AM4631">
        <v>81.158827579176901</v>
      </c>
      <c r="AN4631">
        <v>1.0000000283766</v>
      </c>
    </row>
    <row r="4632" spans="1:40" x14ac:dyDescent="0.25">
      <c r="A4632" t="str">
        <f>"20190304164941701"</f>
        <v>20190304164941701</v>
      </c>
      <c r="B4632" t="str">
        <f>"1551689381690670"</f>
        <v>1551689381690670</v>
      </c>
      <c r="C4632" t="s">
        <v>40</v>
      </c>
      <c r="D4632">
        <v>4.630846</v>
      </c>
      <c r="E4632">
        <v>0.57105819999999996</v>
      </c>
      <c r="F4632" t="s">
        <v>48</v>
      </c>
      <c r="G4632">
        <v>-200.642</v>
      </c>
      <c r="H4632" s="1">
        <v>-1.126934E-5</v>
      </c>
      <c r="I4632">
        <v>146.6293</v>
      </c>
      <c r="J4632">
        <v>-195.10040000000001</v>
      </c>
      <c r="K4632">
        <v>1.104779</v>
      </c>
      <c r="L4632">
        <v>152.5</v>
      </c>
      <c r="M4632">
        <v>-0.46977210000000003</v>
      </c>
      <c r="N4632">
        <v>-1.4689199999999999E-2</v>
      </c>
      <c r="O4632">
        <v>-0.88266549999999999</v>
      </c>
      <c r="P4632">
        <v>-0.54587739999999996</v>
      </c>
      <c r="Q4632">
        <v>0.39357409999999998</v>
      </c>
      <c r="R4632">
        <v>-0.73967369999999899</v>
      </c>
      <c r="S4632">
        <v>-2.3823089999999998</v>
      </c>
      <c r="T4632">
        <v>-0.46734330000000002</v>
      </c>
      <c r="U4632">
        <v>-2.5500639999999999</v>
      </c>
      <c r="V4632">
        <v>0.14076379999999999</v>
      </c>
      <c r="W4632">
        <v>0.40472089999999999</v>
      </c>
      <c r="X4632">
        <v>0.90354109999999999</v>
      </c>
      <c r="Y4632">
        <v>0.25414009999999998</v>
      </c>
      <c r="Z4632">
        <v>0.1133972</v>
      </c>
      <c r="AA4632">
        <v>0.96049669999999998</v>
      </c>
      <c r="AB4632">
        <v>26</v>
      </c>
      <c r="AC4632">
        <v>-5.5415999999999803</v>
      </c>
      <c r="AD4632">
        <v>-1.10479026934</v>
      </c>
      <c r="AE4632">
        <v>-5.8706999999999896</v>
      </c>
      <c r="AF4632">
        <v>2.0944934440373899</v>
      </c>
      <c r="AG4632">
        <v>-1.10479026934</v>
      </c>
      <c r="AH4632">
        <v>7.6428610261043897</v>
      </c>
      <c r="AI4632">
        <v>97.936548742830297</v>
      </c>
      <c r="AJ4632">
        <v>74.674592549390695</v>
      </c>
      <c r="AK4632">
        <v>8.0012992064220096</v>
      </c>
      <c r="AL4632">
        <v>66.126361182918004</v>
      </c>
      <c r="AM4632">
        <v>81.145000504257396</v>
      </c>
      <c r="AN4632">
        <v>0.99999998683822899</v>
      </c>
    </row>
    <row r="4633" spans="1:40" x14ac:dyDescent="0.25">
      <c r="A4633" t="str">
        <f>"20190304164941718"</f>
        <v>20190304164941718</v>
      </c>
      <c r="B4633" t="str">
        <f>"1551689381710190"</f>
        <v>1551689381710190</v>
      </c>
      <c r="C4633" t="s">
        <v>40</v>
      </c>
      <c r="D4633">
        <v>4.6148829999999998</v>
      </c>
      <c r="E4633">
        <v>0.57037450000000001</v>
      </c>
      <c r="F4633" t="s">
        <v>48</v>
      </c>
      <c r="G4633">
        <v>-200.6986</v>
      </c>
      <c r="H4633" s="1">
        <v>-1.1226419999999999E-5</v>
      </c>
      <c r="I4633">
        <v>146.56950000000001</v>
      </c>
      <c r="J4633">
        <v>-195.20490000000001</v>
      </c>
      <c r="K4633">
        <v>1.1047940000000001</v>
      </c>
      <c r="L4633">
        <v>152.32</v>
      </c>
      <c r="M4633">
        <v>-0.47609609999999902</v>
      </c>
      <c r="N4633">
        <v>-1.4685439999999999E-2</v>
      </c>
      <c r="O4633">
        <v>-0.87927080000000002</v>
      </c>
      <c r="P4633">
        <v>-0.55151799999999995</v>
      </c>
      <c r="Q4633">
        <v>0.3926906</v>
      </c>
      <c r="R4633">
        <v>-0.73594989999999905</v>
      </c>
      <c r="S4633">
        <v>-2.396576</v>
      </c>
      <c r="T4633">
        <v>-0.4729582</v>
      </c>
      <c r="U4633">
        <v>-2.5388489999999999</v>
      </c>
      <c r="V4633">
        <v>0.14093849999999999</v>
      </c>
      <c r="W4633">
        <v>0.40384029999999999</v>
      </c>
      <c r="X4633">
        <v>0.90390780000000004</v>
      </c>
      <c r="Y4633">
        <v>0.25206689999999998</v>
      </c>
      <c r="Z4633">
        <v>0.1144695</v>
      </c>
      <c r="AA4633">
        <v>0.96091570000000004</v>
      </c>
      <c r="AB4633">
        <v>26</v>
      </c>
      <c r="AC4633">
        <v>-5.4936999999999898</v>
      </c>
      <c r="AD4633">
        <v>-1.1048052264199999</v>
      </c>
      <c r="AE4633">
        <v>-5.7504999999999802</v>
      </c>
      <c r="AF4633">
        <v>2.05326042344285</v>
      </c>
      <c r="AG4633">
        <v>-1.1048052264199999</v>
      </c>
      <c r="AH4633">
        <v>7.5273377076250796</v>
      </c>
      <c r="AI4633">
        <v>98.059445643165901</v>
      </c>
      <c r="AJ4633">
        <v>74.742400682404593</v>
      </c>
      <c r="AK4633">
        <v>7.88018311458789</v>
      </c>
      <c r="AL4633">
        <v>66.181524722426204</v>
      </c>
      <c r="AM4633">
        <v>81.137724774500001</v>
      </c>
      <c r="AN4633">
        <v>0.99999997979358901</v>
      </c>
    </row>
    <row r="4634" spans="1:40" x14ac:dyDescent="0.25">
      <c r="A4634" t="str">
        <f>"20190304164941730"</f>
        <v>20190304164941730</v>
      </c>
      <c r="B4634" t="str">
        <f>"1551689381720926"</f>
        <v>1551689381720926</v>
      </c>
      <c r="C4634" t="s">
        <v>40</v>
      </c>
      <c r="D4634">
        <v>4.6178520000000001</v>
      </c>
      <c r="E4634">
        <v>0.57028190000000001</v>
      </c>
      <c r="F4634" t="s">
        <v>48</v>
      </c>
      <c r="G4634">
        <v>-200.70099999999999</v>
      </c>
      <c r="H4634" s="1">
        <v>-1.1223120000000001E-5</v>
      </c>
      <c r="I4634">
        <v>146.56190000000001</v>
      </c>
      <c r="J4634">
        <v>-195.27500000000001</v>
      </c>
      <c r="K4634">
        <v>1.1048020000000001</v>
      </c>
      <c r="L4634">
        <v>152.20099999999999</v>
      </c>
      <c r="M4634">
        <v>-0.48027950000000003</v>
      </c>
      <c r="N4634">
        <v>-1.468292E-2</v>
      </c>
      <c r="O4634">
        <v>-0.87699259999999901</v>
      </c>
      <c r="P4634">
        <v>-0.55505969999999905</v>
      </c>
      <c r="Q4634">
        <v>0.39233059999999997</v>
      </c>
      <c r="R4634">
        <v>-0.73347530000000005</v>
      </c>
      <c r="S4634">
        <v>-2.4123230000000002</v>
      </c>
      <c r="T4634">
        <v>-0.48491899999999899</v>
      </c>
      <c r="U4634">
        <v>-2.5273590000000001</v>
      </c>
      <c r="V4634">
        <v>0.14088319999999999</v>
      </c>
      <c r="W4634">
        <v>0.40348479999999998</v>
      </c>
      <c r="X4634">
        <v>0.90407519999999997</v>
      </c>
      <c r="Y4634">
        <v>0.25250230000000001</v>
      </c>
      <c r="Z4634">
        <v>0.1173507</v>
      </c>
      <c r="AA4634">
        <v>0.96045369999999997</v>
      </c>
      <c r="AB4634">
        <v>26</v>
      </c>
      <c r="AC4634">
        <v>-5.4259999999999797</v>
      </c>
      <c r="AD4634">
        <v>-1.1048132231200001</v>
      </c>
      <c r="AE4634">
        <v>-5.6390999999999796</v>
      </c>
      <c r="AF4634">
        <v>2.0103694396402201</v>
      </c>
      <c r="AG4634">
        <v>-1.1048132231200001</v>
      </c>
      <c r="AH4634">
        <v>7.4046747290396002</v>
      </c>
      <c r="AI4634">
        <v>98.193824630063006</v>
      </c>
      <c r="AJ4634">
        <v>74.810349267754503</v>
      </c>
      <c r="AK4634">
        <v>7.75186463921409</v>
      </c>
      <c r="AL4634">
        <v>66.203788635521306</v>
      </c>
      <c r="AM4634">
        <v>81.142761206338506</v>
      </c>
      <c r="AN4634">
        <v>1.00000001356415</v>
      </c>
    </row>
    <row r="4635" spans="1:40" x14ac:dyDescent="0.25">
      <c r="A4635" t="str">
        <f>"20190304164941741"</f>
        <v>20190304164941741</v>
      </c>
      <c r="B4635" t="str">
        <f>"1551689381730687"</f>
        <v>1551689381730687</v>
      </c>
      <c r="C4635" t="s">
        <v>40</v>
      </c>
      <c r="D4635">
        <v>4.7078379999999997</v>
      </c>
      <c r="E4635">
        <v>0.57038710000000004</v>
      </c>
      <c r="F4635" t="s">
        <v>48</v>
      </c>
      <c r="G4635">
        <v>-200.76320000000001</v>
      </c>
      <c r="H4635" s="1">
        <v>-1.1178249999999999E-5</v>
      </c>
      <c r="I4635">
        <v>146.50389999999999</v>
      </c>
      <c r="J4635">
        <v>-195.34020000000001</v>
      </c>
      <c r="K4635">
        <v>1.1048089999999999</v>
      </c>
      <c r="L4635">
        <v>152.0916</v>
      </c>
      <c r="M4635">
        <v>-0.48412949999999999</v>
      </c>
      <c r="N4635">
        <v>-1.468061E-2</v>
      </c>
      <c r="O4635">
        <v>-0.87487329999999996</v>
      </c>
      <c r="P4635">
        <v>-0.55830970000000002</v>
      </c>
      <c r="Q4635">
        <v>0.3917852</v>
      </c>
      <c r="R4635">
        <v>-0.73129669999999902</v>
      </c>
      <c r="S4635">
        <v>-2.4242710000000001</v>
      </c>
      <c r="T4635">
        <v>-0.48801860000000002</v>
      </c>
      <c r="U4635">
        <v>-2.516556</v>
      </c>
      <c r="V4635">
        <v>0.1407641</v>
      </c>
      <c r="W4635">
        <v>0.40294580000000002</v>
      </c>
      <c r="X4635">
        <v>0.90433410000000003</v>
      </c>
      <c r="Y4635">
        <v>0.25261090000000003</v>
      </c>
      <c r="Z4635">
        <v>0.1179688</v>
      </c>
      <c r="AA4635">
        <v>0.96034949999999997</v>
      </c>
      <c r="AB4635">
        <v>26</v>
      </c>
      <c r="AC4635">
        <v>-5.423</v>
      </c>
      <c r="AD4635">
        <v>-1.10482017825</v>
      </c>
      <c r="AE4635">
        <v>-5.5877000000000097</v>
      </c>
      <c r="AF4635">
        <v>1.9992384984981599</v>
      </c>
      <c r="AG4635">
        <v>-1.10482017825</v>
      </c>
      <c r="AH4635">
        <v>7.3664714159848002</v>
      </c>
      <c r="AI4635">
        <v>98.235999904105796</v>
      </c>
      <c r="AJ4635">
        <v>74.815845685103099</v>
      </c>
      <c r="AK4635">
        <v>7.7124887891436602</v>
      </c>
      <c r="AL4635">
        <v>66.237535876694295</v>
      </c>
      <c r="AM4635">
        <v>81.152623896313997</v>
      </c>
      <c r="AN4635">
        <v>1.00000000700463</v>
      </c>
    </row>
    <row r="4636" spans="1:40" x14ac:dyDescent="0.25">
      <c r="A4636" t="str">
        <f>"20190304164941753"</f>
        <v>20190304164941753</v>
      </c>
      <c r="B4636" t="str">
        <f>"1551689381750207"</f>
        <v>1551689381750207</v>
      </c>
      <c r="C4636" t="s">
        <v>40</v>
      </c>
      <c r="D4636">
        <v>4.8998609999999996</v>
      </c>
      <c r="E4636">
        <v>0.57115689999999997</v>
      </c>
      <c r="F4636" t="s">
        <v>48</v>
      </c>
      <c r="G4636">
        <v>-200.8022</v>
      </c>
      <c r="H4636" s="1">
        <v>-1.1152070000000001E-5</v>
      </c>
      <c r="I4636">
        <v>146.47399999999999</v>
      </c>
      <c r="J4636">
        <v>-195.40950000000001</v>
      </c>
      <c r="K4636">
        <v>1.104814</v>
      </c>
      <c r="L4636">
        <v>151.97620000000001</v>
      </c>
      <c r="M4636">
        <v>-0.48818899999999998</v>
      </c>
      <c r="N4636">
        <v>-1.4678190000000001E-2</v>
      </c>
      <c r="O4636">
        <v>-0.87261449999999996</v>
      </c>
      <c r="P4636">
        <v>-0.56199809999999994</v>
      </c>
      <c r="Q4636">
        <v>0.39118439999999999</v>
      </c>
      <c r="R4636">
        <v>-0.72878869999999996</v>
      </c>
      <c r="S4636">
        <v>-2.4366759999999998</v>
      </c>
      <c r="T4636">
        <v>-0.49287019999999998</v>
      </c>
      <c r="U4636">
        <v>-2.5060579999999999</v>
      </c>
      <c r="V4636">
        <v>0.14095940000000001</v>
      </c>
      <c r="W4636">
        <v>0.40234560000000003</v>
      </c>
      <c r="X4636">
        <v>0.90457089999999996</v>
      </c>
      <c r="Y4636">
        <v>0.25246610000000003</v>
      </c>
      <c r="Z4636">
        <v>0.1189963</v>
      </c>
      <c r="AA4636">
        <v>0.96026069999999997</v>
      </c>
      <c r="AB4636">
        <v>26</v>
      </c>
      <c r="AC4636">
        <v>-5.3926999999999898</v>
      </c>
      <c r="AD4636">
        <v>-1.1048251520700001</v>
      </c>
      <c r="AE4636">
        <v>-5.50220000000001</v>
      </c>
      <c r="AF4636">
        <v>1.97915122356026</v>
      </c>
      <c r="AG4636">
        <v>-1.1048251520700001</v>
      </c>
      <c r="AH4636">
        <v>7.2849430458864601</v>
      </c>
      <c r="AI4636">
        <v>98.326342259720207</v>
      </c>
      <c r="AJ4636">
        <v>74.800908184937001</v>
      </c>
      <c r="AK4636">
        <v>7.6294215615717604</v>
      </c>
      <c r="AL4636">
        <v>66.275105211413702</v>
      </c>
      <c r="AM4636">
        <v>81.142825862840297</v>
      </c>
      <c r="AN4636">
        <v>1.0000000237072599</v>
      </c>
    </row>
    <row r="4637" spans="1:40" x14ac:dyDescent="0.25">
      <c r="A4637" t="str">
        <f>"20190304164941763"</f>
        <v>20190304164941763</v>
      </c>
      <c r="B4637" t="str">
        <f>"1551689381759966"</f>
        <v>1551689381759966</v>
      </c>
      <c r="C4637" t="s">
        <v>40</v>
      </c>
      <c r="D4637">
        <v>4.8211009999999996</v>
      </c>
      <c r="E4637">
        <v>0.57136239999999905</v>
      </c>
      <c r="F4637" t="s">
        <v>48</v>
      </c>
      <c r="G4637">
        <v>-200.83109999999999</v>
      </c>
      <c r="H4637" s="1">
        <v>-1.113893E-5</v>
      </c>
      <c r="I4637">
        <v>146.47290000000001</v>
      </c>
      <c r="J4637">
        <v>-195.4736</v>
      </c>
      <c r="K4637">
        <v>1.104819</v>
      </c>
      <c r="L4637">
        <v>151.87090000000001</v>
      </c>
      <c r="M4637">
        <v>-0.49189749999999999</v>
      </c>
      <c r="N4637">
        <v>-1.467595E-2</v>
      </c>
      <c r="O4637">
        <v>-0.87052969999999896</v>
      </c>
      <c r="P4637">
        <v>-0.56535139999999995</v>
      </c>
      <c r="Q4637">
        <v>0.39072190000000001</v>
      </c>
      <c r="R4637">
        <v>-0.72643970000000002</v>
      </c>
      <c r="S4637">
        <v>-2.4549099999999999</v>
      </c>
      <c r="T4637">
        <v>-0.5002624</v>
      </c>
      <c r="U4637">
        <v>-2.4918670000000001</v>
      </c>
      <c r="V4637">
        <v>0.1411443</v>
      </c>
      <c r="W4637">
        <v>0.4018833</v>
      </c>
      <c r="X4637">
        <v>0.90474750000000004</v>
      </c>
      <c r="Y4637">
        <v>0.2544767</v>
      </c>
      <c r="Z4637">
        <v>0.1207255</v>
      </c>
      <c r="AA4637">
        <v>0.95951390000000003</v>
      </c>
      <c r="AB4637">
        <v>26</v>
      </c>
      <c r="AC4637">
        <v>-5.3574999999999804</v>
      </c>
      <c r="AD4637">
        <v>-1.1048301389299999</v>
      </c>
      <c r="AE4637">
        <v>-5.3979999999999899</v>
      </c>
      <c r="AF4637">
        <v>1.9672991937098001</v>
      </c>
      <c r="AG4637">
        <v>-1.1048301389299999</v>
      </c>
      <c r="AH4637">
        <v>7.1836485228890501</v>
      </c>
      <c r="AI4637">
        <v>98.437500910946198</v>
      </c>
      <c r="AJ4637">
        <v>74.684601041515293</v>
      </c>
      <c r="AK4637">
        <v>7.5296561577448804</v>
      </c>
      <c r="AL4637">
        <v>66.304033670148002</v>
      </c>
      <c r="AM4637">
        <v>81.133095827693893</v>
      </c>
      <c r="AN4637">
        <v>0.99999996949881398</v>
      </c>
    </row>
    <row r="4638" spans="1:40" x14ac:dyDescent="0.25">
      <c r="A4638" t="str">
        <f>"20190304164941774"</f>
        <v>20190304164941774</v>
      </c>
      <c r="B4638" t="str">
        <f>"1551689381770702"</f>
        <v>1551689381770702</v>
      </c>
      <c r="C4638" t="s">
        <v>40</v>
      </c>
      <c r="D4638">
        <v>4.7857960000000004</v>
      </c>
      <c r="E4638">
        <v>0.57152599999999998</v>
      </c>
      <c r="F4638" t="s">
        <v>48</v>
      </c>
      <c r="G4638">
        <v>-200.84870000000001</v>
      </c>
      <c r="H4638" s="1">
        <v>-1.11292899999999E-5</v>
      </c>
      <c r="I4638">
        <v>146.4667</v>
      </c>
      <c r="J4638">
        <v>-195.54169999999999</v>
      </c>
      <c r="K4638">
        <v>1.1048230000000001</v>
      </c>
      <c r="L4638">
        <v>151.75970000000001</v>
      </c>
      <c r="M4638">
        <v>-0.49580930000000001</v>
      </c>
      <c r="N4638">
        <v>-1.467363E-2</v>
      </c>
      <c r="O4638">
        <v>-0.86830750000000001</v>
      </c>
      <c r="P4638">
        <v>-0.56882509999999997</v>
      </c>
      <c r="Q4638">
        <v>0.39038200000000001</v>
      </c>
      <c r="R4638">
        <v>-0.7239061</v>
      </c>
      <c r="S4638">
        <v>-2.4682919999999999</v>
      </c>
      <c r="T4638">
        <v>-0.50735200000000003</v>
      </c>
      <c r="U4638">
        <v>-2.4816739999999999</v>
      </c>
      <c r="V4638">
        <v>0.14130499999999999</v>
      </c>
      <c r="W4638">
        <v>0.40154309999999999</v>
      </c>
      <c r="X4638">
        <v>0.9048735</v>
      </c>
      <c r="Y4638">
        <v>0.25453599999999998</v>
      </c>
      <c r="Z4638">
        <v>0.1222916</v>
      </c>
      <c r="AA4638">
        <v>0.95929989999999998</v>
      </c>
      <c r="AB4638">
        <v>26</v>
      </c>
      <c r="AC4638">
        <v>-5.3070000000000102</v>
      </c>
      <c r="AD4638">
        <v>-1.1048341292899999</v>
      </c>
      <c r="AE4638">
        <v>-5.2930000000000001</v>
      </c>
      <c r="AF4638">
        <v>1.94181188754657</v>
      </c>
      <c r="AG4638">
        <v>-1.1048341292899999</v>
      </c>
      <c r="AH4638">
        <v>7.0742822663256097</v>
      </c>
      <c r="AI4638">
        <v>98.564694234957102</v>
      </c>
      <c r="AJ4638">
        <v>74.650977818041298</v>
      </c>
      <c r="AK4638">
        <v>7.4186765291061301</v>
      </c>
      <c r="AL4638">
        <v>66.325319578808006</v>
      </c>
      <c r="AM4638">
        <v>81.124377473518095</v>
      </c>
      <c r="AN4638">
        <v>1.00000000759243</v>
      </c>
    </row>
    <row r="4639" spans="1:40" x14ac:dyDescent="0.25">
      <c r="A4639" t="str">
        <f>"20190304164941786"</f>
        <v>20190304164941786</v>
      </c>
      <c r="B4639" t="str">
        <f>"1551689381780969"</f>
        <v>1551689381780969</v>
      </c>
      <c r="C4639" t="s">
        <v>40</v>
      </c>
      <c r="D4639">
        <v>4.7736989999999997</v>
      </c>
      <c r="E4639">
        <v>0.57189380000000001</v>
      </c>
      <c r="F4639" t="s">
        <v>41</v>
      </c>
      <c r="G4639">
        <v>-196.0752</v>
      </c>
      <c r="H4639">
        <v>0.99434009999999995</v>
      </c>
      <c r="I4639">
        <v>151.2286</v>
      </c>
      <c r="J4639">
        <v>-195.62029999999999</v>
      </c>
      <c r="K4639">
        <v>1.104827</v>
      </c>
      <c r="L4639">
        <v>151.63329999999999</v>
      </c>
      <c r="M4639">
        <v>-0.50026300000000001</v>
      </c>
      <c r="N4639">
        <v>-1.467096E-2</v>
      </c>
      <c r="O4639">
        <v>-0.86574949999999995</v>
      </c>
      <c r="P4639">
        <v>-0.57292540000000003</v>
      </c>
      <c r="Q4639">
        <v>0.38991170000000003</v>
      </c>
      <c r="R4639">
        <v>-0.72092029999999996</v>
      </c>
      <c r="S4639">
        <v>-2.4816889999999998</v>
      </c>
      <c r="T4639">
        <v>-0.5136136</v>
      </c>
      <c r="U4639">
        <v>-2.4711609999999999</v>
      </c>
      <c r="V4639">
        <v>0.14165249999999999</v>
      </c>
      <c r="W4639">
        <v>0.4010706</v>
      </c>
      <c r="X4639">
        <v>0.90502870000000002</v>
      </c>
      <c r="Y4639">
        <v>0.25406109999999998</v>
      </c>
      <c r="Z4639">
        <v>0.1235841</v>
      </c>
      <c r="AA4639">
        <v>0.95926009999999995</v>
      </c>
      <c r="AB4639">
        <v>26</v>
      </c>
      <c r="AC4639">
        <v>-0.45490000000000902</v>
      </c>
      <c r="AD4639">
        <v>-0.1104869</v>
      </c>
      <c r="AE4639">
        <v>-0.40469999999999101</v>
      </c>
      <c r="AF4639">
        <v>0.185292057454258</v>
      </c>
      <c r="AG4639">
        <v>-0.1104869</v>
      </c>
      <c r="AH4639">
        <v>0.55957423554188501</v>
      </c>
      <c r="AI4639">
        <v>100.61629388143101</v>
      </c>
      <c r="AJ4639">
        <v>71.6787214862578</v>
      </c>
      <c r="AK4639">
        <v>0.59971979015997701</v>
      </c>
      <c r="AL4639">
        <v>66.354876130295395</v>
      </c>
      <c r="AM4639">
        <v>81.104400471123796</v>
      </c>
      <c r="AN4639">
        <v>1.00000000238215</v>
      </c>
    </row>
    <row r="4640" spans="1:40" x14ac:dyDescent="0.25">
      <c r="A4640" t="str">
        <f>"20190304164941800"</f>
        <v>20190304164941800</v>
      </c>
      <c r="B4640" t="str">
        <f>"1551689381790729"</f>
        <v>1551689381790729</v>
      </c>
      <c r="C4640" t="s">
        <v>40</v>
      </c>
      <c r="D4640">
        <v>4.8028700000000004</v>
      </c>
      <c r="E4640">
        <v>0.57219059999999999</v>
      </c>
      <c r="F4640" t="s">
        <v>48</v>
      </c>
      <c r="G4640">
        <v>-200.9503</v>
      </c>
      <c r="H4640" s="1">
        <v>-1.1061570000000001E-5</v>
      </c>
      <c r="I4640">
        <v>146.39060000000001</v>
      </c>
      <c r="J4640">
        <v>-195.70349999999999</v>
      </c>
      <c r="K4640">
        <v>1.104835</v>
      </c>
      <c r="L4640">
        <v>151.50049999999999</v>
      </c>
      <c r="M4640">
        <v>-0.50493829999999995</v>
      </c>
      <c r="N4640">
        <v>-1.4668189999999999E-2</v>
      </c>
      <c r="O4640">
        <v>-0.86303090000000005</v>
      </c>
      <c r="P4640">
        <v>-0.57735570000000003</v>
      </c>
      <c r="Q4640">
        <v>0.38930360000000003</v>
      </c>
      <c r="R4640">
        <v>-0.71770690000000004</v>
      </c>
      <c r="S4640">
        <v>-2.4974820000000002</v>
      </c>
      <c r="T4640">
        <v>-0.51768840000000005</v>
      </c>
      <c r="U4640">
        <v>-2.4565730000000001</v>
      </c>
      <c r="V4640">
        <v>0.14215079999999999</v>
      </c>
      <c r="W4640">
        <v>0.40045809999999998</v>
      </c>
      <c r="X4640">
        <v>0.90522179999999997</v>
      </c>
      <c r="Y4640">
        <v>0.25462030000000002</v>
      </c>
      <c r="Z4640">
        <v>0.1243711</v>
      </c>
      <c r="AA4640">
        <v>0.95901009999999998</v>
      </c>
      <c r="AB4640">
        <v>26</v>
      </c>
      <c r="AC4640">
        <v>-5.2468000000000004</v>
      </c>
      <c r="AD4640">
        <v>-1.10484606157</v>
      </c>
      <c r="AE4640">
        <v>-5.1098999999999801</v>
      </c>
      <c r="AF4640">
        <v>1.90482757921312</v>
      </c>
      <c r="AG4640">
        <v>-1.10484606157</v>
      </c>
      <c r="AH4640">
        <v>6.9029797328237796</v>
      </c>
      <c r="AI4640">
        <v>98.770846325563198</v>
      </c>
      <c r="AJ4640">
        <v>74.573540152781803</v>
      </c>
      <c r="AK4640">
        <v>7.2457009404248502</v>
      </c>
      <c r="AL4640">
        <v>66.393180945338102</v>
      </c>
      <c r="AM4640">
        <v>81.075484405009405</v>
      </c>
      <c r="AN4640">
        <v>1.00000002349574</v>
      </c>
    </row>
    <row r="4641" spans="1:40" x14ac:dyDescent="0.25">
      <c r="A4641" t="str">
        <f>"20190304164941820"</f>
        <v>20190304164941820</v>
      </c>
      <c r="B4641" t="str">
        <f>"1551689381810249"</f>
        <v>1551689381810249</v>
      </c>
      <c r="C4641" t="s">
        <v>40</v>
      </c>
      <c r="D4641">
        <v>4.7551069999999998</v>
      </c>
      <c r="E4641">
        <v>0.57284409999999997</v>
      </c>
      <c r="F4641" t="s">
        <v>48</v>
      </c>
      <c r="G4641">
        <v>-201.02019999999999</v>
      </c>
      <c r="H4641" s="1">
        <v>-1.101466E-5</v>
      </c>
      <c r="I4641">
        <v>146.33709999999999</v>
      </c>
      <c r="J4641">
        <v>-195.82339999999999</v>
      </c>
      <c r="K4641">
        <v>1.104851</v>
      </c>
      <c r="L4641">
        <v>151.31229999999999</v>
      </c>
      <c r="M4641">
        <v>-0.5115729</v>
      </c>
      <c r="N4641">
        <v>-1.466426E-2</v>
      </c>
      <c r="O4641">
        <v>-0.85911489999999902</v>
      </c>
      <c r="P4641">
        <v>-0.58383699999999905</v>
      </c>
      <c r="Q4641">
        <v>0.38842080000000001</v>
      </c>
      <c r="R4641">
        <v>-0.71292630000000001</v>
      </c>
      <c r="S4641">
        <v>-2.513687</v>
      </c>
      <c r="T4641">
        <v>-0.52235719999999997</v>
      </c>
      <c r="U4641">
        <v>-2.441208</v>
      </c>
      <c r="V4641">
        <v>0.14311380000000001</v>
      </c>
      <c r="W4641">
        <v>0.39956530000000001</v>
      </c>
      <c r="X4641">
        <v>0.90546450000000001</v>
      </c>
      <c r="Y4641">
        <v>0.25318560000000001</v>
      </c>
      <c r="Z4641">
        <v>0.12510760000000001</v>
      </c>
      <c r="AA4641">
        <v>0.95929410000000004</v>
      </c>
      <c r="AB4641">
        <v>26</v>
      </c>
      <c r="AC4641">
        <v>-5.1967999999999899</v>
      </c>
      <c r="AD4641">
        <v>-1.1048620146599999</v>
      </c>
      <c r="AE4641">
        <v>-4.9752000000000001</v>
      </c>
      <c r="AF4641">
        <v>1.87544545465989</v>
      </c>
      <c r="AG4641">
        <v>-1.1048620146599999</v>
      </c>
      <c r="AH4641">
        <v>6.7737981728560301</v>
      </c>
      <c r="AI4641">
        <v>98.933478184250106</v>
      </c>
      <c r="AJ4641">
        <v>74.524312413872195</v>
      </c>
      <c r="AK4641">
        <v>7.1149390307599001</v>
      </c>
      <c r="AL4641">
        <v>66.448993272393395</v>
      </c>
      <c r="AM4641">
        <v>81.018376996404101</v>
      </c>
      <c r="AN4641">
        <v>0.999999974737389</v>
      </c>
    </row>
    <row r="4642" spans="1:40" x14ac:dyDescent="0.25">
      <c r="A4642" t="str">
        <f>"20190304164941832"</f>
        <v>20190304164941832</v>
      </c>
      <c r="B4642" t="str">
        <f>"1551689381830745"</f>
        <v>1551689381830745</v>
      </c>
      <c r="C4642" t="s">
        <v>40</v>
      </c>
      <c r="D4642">
        <v>4.8021539999999998</v>
      </c>
      <c r="E4642">
        <v>0.57309900000000003</v>
      </c>
      <c r="F4642" t="s">
        <v>48</v>
      </c>
      <c r="G4642">
        <v>-201.13050000000001</v>
      </c>
      <c r="H4642" s="1">
        <v>-1.094196E-5</v>
      </c>
      <c r="I4642">
        <v>146.25700000000001</v>
      </c>
      <c r="J4642">
        <v>-195.91030000000001</v>
      </c>
      <c r="K4642">
        <v>1.10486</v>
      </c>
      <c r="L4642">
        <v>151.17769999999999</v>
      </c>
      <c r="M4642">
        <v>-0.5163181</v>
      </c>
      <c r="N4642">
        <v>-1.466144E-2</v>
      </c>
      <c r="O4642">
        <v>-0.85627149999999996</v>
      </c>
      <c r="P4642">
        <v>-0.58826800000000001</v>
      </c>
      <c r="Q4642">
        <v>0.38777640000000002</v>
      </c>
      <c r="R4642">
        <v>-0.70962700000000001</v>
      </c>
      <c r="S4642">
        <v>-2.5379179999999999</v>
      </c>
      <c r="T4642">
        <v>-0.52835679999999996</v>
      </c>
      <c r="U4642">
        <v>-2.4174959999999999</v>
      </c>
      <c r="V4642">
        <v>0.14354810000000001</v>
      </c>
      <c r="W4642">
        <v>0.3989182</v>
      </c>
      <c r="X4642">
        <v>0.90568110000000002</v>
      </c>
      <c r="Y4642">
        <v>0.2569458</v>
      </c>
      <c r="Z4642">
        <v>0.12650210000000001</v>
      </c>
      <c r="AA4642">
        <v>0.95811069999999998</v>
      </c>
      <c r="AB4642">
        <v>26</v>
      </c>
      <c r="AC4642">
        <v>-5.2202000000000002</v>
      </c>
      <c r="AD4642">
        <v>-1.10487094196</v>
      </c>
      <c r="AE4642">
        <v>-4.9206999999999796</v>
      </c>
      <c r="AF4642">
        <v>1.8847619361696399</v>
      </c>
      <c r="AG4642">
        <v>-1.10487094196</v>
      </c>
      <c r="AH4642">
        <v>6.7493829610452298</v>
      </c>
      <c r="AI4642">
        <v>98.959920898519997</v>
      </c>
      <c r="AJ4642">
        <v>74.397634705538394</v>
      </c>
      <c r="AK4642">
        <v>7.0941692754873804</v>
      </c>
      <c r="AL4642">
        <v>66.489433186177294</v>
      </c>
      <c r="AM4642">
        <v>80.993686355457299</v>
      </c>
      <c r="AN4642">
        <v>1.00000002110102</v>
      </c>
    </row>
    <row r="4643" spans="1:40" x14ac:dyDescent="0.25">
      <c r="A4643" t="str">
        <f>"20190304164941853"</f>
        <v>20190304164941853</v>
      </c>
      <c r="B4643" t="str">
        <f>"1551689381850265"</f>
        <v>1551689381850265</v>
      </c>
      <c r="C4643" t="s">
        <v>40</v>
      </c>
      <c r="D4643">
        <v>4.7685449999999996</v>
      </c>
      <c r="E4643">
        <v>0.57355400000000001</v>
      </c>
      <c r="F4643" t="s">
        <v>41</v>
      </c>
      <c r="G4643">
        <v>-196.4693</v>
      </c>
      <c r="H4643">
        <v>0.98821559999999997</v>
      </c>
      <c r="I4643">
        <v>150.65209999999999</v>
      </c>
      <c r="J4643">
        <v>-196.0301</v>
      </c>
      <c r="K4643">
        <v>1.104867</v>
      </c>
      <c r="L4643">
        <v>150.995</v>
      </c>
      <c r="M4643">
        <v>-0.52276639999999996</v>
      </c>
      <c r="N4643">
        <v>-1.465752E-2</v>
      </c>
      <c r="O4643">
        <v>-0.8523501</v>
      </c>
      <c r="P4643">
        <v>-0.59451319999999996</v>
      </c>
      <c r="Q4643">
        <v>0.38695040000000003</v>
      </c>
      <c r="R4643">
        <v>-0.70485719999999996</v>
      </c>
      <c r="S4643">
        <v>-2.5536799999999999</v>
      </c>
      <c r="T4643">
        <v>-0.53258409999999901</v>
      </c>
      <c r="U4643">
        <v>-2.401627</v>
      </c>
      <c r="V4643">
        <v>0.144455</v>
      </c>
      <c r="W4643">
        <v>0.3980824</v>
      </c>
      <c r="X4643">
        <v>0.90590459999999995</v>
      </c>
      <c r="Y4643">
        <v>0.2556795</v>
      </c>
      <c r="Z4643">
        <v>0.1271226</v>
      </c>
      <c r="AA4643">
        <v>0.95836730000000003</v>
      </c>
      <c r="AB4643">
        <v>26</v>
      </c>
      <c r="AC4643">
        <v>-0.43919999999999898</v>
      </c>
      <c r="AD4643">
        <v>-0.1166514</v>
      </c>
      <c r="AE4643">
        <v>-0.34290000000001403</v>
      </c>
      <c r="AF4643">
        <v>0.18692401984835899</v>
      </c>
      <c r="AG4643">
        <v>-0.1166514</v>
      </c>
      <c r="AH4643">
        <v>0.50001141966137297</v>
      </c>
      <c r="AI4643">
        <v>102.326865440842</v>
      </c>
      <c r="AJ4643">
        <v>69.502271075649801</v>
      </c>
      <c r="AK4643">
        <v>0.54640603776862895</v>
      </c>
      <c r="AL4643">
        <v>66.541645203204595</v>
      </c>
      <c r="AM4643">
        <v>80.939926822698894</v>
      </c>
      <c r="AN4643">
        <v>0.99999999425795905</v>
      </c>
    </row>
    <row r="4644" spans="1:40" x14ac:dyDescent="0.25">
      <c r="A4644" t="str">
        <f>"20190304164941869"</f>
        <v>20190304164941869</v>
      </c>
      <c r="B4644" t="str">
        <f>"1551689381860025"</f>
        <v>1551689381860025</v>
      </c>
      <c r="C4644" t="s">
        <v>40</v>
      </c>
      <c r="D4644">
        <v>4.7712389999999996</v>
      </c>
      <c r="E4644">
        <v>0.57374329999999996</v>
      </c>
      <c r="F4644" t="s">
        <v>41</v>
      </c>
      <c r="G4644">
        <v>-196.6069</v>
      </c>
      <c r="H4644">
        <v>0.98421380000000003</v>
      </c>
      <c r="I4644">
        <v>150.46260000000001</v>
      </c>
      <c r="J4644">
        <v>-196.14510000000001</v>
      </c>
      <c r="K4644">
        <v>1.1048789999999999</v>
      </c>
      <c r="L4644">
        <v>150.82239999999999</v>
      </c>
      <c r="M4644">
        <v>-0.52885680000000002</v>
      </c>
      <c r="N4644">
        <v>-1.465377E-2</v>
      </c>
      <c r="O4644">
        <v>-0.84858459999999902</v>
      </c>
      <c r="P4644">
        <v>-0.60008109999999903</v>
      </c>
      <c r="Q4644">
        <v>0.3862042</v>
      </c>
      <c r="R4644">
        <v>-0.70053489999999996</v>
      </c>
      <c r="S4644">
        <v>-2.5765530000000001</v>
      </c>
      <c r="T4644">
        <v>-0.53864730000000005</v>
      </c>
      <c r="U4644">
        <v>-2.378647</v>
      </c>
      <c r="V4644">
        <v>0.14490929999999999</v>
      </c>
      <c r="W4644">
        <v>0.39733390000000002</v>
      </c>
      <c r="X4644">
        <v>0.90616070000000004</v>
      </c>
      <c r="Y4644">
        <v>0.25746219999999997</v>
      </c>
      <c r="Z4644">
        <v>0.1283357</v>
      </c>
      <c r="AA4644">
        <v>0.95772809999999997</v>
      </c>
      <c r="AB4644">
        <v>26</v>
      </c>
      <c r="AC4644">
        <v>-0.461799999999982</v>
      </c>
      <c r="AD4644">
        <v>-0.1206652</v>
      </c>
      <c r="AE4644">
        <v>-0.35979999999997803</v>
      </c>
      <c r="AF4644">
        <v>0.19339887600897501</v>
      </c>
      <c r="AG4644">
        <v>-0.1206652</v>
      </c>
      <c r="AH4644">
        <v>0.52720764410921195</v>
      </c>
      <c r="AI4644">
        <v>102.12700800332</v>
      </c>
      <c r="AJ4644">
        <v>69.855132052322602</v>
      </c>
      <c r="AK4644">
        <v>0.57437889562531896</v>
      </c>
      <c r="AL4644">
        <v>66.588388683424796</v>
      </c>
      <c r="AM4644">
        <v>80.914434009453998</v>
      </c>
      <c r="AN4644">
        <v>1.00000007377009</v>
      </c>
    </row>
    <row r="4645" spans="1:40" x14ac:dyDescent="0.25">
      <c r="A4645" t="str">
        <f>"20190304164941886"</f>
        <v>20190304164941886</v>
      </c>
      <c r="B4645" t="str">
        <f>"1551689381880521"</f>
        <v>1551689381880521</v>
      </c>
      <c r="C4645" t="s">
        <v>40</v>
      </c>
      <c r="D4645">
        <v>4.753647</v>
      </c>
      <c r="E4645">
        <v>0.5741811</v>
      </c>
      <c r="F4645" t="s">
        <v>48</v>
      </c>
      <c r="G4645">
        <v>-201.43</v>
      </c>
      <c r="H4645" s="1">
        <v>-1.073905E-5</v>
      </c>
      <c r="I4645">
        <v>146.0214</v>
      </c>
      <c r="J4645">
        <v>-196.24930000000001</v>
      </c>
      <c r="K4645">
        <v>1.1048929999999999</v>
      </c>
      <c r="L4645">
        <v>150.66839999999999</v>
      </c>
      <c r="M4645">
        <v>-0.53429720000000003</v>
      </c>
      <c r="N4645">
        <v>-1.4649570000000001E-2</v>
      </c>
      <c r="O4645">
        <v>-0.84516979999999997</v>
      </c>
      <c r="P4645">
        <v>-0.6057536</v>
      </c>
      <c r="Q4645">
        <v>0.3848027</v>
      </c>
      <c r="R4645">
        <v>-0.69641229999999998</v>
      </c>
      <c r="S4645">
        <v>-2.5957490000000001</v>
      </c>
      <c r="T4645">
        <v>-0.54268689999999997</v>
      </c>
      <c r="U4645">
        <v>-2.3581240000000001</v>
      </c>
      <c r="V4645">
        <v>0.14601220000000001</v>
      </c>
      <c r="W4645">
        <v>0.3959222</v>
      </c>
      <c r="X4645">
        <v>0.9066014</v>
      </c>
      <c r="Y4645">
        <v>0.25883</v>
      </c>
      <c r="Z4645">
        <v>0.12907199999999999</v>
      </c>
      <c r="AA4645">
        <v>0.95726040000000001</v>
      </c>
      <c r="AB4645">
        <v>26</v>
      </c>
      <c r="AC4645">
        <v>-5.1806999999999999</v>
      </c>
      <c r="AD4645">
        <v>-1.1049037390500001</v>
      </c>
      <c r="AE4645">
        <v>-4.6469999999999896</v>
      </c>
      <c r="AF4645">
        <v>1.8492832466875699</v>
      </c>
      <c r="AG4645">
        <v>-1.1049037390500001</v>
      </c>
      <c r="AH4645">
        <v>6.5316226627948701</v>
      </c>
      <c r="AI4645">
        <v>99.244637148899201</v>
      </c>
      <c r="AJ4645">
        <v>74.191713470080302</v>
      </c>
      <c r="AK4645">
        <v>6.8776998631942003</v>
      </c>
      <c r="AL4645">
        <v>66.676498879510405</v>
      </c>
      <c r="AM4645">
        <v>80.850824660541505</v>
      </c>
      <c r="AN4645">
        <v>1.0000000247418099</v>
      </c>
    </row>
    <row r="4646" spans="1:40" x14ac:dyDescent="0.25">
      <c r="A4646" t="str">
        <f>"20190304164941908"</f>
        <v>20190304164941908</v>
      </c>
      <c r="B4646" t="str">
        <f>"1551689381900040"</f>
        <v>1551689381900040</v>
      </c>
      <c r="C4646" t="s">
        <v>40</v>
      </c>
      <c r="D4646">
        <v>4.7610449999999904</v>
      </c>
      <c r="E4646">
        <v>0.57455500000000004</v>
      </c>
      <c r="F4646" t="s">
        <v>48</v>
      </c>
      <c r="G4646">
        <v>-201.5127</v>
      </c>
      <c r="H4646" s="1">
        <v>-1.0685909999999999E-5</v>
      </c>
      <c r="I4646">
        <v>145.96619999999999</v>
      </c>
      <c r="J4646">
        <v>-196.40539999999999</v>
      </c>
      <c r="K4646">
        <v>1.104908</v>
      </c>
      <c r="L4646">
        <v>150.44149999999999</v>
      </c>
      <c r="M4646">
        <v>-0.54231790000000002</v>
      </c>
      <c r="N4646">
        <v>-1.4635199999999999E-2</v>
      </c>
      <c r="O4646">
        <v>-0.84004599999999996</v>
      </c>
      <c r="P4646">
        <v>-0.61328289999999996</v>
      </c>
      <c r="Q4646">
        <v>0.38386959999999998</v>
      </c>
      <c r="R4646">
        <v>-0.69031019999999998</v>
      </c>
      <c r="S4646">
        <v>-2.6152039999999999</v>
      </c>
      <c r="T4646">
        <v>-0.54898480000000005</v>
      </c>
      <c r="U4646">
        <v>-2.3363800000000001</v>
      </c>
      <c r="V4646">
        <v>0.1469251</v>
      </c>
      <c r="W4646">
        <v>0.39497139999999997</v>
      </c>
      <c r="X4646">
        <v>0.90686860000000002</v>
      </c>
      <c r="Y4646">
        <v>0.25745879999999999</v>
      </c>
      <c r="Z4646">
        <v>0.13008610000000001</v>
      </c>
      <c r="AA4646">
        <v>0.95749280000000003</v>
      </c>
      <c r="AB4646">
        <v>26</v>
      </c>
      <c r="AC4646">
        <v>-5.1073000000000004</v>
      </c>
      <c r="AD4646">
        <v>-1.10491868591</v>
      </c>
      <c r="AE4646">
        <v>-4.4752999999999998</v>
      </c>
      <c r="AF4646">
        <v>1.8154662625350999</v>
      </c>
      <c r="AG4646">
        <v>-1.10491868591</v>
      </c>
      <c r="AH4646">
        <v>6.3615146133772802</v>
      </c>
      <c r="AI4646">
        <v>99.482006319377405</v>
      </c>
      <c r="AJ4646">
        <v>74.072169869141405</v>
      </c>
      <c r="AK4646">
        <v>6.70713286204239</v>
      </c>
      <c r="AL4646">
        <v>66.735810244587796</v>
      </c>
      <c r="AM4646">
        <v>80.797264251314701</v>
      </c>
      <c r="AN4646">
        <v>1.00000002474696</v>
      </c>
    </row>
    <row r="4647" spans="1:40" x14ac:dyDescent="0.25">
      <c r="A4647" t="str">
        <f>"20190304164941929"</f>
        <v>20190304164941929</v>
      </c>
      <c r="B4647" t="str">
        <f>"1551689381920687"</f>
        <v>1551689381920687</v>
      </c>
      <c r="C4647" t="s">
        <v>40</v>
      </c>
      <c r="D4647">
        <v>4.6905409999999996</v>
      </c>
      <c r="E4647">
        <v>0.57498950000000004</v>
      </c>
      <c r="F4647" t="s">
        <v>48</v>
      </c>
      <c r="G4647">
        <v>-201.68199999999999</v>
      </c>
      <c r="H4647" s="1">
        <v>-1.057147E-5</v>
      </c>
      <c r="I4647">
        <v>145.83369999999999</v>
      </c>
      <c r="J4647">
        <v>-196.54329999999999</v>
      </c>
      <c r="K4647">
        <v>1.104914</v>
      </c>
      <c r="L4647">
        <v>150.24469999999999</v>
      </c>
      <c r="M4647">
        <v>-0.54928060000000001</v>
      </c>
      <c r="N4647">
        <v>-1.460533E-2</v>
      </c>
      <c r="O4647">
        <v>-0.83551030000000004</v>
      </c>
      <c r="P4647">
        <v>-0.62012449999999997</v>
      </c>
      <c r="Q4647">
        <v>0.38239060000000002</v>
      </c>
      <c r="R4647">
        <v>-0.68499869999999996</v>
      </c>
      <c r="S4647">
        <v>-2.6415410000000001</v>
      </c>
      <c r="T4647">
        <v>-0.55313749999999995</v>
      </c>
      <c r="U4647">
        <v>-2.306702</v>
      </c>
      <c r="V4647">
        <v>0.14793489999999901</v>
      </c>
      <c r="W4647">
        <v>0.39346130000000001</v>
      </c>
      <c r="X4647">
        <v>0.90736070000000002</v>
      </c>
      <c r="Y4647">
        <v>0.26015440000000001</v>
      </c>
      <c r="Z4647">
        <v>0.13080810000000001</v>
      </c>
      <c r="AA4647">
        <v>0.95666549999999995</v>
      </c>
      <c r="AB4647">
        <v>26</v>
      </c>
      <c r="AC4647">
        <v>-5.1387000000000196</v>
      </c>
      <c r="AD4647">
        <v>-1.10492457147</v>
      </c>
      <c r="AE4647">
        <v>-4.4109999999999996</v>
      </c>
      <c r="AF4647">
        <v>1.82225204090395</v>
      </c>
      <c r="AG4647">
        <v>-1.10492457147</v>
      </c>
      <c r="AH4647">
        <v>6.3399516532165796</v>
      </c>
      <c r="AI4647">
        <v>99.508672754666307</v>
      </c>
      <c r="AJ4647">
        <v>73.964097365576805</v>
      </c>
      <c r="AK4647">
        <v>6.6885310625234</v>
      </c>
      <c r="AL4647">
        <v>66.829955838358799</v>
      </c>
      <c r="AM4647">
        <v>80.740045704959797</v>
      </c>
      <c r="AN4647">
        <v>0.99999998457009398</v>
      </c>
    </row>
    <row r="4648" spans="1:40" x14ac:dyDescent="0.25">
      <c r="A4648" t="str">
        <f>"20190304164941941"</f>
        <v>20190304164941941</v>
      </c>
      <c r="B4648" t="str">
        <f>"1551689381930444"</f>
        <v>1551689381930444</v>
      </c>
      <c r="C4648" t="s">
        <v>40</v>
      </c>
      <c r="D4648">
        <v>4.7075820000000004</v>
      </c>
      <c r="E4648">
        <v>0.575103699999999</v>
      </c>
      <c r="F4648" t="s">
        <v>48</v>
      </c>
      <c r="G4648">
        <v>-201.81870000000001</v>
      </c>
      <c r="H4648" s="1">
        <v>-1.048058E-5</v>
      </c>
      <c r="I4648">
        <v>145.732</v>
      </c>
      <c r="J4648">
        <v>-196.61869999999999</v>
      </c>
      <c r="K4648">
        <v>1.1049100000000001</v>
      </c>
      <c r="L4648">
        <v>150.13849999999999</v>
      </c>
      <c r="M4648">
        <v>-0.55304149999999996</v>
      </c>
      <c r="N4648">
        <v>-1.457848E-2</v>
      </c>
      <c r="O4648">
        <v>-0.83302619999999905</v>
      </c>
      <c r="P4648">
        <v>-0.62361409999999995</v>
      </c>
      <c r="Q4648">
        <v>0.38202009999999997</v>
      </c>
      <c r="R4648">
        <v>-0.68203150000000001</v>
      </c>
      <c r="S4648">
        <v>-2.6642760000000001</v>
      </c>
      <c r="T4648">
        <v>-0.55803059999999904</v>
      </c>
      <c r="U4648">
        <v>-2.2791139999999999</v>
      </c>
      <c r="V4648">
        <v>0.1483546</v>
      </c>
      <c r="W4648">
        <v>0.3930632</v>
      </c>
      <c r="X4648">
        <v>0.90746470000000001</v>
      </c>
      <c r="Y4648">
        <v>0.2653817</v>
      </c>
      <c r="Z4648">
        <v>0.13209209999999999</v>
      </c>
      <c r="AA4648">
        <v>0.95505200000000001</v>
      </c>
      <c r="AB4648">
        <v>26</v>
      </c>
      <c r="AC4648">
        <v>-5.2000000000000099</v>
      </c>
      <c r="AD4648">
        <v>-1.1049204805799999</v>
      </c>
      <c r="AE4648">
        <v>-4.4064999999999896</v>
      </c>
      <c r="AF4648">
        <v>1.8464376610881399</v>
      </c>
      <c r="AG4648">
        <v>-1.1049204805799999</v>
      </c>
      <c r="AH4648">
        <v>6.3795920489848301</v>
      </c>
      <c r="AI4648">
        <v>99.445670527359098</v>
      </c>
      <c r="AJ4648">
        <v>73.858034175568903</v>
      </c>
      <c r="AK4648">
        <v>6.7327094112370798</v>
      </c>
      <c r="AL4648">
        <v>66.854763932884097</v>
      </c>
      <c r="AM4648">
        <v>80.715277312159998</v>
      </c>
      <c r="AN4648">
        <v>0.99999997414074404</v>
      </c>
    </row>
    <row r="4649" spans="1:40" x14ac:dyDescent="0.25">
      <c r="A4649" t="str">
        <f>"20190304164941954"</f>
        <v>20190304164941954</v>
      </c>
      <c r="B4649" t="str">
        <f>"1551689381950940"</f>
        <v>1551689381950940</v>
      </c>
      <c r="C4649" t="s">
        <v>40</v>
      </c>
      <c r="D4649">
        <v>4.8452479999999998</v>
      </c>
      <c r="E4649">
        <v>0.57516679999999998</v>
      </c>
      <c r="F4649" t="s">
        <v>48</v>
      </c>
      <c r="G4649">
        <v>-201.9016</v>
      </c>
      <c r="H4649" s="1">
        <v>-1.0424659999999999E-5</v>
      </c>
      <c r="I4649">
        <v>145.66759999999999</v>
      </c>
      <c r="J4649">
        <v>-196.71260000000001</v>
      </c>
      <c r="K4649">
        <v>1.104908</v>
      </c>
      <c r="L4649">
        <v>150.0076</v>
      </c>
      <c r="M4649">
        <v>-0.55768119999999999</v>
      </c>
      <c r="N4649">
        <v>-1.453541E-2</v>
      </c>
      <c r="O4649">
        <v>-0.82992819999999901</v>
      </c>
      <c r="P4649">
        <v>-0.62792349999999997</v>
      </c>
      <c r="Q4649">
        <v>0.3813125</v>
      </c>
      <c r="R4649">
        <v>-0.67846410000000001</v>
      </c>
      <c r="S4649">
        <v>-2.676361</v>
      </c>
      <c r="T4649">
        <v>-0.55976590000000004</v>
      </c>
      <c r="U4649">
        <v>-2.2650299999999999</v>
      </c>
      <c r="V4649">
        <v>0.14880689999999999</v>
      </c>
      <c r="W4649">
        <v>0.39231460000000001</v>
      </c>
      <c r="X4649">
        <v>0.90771460000000004</v>
      </c>
      <c r="Y4649">
        <v>0.2650285</v>
      </c>
      <c r="Z4649">
        <v>0.13220770000000001</v>
      </c>
      <c r="AA4649">
        <v>0.95513400000000004</v>
      </c>
      <c r="AB4649">
        <v>26</v>
      </c>
      <c r="AC4649">
        <v>-5.1889999999999903</v>
      </c>
      <c r="AD4649">
        <v>-1.1049184246599999</v>
      </c>
      <c r="AE4649">
        <v>-4.34</v>
      </c>
      <c r="AF4649">
        <v>1.8373423228347801</v>
      </c>
      <c r="AG4649">
        <v>-1.1049184246599999</v>
      </c>
      <c r="AH4649">
        <v>6.3275708101277397</v>
      </c>
      <c r="AI4649">
        <v>99.519538350277898</v>
      </c>
      <c r="AJ4649">
        <v>73.808241393076003</v>
      </c>
      <c r="AK4649">
        <v>6.6809298674371496</v>
      </c>
      <c r="AL4649">
        <v>66.901402968702001</v>
      </c>
      <c r="AM4649">
        <v>80.6899843491952</v>
      </c>
      <c r="AN4649">
        <v>1.0000000169569601</v>
      </c>
    </row>
    <row r="4650" spans="1:40" x14ac:dyDescent="0.25">
      <c r="A4650" t="str">
        <f>"20190304164941966"</f>
        <v>20190304164941966</v>
      </c>
      <c r="B4650" t="str">
        <f>"1551689381960700"</f>
        <v>1551689381960700</v>
      </c>
      <c r="C4650" t="s">
        <v>40</v>
      </c>
      <c r="D4650">
        <v>4.6331660000000001</v>
      </c>
      <c r="E4650">
        <v>0.57539030000000002</v>
      </c>
      <c r="F4650" t="s">
        <v>41</v>
      </c>
      <c r="G4650">
        <v>-197.28720000000001</v>
      </c>
      <c r="H4650">
        <v>0.98426029999999998</v>
      </c>
      <c r="I4650">
        <v>149.52760000000001</v>
      </c>
      <c r="J4650">
        <v>-196.7944</v>
      </c>
      <c r="K4650">
        <v>1.1048979999999999</v>
      </c>
      <c r="L4650">
        <v>149.89529999999999</v>
      </c>
      <c r="M4650">
        <v>-0.56167290000000003</v>
      </c>
      <c r="N4650">
        <v>-1.447909E-2</v>
      </c>
      <c r="O4650">
        <v>-0.827233</v>
      </c>
      <c r="P4650">
        <v>-0.63153019999999904</v>
      </c>
      <c r="Q4650">
        <v>0.38089440000000002</v>
      </c>
      <c r="R4650">
        <v>-0.6753441</v>
      </c>
      <c r="S4650">
        <v>-2.6908110000000001</v>
      </c>
      <c r="T4650">
        <v>-0.56481119999999996</v>
      </c>
      <c r="U4650">
        <v>-2.2487789999999999</v>
      </c>
      <c r="V4650">
        <v>0.1491316</v>
      </c>
      <c r="W4650">
        <v>0.39184350000000001</v>
      </c>
      <c r="X4650">
        <v>0.90786469999999997</v>
      </c>
      <c r="Y4650">
        <v>0.26616190000000001</v>
      </c>
      <c r="Z4650">
        <v>0.13325680000000001</v>
      </c>
      <c r="AA4650">
        <v>0.95467299999999999</v>
      </c>
      <c r="AB4650">
        <v>26</v>
      </c>
      <c r="AC4650">
        <v>-0.492800000000016</v>
      </c>
      <c r="AD4650">
        <v>-0.120637699999999</v>
      </c>
      <c r="AE4650">
        <v>-0.36769999999998398</v>
      </c>
      <c r="AF4650">
        <v>0.19369781906773001</v>
      </c>
      <c r="AG4650">
        <v>-0.120637699999999</v>
      </c>
      <c r="AH4650">
        <v>0.55948888009470199</v>
      </c>
      <c r="AI4650">
        <v>101.516701176276</v>
      </c>
      <c r="AJ4650">
        <v>70.903893372890593</v>
      </c>
      <c r="AK4650">
        <v>0.60423514191290495</v>
      </c>
      <c r="AL4650">
        <v>66.930742402810694</v>
      </c>
      <c r="AM4650">
        <v>80.671541958136601</v>
      </c>
      <c r="AN4650">
        <v>0.999999938058448</v>
      </c>
    </row>
    <row r="4651" spans="1:40" x14ac:dyDescent="0.25">
      <c r="A4651" t="str">
        <f>"20190304164941978"</f>
        <v>20190304164941978</v>
      </c>
      <c r="B4651" t="str">
        <f>"1551689381970459"</f>
        <v>1551689381970459</v>
      </c>
      <c r="C4651" t="s">
        <v>40</v>
      </c>
      <c r="D4651">
        <v>4.6600190000000001</v>
      </c>
      <c r="E4651">
        <v>0.57550669999999904</v>
      </c>
      <c r="F4651" t="s">
        <v>48</v>
      </c>
      <c r="G4651">
        <v>-202.07910000000001</v>
      </c>
      <c r="H4651" s="1">
        <v>-1.0304930000000001E-5</v>
      </c>
      <c r="I4651">
        <v>145.52969999999999</v>
      </c>
      <c r="J4651">
        <v>-196.8723</v>
      </c>
      <c r="K4651">
        <v>1.1048880000000001</v>
      </c>
      <c r="L4651">
        <v>149.78890000000001</v>
      </c>
      <c r="M4651">
        <v>-0.56544749999999999</v>
      </c>
      <c r="N4651">
        <v>-1.4419619999999999E-2</v>
      </c>
      <c r="O4651">
        <v>-0.82465820000000001</v>
      </c>
      <c r="P4651">
        <v>-0.63504340000000004</v>
      </c>
      <c r="Q4651">
        <v>0.38014530000000002</v>
      </c>
      <c r="R4651">
        <v>-0.67246519999999899</v>
      </c>
      <c r="S4651">
        <v>-2.703217</v>
      </c>
      <c r="T4651">
        <v>-0.56518889999999999</v>
      </c>
      <c r="U4651">
        <v>-2.2331089999999998</v>
      </c>
      <c r="V4651">
        <v>0.14946619999999999</v>
      </c>
      <c r="W4651">
        <v>0.3910401</v>
      </c>
      <c r="X4651">
        <v>0.90815610000000002</v>
      </c>
      <c r="Y4651">
        <v>0.26719369999999998</v>
      </c>
      <c r="Z4651">
        <v>0.13318769999999999</v>
      </c>
      <c r="AA4651">
        <v>0.95439430000000003</v>
      </c>
      <c r="AB4651">
        <v>26</v>
      </c>
      <c r="AC4651">
        <v>-5.2068000000000101</v>
      </c>
      <c r="AD4651">
        <v>-1.1048983049300001</v>
      </c>
      <c r="AE4651">
        <v>-4.2592000000000203</v>
      </c>
      <c r="AF4651">
        <v>1.8361369608912701</v>
      </c>
      <c r="AG4651">
        <v>-1.1048983049300001</v>
      </c>
      <c r="AH4651">
        <v>6.2876003365520097</v>
      </c>
      <c r="AI4651">
        <v>99.574591547422301</v>
      </c>
      <c r="AJ4651">
        <v>73.720871788228607</v>
      </c>
      <c r="AK4651">
        <v>6.6427492196828499</v>
      </c>
      <c r="AL4651">
        <v>66.980767130285003</v>
      </c>
      <c r="AM4651">
        <v>80.653928115522106</v>
      </c>
      <c r="AN4651">
        <v>1.0000000033588201</v>
      </c>
    </row>
    <row r="4652" spans="1:40" x14ac:dyDescent="0.25">
      <c r="A4652" t="str">
        <f>"20190304164941998"</f>
        <v>20190304164941998</v>
      </c>
      <c r="B4652" t="str">
        <f>"1551689381989979"</f>
        <v>1551689381989979</v>
      </c>
      <c r="C4652" t="s">
        <v>40</v>
      </c>
      <c r="D4652">
        <v>4.5920899999999998</v>
      </c>
      <c r="E4652">
        <v>0.57587369999999904</v>
      </c>
      <c r="F4652" t="s">
        <v>48</v>
      </c>
      <c r="G4652">
        <v>-202.15790000000001</v>
      </c>
      <c r="H4652" s="1">
        <v>-1.0252500000000001E-5</v>
      </c>
      <c r="I4652">
        <v>145.471</v>
      </c>
      <c r="J4652">
        <v>-197.01439999999999</v>
      </c>
      <c r="K4652">
        <v>1.1048530000000001</v>
      </c>
      <c r="L4652">
        <v>149.59780000000001</v>
      </c>
      <c r="M4652">
        <v>-0.57224680000000006</v>
      </c>
      <c r="N4652">
        <v>-1.427756E-2</v>
      </c>
      <c r="O4652">
        <v>-0.8199573</v>
      </c>
      <c r="P4652">
        <v>-0.64172830000000003</v>
      </c>
      <c r="Q4652">
        <v>0.37853369999999997</v>
      </c>
      <c r="R4652">
        <v>-0.6670064</v>
      </c>
      <c r="S4652">
        <v>-2.715103</v>
      </c>
      <c r="T4652">
        <v>-0.56755849999999997</v>
      </c>
      <c r="U4652">
        <v>-2.2180019999999998</v>
      </c>
      <c r="V4652">
        <v>0.1504828</v>
      </c>
      <c r="W4652">
        <v>0.38929269999999999</v>
      </c>
      <c r="X4652">
        <v>0.90873879999999996</v>
      </c>
      <c r="Y4652">
        <v>0.26442870000000002</v>
      </c>
      <c r="Z4652">
        <v>0.1332361</v>
      </c>
      <c r="AA4652">
        <v>0.95515740000000005</v>
      </c>
      <c r="AB4652">
        <v>26</v>
      </c>
      <c r="AC4652">
        <v>-5.1435000000000102</v>
      </c>
      <c r="AD4652">
        <v>-1.1048632524999999</v>
      </c>
      <c r="AE4652">
        <v>-4.1268000000000002</v>
      </c>
      <c r="AF4652">
        <v>1.80541053187891</v>
      </c>
      <c r="AG4652">
        <v>-1.1048632524999999</v>
      </c>
      <c r="AH4652">
        <v>6.1550144904569004</v>
      </c>
      <c r="AI4652">
        <v>99.773239431663399</v>
      </c>
      <c r="AJ4652">
        <v>73.652346033845006</v>
      </c>
      <c r="AK4652">
        <v>6.5087966148189498</v>
      </c>
      <c r="AL4652">
        <v>67.089504751431505</v>
      </c>
      <c r="AM4652">
        <v>80.597418442470001</v>
      </c>
      <c r="AN4652">
        <v>1.00000004299728</v>
      </c>
    </row>
    <row r="4653" spans="1:40" x14ac:dyDescent="0.25">
      <c r="A4653" t="str">
        <f>"20190304164942010"</f>
        <v>20190304164942010</v>
      </c>
      <c r="B4653" t="str">
        <f>"1551689382000715"</f>
        <v>1551689382000715</v>
      </c>
      <c r="C4653" t="s">
        <v>40</v>
      </c>
      <c r="D4653">
        <v>4.5688700000000004</v>
      </c>
      <c r="E4653">
        <v>0.57606519999999894</v>
      </c>
      <c r="F4653" t="s">
        <v>48</v>
      </c>
      <c r="G4653">
        <v>-202.30770000000001</v>
      </c>
      <c r="H4653" s="1">
        <v>-1.01543E-5</v>
      </c>
      <c r="I4653">
        <v>145.36420000000001</v>
      </c>
      <c r="J4653">
        <v>-197.0993</v>
      </c>
      <c r="K4653">
        <v>1.104832</v>
      </c>
      <c r="L4653">
        <v>149.48519999999999</v>
      </c>
      <c r="M4653">
        <v>-0.57625459999999995</v>
      </c>
      <c r="N4653">
        <v>-1.418004E-2</v>
      </c>
      <c r="O4653">
        <v>-0.81714719999999996</v>
      </c>
      <c r="P4653">
        <v>-0.6455514</v>
      </c>
      <c r="Q4653">
        <v>0.37803019999999998</v>
      </c>
      <c r="R4653">
        <v>-0.66359380000000001</v>
      </c>
      <c r="S4653">
        <v>-2.7367710000000001</v>
      </c>
      <c r="T4653">
        <v>-0.57123889999999999</v>
      </c>
      <c r="U4653">
        <v>-2.1888580000000002</v>
      </c>
      <c r="V4653">
        <v>0.15108479999999999</v>
      </c>
      <c r="W4653">
        <v>0.38869389999999998</v>
      </c>
      <c r="X4653">
        <v>0.90889520000000001</v>
      </c>
      <c r="Y4653">
        <v>0.26945049999999998</v>
      </c>
      <c r="Z4653">
        <v>0.13423740000000001</v>
      </c>
      <c r="AA4653">
        <v>0.95361249999999997</v>
      </c>
      <c r="AB4653">
        <v>26</v>
      </c>
      <c r="AC4653">
        <v>-5.2084000000000099</v>
      </c>
      <c r="AD4653">
        <v>-1.1048421543</v>
      </c>
      <c r="AE4653">
        <v>-4.12099999999998</v>
      </c>
      <c r="AF4653">
        <v>1.83080872737835</v>
      </c>
      <c r="AG4653">
        <v>-1.1048421543</v>
      </c>
      <c r="AH4653">
        <v>6.1979500919225403</v>
      </c>
      <c r="AI4653">
        <v>99.701319757447294</v>
      </c>
      <c r="AJ4653">
        <v>73.543418407511794</v>
      </c>
      <c r="AK4653">
        <v>6.5564565219427502</v>
      </c>
      <c r="AL4653">
        <v>67.126746166661505</v>
      </c>
      <c r="AM4653">
        <v>80.562074564821998</v>
      </c>
      <c r="AN4653">
        <v>1.00000002463564</v>
      </c>
    </row>
    <row r="4654" spans="1:40" x14ac:dyDescent="0.25">
      <c r="A4654" t="str">
        <f>"20190304164942023"</f>
        <v>20190304164942023</v>
      </c>
      <c r="B4654" t="str">
        <f>"1551689382020235"</f>
        <v>1551689382020235</v>
      </c>
      <c r="C4654" t="s">
        <v>40</v>
      </c>
      <c r="D4654">
        <v>4.6030540000000002</v>
      </c>
      <c r="E4654">
        <v>0.57632430000000001</v>
      </c>
      <c r="F4654" t="s">
        <v>48</v>
      </c>
      <c r="G4654">
        <v>-202.411</v>
      </c>
      <c r="H4654" s="1">
        <v>-1.008591E-5</v>
      </c>
      <c r="I4654">
        <v>145.28829999999999</v>
      </c>
      <c r="J4654">
        <v>-197.18719999999999</v>
      </c>
      <c r="K4654">
        <v>1.1048089999999999</v>
      </c>
      <c r="L4654">
        <v>149.36969999999999</v>
      </c>
      <c r="M4654">
        <v>-0.58036940000000004</v>
      </c>
      <c r="N4654">
        <v>-1.4076419999999999E-2</v>
      </c>
      <c r="O4654">
        <v>-0.81423190000000001</v>
      </c>
      <c r="P4654">
        <v>-0.64949730000000006</v>
      </c>
      <c r="Q4654">
        <v>0.37736700000000001</v>
      </c>
      <c r="R4654">
        <v>-0.66011209999999998</v>
      </c>
      <c r="S4654">
        <v>-2.7491460000000001</v>
      </c>
      <c r="T4654">
        <v>-0.57182279999999996</v>
      </c>
      <c r="U4654">
        <v>-2.17218</v>
      </c>
      <c r="V4654">
        <v>0.15168989999999999</v>
      </c>
      <c r="W4654">
        <v>0.38793109999999997</v>
      </c>
      <c r="X4654">
        <v>0.90912029999999999</v>
      </c>
      <c r="Y4654">
        <v>0.2702328</v>
      </c>
      <c r="Z4654">
        <v>0.13420219999999999</v>
      </c>
      <c r="AA4654">
        <v>0.95339600000000002</v>
      </c>
      <c r="AB4654">
        <v>26</v>
      </c>
      <c r="AC4654">
        <v>-5.2237999999999802</v>
      </c>
      <c r="AD4654">
        <v>-1.10481908591</v>
      </c>
      <c r="AE4654">
        <v>-4.0814000000000004</v>
      </c>
      <c r="AF4654">
        <v>1.83391323761693</v>
      </c>
      <c r="AG4654">
        <v>-1.10481908591</v>
      </c>
      <c r="AH4654">
        <v>6.1838090914341697</v>
      </c>
      <c r="AI4654">
        <v>99.719826618329705</v>
      </c>
      <c r="AJ4654">
        <v>73.481385287417893</v>
      </c>
      <c r="AK4654">
        <v>6.54395582618048</v>
      </c>
      <c r="AL4654">
        <v>67.174173503192804</v>
      </c>
      <c r="AM4654">
        <v>80.527262907841106</v>
      </c>
      <c r="AN4654">
        <v>1.0000000419906501</v>
      </c>
    </row>
    <row r="4655" spans="1:40" x14ac:dyDescent="0.25">
      <c r="A4655" t="str">
        <f>"20190304164942042"</f>
        <v>20190304164942042</v>
      </c>
      <c r="B4655" t="str">
        <f>"1551689382029996"</f>
        <v>1551689382029996</v>
      </c>
      <c r="C4655" t="s">
        <v>40</v>
      </c>
      <c r="D4655">
        <v>4.5899340000000004</v>
      </c>
      <c r="E4655">
        <v>0.57647539999999997</v>
      </c>
      <c r="F4655" t="s">
        <v>48</v>
      </c>
      <c r="G4655">
        <v>-202.51759999999999</v>
      </c>
      <c r="H4655" s="1">
        <v>-1.001604E-5</v>
      </c>
      <c r="I4655">
        <v>145.2123</v>
      </c>
      <c r="J4655">
        <v>-197.3254</v>
      </c>
      <c r="K4655">
        <v>1.104781</v>
      </c>
      <c r="L4655">
        <v>149.19059999999999</v>
      </c>
      <c r="M4655">
        <v>-0.58675390000000005</v>
      </c>
      <c r="N4655">
        <v>-1.3907060000000001E-2</v>
      </c>
      <c r="O4655">
        <v>-0.80964599999999998</v>
      </c>
      <c r="P4655">
        <v>-0.65578110000000001</v>
      </c>
      <c r="Q4655">
        <v>0.37653029999999998</v>
      </c>
      <c r="R4655">
        <v>-0.65435180000000004</v>
      </c>
      <c r="S4655">
        <v>-2.7621000000000002</v>
      </c>
      <c r="T4655">
        <v>-0.57249669999999997</v>
      </c>
      <c r="U4655">
        <v>-2.1542819999999998</v>
      </c>
      <c r="V4655">
        <v>0.152941299999999</v>
      </c>
      <c r="W4655">
        <v>0.3869262</v>
      </c>
      <c r="X4655">
        <v>0.9093388</v>
      </c>
      <c r="Y4655">
        <v>0.2686849</v>
      </c>
      <c r="Z4655">
        <v>0.13392509999999999</v>
      </c>
      <c r="AA4655">
        <v>0.95387239999999995</v>
      </c>
      <c r="AB4655">
        <v>26</v>
      </c>
      <c r="AC4655">
        <v>-5.1921999999999802</v>
      </c>
      <c r="AD4655">
        <v>-1.1047910160400001</v>
      </c>
      <c r="AE4655">
        <v>-3.9782999999999902</v>
      </c>
      <c r="AF4655">
        <v>1.81788230827827</v>
      </c>
      <c r="AG4655">
        <v>-1.1047910160400001</v>
      </c>
      <c r="AH4655">
        <v>6.0943097327716096</v>
      </c>
      <c r="AI4655">
        <v>99.854987171843007</v>
      </c>
      <c r="AJ4655">
        <v>73.390592040669802</v>
      </c>
      <c r="AK4655">
        <v>6.4549105644329803</v>
      </c>
      <c r="AL4655">
        <v>67.236626461899505</v>
      </c>
      <c r="AM4655">
        <v>80.452801257469901</v>
      </c>
      <c r="AN4655">
        <v>0.99999998933878498</v>
      </c>
    </row>
    <row r="4656" spans="1:40" x14ac:dyDescent="0.25">
      <c r="A4656" t="str">
        <f>"20190304164942053"</f>
        <v>20190304164942053</v>
      </c>
      <c r="B4656" t="str">
        <f>"1551689382050491"</f>
        <v>1551689382050491</v>
      </c>
      <c r="C4656" t="s">
        <v>40</v>
      </c>
      <c r="D4656">
        <v>4.5781609999999997</v>
      </c>
      <c r="E4656">
        <v>0.57678779999999996</v>
      </c>
      <c r="F4656" t="s">
        <v>48</v>
      </c>
      <c r="G4656">
        <v>-202.67789999999999</v>
      </c>
      <c r="H4656" s="1">
        <v>-9.9110620000000001E-6</v>
      </c>
      <c r="I4656">
        <v>145.0985</v>
      </c>
      <c r="J4656">
        <v>-197.40889999999999</v>
      </c>
      <c r="K4656">
        <v>1.104768</v>
      </c>
      <c r="L4656">
        <v>149.08349999999999</v>
      </c>
      <c r="M4656">
        <v>-0.59057329999999997</v>
      </c>
      <c r="N4656">
        <v>-1.3800299999999901E-2</v>
      </c>
      <c r="O4656">
        <v>-0.80686619999999998</v>
      </c>
      <c r="P4656">
        <v>-0.65936740000000005</v>
      </c>
      <c r="Q4656">
        <v>0.37609120000000001</v>
      </c>
      <c r="R4656">
        <v>-0.65099200000000002</v>
      </c>
      <c r="S4656">
        <v>-2.7821039999999999</v>
      </c>
      <c r="T4656">
        <v>-0.57423749999999996</v>
      </c>
      <c r="U4656">
        <v>-2.1269840000000002</v>
      </c>
      <c r="V4656">
        <v>0.1534838</v>
      </c>
      <c r="W4656">
        <v>0.38638479999999997</v>
      </c>
      <c r="X4656">
        <v>0.9094776</v>
      </c>
      <c r="Y4656">
        <v>0.27326909999999999</v>
      </c>
      <c r="Z4656">
        <v>0.13440369999999999</v>
      </c>
      <c r="AA4656">
        <v>0.95250179999999995</v>
      </c>
      <c r="AB4656">
        <v>26</v>
      </c>
      <c r="AC4656">
        <v>-5.2690000000000001</v>
      </c>
      <c r="AD4656">
        <v>-1.104777911062</v>
      </c>
      <c r="AE4656">
        <v>-3.9849999999999799</v>
      </c>
      <c r="AF4656">
        <v>1.8464839871527601</v>
      </c>
      <c r="AG4656">
        <v>-1.104777911062</v>
      </c>
      <c r="AH4656">
        <v>6.1555444631051301</v>
      </c>
      <c r="AI4656">
        <v>99.754319938812401</v>
      </c>
      <c r="AJ4656">
        <v>73.302287342995299</v>
      </c>
      <c r="AK4656">
        <v>6.5207948123557999</v>
      </c>
      <c r="AL4656">
        <v>67.270262665188298</v>
      </c>
      <c r="AM4656">
        <v>80.420997922594196</v>
      </c>
      <c r="AN4656">
        <v>0.99999999771762005</v>
      </c>
    </row>
    <row r="4657" spans="1:40" x14ac:dyDescent="0.25">
      <c r="A4657" t="str">
        <f>"20190304164942074"</f>
        <v>20190304164942074</v>
      </c>
      <c r="B4657" t="str">
        <f>"1551689382070012"</f>
        <v>1551689382070012</v>
      </c>
      <c r="C4657" t="s">
        <v>40</v>
      </c>
      <c r="D4657">
        <v>4.1443519999999996</v>
      </c>
      <c r="E4657">
        <v>0.57678779999999996</v>
      </c>
      <c r="F4657" t="s">
        <v>48</v>
      </c>
      <c r="G4657">
        <v>-202.79750000000001</v>
      </c>
      <c r="H4657" s="1">
        <v>-9.8430939999999992E-6</v>
      </c>
      <c r="I4657">
        <v>145.01689999999999</v>
      </c>
      <c r="J4657">
        <v>-197.559</v>
      </c>
      <c r="K4657">
        <v>1.1047419999999999</v>
      </c>
      <c r="L4657">
        <v>148.8939</v>
      </c>
      <c r="M4657">
        <v>-0.59734790000000004</v>
      </c>
      <c r="N4657">
        <v>-1.359993E-2</v>
      </c>
      <c r="O4657">
        <v>-0.80186709999999894</v>
      </c>
      <c r="P4657">
        <v>-0.66592980000000002</v>
      </c>
      <c r="Q4657">
        <v>0.37528790000000001</v>
      </c>
      <c r="R4657">
        <v>-0.64474589999999998</v>
      </c>
      <c r="S4657">
        <v>-2.7944789999999999</v>
      </c>
      <c r="T4657">
        <v>-0.57292330000000002</v>
      </c>
      <c r="U4657">
        <v>-2.1089169999999999</v>
      </c>
      <c r="V4657">
        <v>0.15474949999999901</v>
      </c>
      <c r="W4657">
        <v>0.38538410000000001</v>
      </c>
      <c r="X4657">
        <v>0.90968769999999999</v>
      </c>
      <c r="Y4657">
        <v>0.27120229999999901</v>
      </c>
      <c r="Z4657">
        <v>0.13358200000000001</v>
      </c>
      <c r="AA4657">
        <v>0.95320780000000005</v>
      </c>
      <c r="AB4657">
        <v>26</v>
      </c>
      <c r="AC4657">
        <v>-5.2384999999999797</v>
      </c>
      <c r="AD4657">
        <v>-1.104751843094</v>
      </c>
      <c r="AE4657">
        <v>-3.8769999999999998</v>
      </c>
      <c r="AF4657">
        <v>1.8321884443239</v>
      </c>
      <c r="AG4657">
        <v>-1.104751843094</v>
      </c>
      <c r="AH4657">
        <v>6.0643602144915203</v>
      </c>
      <c r="AI4657">
        <v>99.892113371639695</v>
      </c>
      <c r="AJ4657">
        <v>73.189175994383007</v>
      </c>
      <c r="AK4657">
        <v>6.4306963807538997</v>
      </c>
      <c r="AL4657">
        <v>67.332412557496397</v>
      </c>
      <c r="AM4657">
        <v>80.345674703164406</v>
      </c>
      <c r="AN4657">
        <v>1.0000000119071699</v>
      </c>
    </row>
    <row r="4658" spans="1:40" x14ac:dyDescent="0.25">
      <c r="A4658" t="str">
        <f>"20190304164942087"</f>
        <v>20190304164942087</v>
      </c>
      <c r="B4658" t="str">
        <f>"1551689382080749"</f>
        <v>1551689382080749</v>
      </c>
      <c r="C4658" t="s">
        <v>40</v>
      </c>
      <c r="D4658">
        <v>4.5643459999999996</v>
      </c>
      <c r="E4658">
        <v>0.57693430000000001</v>
      </c>
      <c r="F4658" t="s">
        <v>48</v>
      </c>
      <c r="G4658">
        <v>-202.96019999999999</v>
      </c>
      <c r="H4658" s="1">
        <v>-9.7513460000000001E-6</v>
      </c>
      <c r="I4658">
        <v>144.90129999999999</v>
      </c>
      <c r="J4658">
        <v>-197.65</v>
      </c>
      <c r="K4658">
        <v>1.104727</v>
      </c>
      <c r="L4658">
        <v>148.7809</v>
      </c>
      <c r="M4658">
        <v>-0.60139169999999997</v>
      </c>
      <c r="N4658">
        <v>-1.3473479999999999E-2</v>
      </c>
      <c r="O4658">
        <v>-0.79884069999999996</v>
      </c>
      <c r="P4658">
        <v>-0.66961119999999996</v>
      </c>
      <c r="Q4658">
        <v>0.37505100000000002</v>
      </c>
      <c r="R4658">
        <v>-0.64105979999999996</v>
      </c>
      <c r="S4658">
        <v>-2.81488</v>
      </c>
      <c r="T4658">
        <v>-0.57575080000000001</v>
      </c>
      <c r="U4658">
        <v>-2.0807500000000001</v>
      </c>
      <c r="V4658">
        <v>0.15527839999999901</v>
      </c>
      <c r="W4658">
        <v>0.38502409999999998</v>
      </c>
      <c r="X4658">
        <v>0.90974999999999995</v>
      </c>
      <c r="Y4658">
        <v>0.2756962</v>
      </c>
      <c r="Z4658">
        <v>0.13429170000000001</v>
      </c>
      <c r="AA4658">
        <v>0.95181789999999999</v>
      </c>
      <c r="AB4658">
        <v>26</v>
      </c>
      <c r="AC4658">
        <v>-5.3101999999999796</v>
      </c>
      <c r="AD4658">
        <v>-1.104736751346</v>
      </c>
      <c r="AE4658">
        <v>-3.8796000000000102</v>
      </c>
      <c r="AF4658">
        <v>1.8566264522339599</v>
      </c>
      <c r="AG4658">
        <v>-1.104736751346</v>
      </c>
      <c r="AH4658">
        <v>6.1205502159554799</v>
      </c>
      <c r="AI4658">
        <v>99.799687543344206</v>
      </c>
      <c r="AJ4658">
        <v>73.125189944008298</v>
      </c>
      <c r="AK4658">
        <v>6.4906579033979401</v>
      </c>
      <c r="AL4658">
        <v>67.354763590725099</v>
      </c>
      <c r="AM4658">
        <v>80.313953246287099</v>
      </c>
      <c r="AN4658">
        <v>1.00000000079368</v>
      </c>
    </row>
    <row r="4659" spans="1:40" x14ac:dyDescent="0.25">
      <c r="A4659" t="str">
        <f>"20190304164942101"</f>
        <v>20190304164942101</v>
      </c>
      <c r="B4659" t="str">
        <f>"1551689382090507"</f>
        <v>1551689382090507</v>
      </c>
      <c r="C4659" t="s">
        <v>40</v>
      </c>
      <c r="D4659">
        <v>4.5626600000000002</v>
      </c>
      <c r="E4659">
        <v>0.57707149999999996</v>
      </c>
      <c r="F4659" t="s">
        <v>48</v>
      </c>
      <c r="G4659">
        <v>-203.08090000000001</v>
      </c>
      <c r="H4659" s="1">
        <v>-9.683611E-6</v>
      </c>
      <c r="I4659">
        <v>144.8167</v>
      </c>
      <c r="J4659">
        <v>-197.75409999999999</v>
      </c>
      <c r="K4659">
        <v>1.1047049999999901</v>
      </c>
      <c r="L4659">
        <v>148.65260000000001</v>
      </c>
      <c r="M4659">
        <v>-0.60597749999999995</v>
      </c>
      <c r="N4659">
        <v>-1.332553E-2</v>
      </c>
      <c r="O4659">
        <v>-0.79537029999999997</v>
      </c>
      <c r="P4659">
        <v>-0.67384350000000004</v>
      </c>
      <c r="Q4659">
        <v>0.37447570000000002</v>
      </c>
      <c r="R4659">
        <v>-0.63694830000000002</v>
      </c>
      <c r="S4659">
        <v>-2.8268740000000001</v>
      </c>
      <c r="T4659">
        <v>-0.57503909999999903</v>
      </c>
      <c r="U4659">
        <v>-2.0634160000000001</v>
      </c>
      <c r="V4659">
        <v>0.15586229999999901</v>
      </c>
      <c r="W4659">
        <v>0.3843066</v>
      </c>
      <c r="X4659">
        <v>0.90995349999999997</v>
      </c>
      <c r="Y4659">
        <v>0.27593839999999997</v>
      </c>
      <c r="Z4659">
        <v>0.1338599</v>
      </c>
      <c r="AA4659">
        <v>0.9518086</v>
      </c>
      <c r="AB4659">
        <v>26</v>
      </c>
      <c r="AC4659">
        <v>-5.32680000000002</v>
      </c>
      <c r="AD4659">
        <v>-1.10471468361099</v>
      </c>
      <c r="AE4659">
        <v>-3.8359000000000001</v>
      </c>
      <c r="AF4659">
        <v>1.8598043523741099</v>
      </c>
      <c r="AG4659">
        <v>-1.10471468361099</v>
      </c>
      <c r="AH4659">
        <v>6.1064865951287297</v>
      </c>
      <c r="AI4659">
        <v>99.818359391918094</v>
      </c>
      <c r="AJ4659">
        <v>73.061251644764994</v>
      </c>
      <c r="AK4659">
        <v>6.4783057428452899</v>
      </c>
      <c r="AL4659">
        <v>67.399300008912704</v>
      </c>
      <c r="AM4659">
        <v>80.280356877024403</v>
      </c>
      <c r="AN4659">
        <v>0.99999999576355003</v>
      </c>
    </row>
    <row r="4660" spans="1:40" x14ac:dyDescent="0.25">
      <c r="A4660" t="str">
        <f>"20190304164942125"</f>
        <v>20190304164942125</v>
      </c>
      <c r="B4660" t="str">
        <f>"1551689382120763"</f>
        <v>1551689382120763</v>
      </c>
      <c r="C4660" t="s">
        <v>40</v>
      </c>
      <c r="D4660">
        <v>4.1005580000000004</v>
      </c>
      <c r="E4660">
        <v>0.57721719999999999</v>
      </c>
      <c r="F4660" t="s">
        <v>48</v>
      </c>
      <c r="G4660">
        <v>-203.2039</v>
      </c>
      <c r="H4660" s="1">
        <v>-9.6144189999999993E-6</v>
      </c>
      <c r="I4660">
        <v>144.72999999999999</v>
      </c>
      <c r="J4660">
        <v>-197.93209999999999</v>
      </c>
      <c r="K4660">
        <v>1.104663</v>
      </c>
      <c r="L4660">
        <v>148.4367</v>
      </c>
      <c r="M4660">
        <v>-0.61369899999999999</v>
      </c>
      <c r="N4660">
        <v>-1.30647E-2</v>
      </c>
      <c r="O4660">
        <v>-0.78943200000000002</v>
      </c>
      <c r="P4660">
        <v>-0.68087019999999998</v>
      </c>
      <c r="Q4660">
        <v>0.37381809999999899</v>
      </c>
      <c r="R4660">
        <v>-0.62982209999999905</v>
      </c>
      <c r="S4660">
        <v>-2.83989</v>
      </c>
      <c r="T4660">
        <v>-0.57566649999999997</v>
      </c>
      <c r="U4660">
        <v>-2.0440369999999999</v>
      </c>
      <c r="V4660">
        <v>0.1568561</v>
      </c>
      <c r="W4660">
        <v>0.38339529999999999</v>
      </c>
      <c r="X4660">
        <v>0.91016719999999895</v>
      </c>
      <c r="Y4660">
        <v>0.272953</v>
      </c>
      <c r="Z4660">
        <v>0.13336789999999901</v>
      </c>
      <c r="AA4660">
        <v>0.95273799999999997</v>
      </c>
      <c r="AB4660">
        <v>26</v>
      </c>
      <c r="AC4660">
        <v>-5.2718000000000096</v>
      </c>
      <c r="AD4660">
        <v>-1.104672614419</v>
      </c>
      <c r="AE4660">
        <v>-3.7067000000000099</v>
      </c>
      <c r="AF4660">
        <v>1.8332257066036799</v>
      </c>
      <c r="AG4660">
        <v>-1.104672614419</v>
      </c>
      <c r="AH4660">
        <v>5.9861241709648203</v>
      </c>
      <c r="AI4660">
        <v>100.00683399437899</v>
      </c>
      <c r="AJ4660">
        <v>72.973009864448599</v>
      </c>
      <c r="AK4660">
        <v>6.3572557496618902</v>
      </c>
      <c r="AL4660">
        <v>67.455846881804803</v>
      </c>
      <c r="AM4660">
        <v>80.221828311758699</v>
      </c>
      <c r="AN4660">
        <v>1.00000006206256</v>
      </c>
    </row>
    <row r="4661" spans="1:40" x14ac:dyDescent="0.25">
      <c r="A4661" t="str">
        <f>"20190304164942141"</f>
        <v>20190304164942141</v>
      </c>
      <c r="B4661" t="str">
        <f>"1551689382130524"</f>
        <v>1551689382130524</v>
      </c>
      <c r="C4661" t="s">
        <v>40</v>
      </c>
      <c r="D4661">
        <v>4.4593930000000004</v>
      </c>
      <c r="E4661">
        <v>0.5774108</v>
      </c>
      <c r="F4661" t="s">
        <v>48</v>
      </c>
      <c r="G4661">
        <v>-203.41579999999999</v>
      </c>
      <c r="H4661" s="1">
        <v>-9.4956829999999997E-6</v>
      </c>
      <c r="I4661">
        <v>144.58240000000001</v>
      </c>
      <c r="J4661">
        <v>-198.05160000000001</v>
      </c>
      <c r="K4661">
        <v>1.1046320000000001</v>
      </c>
      <c r="L4661">
        <v>148.29399999999899</v>
      </c>
      <c r="M4661">
        <v>-0.61880000000000002</v>
      </c>
      <c r="N4661">
        <v>-1.2891120000000001E-2</v>
      </c>
      <c r="O4661">
        <v>-0.785443</v>
      </c>
      <c r="P4661">
        <v>-0.685836</v>
      </c>
      <c r="Q4661">
        <v>0.3730096</v>
      </c>
      <c r="R4661">
        <v>-0.62489459999999997</v>
      </c>
      <c r="S4661">
        <v>-2.8619379999999999</v>
      </c>
      <c r="T4661">
        <v>-0.57653030000000005</v>
      </c>
      <c r="U4661">
        <v>-2.011536</v>
      </c>
      <c r="V4661">
        <v>0.157868799999999</v>
      </c>
      <c r="W4661">
        <v>0.38241249999999999</v>
      </c>
      <c r="X4661">
        <v>0.91040549999999998</v>
      </c>
      <c r="Y4661">
        <v>0.27737119999999998</v>
      </c>
      <c r="Z4661">
        <v>0.1335219</v>
      </c>
      <c r="AA4661">
        <v>0.95143949999999999</v>
      </c>
      <c r="AB4661">
        <v>26</v>
      </c>
      <c r="AC4661">
        <v>-5.3641999999999799</v>
      </c>
      <c r="AD4661">
        <v>-1.104641495683</v>
      </c>
      <c r="AE4661">
        <v>-3.71159999999997</v>
      </c>
      <c r="AF4661">
        <v>1.8632610884940799</v>
      </c>
      <c r="AG4661">
        <v>-1.104641495683</v>
      </c>
      <c r="AH4661">
        <v>6.0613127590165696</v>
      </c>
      <c r="AI4661">
        <v>99.881751343434402</v>
      </c>
      <c r="AJ4661">
        <v>72.912454815016403</v>
      </c>
      <c r="AK4661">
        <v>6.43672953296144</v>
      </c>
      <c r="AL4661">
        <v>67.516801881862605</v>
      </c>
      <c r="AM4661">
        <v>80.162453672109706</v>
      </c>
      <c r="AN4661">
        <v>1.00000002629996</v>
      </c>
    </row>
    <row r="4662" spans="1:40" x14ac:dyDescent="0.25">
      <c r="A4662" t="str">
        <f>"20190304164942152"</f>
        <v>20190304164942152</v>
      </c>
      <c r="B4662" t="str">
        <f>"1551689382150043"</f>
        <v>1551689382150043</v>
      </c>
      <c r="C4662" t="s">
        <v>40</v>
      </c>
      <c r="D4662">
        <v>4.1318609999999998</v>
      </c>
      <c r="E4662">
        <v>0.57888070000000003</v>
      </c>
      <c r="F4662" t="s">
        <v>48</v>
      </c>
      <c r="G4662">
        <v>-203.5573</v>
      </c>
      <c r="H4662" s="1">
        <v>-9.4176400000000005E-6</v>
      </c>
      <c r="I4662">
        <v>144.48859999999999</v>
      </c>
      <c r="J4662">
        <v>-198.13890000000001</v>
      </c>
      <c r="K4662">
        <v>1.1046100000000001</v>
      </c>
      <c r="L4662">
        <v>148.1908</v>
      </c>
      <c r="M4662">
        <v>-0.62248359999999903</v>
      </c>
      <c r="N4662">
        <v>-1.276714E-2</v>
      </c>
      <c r="O4662">
        <v>-0.78252889999999997</v>
      </c>
      <c r="P4662">
        <v>-0.6893494</v>
      </c>
      <c r="Q4662">
        <v>0.37270409999999998</v>
      </c>
      <c r="R4662">
        <v>-0.62119979999999997</v>
      </c>
      <c r="S4662">
        <v>-2.8765719999999999</v>
      </c>
      <c r="T4662">
        <v>-0.57714639999999995</v>
      </c>
      <c r="U4662">
        <v>-1.9881899999999999</v>
      </c>
      <c r="V4662">
        <v>0.1586168</v>
      </c>
      <c r="W4662">
        <v>0.38198019999999999</v>
      </c>
      <c r="X4662">
        <v>0.91045699999999996</v>
      </c>
      <c r="Y4662">
        <v>0.2803119</v>
      </c>
      <c r="Z4662">
        <v>0.13364029999999999</v>
      </c>
      <c r="AA4662">
        <v>0.95056059999999998</v>
      </c>
      <c r="AB4662">
        <v>26</v>
      </c>
      <c r="AC4662">
        <v>-5.4183999999999903</v>
      </c>
      <c r="AD4662">
        <v>-1.1046194176399999</v>
      </c>
      <c r="AE4662">
        <v>-3.7021999999999999</v>
      </c>
      <c r="AF4662">
        <v>1.8823208730361101</v>
      </c>
      <c r="AG4662">
        <v>-1.1046194176399999</v>
      </c>
      <c r="AH4662">
        <v>6.0976860415449403</v>
      </c>
      <c r="AI4662">
        <v>99.820264115190298</v>
      </c>
      <c r="AJ4662">
        <v>72.8448415038972</v>
      </c>
      <c r="AK4662">
        <v>6.4765029906691796</v>
      </c>
      <c r="AL4662">
        <v>67.543606462264407</v>
      </c>
      <c r="AM4662">
        <v>80.117307316845199</v>
      </c>
      <c r="AN4662">
        <v>1.00000005564163</v>
      </c>
    </row>
    <row r="4663" spans="1:40" x14ac:dyDescent="0.25">
      <c r="A4663" t="str">
        <f>"20190304164942165"</f>
        <v>20190304164942165</v>
      </c>
      <c r="B4663" t="str">
        <f>"1551689382160780"</f>
        <v>1551689382160780</v>
      </c>
      <c r="C4663" t="s">
        <v>40</v>
      </c>
      <c r="D4663">
        <v>4.1098109999999997</v>
      </c>
      <c r="E4663">
        <v>0.58014200000000005</v>
      </c>
      <c r="F4663" t="s">
        <v>48</v>
      </c>
      <c r="G4663">
        <v>-203.82570000000001</v>
      </c>
      <c r="H4663" s="1">
        <v>-9.2767810000000004E-6</v>
      </c>
      <c r="I4663">
        <v>144.33779999999999</v>
      </c>
      <c r="J4663">
        <v>-198.23689999999999</v>
      </c>
      <c r="K4663">
        <v>1.104584</v>
      </c>
      <c r="L4663">
        <v>148.07650000000001</v>
      </c>
      <c r="M4663">
        <v>-0.62657280000000004</v>
      </c>
      <c r="N4663">
        <v>-1.263094E-2</v>
      </c>
      <c r="O4663">
        <v>-0.77926059999999997</v>
      </c>
      <c r="P4663">
        <v>-0.69304960000000004</v>
      </c>
      <c r="Q4663">
        <v>0.37267060000000002</v>
      </c>
      <c r="R4663">
        <v>-0.6170892</v>
      </c>
      <c r="S4663">
        <v>-2.8906100000000001</v>
      </c>
      <c r="T4663">
        <v>-0.56147609999999903</v>
      </c>
      <c r="U4663">
        <v>-1.9585109999999999</v>
      </c>
      <c r="V4663">
        <v>0.15928709999999999</v>
      </c>
      <c r="W4663">
        <v>0.38180839999999999</v>
      </c>
      <c r="X4663">
        <v>0.910412</v>
      </c>
      <c r="Y4663">
        <v>0.28459790000000001</v>
      </c>
      <c r="Z4663">
        <v>0.13001179999999901</v>
      </c>
      <c r="AA4663">
        <v>0.94978989999999996</v>
      </c>
      <c r="AB4663">
        <v>26</v>
      </c>
      <c r="AC4663">
        <v>-5.5888000000000098</v>
      </c>
      <c r="AD4663">
        <v>-1.1045932767810001</v>
      </c>
      <c r="AE4663">
        <v>-3.7387000000000201</v>
      </c>
      <c r="AF4663">
        <v>1.9598353901315999</v>
      </c>
      <c r="AG4663">
        <v>-1.1045932767810001</v>
      </c>
      <c r="AH4663">
        <v>6.2471351984485199</v>
      </c>
      <c r="AI4663">
        <v>99.576123482730793</v>
      </c>
      <c r="AJ4663">
        <v>72.582448050037698</v>
      </c>
      <c r="AK4663">
        <v>6.6398628940074103</v>
      </c>
      <c r="AL4663">
        <v>67.554256340517995</v>
      </c>
      <c r="AM4663">
        <v>80.075891741081307</v>
      </c>
      <c r="AN4663">
        <v>1.0000000221404799</v>
      </c>
    </row>
    <row r="4664" spans="1:40" x14ac:dyDescent="0.25">
      <c r="A4664" t="str">
        <f>"20190304164942178"</f>
        <v>20190304164942178</v>
      </c>
      <c r="B4664" t="str">
        <f>"1551689382170542"</f>
        <v>1551689382170542</v>
      </c>
      <c r="C4664" t="s">
        <v>40</v>
      </c>
      <c r="D4664">
        <v>4.0976379999999999</v>
      </c>
      <c r="E4664">
        <v>0.58132419999999996</v>
      </c>
      <c r="F4664" t="s">
        <v>48</v>
      </c>
      <c r="G4664">
        <v>-204.0943</v>
      </c>
      <c r="H4664" s="1">
        <v>-9.1354530000000006E-6</v>
      </c>
      <c r="I4664">
        <v>144.18539999999999</v>
      </c>
      <c r="J4664">
        <v>-198.3347</v>
      </c>
      <c r="K4664">
        <v>1.104562</v>
      </c>
      <c r="L4664">
        <v>147.9632</v>
      </c>
      <c r="M4664">
        <v>-0.63062200000000002</v>
      </c>
      <c r="N4664">
        <v>-1.24966E-2</v>
      </c>
      <c r="O4664">
        <v>-0.7759897</v>
      </c>
      <c r="P4664">
        <v>-0.69668409999999903</v>
      </c>
      <c r="Q4664">
        <v>0.37237019999999998</v>
      </c>
      <c r="R4664">
        <v>-0.61316539999999997</v>
      </c>
      <c r="S4664">
        <v>-2.9049680000000002</v>
      </c>
      <c r="T4664">
        <v>-0.54782129999999996</v>
      </c>
      <c r="U4664">
        <v>-1.9298249999999999</v>
      </c>
      <c r="V4664">
        <v>0.15981689999999901</v>
      </c>
      <c r="W4664">
        <v>0.38137510000000002</v>
      </c>
      <c r="X4664">
        <v>0.9105008</v>
      </c>
      <c r="Y4664">
        <v>0.28869359999999999</v>
      </c>
      <c r="Z4664">
        <v>0.12681229999999999</v>
      </c>
      <c r="AA4664">
        <v>0.94898610000000005</v>
      </c>
      <c r="AB4664">
        <v>26</v>
      </c>
      <c r="AC4664">
        <v>-5.7595999999999998</v>
      </c>
      <c r="AD4664">
        <v>-1.1045711354529999</v>
      </c>
      <c r="AE4664">
        <v>-3.7778000000000098</v>
      </c>
      <c r="AF4664">
        <v>2.0348611969296999</v>
      </c>
      <c r="AG4664">
        <v>-1.1045711354529999</v>
      </c>
      <c r="AH4664">
        <v>6.3996053785687304</v>
      </c>
      <c r="AI4664">
        <v>99.340662984748604</v>
      </c>
      <c r="AJ4664">
        <v>72.361070418357201</v>
      </c>
      <c r="AK4664">
        <v>6.8055629073172099</v>
      </c>
      <c r="AL4664">
        <v>67.581115806333798</v>
      </c>
      <c r="AM4664">
        <v>80.044494517794604</v>
      </c>
      <c r="AN4664">
        <v>1.0000000576131201</v>
      </c>
    </row>
    <row r="4665" spans="1:40" x14ac:dyDescent="0.25">
      <c r="A4665" t="str">
        <f>"20190304164942191"</f>
        <v>20190304164942191</v>
      </c>
      <c r="B4665" t="str">
        <f>"1551689382180300"</f>
        <v>1551689382180300</v>
      </c>
      <c r="C4665" t="s">
        <v>40</v>
      </c>
      <c r="D4665">
        <v>4.4466080000000003</v>
      </c>
      <c r="E4665">
        <v>0.58134809999999904</v>
      </c>
      <c r="F4665" t="s">
        <v>48</v>
      </c>
      <c r="G4665">
        <v>-204.35380000000001</v>
      </c>
      <c r="H4665" s="1">
        <v>-8.9996269999999999E-6</v>
      </c>
      <c r="I4665">
        <v>144.041</v>
      </c>
      <c r="J4665">
        <v>-198.4314</v>
      </c>
      <c r="K4665">
        <v>1.104536</v>
      </c>
      <c r="L4665">
        <v>147.8526</v>
      </c>
      <c r="M4665">
        <v>-0.63457980000000003</v>
      </c>
      <c r="N4665">
        <v>-1.2366759999999999E-2</v>
      </c>
      <c r="O4665">
        <v>-0.77275859999999996</v>
      </c>
      <c r="P4665">
        <v>-0.70001380000000002</v>
      </c>
      <c r="Q4665">
        <v>0.3723225</v>
      </c>
      <c r="R4665">
        <v>-0.6093906</v>
      </c>
      <c r="S4665">
        <v>-2.918533</v>
      </c>
      <c r="T4665">
        <v>-0.53557940000000004</v>
      </c>
      <c r="U4665">
        <v>-1.90181</v>
      </c>
      <c r="V4665">
        <v>0.16011300000000001</v>
      </c>
      <c r="W4665">
        <v>0.38120100000000001</v>
      </c>
      <c r="X4665">
        <v>0.91052160000000004</v>
      </c>
      <c r="Y4665">
        <v>0.29257759999999999</v>
      </c>
      <c r="Z4665">
        <v>0.12394429999999999</v>
      </c>
      <c r="AA4665">
        <v>0.9481752</v>
      </c>
      <c r="AB4665">
        <v>26</v>
      </c>
      <c r="AC4665">
        <v>-5.9223999999999997</v>
      </c>
      <c r="AD4665">
        <v>-1.104544999627</v>
      </c>
      <c r="AE4665">
        <v>-3.8115999999999901</v>
      </c>
      <c r="AF4665">
        <v>2.1061829662100999</v>
      </c>
      <c r="AG4665">
        <v>-1.104544999627</v>
      </c>
      <c r="AH4665">
        <v>6.5432581899307101</v>
      </c>
      <c r="AI4665">
        <v>99.128666690576395</v>
      </c>
      <c r="AJ4665">
        <v>72.157361653394801</v>
      </c>
      <c r="AK4665">
        <v>6.9620581786889604</v>
      </c>
      <c r="AL4665">
        <v>67.591904300380506</v>
      </c>
      <c r="AM4665">
        <v>80.026642783434596</v>
      </c>
      <c r="AN4665">
        <v>0.99999997961827902</v>
      </c>
    </row>
    <row r="4666" spans="1:40" x14ac:dyDescent="0.25">
      <c r="A4666" t="str">
        <f>"20190304164942209"</f>
        <v>20190304164942209</v>
      </c>
      <c r="B4666" t="str">
        <f>"1551689382200799"</f>
        <v>1551689382200799</v>
      </c>
      <c r="C4666" t="s">
        <v>40</v>
      </c>
      <c r="D4666">
        <v>4.1114350000000002</v>
      </c>
      <c r="E4666">
        <v>0.58240839999999905</v>
      </c>
      <c r="F4666" t="s">
        <v>48</v>
      </c>
      <c r="G4666">
        <v>-204.47819999999999</v>
      </c>
      <c r="H4666" s="1">
        <v>-8.9311160000000004E-6</v>
      </c>
      <c r="I4666">
        <v>143.9588</v>
      </c>
      <c r="J4666">
        <v>-198.57689999999999</v>
      </c>
      <c r="K4666">
        <v>1.1044989999999999</v>
      </c>
      <c r="L4666">
        <v>147.68819999999999</v>
      </c>
      <c r="M4666">
        <v>-0.64046159999999996</v>
      </c>
      <c r="N4666">
        <v>-1.2180689999999999E-2</v>
      </c>
      <c r="O4666">
        <v>-0.76789370000000001</v>
      </c>
      <c r="P4666">
        <v>-0.70562239999999998</v>
      </c>
      <c r="Q4666">
        <v>0.37116450000000001</v>
      </c>
      <c r="R4666">
        <v>-0.60360130000000001</v>
      </c>
      <c r="S4666">
        <v>-2.9284819999999998</v>
      </c>
      <c r="T4666">
        <v>-0.53493539999999995</v>
      </c>
      <c r="U4666">
        <v>-1.8858029999999999</v>
      </c>
      <c r="V4666">
        <v>0.16113039999999901</v>
      </c>
      <c r="W4666">
        <v>0.37985560000000002</v>
      </c>
      <c r="X4666">
        <v>0.9109043</v>
      </c>
      <c r="Y4666">
        <v>0.29047079999999997</v>
      </c>
      <c r="Z4666">
        <v>0.1232752</v>
      </c>
      <c r="AA4666">
        <v>0.94890989999999997</v>
      </c>
      <c r="AB4666">
        <v>26</v>
      </c>
      <c r="AC4666">
        <v>-5.9012999999999902</v>
      </c>
      <c r="AD4666">
        <v>-1.104507931116</v>
      </c>
      <c r="AE4666">
        <v>-3.7293999999999898</v>
      </c>
      <c r="AF4666">
        <v>2.0908527317272201</v>
      </c>
      <c r="AG4666">
        <v>-1.104507931116</v>
      </c>
      <c r="AH4666">
        <v>6.4815797022222101</v>
      </c>
      <c r="AI4666">
        <v>99.211903052471598</v>
      </c>
      <c r="AJ4666">
        <v>72.121138710169504</v>
      </c>
      <c r="AK4666">
        <v>6.8994549315093199</v>
      </c>
      <c r="AL4666">
        <v>67.675260656196002</v>
      </c>
      <c r="AM4666">
        <v>79.968684266437094</v>
      </c>
      <c r="AN4666">
        <v>0.99999996320700402</v>
      </c>
    </row>
    <row r="4667" spans="1:40" x14ac:dyDescent="0.25">
      <c r="A4667" t="str">
        <f>"20190304164942223"</f>
        <v>20190304164942223</v>
      </c>
      <c r="B4667" t="str">
        <f>"1551689382220316"</f>
        <v>1551689382220316</v>
      </c>
      <c r="C4667" t="s">
        <v>40</v>
      </c>
      <c r="D4667">
        <v>4.1087160000000003</v>
      </c>
      <c r="E4667">
        <v>0.58339859999999999</v>
      </c>
      <c r="F4667" t="s">
        <v>48</v>
      </c>
      <c r="G4667">
        <v>-204.76</v>
      </c>
      <c r="H4667" s="1">
        <v>-8.7852349999999992E-6</v>
      </c>
      <c r="I4667">
        <v>143.8081</v>
      </c>
      <c r="J4667">
        <v>-198.68430000000001</v>
      </c>
      <c r="K4667">
        <v>1.104474</v>
      </c>
      <c r="L4667">
        <v>147.5685</v>
      </c>
      <c r="M4667">
        <v>-0.64474659999999995</v>
      </c>
      <c r="N4667">
        <v>-1.2051060000000001E-2</v>
      </c>
      <c r="O4667">
        <v>-0.76430120000000001</v>
      </c>
      <c r="P4667">
        <v>-0.70923859999999905</v>
      </c>
      <c r="Q4667">
        <v>0.37057990000000002</v>
      </c>
      <c r="R4667">
        <v>-0.59970909999999999</v>
      </c>
      <c r="S4667">
        <v>-2.9466709999999998</v>
      </c>
      <c r="T4667">
        <v>-0.52637029999999996</v>
      </c>
      <c r="U4667">
        <v>-1.8491359999999999</v>
      </c>
      <c r="V4667">
        <v>0.1612818</v>
      </c>
      <c r="W4667">
        <v>0.37914880000000001</v>
      </c>
      <c r="X4667">
        <v>0.91117199999999998</v>
      </c>
      <c r="Y4667">
        <v>0.29644949999999998</v>
      </c>
      <c r="Z4667">
        <v>0.1213963</v>
      </c>
      <c r="AA4667">
        <v>0.94730170000000002</v>
      </c>
      <c r="AB4667">
        <v>26</v>
      </c>
      <c r="AC4667">
        <v>-6.0756999999999799</v>
      </c>
      <c r="AD4667">
        <v>-1.1044827852350001</v>
      </c>
      <c r="AE4667">
        <v>-3.7604000000000002</v>
      </c>
      <c r="AF4667">
        <v>2.16753099573083</v>
      </c>
      <c r="AG4667">
        <v>-1.1044827852350001</v>
      </c>
      <c r="AH4667">
        <v>6.63336422237139</v>
      </c>
      <c r="AI4667">
        <v>98.993545437363295</v>
      </c>
      <c r="AJ4667">
        <v>71.904578090726005</v>
      </c>
      <c r="AK4667">
        <v>7.0653799435678701</v>
      </c>
      <c r="AL4667">
        <v>67.719033192644602</v>
      </c>
      <c r="AM4667">
        <v>79.962340315064594</v>
      </c>
      <c r="AN4667">
        <v>1.0000000225683301</v>
      </c>
    </row>
    <row r="4668" spans="1:40" x14ac:dyDescent="0.25">
      <c r="A4668" t="str">
        <f>"20190304164942242"</f>
        <v>20190304164942242</v>
      </c>
      <c r="B4668" t="str">
        <f>"1551689382230076"</f>
        <v>1551689382230076</v>
      </c>
      <c r="C4668" t="s">
        <v>40</v>
      </c>
      <c r="D4668">
        <v>4.6992339999999997</v>
      </c>
      <c r="E4668">
        <v>0.58335729999999997</v>
      </c>
      <c r="F4668" t="s">
        <v>48</v>
      </c>
      <c r="G4668">
        <v>-205.00290000000001</v>
      </c>
      <c r="H4668" s="1">
        <v>-8.6558829999999997E-6</v>
      </c>
      <c r="I4668">
        <v>143.67590000000001</v>
      </c>
      <c r="J4668">
        <v>-198.83690000000001</v>
      </c>
      <c r="K4668">
        <v>1.104436</v>
      </c>
      <c r="L4668">
        <v>147.4006</v>
      </c>
      <c r="M4668">
        <v>-0.65075469999999902</v>
      </c>
      <c r="N4668">
        <v>-1.187671E-2</v>
      </c>
      <c r="O4668">
        <v>-0.75919499999999995</v>
      </c>
      <c r="P4668">
        <v>-0.71475339999999998</v>
      </c>
      <c r="Q4668">
        <v>0.36925740000000001</v>
      </c>
      <c r="R4668">
        <v>-0.59395019999999998</v>
      </c>
      <c r="S4668">
        <v>-2.958847</v>
      </c>
      <c r="T4668">
        <v>-0.51720189999999999</v>
      </c>
      <c r="U4668">
        <v>-1.8227690000000001</v>
      </c>
      <c r="V4668">
        <v>0.16198470000000001</v>
      </c>
      <c r="W4668">
        <v>0.37765520000000002</v>
      </c>
      <c r="X4668">
        <v>0.91166740000000002</v>
      </c>
      <c r="Y4668">
        <v>0.29707889999999998</v>
      </c>
      <c r="Z4668">
        <v>0.11891359999999999</v>
      </c>
      <c r="AA4668">
        <v>0.94741949999999997</v>
      </c>
      <c r="AB4668">
        <v>26</v>
      </c>
      <c r="AC4668">
        <v>-6.1659999999999897</v>
      </c>
      <c r="AD4668">
        <v>-1.1044446558829999</v>
      </c>
      <c r="AE4668">
        <v>-3.7246999999999799</v>
      </c>
      <c r="AF4668">
        <v>2.2056438386638102</v>
      </c>
      <c r="AG4668">
        <v>-1.1044446558829999</v>
      </c>
      <c r="AH4668">
        <v>6.6837028924028203</v>
      </c>
      <c r="AI4668">
        <v>98.918167154971798</v>
      </c>
      <c r="AJ4668">
        <v>71.736940880234201</v>
      </c>
      <c r="AK4668">
        <v>7.1243629255434504</v>
      </c>
      <c r="AL4668">
        <v>67.811483540201806</v>
      </c>
      <c r="AM4668">
        <v>79.924854877416706</v>
      </c>
      <c r="AN4668">
        <v>0.99999997067194402</v>
      </c>
    </row>
    <row r="4669" spans="1:40" x14ac:dyDescent="0.25">
      <c r="A4669" t="str">
        <f>"20190304164942255"</f>
        <v>20190304164942255</v>
      </c>
      <c r="B4669" t="str">
        <f>"1551689382250571"</f>
        <v>1551689382250571</v>
      </c>
      <c r="C4669" t="s">
        <v>40</v>
      </c>
      <c r="D4669">
        <v>4.443816</v>
      </c>
      <c r="E4669">
        <v>0.58322079999999998</v>
      </c>
      <c r="F4669" t="s">
        <v>48</v>
      </c>
      <c r="G4669">
        <v>-205.11750000000001</v>
      </c>
      <c r="H4669" s="1">
        <v>-8.5852799999999992E-6</v>
      </c>
      <c r="I4669">
        <v>143.6009</v>
      </c>
      <c r="J4669">
        <v>-198.93940000000001</v>
      </c>
      <c r="K4669">
        <v>1.1044130000000001</v>
      </c>
      <c r="L4669">
        <v>147.28890000000001</v>
      </c>
      <c r="M4669">
        <v>-0.65474639999999995</v>
      </c>
      <c r="N4669">
        <v>-1.176403E-2</v>
      </c>
      <c r="O4669">
        <v>-0.75575709999999996</v>
      </c>
      <c r="P4669">
        <v>-0.71820240000000002</v>
      </c>
      <c r="Q4669">
        <v>0.36858469999999999</v>
      </c>
      <c r="R4669">
        <v>-0.59019580000000005</v>
      </c>
      <c r="S4669">
        <v>-2.9727939999999999</v>
      </c>
      <c r="T4669">
        <v>-0.52276529999999999</v>
      </c>
      <c r="U4669">
        <v>-1.79849199999999</v>
      </c>
      <c r="V4669">
        <v>0.1622208</v>
      </c>
      <c r="W4669">
        <v>0.37687359999999998</v>
      </c>
      <c r="X4669">
        <v>0.91194889999999995</v>
      </c>
      <c r="Y4669">
        <v>0.29949880000000001</v>
      </c>
      <c r="Z4669">
        <v>0.12012299999999999</v>
      </c>
      <c r="AA4669">
        <v>0.94650460000000003</v>
      </c>
      <c r="AB4669">
        <v>26</v>
      </c>
      <c r="AC4669">
        <v>-6.1780999999999997</v>
      </c>
      <c r="AD4669">
        <v>-1.1044215852799999</v>
      </c>
      <c r="AE4669">
        <v>-3.6880000000000099</v>
      </c>
      <c r="AF4669">
        <v>2.20269696515189</v>
      </c>
      <c r="AG4669">
        <v>-1.1044215852799999</v>
      </c>
      <c r="AH4669">
        <v>6.6755134132993996</v>
      </c>
      <c r="AI4669">
        <v>98.928843903121702</v>
      </c>
      <c r="AJ4669">
        <v>71.738831943154096</v>
      </c>
      <c r="AK4669">
        <v>7.1157642097993996</v>
      </c>
      <c r="AL4669">
        <v>67.859840918424894</v>
      </c>
      <c r="AM4669">
        <v>79.913521867033893</v>
      </c>
      <c r="AN4669">
        <v>1.0000000472704</v>
      </c>
    </row>
    <row r="4670" spans="1:40" x14ac:dyDescent="0.25">
      <c r="A4670" t="str">
        <f>"20190304164942267"</f>
        <v>20190304164942267</v>
      </c>
      <c r="B4670" t="str">
        <f>"1551689382260332"</f>
        <v>1551689382260332</v>
      </c>
      <c r="C4670" t="s">
        <v>40</v>
      </c>
      <c r="D4670">
        <v>4.4446089999999998</v>
      </c>
      <c r="E4670">
        <v>0.58318110000000001</v>
      </c>
      <c r="F4670" t="s">
        <v>48</v>
      </c>
      <c r="G4670">
        <v>-205.2124</v>
      </c>
      <c r="H4670" s="1">
        <v>-8.5264729999999999E-6</v>
      </c>
      <c r="I4670">
        <v>143.53749999999999</v>
      </c>
      <c r="J4670">
        <v>-199.03399999999999</v>
      </c>
      <c r="K4670">
        <v>1.1043909999999999</v>
      </c>
      <c r="L4670">
        <v>147.1875</v>
      </c>
      <c r="M4670">
        <v>-0.65838680000000005</v>
      </c>
      <c r="N4670">
        <v>-1.166536E-2</v>
      </c>
      <c r="O4670">
        <v>-0.75258950000000002</v>
      </c>
      <c r="P4670">
        <v>-0.72146350000000004</v>
      </c>
      <c r="Q4670">
        <v>0.36793609999999999</v>
      </c>
      <c r="R4670">
        <v>-0.58661169999999996</v>
      </c>
      <c r="S4670">
        <v>-2.9813079999999998</v>
      </c>
      <c r="T4670">
        <v>-0.52488970000000001</v>
      </c>
      <c r="U4670">
        <v>-1.782913</v>
      </c>
      <c r="V4670">
        <v>0.16261239999999999</v>
      </c>
      <c r="W4670">
        <v>0.37612610000000002</v>
      </c>
      <c r="X4670">
        <v>0.91218770000000005</v>
      </c>
      <c r="Y4670">
        <v>0.29967369999999999</v>
      </c>
      <c r="Z4670">
        <v>0.12039080000000001</v>
      </c>
      <c r="AA4670">
        <v>0.94641520000000001</v>
      </c>
      <c r="AB4670">
        <v>26</v>
      </c>
      <c r="AC4670">
        <v>-6.1783999999999804</v>
      </c>
      <c r="AD4670">
        <v>-1.104399526473</v>
      </c>
      <c r="AE4670">
        <v>-3.65</v>
      </c>
      <c r="AF4670">
        <v>2.1948531451882398</v>
      </c>
      <c r="AG4670">
        <v>-1.104399526473</v>
      </c>
      <c r="AH4670">
        <v>6.6575040047164702</v>
      </c>
      <c r="AI4670">
        <v>98.9531792011433</v>
      </c>
      <c r="AJ4670">
        <v>71.753589636006893</v>
      </c>
      <c r="AK4670">
        <v>7.0964384176734896</v>
      </c>
      <c r="AL4670">
        <v>67.906070614343705</v>
      </c>
      <c r="AM4670">
        <v>79.892267071709</v>
      </c>
      <c r="AN4670">
        <v>1.0000000178831201</v>
      </c>
    </row>
    <row r="4671" spans="1:40" x14ac:dyDescent="0.25">
      <c r="A4671" t="str">
        <f>"20190304164942278"</f>
        <v>20190304164942278</v>
      </c>
      <c r="B4671" t="str">
        <f>"1551689382270092"</f>
        <v>1551689382270092</v>
      </c>
      <c r="C4671" t="s">
        <v>40</v>
      </c>
      <c r="D4671">
        <v>4.2804729999999998</v>
      </c>
      <c r="E4671">
        <v>0.5833758</v>
      </c>
      <c r="F4671" t="s">
        <v>48</v>
      </c>
      <c r="G4671">
        <v>-205.30240000000001</v>
      </c>
      <c r="H4671" s="1">
        <v>-8.4721789999999992E-6</v>
      </c>
      <c r="I4671">
        <v>143.483</v>
      </c>
      <c r="J4671">
        <v>-199.13030000000001</v>
      </c>
      <c r="K4671">
        <v>1.104366</v>
      </c>
      <c r="L4671">
        <v>147.0849</v>
      </c>
      <c r="M4671">
        <v>-0.66206869999999995</v>
      </c>
      <c r="N4671">
        <v>-1.156655E-2</v>
      </c>
      <c r="O4671">
        <v>-0.74935399999999996</v>
      </c>
      <c r="P4671">
        <v>-0.72456229999999999</v>
      </c>
      <c r="Q4671">
        <v>0.36770190000000003</v>
      </c>
      <c r="R4671">
        <v>-0.58292790000000005</v>
      </c>
      <c r="S4671">
        <v>-2.990097</v>
      </c>
      <c r="T4671">
        <v>-0.52681359999999999</v>
      </c>
      <c r="U4671">
        <v>-1.76709</v>
      </c>
      <c r="V4671">
        <v>0.16288859999999999</v>
      </c>
      <c r="W4671">
        <v>0.37579210000000002</v>
      </c>
      <c r="X4671">
        <v>0.91227599999999998</v>
      </c>
      <c r="Y4671">
        <v>0.29988130000000002</v>
      </c>
      <c r="Z4671">
        <v>0.1205933</v>
      </c>
      <c r="AA4671">
        <v>0.94632369999999999</v>
      </c>
      <c r="AB4671">
        <v>26</v>
      </c>
      <c r="AC4671">
        <v>-6.1721000000000004</v>
      </c>
      <c r="AD4671">
        <v>-1.1043744721790001</v>
      </c>
      <c r="AE4671">
        <v>-3.6019000000000001</v>
      </c>
      <c r="AF4671">
        <v>2.1882709093847401</v>
      </c>
      <c r="AG4671">
        <v>-1.1043744721790001</v>
      </c>
      <c r="AH4671">
        <v>6.6276216681493203</v>
      </c>
      <c r="AI4671">
        <v>98.991389708201496</v>
      </c>
      <c r="AJ4671">
        <v>71.728100214386004</v>
      </c>
      <c r="AK4671">
        <v>7.0663669253572197</v>
      </c>
      <c r="AL4671">
        <v>67.926720911001993</v>
      </c>
      <c r="AM4671">
        <v>79.876413475020698</v>
      </c>
      <c r="AN4671">
        <v>0.99999994930418301</v>
      </c>
    </row>
    <row r="4672" spans="1:40" x14ac:dyDescent="0.25">
      <c r="A4672" t="str">
        <f>"20190304164942291"</f>
        <v>20190304164942291</v>
      </c>
      <c r="B4672" t="str">
        <f>"1551689382280829"</f>
        <v>1551689382280829</v>
      </c>
      <c r="C4672" t="s">
        <v>40</v>
      </c>
      <c r="D4672">
        <v>4.320246</v>
      </c>
      <c r="E4672">
        <v>0.58335079999999995</v>
      </c>
      <c r="F4672" t="s">
        <v>48</v>
      </c>
      <c r="G4672">
        <v>-205.4599</v>
      </c>
      <c r="H4672" s="1">
        <v>-8.3786889999999998E-6</v>
      </c>
      <c r="I4672">
        <v>143.39340000000001</v>
      </c>
      <c r="J4672">
        <v>-199.23519999999999</v>
      </c>
      <c r="K4672">
        <v>1.104333</v>
      </c>
      <c r="L4672">
        <v>146.9743</v>
      </c>
      <c r="M4672">
        <v>-0.66603999999999997</v>
      </c>
      <c r="N4672">
        <v>-1.146312E-2</v>
      </c>
      <c r="O4672">
        <v>-0.7458283</v>
      </c>
      <c r="P4672">
        <v>-0.72778549999999997</v>
      </c>
      <c r="Q4672">
        <v>0.36749159999999997</v>
      </c>
      <c r="R4672">
        <v>-0.57903280000000001</v>
      </c>
      <c r="S4672">
        <v>-2.9988860000000002</v>
      </c>
      <c r="T4672">
        <v>-0.52324649999999995</v>
      </c>
      <c r="U4672">
        <v>-1.7489779999999999</v>
      </c>
      <c r="V4672">
        <v>0.16303129999999999</v>
      </c>
      <c r="W4672">
        <v>0.37547740000000002</v>
      </c>
      <c r="X4672">
        <v>0.91238010000000003</v>
      </c>
      <c r="Y4672">
        <v>0.30041499999999999</v>
      </c>
      <c r="Z4672">
        <v>0.119509199999999</v>
      </c>
      <c r="AA4672">
        <v>0.94629189999999996</v>
      </c>
      <c r="AB4672">
        <v>26</v>
      </c>
      <c r="AC4672">
        <v>-6.2247000000000101</v>
      </c>
      <c r="AD4672">
        <v>-1.104341378689</v>
      </c>
      <c r="AE4672">
        <v>-3.5808999999999802</v>
      </c>
      <c r="AF4672">
        <v>2.2055241913074899</v>
      </c>
      <c r="AG4672">
        <v>-1.104341378689</v>
      </c>
      <c r="AH4672">
        <v>6.6595895476440896</v>
      </c>
      <c r="AI4672">
        <v>98.946025725505507</v>
      </c>
      <c r="AJ4672">
        <v>71.676151763921695</v>
      </c>
      <c r="AK4672">
        <v>7.1016927406230304</v>
      </c>
      <c r="AL4672">
        <v>67.946177042520404</v>
      </c>
      <c r="AM4672">
        <v>79.868860405612494</v>
      </c>
      <c r="AN4672">
        <v>0.99999996478322895</v>
      </c>
    </row>
    <row r="4673" spans="1:40" x14ac:dyDescent="0.25">
      <c r="A4673" t="str">
        <f>"20190304164942311"</f>
        <v>20190304164942311</v>
      </c>
      <c r="B4673" t="str">
        <f>"1551689382300347"</f>
        <v>1551689382300347</v>
      </c>
      <c r="C4673" t="s">
        <v>40</v>
      </c>
      <c r="D4673">
        <v>4.4089960000000001</v>
      </c>
      <c r="E4673">
        <v>0.58324209999999999</v>
      </c>
      <c r="F4673" t="s">
        <v>48</v>
      </c>
      <c r="G4673">
        <v>-205.6018</v>
      </c>
      <c r="H4673" s="1">
        <v>-8.2932230000000001E-6</v>
      </c>
      <c r="I4673">
        <v>143.3082</v>
      </c>
      <c r="J4673">
        <v>-199.39570000000001</v>
      </c>
      <c r="K4673">
        <v>1.1042860000000001</v>
      </c>
      <c r="L4673">
        <v>146.8075</v>
      </c>
      <c r="M4673">
        <v>-0.67205519999999996</v>
      </c>
      <c r="N4673">
        <v>-1.1312259999999999E-2</v>
      </c>
      <c r="O4673">
        <v>-0.74041489999999999</v>
      </c>
      <c r="P4673">
        <v>-0.73273080000000002</v>
      </c>
      <c r="Q4673">
        <v>0.36722329999999997</v>
      </c>
      <c r="R4673">
        <v>-0.57293369999999999</v>
      </c>
      <c r="S4673">
        <v>-3.007584</v>
      </c>
      <c r="T4673">
        <v>-0.52168930000000002</v>
      </c>
      <c r="U4673">
        <v>-1.731903</v>
      </c>
      <c r="V4673">
        <v>0.16339709999999999</v>
      </c>
      <c r="W4673">
        <v>0.3750522</v>
      </c>
      <c r="X4673">
        <v>0.91248949999999995</v>
      </c>
      <c r="Y4673">
        <v>0.29801270000000002</v>
      </c>
      <c r="Z4673">
        <v>0.1185387</v>
      </c>
      <c r="AA4673">
        <v>0.94717320000000005</v>
      </c>
      <c r="AB4673">
        <v>26</v>
      </c>
      <c r="AC4673">
        <v>-6.2060999999999904</v>
      </c>
      <c r="AD4673">
        <v>-1.104294293223</v>
      </c>
      <c r="AE4673">
        <v>-3.4992999999999999</v>
      </c>
      <c r="AF4673">
        <v>2.1908761400464098</v>
      </c>
      <c r="AG4673">
        <v>-1.104294293223</v>
      </c>
      <c r="AH4673">
        <v>6.6035644288377302</v>
      </c>
      <c r="AI4673">
        <v>99.018735942000902</v>
      </c>
      <c r="AJ4673">
        <v>71.645613682912099</v>
      </c>
      <c r="AK4673">
        <v>7.04460554700408</v>
      </c>
      <c r="AL4673">
        <v>67.972459140107702</v>
      </c>
      <c r="AM4673">
        <v>79.847793151001895</v>
      </c>
      <c r="AN4673">
        <v>0.99999992631174695</v>
      </c>
    </row>
    <row r="4674" spans="1:40" x14ac:dyDescent="0.25">
      <c r="A4674" t="str">
        <f>"20190304164942334"</f>
        <v>20190304164942334</v>
      </c>
      <c r="B4674" t="str">
        <f>"1551689382320844"</f>
        <v>1551689382320844</v>
      </c>
      <c r="C4674" t="s">
        <v>40</v>
      </c>
      <c r="D4674">
        <v>4.4441569999999997</v>
      </c>
      <c r="E4674">
        <v>0.58314619999999995</v>
      </c>
      <c r="F4674" t="s">
        <v>48</v>
      </c>
      <c r="G4674">
        <v>-205.79349999999999</v>
      </c>
      <c r="H4674" s="1">
        <v>-8.1787690000000006E-6</v>
      </c>
      <c r="I4674">
        <v>143.19669999999999</v>
      </c>
      <c r="J4674">
        <v>-199.58090000000001</v>
      </c>
      <c r="K4674">
        <v>1.1042289999999999</v>
      </c>
      <c r="L4674">
        <v>146.6181</v>
      </c>
      <c r="M4674">
        <v>-0.6789191</v>
      </c>
      <c r="N4674">
        <v>-1.114862E-2</v>
      </c>
      <c r="O4674">
        <v>-0.73412840000000001</v>
      </c>
      <c r="P4674">
        <v>-0.73777630000000005</v>
      </c>
      <c r="Q4674">
        <v>0.3679828</v>
      </c>
      <c r="R4674">
        <v>-0.5659286</v>
      </c>
      <c r="S4674">
        <v>-3.022049</v>
      </c>
      <c r="T4674">
        <v>-0.52161670000000004</v>
      </c>
      <c r="U4674">
        <v>-1.7055819999999999</v>
      </c>
      <c r="V4674">
        <v>0.163381</v>
      </c>
      <c r="W4674">
        <v>0.37563649999999998</v>
      </c>
      <c r="X4674">
        <v>0.91225210000000001</v>
      </c>
      <c r="Y4674">
        <v>0.29737370000000002</v>
      </c>
      <c r="Z4674">
        <v>0.11791069999999999</v>
      </c>
      <c r="AA4674">
        <v>0.94745230000000003</v>
      </c>
      <c r="AB4674">
        <v>26</v>
      </c>
      <c r="AC4674">
        <v>-6.2125999999999797</v>
      </c>
      <c r="AD4674">
        <v>-1.104237178769</v>
      </c>
      <c r="AE4674">
        <v>-3.4214000000000002</v>
      </c>
      <c r="AF4674">
        <v>2.1851626637246899</v>
      </c>
      <c r="AG4674">
        <v>-1.104237178769</v>
      </c>
      <c r="AH4674">
        <v>6.5707420424427498</v>
      </c>
      <c r="AI4674">
        <v>99.060479741761498</v>
      </c>
      <c r="AJ4674">
        <v>71.604964274714206</v>
      </c>
      <c r="AK4674">
        <v>7.0120558042728698</v>
      </c>
      <c r="AL4674">
        <v>67.936342411606802</v>
      </c>
      <c r="AM4674">
        <v>79.846185926069097</v>
      </c>
      <c r="AN4674">
        <v>1.00000001262383</v>
      </c>
    </row>
    <row r="4675" spans="1:40" x14ac:dyDescent="0.25">
      <c r="A4675" t="str">
        <f>"20190304164942354"</f>
        <v>20190304164942354</v>
      </c>
      <c r="B4675" t="str">
        <f>"1551689382350124"</f>
        <v>1551689382350124</v>
      </c>
      <c r="C4675" t="s">
        <v>40</v>
      </c>
      <c r="D4675">
        <v>4.4292470000000002</v>
      </c>
      <c r="E4675">
        <v>0.5833914</v>
      </c>
      <c r="F4675" t="s">
        <v>48</v>
      </c>
      <c r="G4675">
        <v>-206.06790000000001</v>
      </c>
      <c r="H4675" s="1">
        <v>-8.0161719999999997E-6</v>
      </c>
      <c r="I4675">
        <v>143.04159999999999</v>
      </c>
      <c r="J4675">
        <v>-199.7525</v>
      </c>
      <c r="K4675">
        <v>1.1041540000000001</v>
      </c>
      <c r="L4675">
        <v>146.44589999999999</v>
      </c>
      <c r="M4675">
        <v>-0.68522050000000001</v>
      </c>
      <c r="N4675">
        <v>-1.101166E-2</v>
      </c>
      <c r="O4675">
        <v>-0.72825260000000003</v>
      </c>
      <c r="P4675">
        <v>-0.74223240000000001</v>
      </c>
      <c r="Q4675">
        <v>0.36949850000000001</v>
      </c>
      <c r="R4675">
        <v>-0.55907280000000004</v>
      </c>
      <c r="S4675">
        <v>-3.0390169999999999</v>
      </c>
      <c r="T4675">
        <v>-0.51731229999999995</v>
      </c>
      <c r="U4675">
        <v>-1.6755369999999901</v>
      </c>
      <c r="V4675">
        <v>0.16351170000000001</v>
      </c>
      <c r="W4675">
        <v>0.37699060000000001</v>
      </c>
      <c r="X4675">
        <v>0.91166990000000003</v>
      </c>
      <c r="Y4675">
        <v>0.2987435</v>
      </c>
      <c r="Z4675">
        <v>0.116408399999999</v>
      </c>
      <c r="AA4675">
        <v>0.94720720000000003</v>
      </c>
      <c r="AB4675">
        <v>26</v>
      </c>
      <c r="AC4675">
        <v>-6.3154000000000101</v>
      </c>
      <c r="AD4675">
        <v>-1.104162016172</v>
      </c>
      <c r="AE4675">
        <v>-3.4043000000000001</v>
      </c>
      <c r="AF4675">
        <v>2.21420308515737</v>
      </c>
      <c r="AG4675">
        <v>-1.104162016172</v>
      </c>
      <c r="AH4675">
        <v>6.6495462847394204</v>
      </c>
      <c r="AI4675">
        <v>98.953129462463195</v>
      </c>
      <c r="AJ4675">
        <v>71.582984909921507</v>
      </c>
      <c r="AK4675">
        <v>7.0949513636930099</v>
      </c>
      <c r="AL4675">
        <v>67.852602326421803</v>
      </c>
      <c r="AM4675">
        <v>79.831878341713505</v>
      </c>
      <c r="AN4675">
        <v>0.99999999754562996</v>
      </c>
    </row>
    <row r="4676" spans="1:40" x14ac:dyDescent="0.25">
      <c r="A4676" t="str">
        <f>"20190304164942367"</f>
        <v>20190304164942367</v>
      </c>
      <c r="B4676" t="str">
        <f>"1551689382359884"</f>
        <v>1551689382359884</v>
      </c>
      <c r="C4676" t="s">
        <v>40</v>
      </c>
      <c r="D4676">
        <v>4.4249790000000004</v>
      </c>
      <c r="E4676">
        <v>0.58344609999999997</v>
      </c>
      <c r="F4676" t="s">
        <v>48</v>
      </c>
      <c r="G4676">
        <v>-206.45660000000001</v>
      </c>
      <c r="H4676" s="1">
        <v>-7.7901339999999998E-6</v>
      </c>
      <c r="I4676">
        <v>142.83840000000001</v>
      </c>
      <c r="J4676">
        <v>-199.86109999999999</v>
      </c>
      <c r="K4676">
        <v>1.1040890000000001</v>
      </c>
      <c r="L4676">
        <v>146.33879999999999</v>
      </c>
      <c r="M4676">
        <v>-0.68919379999999997</v>
      </c>
      <c r="N4676">
        <v>-1.0936059999999999E-2</v>
      </c>
      <c r="O4676">
        <v>-0.72449479999999999</v>
      </c>
      <c r="P4676">
        <v>-0.74506939999999999</v>
      </c>
      <c r="Q4676">
        <v>0.37014659999999999</v>
      </c>
      <c r="R4676">
        <v>-0.55485430000000002</v>
      </c>
      <c r="S4676">
        <v>-3.0543209999999998</v>
      </c>
      <c r="T4676">
        <v>-0.50304139999999997</v>
      </c>
      <c r="U4676">
        <v>-1.6435390000000001</v>
      </c>
      <c r="V4676">
        <v>0.1635277</v>
      </c>
      <c r="W4676">
        <v>0.37754399999999999</v>
      </c>
      <c r="X4676">
        <v>0.91143799999999997</v>
      </c>
      <c r="Y4676">
        <v>0.30363899999999999</v>
      </c>
      <c r="Z4676">
        <v>0.1130462</v>
      </c>
      <c r="AA4676">
        <v>0.94605700000000004</v>
      </c>
      <c r="AB4676">
        <v>26</v>
      </c>
      <c r="AC4676">
        <v>-6.5955000000000101</v>
      </c>
      <c r="AD4676">
        <v>-1.104096790134</v>
      </c>
      <c r="AE4676">
        <v>-3.50039999999998</v>
      </c>
      <c r="AF4676">
        <v>2.3154656140829202</v>
      </c>
      <c r="AG4676">
        <v>-1.104096790134</v>
      </c>
      <c r="AH4676">
        <v>6.9304885803884497</v>
      </c>
      <c r="AI4676">
        <v>98.592400093574497</v>
      </c>
      <c r="AJ4676">
        <v>71.525605172501898</v>
      </c>
      <c r="AK4676">
        <v>7.3899988291527698</v>
      </c>
      <c r="AL4676">
        <v>67.818364998265295</v>
      </c>
      <c r="AM4676">
        <v>79.8283707897493</v>
      </c>
      <c r="AN4676">
        <v>1.0000000042236401</v>
      </c>
    </row>
    <row r="4677" spans="1:40" x14ac:dyDescent="0.25">
      <c r="A4677" t="str">
        <f>"20190304164942379"</f>
        <v>20190304164942379</v>
      </c>
      <c r="B4677" t="str">
        <f>"1551689382370620"</f>
        <v>1551689382370620</v>
      </c>
      <c r="C4677" t="s">
        <v>40</v>
      </c>
      <c r="D4677">
        <v>4.656066</v>
      </c>
      <c r="E4677">
        <v>0.58339719999999995</v>
      </c>
      <c r="F4677" t="s">
        <v>48</v>
      </c>
      <c r="G4677">
        <v>-206.62979999999999</v>
      </c>
      <c r="H4677" s="1">
        <v>-7.6899179999999999E-6</v>
      </c>
      <c r="I4677">
        <v>142.74969999999999</v>
      </c>
      <c r="J4677">
        <v>-199.96979999999999</v>
      </c>
      <c r="K4677">
        <v>1.1040160000000001</v>
      </c>
      <c r="L4677">
        <v>146.23249999999999</v>
      </c>
      <c r="M4677">
        <v>-0.69315530000000003</v>
      </c>
      <c r="N4677">
        <v>-1.086523E-2</v>
      </c>
      <c r="O4677">
        <v>-0.72070649999999903</v>
      </c>
      <c r="P4677">
        <v>-0.74786609999999998</v>
      </c>
      <c r="Q4677">
        <v>0.37093569999999998</v>
      </c>
      <c r="R4677">
        <v>-0.55054840000000005</v>
      </c>
      <c r="S4677">
        <v>-3.064667</v>
      </c>
      <c r="T4677">
        <v>-0.49990299999999999</v>
      </c>
      <c r="U4677">
        <v>-1.625046</v>
      </c>
      <c r="V4677">
        <v>0.16357969999999999</v>
      </c>
      <c r="W4677">
        <v>0.37823879999999999</v>
      </c>
      <c r="X4677">
        <v>0.91114059999999997</v>
      </c>
      <c r="Y4677">
        <v>0.30431999999999998</v>
      </c>
      <c r="Z4677">
        <v>0.11197509999999999</v>
      </c>
      <c r="AA4677">
        <v>0.94596559999999996</v>
      </c>
      <c r="AB4677">
        <v>26</v>
      </c>
      <c r="AC4677">
        <v>-6.6599999999999904</v>
      </c>
      <c r="AD4677">
        <v>-1.10402368991799</v>
      </c>
      <c r="AE4677">
        <v>-3.4827999999999899</v>
      </c>
      <c r="AF4677">
        <v>2.3355276122172102</v>
      </c>
      <c r="AG4677">
        <v>-1.10402368991799</v>
      </c>
      <c r="AH4677">
        <v>6.9763717874013</v>
      </c>
      <c r="AI4677">
        <v>98.534450864650196</v>
      </c>
      <c r="AJ4677">
        <v>71.4906479444289</v>
      </c>
      <c r="AK4677">
        <v>7.4393091649277503</v>
      </c>
      <c r="AL4677">
        <v>67.775368715537695</v>
      </c>
      <c r="AM4677">
        <v>79.821952209324706</v>
      </c>
      <c r="AN4677">
        <v>1.0000000505229401</v>
      </c>
    </row>
    <row r="4678" spans="1:40" x14ac:dyDescent="0.25">
      <c r="A4678" t="str">
        <f>"20190304164942400"</f>
        <v>20190304164942400</v>
      </c>
      <c r="B4678" t="str">
        <f>"1551689382390139"</f>
        <v>1551689382390139</v>
      </c>
      <c r="C4678" t="s">
        <v>40</v>
      </c>
      <c r="D4678">
        <v>4.6694110000000002</v>
      </c>
      <c r="E4678">
        <v>0.58329430000000004</v>
      </c>
      <c r="F4678" t="s">
        <v>48</v>
      </c>
      <c r="G4678">
        <v>-206.78710000000001</v>
      </c>
      <c r="H4678" s="1">
        <v>-7.5990539999999998E-6</v>
      </c>
      <c r="I4678">
        <v>142.66970000000001</v>
      </c>
      <c r="J4678">
        <v>-200.14859999999999</v>
      </c>
      <c r="K4678">
        <v>1.103869</v>
      </c>
      <c r="L4678">
        <v>146.06039999999999</v>
      </c>
      <c r="M4678">
        <v>-0.6996675</v>
      </c>
      <c r="N4678">
        <v>-1.0765459999999999E-2</v>
      </c>
      <c r="O4678">
        <v>-0.71438749999999995</v>
      </c>
      <c r="P4678">
        <v>-0.75251939999999995</v>
      </c>
      <c r="Q4678">
        <v>0.37188460000000001</v>
      </c>
      <c r="R4678">
        <v>-0.54352219999999996</v>
      </c>
      <c r="S4678">
        <v>-3.0752869999999999</v>
      </c>
      <c r="T4678">
        <v>-0.49802350000000001</v>
      </c>
      <c r="U4678">
        <v>-1.607178</v>
      </c>
      <c r="V4678">
        <v>0.1636416</v>
      </c>
      <c r="W4678">
        <v>0.3790425</v>
      </c>
      <c r="X4678">
        <v>0.91079540000000003</v>
      </c>
      <c r="Y4678">
        <v>0.30146580000000001</v>
      </c>
      <c r="Z4678">
        <v>0.1107224</v>
      </c>
      <c r="AA4678">
        <v>0.94702640000000005</v>
      </c>
      <c r="AB4678">
        <v>26</v>
      </c>
      <c r="AC4678">
        <v>-6.6385000000000201</v>
      </c>
      <c r="AD4678">
        <v>-1.103876599054</v>
      </c>
      <c r="AE4678">
        <v>-3.3906999999999798</v>
      </c>
      <c r="AF4678">
        <v>2.3193735804847999</v>
      </c>
      <c r="AG4678">
        <v>-1.103876599054</v>
      </c>
      <c r="AH4678">
        <v>6.9157669444615397</v>
      </c>
      <c r="AI4678">
        <v>98.605468398878401</v>
      </c>
      <c r="AJ4678">
        <v>71.459847841592094</v>
      </c>
      <c r="AK4678">
        <v>7.3773890897726799</v>
      </c>
      <c r="AL4678">
        <v>67.725615083279706</v>
      </c>
      <c r="AM4678">
        <v>79.814403077957905</v>
      </c>
      <c r="AN4678">
        <v>1.00000002535898</v>
      </c>
    </row>
    <row r="4679" spans="1:40" x14ac:dyDescent="0.25">
      <c r="A4679" t="str">
        <f>"20190304164942411"</f>
        <v>20190304164942411</v>
      </c>
      <c r="B4679" t="str">
        <f>"1551689382400876"</f>
        <v>1551689382400876</v>
      </c>
      <c r="C4679" t="s">
        <v>40</v>
      </c>
      <c r="D4679">
        <v>4.6642229999999998</v>
      </c>
      <c r="E4679">
        <v>0.58325209999999905</v>
      </c>
      <c r="F4679" t="s">
        <v>48</v>
      </c>
      <c r="G4679">
        <v>-207.01179999999999</v>
      </c>
      <c r="H4679" s="1">
        <v>-7.4695389999999901E-6</v>
      </c>
      <c r="I4679">
        <v>142.5565</v>
      </c>
      <c r="J4679">
        <v>-200.25020000000001</v>
      </c>
      <c r="K4679">
        <v>1.103783</v>
      </c>
      <c r="L4679">
        <v>145.9639</v>
      </c>
      <c r="M4679">
        <v>-0.70336219999999905</v>
      </c>
      <c r="N4679">
        <v>-1.071602E-2</v>
      </c>
      <c r="O4679">
        <v>-0.71075089999999996</v>
      </c>
      <c r="P4679">
        <v>-0.75509839999999995</v>
      </c>
      <c r="Q4679">
        <v>0.37277680000000002</v>
      </c>
      <c r="R4679">
        <v>-0.53931799999999996</v>
      </c>
      <c r="S4679">
        <v>-3.0921940000000001</v>
      </c>
      <c r="T4679">
        <v>-0.49735010000000002</v>
      </c>
      <c r="U4679">
        <v>-1.5786739999999999</v>
      </c>
      <c r="V4679">
        <v>0.16377510000000001</v>
      </c>
      <c r="W4679">
        <v>0.37985340000000001</v>
      </c>
      <c r="X4679">
        <v>0.91043350000000001</v>
      </c>
      <c r="Y4679">
        <v>0.30557519999999999</v>
      </c>
      <c r="Z4679">
        <v>0.1103821</v>
      </c>
      <c r="AA4679">
        <v>0.94574820000000004</v>
      </c>
      <c r="AB4679">
        <v>26</v>
      </c>
      <c r="AC4679">
        <v>-6.7615999999999801</v>
      </c>
      <c r="AD4679">
        <v>-1.103790469539</v>
      </c>
      <c r="AE4679">
        <v>-3.4073999999999902</v>
      </c>
      <c r="AF4679">
        <v>2.3591785653955299</v>
      </c>
      <c r="AG4679">
        <v>-1.103790469539</v>
      </c>
      <c r="AH4679">
        <v>7.0287062375728002</v>
      </c>
      <c r="AI4679">
        <v>98.467873037957304</v>
      </c>
      <c r="AJ4679">
        <v>71.445721581204495</v>
      </c>
      <c r="AK4679">
        <v>7.4957847006275298</v>
      </c>
      <c r="AL4679">
        <v>67.675398336547701</v>
      </c>
      <c r="AM4679">
        <v>79.802300746701803</v>
      </c>
      <c r="AN4679">
        <v>1.0000000233969</v>
      </c>
    </row>
    <row r="4680" spans="1:40" x14ac:dyDescent="0.25">
      <c r="A4680" t="str">
        <f>"20190304164942424"</f>
        <v>20190304164942424</v>
      </c>
      <c r="B4680" t="str">
        <f>"1551689382420396"</f>
        <v>1551689382420396</v>
      </c>
      <c r="C4680" t="s">
        <v>40</v>
      </c>
      <c r="D4680">
        <v>4.1950849999999997</v>
      </c>
      <c r="E4680">
        <v>0.58516009999999996</v>
      </c>
      <c r="F4680" t="s">
        <v>48</v>
      </c>
      <c r="G4680">
        <v>-207.1557</v>
      </c>
      <c r="H4680" s="1">
        <v>-7.3864080000000003E-6</v>
      </c>
      <c r="I4680">
        <v>142.48330000000001</v>
      </c>
      <c r="J4680">
        <v>-200.3503</v>
      </c>
      <c r="K4680">
        <v>1.1036969999999999</v>
      </c>
      <c r="L4680">
        <v>145.87020000000001</v>
      </c>
      <c r="M4680">
        <v>-0.70700560000000001</v>
      </c>
      <c r="N4680">
        <v>-1.067354E-2</v>
      </c>
      <c r="O4680">
        <v>-0.70712759999999997</v>
      </c>
      <c r="P4680">
        <v>-0.75806619999999902</v>
      </c>
      <c r="Q4680">
        <v>0.37310969999999999</v>
      </c>
      <c r="R4680">
        <v>-0.53490660000000001</v>
      </c>
      <c r="S4680">
        <v>-3.1012569999999999</v>
      </c>
      <c r="T4680">
        <v>-0.49571490000000001</v>
      </c>
      <c r="U4680">
        <v>-1.5631409999999999</v>
      </c>
      <c r="V4680">
        <v>0.16437370000000001</v>
      </c>
      <c r="W4680">
        <v>0.38010260000000001</v>
      </c>
      <c r="X4680">
        <v>0.91022159999999996</v>
      </c>
      <c r="Y4680">
        <v>0.30565609999999999</v>
      </c>
      <c r="Z4680">
        <v>0.1096131</v>
      </c>
      <c r="AA4680">
        <v>0.94581150000000003</v>
      </c>
      <c r="AB4680">
        <v>26</v>
      </c>
      <c r="AC4680">
        <v>-6.8053999999999899</v>
      </c>
      <c r="AD4680">
        <v>-1.1037043864079901</v>
      </c>
      <c r="AE4680">
        <v>-3.38689999999999</v>
      </c>
      <c r="AF4680">
        <v>2.3679473022633899</v>
      </c>
      <c r="AG4680">
        <v>-1.1037043864079901</v>
      </c>
      <c r="AH4680">
        <v>7.0580443843045098</v>
      </c>
      <c r="AI4680">
        <v>98.432916699100602</v>
      </c>
      <c r="AJ4680">
        <v>71.453591128102502</v>
      </c>
      <c r="AK4680">
        <v>7.5260433382810898</v>
      </c>
      <c r="AL4680">
        <v>67.659962635391693</v>
      </c>
      <c r="AM4680">
        <v>79.7634822446134</v>
      </c>
      <c r="AN4680">
        <v>1.0000000304425001</v>
      </c>
    </row>
    <row r="4681" spans="1:40" x14ac:dyDescent="0.25">
      <c r="A4681" t="str">
        <f>"20190304164942444"</f>
        <v>20190304164942444</v>
      </c>
      <c r="B4681" t="str">
        <f>"1551689382440892"</f>
        <v>1551689382440892</v>
      </c>
      <c r="C4681" t="s">
        <v>40</v>
      </c>
      <c r="D4681">
        <v>4.6549550000000002</v>
      </c>
      <c r="E4681">
        <v>0.58597639999999995</v>
      </c>
      <c r="F4681" t="s">
        <v>48</v>
      </c>
      <c r="G4681">
        <v>-207.50069999999999</v>
      </c>
      <c r="H4681" s="1">
        <v>-7.2008209999999997E-6</v>
      </c>
      <c r="I4681">
        <v>142.36000000000001</v>
      </c>
      <c r="J4681">
        <v>-200.52879999999999</v>
      </c>
      <c r="K4681">
        <v>1.103534</v>
      </c>
      <c r="L4681">
        <v>145.7054</v>
      </c>
      <c r="M4681">
        <v>-0.71350309999999995</v>
      </c>
      <c r="N4681">
        <v>-1.0608100000000001E-2</v>
      </c>
      <c r="O4681">
        <v>-0.70057190000000003</v>
      </c>
      <c r="P4681">
        <v>-0.7627486</v>
      </c>
      <c r="Q4681">
        <v>0.37467129999999998</v>
      </c>
      <c r="R4681">
        <v>-0.52710190000000001</v>
      </c>
      <c r="S4681">
        <v>-3.1150359999999999</v>
      </c>
      <c r="T4681">
        <v>-0.480823</v>
      </c>
      <c r="U4681">
        <v>-1.5292049999999999</v>
      </c>
      <c r="V4681">
        <v>0.1649526</v>
      </c>
      <c r="W4681">
        <v>0.38152540000000001</v>
      </c>
      <c r="X4681">
        <v>0.90952129999999998</v>
      </c>
      <c r="Y4681">
        <v>0.30731049999999999</v>
      </c>
      <c r="Z4681">
        <v>0.1057182</v>
      </c>
      <c r="AA4681">
        <v>0.94571870000000002</v>
      </c>
      <c r="AB4681">
        <v>26</v>
      </c>
      <c r="AC4681">
        <v>-6.9718999999999998</v>
      </c>
      <c r="AD4681">
        <v>-1.1035412008209999</v>
      </c>
      <c r="AE4681">
        <v>-3.3453999999999802</v>
      </c>
      <c r="AF4681">
        <v>2.4476579103096698</v>
      </c>
      <c r="AG4681">
        <v>-1.1035412008209999</v>
      </c>
      <c r="AH4681">
        <v>7.1725090787965504</v>
      </c>
      <c r="AI4681">
        <v>98.284719867694406</v>
      </c>
      <c r="AJ4681">
        <v>71.157512476671201</v>
      </c>
      <c r="AK4681">
        <v>7.6585715974475201</v>
      </c>
      <c r="AL4681">
        <v>67.571798342103307</v>
      </c>
      <c r="AM4681">
        <v>79.720456583236597</v>
      </c>
      <c r="AN4681">
        <v>0.99999999312280496</v>
      </c>
    </row>
    <row r="4682" spans="1:40" x14ac:dyDescent="0.25">
      <c r="A4682" t="str">
        <f>"20190304164942457"</f>
        <v>20190304164942457</v>
      </c>
      <c r="B4682" t="str">
        <f>"1551689382450652"</f>
        <v>1551689382450652</v>
      </c>
      <c r="C4682" t="s">
        <v>40</v>
      </c>
      <c r="D4682">
        <v>4.6425070000000002</v>
      </c>
      <c r="E4682">
        <v>0.58583169999999996</v>
      </c>
      <c r="F4682" t="s">
        <v>48</v>
      </c>
      <c r="G4682">
        <v>-207.88130000000001</v>
      </c>
      <c r="H4682" s="1">
        <v>-6.99121099999999E-6</v>
      </c>
      <c r="I4682">
        <v>142.20519999999999</v>
      </c>
      <c r="J4682">
        <v>-200.65</v>
      </c>
      <c r="K4682">
        <v>1.1034189999999999</v>
      </c>
      <c r="L4682">
        <v>145.5951</v>
      </c>
      <c r="M4682">
        <v>-0.71792749999999905</v>
      </c>
      <c r="N4682">
        <v>-1.0570990000000001E-2</v>
      </c>
      <c r="O4682">
        <v>-0.69603789999999999</v>
      </c>
      <c r="P4682">
        <v>-0.76579149999999996</v>
      </c>
      <c r="Q4682">
        <v>0.37546800000000002</v>
      </c>
      <c r="R4682">
        <v>-0.52209910000000004</v>
      </c>
      <c r="S4682">
        <v>-3.1333160000000002</v>
      </c>
      <c r="T4682">
        <v>-0.47028120000000001</v>
      </c>
      <c r="U4682">
        <v>-1.4916529999999999</v>
      </c>
      <c r="V4682">
        <v>0.16499710000000001</v>
      </c>
      <c r="W4682">
        <v>0.38223760000000001</v>
      </c>
      <c r="X4682">
        <v>0.90921419999999997</v>
      </c>
      <c r="Y4682">
        <v>0.312978599999999</v>
      </c>
      <c r="Z4682">
        <v>0.10317320000000001</v>
      </c>
      <c r="AA4682">
        <v>0.94413970000000003</v>
      </c>
      <c r="AB4682">
        <v>26</v>
      </c>
      <c r="AC4682">
        <v>-7.2313000000000001</v>
      </c>
      <c r="AD4682">
        <v>-1.103425991211</v>
      </c>
      <c r="AE4682">
        <v>-3.3899000000000101</v>
      </c>
      <c r="AF4682">
        <v>2.55100531505928</v>
      </c>
      <c r="AG4682">
        <v>-1.103425991211</v>
      </c>
      <c r="AH4682">
        <v>7.4100193981115297</v>
      </c>
      <c r="AI4682">
        <v>98.014556131036201</v>
      </c>
      <c r="AJ4682">
        <v>71.003241940339805</v>
      </c>
      <c r="AK4682">
        <v>7.9141370038640204</v>
      </c>
      <c r="AL4682">
        <v>67.527647238387203</v>
      </c>
      <c r="AM4682">
        <v>79.714343721359995</v>
      </c>
      <c r="AN4682">
        <v>1.0000000436719001</v>
      </c>
    </row>
    <row r="4683" spans="1:40" x14ac:dyDescent="0.25">
      <c r="A4683" t="str">
        <f>"20190304164942470"</f>
        <v>20190304164942470</v>
      </c>
      <c r="B4683" t="str">
        <f>"1551689382460413"</f>
        <v>1551689382460413</v>
      </c>
      <c r="C4683" t="s">
        <v>40</v>
      </c>
      <c r="D4683">
        <v>4.1858680000000001</v>
      </c>
      <c r="E4683">
        <v>0.58667049999999998</v>
      </c>
      <c r="F4683" t="s">
        <v>48</v>
      </c>
      <c r="G4683">
        <v>-208.036</v>
      </c>
      <c r="H4683" s="1">
        <v>-6.903613E-6</v>
      </c>
      <c r="I4683">
        <v>142.13329999999999</v>
      </c>
      <c r="J4683">
        <v>-200.7638</v>
      </c>
      <c r="K4683">
        <v>1.1032949999999999</v>
      </c>
      <c r="L4683">
        <v>145.4933</v>
      </c>
      <c r="M4683">
        <v>-0.72210649999999998</v>
      </c>
      <c r="N4683">
        <v>-1.0544929999999999E-2</v>
      </c>
      <c r="O4683">
        <v>-0.69170140000000002</v>
      </c>
      <c r="P4683">
        <v>-0.76876730000000004</v>
      </c>
      <c r="Q4683">
        <v>0.37620629999999999</v>
      </c>
      <c r="R4683">
        <v>-0.51717100000000005</v>
      </c>
      <c r="S4683">
        <v>-3.1433260000000001</v>
      </c>
      <c r="T4683">
        <v>-0.46959250000000002</v>
      </c>
      <c r="U4683">
        <v>-1.473282</v>
      </c>
      <c r="V4683">
        <v>0.1652372</v>
      </c>
      <c r="W4683">
        <v>0.38289800000000002</v>
      </c>
      <c r="X4683">
        <v>0.90889260000000005</v>
      </c>
      <c r="Y4683">
        <v>0.31299729999999998</v>
      </c>
      <c r="Z4683">
        <v>0.10255649999999999</v>
      </c>
      <c r="AA4683">
        <v>0.94420059999999995</v>
      </c>
      <c r="AB4683">
        <v>26</v>
      </c>
      <c r="AC4683">
        <v>-7.2721999999999696</v>
      </c>
      <c r="AD4683">
        <v>-1.1033019036130001</v>
      </c>
      <c r="AE4683">
        <v>-3.3600000000000101</v>
      </c>
      <c r="AF4683">
        <v>2.55558326632474</v>
      </c>
      <c r="AG4683">
        <v>-1.1033019036130001</v>
      </c>
      <c r="AH4683">
        <v>7.4348163495521398</v>
      </c>
      <c r="AI4683">
        <v>97.988575897934993</v>
      </c>
      <c r="AJ4683">
        <v>71.030521612717493</v>
      </c>
      <c r="AK4683">
        <v>7.9388144627017798</v>
      </c>
      <c r="AL4683">
        <v>67.486692256927995</v>
      </c>
      <c r="AM4683">
        <v>79.696129883976198</v>
      </c>
      <c r="AN4683">
        <v>0.99999998450129901</v>
      </c>
    </row>
    <row r="4684" spans="1:40" x14ac:dyDescent="0.25">
      <c r="A4684" t="str">
        <f>"20190304164942489"</f>
        <v>20190304164942489</v>
      </c>
      <c r="B4684" t="str">
        <f>"1551689382480907"</f>
        <v>1551689382480907</v>
      </c>
      <c r="C4684" t="s">
        <v>40</v>
      </c>
      <c r="D4684">
        <v>4.3719130000000002</v>
      </c>
      <c r="E4684">
        <v>0.58733990000000003</v>
      </c>
      <c r="F4684" t="s">
        <v>48</v>
      </c>
      <c r="G4684">
        <v>-208.32050000000001</v>
      </c>
      <c r="H4684" s="1">
        <v>-6.7496809999999996E-6</v>
      </c>
      <c r="I4684">
        <v>142.02799999999999</v>
      </c>
      <c r="J4684">
        <v>-200.93719999999999</v>
      </c>
      <c r="K4684">
        <v>1.103105</v>
      </c>
      <c r="L4684">
        <v>145.34049999999999</v>
      </c>
      <c r="M4684">
        <v>-0.72849200000000003</v>
      </c>
      <c r="N4684">
        <v>-1.051497E-2</v>
      </c>
      <c r="O4684">
        <v>-0.68497390000000002</v>
      </c>
      <c r="P4684">
        <v>-0.77377989999999996</v>
      </c>
      <c r="Q4684">
        <v>0.37689660000000003</v>
      </c>
      <c r="R4684">
        <v>-0.509131</v>
      </c>
      <c r="S4684">
        <v>-3.1545869999999998</v>
      </c>
      <c r="T4684">
        <v>-0.46058329999999997</v>
      </c>
      <c r="U4684">
        <v>-1.4465939999999999</v>
      </c>
      <c r="V4684">
        <v>0.16624610000000001</v>
      </c>
      <c r="W4684">
        <v>0.38346350000000001</v>
      </c>
      <c r="X4684">
        <v>0.90847020000000001</v>
      </c>
      <c r="Y4684">
        <v>0.31238250000000001</v>
      </c>
      <c r="Z4684">
        <v>9.984237E-2</v>
      </c>
      <c r="AA4684">
        <v>0.94469499999999995</v>
      </c>
      <c r="AB4684">
        <v>26</v>
      </c>
      <c r="AC4684">
        <v>-7.38330000000001</v>
      </c>
      <c r="AD4684">
        <v>-1.1031117496809999</v>
      </c>
      <c r="AE4684">
        <v>-3.3125</v>
      </c>
      <c r="AF4684">
        <v>2.5961422357416599</v>
      </c>
      <c r="AG4684">
        <v>-1.1031117496809999</v>
      </c>
      <c r="AH4684">
        <v>7.50854858446906</v>
      </c>
      <c r="AI4684">
        <v>97.904907138034503</v>
      </c>
      <c r="AJ4684">
        <v>70.926753782803999</v>
      </c>
      <c r="AK4684">
        <v>8.0209171474226295</v>
      </c>
      <c r="AL4684">
        <v>67.451615960771406</v>
      </c>
      <c r="AM4684">
        <v>79.629861659364906</v>
      </c>
      <c r="AN4684">
        <v>1.0000000629427399</v>
      </c>
    </row>
    <row r="4685" spans="1:40" x14ac:dyDescent="0.25">
      <c r="A4685" t="str">
        <f>"20190304164942502"</f>
        <v>20190304164942502</v>
      </c>
      <c r="B4685" t="str">
        <f>"1551689382490668"</f>
        <v>1551689382490668</v>
      </c>
      <c r="C4685" t="s">
        <v>40</v>
      </c>
      <c r="D4685">
        <v>4.6457680000000003</v>
      </c>
      <c r="E4685">
        <v>0.58734240000000004</v>
      </c>
      <c r="F4685" t="s">
        <v>48</v>
      </c>
      <c r="G4685">
        <v>-208.63030000000001</v>
      </c>
      <c r="H4685" s="1">
        <v>-6.5834700000000002E-6</v>
      </c>
      <c r="I4685">
        <v>141.91890000000001</v>
      </c>
      <c r="J4685">
        <v>-201.05350000000001</v>
      </c>
      <c r="K4685">
        <v>1.102967</v>
      </c>
      <c r="L4685">
        <v>145.23990000000001</v>
      </c>
      <c r="M4685">
        <v>-0.73279240000000001</v>
      </c>
      <c r="N4685">
        <v>-1.050165E-2</v>
      </c>
      <c r="O4685">
        <v>-0.68037130000000001</v>
      </c>
      <c r="P4685">
        <v>-0.77706209999999998</v>
      </c>
      <c r="Q4685">
        <v>0.37694620000000001</v>
      </c>
      <c r="R4685">
        <v>-0.50406989999999996</v>
      </c>
      <c r="S4685">
        <v>-3.1706240000000001</v>
      </c>
      <c r="T4685">
        <v>-0.4546386</v>
      </c>
      <c r="U4685">
        <v>-1.410202</v>
      </c>
      <c r="V4685">
        <v>0.16656570000000001</v>
      </c>
      <c r="W4685">
        <v>0.38344109999999998</v>
      </c>
      <c r="X4685">
        <v>0.90842100000000003</v>
      </c>
      <c r="Y4685">
        <v>0.31739590000000001</v>
      </c>
      <c r="Z4685">
        <v>9.8339270000000006E-2</v>
      </c>
      <c r="AA4685">
        <v>0.94318040000000003</v>
      </c>
      <c r="AB4685">
        <v>26</v>
      </c>
      <c r="AC4685">
        <v>-7.5767999999999898</v>
      </c>
      <c r="AD4685">
        <v>-1.1029735834700001</v>
      </c>
      <c r="AE4685">
        <v>-3.32099999999999</v>
      </c>
      <c r="AF4685">
        <v>2.67404914794857</v>
      </c>
      <c r="AG4685">
        <v>-1.1029735834700001</v>
      </c>
      <c r="AH4685">
        <v>7.6757196247740902</v>
      </c>
      <c r="AI4685">
        <v>97.727697541080204</v>
      </c>
      <c r="AJ4685">
        <v>70.792805375451394</v>
      </c>
      <c r="AK4685">
        <v>8.2026679397388307</v>
      </c>
      <c r="AL4685">
        <v>67.453003194817398</v>
      </c>
      <c r="AM4685">
        <v>79.609808884508297</v>
      </c>
      <c r="AN4685">
        <v>0.99999996141334901</v>
      </c>
    </row>
    <row r="4686" spans="1:40" x14ac:dyDescent="0.25">
      <c r="A4686" t="str">
        <f>"20190304164942517"</f>
        <v>20190304164942517</v>
      </c>
      <c r="B4686" t="str">
        <f>"1551689382510188"</f>
        <v>1551689382510188</v>
      </c>
      <c r="C4686" t="s">
        <v>40</v>
      </c>
      <c r="D4686">
        <v>4.7168169999999998</v>
      </c>
      <c r="E4686">
        <v>0.58725899999999998</v>
      </c>
      <c r="F4686" t="s">
        <v>48</v>
      </c>
      <c r="G4686">
        <v>-208.75489999999999</v>
      </c>
      <c r="H4686" s="1">
        <v>-6.5161640000000002E-6</v>
      </c>
      <c r="I4686">
        <v>141.8733</v>
      </c>
      <c r="J4686">
        <v>-201.18360000000001</v>
      </c>
      <c r="K4686">
        <v>1.102803</v>
      </c>
      <c r="L4686">
        <v>145.1285</v>
      </c>
      <c r="M4686">
        <v>-0.73761429999999995</v>
      </c>
      <c r="N4686">
        <v>-1.0490879999999999E-2</v>
      </c>
      <c r="O4686">
        <v>-0.67514090000000004</v>
      </c>
      <c r="P4686">
        <v>-0.78086049999999996</v>
      </c>
      <c r="Q4686">
        <v>0.37688100000000002</v>
      </c>
      <c r="R4686">
        <v>-0.49821470000000001</v>
      </c>
      <c r="S4686">
        <v>-3.1799010000000001</v>
      </c>
      <c r="T4686">
        <v>-0.4554145</v>
      </c>
      <c r="U4686">
        <v>-1.390045</v>
      </c>
      <c r="V4686">
        <v>0.1671009</v>
      </c>
      <c r="W4686">
        <v>0.38329350000000001</v>
      </c>
      <c r="X4686">
        <v>0.908385</v>
      </c>
      <c r="Y4686">
        <v>0.31669940000000002</v>
      </c>
      <c r="Z4686">
        <v>9.7957310000000006E-2</v>
      </c>
      <c r="AA4686">
        <v>0.94345420000000002</v>
      </c>
      <c r="AB4686">
        <v>26</v>
      </c>
      <c r="AC4686">
        <v>-7.5712999999999697</v>
      </c>
      <c r="AD4686">
        <v>-1.1028095161639999</v>
      </c>
      <c r="AE4686">
        <v>-3.2551999999999999</v>
      </c>
      <c r="AF4686">
        <v>2.6630762740270799</v>
      </c>
      <c r="AG4686">
        <v>-1.1028095161639999</v>
      </c>
      <c r="AH4686">
        <v>7.6459377007596903</v>
      </c>
      <c r="AI4686">
        <v>97.756478257281699</v>
      </c>
      <c r="AJ4686">
        <v>70.796798428955199</v>
      </c>
      <c r="AK4686">
        <v>8.1712010986222996</v>
      </c>
      <c r="AL4686">
        <v>67.462159681212597</v>
      </c>
      <c r="AM4686">
        <v>79.576750205052605</v>
      </c>
      <c r="AN4686">
        <v>0.99999996307402905</v>
      </c>
    </row>
    <row r="4687" spans="1:40" x14ac:dyDescent="0.25">
      <c r="A4687" t="str">
        <f>"20190304164942533"</f>
        <v>20190304164942533</v>
      </c>
      <c r="B4687" t="str">
        <f>"1551689382530684"</f>
        <v>1551689382530684</v>
      </c>
      <c r="C4687" t="s">
        <v>40</v>
      </c>
      <c r="D4687">
        <v>4.7269370000000004</v>
      </c>
      <c r="E4687">
        <v>0.58718319999999902</v>
      </c>
      <c r="F4687" t="s">
        <v>48</v>
      </c>
      <c r="G4687">
        <v>-208.8638</v>
      </c>
      <c r="H4687" s="1">
        <v>-6.458482E-6</v>
      </c>
      <c r="I4687">
        <v>141.83760000000001</v>
      </c>
      <c r="J4687">
        <v>-201.34719999999999</v>
      </c>
      <c r="K4687">
        <v>1.1025830000000001</v>
      </c>
      <c r="L4687">
        <v>144.9914</v>
      </c>
      <c r="M4687">
        <v>-0.74372139999999998</v>
      </c>
      <c r="N4687">
        <v>-1.0487430000000001E-2</v>
      </c>
      <c r="O4687">
        <v>-0.66840769999999905</v>
      </c>
      <c r="P4687">
        <v>-0.78571389999999997</v>
      </c>
      <c r="Q4687">
        <v>0.37699349999999998</v>
      </c>
      <c r="R4687">
        <v>-0.49043870000000001</v>
      </c>
      <c r="S4687">
        <v>-3.1907350000000001</v>
      </c>
      <c r="T4687">
        <v>-0.45816210000000002</v>
      </c>
      <c r="U4687">
        <v>-1.3672029999999999</v>
      </c>
      <c r="V4687">
        <v>0.16802349999999999</v>
      </c>
      <c r="W4687">
        <v>0.38330229999999998</v>
      </c>
      <c r="X4687">
        <v>0.90821110000000005</v>
      </c>
      <c r="Y4687">
        <v>0.3149264</v>
      </c>
      <c r="Z4687">
        <v>9.7782460000000002E-2</v>
      </c>
      <c r="AA4687">
        <v>0.94406559999999995</v>
      </c>
      <c r="AB4687">
        <v>27</v>
      </c>
      <c r="AC4687">
        <v>-7.5166000000000102</v>
      </c>
      <c r="AD4687">
        <v>-1.102589458482</v>
      </c>
      <c r="AE4687">
        <v>-3.15379999999998</v>
      </c>
      <c r="AF4687">
        <v>2.6306212615939</v>
      </c>
      <c r="AG4687">
        <v>-1.102589458482</v>
      </c>
      <c r="AH4687">
        <v>7.56037641699087</v>
      </c>
      <c r="AI4687">
        <v>97.8424709038554</v>
      </c>
      <c r="AJ4687">
        <v>70.814737941401404</v>
      </c>
      <c r="AK4687">
        <v>8.0805422653741008</v>
      </c>
      <c r="AL4687">
        <v>67.461614091584707</v>
      </c>
      <c r="AM4687">
        <v>79.518510625252205</v>
      </c>
      <c r="AN4687">
        <v>0.99999997595037404</v>
      </c>
    </row>
    <row r="4688" spans="1:40" x14ac:dyDescent="0.25">
      <c r="A4688" t="str">
        <f>"20190304164942557"</f>
        <v>20190304164942557</v>
      </c>
      <c r="B4688" t="str">
        <f>"1551689382550203"</f>
        <v>1551689382550203</v>
      </c>
      <c r="C4688" t="s">
        <v>40</v>
      </c>
      <c r="D4688">
        <v>4.704396</v>
      </c>
      <c r="E4688">
        <v>0.58714290000000002</v>
      </c>
      <c r="F4688" t="s">
        <v>48</v>
      </c>
      <c r="G4688">
        <v>-209.01509999999999</v>
      </c>
      <c r="H4688" s="1">
        <v>-6.3781729999999997E-6</v>
      </c>
      <c r="I4688">
        <v>141.7877</v>
      </c>
      <c r="J4688">
        <v>-201.5515</v>
      </c>
      <c r="K4688">
        <v>1.1023179999999999</v>
      </c>
      <c r="L4688">
        <v>144.82390000000001</v>
      </c>
      <c r="M4688">
        <v>-0.75137229999999999</v>
      </c>
      <c r="N4688">
        <v>-1.049246E-2</v>
      </c>
      <c r="O4688">
        <v>-0.65979509999999997</v>
      </c>
      <c r="P4688">
        <v>-0.79171380000000002</v>
      </c>
      <c r="Q4688">
        <v>0.37672610000000001</v>
      </c>
      <c r="R4688">
        <v>-0.48090250000000001</v>
      </c>
      <c r="S4688">
        <v>-3.2036899999999999</v>
      </c>
      <c r="T4688">
        <v>-0.46066459999999998</v>
      </c>
      <c r="U4688">
        <v>-1.3385309999999999</v>
      </c>
      <c r="V4688">
        <v>0.16886209999999999</v>
      </c>
      <c r="W4688">
        <v>0.38292219999999999</v>
      </c>
      <c r="X4688">
        <v>0.90821589999999996</v>
      </c>
      <c r="Y4688">
        <v>0.31255260000000001</v>
      </c>
      <c r="Z4688">
        <v>9.731368E-2</v>
      </c>
      <c r="AA4688">
        <v>0.94490260000000004</v>
      </c>
      <c r="AB4688">
        <v>27</v>
      </c>
      <c r="AC4688">
        <v>-7.46359999999998</v>
      </c>
      <c r="AD4688">
        <v>-1.1023243781730001</v>
      </c>
      <c r="AE4688">
        <v>-3.0362</v>
      </c>
      <c r="AF4688">
        <v>2.5947128118397398</v>
      </c>
      <c r="AG4688">
        <v>-1.1023243781730001</v>
      </c>
      <c r="AH4688">
        <v>7.4717886671713396</v>
      </c>
      <c r="AI4688">
        <v>97.934045892903399</v>
      </c>
      <c r="AJ4688">
        <v>70.849523920045996</v>
      </c>
      <c r="AK4688">
        <v>7.9859426179700197</v>
      </c>
      <c r="AL4688">
        <v>67.485190973339797</v>
      </c>
      <c r="AM4688">
        <v>79.467420061156105</v>
      </c>
      <c r="AN4688">
        <v>0.99999997054102896</v>
      </c>
    </row>
    <row r="4689" spans="1:40" x14ac:dyDescent="0.25">
      <c r="A4689" t="str">
        <f>"20190304164942578"</f>
        <v>20190304164942578</v>
      </c>
      <c r="B4689" t="str">
        <f>"1551689382570700"</f>
        <v>1551689382570700</v>
      </c>
      <c r="C4689" t="s">
        <v>40</v>
      </c>
      <c r="D4689">
        <v>4.6986589999999904</v>
      </c>
      <c r="E4689">
        <v>0.58705719999999995</v>
      </c>
      <c r="F4689" t="s">
        <v>48</v>
      </c>
      <c r="G4689">
        <v>-209.21459999999999</v>
      </c>
      <c r="H4689" s="1">
        <v>-6.2750759999999996E-6</v>
      </c>
      <c r="I4689">
        <v>141.7321</v>
      </c>
      <c r="J4689">
        <v>-201.76410000000001</v>
      </c>
      <c r="K4689">
        <v>1.102044</v>
      </c>
      <c r="L4689">
        <v>144.65440000000001</v>
      </c>
      <c r="M4689">
        <v>-0.75937239999999995</v>
      </c>
      <c r="N4689">
        <v>-1.0508379999999999E-2</v>
      </c>
      <c r="O4689">
        <v>-0.65057140000000002</v>
      </c>
      <c r="P4689">
        <v>-0.7973732</v>
      </c>
      <c r="Q4689">
        <v>0.3766139</v>
      </c>
      <c r="R4689">
        <v>-0.47154889999999999</v>
      </c>
      <c r="S4689">
        <v>-3.2204440000000001</v>
      </c>
      <c r="T4689">
        <v>-0.46325830000000001</v>
      </c>
      <c r="U4689">
        <v>-1.299347</v>
      </c>
      <c r="V4689">
        <v>0.16874359999999999</v>
      </c>
      <c r="W4689">
        <v>0.38272400000000001</v>
      </c>
      <c r="X4689">
        <v>0.9083215</v>
      </c>
      <c r="Y4689">
        <v>0.31254490000000001</v>
      </c>
      <c r="Z4689">
        <v>9.6922090000000002E-2</v>
      </c>
      <c r="AA4689">
        <v>0.94494540000000005</v>
      </c>
      <c r="AB4689">
        <v>27</v>
      </c>
      <c r="AC4689">
        <v>-7.4504999999999697</v>
      </c>
      <c r="AD4689">
        <v>-1.102050275076</v>
      </c>
      <c r="AE4689">
        <v>-2.9222999999999999</v>
      </c>
      <c r="AF4689">
        <v>2.5792063218029799</v>
      </c>
      <c r="AG4689">
        <v>-1.102050275076</v>
      </c>
      <c r="AH4689">
        <v>7.4186141184752703</v>
      </c>
      <c r="AI4689">
        <v>97.987246705642406</v>
      </c>
      <c r="AJ4689">
        <v>70.829130483474401</v>
      </c>
      <c r="AK4689">
        <v>7.9311194353675099</v>
      </c>
      <c r="AL4689">
        <v>67.497484233810198</v>
      </c>
      <c r="AM4689">
        <v>79.475842459927804</v>
      </c>
      <c r="AN4689">
        <v>1.0000000050396001</v>
      </c>
    </row>
    <row r="4690" spans="1:40" x14ac:dyDescent="0.25">
      <c r="A4690" t="str">
        <f>"20190304164942590"</f>
        <v>20190304164942590</v>
      </c>
      <c r="B4690" t="str">
        <f>"1551689382580461"</f>
        <v>1551689382580461</v>
      </c>
      <c r="C4690" t="s">
        <v>40</v>
      </c>
      <c r="D4690">
        <v>4.6882710000000003</v>
      </c>
      <c r="E4690">
        <v>0.58703709999999998</v>
      </c>
      <c r="F4690" t="s">
        <v>48</v>
      </c>
      <c r="G4690">
        <v>-209.43190000000001</v>
      </c>
      <c r="H4690" s="1">
        <v>-6.16196699999999E-6</v>
      </c>
      <c r="I4690">
        <v>141.6687</v>
      </c>
      <c r="J4690">
        <v>-201.8828</v>
      </c>
      <c r="K4690">
        <v>1.101901</v>
      </c>
      <c r="L4690">
        <v>144.56180000000001</v>
      </c>
      <c r="M4690">
        <v>-0.76384129999999995</v>
      </c>
      <c r="N4690">
        <v>-1.0520089999999999E-2</v>
      </c>
      <c r="O4690">
        <v>-0.64531830000000001</v>
      </c>
      <c r="P4690">
        <v>-0.80046799999999996</v>
      </c>
      <c r="Q4690">
        <v>0.37668699999999999</v>
      </c>
      <c r="R4690">
        <v>-0.46621629999999997</v>
      </c>
      <c r="S4690">
        <v>-3.2367400000000002</v>
      </c>
      <c r="T4690">
        <v>-0.46519860000000002</v>
      </c>
      <c r="U4690">
        <v>-1.260345</v>
      </c>
      <c r="V4690">
        <v>0.16865039999999901</v>
      </c>
      <c r="W4690">
        <v>0.38275480000000001</v>
      </c>
      <c r="X4690">
        <v>0.90832590000000002</v>
      </c>
      <c r="Y4690">
        <v>0.31743850000000001</v>
      </c>
      <c r="Z4690">
        <v>9.7071089999999999E-2</v>
      </c>
      <c r="AA4690">
        <v>0.94329739999999995</v>
      </c>
      <c r="AB4690">
        <v>27</v>
      </c>
      <c r="AC4690">
        <v>-7.5491000000000099</v>
      </c>
      <c r="AD4690">
        <v>-1.101907161967</v>
      </c>
      <c r="AE4690">
        <v>-2.8931</v>
      </c>
      <c r="AF4690">
        <v>2.6133021613882899</v>
      </c>
      <c r="AG4690">
        <v>-1.101907161967</v>
      </c>
      <c r="AH4690">
        <v>7.4944795256475203</v>
      </c>
      <c r="AI4690">
        <v>97.903910395396295</v>
      </c>
      <c r="AJ4690">
        <v>70.776492319330004</v>
      </c>
      <c r="AK4690">
        <v>8.0131623558156395</v>
      </c>
      <c r="AL4690">
        <v>67.495575559667898</v>
      </c>
      <c r="AM4690">
        <v>79.481575191181605</v>
      </c>
      <c r="AN4690">
        <v>1.000000067477</v>
      </c>
    </row>
    <row r="4691" spans="1:40" x14ac:dyDescent="0.25">
      <c r="A4691" t="str">
        <f>"20190304164942602"</f>
        <v>20190304164942602</v>
      </c>
      <c r="B4691" t="str">
        <f>"1551689382599980"</f>
        <v>1551689382599980</v>
      </c>
      <c r="C4691" t="s">
        <v>40</v>
      </c>
      <c r="D4691">
        <v>4.7079690000000003</v>
      </c>
      <c r="E4691">
        <v>0.58695889999999995</v>
      </c>
      <c r="F4691" t="s">
        <v>48</v>
      </c>
      <c r="G4691">
        <v>-209.56790000000001</v>
      </c>
      <c r="H4691" s="1">
        <v>-6.0915559999999999E-6</v>
      </c>
      <c r="I4691">
        <v>141.63050000000001</v>
      </c>
      <c r="J4691">
        <v>-202.00399999999999</v>
      </c>
      <c r="K4691">
        <v>1.101761</v>
      </c>
      <c r="L4691">
        <v>144.46870000000001</v>
      </c>
      <c r="M4691">
        <v>-0.76839539999999995</v>
      </c>
      <c r="N4691">
        <v>-1.05332E-2</v>
      </c>
      <c r="O4691">
        <v>-0.63988889999999998</v>
      </c>
      <c r="P4691">
        <v>-0.80369599999999997</v>
      </c>
      <c r="Q4691">
        <v>0.37652419999999998</v>
      </c>
      <c r="R4691">
        <v>-0.46076319999999998</v>
      </c>
      <c r="S4691">
        <v>-3.2457579999999999</v>
      </c>
      <c r="T4691">
        <v>-0.46538400000000002</v>
      </c>
      <c r="U4691">
        <v>-1.2379910000000001</v>
      </c>
      <c r="V4691">
        <v>0.16856119999999999</v>
      </c>
      <c r="W4691">
        <v>0.38255349999999999</v>
      </c>
      <c r="X4691">
        <v>0.90842719999999999</v>
      </c>
      <c r="Y4691">
        <v>0.3173029</v>
      </c>
      <c r="Z4691">
        <v>9.6529119999999996E-2</v>
      </c>
      <c r="AA4691">
        <v>0.94339870000000003</v>
      </c>
      <c r="AB4691">
        <v>27</v>
      </c>
      <c r="AC4691">
        <v>-7.5638999999999896</v>
      </c>
      <c r="AD4691">
        <v>-1.1017670915560001</v>
      </c>
      <c r="AE4691">
        <v>-2.8382000000000001</v>
      </c>
      <c r="AF4691">
        <v>2.6107861445860099</v>
      </c>
      <c r="AG4691">
        <v>-1.1017670915560001</v>
      </c>
      <c r="AH4691">
        <v>7.4893300917687</v>
      </c>
      <c r="AI4691">
        <v>97.908516943613094</v>
      </c>
      <c r="AJ4691">
        <v>70.781406457999296</v>
      </c>
      <c r="AK4691">
        <v>8.0075064933017899</v>
      </c>
      <c r="AL4691">
        <v>67.508058145966402</v>
      </c>
      <c r="AM4691">
        <v>79.488160563021793</v>
      </c>
      <c r="AN4691">
        <v>1.00000001810376</v>
      </c>
    </row>
    <row r="4692" spans="1:40" x14ac:dyDescent="0.25">
      <c r="A4692" t="str">
        <f>"20190304164942622"</f>
        <v>20190304164942622</v>
      </c>
      <c r="B4692" t="str">
        <f>"1551689382610716"</f>
        <v>1551689382610716</v>
      </c>
      <c r="C4692" t="s">
        <v>40</v>
      </c>
      <c r="D4692">
        <v>4.7307090000000001</v>
      </c>
      <c r="E4692">
        <v>0.58691910000000003</v>
      </c>
      <c r="F4692" t="s">
        <v>48</v>
      </c>
      <c r="G4692">
        <v>-209.67140000000001</v>
      </c>
      <c r="H4692" s="1">
        <v>-6.038649E-6</v>
      </c>
      <c r="I4692">
        <v>141.60390000000001</v>
      </c>
      <c r="J4692">
        <v>-202.1865</v>
      </c>
      <c r="K4692">
        <v>1.1015539999999999</v>
      </c>
      <c r="L4692">
        <v>144.33109999999999</v>
      </c>
      <c r="M4692">
        <v>-0.77523549999999997</v>
      </c>
      <c r="N4692">
        <v>-1.0555159999999999E-2</v>
      </c>
      <c r="O4692">
        <v>-0.63158400000000003</v>
      </c>
      <c r="P4692">
        <v>-0.80867080000000002</v>
      </c>
      <c r="Q4692">
        <v>0.3762742</v>
      </c>
      <c r="R4692">
        <v>-0.4521829</v>
      </c>
      <c r="S4692">
        <v>-3.2547000000000001</v>
      </c>
      <c r="T4692">
        <v>-0.46768569999999998</v>
      </c>
      <c r="U4692">
        <v>-1.2160489999999999</v>
      </c>
      <c r="V4692">
        <v>0.16870869999999999</v>
      </c>
      <c r="W4692">
        <v>0.38224419999999998</v>
      </c>
      <c r="X4692">
        <v>0.90852999999999995</v>
      </c>
      <c r="Y4692">
        <v>0.31355490000000003</v>
      </c>
      <c r="Z4692">
        <v>9.5912010000000006E-2</v>
      </c>
      <c r="AA4692">
        <v>0.94471380000000005</v>
      </c>
      <c r="AB4692">
        <v>27</v>
      </c>
      <c r="AC4692">
        <v>-7.4848999999999997</v>
      </c>
      <c r="AD4692">
        <v>-1.1015600386489901</v>
      </c>
      <c r="AE4692">
        <v>-2.7271999999999799</v>
      </c>
      <c r="AF4692">
        <v>2.5642362509885399</v>
      </c>
      <c r="AG4692">
        <v>-1.1015600386489901</v>
      </c>
      <c r="AH4692">
        <v>7.3842429429255496</v>
      </c>
      <c r="AI4692">
        <v>98.021422554575395</v>
      </c>
      <c r="AJ4692">
        <v>70.850041404927495</v>
      </c>
      <c r="AK4692">
        <v>7.8940348307933004</v>
      </c>
      <c r="AL4692">
        <v>67.527237150815196</v>
      </c>
      <c r="AM4692">
        <v>79.480331289473398</v>
      </c>
      <c r="AN4692">
        <v>1.00000000739466</v>
      </c>
    </row>
    <row r="4693" spans="1:40" x14ac:dyDescent="0.25">
      <c r="A4693" t="str">
        <f>"20190304164942634"</f>
        <v>20190304164942634</v>
      </c>
      <c r="B4693" t="str">
        <f>"1551689382630236"</f>
        <v>1551689382630236</v>
      </c>
      <c r="C4693" t="s">
        <v>40</v>
      </c>
      <c r="D4693">
        <v>4.6958000000000002</v>
      </c>
      <c r="E4693">
        <v>0.58689480000000005</v>
      </c>
      <c r="F4693" t="s">
        <v>48</v>
      </c>
      <c r="G4693">
        <v>-209.8603</v>
      </c>
      <c r="H4693" s="1">
        <v>-5.9432019999999998E-6</v>
      </c>
      <c r="I4693">
        <v>141.55969999999999</v>
      </c>
      <c r="J4693">
        <v>-202.30779999999999</v>
      </c>
      <c r="K4693">
        <v>1.101421</v>
      </c>
      <c r="L4693">
        <v>144.24109999999999</v>
      </c>
      <c r="M4693">
        <v>-0.77977030000000003</v>
      </c>
      <c r="N4693">
        <v>-1.0570970000000001E-2</v>
      </c>
      <c r="O4693">
        <v>-0.6259768</v>
      </c>
      <c r="P4693">
        <v>-0.81197849999999905</v>
      </c>
      <c r="Q4693">
        <v>0.37578070000000002</v>
      </c>
      <c r="R4693">
        <v>-0.44663199999999997</v>
      </c>
      <c r="S4693">
        <v>-3.268097</v>
      </c>
      <c r="T4693">
        <v>-0.4691284</v>
      </c>
      <c r="U4693">
        <v>-1.180267</v>
      </c>
      <c r="V4693">
        <v>0.16863320000000001</v>
      </c>
      <c r="W4693">
        <v>0.381718</v>
      </c>
      <c r="X4693">
        <v>0.90876520000000005</v>
      </c>
      <c r="Y4693">
        <v>0.3170692</v>
      </c>
      <c r="Z4693">
        <v>9.5836930000000001E-2</v>
      </c>
      <c r="AA4693">
        <v>0.94354780000000005</v>
      </c>
      <c r="AB4693">
        <v>27</v>
      </c>
      <c r="AC4693">
        <v>-7.5525000000000002</v>
      </c>
      <c r="AD4693">
        <v>-1.1014269432019901</v>
      </c>
      <c r="AE4693">
        <v>-2.6813999999999898</v>
      </c>
      <c r="AF4693">
        <v>2.5880783898494699</v>
      </c>
      <c r="AG4693">
        <v>-1.1014269432019901</v>
      </c>
      <c r="AH4693">
        <v>7.4278380440885003</v>
      </c>
      <c r="AI4693">
        <v>97.971138461429405</v>
      </c>
      <c r="AJ4693">
        <v>70.7901526523912</v>
      </c>
      <c r="AK4693">
        <v>7.94254802141137</v>
      </c>
      <c r="AL4693">
        <v>67.559859520436206</v>
      </c>
      <c r="AM4693">
        <v>79.487594760563695</v>
      </c>
      <c r="AN4693">
        <v>0.99999998819864</v>
      </c>
    </row>
    <row r="4694" spans="1:40" x14ac:dyDescent="0.25">
      <c r="A4694" t="str">
        <f>"20190304164942647"</f>
        <v>20190304164942647</v>
      </c>
      <c r="B4694" t="str">
        <f>"1551689382640973"</f>
        <v>1551689382640973</v>
      </c>
      <c r="C4694" t="s">
        <v>40</v>
      </c>
      <c r="D4694">
        <v>4.7158610000000003</v>
      </c>
      <c r="E4694">
        <v>0.58685540000000003</v>
      </c>
      <c r="F4694" t="s">
        <v>48</v>
      </c>
      <c r="G4694">
        <v>-209.95650000000001</v>
      </c>
      <c r="H4694" s="1">
        <v>-5.8956599999999999E-6</v>
      </c>
      <c r="I4694">
        <v>141.54130000000001</v>
      </c>
      <c r="J4694">
        <v>-202.4436</v>
      </c>
      <c r="K4694">
        <v>1.1012740000000001</v>
      </c>
      <c r="L4694">
        <v>144.14269999999999</v>
      </c>
      <c r="M4694">
        <v>-0.78484480000000001</v>
      </c>
      <c r="N4694">
        <v>-1.0592819999999999E-2</v>
      </c>
      <c r="O4694">
        <v>-0.61960179999999998</v>
      </c>
      <c r="P4694">
        <v>-0.81565169999999998</v>
      </c>
      <c r="Q4694">
        <v>0.37531880000000001</v>
      </c>
      <c r="R4694">
        <v>-0.4402816</v>
      </c>
      <c r="S4694">
        <v>-3.2768549999999999</v>
      </c>
      <c r="T4694">
        <v>-0.47187200000000001</v>
      </c>
      <c r="U4694">
        <v>-1.156647</v>
      </c>
      <c r="V4694">
        <v>0.1685709</v>
      </c>
      <c r="W4694">
        <v>0.38122479999999997</v>
      </c>
      <c r="X4694">
        <v>0.90898380000000001</v>
      </c>
      <c r="Y4694">
        <v>0.3161583</v>
      </c>
      <c r="Z4694">
        <v>9.5675910000000003E-2</v>
      </c>
      <c r="AA4694">
        <v>0.94386970000000003</v>
      </c>
      <c r="AB4694">
        <v>27</v>
      </c>
      <c r="AC4694">
        <v>-7.5129000000000001</v>
      </c>
      <c r="AD4694">
        <v>-1.1012798956600001</v>
      </c>
      <c r="AE4694">
        <v>-2.60139999999998</v>
      </c>
      <c r="AF4694">
        <v>2.5642578179103102</v>
      </c>
      <c r="AG4694">
        <v>-1.1012798956600001</v>
      </c>
      <c r="AH4694">
        <v>7.3673578501380002</v>
      </c>
      <c r="AI4694">
        <v>98.035583587231898</v>
      </c>
      <c r="AJ4694">
        <v>70.809208777704796</v>
      </c>
      <c r="AK4694">
        <v>7.8782102826269602</v>
      </c>
      <c r="AL4694">
        <v>67.590430292452297</v>
      </c>
      <c r="AM4694">
        <v>79.493862867368406</v>
      </c>
      <c r="AN4694">
        <v>1.0000000225621399</v>
      </c>
    </row>
    <row r="4695" spans="1:40" x14ac:dyDescent="0.25">
      <c r="A4695" t="str">
        <f>"20190304164942668"</f>
        <v>20190304164942668</v>
      </c>
      <c r="B4695" t="str">
        <f>"1551689382660492"</f>
        <v>1551689382660492</v>
      </c>
      <c r="C4695" t="s">
        <v>40</v>
      </c>
      <c r="D4695">
        <v>4.7454549999999998</v>
      </c>
      <c r="E4695">
        <v>0.58673549999999997</v>
      </c>
      <c r="F4695" t="s">
        <v>42</v>
      </c>
      <c r="G4695">
        <v>-210.07919999999999</v>
      </c>
      <c r="H4695" s="1">
        <v>-5.0182459999999997E-6</v>
      </c>
      <c r="I4695">
        <v>141.51840000000001</v>
      </c>
      <c r="J4695">
        <v>-202.64779999999999</v>
      </c>
      <c r="K4695">
        <v>1.101054</v>
      </c>
      <c r="L4695">
        <v>143.99770000000001</v>
      </c>
      <c r="M4695">
        <v>-0.79242579999999996</v>
      </c>
      <c r="N4695">
        <v>-1.0630270000000001E-2</v>
      </c>
      <c r="O4695">
        <v>-0.60987599999999997</v>
      </c>
      <c r="P4695">
        <v>-0.8216405</v>
      </c>
      <c r="Q4695">
        <v>0.3732858</v>
      </c>
      <c r="R4695">
        <v>-0.43077290000000001</v>
      </c>
      <c r="S4695">
        <v>-3.2864379999999902</v>
      </c>
      <c r="T4695">
        <v>-0.473999</v>
      </c>
      <c r="U4695">
        <v>-1.1295470000000001</v>
      </c>
      <c r="V4695">
        <v>0.16863210000000001</v>
      </c>
      <c r="W4695">
        <v>0.37915320000000002</v>
      </c>
      <c r="X4695">
        <v>0.90983849999999999</v>
      </c>
      <c r="Y4695">
        <v>0.31230989999999997</v>
      </c>
      <c r="Z4695">
        <v>9.4830529999999996E-2</v>
      </c>
      <c r="AA4695">
        <v>0.9452353</v>
      </c>
      <c r="AB4695">
        <v>27</v>
      </c>
      <c r="AC4695">
        <v>-7.4313999999999902</v>
      </c>
      <c r="AD4695">
        <v>-1.1010590182460001</v>
      </c>
      <c r="AE4695">
        <v>-2.4792999999999901</v>
      </c>
      <c r="AF4695">
        <v>2.5179766833179702</v>
      </c>
      <c r="AG4695">
        <v>-1.1010590182460001</v>
      </c>
      <c r="AH4695">
        <v>7.2579448255325003</v>
      </c>
      <c r="AI4695">
        <v>98.156306185780394</v>
      </c>
      <c r="AJ4695">
        <v>70.866961402295104</v>
      </c>
      <c r="AK4695">
        <v>7.7608182964084298</v>
      </c>
      <c r="AL4695">
        <v>67.718760575054802</v>
      </c>
      <c r="AM4695">
        <v>79.499786829043401</v>
      </c>
      <c r="AN4695">
        <v>1.0000000151514401</v>
      </c>
    </row>
    <row r="4696" spans="1:40" x14ac:dyDescent="0.25">
      <c r="A4696" t="str">
        <f>"20190304164942680"</f>
        <v>20190304164942680</v>
      </c>
      <c r="B4696" t="str">
        <f>"1551689382670252"</f>
        <v>1551689382670252</v>
      </c>
      <c r="C4696" t="s">
        <v>40</v>
      </c>
      <c r="D4696">
        <v>4.6749499999999999</v>
      </c>
      <c r="E4696">
        <v>0.58671839999999997</v>
      </c>
      <c r="F4696" t="s">
        <v>42</v>
      </c>
      <c r="G4696">
        <v>-210.17349999999999</v>
      </c>
      <c r="H4696" s="1">
        <v>-4.9816230000000003E-6</v>
      </c>
      <c r="I4696">
        <v>141.51589999999999</v>
      </c>
      <c r="J4696">
        <v>-202.77629999999999</v>
      </c>
      <c r="K4696">
        <v>1.1009199999999999</v>
      </c>
      <c r="L4696">
        <v>143.9084</v>
      </c>
      <c r="M4696">
        <v>-0.7971606</v>
      </c>
      <c r="N4696">
        <v>-1.065693E-2</v>
      </c>
      <c r="O4696">
        <v>-0.60367349999999997</v>
      </c>
      <c r="P4696">
        <v>-0.82547859999999995</v>
      </c>
      <c r="Q4696">
        <v>0.37225849999999999</v>
      </c>
      <c r="R4696">
        <v>-0.4242746</v>
      </c>
      <c r="S4696">
        <v>-3.3000180000000001</v>
      </c>
      <c r="T4696">
        <v>-0.48281550000000001</v>
      </c>
      <c r="U4696">
        <v>-1.0882419999999999</v>
      </c>
      <c r="V4696">
        <v>0.1690836</v>
      </c>
      <c r="W4696">
        <v>0.37809490000000001</v>
      </c>
      <c r="X4696">
        <v>0.91019510000000003</v>
      </c>
      <c r="Y4696">
        <v>0.31646929999999901</v>
      </c>
      <c r="Z4696">
        <v>9.6258800000000005E-2</v>
      </c>
      <c r="AA4696">
        <v>0.94370620000000005</v>
      </c>
      <c r="AB4696">
        <v>27</v>
      </c>
      <c r="AC4696">
        <v>-7.39719999999999</v>
      </c>
      <c r="AD4696">
        <v>-1.100924981623</v>
      </c>
      <c r="AE4696">
        <v>-2.3925000000000098</v>
      </c>
      <c r="AF4696">
        <v>2.5081369611398401</v>
      </c>
      <c r="AG4696">
        <v>-1.100924981623</v>
      </c>
      <c r="AH4696">
        <v>7.1971392461143804</v>
      </c>
      <c r="AI4696">
        <v>98.2193553007004</v>
      </c>
      <c r="AJ4696">
        <v>70.787023066016204</v>
      </c>
      <c r="AK4696">
        <v>7.7007532202348399</v>
      </c>
      <c r="AL4696">
        <v>67.784275403278897</v>
      </c>
      <c r="AM4696">
        <v>79.476333413483104</v>
      </c>
      <c r="AN4696">
        <v>1.0000000686294801</v>
      </c>
    </row>
    <row r="4697" spans="1:40" x14ac:dyDescent="0.25">
      <c r="A4697" t="str">
        <f>"20190304164942700"</f>
        <v>20190304164942700</v>
      </c>
      <c r="B4697" t="str">
        <f>"1551689382690751"</f>
        <v>1551689382690751</v>
      </c>
      <c r="C4697" t="s">
        <v>40</v>
      </c>
      <c r="D4697">
        <v>4.7337389999999999</v>
      </c>
      <c r="E4697">
        <v>0.58648129999999998</v>
      </c>
      <c r="F4697" t="s">
        <v>42</v>
      </c>
      <c r="G4697">
        <v>-210.24889999999999</v>
      </c>
      <c r="H4697" s="1">
        <v>-4.951557E-6</v>
      </c>
      <c r="I4697">
        <v>141.50980000000001</v>
      </c>
      <c r="J4697">
        <v>-202.9735</v>
      </c>
      <c r="K4697">
        <v>1.1007180000000001</v>
      </c>
      <c r="L4697">
        <v>143.77449999999999</v>
      </c>
      <c r="M4697">
        <v>-0.80437139999999996</v>
      </c>
      <c r="N4697">
        <v>-1.07005E-2</v>
      </c>
      <c r="O4697">
        <v>-0.59403059999999996</v>
      </c>
      <c r="P4697">
        <v>-0.83200359999999995</v>
      </c>
      <c r="Q4697">
        <v>0.37089060000000001</v>
      </c>
      <c r="R4697">
        <v>-0.41256540000000003</v>
      </c>
      <c r="S4697">
        <v>-3.3082579999999999</v>
      </c>
      <c r="T4697">
        <v>-0.4873942</v>
      </c>
      <c r="U4697">
        <v>-1.06192</v>
      </c>
      <c r="V4697">
        <v>0.17149029999999901</v>
      </c>
      <c r="W4697">
        <v>0.3766408</v>
      </c>
      <c r="X4697">
        <v>0.91034760000000003</v>
      </c>
      <c r="Y4697">
        <v>0.31251000000000001</v>
      </c>
      <c r="Z4697">
        <v>9.5876810000000007E-2</v>
      </c>
      <c r="AA4697">
        <v>0.9450636</v>
      </c>
      <c r="AB4697">
        <v>27</v>
      </c>
      <c r="AC4697">
        <v>-7.2753999999999897</v>
      </c>
      <c r="AD4697">
        <v>-1.1007229515570001</v>
      </c>
      <c r="AE4697">
        <v>-2.2646999999999702</v>
      </c>
      <c r="AF4697">
        <v>2.4491841232252098</v>
      </c>
      <c r="AG4697">
        <v>-1.1007229515570001</v>
      </c>
      <c r="AH4697">
        <v>7.0507034649262401</v>
      </c>
      <c r="AI4697">
        <v>98.389024099380094</v>
      </c>
      <c r="AJ4697">
        <v>70.8444427128358</v>
      </c>
      <c r="AK4697">
        <v>7.5447010037420101</v>
      </c>
      <c r="AL4697">
        <v>67.874238973573597</v>
      </c>
      <c r="AM4697">
        <v>79.331704219050394</v>
      </c>
      <c r="AN4697">
        <v>0.99999998402224399</v>
      </c>
    </row>
    <row r="4698" spans="1:40" x14ac:dyDescent="0.25">
      <c r="A4698" t="str">
        <f>"20190304164942713"</f>
        <v>20190304164942713</v>
      </c>
      <c r="B4698" t="str">
        <f>"1551689382710268"</f>
        <v>1551689382710268</v>
      </c>
      <c r="C4698" t="s">
        <v>40</v>
      </c>
      <c r="D4698">
        <v>4.7937839999999996</v>
      </c>
      <c r="E4698">
        <v>0.5863718</v>
      </c>
      <c r="F4698" t="s">
        <v>42</v>
      </c>
      <c r="G4698">
        <v>-210.33070000000001</v>
      </c>
      <c r="H4698" s="1">
        <v>-4.9211780000000002E-6</v>
      </c>
      <c r="I4698">
        <v>141.51560000000001</v>
      </c>
      <c r="J4698">
        <v>-203.0968</v>
      </c>
      <c r="K4698">
        <v>1.1006049999999901</v>
      </c>
      <c r="L4698">
        <v>143.6925</v>
      </c>
      <c r="M4698">
        <v>-0.80883470000000002</v>
      </c>
      <c r="N4698">
        <v>-1.0727560000000001E-2</v>
      </c>
      <c r="O4698">
        <v>-0.58793839999999997</v>
      </c>
      <c r="P4698">
        <v>-0.83587330000000004</v>
      </c>
      <c r="Q4698">
        <v>0.37008039999999998</v>
      </c>
      <c r="R4698">
        <v>-0.40540929999999997</v>
      </c>
      <c r="S4698">
        <v>-3.321564</v>
      </c>
      <c r="T4698">
        <v>-0.49694199999999999</v>
      </c>
      <c r="U4698">
        <v>-1.019852</v>
      </c>
      <c r="V4698">
        <v>0.17271929999999999</v>
      </c>
      <c r="W4698">
        <v>0.37578539999999999</v>
      </c>
      <c r="X4698">
        <v>0.91046879999999997</v>
      </c>
      <c r="Y4698">
        <v>0.31705109999999997</v>
      </c>
      <c r="Z4698">
        <v>9.7431589999999998E-2</v>
      </c>
      <c r="AA4698">
        <v>0.94339050000000002</v>
      </c>
      <c r="AB4698">
        <v>27</v>
      </c>
      <c r="AC4698">
        <v>-7.2339000000000002</v>
      </c>
      <c r="AD4698">
        <v>-1.1006099211779901</v>
      </c>
      <c r="AE4698">
        <v>-2.1768999999999799</v>
      </c>
      <c r="AF4698">
        <v>2.4406722430906198</v>
      </c>
      <c r="AG4698">
        <v>-1.1006099211779901</v>
      </c>
      <c r="AH4698">
        <v>6.9830972685489003</v>
      </c>
      <c r="AI4698">
        <v>98.462654331234504</v>
      </c>
      <c r="AJ4698">
        <v>70.734896167587394</v>
      </c>
      <c r="AK4698">
        <v>7.4787613051095301</v>
      </c>
      <c r="AL4698">
        <v>67.927137020382204</v>
      </c>
      <c r="AM4698">
        <v>79.258419039828993</v>
      </c>
      <c r="AN4698">
        <v>1.0000000296095399</v>
      </c>
    </row>
    <row r="4699" spans="1:40" x14ac:dyDescent="0.25">
      <c r="A4699" t="str">
        <f>"20190304164942727"</f>
        <v>20190304164942727</v>
      </c>
      <c r="B4699" t="str">
        <f>"1551689382720028"</f>
        <v>1551689382720028</v>
      </c>
      <c r="C4699" t="s">
        <v>40</v>
      </c>
      <c r="D4699">
        <v>4.8320740000000004</v>
      </c>
      <c r="E4699">
        <v>0.58634330000000001</v>
      </c>
      <c r="F4699" t="s">
        <v>42</v>
      </c>
      <c r="G4699">
        <v>-210.38810000000001</v>
      </c>
      <c r="H4699" s="1">
        <v>-4.8993909999999996E-6</v>
      </c>
      <c r="I4699">
        <v>141.51689999999999</v>
      </c>
      <c r="J4699">
        <v>-203.25489999999999</v>
      </c>
      <c r="K4699">
        <v>1.100476</v>
      </c>
      <c r="L4699">
        <v>143.5898</v>
      </c>
      <c r="M4699">
        <v>-0.81450540000000005</v>
      </c>
      <c r="N4699">
        <v>-1.0761049999999999E-2</v>
      </c>
      <c r="O4699">
        <v>-0.58005620000000002</v>
      </c>
      <c r="P4699">
        <v>-0.84051909999999896</v>
      </c>
      <c r="Q4699">
        <v>0.36868390000000001</v>
      </c>
      <c r="R4699">
        <v>-0.39698929999999999</v>
      </c>
      <c r="S4699">
        <v>-3.3297119999999998</v>
      </c>
      <c r="T4699">
        <v>-0.50261279999999997</v>
      </c>
      <c r="U4699">
        <v>-0.99353029999999998</v>
      </c>
      <c r="V4699">
        <v>0.1734608</v>
      </c>
      <c r="W4699">
        <v>0.37435819999999997</v>
      </c>
      <c r="X4699">
        <v>0.91091560000000005</v>
      </c>
      <c r="Y4699">
        <v>0.31523370000000001</v>
      </c>
      <c r="Z4699">
        <v>9.7539479999999998E-2</v>
      </c>
      <c r="AA4699">
        <v>0.94398820000000006</v>
      </c>
      <c r="AB4699">
        <v>27</v>
      </c>
      <c r="AC4699">
        <v>-7.1332000000000102</v>
      </c>
      <c r="AD4699">
        <v>-1.100480899391</v>
      </c>
      <c r="AE4699">
        <v>-2.0729000000000002</v>
      </c>
      <c r="AF4699">
        <v>2.39680620405277</v>
      </c>
      <c r="AG4699">
        <v>-1.100480899391</v>
      </c>
      <c r="AH4699">
        <v>6.86222476543377</v>
      </c>
      <c r="AI4699">
        <v>98.6091313534032</v>
      </c>
      <c r="AJ4699">
        <v>70.746948612213501</v>
      </c>
      <c r="AK4699">
        <v>7.35158941461252</v>
      </c>
      <c r="AL4699">
        <v>68.015348083994098</v>
      </c>
      <c r="AM4699">
        <v>79.218550869689594</v>
      </c>
      <c r="AN4699">
        <v>0.99999997068361901</v>
      </c>
    </row>
    <row r="4700" spans="1:40" x14ac:dyDescent="0.25">
      <c r="A4700" t="str">
        <f>"20190304164942747"</f>
        <v>20190304164942747</v>
      </c>
      <c r="B4700" t="str">
        <f>"1551689382740524"</f>
        <v>1551689382740524</v>
      </c>
      <c r="C4700" t="s">
        <v>40</v>
      </c>
      <c r="D4700">
        <v>4.8112450000000004</v>
      </c>
      <c r="E4700">
        <v>0.58638630000000003</v>
      </c>
      <c r="F4700" t="s">
        <v>42</v>
      </c>
      <c r="G4700">
        <v>-210.4776</v>
      </c>
      <c r="H4700" s="1">
        <v>-4.8644109999999996E-6</v>
      </c>
      <c r="I4700">
        <v>141.51349999999999</v>
      </c>
      <c r="J4700">
        <v>-203.45230000000001</v>
      </c>
      <c r="K4700">
        <v>1.1003259999999999</v>
      </c>
      <c r="L4700">
        <v>143.46440000000001</v>
      </c>
      <c r="M4700">
        <v>-0.82148399999999999</v>
      </c>
      <c r="N4700">
        <v>-1.0800560000000001E-2</v>
      </c>
      <c r="O4700">
        <v>-0.57012959999999901</v>
      </c>
      <c r="P4700">
        <v>-0.84677209999999903</v>
      </c>
      <c r="Q4700">
        <v>0.36524210000000001</v>
      </c>
      <c r="R4700">
        <v>-0.38675019999999999</v>
      </c>
      <c r="S4700">
        <v>-3.3390499999999999</v>
      </c>
      <c r="T4700">
        <v>-0.50875000000000004</v>
      </c>
      <c r="U4700">
        <v>-0.9598236</v>
      </c>
      <c r="V4700">
        <v>0.17436109999999999</v>
      </c>
      <c r="W4700">
        <v>0.37088860000000001</v>
      </c>
      <c r="X4700">
        <v>0.91216220000000003</v>
      </c>
      <c r="Y4700">
        <v>0.31313659999999999</v>
      </c>
      <c r="Z4700">
        <v>9.7470280000000006E-2</v>
      </c>
      <c r="AA4700">
        <v>0.94469309999999995</v>
      </c>
      <c r="AB4700">
        <v>27</v>
      </c>
      <c r="AC4700">
        <v>-7.0252999999999801</v>
      </c>
      <c r="AD4700">
        <v>-1.1003308644109999</v>
      </c>
      <c r="AE4700">
        <v>-1.9509000000000101</v>
      </c>
      <c r="AF4700">
        <v>2.3493324561837401</v>
      </c>
      <c r="AG4700">
        <v>-1.1003308644109999</v>
      </c>
      <c r="AH4700">
        <v>6.7305506313327399</v>
      </c>
      <c r="AI4700">
        <v>98.774375240186799</v>
      </c>
      <c r="AJ4700">
        <v>70.758202830527196</v>
      </c>
      <c r="AK4700">
        <v>7.2132102979039301</v>
      </c>
      <c r="AL4700">
        <v>68.229570313731998</v>
      </c>
      <c r="AM4700">
        <v>79.1783734529931</v>
      </c>
      <c r="AN4700">
        <v>1.0000000129560001</v>
      </c>
    </row>
    <row r="4701" spans="1:40" x14ac:dyDescent="0.25">
      <c r="A4701" t="str">
        <f>"20190304164942768"</f>
        <v>20190304164942768</v>
      </c>
      <c r="B4701" t="str">
        <f>"1551689382761020"</f>
        <v>1551689382761020</v>
      </c>
      <c r="C4701" t="s">
        <v>40</v>
      </c>
      <c r="D4701">
        <v>4.3422559999999999</v>
      </c>
      <c r="E4701">
        <v>0.58642530000000004</v>
      </c>
      <c r="F4701" t="s">
        <v>42</v>
      </c>
      <c r="G4701">
        <v>-210.52879999999999</v>
      </c>
      <c r="H4701" s="1">
        <v>-4.8489119999999998E-6</v>
      </c>
      <c r="I4701">
        <v>141.53710000000001</v>
      </c>
      <c r="J4701">
        <v>-203.684</v>
      </c>
      <c r="K4701">
        <v>1.1001780000000001</v>
      </c>
      <c r="L4701">
        <v>143.32149999999999</v>
      </c>
      <c r="M4701">
        <v>-0.82952990000000004</v>
      </c>
      <c r="N4701">
        <v>-1.084422E-2</v>
      </c>
      <c r="O4701">
        <v>-0.55835709999999905</v>
      </c>
      <c r="P4701">
        <v>-0.85357019999999995</v>
      </c>
      <c r="Q4701">
        <v>0.36225610000000003</v>
      </c>
      <c r="R4701">
        <v>-0.37441849999999999</v>
      </c>
      <c r="S4701">
        <v>-3.3507839999999902</v>
      </c>
      <c r="T4701">
        <v>-0.52101090000000005</v>
      </c>
      <c r="U4701">
        <v>-0.91259769999999896</v>
      </c>
      <c r="V4701">
        <v>0.17535580000000001</v>
      </c>
      <c r="W4701">
        <v>0.36787229999999999</v>
      </c>
      <c r="X4701">
        <v>0.91319240000000002</v>
      </c>
      <c r="Y4701">
        <v>0.31254480000000001</v>
      </c>
      <c r="Z4701">
        <v>9.8470039999999995E-2</v>
      </c>
      <c r="AA4701">
        <v>0.9447854</v>
      </c>
      <c r="AB4701">
        <v>27</v>
      </c>
      <c r="AC4701">
        <v>-6.8447999999999602</v>
      </c>
      <c r="AD4701">
        <v>-1.100182848912</v>
      </c>
      <c r="AE4701">
        <v>-1.78439999999997</v>
      </c>
      <c r="AF4701">
        <v>2.2864556054906702</v>
      </c>
      <c r="AG4701">
        <v>-1.100182848912</v>
      </c>
      <c r="AH4701">
        <v>6.5170375775106297</v>
      </c>
      <c r="AI4701">
        <v>99.050991724229505</v>
      </c>
      <c r="AJ4701">
        <v>70.666946870470497</v>
      </c>
      <c r="AK4701">
        <v>6.9935727867525204</v>
      </c>
      <c r="AL4701">
        <v>68.415544288198902</v>
      </c>
      <c r="AM4701">
        <v>79.130091419758102</v>
      </c>
      <c r="AN4701">
        <v>1.00000002255934</v>
      </c>
    </row>
    <row r="4702" spans="1:40" x14ac:dyDescent="0.25">
      <c r="A4702" t="str">
        <f>"20190304164942781"</f>
        <v>20190304164942781</v>
      </c>
      <c r="B4702" t="str">
        <f>"1551689382770780"</f>
        <v>1551689382770780</v>
      </c>
      <c r="C4702" t="s">
        <v>40</v>
      </c>
      <c r="D4702">
        <v>4.8065129999999998</v>
      </c>
      <c r="E4702">
        <v>0.58646750000000003</v>
      </c>
      <c r="F4702" t="s">
        <v>42</v>
      </c>
      <c r="G4702">
        <v>-210.65950000000001</v>
      </c>
      <c r="H4702" s="1">
        <v>-4.8003249999999996E-6</v>
      </c>
      <c r="I4702">
        <v>141.5461</v>
      </c>
      <c r="J4702">
        <v>-203.8159</v>
      </c>
      <c r="K4702">
        <v>1.100104</v>
      </c>
      <c r="L4702">
        <v>143.2422</v>
      </c>
      <c r="M4702">
        <v>-0.83403430000000001</v>
      </c>
      <c r="N4702">
        <v>-1.0868050000000001E-2</v>
      </c>
      <c r="O4702">
        <v>-0.55160559999999903</v>
      </c>
      <c r="P4702">
        <v>-0.85732269999999899</v>
      </c>
      <c r="Q4702">
        <v>0.36084749999999999</v>
      </c>
      <c r="R4702">
        <v>-0.36713390000000001</v>
      </c>
      <c r="S4702">
        <v>-3.364258</v>
      </c>
      <c r="T4702">
        <v>-0.53061250000000004</v>
      </c>
      <c r="U4702">
        <v>-0.85627749999999903</v>
      </c>
      <c r="V4702">
        <v>0.17607919999999999</v>
      </c>
      <c r="W4702">
        <v>0.36644320000000002</v>
      </c>
      <c r="X4702">
        <v>0.91362770000000004</v>
      </c>
      <c r="Y4702">
        <v>0.32024540000000001</v>
      </c>
      <c r="Z4702">
        <v>0.1001132</v>
      </c>
      <c r="AA4702">
        <v>0.94202980000000003</v>
      </c>
      <c r="AB4702">
        <v>27</v>
      </c>
      <c r="AC4702">
        <v>-6.8436000000000003</v>
      </c>
      <c r="AD4702">
        <v>-1.1001088003249999</v>
      </c>
      <c r="AE4702">
        <v>-1.6960999999999999</v>
      </c>
      <c r="AF4702">
        <v>2.3044007358279099</v>
      </c>
      <c r="AG4702">
        <v>-1.1001088003249999</v>
      </c>
      <c r="AH4702">
        <v>6.4858677826190503</v>
      </c>
      <c r="AI4702">
        <v>99.080671279726403</v>
      </c>
      <c r="AJ4702">
        <v>70.440094461552903</v>
      </c>
      <c r="AK4702">
        <v>6.9704363577506703</v>
      </c>
      <c r="AL4702">
        <v>68.503574160039605</v>
      </c>
      <c r="AM4702">
        <v>79.091399238931402</v>
      </c>
      <c r="AN4702">
        <v>1.0000000388530801</v>
      </c>
    </row>
    <row r="4703" spans="1:40" x14ac:dyDescent="0.25">
      <c r="A4703" t="str">
        <f>"20190304164942802"</f>
        <v>20190304164942802</v>
      </c>
      <c r="B4703" t="str">
        <f>"1551689382801037"</f>
        <v>1551689382801037</v>
      </c>
      <c r="C4703" t="s">
        <v>40</v>
      </c>
      <c r="D4703">
        <v>4.7821420000000003</v>
      </c>
      <c r="E4703">
        <v>0.58661149999999995</v>
      </c>
      <c r="F4703" t="s">
        <v>42</v>
      </c>
      <c r="G4703">
        <v>-210.74639999999999</v>
      </c>
      <c r="H4703" s="1">
        <v>-4.7673930000000003E-6</v>
      </c>
      <c r="I4703">
        <v>141.54849999999999</v>
      </c>
      <c r="J4703">
        <v>-204.04400000000001</v>
      </c>
      <c r="K4703">
        <v>1.099988</v>
      </c>
      <c r="L4703">
        <v>143.1088</v>
      </c>
      <c r="M4703">
        <v>-0.84168690000000002</v>
      </c>
      <c r="N4703">
        <v>-1.090822E-2</v>
      </c>
      <c r="O4703">
        <v>-0.53985569999999905</v>
      </c>
      <c r="P4703">
        <v>-0.86331740000000001</v>
      </c>
      <c r="Q4703">
        <v>0.36080800000000002</v>
      </c>
      <c r="R4703">
        <v>-0.35284680000000002</v>
      </c>
      <c r="S4703">
        <v>-3.3716430000000002</v>
      </c>
      <c r="T4703">
        <v>-0.53519989999999995</v>
      </c>
      <c r="U4703">
        <v>-0.82400509999999905</v>
      </c>
      <c r="V4703">
        <v>0.1785563</v>
      </c>
      <c r="W4703">
        <v>0.36632700000000001</v>
      </c>
      <c r="X4703">
        <v>0.91319340000000004</v>
      </c>
      <c r="Y4703">
        <v>0.31595959999999901</v>
      </c>
      <c r="Z4703">
        <v>9.9228410000000003E-2</v>
      </c>
      <c r="AA4703">
        <v>0.9435694</v>
      </c>
      <c r="AB4703">
        <v>27</v>
      </c>
      <c r="AC4703">
        <v>-6.7023999999999804</v>
      </c>
      <c r="AD4703">
        <v>-1.0999927673929999</v>
      </c>
      <c r="AE4703">
        <v>-1.56030000000001</v>
      </c>
      <c r="AF4703">
        <v>2.2477509172340202</v>
      </c>
      <c r="AG4703">
        <v>-1.0999927673929999</v>
      </c>
      <c r="AH4703">
        <v>6.3225022425615602</v>
      </c>
      <c r="AI4703">
        <v>99.309644504650194</v>
      </c>
      <c r="AJ4703">
        <v>70.428884514192703</v>
      </c>
      <c r="AK4703">
        <v>6.7997355008440801</v>
      </c>
      <c r="AL4703">
        <v>68.510728712260303</v>
      </c>
      <c r="AM4703">
        <v>78.9365640510199</v>
      </c>
      <c r="AN4703">
        <v>1.0000000045011199</v>
      </c>
    </row>
    <row r="4704" spans="1:40" x14ac:dyDescent="0.25">
      <c r="A4704" t="str">
        <f>"20190304164942826"</f>
        <v>20190304164942826</v>
      </c>
      <c r="B4704" t="str">
        <f>"1551689382820556"</f>
        <v>1551689382820556</v>
      </c>
      <c r="C4704" t="s">
        <v>40</v>
      </c>
      <c r="D4704">
        <v>4.3124099999999999</v>
      </c>
      <c r="E4704">
        <v>0.58665809999999996</v>
      </c>
      <c r="F4704" t="s">
        <v>42</v>
      </c>
      <c r="G4704">
        <v>-211.0076</v>
      </c>
      <c r="H4704" s="1">
        <v>-4.6644510000000001E-6</v>
      </c>
      <c r="I4704">
        <v>141.53370000000001</v>
      </c>
      <c r="J4704">
        <v>-204.2919</v>
      </c>
      <c r="K4704">
        <v>1.099872</v>
      </c>
      <c r="L4704">
        <v>142.96850000000001</v>
      </c>
      <c r="M4704">
        <v>-0.84981600000000002</v>
      </c>
      <c r="N4704">
        <v>-1.0951610000000001E-2</v>
      </c>
      <c r="O4704">
        <v>-0.52696599999999905</v>
      </c>
      <c r="P4704">
        <v>-0.86866100000000002</v>
      </c>
      <c r="Q4704">
        <v>0.36305739999999997</v>
      </c>
      <c r="R4704">
        <v>-0.33707239999999999</v>
      </c>
      <c r="S4704">
        <v>-3.3854980000000001</v>
      </c>
      <c r="T4704">
        <v>-0.53477940000000002</v>
      </c>
      <c r="U4704">
        <v>-0.76576230000000001</v>
      </c>
      <c r="V4704">
        <v>0.18094379999999999</v>
      </c>
      <c r="W4704">
        <v>0.36849209999999999</v>
      </c>
      <c r="X4704">
        <v>0.91185139999999998</v>
      </c>
      <c r="Y4704">
        <v>0.31791180000000002</v>
      </c>
      <c r="Z4704">
        <v>9.7666409999999995E-2</v>
      </c>
      <c r="AA4704">
        <v>0.94307660000000004</v>
      </c>
      <c r="AB4704">
        <v>27</v>
      </c>
      <c r="AC4704">
        <v>-6.7156999999999902</v>
      </c>
      <c r="AD4704">
        <v>-1.0998766644510001</v>
      </c>
      <c r="AE4704">
        <v>-1.4347999999999901</v>
      </c>
      <c r="AF4704">
        <v>2.2617499406065602</v>
      </c>
      <c r="AG4704">
        <v>-1.0998766644510001</v>
      </c>
      <c r="AH4704">
        <v>6.3019297126021101</v>
      </c>
      <c r="AI4704">
        <v>99.328708953335806</v>
      </c>
      <c r="AJ4704">
        <v>70.2570393493788</v>
      </c>
      <c r="AK4704">
        <v>6.7852457268263198</v>
      </c>
      <c r="AL4704">
        <v>68.377349500319596</v>
      </c>
      <c r="AM4704">
        <v>78.776278242917996</v>
      </c>
      <c r="AN4704">
        <v>1.0000000311013999</v>
      </c>
    </row>
    <row r="4705" spans="1:40" x14ac:dyDescent="0.25">
      <c r="A4705" t="str">
        <f>"20190304164942847"</f>
        <v>20190304164942847</v>
      </c>
      <c r="B4705" t="str">
        <f>"1551689382841052"</f>
        <v>1551689382841052</v>
      </c>
      <c r="C4705" t="s">
        <v>40</v>
      </c>
      <c r="D4705">
        <v>4.1624910000000002</v>
      </c>
      <c r="E4705">
        <v>0.58721409999999996</v>
      </c>
      <c r="F4705" t="s">
        <v>42</v>
      </c>
      <c r="G4705">
        <v>-211.38310000000001</v>
      </c>
      <c r="H4705" s="1">
        <v>-4.5128070000000002E-6</v>
      </c>
      <c r="I4705">
        <v>141.49160000000001</v>
      </c>
      <c r="J4705">
        <v>-204.5309</v>
      </c>
      <c r="K4705">
        <v>1.0997589999999999</v>
      </c>
      <c r="L4705">
        <v>142.8381</v>
      </c>
      <c r="M4705">
        <v>-0.85745919999999898</v>
      </c>
      <c r="N4705">
        <v>-1.0994240000000001E-2</v>
      </c>
      <c r="O4705">
        <v>-0.51443450000000002</v>
      </c>
      <c r="P4705">
        <v>-0.87288980000000005</v>
      </c>
      <c r="Q4705">
        <v>0.36639620000000001</v>
      </c>
      <c r="R4705">
        <v>-0.32220720000000003</v>
      </c>
      <c r="S4705">
        <v>-3.399216</v>
      </c>
      <c r="T4705">
        <v>-0.52723659999999894</v>
      </c>
      <c r="U4705">
        <v>-0.70799259999999997</v>
      </c>
      <c r="V4705">
        <v>0.1825946</v>
      </c>
      <c r="W4705">
        <v>0.3717625</v>
      </c>
      <c r="X4705">
        <v>0.91019329999999998</v>
      </c>
      <c r="Y4705">
        <v>0.32048290000000001</v>
      </c>
      <c r="Z4705">
        <v>9.4847689999999998E-2</v>
      </c>
      <c r="AA4705">
        <v>0.9424939</v>
      </c>
      <c r="AB4705">
        <v>27</v>
      </c>
      <c r="AC4705">
        <v>-6.8522000000000096</v>
      </c>
      <c r="AD4705">
        <v>-1.099763512807</v>
      </c>
      <c r="AE4705">
        <v>-1.34649999999999</v>
      </c>
      <c r="AF4705">
        <v>2.3132106287668299</v>
      </c>
      <c r="AG4705">
        <v>-1.099763512807</v>
      </c>
      <c r="AH4705">
        <v>6.4095951318872997</v>
      </c>
      <c r="AI4705">
        <v>99.168023718171199</v>
      </c>
      <c r="AJ4705">
        <v>70.155583697813697</v>
      </c>
      <c r="AK4705">
        <v>6.9024150086657903</v>
      </c>
      <c r="AL4705">
        <v>68.175643504004796</v>
      </c>
      <c r="AM4705">
        <v>78.656421597123895</v>
      </c>
      <c r="AN4705">
        <v>0.99999999386014904</v>
      </c>
    </row>
    <row r="4706" spans="1:40" x14ac:dyDescent="0.25">
      <c r="A4706" t="str">
        <f>"20190304164942869"</f>
        <v>20190304164942869</v>
      </c>
      <c r="B4706" t="str">
        <f>"1551689382860576"</f>
        <v>1551689382860576</v>
      </c>
      <c r="C4706" t="s">
        <v>40</v>
      </c>
      <c r="D4706">
        <v>4.7948209999999998</v>
      </c>
      <c r="E4706">
        <v>0.58725179999999999</v>
      </c>
      <c r="F4706" t="s">
        <v>42</v>
      </c>
      <c r="G4706">
        <v>-211.8749</v>
      </c>
      <c r="H4706" s="1">
        <v>-4.3065649999999997E-6</v>
      </c>
      <c r="I4706">
        <v>141.4402</v>
      </c>
      <c r="J4706">
        <v>-204.77</v>
      </c>
      <c r="K4706">
        <v>1.099629</v>
      </c>
      <c r="L4706">
        <v>142.7122</v>
      </c>
      <c r="M4706">
        <v>-0.86492880000000005</v>
      </c>
      <c r="N4706">
        <v>-1.1038859999999999E-2</v>
      </c>
      <c r="O4706">
        <v>-0.50177320000000003</v>
      </c>
      <c r="P4706">
        <v>-0.87608159999999902</v>
      </c>
      <c r="Q4706">
        <v>0.3699692</v>
      </c>
      <c r="R4706">
        <v>-0.30919869999999999</v>
      </c>
      <c r="S4706">
        <v>-3.4116059999999999</v>
      </c>
      <c r="T4706">
        <v>-0.51088699999999998</v>
      </c>
      <c r="U4706">
        <v>-0.6493835</v>
      </c>
      <c r="V4706">
        <v>0.1821979</v>
      </c>
      <c r="W4706">
        <v>0.37532009999999899</v>
      </c>
      <c r="X4706">
        <v>0.9088117</v>
      </c>
      <c r="Y4706">
        <v>0.32344070000000003</v>
      </c>
      <c r="Z4706">
        <v>9.0486209999999997E-2</v>
      </c>
      <c r="AA4706">
        <v>0.94191210000000003</v>
      </c>
      <c r="AB4706">
        <v>27</v>
      </c>
      <c r="AC4706">
        <v>-7.1048999999999802</v>
      </c>
      <c r="AD4706">
        <v>-1.0996333065649999</v>
      </c>
      <c r="AE4706">
        <v>-1.27199999999999</v>
      </c>
      <c r="AF4706">
        <v>2.4090936792865301</v>
      </c>
      <c r="AG4706">
        <v>-1.0996333065649999</v>
      </c>
      <c r="AH4706">
        <v>6.6300176076891004</v>
      </c>
      <c r="AI4706">
        <v>98.860235308087397</v>
      </c>
      <c r="AJ4706">
        <v>70.030799893848396</v>
      </c>
      <c r="AK4706">
        <v>7.1393318484822501</v>
      </c>
      <c r="AL4706">
        <v>67.955901167128204</v>
      </c>
      <c r="AM4706">
        <v>78.663666347280994</v>
      </c>
      <c r="AN4706">
        <v>0.99999997914265404</v>
      </c>
    </row>
    <row r="4707" spans="1:40" x14ac:dyDescent="0.25">
      <c r="A4707" t="str">
        <f>"20190304164942882"</f>
        <v>20190304164942882</v>
      </c>
      <c r="B4707" t="str">
        <f>"1551689382870332"</f>
        <v>1551689382870332</v>
      </c>
      <c r="C4707" t="s">
        <v>40</v>
      </c>
      <c r="D4707">
        <v>4.8037169999999998</v>
      </c>
      <c r="E4707">
        <v>0.58724670000000001</v>
      </c>
      <c r="F4707" t="s">
        <v>42</v>
      </c>
      <c r="G4707">
        <v>-212.33699999999999</v>
      </c>
      <c r="H4707" s="1">
        <v>-4.0737389999999997E-6</v>
      </c>
      <c r="I4707">
        <v>141.3861</v>
      </c>
      <c r="J4707">
        <v>-204.91220000000001</v>
      </c>
      <c r="K4707">
        <v>1.0995520000000001</v>
      </c>
      <c r="L4707">
        <v>142.6395</v>
      </c>
      <c r="M4707">
        <v>-0.8692896</v>
      </c>
      <c r="N4707">
        <v>-1.1065739999999999E-2</v>
      </c>
      <c r="O4707">
        <v>-0.49417919999999999</v>
      </c>
      <c r="P4707">
        <v>-0.8778918</v>
      </c>
      <c r="Q4707">
        <v>0.37182749999999998</v>
      </c>
      <c r="R4707">
        <v>-0.3017454</v>
      </c>
      <c r="S4707">
        <v>-3.4226990000000002</v>
      </c>
      <c r="T4707">
        <v>-0.497388</v>
      </c>
      <c r="U4707">
        <v>-0.59980769999999906</v>
      </c>
      <c r="V4707">
        <v>0.1816951</v>
      </c>
      <c r="W4707">
        <v>0.3771757</v>
      </c>
      <c r="X4707">
        <v>0.9081439</v>
      </c>
      <c r="Y4707">
        <v>0.32935300000000001</v>
      </c>
      <c r="Z4707">
        <v>8.7504449999999998E-2</v>
      </c>
      <c r="AA4707">
        <v>0.94014339999999996</v>
      </c>
      <c r="AB4707">
        <v>27</v>
      </c>
      <c r="AC4707">
        <v>-7.4248000000000003</v>
      </c>
      <c r="AD4707">
        <v>-1.099556073739</v>
      </c>
      <c r="AE4707">
        <v>-1.2533999999999901</v>
      </c>
      <c r="AF4707">
        <v>2.5259104903757299</v>
      </c>
      <c r="AG4707">
        <v>-1.099556073739</v>
      </c>
      <c r="AH4707">
        <v>6.9264418218016104</v>
      </c>
      <c r="AI4707">
        <v>98.4825736191152</v>
      </c>
      <c r="AJ4707">
        <v>69.964276211883103</v>
      </c>
      <c r="AK4707">
        <v>7.4541829649860896</v>
      </c>
      <c r="AL4707">
        <v>67.841151180359603</v>
      </c>
      <c r="AM4707">
        <v>78.686044312843094</v>
      </c>
      <c r="AN4707">
        <v>0.99999998057085404</v>
      </c>
    </row>
    <row r="4708" spans="1:40" x14ac:dyDescent="0.25">
      <c r="A4708" t="str">
        <f>"20190304164942901"</f>
        <v>20190304164942901</v>
      </c>
      <c r="B4708" t="str">
        <f>"1551689382890832"</f>
        <v>1551689382890832</v>
      </c>
      <c r="C4708" t="s">
        <v>40</v>
      </c>
      <c r="D4708">
        <v>4.7412169999999998</v>
      </c>
      <c r="E4708">
        <v>0.58727159999999901</v>
      </c>
      <c r="F4708" t="s">
        <v>42</v>
      </c>
      <c r="G4708">
        <v>-212.5977</v>
      </c>
      <c r="H4708" s="1">
        <v>-3.9433330000000003E-6</v>
      </c>
      <c r="I4708">
        <v>141.35919999999999</v>
      </c>
      <c r="J4708">
        <v>-205.12610000000001</v>
      </c>
      <c r="K4708">
        <v>1.0994250000000001</v>
      </c>
      <c r="L4708">
        <v>142.53309999999999</v>
      </c>
      <c r="M4708">
        <v>-0.87573979999999996</v>
      </c>
      <c r="N4708">
        <v>-1.110585E-2</v>
      </c>
      <c r="O4708">
        <v>-0.48265590000000003</v>
      </c>
      <c r="P4708">
        <v>-0.880474599999999</v>
      </c>
      <c r="Q4708">
        <v>0.37492039999999999</v>
      </c>
      <c r="R4708">
        <v>-0.29017140000000002</v>
      </c>
      <c r="S4708">
        <v>-3.4286799999999999</v>
      </c>
      <c r="T4708">
        <v>-0.49053750000000002</v>
      </c>
      <c r="U4708">
        <v>-0.57118230000000003</v>
      </c>
      <c r="V4708">
        <v>0.18122170000000001</v>
      </c>
      <c r="W4708">
        <v>0.38025029999999999</v>
      </c>
      <c r="X4708">
        <v>0.90695550000000003</v>
      </c>
      <c r="Y4708">
        <v>0.32514720000000003</v>
      </c>
      <c r="Z4708">
        <v>8.4593189999999999E-2</v>
      </c>
      <c r="AA4708">
        <v>0.94187220000000005</v>
      </c>
      <c r="AB4708">
        <v>27</v>
      </c>
      <c r="AC4708">
        <v>-7.4715999999999898</v>
      </c>
      <c r="AD4708">
        <v>-1.099428943333</v>
      </c>
      <c r="AE4708">
        <v>-1.1738999999999999</v>
      </c>
      <c r="AF4708">
        <v>2.5249845193576199</v>
      </c>
      <c r="AG4708">
        <v>-1.099428943333</v>
      </c>
      <c r="AH4708">
        <v>6.9630693659336398</v>
      </c>
      <c r="AI4708">
        <v>98.443116216702506</v>
      </c>
      <c r="AJ4708">
        <v>70.068078604778805</v>
      </c>
      <c r="AK4708">
        <v>7.4878986250641404</v>
      </c>
      <c r="AL4708">
        <v>67.650810843498704</v>
      </c>
      <c r="AM4708">
        <v>78.700357927370305</v>
      </c>
      <c r="AN4708">
        <v>0.99999993709061297</v>
      </c>
    </row>
    <row r="4709" spans="1:40" x14ac:dyDescent="0.25">
      <c r="A4709" t="str">
        <f>"20190304164942924"</f>
        <v>20190304164942924</v>
      </c>
      <c r="B4709" t="str">
        <f>"1551689382921084"</f>
        <v>1551689382921084</v>
      </c>
      <c r="C4709" t="s">
        <v>40</v>
      </c>
      <c r="D4709">
        <v>4.1542750000000002</v>
      </c>
      <c r="E4709">
        <v>0.58758030000000006</v>
      </c>
      <c r="F4709" t="s">
        <v>42</v>
      </c>
      <c r="G4709">
        <v>-213.01650000000001</v>
      </c>
      <c r="H4709" s="1">
        <v>-3.735553E-6</v>
      </c>
      <c r="I4709">
        <v>141.32230000000001</v>
      </c>
      <c r="J4709">
        <v>-205.3896</v>
      </c>
      <c r="K4709">
        <v>1.099253</v>
      </c>
      <c r="L4709">
        <v>142.40719999999999</v>
      </c>
      <c r="M4709">
        <v>-0.88350300000000004</v>
      </c>
      <c r="N4709">
        <v>-1.115591E-2</v>
      </c>
      <c r="O4709">
        <v>-0.46829290000000001</v>
      </c>
      <c r="P4709">
        <v>-0.88429619999999998</v>
      </c>
      <c r="Q4709">
        <v>0.37598379999999998</v>
      </c>
      <c r="R4709">
        <v>-0.27686939999999999</v>
      </c>
      <c r="S4709">
        <v>-3.4373779999999998</v>
      </c>
      <c r="T4709">
        <v>-0.47895870000000001</v>
      </c>
      <c r="U4709">
        <v>-0.52749630000000003</v>
      </c>
      <c r="V4709">
        <v>0.18005940000000001</v>
      </c>
      <c r="W4709">
        <v>0.38131609999999999</v>
      </c>
      <c r="X4709">
        <v>0.90673959999999998</v>
      </c>
      <c r="Y4709">
        <v>0.32226539999999998</v>
      </c>
      <c r="Z4709">
        <v>8.0653740000000002E-2</v>
      </c>
      <c r="AA4709">
        <v>0.94320729999999997</v>
      </c>
      <c r="AB4709">
        <v>27</v>
      </c>
      <c r="AC4709">
        <v>-7.6269</v>
      </c>
      <c r="AD4709">
        <v>-1.0992567355530001</v>
      </c>
      <c r="AE4709">
        <v>-1.08489999999997</v>
      </c>
      <c r="AF4709">
        <v>2.56112554890891</v>
      </c>
      <c r="AG4709">
        <v>-1.0992567355530001</v>
      </c>
      <c r="AH4709">
        <v>7.1022794846192099</v>
      </c>
      <c r="AI4709">
        <v>98.283935640301806</v>
      </c>
      <c r="AJ4709">
        <v>70.170385135945494</v>
      </c>
      <c r="AK4709">
        <v>7.6295545954908404</v>
      </c>
      <c r="AL4709">
        <v>67.584771913071606</v>
      </c>
      <c r="AM4709">
        <v>78.768377359921999</v>
      </c>
      <c r="AN4709">
        <v>1.0000000289278601</v>
      </c>
    </row>
    <row r="4710" spans="1:40" x14ac:dyDescent="0.25">
      <c r="A4710" t="str">
        <f>"20190304164942949"</f>
        <v>20190304164942949</v>
      </c>
      <c r="B4710" t="str">
        <f>"1551689382940604"</f>
        <v>1551689382940604</v>
      </c>
      <c r="C4710" t="s">
        <v>40</v>
      </c>
      <c r="D4710">
        <v>4.8016100000000002</v>
      </c>
      <c r="E4710">
        <v>0.58747709999999997</v>
      </c>
      <c r="F4710" t="s">
        <v>42</v>
      </c>
      <c r="G4710">
        <v>-213.4057</v>
      </c>
      <c r="H4710" s="1">
        <v>-3.5470149999999999E-6</v>
      </c>
      <c r="I4710">
        <v>141.30520000000001</v>
      </c>
      <c r="J4710">
        <v>-205.6602</v>
      </c>
      <c r="K4710">
        <v>1.099064</v>
      </c>
      <c r="L4710">
        <v>142.2834</v>
      </c>
      <c r="M4710">
        <v>-0.89126280000000002</v>
      </c>
      <c r="N4710">
        <v>-1.120817E-2</v>
      </c>
      <c r="O4710">
        <v>-0.4533488</v>
      </c>
      <c r="P4710">
        <v>-0.88830259999999905</v>
      </c>
      <c r="Q4710">
        <v>0.37602210000000003</v>
      </c>
      <c r="R4710">
        <v>-0.26367819999999997</v>
      </c>
      <c r="S4710">
        <v>-3.4451139999999998</v>
      </c>
      <c r="T4710">
        <v>-0.4724294</v>
      </c>
      <c r="U4710">
        <v>-0.47360229999999998</v>
      </c>
      <c r="V4710">
        <v>0.1784442</v>
      </c>
      <c r="W4710">
        <v>0.3813742</v>
      </c>
      <c r="X4710">
        <v>0.90703440000000002</v>
      </c>
      <c r="Y4710">
        <v>0.32141340000000002</v>
      </c>
      <c r="Z4710">
        <v>7.7780749999999996E-2</v>
      </c>
      <c r="AA4710">
        <v>0.9437392</v>
      </c>
      <c r="AB4710">
        <v>27</v>
      </c>
      <c r="AC4710">
        <v>-7.7454999999999901</v>
      </c>
      <c r="AD4710">
        <v>-1.099067547015</v>
      </c>
      <c r="AE4710">
        <v>-0.97819999999998597</v>
      </c>
      <c r="AF4710">
        <v>2.5884455789700498</v>
      </c>
      <c r="AG4710">
        <v>-1.099067547015</v>
      </c>
      <c r="AH4710">
        <v>7.2044197864042498</v>
      </c>
      <c r="AI4710">
        <v>98.170090113574005</v>
      </c>
      <c r="AJ4710">
        <v>70.237358711205104</v>
      </c>
      <c r="AK4710">
        <v>7.7338001297502004</v>
      </c>
      <c r="AL4710">
        <v>67.581170412502402</v>
      </c>
      <c r="AM4710">
        <v>78.870129387201601</v>
      </c>
      <c r="AN4710">
        <v>1.00000000786132</v>
      </c>
    </row>
    <row r="4711" spans="1:40" x14ac:dyDescent="0.25">
      <c r="A4711" t="str">
        <f>"20190304164942970"</f>
        <v>20190304164942970</v>
      </c>
      <c r="B4711" t="str">
        <f>"1551689382961107"</f>
        <v>1551689382961107</v>
      </c>
      <c r="C4711" t="s">
        <v>40</v>
      </c>
      <c r="D4711">
        <v>4.8146409999999999</v>
      </c>
      <c r="E4711">
        <v>0.58735909999999902</v>
      </c>
      <c r="F4711" t="s">
        <v>42</v>
      </c>
      <c r="G4711">
        <v>-213.68450000000001</v>
      </c>
      <c r="H4711" s="1">
        <v>-3.4149920000000001E-6</v>
      </c>
      <c r="I4711">
        <v>141.30439999999999</v>
      </c>
      <c r="J4711">
        <v>-205.91229999999999</v>
      </c>
      <c r="K4711">
        <v>1.098884</v>
      </c>
      <c r="L4711">
        <v>142.17310000000001</v>
      </c>
      <c r="M4711">
        <v>-0.89829619999999999</v>
      </c>
      <c r="N4711">
        <v>-1.125726E-2</v>
      </c>
      <c r="O4711">
        <v>-0.43924639999999998</v>
      </c>
      <c r="P4711">
        <v>-0.89182919999999999</v>
      </c>
      <c r="Q4711">
        <v>0.3757026</v>
      </c>
      <c r="R4711">
        <v>-0.2519689</v>
      </c>
      <c r="S4711">
        <v>-3.4523320000000002</v>
      </c>
      <c r="T4711">
        <v>-0.47285579999999999</v>
      </c>
      <c r="U4711">
        <v>-0.4212341</v>
      </c>
      <c r="V4711">
        <v>0.1762821</v>
      </c>
      <c r="W4711">
        <v>0.3810965</v>
      </c>
      <c r="X4711">
        <v>0.90757379999999999</v>
      </c>
      <c r="Y4711">
        <v>0.32095089999999998</v>
      </c>
      <c r="Z4711">
        <v>7.6220120000000002E-2</v>
      </c>
      <c r="AA4711">
        <v>0.94402379999999997</v>
      </c>
      <c r="AB4711">
        <v>27</v>
      </c>
      <c r="AC4711">
        <v>-7.7722000000000202</v>
      </c>
      <c r="AD4711">
        <v>-1.098887414992</v>
      </c>
      <c r="AE4711">
        <v>-0.86870000000001801</v>
      </c>
      <c r="AF4711">
        <v>2.58273507787362</v>
      </c>
      <c r="AG4711">
        <v>-1.098887414992</v>
      </c>
      <c r="AH4711">
        <v>7.2212043233382399</v>
      </c>
      <c r="AI4711">
        <v>98.154191267675003</v>
      </c>
      <c r="AJ4711">
        <v>70.319908018571894</v>
      </c>
      <c r="AK4711">
        <v>7.7475070772930303</v>
      </c>
      <c r="AL4711">
        <v>67.5983825198863</v>
      </c>
      <c r="AM4711">
        <v>79.008052937444006</v>
      </c>
      <c r="AN4711">
        <v>1.0000000617695399</v>
      </c>
    </row>
    <row r="4712" spans="1:40" x14ac:dyDescent="0.25">
      <c r="A4712" t="str">
        <f>"20190304164942993"</f>
        <v>20190304164942993</v>
      </c>
      <c r="B4712" t="str">
        <f>"1551689382980624"</f>
        <v>1551689382980624</v>
      </c>
      <c r="C4712" t="s">
        <v>40</v>
      </c>
      <c r="D4712">
        <v>4.827242</v>
      </c>
      <c r="E4712">
        <v>0.58723149999999902</v>
      </c>
      <c r="F4712" t="s">
        <v>42</v>
      </c>
      <c r="G4712">
        <v>-213.91200000000001</v>
      </c>
      <c r="H4712" s="1">
        <v>-3.3072479999999999E-6</v>
      </c>
      <c r="I4712">
        <v>141.30359999999999</v>
      </c>
      <c r="J4712">
        <v>-206.1671</v>
      </c>
      <c r="K4712">
        <v>1.0987</v>
      </c>
      <c r="L4712">
        <v>142.06649999999999</v>
      </c>
      <c r="M4712">
        <v>-0.90520940000000005</v>
      </c>
      <c r="N4712">
        <v>-1.1304079999999999E-2</v>
      </c>
      <c r="O4712">
        <v>-0.42481540000000001</v>
      </c>
      <c r="P4712">
        <v>-0.89532869999999998</v>
      </c>
      <c r="Q4712">
        <v>0.37541590000000002</v>
      </c>
      <c r="R4712">
        <v>-0.23968619999999999</v>
      </c>
      <c r="S4712">
        <v>-3.4577640000000001</v>
      </c>
      <c r="T4712">
        <v>-0.47498119999999999</v>
      </c>
      <c r="U4712">
        <v>-0.37585449999999998</v>
      </c>
      <c r="V4712">
        <v>0.1744251</v>
      </c>
      <c r="W4712">
        <v>0.3808434</v>
      </c>
      <c r="X4712">
        <v>0.90803869999999998</v>
      </c>
      <c r="Y4712">
        <v>0.31829279999999999</v>
      </c>
      <c r="Z4712">
        <v>7.4736650000000002E-2</v>
      </c>
      <c r="AA4712">
        <v>0.94504189999999999</v>
      </c>
      <c r="AB4712">
        <v>27</v>
      </c>
      <c r="AC4712">
        <v>-7.7449000000000003</v>
      </c>
      <c r="AD4712">
        <v>-1.0987033072479999</v>
      </c>
      <c r="AE4712">
        <v>-0.76290000000000102</v>
      </c>
      <c r="AF4712">
        <v>2.54893118174355</v>
      </c>
      <c r="AG4712">
        <v>-1.0987033072479999</v>
      </c>
      <c r="AH4712">
        <v>7.1919714236500196</v>
      </c>
      <c r="AI4712">
        <v>98.193820998885201</v>
      </c>
      <c r="AJ4712">
        <v>70.484990321322798</v>
      </c>
      <c r="AK4712">
        <v>7.70899812460872</v>
      </c>
      <c r="AL4712">
        <v>67.614066500983697</v>
      </c>
      <c r="AM4712">
        <v>79.126504736688901</v>
      </c>
      <c r="AN4712">
        <v>1.00000004576562</v>
      </c>
    </row>
    <row r="4713" spans="1:40" x14ac:dyDescent="0.25">
      <c r="A4713" t="str">
        <f>"20190304164943005"</f>
        <v>20190304164943005</v>
      </c>
      <c r="B4713" t="str">
        <f>"1551689383000140"</f>
        <v>1551689383000140</v>
      </c>
      <c r="C4713" t="s">
        <v>40</v>
      </c>
      <c r="D4713">
        <v>4.8899699999999999</v>
      </c>
      <c r="E4713">
        <v>0.58705659999999904</v>
      </c>
      <c r="F4713" t="s">
        <v>42</v>
      </c>
      <c r="G4713">
        <v>-214.13929999999999</v>
      </c>
      <c r="H4713" s="1">
        <v>-3.201156E-6</v>
      </c>
      <c r="I4713">
        <v>141.30869999999999</v>
      </c>
      <c r="J4713">
        <v>-206.3193</v>
      </c>
      <c r="K4713">
        <v>1.098598</v>
      </c>
      <c r="L4713">
        <v>142.00559999999999</v>
      </c>
      <c r="M4713">
        <v>-0.90924369999999999</v>
      </c>
      <c r="N4713">
        <v>-1.1328370000000001E-2</v>
      </c>
      <c r="O4713">
        <v>-0.41610999999999998</v>
      </c>
      <c r="P4713">
        <v>-0.89740940000000002</v>
      </c>
      <c r="Q4713">
        <v>0.37480819999999998</v>
      </c>
      <c r="R4713">
        <v>-0.23275570000000001</v>
      </c>
      <c r="S4713">
        <v>-3.4626769999999998</v>
      </c>
      <c r="T4713">
        <v>-0.47721649999999999</v>
      </c>
      <c r="U4713">
        <v>-0.32916260000000003</v>
      </c>
      <c r="V4713">
        <v>0.17290369999999999</v>
      </c>
      <c r="W4713">
        <v>0.3802701</v>
      </c>
      <c r="X4713">
        <v>0.90856970000000004</v>
      </c>
      <c r="Y4713">
        <v>0.32193129999999998</v>
      </c>
      <c r="Z4713">
        <v>7.4365379999999995E-2</v>
      </c>
      <c r="AA4713">
        <v>0.94383790000000001</v>
      </c>
      <c r="AB4713">
        <v>27</v>
      </c>
      <c r="AC4713">
        <v>-7.8199999999999896</v>
      </c>
      <c r="AD4713">
        <v>-1.098601201156</v>
      </c>
      <c r="AE4713">
        <v>-0.69689999999999896</v>
      </c>
      <c r="AF4713">
        <v>2.57017038590861</v>
      </c>
      <c r="AG4713">
        <v>-1.098601201156</v>
      </c>
      <c r="AH4713">
        <v>7.2586180254031198</v>
      </c>
      <c r="AI4713">
        <v>98.119678065512403</v>
      </c>
      <c r="AJ4713">
        <v>70.501690851716205</v>
      </c>
      <c r="AK4713">
        <v>7.7781897669374196</v>
      </c>
      <c r="AL4713">
        <v>67.649584998193504</v>
      </c>
      <c r="AM4713">
        <v>79.2252683436528</v>
      </c>
      <c r="AN4713">
        <v>0.99999996909289401</v>
      </c>
    </row>
    <row r="4714" spans="1:40" x14ac:dyDescent="0.25">
      <c r="A4714" t="str">
        <f>"20190304164943026"</f>
        <v>20190304164943026</v>
      </c>
      <c r="B4714" t="str">
        <f>"1551689383020637"</f>
        <v>1551689383020637</v>
      </c>
      <c r="C4714" t="s">
        <v>40</v>
      </c>
      <c r="D4714">
        <v>4.697076</v>
      </c>
      <c r="E4714">
        <v>0.58692440000000001</v>
      </c>
      <c r="F4714" t="s">
        <v>42</v>
      </c>
      <c r="G4714">
        <v>-214.23769999999999</v>
      </c>
      <c r="H4714" s="1">
        <v>-3.1562380000000002E-6</v>
      </c>
      <c r="I4714">
        <v>141.31469999999999</v>
      </c>
      <c r="J4714">
        <v>-206.5548</v>
      </c>
      <c r="K4714">
        <v>1.098441</v>
      </c>
      <c r="L4714">
        <v>141.91419999999999</v>
      </c>
      <c r="M4714">
        <v>-0.91533140000000002</v>
      </c>
      <c r="N4714">
        <v>-1.136035E-2</v>
      </c>
      <c r="O4714">
        <v>-0.40254109999999999</v>
      </c>
      <c r="P4714">
        <v>-0.90038689999999999</v>
      </c>
      <c r="Q4714">
        <v>0.37365999999999999</v>
      </c>
      <c r="R4714">
        <v>-0.22289439999999999</v>
      </c>
      <c r="S4714">
        <v>-3.4653629999999902</v>
      </c>
      <c r="T4714">
        <v>-0.48078739999999998</v>
      </c>
      <c r="U4714">
        <v>-0.30235289999999998</v>
      </c>
      <c r="V4714">
        <v>0.16963259999999999</v>
      </c>
      <c r="W4714">
        <v>0.37920350000000003</v>
      </c>
      <c r="X4714">
        <v>0.90963150000000004</v>
      </c>
      <c r="Y4714">
        <v>0.31524489999999999</v>
      </c>
      <c r="Z4714">
        <v>7.2870420000000005E-2</v>
      </c>
      <c r="AA4714">
        <v>0.94620850000000001</v>
      </c>
      <c r="AB4714">
        <v>27</v>
      </c>
      <c r="AC4714">
        <v>-7.6828999999999796</v>
      </c>
      <c r="AD4714">
        <v>-1.0984441562379901</v>
      </c>
      <c r="AE4714">
        <v>-0.59950000000000603</v>
      </c>
      <c r="AF4714">
        <v>2.49344558951177</v>
      </c>
      <c r="AG4714">
        <v>-1.0984441562379901</v>
      </c>
      <c r="AH4714">
        <v>7.1293424378503598</v>
      </c>
      <c r="AI4714">
        <v>98.274815648248804</v>
      </c>
      <c r="AJ4714">
        <v>70.723015762671807</v>
      </c>
      <c r="AK4714">
        <v>7.6322587789174996</v>
      </c>
      <c r="AL4714">
        <v>67.715645413040093</v>
      </c>
      <c r="AM4714">
        <v>79.436537012807506</v>
      </c>
      <c r="AN4714">
        <v>0.99999998959363001</v>
      </c>
    </row>
    <row r="4715" spans="1:40" x14ac:dyDescent="0.25">
      <c r="A4715" t="str">
        <f>"20190304164943039"</f>
        <v>20190304164943039</v>
      </c>
      <c r="B4715" t="str">
        <f>"1551689383031373"</f>
        <v>1551689383031373</v>
      </c>
      <c r="C4715" t="s">
        <v>40</v>
      </c>
      <c r="D4715">
        <v>4.7072820000000002</v>
      </c>
      <c r="E4715">
        <v>0.58685010000000004</v>
      </c>
      <c r="F4715" t="s">
        <v>42</v>
      </c>
      <c r="G4715">
        <v>-214.41229999999999</v>
      </c>
      <c r="H4715" s="1">
        <v>-3.0761379999999999E-6</v>
      </c>
      <c r="I4715">
        <v>141.32380000000001</v>
      </c>
      <c r="J4715">
        <v>-206.7116</v>
      </c>
      <c r="K4715">
        <v>1.0983480000000001</v>
      </c>
      <c r="L4715">
        <v>141.85550000000001</v>
      </c>
      <c r="M4715">
        <v>-0.91928030000000005</v>
      </c>
      <c r="N4715">
        <v>-1.13776E-2</v>
      </c>
      <c r="O4715">
        <v>-0.39343919999999999</v>
      </c>
      <c r="P4715">
        <v>-0.90233359999999996</v>
      </c>
      <c r="Q4715">
        <v>0.37295400000000001</v>
      </c>
      <c r="R4715">
        <v>-0.21610080000000001</v>
      </c>
      <c r="S4715">
        <v>-3.4686279999999998</v>
      </c>
      <c r="T4715">
        <v>-0.48489739999999998</v>
      </c>
      <c r="U4715">
        <v>-0.26063540000000002</v>
      </c>
      <c r="V4715">
        <v>0.167628</v>
      </c>
      <c r="W4715">
        <v>0.37854640000000001</v>
      </c>
      <c r="X4715">
        <v>0.91027659999999999</v>
      </c>
      <c r="Y4715">
        <v>0.31716309999999998</v>
      </c>
      <c r="Z4715">
        <v>7.259285E-2</v>
      </c>
      <c r="AA4715">
        <v>0.9455886</v>
      </c>
      <c r="AB4715">
        <v>27</v>
      </c>
      <c r="AC4715">
        <v>-7.7006999999999799</v>
      </c>
      <c r="AD4715">
        <v>-1.098351076138</v>
      </c>
      <c r="AE4715">
        <v>-0.53169999999999995</v>
      </c>
      <c r="AF4715">
        <v>2.49071129417952</v>
      </c>
      <c r="AG4715">
        <v>-1.098351076138</v>
      </c>
      <c r="AH4715">
        <v>7.1441191840118501</v>
      </c>
      <c r="AI4715">
        <v>98.260050383748904</v>
      </c>
      <c r="AJ4715">
        <v>70.779504792428995</v>
      </c>
      <c r="AK4715">
        <v>7.6451590403845202</v>
      </c>
      <c r="AL4715">
        <v>67.756327782538094</v>
      </c>
      <c r="AM4715">
        <v>79.565844429207701</v>
      </c>
      <c r="AN4715">
        <v>1.00000000592226</v>
      </c>
    </row>
    <row r="4716" spans="1:40" x14ac:dyDescent="0.25">
      <c r="A4716" t="str">
        <f>"20190304164943059"</f>
        <v>20190304164943059</v>
      </c>
      <c r="B4716" t="str">
        <f>"1551689383050896"</f>
        <v>1551689383050896</v>
      </c>
      <c r="C4716" t="s">
        <v>40</v>
      </c>
      <c r="D4716">
        <v>4.3689980000000004</v>
      </c>
      <c r="E4716">
        <v>0.58678839999999999</v>
      </c>
      <c r="F4716" t="s">
        <v>42</v>
      </c>
      <c r="G4716">
        <v>-214.52969999999999</v>
      </c>
      <c r="H4716" s="1">
        <v>-3.0224690000000001E-6</v>
      </c>
      <c r="I4716">
        <v>141.33080000000001</v>
      </c>
      <c r="J4716">
        <v>-206.95840000000001</v>
      </c>
      <c r="K4716">
        <v>1.098228</v>
      </c>
      <c r="L4716">
        <v>141.767</v>
      </c>
      <c r="M4716">
        <v>-0.92531439999999998</v>
      </c>
      <c r="N4716">
        <v>-1.139597E-2</v>
      </c>
      <c r="O4716">
        <v>-0.37902979999999997</v>
      </c>
      <c r="P4716">
        <v>-0.90476599999999996</v>
      </c>
      <c r="Q4716">
        <v>0.37253570000000003</v>
      </c>
      <c r="R4716">
        <v>-0.2064357</v>
      </c>
      <c r="S4716">
        <v>-3.4704130000000002</v>
      </c>
      <c r="T4716">
        <v>-0.48755169999999998</v>
      </c>
      <c r="U4716">
        <v>-0.23291020000000001</v>
      </c>
      <c r="V4716">
        <v>0.16328519999999999</v>
      </c>
      <c r="W4716">
        <v>0.37824059999999998</v>
      </c>
      <c r="X4716">
        <v>0.91119260000000002</v>
      </c>
      <c r="Y4716">
        <v>0.3100252</v>
      </c>
      <c r="Z4716">
        <v>7.0766179999999998E-2</v>
      </c>
      <c r="AA4716">
        <v>0.94809100000000002</v>
      </c>
      <c r="AB4716">
        <v>27</v>
      </c>
      <c r="AC4716">
        <v>-7.5712999999999697</v>
      </c>
      <c r="AD4716">
        <v>-1.098231022469</v>
      </c>
      <c r="AE4716">
        <v>-0.43619999999998499</v>
      </c>
      <c r="AF4716">
        <v>2.41562930088091</v>
      </c>
      <c r="AG4716">
        <v>-1.098231022469</v>
      </c>
      <c r="AH4716">
        <v>7.0243275222364403</v>
      </c>
      <c r="AI4716">
        <v>98.410167262978405</v>
      </c>
      <c r="AJ4716">
        <v>71.022175805926807</v>
      </c>
      <c r="AK4716">
        <v>7.5088316959188797</v>
      </c>
      <c r="AL4716">
        <v>67.7752556824707</v>
      </c>
      <c r="AM4716">
        <v>79.8404618971541</v>
      </c>
      <c r="AN4716">
        <v>0.99999998116107902</v>
      </c>
    </row>
    <row r="4717" spans="1:40" x14ac:dyDescent="0.25">
      <c r="A4717" t="str">
        <f>"20190304164943072"</f>
        <v>20190304164943072</v>
      </c>
      <c r="B4717" t="str">
        <f>"1551689383060653"</f>
        <v>1551689383060653</v>
      </c>
      <c r="C4717" t="s">
        <v>40</v>
      </c>
      <c r="D4717">
        <v>4.9915029999999998</v>
      </c>
      <c r="E4717">
        <v>0.58668790000000004</v>
      </c>
      <c r="F4717" t="s">
        <v>42</v>
      </c>
      <c r="G4717">
        <v>-214.76009999999999</v>
      </c>
      <c r="H4717" s="1">
        <v>-2.9138029999999998E-6</v>
      </c>
      <c r="I4717">
        <v>141.33160000000001</v>
      </c>
      <c r="J4717">
        <v>-207.11490000000001</v>
      </c>
      <c r="K4717">
        <v>1.09816</v>
      </c>
      <c r="L4717">
        <v>141.71299999999999</v>
      </c>
      <c r="M4717">
        <v>-0.92902280000000004</v>
      </c>
      <c r="N4717">
        <v>-1.1401639999999999E-2</v>
      </c>
      <c r="O4717">
        <v>-0.36984679999999998</v>
      </c>
      <c r="P4717">
        <v>-0.90635250000000001</v>
      </c>
      <c r="Q4717">
        <v>0.37232419999999999</v>
      </c>
      <c r="R4717">
        <v>-0.1997496</v>
      </c>
      <c r="S4717">
        <v>-3.472855</v>
      </c>
      <c r="T4717">
        <v>-0.48886560000000001</v>
      </c>
      <c r="U4717">
        <v>-0.19377140000000001</v>
      </c>
      <c r="V4717">
        <v>0.1610644</v>
      </c>
      <c r="W4717">
        <v>0.37808170000000002</v>
      </c>
      <c r="X4717">
        <v>0.91165379999999996</v>
      </c>
      <c r="Y4717">
        <v>0.3113341</v>
      </c>
      <c r="Z4717">
        <v>6.9971000000000005E-2</v>
      </c>
      <c r="AA4717">
        <v>0.94772100000000004</v>
      </c>
      <c r="AB4717">
        <v>27</v>
      </c>
      <c r="AC4717">
        <v>-7.6451999999999796</v>
      </c>
      <c r="AD4717">
        <v>-1.098162913803</v>
      </c>
      <c r="AE4717">
        <v>-0.38139999999998497</v>
      </c>
      <c r="AF4717">
        <v>2.4235049249017</v>
      </c>
      <c r="AG4717">
        <v>-1.098162913803</v>
      </c>
      <c r="AH4717">
        <v>7.0980080749711796</v>
      </c>
      <c r="AI4717">
        <v>98.329780406021101</v>
      </c>
      <c r="AJ4717">
        <v>71.148324313060797</v>
      </c>
      <c r="AK4717">
        <v>7.5803071533171504</v>
      </c>
      <c r="AL4717">
        <v>67.785092661246495</v>
      </c>
      <c r="AM4717">
        <v>79.980786412471005</v>
      </c>
      <c r="AN4717">
        <v>1.0000000819383399</v>
      </c>
    </row>
    <row r="4718" spans="1:40" x14ac:dyDescent="0.25">
      <c r="A4718" t="str">
        <f>"20190304164943091"</f>
        <v>20190304164943091</v>
      </c>
      <c r="B4718" t="str">
        <f>"1551689383080172"</f>
        <v>1551689383080172</v>
      </c>
      <c r="C4718" t="s">
        <v>40</v>
      </c>
      <c r="D4718">
        <v>4.4857769999999997</v>
      </c>
      <c r="E4718">
        <v>0.58666689999999999</v>
      </c>
      <c r="F4718" t="s">
        <v>42</v>
      </c>
      <c r="G4718">
        <v>-214.89680000000001</v>
      </c>
      <c r="H4718" s="1">
        <v>-2.8509140000000001E-6</v>
      </c>
      <c r="I4718">
        <v>141.33799999999999</v>
      </c>
      <c r="J4718">
        <v>-207.34049999999999</v>
      </c>
      <c r="K4718">
        <v>1.0980829999999999</v>
      </c>
      <c r="L4718">
        <v>141.63839999999999</v>
      </c>
      <c r="M4718">
        <v>-0.93420579999999998</v>
      </c>
      <c r="N4718">
        <v>-1.14001E-2</v>
      </c>
      <c r="O4718">
        <v>-0.35655229999999999</v>
      </c>
      <c r="P4718">
        <v>-0.90776310000000004</v>
      </c>
      <c r="Q4718">
        <v>0.37275259999999999</v>
      </c>
      <c r="R4718">
        <v>-0.19241150000000001</v>
      </c>
      <c r="S4718">
        <v>-3.4745029999999999</v>
      </c>
      <c r="T4718">
        <v>-0.49031449999999999</v>
      </c>
      <c r="U4718">
        <v>-0.1674042</v>
      </c>
      <c r="V4718">
        <v>0.15542700000000001</v>
      </c>
      <c r="W4718">
        <v>0.37865860000000001</v>
      </c>
      <c r="X4718">
        <v>0.9123926</v>
      </c>
      <c r="Y4718">
        <v>0.30511640000000001</v>
      </c>
      <c r="Z4718">
        <v>6.8116839999999998E-2</v>
      </c>
      <c r="AA4718">
        <v>0.94987580000000005</v>
      </c>
      <c r="AB4718">
        <v>27</v>
      </c>
      <c r="AC4718">
        <v>-7.5563000000000198</v>
      </c>
      <c r="AD4718">
        <v>-1.0980858509139999</v>
      </c>
      <c r="AE4718">
        <v>-0.300399999999996</v>
      </c>
      <c r="AF4718">
        <v>2.3638954621444399</v>
      </c>
      <c r="AG4718">
        <v>-1.0980858509139999</v>
      </c>
      <c r="AH4718">
        <v>7.0187253405838197</v>
      </c>
      <c r="AI4718">
        <v>98.433660533565302</v>
      </c>
      <c r="AJ4718">
        <v>71.386556996340204</v>
      </c>
      <c r="AK4718">
        <v>7.4870755104031099</v>
      </c>
      <c r="AL4718">
        <v>67.749383711046605</v>
      </c>
      <c r="AM4718">
        <v>80.332409376967107</v>
      </c>
      <c r="AN4718">
        <v>1.00000007210885</v>
      </c>
    </row>
    <row r="4719" spans="1:40" x14ac:dyDescent="0.25">
      <c r="A4719" t="str">
        <f>"20190304164943114"</f>
        <v>20190304164943114</v>
      </c>
      <c r="B4719" t="str">
        <f>"1551689383110428"</f>
        <v>1551689383110428</v>
      </c>
      <c r="C4719" t="s">
        <v>40</v>
      </c>
      <c r="D4719">
        <v>4.7309710000000003</v>
      </c>
      <c r="E4719">
        <v>0.58650340000000001</v>
      </c>
      <c r="F4719" t="s">
        <v>42</v>
      </c>
      <c r="G4719">
        <v>-215.17859999999999</v>
      </c>
      <c r="H4719" s="1">
        <v>-2.71602E-6</v>
      </c>
      <c r="I4719">
        <v>141.33179999999999</v>
      </c>
      <c r="J4719">
        <v>-207.61689999999999</v>
      </c>
      <c r="K4719">
        <v>1.0979920000000001</v>
      </c>
      <c r="L4719">
        <v>141.55160000000001</v>
      </c>
      <c r="M4719">
        <v>-0.94028250000000002</v>
      </c>
      <c r="N4719">
        <v>-1.1384770000000001E-2</v>
      </c>
      <c r="O4719">
        <v>-0.34020440000000002</v>
      </c>
      <c r="P4719">
        <v>-0.9096033</v>
      </c>
      <c r="Q4719">
        <v>0.37324069999999998</v>
      </c>
      <c r="R4719">
        <v>-0.18251919999999999</v>
      </c>
      <c r="S4719">
        <v>-3.4759669999999998</v>
      </c>
      <c r="T4719">
        <v>-0.4869714</v>
      </c>
      <c r="U4719">
        <v>-0.1360016</v>
      </c>
      <c r="V4719">
        <v>0.1494354</v>
      </c>
      <c r="W4719">
        <v>0.3792953</v>
      </c>
      <c r="X4719">
        <v>0.91312870000000002</v>
      </c>
      <c r="Y4719">
        <v>0.2973944</v>
      </c>
      <c r="Z4719">
        <v>6.5106689999999995E-2</v>
      </c>
      <c r="AA4719">
        <v>0.95253220000000005</v>
      </c>
      <c r="AB4719">
        <v>28</v>
      </c>
      <c r="AC4719">
        <v>-7.5617000000000001</v>
      </c>
      <c r="AD4719">
        <v>-1.0979947160200001</v>
      </c>
      <c r="AE4719">
        <v>-0.21980000000002001</v>
      </c>
      <c r="AF4719">
        <v>2.3171877509268501</v>
      </c>
      <c r="AG4719">
        <v>-1.0979947160200001</v>
      </c>
      <c r="AH4719">
        <v>7.0371288972390902</v>
      </c>
      <c r="AI4719">
        <v>98.429938957519994</v>
      </c>
      <c r="AJ4719">
        <v>71.774305415461299</v>
      </c>
      <c r="AK4719">
        <v>7.4897352814242204</v>
      </c>
      <c r="AL4719">
        <v>67.709959910997398</v>
      </c>
      <c r="AM4719">
        <v>80.705815080788994</v>
      </c>
      <c r="AN4719">
        <v>0.99999994306946804</v>
      </c>
    </row>
    <row r="4720" spans="1:40" x14ac:dyDescent="0.25">
      <c r="A4720" t="str">
        <f>"20190304164943128"</f>
        <v>20190304164943128</v>
      </c>
      <c r="B4720" t="str">
        <f>"1551689383120188"</f>
        <v>1551689383120188</v>
      </c>
      <c r="C4720" t="s">
        <v>40</v>
      </c>
      <c r="D4720">
        <v>4.3603069999999997</v>
      </c>
      <c r="E4720">
        <v>0.58650340000000001</v>
      </c>
      <c r="F4720" t="s">
        <v>42</v>
      </c>
      <c r="G4720">
        <v>-215.49260000000001</v>
      </c>
      <c r="H4720" s="1">
        <v>-2.56839E-6</v>
      </c>
      <c r="I4720">
        <v>141.3348</v>
      </c>
      <c r="J4720">
        <v>-207.78229999999999</v>
      </c>
      <c r="K4720">
        <v>1.09795</v>
      </c>
      <c r="L4720">
        <v>141.5027</v>
      </c>
      <c r="M4720">
        <v>-0.94376780000000005</v>
      </c>
      <c r="N4720">
        <v>-1.1369499999999999E-2</v>
      </c>
      <c r="O4720">
        <v>-0.33041379999999998</v>
      </c>
      <c r="P4720">
        <v>-0.91068700000000002</v>
      </c>
      <c r="Q4720">
        <v>0.3739056</v>
      </c>
      <c r="R4720">
        <v>-0.17562459999999999</v>
      </c>
      <c r="S4720">
        <v>-3.4778899999999999</v>
      </c>
      <c r="T4720">
        <v>-0.48487069999999999</v>
      </c>
      <c r="U4720">
        <v>-9.5748899999999998E-2</v>
      </c>
      <c r="V4720">
        <v>0.14681179999999999</v>
      </c>
      <c r="W4720">
        <v>0.38001659999999998</v>
      </c>
      <c r="X4720">
        <v>0.91325440000000002</v>
      </c>
      <c r="Y4720">
        <v>0.29863139999999999</v>
      </c>
      <c r="Z4720">
        <v>6.3739240000000003E-2</v>
      </c>
      <c r="AA4720">
        <v>0.95223769999999996</v>
      </c>
      <c r="AB4720">
        <v>28</v>
      </c>
      <c r="AC4720">
        <v>-7.7103000000000099</v>
      </c>
      <c r="AD4720">
        <v>-1.09795256839</v>
      </c>
      <c r="AE4720">
        <v>-0.16790000000000299</v>
      </c>
      <c r="AF4720">
        <v>2.3418202278643099</v>
      </c>
      <c r="AG4720">
        <v>-1.09795256839</v>
      </c>
      <c r="AH4720">
        <v>7.1870135280852399</v>
      </c>
      <c r="AI4720">
        <v>98.264559023543995</v>
      </c>
      <c r="AJ4720">
        <v>71.952291653886704</v>
      </c>
      <c r="AK4720">
        <v>7.6382449080236396</v>
      </c>
      <c r="AL4720">
        <v>67.665288155015901</v>
      </c>
      <c r="AM4720">
        <v>80.867452336391693</v>
      </c>
      <c r="AN4720">
        <v>0.99999996000707903</v>
      </c>
    </row>
    <row r="4721" spans="1:40" x14ac:dyDescent="0.25">
      <c r="A4721" t="str">
        <f>"20190304164943150"</f>
        <v>20190304164943150</v>
      </c>
      <c r="B4721" t="str">
        <f>"1551689383140684"</f>
        <v>1551689383140684</v>
      </c>
      <c r="C4721" t="s">
        <v>40</v>
      </c>
      <c r="D4721">
        <v>4.3032399999999997</v>
      </c>
      <c r="E4721">
        <v>0.6188806</v>
      </c>
      <c r="F4721" t="s">
        <v>42</v>
      </c>
      <c r="G4721">
        <v>-215.7003</v>
      </c>
      <c r="H4721" s="1">
        <v>-2.4726959999999999E-6</v>
      </c>
      <c r="I4721">
        <v>141.3441</v>
      </c>
      <c r="J4721">
        <v>-208.04939999999999</v>
      </c>
      <c r="K4721">
        <v>1.0978939999999999</v>
      </c>
      <c r="L4721">
        <v>141.42679999999999</v>
      </c>
      <c r="M4721">
        <v>-0.94916180000000006</v>
      </c>
      <c r="N4721">
        <v>-1.1340279999999999E-2</v>
      </c>
      <c r="O4721">
        <v>-0.31458399999999997</v>
      </c>
      <c r="P4721">
        <v>-0.91227360000000002</v>
      </c>
      <c r="Q4721">
        <v>0.37494040000000001</v>
      </c>
      <c r="R4721">
        <v>-0.1648529</v>
      </c>
      <c r="S4721">
        <v>-3.4788209999999999</v>
      </c>
      <c r="T4721">
        <v>-0.48239100000000001</v>
      </c>
      <c r="U4721">
        <v>-6.9686890000000001E-2</v>
      </c>
      <c r="V4721">
        <v>0.1422437</v>
      </c>
      <c r="W4721">
        <v>0.38115329999999997</v>
      </c>
      <c r="X4721">
        <v>0.91350359999999997</v>
      </c>
      <c r="Y4721">
        <v>0.290083799999999</v>
      </c>
      <c r="Z4721">
        <v>6.0875070000000003E-2</v>
      </c>
      <c r="AA4721">
        <v>0.9550632</v>
      </c>
      <c r="AB4721">
        <v>28</v>
      </c>
      <c r="AC4721">
        <v>-7.6509</v>
      </c>
      <c r="AD4721">
        <v>-1.0978964726960001</v>
      </c>
      <c r="AE4721">
        <v>-8.2699999999988394E-2</v>
      </c>
      <c r="AF4721">
        <v>2.2815293107599102</v>
      </c>
      <c r="AG4721">
        <v>-1.0978964726960001</v>
      </c>
      <c r="AH4721">
        <v>7.14138940564085</v>
      </c>
      <c r="AI4721">
        <v>98.331459323190103</v>
      </c>
      <c r="AJ4721">
        <v>72.282371697414007</v>
      </c>
      <c r="AK4721">
        <v>7.57695158382408</v>
      </c>
      <c r="AL4721">
        <v>67.594860215622504</v>
      </c>
      <c r="AM4721">
        <v>81.149419886834593</v>
      </c>
      <c r="AN4721">
        <v>0.99999996775176903</v>
      </c>
    </row>
    <row r="4722" spans="1:40" x14ac:dyDescent="0.25">
      <c r="A4722" t="str">
        <f>"20190304164943172"</f>
        <v>20190304164943172</v>
      </c>
      <c r="B4722" t="str">
        <f>"1551689383160204"</f>
        <v>1551689383160204</v>
      </c>
      <c r="C4722" t="s">
        <v>40</v>
      </c>
      <c r="D4722">
        <v>4.8020399999999999</v>
      </c>
      <c r="E4722">
        <v>0.57517929999999995</v>
      </c>
      <c r="F4722" t="s">
        <v>42</v>
      </c>
      <c r="G4722">
        <v>-250.82130000000001</v>
      </c>
      <c r="H4722" s="1">
        <v>-4.9389770000000001E-6</v>
      </c>
      <c r="I4722">
        <v>144.92920000000001</v>
      </c>
      <c r="J4722">
        <v>-208.3212</v>
      </c>
      <c r="K4722">
        <v>1.0978619999999999</v>
      </c>
      <c r="L4722">
        <v>141.3544</v>
      </c>
      <c r="M4722">
        <v>-0.954345</v>
      </c>
      <c r="N4722">
        <v>-1.130599E-2</v>
      </c>
      <c r="O4722">
        <v>-0.2984926</v>
      </c>
      <c r="P4722">
        <v>-0.91378139999999997</v>
      </c>
      <c r="Q4722">
        <v>0.37571080000000001</v>
      </c>
      <c r="R4722">
        <v>-0.15441779999999999</v>
      </c>
      <c r="S4722">
        <v>-3.3740230000000002</v>
      </c>
      <c r="T4722">
        <v>-8.6606859999999994E-2</v>
      </c>
      <c r="U4722">
        <v>0.27629090000000001</v>
      </c>
      <c r="V4722">
        <v>0.13716439999999999</v>
      </c>
      <c r="W4722">
        <v>0.38204539999999998</v>
      </c>
      <c r="X4722">
        <v>0.91390760000000004</v>
      </c>
      <c r="Y4722">
        <v>0.37520409999999998</v>
      </c>
      <c r="Z4722">
        <v>1.111594E-2</v>
      </c>
      <c r="AA4722">
        <v>0.92687560000000002</v>
      </c>
      <c r="AB4722">
        <v>28</v>
      </c>
      <c r="AC4722">
        <v>-42.500100000000003</v>
      </c>
      <c r="AD4722">
        <v>-1.0978669389769999</v>
      </c>
      <c r="AE4722">
        <v>3.57480000000001</v>
      </c>
      <c r="AF4722">
        <v>16.087926482685301</v>
      </c>
      <c r="AG4722">
        <v>-1.0978669389769999</v>
      </c>
      <c r="AH4722">
        <v>39.469077601899698</v>
      </c>
      <c r="AI4722">
        <v>91.475513339926295</v>
      </c>
      <c r="AJ4722">
        <v>67.823779539192202</v>
      </c>
      <c r="AK4722">
        <v>42.636073659200498</v>
      </c>
      <c r="AL4722">
        <v>67.539561243827293</v>
      </c>
      <c r="AM4722">
        <v>81.464436045678497</v>
      </c>
      <c r="AN4722">
        <v>0.99999993081313698</v>
      </c>
    </row>
    <row r="4723" spans="1:40" x14ac:dyDescent="0.25">
      <c r="A4723" t="str">
        <f>"20190304164943191"</f>
        <v>20190304164943191</v>
      </c>
      <c r="B4723" t="str">
        <f>"1551689383180232"</f>
        <v>1551689383180232</v>
      </c>
      <c r="C4723" t="s">
        <v>40</v>
      </c>
      <c r="D4723">
        <v>4.6844289999999997</v>
      </c>
      <c r="E4723">
        <v>0.57353599999999905</v>
      </c>
      <c r="F4723" t="s">
        <v>41</v>
      </c>
      <c r="G4723">
        <v>-209.09979999999999</v>
      </c>
      <c r="H4723">
        <v>0.97718070000000001</v>
      </c>
      <c r="I4723">
        <v>141.3347</v>
      </c>
      <c r="J4723">
        <v>-208.5701</v>
      </c>
      <c r="K4723">
        <v>1.0978600000000001</v>
      </c>
      <c r="L4723">
        <v>141.29239999999999</v>
      </c>
      <c r="M4723">
        <v>-0.95881450000000001</v>
      </c>
      <c r="N4723">
        <v>-1.127117E-2</v>
      </c>
      <c r="O4723">
        <v>-0.2838097</v>
      </c>
      <c r="P4723">
        <v>-0.91490839999999996</v>
      </c>
      <c r="Q4723">
        <v>0.37618679999999999</v>
      </c>
      <c r="R4723">
        <v>-0.1463776</v>
      </c>
      <c r="S4723">
        <v>-3.4902039999999999</v>
      </c>
      <c r="T4723">
        <v>-0.54027760000000002</v>
      </c>
      <c r="U4723">
        <v>-8.8745119999999997E-2</v>
      </c>
      <c r="V4723">
        <v>0.13110359999999999</v>
      </c>
      <c r="W4723">
        <v>0.38268249999999998</v>
      </c>
      <c r="X4723">
        <v>0.91453050000000002</v>
      </c>
      <c r="Y4723">
        <v>0.2533088</v>
      </c>
      <c r="Z4723">
        <v>6.0872490000000001E-2</v>
      </c>
      <c r="AA4723">
        <v>0.9654684</v>
      </c>
      <c r="AB4723">
        <v>28</v>
      </c>
      <c r="AC4723">
        <v>-0.52969999999999096</v>
      </c>
      <c r="AD4723">
        <v>-0.1206793</v>
      </c>
      <c r="AE4723">
        <v>4.2300000000011502E-2</v>
      </c>
      <c r="AF4723">
        <v>0.181540864059832</v>
      </c>
      <c r="AG4723">
        <v>-0.1206793</v>
      </c>
      <c r="AH4723">
        <v>0.47158787314524903</v>
      </c>
      <c r="AI4723">
        <v>103.431559245183</v>
      </c>
      <c r="AJ4723">
        <v>68.945460096145695</v>
      </c>
      <c r="AK4723">
        <v>0.51953411906220404</v>
      </c>
      <c r="AL4723">
        <v>67.500058832659207</v>
      </c>
      <c r="AM4723">
        <v>81.841878674944098</v>
      </c>
      <c r="AN4723">
        <v>1.00000004258472</v>
      </c>
    </row>
    <row r="4724" spans="1:40" x14ac:dyDescent="0.25">
      <c r="A4724" t="str">
        <f>"20190304164943217"</f>
        <v>20190304164943217</v>
      </c>
      <c r="B4724" t="str">
        <f>"1551689383210488"</f>
        <v>1551689383210488</v>
      </c>
      <c r="C4724" t="s">
        <v>40</v>
      </c>
      <c r="D4724">
        <v>4.6738679999999997</v>
      </c>
      <c r="E4724">
        <v>0.56226180000000003</v>
      </c>
      <c r="F4724" t="s">
        <v>41</v>
      </c>
      <c r="G4724">
        <v>-209.34700000000001</v>
      </c>
      <c r="H4724">
        <v>0.9820451</v>
      </c>
      <c r="I4724">
        <v>141.2783</v>
      </c>
      <c r="J4724">
        <v>-208.8717</v>
      </c>
      <c r="K4724">
        <v>1.097864</v>
      </c>
      <c r="L4724">
        <v>141.22239999999999</v>
      </c>
      <c r="M4724">
        <v>-0.96387370000000006</v>
      </c>
      <c r="N4724">
        <v>-1.121979E-2</v>
      </c>
      <c r="O4724">
        <v>-0.26612350000000001</v>
      </c>
      <c r="P4724">
        <v>-0.91633799999999999</v>
      </c>
      <c r="Q4724">
        <v>0.37717669999999998</v>
      </c>
      <c r="R4724">
        <v>-0.1343975</v>
      </c>
      <c r="S4724">
        <v>-3.482208</v>
      </c>
      <c r="T4724">
        <v>-0.51890159999999996</v>
      </c>
      <c r="U4724">
        <v>-6.3522339999999997E-2</v>
      </c>
      <c r="V4724">
        <v>0.12611539999999999</v>
      </c>
      <c r="W4724">
        <v>0.38378849999999998</v>
      </c>
      <c r="X4724">
        <v>0.91476849999999998</v>
      </c>
      <c r="Y4724">
        <v>0.24317920000000001</v>
      </c>
      <c r="Z4724">
        <v>5.5438090000000002E-2</v>
      </c>
      <c r="AA4724">
        <v>0.96839580000000003</v>
      </c>
      <c r="AB4724">
        <v>28</v>
      </c>
      <c r="AC4724">
        <v>-0.475300000000004</v>
      </c>
      <c r="AD4724">
        <v>-0.1158189</v>
      </c>
      <c r="AE4724">
        <v>5.59000000000082E-2</v>
      </c>
      <c r="AF4724">
        <v>0.170400443309872</v>
      </c>
      <c r="AG4724">
        <v>-0.1158189</v>
      </c>
      <c r="AH4724">
        <v>0.41875526485909198</v>
      </c>
      <c r="AI4724">
        <v>104.369077443522</v>
      </c>
      <c r="AJ4724">
        <v>67.857544567968503</v>
      </c>
      <c r="AK4724">
        <v>0.46669722575200701</v>
      </c>
      <c r="AL4724">
        <v>67.431451940268403</v>
      </c>
      <c r="AM4724">
        <v>82.1503479140043</v>
      </c>
      <c r="AN4724">
        <v>1.0000000577208199</v>
      </c>
    </row>
    <row r="4725" spans="1:40" x14ac:dyDescent="0.25">
      <c r="A4725" t="str">
        <f>"20190304164943238"</f>
        <v>20190304164943238</v>
      </c>
      <c r="B4725" t="str">
        <f>"1551689383230984"</f>
        <v>1551689383230984</v>
      </c>
      <c r="C4725" t="s">
        <v>40</v>
      </c>
      <c r="D4725">
        <v>4.6992909999999997</v>
      </c>
      <c r="E4725">
        <v>0.56112340000000005</v>
      </c>
      <c r="F4725" t="s">
        <v>41</v>
      </c>
      <c r="G4725">
        <v>-209.84780000000001</v>
      </c>
      <c r="H4725">
        <v>0.97792590000000001</v>
      </c>
      <c r="I4725">
        <v>141.19560000000001</v>
      </c>
      <c r="J4725">
        <v>-209.14949999999999</v>
      </c>
      <c r="K4725">
        <v>1.097899</v>
      </c>
      <c r="L4725">
        <v>141.16309999999999</v>
      </c>
      <c r="M4725">
        <v>-0.9681845</v>
      </c>
      <c r="N4725">
        <v>-1.1157739999999999E-2</v>
      </c>
      <c r="O4725">
        <v>-0.24998809999999999</v>
      </c>
      <c r="P4725">
        <v>-0.91747140000000005</v>
      </c>
      <c r="Q4725">
        <v>0.37846540000000001</v>
      </c>
      <c r="R4725">
        <v>-0.1225155</v>
      </c>
      <c r="S4725">
        <v>-3.433716</v>
      </c>
      <c r="T4725">
        <v>-0.42179610000000001</v>
      </c>
      <c r="U4725">
        <v>-9.4070429999999997E-2</v>
      </c>
      <c r="V4725">
        <v>0.1225252</v>
      </c>
      <c r="W4725">
        <v>0.38514470000000001</v>
      </c>
      <c r="X4725">
        <v>0.91468640000000001</v>
      </c>
      <c r="Y4725">
        <v>0.2200763</v>
      </c>
      <c r="Z4725">
        <v>4.2206849999999997E-2</v>
      </c>
      <c r="AA4725">
        <v>0.97456909999999997</v>
      </c>
      <c r="AB4725">
        <v>28</v>
      </c>
      <c r="AC4725">
        <v>-0.69830000000001702</v>
      </c>
      <c r="AD4725">
        <v>-0.119973099999999</v>
      </c>
      <c r="AE4725">
        <v>3.2500000000027202E-2</v>
      </c>
      <c r="AF4725">
        <v>0.20015031331385999</v>
      </c>
      <c r="AG4725">
        <v>-0.119973099999999</v>
      </c>
      <c r="AH4725">
        <v>0.64888795063650895</v>
      </c>
      <c r="AI4725">
        <v>100.019423885096</v>
      </c>
      <c r="AJ4725">
        <v>72.857554998167302</v>
      </c>
      <c r="AK4725">
        <v>0.68957179838251403</v>
      </c>
      <c r="AL4725">
        <v>67.347277187611695</v>
      </c>
      <c r="AM4725">
        <v>82.370462258601194</v>
      </c>
      <c r="AN4725">
        <v>1.0000000374590401</v>
      </c>
    </row>
    <row r="4726" spans="1:40" x14ac:dyDescent="0.25">
      <c r="A4726" t="str">
        <f>"20190304164943261"</f>
        <v>20190304164943261</v>
      </c>
      <c r="B4726" t="str">
        <f>"1551689383250504"</f>
        <v>1551689383250504</v>
      </c>
      <c r="C4726" t="s">
        <v>40</v>
      </c>
      <c r="D4726">
        <v>4.6980829999999996</v>
      </c>
      <c r="E4726">
        <v>0.56143209999999999</v>
      </c>
      <c r="F4726" t="s">
        <v>41</v>
      </c>
      <c r="G4726">
        <v>-210.09559999999999</v>
      </c>
      <c r="H4726">
        <v>0.98061739999999997</v>
      </c>
      <c r="I4726">
        <v>141.14519999999999</v>
      </c>
      <c r="J4726">
        <v>-209.43520000000001</v>
      </c>
      <c r="K4726">
        <v>1.0979620000000001</v>
      </c>
      <c r="L4726">
        <v>141.1069</v>
      </c>
      <c r="M4726">
        <v>-0.97228300000000001</v>
      </c>
      <c r="N4726">
        <v>-1.108752E-2</v>
      </c>
      <c r="O4726">
        <v>-0.23354440000000001</v>
      </c>
      <c r="P4726">
        <v>-0.91849320000000001</v>
      </c>
      <c r="Q4726">
        <v>0.37962479999999998</v>
      </c>
      <c r="R4726">
        <v>-0.1107042</v>
      </c>
      <c r="S4726">
        <v>-3.4367519999999998</v>
      </c>
      <c r="T4726">
        <v>-0.42565720000000001</v>
      </c>
      <c r="U4726">
        <v>-6.5078739999999996E-2</v>
      </c>
      <c r="V4726">
        <v>0.1186282</v>
      </c>
      <c r="W4726">
        <v>0.38637690000000002</v>
      </c>
      <c r="X4726">
        <v>0.91468039999999995</v>
      </c>
      <c r="Y4726">
        <v>0.21189540000000001</v>
      </c>
      <c r="Z4726">
        <v>4.0245099999999999E-2</v>
      </c>
      <c r="AA4726">
        <v>0.97646330000000003</v>
      </c>
      <c r="AB4726">
        <v>28</v>
      </c>
      <c r="AC4726">
        <v>-0.660399999999981</v>
      </c>
      <c r="AD4726">
        <v>-0.11734459999999999</v>
      </c>
      <c r="AE4726">
        <v>3.8299999999992403E-2</v>
      </c>
      <c r="AF4726">
        <v>0.18564136007448501</v>
      </c>
      <c r="AG4726">
        <v>-0.11734459999999999</v>
      </c>
      <c r="AH4726">
        <v>0.61387313748141403</v>
      </c>
      <c r="AI4726">
        <v>100.368769999538</v>
      </c>
      <c r="AJ4726">
        <v>73.174159769953604</v>
      </c>
      <c r="AK4726">
        <v>0.65197599544825202</v>
      </c>
      <c r="AL4726">
        <v>67.270753382477693</v>
      </c>
      <c r="AM4726">
        <v>82.610351843816105</v>
      </c>
      <c r="AN4726">
        <v>0.99999999641650394</v>
      </c>
    </row>
    <row r="4727" spans="1:40" x14ac:dyDescent="0.25">
      <c r="A4727" t="str">
        <f>"20190304164943281"</f>
        <v>20190304164943281</v>
      </c>
      <c r="B4727" t="str">
        <f>"1551689383271004"</f>
        <v>1551689383271004</v>
      </c>
      <c r="C4727" t="s">
        <v>40</v>
      </c>
      <c r="D4727">
        <v>4.7095710000000004</v>
      </c>
      <c r="E4727">
        <v>0.56079939999999995</v>
      </c>
      <c r="F4727" t="s">
        <v>41</v>
      </c>
      <c r="G4727">
        <v>-210.34800000000001</v>
      </c>
      <c r="H4727">
        <v>0.98529359999999999</v>
      </c>
      <c r="I4727">
        <v>141.101</v>
      </c>
      <c r="J4727">
        <v>-209.70060000000001</v>
      </c>
      <c r="K4727">
        <v>1.0980449999999999</v>
      </c>
      <c r="L4727">
        <v>141.05879999999999</v>
      </c>
      <c r="M4727">
        <v>-0.97578679999999995</v>
      </c>
      <c r="N4727">
        <v>-1.1020189999999999E-2</v>
      </c>
      <c r="O4727">
        <v>-0.21844620000000001</v>
      </c>
      <c r="P4727">
        <v>-0.91902410000000001</v>
      </c>
      <c r="Q4727">
        <v>0.38048510000000002</v>
      </c>
      <c r="R4727">
        <v>-0.10308290000000001</v>
      </c>
      <c r="S4727">
        <v>-3.4388890000000001</v>
      </c>
      <c r="T4727">
        <v>-0.42423139999999998</v>
      </c>
      <c r="U4727">
        <v>-2.2216799999999998E-2</v>
      </c>
      <c r="V4727">
        <v>0.1118731</v>
      </c>
      <c r="W4727">
        <v>0.38740540000000001</v>
      </c>
      <c r="X4727">
        <v>0.91509649999999998</v>
      </c>
      <c r="Y4727">
        <v>0.20907319999999999</v>
      </c>
      <c r="Z4727">
        <v>3.8266420000000002E-2</v>
      </c>
      <c r="AA4727">
        <v>0.97715099999999999</v>
      </c>
      <c r="AB4727">
        <v>28</v>
      </c>
      <c r="AC4727">
        <v>-0.64739999999997599</v>
      </c>
      <c r="AD4727">
        <v>-0.1127514</v>
      </c>
      <c r="AE4727">
        <v>4.2200000000008203E-2</v>
      </c>
      <c r="AF4727">
        <v>0.17725755894752099</v>
      </c>
      <c r="AG4727">
        <v>-0.1127514</v>
      </c>
      <c r="AH4727">
        <v>0.60429200059836696</v>
      </c>
      <c r="AI4727">
        <v>100.150721551277</v>
      </c>
      <c r="AJ4727">
        <v>73.651953111935399</v>
      </c>
      <c r="AK4727">
        <v>0.639767100117825</v>
      </c>
      <c r="AL4727">
        <v>67.206849823708794</v>
      </c>
      <c r="AM4727">
        <v>83.030017653266498</v>
      </c>
      <c r="AN4727">
        <v>1.0000000693825</v>
      </c>
    </row>
    <row r="4728" spans="1:40" x14ac:dyDescent="0.25">
      <c r="A4728" t="str">
        <f>"20190304164943305"</f>
        <v>20190304164943305</v>
      </c>
      <c r="B4728" t="str">
        <f>"1551689383300280"</f>
        <v>1551689383300280</v>
      </c>
      <c r="C4728" t="s">
        <v>40</v>
      </c>
      <c r="D4728">
        <v>4.7062439999999999</v>
      </c>
      <c r="E4728">
        <v>0.5531684</v>
      </c>
      <c r="F4728" t="s">
        <v>41</v>
      </c>
      <c r="G4728">
        <v>-210.60040000000001</v>
      </c>
      <c r="H4728">
        <v>0.9873035</v>
      </c>
      <c r="I4728">
        <v>141.0608</v>
      </c>
      <c r="J4728">
        <v>-209.9907</v>
      </c>
      <c r="K4728">
        <v>1.098169</v>
      </c>
      <c r="L4728">
        <v>141.01079999999999</v>
      </c>
      <c r="M4728">
        <v>-0.97928419999999905</v>
      </c>
      <c r="N4728">
        <v>-1.094024E-2</v>
      </c>
      <c r="O4728">
        <v>-0.20219580000000001</v>
      </c>
      <c r="P4728">
        <v>-0.91935860000000003</v>
      </c>
      <c r="Q4728">
        <v>0.38161309999999998</v>
      </c>
      <c r="R4728">
        <v>-9.5663289999999998E-2</v>
      </c>
      <c r="S4728">
        <v>-3.4401250000000001</v>
      </c>
      <c r="T4728">
        <v>-0.42259560000000002</v>
      </c>
      <c r="U4728">
        <v>7.125854E-3</v>
      </c>
      <c r="V4728">
        <v>0.1038294</v>
      </c>
      <c r="W4728">
        <v>0.38873429999999998</v>
      </c>
      <c r="X4728">
        <v>0.91548079999999998</v>
      </c>
      <c r="Y4728">
        <v>0.20134260000000001</v>
      </c>
      <c r="Z4728">
        <v>3.5827350000000001E-2</v>
      </c>
      <c r="AA4728">
        <v>0.9788654</v>
      </c>
      <c r="AB4728">
        <v>28</v>
      </c>
      <c r="AC4728">
        <v>-0.60970000000000302</v>
      </c>
      <c r="AD4728">
        <v>-0.11086549999999901</v>
      </c>
      <c r="AE4728">
        <v>5.0000000000011299E-2</v>
      </c>
      <c r="AF4728">
        <v>0.16677576506542499</v>
      </c>
      <c r="AG4728">
        <v>-0.11086549999999901</v>
      </c>
      <c r="AH4728">
        <v>0.56832889348216098</v>
      </c>
      <c r="AI4728">
        <v>100.601938152635</v>
      </c>
      <c r="AJ4728">
        <v>73.645706104268797</v>
      </c>
      <c r="AK4728">
        <v>0.60258032333462896</v>
      </c>
      <c r="AL4728">
        <v>67.12423319394</v>
      </c>
      <c r="AM4728">
        <v>83.529439163089805</v>
      </c>
      <c r="AN4728">
        <v>0.99999999773474402</v>
      </c>
    </row>
    <row r="4729" spans="1:40" x14ac:dyDescent="0.25">
      <c r="A4729" t="str">
        <f>"20190304164943327"</f>
        <v>20190304164943327</v>
      </c>
      <c r="B4729" t="str">
        <f>"1551689383320776"</f>
        <v>1551689383320776</v>
      </c>
      <c r="C4729" t="s">
        <v>40</v>
      </c>
      <c r="D4729">
        <v>4.7069530000000004</v>
      </c>
      <c r="E4729">
        <v>0.55288369999999998</v>
      </c>
      <c r="F4729" t="s">
        <v>41</v>
      </c>
      <c r="G4729">
        <v>-210.8467</v>
      </c>
      <c r="H4729">
        <v>0.98254730000000001</v>
      </c>
      <c r="I4729">
        <v>141.006</v>
      </c>
      <c r="J4729">
        <v>-210.2799</v>
      </c>
      <c r="K4729">
        <v>1.098322</v>
      </c>
      <c r="L4729">
        <v>140.9675</v>
      </c>
      <c r="M4729">
        <v>-0.98243190000000002</v>
      </c>
      <c r="N4729">
        <v>-1.0848500000000001E-2</v>
      </c>
      <c r="O4729">
        <v>-0.186306</v>
      </c>
      <c r="P4729">
        <v>-0.91943529999999996</v>
      </c>
      <c r="Q4729">
        <v>0.38344729999999999</v>
      </c>
      <c r="R4729">
        <v>-8.7219660000000004E-2</v>
      </c>
      <c r="S4729">
        <v>-3.454758</v>
      </c>
      <c r="T4729">
        <v>-0.46653060000000002</v>
      </c>
      <c r="U4729">
        <v>-1.979065E-2</v>
      </c>
      <c r="V4729">
        <v>9.7128699999999998E-2</v>
      </c>
      <c r="W4729">
        <v>0.3907175</v>
      </c>
      <c r="X4729">
        <v>0.91537199999999996</v>
      </c>
      <c r="Y4729">
        <v>0.17753060000000001</v>
      </c>
      <c r="Z4729">
        <v>3.580883E-2</v>
      </c>
      <c r="AA4729">
        <v>0.98346359999999999</v>
      </c>
      <c r="AB4729">
        <v>28</v>
      </c>
      <c r="AC4729">
        <v>-0.56679999999999997</v>
      </c>
      <c r="AD4729">
        <v>-0.11577469999999999</v>
      </c>
      <c r="AE4729">
        <v>3.8499999999999E-2</v>
      </c>
      <c r="AF4729">
        <v>0.13771107802743901</v>
      </c>
      <c r="AG4729">
        <v>-0.11577469999999999</v>
      </c>
      <c r="AH4729">
        <v>0.52778280238773001</v>
      </c>
      <c r="AI4729">
        <v>101.983423771914</v>
      </c>
      <c r="AJ4729">
        <v>75.376218282354799</v>
      </c>
      <c r="AK4729">
        <v>0.55760452712277697</v>
      </c>
      <c r="AL4729">
        <v>67.000848865422995</v>
      </c>
      <c r="AM4729">
        <v>83.943097610022306</v>
      </c>
      <c r="AN4729">
        <v>1.00000002377696</v>
      </c>
    </row>
    <row r="4730" spans="1:40" x14ac:dyDescent="0.25">
      <c r="A4730" t="str">
        <f>"20190304164943341"</f>
        <v>20190304164943341</v>
      </c>
      <c r="B4730" t="str">
        <f>"1551689383330537"</f>
        <v>1551689383330537</v>
      </c>
      <c r="C4730" t="s">
        <v>40</v>
      </c>
      <c r="D4730">
        <v>4.7648769999999896</v>
      </c>
      <c r="E4730">
        <v>0.55181020000000003</v>
      </c>
      <c r="F4730" t="s">
        <v>41</v>
      </c>
      <c r="G4730">
        <v>-211.1028</v>
      </c>
      <c r="H4730">
        <v>0.98803529999999995</v>
      </c>
      <c r="I4730">
        <v>140.9699</v>
      </c>
      <c r="J4730">
        <v>-210.453</v>
      </c>
      <c r="K4730">
        <v>1.098436</v>
      </c>
      <c r="L4730">
        <v>140.94370000000001</v>
      </c>
      <c r="M4730">
        <v>-0.98415759999999997</v>
      </c>
      <c r="N4730">
        <v>-1.0788789999999999E-2</v>
      </c>
      <c r="O4730">
        <v>-0.17696799999999999</v>
      </c>
      <c r="P4730">
        <v>-0.91951110000000003</v>
      </c>
      <c r="Q4730">
        <v>0.3845674</v>
      </c>
      <c r="R4730">
        <v>-8.1285999999999997E-2</v>
      </c>
      <c r="S4730">
        <v>-3.4568180000000002</v>
      </c>
      <c r="T4730">
        <v>-0.46288279999999898</v>
      </c>
      <c r="U4730">
        <v>9.5062259999999996E-3</v>
      </c>
      <c r="V4730">
        <v>9.4165509999999994E-2</v>
      </c>
      <c r="W4730">
        <v>0.39189180000000001</v>
      </c>
      <c r="X4730">
        <v>0.91517959999999998</v>
      </c>
      <c r="Y4730">
        <v>0.17665739999999999</v>
      </c>
      <c r="Z4730">
        <v>3.4322220000000001E-2</v>
      </c>
      <c r="AA4730">
        <v>0.98367380000000004</v>
      </c>
      <c r="AB4730">
        <v>28</v>
      </c>
      <c r="AC4730">
        <v>-0.64979999999999905</v>
      </c>
      <c r="AD4730">
        <v>-0.11040069999999901</v>
      </c>
      <c r="AE4730">
        <v>2.61999999999886E-2</v>
      </c>
      <c r="AF4730">
        <v>0.13684322783261099</v>
      </c>
      <c r="AG4730">
        <v>-0.11040069999999901</v>
      </c>
      <c r="AH4730">
        <v>0.61712111069315301</v>
      </c>
      <c r="AI4730">
        <v>99.907005185275693</v>
      </c>
      <c r="AJ4730">
        <v>77.497276936551103</v>
      </c>
      <c r="AK4730">
        <v>0.64167970891036397</v>
      </c>
      <c r="AL4730">
        <v>66.927736279139793</v>
      </c>
      <c r="AM4730">
        <v>84.125342772153999</v>
      </c>
      <c r="AN4730">
        <v>1.0000000132184701</v>
      </c>
    </row>
    <row r="4731" spans="1:40" x14ac:dyDescent="0.25">
      <c r="A4731" t="str">
        <f>"20190304164943363"</f>
        <v>20190304164943363</v>
      </c>
      <c r="B4731" t="str">
        <f>"1551689383360792"</f>
        <v>1551689383360792</v>
      </c>
      <c r="C4731" t="s">
        <v>40</v>
      </c>
      <c r="D4731">
        <v>4.7694299999999998</v>
      </c>
      <c r="E4731">
        <v>0.55050509999999997</v>
      </c>
      <c r="F4731" t="s">
        <v>41</v>
      </c>
      <c r="G4731">
        <v>-211.3544</v>
      </c>
      <c r="H4731">
        <v>0.97739819999999999</v>
      </c>
      <c r="I4731">
        <v>140.94890000000001</v>
      </c>
      <c r="J4731">
        <v>-210.73650000000001</v>
      </c>
      <c r="K4731">
        <v>1.098668</v>
      </c>
      <c r="L4731">
        <v>140.90799999999999</v>
      </c>
      <c r="M4731">
        <v>-0.98673049999999995</v>
      </c>
      <c r="N4731">
        <v>-1.068502E-2</v>
      </c>
      <c r="O4731">
        <v>-0.162014299999999</v>
      </c>
      <c r="P4731">
        <v>-0.91915100000000005</v>
      </c>
      <c r="Q4731">
        <v>0.3868878</v>
      </c>
      <c r="R4731">
        <v>-7.4022679999999993E-2</v>
      </c>
      <c r="S4731">
        <v>-3.4585110000000001</v>
      </c>
      <c r="T4731">
        <v>-0.46417009999999997</v>
      </c>
      <c r="U4731">
        <v>1.9989010000000001E-2</v>
      </c>
      <c r="V4731">
        <v>8.7160539999999995E-2</v>
      </c>
      <c r="W4731">
        <v>0.39436019999999999</v>
      </c>
      <c r="X4731">
        <v>0.91481319999999999</v>
      </c>
      <c r="Y4731">
        <v>0.1649061</v>
      </c>
      <c r="Z4731">
        <v>3.1749409999999999E-2</v>
      </c>
      <c r="AA4731">
        <v>0.98579810000000001</v>
      </c>
      <c r="AB4731">
        <v>28</v>
      </c>
      <c r="AC4731">
        <v>-0.61789999999999101</v>
      </c>
      <c r="AD4731">
        <v>-0.121269799999999</v>
      </c>
      <c r="AE4731">
        <v>4.0900000000021898E-2</v>
      </c>
      <c r="AF4731">
        <v>0.13528567642266801</v>
      </c>
      <c r="AG4731">
        <v>-0.121269799999999</v>
      </c>
      <c r="AH4731">
        <v>0.58083363389723597</v>
      </c>
      <c r="AI4731">
        <v>101.493982871014</v>
      </c>
      <c r="AJ4731">
        <v>76.888635101788594</v>
      </c>
      <c r="AK4731">
        <v>0.60858548200186902</v>
      </c>
      <c r="AL4731">
        <v>66.773924100623205</v>
      </c>
      <c r="AM4731">
        <v>84.557466212943197</v>
      </c>
      <c r="AN4731">
        <v>1.0000000589856799</v>
      </c>
    </row>
    <row r="4732" spans="1:40" x14ac:dyDescent="0.25">
      <c r="A4732" t="str">
        <f>"20190304164943383"</f>
        <v>20190304164943383</v>
      </c>
      <c r="B4732" t="str">
        <f>"1551689383380312"</f>
        <v>1551689383380312</v>
      </c>
      <c r="C4732" t="s">
        <v>40</v>
      </c>
      <c r="D4732">
        <v>4.7938219999999996</v>
      </c>
      <c r="E4732">
        <v>0.549759</v>
      </c>
      <c r="F4732" t="s">
        <v>41</v>
      </c>
      <c r="G4732">
        <v>-211.61160000000001</v>
      </c>
      <c r="H4732">
        <v>0.98231080000000004</v>
      </c>
      <c r="I4732">
        <v>140.91679999999999</v>
      </c>
      <c r="J4732">
        <v>-210.9924</v>
      </c>
      <c r="K4732">
        <v>1.098916</v>
      </c>
      <c r="L4732">
        <v>140.87909999999999</v>
      </c>
      <c r="M4732">
        <v>-0.98879799999999995</v>
      </c>
      <c r="N4732">
        <v>-1.0587869999999999E-2</v>
      </c>
      <c r="O4732">
        <v>-0.14888470000000001</v>
      </c>
      <c r="P4732">
        <v>-0.91841669999999997</v>
      </c>
      <c r="Q4732">
        <v>0.38919920000000002</v>
      </c>
      <c r="R4732">
        <v>-7.0959960000000002E-2</v>
      </c>
      <c r="S4732">
        <v>-3.4601899999999999</v>
      </c>
      <c r="T4732">
        <v>-0.45979059999999999</v>
      </c>
      <c r="U4732">
        <v>3.4500120000000002E-2</v>
      </c>
      <c r="V4732">
        <v>7.7689850000000005E-2</v>
      </c>
      <c r="W4732">
        <v>0.39689010000000002</v>
      </c>
      <c r="X4732">
        <v>0.91457239999999995</v>
      </c>
      <c r="Y4732">
        <v>0.15616050000000001</v>
      </c>
      <c r="Z4732">
        <v>2.9231139999999999E-2</v>
      </c>
      <c r="AA4732">
        <v>0.98729909999999999</v>
      </c>
      <c r="AB4732">
        <v>28</v>
      </c>
      <c r="AC4732">
        <v>-0.61920000000000597</v>
      </c>
      <c r="AD4732">
        <v>-0.11660519999999901</v>
      </c>
      <c r="AE4732">
        <v>3.7700000000000899E-2</v>
      </c>
      <c r="AF4732">
        <v>0.12505587107445501</v>
      </c>
      <c r="AG4732">
        <v>-0.11660519999999901</v>
      </c>
      <c r="AH4732">
        <v>0.58598088355331002</v>
      </c>
      <c r="AI4732">
        <v>101.01262967359099</v>
      </c>
      <c r="AJ4732">
        <v>77.953065346820793</v>
      </c>
      <c r="AK4732">
        <v>0.61041734857976404</v>
      </c>
      <c r="AL4732">
        <v>66.616094715407101</v>
      </c>
      <c r="AM4732">
        <v>85.144572617179904</v>
      </c>
      <c r="AN4732">
        <v>1.00000006955639</v>
      </c>
    </row>
    <row r="4733" spans="1:40" x14ac:dyDescent="0.25">
      <c r="A4733" t="str">
        <f>"20190304164943405"</f>
        <v>20190304164943405</v>
      </c>
      <c r="B4733" t="str">
        <f>"1551689383400809"</f>
        <v>1551689383400809</v>
      </c>
      <c r="C4733" t="s">
        <v>40</v>
      </c>
      <c r="D4733">
        <v>4.8341729999999998</v>
      </c>
      <c r="E4733">
        <v>0.54939459999999996</v>
      </c>
      <c r="F4733" t="s">
        <v>41</v>
      </c>
      <c r="G4733">
        <v>-211.86879999999999</v>
      </c>
      <c r="H4733">
        <v>0.98387500000000006</v>
      </c>
      <c r="I4733">
        <v>140.89070000000001</v>
      </c>
      <c r="J4733">
        <v>-211.28</v>
      </c>
      <c r="K4733">
        <v>1.0992170000000001</v>
      </c>
      <c r="L4733">
        <v>140.8503</v>
      </c>
      <c r="M4733">
        <v>-0.99084680000000003</v>
      </c>
      <c r="N4733">
        <v>-1.0477190000000001E-2</v>
      </c>
      <c r="O4733">
        <v>-0.13458510000000001</v>
      </c>
      <c r="P4733">
        <v>-0.91773490000000002</v>
      </c>
      <c r="Q4733">
        <v>0.39159070000000001</v>
      </c>
      <c r="R4733">
        <v>-6.6483E-2</v>
      </c>
      <c r="S4733">
        <v>-3.4625849999999998</v>
      </c>
      <c r="T4733">
        <v>-0.45439550000000001</v>
      </c>
      <c r="U4733">
        <v>4.579163E-2</v>
      </c>
      <c r="V4733">
        <v>6.8527829999999998E-2</v>
      </c>
      <c r="W4733">
        <v>0.39947519999999997</v>
      </c>
      <c r="X4733">
        <v>0.91417910000000002</v>
      </c>
      <c r="Y4733">
        <v>0.1453652</v>
      </c>
      <c r="Z4733">
        <v>2.6403679999999999E-2</v>
      </c>
      <c r="AA4733">
        <v>0.98902570000000001</v>
      </c>
      <c r="AB4733">
        <v>28</v>
      </c>
      <c r="AC4733">
        <v>-0.588799999999992</v>
      </c>
      <c r="AD4733">
        <v>-0.115342</v>
      </c>
      <c r="AE4733">
        <v>4.04000000000053E-2</v>
      </c>
      <c r="AF4733">
        <v>0.114892209163437</v>
      </c>
      <c r="AG4733">
        <v>-0.115342</v>
      </c>
      <c r="AH4733">
        <v>0.55674062906145705</v>
      </c>
      <c r="AI4733">
        <v>101.469517460948</v>
      </c>
      <c r="AJ4733">
        <v>78.339797026417699</v>
      </c>
      <c r="AK4733">
        <v>0.58005527731260398</v>
      </c>
      <c r="AL4733">
        <v>66.454624276500894</v>
      </c>
      <c r="AM4733">
        <v>85.713065567650006</v>
      </c>
      <c r="AN4733">
        <v>0.99999996288817805</v>
      </c>
    </row>
    <row r="4734" spans="1:40" x14ac:dyDescent="0.25">
      <c r="A4734" t="str">
        <f>"20190304164943428"</f>
        <v>20190304164943428</v>
      </c>
      <c r="B4734" t="str">
        <f>"1551689383420328"</f>
        <v>1551689383420328</v>
      </c>
      <c r="C4734" t="s">
        <v>40</v>
      </c>
      <c r="D4734">
        <v>4.7350700000000003</v>
      </c>
      <c r="E4734">
        <v>0.54870620000000003</v>
      </c>
      <c r="F4734" t="s">
        <v>41</v>
      </c>
      <c r="G4734">
        <v>-212.12819999999999</v>
      </c>
      <c r="H4734">
        <v>0.9888055</v>
      </c>
      <c r="I4734">
        <v>140.86619999999999</v>
      </c>
      <c r="J4734">
        <v>-211.57769999999999</v>
      </c>
      <c r="K4734">
        <v>1.099556</v>
      </c>
      <c r="L4734">
        <v>140.82419999999999</v>
      </c>
      <c r="M4734">
        <v>-0.99268080000000003</v>
      </c>
      <c r="N4734">
        <v>-1.036307E-2</v>
      </c>
      <c r="O4734">
        <v>-0.1203216</v>
      </c>
      <c r="P4734">
        <v>-0.91687629999999998</v>
      </c>
      <c r="Q4734">
        <v>0.39485379999999998</v>
      </c>
      <c r="R4734">
        <v>-5.8553920000000002E-2</v>
      </c>
      <c r="S4734">
        <v>-3.4658359999999999</v>
      </c>
      <c r="T4734">
        <v>-0.45055269999999997</v>
      </c>
      <c r="U4734">
        <v>6.4636230000000003E-2</v>
      </c>
      <c r="V4734">
        <v>6.2838160000000004E-2</v>
      </c>
      <c r="W4734">
        <v>0.40282180000000001</v>
      </c>
      <c r="X4734">
        <v>0.91311880000000001</v>
      </c>
      <c r="Y4734">
        <v>0.13672110000000001</v>
      </c>
      <c r="Z4734">
        <v>2.386711E-2</v>
      </c>
      <c r="AA4734">
        <v>0.99032200000000004</v>
      </c>
      <c r="AB4734">
        <v>28</v>
      </c>
      <c r="AC4734">
        <v>-0.55049999999999899</v>
      </c>
      <c r="AD4734">
        <v>-0.110750499999999</v>
      </c>
      <c r="AE4734">
        <v>4.2000000000001501E-2</v>
      </c>
      <c r="AF4734">
        <v>0.103760147759271</v>
      </c>
      <c r="AG4734">
        <v>-0.110750499999999</v>
      </c>
      <c r="AH4734">
        <v>0.52050149691466796</v>
      </c>
      <c r="AI4734">
        <v>101.786815089455</v>
      </c>
      <c r="AJ4734">
        <v>78.726075143319093</v>
      </c>
      <c r="AK4734">
        <v>0.54217492546565205</v>
      </c>
      <c r="AL4734">
        <v>66.245297988971302</v>
      </c>
      <c r="AM4734">
        <v>86.063279018917697</v>
      </c>
      <c r="AN4734">
        <v>0.99999998991043204</v>
      </c>
    </row>
    <row r="4735" spans="1:40" x14ac:dyDescent="0.25">
      <c r="A4735" t="str">
        <f>"20190304164943451"</f>
        <v>20190304164943451</v>
      </c>
      <c r="B4735" t="str">
        <f>"1551689383440825"</f>
        <v>1551689383440825</v>
      </c>
      <c r="C4735" t="s">
        <v>40</v>
      </c>
      <c r="D4735">
        <v>5.0075209999999997</v>
      </c>
      <c r="E4735">
        <v>0.548562199999999</v>
      </c>
      <c r="F4735" t="s">
        <v>41</v>
      </c>
      <c r="G4735">
        <v>-212.38919999999999</v>
      </c>
      <c r="H4735">
        <v>0.99555419999999994</v>
      </c>
      <c r="I4735">
        <v>140.84280000000001</v>
      </c>
      <c r="J4735">
        <v>-211.87780000000001</v>
      </c>
      <c r="K4735">
        <v>1.0999399999999999</v>
      </c>
      <c r="L4735">
        <v>140.80170000000001</v>
      </c>
      <c r="M4735">
        <v>-0.99425459999999999</v>
      </c>
      <c r="N4735">
        <v>-1.0247590000000001E-2</v>
      </c>
      <c r="O4735">
        <v>-0.1065504</v>
      </c>
      <c r="P4735">
        <v>-0.91572019999999998</v>
      </c>
      <c r="Q4735">
        <v>0.3986461</v>
      </c>
      <c r="R4735">
        <v>-5.0379479999999997E-2</v>
      </c>
      <c r="S4735">
        <v>-3.468353</v>
      </c>
      <c r="T4735">
        <v>-0.44420870000000001</v>
      </c>
      <c r="U4735">
        <v>7.8994750000000002E-2</v>
      </c>
      <c r="V4735">
        <v>5.7851359999999998E-2</v>
      </c>
      <c r="W4735">
        <v>0.40666989999999997</v>
      </c>
      <c r="X4735">
        <v>0.91174169999999999</v>
      </c>
      <c r="Y4735">
        <v>0.1273108</v>
      </c>
      <c r="Z4735">
        <v>2.1258619999999999E-2</v>
      </c>
      <c r="AA4735">
        <v>0.99163500000000004</v>
      </c>
      <c r="AB4735">
        <v>28</v>
      </c>
      <c r="AC4735">
        <v>-0.51139999999997998</v>
      </c>
      <c r="AD4735">
        <v>-0.104385799999999</v>
      </c>
      <c r="AE4735">
        <v>4.1100000000000102E-2</v>
      </c>
      <c r="AF4735">
        <v>9.1568121038151901E-2</v>
      </c>
      <c r="AG4735">
        <v>-0.104385799999999</v>
      </c>
      <c r="AH4735">
        <v>0.48407011049852799</v>
      </c>
      <c r="AI4735">
        <v>101.963144098719</v>
      </c>
      <c r="AJ4735">
        <v>79.288329464612104</v>
      </c>
      <c r="AK4735">
        <v>0.50359208483668105</v>
      </c>
      <c r="AL4735">
        <v>66.004187392485804</v>
      </c>
      <c r="AM4735">
        <v>86.369365208397298</v>
      </c>
      <c r="AN4735">
        <v>1.0000000574693699</v>
      </c>
    </row>
    <row r="4736" spans="1:40" x14ac:dyDescent="0.25">
      <c r="A4736" t="str">
        <f>"20190304164943473"</f>
        <v>20190304164943473</v>
      </c>
      <c r="B4736" t="str">
        <f>"1551689383460344"</f>
        <v>1551689383460344</v>
      </c>
      <c r="C4736" t="s">
        <v>40</v>
      </c>
      <c r="D4736">
        <v>4.7591960000000002</v>
      </c>
      <c r="E4736">
        <v>0.54801299999999997</v>
      </c>
      <c r="F4736" t="s">
        <v>41</v>
      </c>
      <c r="G4736">
        <v>-212.6515</v>
      </c>
      <c r="H4736">
        <v>1.0030110000000001</v>
      </c>
      <c r="I4736">
        <v>140.82390000000001</v>
      </c>
      <c r="J4736">
        <v>-212.15280000000001</v>
      </c>
      <c r="K4736">
        <v>1.10033799999999</v>
      </c>
      <c r="L4736">
        <v>140.7841</v>
      </c>
      <c r="M4736">
        <v>-0.99546840000000003</v>
      </c>
      <c r="N4736">
        <v>-1.0138350000000001E-2</v>
      </c>
      <c r="O4736">
        <v>-9.4551090000000004E-2</v>
      </c>
      <c r="P4736">
        <v>-0.91512570000000004</v>
      </c>
      <c r="Q4736">
        <v>0.40027479999999999</v>
      </c>
      <c r="R4736">
        <v>-4.8221569999999998E-2</v>
      </c>
      <c r="S4736">
        <v>-3.4707490000000001</v>
      </c>
      <c r="T4736">
        <v>-0.43451400000000001</v>
      </c>
      <c r="U4736">
        <v>9.9395750000000005E-2</v>
      </c>
      <c r="V4736">
        <v>4.8552970000000001E-2</v>
      </c>
      <c r="W4736">
        <v>0.40846909999999997</v>
      </c>
      <c r="X4736">
        <v>0.91147990000000001</v>
      </c>
      <c r="Y4736">
        <v>0.1213692</v>
      </c>
      <c r="Z4736">
        <v>1.900787E-2</v>
      </c>
      <c r="AA4736">
        <v>0.99242540000000001</v>
      </c>
      <c r="AB4736">
        <v>29</v>
      </c>
      <c r="AC4736">
        <v>-0.49869999999998499</v>
      </c>
      <c r="AD4736">
        <v>-9.7326999999999705E-2</v>
      </c>
      <c r="AE4736">
        <v>3.9800000000013797E-2</v>
      </c>
      <c r="AF4736">
        <v>8.36122625110685E-2</v>
      </c>
      <c r="AG4736">
        <v>-9.7326999999999705E-2</v>
      </c>
      <c r="AH4736">
        <v>0.47473501259684497</v>
      </c>
      <c r="AI4736">
        <v>101.414883286478</v>
      </c>
      <c r="AJ4736">
        <v>80.011275762979395</v>
      </c>
      <c r="AK4736">
        <v>0.49176914050857901</v>
      </c>
      <c r="AL4736">
        <v>65.891297783728007</v>
      </c>
      <c r="AM4736">
        <v>86.950833989870802</v>
      </c>
      <c r="AN4736">
        <v>1.0000000023273199</v>
      </c>
    </row>
    <row r="4737" spans="1:40" x14ac:dyDescent="0.25">
      <c r="A4737" t="str">
        <f>"20190304164943495"</f>
        <v>20190304164943495</v>
      </c>
      <c r="B4737" t="str">
        <f>"1551689383490510"</f>
        <v>1551689383490510</v>
      </c>
      <c r="C4737" t="s">
        <v>40</v>
      </c>
      <c r="D4737">
        <v>4.6853889999999998</v>
      </c>
      <c r="E4737">
        <v>0.54693249999999904</v>
      </c>
      <c r="F4737" t="s">
        <v>41</v>
      </c>
      <c r="G4737">
        <v>-212.91239999999999</v>
      </c>
      <c r="H4737">
        <v>1.005881</v>
      </c>
      <c r="I4737">
        <v>140.80840000000001</v>
      </c>
      <c r="J4737">
        <v>-212.4393</v>
      </c>
      <c r="K4737">
        <v>1.1007979999999999</v>
      </c>
      <c r="L4737">
        <v>140.7687</v>
      </c>
      <c r="M4737">
        <v>-0.99652209999999997</v>
      </c>
      <c r="N4737">
        <v>-1.002078E-2</v>
      </c>
      <c r="O4737">
        <v>-8.2724359999999997E-2</v>
      </c>
      <c r="P4737">
        <v>-0.91447369999999994</v>
      </c>
      <c r="Q4737">
        <v>0.40192559999999999</v>
      </c>
      <c r="R4737">
        <v>-4.6839350000000002E-2</v>
      </c>
      <c r="S4737">
        <v>-3.4728240000000001</v>
      </c>
      <c r="T4737">
        <v>-0.43157479999999998</v>
      </c>
      <c r="U4737">
        <v>0.1105042</v>
      </c>
      <c r="V4737">
        <v>3.8590319999999997E-2</v>
      </c>
      <c r="W4737">
        <v>0.41028579999999998</v>
      </c>
      <c r="X4737">
        <v>0.91114010000000001</v>
      </c>
      <c r="Y4737">
        <v>0.11290600000000001</v>
      </c>
      <c r="Z4737">
        <v>1.6961710000000001E-2</v>
      </c>
      <c r="AA4737">
        <v>0.99346089999999998</v>
      </c>
      <c r="AB4737">
        <v>29</v>
      </c>
      <c r="AC4737">
        <v>-0.47309999999998797</v>
      </c>
      <c r="AD4737">
        <v>-9.4916999999999904E-2</v>
      </c>
      <c r="AE4737">
        <v>3.9700000000010498E-2</v>
      </c>
      <c r="AF4737">
        <v>7.5677922248148094E-2</v>
      </c>
      <c r="AG4737">
        <v>-9.4916999999999904E-2</v>
      </c>
      <c r="AH4737">
        <v>0.45019945477119899</v>
      </c>
      <c r="AI4737">
        <v>101.74537698222299</v>
      </c>
      <c r="AJ4737">
        <v>80.457867044328296</v>
      </c>
      <c r="AK4737">
        <v>0.46627881560401402</v>
      </c>
      <c r="AL4737">
        <v>65.777209554206493</v>
      </c>
      <c r="AM4737">
        <v>87.574750818804205</v>
      </c>
      <c r="AN4737">
        <v>0.99999996615367504</v>
      </c>
    </row>
    <row r="4738" spans="1:40" x14ac:dyDescent="0.25">
      <c r="A4738" t="str">
        <f>"20190304164943519"</f>
        <v>20190304164943519</v>
      </c>
      <c r="B4738" t="str">
        <f>"1551689383511008"</f>
        <v>1551689383511008</v>
      </c>
      <c r="C4738" t="s">
        <v>40</v>
      </c>
      <c r="D4738">
        <v>4.6666670000000003</v>
      </c>
      <c r="E4738">
        <v>0.54626929999999996</v>
      </c>
      <c r="F4738" t="s">
        <v>41</v>
      </c>
      <c r="G4738">
        <v>-213.1746</v>
      </c>
      <c r="H4738">
        <v>1.010446</v>
      </c>
      <c r="I4738">
        <v>140.7937</v>
      </c>
      <c r="J4738">
        <v>-212.77209999999999</v>
      </c>
      <c r="K4738">
        <v>1.1013790000000001</v>
      </c>
      <c r="L4738">
        <v>140.7544</v>
      </c>
      <c r="M4738">
        <v>-0.99749929999999998</v>
      </c>
      <c r="N4738">
        <v>-9.8816319999999996E-3</v>
      </c>
      <c r="O4738">
        <v>-6.998298E-2</v>
      </c>
      <c r="P4738">
        <v>-0.91440250000000001</v>
      </c>
      <c r="Q4738">
        <v>0.40271230000000002</v>
      </c>
      <c r="R4738">
        <v>-4.1122890000000002E-2</v>
      </c>
      <c r="S4738">
        <v>-3.473846</v>
      </c>
      <c r="T4738">
        <v>-0.42605579999999998</v>
      </c>
      <c r="U4738">
        <v>0.117004399999999</v>
      </c>
      <c r="V4738">
        <v>3.2017959999999998E-2</v>
      </c>
      <c r="W4738">
        <v>0.4111301</v>
      </c>
      <c r="X4738">
        <v>0.9110142</v>
      </c>
      <c r="Y4738">
        <v>0.10225629999999999</v>
      </c>
      <c r="Z4738">
        <v>1.460974E-2</v>
      </c>
      <c r="AA4738">
        <v>0.99465079999999995</v>
      </c>
      <c r="AB4738">
        <v>29</v>
      </c>
      <c r="AC4738">
        <v>-0.40250000000000302</v>
      </c>
      <c r="AD4738">
        <v>-9.0933000000000097E-2</v>
      </c>
      <c r="AE4738">
        <v>3.9299999999997198E-2</v>
      </c>
      <c r="AF4738">
        <v>6.4130826345942998E-2</v>
      </c>
      <c r="AG4738">
        <v>-9.0933000000000097E-2</v>
      </c>
      <c r="AH4738">
        <v>0.37957214624188201</v>
      </c>
      <c r="AI4738">
        <v>103.290736291122</v>
      </c>
      <c r="AJ4738">
        <v>80.410125582491006</v>
      </c>
      <c r="AK4738">
        <v>0.39554593611802202</v>
      </c>
      <c r="AL4738">
        <v>65.724154053847798</v>
      </c>
      <c r="AM4738">
        <v>87.987145300213896</v>
      </c>
      <c r="AN4738">
        <v>0.99999999074510504</v>
      </c>
    </row>
    <row r="4739" spans="1:40" x14ac:dyDescent="0.25">
      <c r="A4739" t="str">
        <f>"20190304164943540"</f>
        <v>20190304164943540</v>
      </c>
      <c r="B4739" t="str">
        <f>"1551689383530530"</f>
        <v>1551689383530530</v>
      </c>
      <c r="C4739" t="s">
        <v>40</v>
      </c>
      <c r="D4739">
        <v>4.6639460000000001</v>
      </c>
      <c r="E4739">
        <v>0.54571510000000001</v>
      </c>
      <c r="F4739" t="s">
        <v>41</v>
      </c>
      <c r="G4739">
        <v>-213.6866</v>
      </c>
      <c r="H4739">
        <v>0.98828240000000001</v>
      </c>
      <c r="I4739">
        <v>140.78749999999999</v>
      </c>
      <c r="J4739">
        <v>-213.04159999999999</v>
      </c>
      <c r="K4739">
        <v>1.10186299999999</v>
      </c>
      <c r="L4739">
        <v>140.745</v>
      </c>
      <c r="M4739">
        <v>-0.99812880000000004</v>
      </c>
      <c r="N4739">
        <v>-9.7733709999999994E-3</v>
      </c>
      <c r="O4739">
        <v>-6.036292E-2</v>
      </c>
      <c r="P4739">
        <v>-0.91559769999999896</v>
      </c>
      <c r="Q4739">
        <v>0.39943380000000001</v>
      </c>
      <c r="R4739">
        <v>-4.6193970000000001E-2</v>
      </c>
      <c r="S4739">
        <v>-3.4756320000000001</v>
      </c>
      <c r="T4739">
        <v>-0.42953560000000002</v>
      </c>
      <c r="U4739">
        <v>0.12551880000000001</v>
      </c>
      <c r="V4739">
        <v>1.7642080000000001E-2</v>
      </c>
      <c r="W4739">
        <v>0.4080956</v>
      </c>
      <c r="X4739">
        <v>0.91276869999999999</v>
      </c>
      <c r="Y4739">
        <v>9.5181109999999999E-2</v>
      </c>
      <c r="Z4739">
        <v>1.316456E-2</v>
      </c>
      <c r="AA4739">
        <v>0.9953729</v>
      </c>
      <c r="AB4739">
        <v>29</v>
      </c>
      <c r="AC4739">
        <v>-0.64500000000001001</v>
      </c>
      <c r="AD4739">
        <v>-0.113580599999999</v>
      </c>
      <c r="AE4739">
        <v>4.2499999999989699E-2</v>
      </c>
      <c r="AF4739">
        <v>7.8921720283293903E-2</v>
      </c>
      <c r="AG4739">
        <v>-0.113580599999999</v>
      </c>
      <c r="AH4739">
        <v>0.62205229797208605</v>
      </c>
      <c r="AI4739">
        <v>100.267121010827</v>
      </c>
      <c r="AJ4739">
        <v>82.769336959347399</v>
      </c>
      <c r="AK4739">
        <v>0.637242694772711</v>
      </c>
      <c r="AL4739">
        <v>65.914740118111098</v>
      </c>
      <c r="AM4739">
        <v>88.892719610125496</v>
      </c>
      <c r="AN4739">
        <v>0.99999998071288798</v>
      </c>
    </row>
    <row r="4740" spans="1:40" x14ac:dyDescent="0.25">
      <c r="A4740" t="str">
        <f>"20190304164943563"</f>
        <v>20190304164943563</v>
      </c>
      <c r="B4740" t="str">
        <f>"1551689383551023"</f>
        <v>1551689383551023</v>
      </c>
      <c r="C4740" t="s">
        <v>40</v>
      </c>
      <c r="D4740">
        <v>4.7030200000000004</v>
      </c>
      <c r="E4740">
        <v>0.54522159999999997</v>
      </c>
      <c r="F4740" t="s">
        <v>41</v>
      </c>
      <c r="G4740">
        <v>-213.94630000000001</v>
      </c>
      <c r="H4740">
        <v>0.98536190000000001</v>
      </c>
      <c r="I4740">
        <v>140.77029999999999</v>
      </c>
      <c r="J4740">
        <v>-213.33590000000001</v>
      </c>
      <c r="K4740">
        <v>1.102355</v>
      </c>
      <c r="L4740">
        <v>140.7372</v>
      </c>
      <c r="M4740">
        <v>-0.99867649999999997</v>
      </c>
      <c r="N4740">
        <v>-9.6647620000000004E-3</v>
      </c>
      <c r="O4740">
        <v>-5.0515259999999999E-2</v>
      </c>
      <c r="P4740">
        <v>-0.91769060000000002</v>
      </c>
      <c r="Q4740">
        <v>0.39454119999999998</v>
      </c>
      <c r="R4740">
        <v>-4.6706749999999998E-2</v>
      </c>
      <c r="S4740">
        <v>-3.476639</v>
      </c>
      <c r="T4740">
        <v>-0.44746469999999999</v>
      </c>
      <c r="U4740">
        <v>9.6664429999999996E-2</v>
      </c>
      <c r="V4740">
        <v>7.6003340000000003E-3</v>
      </c>
      <c r="W4740">
        <v>0.40333200000000002</v>
      </c>
      <c r="X4740">
        <v>0.91502209999999995</v>
      </c>
      <c r="Y4740">
        <v>7.7214969999999994E-2</v>
      </c>
      <c r="Z4740">
        <v>1.130891E-2</v>
      </c>
      <c r="AA4740">
        <v>0.99695029999999996</v>
      </c>
      <c r="AB4740">
        <v>29</v>
      </c>
      <c r="AC4740">
        <v>-0.61039999999999806</v>
      </c>
      <c r="AD4740">
        <v>-0.116993099999999</v>
      </c>
      <c r="AE4740">
        <v>3.3099999999990297E-2</v>
      </c>
      <c r="AF4740">
        <v>6.1636070691054701E-2</v>
      </c>
      <c r="AG4740">
        <v>-0.116993099999999</v>
      </c>
      <c r="AH4740">
        <v>0.58646721723504702</v>
      </c>
      <c r="AI4740">
        <v>101.22149379588799</v>
      </c>
      <c r="AJ4740">
        <v>84.000397888153103</v>
      </c>
      <c r="AK4740">
        <v>0.60119064160153202</v>
      </c>
      <c r="AL4740">
        <v>66.2133550389389</v>
      </c>
      <c r="AM4740">
        <v>89.5241021535507</v>
      </c>
      <c r="AN4740">
        <v>0.99999995539465902</v>
      </c>
    </row>
    <row r="4741" spans="1:40" x14ac:dyDescent="0.25">
      <c r="A4741" t="str">
        <f>"20190304164943584"</f>
        <v>20190304164943584</v>
      </c>
      <c r="B4741" t="str">
        <f>"1551689383580303"</f>
        <v>1551689383580303</v>
      </c>
      <c r="C4741" t="s">
        <v>40</v>
      </c>
      <c r="D4741">
        <v>4.6588089999999998</v>
      </c>
      <c r="E4741">
        <v>0.54449309999999995</v>
      </c>
      <c r="F4741" t="s">
        <v>41</v>
      </c>
      <c r="G4741">
        <v>-214.20820000000001</v>
      </c>
      <c r="H4741">
        <v>0.98497009999999996</v>
      </c>
      <c r="I4741">
        <v>140.76300000000001</v>
      </c>
      <c r="J4741">
        <v>-213.61879999999999</v>
      </c>
      <c r="K4741">
        <v>1.102805</v>
      </c>
      <c r="L4741">
        <v>140.73179999999999</v>
      </c>
      <c r="M4741">
        <v>-0.99908350000000001</v>
      </c>
      <c r="N4741">
        <v>-9.5685449999999995E-3</v>
      </c>
      <c r="O4741">
        <v>-4.1718970000000001E-2</v>
      </c>
      <c r="P4741">
        <v>-0.91963810000000001</v>
      </c>
      <c r="Q4741">
        <v>0.39015290000000002</v>
      </c>
      <c r="R4741">
        <v>-4.523684E-2</v>
      </c>
      <c r="S4741">
        <v>-3.4752960000000002</v>
      </c>
      <c r="T4741">
        <v>-0.46752500000000002</v>
      </c>
      <c r="U4741">
        <v>0.10238650000000001</v>
      </c>
      <c r="V4741">
        <v>5.2486920000000003E-4</v>
      </c>
      <c r="W4741">
        <v>0.3990031</v>
      </c>
      <c r="X4741">
        <v>0.91694949999999997</v>
      </c>
      <c r="Y4741">
        <v>7.0125010000000002E-2</v>
      </c>
      <c r="Z4741">
        <v>1.0220099999999999E-2</v>
      </c>
      <c r="AA4741">
        <v>0.99748590000000004</v>
      </c>
      <c r="AB4741">
        <v>29</v>
      </c>
      <c r="AC4741">
        <v>-0.58940000000001103</v>
      </c>
      <c r="AD4741">
        <v>-0.11783490000000001</v>
      </c>
      <c r="AE4741">
        <v>3.1200000000012499E-2</v>
      </c>
      <c r="AF4741">
        <v>5.3625723920043097E-2</v>
      </c>
      <c r="AG4741">
        <v>-0.11783490000000001</v>
      </c>
      <c r="AH4741">
        <v>0.56506300247681296</v>
      </c>
      <c r="AI4741">
        <v>101.72808611061301</v>
      </c>
      <c r="AJ4741">
        <v>84.578740774729695</v>
      </c>
      <c r="AK4741">
        <v>0.57970421655536497</v>
      </c>
      <c r="AL4741">
        <v>66.484129454426295</v>
      </c>
      <c r="AM4741">
        <v>89.967203442859201</v>
      </c>
      <c r="AN4741">
        <v>1.0000000674237599</v>
      </c>
    </row>
    <row r="4742" spans="1:40" x14ac:dyDescent="0.25">
      <c r="A4742" t="str">
        <f>"20190304164943607"</f>
        <v>20190304164943607</v>
      </c>
      <c r="B4742" t="str">
        <f>"1551689383600331"</f>
        <v>1551689383600331</v>
      </c>
      <c r="C4742" t="s">
        <v>40</v>
      </c>
      <c r="D4742">
        <v>4.6654499999999999</v>
      </c>
      <c r="E4742">
        <v>0.54402359999999905</v>
      </c>
      <c r="F4742" t="s">
        <v>41</v>
      </c>
      <c r="G4742">
        <v>-214.47</v>
      </c>
      <c r="H4742">
        <v>0.98325839999999998</v>
      </c>
      <c r="I4742">
        <v>140.7578</v>
      </c>
      <c r="J4742">
        <v>-213.91759999999999</v>
      </c>
      <c r="K4742">
        <v>1.1032879999999901</v>
      </c>
      <c r="L4742">
        <v>140.72810000000001</v>
      </c>
      <c r="M4742">
        <v>-0.9994054</v>
      </c>
      <c r="N4742">
        <v>-9.4675060000000005E-3</v>
      </c>
      <c r="O4742">
        <v>-3.3153040000000002E-2</v>
      </c>
      <c r="P4742">
        <v>-0.92086679999999999</v>
      </c>
      <c r="Q4742">
        <v>0.38776739999999998</v>
      </c>
      <c r="R4742">
        <v>-4.0510419999999998E-2</v>
      </c>
      <c r="S4742">
        <v>-3.4742890000000002</v>
      </c>
      <c r="T4742">
        <v>-0.48773240000000001</v>
      </c>
      <c r="U4742">
        <v>0.1060181</v>
      </c>
      <c r="V4742">
        <v>-3.1160670000000001E-3</v>
      </c>
      <c r="W4742">
        <v>0.39658900000000002</v>
      </c>
      <c r="X4742">
        <v>0.917991</v>
      </c>
      <c r="Y4742">
        <v>6.268464E-2</v>
      </c>
      <c r="Z4742">
        <v>8.9937479999999993E-3</v>
      </c>
      <c r="AA4742">
        <v>0.99799289999999996</v>
      </c>
      <c r="AB4742">
        <v>29</v>
      </c>
      <c r="AC4742">
        <v>-0.552400000000005</v>
      </c>
      <c r="AD4742">
        <v>-0.120029599999999</v>
      </c>
      <c r="AE4742">
        <v>2.9699999999991102E-2</v>
      </c>
      <c r="AF4742">
        <v>4.5840180104793203E-2</v>
      </c>
      <c r="AG4742">
        <v>-0.120029599999999</v>
      </c>
      <c r="AH4742">
        <v>0.52633304247373902</v>
      </c>
      <c r="AI4742">
        <v>102.799690629634</v>
      </c>
      <c r="AJ4742">
        <v>85.022470713761706</v>
      </c>
      <c r="AK4742">
        <v>0.54178861061105998</v>
      </c>
      <c r="AL4742">
        <v>66.634887424744207</v>
      </c>
      <c r="AM4742">
        <v>90.194486440572703</v>
      </c>
      <c r="AN4742">
        <v>1.00000001043777</v>
      </c>
    </row>
    <row r="4743" spans="1:40" x14ac:dyDescent="0.25">
      <c r="A4743" t="str">
        <f>"20190304164943629"</f>
        <v>20190304164943629</v>
      </c>
      <c r="B4743" t="str">
        <f>"1551689383620827"</f>
        <v>1551689383620827</v>
      </c>
      <c r="C4743" t="s">
        <v>40</v>
      </c>
      <c r="D4743">
        <v>4.6741739999999998</v>
      </c>
      <c r="E4743">
        <v>0.54368059999999996</v>
      </c>
      <c r="F4743" t="s">
        <v>41</v>
      </c>
      <c r="G4743">
        <v>-214.73429999999999</v>
      </c>
      <c r="H4743">
        <v>0.98575210000000002</v>
      </c>
      <c r="I4743">
        <v>140.756</v>
      </c>
      <c r="J4743">
        <v>-214.21799999999999</v>
      </c>
      <c r="K4743">
        <v>1.1037950000000001</v>
      </c>
      <c r="L4743">
        <v>140.72630000000001</v>
      </c>
      <c r="M4743">
        <v>-0.99963659999999999</v>
      </c>
      <c r="N4743">
        <v>-9.3630129999999999E-3</v>
      </c>
      <c r="O4743">
        <v>-2.527956E-2</v>
      </c>
      <c r="P4743">
        <v>-0.92116830000000005</v>
      </c>
      <c r="Q4743">
        <v>0.38746999999999998</v>
      </c>
      <c r="R4743">
        <v>-3.6279980000000003E-2</v>
      </c>
      <c r="S4743">
        <v>-3.4733890000000001</v>
      </c>
      <c r="T4743">
        <v>-0.49963400000000002</v>
      </c>
      <c r="U4743">
        <v>0.1178589</v>
      </c>
      <c r="V4743">
        <v>-6.6307969999999999E-3</v>
      </c>
      <c r="W4743">
        <v>0.39624100000000001</v>
      </c>
      <c r="X4743">
        <v>0.91812260000000001</v>
      </c>
      <c r="Y4743">
        <v>5.8301569999999997E-2</v>
      </c>
      <c r="Z4743">
        <v>7.8264210000000001E-3</v>
      </c>
      <c r="AA4743">
        <v>0.99826839999999994</v>
      </c>
      <c r="AB4743">
        <v>29</v>
      </c>
      <c r="AC4743">
        <v>-0.51630000000000098</v>
      </c>
      <c r="AD4743">
        <v>-0.11804290000000001</v>
      </c>
      <c r="AE4743">
        <v>2.9699999999991102E-2</v>
      </c>
      <c r="AF4743">
        <v>4.0626272750510999E-2</v>
      </c>
      <c r="AG4743">
        <v>-0.11804290000000001</v>
      </c>
      <c r="AH4743">
        <v>0.489862155229986</v>
      </c>
      <c r="AI4743">
        <v>103.503708053079</v>
      </c>
      <c r="AJ4743">
        <v>85.259076179254507</v>
      </c>
      <c r="AK4743">
        <v>0.50551909103868198</v>
      </c>
      <c r="AL4743">
        <v>66.656605521828993</v>
      </c>
      <c r="AM4743">
        <v>90.413790138423394</v>
      </c>
      <c r="AN4743">
        <v>1.0000000030903</v>
      </c>
    </row>
    <row r="4744" spans="1:40" x14ac:dyDescent="0.25">
      <c r="A4744" t="str">
        <f>"20190304164943652"</f>
        <v>20190304164943652</v>
      </c>
      <c r="B4744" t="str">
        <f>"1551689383640346"</f>
        <v>1551689383640346</v>
      </c>
      <c r="C4744" t="s">
        <v>40</v>
      </c>
      <c r="D4744">
        <v>4.6816829999999996</v>
      </c>
      <c r="E4744">
        <v>0.54331209999999996</v>
      </c>
      <c r="F4744" t="s">
        <v>41</v>
      </c>
      <c r="G4744">
        <v>-215.0001</v>
      </c>
      <c r="H4744">
        <v>0.99062450000000002</v>
      </c>
      <c r="I4744">
        <v>140.75540000000001</v>
      </c>
      <c r="J4744">
        <v>-214.50700000000001</v>
      </c>
      <c r="K4744">
        <v>1.1042959999999999</v>
      </c>
      <c r="L4744">
        <v>140.72620000000001</v>
      </c>
      <c r="M4744">
        <v>-0.99978820000000002</v>
      </c>
      <c r="N4744">
        <v>-9.2649459999999996E-3</v>
      </c>
      <c r="O4744">
        <v>-1.837776E-2</v>
      </c>
      <c r="P4744">
        <v>-0.92175479999999999</v>
      </c>
      <c r="Q4744">
        <v>0.38633610000000002</v>
      </c>
      <c r="R4744">
        <v>-3.3353590000000002E-2</v>
      </c>
      <c r="S4744">
        <v>-3.4730989999999999</v>
      </c>
      <c r="T4744">
        <v>-0.50236579999999997</v>
      </c>
      <c r="U4744">
        <v>0.1285858</v>
      </c>
      <c r="V4744">
        <v>-1.0556569999999999E-2</v>
      </c>
      <c r="W4744">
        <v>0.39506340000000001</v>
      </c>
      <c r="X4744">
        <v>0.9185932</v>
      </c>
      <c r="Y4744">
        <v>5.4586250000000003E-2</v>
      </c>
      <c r="Z4744">
        <v>6.6547259999999997E-3</v>
      </c>
      <c r="AA4744">
        <v>0.99848689999999996</v>
      </c>
      <c r="AB4744">
        <v>29</v>
      </c>
      <c r="AC4744">
        <v>-0.49309999999999798</v>
      </c>
      <c r="AD4744">
        <v>-0.113671499999999</v>
      </c>
      <c r="AE4744">
        <v>2.9200000000002901E-2</v>
      </c>
      <c r="AF4744">
        <v>3.6333465458102301E-2</v>
      </c>
      <c r="AG4744">
        <v>-0.113671499999999</v>
      </c>
      <c r="AH4744">
        <v>0.46771203255566102</v>
      </c>
      <c r="AI4744">
        <v>103.620668316353</v>
      </c>
      <c r="AJ4744">
        <v>85.557989568598302</v>
      </c>
      <c r="AK4744">
        <v>0.48269646365163399</v>
      </c>
      <c r="AL4744">
        <v>66.730071763555998</v>
      </c>
      <c r="AM4744">
        <v>90.658420160492895</v>
      </c>
      <c r="AN4744">
        <v>0.99999999913798199</v>
      </c>
    </row>
    <row r="4745" spans="1:40" x14ac:dyDescent="0.25">
      <c r="A4745" t="str">
        <f>"20190304164943672"</f>
        <v>20190304164943672</v>
      </c>
      <c r="B4745" t="str">
        <f>"1551689383660843"</f>
        <v>1551689383660843</v>
      </c>
      <c r="C4745" t="s">
        <v>40</v>
      </c>
      <c r="D4745">
        <v>4.8244579999999999</v>
      </c>
      <c r="E4745">
        <v>0.53367640000000005</v>
      </c>
      <c r="F4745" t="s">
        <v>41</v>
      </c>
      <c r="G4745">
        <v>-215.2654</v>
      </c>
      <c r="H4745">
        <v>0.99347980000000002</v>
      </c>
      <c r="I4745">
        <v>140.756</v>
      </c>
      <c r="J4745">
        <v>-214.78149999999999</v>
      </c>
      <c r="K4745">
        <v>1.1047750000000001</v>
      </c>
      <c r="L4745">
        <v>140.72730000000001</v>
      </c>
      <c r="M4745">
        <v>-0.99988089999999996</v>
      </c>
      <c r="N4745">
        <v>-9.1781620000000001E-3</v>
      </c>
      <c r="O4745">
        <v>-1.241309E-2</v>
      </c>
      <c r="P4745">
        <v>-0.92240370000000005</v>
      </c>
      <c r="Q4745">
        <v>0.38488060000000002</v>
      </c>
      <c r="R4745">
        <v>-3.2223000000000002E-2</v>
      </c>
      <c r="S4745">
        <v>-3.4721829999999998</v>
      </c>
      <c r="T4745">
        <v>-0.50721570000000005</v>
      </c>
      <c r="U4745">
        <v>0.13621520000000001</v>
      </c>
      <c r="V4745">
        <v>-1.5400169999999999E-2</v>
      </c>
      <c r="W4745">
        <v>0.3935805</v>
      </c>
      <c r="X4745">
        <v>0.91916109999999895</v>
      </c>
      <c r="Y4745">
        <v>5.0911900000000003E-2</v>
      </c>
      <c r="Z4745">
        <v>5.6224150000000004E-3</v>
      </c>
      <c r="AA4745">
        <v>0.99868729999999994</v>
      </c>
      <c r="AB4745">
        <v>29</v>
      </c>
      <c r="AC4745">
        <v>-0.48390000000000499</v>
      </c>
      <c r="AD4745">
        <v>-0.1112952</v>
      </c>
      <c r="AE4745">
        <v>2.86999999999864E-2</v>
      </c>
      <c r="AF4745">
        <v>3.2966952969964498E-2</v>
      </c>
      <c r="AG4745">
        <v>-0.1112952</v>
      </c>
      <c r="AH4745">
        <v>0.45929565476859202</v>
      </c>
      <c r="AI4745">
        <v>103.587542119822</v>
      </c>
      <c r="AJ4745">
        <v>85.894510548011695</v>
      </c>
      <c r="AK4745">
        <v>0.47373615021494098</v>
      </c>
      <c r="AL4745">
        <v>66.8225259604786</v>
      </c>
      <c r="AM4745">
        <v>90.959877647064602</v>
      </c>
      <c r="AN4745">
        <v>0.99999995148474297</v>
      </c>
    </row>
    <row r="4746" spans="1:40" x14ac:dyDescent="0.25">
      <c r="A4746" t="str">
        <f>"20190304164943695"</f>
        <v>20190304164943695</v>
      </c>
      <c r="B4746" t="str">
        <f>"1551689383691099"</f>
        <v>1551689383691099</v>
      </c>
      <c r="C4746" t="s">
        <v>40</v>
      </c>
      <c r="D4746">
        <v>4.7019149999999996</v>
      </c>
      <c r="E4746">
        <v>0.5357094</v>
      </c>
      <c r="F4746" t="s">
        <v>41</v>
      </c>
      <c r="G4746">
        <v>-215.52850000000001</v>
      </c>
      <c r="H4746">
        <v>0.99075769999999996</v>
      </c>
      <c r="I4746">
        <v>140.74119999999999</v>
      </c>
      <c r="J4746">
        <v>-215.08410000000001</v>
      </c>
      <c r="K4746">
        <v>1.1052900000000001</v>
      </c>
      <c r="L4746">
        <v>140.72980000000001</v>
      </c>
      <c r="M4746">
        <v>-0.99993810000000005</v>
      </c>
      <c r="N4746">
        <v>-9.0904780000000008E-3</v>
      </c>
      <c r="O4746">
        <v>-6.4387280000000003E-3</v>
      </c>
      <c r="P4746">
        <v>-0.9227014</v>
      </c>
      <c r="Q4746">
        <v>0.38441799999999998</v>
      </c>
      <c r="R4746">
        <v>-2.9070019999999999E-2</v>
      </c>
      <c r="S4746">
        <v>-3.475876</v>
      </c>
      <c r="T4746">
        <v>-0.53030880000000002</v>
      </c>
      <c r="U4746">
        <v>6.3964839999999995E-2</v>
      </c>
      <c r="V4746">
        <v>-1.8255250000000001E-2</v>
      </c>
      <c r="W4746">
        <v>0.3930478</v>
      </c>
      <c r="X4746">
        <v>0.91933679999999995</v>
      </c>
      <c r="Y4746">
        <v>2.4470889999999999E-2</v>
      </c>
      <c r="Z4746">
        <v>2.886179E-3</v>
      </c>
      <c r="AA4746">
        <v>0.99969640000000004</v>
      </c>
      <c r="AB4746">
        <v>29</v>
      </c>
      <c r="AC4746">
        <v>-0.44440000000000102</v>
      </c>
      <c r="AD4746">
        <v>-0.114532299999999</v>
      </c>
      <c r="AE4746">
        <v>1.13999999999805E-2</v>
      </c>
      <c r="AF4746">
        <v>1.3373546978499001E-2</v>
      </c>
      <c r="AG4746">
        <v>-0.114532299999999</v>
      </c>
      <c r="AH4746">
        <v>0.41666042419323002</v>
      </c>
      <c r="AI4746">
        <v>105.362408984948</v>
      </c>
      <c r="AJ4746">
        <v>88.161608870901702</v>
      </c>
      <c r="AK4746">
        <v>0.432322112077278</v>
      </c>
      <c r="AL4746">
        <v>66.855723897613203</v>
      </c>
      <c r="AM4746">
        <v>91.137571496205695</v>
      </c>
      <c r="AN4746">
        <v>0.99999998953582103</v>
      </c>
    </row>
    <row r="4747" spans="1:40" x14ac:dyDescent="0.25">
      <c r="A4747" t="str">
        <f>"20190304164943719"</f>
        <v>20190304164943719</v>
      </c>
      <c r="B4747" t="str">
        <f>"1551689383710619"</f>
        <v>1551689383710619</v>
      </c>
      <c r="C4747" t="s">
        <v>40</v>
      </c>
      <c r="D4747">
        <v>4.6857490000000004</v>
      </c>
      <c r="E4747">
        <v>0.53598769999999996</v>
      </c>
      <c r="F4747" t="s">
        <v>41</v>
      </c>
      <c r="G4747">
        <v>-215.79640000000001</v>
      </c>
      <c r="H4747">
        <v>0.99740799999999996</v>
      </c>
      <c r="I4747">
        <v>140.74770000000001</v>
      </c>
      <c r="J4747">
        <v>-215.39959999999999</v>
      </c>
      <c r="K4747">
        <v>1.1057790000000001</v>
      </c>
      <c r="L4747">
        <v>140.7338</v>
      </c>
      <c r="M4747">
        <v>-0.99995909999999999</v>
      </c>
      <c r="N4747">
        <v>-9.0071109999999999E-3</v>
      </c>
      <c r="O4747">
        <v>-8.9090239999999998E-4</v>
      </c>
      <c r="P4747">
        <v>-0.92286040000000003</v>
      </c>
      <c r="Q4747">
        <v>0.38434469999999998</v>
      </c>
      <c r="R4747">
        <v>-2.4659339999999998E-2</v>
      </c>
      <c r="S4747">
        <v>-3.4731139999999998</v>
      </c>
      <c r="T4747">
        <v>-0.52578829999999999</v>
      </c>
      <c r="U4747">
        <v>8.6608889999999994E-2</v>
      </c>
      <c r="V4747">
        <v>-1.9427170000000001E-2</v>
      </c>
      <c r="W4747">
        <v>0.39288430000000002</v>
      </c>
      <c r="X4747">
        <v>0.9193827</v>
      </c>
      <c r="Y4747">
        <v>2.550299E-2</v>
      </c>
      <c r="Z4747">
        <v>2.1608669999999999E-3</v>
      </c>
      <c r="AA4747">
        <v>0.99967240000000002</v>
      </c>
      <c r="AB4747">
        <v>29</v>
      </c>
      <c r="AC4747">
        <v>-0.39680000000001298</v>
      </c>
      <c r="AD4747">
        <v>-0.108371</v>
      </c>
      <c r="AE4747">
        <v>1.39000000000066E-2</v>
      </c>
      <c r="AF4747">
        <v>1.32652700072413E-2</v>
      </c>
      <c r="AG4747">
        <v>-0.108371</v>
      </c>
      <c r="AH4747">
        <v>0.36927672516951099</v>
      </c>
      <c r="AI4747">
        <v>106.345310405402</v>
      </c>
      <c r="AJ4747">
        <v>87.942688332664105</v>
      </c>
      <c r="AK4747">
        <v>0.38507861636461199</v>
      </c>
      <c r="AL4747">
        <v>66.865912015414693</v>
      </c>
      <c r="AM4747">
        <v>91.210517911357201</v>
      </c>
      <c r="AN4747">
        <v>1.00000001858999</v>
      </c>
    </row>
    <row r="4748" spans="1:40" x14ac:dyDescent="0.25">
      <c r="A4748" t="str">
        <f>"20190304164943740"</f>
        <v>20190304164943740</v>
      </c>
      <c r="B4748" t="str">
        <f>"1551689383731124"</f>
        <v>1551689383731124</v>
      </c>
      <c r="C4748" t="s">
        <v>40</v>
      </c>
      <c r="D4748">
        <v>4.7130720000000004</v>
      </c>
      <c r="E4748">
        <v>0.53577299999999894</v>
      </c>
      <c r="F4748" t="s">
        <v>41</v>
      </c>
      <c r="G4748">
        <v>-216.31290000000001</v>
      </c>
      <c r="H4748">
        <v>0.96789309999999995</v>
      </c>
      <c r="I4748">
        <v>140.7594</v>
      </c>
      <c r="J4748">
        <v>-215.6884</v>
      </c>
      <c r="K4748">
        <v>1.1061730000000001</v>
      </c>
      <c r="L4748">
        <v>140.73849999999999</v>
      </c>
      <c r="M4748">
        <v>-0.99995319999999999</v>
      </c>
      <c r="N4748">
        <v>-8.9335439999999999E-3</v>
      </c>
      <c r="O4748">
        <v>3.717227E-3</v>
      </c>
      <c r="P4748">
        <v>-0.92369579999999996</v>
      </c>
      <c r="Q4748">
        <v>0.382359</v>
      </c>
      <c r="R4748">
        <v>-2.4243049999999999E-2</v>
      </c>
      <c r="S4748">
        <v>-3.471527</v>
      </c>
      <c r="T4748">
        <v>-0.52391460000000001</v>
      </c>
      <c r="U4748">
        <v>9.6694950000000002E-2</v>
      </c>
      <c r="V4748">
        <v>-2.3657290000000001E-2</v>
      </c>
      <c r="W4748">
        <v>0.39085890000000001</v>
      </c>
      <c r="X4748">
        <v>0.92014660000000004</v>
      </c>
      <c r="Y4748">
        <v>2.3877659999999998E-2</v>
      </c>
      <c r="Z4748">
        <v>1.373914E-3</v>
      </c>
      <c r="AA4748">
        <v>0.99971399999999999</v>
      </c>
      <c r="AB4748">
        <v>29</v>
      </c>
      <c r="AC4748">
        <v>-0.62450000000001105</v>
      </c>
      <c r="AD4748">
        <v>-0.13827989999999901</v>
      </c>
      <c r="AE4748">
        <v>2.09000000000116E-2</v>
      </c>
      <c r="AF4748">
        <v>1.77109744595038E-2</v>
      </c>
      <c r="AG4748">
        <v>-0.13827989999999901</v>
      </c>
      <c r="AH4748">
        <v>0.595413496691658</v>
      </c>
      <c r="AI4748">
        <v>103.069114725906</v>
      </c>
      <c r="AJ4748">
        <v>88.296200938382299</v>
      </c>
      <c r="AK4748">
        <v>0.61151634598177496</v>
      </c>
      <c r="AL4748">
        <v>66.992048142471702</v>
      </c>
      <c r="AM4748">
        <v>91.4727700200241</v>
      </c>
      <c r="AN4748">
        <v>1.0000000562854501</v>
      </c>
    </row>
    <row r="4749" spans="1:40" x14ac:dyDescent="0.25">
      <c r="A4749" t="str">
        <f>"20190304164943764"</f>
        <v>20190304164943764</v>
      </c>
      <c r="B4749" t="str">
        <f>"1551689383760395"</f>
        <v>1551689383760395</v>
      </c>
      <c r="C4749" t="s">
        <v>40</v>
      </c>
      <c r="D4749">
        <v>4.7258360000000001</v>
      </c>
      <c r="E4749">
        <v>0.5359718</v>
      </c>
      <c r="F4749" t="s">
        <v>41</v>
      </c>
      <c r="G4749">
        <v>-216.5805</v>
      </c>
      <c r="H4749">
        <v>0.97093079999999998</v>
      </c>
      <c r="I4749">
        <v>140.76400000000001</v>
      </c>
      <c r="J4749">
        <v>-215.99350000000001</v>
      </c>
      <c r="K4749">
        <v>1.106498</v>
      </c>
      <c r="L4749">
        <v>140.74449999999999</v>
      </c>
      <c r="M4749">
        <v>-0.99992720000000002</v>
      </c>
      <c r="N4749">
        <v>-8.8604459999999993E-3</v>
      </c>
      <c r="O4749">
        <v>8.1959819999999992E-3</v>
      </c>
      <c r="P4749">
        <v>-0.92477540000000003</v>
      </c>
      <c r="Q4749">
        <v>0.3796602</v>
      </c>
      <c r="R4749">
        <v>-2.5466140000000002E-2</v>
      </c>
      <c r="S4749">
        <v>-3.4679869999999999</v>
      </c>
      <c r="T4749">
        <v>-0.52561759999999902</v>
      </c>
      <c r="U4749">
        <v>9.8541260000000006E-2</v>
      </c>
      <c r="V4749">
        <v>-2.9367580000000001E-2</v>
      </c>
      <c r="W4749">
        <v>0.38813330000000001</v>
      </c>
      <c r="X4749">
        <v>0.92113520000000004</v>
      </c>
      <c r="Y4749">
        <v>2.0049709999999998E-2</v>
      </c>
      <c r="Z4749">
        <v>4.372062E-4</v>
      </c>
      <c r="AA4749">
        <v>0.99979890000000005</v>
      </c>
      <c r="AB4749">
        <v>30</v>
      </c>
      <c r="AC4749">
        <v>-0.58699999999998898</v>
      </c>
      <c r="AD4749">
        <v>-0.135567199999999</v>
      </c>
      <c r="AE4749">
        <v>1.9500000000022E-2</v>
      </c>
      <c r="AF4749">
        <v>1.3945135480696501E-2</v>
      </c>
      <c r="AG4749">
        <v>-0.135567199999999</v>
      </c>
      <c r="AH4749">
        <v>0.55744038227342596</v>
      </c>
      <c r="AI4749">
        <v>103.664629789787</v>
      </c>
      <c r="AJ4749">
        <v>88.566966405970007</v>
      </c>
      <c r="AK4749">
        <v>0.57385774570755599</v>
      </c>
      <c r="AL4749">
        <v>67.161601999829401</v>
      </c>
      <c r="AM4749">
        <v>91.826082235675102</v>
      </c>
      <c r="AN4749">
        <v>0.99999998500149301</v>
      </c>
    </row>
    <row r="4750" spans="1:40" x14ac:dyDescent="0.25">
      <c r="A4750" t="str">
        <f>"20190304164943787"</f>
        <v>20190304164943787</v>
      </c>
      <c r="B4750" t="str">
        <f>"1551689383780892"</f>
        <v>1551689383780892</v>
      </c>
      <c r="C4750" t="s">
        <v>40</v>
      </c>
      <c r="D4750">
        <v>4.7209750000000001</v>
      </c>
      <c r="E4750">
        <v>0.53582839999999998</v>
      </c>
      <c r="F4750" t="s">
        <v>41</v>
      </c>
      <c r="G4750">
        <v>-216.8494</v>
      </c>
      <c r="H4750">
        <v>0.97602029999999995</v>
      </c>
      <c r="I4750">
        <v>140.7706</v>
      </c>
      <c r="J4750">
        <v>-216.30269999999999</v>
      </c>
      <c r="K4750">
        <v>1.10677</v>
      </c>
      <c r="L4750">
        <v>140.75149999999999</v>
      </c>
      <c r="M4750">
        <v>-0.99988469999999996</v>
      </c>
      <c r="N4750">
        <v>-8.7935400000000007E-3</v>
      </c>
      <c r="O4750">
        <v>1.2378810000000001E-2</v>
      </c>
      <c r="P4750">
        <v>-0.92529090000000003</v>
      </c>
      <c r="Q4750">
        <v>0.37849070000000001</v>
      </c>
      <c r="R4750">
        <v>-2.411058E-2</v>
      </c>
      <c r="S4750">
        <v>-3.4637150000000001</v>
      </c>
      <c r="T4750">
        <v>-0.52799790000000002</v>
      </c>
      <c r="U4750">
        <v>0.1059875</v>
      </c>
      <c r="V4750">
        <v>-3.2163999999999998E-2</v>
      </c>
      <c r="W4750">
        <v>0.3869069</v>
      </c>
      <c r="X4750">
        <v>0.92155770000000004</v>
      </c>
      <c r="Y4750">
        <v>1.811482E-2</v>
      </c>
      <c r="Z4750">
        <v>-3.147569E-4</v>
      </c>
      <c r="AA4750">
        <v>0.99983580000000005</v>
      </c>
      <c r="AB4750">
        <v>30</v>
      </c>
      <c r="AC4750">
        <v>-0.54670000000001495</v>
      </c>
      <c r="AD4750">
        <v>-0.130749699999999</v>
      </c>
      <c r="AE4750">
        <v>1.91000000000087E-2</v>
      </c>
      <c r="AF4750">
        <v>1.16644081013188E-2</v>
      </c>
      <c r="AG4750">
        <v>-0.130749699999999</v>
      </c>
      <c r="AH4750">
        <v>0.51733966846721502</v>
      </c>
      <c r="AI4750">
        <v>104.180161226059</v>
      </c>
      <c r="AJ4750">
        <v>88.708376372323599</v>
      </c>
      <c r="AK4750">
        <v>0.533733899088499</v>
      </c>
      <c r="AL4750">
        <v>67.237826727953504</v>
      </c>
      <c r="AM4750">
        <v>91.998913051960201</v>
      </c>
      <c r="AN4750">
        <v>1.00000003329644</v>
      </c>
    </row>
    <row r="4751" spans="1:40" x14ac:dyDescent="0.25">
      <c r="A4751" t="str">
        <f>"20190304164943808"</f>
        <v>20190304164943808</v>
      </c>
      <c r="B4751" t="str">
        <f>"1551689383800919"</f>
        <v>1551689383800919</v>
      </c>
      <c r="C4751" t="s">
        <v>40</v>
      </c>
      <c r="D4751">
        <v>4.7846549999999999</v>
      </c>
      <c r="E4751">
        <v>0.53564389999999995</v>
      </c>
      <c r="F4751" t="s">
        <v>41</v>
      </c>
      <c r="G4751">
        <v>-217.11930000000001</v>
      </c>
      <c r="H4751">
        <v>0.98201660000000002</v>
      </c>
      <c r="I4751">
        <v>140.77850000000001</v>
      </c>
      <c r="J4751">
        <v>-216.59960000000001</v>
      </c>
      <c r="K4751">
        <v>1.1070089999999999</v>
      </c>
      <c r="L4751">
        <v>140.75919999999999</v>
      </c>
      <c r="M4751">
        <v>-0.99983259999999996</v>
      </c>
      <c r="N4751">
        <v>-8.7323939999999992E-3</v>
      </c>
      <c r="O4751">
        <v>1.6079840000000001E-2</v>
      </c>
      <c r="P4751">
        <v>-0.92627250000000005</v>
      </c>
      <c r="Q4751">
        <v>0.37617679999999998</v>
      </c>
      <c r="R4751">
        <v>-2.2590720000000002E-2</v>
      </c>
      <c r="S4751">
        <v>-3.4615019999999999</v>
      </c>
      <c r="T4751">
        <v>-0.52881129999999998</v>
      </c>
      <c r="U4751">
        <v>0.11398320000000001</v>
      </c>
      <c r="V4751">
        <v>-3.4339000000000001E-2</v>
      </c>
      <c r="W4751">
        <v>0.38454050000000001</v>
      </c>
      <c r="X4751">
        <v>0.92246919999999999</v>
      </c>
      <c r="Y4751">
        <v>1.6794710000000001E-2</v>
      </c>
      <c r="Z4751">
        <v>-9.5290119999999999E-4</v>
      </c>
      <c r="AA4751">
        <v>0.99985849999999998</v>
      </c>
      <c r="AB4751">
        <v>30</v>
      </c>
      <c r="AC4751">
        <v>-0.51970000000000005</v>
      </c>
      <c r="AD4751">
        <v>-0.1249924</v>
      </c>
      <c r="AE4751">
        <v>1.9300000000015399E-2</v>
      </c>
      <c r="AF4751">
        <v>1.03430302079973E-2</v>
      </c>
      <c r="AG4751">
        <v>-0.1249924</v>
      </c>
      <c r="AH4751">
        <v>0.49154893262673999</v>
      </c>
      <c r="AI4751">
        <v>104.26392886787499</v>
      </c>
      <c r="AJ4751">
        <v>88.794576690465703</v>
      </c>
      <c r="AK4751">
        <v>0.50729718262388501</v>
      </c>
      <c r="AL4751">
        <v>67.384782950433504</v>
      </c>
      <c r="AM4751">
        <v>92.131856265524206</v>
      </c>
      <c r="AN4751">
        <v>0.99999999400494399</v>
      </c>
    </row>
    <row r="4752" spans="1:40" x14ac:dyDescent="0.25">
      <c r="A4752" t="str">
        <f>"20190304164943832"</f>
        <v>20190304164943832</v>
      </c>
      <c r="B4752" t="str">
        <f>"1551689383820439"</f>
        <v>1551689383820439</v>
      </c>
      <c r="C4752" t="s">
        <v>40</v>
      </c>
      <c r="D4752">
        <v>4.7034479999999999</v>
      </c>
      <c r="E4752">
        <v>0.52134599999999998</v>
      </c>
      <c r="F4752" t="s">
        <v>41</v>
      </c>
      <c r="G4752">
        <v>-217.38800000000001</v>
      </c>
      <c r="H4752">
        <v>0.98454280000000005</v>
      </c>
      <c r="I4752">
        <v>140.78530000000001</v>
      </c>
      <c r="J4752">
        <v>-216.91249999999999</v>
      </c>
      <c r="K4752">
        <v>1.1072610000000001</v>
      </c>
      <c r="L4752">
        <v>140.76820000000001</v>
      </c>
      <c r="M4752">
        <v>-0.99976869999999995</v>
      </c>
      <c r="N4752">
        <v>-8.6686290000000006E-3</v>
      </c>
      <c r="O4752">
        <v>1.9678830000000001E-2</v>
      </c>
      <c r="P4752">
        <v>-0.92779199999999995</v>
      </c>
      <c r="Q4752">
        <v>0.37226389999999998</v>
      </c>
      <c r="R4752">
        <v>-2.4930750000000002E-2</v>
      </c>
      <c r="S4752">
        <v>-3.4597319999999998</v>
      </c>
      <c r="T4752">
        <v>-0.53724959999999999</v>
      </c>
      <c r="U4752">
        <v>0.1134033</v>
      </c>
      <c r="V4752">
        <v>-4.0316350000000001E-2</v>
      </c>
      <c r="W4752">
        <v>0.38060129999999998</v>
      </c>
      <c r="X4752">
        <v>0.92386000000000001</v>
      </c>
      <c r="Y4752">
        <v>1.312903E-2</v>
      </c>
      <c r="Z4752">
        <v>-1.7965310000000001E-3</v>
      </c>
      <c r="AA4752">
        <v>0.99991220000000003</v>
      </c>
      <c r="AB4752">
        <v>30</v>
      </c>
      <c r="AC4752">
        <v>-0.47550000000001003</v>
      </c>
      <c r="AD4752">
        <v>-0.1227182</v>
      </c>
      <c r="AE4752">
        <v>1.7099999999999199E-2</v>
      </c>
      <c r="AF4752">
        <v>7.2563559069022702E-3</v>
      </c>
      <c r="AG4752">
        <v>-0.1227182</v>
      </c>
      <c r="AH4752">
        <v>0.44607152640811598</v>
      </c>
      <c r="AI4752">
        <v>105.380107838616</v>
      </c>
      <c r="AJ4752">
        <v>89.068037576531395</v>
      </c>
      <c r="AK4752">
        <v>0.46270100279160198</v>
      </c>
      <c r="AL4752">
        <v>67.629067141856396</v>
      </c>
      <c r="AM4752">
        <v>92.498746607006098</v>
      </c>
      <c r="AN4752">
        <v>1.0000000286195001</v>
      </c>
    </row>
    <row r="4753" spans="1:40" x14ac:dyDescent="0.25">
      <c r="A4753" t="str">
        <f>"20190304164943853"</f>
        <v>20190304164943853</v>
      </c>
      <c r="B4753" t="str">
        <f>"1551689383840934"</f>
        <v>1551689383840934</v>
      </c>
      <c r="C4753" t="s">
        <v>40</v>
      </c>
      <c r="D4753">
        <v>4.7452920000000001</v>
      </c>
      <c r="E4753">
        <v>0.52206589999999997</v>
      </c>
      <c r="F4753" t="s">
        <v>41</v>
      </c>
      <c r="G4753">
        <v>-217.6711</v>
      </c>
      <c r="H4753">
        <v>1.0135959999999999</v>
      </c>
      <c r="I4753">
        <v>140.76920000000001</v>
      </c>
      <c r="J4753">
        <v>-217.19309999999999</v>
      </c>
      <c r="K4753">
        <v>1.1074919999999999</v>
      </c>
      <c r="L4753">
        <v>140.77690000000001</v>
      </c>
      <c r="M4753">
        <v>-0.9997064</v>
      </c>
      <c r="N4753">
        <v>-8.6110070000000004E-3</v>
      </c>
      <c r="O4753">
        <v>2.264768E-2</v>
      </c>
      <c r="P4753">
        <v>-0.9289039</v>
      </c>
      <c r="Q4753">
        <v>0.3691991</v>
      </c>
      <c r="R4753">
        <v>-2.880106E-2</v>
      </c>
      <c r="S4753">
        <v>-3.4021759999999999</v>
      </c>
      <c r="T4753">
        <v>-0.4200624</v>
      </c>
      <c r="U4753">
        <v>5.1269530000000001E-3</v>
      </c>
      <c r="V4753">
        <v>-4.7205690000000002E-2</v>
      </c>
      <c r="W4753">
        <v>0.37751390000000001</v>
      </c>
      <c r="X4753">
        <v>0.92479990000000001</v>
      </c>
      <c r="Y4753">
        <v>-2.0823890000000001E-2</v>
      </c>
      <c r="Z4753">
        <v>-3.9618700000000001E-3</v>
      </c>
      <c r="AA4753">
        <v>0.99977530000000003</v>
      </c>
      <c r="AB4753">
        <v>30</v>
      </c>
      <c r="AC4753">
        <v>-0.47800000000000797</v>
      </c>
      <c r="AD4753">
        <v>-9.3895999999999896E-2</v>
      </c>
      <c r="AE4753">
        <v>-7.6999999999998103E-3</v>
      </c>
      <c r="AF4753">
        <v>-1.78359639063034E-2</v>
      </c>
      <c r="AG4753">
        <v>-9.3895999999999896E-2</v>
      </c>
      <c r="AH4753">
        <v>0.45995925807721499</v>
      </c>
      <c r="AI4753">
        <v>101.529388479967</v>
      </c>
      <c r="AJ4753">
        <v>92.220661251926003</v>
      </c>
      <c r="AK4753">
        <v>0.469784098832015</v>
      </c>
      <c r="AL4753">
        <v>67.820227056495995</v>
      </c>
      <c r="AM4753">
        <v>92.922082322597902</v>
      </c>
      <c r="AN4753">
        <v>0.99999998845079696</v>
      </c>
    </row>
    <row r="4754" spans="1:40" x14ac:dyDescent="0.25">
      <c r="A4754" t="str">
        <f>"20190304164943874"</f>
        <v>20190304164943874</v>
      </c>
      <c r="B4754" t="str">
        <f>"1551689383870215"</f>
        <v>1551689383870215</v>
      </c>
      <c r="C4754" t="s">
        <v>40</v>
      </c>
      <c r="D4754">
        <v>4.7278089999999997</v>
      </c>
      <c r="E4754">
        <v>0.52197510000000003</v>
      </c>
      <c r="F4754" t="s">
        <v>41</v>
      </c>
      <c r="G4754">
        <v>-217.93790000000001</v>
      </c>
      <c r="H4754">
        <v>1.010033</v>
      </c>
      <c r="I4754">
        <v>140.77789999999999</v>
      </c>
      <c r="J4754">
        <v>-217.47399999999999</v>
      </c>
      <c r="K4754">
        <v>1.107734</v>
      </c>
      <c r="L4754">
        <v>140.78620000000001</v>
      </c>
      <c r="M4754">
        <v>-0.99964140000000001</v>
      </c>
      <c r="N4754">
        <v>-8.5506699999999998E-3</v>
      </c>
      <c r="O4754">
        <v>2.5378680000000001E-2</v>
      </c>
      <c r="P4754">
        <v>-0.92852179999999995</v>
      </c>
      <c r="Q4754">
        <v>0.37012970000000001</v>
      </c>
      <c r="R4754">
        <v>-2.9181550000000001E-2</v>
      </c>
      <c r="S4754">
        <v>-3.4069370000000001</v>
      </c>
      <c r="T4754">
        <v>-0.44582339999999998</v>
      </c>
      <c r="U4754">
        <v>4.272461E-3</v>
      </c>
      <c r="V4754">
        <v>-5.0324279999999999E-2</v>
      </c>
      <c r="W4754">
        <v>0.37837559999999998</v>
      </c>
      <c r="X4754">
        <v>0.92428310000000002</v>
      </c>
      <c r="Y4754">
        <v>-2.3721409999999998E-2</v>
      </c>
      <c r="Z4754">
        <v>-4.7378009999999998E-3</v>
      </c>
      <c r="AA4754">
        <v>0.99970740000000002</v>
      </c>
      <c r="AB4754">
        <v>30</v>
      </c>
      <c r="AC4754">
        <v>-0.46389999999999498</v>
      </c>
      <c r="AD4754">
        <v>-9.7700999999999996E-2</v>
      </c>
      <c r="AE4754">
        <v>-8.3000000000197308E-3</v>
      </c>
      <c r="AF4754">
        <v>-1.9218738343917199E-2</v>
      </c>
      <c r="AG4754">
        <v>-9.7700999999999996E-2</v>
      </c>
      <c r="AH4754">
        <v>0.44385857072135299</v>
      </c>
      <c r="AI4754">
        <v>102.40257426823401</v>
      </c>
      <c r="AJ4754">
        <v>92.479314999245105</v>
      </c>
      <c r="AK4754">
        <v>0.45489040010461201</v>
      </c>
      <c r="AL4754">
        <v>67.766898734197298</v>
      </c>
      <c r="AM4754">
        <v>93.116496126285995</v>
      </c>
      <c r="AN4754">
        <v>0.99999993838924195</v>
      </c>
    </row>
    <row r="4755" spans="1:40" x14ac:dyDescent="0.25">
      <c r="A4755" t="str">
        <f>"20190304164943898"</f>
        <v>20190304164943898</v>
      </c>
      <c r="B4755" t="str">
        <f>"1551689383890711"</f>
        <v>1551689383890711</v>
      </c>
      <c r="C4755" t="s">
        <v>40</v>
      </c>
      <c r="D4755">
        <v>4.6865500000000004</v>
      </c>
      <c r="E4755">
        <v>0.52125449999999995</v>
      </c>
      <c r="F4755" t="s">
        <v>41</v>
      </c>
      <c r="G4755">
        <v>-218.20820000000001</v>
      </c>
      <c r="H4755">
        <v>1.0124850000000001</v>
      </c>
      <c r="I4755">
        <v>140.7867</v>
      </c>
      <c r="J4755">
        <v>-217.79390000000001</v>
      </c>
      <c r="K4755">
        <v>1.107993</v>
      </c>
      <c r="L4755">
        <v>140.79740000000001</v>
      </c>
      <c r="M4755">
        <v>-0.99956699999999998</v>
      </c>
      <c r="N4755">
        <v>-8.4772670000000001E-3</v>
      </c>
      <c r="O4755">
        <v>2.8182860000000001E-2</v>
      </c>
      <c r="P4755">
        <v>-0.92782849999999994</v>
      </c>
      <c r="Q4755">
        <v>0.3718978</v>
      </c>
      <c r="R4755">
        <v>-2.8750560000000001E-2</v>
      </c>
      <c r="S4755">
        <v>-3.407181</v>
      </c>
      <c r="T4755">
        <v>-0.44200840000000002</v>
      </c>
      <c r="U4755">
        <v>1.953125E-3</v>
      </c>
      <c r="V4755">
        <v>-5.2706429999999999E-2</v>
      </c>
      <c r="W4755">
        <v>0.38004880000000002</v>
      </c>
      <c r="X4755">
        <v>0.92346360000000005</v>
      </c>
      <c r="Y4755">
        <v>-2.716199E-2</v>
      </c>
      <c r="Z4755">
        <v>-5.2726179999999997E-3</v>
      </c>
      <c r="AA4755">
        <v>0.99961719999999998</v>
      </c>
      <c r="AB4755">
        <v>30</v>
      </c>
      <c r="AC4755">
        <v>-0.414299999999997</v>
      </c>
      <c r="AD4755">
        <v>-9.5507999999999899E-2</v>
      </c>
      <c r="AE4755">
        <v>-1.0700000000014099E-2</v>
      </c>
      <c r="AF4755">
        <v>-2.1244094425106001E-2</v>
      </c>
      <c r="AG4755">
        <v>-9.5507999999999899E-2</v>
      </c>
      <c r="AH4755">
        <v>0.39296430133127802</v>
      </c>
      <c r="AI4755">
        <v>103.641407624048</v>
      </c>
      <c r="AJ4755">
        <v>93.094462335161893</v>
      </c>
      <c r="AK4755">
        <v>0.404961765766501</v>
      </c>
      <c r="AL4755">
        <v>67.663295451777302</v>
      </c>
      <c r="AM4755">
        <v>93.266596866166907</v>
      </c>
      <c r="AN4755">
        <v>1.00000003933487</v>
      </c>
    </row>
    <row r="4756" spans="1:40" x14ac:dyDescent="0.25">
      <c r="A4756" t="str">
        <f>"20190304164943920"</f>
        <v>20190304164943920</v>
      </c>
      <c r="B4756" t="str">
        <f>"1551689383910230"</f>
        <v>1551689383910230</v>
      </c>
      <c r="C4756" t="s">
        <v>40</v>
      </c>
      <c r="D4756">
        <v>4.7465849999999996</v>
      </c>
      <c r="E4756">
        <v>0.52113259999999995</v>
      </c>
      <c r="F4756" t="s">
        <v>41</v>
      </c>
      <c r="G4756">
        <v>-218.73859999999999</v>
      </c>
      <c r="H4756">
        <v>0.99187990000000004</v>
      </c>
      <c r="I4756">
        <v>140.7972</v>
      </c>
      <c r="J4756">
        <v>-218.10319999999999</v>
      </c>
      <c r="K4756">
        <v>1.1082209999999999</v>
      </c>
      <c r="L4756">
        <v>140.80879999999999</v>
      </c>
      <c r="M4756">
        <v>-0.99949619999999995</v>
      </c>
      <c r="N4756">
        <v>-8.4078069999999998E-3</v>
      </c>
      <c r="O4756">
        <v>3.0607970000000002E-2</v>
      </c>
      <c r="P4756">
        <v>-0.92748810000000004</v>
      </c>
      <c r="Q4756">
        <v>0.37272719999999998</v>
      </c>
      <c r="R4756">
        <v>-2.899299E-2</v>
      </c>
      <c r="S4756">
        <v>-3.400833</v>
      </c>
      <c r="T4756">
        <v>-0.4179233</v>
      </c>
      <c r="U4756">
        <v>-1.235962E-3</v>
      </c>
      <c r="V4756">
        <v>-5.5396840000000003E-2</v>
      </c>
      <c r="W4756">
        <v>0.3807932</v>
      </c>
      <c r="X4756">
        <v>0.92299929999999997</v>
      </c>
      <c r="Y4756">
        <v>-3.052707E-2</v>
      </c>
      <c r="Z4756">
        <v>-5.4878890000000001E-3</v>
      </c>
      <c r="AA4756">
        <v>0.99951889999999999</v>
      </c>
      <c r="AB4756">
        <v>30</v>
      </c>
      <c r="AC4756">
        <v>-0.63540000000000396</v>
      </c>
      <c r="AD4756">
        <v>-0.116341099999999</v>
      </c>
      <c r="AE4756">
        <v>-1.15999999999871E-2</v>
      </c>
      <c r="AF4756">
        <v>-3.00368956748879E-2</v>
      </c>
      <c r="AG4756">
        <v>-0.116341099999999</v>
      </c>
      <c r="AH4756">
        <v>0.61416406935239998</v>
      </c>
      <c r="AI4756">
        <v>100.713934452923</v>
      </c>
      <c r="AJ4756">
        <v>92.799931265557007</v>
      </c>
      <c r="AK4756">
        <v>0.62580745500073298</v>
      </c>
      <c r="AL4756">
        <v>67.617175806216295</v>
      </c>
      <c r="AM4756">
        <v>93.434674563268501</v>
      </c>
      <c r="AN4756">
        <v>0.99999998942435697</v>
      </c>
    </row>
    <row r="4757" spans="1:40" x14ac:dyDescent="0.25">
      <c r="A4757" t="str">
        <f>"20190304164943942"</f>
        <v>20190304164943942</v>
      </c>
      <c r="B4757" t="str">
        <f>"1551689383930726"</f>
        <v>1551689383930726</v>
      </c>
      <c r="C4757" t="s">
        <v>40</v>
      </c>
      <c r="D4757">
        <v>4.7320630000000001</v>
      </c>
      <c r="E4757">
        <v>0.52114209999999905</v>
      </c>
      <c r="F4757" t="s">
        <v>41</v>
      </c>
      <c r="G4757">
        <v>-219.0127</v>
      </c>
      <c r="H4757">
        <v>0.99914599999999998</v>
      </c>
      <c r="I4757">
        <v>140.8091</v>
      </c>
      <c r="J4757">
        <v>-218.39240000000001</v>
      </c>
      <c r="K4757">
        <v>1.1084050000000001</v>
      </c>
      <c r="L4757">
        <v>140.81989999999999</v>
      </c>
      <c r="M4757">
        <v>-0.99943130000000002</v>
      </c>
      <c r="N4757">
        <v>-8.3465099999999997E-3</v>
      </c>
      <c r="O4757">
        <v>3.2672680000000003E-2</v>
      </c>
      <c r="P4757">
        <v>-0.9268535</v>
      </c>
      <c r="Q4757">
        <v>0.37444430000000001</v>
      </c>
      <c r="R4757">
        <v>-2.7092700000000001E-2</v>
      </c>
      <c r="S4757">
        <v>-3.3983919999999999</v>
      </c>
      <c r="T4757">
        <v>-0.40759830000000002</v>
      </c>
      <c r="U4757">
        <v>8.2397459999999998E-4</v>
      </c>
      <c r="V4757">
        <v>-5.5551349999999999E-2</v>
      </c>
      <c r="W4757">
        <v>0.38242310000000002</v>
      </c>
      <c r="X4757">
        <v>0.92231589999999997</v>
      </c>
      <c r="Y4757">
        <v>-3.1983560000000001E-2</v>
      </c>
      <c r="Z4757">
        <v>-5.6775269999999999E-3</v>
      </c>
      <c r="AA4757">
        <v>0.99947229999999998</v>
      </c>
      <c r="AB4757">
        <v>30</v>
      </c>
      <c r="AC4757">
        <v>-0.62029999999998597</v>
      </c>
      <c r="AD4757">
        <v>-0.109259</v>
      </c>
      <c r="AE4757">
        <v>-1.0799999999989001E-2</v>
      </c>
      <c r="AF4757">
        <v>-3.0127385083112301E-2</v>
      </c>
      <c r="AG4757">
        <v>-0.109259</v>
      </c>
      <c r="AH4757">
        <v>0.60097632398578704</v>
      </c>
      <c r="AI4757">
        <v>100.291330159431</v>
      </c>
      <c r="AJ4757">
        <v>92.869877084588495</v>
      </c>
      <c r="AK4757">
        <v>0.61156989004071804</v>
      </c>
      <c r="AL4757">
        <v>67.516143953128093</v>
      </c>
      <c r="AM4757">
        <v>93.446777240394098</v>
      </c>
      <c r="AN4757">
        <v>0.99999999964662101</v>
      </c>
    </row>
    <row r="4758" spans="1:40" x14ac:dyDescent="0.25">
      <c r="A4758" t="str">
        <f>"20190304164943964"</f>
        <v>20190304164943964</v>
      </c>
      <c r="B4758" t="str">
        <f>"1551689383960982"</f>
        <v>1551689383960982</v>
      </c>
      <c r="C4758" t="s">
        <v>40</v>
      </c>
      <c r="D4758">
        <v>4.7491240000000001</v>
      </c>
      <c r="E4758">
        <v>0.52141759999999904</v>
      </c>
      <c r="F4758" t="s">
        <v>41</v>
      </c>
      <c r="G4758">
        <v>-219.28569999999999</v>
      </c>
      <c r="H4758">
        <v>1.00308</v>
      </c>
      <c r="I4758">
        <v>140.8212</v>
      </c>
      <c r="J4758">
        <v>-218.6961</v>
      </c>
      <c r="K4758">
        <v>1.1085750000000001</v>
      </c>
      <c r="L4758">
        <v>140.83189999999999</v>
      </c>
      <c r="M4758">
        <v>-0.99936630000000004</v>
      </c>
      <c r="N4758">
        <v>-8.2833230000000004E-3</v>
      </c>
      <c r="O4758">
        <v>3.4621760000000001E-2</v>
      </c>
      <c r="P4758">
        <v>-0.92646740000000005</v>
      </c>
      <c r="Q4758">
        <v>0.37555889999999997</v>
      </c>
      <c r="R4758">
        <v>-2.4780090000000001E-2</v>
      </c>
      <c r="S4758">
        <v>-3.3987729999999998</v>
      </c>
      <c r="T4758">
        <v>-0.40070470000000002</v>
      </c>
      <c r="U4758">
        <v>4.3945310000000001E-3</v>
      </c>
      <c r="V4758">
        <v>-5.5185919999999999E-2</v>
      </c>
      <c r="W4758">
        <v>0.38345069999999998</v>
      </c>
      <c r="X4758">
        <v>0.92191109999999998</v>
      </c>
      <c r="Y4758">
        <v>-3.2879690000000003E-2</v>
      </c>
      <c r="Z4758">
        <v>-5.8493599999999996E-3</v>
      </c>
      <c r="AA4758">
        <v>0.99944219999999895</v>
      </c>
      <c r="AB4758">
        <v>30</v>
      </c>
      <c r="AC4758">
        <v>-0.58959999999999002</v>
      </c>
      <c r="AD4758">
        <v>-0.10549500000000001</v>
      </c>
      <c r="AE4758">
        <v>-1.06999999999857E-2</v>
      </c>
      <c r="AF4758">
        <v>-3.0142585237136001E-2</v>
      </c>
      <c r="AG4758">
        <v>-0.10549500000000001</v>
      </c>
      <c r="AH4758">
        <v>0.57061404138381899</v>
      </c>
      <c r="AI4758">
        <v>100.460296208811</v>
      </c>
      <c r="AJ4758">
        <v>93.023828824771201</v>
      </c>
      <c r="AK4758">
        <v>0.58106639439409402</v>
      </c>
      <c r="AL4758">
        <v>67.452408567084206</v>
      </c>
      <c r="AM4758">
        <v>93.425657572842198</v>
      </c>
      <c r="AN4758">
        <v>1.0000000006999701</v>
      </c>
    </row>
    <row r="4759" spans="1:40" x14ac:dyDescent="0.25">
      <c r="A4759" t="str">
        <f>"20190304164943988"</f>
        <v>20190304164943988</v>
      </c>
      <c r="B4759" t="str">
        <f>"1551689383980502"</f>
        <v>1551689383980502</v>
      </c>
      <c r="C4759" t="s">
        <v>40</v>
      </c>
      <c r="D4759">
        <v>4.7724599999999997</v>
      </c>
      <c r="E4759">
        <v>0.52168859999999995</v>
      </c>
      <c r="F4759" t="s">
        <v>41</v>
      </c>
      <c r="G4759">
        <v>-219.55930000000001</v>
      </c>
      <c r="H4759">
        <v>1.0070589999999999</v>
      </c>
      <c r="I4759">
        <v>140.83430000000001</v>
      </c>
      <c r="J4759">
        <v>-219.01679999999999</v>
      </c>
      <c r="K4759">
        <v>1.1087560000000001</v>
      </c>
      <c r="L4759">
        <v>140.845</v>
      </c>
      <c r="M4759">
        <v>-0.99930229999999998</v>
      </c>
      <c r="N4759">
        <v>-8.219868E-3</v>
      </c>
      <c r="O4759">
        <v>3.6436219999999998E-2</v>
      </c>
      <c r="P4759">
        <v>-0.92668600000000001</v>
      </c>
      <c r="Q4759">
        <v>0.3750754</v>
      </c>
      <c r="R4759">
        <v>-2.390776E-2</v>
      </c>
      <c r="S4759">
        <v>-3.400452</v>
      </c>
      <c r="T4759">
        <v>-0.39983479999999999</v>
      </c>
      <c r="U4759">
        <v>9.2010500000000005E-3</v>
      </c>
      <c r="V4759">
        <v>-5.6168059999999999E-2</v>
      </c>
      <c r="W4759">
        <v>0.38288919999999999</v>
      </c>
      <c r="X4759">
        <v>0.92208520000000005</v>
      </c>
      <c r="Y4759">
        <v>-3.3270910000000001E-2</v>
      </c>
      <c r="Z4759">
        <v>-6.0567650000000004E-3</v>
      </c>
      <c r="AA4759">
        <v>0.99942799999999998</v>
      </c>
      <c r="AB4759">
        <v>30</v>
      </c>
      <c r="AC4759">
        <v>-0.54250000000001797</v>
      </c>
      <c r="AD4759">
        <v>-0.101696999999999</v>
      </c>
      <c r="AE4759">
        <v>-1.06999999999857E-2</v>
      </c>
      <c r="AF4759">
        <v>-2.9426527328656998E-2</v>
      </c>
      <c r="AG4759">
        <v>-0.101696999999999</v>
      </c>
      <c r="AH4759">
        <v>0.523365321989676</v>
      </c>
      <c r="AI4759">
        <v>100.979398367424</v>
      </c>
      <c r="AJ4759">
        <v>93.218101077921602</v>
      </c>
      <c r="AK4759">
        <v>0.53396578596477595</v>
      </c>
      <c r="AL4759">
        <v>67.487239686243498</v>
      </c>
      <c r="AM4759">
        <v>93.485818026455803</v>
      </c>
      <c r="AN4759">
        <v>1.00000005324992</v>
      </c>
    </row>
    <row r="4760" spans="1:40" x14ac:dyDescent="0.25">
      <c r="A4760" t="str">
        <f>"20190304164944009"</f>
        <v>20190304164944009</v>
      </c>
      <c r="B4760" t="str">
        <f>"1551689384000999"</f>
        <v>1551689384000999</v>
      </c>
      <c r="C4760" t="s">
        <v>40</v>
      </c>
      <c r="D4760">
        <v>4.7327089999999998</v>
      </c>
      <c r="E4760">
        <v>0.52170349999999999</v>
      </c>
      <c r="F4760" t="s">
        <v>41</v>
      </c>
      <c r="G4760">
        <v>-219.83369999999999</v>
      </c>
      <c r="H4760">
        <v>1.0114540000000001</v>
      </c>
      <c r="I4760">
        <v>140.8477</v>
      </c>
      <c r="J4760">
        <v>-219.31209999999999</v>
      </c>
      <c r="K4760">
        <v>1.1089169999999999</v>
      </c>
      <c r="L4760">
        <v>140.85740000000001</v>
      </c>
      <c r="M4760">
        <v>-0.99924860000000004</v>
      </c>
      <c r="N4760">
        <v>-8.1638930000000002E-3</v>
      </c>
      <c r="O4760">
        <v>3.7892420000000003E-2</v>
      </c>
      <c r="P4760">
        <v>-0.92695680000000003</v>
      </c>
      <c r="Q4760">
        <v>0.37434030000000001</v>
      </c>
      <c r="R4760">
        <v>-2.4911519999999999E-2</v>
      </c>
      <c r="S4760">
        <v>-3.4016269999999902</v>
      </c>
      <c r="T4760">
        <v>-0.40521790000000002</v>
      </c>
      <c r="U4760">
        <v>1.152039E-2</v>
      </c>
      <c r="V4760">
        <v>-5.8688049999999999E-2</v>
      </c>
      <c r="W4760">
        <v>0.38208900000000001</v>
      </c>
      <c r="X4760">
        <v>0.92226010000000003</v>
      </c>
      <c r="Y4760">
        <v>-3.4019729999999998E-2</v>
      </c>
      <c r="Z4760">
        <v>-6.3472729999999996E-3</v>
      </c>
      <c r="AA4760">
        <v>0.99940099999999998</v>
      </c>
      <c r="AB4760">
        <v>30</v>
      </c>
      <c r="AC4760">
        <v>-0.52160000000000595</v>
      </c>
      <c r="AD4760">
        <v>-9.74629999999998E-2</v>
      </c>
      <c r="AE4760">
        <v>-9.7000000000093695E-3</v>
      </c>
      <c r="AF4760">
        <v>-2.8464885367845E-2</v>
      </c>
      <c r="AG4760">
        <v>-9.74629999999998E-2</v>
      </c>
      <c r="AH4760">
        <v>0.50329175919152003</v>
      </c>
      <c r="AI4760">
        <v>100.94267046229901</v>
      </c>
      <c r="AJ4760">
        <v>93.2370531290792</v>
      </c>
      <c r="AK4760">
        <v>0.51343147638034403</v>
      </c>
      <c r="AL4760">
        <v>67.536859509975102</v>
      </c>
      <c r="AM4760">
        <v>93.6411092080982</v>
      </c>
      <c r="AN4760">
        <v>0.99999999159290598</v>
      </c>
    </row>
    <row r="4761" spans="1:40" x14ac:dyDescent="0.25">
      <c r="A4761" t="str">
        <f>"20190304164944032"</f>
        <v>20190304164944032</v>
      </c>
      <c r="B4761" t="str">
        <f>"1551689384020519"</f>
        <v>1551689384020519</v>
      </c>
      <c r="C4761" t="s">
        <v>40</v>
      </c>
      <c r="D4761">
        <v>4.7950569999999999</v>
      </c>
      <c r="E4761">
        <v>0.52179379999999997</v>
      </c>
      <c r="F4761" t="s">
        <v>41</v>
      </c>
      <c r="G4761">
        <v>-220.10749999999999</v>
      </c>
      <c r="H4761">
        <v>1.0132190000000001</v>
      </c>
      <c r="I4761">
        <v>140.8595</v>
      </c>
      <c r="J4761">
        <v>-219.61670000000001</v>
      </c>
      <c r="K4761">
        <v>1.109081</v>
      </c>
      <c r="L4761">
        <v>140.87029999999999</v>
      </c>
      <c r="M4761">
        <v>-0.9991989</v>
      </c>
      <c r="N4761">
        <v>-8.1044529999999993E-3</v>
      </c>
      <c r="O4761">
        <v>3.9192669999999999E-2</v>
      </c>
      <c r="P4761">
        <v>-0.92719839999999998</v>
      </c>
      <c r="Q4761">
        <v>0.37366569999999999</v>
      </c>
      <c r="R4761">
        <v>-2.602281E-2</v>
      </c>
      <c r="S4761">
        <v>-3.401932</v>
      </c>
      <c r="T4761">
        <v>-0.40931430000000002</v>
      </c>
      <c r="U4761">
        <v>8.1634519999999999E-3</v>
      </c>
      <c r="V4761">
        <v>-6.1177099999999998E-2</v>
      </c>
      <c r="W4761">
        <v>0.38134249999999997</v>
      </c>
      <c r="X4761">
        <v>0.92240730000000004</v>
      </c>
      <c r="Y4761">
        <v>-3.6270959999999998E-2</v>
      </c>
      <c r="Z4761">
        <v>-6.7027679999999996E-3</v>
      </c>
      <c r="AA4761">
        <v>0.99931950000000003</v>
      </c>
      <c r="AB4761">
        <v>30</v>
      </c>
      <c r="AC4761">
        <v>-0.49079999999997798</v>
      </c>
      <c r="AD4761">
        <v>-9.5861999999999795E-2</v>
      </c>
      <c r="AE4761">
        <v>-1.0799999999989001E-2</v>
      </c>
      <c r="AF4761">
        <v>-2.8925160214434101E-2</v>
      </c>
      <c r="AG4761">
        <v>-9.5861999999999795E-2</v>
      </c>
      <c r="AH4761">
        <v>0.472001871435416</v>
      </c>
      <c r="AI4761">
        <v>101.45950405649501</v>
      </c>
      <c r="AJ4761">
        <v>93.506807348757206</v>
      </c>
      <c r="AK4761">
        <v>0.48250591144147198</v>
      </c>
      <c r="AL4761">
        <v>67.583134594597993</v>
      </c>
      <c r="AM4761">
        <v>93.794488220979204</v>
      </c>
      <c r="AN4761">
        <v>0.99999998348197405</v>
      </c>
    </row>
    <row r="4762" spans="1:40" x14ac:dyDescent="0.25">
      <c r="A4762" t="str">
        <f>"20190304164944054"</f>
        <v>20190304164944054</v>
      </c>
      <c r="B4762" t="str">
        <f>"1551689384050774"</f>
        <v>1551689384050774</v>
      </c>
      <c r="C4762" t="s">
        <v>40</v>
      </c>
      <c r="D4762">
        <v>4.8024699999999996</v>
      </c>
      <c r="E4762">
        <v>0.52168490000000001</v>
      </c>
      <c r="F4762" t="s">
        <v>41</v>
      </c>
      <c r="G4762">
        <v>-220.38229999999999</v>
      </c>
      <c r="H4762">
        <v>1.015849</v>
      </c>
      <c r="I4762">
        <v>140.87119999999999</v>
      </c>
      <c r="J4762">
        <v>-219.91669999999999</v>
      </c>
      <c r="K4762">
        <v>1.1092200000000001</v>
      </c>
      <c r="L4762">
        <v>140.88329999999999</v>
      </c>
      <c r="M4762">
        <v>-0.99915580000000004</v>
      </c>
      <c r="N4762">
        <v>-8.0420619999999905E-3</v>
      </c>
      <c r="O4762">
        <v>4.0288530000000003E-2</v>
      </c>
      <c r="P4762">
        <v>-0.92758790000000002</v>
      </c>
      <c r="Q4762">
        <v>0.37271700000000002</v>
      </c>
      <c r="R4762">
        <v>-2.5754949999999999E-2</v>
      </c>
      <c r="S4762">
        <v>-3.4026640000000001</v>
      </c>
      <c r="T4762">
        <v>-0.41442970000000001</v>
      </c>
      <c r="U4762">
        <v>3.158569E-3</v>
      </c>
      <c r="V4762">
        <v>-6.2097430000000002E-2</v>
      </c>
      <c r="W4762">
        <v>0.3803165</v>
      </c>
      <c r="X4762">
        <v>0.92276939999999996</v>
      </c>
      <c r="Y4762">
        <v>-3.8796959999999998E-2</v>
      </c>
      <c r="Z4762">
        <v>-7.0754919999999897E-3</v>
      </c>
      <c r="AA4762">
        <v>0.99922200000000005</v>
      </c>
      <c r="AB4762">
        <v>30</v>
      </c>
      <c r="AC4762">
        <v>-0.46559999999999402</v>
      </c>
      <c r="AD4762">
        <v>-9.3370999999999996E-2</v>
      </c>
      <c r="AE4762">
        <v>-1.21000000000037E-2</v>
      </c>
      <c r="AF4762">
        <v>-2.9657231899604401E-2</v>
      </c>
      <c r="AG4762">
        <v>-9.3370999999999996E-2</v>
      </c>
      <c r="AH4762">
        <v>0.44677893997623502</v>
      </c>
      <c r="AI4762">
        <v>101.778983958471</v>
      </c>
      <c r="AJ4762">
        <v>93.797728265420801</v>
      </c>
      <c r="AK4762">
        <v>0.457393830578458</v>
      </c>
      <c r="AL4762">
        <v>67.646712367044998</v>
      </c>
      <c r="AM4762">
        <v>93.849894070955898</v>
      </c>
      <c r="AN4762">
        <v>1.0000000482806</v>
      </c>
    </row>
    <row r="4763" spans="1:40" x14ac:dyDescent="0.25">
      <c r="A4763" t="str">
        <f>"20190304164944077"</f>
        <v>20190304164944077</v>
      </c>
      <c r="B4763" t="str">
        <f>"1551689384070295"</f>
        <v>1551689384070295</v>
      </c>
      <c r="C4763" t="s">
        <v>40</v>
      </c>
      <c r="D4763">
        <v>4.768446</v>
      </c>
      <c r="E4763">
        <v>0.52170969999999905</v>
      </c>
      <c r="F4763" t="s">
        <v>41</v>
      </c>
      <c r="G4763">
        <v>-220.65770000000001</v>
      </c>
      <c r="H4763">
        <v>1.018127</v>
      </c>
      <c r="I4763">
        <v>140.88419999999999</v>
      </c>
      <c r="J4763">
        <v>-220.22319999999999</v>
      </c>
      <c r="K4763">
        <v>1.1093420000000001</v>
      </c>
      <c r="L4763">
        <v>140.89670000000001</v>
      </c>
      <c r="M4763">
        <v>-0.99911760000000005</v>
      </c>
      <c r="N4763">
        <v>-7.9788380000000002E-3</v>
      </c>
      <c r="O4763">
        <v>4.1236689999999999E-2</v>
      </c>
      <c r="P4763">
        <v>-0.92814110000000005</v>
      </c>
      <c r="Q4763">
        <v>0.37125979999999997</v>
      </c>
      <c r="R4763">
        <v>-2.6841980000000001E-2</v>
      </c>
      <c r="S4763">
        <v>-3.4024049999999999</v>
      </c>
      <c r="T4763">
        <v>-0.41834640000000001</v>
      </c>
      <c r="U4763">
        <v>3.219604E-3</v>
      </c>
      <c r="V4763">
        <v>-6.4228699999999903E-2</v>
      </c>
      <c r="W4763">
        <v>0.37878610000000001</v>
      </c>
      <c r="X4763">
        <v>0.92325279999999998</v>
      </c>
      <c r="Y4763">
        <v>-3.9702580000000001E-2</v>
      </c>
      <c r="Z4763">
        <v>-7.3129400000000004E-3</v>
      </c>
      <c r="AA4763">
        <v>0.99918479999999998</v>
      </c>
      <c r="AB4763">
        <v>31</v>
      </c>
      <c r="AC4763">
        <v>-0.43450000000001399</v>
      </c>
      <c r="AD4763">
        <v>-9.1215000000000004E-2</v>
      </c>
      <c r="AE4763">
        <v>-1.2500000000016999E-2</v>
      </c>
      <c r="AF4763">
        <v>-2.91247811552044E-2</v>
      </c>
      <c r="AG4763">
        <v>-9.1215000000000004E-2</v>
      </c>
      <c r="AH4763">
        <v>0.41532621090732702</v>
      </c>
      <c r="AI4763">
        <v>102.35737786439699</v>
      </c>
      <c r="AJ4763">
        <v>94.011304131339898</v>
      </c>
      <c r="AK4763">
        <v>0.42622094102586799</v>
      </c>
      <c r="AL4763">
        <v>67.741488475868593</v>
      </c>
      <c r="AM4763">
        <v>93.979531803785903</v>
      </c>
      <c r="AN4763">
        <v>0.99999998408236901</v>
      </c>
    </row>
    <row r="4764" spans="1:40" x14ac:dyDescent="0.25">
      <c r="A4764" t="str">
        <f>"20190304164944098"</f>
        <v>20190304164944098</v>
      </c>
      <c r="B4764" t="str">
        <f>"1551689384090791"</f>
        <v>1551689384090791</v>
      </c>
      <c r="C4764" t="s">
        <v>40</v>
      </c>
      <c r="D4764">
        <v>4.7979459999999996</v>
      </c>
      <c r="E4764">
        <v>0.52139939999999996</v>
      </c>
      <c r="F4764" t="s">
        <v>41</v>
      </c>
      <c r="G4764">
        <v>-221.1942</v>
      </c>
      <c r="H4764">
        <v>0.98806249999999995</v>
      </c>
      <c r="I4764">
        <v>140.89689999999999</v>
      </c>
      <c r="J4764">
        <v>-220.5333</v>
      </c>
      <c r="K4764">
        <v>1.109448</v>
      </c>
      <c r="L4764">
        <v>140.91040000000001</v>
      </c>
      <c r="M4764">
        <v>-0.99908419999999998</v>
      </c>
      <c r="N4764">
        <v>-7.9202560000000005E-3</v>
      </c>
      <c r="O4764">
        <v>4.2045989999999998E-2</v>
      </c>
      <c r="P4764">
        <v>-0.92862359999999999</v>
      </c>
      <c r="Q4764">
        <v>0.3699441</v>
      </c>
      <c r="R4764">
        <v>-2.8275519999999998E-2</v>
      </c>
      <c r="S4764">
        <v>-3.4022670000000002</v>
      </c>
      <c r="T4764">
        <v>-0.42499330000000002</v>
      </c>
      <c r="U4764" s="1">
        <v>1.525879E-5</v>
      </c>
      <c r="V4764">
        <v>-6.6548640000000006E-2</v>
      </c>
      <c r="W4764">
        <v>0.37740400000000002</v>
      </c>
      <c r="X4764">
        <v>0.92365439999999999</v>
      </c>
      <c r="Y4764">
        <v>-4.141392E-2</v>
      </c>
      <c r="Z4764">
        <v>-7.6400599999999997E-3</v>
      </c>
      <c r="AA4764">
        <v>0.99911280000000002</v>
      </c>
      <c r="AB4764">
        <v>31</v>
      </c>
      <c r="AC4764">
        <v>-0.66089999999999705</v>
      </c>
      <c r="AD4764">
        <v>-0.12138549999999999</v>
      </c>
      <c r="AE4764">
        <v>-1.35000000000218E-2</v>
      </c>
      <c r="AF4764">
        <v>-3.9930687336313199E-2</v>
      </c>
      <c r="AG4764">
        <v>-0.12138549999999999</v>
      </c>
      <c r="AH4764">
        <v>0.63822718236111498</v>
      </c>
      <c r="AI4764">
        <v>100.74804205361001</v>
      </c>
      <c r="AJ4764">
        <v>93.580044422850406</v>
      </c>
      <c r="AK4764">
        <v>0.65089387438046198</v>
      </c>
      <c r="AL4764">
        <v>67.827026571575303</v>
      </c>
      <c r="AM4764">
        <v>94.120999008464096</v>
      </c>
      <c r="AN4764">
        <v>0.99999997567060395</v>
      </c>
    </row>
    <row r="4765" spans="1:40" x14ac:dyDescent="0.25">
      <c r="A4765" t="str">
        <f>"20190304164944121"</f>
        <v>20190304164944121</v>
      </c>
      <c r="B4765" t="str">
        <f>"1551689384110310"</f>
        <v>1551689384110310</v>
      </c>
      <c r="C4765" t="s">
        <v>40</v>
      </c>
      <c r="D4765">
        <v>4.7882939999999996</v>
      </c>
      <c r="E4765">
        <v>0.49527890000000002</v>
      </c>
      <c r="F4765" t="s">
        <v>41</v>
      </c>
      <c r="G4765">
        <v>-221.4717</v>
      </c>
      <c r="H4765">
        <v>0.99093869999999895</v>
      </c>
      <c r="I4765">
        <v>140.90870000000001</v>
      </c>
      <c r="J4765">
        <v>-220.8416</v>
      </c>
      <c r="K4765">
        <v>1.1095200000000001</v>
      </c>
      <c r="L4765">
        <v>140.92420000000001</v>
      </c>
      <c r="M4765">
        <v>-0.99905500000000003</v>
      </c>
      <c r="N4765">
        <v>-7.8667990000000007E-3</v>
      </c>
      <c r="O4765">
        <v>4.2749570000000001E-2</v>
      </c>
      <c r="P4765">
        <v>-0.92931129999999995</v>
      </c>
      <c r="Q4765">
        <v>0.36813380000000001</v>
      </c>
      <c r="R4765">
        <v>-2.9295229999999998E-2</v>
      </c>
      <c r="S4765">
        <v>-3.4015659999999999</v>
      </c>
      <c r="T4765">
        <v>-0.42966219999999999</v>
      </c>
      <c r="U4765">
        <v>-6.3323969999999896E-3</v>
      </c>
      <c r="V4765">
        <v>-6.8337110000000006E-2</v>
      </c>
      <c r="W4765">
        <v>0.37553750000000002</v>
      </c>
      <c r="X4765">
        <v>0.92428440000000001</v>
      </c>
      <c r="Y4765">
        <v>-4.394112E-2</v>
      </c>
      <c r="Z4765">
        <v>-7.9798939999999995E-3</v>
      </c>
      <c r="AA4765">
        <v>0.99900230000000001</v>
      </c>
      <c r="AB4765">
        <v>31</v>
      </c>
      <c r="AC4765">
        <v>-0.630099999999998</v>
      </c>
      <c r="AD4765">
        <v>-0.1185813</v>
      </c>
      <c r="AE4765">
        <v>-1.55000000000029E-2</v>
      </c>
      <c r="AF4765">
        <v>-4.0972897660743898E-2</v>
      </c>
      <c r="AG4765">
        <v>-0.1185813</v>
      </c>
      <c r="AH4765">
        <v>0.60736324214438797</v>
      </c>
      <c r="AI4765">
        <v>101.02299040229001</v>
      </c>
      <c r="AJ4765">
        <v>93.859342245689803</v>
      </c>
      <c r="AK4765">
        <v>0.62018578745449304</v>
      </c>
      <c r="AL4765">
        <v>67.942462799244794</v>
      </c>
      <c r="AM4765">
        <v>94.228478653216797</v>
      </c>
      <c r="AN4765">
        <v>1.00000001329638</v>
      </c>
    </row>
    <row r="4766" spans="1:40" x14ac:dyDescent="0.25">
      <c r="A4766" t="str">
        <f>"20190304164944142"</f>
        <v>20190304164944142</v>
      </c>
      <c r="B4766" t="str">
        <f>"1551689384130810"</f>
        <v>1551689384130810</v>
      </c>
      <c r="C4766" t="s">
        <v>40</v>
      </c>
      <c r="D4766">
        <v>4.7736789999999996</v>
      </c>
      <c r="E4766">
        <v>0.48954809999999999</v>
      </c>
      <c r="F4766" t="s">
        <v>42</v>
      </c>
      <c r="G4766">
        <v>-231.078</v>
      </c>
      <c r="H4766" s="1">
        <v>-3.9845970000000001E-6</v>
      </c>
      <c r="I4766">
        <v>140.27330000000001</v>
      </c>
      <c r="J4766">
        <v>-221.13329999999999</v>
      </c>
      <c r="K4766">
        <v>1.1095740000000001</v>
      </c>
      <c r="L4766">
        <v>140.93729999999999</v>
      </c>
      <c r="M4766">
        <v>-0.99902959999999996</v>
      </c>
      <c r="N4766">
        <v>-7.8173089999999997E-3</v>
      </c>
      <c r="O4766">
        <v>4.3344439999999998E-2</v>
      </c>
      <c r="P4766">
        <v>-0.92995499999999998</v>
      </c>
      <c r="Q4766">
        <v>0.36639060000000001</v>
      </c>
      <c r="R4766">
        <v>-3.0688920000000001E-2</v>
      </c>
      <c r="S4766">
        <v>-3.3659819999999998</v>
      </c>
      <c r="T4766">
        <v>-0.3648381</v>
      </c>
      <c r="U4766">
        <v>-0.21401980000000001</v>
      </c>
      <c r="V4766">
        <v>-7.0372100000000007E-2</v>
      </c>
      <c r="W4766">
        <v>0.3737453</v>
      </c>
      <c r="X4766">
        <v>0.92485799999999996</v>
      </c>
      <c r="Y4766">
        <v>-0.1057737</v>
      </c>
      <c r="Z4766">
        <v>-1.046774E-2</v>
      </c>
      <c r="AA4766">
        <v>0.99433510000000003</v>
      </c>
      <c r="AB4766">
        <v>31</v>
      </c>
      <c r="AC4766">
        <v>-9.9447000000000099</v>
      </c>
      <c r="AD4766">
        <v>-1.109577984597</v>
      </c>
      <c r="AE4766">
        <v>-0.66399999999998705</v>
      </c>
      <c r="AF4766">
        <v>-1.0810385016021</v>
      </c>
      <c r="AG4766">
        <v>-1.109577984597</v>
      </c>
      <c r="AH4766">
        <v>9.7852958204633396</v>
      </c>
      <c r="AI4766">
        <v>96.430480294992606</v>
      </c>
      <c r="AJ4766">
        <v>96.304233188462604</v>
      </c>
      <c r="AK4766">
        <v>9.9071601299174397</v>
      </c>
      <c r="AL4766">
        <v>68.053215247401994</v>
      </c>
      <c r="AM4766">
        <v>94.351230062709305</v>
      </c>
      <c r="AN4766">
        <v>1.00000005094724</v>
      </c>
    </row>
    <row r="4767" spans="1:40" x14ac:dyDescent="0.25">
      <c r="A4767" t="str">
        <f>"20190304164944165"</f>
        <v>20190304164944165</v>
      </c>
      <c r="B4767" t="str">
        <f>"1551689384161063"</f>
        <v>1551689384161063</v>
      </c>
      <c r="C4767" t="s">
        <v>40</v>
      </c>
      <c r="D4767">
        <v>4.7030050000000001</v>
      </c>
      <c r="E4767">
        <v>0.47179840000000001</v>
      </c>
      <c r="F4767" t="s">
        <v>42</v>
      </c>
      <c r="G4767">
        <v>-231.36330000000001</v>
      </c>
      <c r="H4767" s="1">
        <v>-3.8262249999999999E-6</v>
      </c>
      <c r="I4767">
        <v>140.13800000000001</v>
      </c>
      <c r="J4767">
        <v>-221.4589</v>
      </c>
      <c r="K4767">
        <v>1.1096239999999999</v>
      </c>
      <c r="L4767">
        <v>140.9521</v>
      </c>
      <c r="M4767">
        <v>-0.99900389999999994</v>
      </c>
      <c r="N4767">
        <v>-7.7630069999999997E-3</v>
      </c>
      <c r="O4767">
        <v>4.3942290000000002E-2</v>
      </c>
      <c r="P4767">
        <v>-0.92998539999999996</v>
      </c>
      <c r="Q4767">
        <v>0.36624400000000001</v>
      </c>
      <c r="R4767">
        <v>-3.1503549999999998E-2</v>
      </c>
      <c r="S4767">
        <v>-3.360916</v>
      </c>
      <c r="T4767">
        <v>-0.36453530000000001</v>
      </c>
      <c r="U4767">
        <v>-0.2625885</v>
      </c>
      <c r="V4767">
        <v>-7.1796280000000004E-2</v>
      </c>
      <c r="W4767">
        <v>0.37353950000000002</v>
      </c>
      <c r="X4767">
        <v>0.92483159999999998</v>
      </c>
      <c r="Y4767">
        <v>-0.1206518</v>
      </c>
      <c r="Z4767">
        <v>-1.1390920000000001E-2</v>
      </c>
      <c r="AA4767">
        <v>0.99262950000000005</v>
      </c>
      <c r="AB4767">
        <v>31</v>
      </c>
      <c r="AC4767">
        <v>-9.9044000000000096</v>
      </c>
      <c r="AD4767">
        <v>-1.1096278262249999</v>
      </c>
      <c r="AE4767">
        <v>-0.81409999999999605</v>
      </c>
      <c r="AF4767">
        <v>-1.2331743137356299</v>
      </c>
      <c r="AG4767">
        <v>-1.1096278262249999</v>
      </c>
      <c r="AH4767">
        <v>9.7376552535431191</v>
      </c>
      <c r="AI4767">
        <v>96.449866566033606</v>
      </c>
      <c r="AJ4767">
        <v>97.217503464470198</v>
      </c>
      <c r="AK4767">
        <v>9.8779513380885895</v>
      </c>
      <c r="AL4767">
        <v>68.065925698780902</v>
      </c>
      <c r="AM4767">
        <v>94.439067331974499</v>
      </c>
      <c r="AN4767">
        <v>0.99999997612032299</v>
      </c>
    </row>
    <row r="4768" spans="1:40" x14ac:dyDescent="0.25">
      <c r="A4768" t="str">
        <f>"20190304164944254"</f>
        <v>20190304164944254</v>
      </c>
      <c r="B4768" t="str">
        <f>"1551689384250855"</f>
        <v>1551689384250855</v>
      </c>
      <c r="C4768" t="s">
        <v>40</v>
      </c>
      <c r="D4768">
        <v>3.994189</v>
      </c>
      <c r="E4768">
        <v>0.47087440000000003</v>
      </c>
      <c r="F4768" t="s">
        <v>42</v>
      </c>
      <c r="G4768">
        <v>-227.55109999999999</v>
      </c>
      <c r="H4768" s="1">
        <v>-1.19118E-6</v>
      </c>
      <c r="I4768">
        <v>140.21119999999999</v>
      </c>
      <c r="J4768">
        <v>-222.70009999999999</v>
      </c>
      <c r="K4768">
        <v>1.1098889999999999</v>
      </c>
      <c r="L4768">
        <v>141.0094</v>
      </c>
      <c r="M4768">
        <v>-0.99893379999999998</v>
      </c>
      <c r="N4768">
        <v>-7.5656480000000003E-3</v>
      </c>
      <c r="O4768">
        <v>4.554412E-2</v>
      </c>
      <c r="P4768">
        <v>-0.92987759999999997</v>
      </c>
      <c r="Q4768">
        <v>0.36633870000000002</v>
      </c>
      <c r="R4768">
        <v>-3.3530499999999998E-2</v>
      </c>
      <c r="S4768">
        <v>-3.459778</v>
      </c>
      <c r="T4768">
        <v>-0.63016939999999999</v>
      </c>
      <c r="U4768">
        <v>-0.4207458</v>
      </c>
      <c r="V4768">
        <v>-7.5552090000000002E-2</v>
      </c>
      <c r="W4768">
        <v>0.37340430000000002</v>
      </c>
      <c r="X4768">
        <v>0.92458700000000005</v>
      </c>
      <c r="Y4768">
        <v>-0.16238029999999901</v>
      </c>
      <c r="Z4768">
        <v>-2.3097860000000001E-2</v>
      </c>
      <c r="AA4768">
        <v>0.9864579</v>
      </c>
      <c r="AB4768">
        <v>31</v>
      </c>
      <c r="AC4768">
        <v>-4.8509999999999902</v>
      </c>
      <c r="AD4768">
        <v>-1.1098901911800001</v>
      </c>
      <c r="AE4768">
        <v>-0.79820000000000801</v>
      </c>
      <c r="AF4768">
        <v>-0.96892839888750004</v>
      </c>
      <c r="AG4768">
        <v>-1.1098901911800001</v>
      </c>
      <c r="AH4768">
        <v>4.5763645781240996</v>
      </c>
      <c r="AI4768">
        <v>103.347575119555</v>
      </c>
      <c r="AJ4768">
        <v>101.954378231535</v>
      </c>
      <c r="AK4768">
        <v>4.8076804418094596</v>
      </c>
      <c r="AL4768">
        <v>68.074276994965601</v>
      </c>
      <c r="AM4768">
        <v>94.671512200706502</v>
      </c>
      <c r="AN4768">
        <v>1.0000000050654201</v>
      </c>
    </row>
    <row r="4769" spans="1:40" x14ac:dyDescent="0.25">
      <c r="A4769" t="str">
        <f>"20190304164944277"</f>
        <v>20190304164944277</v>
      </c>
      <c r="B4769" t="str">
        <f>"1551689384270376"</f>
        <v>1551689384270376</v>
      </c>
      <c r="C4769" t="s">
        <v>40</v>
      </c>
      <c r="D4769">
        <v>4.7051809999999996</v>
      </c>
      <c r="E4769">
        <v>0.47922399999999998</v>
      </c>
      <c r="F4769" t="s">
        <v>42</v>
      </c>
      <c r="G4769">
        <v>-228.26410000000001</v>
      </c>
      <c r="H4769" s="1">
        <v>-9.1175760000000004E-7</v>
      </c>
      <c r="I4769">
        <v>140.31059999999999</v>
      </c>
      <c r="J4769">
        <v>-223.01779999999999</v>
      </c>
      <c r="K4769">
        <v>1.109966</v>
      </c>
      <c r="L4769">
        <v>141.0241</v>
      </c>
      <c r="M4769">
        <v>-0.99892579999999997</v>
      </c>
      <c r="N4769">
        <v>-7.519403E-3</v>
      </c>
      <c r="O4769">
        <v>4.5724090000000002E-2</v>
      </c>
      <c r="P4769">
        <v>-0.92918400000000001</v>
      </c>
      <c r="Q4769">
        <v>0.36807099999999998</v>
      </c>
      <c r="R4769">
        <v>-3.3778019999999999E-2</v>
      </c>
      <c r="S4769">
        <v>-3.4842680000000001</v>
      </c>
      <c r="T4769">
        <v>-0.69503249999999905</v>
      </c>
      <c r="U4769">
        <v>-0.43753049999999999</v>
      </c>
      <c r="V4769">
        <v>-7.6014029999999996E-2</v>
      </c>
      <c r="W4769">
        <v>0.37507220000000002</v>
      </c>
      <c r="X4769">
        <v>0.92387379999999997</v>
      </c>
      <c r="Y4769">
        <v>-0.16566789999999901</v>
      </c>
      <c r="Z4769">
        <v>-2.5594160000000001E-2</v>
      </c>
      <c r="AA4769">
        <v>0.98584939999999999</v>
      </c>
      <c r="AB4769">
        <v>31</v>
      </c>
      <c r="AC4769">
        <v>-5.2463000000000104</v>
      </c>
      <c r="AD4769">
        <v>-1.1099669117576001</v>
      </c>
      <c r="AE4769">
        <v>-0.71350000000001002</v>
      </c>
      <c r="AF4769">
        <v>-0.91253719163436697</v>
      </c>
      <c r="AG4769">
        <v>-1.1099669117576001</v>
      </c>
      <c r="AH4769">
        <v>4.9889264896076204</v>
      </c>
      <c r="AI4769">
        <v>102.344835369583</v>
      </c>
      <c r="AJ4769">
        <v>100.365530123908</v>
      </c>
      <c r="AK4769">
        <v>5.1917374924028303</v>
      </c>
      <c r="AL4769">
        <v>67.9712256931887</v>
      </c>
      <c r="AM4769">
        <v>94.703559085060704</v>
      </c>
      <c r="AN4769">
        <v>1.00000004314805</v>
      </c>
    </row>
    <row r="4770" spans="1:40" x14ac:dyDescent="0.25">
      <c r="A4770" t="str">
        <f>"20190304164944300"</f>
        <v>20190304164944300</v>
      </c>
      <c r="B4770" t="str">
        <f>"1551689384290871"</f>
        <v>1551689384290871</v>
      </c>
      <c r="C4770" t="s">
        <v>40</v>
      </c>
      <c r="D4770">
        <v>4.671602</v>
      </c>
      <c r="E4770">
        <v>0.50868950000000002</v>
      </c>
      <c r="F4770" t="s">
        <v>42</v>
      </c>
      <c r="G4770">
        <v>-228.7371</v>
      </c>
      <c r="H4770" s="1">
        <v>-7.3592819999999898E-7</v>
      </c>
      <c r="I4770">
        <v>140.41239999999999</v>
      </c>
      <c r="J4770">
        <v>-223.346</v>
      </c>
      <c r="K4770">
        <v>1.110034</v>
      </c>
      <c r="L4770">
        <v>141.03919999999999</v>
      </c>
      <c r="M4770">
        <v>-0.99892219999999998</v>
      </c>
      <c r="N4770">
        <v>-7.4737359999999999E-3</v>
      </c>
      <c r="O4770">
        <v>4.580998E-2</v>
      </c>
      <c r="P4770">
        <v>-0.92911889999999997</v>
      </c>
      <c r="Q4770">
        <v>0.36816979999999999</v>
      </c>
      <c r="R4770">
        <v>-3.4486139999999998E-2</v>
      </c>
      <c r="S4770">
        <v>-3.4828339999999902</v>
      </c>
      <c r="T4770">
        <v>-0.67593029999999998</v>
      </c>
      <c r="U4770">
        <v>-0.3724365</v>
      </c>
      <c r="V4770">
        <v>-7.6872540000000003E-2</v>
      </c>
      <c r="W4770">
        <v>0.37511319999999998</v>
      </c>
      <c r="X4770">
        <v>0.923786</v>
      </c>
      <c r="Y4770">
        <v>-0.1481421</v>
      </c>
      <c r="Z4770">
        <v>-2.321225E-2</v>
      </c>
      <c r="AA4770">
        <v>0.98869370000000001</v>
      </c>
      <c r="AB4770">
        <v>32</v>
      </c>
      <c r="AC4770">
        <v>-5.3911000000000202</v>
      </c>
      <c r="AD4770">
        <v>-1.1100347359281999</v>
      </c>
      <c r="AE4770">
        <v>-0.62680000000000202</v>
      </c>
      <c r="AF4770">
        <v>-0.83805907225572696</v>
      </c>
      <c r="AG4770">
        <v>-1.1100347359281999</v>
      </c>
      <c r="AH4770">
        <v>5.1416506292061603</v>
      </c>
      <c r="AI4770">
        <v>102.02862805957299</v>
      </c>
      <c r="AJ4770">
        <v>99.257469462586599</v>
      </c>
      <c r="AK4770">
        <v>5.3264520383059297</v>
      </c>
      <c r="AL4770">
        <v>67.968689080175594</v>
      </c>
      <c r="AM4770">
        <v>94.756889165452705</v>
      </c>
      <c r="AN4770">
        <v>0.99999993700814305</v>
      </c>
    </row>
    <row r="4771" spans="1:40" x14ac:dyDescent="0.25">
      <c r="A4771" t="str">
        <f>"20190304164944321"</f>
        <v>20190304164944321</v>
      </c>
      <c r="B4771" t="str">
        <f>"1551689384310391"</f>
        <v>1551689384310391</v>
      </c>
      <c r="C4771" t="s">
        <v>40</v>
      </c>
      <c r="D4771">
        <v>4.676717</v>
      </c>
      <c r="E4771">
        <v>0.5080112</v>
      </c>
      <c r="F4771" t="s">
        <v>42</v>
      </c>
      <c r="G4771">
        <v>-237.01769999999999</v>
      </c>
      <c r="H4771" s="1">
        <v>-1.513599E-6</v>
      </c>
      <c r="I4771">
        <v>140.56290000000001</v>
      </c>
      <c r="J4771">
        <v>-223.64439999999999</v>
      </c>
      <c r="K4771">
        <v>1.110087</v>
      </c>
      <c r="L4771">
        <v>141.05289999999999</v>
      </c>
      <c r="M4771">
        <v>-0.99892219999999998</v>
      </c>
      <c r="N4771">
        <v>-7.4347980000000003E-3</v>
      </c>
      <c r="O4771">
        <v>4.5816860000000001E-2</v>
      </c>
      <c r="P4771">
        <v>-0.9293342</v>
      </c>
      <c r="Q4771">
        <v>0.36754510000000001</v>
      </c>
      <c r="R4771">
        <v>-3.5336010000000001E-2</v>
      </c>
      <c r="S4771">
        <v>-3.331772</v>
      </c>
      <c r="T4771">
        <v>-0.27051579999999997</v>
      </c>
      <c r="U4771">
        <v>-0.1160736</v>
      </c>
      <c r="V4771">
        <v>-7.7794749999999996E-2</v>
      </c>
      <c r="W4771">
        <v>0.37444260000000001</v>
      </c>
      <c r="X4771">
        <v>0.92398089999999999</v>
      </c>
      <c r="Y4771">
        <v>-8.0159049999999996E-2</v>
      </c>
      <c r="Z4771">
        <v>-6.9189300000000002E-3</v>
      </c>
      <c r="AA4771">
        <v>0.99675800000000003</v>
      </c>
      <c r="AB4771">
        <v>32</v>
      </c>
      <c r="AC4771">
        <v>-13.3733</v>
      </c>
      <c r="AD4771">
        <v>-1.110088513599</v>
      </c>
      <c r="AE4771">
        <v>-0.48999999999998001</v>
      </c>
      <c r="AF4771">
        <v>-1.0946922990213099</v>
      </c>
      <c r="AG4771">
        <v>-1.110088513599</v>
      </c>
      <c r="AH4771">
        <v>13.245660261568901</v>
      </c>
      <c r="AI4771">
        <v>94.774431306635506</v>
      </c>
      <c r="AJ4771">
        <v>94.724493082293606</v>
      </c>
      <c r="AK4771">
        <v>13.3370972667394</v>
      </c>
      <c r="AL4771">
        <v>68.010133545368205</v>
      </c>
      <c r="AM4771">
        <v>94.812678531938403</v>
      </c>
      <c r="AN4771">
        <v>0.99999999369356596</v>
      </c>
    </row>
    <row r="4772" spans="1:40" x14ac:dyDescent="0.25">
      <c r="A4772" t="str">
        <f>"20190304164944343"</f>
        <v>20190304164944343</v>
      </c>
      <c r="B4772" t="str">
        <f>"1551689384340647"</f>
        <v>1551689384340647</v>
      </c>
      <c r="C4772" t="s">
        <v>40</v>
      </c>
      <c r="D4772">
        <v>4.6610800000000001</v>
      </c>
      <c r="E4772">
        <v>0.50845340000000006</v>
      </c>
      <c r="F4772" t="s">
        <v>42</v>
      </c>
      <c r="G4772">
        <v>-236.65350000000001</v>
      </c>
      <c r="H4772" s="1">
        <v>-1.670096E-6</v>
      </c>
      <c r="I4772">
        <v>140.56389999999999</v>
      </c>
      <c r="J4772">
        <v>-223.95509999999999</v>
      </c>
      <c r="K4772">
        <v>1.1101369999999999</v>
      </c>
      <c r="L4772">
        <v>141.06710000000001</v>
      </c>
      <c r="M4772">
        <v>-0.99892590000000003</v>
      </c>
      <c r="N4772">
        <v>-7.3945149999999999E-3</v>
      </c>
      <c r="O4772">
        <v>4.5745689999999999E-2</v>
      </c>
      <c r="P4772">
        <v>-0.92956039999999995</v>
      </c>
      <c r="Q4772">
        <v>0.36695830000000002</v>
      </c>
      <c r="R4772">
        <v>-3.5486419999999998E-2</v>
      </c>
      <c r="S4772">
        <v>-3.3359380000000001</v>
      </c>
      <c r="T4772">
        <v>-0.28466209999999997</v>
      </c>
      <c r="U4772">
        <v>-0.12538150000000001</v>
      </c>
      <c r="V4772">
        <v>-7.794268E-2</v>
      </c>
      <c r="W4772">
        <v>0.3738089</v>
      </c>
      <c r="X4772">
        <v>0.92422499999999996</v>
      </c>
      <c r="Y4772">
        <v>-8.276878E-2</v>
      </c>
      <c r="Z4772">
        <v>-7.3878279999999999E-3</v>
      </c>
      <c r="AA4772">
        <v>0.99654140000000002</v>
      </c>
      <c r="AB4772">
        <v>32</v>
      </c>
      <c r="AC4772">
        <v>-12.698399999999999</v>
      </c>
      <c r="AD4772">
        <v>-1.1101386700960001</v>
      </c>
      <c r="AE4772">
        <v>-0.50320000000002096</v>
      </c>
      <c r="AF4772">
        <v>-1.0753799421702901</v>
      </c>
      <c r="AG4772">
        <v>-1.1101386700960001</v>
      </c>
      <c r="AH4772">
        <v>12.566194483617201</v>
      </c>
      <c r="AI4772">
        <v>95.030298445059501</v>
      </c>
      <c r="AJ4772">
        <v>94.891296136791297</v>
      </c>
      <c r="AK4772">
        <v>12.660888345094801</v>
      </c>
      <c r="AL4772">
        <v>68.049285362266403</v>
      </c>
      <c r="AM4772">
        <v>94.820519440719295</v>
      </c>
      <c r="AN4772">
        <v>1.0000000028548901</v>
      </c>
    </row>
    <row r="4773" spans="1:40" x14ac:dyDescent="0.25">
      <c r="A4773" t="str">
        <f>"20190304164944367"</f>
        <v>20190304164944367</v>
      </c>
      <c r="B4773" t="str">
        <f>"1551689384360167"</f>
        <v>1551689384360167</v>
      </c>
      <c r="C4773" t="s">
        <v>40</v>
      </c>
      <c r="D4773">
        <v>5.1560420000000002</v>
      </c>
      <c r="E4773">
        <v>0.50824650000000005</v>
      </c>
      <c r="F4773" t="s">
        <v>42</v>
      </c>
      <c r="G4773">
        <v>-236.76679999999999</v>
      </c>
      <c r="H4773" s="1">
        <v>-1.62977999999999E-6</v>
      </c>
      <c r="I4773">
        <v>140.5951</v>
      </c>
      <c r="J4773">
        <v>-224.29859999999999</v>
      </c>
      <c r="K4773">
        <v>1.110187</v>
      </c>
      <c r="L4773">
        <v>141.08269999999999</v>
      </c>
      <c r="M4773">
        <v>-0.99893379999999998</v>
      </c>
      <c r="N4773">
        <v>-7.3501249999999999E-3</v>
      </c>
      <c r="O4773">
        <v>4.557713E-2</v>
      </c>
      <c r="P4773">
        <v>-0.92994790000000005</v>
      </c>
      <c r="Q4773">
        <v>0.3660023</v>
      </c>
      <c r="R4773">
        <v>-3.5205050000000002E-2</v>
      </c>
      <c r="S4773">
        <v>-3.3367610000000001</v>
      </c>
      <c r="T4773">
        <v>-0.28913280000000002</v>
      </c>
      <c r="U4773">
        <v>-0.1229248</v>
      </c>
      <c r="V4773">
        <v>-7.7582970000000001E-2</v>
      </c>
      <c r="W4773">
        <v>0.372803</v>
      </c>
      <c r="X4773">
        <v>0.92466150000000003</v>
      </c>
      <c r="Y4773">
        <v>-8.1848459999999998E-2</v>
      </c>
      <c r="Z4773">
        <v>-7.4458459999999999E-3</v>
      </c>
      <c r="AA4773">
        <v>0.99661699999999998</v>
      </c>
      <c r="AB4773">
        <v>32</v>
      </c>
      <c r="AC4773">
        <v>-12.4681999999999</v>
      </c>
      <c r="AD4773">
        <v>-1.1101886297799901</v>
      </c>
      <c r="AE4773">
        <v>-0.48759999999998599</v>
      </c>
      <c r="AF4773">
        <v>-1.04708434706798</v>
      </c>
      <c r="AG4773">
        <v>-1.1101886297799901</v>
      </c>
      <c r="AH4773">
        <v>12.3353681268707</v>
      </c>
      <c r="AI4773">
        <v>95.124459742325598</v>
      </c>
      <c r="AJ4773">
        <v>94.851905534528299</v>
      </c>
      <c r="AK4773">
        <v>12.429409127105901</v>
      </c>
      <c r="AL4773">
        <v>68.111411206474401</v>
      </c>
      <c r="AM4773">
        <v>94.796122002969994</v>
      </c>
      <c r="AN4773">
        <v>1.00000004181263</v>
      </c>
    </row>
    <row r="4774" spans="1:40" x14ac:dyDescent="0.25">
      <c r="A4774" t="str">
        <f>"20190304164944391"</f>
        <v>20190304164944391</v>
      </c>
      <c r="B4774" t="str">
        <f>"1551689384380663"</f>
        <v>1551689384380663</v>
      </c>
      <c r="C4774" t="s">
        <v>40</v>
      </c>
      <c r="D4774">
        <v>4.6234549999999999</v>
      </c>
      <c r="E4774">
        <v>0.50778040000000002</v>
      </c>
      <c r="F4774" t="s">
        <v>42</v>
      </c>
      <c r="G4774">
        <v>-237.47479999999999</v>
      </c>
      <c r="H4774" s="1">
        <v>-1.325115E-6</v>
      </c>
      <c r="I4774">
        <v>140.5916</v>
      </c>
      <c r="J4774">
        <v>-224.63579999999999</v>
      </c>
      <c r="K4774">
        <v>1.110239</v>
      </c>
      <c r="L4774">
        <v>141.09790000000001</v>
      </c>
      <c r="M4774">
        <v>-0.99894539999999998</v>
      </c>
      <c r="N4774">
        <v>-7.3064519999999997E-3</v>
      </c>
      <c r="O4774">
        <v>4.5332440000000002E-2</v>
      </c>
      <c r="P4774">
        <v>-0.93018339999999999</v>
      </c>
      <c r="Q4774">
        <v>0.36538340000000002</v>
      </c>
      <c r="R4774">
        <v>-3.5412289999999999E-2</v>
      </c>
      <c r="S4774">
        <v>-3.331772</v>
      </c>
      <c r="T4774">
        <v>-0.2807249</v>
      </c>
      <c r="U4774">
        <v>-0.12417599999999999</v>
      </c>
      <c r="V4774">
        <v>-7.7632779999999998E-2</v>
      </c>
      <c r="W4774">
        <v>0.37213299999999999</v>
      </c>
      <c r="X4774">
        <v>0.9249271</v>
      </c>
      <c r="Y4774">
        <v>-8.2058779999999998E-2</v>
      </c>
      <c r="Z4774">
        <v>-7.2309019999999896E-3</v>
      </c>
      <c r="AA4774">
        <v>0.99660130000000002</v>
      </c>
      <c r="AB4774">
        <v>32</v>
      </c>
      <c r="AC4774">
        <v>-12.839</v>
      </c>
      <c r="AD4774">
        <v>-1.1102403251149999</v>
      </c>
      <c r="AE4774">
        <v>-0.50630000000000996</v>
      </c>
      <c r="AF4774">
        <v>-1.0797564873612899</v>
      </c>
      <c r="AG4774">
        <v>-1.1102403251149999</v>
      </c>
      <c r="AH4774">
        <v>12.7079682184456</v>
      </c>
      <c r="AI4774">
        <v>94.975171144289803</v>
      </c>
      <c r="AJ4774">
        <v>94.856579232964407</v>
      </c>
      <c r="AK4774">
        <v>12.801990622263901</v>
      </c>
      <c r="AL4774">
        <v>68.152774326550499</v>
      </c>
      <c r="AM4774">
        <v>94.7978151530601</v>
      </c>
      <c r="AN4774">
        <v>0.99999997926696804</v>
      </c>
    </row>
    <row r="4775" spans="1:40" x14ac:dyDescent="0.25">
      <c r="A4775" t="str">
        <f>"20190304164944411"</f>
        <v>20190304164944411</v>
      </c>
      <c r="B4775" t="str">
        <f>"1551689384400183"</f>
        <v>1551689384400183</v>
      </c>
      <c r="C4775" t="s">
        <v>40</v>
      </c>
      <c r="D4775">
        <v>4.593674</v>
      </c>
      <c r="E4775">
        <v>0.50733249999999996</v>
      </c>
      <c r="F4775" t="s">
        <v>42</v>
      </c>
      <c r="G4775">
        <v>-238.33670000000001</v>
      </c>
      <c r="H4775" s="1">
        <v>-9.5111160000000003E-7</v>
      </c>
      <c r="I4775">
        <v>140.57550000000001</v>
      </c>
      <c r="J4775">
        <v>-224.93549999999999</v>
      </c>
      <c r="K4775">
        <v>1.1102860000000001</v>
      </c>
      <c r="L4775">
        <v>141.1113</v>
      </c>
      <c r="M4775">
        <v>-0.99895780000000001</v>
      </c>
      <c r="N4775">
        <v>-7.2701980000000003E-3</v>
      </c>
      <c r="O4775">
        <v>4.5059559999999999E-2</v>
      </c>
      <c r="P4775">
        <v>-0.93025840000000004</v>
      </c>
      <c r="Q4775">
        <v>0.36521189999999998</v>
      </c>
      <c r="R4775">
        <v>-3.5212899999999998E-2</v>
      </c>
      <c r="S4775">
        <v>-3.3262019999999999</v>
      </c>
      <c r="T4775">
        <v>-0.26953589999999999</v>
      </c>
      <c r="U4775">
        <v>-0.12681580000000001</v>
      </c>
      <c r="V4775">
        <v>-7.7234200000000003E-2</v>
      </c>
      <c r="W4775">
        <v>0.37191790000000002</v>
      </c>
      <c r="X4775">
        <v>0.92504699999999995</v>
      </c>
      <c r="Y4775">
        <v>-8.2670690000000005E-2</v>
      </c>
      <c r="Z4775">
        <v>-6.9609700000000004E-3</v>
      </c>
      <c r="AA4775">
        <v>0.99655260000000001</v>
      </c>
      <c r="AB4775">
        <v>32</v>
      </c>
      <c r="AC4775">
        <v>-13.401199999999999</v>
      </c>
      <c r="AD4775">
        <v>-1.1102869511116</v>
      </c>
      <c r="AE4775">
        <v>-0.53579999999999395</v>
      </c>
      <c r="AF4775">
        <v>-1.1313704862934999</v>
      </c>
      <c r="AG4775">
        <v>-1.1102869511116</v>
      </c>
      <c r="AH4775">
        <v>13.2724859919959</v>
      </c>
      <c r="AI4775">
        <v>94.764647184197997</v>
      </c>
      <c r="AJ4775">
        <v>94.872216907554005</v>
      </c>
      <c r="AK4775">
        <v>13.3668104160563</v>
      </c>
      <c r="AL4775">
        <v>68.166052117937497</v>
      </c>
      <c r="AM4775">
        <v>94.772680624418399</v>
      </c>
      <c r="AN4775">
        <v>0.99999999909952497</v>
      </c>
    </row>
    <row r="4776" spans="1:40" x14ac:dyDescent="0.25">
      <c r="A4776" t="str">
        <f>"20190304164944432"</f>
        <v>20190304164944432</v>
      </c>
      <c r="B4776" t="str">
        <f>"1551689384420690"</f>
        <v>1551689384420690</v>
      </c>
      <c r="C4776" t="s">
        <v>40</v>
      </c>
      <c r="D4776">
        <v>4.5946879999999997</v>
      </c>
      <c r="E4776">
        <v>0.50696859999999999</v>
      </c>
      <c r="F4776" t="s">
        <v>42</v>
      </c>
      <c r="G4776">
        <v>-239.1584</v>
      </c>
      <c r="H4776" s="1">
        <v>-5.9494909999999898E-7</v>
      </c>
      <c r="I4776">
        <v>140.56180000000001</v>
      </c>
      <c r="J4776">
        <v>-225.23400000000001</v>
      </c>
      <c r="K4776">
        <v>1.1103229999999999</v>
      </c>
      <c r="L4776">
        <v>141.12450000000001</v>
      </c>
      <c r="M4776">
        <v>-0.99897219999999998</v>
      </c>
      <c r="N4776">
        <v>-7.2378989999999999E-3</v>
      </c>
      <c r="O4776">
        <v>4.474823E-2</v>
      </c>
      <c r="P4776">
        <v>-0.93027179999999998</v>
      </c>
      <c r="Q4776">
        <v>0.36516789999999999</v>
      </c>
      <c r="R4776">
        <v>-3.5312860000000001E-2</v>
      </c>
      <c r="S4776">
        <v>-3.3218540000000001</v>
      </c>
      <c r="T4776">
        <v>-0.25931549999999998</v>
      </c>
      <c r="U4776">
        <v>-0.12832639999999901</v>
      </c>
      <c r="V4776">
        <v>-7.7089169999999999E-2</v>
      </c>
      <c r="W4776">
        <v>0.37183559999999999</v>
      </c>
      <c r="X4776">
        <v>0.92509220000000003</v>
      </c>
      <c r="Y4776">
        <v>-8.2892320000000005E-2</v>
      </c>
      <c r="Z4776">
        <v>-6.693063E-3</v>
      </c>
      <c r="AA4776">
        <v>0.99653599999999998</v>
      </c>
      <c r="AB4776">
        <v>32</v>
      </c>
      <c r="AC4776">
        <v>-13.924399999999901</v>
      </c>
      <c r="AD4776">
        <v>-1.1103235949490999</v>
      </c>
      <c r="AE4776">
        <v>-0.56270000000000597</v>
      </c>
      <c r="AF4776">
        <v>-1.1777683267154699</v>
      </c>
      <c r="AG4776">
        <v>-1.1103235949490999</v>
      </c>
      <c r="AH4776">
        <v>13.7976828534005</v>
      </c>
      <c r="AI4776">
        <v>94.584178162414602</v>
      </c>
      <c r="AJ4776">
        <v>94.878933062170603</v>
      </c>
      <c r="AK4776">
        <v>13.8923003437133</v>
      </c>
      <c r="AL4776">
        <v>68.171132258205603</v>
      </c>
      <c r="AM4776">
        <v>94.7635281058039</v>
      </c>
      <c r="AN4776">
        <v>1.00000001602974</v>
      </c>
    </row>
    <row r="4777" spans="1:40" x14ac:dyDescent="0.25">
      <c r="A4777" t="str">
        <f>"20190304164944454"</f>
        <v>20190304164944454</v>
      </c>
      <c r="B4777" t="str">
        <f>"1551689384450942"</f>
        <v>1551689384450942</v>
      </c>
      <c r="C4777" t="s">
        <v>40</v>
      </c>
      <c r="D4777">
        <v>4.5699829999999997</v>
      </c>
      <c r="E4777">
        <v>0.506548</v>
      </c>
      <c r="F4777" t="s">
        <v>42</v>
      </c>
      <c r="G4777">
        <v>-239.40440000000001</v>
      </c>
      <c r="H4777" s="1">
        <v>-4.8968630000000001E-7</v>
      </c>
      <c r="I4777">
        <v>140.56280000000001</v>
      </c>
      <c r="J4777">
        <v>-225.55779999999999</v>
      </c>
      <c r="K4777">
        <v>1.1103609999999999</v>
      </c>
      <c r="L4777">
        <v>141.1387</v>
      </c>
      <c r="M4777">
        <v>-0.99898869999999895</v>
      </c>
      <c r="N4777">
        <v>-7.2071449999999999E-3</v>
      </c>
      <c r="O4777">
        <v>4.4378670000000002E-2</v>
      </c>
      <c r="P4777">
        <v>-0.93008020000000002</v>
      </c>
      <c r="Q4777">
        <v>0.3655812</v>
      </c>
      <c r="R4777">
        <v>-3.6075610000000001E-2</v>
      </c>
      <c r="S4777">
        <v>-3.3220369999999999</v>
      </c>
      <c r="T4777">
        <v>-0.2602988</v>
      </c>
      <c r="U4777">
        <v>-0.13166810000000001</v>
      </c>
      <c r="V4777">
        <v>-7.7536209999999994E-2</v>
      </c>
      <c r="W4777">
        <v>0.37221140000000003</v>
      </c>
      <c r="X4777">
        <v>0.9249037</v>
      </c>
      <c r="Y4777">
        <v>-8.3518389999999998E-2</v>
      </c>
      <c r="Z4777">
        <v>-6.7185959999999899E-3</v>
      </c>
      <c r="AA4777">
        <v>0.99648360000000002</v>
      </c>
      <c r="AB4777">
        <v>32</v>
      </c>
      <c r="AC4777">
        <v>-13.8466</v>
      </c>
      <c r="AD4777">
        <v>-1.1103614896863001</v>
      </c>
      <c r="AE4777">
        <v>-0.57589999999998998</v>
      </c>
      <c r="AF4777">
        <v>-1.1822529766823799</v>
      </c>
      <c r="AG4777">
        <v>-1.1103614896863001</v>
      </c>
      <c r="AH4777">
        <v>13.7193296751114</v>
      </c>
      <c r="AI4777">
        <v>94.610084942074195</v>
      </c>
      <c r="AJ4777">
        <v>94.925253361502499</v>
      </c>
      <c r="AK4777">
        <v>13.814869940504099</v>
      </c>
      <c r="AL4777">
        <v>68.147935661399998</v>
      </c>
      <c r="AM4777">
        <v>94.791995468969404</v>
      </c>
      <c r="AN4777">
        <v>1.0000000222123999</v>
      </c>
    </row>
    <row r="4778" spans="1:40" x14ac:dyDescent="0.25">
      <c r="A4778" t="str">
        <f>"20190304164944479"</f>
        <v>20190304164944479</v>
      </c>
      <c r="B4778" t="str">
        <f>"1551689384470462"</f>
        <v>1551689384470462</v>
      </c>
      <c r="C4778" t="s">
        <v>40</v>
      </c>
      <c r="D4778">
        <v>4.5578649999999996</v>
      </c>
      <c r="E4778">
        <v>0.50638019999999995</v>
      </c>
      <c r="F4778" t="s">
        <v>42</v>
      </c>
      <c r="G4778">
        <v>-239.84049999999999</v>
      </c>
      <c r="H4778" s="1">
        <v>-2.9859779999999899E-7</v>
      </c>
      <c r="I4778">
        <v>140.54769999999999</v>
      </c>
      <c r="J4778">
        <v>-225.90180000000001</v>
      </c>
      <c r="K4778">
        <v>1.110379</v>
      </c>
      <c r="L4778">
        <v>141.15350000000001</v>
      </c>
      <c r="M4778">
        <v>-0.9990076</v>
      </c>
      <c r="N4778">
        <v>-7.1797090000000003E-3</v>
      </c>
      <c r="O4778">
        <v>4.3959199999999997E-2</v>
      </c>
      <c r="P4778">
        <v>-0.92990249999999997</v>
      </c>
      <c r="Q4778">
        <v>0.36587259999999999</v>
      </c>
      <c r="R4778">
        <v>-3.7669429999999997E-2</v>
      </c>
      <c r="S4778">
        <v>-3.321701</v>
      </c>
      <c r="T4778">
        <v>-0.2582353</v>
      </c>
      <c r="U4778">
        <v>-0.13742070000000001</v>
      </c>
      <c r="V4778">
        <v>-7.8756960000000001E-2</v>
      </c>
      <c r="W4778">
        <v>0.3724693</v>
      </c>
      <c r="X4778">
        <v>0.92469670000000004</v>
      </c>
      <c r="Y4778">
        <v>-8.4829600000000005E-2</v>
      </c>
      <c r="Z4778">
        <v>-6.6919609999999997E-3</v>
      </c>
      <c r="AA4778">
        <v>0.99637299999999995</v>
      </c>
      <c r="AB4778">
        <v>32</v>
      </c>
      <c r="AC4778">
        <v>-13.9386999999999</v>
      </c>
      <c r="AD4778">
        <v>-1.1103792985978</v>
      </c>
      <c r="AE4778">
        <v>-0.60580000000001599</v>
      </c>
      <c r="AF4778">
        <v>-1.21029817146121</v>
      </c>
      <c r="AG4778">
        <v>-1.1103792985978</v>
      </c>
      <c r="AH4778">
        <v>13.811114270143101</v>
      </c>
      <c r="AI4778">
        <v>94.579078163270793</v>
      </c>
      <c r="AJ4778">
        <v>95.008160817398803</v>
      </c>
      <c r="AK4778">
        <v>13.9084377711354</v>
      </c>
      <c r="AL4778">
        <v>68.132014051497507</v>
      </c>
      <c r="AM4778">
        <v>94.868166539123095</v>
      </c>
      <c r="AN4778">
        <v>1.0000000125909101</v>
      </c>
    </row>
    <row r="4779" spans="1:40" x14ac:dyDescent="0.25">
      <c r="A4779" t="str">
        <f>"20190304164944502"</f>
        <v>20190304164944502</v>
      </c>
      <c r="B4779" t="str">
        <f>"1551689384490962"</f>
        <v>1551689384490962</v>
      </c>
      <c r="C4779" t="s">
        <v>40</v>
      </c>
      <c r="D4779">
        <v>4.5576889999999999</v>
      </c>
      <c r="E4779">
        <v>0.50627540000000004</v>
      </c>
      <c r="F4779" t="s">
        <v>42</v>
      </c>
      <c r="G4779">
        <v>-240.19540000000001</v>
      </c>
      <c r="H4779" s="1">
        <v>-4.3720429999999999E-6</v>
      </c>
      <c r="I4779">
        <v>140.5324</v>
      </c>
      <c r="J4779">
        <v>-226.24019999999999</v>
      </c>
      <c r="K4779">
        <v>1.110392</v>
      </c>
      <c r="L4779">
        <v>141.16800000000001</v>
      </c>
      <c r="M4779">
        <v>-0.99902639999999998</v>
      </c>
      <c r="N4779">
        <v>-7.1573440000000004E-3</v>
      </c>
      <c r="O4779">
        <v>4.3533660000000002E-2</v>
      </c>
      <c r="P4779">
        <v>-0.92993650000000005</v>
      </c>
      <c r="Q4779">
        <v>0.36561320000000003</v>
      </c>
      <c r="R4779">
        <v>-3.9315709999999997E-2</v>
      </c>
      <c r="S4779">
        <v>-3.3218079999999999</v>
      </c>
      <c r="T4779">
        <v>-0.25805210000000001</v>
      </c>
      <c r="U4779">
        <v>-0.14433289999999999</v>
      </c>
      <c r="V4779">
        <v>-8.0024689999999996E-2</v>
      </c>
      <c r="W4779">
        <v>0.3721853</v>
      </c>
      <c r="X4779">
        <v>0.92470220000000003</v>
      </c>
      <c r="Y4779">
        <v>-8.6469619999999997E-2</v>
      </c>
      <c r="Z4779">
        <v>-6.726325E-3</v>
      </c>
      <c r="AA4779">
        <v>0.9962318</v>
      </c>
      <c r="AB4779">
        <v>32</v>
      </c>
      <c r="AC4779">
        <v>-13.9552</v>
      </c>
      <c r="AD4779">
        <v>-1.1103963720429999</v>
      </c>
      <c r="AE4779">
        <v>-0.63560000000001005</v>
      </c>
      <c r="AF4779">
        <v>-1.2347327226115099</v>
      </c>
      <c r="AG4779">
        <v>-1.1103963720429999</v>
      </c>
      <c r="AH4779">
        <v>13.8269390722345</v>
      </c>
      <c r="AI4779">
        <v>94.573263379341498</v>
      </c>
      <c r="AJ4779">
        <v>95.102924106889006</v>
      </c>
      <c r="AK4779">
        <v>13.9262984711164</v>
      </c>
      <c r="AL4779">
        <v>68.149546411876699</v>
      </c>
      <c r="AM4779">
        <v>94.946113179071403</v>
      </c>
      <c r="AN4779">
        <v>1.0000000036152601</v>
      </c>
    </row>
    <row r="4780" spans="1:40" x14ac:dyDescent="0.25">
      <c r="A4780" t="str">
        <f>"20190304164944523"</f>
        <v>20190304164944523</v>
      </c>
      <c r="B4780" t="str">
        <f>"1551689384510478"</f>
        <v>1551689384510478</v>
      </c>
      <c r="C4780" t="s">
        <v>40</v>
      </c>
      <c r="D4780">
        <v>4.5546949999999997</v>
      </c>
      <c r="E4780">
        <v>0.50614539999999997</v>
      </c>
      <c r="F4780" t="s">
        <v>42</v>
      </c>
      <c r="G4780">
        <v>-240.48159999999999</v>
      </c>
      <c r="H4780" s="1">
        <v>-4.271165E-6</v>
      </c>
      <c r="I4780">
        <v>140.5128</v>
      </c>
      <c r="J4780">
        <v>-226.5384</v>
      </c>
      <c r="K4780">
        <v>1.110398</v>
      </c>
      <c r="L4780">
        <v>141.1807</v>
      </c>
      <c r="M4780">
        <v>-0.99904300000000001</v>
      </c>
      <c r="N4780">
        <v>-7.1412009999999998E-3</v>
      </c>
      <c r="O4780">
        <v>4.315418E-2</v>
      </c>
      <c r="P4780">
        <v>-0.92972460000000001</v>
      </c>
      <c r="Q4780">
        <v>0.3660486</v>
      </c>
      <c r="R4780">
        <v>-4.025923E-2</v>
      </c>
      <c r="S4780">
        <v>-3.321396</v>
      </c>
      <c r="T4780">
        <v>-0.25896780000000003</v>
      </c>
      <c r="U4780">
        <v>-0.15280150000000001</v>
      </c>
      <c r="V4780">
        <v>-8.0616889999999997E-2</v>
      </c>
      <c r="W4780">
        <v>0.37260120000000002</v>
      </c>
      <c r="X4780">
        <v>0.92448319999999995</v>
      </c>
      <c r="Y4780">
        <v>-8.8622389999999995E-2</v>
      </c>
      <c r="Z4780">
        <v>-6.8153110000000001E-3</v>
      </c>
      <c r="AA4780">
        <v>0.99604199999999998</v>
      </c>
      <c r="AB4780">
        <v>32</v>
      </c>
      <c r="AC4780">
        <v>-13.9431999999999</v>
      </c>
      <c r="AD4780">
        <v>-1.1104022711649999</v>
      </c>
      <c r="AE4780">
        <v>-0.66790000000000205</v>
      </c>
      <c r="AF4780">
        <v>-1.26102115303244</v>
      </c>
      <c r="AG4780">
        <v>-1.1104022711649999</v>
      </c>
      <c r="AH4780">
        <v>13.8139771865964</v>
      </c>
      <c r="AI4780">
        <v>94.576749518630294</v>
      </c>
      <c r="AJ4780">
        <v>95.215840016867304</v>
      </c>
      <c r="AK4780">
        <v>13.9157871952689</v>
      </c>
      <c r="AL4780">
        <v>68.123869392684199</v>
      </c>
      <c r="AM4780">
        <v>94.983706267414206</v>
      </c>
      <c r="AN4780">
        <v>0.99999996213847497</v>
      </c>
    </row>
    <row r="4781" spans="1:40" x14ac:dyDescent="0.25">
      <c r="A4781" t="str">
        <f>"20190304164944544"</f>
        <v>20190304164944544</v>
      </c>
      <c r="B4781" t="str">
        <f>"1551689384530974"</f>
        <v>1551689384530974</v>
      </c>
      <c r="C4781" t="s">
        <v>40</v>
      </c>
      <c r="D4781">
        <v>4.5395979999999998</v>
      </c>
      <c r="E4781">
        <v>0.50607659999999999</v>
      </c>
      <c r="F4781" t="s">
        <v>42</v>
      </c>
      <c r="G4781">
        <v>-240.89490000000001</v>
      </c>
      <c r="H4781" s="1">
        <v>-4.1198970000000003E-6</v>
      </c>
      <c r="I4781">
        <v>140.48650000000001</v>
      </c>
      <c r="J4781">
        <v>-226.85910000000001</v>
      </c>
      <c r="K4781">
        <v>1.1104080000000001</v>
      </c>
      <c r="L4781">
        <v>141.1942</v>
      </c>
      <c r="M4781">
        <v>-0.99906050000000002</v>
      </c>
      <c r="N4781">
        <v>-7.1273059999999999E-3</v>
      </c>
      <c r="O4781">
        <v>4.2746449999999998E-2</v>
      </c>
      <c r="P4781">
        <v>-0.92966389999999999</v>
      </c>
      <c r="Q4781">
        <v>0.36609799999999998</v>
      </c>
      <c r="R4781">
        <v>-4.1199109999999997E-2</v>
      </c>
      <c r="S4781">
        <v>-3.3209379999999999</v>
      </c>
      <c r="T4781">
        <v>-0.25685750000000002</v>
      </c>
      <c r="U4781">
        <v>-0.16058349999999999</v>
      </c>
      <c r="V4781">
        <v>-8.1183469999999994E-2</v>
      </c>
      <c r="W4781">
        <v>0.37263479999999999</v>
      </c>
      <c r="X4781">
        <v>0.92442009999999997</v>
      </c>
      <c r="Y4781">
        <v>-9.0552010000000002E-2</v>
      </c>
      <c r="Z4781">
        <v>-6.8134179999999999E-3</v>
      </c>
      <c r="AA4781">
        <v>0.99586839999999999</v>
      </c>
      <c r="AB4781">
        <v>33</v>
      </c>
      <c r="AC4781">
        <v>-14.035799999999901</v>
      </c>
      <c r="AD4781">
        <v>-1.1104121198970001</v>
      </c>
      <c r="AE4781">
        <v>-0.70769999999998801</v>
      </c>
      <c r="AF4781">
        <v>-1.2989397327560901</v>
      </c>
      <c r="AG4781">
        <v>-1.1104121198970001</v>
      </c>
      <c r="AH4781">
        <v>13.9059033739487</v>
      </c>
      <c r="AI4781">
        <v>94.545781738987699</v>
      </c>
      <c r="AJ4781">
        <v>95.336469881496896</v>
      </c>
      <c r="AK4781">
        <v>14.0105106313419</v>
      </c>
      <c r="AL4781">
        <v>68.121795396733503</v>
      </c>
      <c r="AM4781">
        <v>95.018894592304093</v>
      </c>
      <c r="AN4781">
        <v>0.99999998562814496</v>
      </c>
    </row>
    <row r="4782" spans="1:40" x14ac:dyDescent="0.25">
      <c r="A4782" t="str">
        <f>"20190304164944568"</f>
        <v>20190304164944568</v>
      </c>
      <c r="B4782" t="str">
        <f>"1551689384560255"</f>
        <v>1551689384560255</v>
      </c>
      <c r="C4782" t="s">
        <v>40</v>
      </c>
      <c r="D4782">
        <v>4.5441630000000002</v>
      </c>
      <c r="E4782">
        <v>0.50599759999999905</v>
      </c>
      <c r="F4782" t="s">
        <v>42</v>
      </c>
      <c r="G4782">
        <v>-241.20060000000001</v>
      </c>
      <c r="H4782" s="1">
        <v>-3.9846230000000004E-6</v>
      </c>
      <c r="I4782">
        <v>140.4709</v>
      </c>
      <c r="J4782">
        <v>-227.196</v>
      </c>
      <c r="K4782">
        <v>1.1104210000000001</v>
      </c>
      <c r="L4782">
        <v>141.20820000000001</v>
      </c>
      <c r="M4782">
        <v>-0.99907880000000004</v>
      </c>
      <c r="N4782">
        <v>-7.1161430000000001E-3</v>
      </c>
      <c r="O4782">
        <v>4.2321320000000003E-2</v>
      </c>
      <c r="P4782">
        <v>-0.92948160000000002</v>
      </c>
      <c r="Q4782">
        <v>0.36636449999999998</v>
      </c>
      <c r="R4782">
        <v>-4.2909740000000002E-2</v>
      </c>
      <c r="S4782">
        <v>-3.3208160000000002</v>
      </c>
      <c r="T4782">
        <v>-0.25711879999999998</v>
      </c>
      <c r="U4782">
        <v>-0.16746520000000001</v>
      </c>
      <c r="V4782">
        <v>-8.2498550000000004E-2</v>
      </c>
      <c r="W4782">
        <v>0.37288710000000003</v>
      </c>
      <c r="X4782">
        <v>0.92420199999999997</v>
      </c>
      <c r="Y4782">
        <v>-9.2183520000000005E-2</v>
      </c>
      <c r="Z4782">
        <v>-6.8592790000000002E-3</v>
      </c>
      <c r="AA4782">
        <v>0.9957184</v>
      </c>
      <c r="AB4782">
        <v>33</v>
      </c>
      <c r="AC4782">
        <v>-14.0046</v>
      </c>
      <c r="AD4782">
        <v>-1.1104249846230001</v>
      </c>
      <c r="AE4782">
        <v>-0.73730000000000395</v>
      </c>
      <c r="AF4782">
        <v>-1.32106503892345</v>
      </c>
      <c r="AG4782">
        <v>-1.1104249846230001</v>
      </c>
      <c r="AH4782">
        <v>13.873865062414099</v>
      </c>
      <c r="AI4782">
        <v>94.5555197071903</v>
      </c>
      <c r="AJ4782">
        <v>95.439286591603206</v>
      </c>
      <c r="AK4782">
        <v>13.9807863961086</v>
      </c>
      <c r="AL4782">
        <v>68.106218794774605</v>
      </c>
      <c r="AM4782">
        <v>95.100966789917706</v>
      </c>
      <c r="AN4782">
        <v>1.00000006845125</v>
      </c>
    </row>
    <row r="4783" spans="1:40" x14ac:dyDescent="0.25">
      <c r="A4783" t="str">
        <f>"20190304164944604"</f>
        <v>20190304164944604</v>
      </c>
      <c r="B4783" t="str">
        <f>"1551689384590510"</f>
        <v>1551689384590510</v>
      </c>
      <c r="C4783" t="s">
        <v>40</v>
      </c>
      <c r="D4783">
        <v>4.5798139999999998</v>
      </c>
      <c r="E4783">
        <v>0.50596830000000004</v>
      </c>
      <c r="F4783" t="s">
        <v>42</v>
      </c>
      <c r="G4783">
        <v>-241.58179999999999</v>
      </c>
      <c r="H4783" s="1">
        <v>-3.8158559999999998E-6</v>
      </c>
      <c r="I4783">
        <v>140.4512</v>
      </c>
      <c r="J4783">
        <v>-227.7242</v>
      </c>
      <c r="K4783">
        <v>1.1104320000000001</v>
      </c>
      <c r="L4783">
        <v>141.22989999999999</v>
      </c>
      <c r="M4783">
        <v>-0.99910659999999896</v>
      </c>
      <c r="N4783">
        <v>-7.1049779999999996E-3</v>
      </c>
      <c r="O4783">
        <v>4.1660429999999998E-2</v>
      </c>
      <c r="P4783">
        <v>-0.92912669999999997</v>
      </c>
      <c r="Q4783">
        <v>0.36718640000000002</v>
      </c>
      <c r="R4783">
        <v>-4.3565109999999997E-2</v>
      </c>
      <c r="S4783">
        <v>-3.3205870000000002</v>
      </c>
      <c r="T4783">
        <v>-0.25631389999999998</v>
      </c>
      <c r="U4783">
        <v>-0.17472839999999901</v>
      </c>
      <c r="V4783">
        <v>-8.253576E-2</v>
      </c>
      <c r="W4783">
        <v>0.37369390000000002</v>
      </c>
      <c r="X4783">
        <v>0.92387260000000004</v>
      </c>
      <c r="Y4783">
        <v>-9.3699630000000006E-2</v>
      </c>
      <c r="Z4783">
        <v>-6.8556440000000001E-3</v>
      </c>
      <c r="AA4783">
        <v>0.99557689999999999</v>
      </c>
      <c r="AB4783">
        <v>33</v>
      </c>
      <c r="AC4783">
        <v>-13.8575999999999</v>
      </c>
      <c r="AD4783">
        <v>-1.1104358158559999</v>
      </c>
      <c r="AE4783">
        <v>-0.77869999999998596</v>
      </c>
      <c r="AF4783">
        <v>-1.3467317385208699</v>
      </c>
      <c r="AG4783">
        <v>-1.1104358158559999</v>
      </c>
      <c r="AH4783">
        <v>13.7252725822814</v>
      </c>
      <c r="AI4783">
        <v>94.603398763805401</v>
      </c>
      <c r="AJ4783">
        <v>95.603956882996002</v>
      </c>
      <c r="AK4783">
        <v>13.835818065246499</v>
      </c>
      <c r="AL4783">
        <v>68.056387559576706</v>
      </c>
      <c r="AM4783">
        <v>95.105065290112705</v>
      </c>
      <c r="AN4783">
        <v>0.99999993180337099</v>
      </c>
    </row>
    <row r="4784" spans="1:40" x14ac:dyDescent="0.25">
      <c r="A4784" t="str">
        <f>"20190304164944622"</f>
        <v>20190304164944622</v>
      </c>
      <c r="B4784" t="str">
        <f>"1551689384610031"</f>
        <v>1551689384610031</v>
      </c>
      <c r="C4784" t="s">
        <v>40</v>
      </c>
      <c r="D4784">
        <v>4.5906840000000004</v>
      </c>
      <c r="E4784">
        <v>0.50598690000000002</v>
      </c>
      <c r="F4784" t="s">
        <v>42</v>
      </c>
      <c r="G4784">
        <v>-242.22929999999999</v>
      </c>
      <c r="H4784" s="1">
        <v>-3.5403170000000001E-6</v>
      </c>
      <c r="I4784">
        <v>140.45959999999999</v>
      </c>
      <c r="J4784">
        <v>-227.99619999999999</v>
      </c>
      <c r="K4784">
        <v>1.11043799999999</v>
      </c>
      <c r="L4784">
        <v>141.24100000000001</v>
      </c>
      <c r="M4784">
        <v>-0.99912060000000003</v>
      </c>
      <c r="N4784">
        <v>-7.1018119999999999E-3</v>
      </c>
      <c r="O4784">
        <v>4.1322209999999998E-2</v>
      </c>
      <c r="P4784">
        <v>-0.92899290000000001</v>
      </c>
      <c r="Q4784">
        <v>0.36761539999999998</v>
      </c>
      <c r="R4784">
        <v>-4.2794069999999997E-2</v>
      </c>
      <c r="S4784">
        <v>-3.3210600000000001</v>
      </c>
      <c r="T4784">
        <v>-0.25424409999999997</v>
      </c>
      <c r="U4784">
        <v>-0.17636109999999999</v>
      </c>
      <c r="V4784">
        <v>-8.1451010000000004E-2</v>
      </c>
      <c r="W4784">
        <v>0.37411939999999999</v>
      </c>
      <c r="X4784">
        <v>0.92379670000000003</v>
      </c>
      <c r="Y4784">
        <v>-9.3850199999999995E-2</v>
      </c>
      <c r="Z4784">
        <v>-6.7825430000000003E-3</v>
      </c>
      <c r="AA4784">
        <v>0.99556319999999998</v>
      </c>
      <c r="AB4784">
        <v>33</v>
      </c>
      <c r="AC4784">
        <v>-14.2331</v>
      </c>
      <c r="AD4784">
        <v>-1.1104415403169901</v>
      </c>
      <c r="AE4784">
        <v>-0.78140000000001897</v>
      </c>
      <c r="AF4784">
        <v>-1.3606334691259001</v>
      </c>
      <c r="AG4784">
        <v>-1.1104415403169901</v>
      </c>
      <c r="AH4784">
        <v>14.103067257913001</v>
      </c>
      <c r="AI4784">
        <v>94.481320986731802</v>
      </c>
      <c r="AJ4784">
        <v>95.5107174220894</v>
      </c>
      <c r="AK4784">
        <v>14.2119988014701</v>
      </c>
      <c r="AL4784">
        <v>68.030102415210195</v>
      </c>
      <c r="AM4784">
        <v>95.038729945386606</v>
      </c>
      <c r="AN4784">
        <v>0.99999996770863397</v>
      </c>
    </row>
    <row r="4785" spans="1:40" x14ac:dyDescent="0.25">
      <c r="A4785" t="str">
        <f>"20190304164944645"</f>
        <v>20190304164944645</v>
      </c>
      <c r="B4785" t="str">
        <f>"1551689384630526"</f>
        <v>1551689384630526</v>
      </c>
      <c r="C4785" t="s">
        <v>40</v>
      </c>
      <c r="D4785">
        <v>5.1539910000000004</v>
      </c>
      <c r="E4785">
        <v>0.51393259999999996</v>
      </c>
      <c r="F4785" t="s">
        <v>42</v>
      </c>
      <c r="G4785">
        <v>-242.57060000000001</v>
      </c>
      <c r="H4785" s="1">
        <v>-3.3973559999999999E-6</v>
      </c>
      <c r="I4785">
        <v>140.4726</v>
      </c>
      <c r="J4785">
        <v>-228.32820000000001</v>
      </c>
      <c r="K4785">
        <v>1.1104369999999999</v>
      </c>
      <c r="L4785">
        <v>141.2543</v>
      </c>
      <c r="M4785">
        <v>-0.99913759999999996</v>
      </c>
      <c r="N4785">
        <v>-7.0999919999999899E-3</v>
      </c>
      <c r="O4785">
        <v>4.090995E-2</v>
      </c>
      <c r="P4785">
        <v>-0.92897980000000002</v>
      </c>
      <c r="Q4785">
        <v>0.36771969999999998</v>
      </c>
      <c r="R4785">
        <v>-4.2179059999999997E-2</v>
      </c>
      <c r="S4785">
        <v>-3.3213650000000001</v>
      </c>
      <c r="T4785">
        <v>-0.25305909999999998</v>
      </c>
      <c r="U4785">
        <v>-0.17509459999999999</v>
      </c>
      <c r="V4785">
        <v>-8.0458020000000005E-2</v>
      </c>
      <c r="W4785">
        <v>0.374222</v>
      </c>
      <c r="X4785">
        <v>0.92384219999999895</v>
      </c>
      <c r="Y4785">
        <v>-9.3063179999999995E-2</v>
      </c>
      <c r="Z4785">
        <v>-6.6894969999999896E-3</v>
      </c>
      <c r="AA4785">
        <v>0.99563769999999996</v>
      </c>
      <c r="AB4785">
        <v>33</v>
      </c>
      <c r="AC4785">
        <v>-14.2424</v>
      </c>
      <c r="AD4785">
        <v>-1.110440397356</v>
      </c>
      <c r="AE4785">
        <v>-0.78169999999999995</v>
      </c>
      <c r="AF4785">
        <v>-1.3555009309252199</v>
      </c>
      <c r="AG4785">
        <v>-1.110440397356</v>
      </c>
      <c r="AH4785">
        <v>14.112962623301399</v>
      </c>
      <c r="AI4785">
        <v>94.478370564865699</v>
      </c>
      <c r="AJ4785">
        <v>95.486231428339394</v>
      </c>
      <c r="AK4785">
        <v>14.2213281607775</v>
      </c>
      <c r="AL4785">
        <v>68.023764249028204</v>
      </c>
      <c r="AM4785">
        <v>94.977368091466204</v>
      </c>
      <c r="AN4785">
        <v>1.0000000043835799</v>
      </c>
    </row>
    <row r="4786" spans="1:40" x14ac:dyDescent="0.25">
      <c r="A4786" t="str">
        <f>"20190304164944667"</f>
        <v>20190304164944667</v>
      </c>
      <c r="B4786" t="str">
        <f>"1551689384660783"</f>
        <v>1551689384660783</v>
      </c>
      <c r="C4786" t="s">
        <v>40</v>
      </c>
      <c r="D4786">
        <v>4.5861359999999998</v>
      </c>
      <c r="E4786">
        <v>0.51446320000000001</v>
      </c>
      <c r="F4786" t="s">
        <v>42</v>
      </c>
      <c r="G4786">
        <v>-240.66640000000001</v>
      </c>
      <c r="H4786" s="1">
        <v>-4.2654760000000003E-6</v>
      </c>
      <c r="I4786">
        <v>140.83519999999999</v>
      </c>
      <c r="J4786">
        <v>-228.66739999999999</v>
      </c>
      <c r="K4786">
        <v>1.1104350000000001</v>
      </c>
      <c r="L4786">
        <v>141.26779999999999</v>
      </c>
      <c r="M4786">
        <v>-0.99915469999999895</v>
      </c>
      <c r="N4786">
        <v>-7.1023739999999998E-3</v>
      </c>
      <c r="O4786">
        <v>4.0488980000000001E-2</v>
      </c>
      <c r="P4786">
        <v>-0.92884370000000005</v>
      </c>
      <c r="Q4786">
        <v>0.36803219999999998</v>
      </c>
      <c r="R4786">
        <v>-4.2444759999999998E-2</v>
      </c>
      <c r="S4786">
        <v>-3.3433069999999998</v>
      </c>
      <c r="T4786">
        <v>-0.30090149999999999</v>
      </c>
      <c r="U4786">
        <v>-0.1135559</v>
      </c>
      <c r="V4786">
        <v>-8.0331189999999997E-2</v>
      </c>
      <c r="W4786">
        <v>0.37453550000000002</v>
      </c>
      <c r="X4786">
        <v>0.92372619999999905</v>
      </c>
      <c r="Y4786">
        <v>-7.3923509999999998E-2</v>
      </c>
      <c r="Z4786">
        <v>-6.9306819999999996E-3</v>
      </c>
      <c r="AA4786">
        <v>0.99723980000000001</v>
      </c>
      <c r="AB4786">
        <v>33</v>
      </c>
      <c r="AC4786">
        <v>-11.999000000000001</v>
      </c>
      <c r="AD4786">
        <v>-1.110439265476</v>
      </c>
      <c r="AE4786">
        <v>-0.43260000000000698</v>
      </c>
      <c r="AF4786">
        <v>-0.91029870117067702</v>
      </c>
      <c r="AG4786">
        <v>-1.110439265476</v>
      </c>
      <c r="AH4786">
        <v>11.870115121445201</v>
      </c>
      <c r="AI4786">
        <v>95.328861322613506</v>
      </c>
      <c r="AJ4786">
        <v>94.385331324637093</v>
      </c>
      <c r="AK4786">
        <v>11.956644683356</v>
      </c>
      <c r="AL4786">
        <v>68.004393571003106</v>
      </c>
      <c r="AM4786">
        <v>94.970182282982194</v>
      </c>
      <c r="AN4786">
        <v>1.00000001670675</v>
      </c>
    </row>
    <row r="4787" spans="1:40" x14ac:dyDescent="0.25">
      <c r="A4787" t="str">
        <f>"20190304164944690"</f>
        <v>20190304164944690</v>
      </c>
      <c r="B4787" t="str">
        <f>"1551689384680303"</f>
        <v>1551689384680303</v>
      </c>
      <c r="C4787" t="s">
        <v>40</v>
      </c>
      <c r="D4787">
        <v>4.6226960000000004</v>
      </c>
      <c r="E4787">
        <v>0.51475760000000004</v>
      </c>
      <c r="F4787" t="s">
        <v>42</v>
      </c>
      <c r="G4787">
        <v>-241.25739999999999</v>
      </c>
      <c r="H4787" s="1">
        <v>-4.0634970000000003E-6</v>
      </c>
      <c r="I4787">
        <v>140.85890000000001</v>
      </c>
      <c r="J4787">
        <v>-229.00890000000001</v>
      </c>
      <c r="K4787">
        <v>1.110433</v>
      </c>
      <c r="L4787">
        <v>141.28129999999999</v>
      </c>
      <c r="M4787">
        <v>-0.9991719</v>
      </c>
      <c r="N4787">
        <v>-7.1108650000000001E-3</v>
      </c>
      <c r="O4787">
        <v>4.0065009999999998E-2</v>
      </c>
      <c r="P4787">
        <v>-0.92894650000000001</v>
      </c>
      <c r="Q4787">
        <v>0.36773410000000001</v>
      </c>
      <c r="R4787">
        <v>-4.2779009999999999E-2</v>
      </c>
      <c r="S4787">
        <v>-3.3416440000000001</v>
      </c>
      <c r="T4787">
        <v>-0.2947323</v>
      </c>
      <c r="U4787">
        <v>-0.1085052</v>
      </c>
      <c r="V4787">
        <v>-8.0278769999999999E-2</v>
      </c>
      <c r="W4787">
        <v>0.3742453</v>
      </c>
      <c r="X4787">
        <v>0.92384829999999996</v>
      </c>
      <c r="Y4787">
        <v>-7.2038989999999997E-2</v>
      </c>
      <c r="Z4787">
        <v>-6.6681529999999996E-3</v>
      </c>
      <c r="AA4787">
        <v>0.99737949999999997</v>
      </c>
      <c r="AB4787">
        <v>33</v>
      </c>
      <c r="AC4787">
        <v>-12.2484999999999</v>
      </c>
      <c r="AD4787">
        <v>-1.110437063497</v>
      </c>
      <c r="AE4787">
        <v>-0.42239999999998101</v>
      </c>
      <c r="AF4787">
        <v>-0.90537694022624005</v>
      </c>
      <c r="AG4787">
        <v>-1.110437063497</v>
      </c>
      <c r="AH4787">
        <v>12.1222260563395</v>
      </c>
      <c r="AI4787">
        <v>95.219424435460098</v>
      </c>
      <c r="AJ4787">
        <v>94.271339588404004</v>
      </c>
      <c r="AK4787">
        <v>12.2066024116818</v>
      </c>
      <c r="AL4787">
        <v>68.022323470198202</v>
      </c>
      <c r="AM4787">
        <v>94.966302055649706</v>
      </c>
      <c r="AN4787">
        <v>0.99999995344884496</v>
      </c>
    </row>
    <row r="4788" spans="1:40" x14ac:dyDescent="0.25">
      <c r="A4788" t="str">
        <f>"20190304164944712"</f>
        <v>20190304164944712</v>
      </c>
      <c r="B4788" t="str">
        <f>"1551689384700802"</f>
        <v>1551689384700802</v>
      </c>
      <c r="C4788" t="s">
        <v>40</v>
      </c>
      <c r="D4788">
        <v>4.6251989999999896</v>
      </c>
      <c r="E4788">
        <v>0.51518330000000001</v>
      </c>
      <c r="F4788" t="s">
        <v>42</v>
      </c>
      <c r="G4788">
        <v>-241.535</v>
      </c>
      <c r="H4788" s="1">
        <v>-3.950919E-6</v>
      </c>
      <c r="I4788">
        <v>140.88329999999999</v>
      </c>
      <c r="J4788">
        <v>-229.33269999999999</v>
      </c>
      <c r="K4788">
        <v>1.1104369999999999</v>
      </c>
      <c r="L4788">
        <v>141.29390000000001</v>
      </c>
      <c r="M4788">
        <v>-0.99918779999999996</v>
      </c>
      <c r="N4788">
        <v>-7.1256260000000004E-3</v>
      </c>
      <c r="O4788">
        <v>3.966314E-2</v>
      </c>
      <c r="P4788">
        <v>-0.92930520000000005</v>
      </c>
      <c r="Q4788">
        <v>0.36675730000000001</v>
      </c>
      <c r="R4788">
        <v>-4.3371710000000001E-2</v>
      </c>
      <c r="S4788">
        <v>-3.3418580000000002</v>
      </c>
      <c r="T4788">
        <v>-0.29625759999999901</v>
      </c>
      <c r="U4788">
        <v>-0.106155399999999</v>
      </c>
      <c r="V4788">
        <v>-8.0514139999999998E-2</v>
      </c>
      <c r="W4788">
        <v>0.37328430000000001</v>
      </c>
      <c r="X4788">
        <v>0.92421660000000005</v>
      </c>
      <c r="Y4788">
        <v>-7.0936689999999997E-2</v>
      </c>
      <c r="Z4788">
        <v>-6.6168829999999996E-3</v>
      </c>
      <c r="AA4788">
        <v>0.99745890000000004</v>
      </c>
      <c r="AB4788">
        <v>33</v>
      </c>
      <c r="AC4788">
        <v>-12.202299999999999</v>
      </c>
      <c r="AD4788">
        <v>-1.1104409509190001</v>
      </c>
      <c r="AE4788">
        <v>-0.41060000000001601</v>
      </c>
      <c r="AF4788">
        <v>-0.88693384778362705</v>
      </c>
      <c r="AG4788">
        <v>-1.1104409509190001</v>
      </c>
      <c r="AH4788">
        <v>12.0765133303962</v>
      </c>
      <c r="AI4788">
        <v>95.239567421849799</v>
      </c>
      <c r="AJ4788">
        <v>94.200425389055198</v>
      </c>
      <c r="AK4788">
        <v>12.159848065459499</v>
      </c>
      <c r="AL4788">
        <v>68.081688488099999</v>
      </c>
      <c r="AM4788">
        <v>94.978814793706107</v>
      </c>
      <c r="AN4788">
        <v>1.00000000954099</v>
      </c>
    </row>
    <row r="4789" spans="1:40" x14ac:dyDescent="0.25">
      <c r="A4789" t="str">
        <f>"20190304164944734"</f>
        <v>20190304164944734</v>
      </c>
      <c r="B4789" t="str">
        <f>"1551689384730079"</f>
        <v>1551689384730079</v>
      </c>
      <c r="C4789" t="s">
        <v>40</v>
      </c>
      <c r="D4789">
        <v>4.6318669999999997</v>
      </c>
      <c r="E4789">
        <v>0.51531949999999904</v>
      </c>
      <c r="F4789" t="s">
        <v>42</v>
      </c>
      <c r="G4789">
        <v>-241.73939999999999</v>
      </c>
      <c r="H4789" s="1">
        <v>-3.8689170000000002E-6</v>
      </c>
      <c r="I4789">
        <v>140.90469999999999</v>
      </c>
      <c r="J4789">
        <v>-229.667</v>
      </c>
      <c r="K4789">
        <v>1.11043799999999</v>
      </c>
      <c r="L4789">
        <v>141.30680000000001</v>
      </c>
      <c r="M4789">
        <v>-0.99920399999999998</v>
      </c>
      <c r="N4789">
        <v>-7.1465959999999999E-3</v>
      </c>
      <c r="O4789">
        <v>3.9248489999999997E-2</v>
      </c>
      <c r="P4789">
        <v>-0.92949199999999998</v>
      </c>
      <c r="Q4789">
        <v>0.3662088</v>
      </c>
      <c r="R4789">
        <v>-4.4001239999999997E-2</v>
      </c>
      <c r="S4789">
        <v>-3.3413849999999998</v>
      </c>
      <c r="T4789">
        <v>-0.29906729999999998</v>
      </c>
      <c r="U4789">
        <v>-0.1047974</v>
      </c>
      <c r="V4789">
        <v>-8.0767530000000004E-2</v>
      </c>
      <c r="W4789">
        <v>0.37275609999999998</v>
      </c>
      <c r="X4789">
        <v>0.92440770000000005</v>
      </c>
      <c r="Y4789">
        <v>-7.0118810000000004E-2</v>
      </c>
      <c r="Z4789">
        <v>-6.6070599999999997E-3</v>
      </c>
      <c r="AA4789">
        <v>0.99751679999999998</v>
      </c>
      <c r="AB4789">
        <v>33</v>
      </c>
      <c r="AC4789">
        <v>-12.072399999999901</v>
      </c>
      <c r="AD4789">
        <v>-1.1104418689169999</v>
      </c>
      <c r="AE4789">
        <v>-0.402100000000018</v>
      </c>
      <c r="AF4789">
        <v>-0.86828754589116097</v>
      </c>
      <c r="AG4789">
        <v>-1.1104418689169999</v>
      </c>
      <c r="AH4789">
        <v>11.9463532254274</v>
      </c>
      <c r="AI4789">
        <v>95.296627085475194</v>
      </c>
      <c r="AJ4789">
        <v>94.1570748818921</v>
      </c>
      <c r="AK4789">
        <v>12.029229393160399</v>
      </c>
      <c r="AL4789">
        <v>68.114307301969902</v>
      </c>
      <c r="AM4789">
        <v>94.993377479020495</v>
      </c>
      <c r="AN4789">
        <v>1.00000004990439</v>
      </c>
    </row>
    <row r="4790" spans="1:40" x14ac:dyDescent="0.25">
      <c r="A4790" t="str">
        <f>"20190304164944758"</f>
        <v>20190304164944758</v>
      </c>
      <c r="B4790" t="str">
        <f>"1551689384750575"</f>
        <v>1551689384750575</v>
      </c>
      <c r="C4790" t="s">
        <v>40</v>
      </c>
      <c r="D4790">
        <v>4.6386500000000002</v>
      </c>
      <c r="E4790">
        <v>0.51537820000000001</v>
      </c>
      <c r="F4790" t="s">
        <v>42</v>
      </c>
      <c r="G4790">
        <v>-241.7824</v>
      </c>
      <c r="H4790" s="1">
        <v>-3.8543160000000001E-6</v>
      </c>
      <c r="I4790">
        <v>140.91929999999999</v>
      </c>
      <c r="J4790">
        <v>-230.00970000000001</v>
      </c>
      <c r="K4790">
        <v>1.110441</v>
      </c>
      <c r="L4790">
        <v>141.31979999999999</v>
      </c>
      <c r="M4790">
        <v>-0.99922040000000001</v>
      </c>
      <c r="N4790">
        <v>-7.1705579999999996E-3</v>
      </c>
      <c r="O4790">
        <v>3.8823679999999999E-2</v>
      </c>
      <c r="P4790">
        <v>-0.92964000000000002</v>
      </c>
      <c r="Q4790">
        <v>0.36573329999999998</v>
      </c>
      <c r="R4790">
        <v>-4.4817540000000003E-2</v>
      </c>
      <c r="S4790">
        <v>-3.3432460000000002</v>
      </c>
      <c r="T4790">
        <v>-0.30642720000000001</v>
      </c>
      <c r="U4790">
        <v>-0.10691829999999999</v>
      </c>
      <c r="V4790">
        <v>-8.1196470000000007E-2</v>
      </c>
      <c r="W4790">
        <v>0.37230249999999998</v>
      </c>
      <c r="X4790">
        <v>0.92455290000000001</v>
      </c>
      <c r="Y4790">
        <v>-7.028914E-2</v>
      </c>
      <c r="Z4790">
        <v>-6.7384350000000001E-3</v>
      </c>
      <c r="AA4790">
        <v>0.9975039</v>
      </c>
      <c r="AB4790">
        <v>33</v>
      </c>
      <c r="AC4790">
        <v>-11.772699999999899</v>
      </c>
      <c r="AD4790">
        <v>-1.1104448543159999</v>
      </c>
      <c r="AE4790">
        <v>-0.40049999999999297</v>
      </c>
      <c r="AF4790">
        <v>-0.84971813043713795</v>
      </c>
      <c r="AG4790">
        <v>-1.1104448543159999</v>
      </c>
      <c r="AH4790">
        <v>11.6447910249729</v>
      </c>
      <c r="AI4790">
        <v>95.432884033499803</v>
      </c>
      <c r="AJ4790">
        <v>94.173465013732695</v>
      </c>
      <c r="AK4790">
        <v>11.728438373925201</v>
      </c>
      <c r="AL4790">
        <v>68.142312274576597</v>
      </c>
      <c r="AM4790">
        <v>95.018976836907498</v>
      </c>
      <c r="AN4790">
        <v>1.0000000415725501</v>
      </c>
    </row>
    <row r="4791" spans="1:40" x14ac:dyDescent="0.25">
      <c r="A4791" t="str">
        <f>"20190304164944781"</f>
        <v>20190304164944781</v>
      </c>
      <c r="B4791" t="str">
        <f>"1551689384771071"</f>
        <v>1551689384771071</v>
      </c>
      <c r="C4791" t="s">
        <v>40</v>
      </c>
      <c r="D4791">
        <v>4.657699</v>
      </c>
      <c r="E4791">
        <v>0.5154396</v>
      </c>
      <c r="F4791" t="s">
        <v>42</v>
      </c>
      <c r="G4791">
        <v>-241.89660000000001</v>
      </c>
      <c r="H4791" s="1">
        <v>-3.8071680000000001E-6</v>
      </c>
      <c r="I4791">
        <v>140.92619999999999</v>
      </c>
      <c r="J4791">
        <v>-230.3639</v>
      </c>
      <c r="K4791">
        <v>1.1104369999999999</v>
      </c>
      <c r="L4791">
        <v>141.33320000000001</v>
      </c>
      <c r="M4791">
        <v>-0.99923720000000005</v>
      </c>
      <c r="N4791">
        <v>-7.1955450000000002E-3</v>
      </c>
      <c r="O4791">
        <v>3.8384689999999999E-2</v>
      </c>
      <c r="P4791">
        <v>-0.92953149999999996</v>
      </c>
      <c r="Q4791">
        <v>0.36590830000000002</v>
      </c>
      <c r="R4791">
        <v>-4.563478E-2</v>
      </c>
      <c r="S4791">
        <v>-3.3446349999999998</v>
      </c>
      <c r="T4791">
        <v>-0.3124479</v>
      </c>
      <c r="U4791">
        <v>-0.11074829999999999</v>
      </c>
      <c r="V4791">
        <v>-8.1604369999999996E-2</v>
      </c>
      <c r="W4791">
        <v>0.37249939999999998</v>
      </c>
      <c r="X4791">
        <v>0.92443759999999997</v>
      </c>
      <c r="Y4791">
        <v>-7.0959549999999996E-2</v>
      </c>
      <c r="Z4791">
        <v>-6.8636720000000003E-3</v>
      </c>
      <c r="AA4791">
        <v>0.9974556</v>
      </c>
      <c r="AB4791">
        <v>34</v>
      </c>
      <c r="AC4791">
        <v>-11.5327</v>
      </c>
      <c r="AD4791">
        <v>-1.1104408071680001</v>
      </c>
      <c r="AE4791">
        <v>-0.40700000000001002</v>
      </c>
      <c r="AF4791">
        <v>-0.84159779549672598</v>
      </c>
      <c r="AG4791">
        <v>-1.1104408071680001</v>
      </c>
      <c r="AH4791">
        <v>11.4029912284829</v>
      </c>
      <c r="AI4791">
        <v>95.547020653052002</v>
      </c>
      <c r="AJ4791">
        <v>94.221061955909406</v>
      </c>
      <c r="AK4791">
        <v>11.4878011208615</v>
      </c>
      <c r="AL4791">
        <v>68.130154884412704</v>
      </c>
      <c r="AM4791">
        <v>95.044686378804101</v>
      </c>
      <c r="AN4791">
        <v>0.99999997624860804</v>
      </c>
    </row>
    <row r="4792" spans="1:40" x14ac:dyDescent="0.25">
      <c r="A4792" t="str">
        <f>"20190304164944805"</f>
        <v>20190304164944805</v>
      </c>
      <c r="B4792" t="str">
        <f>"1551689384790590"</f>
        <v>1551689384790590</v>
      </c>
      <c r="C4792" t="s">
        <v>40</v>
      </c>
      <c r="D4792">
        <v>4.6953620000000003</v>
      </c>
      <c r="E4792">
        <v>0.51548499999999997</v>
      </c>
      <c r="F4792" t="s">
        <v>42</v>
      </c>
      <c r="G4792">
        <v>-242.0523</v>
      </c>
      <c r="H4792" s="1">
        <v>-3.7414479999999999E-6</v>
      </c>
      <c r="I4792">
        <v>140.93020000000001</v>
      </c>
      <c r="J4792">
        <v>-230.7107</v>
      </c>
      <c r="K4792">
        <v>1.1104369999999999</v>
      </c>
      <c r="L4792">
        <v>141.34610000000001</v>
      </c>
      <c r="M4792">
        <v>-0.99925350000000002</v>
      </c>
      <c r="N4792">
        <v>-7.2198080000000003E-3</v>
      </c>
      <c r="O4792">
        <v>3.7955179999999998E-2</v>
      </c>
      <c r="P4792">
        <v>-0.92968419999999896</v>
      </c>
      <c r="Q4792">
        <v>0.36544219999999999</v>
      </c>
      <c r="R4792">
        <v>-4.626011E-2</v>
      </c>
      <c r="S4792">
        <v>-3.3469389999999999</v>
      </c>
      <c r="T4792">
        <v>-0.31797229999999999</v>
      </c>
      <c r="U4792">
        <v>-0.11537169999999999</v>
      </c>
      <c r="V4792">
        <v>-8.1838240000000007E-2</v>
      </c>
      <c r="W4792">
        <v>0.372056</v>
      </c>
      <c r="X4792">
        <v>0.92459550000000001</v>
      </c>
      <c r="Y4792">
        <v>-7.1865440000000003E-2</v>
      </c>
      <c r="Z4792">
        <v>-6.98849E-3</v>
      </c>
      <c r="AA4792">
        <v>0.99738990000000005</v>
      </c>
      <c r="AB4792">
        <v>34</v>
      </c>
      <c r="AC4792">
        <v>-11.3416</v>
      </c>
      <c r="AD4792">
        <v>-1.110440741448</v>
      </c>
      <c r="AE4792">
        <v>-0.415899999999993</v>
      </c>
      <c r="AF4792">
        <v>-0.83806098297770404</v>
      </c>
      <c r="AG4792">
        <v>-1.110440741448</v>
      </c>
      <c r="AH4792">
        <v>11.2103223340575</v>
      </c>
      <c r="AI4792">
        <v>95.641351027323907</v>
      </c>
      <c r="AJ4792">
        <v>94.275363564561005</v>
      </c>
      <c r="AK4792">
        <v>11.2963158456607</v>
      </c>
      <c r="AL4792">
        <v>68.157527910425699</v>
      </c>
      <c r="AM4792">
        <v>95.058209534054697</v>
      </c>
      <c r="AN4792">
        <v>1.00000000164127</v>
      </c>
    </row>
    <row r="4793" spans="1:40" x14ac:dyDescent="0.25">
      <c r="A4793" t="str">
        <f>"20190304164944825"</f>
        <v>20190304164944825</v>
      </c>
      <c r="B4793" t="str">
        <f>"1551689384810111"</f>
        <v>1551689384810111</v>
      </c>
      <c r="C4793" t="s">
        <v>40</v>
      </c>
      <c r="D4793">
        <v>4.6864420000000004</v>
      </c>
      <c r="E4793">
        <v>0.5154955</v>
      </c>
      <c r="F4793" t="s">
        <v>42</v>
      </c>
      <c r="G4793">
        <v>-242.1259</v>
      </c>
      <c r="H4793" s="1">
        <v>-3.711684E-6</v>
      </c>
      <c r="I4793">
        <v>140.93690000000001</v>
      </c>
      <c r="J4793">
        <v>-231.02959999999999</v>
      </c>
      <c r="K4793">
        <v>1.1104369999999999</v>
      </c>
      <c r="L4793">
        <v>141.3578</v>
      </c>
      <c r="M4793">
        <v>-0.99926820000000005</v>
      </c>
      <c r="N4793">
        <v>-7.2434159999999999E-3</v>
      </c>
      <c r="O4793">
        <v>3.7560139999999999E-2</v>
      </c>
      <c r="P4793">
        <v>-0.92949579999999998</v>
      </c>
      <c r="Q4793">
        <v>0.36584030000000001</v>
      </c>
      <c r="R4793">
        <v>-4.68902E-2</v>
      </c>
      <c r="S4793">
        <v>-3.3489840000000002</v>
      </c>
      <c r="T4793">
        <v>-0.32578289999999999</v>
      </c>
      <c r="U4793">
        <v>-0.1200256</v>
      </c>
      <c r="V4793">
        <v>-8.2095849999999998E-2</v>
      </c>
      <c r="W4793">
        <v>0.37247419999999998</v>
      </c>
      <c r="X4793">
        <v>0.92440429999999996</v>
      </c>
      <c r="Y4793">
        <v>-7.2807440000000001E-2</v>
      </c>
      <c r="Z4793">
        <v>-7.1688560000000004E-3</v>
      </c>
      <c r="AA4793">
        <v>0.99732019999999999</v>
      </c>
      <c r="AB4793">
        <v>34</v>
      </c>
      <c r="AC4793">
        <v>-11.096299999999999</v>
      </c>
      <c r="AD4793">
        <v>-1.110440711684</v>
      </c>
      <c r="AE4793">
        <v>-0.42089999999998801</v>
      </c>
      <c r="AF4793">
        <v>-0.82910126240313897</v>
      </c>
      <c r="AG4793">
        <v>-1.110440711684</v>
      </c>
      <c r="AH4793">
        <v>10.963027432799</v>
      </c>
      <c r="AI4793">
        <v>95.767382963024005</v>
      </c>
      <c r="AJ4793">
        <v>94.324877172512998</v>
      </c>
      <c r="AK4793">
        <v>11.0502695881045</v>
      </c>
      <c r="AL4793">
        <v>68.131712027700303</v>
      </c>
      <c r="AM4793">
        <v>95.075092767099093</v>
      </c>
      <c r="AN4793">
        <v>1.0000000340556701</v>
      </c>
    </row>
    <row r="4794" spans="1:40" x14ac:dyDescent="0.25">
      <c r="A4794" t="str">
        <f>"20190304164944848"</f>
        <v>20190304164944848</v>
      </c>
      <c r="B4794" t="str">
        <f>"1551689384840367"</f>
        <v>1551689384840367</v>
      </c>
      <c r="C4794" t="s">
        <v>40</v>
      </c>
      <c r="D4794">
        <v>5.1813750000000001</v>
      </c>
      <c r="E4794">
        <v>0.51529570000000002</v>
      </c>
      <c r="F4794" t="s">
        <v>42</v>
      </c>
      <c r="G4794">
        <v>-242.36320000000001</v>
      </c>
      <c r="H4794" s="1">
        <v>-3.6102830000000001E-6</v>
      </c>
      <c r="I4794">
        <v>140.9385</v>
      </c>
      <c r="J4794">
        <v>-231.35810000000001</v>
      </c>
      <c r="K4794">
        <v>1.110436</v>
      </c>
      <c r="L4794">
        <v>141.3698</v>
      </c>
      <c r="M4794">
        <v>-0.99928320000000004</v>
      </c>
      <c r="N4794">
        <v>-7.2710229999999997E-3</v>
      </c>
      <c r="O4794">
        <v>3.7153270000000002E-2</v>
      </c>
      <c r="P4794">
        <v>-0.92945440000000001</v>
      </c>
      <c r="Q4794">
        <v>0.3659039</v>
      </c>
      <c r="R4794">
        <v>-4.7214270000000003E-2</v>
      </c>
      <c r="S4794">
        <v>-3.3504939999999999</v>
      </c>
      <c r="T4794">
        <v>-0.32827479999999998</v>
      </c>
      <c r="U4794">
        <v>-0.1239624</v>
      </c>
      <c r="V4794">
        <v>-8.2042019999999993E-2</v>
      </c>
      <c r="W4794">
        <v>0.37256319999999998</v>
      </c>
      <c r="X4794">
        <v>0.92437320000000001</v>
      </c>
      <c r="Y4794">
        <v>-7.3545940000000004E-2</v>
      </c>
      <c r="Z4794">
        <v>-7.2220879999999998E-3</v>
      </c>
      <c r="AA4794">
        <v>0.99726570000000003</v>
      </c>
      <c r="AB4794">
        <v>34</v>
      </c>
      <c r="AC4794">
        <v>-11.005100000000001</v>
      </c>
      <c r="AD4794">
        <v>-1.1104396102830001</v>
      </c>
      <c r="AE4794">
        <v>-0.43129999999999302</v>
      </c>
      <c r="AF4794">
        <v>-0.83143634082769302</v>
      </c>
      <c r="AG4794">
        <v>-1.1104396102830001</v>
      </c>
      <c r="AH4794">
        <v>10.870966324415701</v>
      </c>
      <c r="AI4794">
        <v>95.815511547879197</v>
      </c>
      <c r="AJ4794">
        <v>94.373597535281306</v>
      </c>
      <c r="AK4794">
        <v>10.959118182751499</v>
      </c>
      <c r="AL4794">
        <v>68.126216934222299</v>
      </c>
      <c r="AM4794">
        <v>95.071952153022295</v>
      </c>
      <c r="AN4794">
        <v>1.0000000219590699</v>
      </c>
    </row>
    <row r="4795" spans="1:40" x14ac:dyDescent="0.25">
      <c r="A4795" t="str">
        <f>"20190304164944870"</f>
        <v>20190304164944870</v>
      </c>
      <c r="B4795" t="str">
        <f>"1551689384860863"</f>
        <v>1551689384860863</v>
      </c>
      <c r="C4795" t="s">
        <v>40</v>
      </c>
      <c r="D4795">
        <v>4.7084320000000002</v>
      </c>
      <c r="E4795">
        <v>0.51519190000000004</v>
      </c>
      <c r="F4795" t="s">
        <v>42</v>
      </c>
      <c r="G4795">
        <v>-242.7869</v>
      </c>
      <c r="H4795" s="1">
        <v>-3.426034E-6</v>
      </c>
      <c r="I4795">
        <v>140.92910000000001</v>
      </c>
      <c r="J4795">
        <v>-231.7148</v>
      </c>
      <c r="K4795">
        <v>1.1104350000000001</v>
      </c>
      <c r="L4795">
        <v>141.3826</v>
      </c>
      <c r="M4795">
        <v>-0.99929920000000005</v>
      </c>
      <c r="N4795">
        <v>-7.30248099999999E-3</v>
      </c>
      <c r="O4795">
        <v>3.6711929999999997E-2</v>
      </c>
      <c r="P4795">
        <v>-0.92987089999999994</v>
      </c>
      <c r="Q4795">
        <v>0.3647495</v>
      </c>
      <c r="R4795">
        <v>-4.7936869999999999E-2</v>
      </c>
      <c r="S4795">
        <v>-3.3492579999999998</v>
      </c>
      <c r="T4795">
        <v>-0.32542159999999998</v>
      </c>
      <c r="U4795">
        <v>-0.1291351</v>
      </c>
      <c r="V4795">
        <v>-8.2370639999999995E-2</v>
      </c>
      <c r="W4795">
        <v>0.3714403</v>
      </c>
      <c r="X4795">
        <v>0.9247957</v>
      </c>
      <c r="Y4795">
        <v>-7.4661989999999998E-2</v>
      </c>
      <c r="Z4795">
        <v>-7.1806530000000004E-3</v>
      </c>
      <c r="AA4795">
        <v>0.99718300000000004</v>
      </c>
      <c r="AB4795">
        <v>34</v>
      </c>
      <c r="AC4795">
        <v>-11.072100000000001</v>
      </c>
      <c r="AD4795">
        <v>-1.1104384260339999</v>
      </c>
      <c r="AE4795">
        <v>-0.45349999999999102</v>
      </c>
      <c r="AF4795">
        <v>-0.85113654192251398</v>
      </c>
      <c r="AG4795">
        <v>-1.1104384260339999</v>
      </c>
      <c r="AH4795">
        <v>10.938150438251601</v>
      </c>
      <c r="AI4795">
        <v>95.779441979545695</v>
      </c>
      <c r="AJ4795">
        <v>94.449423293684404</v>
      </c>
      <c r="AK4795">
        <v>11.027268107778699</v>
      </c>
      <c r="AL4795">
        <v>68.195527150721901</v>
      </c>
      <c r="AM4795">
        <v>95.089847130461393</v>
      </c>
      <c r="AN4795">
        <v>0.99999995276829301</v>
      </c>
    </row>
    <row r="4796" spans="1:40" x14ac:dyDescent="0.25">
      <c r="A4796" t="str">
        <f>"20190304164944891"</f>
        <v>20190304164944891</v>
      </c>
      <c r="B4796" t="str">
        <f>"1551689384880382"</f>
        <v>1551689384880382</v>
      </c>
      <c r="C4796" t="s">
        <v>40</v>
      </c>
      <c r="D4796">
        <v>4.7290599999999996</v>
      </c>
      <c r="E4796">
        <v>0.51516919999999999</v>
      </c>
      <c r="F4796" t="s">
        <v>42</v>
      </c>
      <c r="G4796">
        <v>-243.08609999999999</v>
      </c>
      <c r="H4796" s="1">
        <v>-3.2981159999999998E-6</v>
      </c>
      <c r="I4796">
        <v>140.9308</v>
      </c>
      <c r="J4796">
        <v>-232.0307</v>
      </c>
      <c r="K4796">
        <v>1.110428</v>
      </c>
      <c r="L4796">
        <v>141.3939</v>
      </c>
      <c r="M4796">
        <v>-0.99931340000000002</v>
      </c>
      <c r="N4796">
        <v>-7.3328269999999897E-3</v>
      </c>
      <c r="O4796">
        <v>3.6321260000000001E-2</v>
      </c>
      <c r="P4796">
        <v>-0.93026489999999995</v>
      </c>
      <c r="Q4796">
        <v>0.36349229999999999</v>
      </c>
      <c r="R4796">
        <v>-4.9807329999999997E-2</v>
      </c>
      <c r="S4796">
        <v>-3.3476409999999999</v>
      </c>
      <c r="T4796">
        <v>-0.3269049</v>
      </c>
      <c r="U4796">
        <v>-0.13299559999999999</v>
      </c>
      <c r="V4796">
        <v>-8.3892549999999996E-2</v>
      </c>
      <c r="W4796">
        <v>0.37021229999999999</v>
      </c>
      <c r="X4796">
        <v>0.92515130000000001</v>
      </c>
      <c r="Y4796">
        <v>-7.543126E-2</v>
      </c>
      <c r="Z4796">
        <v>-7.2216779999999996E-3</v>
      </c>
      <c r="AA4796">
        <v>0.99712489999999998</v>
      </c>
      <c r="AB4796">
        <v>34</v>
      </c>
      <c r="AC4796">
        <v>-11.055399999999899</v>
      </c>
      <c r="AD4796">
        <v>-1.1104312981160001</v>
      </c>
      <c r="AE4796">
        <v>-0.46309999999999701</v>
      </c>
      <c r="AF4796">
        <v>-0.85573311488736403</v>
      </c>
      <c r="AG4796">
        <v>-1.1104312981160001</v>
      </c>
      <c r="AH4796">
        <v>10.9212955574404</v>
      </c>
      <c r="AI4796">
        <v>95.788022628623807</v>
      </c>
      <c r="AJ4796">
        <v>94.4802308487413</v>
      </c>
      <c r="AK4796">
        <v>11.010905207325999</v>
      </c>
      <c r="AL4796">
        <v>68.271289431874294</v>
      </c>
      <c r="AM4796">
        <v>95.181399851203196</v>
      </c>
      <c r="AN4796">
        <v>1.0000000174542401</v>
      </c>
    </row>
    <row r="4797" spans="1:40" x14ac:dyDescent="0.25">
      <c r="A4797" t="str">
        <f>"20190304164944912"</f>
        <v>20190304164944912</v>
      </c>
      <c r="B4797" t="str">
        <f>"1551689384900882"</f>
        <v>1551689384900882</v>
      </c>
      <c r="C4797" t="s">
        <v>40</v>
      </c>
      <c r="D4797">
        <v>4.7287780000000001</v>
      </c>
      <c r="E4797">
        <v>0.51517250000000003</v>
      </c>
      <c r="F4797" t="s">
        <v>42</v>
      </c>
      <c r="G4797">
        <v>-243.30019999999999</v>
      </c>
      <c r="H4797" s="1">
        <v>-3.2085540000000001E-6</v>
      </c>
      <c r="I4797">
        <v>140.93940000000001</v>
      </c>
      <c r="J4797">
        <v>-232.358</v>
      </c>
      <c r="K4797">
        <v>1.11043</v>
      </c>
      <c r="L4797">
        <v>141.40539999999999</v>
      </c>
      <c r="M4797">
        <v>-0.99932770000000004</v>
      </c>
      <c r="N4797">
        <v>-7.3669089999999996E-3</v>
      </c>
      <c r="O4797">
        <v>3.5916740000000003E-2</v>
      </c>
      <c r="P4797">
        <v>-0.93050949999999999</v>
      </c>
      <c r="Q4797">
        <v>0.36250329999999997</v>
      </c>
      <c r="R4797">
        <v>-5.2378429999999997E-2</v>
      </c>
      <c r="S4797">
        <v>-3.3465120000000002</v>
      </c>
      <c r="T4797">
        <v>-0.32974550000000002</v>
      </c>
      <c r="U4797">
        <v>-0.13493350000000001</v>
      </c>
      <c r="V4797">
        <v>-8.609588E-2</v>
      </c>
      <c r="W4797">
        <v>0.36925350000000001</v>
      </c>
      <c r="X4797">
        <v>0.92533200000000004</v>
      </c>
      <c r="Y4797">
        <v>-7.5608610000000007E-2</v>
      </c>
      <c r="Z4797">
        <v>-7.2590789999999999E-3</v>
      </c>
      <c r="AA4797">
        <v>0.99711110000000003</v>
      </c>
      <c r="AB4797">
        <v>34</v>
      </c>
      <c r="AC4797">
        <v>-10.9421999999999</v>
      </c>
      <c r="AD4797">
        <v>-1.1104332085539901</v>
      </c>
      <c r="AE4797">
        <v>-0.46599999999997899</v>
      </c>
      <c r="AF4797">
        <v>-0.84998039650328805</v>
      </c>
      <c r="AG4797">
        <v>-1.1104332085539901</v>
      </c>
      <c r="AH4797">
        <v>10.8073039642232</v>
      </c>
      <c r="AI4797">
        <v>95.848528300460202</v>
      </c>
      <c r="AJ4797">
        <v>94.496981558981403</v>
      </c>
      <c r="AK4797">
        <v>10.897400954365899</v>
      </c>
      <c r="AL4797">
        <v>68.330413456315796</v>
      </c>
      <c r="AM4797">
        <v>95.315680402683398</v>
      </c>
      <c r="AN4797">
        <v>0.99999997901961202</v>
      </c>
    </row>
    <row r="4798" spans="1:40" x14ac:dyDescent="0.25">
      <c r="A4798" t="str">
        <f>"20190304164944936"</f>
        <v>20190304164944936</v>
      </c>
      <c r="B4798" t="str">
        <f>"1551689384930159"</f>
        <v>1551689384930159</v>
      </c>
      <c r="C4798" t="s">
        <v>40</v>
      </c>
      <c r="D4798">
        <v>4.7285309999999896</v>
      </c>
      <c r="E4798">
        <v>0.51516260000000003</v>
      </c>
      <c r="F4798" t="s">
        <v>42</v>
      </c>
      <c r="G4798">
        <v>-243.55109999999999</v>
      </c>
      <c r="H4798" s="1">
        <v>-3.1012469999999999E-6</v>
      </c>
      <c r="I4798">
        <v>140.94069999999999</v>
      </c>
      <c r="J4798">
        <v>-232.71010000000001</v>
      </c>
      <c r="K4798">
        <v>1.110433</v>
      </c>
      <c r="L4798">
        <v>141.41759999999999</v>
      </c>
      <c r="M4798">
        <v>-0.99934299999999998</v>
      </c>
      <c r="N4798">
        <v>-7.404005E-3</v>
      </c>
      <c r="O4798">
        <v>3.5481690000000003E-2</v>
      </c>
      <c r="P4798">
        <v>-0.93043920000000002</v>
      </c>
      <c r="Q4798">
        <v>0.36232330000000001</v>
      </c>
      <c r="R4798">
        <v>-5.4819279999999998E-2</v>
      </c>
      <c r="S4798">
        <v>-3.34552</v>
      </c>
      <c r="T4798">
        <v>-0.331899</v>
      </c>
      <c r="U4798">
        <v>-0.1388855</v>
      </c>
      <c r="V4798">
        <v>-8.812963E-2</v>
      </c>
      <c r="W4798">
        <v>0.3691046</v>
      </c>
      <c r="X4798">
        <v>0.92520000000000002</v>
      </c>
      <c r="Y4798">
        <v>-7.6352859999999995E-2</v>
      </c>
      <c r="Z4798">
        <v>-7.3080169999999896E-3</v>
      </c>
      <c r="AA4798">
        <v>0.99705410000000005</v>
      </c>
      <c r="AB4798">
        <v>34</v>
      </c>
      <c r="AC4798">
        <v>-10.8409999999999</v>
      </c>
      <c r="AD4798">
        <v>-1.1104361012469901</v>
      </c>
      <c r="AE4798">
        <v>-0.47689999999999999</v>
      </c>
      <c r="AF4798">
        <v>-0.85234190159711698</v>
      </c>
      <c r="AG4798">
        <v>-1.1104361012469901</v>
      </c>
      <c r="AH4798">
        <v>10.705152665859501</v>
      </c>
      <c r="AI4798">
        <v>95.903511688050898</v>
      </c>
      <c r="AJ4798">
        <v>94.552274150591899</v>
      </c>
      <c r="AK4798">
        <v>10.796288651732601</v>
      </c>
      <c r="AL4798">
        <v>68.339594634604893</v>
      </c>
      <c r="AM4798">
        <v>95.441273728865497</v>
      </c>
      <c r="AN4798">
        <v>1.0000000387125401</v>
      </c>
    </row>
    <row r="4799" spans="1:40" x14ac:dyDescent="0.25">
      <c r="A4799" t="str">
        <f>"20190304164944958"</f>
        <v>20190304164944958</v>
      </c>
      <c r="B4799" t="str">
        <f>"1551689384950655"</f>
        <v>1551689384950655</v>
      </c>
      <c r="C4799" t="s">
        <v>40</v>
      </c>
      <c r="D4799">
        <v>4.8304220000000004</v>
      </c>
      <c r="E4799">
        <v>0.51513929999999997</v>
      </c>
      <c r="F4799" t="s">
        <v>42</v>
      </c>
      <c r="G4799">
        <v>-243.959</v>
      </c>
      <c r="H4799" s="1">
        <v>-2.9233719999999999E-6</v>
      </c>
      <c r="I4799">
        <v>140.9297</v>
      </c>
      <c r="J4799">
        <v>-233.06180000000001</v>
      </c>
      <c r="K4799">
        <v>1.1104339999999999</v>
      </c>
      <c r="L4799">
        <v>141.4297</v>
      </c>
      <c r="M4799">
        <v>-0.99935810000000003</v>
      </c>
      <c r="N4799">
        <v>-7.4442110000000001E-3</v>
      </c>
      <c r="O4799">
        <v>3.5044949999999998E-2</v>
      </c>
      <c r="P4799">
        <v>-0.9301912</v>
      </c>
      <c r="Q4799">
        <v>0.36264610000000003</v>
      </c>
      <c r="R4799">
        <v>-5.6852659999999999E-2</v>
      </c>
      <c r="S4799">
        <v>-3.3442989999999999</v>
      </c>
      <c r="T4799">
        <v>-0.33013300000000001</v>
      </c>
      <c r="U4799">
        <v>-0.14503479999999999</v>
      </c>
      <c r="V4799">
        <v>-8.9751239999999996E-2</v>
      </c>
      <c r="W4799">
        <v>0.36946040000000002</v>
      </c>
      <c r="X4799">
        <v>0.924902</v>
      </c>
      <c r="Y4799">
        <v>-7.7762070000000003E-2</v>
      </c>
      <c r="Z4799">
        <v>-7.3068119999999898E-3</v>
      </c>
      <c r="AA4799">
        <v>0.99694510000000003</v>
      </c>
      <c r="AB4799">
        <v>34</v>
      </c>
      <c r="AC4799">
        <v>-10.8971999999999</v>
      </c>
      <c r="AD4799">
        <v>-1.110436923372</v>
      </c>
      <c r="AE4799">
        <v>-0.5</v>
      </c>
      <c r="AF4799">
        <v>-0.87255380541792804</v>
      </c>
      <c r="AG4799">
        <v>-1.110436923372</v>
      </c>
      <c r="AH4799">
        <v>10.761472291072</v>
      </c>
      <c r="AI4799">
        <v>95.872156379169894</v>
      </c>
      <c r="AJ4799">
        <v>94.635473995271795</v>
      </c>
      <c r="AK4799">
        <v>10.853741574943101</v>
      </c>
      <c r="AL4799">
        <v>68.317657184699002</v>
      </c>
      <c r="AM4799">
        <v>95.5425513317211</v>
      </c>
      <c r="AN4799">
        <v>0.99999999092684799</v>
      </c>
    </row>
    <row r="4800" spans="1:40" x14ac:dyDescent="0.25">
      <c r="A4800" t="str">
        <f>"20190304164944982"</f>
        <v>20190304164944982</v>
      </c>
      <c r="B4800" t="str">
        <f>"1551689384970174"</f>
        <v>1551689384970174</v>
      </c>
      <c r="C4800" t="s">
        <v>40</v>
      </c>
      <c r="D4800">
        <v>4.8943379999999896</v>
      </c>
      <c r="E4800">
        <v>0.54363879999999998</v>
      </c>
      <c r="F4800" t="s">
        <v>42</v>
      </c>
      <c r="G4800">
        <v>-244.38159999999999</v>
      </c>
      <c r="H4800" s="1">
        <v>-2.7380910000000001E-6</v>
      </c>
      <c r="I4800">
        <v>140.91470000000001</v>
      </c>
      <c r="J4800">
        <v>-233.42840000000001</v>
      </c>
      <c r="K4800">
        <v>1.1104369999999999</v>
      </c>
      <c r="L4800">
        <v>141.44210000000001</v>
      </c>
      <c r="M4800">
        <v>-0.99937370000000003</v>
      </c>
      <c r="N4800">
        <v>-7.4876959999999899E-3</v>
      </c>
      <c r="O4800">
        <v>3.4586489999999998E-2</v>
      </c>
      <c r="P4800">
        <v>-0.9299326</v>
      </c>
      <c r="Q4800">
        <v>0.36313119999999999</v>
      </c>
      <c r="R4800">
        <v>-5.7974150000000002E-2</v>
      </c>
      <c r="S4800">
        <v>-3.3437039999999998</v>
      </c>
      <c r="T4800">
        <v>-0.32800869999999999</v>
      </c>
      <c r="U4800">
        <v>-0.1520996</v>
      </c>
      <c r="V4800">
        <v>-9.0441930000000004E-2</v>
      </c>
      <c r="W4800">
        <v>0.3699828</v>
      </c>
      <c r="X4800">
        <v>0.9246259</v>
      </c>
      <c r="Y4800">
        <v>-7.9414769999999996E-2</v>
      </c>
      <c r="Z4800">
        <v>-7.3069919999999896E-3</v>
      </c>
      <c r="AA4800">
        <v>0.99681489999999995</v>
      </c>
      <c r="AB4800">
        <v>34</v>
      </c>
      <c r="AC4800">
        <v>-10.953199999999899</v>
      </c>
      <c r="AD4800">
        <v>-1.1104397380910001</v>
      </c>
      <c r="AE4800">
        <v>-0.52739999999999998</v>
      </c>
      <c r="AF4800">
        <v>-0.89673250614782696</v>
      </c>
      <c r="AG4800">
        <v>-1.1104397380910001</v>
      </c>
      <c r="AH4800">
        <v>10.817480279827899</v>
      </c>
      <c r="AI4800">
        <v>95.841120885029696</v>
      </c>
      <c r="AJ4800">
        <v>94.738791285844002</v>
      </c>
      <c r="AK4800">
        <v>10.911236648702101</v>
      </c>
      <c r="AL4800">
        <v>68.285444279128399</v>
      </c>
      <c r="AM4800">
        <v>95.586593118710496</v>
      </c>
      <c r="AN4800">
        <v>1.0000000349743801</v>
      </c>
    </row>
    <row r="4801" spans="1:40" x14ac:dyDescent="0.25">
      <c r="A4801" t="str">
        <f>"20190304164945004"</f>
        <v>20190304164945004</v>
      </c>
      <c r="B4801" t="str">
        <f>"1551689384990670"</f>
        <v>1551689384990670</v>
      </c>
      <c r="C4801" t="s">
        <v>40</v>
      </c>
      <c r="D4801">
        <v>4.9163769999999998</v>
      </c>
      <c r="E4801">
        <v>0.54998800000000003</v>
      </c>
      <c r="F4801" t="s">
        <v>41</v>
      </c>
      <c r="G4801">
        <v>-234.3552</v>
      </c>
      <c r="H4801">
        <v>1.0357050000000001</v>
      </c>
      <c r="I4801">
        <v>141.46289999999999</v>
      </c>
      <c r="J4801">
        <v>-233.75380000000001</v>
      </c>
      <c r="K4801">
        <v>1.110447</v>
      </c>
      <c r="L4801">
        <v>141.453</v>
      </c>
      <c r="M4801">
        <v>-0.99938760000000004</v>
      </c>
      <c r="N4801">
        <v>-7.5268649999999998E-3</v>
      </c>
      <c r="O4801">
        <v>3.4171229999999997E-2</v>
      </c>
      <c r="P4801">
        <v>-0.92978329999999998</v>
      </c>
      <c r="Q4801">
        <v>0.36350909999999997</v>
      </c>
      <c r="R4801">
        <v>-5.7998609999999999E-2</v>
      </c>
      <c r="S4801">
        <v>-3.3357389999999998</v>
      </c>
      <c r="T4801">
        <v>-0.26906560000000002</v>
      </c>
      <c r="U4801">
        <v>7.4340820000000002E-2</v>
      </c>
      <c r="V4801">
        <v>-9.0082090000000004E-2</v>
      </c>
      <c r="W4801">
        <v>0.37039470000000002</v>
      </c>
      <c r="X4801">
        <v>0.92449610000000004</v>
      </c>
      <c r="Y4801">
        <v>-1.176321E-2</v>
      </c>
      <c r="Z4801">
        <v>-3.0119169999999998E-3</v>
      </c>
      <c r="AA4801">
        <v>0.99992630000000005</v>
      </c>
      <c r="AB4801">
        <v>34</v>
      </c>
      <c r="AC4801">
        <v>-0.60139999999998395</v>
      </c>
      <c r="AD4801">
        <v>-7.4742000000000003E-2</v>
      </c>
      <c r="AE4801">
        <v>9.8999999999875802E-3</v>
      </c>
      <c r="AF4801">
        <v>-1.0494887784988201E-2</v>
      </c>
      <c r="AG4801">
        <v>-7.4742000000000003E-2</v>
      </c>
      <c r="AH4801">
        <v>0.592242053675471</v>
      </c>
      <c r="AI4801">
        <v>97.191686492306999</v>
      </c>
      <c r="AJ4801">
        <v>91.015209648291105</v>
      </c>
      <c r="AK4801">
        <v>0.59703195842045098</v>
      </c>
      <c r="AL4801">
        <v>68.260039126979805</v>
      </c>
      <c r="AM4801">
        <v>95.565281957069999</v>
      </c>
      <c r="AN4801">
        <v>1.0000000278210299</v>
      </c>
    </row>
    <row r="4802" spans="1:40" x14ac:dyDescent="0.25">
      <c r="A4802" t="str">
        <f>"20190304164945026"</f>
        <v>20190304164945026</v>
      </c>
      <c r="B4802" t="str">
        <f>"1551689385020926"</f>
        <v>1551689385020926</v>
      </c>
      <c r="C4802" t="s">
        <v>40</v>
      </c>
      <c r="D4802">
        <v>4.8407720000000003</v>
      </c>
      <c r="E4802">
        <v>0.55412340000000004</v>
      </c>
      <c r="F4802" t="s">
        <v>41</v>
      </c>
      <c r="G4802">
        <v>-234.65209999999999</v>
      </c>
      <c r="H4802">
        <v>1.018114</v>
      </c>
      <c r="I4802">
        <v>141.4845</v>
      </c>
      <c r="J4802">
        <v>-234.1097</v>
      </c>
      <c r="K4802">
        <v>1.110473</v>
      </c>
      <c r="L4802">
        <v>141.46469999999999</v>
      </c>
      <c r="M4802">
        <v>-0.9994035</v>
      </c>
      <c r="N4802">
        <v>-7.5741000000000003E-3</v>
      </c>
      <c r="O4802">
        <v>3.3696370000000003E-2</v>
      </c>
      <c r="P4802">
        <v>-0.93004129999999996</v>
      </c>
      <c r="Q4802">
        <v>0.36296640000000002</v>
      </c>
      <c r="R4802">
        <v>-5.7260489999999997E-2</v>
      </c>
      <c r="S4802">
        <v>-3.3692929999999999</v>
      </c>
      <c r="T4802">
        <v>-0.34640100000000001</v>
      </c>
      <c r="U4802">
        <v>0.11712649999999999</v>
      </c>
      <c r="V4802">
        <v>-8.8924899999999904E-2</v>
      </c>
      <c r="W4802">
        <v>0.369896</v>
      </c>
      <c r="X4802">
        <v>0.92480770000000001</v>
      </c>
      <c r="Y4802">
        <v>1.190607E-3</v>
      </c>
      <c r="Z4802">
        <v>-3.133079E-3</v>
      </c>
      <c r="AA4802">
        <v>0.99999439999999995</v>
      </c>
      <c r="AB4802">
        <v>34</v>
      </c>
      <c r="AC4802">
        <v>-0.542399999999986</v>
      </c>
      <c r="AD4802">
        <v>-9.2358999999999997E-2</v>
      </c>
      <c r="AE4802">
        <v>1.9800000000003599E-2</v>
      </c>
      <c r="AF4802">
        <v>1.4687909132915099E-3</v>
      </c>
      <c r="AG4802">
        <v>-9.2358999999999997E-2</v>
      </c>
      <c r="AH4802">
        <v>0.52748523066905395</v>
      </c>
      <c r="AI4802">
        <v>99.931380865316996</v>
      </c>
      <c r="AJ4802">
        <v>89.840459413977698</v>
      </c>
      <c r="AK4802">
        <v>0.53551191471500603</v>
      </c>
      <c r="AL4802">
        <v>68.290796186538302</v>
      </c>
      <c r="AM4802">
        <v>95.492391020037005</v>
      </c>
      <c r="AN4802">
        <v>0.999999985317649</v>
      </c>
    </row>
    <row r="4803" spans="1:40" x14ac:dyDescent="0.25">
      <c r="A4803" t="str">
        <f>"20190304164945048"</f>
        <v>20190304164945048</v>
      </c>
      <c r="B4803" t="str">
        <f>"1551689385040447"</f>
        <v>1551689385040447</v>
      </c>
      <c r="C4803" t="s">
        <v>40</v>
      </c>
      <c r="D4803">
        <v>4.9169989999999997</v>
      </c>
      <c r="E4803">
        <v>0.55559650000000005</v>
      </c>
      <c r="F4803" t="s">
        <v>41</v>
      </c>
      <c r="G4803">
        <v>-234.95840000000001</v>
      </c>
      <c r="H4803">
        <v>1.0136069999999999</v>
      </c>
      <c r="I4803">
        <v>141.5017</v>
      </c>
      <c r="J4803">
        <v>-234.43799999999999</v>
      </c>
      <c r="K4803">
        <v>1.1104969999999901</v>
      </c>
      <c r="L4803">
        <v>141.47540000000001</v>
      </c>
      <c r="M4803">
        <v>-0.99941880000000005</v>
      </c>
      <c r="N4803">
        <v>-7.6243159999999999E-3</v>
      </c>
      <c r="O4803">
        <v>3.3225690000000002E-2</v>
      </c>
      <c r="P4803">
        <v>-0.93013599999999996</v>
      </c>
      <c r="Q4803">
        <v>0.36298469999999999</v>
      </c>
      <c r="R4803">
        <v>-5.5581930000000002E-2</v>
      </c>
      <c r="S4803">
        <v>-3.3855439999999999</v>
      </c>
      <c r="T4803">
        <v>-0.38640960000000002</v>
      </c>
      <c r="U4803">
        <v>0.14736939999999901</v>
      </c>
      <c r="V4803">
        <v>-8.6834270000000005E-2</v>
      </c>
      <c r="W4803">
        <v>0.36995929999999999</v>
      </c>
      <c r="X4803">
        <v>0.9249811</v>
      </c>
      <c r="Y4803">
        <v>1.038417E-2</v>
      </c>
      <c r="Z4803">
        <v>-2.894303E-3</v>
      </c>
      <c r="AA4803">
        <v>0.99994190000000005</v>
      </c>
      <c r="AB4803">
        <v>35</v>
      </c>
      <c r="AC4803">
        <v>-0.52040000000002296</v>
      </c>
      <c r="AD4803">
        <v>-9.6889999999999907E-2</v>
      </c>
      <c r="AE4803">
        <v>2.6299999999992E-2</v>
      </c>
      <c r="AF4803">
        <v>8.6937317216690194E-3</v>
      </c>
      <c r="AG4803">
        <v>-9.6889999999999907E-2</v>
      </c>
      <c r="AH4803">
        <v>0.50357488208603896</v>
      </c>
      <c r="AI4803">
        <v>100.889283928674</v>
      </c>
      <c r="AJ4803">
        <v>89.010942214670905</v>
      </c>
      <c r="AK4803">
        <v>0.51288489443462504</v>
      </c>
      <c r="AL4803">
        <v>68.286894017315404</v>
      </c>
      <c r="AM4803">
        <v>95.363027027934706</v>
      </c>
      <c r="AN4803">
        <v>1.00000005473006</v>
      </c>
    </row>
    <row r="4804" spans="1:40" x14ac:dyDescent="0.25">
      <c r="A4804" t="str">
        <f>"20190304164945071"</f>
        <v>20190304164945071</v>
      </c>
      <c r="B4804" t="str">
        <f>"1551689385060946"</f>
        <v>1551689385060946</v>
      </c>
      <c r="C4804" t="s">
        <v>40</v>
      </c>
      <c r="D4804">
        <v>4.926221</v>
      </c>
      <c r="E4804">
        <v>0.55706469999999997</v>
      </c>
      <c r="F4804" t="s">
        <v>41</v>
      </c>
      <c r="G4804">
        <v>-235.2671</v>
      </c>
      <c r="H4804">
        <v>1.0125459999999999</v>
      </c>
      <c r="I4804">
        <v>141.5153</v>
      </c>
      <c r="J4804">
        <v>-234.79689999999999</v>
      </c>
      <c r="K4804">
        <v>1.1105449999999999</v>
      </c>
      <c r="L4804">
        <v>141.48679999999999</v>
      </c>
      <c r="M4804">
        <v>-0.99943720000000003</v>
      </c>
      <c r="N4804">
        <v>-7.6840519999999898E-3</v>
      </c>
      <c r="O4804">
        <v>3.2655360000000001E-2</v>
      </c>
      <c r="P4804">
        <v>-0.92989889999999997</v>
      </c>
      <c r="Q4804">
        <v>0.36387439999999999</v>
      </c>
      <c r="R4804">
        <v>-5.3698599999999999E-2</v>
      </c>
      <c r="S4804">
        <v>-3.3914179999999998</v>
      </c>
      <c r="T4804">
        <v>-0.400673</v>
      </c>
      <c r="U4804">
        <v>0.16267400000000001</v>
      </c>
      <c r="V4804">
        <v>-8.4452630000000001E-2</v>
      </c>
      <c r="W4804">
        <v>0.37089739999999999</v>
      </c>
      <c r="X4804">
        <v>0.92482580000000003</v>
      </c>
      <c r="Y4804">
        <v>1.535134E-2</v>
      </c>
      <c r="Z4804">
        <v>-2.6287300000000001E-3</v>
      </c>
      <c r="AA4804">
        <v>0.99987870000000001</v>
      </c>
      <c r="AB4804">
        <v>35</v>
      </c>
      <c r="AC4804">
        <v>-0.470200000000005</v>
      </c>
      <c r="AD4804">
        <v>-9.79990000000001E-2</v>
      </c>
      <c r="AE4804">
        <v>2.8500000000008099E-2</v>
      </c>
      <c r="AF4804">
        <v>1.2585115190936301E-2</v>
      </c>
      <c r="AG4804">
        <v>-9.79990000000001E-2</v>
      </c>
      <c r="AH4804">
        <v>0.45134575743894401</v>
      </c>
      <c r="AI4804">
        <v>102.245654501416</v>
      </c>
      <c r="AJ4804">
        <v>88.402804980282198</v>
      </c>
      <c r="AK4804">
        <v>0.462033745394753</v>
      </c>
      <c r="AL4804">
        <v>68.229025813455905</v>
      </c>
      <c r="AM4804">
        <v>95.217627149280403</v>
      </c>
      <c r="AN4804">
        <v>0.99999994419315597</v>
      </c>
    </row>
    <row r="4805" spans="1:40" x14ac:dyDescent="0.25">
      <c r="A4805" t="str">
        <f>"20190304164945091"</f>
        <v>20190304164945091</v>
      </c>
      <c r="B4805" t="str">
        <f>"1551689385080463"</f>
        <v>1551689385080463</v>
      </c>
      <c r="C4805" t="s">
        <v>40</v>
      </c>
      <c r="D4805">
        <v>4.926469</v>
      </c>
      <c r="E4805">
        <v>0.55809449999999905</v>
      </c>
      <c r="F4805" t="s">
        <v>41</v>
      </c>
      <c r="G4805">
        <v>-235.5804</v>
      </c>
      <c r="H4805">
        <v>1.0198860000000001</v>
      </c>
      <c r="I4805">
        <v>141.52850000000001</v>
      </c>
      <c r="J4805">
        <v>-235.1104</v>
      </c>
      <c r="K4805">
        <v>1.110606</v>
      </c>
      <c r="L4805">
        <v>141.4966</v>
      </c>
      <c r="M4805">
        <v>-0.99945510000000004</v>
      </c>
      <c r="N4805">
        <v>-7.7391990000000004E-3</v>
      </c>
      <c r="O4805">
        <v>3.2088909999999998E-2</v>
      </c>
      <c r="P4805">
        <v>-0.9298206</v>
      </c>
      <c r="Q4805">
        <v>0.36416209999999999</v>
      </c>
      <c r="R4805">
        <v>-5.3102049999999998E-2</v>
      </c>
      <c r="S4805">
        <v>-3.3900299999999999</v>
      </c>
      <c r="T4805">
        <v>-0.39217069999999998</v>
      </c>
      <c r="U4805">
        <v>0.1802521</v>
      </c>
      <c r="V4805">
        <v>-8.3375309999999994E-2</v>
      </c>
      <c r="W4805">
        <v>0.37122680000000002</v>
      </c>
      <c r="X4805">
        <v>0.92479149999999999</v>
      </c>
      <c r="Y4805">
        <v>2.1060490000000001E-2</v>
      </c>
      <c r="Z4805">
        <v>-2.1533640000000001E-3</v>
      </c>
      <c r="AA4805">
        <v>0.99977590000000005</v>
      </c>
      <c r="AB4805">
        <v>35</v>
      </c>
      <c r="AC4805">
        <v>-0.46999999999999797</v>
      </c>
      <c r="AD4805">
        <v>-9.0719999999999898E-2</v>
      </c>
      <c r="AE4805">
        <v>3.1900000000007298E-2</v>
      </c>
      <c r="AF4805">
        <v>1.6200514151014599E-2</v>
      </c>
      <c r="AG4805">
        <v>-9.0719999999999898E-2</v>
      </c>
      <c r="AH4805">
        <v>0.45394638767553602</v>
      </c>
      <c r="AI4805">
        <v>101.294519212441</v>
      </c>
      <c r="AJ4805">
        <v>87.956086141275605</v>
      </c>
      <c r="AK4805">
        <v>0.46320610741054102</v>
      </c>
      <c r="AL4805">
        <v>68.208703995746603</v>
      </c>
      <c r="AM4805">
        <v>95.1516189300593</v>
      </c>
      <c r="AN4805">
        <v>1.0000000489140399</v>
      </c>
    </row>
    <row r="4806" spans="1:40" x14ac:dyDescent="0.25">
      <c r="A4806" t="str">
        <f>"20190304164945113"</f>
        <v>20190304164945113</v>
      </c>
      <c r="B4806" t="str">
        <f>"1551689385110719"</f>
        <v>1551689385110719</v>
      </c>
      <c r="C4806" t="s">
        <v>40</v>
      </c>
      <c r="D4806">
        <v>4.7950359999999996</v>
      </c>
      <c r="E4806">
        <v>0.55857970000000001</v>
      </c>
      <c r="F4806" t="s">
        <v>41</v>
      </c>
      <c r="G4806">
        <v>-235.89150000000001</v>
      </c>
      <c r="H4806">
        <v>1.0212749999999999</v>
      </c>
      <c r="I4806">
        <v>141.541</v>
      </c>
      <c r="J4806">
        <v>-235.45009999999999</v>
      </c>
      <c r="K4806">
        <v>1.1106879999999999</v>
      </c>
      <c r="L4806">
        <v>141.5069</v>
      </c>
      <c r="M4806">
        <v>-0.99947699999999995</v>
      </c>
      <c r="N4806">
        <v>-7.8002899999999997E-3</v>
      </c>
      <c r="O4806">
        <v>3.1385749999999997E-2</v>
      </c>
      <c r="P4806">
        <v>-0.92960580000000004</v>
      </c>
      <c r="Q4806">
        <v>0.36475639999999998</v>
      </c>
      <c r="R4806">
        <v>-5.2782750000000003E-2</v>
      </c>
      <c r="S4806">
        <v>-3.3892359999999999</v>
      </c>
      <c r="T4806">
        <v>-0.38775270000000001</v>
      </c>
      <c r="U4806">
        <v>0.191803</v>
      </c>
      <c r="V4806">
        <v>-8.2463670000000003E-2</v>
      </c>
      <c r="W4806">
        <v>0.371863</v>
      </c>
      <c r="X4806">
        <v>0.92461760000000004</v>
      </c>
      <c r="Y4806">
        <v>2.5139410000000001E-2</v>
      </c>
      <c r="Z4806">
        <v>-1.8003209999999999E-3</v>
      </c>
      <c r="AA4806">
        <v>0.99968230000000002</v>
      </c>
      <c r="AB4806">
        <v>35</v>
      </c>
      <c r="AC4806">
        <v>-0.441400000000015</v>
      </c>
      <c r="AD4806">
        <v>-8.9412999999999895E-2</v>
      </c>
      <c r="AE4806">
        <v>3.40999999999951E-2</v>
      </c>
      <c r="AF4806">
        <v>1.9436304699495401E-2</v>
      </c>
      <c r="AG4806">
        <v>-8.9412999999999895E-2</v>
      </c>
      <c r="AH4806">
        <v>0.42492036549280798</v>
      </c>
      <c r="AI4806">
        <v>101.870928005045</v>
      </c>
      <c r="AJ4806">
        <v>87.381056219330603</v>
      </c>
      <c r="AK4806">
        <v>0.43466052445547998</v>
      </c>
      <c r="AL4806">
        <v>68.1694413353963</v>
      </c>
      <c r="AM4806">
        <v>95.096541734436698</v>
      </c>
      <c r="AN4806">
        <v>1.0000000269343099</v>
      </c>
    </row>
    <row r="4807" spans="1:40" x14ac:dyDescent="0.25">
      <c r="A4807" t="str">
        <f>"20190304164945126"</f>
        <v>20190304164945126</v>
      </c>
      <c r="B4807" t="str">
        <f>"1551689385120479"</f>
        <v>1551689385120479</v>
      </c>
      <c r="C4807" t="s">
        <v>40</v>
      </c>
      <c r="D4807">
        <v>4.8553819999999996</v>
      </c>
      <c r="E4807">
        <v>0.55878559999999999</v>
      </c>
      <c r="F4807" t="s">
        <v>41</v>
      </c>
      <c r="G4807">
        <v>-236.20320000000001</v>
      </c>
      <c r="H4807">
        <v>1.0225959999999901</v>
      </c>
      <c r="I4807">
        <v>141.55070000000001</v>
      </c>
      <c r="J4807">
        <v>-235.65940000000001</v>
      </c>
      <c r="K4807">
        <v>1.110746</v>
      </c>
      <c r="L4807">
        <v>141.51300000000001</v>
      </c>
      <c r="M4807">
        <v>-0.99949219999999905</v>
      </c>
      <c r="N4807">
        <v>-7.8392930000000006E-3</v>
      </c>
      <c r="O4807">
        <v>3.088983E-2</v>
      </c>
      <c r="P4807">
        <v>-0.92949179999999998</v>
      </c>
      <c r="Q4807">
        <v>0.3650079</v>
      </c>
      <c r="R4807">
        <v>-5.3055449999999997E-2</v>
      </c>
      <c r="S4807">
        <v>-3.394196</v>
      </c>
      <c r="T4807">
        <v>-0.39716420000000002</v>
      </c>
      <c r="U4807">
        <v>0.19660949999999999</v>
      </c>
      <c r="V4807">
        <v>-8.2321110000000003E-2</v>
      </c>
      <c r="W4807">
        <v>0.37213960000000001</v>
      </c>
      <c r="X4807">
        <v>0.92451890000000003</v>
      </c>
      <c r="Y4807">
        <v>2.6948739999999999E-2</v>
      </c>
      <c r="Z4807">
        <v>-1.6806119999999999E-3</v>
      </c>
      <c r="AA4807">
        <v>0.99963539999999995</v>
      </c>
      <c r="AB4807">
        <v>35</v>
      </c>
      <c r="AC4807">
        <v>-0.54380000000000395</v>
      </c>
      <c r="AD4807">
        <v>-8.8150000000000103E-2</v>
      </c>
      <c r="AE4807">
        <v>3.7700000000000899E-2</v>
      </c>
      <c r="AF4807">
        <v>2.03514009186124E-2</v>
      </c>
      <c r="AG4807">
        <v>-8.8150000000000103E-2</v>
      </c>
      <c r="AH4807">
        <v>0.53082363395980403</v>
      </c>
      <c r="AI4807">
        <v>99.421851014970997</v>
      </c>
      <c r="AJ4807">
        <v>87.804395880589695</v>
      </c>
      <c r="AK4807">
        <v>0.53847779191870304</v>
      </c>
      <c r="AL4807">
        <v>68.152365591881207</v>
      </c>
      <c r="AM4807">
        <v>95.088317623897694</v>
      </c>
      <c r="AN4807">
        <v>0.99999992174849806</v>
      </c>
    </row>
    <row r="4808" spans="1:40" x14ac:dyDescent="0.25">
      <c r="A4808" t="str">
        <f>"20190304164945140"</f>
        <v>20190304164945140</v>
      </c>
      <c r="B4808" t="str">
        <f>"1551689385130239"</f>
        <v>1551689385130239</v>
      </c>
      <c r="C4808" t="s">
        <v>40</v>
      </c>
      <c r="D4808">
        <v>4.9529920000000001</v>
      </c>
      <c r="E4808">
        <v>0.55879659999999998</v>
      </c>
      <c r="F4808" t="s">
        <v>41</v>
      </c>
      <c r="G4808">
        <v>-236.50899999999999</v>
      </c>
      <c r="H4808">
        <v>1.010915</v>
      </c>
      <c r="I4808">
        <v>141.5625</v>
      </c>
      <c r="J4808">
        <v>-235.86959999999999</v>
      </c>
      <c r="K4808">
        <v>1.1108100000000001</v>
      </c>
      <c r="L4808">
        <v>141.51910000000001</v>
      </c>
      <c r="M4808">
        <v>-0.99950819999999996</v>
      </c>
      <c r="N4808">
        <v>-7.8787860000000005E-3</v>
      </c>
      <c r="O4808">
        <v>3.0357490000000001E-2</v>
      </c>
      <c r="P4808">
        <v>-0.92941960000000001</v>
      </c>
      <c r="Q4808">
        <v>0.36510490000000001</v>
      </c>
      <c r="R4808">
        <v>-5.3647420000000001E-2</v>
      </c>
      <c r="S4808">
        <v>-3.3955540000000002</v>
      </c>
      <c r="T4808">
        <v>-0.39908709999999997</v>
      </c>
      <c r="U4808">
        <v>0.1973724</v>
      </c>
      <c r="V4808">
        <v>-8.246887E-2</v>
      </c>
      <c r="W4808">
        <v>0.37226130000000002</v>
      </c>
      <c r="X4808">
        <v>0.92445679999999997</v>
      </c>
      <c r="Y4808">
        <v>2.767329E-2</v>
      </c>
      <c r="Z4808">
        <v>-1.58446E-3</v>
      </c>
      <c r="AA4808">
        <v>0.99961580000000005</v>
      </c>
      <c r="AB4808">
        <v>35</v>
      </c>
      <c r="AC4808">
        <v>-0.63940000000002295</v>
      </c>
      <c r="AD4808">
        <v>-9.9894999999999998E-2</v>
      </c>
      <c r="AE4808">
        <v>4.3399999999991203E-2</v>
      </c>
      <c r="AF4808">
        <v>2.3400269598935399E-2</v>
      </c>
      <c r="AG4808">
        <v>-9.9894999999999998E-2</v>
      </c>
      <c r="AH4808">
        <v>0.62523181788459503</v>
      </c>
      <c r="AI4808">
        <v>99.071335003879796</v>
      </c>
      <c r="AJ4808">
        <v>87.856617075510798</v>
      </c>
      <c r="AK4808">
        <v>0.633594041747221</v>
      </c>
      <c r="AL4808">
        <v>68.144854324609398</v>
      </c>
      <c r="AM4808">
        <v>95.097743296943605</v>
      </c>
      <c r="AN4808">
        <v>0.99999998253150302</v>
      </c>
    </row>
    <row r="4809" spans="1:40" x14ac:dyDescent="0.25">
      <c r="A4809" t="str">
        <f>"20190304164945158"</f>
        <v>20190304164945158</v>
      </c>
      <c r="B4809" t="str">
        <f>"1551689385150738"</f>
        <v>1551689385150738</v>
      </c>
      <c r="C4809" t="s">
        <v>40</v>
      </c>
      <c r="D4809">
        <v>4.939838</v>
      </c>
      <c r="E4809">
        <v>0.55903659999999999</v>
      </c>
      <c r="F4809" t="s">
        <v>41</v>
      </c>
      <c r="G4809">
        <v>-236.8152</v>
      </c>
      <c r="H4809">
        <v>0.99882950000000004</v>
      </c>
      <c r="I4809">
        <v>141.5737</v>
      </c>
      <c r="J4809">
        <v>-236.1651</v>
      </c>
      <c r="K4809">
        <v>1.1109020000000001</v>
      </c>
      <c r="L4809">
        <v>141.5273</v>
      </c>
      <c r="M4809">
        <v>-0.99953250000000005</v>
      </c>
      <c r="N4809">
        <v>-7.9341109999999902E-3</v>
      </c>
      <c r="O4809">
        <v>2.9529139999999999E-2</v>
      </c>
      <c r="P4809">
        <v>-0.92944369999999998</v>
      </c>
      <c r="Q4809">
        <v>0.36495169999999999</v>
      </c>
      <c r="R4809">
        <v>-5.4268049999999998E-2</v>
      </c>
      <c r="S4809">
        <v>-3.3972169999999999</v>
      </c>
      <c r="T4809">
        <v>-0.4023989</v>
      </c>
      <c r="U4809">
        <v>0.19575500000000001</v>
      </c>
      <c r="V4809">
        <v>-8.2399490000000006E-2</v>
      </c>
      <c r="W4809">
        <v>0.37214229999999998</v>
      </c>
      <c r="X4809">
        <v>0.92451099999999997</v>
      </c>
      <c r="Y4809">
        <v>2.799132E-2</v>
      </c>
      <c r="Z4809">
        <v>-1.4859420000000001E-3</v>
      </c>
      <c r="AA4809">
        <v>0.99960709999999997</v>
      </c>
      <c r="AB4809">
        <v>35</v>
      </c>
      <c r="AC4809">
        <v>-0.650100000000009</v>
      </c>
      <c r="AD4809">
        <v>-0.11207250000000001</v>
      </c>
      <c r="AE4809">
        <v>4.6400000000005499E-2</v>
      </c>
      <c r="AF4809">
        <v>2.6401608701631399E-2</v>
      </c>
      <c r="AG4809">
        <v>-0.11207250000000001</v>
      </c>
      <c r="AH4809">
        <v>0.63248497517144098</v>
      </c>
      <c r="AI4809">
        <v>100.03960285543</v>
      </c>
      <c r="AJ4809">
        <v>87.609709122191703</v>
      </c>
      <c r="AK4809">
        <v>0.64287987526123602</v>
      </c>
      <c r="AL4809">
        <v>68.152202517868005</v>
      </c>
      <c r="AM4809">
        <v>95.093180162414001</v>
      </c>
      <c r="AN4809">
        <v>1.0000000782612699</v>
      </c>
    </row>
    <row r="4810" spans="1:40" x14ac:dyDescent="0.25">
      <c r="A4810" t="str">
        <f>"20190304164945172"</f>
        <v>20190304164945172</v>
      </c>
      <c r="B4810" t="str">
        <f>"1551689385160495"</f>
        <v>1551689385160495</v>
      </c>
      <c r="C4810" t="s">
        <v>40</v>
      </c>
      <c r="D4810">
        <v>4.961983</v>
      </c>
      <c r="E4810">
        <v>0.55904869999999995</v>
      </c>
      <c r="F4810" t="s">
        <v>41</v>
      </c>
      <c r="G4810">
        <v>-237.12610000000001</v>
      </c>
      <c r="H4810">
        <v>0.99539109999999997</v>
      </c>
      <c r="I4810">
        <v>141.58260000000001</v>
      </c>
      <c r="J4810">
        <v>-236.37540000000001</v>
      </c>
      <c r="K4810">
        <v>1.110967</v>
      </c>
      <c r="L4810">
        <v>141.53299999999999</v>
      </c>
      <c r="M4810">
        <v>-0.99955099999999997</v>
      </c>
      <c r="N4810">
        <v>-7.9722339999999999E-3</v>
      </c>
      <c r="O4810">
        <v>2.8886749999999999E-2</v>
      </c>
      <c r="P4810">
        <v>-0.929396</v>
      </c>
      <c r="Q4810">
        <v>0.3649212</v>
      </c>
      <c r="R4810">
        <v>-5.5279500000000002E-2</v>
      </c>
      <c r="S4810">
        <v>-3.399597</v>
      </c>
      <c r="T4810">
        <v>-0.4086419</v>
      </c>
      <c r="U4810">
        <v>0.19528200000000001</v>
      </c>
      <c r="V4810">
        <v>-8.2869289999999998E-2</v>
      </c>
      <c r="W4810">
        <v>0.3721334</v>
      </c>
      <c r="X4810">
        <v>0.92447250000000003</v>
      </c>
      <c r="Y4810">
        <v>2.8446949999999999E-2</v>
      </c>
      <c r="Z4810">
        <v>-1.410412E-3</v>
      </c>
      <c r="AA4810">
        <v>0.99959430000000005</v>
      </c>
      <c r="AB4810">
        <v>35</v>
      </c>
      <c r="AC4810">
        <v>-0.75069999999999404</v>
      </c>
      <c r="AD4810">
        <v>-0.1155759</v>
      </c>
      <c r="AE4810">
        <v>4.9600000000026498E-2</v>
      </c>
      <c r="AF4810">
        <v>2.7250227613041699E-2</v>
      </c>
      <c r="AG4810">
        <v>-0.1155759</v>
      </c>
      <c r="AH4810">
        <v>0.73448575188362397</v>
      </c>
      <c r="AI4810">
        <v>98.9364707373567</v>
      </c>
      <c r="AJ4810">
        <v>87.875238236452105</v>
      </c>
      <c r="AK4810">
        <v>0.74402263627246201</v>
      </c>
      <c r="AL4810">
        <v>68.152749994862504</v>
      </c>
      <c r="AM4810">
        <v>95.122277028572498</v>
      </c>
      <c r="AN4810">
        <v>0.99999999493845704</v>
      </c>
    </row>
    <row r="4811" spans="1:40" x14ac:dyDescent="0.25">
      <c r="A4811" t="str">
        <f>"20190304164945193"</f>
        <v>20190304164945193</v>
      </c>
      <c r="B4811" t="str">
        <f>"1551689385180991"</f>
        <v>1551689385180991</v>
      </c>
      <c r="C4811" t="s">
        <v>40</v>
      </c>
      <c r="D4811">
        <v>4.9523149999999996</v>
      </c>
      <c r="E4811">
        <v>0.55909160000000002</v>
      </c>
      <c r="F4811" t="s">
        <v>41</v>
      </c>
      <c r="G4811">
        <v>-237.1377</v>
      </c>
      <c r="H4811">
        <v>1.0187010000000001</v>
      </c>
      <c r="I4811">
        <v>141.5762</v>
      </c>
      <c r="J4811">
        <v>-236.70519999999999</v>
      </c>
      <c r="K4811">
        <v>1.1110610000000001</v>
      </c>
      <c r="L4811">
        <v>141.54159999999999</v>
      </c>
      <c r="M4811">
        <v>-0.99958150000000001</v>
      </c>
      <c r="N4811">
        <v>-8.0323069999999903E-3</v>
      </c>
      <c r="O4811">
        <v>2.7797160000000001E-2</v>
      </c>
      <c r="P4811">
        <v>-0.92943189999999998</v>
      </c>
      <c r="Q4811">
        <v>0.3646334</v>
      </c>
      <c r="R4811">
        <v>-5.6559640000000001E-2</v>
      </c>
      <c r="S4811">
        <v>-3.40097</v>
      </c>
      <c r="T4811">
        <v>-0.41166009999999997</v>
      </c>
      <c r="U4811">
        <v>0.1921997</v>
      </c>
      <c r="V4811">
        <v>-8.3223000000000005E-2</v>
      </c>
      <c r="W4811">
        <v>0.37188290000000002</v>
      </c>
      <c r="X4811">
        <v>0.92454150000000002</v>
      </c>
      <c r="Y4811">
        <v>2.8601809999999998E-2</v>
      </c>
      <c r="Z4811">
        <v>-1.2875919999999999E-3</v>
      </c>
      <c r="AA4811">
        <v>0.99958999999999998</v>
      </c>
      <c r="AB4811">
        <v>35</v>
      </c>
      <c r="AC4811">
        <v>-0.43250000000000399</v>
      </c>
      <c r="AD4811">
        <v>-9.2359999999999998E-2</v>
      </c>
      <c r="AE4811">
        <v>3.4600000000011698E-2</v>
      </c>
      <c r="AF4811">
        <v>2.15858474522993E-2</v>
      </c>
      <c r="AG4811">
        <v>-9.2359999999999998E-2</v>
      </c>
      <c r="AH4811">
        <v>0.41451180914542601</v>
      </c>
      <c r="AI4811">
        <v>102.54478250154099</v>
      </c>
      <c r="AJ4811">
        <v>87.018994966204801</v>
      </c>
      <c r="AK4811">
        <v>0.42522506785377601</v>
      </c>
      <c r="AL4811">
        <v>68.168211804214806</v>
      </c>
      <c r="AM4811">
        <v>95.143641485577405</v>
      </c>
      <c r="AN4811">
        <v>0.99999997213182901</v>
      </c>
    </row>
    <row r="4812" spans="1:40" x14ac:dyDescent="0.25">
      <c r="A4812" t="str">
        <f>"20190304164945216"</f>
        <v>20190304164945216</v>
      </c>
      <c r="B4812" t="str">
        <f>"1551689385210271"</f>
        <v>1551689385210271</v>
      </c>
      <c r="C4812" t="s">
        <v>40</v>
      </c>
      <c r="D4812">
        <v>4.9870590000000004</v>
      </c>
      <c r="E4812">
        <v>0.55908760000000002</v>
      </c>
      <c r="F4812" t="s">
        <v>41</v>
      </c>
      <c r="G4812">
        <v>-237.4513</v>
      </c>
      <c r="H4812">
        <v>1.0195179999999999</v>
      </c>
      <c r="I4812">
        <v>141.5829</v>
      </c>
      <c r="J4812">
        <v>-237.04679999999999</v>
      </c>
      <c r="K4812">
        <v>1.1111549999999999</v>
      </c>
      <c r="L4812">
        <v>141.55000000000001</v>
      </c>
      <c r="M4812">
        <v>-0.99961440000000001</v>
      </c>
      <c r="N4812">
        <v>-8.0976769999999993E-3</v>
      </c>
      <c r="O4812">
        <v>2.656451E-2</v>
      </c>
      <c r="P4812">
        <v>-0.92932740000000003</v>
      </c>
      <c r="Q4812">
        <v>0.3646992</v>
      </c>
      <c r="R4812">
        <v>-5.7840870000000003E-2</v>
      </c>
      <c r="S4812">
        <v>-3.4030459999999998</v>
      </c>
      <c r="T4812">
        <v>-0.41750739999999997</v>
      </c>
      <c r="U4812">
        <v>0.18850710000000001</v>
      </c>
      <c r="V4812">
        <v>-8.3442240000000001E-2</v>
      </c>
      <c r="W4812">
        <v>0.37198910000000002</v>
      </c>
      <c r="X4812">
        <v>0.92447900000000005</v>
      </c>
      <c r="Y4812">
        <v>2.8708899999999999E-2</v>
      </c>
      <c r="Z4812">
        <v>-1.1593510000000001E-3</v>
      </c>
      <c r="AA4812">
        <v>0.99958709999999995</v>
      </c>
      <c r="AB4812">
        <v>35</v>
      </c>
      <c r="AC4812">
        <v>-0.40450000000001202</v>
      </c>
      <c r="AD4812">
        <v>-9.1636999999999899E-2</v>
      </c>
      <c r="AE4812">
        <v>3.2899999999983699E-2</v>
      </c>
      <c r="AF4812">
        <v>2.1068518145864301E-2</v>
      </c>
      <c r="AG4812">
        <v>-9.1636999999999899E-2</v>
      </c>
      <c r="AH4812">
        <v>0.38557287056593098</v>
      </c>
      <c r="AI4812">
        <v>103.349941849046</v>
      </c>
      <c r="AJ4812">
        <v>86.872347609491499</v>
      </c>
      <c r="AK4812">
        <v>0.39687234817043499</v>
      </c>
      <c r="AL4812">
        <v>68.161656434102298</v>
      </c>
      <c r="AM4812">
        <v>95.157465527928906</v>
      </c>
      <c r="AN4812">
        <v>0.99999995968801303</v>
      </c>
    </row>
    <row r="4813" spans="1:40" x14ac:dyDescent="0.25">
      <c r="A4813" t="str">
        <f>"20190304164945237"</f>
        <v>20190304164945237</v>
      </c>
      <c r="B4813" t="str">
        <f>"1551689385230767"</f>
        <v>1551689385230767</v>
      </c>
      <c r="C4813" t="s">
        <v>40</v>
      </c>
      <c r="D4813">
        <v>4.9787080000000001</v>
      </c>
      <c r="E4813">
        <v>0.55910400000000005</v>
      </c>
      <c r="F4813" t="s">
        <v>41</v>
      </c>
      <c r="G4813">
        <v>-237.76609999999999</v>
      </c>
      <c r="H4813">
        <v>1.021544</v>
      </c>
      <c r="I4813">
        <v>141.58869999999999</v>
      </c>
      <c r="J4813">
        <v>-237.3965</v>
      </c>
      <c r="K4813">
        <v>1.1112500000000001</v>
      </c>
      <c r="L4813">
        <v>141.55799999999999</v>
      </c>
      <c r="M4813">
        <v>-0.99964909999999996</v>
      </c>
      <c r="N4813">
        <v>-8.1703909999999904E-3</v>
      </c>
      <c r="O4813">
        <v>2.5198269999999998E-2</v>
      </c>
      <c r="P4813">
        <v>-0.9291064</v>
      </c>
      <c r="Q4813">
        <v>0.36497370000000001</v>
      </c>
      <c r="R4813">
        <v>-5.9628569999999999E-2</v>
      </c>
      <c r="S4813">
        <v>-3.4061129999999999</v>
      </c>
      <c r="T4813">
        <v>-0.42451050000000001</v>
      </c>
      <c r="U4813">
        <v>0.18290709999999999</v>
      </c>
      <c r="V4813">
        <v>-8.4038039999999994E-2</v>
      </c>
      <c r="W4813">
        <v>0.37230999999999997</v>
      </c>
      <c r="X4813">
        <v>0.9242958</v>
      </c>
      <c r="Y4813">
        <v>2.8378819999999999E-2</v>
      </c>
      <c r="Z4813">
        <v>-1.0434800000000001E-3</v>
      </c>
      <c r="AA4813">
        <v>0.9995967</v>
      </c>
      <c r="AB4813">
        <v>35</v>
      </c>
      <c r="AC4813">
        <v>-0.36959999999999099</v>
      </c>
      <c r="AD4813">
        <v>-8.9705999999999994E-2</v>
      </c>
      <c r="AE4813">
        <v>3.0699999999995901E-2</v>
      </c>
      <c r="AF4813">
        <v>2.01951431556378E-2</v>
      </c>
      <c r="AG4813">
        <v>-8.9705999999999994E-2</v>
      </c>
      <c r="AH4813">
        <v>0.34979168522986698</v>
      </c>
      <c r="AI4813">
        <v>104.360903397998</v>
      </c>
      <c r="AJ4813">
        <v>86.695709383403099</v>
      </c>
      <c r="AK4813">
        <v>0.36167559124030901</v>
      </c>
      <c r="AL4813">
        <v>68.141846639425196</v>
      </c>
      <c r="AM4813">
        <v>95.195114358359803</v>
      </c>
      <c r="AN4813">
        <v>0.99999992708233798</v>
      </c>
    </row>
    <row r="4814" spans="1:40" x14ac:dyDescent="0.25">
      <c r="A4814" t="str">
        <f>"20190304164945260"</f>
        <v>20190304164945260</v>
      </c>
      <c r="B4814" t="str">
        <f>"1551689385250287"</f>
        <v>1551689385250287</v>
      </c>
      <c r="C4814" t="s">
        <v>40</v>
      </c>
      <c r="D4814">
        <v>5.1747290000000001</v>
      </c>
      <c r="E4814">
        <v>0.55873269999999997</v>
      </c>
      <c r="F4814" t="s">
        <v>41</v>
      </c>
      <c r="G4814">
        <v>-238.3783</v>
      </c>
      <c r="H4814">
        <v>0.98815629999999999</v>
      </c>
      <c r="I4814">
        <v>141.60919999999999</v>
      </c>
      <c r="J4814">
        <v>-237.75710000000001</v>
      </c>
      <c r="K4814">
        <v>1.1113420000000001</v>
      </c>
      <c r="L4814">
        <v>141.56569999999999</v>
      </c>
      <c r="M4814">
        <v>-0.99968489999999999</v>
      </c>
      <c r="N4814">
        <v>-8.2497909999999994E-3</v>
      </c>
      <c r="O4814">
        <v>2.371436E-2</v>
      </c>
      <c r="P4814">
        <v>-0.92897419999999997</v>
      </c>
      <c r="Q4814">
        <v>0.36491089999999998</v>
      </c>
      <c r="R4814">
        <v>-6.2028380000000001E-2</v>
      </c>
      <c r="S4814">
        <v>-3.4081570000000001</v>
      </c>
      <c r="T4814">
        <v>-0.42746509999999999</v>
      </c>
      <c r="U4814">
        <v>0.17678829999999901</v>
      </c>
      <c r="V4814">
        <v>-8.5128709999999996E-2</v>
      </c>
      <c r="W4814">
        <v>0.3723012</v>
      </c>
      <c r="X4814">
        <v>0.92419960000000001</v>
      </c>
      <c r="Y4814">
        <v>2.8032689999999999E-2</v>
      </c>
      <c r="Z4814">
        <v>-8.9911699999999995E-4</v>
      </c>
      <c r="AA4814">
        <v>0.99960660000000001</v>
      </c>
      <c r="AB4814">
        <v>35</v>
      </c>
      <c r="AC4814">
        <v>-0.62119999999998698</v>
      </c>
      <c r="AD4814">
        <v>-0.1231857</v>
      </c>
      <c r="AE4814">
        <v>4.3499999999994501E-2</v>
      </c>
      <c r="AF4814">
        <v>2.76730034684722E-2</v>
      </c>
      <c r="AG4814">
        <v>-0.1231857</v>
      </c>
      <c r="AH4814">
        <v>0.598631197490746</v>
      </c>
      <c r="AI4814">
        <v>101.615883310345</v>
      </c>
      <c r="AJ4814">
        <v>87.353264668036999</v>
      </c>
      <c r="AK4814">
        <v>0.61180047598433696</v>
      </c>
      <c r="AL4814">
        <v>68.142391359486197</v>
      </c>
      <c r="AM4814">
        <v>95.262706617244007</v>
      </c>
      <c r="AN4814">
        <v>0.99999999071393197</v>
      </c>
    </row>
    <row r="4815" spans="1:40" x14ac:dyDescent="0.25">
      <c r="A4815" t="str">
        <f>"20190304164945281"</f>
        <v>20190304164945281</v>
      </c>
      <c r="B4815" t="str">
        <f>"1551689385270786"</f>
        <v>1551689385270786</v>
      </c>
      <c r="C4815" t="s">
        <v>40</v>
      </c>
      <c r="D4815">
        <v>4.8459539999999999</v>
      </c>
      <c r="E4815">
        <v>0.51886860000000001</v>
      </c>
      <c r="F4815" t="s">
        <v>41</v>
      </c>
      <c r="G4815">
        <v>-238.69579999999999</v>
      </c>
      <c r="H4815">
        <v>0.99271549999999997</v>
      </c>
      <c r="I4815">
        <v>141.61150000000001</v>
      </c>
      <c r="J4815">
        <v>-238.0891</v>
      </c>
      <c r="K4815">
        <v>1.111418</v>
      </c>
      <c r="L4815">
        <v>141.57230000000001</v>
      </c>
      <c r="M4815">
        <v>-0.99971670000000001</v>
      </c>
      <c r="N4815">
        <v>-8.3231809999999903E-3</v>
      </c>
      <c r="O4815">
        <v>2.2304870000000001E-2</v>
      </c>
      <c r="P4815">
        <v>-0.92863759999999995</v>
      </c>
      <c r="Q4815">
        <v>0.36534850000000002</v>
      </c>
      <c r="R4815">
        <v>-6.4442289999999999E-2</v>
      </c>
      <c r="S4815">
        <v>-3.4097439999999999</v>
      </c>
      <c r="T4815">
        <v>-0.43100859999999902</v>
      </c>
      <c r="U4815">
        <v>0.1655884</v>
      </c>
      <c r="V4815">
        <v>-8.6282239999999996E-2</v>
      </c>
      <c r="W4815">
        <v>0.37278830000000002</v>
      </c>
      <c r="X4815">
        <v>0.92389619999999995</v>
      </c>
      <c r="Y4815">
        <v>2.6147790000000001E-2</v>
      </c>
      <c r="Z4815">
        <v>-8.6675339999999997E-4</v>
      </c>
      <c r="AA4815">
        <v>0.99965769999999998</v>
      </c>
      <c r="AB4815">
        <v>35</v>
      </c>
      <c r="AC4815">
        <v>-0.60669999999998903</v>
      </c>
      <c r="AD4815">
        <v>-0.118702499999999</v>
      </c>
      <c r="AE4815">
        <v>3.9199999999993899E-2</v>
      </c>
      <c r="AF4815">
        <v>2.4715249284041299E-2</v>
      </c>
      <c r="AG4815">
        <v>-0.118702499999999</v>
      </c>
      <c r="AH4815">
        <v>0.58511823400957497</v>
      </c>
      <c r="AI4815">
        <v>101.457971647032</v>
      </c>
      <c r="AJ4815">
        <v>87.581278272214007</v>
      </c>
      <c r="AK4815">
        <v>0.59754872171556594</v>
      </c>
      <c r="AL4815">
        <v>68.1123171169465</v>
      </c>
      <c r="AM4815">
        <v>95.335351389584304</v>
      </c>
      <c r="AN4815">
        <v>0.99999996496537302</v>
      </c>
    </row>
    <row r="4816" spans="1:40" x14ac:dyDescent="0.25">
      <c r="A4816" t="str">
        <f>"20190304164945303"</f>
        <v>20190304164945303</v>
      </c>
      <c r="B4816" t="str">
        <f>"1551689385300552"</f>
        <v>1551689385300552</v>
      </c>
      <c r="C4816" t="s">
        <v>40</v>
      </c>
      <c r="D4816">
        <v>4.8194049999999997</v>
      </c>
      <c r="E4816">
        <v>0.5091</v>
      </c>
      <c r="F4816" t="s">
        <v>41</v>
      </c>
      <c r="G4816">
        <v>-239.02359999999999</v>
      </c>
      <c r="H4816">
        <v>1.0018069999999999</v>
      </c>
      <c r="I4816">
        <v>141.52869999999999</v>
      </c>
      <c r="J4816">
        <v>-238.4348</v>
      </c>
      <c r="K4816">
        <v>1.111478</v>
      </c>
      <c r="L4816">
        <v>141.5787</v>
      </c>
      <c r="M4816">
        <v>-0.99974819999999998</v>
      </c>
      <c r="N4816">
        <v>-8.4011139999999995E-3</v>
      </c>
      <c r="O4816">
        <v>2.0807450000000002E-2</v>
      </c>
      <c r="P4816">
        <v>-0.92826750000000002</v>
      </c>
      <c r="Q4816">
        <v>0.36591499999999999</v>
      </c>
      <c r="R4816">
        <v>-6.6524070000000005E-2</v>
      </c>
      <c r="S4816">
        <v>-3.375381</v>
      </c>
      <c r="T4816">
        <v>-0.39603450000000001</v>
      </c>
      <c r="U4816">
        <v>-0.1582489</v>
      </c>
      <c r="V4816">
        <v>-8.7013770000000004E-2</v>
      </c>
      <c r="W4816">
        <v>0.37341259999999998</v>
      </c>
      <c r="X4816">
        <v>0.92357549999999999</v>
      </c>
      <c r="Y4816">
        <v>-6.6992499999999996E-2</v>
      </c>
      <c r="Z4816">
        <v>-6.4548510000000002E-3</v>
      </c>
      <c r="AA4816">
        <v>0.99773259999999997</v>
      </c>
      <c r="AB4816">
        <v>35</v>
      </c>
      <c r="AC4816">
        <v>-0.588799999999992</v>
      </c>
      <c r="AD4816">
        <v>-0.109671</v>
      </c>
      <c r="AE4816">
        <v>-5.0000000000011299E-2</v>
      </c>
      <c r="AF4816">
        <v>-6.0168522375785703E-2</v>
      </c>
      <c r="AG4816">
        <v>-0.109671</v>
      </c>
      <c r="AH4816">
        <v>0.56806504872927699</v>
      </c>
      <c r="AI4816">
        <v>100.867791477393</v>
      </c>
      <c r="AJ4816">
        <v>96.046132737511201</v>
      </c>
      <c r="AK4816">
        <v>0.58167506299796001</v>
      </c>
      <c r="AL4816">
        <v>68.073765052353806</v>
      </c>
      <c r="AM4816">
        <v>95.382179234845793</v>
      </c>
      <c r="AN4816">
        <v>1.0000000351043099</v>
      </c>
    </row>
    <row r="4817" spans="1:40" x14ac:dyDescent="0.25">
      <c r="A4817" t="str">
        <f>"20190304164945325"</f>
        <v>20190304164945325</v>
      </c>
      <c r="B4817" t="str">
        <f>"1551689385321048"</f>
        <v>1551689385321048</v>
      </c>
      <c r="C4817" t="s">
        <v>40</v>
      </c>
      <c r="D4817">
        <v>4.811159</v>
      </c>
      <c r="E4817">
        <v>0.5072953</v>
      </c>
      <c r="F4817" t="s">
        <v>42</v>
      </c>
      <c r="G4817">
        <v>-248.14259999999999</v>
      </c>
      <c r="H4817" s="1">
        <v>-1.112424E-6</v>
      </c>
      <c r="I4817">
        <v>140.86879999999999</v>
      </c>
      <c r="J4817">
        <v>-238.7825</v>
      </c>
      <c r="K4817">
        <v>1.1115269999999999</v>
      </c>
      <c r="L4817">
        <v>141.58449999999999</v>
      </c>
      <c r="M4817">
        <v>-0.99977800000000006</v>
      </c>
      <c r="N4817">
        <v>-8.4847080000000005E-3</v>
      </c>
      <c r="O4817">
        <v>1.928415E-2</v>
      </c>
      <c r="P4817">
        <v>-0.92794010000000005</v>
      </c>
      <c r="Q4817">
        <v>0.36642130000000001</v>
      </c>
      <c r="R4817">
        <v>-6.8284170000000005E-2</v>
      </c>
      <c r="S4817">
        <v>-3.366104</v>
      </c>
      <c r="T4817">
        <v>-0.38539899999999999</v>
      </c>
      <c r="U4817">
        <v>-0.24613950000000001</v>
      </c>
      <c r="V4817">
        <v>-8.7391029999999995E-2</v>
      </c>
      <c r="W4817">
        <v>0.37398500000000001</v>
      </c>
      <c r="X4817">
        <v>0.92330820000000002</v>
      </c>
      <c r="Y4817">
        <v>-9.1402059999999993E-2</v>
      </c>
      <c r="Z4817">
        <v>-7.6334259999999996E-3</v>
      </c>
      <c r="AA4817">
        <v>0.99578480000000003</v>
      </c>
      <c r="AB4817">
        <v>35</v>
      </c>
      <c r="AC4817">
        <v>-9.3600999999999797</v>
      </c>
      <c r="AD4817">
        <v>-1.111528112424</v>
      </c>
      <c r="AE4817">
        <v>-0.715699999999998</v>
      </c>
      <c r="AF4817">
        <v>-0.88368570022961201</v>
      </c>
      <c r="AG4817">
        <v>-1.111528112424</v>
      </c>
      <c r="AH4817">
        <v>9.2153577720705293</v>
      </c>
      <c r="AI4817">
        <v>96.846510189604402</v>
      </c>
      <c r="AJ4817">
        <v>95.477499684283401</v>
      </c>
      <c r="AK4817">
        <v>9.3241200136398792</v>
      </c>
      <c r="AL4817">
        <v>68.038406523517594</v>
      </c>
      <c r="AM4817">
        <v>95.4069320810449</v>
      </c>
      <c r="AN4817">
        <v>1.00000000226835</v>
      </c>
    </row>
    <row r="4818" spans="1:40" x14ac:dyDescent="0.25">
      <c r="A4818" t="str">
        <f>"20190304164945349"</f>
        <v>20190304164945349</v>
      </c>
      <c r="B4818" t="str">
        <f>"1551689385340571"</f>
        <v>1551689385340571</v>
      </c>
      <c r="C4818" t="s">
        <v>40</v>
      </c>
      <c r="D4818">
        <v>5.265625</v>
      </c>
      <c r="E4818">
        <v>0.50609989999999905</v>
      </c>
      <c r="F4818" t="s">
        <v>42</v>
      </c>
      <c r="G4818">
        <v>-248.55029999999999</v>
      </c>
      <c r="H4818" s="1">
        <v>-9.2000139999999998E-7</v>
      </c>
      <c r="I4818">
        <v>140.80289999999999</v>
      </c>
      <c r="J4818">
        <v>-239.15780000000001</v>
      </c>
      <c r="K4818">
        <v>1.1115729999999999</v>
      </c>
      <c r="L4818">
        <v>141.59030000000001</v>
      </c>
      <c r="M4818">
        <v>-0.99980769999999997</v>
      </c>
      <c r="N4818">
        <v>-8.5817140000000007E-3</v>
      </c>
      <c r="O4818">
        <v>1.7630779999999999E-2</v>
      </c>
      <c r="P4818">
        <v>-0.92744979999999999</v>
      </c>
      <c r="Q4818">
        <v>0.36722100000000002</v>
      </c>
      <c r="R4818">
        <v>-7.061046E-2</v>
      </c>
      <c r="S4818">
        <v>-3.3643190000000001</v>
      </c>
      <c r="T4818">
        <v>-0.38284479999999999</v>
      </c>
      <c r="U4818">
        <v>-0.26919559999999998</v>
      </c>
      <c r="V4818">
        <v>-8.820704E-2</v>
      </c>
      <c r="W4818">
        <v>0.37486130000000001</v>
      </c>
      <c r="X4818">
        <v>0.92287520000000001</v>
      </c>
      <c r="Y4818">
        <v>-9.6559439999999996E-2</v>
      </c>
      <c r="Z4818">
        <v>-7.7304819999999899E-3</v>
      </c>
      <c r="AA4818">
        <v>0.99529719999999999</v>
      </c>
      <c r="AB4818">
        <v>35</v>
      </c>
      <c r="AC4818">
        <v>-9.3924999999999805</v>
      </c>
      <c r="AD4818">
        <v>-1.1115739200014001</v>
      </c>
      <c r="AE4818">
        <v>-0.78740000000001897</v>
      </c>
      <c r="AF4818">
        <v>-0.93980969078654097</v>
      </c>
      <c r="AG4818">
        <v>-1.1115739200014001</v>
      </c>
      <c r="AH4818">
        <v>9.2485260924147603</v>
      </c>
      <c r="AI4818">
        <v>96.818684038618201</v>
      </c>
      <c r="AJ4818">
        <v>95.802321932409797</v>
      </c>
      <c r="AK4818">
        <v>9.3623754312994905</v>
      </c>
      <c r="AL4818">
        <v>67.984260693200596</v>
      </c>
      <c r="AM4818">
        <v>95.459660631959594</v>
      </c>
      <c r="AN4818">
        <v>1.0000000554591399</v>
      </c>
    </row>
    <row r="4819" spans="1:40" x14ac:dyDescent="0.25">
      <c r="A4819" t="str">
        <f>"20190304164945370"</f>
        <v>20190304164945370</v>
      </c>
      <c r="B4819" t="str">
        <f>"1551689385361067"</f>
        <v>1551689385361067</v>
      </c>
      <c r="C4819" t="s">
        <v>40</v>
      </c>
      <c r="D4819">
        <v>4.8477319999999997</v>
      </c>
      <c r="E4819">
        <v>0.5054476</v>
      </c>
      <c r="F4819" t="s">
        <v>42</v>
      </c>
      <c r="G4819">
        <v>-249.57409999999999</v>
      </c>
      <c r="H4819" s="1">
        <v>-4.5428400000000002E-7</v>
      </c>
      <c r="I4819">
        <v>140.70339999999999</v>
      </c>
      <c r="J4819">
        <v>-239.5052</v>
      </c>
      <c r="K4819">
        <v>1.1116090000000001</v>
      </c>
      <c r="L4819">
        <v>141.595</v>
      </c>
      <c r="M4819">
        <v>-0.99983279999999997</v>
      </c>
      <c r="N4819">
        <v>-8.6739690000000001E-3</v>
      </c>
      <c r="O4819">
        <v>1.609878E-2</v>
      </c>
      <c r="P4819">
        <v>-0.92713239999999997</v>
      </c>
      <c r="Q4819">
        <v>0.3676372</v>
      </c>
      <c r="R4819">
        <v>-7.2583800000000004E-2</v>
      </c>
      <c r="S4819">
        <v>-3.3546909999999999</v>
      </c>
      <c r="T4819">
        <v>-0.35799609999999998</v>
      </c>
      <c r="U4819">
        <v>-0.28562929999999997</v>
      </c>
      <c r="V4819">
        <v>-8.8779810000000001E-2</v>
      </c>
      <c r="W4819">
        <v>0.37535420000000003</v>
      </c>
      <c r="X4819">
        <v>0.92261990000000005</v>
      </c>
      <c r="Y4819">
        <v>-0.1001787</v>
      </c>
      <c r="Z4819">
        <v>-7.3284780000000002E-3</v>
      </c>
      <c r="AA4819">
        <v>0.99494249999999995</v>
      </c>
      <c r="AB4819">
        <v>35</v>
      </c>
      <c r="AC4819">
        <v>-10.0688999999999</v>
      </c>
      <c r="AD4819">
        <v>-1.111609454284</v>
      </c>
      <c r="AE4819">
        <v>-0.89160000000001105</v>
      </c>
      <c r="AF4819">
        <v>-1.04099833938947</v>
      </c>
      <c r="AG4819">
        <v>-1.111609454284</v>
      </c>
      <c r="AH4819">
        <v>9.9331157004929391</v>
      </c>
      <c r="AI4819">
        <v>96.350876318639195</v>
      </c>
      <c r="AJ4819">
        <v>95.982803100042801</v>
      </c>
      <c r="AK4819">
        <v>10.0491860685751</v>
      </c>
      <c r="AL4819">
        <v>67.9537950291774</v>
      </c>
      <c r="AM4819">
        <v>95.496407692522695</v>
      </c>
      <c r="AN4819">
        <v>1.0000000549986401</v>
      </c>
    </row>
    <row r="4820" spans="1:40" x14ac:dyDescent="0.25">
      <c r="A4820" t="str">
        <f>"20190304164945394"</f>
        <v>20190304164945394</v>
      </c>
      <c r="B4820" t="str">
        <f>"1551689385380584"</f>
        <v>1551689385380584</v>
      </c>
      <c r="C4820" t="s">
        <v>40</v>
      </c>
      <c r="D4820">
        <v>4.8289920000000004</v>
      </c>
      <c r="E4820">
        <v>0.50511399999999995</v>
      </c>
      <c r="F4820" t="s">
        <v>42</v>
      </c>
      <c r="G4820">
        <v>-250.3903</v>
      </c>
      <c r="H4820" s="1">
        <v>-4.3231920000000002E-6</v>
      </c>
      <c r="I4820">
        <v>140.6309</v>
      </c>
      <c r="J4820">
        <v>-239.86840000000001</v>
      </c>
      <c r="K4820">
        <v>1.111642</v>
      </c>
      <c r="L4820">
        <v>141.5994</v>
      </c>
      <c r="M4820">
        <v>-0.99985639999999998</v>
      </c>
      <c r="N4820">
        <v>-8.7760430000000007E-3</v>
      </c>
      <c r="O4820">
        <v>1.449957E-2</v>
      </c>
      <c r="P4820">
        <v>-0.92685260000000003</v>
      </c>
      <c r="Q4820">
        <v>0.36787940000000002</v>
      </c>
      <c r="R4820">
        <v>-7.4894790000000003E-2</v>
      </c>
      <c r="S4820">
        <v>-3.34816</v>
      </c>
      <c r="T4820">
        <v>-0.34192349999999999</v>
      </c>
      <c r="U4820">
        <v>-0.29652399999999901</v>
      </c>
      <c r="V4820">
        <v>-8.9625250000000004E-2</v>
      </c>
      <c r="W4820">
        <v>0.3756816</v>
      </c>
      <c r="X4820">
        <v>0.92240480000000002</v>
      </c>
      <c r="Y4820">
        <v>-0.10201739999999999</v>
      </c>
      <c r="Z4820">
        <v>-6.9829039999999998E-3</v>
      </c>
      <c r="AA4820">
        <v>0.99475809999999998</v>
      </c>
      <c r="AB4820">
        <v>36</v>
      </c>
      <c r="AC4820">
        <v>-10.521899999999899</v>
      </c>
      <c r="AD4820">
        <v>-1.111646323192</v>
      </c>
      <c r="AE4820">
        <v>-0.96850000000000602</v>
      </c>
      <c r="AF4820">
        <v>-1.1086956991009</v>
      </c>
      <c r="AG4820">
        <v>-1.111646323192</v>
      </c>
      <c r="AH4820">
        <v>10.3917316422206</v>
      </c>
      <c r="AI4820">
        <v>96.071745707291399</v>
      </c>
      <c r="AJ4820">
        <v>96.089860099012299</v>
      </c>
      <c r="AK4820">
        <v>10.509664610490701</v>
      </c>
      <c r="AL4820">
        <v>67.933553455529207</v>
      </c>
      <c r="AM4820">
        <v>95.549710053431994</v>
      </c>
      <c r="AN4820">
        <v>0.999999982539581</v>
      </c>
    </row>
    <row r="4821" spans="1:40" x14ac:dyDescent="0.25">
      <c r="A4821" t="str">
        <f>"20190304164945417"</f>
        <v>20190304164945417</v>
      </c>
      <c r="B4821" t="str">
        <f>"1551689385410371"</f>
        <v>1551689385410371</v>
      </c>
      <c r="C4821" t="s">
        <v>40</v>
      </c>
      <c r="D4821">
        <v>4.8604390000000004</v>
      </c>
      <c r="E4821">
        <v>0.5048279</v>
      </c>
      <c r="F4821" t="s">
        <v>42</v>
      </c>
      <c r="G4821">
        <v>-250.83439999999999</v>
      </c>
      <c r="H4821" s="1">
        <v>-4.1650409999999996E-6</v>
      </c>
      <c r="I4821">
        <v>140.59139999999999</v>
      </c>
      <c r="J4821">
        <v>-240.22399999999999</v>
      </c>
      <c r="K4821">
        <v>1.1116699999999999</v>
      </c>
      <c r="L4821">
        <v>141.60319999999999</v>
      </c>
      <c r="M4821">
        <v>-0.99987689999999996</v>
      </c>
      <c r="N4821">
        <v>-8.8839399999999999E-3</v>
      </c>
      <c r="O4821">
        <v>1.293792E-2</v>
      </c>
      <c r="P4821">
        <v>-0.92648229999999998</v>
      </c>
      <c r="Q4821">
        <v>0.36830020000000002</v>
      </c>
      <c r="R4821">
        <v>-7.7368759999999995E-2</v>
      </c>
      <c r="S4821">
        <v>-3.3465729999999998</v>
      </c>
      <c r="T4821">
        <v>-0.33924789999999999</v>
      </c>
      <c r="U4821">
        <v>-0.30760189999999998</v>
      </c>
      <c r="V4821">
        <v>-9.0665819999999994E-2</v>
      </c>
      <c r="W4821">
        <v>0.37619200000000003</v>
      </c>
      <c r="X4821">
        <v>0.92209509999999995</v>
      </c>
      <c r="Y4821">
        <v>-0.1037771</v>
      </c>
      <c r="Z4821">
        <v>-6.8900640000000004E-3</v>
      </c>
      <c r="AA4821">
        <v>0.99457669999999998</v>
      </c>
      <c r="AB4821">
        <v>36</v>
      </c>
      <c r="AC4821">
        <v>-10.610399999999901</v>
      </c>
      <c r="AD4821">
        <v>-1.111674165041</v>
      </c>
      <c r="AE4821">
        <v>-1.01179999999999</v>
      </c>
      <c r="AF4821">
        <v>-1.13663261681232</v>
      </c>
      <c r="AG4821">
        <v>-1.111674165041</v>
      </c>
      <c r="AH4821">
        <v>10.4823903971298</v>
      </c>
      <c r="AI4821">
        <v>96.018663062177893</v>
      </c>
      <c r="AJ4821">
        <v>96.188550459044706</v>
      </c>
      <c r="AK4821">
        <v>10.6022762458191</v>
      </c>
      <c r="AL4821">
        <v>67.901996103571705</v>
      </c>
      <c r="AM4821">
        <v>95.615607655859705</v>
      </c>
      <c r="AN4821">
        <v>1.00000004261214</v>
      </c>
    </row>
    <row r="4822" spans="1:40" x14ac:dyDescent="0.25">
      <c r="A4822" t="str">
        <f>"20190304164945438"</f>
        <v>20190304164945438</v>
      </c>
      <c r="B4822" t="str">
        <f>"1551689385430866"</f>
        <v>1551689385430866</v>
      </c>
      <c r="C4822" t="s">
        <v>40</v>
      </c>
      <c r="D4822">
        <v>4.863022</v>
      </c>
      <c r="E4822">
        <v>0.50475879999999995</v>
      </c>
      <c r="F4822" t="s">
        <v>42</v>
      </c>
      <c r="G4822">
        <v>-250.99100000000001</v>
      </c>
      <c r="H4822" s="1">
        <v>-4.1028550000000004E-6</v>
      </c>
      <c r="I4822">
        <v>140.57730000000001</v>
      </c>
      <c r="J4822">
        <v>-240.58840000000001</v>
      </c>
      <c r="K4822">
        <v>1.1116969999999999</v>
      </c>
      <c r="L4822">
        <v>141.60640000000001</v>
      </c>
      <c r="M4822">
        <v>-0.99989499999999998</v>
      </c>
      <c r="N4822">
        <v>-9.0080160000000006E-3</v>
      </c>
      <c r="O4822">
        <v>1.134757E-2</v>
      </c>
      <c r="P4822">
        <v>-0.92609909999999995</v>
      </c>
      <c r="Q4822">
        <v>0.3686548</v>
      </c>
      <c r="R4822">
        <v>-8.0213580000000007E-2</v>
      </c>
      <c r="S4822">
        <v>-3.348862</v>
      </c>
      <c r="T4822">
        <v>-0.34576620000000002</v>
      </c>
      <c r="U4822">
        <v>-0.31906129999999999</v>
      </c>
      <c r="V4822">
        <v>-9.2046699999999995E-2</v>
      </c>
      <c r="W4822">
        <v>0.37665140000000003</v>
      </c>
      <c r="X4822">
        <v>0.9217706</v>
      </c>
      <c r="Y4822">
        <v>-0.10548109999999999</v>
      </c>
      <c r="Z4822">
        <v>-6.9606260000000001E-3</v>
      </c>
      <c r="AA4822">
        <v>0.99439690000000003</v>
      </c>
      <c r="AB4822">
        <v>36</v>
      </c>
      <c r="AC4822">
        <v>-10.4025999999999</v>
      </c>
      <c r="AD4822">
        <v>-1.1117011028549999</v>
      </c>
      <c r="AE4822">
        <v>-1.0290999999999899</v>
      </c>
      <c r="AF4822">
        <v>-1.1342543423907001</v>
      </c>
      <c r="AG4822">
        <v>-1.1117011028549999</v>
      </c>
      <c r="AH4822">
        <v>10.274052356787401</v>
      </c>
      <c r="AI4822">
        <v>96.138638683614303</v>
      </c>
      <c r="AJ4822">
        <v>96.299936101760693</v>
      </c>
      <c r="AK4822">
        <v>10.3960840745605</v>
      </c>
      <c r="AL4822">
        <v>67.873582693890796</v>
      </c>
      <c r="AM4822">
        <v>95.702570284466702</v>
      </c>
      <c r="AN4822">
        <v>0.99999995556360399</v>
      </c>
    </row>
    <row r="4823" spans="1:40" x14ac:dyDescent="0.25">
      <c r="A4823" t="str">
        <f>"20190304164945462"</f>
        <v>20190304164945462</v>
      </c>
      <c r="B4823" t="str">
        <f>"1551689385450386"</f>
        <v>1551689385450386</v>
      </c>
      <c r="C4823" t="s">
        <v>40</v>
      </c>
      <c r="D4823">
        <v>4.8811580000000001</v>
      </c>
      <c r="E4823">
        <v>0.50476009999999905</v>
      </c>
      <c r="F4823" t="s">
        <v>42</v>
      </c>
      <c r="G4823">
        <v>-251.33179999999999</v>
      </c>
      <c r="H4823" s="1">
        <v>-3.9500310000000001E-6</v>
      </c>
      <c r="I4823">
        <v>140.55240000000001</v>
      </c>
      <c r="J4823">
        <v>-240.94839999999999</v>
      </c>
      <c r="K4823">
        <v>1.1117250000000001</v>
      </c>
      <c r="L4823">
        <v>141.60900000000001</v>
      </c>
      <c r="M4823">
        <v>-0.99991039999999998</v>
      </c>
      <c r="N4823">
        <v>-9.1376800000000005E-3</v>
      </c>
      <c r="O4823">
        <v>9.7854389999999999E-3</v>
      </c>
      <c r="P4823">
        <v>-0.92572089999999996</v>
      </c>
      <c r="Q4823">
        <v>0.36900539999999998</v>
      </c>
      <c r="R4823">
        <v>-8.2921670000000003E-2</v>
      </c>
      <c r="S4823">
        <v>-3.3488920000000002</v>
      </c>
      <c r="T4823">
        <v>-0.34653850000000003</v>
      </c>
      <c r="U4823">
        <v>-0.32853700000000002</v>
      </c>
      <c r="V4823">
        <v>-9.3314220000000003E-2</v>
      </c>
      <c r="W4823">
        <v>0.37711250000000002</v>
      </c>
      <c r="X4823">
        <v>0.92145460000000001</v>
      </c>
      <c r="Y4823">
        <v>-0.1067109</v>
      </c>
      <c r="Z4823">
        <v>-6.9021019999999898E-3</v>
      </c>
      <c r="AA4823">
        <v>0.99426619999999999</v>
      </c>
      <c r="AB4823">
        <v>36</v>
      </c>
      <c r="AC4823">
        <v>-10.3833999999999</v>
      </c>
      <c r="AD4823">
        <v>-1.1117289500309999</v>
      </c>
      <c r="AE4823">
        <v>-1.0566</v>
      </c>
      <c r="AF4823">
        <v>-1.1451666539705401</v>
      </c>
      <c r="AG4823">
        <v>-1.1117289500309999</v>
      </c>
      <c r="AH4823">
        <v>10.2561957653402</v>
      </c>
      <c r="AI4823">
        <v>96.148556751845604</v>
      </c>
      <c r="AJ4823">
        <v>96.371033745634307</v>
      </c>
      <c r="AK4823">
        <v>10.3796386979839</v>
      </c>
      <c r="AL4823">
        <v>67.845060995960196</v>
      </c>
      <c r="AM4823">
        <v>95.782537685963206</v>
      </c>
      <c r="AN4823">
        <v>0.99999998058580897</v>
      </c>
    </row>
    <row r="4824" spans="1:40" x14ac:dyDescent="0.25">
      <c r="A4824" t="str">
        <f>"20190304164945482"</f>
        <v>20190304164945482</v>
      </c>
      <c r="B4824" t="str">
        <f>"1551689385470886"</f>
        <v>1551689385470886</v>
      </c>
      <c r="C4824" t="s">
        <v>40</v>
      </c>
      <c r="D4824">
        <v>4.8969430000000003</v>
      </c>
      <c r="E4824">
        <v>0.50490159999999995</v>
      </c>
      <c r="F4824" t="s">
        <v>42</v>
      </c>
      <c r="G4824">
        <v>-251.60300000000001</v>
      </c>
      <c r="H4824" s="1">
        <v>-3.8297150000000001E-6</v>
      </c>
      <c r="I4824">
        <v>140.53739999999999</v>
      </c>
      <c r="J4824">
        <v>-241.27539999999999</v>
      </c>
      <c r="K4824">
        <v>1.111748</v>
      </c>
      <c r="L4824">
        <v>141.61089999999999</v>
      </c>
      <c r="M4824">
        <v>-0.99992199999999998</v>
      </c>
      <c r="N4824">
        <v>-9.2663009999999994E-3</v>
      </c>
      <c r="O4824">
        <v>8.3776409999999999E-3</v>
      </c>
      <c r="P4824">
        <v>-0.92570430000000004</v>
      </c>
      <c r="Q4824">
        <v>0.3685696</v>
      </c>
      <c r="R4824">
        <v>-8.5018040000000003E-2</v>
      </c>
      <c r="S4824">
        <v>-3.349869</v>
      </c>
      <c r="T4824">
        <v>-0.3495374</v>
      </c>
      <c r="U4824">
        <v>-0.3368988</v>
      </c>
      <c r="V4824">
        <v>-9.4108629999999999E-2</v>
      </c>
      <c r="W4824">
        <v>0.37679279999999998</v>
      </c>
      <c r="X4824">
        <v>0.92150460000000001</v>
      </c>
      <c r="Y4824">
        <v>-0.1077298</v>
      </c>
      <c r="Z4824">
        <v>-6.8855610000000001E-3</v>
      </c>
      <c r="AA4824">
        <v>0.99415640000000005</v>
      </c>
      <c r="AB4824">
        <v>36</v>
      </c>
      <c r="AC4824">
        <v>-10.327599999999901</v>
      </c>
      <c r="AD4824">
        <v>-1.111751829715</v>
      </c>
      <c r="AE4824">
        <v>-1.0734999999999899</v>
      </c>
      <c r="AF4824">
        <v>-1.1468391876735999</v>
      </c>
      <c r="AG4824">
        <v>-1.111751829715</v>
      </c>
      <c r="AH4824">
        <v>10.2012924957846</v>
      </c>
      <c r="AI4824">
        <v>96.180999865198402</v>
      </c>
      <c r="AJ4824">
        <v>96.414315142647297</v>
      </c>
      <c r="AK4824">
        <v>10.3255799274331</v>
      </c>
      <c r="AL4824">
        <v>67.864837480597402</v>
      </c>
      <c r="AM4824">
        <v>95.831113974840903</v>
      </c>
      <c r="AN4824">
        <v>0.99999998809673796</v>
      </c>
    </row>
    <row r="4825" spans="1:40" x14ac:dyDescent="0.25">
      <c r="A4825" t="str">
        <f>"20190304164945504"</f>
        <v>20190304164945504</v>
      </c>
      <c r="B4825" t="str">
        <f>"1551689385500514"</f>
        <v>1551689385500514</v>
      </c>
      <c r="C4825" t="s">
        <v>40</v>
      </c>
      <c r="D4825">
        <v>4.9076849999999999</v>
      </c>
      <c r="E4825">
        <v>0.50512020000000002</v>
      </c>
      <c r="F4825" t="s">
        <v>42</v>
      </c>
      <c r="G4825">
        <v>-251.7422</v>
      </c>
      <c r="H4825" s="1">
        <v>-3.7709409999999998E-6</v>
      </c>
      <c r="I4825">
        <v>140.541</v>
      </c>
      <c r="J4825">
        <v>-241.62979999999999</v>
      </c>
      <c r="K4825">
        <v>1.1117649999999999</v>
      </c>
      <c r="L4825">
        <v>141.61250000000001</v>
      </c>
      <c r="M4825">
        <v>-0.99993220000000005</v>
      </c>
      <c r="N4825">
        <v>-9.4238129999999996E-3</v>
      </c>
      <c r="O4825">
        <v>6.8721229999999999E-3</v>
      </c>
      <c r="P4825">
        <v>-0.92556640000000001</v>
      </c>
      <c r="Q4825">
        <v>0.36840610000000001</v>
      </c>
      <c r="R4825">
        <v>-8.7203959999999997E-2</v>
      </c>
      <c r="S4825">
        <v>-3.3510439999999999</v>
      </c>
      <c r="T4825">
        <v>-0.35593999999999998</v>
      </c>
      <c r="U4825">
        <v>-0.34251399999999999</v>
      </c>
      <c r="V4825">
        <v>-9.4896430000000004E-2</v>
      </c>
      <c r="W4825">
        <v>0.37677240000000001</v>
      </c>
      <c r="X4825">
        <v>0.92143209999999998</v>
      </c>
      <c r="Y4825">
        <v>-0.1078296</v>
      </c>
      <c r="Z4825">
        <v>-6.8685309999999998E-3</v>
      </c>
      <c r="AA4825">
        <v>0.99414570000000002</v>
      </c>
      <c r="AB4825">
        <v>36</v>
      </c>
      <c r="AC4825">
        <v>-10.112399999999999</v>
      </c>
      <c r="AD4825">
        <v>-1.11176877094099</v>
      </c>
      <c r="AE4825">
        <v>-1.0715000000000101</v>
      </c>
      <c r="AF4825">
        <v>-1.12749464291768</v>
      </c>
      <c r="AG4825">
        <v>-1.11176877094099</v>
      </c>
      <c r="AH4825">
        <v>9.9854428310182204</v>
      </c>
      <c r="AI4825">
        <v>96.3132954039108</v>
      </c>
      <c r="AJ4825">
        <v>96.442200302267693</v>
      </c>
      <c r="AK4825">
        <v>10.1102098149039</v>
      </c>
      <c r="AL4825">
        <v>67.866098290049393</v>
      </c>
      <c r="AM4825">
        <v>95.880046077366103</v>
      </c>
      <c r="AN4825">
        <v>0.99999994436945505</v>
      </c>
    </row>
    <row r="4826" spans="1:40" x14ac:dyDescent="0.25">
      <c r="A4826" t="str">
        <f>"20190304164945527"</f>
        <v>20190304164945527</v>
      </c>
      <c r="B4826" t="str">
        <f>"1551689385521009"</f>
        <v>1551689385521009</v>
      </c>
      <c r="C4826" t="s">
        <v>40</v>
      </c>
      <c r="D4826">
        <v>4.897024</v>
      </c>
      <c r="E4826">
        <v>0.50528809999999902</v>
      </c>
      <c r="F4826" t="s">
        <v>42</v>
      </c>
      <c r="G4826">
        <v>-251.9264</v>
      </c>
      <c r="H4826" s="1">
        <v>-3.6936070000000001E-6</v>
      </c>
      <c r="I4826">
        <v>140.54730000000001</v>
      </c>
      <c r="J4826">
        <v>-241.99610000000001</v>
      </c>
      <c r="K4826">
        <v>1.1117790000000001</v>
      </c>
      <c r="L4826">
        <v>141.61359999999999</v>
      </c>
      <c r="M4826">
        <v>-0.99993969999999999</v>
      </c>
      <c r="N4826">
        <v>-9.6057769999999994E-3</v>
      </c>
      <c r="O4826">
        <v>5.3452880000000001E-3</v>
      </c>
      <c r="P4826">
        <v>-0.92565410000000004</v>
      </c>
      <c r="Q4826">
        <v>0.36778319999999998</v>
      </c>
      <c r="R4826">
        <v>-8.8883879999999998E-2</v>
      </c>
      <c r="S4826">
        <v>-3.3526609999999999</v>
      </c>
      <c r="T4826">
        <v>-0.36200320000000002</v>
      </c>
      <c r="U4826">
        <v>-0.34680179999999999</v>
      </c>
      <c r="V4826">
        <v>-9.5150719999999994E-2</v>
      </c>
      <c r="W4826">
        <v>0.37632189999999999</v>
      </c>
      <c r="X4826">
        <v>0.92159000000000002</v>
      </c>
      <c r="Y4826">
        <v>-0.1075078</v>
      </c>
      <c r="Z4826">
        <v>-6.8142630000000001E-3</v>
      </c>
      <c r="AA4826">
        <v>0.99418090000000003</v>
      </c>
      <c r="AB4826">
        <v>36</v>
      </c>
      <c r="AC4826">
        <v>-9.9302999999999795</v>
      </c>
      <c r="AD4826">
        <v>-1.1117826936069899</v>
      </c>
      <c r="AE4826">
        <v>-1.06629999999998</v>
      </c>
      <c r="AF4826">
        <v>-1.1056662671704001</v>
      </c>
      <c r="AG4826">
        <v>-1.1117826936069899</v>
      </c>
      <c r="AH4826">
        <v>9.8029810761833307</v>
      </c>
      <c r="AI4826">
        <v>96.429997516566502</v>
      </c>
      <c r="AJ4826">
        <v>96.4351252386612</v>
      </c>
      <c r="AK4826">
        <v>9.9275876542174597</v>
      </c>
      <c r="AL4826">
        <v>67.893961621456597</v>
      </c>
      <c r="AM4826">
        <v>95.8946887296716</v>
      </c>
      <c r="AN4826">
        <v>0.99999998001806401</v>
      </c>
    </row>
    <row r="4827" spans="1:40" x14ac:dyDescent="0.25">
      <c r="A4827" t="str">
        <f>"20190304164945550"</f>
        <v>20190304164945550</v>
      </c>
      <c r="B4827" t="str">
        <f>"1551689385540532"</f>
        <v>1551689385540532</v>
      </c>
      <c r="C4827" t="s">
        <v>40</v>
      </c>
      <c r="D4827">
        <v>4.8771129999999996</v>
      </c>
      <c r="E4827">
        <v>0.50535149999999995</v>
      </c>
      <c r="F4827" t="s">
        <v>42</v>
      </c>
      <c r="G4827">
        <v>-252.14439999999999</v>
      </c>
      <c r="H4827" s="1">
        <v>-3.6007500000000002E-6</v>
      </c>
      <c r="I4827">
        <v>140.5498</v>
      </c>
      <c r="J4827">
        <v>-242.36510000000001</v>
      </c>
      <c r="K4827">
        <v>1.111783</v>
      </c>
      <c r="L4827">
        <v>141.61410000000001</v>
      </c>
      <c r="M4827">
        <v>-0.99994459999999996</v>
      </c>
      <c r="N4827">
        <v>-9.8053610000000003E-3</v>
      </c>
      <c r="O4827">
        <v>3.8431860000000002E-3</v>
      </c>
      <c r="P4827">
        <v>-0.92569140000000005</v>
      </c>
      <c r="Q4827">
        <v>0.36743490000000001</v>
      </c>
      <c r="R4827">
        <v>-8.9928430000000004E-2</v>
      </c>
      <c r="S4827">
        <v>-3.35318</v>
      </c>
      <c r="T4827">
        <v>-0.36735420000000002</v>
      </c>
      <c r="U4827">
        <v>-0.35145569999999998</v>
      </c>
      <c r="V4827">
        <v>-9.4785910000000001E-2</v>
      </c>
      <c r="W4827">
        <v>0.37616500000000003</v>
      </c>
      <c r="X4827">
        <v>0.9216917</v>
      </c>
      <c r="Y4827">
        <v>-0.1073513</v>
      </c>
      <c r="Z4827">
        <v>-6.7576110000000002E-3</v>
      </c>
      <c r="AA4827">
        <v>0.99419820000000003</v>
      </c>
      <c r="AB4827">
        <v>36</v>
      </c>
      <c r="AC4827">
        <v>-9.7792999999999708</v>
      </c>
      <c r="AD4827">
        <v>-1.1117866007499999</v>
      </c>
      <c r="AE4827">
        <v>-1.0643</v>
      </c>
      <c r="AF4827">
        <v>-1.08798017979575</v>
      </c>
      <c r="AG4827">
        <v>-1.1117866007499999</v>
      </c>
      <c r="AH4827">
        <v>9.6518483396865609</v>
      </c>
      <c r="AI4827">
        <v>96.529888747032899</v>
      </c>
      <c r="AJ4827">
        <v>96.431373673193207</v>
      </c>
      <c r="AK4827">
        <v>9.77639742898916</v>
      </c>
      <c r="AL4827">
        <v>67.903665502302303</v>
      </c>
      <c r="AM4827">
        <v>95.8716031749465</v>
      </c>
      <c r="AN4827">
        <v>1.0000000329042</v>
      </c>
    </row>
    <row r="4828" spans="1:40" x14ac:dyDescent="0.25">
      <c r="A4828" t="str">
        <f>"20190304164945571"</f>
        <v>20190304164945571</v>
      </c>
      <c r="B4828" t="str">
        <f>"1551689385561028"</f>
        <v>1551689385561028</v>
      </c>
      <c r="C4828" t="s">
        <v>40</v>
      </c>
      <c r="D4828">
        <v>4.8914519999999904</v>
      </c>
      <c r="E4828">
        <v>0.50560669999999996</v>
      </c>
      <c r="F4828" t="s">
        <v>42</v>
      </c>
      <c r="G4828">
        <v>-252.39420000000001</v>
      </c>
      <c r="H4828" s="1">
        <v>-3.4937180000000002E-6</v>
      </c>
      <c r="I4828">
        <v>140.55029999999999</v>
      </c>
      <c r="J4828">
        <v>-242.70240000000001</v>
      </c>
      <c r="K4828">
        <v>1.1117889999999999</v>
      </c>
      <c r="L4828">
        <v>141.61410000000001</v>
      </c>
      <c r="M4828">
        <v>-0.99994700000000003</v>
      </c>
      <c r="N4828">
        <v>-1.000644E-2</v>
      </c>
      <c r="O4828">
        <v>2.505321E-3</v>
      </c>
      <c r="P4828">
        <v>-0.92582209999999998</v>
      </c>
      <c r="Q4828">
        <v>0.36705559999999998</v>
      </c>
      <c r="R4828">
        <v>-9.0133610000000003E-2</v>
      </c>
      <c r="S4828">
        <v>-3.3538670000000002</v>
      </c>
      <c r="T4828">
        <v>-0.37179669999999998</v>
      </c>
      <c r="U4828">
        <v>-0.3557129</v>
      </c>
      <c r="V4828">
        <v>-9.3731079999999994E-2</v>
      </c>
      <c r="W4828">
        <v>0.3759825</v>
      </c>
      <c r="X4828">
        <v>0.92187399999999997</v>
      </c>
      <c r="Y4828">
        <v>-0.1072384</v>
      </c>
      <c r="Z4828">
        <v>-6.7004580000000003E-3</v>
      </c>
      <c r="AA4828">
        <v>0.99421079999999995</v>
      </c>
      <c r="AB4828">
        <v>36</v>
      </c>
      <c r="AC4828">
        <v>-9.6918000000000006</v>
      </c>
      <c r="AD4828">
        <v>-1.1117924937179999</v>
      </c>
      <c r="AE4828">
        <v>-1.0638000000000101</v>
      </c>
      <c r="AF4828">
        <v>-1.07411245194254</v>
      </c>
      <c r="AG4828">
        <v>-1.1117924937179999</v>
      </c>
      <c r="AH4828">
        <v>9.5647357579897303</v>
      </c>
      <c r="AI4828">
        <v>96.589182031463594</v>
      </c>
      <c r="AJ4828">
        <v>96.407426919842493</v>
      </c>
      <c r="AK4828">
        <v>9.6888580456456896</v>
      </c>
      <c r="AL4828">
        <v>67.9149499649196</v>
      </c>
      <c r="AM4828">
        <v>95.805569290604595</v>
      </c>
      <c r="AN4828">
        <v>1.0000000137700999</v>
      </c>
    </row>
    <row r="4829" spans="1:40" x14ac:dyDescent="0.25">
      <c r="A4829" t="str">
        <f>"20190304164945586"</f>
        <v>20190304164945586</v>
      </c>
      <c r="B4829" t="str">
        <f>"1551689385580546"</f>
        <v>1551689385580546</v>
      </c>
      <c r="C4829" t="s">
        <v>40</v>
      </c>
      <c r="D4829">
        <v>4.8886580000000004</v>
      </c>
      <c r="E4829">
        <v>0.5058996</v>
      </c>
      <c r="F4829" t="s">
        <v>42</v>
      </c>
      <c r="G4829">
        <v>-252.58420000000001</v>
      </c>
      <c r="H4829" s="1">
        <v>-3.4165589999999898E-6</v>
      </c>
      <c r="I4829">
        <v>140.5667</v>
      </c>
      <c r="J4829">
        <v>-242.92580000000001</v>
      </c>
      <c r="K4829">
        <v>1.1117939999999999</v>
      </c>
      <c r="L4829">
        <v>141.6139</v>
      </c>
      <c r="M4829">
        <v>-0.99994709999999998</v>
      </c>
      <c r="N4829">
        <v>-1.0149109999999999E-2</v>
      </c>
      <c r="O4829">
        <v>1.6402120000000001E-3</v>
      </c>
      <c r="P4829">
        <v>-0.92577860000000001</v>
      </c>
      <c r="Q4829">
        <v>0.36709199999999997</v>
      </c>
      <c r="R4829">
        <v>-9.0430319999999995E-2</v>
      </c>
      <c r="S4829">
        <v>-3.355423</v>
      </c>
      <c r="T4829">
        <v>-0.37751639999999997</v>
      </c>
      <c r="U4829">
        <v>-0.35562129999999997</v>
      </c>
      <c r="V4829">
        <v>-9.3212279999999995E-2</v>
      </c>
      <c r="W4829">
        <v>0.37615660000000001</v>
      </c>
      <c r="X4829">
        <v>0.9218556</v>
      </c>
      <c r="Y4829">
        <v>-0.1062924</v>
      </c>
      <c r="Z4829">
        <v>-6.6537870000000004E-3</v>
      </c>
      <c r="AA4829">
        <v>0.99431259999999999</v>
      </c>
      <c r="AB4829">
        <v>36</v>
      </c>
      <c r="AC4829">
        <v>-9.6584000000000003</v>
      </c>
      <c r="AD4829">
        <v>-1.1117974165590001</v>
      </c>
      <c r="AE4829">
        <v>-1.0471999999999999</v>
      </c>
      <c r="AF4829">
        <v>-1.04929877267394</v>
      </c>
      <c r="AG4829">
        <v>-1.1117974165590001</v>
      </c>
      <c r="AH4829">
        <v>9.5318327561655298</v>
      </c>
      <c r="AI4829">
        <v>96.613350139597898</v>
      </c>
      <c r="AJ4829">
        <v>96.282032939409206</v>
      </c>
      <c r="AK4829">
        <v>9.6536499367499609</v>
      </c>
      <c r="AL4829">
        <v>67.904184917364603</v>
      </c>
      <c r="AM4829">
        <v>95.773767710935601</v>
      </c>
      <c r="AN4829">
        <v>1.00000003205885</v>
      </c>
    </row>
    <row r="4830" spans="1:40" x14ac:dyDescent="0.25">
      <c r="A4830" t="str">
        <f>"20190304164945607"</f>
        <v>20190304164945607</v>
      </c>
      <c r="B4830" t="str">
        <f>"1551689385600571"</f>
        <v>1551689385600571</v>
      </c>
      <c r="C4830" t="s">
        <v>40</v>
      </c>
      <c r="D4830">
        <v>4.857399</v>
      </c>
      <c r="E4830">
        <v>0.50613620000000004</v>
      </c>
      <c r="F4830" t="s">
        <v>42</v>
      </c>
      <c r="G4830">
        <v>-252.7225</v>
      </c>
      <c r="H4830" s="1">
        <v>-3.3603249999999999E-6</v>
      </c>
      <c r="I4830">
        <v>140.57830000000001</v>
      </c>
      <c r="J4830">
        <v>-243.26949999999999</v>
      </c>
      <c r="K4830">
        <v>1.1117950000000001</v>
      </c>
      <c r="L4830">
        <v>141.61320000000001</v>
      </c>
      <c r="M4830">
        <v>-0.99994620000000001</v>
      </c>
      <c r="N4830">
        <v>-1.037627E-2</v>
      </c>
      <c r="O4830">
        <v>3.3595119999999998E-4</v>
      </c>
      <c r="P4830">
        <v>-0.92575700000000005</v>
      </c>
      <c r="Q4830">
        <v>0.36723470000000002</v>
      </c>
      <c r="R4830">
        <v>-9.0070369999999997E-2</v>
      </c>
      <c r="S4830">
        <v>-3.3569490000000002</v>
      </c>
      <c r="T4830">
        <v>-0.38097320000000001</v>
      </c>
      <c r="U4830">
        <v>-0.35482789999999997</v>
      </c>
      <c r="V4830">
        <v>-9.1621610000000006E-2</v>
      </c>
      <c r="W4830">
        <v>0.3765211</v>
      </c>
      <c r="X4830">
        <v>0.92186619999999997</v>
      </c>
      <c r="Y4830">
        <v>-0.1047198</v>
      </c>
      <c r="Z4830">
        <v>-6.4880469999999899E-3</v>
      </c>
      <c r="AA4830">
        <v>0.99448060000000005</v>
      </c>
      <c r="AB4830">
        <v>36</v>
      </c>
      <c r="AC4830">
        <v>-9.4529999999999994</v>
      </c>
      <c r="AD4830">
        <v>-1.1117983603249999</v>
      </c>
      <c r="AE4830">
        <v>-1.0348999999999899</v>
      </c>
      <c r="AF4830">
        <v>-1.0240776864791901</v>
      </c>
      <c r="AG4830">
        <v>-1.1117983603249999</v>
      </c>
      <c r="AH4830">
        <v>9.3251853166730196</v>
      </c>
      <c r="AI4830">
        <v>96.758760295442301</v>
      </c>
      <c r="AJ4830">
        <v>96.267022352922794</v>
      </c>
      <c r="AK4830">
        <v>9.4468995915199603</v>
      </c>
      <c r="AL4830">
        <v>67.881642059327007</v>
      </c>
      <c r="AM4830">
        <v>95.675822247841893</v>
      </c>
      <c r="AN4830">
        <v>0.99999997443332</v>
      </c>
    </row>
    <row r="4831" spans="1:40" x14ac:dyDescent="0.25">
      <c r="A4831" t="str">
        <f>"20190304164945628"</f>
        <v>20190304164945628</v>
      </c>
      <c r="B4831" t="str">
        <f>"1551689385621067"</f>
        <v>1551689385621067</v>
      </c>
      <c r="C4831" t="s">
        <v>40</v>
      </c>
      <c r="D4831">
        <v>4.8926220000000002</v>
      </c>
      <c r="E4831">
        <v>0.50639520000000005</v>
      </c>
      <c r="F4831" t="s">
        <v>42</v>
      </c>
      <c r="G4831">
        <v>-253.00319999999999</v>
      </c>
      <c r="H4831" s="1">
        <v>-3.242925E-6</v>
      </c>
      <c r="I4831">
        <v>140.58969999999999</v>
      </c>
      <c r="J4831">
        <v>-243.61949999999999</v>
      </c>
      <c r="K4831">
        <v>1.1117939999999999</v>
      </c>
      <c r="L4831">
        <v>141.61199999999999</v>
      </c>
      <c r="M4831">
        <v>-0.99994329999999998</v>
      </c>
      <c r="N4831">
        <v>-1.061024E-2</v>
      </c>
      <c r="O4831">
        <v>-9.5570609999999999E-4</v>
      </c>
      <c r="P4831">
        <v>-0.92599180000000003</v>
      </c>
      <c r="Q4831">
        <v>0.36686600000000003</v>
      </c>
      <c r="R4831">
        <v>-8.9155429999999994E-2</v>
      </c>
      <c r="S4831">
        <v>-3.3583980000000002</v>
      </c>
      <c r="T4831">
        <v>-0.38360359999999899</v>
      </c>
      <c r="U4831">
        <v>-0.35310360000000002</v>
      </c>
      <c r="V4831">
        <v>-8.9483779999999999E-2</v>
      </c>
      <c r="W4831">
        <v>0.37638460000000001</v>
      </c>
      <c r="X4831">
        <v>0.92213199999999995</v>
      </c>
      <c r="Y4831">
        <v>-0.1028945</v>
      </c>
      <c r="Z4831">
        <v>-6.2922990000000003E-3</v>
      </c>
      <c r="AA4831">
        <v>0.99467240000000001</v>
      </c>
      <c r="AB4831">
        <v>36</v>
      </c>
      <c r="AC4831">
        <v>-9.3836999999999993</v>
      </c>
      <c r="AD4831">
        <v>-1.111797242925</v>
      </c>
      <c r="AE4831">
        <v>-1.0223</v>
      </c>
      <c r="AF4831">
        <v>-0.99946512324444503</v>
      </c>
      <c r="AG4831">
        <v>-1.111797242925</v>
      </c>
      <c r="AH4831">
        <v>9.2562582492925305</v>
      </c>
      <c r="AI4831">
        <v>96.809948767500899</v>
      </c>
      <c r="AJ4831">
        <v>96.162762840102602</v>
      </c>
      <c r="AK4831">
        <v>9.3762114107753405</v>
      </c>
      <c r="AL4831">
        <v>67.890086172753897</v>
      </c>
      <c r="AM4831">
        <v>95.542633633403995</v>
      </c>
      <c r="AN4831">
        <v>1.0000000697121201</v>
      </c>
    </row>
    <row r="4832" spans="1:40" x14ac:dyDescent="0.25">
      <c r="A4832" t="str">
        <f>"20190304164945652"</f>
        <v>20190304164945652</v>
      </c>
      <c r="B4832" t="str">
        <f>"1551689385640587"</f>
        <v>1551689385640587</v>
      </c>
      <c r="C4832" t="s">
        <v>40</v>
      </c>
      <c r="D4832">
        <v>4.872217</v>
      </c>
      <c r="E4832">
        <v>0.50645229999999997</v>
      </c>
      <c r="F4832" t="s">
        <v>42</v>
      </c>
      <c r="G4832">
        <v>-253.23939999999999</v>
      </c>
      <c r="H4832" s="1">
        <v>-3.1473619999999999E-6</v>
      </c>
      <c r="I4832">
        <v>140.6113</v>
      </c>
      <c r="J4832">
        <v>-243.9854</v>
      </c>
      <c r="K4832">
        <v>1.1117939999999999</v>
      </c>
      <c r="L4832">
        <v>141.6104</v>
      </c>
      <c r="M4832">
        <v>-0.99993860000000001</v>
      </c>
      <c r="N4832">
        <v>-1.085998E-2</v>
      </c>
      <c r="O4832">
        <v>-2.263377E-3</v>
      </c>
      <c r="P4832">
        <v>-0.92609660000000005</v>
      </c>
      <c r="Q4832">
        <v>0.36663580000000001</v>
      </c>
      <c r="R4832">
        <v>-8.9015780000000003E-2</v>
      </c>
      <c r="S4832">
        <v>-3.3599549999999998</v>
      </c>
      <c r="T4832">
        <v>-0.38832060000000002</v>
      </c>
      <c r="U4832">
        <v>-0.3495026</v>
      </c>
      <c r="V4832">
        <v>-8.8102020000000003E-2</v>
      </c>
      <c r="W4832">
        <v>0.37639869999999997</v>
      </c>
      <c r="X4832">
        <v>0.92225919999999895</v>
      </c>
      <c r="Y4832">
        <v>-0.1004975</v>
      </c>
      <c r="Z4832">
        <v>-6.0862969999999897E-3</v>
      </c>
      <c r="AA4832">
        <v>0.99491870000000004</v>
      </c>
      <c r="AB4832">
        <v>36</v>
      </c>
      <c r="AC4832">
        <v>-9.2539999999999907</v>
      </c>
      <c r="AD4832">
        <v>-1.1117971473620001</v>
      </c>
      <c r="AE4832">
        <v>-0.99909999999999799</v>
      </c>
      <c r="AF4832">
        <v>-0.96439111013439405</v>
      </c>
      <c r="AG4832">
        <v>-1.1117971473620001</v>
      </c>
      <c r="AH4832">
        <v>9.1260287724148803</v>
      </c>
      <c r="AI4832">
        <v>96.907858360180299</v>
      </c>
      <c r="AJ4832">
        <v>96.0323308786746</v>
      </c>
      <c r="AK4832">
        <v>9.2439463577593699</v>
      </c>
      <c r="AL4832">
        <v>67.889212312287398</v>
      </c>
      <c r="AM4832">
        <v>95.456819874704493</v>
      </c>
      <c r="AN4832">
        <v>0.99999998963720504</v>
      </c>
    </row>
    <row r="4833" spans="1:40" x14ac:dyDescent="0.25">
      <c r="A4833" t="str">
        <f>"20190304164945671"</f>
        <v>20190304164945671</v>
      </c>
      <c r="B4833" t="str">
        <f>"1551689385661086"</f>
        <v>1551689385661086</v>
      </c>
      <c r="C4833" t="s">
        <v>40</v>
      </c>
      <c r="D4833">
        <v>4.8995559999999996</v>
      </c>
      <c r="E4833">
        <v>0.50485239999999998</v>
      </c>
      <c r="F4833" t="s">
        <v>42</v>
      </c>
      <c r="G4833">
        <v>-253.5367</v>
      </c>
      <c r="H4833" s="1">
        <v>-3.0216789999999999E-6</v>
      </c>
      <c r="I4833">
        <v>140.6183</v>
      </c>
      <c r="J4833">
        <v>-244.30289999999999</v>
      </c>
      <c r="K4833">
        <v>1.111791</v>
      </c>
      <c r="L4833">
        <v>141.6086</v>
      </c>
      <c r="M4833">
        <v>-0.99993290000000001</v>
      </c>
      <c r="N4833">
        <v>-1.108752E-2</v>
      </c>
      <c r="O4833">
        <v>-3.3499530000000001E-3</v>
      </c>
      <c r="P4833">
        <v>-0.92617850000000002</v>
      </c>
      <c r="Q4833">
        <v>0.36628810000000001</v>
      </c>
      <c r="R4833">
        <v>-8.9590920000000004E-2</v>
      </c>
      <c r="S4833">
        <v>-3.3607640000000001</v>
      </c>
      <c r="T4833">
        <v>-0.39120630000000001</v>
      </c>
      <c r="U4833">
        <v>-0.34907529999999998</v>
      </c>
      <c r="V4833">
        <v>-8.7636309999999995E-2</v>
      </c>
      <c r="W4833">
        <v>0.37627240000000001</v>
      </c>
      <c r="X4833">
        <v>0.92235509999999998</v>
      </c>
      <c r="Y4833">
        <v>-9.9270319999999995E-2</v>
      </c>
      <c r="Z4833">
        <v>-5.9461779999999999E-3</v>
      </c>
      <c r="AA4833">
        <v>0.99504269999999995</v>
      </c>
      <c r="AB4833">
        <v>36</v>
      </c>
      <c r="AC4833">
        <v>-9.2338000000000005</v>
      </c>
      <c r="AD4833">
        <v>-1.1117940216790001</v>
      </c>
      <c r="AE4833">
        <v>-0.99029999999998997</v>
      </c>
      <c r="AF4833">
        <v>-0.945804037667344</v>
      </c>
      <c r="AG4833">
        <v>-1.1117940216790001</v>
      </c>
      <c r="AH4833">
        <v>9.1065465502418803</v>
      </c>
      <c r="AI4833">
        <v>96.923763775905599</v>
      </c>
      <c r="AJ4833">
        <v>95.929468661287203</v>
      </c>
      <c r="AK4833">
        <v>9.2227881519652897</v>
      </c>
      <c r="AL4833">
        <v>67.897022902209699</v>
      </c>
      <c r="AM4833">
        <v>95.4275866880362</v>
      </c>
      <c r="AN4833">
        <v>0.99999998616409203</v>
      </c>
    </row>
    <row r="4834" spans="1:40" x14ac:dyDescent="0.25">
      <c r="A4834" t="str">
        <f>"20190304164945694"</f>
        <v>20190304164945694</v>
      </c>
      <c r="B4834" t="str">
        <f>"1551689385690362"</f>
        <v>1551689385690362</v>
      </c>
      <c r="C4834" t="s">
        <v>40</v>
      </c>
      <c r="D4834">
        <v>4.7601509999999996</v>
      </c>
      <c r="E4834">
        <v>0.43839719999999999</v>
      </c>
      <c r="F4834" t="s">
        <v>42</v>
      </c>
      <c r="G4834">
        <v>-253.95339999999999</v>
      </c>
      <c r="H4834" s="1">
        <v>-2.829602E-6</v>
      </c>
      <c r="I4834">
        <v>140.56819999999999</v>
      </c>
      <c r="J4834">
        <v>-244.66319999999999</v>
      </c>
      <c r="K4834">
        <v>1.111775</v>
      </c>
      <c r="L4834">
        <v>141.6062</v>
      </c>
      <c r="M4834">
        <v>-0.99992530000000002</v>
      </c>
      <c r="N4834">
        <v>-1.1361649999999999E-2</v>
      </c>
      <c r="O4834">
        <v>-4.5115779999999996E-3</v>
      </c>
      <c r="P4834">
        <v>-0.92617950000000004</v>
      </c>
      <c r="Q4834">
        <v>0.36604720000000002</v>
      </c>
      <c r="R4834">
        <v>-9.0560360000000006E-2</v>
      </c>
      <c r="S4834">
        <v>-3.3570709999999999</v>
      </c>
      <c r="T4834">
        <v>-0.38675999999999999</v>
      </c>
      <c r="U4834">
        <v>-0.36189270000000001</v>
      </c>
      <c r="V4834">
        <v>-8.7475209999999998E-2</v>
      </c>
      <c r="W4834">
        <v>0.37629839999999998</v>
      </c>
      <c r="X4834">
        <v>0.92235979999999995</v>
      </c>
      <c r="Y4834">
        <v>-0.10198260000000001</v>
      </c>
      <c r="Z4834">
        <v>-5.9560119999999897E-3</v>
      </c>
      <c r="AA4834">
        <v>0.9947684</v>
      </c>
      <c r="AB4834">
        <v>36</v>
      </c>
      <c r="AC4834">
        <v>-9.2902000000000005</v>
      </c>
      <c r="AD4834">
        <v>-1.111777829602</v>
      </c>
      <c r="AE4834">
        <v>-1.03800000000001</v>
      </c>
      <c r="AF4834">
        <v>-0.98218048887096299</v>
      </c>
      <c r="AG4834">
        <v>-1.111777829602</v>
      </c>
      <c r="AH4834">
        <v>9.16514925055764</v>
      </c>
      <c r="AI4834">
        <v>96.877469608192996</v>
      </c>
      <c r="AJ4834">
        <v>96.1167409805565</v>
      </c>
      <c r="AK4834">
        <v>9.2844326288745602</v>
      </c>
      <c r="AL4834">
        <v>67.895415348918107</v>
      </c>
      <c r="AM4834">
        <v>95.417641245602496</v>
      </c>
      <c r="AN4834">
        <v>0.99999999943157103</v>
      </c>
    </row>
    <row r="4835" spans="1:40" x14ac:dyDescent="0.25">
      <c r="A4835" t="str">
        <f>"20190304164945718"</f>
        <v>20190304164945718</v>
      </c>
      <c r="B4835" t="str">
        <f>"1551689385710390"</f>
        <v>1551689385710390</v>
      </c>
      <c r="C4835" t="s">
        <v>40</v>
      </c>
      <c r="D4835">
        <v>4.7848179999999996</v>
      </c>
      <c r="E4835">
        <v>0.43636439999999999</v>
      </c>
      <c r="F4835" t="s">
        <v>42</v>
      </c>
      <c r="G4835">
        <v>-260.8168</v>
      </c>
      <c r="H4835" s="1">
        <v>-4.3444990000000003E-6</v>
      </c>
      <c r="I4835">
        <v>137.2336</v>
      </c>
      <c r="J4835">
        <v>-245.0341</v>
      </c>
      <c r="K4835">
        <v>1.111728</v>
      </c>
      <c r="L4835">
        <v>141.60329999999999</v>
      </c>
      <c r="M4835">
        <v>-0.99991649999999999</v>
      </c>
      <c r="N4835">
        <v>-1.166185E-2</v>
      </c>
      <c r="O4835">
        <v>-5.5889290000000003E-3</v>
      </c>
      <c r="P4835">
        <v>-0.92610899999999996</v>
      </c>
      <c r="Q4835">
        <v>0.36606509999999998</v>
      </c>
      <c r="R4835">
        <v>-9.1208689999999995E-2</v>
      </c>
      <c r="S4835">
        <v>-3.2414860000000001</v>
      </c>
      <c r="T4835">
        <v>-0.22309670000000001</v>
      </c>
      <c r="U4835">
        <v>-0.87742609999999999</v>
      </c>
      <c r="V4835">
        <v>-8.7043579999999995E-2</v>
      </c>
      <c r="W4835">
        <v>0.3766139</v>
      </c>
      <c r="X4835">
        <v>0.92227179999999997</v>
      </c>
      <c r="Y4835">
        <v>-0.25522909999999999</v>
      </c>
      <c r="Z4835">
        <v>-9.8213429999999997E-3</v>
      </c>
      <c r="AA4835">
        <v>0.96683070000000004</v>
      </c>
      <c r="AB4835">
        <v>36</v>
      </c>
      <c r="AC4835">
        <v>-15.7827</v>
      </c>
      <c r="AD4835">
        <v>-1.1117323444989999</v>
      </c>
      <c r="AE4835">
        <v>-4.3696999999999901</v>
      </c>
      <c r="AF4835">
        <v>-4.2617768898046897</v>
      </c>
      <c r="AG4835">
        <v>-1.1117323444989999</v>
      </c>
      <c r="AH4835">
        <v>15.734364963055899</v>
      </c>
      <c r="AI4835">
        <v>93.901469181021199</v>
      </c>
      <c r="AJ4835">
        <v>105.155378868832</v>
      </c>
      <c r="AK4835">
        <v>16.3391839409109</v>
      </c>
      <c r="AL4835">
        <v>67.875901804605206</v>
      </c>
      <c r="AM4835">
        <v>95.391578164844503</v>
      </c>
      <c r="AN4835">
        <v>0.99999994378383095</v>
      </c>
    </row>
    <row r="4836" spans="1:40" x14ac:dyDescent="0.25">
      <c r="A4836" t="str">
        <f>"20190304164945740"</f>
        <v>20190304164945740</v>
      </c>
      <c r="B4836" t="str">
        <f>"1551689385730889"</f>
        <v>1551689385730889</v>
      </c>
      <c r="C4836" t="s">
        <v>40</v>
      </c>
      <c r="D4836">
        <v>4.750095</v>
      </c>
      <c r="E4836">
        <v>0.43592439999999999</v>
      </c>
      <c r="F4836" t="s">
        <v>42</v>
      </c>
      <c r="G4836">
        <v>-260.81490000000002</v>
      </c>
      <c r="H4836" s="1">
        <v>-4.3441259999999999E-6</v>
      </c>
      <c r="I4836">
        <v>137.24019999999999</v>
      </c>
      <c r="J4836">
        <v>-245.39330000000001</v>
      </c>
      <c r="K4836">
        <v>1.1116549999999901</v>
      </c>
      <c r="L4836">
        <v>141.60040000000001</v>
      </c>
      <c r="M4836">
        <v>-0.9999074</v>
      </c>
      <c r="N4836">
        <v>-1.196592E-2</v>
      </c>
      <c r="O4836">
        <v>-6.4909969999999897E-3</v>
      </c>
      <c r="P4836">
        <v>-0.92596979999999995</v>
      </c>
      <c r="Q4836">
        <v>0.36626649999999999</v>
      </c>
      <c r="R4836">
        <v>-9.1810030000000001E-2</v>
      </c>
      <c r="S4836">
        <v>-3.2413639999999999</v>
      </c>
      <c r="T4836">
        <v>-0.22834930000000001</v>
      </c>
      <c r="U4836">
        <v>-0.89617919999999995</v>
      </c>
      <c r="V4836">
        <v>-8.6705480000000001E-2</v>
      </c>
      <c r="W4836">
        <v>0.3771196</v>
      </c>
      <c r="X4836">
        <v>0.9220971</v>
      </c>
      <c r="Y4836">
        <v>-0.25952710000000001</v>
      </c>
      <c r="Z4836">
        <v>-1.0174269999999999E-2</v>
      </c>
      <c r="AA4836">
        <v>0.96568220000000005</v>
      </c>
      <c r="AB4836">
        <v>36</v>
      </c>
      <c r="AC4836">
        <v>-15.4216</v>
      </c>
      <c r="AD4836">
        <v>-1.1116593441260001</v>
      </c>
      <c r="AE4836">
        <v>-4.3602000000000203</v>
      </c>
      <c r="AF4836">
        <v>-4.2396003294757296</v>
      </c>
      <c r="AG4836">
        <v>-1.1116593441260001</v>
      </c>
      <c r="AH4836">
        <v>15.3755985597641</v>
      </c>
      <c r="AI4836">
        <v>93.987019125402796</v>
      </c>
      <c r="AJ4836">
        <v>105.415428903836</v>
      </c>
      <c r="AK4836">
        <v>15.988090208717701</v>
      </c>
      <c r="AL4836">
        <v>67.844623324510906</v>
      </c>
      <c r="AM4836">
        <v>95.371770153111996</v>
      </c>
      <c r="AN4836">
        <v>1.0000000473972901</v>
      </c>
    </row>
    <row r="4837" spans="1:40" x14ac:dyDescent="0.25">
      <c r="A4837" t="str">
        <f>"20190304164945753"</f>
        <v>20190304164945753</v>
      </c>
      <c r="B4837" t="str">
        <f>"1551689385750406"</f>
        <v>1551689385750406</v>
      </c>
      <c r="C4837" t="s">
        <v>40</v>
      </c>
      <c r="D4837">
        <v>4.7590680000000001</v>
      </c>
      <c r="E4837">
        <v>0.43562840000000003</v>
      </c>
      <c r="F4837" t="s">
        <v>42</v>
      </c>
      <c r="G4837">
        <v>-261.05110000000002</v>
      </c>
      <c r="H4837" s="1">
        <v>-4.2424399999999997E-6</v>
      </c>
      <c r="I4837">
        <v>137.2424</v>
      </c>
      <c r="J4837">
        <v>-245.6052</v>
      </c>
      <c r="K4837">
        <v>1.111599</v>
      </c>
      <c r="L4837">
        <v>141.5985</v>
      </c>
      <c r="M4837">
        <v>-0.99990190000000001</v>
      </c>
      <c r="N4837">
        <v>-1.214468E-2</v>
      </c>
      <c r="O4837">
        <v>-6.9722430000000004E-3</v>
      </c>
      <c r="P4837">
        <v>-0.92590019999999995</v>
      </c>
      <c r="Q4837">
        <v>0.36619790000000002</v>
      </c>
      <c r="R4837">
        <v>-9.2777830000000006E-2</v>
      </c>
      <c r="S4837">
        <v>-3.241425</v>
      </c>
      <c r="T4837">
        <v>-0.23013339999999999</v>
      </c>
      <c r="U4837">
        <v>-0.90216059999999998</v>
      </c>
      <c r="V4837">
        <v>-8.7162050000000005E-2</v>
      </c>
      <c r="W4837">
        <v>0.3772295</v>
      </c>
      <c r="X4837">
        <v>0.92200910000000003</v>
      </c>
      <c r="Y4837">
        <v>-0.2606984</v>
      </c>
      <c r="Z4837">
        <v>-1.0283870000000001E-2</v>
      </c>
      <c r="AA4837">
        <v>0.96536549999999999</v>
      </c>
      <c r="AB4837">
        <v>36</v>
      </c>
      <c r="AC4837">
        <v>-15.4459</v>
      </c>
      <c r="AD4837">
        <v>-1.11160324244</v>
      </c>
      <c r="AE4837">
        <v>-4.3560999999999899</v>
      </c>
      <c r="AF4837">
        <v>-4.2280087511098801</v>
      </c>
      <c r="AG4837">
        <v>-1.11160324244</v>
      </c>
      <c r="AH4837">
        <v>15.4020039117874</v>
      </c>
      <c r="AI4837">
        <v>93.981248998213204</v>
      </c>
      <c r="AJ4837">
        <v>105.350163050765</v>
      </c>
      <c r="AK4837">
        <v>16.0104167424455</v>
      </c>
      <c r="AL4837">
        <v>67.837824412624698</v>
      </c>
      <c r="AM4837">
        <v>95.400402161314801</v>
      </c>
      <c r="AN4837">
        <v>1.0000000495566299</v>
      </c>
    </row>
    <row r="4838" spans="1:40" x14ac:dyDescent="0.25">
      <c r="A4838" t="str">
        <f>"20190304164945772"</f>
        <v>20190304164945772</v>
      </c>
      <c r="B4838" t="str">
        <f>"1551689385761146"</f>
        <v>1551689385761146</v>
      </c>
      <c r="C4838" t="s">
        <v>40</v>
      </c>
      <c r="D4838">
        <v>4.7281199999999997</v>
      </c>
      <c r="E4838">
        <v>0.4357742</v>
      </c>
      <c r="F4838" t="s">
        <v>42</v>
      </c>
      <c r="G4838">
        <v>-261.08629999999999</v>
      </c>
      <c r="H4838" s="1">
        <v>-4.2237239999999997E-6</v>
      </c>
      <c r="I4838">
        <v>137.2627</v>
      </c>
      <c r="J4838">
        <v>-245.90629999999999</v>
      </c>
      <c r="K4838">
        <v>1.1115170000000001</v>
      </c>
      <c r="L4838">
        <v>141.5958</v>
      </c>
      <c r="M4838">
        <v>-0.99989490000000003</v>
      </c>
      <c r="N4838">
        <v>-1.239056E-2</v>
      </c>
      <c r="O4838">
        <v>-7.5475769999999998E-3</v>
      </c>
      <c r="P4838">
        <v>-0.92552829999999997</v>
      </c>
      <c r="Q4838">
        <v>0.36684480000000003</v>
      </c>
      <c r="R4838">
        <v>-9.3929310000000002E-2</v>
      </c>
      <c r="S4838">
        <v>-3.2411799999999999</v>
      </c>
      <c r="T4838">
        <v>-0.2327304</v>
      </c>
      <c r="U4838">
        <v>-0.90776060000000003</v>
      </c>
      <c r="V4838">
        <v>-8.7682860000000001E-2</v>
      </c>
      <c r="W4838">
        <v>0.3781214</v>
      </c>
      <c r="X4838">
        <v>0.92159420000000003</v>
      </c>
      <c r="Y4838">
        <v>-0.26169029999999999</v>
      </c>
      <c r="Z4838">
        <v>-1.0421649999999999E-2</v>
      </c>
      <c r="AA4838">
        <v>0.96509560000000005</v>
      </c>
      <c r="AB4838">
        <v>36</v>
      </c>
      <c r="AC4838">
        <v>-15.18</v>
      </c>
      <c r="AD4838">
        <v>-1.111521223724</v>
      </c>
      <c r="AE4838">
        <v>-4.3331</v>
      </c>
      <c r="AF4838">
        <v>-4.1975855268476403</v>
      </c>
      <c r="AG4838">
        <v>-1.111521223724</v>
      </c>
      <c r="AH4838">
        <v>15.137229828902999</v>
      </c>
      <c r="AI4838">
        <v>94.047471126793795</v>
      </c>
      <c r="AJ4838">
        <v>105.49880555455201</v>
      </c>
      <c r="AK4838">
        <v>15.7477277909869</v>
      </c>
      <c r="AL4838">
        <v>67.782633075314394</v>
      </c>
      <c r="AM4838">
        <v>95.434909176420604</v>
      </c>
      <c r="AN4838">
        <v>0.99999997327468904</v>
      </c>
    </row>
    <row r="4839" spans="1:40" x14ac:dyDescent="0.25">
      <c r="A4839" t="str">
        <f>"20190304164945786"</f>
        <v>20190304164945786</v>
      </c>
      <c r="B4839" t="str">
        <f>"1551689385780662"</f>
        <v>1551689385780662</v>
      </c>
      <c r="C4839" t="s">
        <v>40</v>
      </c>
      <c r="D4839">
        <v>4.754251</v>
      </c>
      <c r="E4839">
        <v>0.43568580000000001</v>
      </c>
      <c r="F4839" t="s">
        <v>42</v>
      </c>
      <c r="G4839">
        <v>-261.48829999999998</v>
      </c>
      <c r="H4839" s="1">
        <v>-4.0593210000000002E-6</v>
      </c>
      <c r="I4839">
        <v>137.21729999999999</v>
      </c>
      <c r="J4839">
        <v>-246.12129999999999</v>
      </c>
      <c r="K4839">
        <v>1.11145</v>
      </c>
      <c r="L4839">
        <v>141.59389999999999</v>
      </c>
      <c r="M4839">
        <v>-0.99989030000000001</v>
      </c>
      <c r="N4839">
        <v>-1.255713E-2</v>
      </c>
      <c r="O4839">
        <v>-7.861303E-3</v>
      </c>
      <c r="P4839">
        <v>-0.92550580000000005</v>
      </c>
      <c r="Q4839">
        <v>0.36672650000000001</v>
      </c>
      <c r="R4839">
        <v>-9.4608899999999996E-2</v>
      </c>
      <c r="S4839">
        <v>-3.2406009999999998</v>
      </c>
      <c r="T4839">
        <v>-0.23116510000000001</v>
      </c>
      <c r="U4839">
        <v>-0.91059880000000004</v>
      </c>
      <c r="V4839">
        <v>-8.7989689999999995E-2</v>
      </c>
      <c r="W4839">
        <v>0.37817529999999999</v>
      </c>
      <c r="X4839">
        <v>0.92154290000000005</v>
      </c>
      <c r="Y4839">
        <v>-0.26222210000000001</v>
      </c>
      <c r="Z4839">
        <v>-1.03915E-2</v>
      </c>
      <c r="AA4839">
        <v>0.96495160000000002</v>
      </c>
      <c r="AB4839">
        <v>36</v>
      </c>
      <c r="AC4839">
        <v>-15.3669999999999</v>
      </c>
      <c r="AD4839">
        <v>-1.1114540593210001</v>
      </c>
      <c r="AE4839">
        <v>-4.3765999999999901</v>
      </c>
      <c r="AF4839">
        <v>-4.2351576979020402</v>
      </c>
      <c r="AG4839">
        <v>-1.1114540593210001</v>
      </c>
      <c r="AH4839">
        <v>15.326771119612401</v>
      </c>
      <c r="AI4839">
        <v>93.998341776612605</v>
      </c>
      <c r="AJ4839">
        <v>105.446763827724</v>
      </c>
      <c r="AK4839">
        <v>15.9399436575248</v>
      </c>
      <c r="AL4839">
        <v>67.779298444722102</v>
      </c>
      <c r="AM4839">
        <v>95.454114935752798</v>
      </c>
      <c r="AN4839">
        <v>1.00000002980839</v>
      </c>
    </row>
    <row r="4840" spans="1:40" x14ac:dyDescent="0.25">
      <c r="A4840" t="str">
        <f>"20190304164945808"</f>
        <v>20190304164945808</v>
      </c>
      <c r="B4840" t="str">
        <f>"1551689385800689"</f>
        <v>1551689385800689</v>
      </c>
      <c r="C4840" t="s">
        <v>40</v>
      </c>
      <c r="D4840">
        <v>4.7197680000000002</v>
      </c>
      <c r="E4840">
        <v>0.43589939999999999</v>
      </c>
      <c r="F4840" t="s">
        <v>42</v>
      </c>
      <c r="G4840">
        <v>-261.53980000000001</v>
      </c>
      <c r="H4840" s="1">
        <v>-4.032026E-6</v>
      </c>
      <c r="I4840">
        <v>137.2466</v>
      </c>
      <c r="J4840">
        <v>-246.46469999999999</v>
      </c>
      <c r="K4840">
        <v>1.111321</v>
      </c>
      <c r="L4840">
        <v>141.5907</v>
      </c>
      <c r="M4840">
        <v>-0.99988429999999995</v>
      </c>
      <c r="N4840">
        <v>-1.2807789999999999E-2</v>
      </c>
      <c r="O4840">
        <v>-8.2138799999999998E-3</v>
      </c>
      <c r="P4840">
        <v>-0.92541410000000002</v>
      </c>
      <c r="Q4840">
        <v>0.36678870000000002</v>
      </c>
      <c r="R4840">
        <v>-9.5264570000000007E-2</v>
      </c>
      <c r="S4840">
        <v>-3.240631</v>
      </c>
      <c r="T4840">
        <v>-0.2336048</v>
      </c>
      <c r="U4840">
        <v>-0.91368099999999997</v>
      </c>
      <c r="V4840">
        <v>-8.8172959999999995E-2</v>
      </c>
      <c r="W4840">
        <v>0.37850139999999999</v>
      </c>
      <c r="X4840">
        <v>0.92139139999999997</v>
      </c>
      <c r="Y4840">
        <v>-0.26271290000000003</v>
      </c>
      <c r="Z4840">
        <v>-1.051682E-2</v>
      </c>
      <c r="AA4840">
        <v>0.96481669999999997</v>
      </c>
      <c r="AB4840">
        <v>36</v>
      </c>
      <c r="AC4840">
        <v>-15.075100000000001</v>
      </c>
      <c r="AD4840">
        <v>-1.111325032026</v>
      </c>
      <c r="AE4840">
        <v>-4.3440999999999903</v>
      </c>
      <c r="AF4840">
        <v>-4.1990480129927699</v>
      </c>
      <c r="AG4840">
        <v>-1.111325032026</v>
      </c>
      <c r="AH4840">
        <v>15.0348336251324</v>
      </c>
      <c r="AI4840">
        <v>94.0721452096371</v>
      </c>
      <c r="AJ4840">
        <v>105.60440852943201</v>
      </c>
      <c r="AK4840">
        <v>15.6497050987435</v>
      </c>
      <c r="AL4840">
        <v>67.759111967349099</v>
      </c>
      <c r="AM4840">
        <v>95.466299573371899</v>
      </c>
      <c r="AN4840">
        <v>0.99999994633553901</v>
      </c>
    </row>
    <row r="4841" spans="1:40" x14ac:dyDescent="0.25">
      <c r="A4841" t="str">
        <f>"20190304164945832"</f>
        <v>20190304164945832</v>
      </c>
      <c r="B4841" t="str">
        <f>"1551689385821186"</f>
        <v>1551689385821186</v>
      </c>
      <c r="C4841" t="s">
        <v>40</v>
      </c>
      <c r="D4841">
        <v>4.7291530000000002</v>
      </c>
      <c r="E4841">
        <v>0.43597059999999999</v>
      </c>
      <c r="F4841" t="s">
        <v>42</v>
      </c>
      <c r="G4841">
        <v>-261.74939999999998</v>
      </c>
      <c r="H4841" s="1">
        <v>-3.9373770000000002E-6</v>
      </c>
      <c r="I4841">
        <v>137.27330000000001</v>
      </c>
      <c r="J4841">
        <v>-246.84829999999999</v>
      </c>
      <c r="K4841">
        <v>1.111154</v>
      </c>
      <c r="L4841">
        <v>141.5874</v>
      </c>
      <c r="M4841">
        <v>-0.99987979999999999</v>
      </c>
      <c r="N4841">
        <v>-1.306155E-2</v>
      </c>
      <c r="O4841">
        <v>-8.3686739999999996E-3</v>
      </c>
      <c r="P4841">
        <v>-0.92541280000000004</v>
      </c>
      <c r="Q4841">
        <v>0.36677189999999998</v>
      </c>
      <c r="R4841">
        <v>-9.5340610000000006E-2</v>
      </c>
      <c r="S4841">
        <v>-3.2409210000000002</v>
      </c>
      <c r="T4841">
        <v>-0.23564180000000001</v>
      </c>
      <c r="U4841">
        <v>-0.91545100000000001</v>
      </c>
      <c r="V4841">
        <v>-8.7924740000000001E-2</v>
      </c>
      <c r="W4841">
        <v>0.37876090000000001</v>
      </c>
      <c r="X4841">
        <v>0.92130849999999997</v>
      </c>
      <c r="Y4841">
        <v>-0.26301439999999998</v>
      </c>
      <c r="Z4841">
        <v>-1.063101E-2</v>
      </c>
      <c r="AA4841">
        <v>0.96473339999999996</v>
      </c>
      <c r="AB4841">
        <v>36</v>
      </c>
      <c r="AC4841">
        <v>-14.9010999999999</v>
      </c>
      <c r="AD4841">
        <v>-1.111157937377</v>
      </c>
      <c r="AE4841">
        <v>-4.3140999999999901</v>
      </c>
      <c r="AF4841">
        <v>-4.1678527436265602</v>
      </c>
      <c r="AG4841">
        <v>-1.111157937377</v>
      </c>
      <c r="AH4841">
        <v>14.860443257842199</v>
      </c>
      <c r="AI4841">
        <v>94.117896587957105</v>
      </c>
      <c r="AJ4841">
        <v>105.66701530762199</v>
      </c>
      <c r="AK4841">
        <v>15.473798572874699</v>
      </c>
      <c r="AL4841">
        <v>67.743048142823298</v>
      </c>
      <c r="AM4841">
        <v>95.4514914752815</v>
      </c>
      <c r="AN4841">
        <v>0.999999965722563</v>
      </c>
    </row>
    <row r="4842" spans="1:40" x14ac:dyDescent="0.25">
      <c r="A4842" t="str">
        <f>"20190304164945852"</f>
        <v>20190304164945852</v>
      </c>
      <c r="B4842" t="str">
        <f>"1551689385840705"</f>
        <v>1551689385840705</v>
      </c>
      <c r="C4842" t="s">
        <v>40</v>
      </c>
      <c r="D4842">
        <v>4.765631</v>
      </c>
      <c r="E4842">
        <v>0.43591059999999998</v>
      </c>
      <c r="F4842" t="s">
        <v>42</v>
      </c>
      <c r="G4842">
        <v>-262.13389999999998</v>
      </c>
      <c r="H4842" s="1">
        <v>-3.7746970000000002E-6</v>
      </c>
      <c r="I4842">
        <v>137.26060000000001</v>
      </c>
      <c r="J4842">
        <v>-247.17019999999999</v>
      </c>
      <c r="K4842">
        <v>1.1109929999999999</v>
      </c>
      <c r="L4842">
        <v>141.58459999999999</v>
      </c>
      <c r="M4842">
        <v>-0.99987800000000004</v>
      </c>
      <c r="N4842">
        <v>-1.325164E-2</v>
      </c>
      <c r="O4842">
        <v>-8.2913280000000006E-3</v>
      </c>
      <c r="P4842">
        <v>-0.92557889999999998</v>
      </c>
      <c r="Q4842">
        <v>0.36650169999999999</v>
      </c>
      <c r="R4842">
        <v>-9.4766409999999995E-2</v>
      </c>
      <c r="S4842">
        <v>-3.2406619999999999</v>
      </c>
      <c r="T4842">
        <v>-0.2355756</v>
      </c>
      <c r="U4842">
        <v>-0.91729740000000004</v>
      </c>
      <c r="V4842">
        <v>-8.7258669999999997E-2</v>
      </c>
      <c r="W4842">
        <v>0.37870579999999998</v>
      </c>
      <c r="X4842">
        <v>0.92139450000000001</v>
      </c>
      <c r="Y4842">
        <v>-0.26361469999999998</v>
      </c>
      <c r="Z4842">
        <v>-1.0685699999999999E-2</v>
      </c>
      <c r="AA4842">
        <v>0.96456889999999995</v>
      </c>
      <c r="AB4842">
        <v>35</v>
      </c>
      <c r="AC4842">
        <v>-14.9636999999999</v>
      </c>
      <c r="AD4842">
        <v>-1.110996774697</v>
      </c>
      <c r="AE4842">
        <v>-4.3239999999999803</v>
      </c>
      <c r="AF4842">
        <v>-4.1785126693995496</v>
      </c>
      <c r="AG4842">
        <v>-1.110996774697</v>
      </c>
      <c r="AH4842">
        <v>14.9231166388343</v>
      </c>
      <c r="AI4842">
        <v>94.100561023700095</v>
      </c>
      <c r="AJ4842">
        <v>105.642388905478</v>
      </c>
      <c r="AK4842">
        <v>15.5368494933167</v>
      </c>
      <c r="AL4842">
        <v>67.746459853028099</v>
      </c>
      <c r="AM4842">
        <v>95.409937934255595</v>
      </c>
      <c r="AN4842">
        <v>0.99999999153702901</v>
      </c>
    </row>
    <row r="4843" spans="1:40" x14ac:dyDescent="0.25">
      <c r="A4843" t="str">
        <f>"20190304164945874"</f>
        <v>20190304164945874</v>
      </c>
      <c r="B4843" t="str">
        <f>"1551689385870962"</f>
        <v>1551689385870962</v>
      </c>
      <c r="C4843" t="s">
        <v>40</v>
      </c>
      <c r="D4843">
        <v>4.7753410000000001</v>
      </c>
      <c r="E4843">
        <v>0.43574030000000002</v>
      </c>
      <c r="F4843" t="s">
        <v>42</v>
      </c>
      <c r="G4843">
        <v>-262.28789999999998</v>
      </c>
      <c r="H4843" s="1">
        <v>-3.7008819999999999E-6</v>
      </c>
      <c r="I4843">
        <v>137.30410000000001</v>
      </c>
      <c r="J4843">
        <v>-247.51929999999999</v>
      </c>
      <c r="K4843">
        <v>1.110808</v>
      </c>
      <c r="L4843">
        <v>141.58189999999999</v>
      </c>
      <c r="M4843">
        <v>-0.99987789999999999</v>
      </c>
      <c r="N4843">
        <v>-1.343665E-2</v>
      </c>
      <c r="O4843">
        <v>-8.0010900000000006E-3</v>
      </c>
      <c r="P4843">
        <v>-0.92561300000000002</v>
      </c>
      <c r="Q4843">
        <v>0.3666585</v>
      </c>
      <c r="R4843">
        <v>-9.3822900000000001E-2</v>
      </c>
      <c r="S4843">
        <v>-3.2415620000000001</v>
      </c>
      <c r="T4843">
        <v>-0.23822270000000001</v>
      </c>
      <c r="U4843">
        <v>-0.91781619999999997</v>
      </c>
      <c r="V4843">
        <v>-8.6402709999999994E-2</v>
      </c>
      <c r="W4843">
        <v>0.37907469999999999</v>
      </c>
      <c r="X4843">
        <v>0.92132349999999996</v>
      </c>
      <c r="Y4843">
        <v>-0.26394869999999998</v>
      </c>
      <c r="Z4843">
        <v>-1.083956E-2</v>
      </c>
      <c r="AA4843">
        <v>0.96447579999999999</v>
      </c>
      <c r="AB4843">
        <v>35</v>
      </c>
      <c r="AC4843">
        <v>-14.7685999999999</v>
      </c>
      <c r="AD4843">
        <v>-1.110811700882</v>
      </c>
      <c r="AE4843">
        <v>-4.2777999999999796</v>
      </c>
      <c r="AF4843">
        <v>-4.1378905735501297</v>
      </c>
      <c r="AG4843">
        <v>-1.110811700882</v>
      </c>
      <c r="AH4843">
        <v>14.725500395851</v>
      </c>
      <c r="AI4843">
        <v>94.153633853181304</v>
      </c>
      <c r="AJ4843">
        <v>105.69545302838399</v>
      </c>
      <c r="AK4843">
        <v>15.3361143364836</v>
      </c>
      <c r="AL4843">
        <v>67.723621343637106</v>
      </c>
      <c r="AM4843">
        <v>95.357590099525297</v>
      </c>
      <c r="AN4843">
        <v>1.00000002406384</v>
      </c>
    </row>
    <row r="4844" spans="1:40" x14ac:dyDescent="0.25">
      <c r="A4844" t="str">
        <f>"20190304164945896"</f>
        <v>20190304164945896</v>
      </c>
      <c r="B4844" t="str">
        <f>"1551689385890481"</f>
        <v>1551689385890481</v>
      </c>
      <c r="C4844" t="s">
        <v>40</v>
      </c>
      <c r="D4844">
        <v>4.7486420000000003</v>
      </c>
      <c r="E4844">
        <v>0.43556820000000002</v>
      </c>
      <c r="F4844" t="s">
        <v>42</v>
      </c>
      <c r="G4844">
        <v>-262.55399999999997</v>
      </c>
      <c r="H4844" s="1">
        <v>-3.5825250000000001E-6</v>
      </c>
      <c r="I4844">
        <v>137.328</v>
      </c>
      <c r="J4844">
        <v>-247.8492</v>
      </c>
      <c r="K4844">
        <v>1.1106370000000001</v>
      </c>
      <c r="L4844">
        <v>141.5796</v>
      </c>
      <c r="M4844">
        <v>-0.99987939999999997</v>
      </c>
      <c r="N4844">
        <v>-1.359166E-2</v>
      </c>
      <c r="O4844">
        <v>-7.526479E-3</v>
      </c>
      <c r="P4844">
        <v>-0.92578059999999995</v>
      </c>
      <c r="Q4844">
        <v>0.36649670000000001</v>
      </c>
      <c r="R4844">
        <v>-9.2792269999999996E-2</v>
      </c>
      <c r="S4844">
        <v>-3.2430110000000001</v>
      </c>
      <c r="T4844">
        <v>-0.2396057</v>
      </c>
      <c r="U4844">
        <v>-0.91757200000000005</v>
      </c>
      <c r="V4844">
        <v>-8.5639649999999998E-2</v>
      </c>
      <c r="W4844">
        <v>0.3790963</v>
      </c>
      <c r="X4844">
        <v>0.92138580000000003</v>
      </c>
      <c r="Y4844">
        <v>-0.26421549999999999</v>
      </c>
      <c r="Z4844">
        <v>-1.094906E-2</v>
      </c>
      <c r="AA4844">
        <v>0.96440150000000002</v>
      </c>
      <c r="AB4844">
        <v>35</v>
      </c>
      <c r="AC4844">
        <v>-14.704800000000001</v>
      </c>
      <c r="AD4844">
        <v>-1.1106405825250001</v>
      </c>
      <c r="AE4844">
        <v>-4.2515999999999901</v>
      </c>
      <c r="AF4844">
        <v>-4.1191087133559101</v>
      </c>
      <c r="AG4844">
        <v>-1.1106405825250001</v>
      </c>
      <c r="AH4844">
        <v>14.6592117786487</v>
      </c>
      <c r="AI4844">
        <v>94.171721254337101</v>
      </c>
      <c r="AJ4844">
        <v>105.694892823538</v>
      </c>
      <c r="AK4844">
        <v>15.2673857967652</v>
      </c>
      <c r="AL4844">
        <v>67.722282743089806</v>
      </c>
      <c r="AM4844">
        <v>95.310189575227994</v>
      </c>
      <c r="AN4844">
        <v>0.99999997338372504</v>
      </c>
    </row>
    <row r="4845" spans="1:40" x14ac:dyDescent="0.25">
      <c r="A4845" t="str">
        <f>"20190304164945919"</f>
        <v>20190304164945919</v>
      </c>
      <c r="B4845" t="str">
        <f>"1551689385910508"</f>
        <v>1551689385910508</v>
      </c>
      <c r="C4845" t="s">
        <v>40</v>
      </c>
      <c r="D4845">
        <v>5.5040909999999998</v>
      </c>
      <c r="E4845">
        <v>0.43832729999999998</v>
      </c>
      <c r="F4845" t="s">
        <v>42</v>
      </c>
      <c r="G4845">
        <v>-262.8424</v>
      </c>
      <c r="H4845" s="1">
        <v>-3.4558949999999999E-6</v>
      </c>
      <c r="I4845">
        <v>137.3442</v>
      </c>
      <c r="J4845">
        <v>-248.21459999999999</v>
      </c>
      <c r="K4845">
        <v>1.110455</v>
      </c>
      <c r="L4845">
        <v>141.57749999999999</v>
      </c>
      <c r="M4845">
        <v>-0.99988259999999995</v>
      </c>
      <c r="N4845">
        <v>-1.374132E-2</v>
      </c>
      <c r="O4845">
        <v>-6.7952309999999997E-3</v>
      </c>
      <c r="P4845">
        <v>-0.92594650000000001</v>
      </c>
      <c r="Q4845">
        <v>0.36644260000000001</v>
      </c>
      <c r="R4845">
        <v>-9.1341309999999995E-2</v>
      </c>
      <c r="S4845">
        <v>-3.243805</v>
      </c>
      <c r="T4845">
        <v>-0.24028959999999999</v>
      </c>
      <c r="U4845">
        <v>-0.91633609999999999</v>
      </c>
      <c r="V4845">
        <v>-8.4686839999999999E-2</v>
      </c>
      <c r="W4845">
        <v>0.37922030000000001</v>
      </c>
      <c r="X4845">
        <v>0.92142279999999999</v>
      </c>
      <c r="Y4845">
        <v>-0.264511</v>
      </c>
      <c r="Z4845">
        <v>-1.1050249999999999E-2</v>
      </c>
      <c r="AA4845">
        <v>0.96431929999999999</v>
      </c>
      <c r="AB4845">
        <v>35</v>
      </c>
      <c r="AC4845">
        <v>-14.627800000000001</v>
      </c>
      <c r="AD4845">
        <v>-1.1104584558949999</v>
      </c>
      <c r="AE4845">
        <v>-4.2332999999999803</v>
      </c>
      <c r="AF4845">
        <v>-4.1119279677003604</v>
      </c>
      <c r="AG4845">
        <v>-1.1104584558949999</v>
      </c>
      <c r="AH4845">
        <v>14.5787073265694</v>
      </c>
      <c r="AI4845">
        <v>94.192835978954307</v>
      </c>
      <c r="AJ4845">
        <v>105.751118603199</v>
      </c>
      <c r="AK4845">
        <v>15.188145933839101</v>
      </c>
      <c r="AL4845">
        <v>67.714603901425306</v>
      </c>
      <c r="AM4845">
        <v>95.251231909594196</v>
      </c>
      <c r="AN4845">
        <v>0.99999993658055497</v>
      </c>
    </row>
    <row r="4846" spans="1:40" x14ac:dyDescent="0.25">
      <c r="A4846" t="str">
        <f>"20190304164945941"</f>
        <v>20190304164945941</v>
      </c>
      <c r="B4846" t="str">
        <f>"1551689385931004"</f>
        <v>1551689385931004</v>
      </c>
      <c r="C4846" t="s">
        <v>40</v>
      </c>
      <c r="D4846">
        <v>5.1559879999999998</v>
      </c>
      <c r="E4846">
        <v>0.5349064</v>
      </c>
      <c r="F4846" t="s">
        <v>42</v>
      </c>
      <c r="G4846">
        <v>-263.23009999999999</v>
      </c>
      <c r="H4846" s="1">
        <v>-3.268312E-6</v>
      </c>
      <c r="I4846">
        <v>137.464</v>
      </c>
      <c r="J4846">
        <v>-248.57570000000001</v>
      </c>
      <c r="K4846">
        <v>1.1102939999999999</v>
      </c>
      <c r="L4846">
        <v>141.57589999999999</v>
      </c>
      <c r="M4846">
        <v>-0.99988639999999995</v>
      </c>
      <c r="N4846">
        <v>-1.387039E-2</v>
      </c>
      <c r="O4846">
        <v>-5.9194490000000002E-3</v>
      </c>
      <c r="P4846">
        <v>-0.92621290000000001</v>
      </c>
      <c r="Q4846">
        <v>0.36612210000000001</v>
      </c>
      <c r="R4846">
        <v>-8.9912679999999995E-2</v>
      </c>
      <c r="S4846">
        <v>-3.2472379999999998</v>
      </c>
      <c r="T4846">
        <v>-0.24014659999999999</v>
      </c>
      <c r="U4846">
        <v>-0.88957209999999998</v>
      </c>
      <c r="V4846">
        <v>-8.3913050000000003E-2</v>
      </c>
      <c r="W4846">
        <v>0.37905529999999998</v>
      </c>
      <c r="X4846">
        <v>0.92156150000000003</v>
      </c>
      <c r="Y4846">
        <v>-0.25772319999999999</v>
      </c>
      <c r="Z4846">
        <v>-1.0819230000000001E-2</v>
      </c>
      <c r="AA4846">
        <v>0.96615819999999997</v>
      </c>
      <c r="AB4846">
        <v>35</v>
      </c>
      <c r="AC4846">
        <v>-14.6543999999999</v>
      </c>
      <c r="AD4846">
        <v>-1.110297268312</v>
      </c>
      <c r="AE4846">
        <v>-4.1118999999999897</v>
      </c>
      <c r="AF4846">
        <v>-4.0037678315857397</v>
      </c>
      <c r="AG4846">
        <v>-1.110297268312</v>
      </c>
      <c r="AH4846">
        <v>14.6007885242743</v>
      </c>
      <c r="AI4846">
        <v>94.194356484723002</v>
      </c>
      <c r="AJ4846">
        <v>105.334473939616</v>
      </c>
      <c r="AK4846">
        <v>15.1804460541791</v>
      </c>
      <c r="AL4846">
        <v>67.724821007095102</v>
      </c>
      <c r="AM4846">
        <v>95.202736750946301</v>
      </c>
      <c r="AN4846">
        <v>0.99999995935032004</v>
      </c>
    </row>
    <row r="4847" spans="1:40" x14ac:dyDescent="0.25">
      <c r="A4847" t="str">
        <f>"20190304164945962"</f>
        <v>20190304164945962</v>
      </c>
      <c r="B4847" t="str">
        <f>"1551689385950524"</f>
        <v>1551689385950524</v>
      </c>
      <c r="C4847" t="s">
        <v>40</v>
      </c>
      <c r="D4847">
        <v>5.0833339999999998</v>
      </c>
      <c r="E4847">
        <v>0.54813679999999998</v>
      </c>
      <c r="F4847" t="s">
        <v>41</v>
      </c>
      <c r="G4847">
        <v>-249.50059999999999</v>
      </c>
      <c r="H4847">
        <v>0.98542549999999995</v>
      </c>
      <c r="I4847">
        <v>141.5385</v>
      </c>
      <c r="J4847">
        <v>-248.89420000000001</v>
      </c>
      <c r="K4847">
        <v>1.1101810000000001</v>
      </c>
      <c r="L4847">
        <v>141.57480000000001</v>
      </c>
      <c r="M4847">
        <v>-0.99988969999999999</v>
      </c>
      <c r="N4847">
        <v>-1.396994E-2</v>
      </c>
      <c r="O4847">
        <v>-5.0547259999999998E-3</v>
      </c>
      <c r="P4847">
        <v>-0.92645270000000002</v>
      </c>
      <c r="Q4847">
        <v>0.36607070000000003</v>
      </c>
      <c r="R4847">
        <v>-8.7623279999999998E-2</v>
      </c>
      <c r="S4847">
        <v>-3.4074710000000001</v>
      </c>
      <c r="T4847">
        <v>-0.46004060000000002</v>
      </c>
      <c r="U4847">
        <v>-0.13781740000000001</v>
      </c>
      <c r="V4847">
        <v>-8.2312350000000006E-2</v>
      </c>
      <c r="W4847">
        <v>0.3791197</v>
      </c>
      <c r="X4847">
        <v>0.92167940000000004</v>
      </c>
      <c r="Y4847">
        <v>-3.5047170000000002E-2</v>
      </c>
      <c r="Z4847">
        <v>-1.9915950000000001E-3</v>
      </c>
      <c r="AA4847">
        <v>0.99938369999999999</v>
      </c>
      <c r="AB4847">
        <v>35</v>
      </c>
      <c r="AC4847">
        <v>-0.60639999999997896</v>
      </c>
      <c r="AD4847">
        <v>-0.12475549999999901</v>
      </c>
      <c r="AE4847">
        <v>-3.6300000000011302E-2</v>
      </c>
      <c r="AF4847">
        <v>-3.1889149827706798E-2</v>
      </c>
      <c r="AG4847">
        <v>-0.12475549999999901</v>
      </c>
      <c r="AH4847">
        <v>0.58202910483290904</v>
      </c>
      <c r="AI4847">
        <v>102.080463891165</v>
      </c>
      <c r="AJ4847">
        <v>93.136078069317193</v>
      </c>
      <c r="AK4847">
        <v>0.596102953800416</v>
      </c>
      <c r="AL4847">
        <v>67.720834330417304</v>
      </c>
      <c r="AM4847">
        <v>95.103370734859496</v>
      </c>
      <c r="AN4847">
        <v>0.999999993137486</v>
      </c>
    </row>
    <row r="4848" spans="1:40" x14ac:dyDescent="0.25">
      <c r="A4848" t="str">
        <f>"20190304164945976"</f>
        <v>20190304164945976</v>
      </c>
      <c r="B4848" t="str">
        <f>"1551689385971021"</f>
        <v>1551689385971021</v>
      </c>
      <c r="C4848" t="s">
        <v>40</v>
      </c>
      <c r="D4848">
        <v>5.0458319999999999</v>
      </c>
      <c r="E4848">
        <v>0.55143109999999995</v>
      </c>
      <c r="F4848" t="s">
        <v>41</v>
      </c>
      <c r="G4848">
        <v>-249.81229999999999</v>
      </c>
      <c r="H4848">
        <v>0.980881</v>
      </c>
      <c r="I4848">
        <v>141.56700000000001</v>
      </c>
      <c r="J4848">
        <v>-249.12540000000001</v>
      </c>
      <c r="K4848">
        <v>1.110115</v>
      </c>
      <c r="L4848">
        <v>141.57419999999999</v>
      </c>
      <c r="M4848">
        <v>-0.999892</v>
      </c>
      <c r="N4848">
        <v>-1.403512E-2</v>
      </c>
      <c r="O4848">
        <v>-4.3887739999999998E-3</v>
      </c>
      <c r="P4848">
        <v>-0.92656280000000002</v>
      </c>
      <c r="Q4848">
        <v>0.36614720000000001</v>
      </c>
      <c r="R4848">
        <v>-8.6130010000000007E-2</v>
      </c>
      <c r="S4848">
        <v>-3.42598</v>
      </c>
      <c r="T4848">
        <v>-0.48247329999999999</v>
      </c>
      <c r="U4848">
        <v>-2.963257E-2</v>
      </c>
      <c r="V4848">
        <v>-8.1368579999999996E-2</v>
      </c>
      <c r="W4848">
        <v>0.3792702</v>
      </c>
      <c r="X4848">
        <v>0.92170129999999995</v>
      </c>
      <c r="Y4848">
        <v>-4.2488780000000002E-3</v>
      </c>
      <c r="Z4848">
        <v>2.2599870000000001E-4</v>
      </c>
      <c r="AA4848">
        <v>0.99999090000000002</v>
      </c>
      <c r="AB4848">
        <v>35</v>
      </c>
      <c r="AC4848">
        <v>-0.68689999999997997</v>
      </c>
      <c r="AD4848">
        <v>-0.12923399999999899</v>
      </c>
      <c r="AE4848">
        <v>-7.1999999999832198E-3</v>
      </c>
      <c r="AF4848">
        <v>-4.0419287472272698E-3</v>
      </c>
      <c r="AG4848">
        <v>-0.12923399999999899</v>
      </c>
      <c r="AH4848">
        <v>0.66344364620531904</v>
      </c>
      <c r="AI4848">
        <v>101.02256842374599</v>
      </c>
      <c r="AJ4848">
        <v>90.349061437951207</v>
      </c>
      <c r="AK4848">
        <v>0.67592546603468495</v>
      </c>
      <c r="AL4848">
        <v>67.711515702750702</v>
      </c>
      <c r="AM4848">
        <v>95.0450414114393</v>
      </c>
      <c r="AN4848">
        <v>1.0000000084204701</v>
      </c>
    </row>
    <row r="4849" spans="1:40" x14ac:dyDescent="0.25">
      <c r="A4849" t="str">
        <f>"20190304164945996"</f>
        <v>20190304164945996</v>
      </c>
      <c r="B4849" t="str">
        <f>"1551689385990541"</f>
        <v>1551689385990541</v>
      </c>
      <c r="C4849" t="s">
        <v>40</v>
      </c>
      <c r="D4849">
        <v>4.9850490000000001</v>
      </c>
      <c r="E4849">
        <v>0.55320449999999999</v>
      </c>
      <c r="F4849" t="s">
        <v>41</v>
      </c>
      <c r="G4849">
        <v>-250.11850000000001</v>
      </c>
      <c r="H4849">
        <v>0.9643931</v>
      </c>
      <c r="I4849">
        <v>141.57380000000001</v>
      </c>
      <c r="J4849">
        <v>-249.4418</v>
      </c>
      <c r="K4849">
        <v>1.110053</v>
      </c>
      <c r="L4849">
        <v>141.5737</v>
      </c>
      <c r="M4849">
        <v>-0.99989459999999997</v>
      </c>
      <c r="N4849">
        <v>-1.411332E-2</v>
      </c>
      <c r="O4849">
        <v>-3.4288259999999998E-3</v>
      </c>
      <c r="P4849">
        <v>-0.92670799999999998</v>
      </c>
      <c r="Q4849">
        <v>0.36643979999999998</v>
      </c>
      <c r="R4849">
        <v>-8.3273979999999997E-2</v>
      </c>
      <c r="S4849">
        <v>-3.43689</v>
      </c>
      <c r="T4849">
        <v>-0.50426099999999996</v>
      </c>
      <c r="U4849">
        <v>-1.785278E-3</v>
      </c>
      <c r="V4849">
        <v>-7.9334769999999999E-2</v>
      </c>
      <c r="W4849">
        <v>0.37964609999999999</v>
      </c>
      <c r="X4849">
        <v>0.92172379999999998</v>
      </c>
      <c r="Y4849">
        <v>2.8463020000000002E-3</v>
      </c>
      <c r="Z4849">
        <v>6.801334E-4</v>
      </c>
      <c r="AA4849">
        <v>0.99999570000000004</v>
      </c>
      <c r="AB4849">
        <v>35</v>
      </c>
      <c r="AC4849">
        <v>-0.67670000000001096</v>
      </c>
      <c r="AD4849">
        <v>-0.14565989999999901</v>
      </c>
      <c r="AE4849">
        <v>1.0000000000331901E-4</v>
      </c>
      <c r="AF4849">
        <v>2.3133338905466901E-3</v>
      </c>
      <c r="AG4849">
        <v>-0.14565989999999901</v>
      </c>
      <c r="AH4849">
        <v>0.64673088718083105</v>
      </c>
      <c r="AI4849">
        <v>102.692569294085</v>
      </c>
      <c r="AJ4849">
        <v>89.795055863455204</v>
      </c>
      <c r="AK4849">
        <v>0.66293513892039602</v>
      </c>
      <c r="AL4849">
        <v>67.688236178508106</v>
      </c>
      <c r="AM4849">
        <v>94.919447687749894</v>
      </c>
      <c r="AN4849">
        <v>0.99999996523129997</v>
      </c>
    </row>
    <row r="4850" spans="1:40" x14ac:dyDescent="0.25">
      <c r="A4850" t="str">
        <f>"20190304164946021"</f>
        <v>20190304164946021</v>
      </c>
      <c r="B4850" t="str">
        <f>"1551689386010569"</f>
        <v>1551689386010569</v>
      </c>
      <c r="C4850" t="s">
        <v>40</v>
      </c>
      <c r="D4850">
        <v>4.9405049999999999</v>
      </c>
      <c r="E4850">
        <v>0.55430290000000004</v>
      </c>
      <c r="F4850" t="s">
        <v>41</v>
      </c>
      <c r="G4850">
        <v>-250.43199999999999</v>
      </c>
      <c r="H4850">
        <v>0.96371459999999998</v>
      </c>
      <c r="I4850">
        <v>141.5795</v>
      </c>
      <c r="J4850">
        <v>-249.82900000000001</v>
      </c>
      <c r="K4850">
        <v>1.1100019999999999</v>
      </c>
      <c r="L4850">
        <v>141.5736</v>
      </c>
      <c r="M4850">
        <v>-0.99989689999999998</v>
      </c>
      <c r="N4850">
        <v>-1.4195289999999999E-2</v>
      </c>
      <c r="O4850">
        <v>-2.2193709999999999E-3</v>
      </c>
      <c r="P4850">
        <v>-0.92682920000000002</v>
      </c>
      <c r="Q4850">
        <v>0.36689739999999998</v>
      </c>
      <c r="R4850">
        <v>-7.9839889999999997E-2</v>
      </c>
      <c r="S4850">
        <v>-3.4400330000000001</v>
      </c>
      <c r="T4850">
        <v>-0.50842019999999999</v>
      </c>
      <c r="U4850">
        <v>1.927185E-2</v>
      </c>
      <c r="V4850">
        <v>-7.6965560000000002E-2</v>
      </c>
      <c r="W4850">
        <v>0.38018600000000002</v>
      </c>
      <c r="X4850">
        <v>0.92170220000000003</v>
      </c>
      <c r="Y4850">
        <v>7.7101019999999999E-3</v>
      </c>
      <c r="Z4850">
        <v>9.1661270000000005E-4</v>
      </c>
      <c r="AA4850">
        <v>0.99996980000000002</v>
      </c>
      <c r="AB4850">
        <v>35</v>
      </c>
      <c r="AC4850">
        <v>-0.60300000000000797</v>
      </c>
      <c r="AD4850">
        <v>-0.14628739999999901</v>
      </c>
      <c r="AE4850">
        <v>5.8999999999968999E-3</v>
      </c>
      <c r="AF4850">
        <v>6.8361043090930298E-3</v>
      </c>
      <c r="AG4850">
        <v>-0.14628739999999901</v>
      </c>
      <c r="AH4850">
        <v>0.56947263536584503</v>
      </c>
      <c r="AI4850">
        <v>104.405770801036</v>
      </c>
      <c r="AJ4850">
        <v>89.312238923345504</v>
      </c>
      <c r="AK4850">
        <v>0.58800154604508104</v>
      </c>
      <c r="AL4850">
        <v>67.654796042268899</v>
      </c>
      <c r="AM4850">
        <v>94.773336513514593</v>
      </c>
      <c r="AN4850">
        <v>1.0000000187534701</v>
      </c>
    </row>
    <row r="4851" spans="1:40" x14ac:dyDescent="0.25">
      <c r="A4851" t="str">
        <f>"20190304164946041"</f>
        <v>20190304164946041</v>
      </c>
      <c r="B4851" t="str">
        <f>"1551689386031064"</f>
        <v>1551689386031064</v>
      </c>
      <c r="C4851" t="s">
        <v>40</v>
      </c>
      <c r="D4851">
        <v>4.8782439999999996</v>
      </c>
      <c r="E4851">
        <v>0.55511869999999996</v>
      </c>
      <c r="F4851" t="s">
        <v>41</v>
      </c>
      <c r="G4851">
        <v>-250.75040000000001</v>
      </c>
      <c r="H4851">
        <v>0.97402330000000004</v>
      </c>
      <c r="I4851">
        <v>141.58420000000001</v>
      </c>
      <c r="J4851">
        <v>-250.15180000000001</v>
      </c>
      <c r="K4851">
        <v>1.1099840000000001</v>
      </c>
      <c r="L4851">
        <v>141.57390000000001</v>
      </c>
      <c r="M4851">
        <v>-0.9998977</v>
      </c>
      <c r="N4851">
        <v>-1.4254360000000001E-2</v>
      </c>
      <c r="O4851">
        <v>-1.209615E-3</v>
      </c>
      <c r="P4851">
        <v>-0.92677350000000003</v>
      </c>
      <c r="Q4851">
        <v>0.36810229999999999</v>
      </c>
      <c r="R4851">
        <v>-7.4779250000000005E-2</v>
      </c>
      <c r="S4851">
        <v>-3.441284</v>
      </c>
      <c r="T4851">
        <v>-0.50785720000000001</v>
      </c>
      <c r="U4851">
        <v>3.9504999999999998E-2</v>
      </c>
      <c r="V4851">
        <v>-7.2809520000000003E-2</v>
      </c>
      <c r="W4851">
        <v>0.38143939999999998</v>
      </c>
      <c r="X4851">
        <v>0.92152199999999995</v>
      </c>
      <c r="Y4851">
        <v>1.252899E-2</v>
      </c>
      <c r="Z4851">
        <v>1.16971E-3</v>
      </c>
      <c r="AA4851">
        <v>0.99992080000000005</v>
      </c>
      <c r="AB4851">
        <v>35</v>
      </c>
      <c r="AC4851">
        <v>-0.59860000000000402</v>
      </c>
      <c r="AD4851">
        <v>-0.13596069999999999</v>
      </c>
      <c r="AE4851">
        <v>1.03000000000008E-2</v>
      </c>
      <c r="AF4851">
        <v>1.0483474343543599E-2</v>
      </c>
      <c r="AG4851">
        <v>-0.13596069999999999</v>
      </c>
      <c r="AH4851">
        <v>0.56923003871515498</v>
      </c>
      <c r="AI4851">
        <v>103.431230404391</v>
      </c>
      <c r="AJ4851">
        <v>88.944906459114804</v>
      </c>
      <c r="AK4851">
        <v>0.585335845608706</v>
      </c>
      <c r="AL4851">
        <v>67.577129514889293</v>
      </c>
      <c r="AM4851">
        <v>94.517558864292397</v>
      </c>
      <c r="AN4851">
        <v>1.00000001927949</v>
      </c>
    </row>
    <row r="4852" spans="1:40" x14ac:dyDescent="0.25">
      <c r="A4852" t="str">
        <f>"20190304164946062"</f>
        <v>20190304164946062</v>
      </c>
      <c r="B4852" t="str">
        <f>"1551689386050585"</f>
        <v>1551689386050585</v>
      </c>
      <c r="C4852" t="s">
        <v>40</v>
      </c>
      <c r="D4852">
        <v>4.9111079999999996</v>
      </c>
      <c r="E4852">
        <v>0.55546019999999996</v>
      </c>
      <c r="F4852" t="s">
        <v>41</v>
      </c>
      <c r="G4852">
        <v>-251.06469999999999</v>
      </c>
      <c r="H4852">
        <v>0.97652320000000004</v>
      </c>
      <c r="I4852">
        <v>141.5908</v>
      </c>
      <c r="J4852">
        <v>-250.47309999999999</v>
      </c>
      <c r="K4852">
        <v>1.1099730000000001</v>
      </c>
      <c r="L4852">
        <v>141.5744</v>
      </c>
      <c r="M4852">
        <v>-0.9998977</v>
      </c>
      <c r="N4852">
        <v>-1.430537E-2</v>
      </c>
      <c r="O4852">
        <v>-2.2316330000000001E-4</v>
      </c>
      <c r="P4852">
        <v>-0.92684089999999997</v>
      </c>
      <c r="Q4852">
        <v>0.36850660000000002</v>
      </c>
      <c r="R4852">
        <v>-7.1895169999999994E-2</v>
      </c>
      <c r="S4852">
        <v>-3.4420169999999999</v>
      </c>
      <c r="T4852">
        <v>-0.5032896</v>
      </c>
      <c r="U4852">
        <v>6.2911990000000001E-2</v>
      </c>
      <c r="V4852">
        <v>-7.0824349999999994E-2</v>
      </c>
      <c r="W4852">
        <v>0.38188899999999998</v>
      </c>
      <c r="X4852">
        <v>0.92149049999999999</v>
      </c>
      <c r="Y4852">
        <v>1.828225E-2</v>
      </c>
      <c r="Z4852">
        <v>1.490255E-3</v>
      </c>
      <c r="AA4852">
        <v>0.99983169999999999</v>
      </c>
      <c r="AB4852">
        <v>35</v>
      </c>
      <c r="AC4852">
        <v>-0.59159999999999902</v>
      </c>
      <c r="AD4852">
        <v>-0.13344979999999901</v>
      </c>
      <c r="AE4852">
        <v>1.6400000000004401E-2</v>
      </c>
      <c r="AF4852">
        <v>1.5732140157348699E-2</v>
      </c>
      <c r="AG4852">
        <v>-0.13344979999999901</v>
      </c>
      <c r="AH4852">
        <v>0.56297216011322404</v>
      </c>
      <c r="AI4852">
        <v>103.330526425477</v>
      </c>
      <c r="AJ4852">
        <v>88.399297916596595</v>
      </c>
      <c r="AK4852">
        <v>0.57878666399332301</v>
      </c>
      <c r="AL4852">
        <v>67.549259609085993</v>
      </c>
      <c r="AM4852">
        <v>94.395025410648898</v>
      </c>
      <c r="AN4852">
        <v>1.0000000192320799</v>
      </c>
    </row>
    <row r="4853" spans="1:40" x14ac:dyDescent="0.25">
      <c r="A4853" t="str">
        <f>"20190304164946085"</f>
        <v>20190304164946085</v>
      </c>
      <c r="B4853" t="str">
        <f>"1551689386080841"</f>
        <v>1551689386080841</v>
      </c>
      <c r="C4853" t="s">
        <v>40</v>
      </c>
      <c r="D4853">
        <v>4.8575439999999999</v>
      </c>
      <c r="E4853">
        <v>0.55598130000000001</v>
      </c>
      <c r="F4853" t="s">
        <v>41</v>
      </c>
      <c r="G4853">
        <v>-251.37809999999999</v>
      </c>
      <c r="H4853">
        <v>0.97802350000000005</v>
      </c>
      <c r="I4853">
        <v>141.59520000000001</v>
      </c>
      <c r="J4853">
        <v>-250.83940000000001</v>
      </c>
      <c r="K4853">
        <v>1.10998</v>
      </c>
      <c r="L4853">
        <v>141.5754</v>
      </c>
      <c r="M4853">
        <v>-0.99989660000000002</v>
      </c>
      <c r="N4853">
        <v>-1.4355140000000001E-2</v>
      </c>
      <c r="O4853">
        <v>8.5794319999999997E-4</v>
      </c>
      <c r="P4853">
        <v>-0.92694109999999996</v>
      </c>
      <c r="Q4853">
        <v>0.36892979999999997</v>
      </c>
      <c r="R4853">
        <v>-6.8344429999999998E-2</v>
      </c>
      <c r="S4853">
        <v>-3.4424739999999998</v>
      </c>
      <c r="T4853">
        <v>-0.50188239999999995</v>
      </c>
      <c r="U4853">
        <v>7.8948969999999993E-2</v>
      </c>
      <c r="V4853">
        <v>-6.8275020000000006E-2</v>
      </c>
      <c r="W4853">
        <v>0.38235259999999999</v>
      </c>
      <c r="X4853">
        <v>0.9214907</v>
      </c>
      <c r="Y4853">
        <v>2.1823749999999999E-2</v>
      </c>
      <c r="Z4853">
        <v>1.627711E-3</v>
      </c>
      <c r="AA4853">
        <v>0.99976050000000005</v>
      </c>
      <c r="AB4853">
        <v>35</v>
      </c>
      <c r="AC4853">
        <v>-0.53869999999997698</v>
      </c>
      <c r="AD4853">
        <v>-0.13195649999999901</v>
      </c>
      <c r="AE4853">
        <v>1.9800000000003599E-2</v>
      </c>
      <c r="AF4853">
        <v>1.8244534632919501E-2</v>
      </c>
      <c r="AG4853">
        <v>-0.13195649999999901</v>
      </c>
      <c r="AH4853">
        <v>0.50826111768542903</v>
      </c>
      <c r="AI4853">
        <v>104.54503510173301</v>
      </c>
      <c r="AJ4853">
        <v>87.9441941058694</v>
      </c>
      <c r="AK4853">
        <v>0.52542815368712703</v>
      </c>
      <c r="AL4853">
        <v>67.520516722803706</v>
      </c>
      <c r="AM4853">
        <v>94.237412009436994</v>
      </c>
      <c r="AN4853">
        <v>1.00000004963462</v>
      </c>
    </row>
    <row r="4854" spans="1:40" x14ac:dyDescent="0.25">
      <c r="A4854" t="str">
        <f>"20190304164946108"</f>
        <v>20190304164946108</v>
      </c>
      <c r="B4854" t="str">
        <f>"1551689386100361"</f>
        <v>1551689386100361</v>
      </c>
      <c r="C4854" t="s">
        <v>40</v>
      </c>
      <c r="D4854">
        <v>4.8311409999999997</v>
      </c>
      <c r="E4854">
        <v>0.55621330000000002</v>
      </c>
      <c r="F4854" t="s">
        <v>41</v>
      </c>
      <c r="G4854">
        <v>-251.6943</v>
      </c>
      <c r="H4854">
        <v>0.98584649999999996</v>
      </c>
      <c r="I4854">
        <v>141.59909999999999</v>
      </c>
      <c r="J4854">
        <v>-251.1883</v>
      </c>
      <c r="K4854">
        <v>1.110004</v>
      </c>
      <c r="L4854">
        <v>141.57669999999999</v>
      </c>
      <c r="M4854">
        <v>-0.99989470000000003</v>
      </c>
      <c r="N4854">
        <v>-1.4395460000000001E-2</v>
      </c>
      <c r="O4854">
        <v>1.835515E-3</v>
      </c>
      <c r="P4854">
        <v>-0.9270391</v>
      </c>
      <c r="Q4854">
        <v>0.36931760000000002</v>
      </c>
      <c r="R4854">
        <v>-6.4829170000000005E-2</v>
      </c>
      <c r="S4854">
        <v>-3.4423680000000001</v>
      </c>
      <c r="T4854">
        <v>-0.4998282</v>
      </c>
      <c r="U4854">
        <v>9.4314579999999995E-2</v>
      </c>
      <c r="V4854">
        <v>-6.5680559999999999E-2</v>
      </c>
      <c r="W4854">
        <v>0.38276979999999999</v>
      </c>
      <c r="X4854">
        <v>0.92150600000000005</v>
      </c>
      <c r="Y4854">
        <v>2.5277009999999999E-2</v>
      </c>
      <c r="Z4854">
        <v>1.769435E-3</v>
      </c>
      <c r="AA4854">
        <v>0.99967890000000004</v>
      </c>
      <c r="AB4854">
        <v>35</v>
      </c>
      <c r="AC4854">
        <v>-0.50600000000000001</v>
      </c>
      <c r="AD4854">
        <v>-0.124157499999999</v>
      </c>
      <c r="AE4854">
        <v>2.24000000000046E-2</v>
      </c>
      <c r="AF4854">
        <v>2.0254050765888001E-2</v>
      </c>
      <c r="AG4854">
        <v>-0.124157499999999</v>
      </c>
      <c r="AH4854">
        <v>0.477356420809876</v>
      </c>
      <c r="AI4854">
        <v>104.566708347068</v>
      </c>
      <c r="AJ4854">
        <v>87.570419210414997</v>
      </c>
      <c r="AK4854">
        <v>0.49365419462118698</v>
      </c>
      <c r="AL4854">
        <v>67.494643247641605</v>
      </c>
      <c r="AM4854">
        <v>94.076875955091495</v>
      </c>
      <c r="AN4854">
        <v>0.99999998189497596</v>
      </c>
    </row>
    <row r="4855" spans="1:40" x14ac:dyDescent="0.25">
      <c r="A4855" t="str">
        <f>"20190304164946129"</f>
        <v>20190304164946129</v>
      </c>
      <c r="B4855" t="str">
        <f>"1551689386120860"</f>
        <v>1551689386120860</v>
      </c>
      <c r="C4855" t="s">
        <v>40</v>
      </c>
      <c r="D4855">
        <v>4.8118439999999998</v>
      </c>
      <c r="E4855">
        <v>0.5563458</v>
      </c>
      <c r="F4855" t="s">
        <v>41</v>
      </c>
      <c r="G4855">
        <v>-252.00890000000001</v>
      </c>
      <c r="H4855">
        <v>0.99118890000000004</v>
      </c>
      <c r="I4855">
        <v>141.60210000000001</v>
      </c>
      <c r="J4855">
        <v>-251.5308</v>
      </c>
      <c r="K4855">
        <v>1.1100270000000001</v>
      </c>
      <c r="L4855">
        <v>141.57830000000001</v>
      </c>
      <c r="M4855">
        <v>-0.99989220000000001</v>
      </c>
      <c r="N4855">
        <v>-1.442909E-2</v>
      </c>
      <c r="O4855">
        <v>2.739933E-3</v>
      </c>
      <c r="P4855">
        <v>-0.92717470000000002</v>
      </c>
      <c r="Q4855">
        <v>0.36940129999999999</v>
      </c>
      <c r="R4855">
        <v>-6.2367819999999997E-2</v>
      </c>
      <c r="S4855">
        <v>-3.442078</v>
      </c>
      <c r="T4855">
        <v>-0.4984131</v>
      </c>
      <c r="U4855">
        <v>0.1060181</v>
      </c>
      <c r="V4855">
        <v>-6.4084520000000006E-2</v>
      </c>
      <c r="W4855">
        <v>0.38287729999999998</v>
      </c>
      <c r="X4855">
        <v>0.9215738</v>
      </c>
      <c r="Y4855">
        <v>2.7751809999999998E-2</v>
      </c>
      <c r="Z4855">
        <v>1.8445149999999999E-3</v>
      </c>
      <c r="AA4855">
        <v>0.99961319999999998</v>
      </c>
      <c r="AB4855">
        <v>35</v>
      </c>
      <c r="AC4855">
        <v>-0.47810000000001202</v>
      </c>
      <c r="AD4855">
        <v>-0.118838099999999</v>
      </c>
      <c r="AE4855">
        <v>2.3799999999994201E-2</v>
      </c>
      <c r="AF4855">
        <v>2.1184208957915701E-2</v>
      </c>
      <c r="AG4855">
        <v>-0.118838099999999</v>
      </c>
      <c r="AH4855">
        <v>0.45040455147666603</v>
      </c>
      <c r="AI4855">
        <v>104.76489919232699</v>
      </c>
      <c r="AJ4855">
        <v>87.307149921041699</v>
      </c>
      <c r="AK4855">
        <v>0.46629982276608201</v>
      </c>
      <c r="AL4855">
        <v>67.487977925724806</v>
      </c>
      <c r="AM4855">
        <v>93.977838010879907</v>
      </c>
      <c r="AN4855">
        <v>1.00000006070267</v>
      </c>
    </row>
    <row r="4856" spans="1:40" x14ac:dyDescent="0.25">
      <c r="A4856" t="str">
        <f>"20190304164946152"</f>
        <v>20190304164946152</v>
      </c>
      <c r="B4856" t="str">
        <f>"1551689386140377"</f>
        <v>1551689386140377</v>
      </c>
      <c r="C4856" t="s">
        <v>40</v>
      </c>
      <c r="D4856">
        <v>4.7796560000000001</v>
      </c>
      <c r="E4856">
        <v>0.55642860000000005</v>
      </c>
      <c r="F4856" t="s">
        <v>41</v>
      </c>
      <c r="G4856">
        <v>-252.32259999999999</v>
      </c>
      <c r="H4856">
        <v>0.99544750000000004</v>
      </c>
      <c r="I4856">
        <v>141.6045</v>
      </c>
      <c r="J4856">
        <v>-251.8698</v>
      </c>
      <c r="K4856">
        <v>1.1100730000000001</v>
      </c>
      <c r="L4856">
        <v>141.58009999999999</v>
      </c>
      <c r="M4856">
        <v>-0.99988909999999998</v>
      </c>
      <c r="N4856">
        <v>-1.4457340000000001E-2</v>
      </c>
      <c r="O4856">
        <v>3.5775630000000002E-3</v>
      </c>
      <c r="P4856">
        <v>-0.92714980000000002</v>
      </c>
      <c r="Q4856">
        <v>0.36998530000000002</v>
      </c>
      <c r="R4856">
        <v>-5.9195680000000001E-2</v>
      </c>
      <c r="S4856">
        <v>-3.4417110000000002</v>
      </c>
      <c r="T4856">
        <v>-0.49810169999999998</v>
      </c>
      <c r="U4856">
        <v>0.11322019999999999</v>
      </c>
      <c r="V4856">
        <v>-6.1721539999999998E-2</v>
      </c>
      <c r="W4856">
        <v>0.38347579999999998</v>
      </c>
      <c r="X4856">
        <v>0.92148620000000003</v>
      </c>
      <c r="Y4856">
        <v>2.9000339999999999E-2</v>
      </c>
      <c r="Z4856">
        <v>1.834539E-3</v>
      </c>
      <c r="AA4856">
        <v>0.99957770000000001</v>
      </c>
      <c r="AB4856">
        <v>35</v>
      </c>
      <c r="AC4856">
        <v>-0.45279999999999598</v>
      </c>
      <c r="AD4856">
        <v>-0.11462549999999901</v>
      </c>
      <c r="AE4856">
        <v>2.4400000000014101E-2</v>
      </c>
      <c r="AF4856">
        <v>2.1411586640928501E-2</v>
      </c>
      <c r="AG4856">
        <v>-0.11462549999999901</v>
      </c>
      <c r="AH4856">
        <v>0.42568386135404002</v>
      </c>
      <c r="AI4856">
        <v>105.05262111739199</v>
      </c>
      <c r="AJ4856">
        <v>87.120490994359997</v>
      </c>
      <c r="AK4856">
        <v>0.44136630037874103</v>
      </c>
      <c r="AL4856">
        <v>67.450852039090094</v>
      </c>
      <c r="AM4856">
        <v>93.831972111577997</v>
      </c>
      <c r="AN4856">
        <v>1.0000000272380201</v>
      </c>
    </row>
    <row r="4857" spans="1:40" x14ac:dyDescent="0.25">
      <c r="A4857" t="str">
        <f>"20190304164946174"</f>
        <v>20190304164946174</v>
      </c>
      <c r="B4857" t="str">
        <f>"1551689386170633"</f>
        <v>1551689386170633</v>
      </c>
      <c r="C4857" t="s">
        <v>40</v>
      </c>
      <c r="D4857">
        <v>4.6614409999999999</v>
      </c>
      <c r="E4857">
        <v>0.55669840000000004</v>
      </c>
      <c r="F4857" t="s">
        <v>41</v>
      </c>
      <c r="G4857">
        <v>-252.63579999999999</v>
      </c>
      <c r="H4857">
        <v>0.99969980000000003</v>
      </c>
      <c r="I4857">
        <v>141.6078</v>
      </c>
      <c r="J4857">
        <v>-252.21369999999999</v>
      </c>
      <c r="K4857">
        <v>1.1101240000000001</v>
      </c>
      <c r="L4857">
        <v>141.5821</v>
      </c>
      <c r="M4857">
        <v>-0.99988560000000004</v>
      </c>
      <c r="N4857">
        <v>-1.448165E-2</v>
      </c>
      <c r="O4857">
        <v>4.3698979999999997E-3</v>
      </c>
      <c r="P4857">
        <v>-0.92716209999999999</v>
      </c>
      <c r="Q4857">
        <v>0.37047950000000002</v>
      </c>
      <c r="R4857">
        <v>-5.5819710000000002E-2</v>
      </c>
      <c r="S4857">
        <v>-3.4414980000000002</v>
      </c>
      <c r="T4857">
        <v>-0.49580610000000003</v>
      </c>
      <c r="U4857">
        <v>0.1241913</v>
      </c>
      <c r="V4857">
        <v>-5.9118049999999998E-2</v>
      </c>
      <c r="W4857">
        <v>0.38398090000000001</v>
      </c>
      <c r="X4857">
        <v>0.9214466</v>
      </c>
      <c r="Y4857">
        <v>3.1375130000000001E-2</v>
      </c>
      <c r="Z4857">
        <v>1.9131479999999999E-3</v>
      </c>
      <c r="AA4857">
        <v>0.99950589999999995</v>
      </c>
      <c r="AB4857">
        <v>35</v>
      </c>
      <c r="AC4857">
        <v>-0.42209999999999998</v>
      </c>
      <c r="AD4857">
        <v>-0.110424199999999</v>
      </c>
      <c r="AE4857">
        <v>2.57000000000005E-2</v>
      </c>
      <c r="AF4857">
        <v>2.23322928876089E-2</v>
      </c>
      <c r="AG4857">
        <v>-0.110424199999999</v>
      </c>
      <c r="AH4857">
        <v>0.395257529952111</v>
      </c>
      <c r="AI4857">
        <v>105.58527136426601</v>
      </c>
      <c r="AJ4857">
        <v>86.766191505053897</v>
      </c>
      <c r="AK4857">
        <v>0.41099969614964599</v>
      </c>
      <c r="AL4857">
        <v>67.419513483528704</v>
      </c>
      <c r="AM4857">
        <v>93.670943798414797</v>
      </c>
      <c r="AN4857">
        <v>1.00000005602608</v>
      </c>
    </row>
    <row r="4858" spans="1:40" x14ac:dyDescent="0.25">
      <c r="A4858" t="str">
        <f>"20190304164946197"</f>
        <v>20190304164946197</v>
      </c>
      <c r="B4858" t="str">
        <f>"1551689386190153"</f>
        <v>1551689386190153</v>
      </c>
      <c r="C4858" t="s">
        <v>40</v>
      </c>
      <c r="D4858">
        <v>4.6283370000000001</v>
      </c>
      <c r="E4858">
        <v>0.57382519999999904</v>
      </c>
      <c r="F4858" t="s">
        <v>41</v>
      </c>
      <c r="G4858">
        <v>-252.94919999999999</v>
      </c>
      <c r="H4858">
        <v>1.0048250000000001</v>
      </c>
      <c r="I4858">
        <v>141.61179999999999</v>
      </c>
      <c r="J4858">
        <v>-252.5753</v>
      </c>
      <c r="K4858">
        <v>1.1101760000000001</v>
      </c>
      <c r="L4858">
        <v>141.58449999999999</v>
      </c>
      <c r="M4858">
        <v>-0.99988160000000004</v>
      </c>
      <c r="N4858">
        <v>-1.450303E-2</v>
      </c>
      <c r="O4858">
        <v>5.1458930000000003E-3</v>
      </c>
      <c r="P4858">
        <v>-0.92718820000000002</v>
      </c>
      <c r="Q4858">
        <v>0.37098160000000002</v>
      </c>
      <c r="R4858">
        <v>-5.1911970000000002E-2</v>
      </c>
      <c r="S4858">
        <v>-3.4408110000000001</v>
      </c>
      <c r="T4858">
        <v>-0.49259170000000002</v>
      </c>
      <c r="U4858">
        <v>0.1380005</v>
      </c>
      <c r="V4858">
        <v>-5.596901E-2</v>
      </c>
      <c r="W4858">
        <v>0.38449030000000001</v>
      </c>
      <c r="X4858">
        <v>0.92143079999999999</v>
      </c>
      <c r="Y4858">
        <v>3.4586079999999998E-2</v>
      </c>
      <c r="Z4858">
        <v>2.056104E-3</v>
      </c>
      <c r="AA4858">
        <v>0.99939960000000005</v>
      </c>
      <c r="AB4858">
        <v>35</v>
      </c>
      <c r="AC4858">
        <v>-0.37389999999999102</v>
      </c>
      <c r="AD4858">
        <v>-0.105350999999999</v>
      </c>
      <c r="AE4858">
        <v>2.7299999999996698E-2</v>
      </c>
      <c r="AF4858">
        <v>2.3518177016974701E-2</v>
      </c>
      <c r="AG4858">
        <v>-0.105350999999999</v>
      </c>
      <c r="AH4858">
        <v>0.34666010335250402</v>
      </c>
      <c r="AI4858">
        <v>106.867613543887</v>
      </c>
      <c r="AJ4858">
        <v>86.118876510908194</v>
      </c>
      <c r="AK4858">
        <v>0.36307735416515702</v>
      </c>
      <c r="AL4858">
        <v>67.3878993664338</v>
      </c>
      <c r="AM4858">
        <v>93.475956011563696</v>
      </c>
      <c r="AN4858">
        <v>1.00000002003155</v>
      </c>
    </row>
    <row r="4859" spans="1:40" x14ac:dyDescent="0.25">
      <c r="A4859" t="str">
        <f>"20190304164946222"</f>
        <v>20190304164946222</v>
      </c>
      <c r="B4859" t="str">
        <f>"1551689386210648"</f>
        <v>1551689386210648</v>
      </c>
      <c r="C4859" t="s">
        <v>40</v>
      </c>
      <c r="D4859">
        <v>4.6114930000000003</v>
      </c>
      <c r="E4859">
        <v>0.57476490000000002</v>
      </c>
      <c r="F4859" t="s">
        <v>41</v>
      </c>
      <c r="G4859">
        <v>-253.55850000000001</v>
      </c>
      <c r="H4859">
        <v>0.983433</v>
      </c>
      <c r="I4859">
        <v>141.66899999999899</v>
      </c>
      <c r="J4859">
        <v>-252.95429999999999</v>
      </c>
      <c r="K4859">
        <v>1.1102299999999901</v>
      </c>
      <c r="L4859">
        <v>141.5873</v>
      </c>
      <c r="M4859">
        <v>-0.99987709999999996</v>
      </c>
      <c r="N4859">
        <v>-1.452145E-2</v>
      </c>
      <c r="O4859">
        <v>5.9093890000000001E-3</v>
      </c>
      <c r="P4859">
        <v>-0.92722890000000002</v>
      </c>
      <c r="Q4859">
        <v>0.37144090000000002</v>
      </c>
      <c r="R4859">
        <v>-4.7730719999999997E-2</v>
      </c>
      <c r="S4859">
        <v>-3.4289089999999902</v>
      </c>
      <c r="T4859">
        <v>-0.44205149999999999</v>
      </c>
      <c r="U4859">
        <v>0.29357909999999998</v>
      </c>
      <c r="V4859">
        <v>-5.253091E-2</v>
      </c>
      <c r="W4859">
        <v>0.38495550000000001</v>
      </c>
      <c r="X4859">
        <v>0.92143900000000001</v>
      </c>
      <c r="Y4859">
        <v>7.8734250000000006E-2</v>
      </c>
      <c r="Z4859">
        <v>4.9485700000000002E-3</v>
      </c>
      <c r="AA4859">
        <v>0.99688330000000003</v>
      </c>
      <c r="AB4859">
        <v>35</v>
      </c>
      <c r="AC4859">
        <v>-0.60420000000002005</v>
      </c>
      <c r="AD4859">
        <v>-0.12679699999999899</v>
      </c>
      <c r="AE4859">
        <v>8.1699999999983605E-2</v>
      </c>
      <c r="AF4859">
        <v>7.4888793969939305E-2</v>
      </c>
      <c r="AG4859">
        <v>-0.12679699999999899</v>
      </c>
      <c r="AH4859">
        <v>0.57960433486524499</v>
      </c>
      <c r="AI4859">
        <v>102.241242342463</v>
      </c>
      <c r="AJ4859">
        <v>82.637786781450799</v>
      </c>
      <c r="AK4859">
        <v>0.59801922683627395</v>
      </c>
      <c r="AL4859">
        <v>67.359023090478701</v>
      </c>
      <c r="AM4859">
        <v>93.262880195951894</v>
      </c>
      <c r="AN4859">
        <v>1.00000003210333</v>
      </c>
    </row>
    <row r="4860" spans="1:40" x14ac:dyDescent="0.25">
      <c r="A4860" t="str">
        <f>"20190304164946242"</f>
        <v>20190304164946242</v>
      </c>
      <c r="B4860" t="str">
        <f>"1551689386230169"</f>
        <v>1551689386230169</v>
      </c>
      <c r="C4860" t="s">
        <v>40</v>
      </c>
      <c r="D4860">
        <v>4.5851350000000002</v>
      </c>
      <c r="E4860">
        <v>0.57519069999999894</v>
      </c>
      <c r="F4860" t="s">
        <v>41</v>
      </c>
      <c r="G4860">
        <v>-253.8734</v>
      </c>
      <c r="H4860">
        <v>0.99388189999999998</v>
      </c>
      <c r="I4860">
        <v>141.67230000000001</v>
      </c>
      <c r="J4860">
        <v>-253.27369999999999</v>
      </c>
      <c r="K4860">
        <v>1.110263</v>
      </c>
      <c r="L4860">
        <v>141.5899</v>
      </c>
      <c r="M4860">
        <v>-0.99987300000000001</v>
      </c>
      <c r="N4860">
        <v>-1.4534490000000001E-2</v>
      </c>
      <c r="O4860">
        <v>6.5276209999999999E-3</v>
      </c>
      <c r="P4860">
        <v>-0.92731370000000002</v>
      </c>
      <c r="Q4860">
        <v>0.37171700000000002</v>
      </c>
      <c r="R4860">
        <v>-4.3775199999999903E-2</v>
      </c>
      <c r="S4860">
        <v>-3.4254150000000001</v>
      </c>
      <c r="T4860">
        <v>-0.43361539999999998</v>
      </c>
      <c r="U4860">
        <v>0.31628420000000002</v>
      </c>
      <c r="V4860">
        <v>-4.9173229999999998E-2</v>
      </c>
      <c r="W4860">
        <v>0.3852353</v>
      </c>
      <c r="X4860">
        <v>0.92150730000000003</v>
      </c>
      <c r="Y4860">
        <v>8.4732760000000004E-2</v>
      </c>
      <c r="Z4860">
        <v>5.2234849999999999E-3</v>
      </c>
      <c r="AA4860">
        <v>0.99639</v>
      </c>
      <c r="AB4860">
        <v>35</v>
      </c>
      <c r="AC4860">
        <v>-0.599700000000012</v>
      </c>
      <c r="AD4860">
        <v>-0.1163811</v>
      </c>
      <c r="AE4860">
        <v>8.2400000000006898E-2</v>
      </c>
      <c r="AF4860">
        <v>7.5685604792701699E-2</v>
      </c>
      <c r="AG4860">
        <v>-0.1163811</v>
      </c>
      <c r="AH4860">
        <v>0.57882953929514203</v>
      </c>
      <c r="AI4860">
        <v>101.27498578787301</v>
      </c>
      <c r="AJ4860">
        <v>82.550479753261797</v>
      </c>
      <c r="AK4860">
        <v>0.59524491326736495</v>
      </c>
      <c r="AL4860">
        <v>67.341650615444394</v>
      </c>
      <c r="AM4860">
        <v>93.054505295072104</v>
      </c>
      <c r="AN4860">
        <v>0.99999997343400604</v>
      </c>
    </row>
    <row r="4861" spans="1:40" x14ac:dyDescent="0.25">
      <c r="A4861" t="str">
        <f>"20190304164946263"</f>
        <v>20190304164946263</v>
      </c>
      <c r="B4861" t="str">
        <f>"1551689386250665"</f>
        <v>1551689386250665</v>
      </c>
      <c r="C4861" t="s">
        <v>40</v>
      </c>
      <c r="D4861">
        <v>4.5790150000000001</v>
      </c>
      <c r="E4861">
        <v>0.57525280000000001</v>
      </c>
      <c r="F4861" t="s">
        <v>41</v>
      </c>
      <c r="G4861">
        <v>-254.1841</v>
      </c>
      <c r="H4861">
        <v>0.99672400000000005</v>
      </c>
      <c r="I4861">
        <v>141.67910000000001</v>
      </c>
      <c r="J4861">
        <v>-253.601</v>
      </c>
      <c r="K4861">
        <v>1.110284</v>
      </c>
      <c r="L4861">
        <v>141.59270000000001</v>
      </c>
      <c r="M4861">
        <v>-0.99986870000000005</v>
      </c>
      <c r="N4861">
        <v>-1.454572E-2</v>
      </c>
      <c r="O4861">
        <v>7.1448140000000002E-3</v>
      </c>
      <c r="P4861">
        <v>-0.92726169999999997</v>
      </c>
      <c r="Q4861">
        <v>0.3721409</v>
      </c>
      <c r="R4861">
        <v>-4.11913E-2</v>
      </c>
      <c r="S4861">
        <v>-3.4220280000000001</v>
      </c>
      <c r="T4861">
        <v>-0.42678890000000003</v>
      </c>
      <c r="U4861">
        <v>0.33459470000000002</v>
      </c>
      <c r="V4861">
        <v>-4.7180060000000003E-2</v>
      </c>
      <c r="W4861">
        <v>0.38566299999999998</v>
      </c>
      <c r="X4861">
        <v>0.92143260000000005</v>
      </c>
      <c r="Y4861">
        <v>8.9473469999999999E-2</v>
      </c>
      <c r="Z4861">
        <v>5.4178409999999996E-3</v>
      </c>
      <c r="AA4861">
        <v>0.99597449999999998</v>
      </c>
      <c r="AB4861">
        <v>35</v>
      </c>
      <c r="AC4861">
        <v>-0.58310000000000095</v>
      </c>
      <c r="AD4861">
        <v>-0.11355999999999999</v>
      </c>
      <c r="AE4861">
        <v>8.6399999999997507E-2</v>
      </c>
      <c r="AF4861">
        <v>7.9288531918561694E-2</v>
      </c>
      <c r="AG4861">
        <v>-0.11355999999999999</v>
      </c>
      <c r="AH4861">
        <v>0.56281443727675495</v>
      </c>
      <c r="AI4861">
        <v>101.29884275324601</v>
      </c>
      <c r="AJ4861">
        <v>81.981021010471693</v>
      </c>
      <c r="AK4861">
        <v>0.57960558632655601</v>
      </c>
      <c r="AL4861">
        <v>67.3150930499081</v>
      </c>
      <c r="AM4861">
        <v>92.931152690585407</v>
      </c>
      <c r="AN4861">
        <v>0.999999971986681</v>
      </c>
    </row>
    <row r="4862" spans="1:40" x14ac:dyDescent="0.25">
      <c r="A4862" t="str">
        <f>"20190304164946286"</f>
        <v>20190304164946286</v>
      </c>
      <c r="B4862" t="str">
        <f>"1551689386280921"</f>
        <v>1551689386280921</v>
      </c>
      <c r="C4862" t="s">
        <v>40</v>
      </c>
      <c r="D4862">
        <v>4.5564390000000001</v>
      </c>
      <c r="E4862">
        <v>0.57518290000000005</v>
      </c>
      <c r="F4862" t="s">
        <v>41</v>
      </c>
      <c r="G4862">
        <v>-254.49459999999999</v>
      </c>
      <c r="H4862">
        <v>0.99965360000000003</v>
      </c>
      <c r="I4862">
        <v>141.68299999999999</v>
      </c>
      <c r="J4862">
        <v>-253.96889999999999</v>
      </c>
      <c r="K4862">
        <v>1.110312</v>
      </c>
      <c r="L4862">
        <v>141.596</v>
      </c>
      <c r="M4862">
        <v>-0.99986339999999996</v>
      </c>
      <c r="N4862">
        <v>-1.4556019999999999E-2</v>
      </c>
      <c r="O4862">
        <v>7.8281659999999992E-3</v>
      </c>
      <c r="P4862">
        <v>-0.92720599999999997</v>
      </c>
      <c r="Q4862">
        <v>0.37242649999999999</v>
      </c>
      <c r="R4862">
        <v>-3.9842049999999997E-2</v>
      </c>
      <c r="S4862">
        <v>-3.4206850000000002</v>
      </c>
      <c r="T4862">
        <v>-0.42353489999999999</v>
      </c>
      <c r="U4862">
        <v>0.34523009999999998</v>
      </c>
      <c r="V4862">
        <v>-4.647971E-2</v>
      </c>
      <c r="W4862">
        <v>0.38595380000000001</v>
      </c>
      <c r="X4862">
        <v>0.92134640000000001</v>
      </c>
      <c r="Y4862">
        <v>9.1890280000000005E-2</v>
      </c>
      <c r="Z4862">
        <v>5.4764849999999997E-3</v>
      </c>
      <c r="AA4862">
        <v>0.99575409999999998</v>
      </c>
      <c r="AB4862">
        <v>35</v>
      </c>
      <c r="AC4862">
        <v>-0.52569999999999995</v>
      </c>
      <c r="AD4862">
        <v>-0.1106584</v>
      </c>
      <c r="AE4862">
        <v>8.6999999999989003E-2</v>
      </c>
      <c r="AF4862">
        <v>7.9454907764171398E-2</v>
      </c>
      <c r="AG4862">
        <v>-0.1106584</v>
      </c>
      <c r="AH4862">
        <v>0.50460256457333097</v>
      </c>
      <c r="AI4862">
        <v>102.223064020945</v>
      </c>
      <c r="AJ4862">
        <v>81.051656888778297</v>
      </c>
      <c r="AK4862">
        <v>0.52266826193327998</v>
      </c>
      <c r="AL4862">
        <v>67.297032554381801</v>
      </c>
      <c r="AM4862">
        <v>92.887986001802204</v>
      </c>
      <c r="AN4862">
        <v>0.99999994398453995</v>
      </c>
    </row>
    <row r="4863" spans="1:40" x14ac:dyDescent="0.25">
      <c r="A4863" t="str">
        <f>"20190304164946310"</f>
        <v>20190304164946310</v>
      </c>
      <c r="B4863" t="str">
        <f>"1551689386300440"</f>
        <v>1551689386300440</v>
      </c>
      <c r="C4863" t="s">
        <v>40</v>
      </c>
      <c r="D4863">
        <v>4.6505839999999896</v>
      </c>
      <c r="E4863">
        <v>0.57483269999999997</v>
      </c>
      <c r="F4863" t="s">
        <v>41</v>
      </c>
      <c r="G4863">
        <v>-254.80709999999999</v>
      </c>
      <c r="H4863">
        <v>1.007431</v>
      </c>
      <c r="I4863">
        <v>141.68209999999999</v>
      </c>
      <c r="J4863">
        <v>-254.31620000000001</v>
      </c>
      <c r="K4863">
        <v>1.1103289999999999</v>
      </c>
      <c r="L4863">
        <v>141.59950000000001</v>
      </c>
      <c r="M4863">
        <v>-0.99985820000000003</v>
      </c>
      <c r="N4863">
        <v>-1.456387E-2</v>
      </c>
      <c r="O4863">
        <v>8.4677339999999993E-3</v>
      </c>
      <c r="P4863">
        <v>-0.92731859999999999</v>
      </c>
      <c r="Q4863">
        <v>0.37212099999999998</v>
      </c>
      <c r="R4863">
        <v>-4.008362E-2</v>
      </c>
      <c r="S4863">
        <v>-3.4191590000000001</v>
      </c>
      <c r="T4863">
        <v>-0.41973640000000001</v>
      </c>
      <c r="U4863">
        <v>0.35018919999999998</v>
      </c>
      <c r="V4863">
        <v>-4.7327380000000002E-2</v>
      </c>
      <c r="W4863">
        <v>0.38565680000000002</v>
      </c>
      <c r="X4863">
        <v>0.92142769999999996</v>
      </c>
      <c r="Y4863">
        <v>9.2735499999999998E-2</v>
      </c>
      <c r="Z4863">
        <v>5.4258889999999997E-3</v>
      </c>
      <c r="AA4863">
        <v>0.99567600000000001</v>
      </c>
      <c r="AB4863">
        <v>35</v>
      </c>
      <c r="AC4863">
        <v>-0.49089999999998202</v>
      </c>
      <c r="AD4863">
        <v>-0.102898</v>
      </c>
      <c r="AE4863">
        <v>8.2599999999985102E-2</v>
      </c>
      <c r="AF4863">
        <v>7.5225618947460507E-2</v>
      </c>
      <c r="AG4863">
        <v>-0.102898</v>
      </c>
      <c r="AH4863">
        <v>0.47143872445700602</v>
      </c>
      <c r="AI4863">
        <v>102.163290882705</v>
      </c>
      <c r="AJ4863">
        <v>80.933967146187797</v>
      </c>
      <c r="AK4863">
        <v>0.48836601342402702</v>
      </c>
      <c r="AL4863">
        <v>67.315479393233602</v>
      </c>
      <c r="AM4863">
        <v>92.9403048042347</v>
      </c>
      <c r="AN4863">
        <v>1.00000002730559</v>
      </c>
    </row>
    <row r="4864" spans="1:40" x14ac:dyDescent="0.25">
      <c r="A4864" t="str">
        <f>"20190304164946330"</f>
        <v>20190304164946330</v>
      </c>
      <c r="B4864" t="str">
        <f>"1551689386320940"</f>
        <v>1551689386320940</v>
      </c>
      <c r="C4864" t="s">
        <v>40</v>
      </c>
      <c r="D4864">
        <v>4.5874230000000003</v>
      </c>
      <c r="E4864">
        <v>0.57467969999999902</v>
      </c>
      <c r="F4864" t="s">
        <v>41</v>
      </c>
      <c r="G4864">
        <v>-255.1174</v>
      </c>
      <c r="H4864">
        <v>1.011482</v>
      </c>
      <c r="I4864">
        <v>141.68020000000001</v>
      </c>
      <c r="J4864">
        <v>-254.6343</v>
      </c>
      <c r="K4864">
        <v>1.1103400000000001</v>
      </c>
      <c r="L4864">
        <v>141.6028</v>
      </c>
      <c r="M4864">
        <v>-0.99985299999999999</v>
      </c>
      <c r="N4864">
        <v>-1.456959E-2</v>
      </c>
      <c r="O4864">
        <v>9.0463450000000008E-3</v>
      </c>
      <c r="P4864">
        <v>-0.9273844</v>
      </c>
      <c r="Q4864">
        <v>0.37174659999999998</v>
      </c>
      <c r="R4864">
        <v>-4.1986030000000001E-2</v>
      </c>
      <c r="S4864">
        <v>-3.4192809999999998</v>
      </c>
      <c r="T4864">
        <v>-0.4218384</v>
      </c>
      <c r="U4864">
        <v>0.34411619999999998</v>
      </c>
      <c r="V4864">
        <v>-4.9779700000000003E-2</v>
      </c>
      <c r="W4864">
        <v>0.38528990000000002</v>
      </c>
      <c r="X4864">
        <v>0.92145189999999999</v>
      </c>
      <c r="Y4864">
        <v>9.0421039999999994E-2</v>
      </c>
      <c r="Z4864">
        <v>5.2280190000000004E-3</v>
      </c>
      <c r="AA4864">
        <v>0.99588989999999999</v>
      </c>
      <c r="AB4864">
        <v>34</v>
      </c>
      <c r="AC4864">
        <v>-0.48310000000000702</v>
      </c>
      <c r="AD4864">
        <v>-9.8857999999999793E-2</v>
      </c>
      <c r="AE4864">
        <v>7.7400000000011404E-2</v>
      </c>
      <c r="AF4864">
        <v>7.0161624330899799E-2</v>
      </c>
      <c r="AG4864">
        <v>-9.8857999999999793E-2</v>
      </c>
      <c r="AH4864">
        <v>0.46480415314567403</v>
      </c>
      <c r="AI4864">
        <v>101.87651341494301</v>
      </c>
      <c r="AJ4864">
        <v>81.416076384863302</v>
      </c>
      <c r="AK4864">
        <v>0.48035243152732998</v>
      </c>
      <c r="AL4864">
        <v>67.338260371923099</v>
      </c>
      <c r="AM4864">
        <v>93.092290421582504</v>
      </c>
      <c r="AN4864">
        <v>0.999999964793854</v>
      </c>
    </row>
    <row r="4865" spans="1:40" x14ac:dyDescent="0.25">
      <c r="A4865" t="str">
        <f>"20190304164946353"</f>
        <v>20190304164946353</v>
      </c>
      <c r="B4865" t="str">
        <f>"1551689386340457"</f>
        <v>1551689386340457</v>
      </c>
      <c r="C4865" t="s">
        <v>40</v>
      </c>
      <c r="D4865">
        <v>4.5687379999999997</v>
      </c>
      <c r="E4865">
        <v>0.57454589999999905</v>
      </c>
      <c r="F4865" t="s">
        <v>41</v>
      </c>
      <c r="G4865">
        <v>-255.42580000000001</v>
      </c>
      <c r="H4865">
        <v>1.01222099999999</v>
      </c>
      <c r="I4865">
        <v>141.6799</v>
      </c>
      <c r="J4865">
        <v>-254.98</v>
      </c>
      <c r="K4865">
        <v>1.1103620000000001</v>
      </c>
      <c r="L4865">
        <v>141.60650000000001</v>
      </c>
      <c r="M4865">
        <v>-0.99984729999999999</v>
      </c>
      <c r="N4865">
        <v>-1.4574419999999999E-2</v>
      </c>
      <c r="O4865">
        <v>9.6552389999999995E-3</v>
      </c>
      <c r="P4865">
        <v>-0.9276316</v>
      </c>
      <c r="Q4865">
        <v>0.37093589999999999</v>
      </c>
      <c r="R4865">
        <v>-4.3665280000000001E-2</v>
      </c>
      <c r="S4865">
        <v>-3.4199220000000001</v>
      </c>
      <c r="T4865">
        <v>-0.42400379999999899</v>
      </c>
      <c r="U4865">
        <v>0.33279419999999998</v>
      </c>
      <c r="V4865">
        <v>-5.2045420000000002E-2</v>
      </c>
      <c r="W4865">
        <v>0.38448759999999998</v>
      </c>
      <c r="X4865">
        <v>0.92166190000000003</v>
      </c>
      <c r="Y4865">
        <v>8.6559849999999994E-2</v>
      </c>
      <c r="Z4865">
        <v>4.9183009999999999E-3</v>
      </c>
      <c r="AA4865">
        <v>0.99623450000000002</v>
      </c>
      <c r="AB4865">
        <v>34</v>
      </c>
      <c r="AC4865">
        <v>-0.44580000000001901</v>
      </c>
      <c r="AD4865">
        <v>-9.81410000000002E-2</v>
      </c>
      <c r="AE4865">
        <v>7.3399999999992305E-2</v>
      </c>
      <c r="AF4865">
        <v>6.5978612177494803E-2</v>
      </c>
      <c r="AG4865">
        <v>-9.81410000000002E-2</v>
      </c>
      <c r="AH4865">
        <v>0.42636971300268001</v>
      </c>
      <c r="AI4865">
        <v>102.815055271948</v>
      </c>
      <c r="AJ4865">
        <v>81.203531147721705</v>
      </c>
      <c r="AK4865">
        <v>0.44246577869012199</v>
      </c>
      <c r="AL4865">
        <v>67.388067640809794</v>
      </c>
      <c r="AM4865">
        <v>93.232008777516597</v>
      </c>
      <c r="AN4865">
        <v>1.0000000491041701</v>
      </c>
    </row>
    <row r="4866" spans="1:40" x14ac:dyDescent="0.25">
      <c r="A4866" t="str">
        <f>"20190304164946376"</f>
        <v>20190304164946376</v>
      </c>
      <c r="B4866" t="str">
        <f>"1551689386370715"</f>
        <v>1551689386370715</v>
      </c>
      <c r="C4866" t="s">
        <v>40</v>
      </c>
      <c r="D4866">
        <v>4.5826640000000003</v>
      </c>
      <c r="E4866">
        <v>0.57439890000000005</v>
      </c>
      <c r="F4866" t="s">
        <v>41</v>
      </c>
      <c r="G4866">
        <v>-255.73519999999999</v>
      </c>
      <c r="H4866">
        <v>1.015836</v>
      </c>
      <c r="I4866">
        <v>141.6781</v>
      </c>
      <c r="J4866">
        <v>-255.3263</v>
      </c>
      <c r="K4866">
        <v>1.1103940000000001</v>
      </c>
      <c r="L4866">
        <v>141.6105</v>
      </c>
      <c r="M4866">
        <v>-0.99984150000000005</v>
      </c>
      <c r="N4866">
        <v>-1.457805E-2</v>
      </c>
      <c r="O4866">
        <v>1.022699E-2</v>
      </c>
      <c r="P4866">
        <v>-0.92774469999999998</v>
      </c>
      <c r="Q4866">
        <v>0.3705637</v>
      </c>
      <c r="R4866">
        <v>-4.441465E-2</v>
      </c>
      <c r="S4866">
        <v>-3.4205019999999902</v>
      </c>
      <c r="T4866">
        <v>-0.42814869999999999</v>
      </c>
      <c r="U4866">
        <v>0.32379150000000001</v>
      </c>
      <c r="V4866">
        <v>-5.3356899999999999E-2</v>
      </c>
      <c r="W4866">
        <v>0.3841174</v>
      </c>
      <c r="X4866">
        <v>0.92174120000000004</v>
      </c>
      <c r="Y4866">
        <v>8.3393809999999999E-2</v>
      </c>
      <c r="Z4866">
        <v>4.6754860000000004E-3</v>
      </c>
      <c r="AA4866">
        <v>0.99650570000000005</v>
      </c>
      <c r="AB4866">
        <v>34</v>
      </c>
      <c r="AC4866">
        <v>-0.408899999999988</v>
      </c>
      <c r="AD4866">
        <v>-9.45580000000001E-2</v>
      </c>
      <c r="AE4866">
        <v>6.7599999999998703E-2</v>
      </c>
      <c r="AF4866">
        <v>6.02765827290054E-2</v>
      </c>
      <c r="AG4866">
        <v>-9.45580000000001E-2</v>
      </c>
      <c r="AH4866">
        <v>0.38930523981646398</v>
      </c>
      <c r="AI4866">
        <v>103.497308134561</v>
      </c>
      <c r="AJ4866">
        <v>81.198713991230704</v>
      </c>
      <c r="AK4866">
        <v>0.40513337499895202</v>
      </c>
      <c r="AL4866">
        <v>67.411041406742996</v>
      </c>
      <c r="AM4866">
        <v>93.312987752522801</v>
      </c>
      <c r="AN4866">
        <v>0.99999998776890497</v>
      </c>
    </row>
    <row r="4867" spans="1:40" x14ac:dyDescent="0.25">
      <c r="A4867" t="str">
        <f>"20190304164946399"</f>
        <v>20190304164946399</v>
      </c>
      <c r="B4867" t="str">
        <f>"1551689386391209"</f>
        <v>1551689386391209</v>
      </c>
      <c r="C4867" t="s">
        <v>40</v>
      </c>
      <c r="D4867">
        <v>4.6867199999999896</v>
      </c>
      <c r="E4867">
        <v>0.57407050000000004</v>
      </c>
      <c r="F4867" t="s">
        <v>41</v>
      </c>
      <c r="G4867">
        <v>-256.33319999999998</v>
      </c>
      <c r="H4867">
        <v>0.98412319999999998</v>
      </c>
      <c r="I4867">
        <v>141.70439999999999</v>
      </c>
      <c r="J4867">
        <v>-255.6849</v>
      </c>
      <c r="K4867">
        <v>1.110444</v>
      </c>
      <c r="L4867">
        <v>141.6147</v>
      </c>
      <c r="M4867">
        <v>-0.99983610000000001</v>
      </c>
      <c r="N4867">
        <v>-1.458039E-2</v>
      </c>
      <c r="O4867">
        <v>1.07458E-2</v>
      </c>
      <c r="P4867">
        <v>-0.92784710000000004</v>
      </c>
      <c r="Q4867">
        <v>0.3703206</v>
      </c>
      <c r="R4867">
        <v>-4.4303130000000003E-2</v>
      </c>
      <c r="S4867">
        <v>-3.420258</v>
      </c>
      <c r="T4867">
        <v>-0.42893340000000002</v>
      </c>
      <c r="U4867">
        <v>0.31898500000000002</v>
      </c>
      <c r="V4867">
        <v>-5.37773E-2</v>
      </c>
      <c r="W4867">
        <v>0.38387169999999998</v>
      </c>
      <c r="X4867">
        <v>0.92181919999999995</v>
      </c>
      <c r="Y4867">
        <v>8.1512189999999998E-2</v>
      </c>
      <c r="Z4867">
        <v>4.4950240000000002E-3</v>
      </c>
      <c r="AA4867">
        <v>0.99666220000000005</v>
      </c>
      <c r="AB4867">
        <v>34</v>
      </c>
      <c r="AC4867">
        <v>-0.64829999999997701</v>
      </c>
      <c r="AD4867">
        <v>-0.12632080000000001</v>
      </c>
      <c r="AE4867">
        <v>8.9699999999993396E-2</v>
      </c>
      <c r="AF4867">
        <v>7.9756406601680999E-2</v>
      </c>
      <c r="AG4867">
        <v>-0.12632080000000001</v>
      </c>
      <c r="AH4867">
        <v>0.62590950690810498</v>
      </c>
      <c r="AI4867">
        <v>101.32099431405</v>
      </c>
      <c r="AJ4867">
        <v>82.738230154737295</v>
      </c>
      <c r="AK4867">
        <v>0.64349105646046101</v>
      </c>
      <c r="AL4867">
        <v>67.426289533798595</v>
      </c>
      <c r="AM4867">
        <v>93.338750119109605</v>
      </c>
      <c r="AN4867">
        <v>1.0000000587724001</v>
      </c>
    </row>
    <row r="4868" spans="1:40" x14ac:dyDescent="0.25">
      <c r="A4868" t="str">
        <f>"20190304164946422"</f>
        <v>20190304164946422</v>
      </c>
      <c r="B4868" t="str">
        <f>"1551689386410729"</f>
        <v>1551689386410729</v>
      </c>
      <c r="C4868" t="s">
        <v>40</v>
      </c>
      <c r="D4868">
        <v>4.8198439999999998</v>
      </c>
      <c r="E4868">
        <v>0.57387480000000002</v>
      </c>
      <c r="F4868" t="s">
        <v>41</v>
      </c>
      <c r="G4868">
        <v>-256.64240000000001</v>
      </c>
      <c r="H4868">
        <v>0.98950280000000002</v>
      </c>
      <c r="I4868">
        <v>141.7037</v>
      </c>
      <c r="J4868">
        <v>-256.0401</v>
      </c>
      <c r="K4868">
        <v>1.1105179999999999</v>
      </c>
      <c r="L4868">
        <v>141.619</v>
      </c>
      <c r="M4868">
        <v>-0.99983100000000003</v>
      </c>
      <c r="N4868">
        <v>-1.4581749999999999E-2</v>
      </c>
      <c r="O4868">
        <v>1.1191929999999999E-2</v>
      </c>
      <c r="P4868">
        <v>-0.92775169999999996</v>
      </c>
      <c r="Q4868">
        <v>0.37062869999999998</v>
      </c>
      <c r="R4868">
        <v>-4.3716150000000002E-2</v>
      </c>
      <c r="S4868">
        <v>-3.4208829999999999</v>
      </c>
      <c r="T4868">
        <v>-0.43212119999999998</v>
      </c>
      <c r="U4868">
        <v>0.31723020000000002</v>
      </c>
      <c r="V4868">
        <v>-5.3659739999999997E-2</v>
      </c>
      <c r="W4868">
        <v>0.38417109999999999</v>
      </c>
      <c r="X4868">
        <v>0.92170129999999995</v>
      </c>
      <c r="Y4868">
        <v>8.0546300000000001E-2</v>
      </c>
      <c r="Z4868">
        <v>4.4048560000000004E-3</v>
      </c>
      <c r="AA4868">
        <v>0.99674110000000005</v>
      </c>
      <c r="AB4868">
        <v>34</v>
      </c>
      <c r="AC4868">
        <v>-0.60230000000001305</v>
      </c>
      <c r="AD4868">
        <v>-0.1210152</v>
      </c>
      <c r="AE4868">
        <v>8.4699999999997999E-2</v>
      </c>
      <c r="AF4868">
        <v>7.4984681519388099E-2</v>
      </c>
      <c r="AG4868">
        <v>-0.1210152</v>
      </c>
      <c r="AH4868">
        <v>0.58024051985346803</v>
      </c>
      <c r="AI4868">
        <v>101.68628357628199</v>
      </c>
      <c r="AJ4868">
        <v>82.636457344632007</v>
      </c>
      <c r="AK4868">
        <v>0.59744994934590701</v>
      </c>
      <c r="AL4868">
        <v>67.407710275821202</v>
      </c>
      <c r="AM4868">
        <v>93.331893080240704</v>
      </c>
      <c r="AN4868">
        <v>1.0000000440968799</v>
      </c>
    </row>
    <row r="4869" spans="1:40" x14ac:dyDescent="0.25">
      <c r="A4869" t="str">
        <f>"20190304164946443"</f>
        <v>20190304164946443</v>
      </c>
      <c r="B4869" t="str">
        <f>"1551689386430249"</f>
        <v>1551689386430249</v>
      </c>
      <c r="C4869" t="s">
        <v>40</v>
      </c>
      <c r="D4869">
        <v>4.7071319999999996</v>
      </c>
      <c r="E4869">
        <v>0.57177080000000002</v>
      </c>
      <c r="F4869" t="s">
        <v>41</v>
      </c>
      <c r="G4869">
        <v>-256.95170000000002</v>
      </c>
      <c r="H4869">
        <v>0.99606939999999999</v>
      </c>
      <c r="I4869">
        <v>141.70490000000001</v>
      </c>
      <c r="J4869">
        <v>-256.36470000000003</v>
      </c>
      <c r="K4869">
        <v>1.11059</v>
      </c>
      <c r="L4869">
        <v>141.62299999999999</v>
      </c>
      <c r="M4869">
        <v>-0.99982740000000003</v>
      </c>
      <c r="N4869">
        <v>-1.4582329999999999E-2</v>
      </c>
      <c r="O4869">
        <v>1.151836E-2</v>
      </c>
      <c r="P4869">
        <v>-0.92759000000000003</v>
      </c>
      <c r="Q4869">
        <v>0.37105480000000002</v>
      </c>
      <c r="R4869">
        <v>-4.353841E-2</v>
      </c>
      <c r="S4869">
        <v>-3.4203489999999999</v>
      </c>
      <c r="T4869">
        <v>-0.4294636</v>
      </c>
      <c r="U4869">
        <v>0.32154850000000001</v>
      </c>
      <c r="V4869">
        <v>-5.384303E-2</v>
      </c>
      <c r="W4869">
        <v>0.3845866</v>
      </c>
      <c r="X4869">
        <v>0.92151729999999998</v>
      </c>
      <c r="Y4869">
        <v>8.1483680000000003E-2</v>
      </c>
      <c r="Z4869">
        <v>4.412338E-3</v>
      </c>
      <c r="AA4869">
        <v>0.99666489999999996</v>
      </c>
      <c r="AB4869">
        <v>34</v>
      </c>
      <c r="AC4869">
        <v>-0.58699999999998898</v>
      </c>
      <c r="AD4869">
        <v>-0.114520599999999</v>
      </c>
      <c r="AE4869">
        <v>8.1900000000018694E-2</v>
      </c>
      <c r="AF4869">
        <v>7.2428442544925101E-2</v>
      </c>
      <c r="AG4869">
        <v>-0.114520599999999</v>
      </c>
      <c r="AH4869">
        <v>0.56674499102063403</v>
      </c>
      <c r="AI4869">
        <v>101.334010829825</v>
      </c>
      <c r="AJ4869">
        <v>82.717234313441097</v>
      </c>
      <c r="AK4869">
        <v>0.58271839850893803</v>
      </c>
      <c r="AL4869">
        <v>67.381922417685203</v>
      </c>
      <c r="AM4869">
        <v>93.343914364254402</v>
      </c>
      <c r="AN4869">
        <v>1.00000002948921</v>
      </c>
    </row>
    <row r="4870" spans="1:40" x14ac:dyDescent="0.25">
      <c r="A4870" t="str">
        <f>"20190304164946465"</f>
        <v>20190304164946465</v>
      </c>
      <c r="B4870" t="str">
        <f>"1551689386460505"</f>
        <v>1551689386460505</v>
      </c>
      <c r="C4870" t="s">
        <v>40</v>
      </c>
      <c r="D4870">
        <v>5.1804959999999998</v>
      </c>
      <c r="E4870">
        <v>0.56633219999999995</v>
      </c>
      <c r="F4870" t="s">
        <v>41</v>
      </c>
      <c r="G4870">
        <v>-257.25959999999998</v>
      </c>
      <c r="H4870">
        <v>1.000591</v>
      </c>
      <c r="I4870">
        <v>141.70439999999999</v>
      </c>
      <c r="J4870">
        <v>-256.69400000000002</v>
      </c>
      <c r="K4870">
        <v>1.1106739999999999</v>
      </c>
      <c r="L4870">
        <v>141.62710000000001</v>
      </c>
      <c r="M4870">
        <v>-0.99982479999999996</v>
      </c>
      <c r="N4870">
        <v>-1.4582370000000001E-2</v>
      </c>
      <c r="O4870">
        <v>1.1755460000000001E-2</v>
      </c>
      <c r="P4870">
        <v>-0.92736819999999998</v>
      </c>
      <c r="Q4870">
        <v>0.37161660000000002</v>
      </c>
      <c r="R4870">
        <v>-4.3471650000000001E-2</v>
      </c>
      <c r="S4870">
        <v>-3.4167480000000001</v>
      </c>
      <c r="T4870">
        <v>-0.42004390000000003</v>
      </c>
      <c r="U4870">
        <v>0.30961609999999901</v>
      </c>
      <c r="V4870">
        <v>-5.4062520000000003E-2</v>
      </c>
      <c r="W4870">
        <v>0.38513500000000001</v>
      </c>
      <c r="X4870">
        <v>0.92127539999999997</v>
      </c>
      <c r="Y4870">
        <v>7.7948630000000005E-2</v>
      </c>
      <c r="Z4870">
        <v>4.0695690000000003E-3</v>
      </c>
      <c r="AA4870">
        <v>0.99694910000000003</v>
      </c>
      <c r="AB4870">
        <v>34</v>
      </c>
      <c r="AC4870">
        <v>-0.56559999999996002</v>
      </c>
      <c r="AD4870">
        <v>-0.110082999999999</v>
      </c>
      <c r="AE4870">
        <v>7.7299999999979704E-2</v>
      </c>
      <c r="AF4870">
        <v>6.8112213207572103E-2</v>
      </c>
      <c r="AG4870">
        <v>-0.110082999999999</v>
      </c>
      <c r="AH4870">
        <v>0.54615995888147595</v>
      </c>
      <c r="AI4870">
        <v>101.310418002468</v>
      </c>
      <c r="AJ4870">
        <v>82.891281914170193</v>
      </c>
      <c r="AK4870">
        <v>0.561291583014078</v>
      </c>
      <c r="AL4870">
        <v>67.347879557134206</v>
      </c>
      <c r="AM4870">
        <v>93.358394208128601</v>
      </c>
      <c r="AN4870">
        <v>1.00000004346945</v>
      </c>
    </row>
    <row r="4871" spans="1:40" x14ac:dyDescent="0.25">
      <c r="A4871" t="str">
        <f>"20190304164946488"</f>
        <v>20190304164946488</v>
      </c>
      <c r="B4871" t="str">
        <f>"1551689386481002"</f>
        <v>1551689386481002</v>
      </c>
      <c r="C4871" t="s">
        <v>40</v>
      </c>
      <c r="D4871">
        <v>4.5891739999999999</v>
      </c>
      <c r="E4871">
        <v>0.56335729999999995</v>
      </c>
      <c r="F4871" t="s">
        <v>41</v>
      </c>
      <c r="G4871">
        <v>-257.56810000000002</v>
      </c>
      <c r="H4871">
        <v>1.0064919999999999</v>
      </c>
      <c r="I4871">
        <v>141.69649999999999</v>
      </c>
      <c r="J4871">
        <v>-257.05599999999998</v>
      </c>
      <c r="K4871">
        <v>1.110754</v>
      </c>
      <c r="L4871">
        <v>141.63149999999999</v>
      </c>
      <c r="M4871">
        <v>-0.99982269999999895</v>
      </c>
      <c r="N4871">
        <v>-1.4581899999999899E-2</v>
      </c>
      <c r="O4871">
        <v>1.1912849999999999E-2</v>
      </c>
      <c r="P4871">
        <v>-0.92707740000000005</v>
      </c>
      <c r="Q4871">
        <v>0.37233569999999999</v>
      </c>
      <c r="R4871">
        <v>-4.3518660000000001E-2</v>
      </c>
      <c r="S4871">
        <v>-3.4105219999999998</v>
      </c>
      <c r="T4871">
        <v>-0.40654679999999999</v>
      </c>
      <c r="U4871">
        <v>0.27012629999999999</v>
      </c>
      <c r="V4871">
        <v>-5.4332510000000001E-2</v>
      </c>
      <c r="W4871">
        <v>0.38583849999999997</v>
      </c>
      <c r="X4871">
        <v>0.92096500000000003</v>
      </c>
      <c r="Y4871">
        <v>6.6611950000000003E-2</v>
      </c>
      <c r="Z4871">
        <v>3.198705E-3</v>
      </c>
      <c r="AA4871">
        <v>0.99777380000000004</v>
      </c>
      <c r="AB4871">
        <v>34</v>
      </c>
      <c r="AC4871">
        <v>-0.51210000000003197</v>
      </c>
      <c r="AD4871">
        <v>-0.10426199999999999</v>
      </c>
      <c r="AE4871">
        <v>6.4999999999997699E-2</v>
      </c>
      <c r="AF4871">
        <v>5.6585779464489297E-2</v>
      </c>
      <c r="AG4871">
        <v>-0.10426199999999999</v>
      </c>
      <c r="AH4871">
        <v>0.49273711291894901</v>
      </c>
      <c r="AI4871">
        <v>101.87163062450701</v>
      </c>
      <c r="AJ4871">
        <v>83.448868714937902</v>
      </c>
      <c r="AK4871">
        <v>0.50681592075358495</v>
      </c>
      <c r="AL4871">
        <v>67.304193578673804</v>
      </c>
      <c r="AM4871">
        <v>93.376262376819994</v>
      </c>
      <c r="AN4871">
        <v>0.99999995047507295</v>
      </c>
    </row>
    <row r="4872" spans="1:40" x14ac:dyDescent="0.25">
      <c r="A4872" t="str">
        <f>"20190304164946510"</f>
        <v>20190304164946510</v>
      </c>
      <c r="B4872" t="str">
        <f>"1551689386500521"</f>
        <v>1551689386500521</v>
      </c>
      <c r="C4872" t="s">
        <v>40</v>
      </c>
      <c r="D4872">
        <v>4.6246369999999999</v>
      </c>
      <c r="E4872">
        <v>0.56070540000000002</v>
      </c>
      <c r="F4872" t="s">
        <v>41</v>
      </c>
      <c r="G4872">
        <v>-257.87720000000002</v>
      </c>
      <c r="H4872">
        <v>1.014753</v>
      </c>
      <c r="I4872">
        <v>141.6918</v>
      </c>
      <c r="J4872">
        <v>-257.38679999999999</v>
      </c>
      <c r="K4872">
        <v>1.11083</v>
      </c>
      <c r="L4872">
        <v>141.63560000000001</v>
      </c>
      <c r="M4872">
        <v>-0.99982219999999999</v>
      </c>
      <c r="N4872">
        <v>-1.458106E-2</v>
      </c>
      <c r="O4872">
        <v>1.196463E-2</v>
      </c>
      <c r="P4872">
        <v>-0.92691049999999997</v>
      </c>
      <c r="Q4872">
        <v>0.37265029999999999</v>
      </c>
      <c r="R4872">
        <v>-4.4372590000000003E-2</v>
      </c>
      <c r="S4872">
        <v>-3.4076840000000002</v>
      </c>
      <c r="T4872">
        <v>-0.39848329999999998</v>
      </c>
      <c r="U4872">
        <v>0.2487946</v>
      </c>
      <c r="V4872">
        <v>-5.5305529999999999E-2</v>
      </c>
      <c r="W4872">
        <v>0.38613989999999998</v>
      </c>
      <c r="X4872">
        <v>0.92078079999999995</v>
      </c>
      <c r="Y4872">
        <v>6.0477299999999998E-2</v>
      </c>
      <c r="Z4872">
        <v>2.743962E-3</v>
      </c>
      <c r="AA4872">
        <v>0.99816579999999999</v>
      </c>
      <c r="AB4872">
        <v>34</v>
      </c>
      <c r="AC4872">
        <v>-0.49040000000002198</v>
      </c>
      <c r="AD4872">
        <v>-9.6076999999999899E-2</v>
      </c>
      <c r="AE4872">
        <v>5.61999999999898E-2</v>
      </c>
      <c r="AF4872">
        <v>4.84908070677703E-2</v>
      </c>
      <c r="AG4872">
        <v>-9.6076999999999899E-2</v>
      </c>
      <c r="AH4872">
        <v>0.47311330747067198</v>
      </c>
      <c r="AI4872">
        <v>101.420937243536</v>
      </c>
      <c r="AJ4872">
        <v>84.148017331217304</v>
      </c>
      <c r="AK4872">
        <v>0.48519928895756098</v>
      </c>
      <c r="AL4872">
        <v>67.285475173453804</v>
      </c>
      <c r="AM4872">
        <v>93.437268750165799</v>
      </c>
      <c r="AN4872">
        <v>1.0000000028346101</v>
      </c>
    </row>
    <row r="4873" spans="1:40" x14ac:dyDescent="0.25">
      <c r="A4873" t="str">
        <f>"20190304164946531"</f>
        <v>20190304164946531</v>
      </c>
      <c r="B4873" t="str">
        <f>"1551689386521021"</f>
        <v>1551689386521021</v>
      </c>
      <c r="C4873" t="s">
        <v>40</v>
      </c>
      <c r="D4873">
        <v>4.6576409999999999</v>
      </c>
      <c r="E4873">
        <v>0.55835419999999902</v>
      </c>
      <c r="F4873" t="s">
        <v>41</v>
      </c>
      <c r="G4873">
        <v>-258.18430000000001</v>
      </c>
      <c r="H4873">
        <v>1.019709</v>
      </c>
      <c r="I4873">
        <v>141.68889999999999</v>
      </c>
      <c r="J4873">
        <v>-257.71350000000001</v>
      </c>
      <c r="K4873">
        <v>1.11091299999999</v>
      </c>
      <c r="L4873">
        <v>141.6395</v>
      </c>
      <c r="M4873">
        <v>-0.9998224</v>
      </c>
      <c r="N4873">
        <v>-1.457987E-2</v>
      </c>
      <c r="O4873">
        <v>1.19303E-2</v>
      </c>
      <c r="P4873">
        <v>-0.92704640000000005</v>
      </c>
      <c r="Q4873">
        <v>0.3722377</v>
      </c>
      <c r="R4873">
        <v>-4.4989790000000002E-2</v>
      </c>
      <c r="S4873">
        <v>-3.4037480000000002</v>
      </c>
      <c r="T4873">
        <v>-0.38895930000000001</v>
      </c>
      <c r="U4873">
        <v>0.22666929999999999</v>
      </c>
      <c r="V4873">
        <v>-5.5963400000000003E-2</v>
      </c>
      <c r="W4873">
        <v>0.38571800000000001</v>
      </c>
      <c r="X4873">
        <v>0.92091789999999996</v>
      </c>
      <c r="Y4873">
        <v>5.4199369999999997E-2</v>
      </c>
      <c r="Z4873">
        <v>2.2964040000000002E-3</v>
      </c>
      <c r="AA4873">
        <v>0.99852750000000001</v>
      </c>
      <c r="AB4873">
        <v>34</v>
      </c>
      <c r="AC4873">
        <v>-0.470799999999997</v>
      </c>
      <c r="AD4873">
        <v>-9.1203999999999799E-2</v>
      </c>
      <c r="AE4873">
        <v>4.9399999999991402E-2</v>
      </c>
      <c r="AF4873">
        <v>4.2212213706479998E-2</v>
      </c>
      <c r="AG4873">
        <v>-9.1203999999999799E-2</v>
      </c>
      <c r="AH4873">
        <v>0.45448572577318602</v>
      </c>
      <c r="AI4873">
        <v>101.29974916995801</v>
      </c>
      <c r="AJ4873">
        <v>84.693644532595897</v>
      </c>
      <c r="AK4873">
        <v>0.465464623289011</v>
      </c>
      <c r="AL4873">
        <v>67.3116788601683</v>
      </c>
      <c r="AM4873">
        <v>93.477539427893504</v>
      </c>
      <c r="AN4873">
        <v>1.0000000281019801</v>
      </c>
    </row>
    <row r="4874" spans="1:40" x14ac:dyDescent="0.25">
      <c r="A4874" t="str">
        <f>"20190304164946554"</f>
        <v>20190304164946554</v>
      </c>
      <c r="B4874" t="str">
        <f>"1551689386540537"</f>
        <v>1551689386540537</v>
      </c>
      <c r="C4874" t="s">
        <v>40</v>
      </c>
      <c r="D4874">
        <v>4.6400379999999997</v>
      </c>
      <c r="E4874">
        <v>0.55621140000000002</v>
      </c>
      <c r="F4874" t="s">
        <v>41</v>
      </c>
      <c r="G4874">
        <v>-258.49040000000002</v>
      </c>
      <c r="H4874">
        <v>1.0233159999999999</v>
      </c>
      <c r="I4874">
        <v>141.68719999999999</v>
      </c>
      <c r="J4874">
        <v>-258.0505</v>
      </c>
      <c r="K4874">
        <v>1.110986</v>
      </c>
      <c r="L4874">
        <v>141.64340000000001</v>
      </c>
      <c r="M4874">
        <v>-0.99982400000000005</v>
      </c>
      <c r="N4874">
        <v>-1.457835E-2</v>
      </c>
      <c r="O4874">
        <v>1.181374E-2</v>
      </c>
      <c r="P4874">
        <v>-0.92721609999999999</v>
      </c>
      <c r="Q4874">
        <v>0.37172149999999998</v>
      </c>
      <c r="R4874">
        <v>-4.5755400000000002E-2</v>
      </c>
      <c r="S4874">
        <v>-3.4001459999999999</v>
      </c>
      <c r="T4874">
        <v>-0.38353039999999999</v>
      </c>
      <c r="U4874">
        <v>0.20716860000000001</v>
      </c>
      <c r="V4874">
        <v>-5.6692659999999999E-2</v>
      </c>
      <c r="W4874">
        <v>0.3851927</v>
      </c>
      <c r="X4874">
        <v>0.9210931</v>
      </c>
      <c r="Y4874">
        <v>4.872775E-2</v>
      </c>
      <c r="Z4874">
        <v>1.938424E-3</v>
      </c>
      <c r="AA4874">
        <v>0.99881019999999998</v>
      </c>
      <c r="AB4874">
        <v>34</v>
      </c>
      <c r="AC4874">
        <v>-0.439900000000022</v>
      </c>
      <c r="AD4874">
        <v>-8.7670000000000095E-2</v>
      </c>
      <c r="AE4874">
        <v>4.3799999999975997E-2</v>
      </c>
      <c r="AF4874">
        <v>3.71389012069945E-2</v>
      </c>
      <c r="AG4874">
        <v>-8.7670000000000095E-2</v>
      </c>
      <c r="AH4874">
        <v>0.42372233605437598</v>
      </c>
      <c r="AI4874">
        <v>101.646374615038</v>
      </c>
      <c r="AJ4874">
        <v>84.990874963194898</v>
      </c>
      <c r="AK4874">
        <v>0.43428785955198101</v>
      </c>
      <c r="AL4874">
        <v>67.344295839958306</v>
      </c>
      <c r="AM4874">
        <v>93.522073547558094</v>
      </c>
      <c r="AN4874">
        <v>0.99999998634938703</v>
      </c>
    </row>
    <row r="4875" spans="1:40" x14ac:dyDescent="0.25">
      <c r="A4875" t="str">
        <f>"20190304164946577"</f>
        <v>20190304164946577</v>
      </c>
      <c r="B4875" t="str">
        <f>"1551689386570794"</f>
        <v>1551689386570794</v>
      </c>
      <c r="C4875" t="s">
        <v>40</v>
      </c>
      <c r="D4875">
        <v>4.657159</v>
      </c>
      <c r="E4875">
        <v>0.55341379999999996</v>
      </c>
      <c r="F4875" t="s">
        <v>41</v>
      </c>
      <c r="G4875">
        <v>-258.79649999999998</v>
      </c>
      <c r="H4875">
        <v>1.0277210000000001</v>
      </c>
      <c r="I4875">
        <v>141.685</v>
      </c>
      <c r="J4875">
        <v>-258.40499999999997</v>
      </c>
      <c r="K4875">
        <v>1.111054</v>
      </c>
      <c r="L4875">
        <v>141.64750000000001</v>
      </c>
      <c r="M4875">
        <v>-0.99982629999999995</v>
      </c>
      <c r="N4875">
        <v>-1.457644E-2</v>
      </c>
      <c r="O4875">
        <v>1.162068E-2</v>
      </c>
      <c r="P4875">
        <v>-0.92744400000000005</v>
      </c>
      <c r="Q4875">
        <v>0.37098890000000001</v>
      </c>
      <c r="R4875">
        <v>-4.7062699999999902E-2</v>
      </c>
      <c r="S4875">
        <v>-3.3967900000000002</v>
      </c>
      <c r="T4875">
        <v>-0.37915910000000003</v>
      </c>
      <c r="U4875">
        <v>0.18898010000000001</v>
      </c>
      <c r="V4875">
        <v>-5.7887290000000001E-2</v>
      </c>
      <c r="W4875">
        <v>0.38445190000000001</v>
      </c>
      <c r="X4875">
        <v>0.92132820000000004</v>
      </c>
      <c r="Y4875">
        <v>4.3689560000000002E-2</v>
      </c>
      <c r="Z4875">
        <v>1.625587E-3</v>
      </c>
      <c r="AA4875">
        <v>0.99904380000000004</v>
      </c>
      <c r="AB4875">
        <v>34</v>
      </c>
      <c r="AC4875">
        <v>-0.39150000000000701</v>
      </c>
      <c r="AD4875">
        <v>-8.3333000000000101E-2</v>
      </c>
      <c r="AE4875">
        <v>3.7499999999994302E-2</v>
      </c>
      <c r="AF4875">
        <v>3.1531845952939001E-2</v>
      </c>
      <c r="AG4875">
        <v>-8.3333000000000101E-2</v>
      </c>
      <c r="AH4875">
        <v>0.37507036056649901</v>
      </c>
      <c r="AI4875">
        <v>102.483832841812</v>
      </c>
      <c r="AJ4875">
        <v>85.1944924979625</v>
      </c>
      <c r="AK4875">
        <v>0.385508004552024</v>
      </c>
      <c r="AL4875">
        <v>67.390280494236507</v>
      </c>
      <c r="AM4875">
        <v>93.595182840733301</v>
      </c>
      <c r="AN4875">
        <v>0.99999992693619399</v>
      </c>
    </row>
    <row r="4876" spans="1:40" x14ac:dyDescent="0.25">
      <c r="A4876" t="str">
        <f>"20190304164946600"</f>
        <v>20190304164946600</v>
      </c>
      <c r="B4876" t="str">
        <f>"1551689386590313"</f>
        <v>1551689386590313</v>
      </c>
      <c r="C4876" t="s">
        <v>40</v>
      </c>
      <c r="D4876">
        <v>4.6592510000000003</v>
      </c>
      <c r="E4876">
        <v>0.55178280000000002</v>
      </c>
      <c r="F4876" t="s">
        <v>41</v>
      </c>
      <c r="G4876">
        <v>-259.3904</v>
      </c>
      <c r="H4876">
        <v>1.00248</v>
      </c>
      <c r="I4876">
        <v>141.69540000000001</v>
      </c>
      <c r="J4876">
        <v>-258.7552</v>
      </c>
      <c r="K4876">
        <v>1.111113</v>
      </c>
      <c r="L4876">
        <v>141.65129999999999</v>
      </c>
      <c r="M4876">
        <v>-0.99982910000000003</v>
      </c>
      <c r="N4876">
        <v>-1.4574159999999999E-2</v>
      </c>
      <c r="O4876">
        <v>1.138224E-2</v>
      </c>
      <c r="P4876">
        <v>-0.92725190000000002</v>
      </c>
      <c r="Q4876">
        <v>0.37126799999999999</v>
      </c>
      <c r="R4876">
        <v>-4.8623630000000001E-2</v>
      </c>
      <c r="S4876">
        <v>-3.3926090000000002</v>
      </c>
      <c r="T4876">
        <v>-0.37387229999999999</v>
      </c>
      <c r="U4876">
        <v>0.16474910000000001</v>
      </c>
      <c r="V4876">
        <v>-5.9274519999999997E-2</v>
      </c>
      <c r="W4876">
        <v>0.38471820000000001</v>
      </c>
      <c r="X4876">
        <v>0.92112890000000003</v>
      </c>
      <c r="Y4876">
        <v>3.692985E-2</v>
      </c>
      <c r="Z4876">
        <v>1.2134030000000001E-3</v>
      </c>
      <c r="AA4876">
        <v>0.99931709999999996</v>
      </c>
      <c r="AB4876">
        <v>34</v>
      </c>
      <c r="AC4876">
        <v>-0.63519999999999699</v>
      </c>
      <c r="AD4876">
        <v>-0.10863299999999899</v>
      </c>
      <c r="AE4876">
        <v>4.4100000000014399E-2</v>
      </c>
      <c r="AF4876">
        <v>3.5823618071603502E-2</v>
      </c>
      <c r="AG4876">
        <v>-0.10863299999999899</v>
      </c>
      <c r="AH4876">
        <v>0.61768130759255302</v>
      </c>
      <c r="AI4876">
        <v>99.958331115986297</v>
      </c>
      <c r="AJ4876">
        <v>86.680739095504805</v>
      </c>
      <c r="AK4876">
        <v>0.62818361810062096</v>
      </c>
      <c r="AL4876">
        <v>67.373753258766598</v>
      </c>
      <c r="AM4876">
        <v>93.681899122355404</v>
      </c>
      <c r="AN4876">
        <v>1.0000000062738399</v>
      </c>
    </row>
    <row r="4877" spans="1:40" x14ac:dyDescent="0.25">
      <c r="A4877" t="str">
        <f>"20190304164946622"</f>
        <v>20190304164946622</v>
      </c>
      <c r="B4877" t="str">
        <f>"1551689386610813"</f>
        <v>1551689386610813</v>
      </c>
      <c r="C4877" t="s">
        <v>40</v>
      </c>
      <c r="D4877">
        <v>4.650671</v>
      </c>
      <c r="E4877">
        <v>0.55036370000000001</v>
      </c>
      <c r="F4877" t="s">
        <v>41</v>
      </c>
      <c r="G4877">
        <v>-259.69639999999998</v>
      </c>
      <c r="H4877">
        <v>1.0090159999999999</v>
      </c>
      <c r="I4877">
        <v>141.6926</v>
      </c>
      <c r="J4877">
        <v>-259.08670000000001</v>
      </c>
      <c r="K4877">
        <v>1.111143</v>
      </c>
      <c r="L4877">
        <v>141.6549</v>
      </c>
      <c r="M4877">
        <v>-0.9998319</v>
      </c>
      <c r="N4877">
        <v>-1.4571580000000001E-2</v>
      </c>
      <c r="O4877">
        <v>1.1130330000000001E-2</v>
      </c>
      <c r="P4877">
        <v>-0.92686900000000005</v>
      </c>
      <c r="Q4877">
        <v>0.37192039999999998</v>
      </c>
      <c r="R4877">
        <v>-5.0883499999999998E-2</v>
      </c>
      <c r="S4877">
        <v>-3.3903810000000001</v>
      </c>
      <c r="T4877">
        <v>-0.36784319999999998</v>
      </c>
      <c r="U4877">
        <v>0.14784239999999901</v>
      </c>
      <c r="V4877">
        <v>-6.1330269999999999E-2</v>
      </c>
      <c r="W4877">
        <v>0.3853568</v>
      </c>
      <c r="X4877">
        <v>0.92072730000000003</v>
      </c>
      <c r="Y4877">
        <v>3.2275619999999998E-2</v>
      </c>
      <c r="Z4877">
        <v>9.3931690000000003E-4</v>
      </c>
      <c r="AA4877">
        <v>0.99947859999999999</v>
      </c>
      <c r="AB4877">
        <v>34</v>
      </c>
      <c r="AC4877">
        <v>-0.60969999999997504</v>
      </c>
      <c r="AD4877">
        <v>-0.102127</v>
      </c>
      <c r="AE4877">
        <v>3.7700000000000899E-2</v>
      </c>
      <c r="AF4877">
        <v>3.0070298121218E-2</v>
      </c>
      <c r="AG4877">
        <v>-0.102127</v>
      </c>
      <c r="AH4877">
        <v>0.59349337504387401</v>
      </c>
      <c r="AI4877">
        <v>99.751439663243602</v>
      </c>
      <c r="AJ4877">
        <v>87.099497281046297</v>
      </c>
      <c r="AK4877">
        <v>0.60296644448847003</v>
      </c>
      <c r="AL4877">
        <v>67.334107688171201</v>
      </c>
      <c r="AM4877">
        <v>93.8108811206437</v>
      </c>
      <c r="AN4877">
        <v>1.0000000131449001</v>
      </c>
    </row>
    <row r="4878" spans="1:40" x14ac:dyDescent="0.25">
      <c r="A4878" t="str">
        <f>"20190304164946647"</f>
        <v>20190304164946647</v>
      </c>
      <c r="B4878" t="str">
        <f>"1551689386641065"</f>
        <v>1551689386641065</v>
      </c>
      <c r="C4878" t="s">
        <v>40</v>
      </c>
      <c r="D4878">
        <v>4.6465639999999997</v>
      </c>
      <c r="E4878">
        <v>0.54846949999999906</v>
      </c>
      <c r="F4878" t="s">
        <v>41</v>
      </c>
      <c r="G4878">
        <v>-260.00110000000001</v>
      </c>
      <c r="H4878">
        <v>1.013263</v>
      </c>
      <c r="I4878">
        <v>141.6902</v>
      </c>
      <c r="J4878">
        <v>-259.44319999999999</v>
      </c>
      <c r="K4878">
        <v>1.11117</v>
      </c>
      <c r="L4878">
        <v>141.65860000000001</v>
      </c>
      <c r="M4878">
        <v>-0.99983520000000004</v>
      </c>
      <c r="N4878">
        <v>-1.456881E-2</v>
      </c>
      <c r="O4878">
        <v>1.084301E-2</v>
      </c>
      <c r="P4878">
        <v>-0.92659590000000003</v>
      </c>
      <c r="Q4878">
        <v>0.37234859999999997</v>
      </c>
      <c r="R4878">
        <v>-5.2698799999999997E-2</v>
      </c>
      <c r="S4878">
        <v>-3.389465</v>
      </c>
      <c r="T4878">
        <v>-0.36286600000000002</v>
      </c>
      <c r="U4878">
        <v>0.13055419999999901</v>
      </c>
      <c r="V4878">
        <v>-6.2901470000000001E-2</v>
      </c>
      <c r="W4878">
        <v>0.38577339999999999</v>
      </c>
      <c r="X4878">
        <v>0.92044680000000001</v>
      </c>
      <c r="Y4878">
        <v>2.751835E-2</v>
      </c>
      <c r="Z4878">
        <v>6.6999970000000003E-4</v>
      </c>
      <c r="AA4878">
        <v>0.99962110000000004</v>
      </c>
      <c r="AB4878">
        <v>34</v>
      </c>
      <c r="AC4878">
        <v>-0.55790000000001705</v>
      </c>
      <c r="AD4878">
        <v>-9.7906999999999897E-2</v>
      </c>
      <c r="AE4878">
        <v>3.1599999999997401E-2</v>
      </c>
      <c r="AF4878">
        <v>2.47872426968542E-2</v>
      </c>
      <c r="AG4878">
        <v>-9.7906999999999897E-2</v>
      </c>
      <c r="AH4878">
        <v>0.54158381033999303</v>
      </c>
      <c r="AI4878">
        <v>100.23671364366901</v>
      </c>
      <c r="AJ4878">
        <v>87.379511779754694</v>
      </c>
      <c r="AK4878">
        <v>0.55092033151073505</v>
      </c>
      <c r="AL4878">
        <v>67.308237998921598</v>
      </c>
      <c r="AM4878">
        <v>93.909399348736898</v>
      </c>
      <c r="AN4878">
        <v>1.0000000113529799</v>
      </c>
    </row>
    <row r="4879" spans="1:40" x14ac:dyDescent="0.25">
      <c r="A4879" t="str">
        <f>"20190304164946667"</f>
        <v>20190304164946667</v>
      </c>
      <c r="B4879" t="str">
        <f>"1551689386660586"</f>
        <v>1551689386660586</v>
      </c>
      <c r="C4879" t="s">
        <v>40</v>
      </c>
      <c r="D4879">
        <v>4.6867890000000001</v>
      </c>
      <c r="E4879">
        <v>0.5472882</v>
      </c>
      <c r="F4879" t="s">
        <v>41</v>
      </c>
      <c r="G4879">
        <v>-260.3066</v>
      </c>
      <c r="H4879">
        <v>1.01997</v>
      </c>
      <c r="I4879">
        <v>141.6865</v>
      </c>
      <c r="J4879">
        <v>-259.75319999999999</v>
      </c>
      <c r="K4879">
        <v>1.1112040000000001</v>
      </c>
      <c r="L4879">
        <v>141.6617</v>
      </c>
      <c r="M4879">
        <v>-0.99983789999999995</v>
      </c>
      <c r="N4879">
        <v>-1.45663999999999E-2</v>
      </c>
      <c r="O4879">
        <v>1.058777E-2</v>
      </c>
      <c r="P4879">
        <v>-0.92620210000000003</v>
      </c>
      <c r="Q4879">
        <v>0.3732432</v>
      </c>
      <c r="R4879">
        <v>-5.3287540000000001E-2</v>
      </c>
      <c r="S4879">
        <v>-3.3876650000000001</v>
      </c>
      <c r="T4879">
        <v>-0.35793039999999998</v>
      </c>
      <c r="U4879">
        <v>0.10847469999999999</v>
      </c>
      <c r="V4879">
        <v>-6.3264500000000001E-2</v>
      </c>
      <c r="W4879">
        <v>0.3866579</v>
      </c>
      <c r="X4879">
        <v>0.9200507</v>
      </c>
      <c r="Y4879">
        <v>2.1327539999999999E-2</v>
      </c>
      <c r="Z4879">
        <v>3.177745E-4</v>
      </c>
      <c r="AA4879">
        <v>0.99977249999999995</v>
      </c>
      <c r="AB4879">
        <v>34</v>
      </c>
      <c r="AC4879">
        <v>-0.55340000000001</v>
      </c>
      <c r="AD4879">
        <v>-9.1233999999999996E-2</v>
      </c>
      <c r="AE4879">
        <v>2.4799999999999E-2</v>
      </c>
      <c r="AF4879">
        <v>1.8438576744063899E-2</v>
      </c>
      <c r="AG4879">
        <v>-9.1233999999999996E-2</v>
      </c>
      <c r="AH4879">
        <v>0.53901110246307404</v>
      </c>
      <c r="AI4879">
        <v>99.601422172330999</v>
      </c>
      <c r="AJ4879">
        <v>88.040780930741406</v>
      </c>
      <c r="AK4879">
        <v>0.54698865842611899</v>
      </c>
      <c r="AL4879">
        <v>67.253296877282693</v>
      </c>
      <c r="AM4879">
        <v>93.933578960579396</v>
      </c>
      <c r="AN4879">
        <v>1.00000000958157</v>
      </c>
    </row>
    <row r="4880" spans="1:40" x14ac:dyDescent="0.25">
      <c r="A4880" t="str">
        <f>"20190304164946688"</f>
        <v>20190304164946688</v>
      </c>
      <c r="B4880" t="str">
        <f>"1551689386681082"</f>
        <v>1551689386681082</v>
      </c>
      <c r="C4880" t="s">
        <v>40</v>
      </c>
      <c r="D4880">
        <v>4.6324699999999996</v>
      </c>
      <c r="E4880">
        <v>0.5462496</v>
      </c>
      <c r="F4880" t="s">
        <v>41</v>
      </c>
      <c r="G4880">
        <v>-260.60939999999999</v>
      </c>
      <c r="H4880">
        <v>1.0222020000000001</v>
      </c>
      <c r="I4880">
        <v>141.68530000000001</v>
      </c>
      <c r="J4880">
        <v>-260.0992</v>
      </c>
      <c r="K4880">
        <v>1.111224</v>
      </c>
      <c r="L4880">
        <v>141.6651</v>
      </c>
      <c r="M4880">
        <v>-0.99984090000000003</v>
      </c>
      <c r="N4880">
        <v>-1.4563609999999999E-2</v>
      </c>
      <c r="O4880">
        <v>1.0302789999999999E-2</v>
      </c>
      <c r="P4880">
        <v>-0.92600300000000002</v>
      </c>
      <c r="Q4880">
        <v>0.37364750000000002</v>
      </c>
      <c r="R4880">
        <v>-5.3907099999999999E-2</v>
      </c>
      <c r="S4880">
        <v>-3.3862920000000001</v>
      </c>
      <c r="T4880">
        <v>-0.35204540000000001</v>
      </c>
      <c r="U4880">
        <v>9.3353270000000002E-2</v>
      </c>
      <c r="V4880">
        <v>-6.3629829999999998E-2</v>
      </c>
      <c r="W4880">
        <v>0.38705499999999998</v>
      </c>
      <c r="X4880">
        <v>0.91985850000000002</v>
      </c>
      <c r="Y4880">
        <v>1.7191479999999999E-2</v>
      </c>
      <c r="Z4880" s="1">
        <v>9.8379270000000007E-5</v>
      </c>
      <c r="AA4880">
        <v>0.99985219999999997</v>
      </c>
      <c r="AB4880">
        <v>34</v>
      </c>
      <c r="AC4880">
        <v>-0.51019999999999699</v>
      </c>
      <c r="AD4880">
        <v>-8.9021999999999907E-2</v>
      </c>
      <c r="AE4880">
        <v>2.0200000000016798E-2</v>
      </c>
      <c r="AF4880">
        <v>1.45010942296767E-2</v>
      </c>
      <c r="AG4880">
        <v>-8.9021999999999907E-2</v>
      </c>
      <c r="AH4880">
        <v>0.495324575002211</v>
      </c>
      <c r="AI4880">
        <v>100.18441557942</v>
      </c>
      <c r="AJ4880">
        <v>88.323090973837907</v>
      </c>
      <c r="AK4880">
        <v>0.50346959473137898</v>
      </c>
      <c r="AL4880">
        <v>67.228623294745901</v>
      </c>
      <c r="AM4880">
        <v>93.957046063342304</v>
      </c>
      <c r="AN4880">
        <v>0.99999999415653895</v>
      </c>
    </row>
    <row r="4881" spans="1:40" x14ac:dyDescent="0.25">
      <c r="A4881" t="str">
        <f>"20190304164946710"</f>
        <v>20190304164946710</v>
      </c>
      <c r="B4881" t="str">
        <f>"1551689386700605"</f>
        <v>1551689386700605</v>
      </c>
      <c r="C4881" t="s">
        <v>40</v>
      </c>
      <c r="D4881">
        <v>4.6506449999999999</v>
      </c>
      <c r="E4881">
        <v>0.54531719999999995</v>
      </c>
      <c r="F4881" t="s">
        <v>41</v>
      </c>
      <c r="G4881">
        <v>-260.91340000000002</v>
      </c>
      <c r="H4881">
        <v>1.0274509999999999</v>
      </c>
      <c r="I4881">
        <v>141.68459999999999</v>
      </c>
      <c r="J4881">
        <v>-260.4239</v>
      </c>
      <c r="K4881">
        <v>1.1112359999999999</v>
      </c>
      <c r="L4881">
        <v>141.66820000000001</v>
      </c>
      <c r="M4881">
        <v>-0.9998437</v>
      </c>
      <c r="N4881">
        <v>-1.456088E-2</v>
      </c>
      <c r="O4881">
        <v>1.0038679999999999E-2</v>
      </c>
      <c r="P4881">
        <v>-0.92607660000000003</v>
      </c>
      <c r="Q4881">
        <v>0.37345240000000002</v>
      </c>
      <c r="R4881">
        <v>-5.3999030000000003E-2</v>
      </c>
      <c r="S4881">
        <v>-3.384979</v>
      </c>
      <c r="T4881">
        <v>-0.34837790000000002</v>
      </c>
      <c r="U4881">
        <v>8.0398559999999994E-2</v>
      </c>
      <c r="V4881">
        <v>-6.3485529999999998E-2</v>
      </c>
      <c r="W4881">
        <v>0.38685760000000002</v>
      </c>
      <c r="X4881">
        <v>0.91995150000000003</v>
      </c>
      <c r="Y4881">
        <v>1.3663410000000001E-2</v>
      </c>
      <c r="Z4881" s="1">
        <v>-8.3469899999999897E-5</v>
      </c>
      <c r="AA4881">
        <v>0.99990670000000004</v>
      </c>
      <c r="AB4881">
        <v>34</v>
      </c>
      <c r="AC4881">
        <v>-0.48950000000001997</v>
      </c>
      <c r="AD4881">
        <v>-8.3784999999999998E-2</v>
      </c>
      <c r="AE4881">
        <v>1.6399999999975899E-2</v>
      </c>
      <c r="AF4881">
        <v>1.1158181399198599E-2</v>
      </c>
      <c r="AG4881">
        <v>-8.3784999999999998E-2</v>
      </c>
      <c r="AH4881">
        <v>0.47571835883928498</v>
      </c>
      <c r="AI4881">
        <v>99.985980018529702</v>
      </c>
      <c r="AJ4881">
        <v>88.656348895506397</v>
      </c>
      <c r="AK4881">
        <v>0.48316910929185097</v>
      </c>
      <c r="AL4881">
        <v>67.240888875014704</v>
      </c>
      <c r="AM4881">
        <v>93.947702808448895</v>
      </c>
      <c r="AN4881">
        <v>0.99999998877469498</v>
      </c>
    </row>
    <row r="4882" spans="1:40" x14ac:dyDescent="0.25">
      <c r="A4882" t="str">
        <f>"20190304164946725"</f>
        <v>20190304164946725</v>
      </c>
      <c r="B4882" t="str">
        <f>"1551689386721097"</f>
        <v>1551689386721097</v>
      </c>
      <c r="C4882" t="s">
        <v>40</v>
      </c>
      <c r="D4882">
        <v>4.6202889999999996</v>
      </c>
      <c r="E4882">
        <v>0.54447500000000004</v>
      </c>
      <c r="F4882" t="s">
        <v>41</v>
      </c>
      <c r="G4882">
        <v>-261.2158</v>
      </c>
      <c r="H4882">
        <v>1.0301769999999999</v>
      </c>
      <c r="I4882">
        <v>141.68559999999999</v>
      </c>
      <c r="J4882">
        <v>-260.6302</v>
      </c>
      <c r="K4882">
        <v>1.1112379999999999</v>
      </c>
      <c r="L4882">
        <v>141.66999999999999</v>
      </c>
      <c r="M4882">
        <v>-0.99984530000000005</v>
      </c>
      <c r="N4882">
        <v>-1.455833E-2</v>
      </c>
      <c r="O4882">
        <v>9.8727580000000006E-3</v>
      </c>
      <c r="P4882">
        <v>-0.92600899999999997</v>
      </c>
      <c r="Q4882">
        <v>0.37359019999999998</v>
      </c>
      <c r="R4882">
        <v>-5.4201569999999998E-2</v>
      </c>
      <c r="S4882">
        <v>-3.3834840000000002</v>
      </c>
      <c r="T4882">
        <v>-0.34641549999999999</v>
      </c>
      <c r="U4882">
        <v>7.3867799999999997E-2</v>
      </c>
      <c r="V4882">
        <v>-6.3537819999999995E-2</v>
      </c>
      <c r="W4882">
        <v>0.38699129999999998</v>
      </c>
      <c r="X4882">
        <v>0.91989169999999998</v>
      </c>
      <c r="Y4882">
        <v>1.192092E-2</v>
      </c>
      <c r="Z4882">
        <v>-1.6897360000000001E-4</v>
      </c>
      <c r="AA4882">
        <v>0.99992899999999996</v>
      </c>
      <c r="AB4882">
        <v>34</v>
      </c>
      <c r="AC4882">
        <v>-0.58559999999999901</v>
      </c>
      <c r="AD4882">
        <v>-8.10609999999998E-2</v>
      </c>
      <c r="AE4882">
        <v>1.5600000000006199E-2</v>
      </c>
      <c r="AF4882">
        <v>9.6326970489163492E-3</v>
      </c>
      <c r="AG4882">
        <v>-8.10609999999998E-2</v>
      </c>
      <c r="AH4882">
        <v>0.57472097433708003</v>
      </c>
      <c r="AI4882">
        <v>98.027161537662806</v>
      </c>
      <c r="AJ4882">
        <v>89.039775406548998</v>
      </c>
      <c r="AK4882">
        <v>0.58048933919271795</v>
      </c>
      <c r="AL4882">
        <v>67.232582367600401</v>
      </c>
      <c r="AM4882">
        <v>93.951200077374907</v>
      </c>
      <c r="AN4882">
        <v>1.0000000302874601</v>
      </c>
    </row>
    <row r="4883" spans="1:40" x14ac:dyDescent="0.25">
      <c r="A4883" t="str">
        <f>"20190304164946744"</f>
        <v>20190304164946744</v>
      </c>
      <c r="B4883" t="str">
        <f>"1551689386740617"</f>
        <v>1551689386740617</v>
      </c>
      <c r="C4883" t="s">
        <v>40</v>
      </c>
      <c r="D4883">
        <v>4.6074570000000001</v>
      </c>
      <c r="E4883">
        <v>0.54368470000000002</v>
      </c>
      <c r="F4883" t="s">
        <v>41</v>
      </c>
      <c r="G4883">
        <v>-261.51220000000001</v>
      </c>
      <c r="H4883">
        <v>1.0217099999999999</v>
      </c>
      <c r="I4883">
        <v>141.68770000000001</v>
      </c>
      <c r="J4883">
        <v>-260.92720000000003</v>
      </c>
      <c r="K4883">
        <v>1.111243</v>
      </c>
      <c r="L4883">
        <v>141.67269999999999</v>
      </c>
      <c r="M4883">
        <v>-0.99984779999999995</v>
      </c>
      <c r="N4883">
        <v>-1.455157E-2</v>
      </c>
      <c r="O4883">
        <v>9.6356879999999999E-3</v>
      </c>
      <c r="P4883">
        <v>-0.92594509999999997</v>
      </c>
      <c r="Q4883">
        <v>0.37374649999999998</v>
      </c>
      <c r="R4883">
        <v>-5.4217170000000002E-2</v>
      </c>
      <c r="S4883">
        <v>-3.3822019999999902</v>
      </c>
      <c r="T4883">
        <v>-0.3434142</v>
      </c>
      <c r="U4883">
        <v>6.7230219999999993E-2</v>
      </c>
      <c r="V4883">
        <v>-6.3338329999999998E-2</v>
      </c>
      <c r="W4883">
        <v>0.38713979999999998</v>
      </c>
      <c r="X4883">
        <v>0.91984290000000002</v>
      </c>
      <c r="Y4883">
        <v>1.0214269999999999E-2</v>
      </c>
      <c r="Z4883">
        <v>-2.440996E-4</v>
      </c>
      <c r="AA4883">
        <v>0.99994780000000005</v>
      </c>
      <c r="AB4883">
        <v>34</v>
      </c>
      <c r="AC4883">
        <v>-0.58499999999997898</v>
      </c>
      <c r="AD4883">
        <v>-8.9532999999999793E-2</v>
      </c>
      <c r="AE4883">
        <v>1.5000000000014699E-2</v>
      </c>
      <c r="AF4883">
        <v>9.1476980482739691E-3</v>
      </c>
      <c r="AG4883">
        <v>-8.9532999999999793E-2</v>
      </c>
      <c r="AH4883">
        <v>0.57173408738290898</v>
      </c>
      <c r="AI4883">
        <v>98.899058356742103</v>
      </c>
      <c r="AJ4883">
        <v>89.083350487519994</v>
      </c>
      <c r="AK4883">
        <v>0.57877431278880198</v>
      </c>
      <c r="AL4883">
        <v>67.223353088555598</v>
      </c>
      <c r="AM4883">
        <v>93.939041892580207</v>
      </c>
      <c r="AN4883">
        <v>0.99999996473581798</v>
      </c>
    </row>
    <row r="4884" spans="1:40" x14ac:dyDescent="0.25">
      <c r="A4884" t="str">
        <f>"20190304164946766"</f>
        <v>20190304164946766</v>
      </c>
      <c r="B4884" t="str">
        <f>"1551689386761113"</f>
        <v>1551689386761113</v>
      </c>
      <c r="C4884" t="s">
        <v>40</v>
      </c>
      <c r="D4884">
        <v>4.6383549999999998</v>
      </c>
      <c r="E4884">
        <v>0.5429503</v>
      </c>
      <c r="F4884" t="s">
        <v>41</v>
      </c>
      <c r="G4884">
        <v>-261.81270000000001</v>
      </c>
      <c r="H4884">
        <v>1.022052</v>
      </c>
      <c r="I4884">
        <v>141.6893</v>
      </c>
      <c r="J4884">
        <v>-261.26429999999999</v>
      </c>
      <c r="K4884">
        <v>1.111243</v>
      </c>
      <c r="L4884">
        <v>141.67570000000001</v>
      </c>
      <c r="M4884">
        <v>-0.99985060000000003</v>
      </c>
      <c r="N4884">
        <v>-1.45357E-2</v>
      </c>
      <c r="O4884">
        <v>9.3686619999999998E-3</v>
      </c>
      <c r="P4884">
        <v>-0.92597309999999999</v>
      </c>
      <c r="Q4884">
        <v>0.37368319999999999</v>
      </c>
      <c r="R4884">
        <v>-5.4175870000000001E-2</v>
      </c>
      <c r="S4884">
        <v>-3.3810730000000002</v>
      </c>
      <c r="T4884">
        <v>-0.3405048</v>
      </c>
      <c r="U4884">
        <v>6.3232419999999998E-2</v>
      </c>
      <c r="V4884">
        <v>-6.3053269999999995E-2</v>
      </c>
      <c r="W4884">
        <v>0.38706210000000002</v>
      </c>
      <c r="X4884">
        <v>0.91989520000000002</v>
      </c>
      <c r="Y4884">
        <v>9.3105440000000005E-3</v>
      </c>
      <c r="Z4884">
        <v>-2.6965309999999999E-4</v>
      </c>
      <c r="AA4884">
        <v>0.99995659999999997</v>
      </c>
      <c r="AB4884">
        <v>34</v>
      </c>
      <c r="AC4884">
        <v>-0.54840000000001499</v>
      </c>
      <c r="AD4884">
        <v>-8.9191000000000006E-2</v>
      </c>
      <c r="AE4884">
        <v>1.35999999999967E-2</v>
      </c>
      <c r="AF4884">
        <v>8.24317780607914E-3</v>
      </c>
      <c r="AG4884">
        <v>-8.9191000000000006E-2</v>
      </c>
      <c r="AH4884">
        <v>0.53437706927252904</v>
      </c>
      <c r="AI4884">
        <v>99.474584324590396</v>
      </c>
      <c r="AJ4884">
        <v>89.116238572589097</v>
      </c>
      <c r="AK4884">
        <v>0.54183192654700596</v>
      </c>
      <c r="AL4884">
        <v>67.228181803095396</v>
      </c>
      <c r="AM4884">
        <v>93.921147052728401</v>
      </c>
      <c r="AN4884">
        <v>0.99999998154857095</v>
      </c>
    </row>
    <row r="4885" spans="1:40" x14ac:dyDescent="0.25">
      <c r="A4885" t="str">
        <f>"20190304164946780"</f>
        <v>20190304164946780</v>
      </c>
      <c r="B4885" t="str">
        <f>"1551689386770874"</f>
        <v>1551689386770874</v>
      </c>
      <c r="C4885" t="s">
        <v>40</v>
      </c>
      <c r="D4885">
        <v>4.6120359999999998</v>
      </c>
      <c r="E4885">
        <v>0.54262379999999999</v>
      </c>
      <c r="F4885" t="s">
        <v>41</v>
      </c>
      <c r="G4885">
        <v>-262.11470000000003</v>
      </c>
      <c r="H4885">
        <v>1.0260530000000001</v>
      </c>
      <c r="I4885">
        <v>141.69069999999999</v>
      </c>
      <c r="J4885">
        <v>-261.47640000000001</v>
      </c>
      <c r="K4885">
        <v>1.11124</v>
      </c>
      <c r="L4885">
        <v>141.67760000000001</v>
      </c>
      <c r="M4885">
        <v>-0.99985230000000003</v>
      </c>
      <c r="N4885">
        <v>-1.451915E-2</v>
      </c>
      <c r="O4885">
        <v>9.2012740000000006E-3</v>
      </c>
      <c r="P4885">
        <v>-0.92598849999999999</v>
      </c>
      <c r="Q4885">
        <v>0.37367620000000001</v>
      </c>
      <c r="R4885">
        <v>-5.3959210000000001E-2</v>
      </c>
      <c r="S4885">
        <v>-3.3799440000000001</v>
      </c>
      <c r="T4885">
        <v>-0.33868789999999999</v>
      </c>
      <c r="U4885">
        <v>5.8486940000000001E-2</v>
      </c>
      <c r="V4885">
        <v>-6.2683240000000001E-2</v>
      </c>
      <c r="W4885">
        <v>0.38704050000000001</v>
      </c>
      <c r="X4885">
        <v>0.91992960000000001</v>
      </c>
      <c r="Y4885">
        <v>8.0872180000000002E-3</v>
      </c>
      <c r="Z4885">
        <v>-3.2327179999999998E-4</v>
      </c>
      <c r="AA4885">
        <v>0.99996719999999895</v>
      </c>
      <c r="AB4885">
        <v>34</v>
      </c>
      <c r="AC4885">
        <v>-0.63830000000001497</v>
      </c>
      <c r="AD4885">
        <v>-8.5186999999999902E-2</v>
      </c>
      <c r="AE4885">
        <v>1.30999999999801E-2</v>
      </c>
      <c r="AF4885">
        <v>7.0992590661323497E-3</v>
      </c>
      <c r="AG4885">
        <v>-8.5186999999999902E-2</v>
      </c>
      <c r="AH4885">
        <v>0.62722647302822698</v>
      </c>
      <c r="AI4885">
        <v>97.733834907996496</v>
      </c>
      <c r="AJ4885">
        <v>89.351525754556107</v>
      </c>
      <c r="AK4885">
        <v>0.63302470166314795</v>
      </c>
      <c r="AL4885">
        <v>67.2295245236634</v>
      </c>
      <c r="AM4885">
        <v>93.898061518532799</v>
      </c>
      <c r="AN4885">
        <v>1.00000000308665</v>
      </c>
    </row>
    <row r="4886" spans="1:40" x14ac:dyDescent="0.25">
      <c r="A4886" t="str">
        <f>"20190304164946794"</f>
        <v>20190304164946794</v>
      </c>
      <c r="B4886" t="str">
        <f>"1551689386790393"</f>
        <v>1551689386790393</v>
      </c>
      <c r="C4886" t="s">
        <v>40</v>
      </c>
      <c r="D4886">
        <v>4.5938429999999997</v>
      </c>
      <c r="E4886">
        <v>0.54209739999999995</v>
      </c>
      <c r="F4886" t="s">
        <v>41</v>
      </c>
      <c r="G4886">
        <v>-262.41030000000001</v>
      </c>
      <c r="H4886">
        <v>1.0178149999999999</v>
      </c>
      <c r="I4886">
        <v>141.69329999999999</v>
      </c>
      <c r="J4886">
        <v>-261.67500000000001</v>
      </c>
      <c r="K4886">
        <v>1.1112390000000001</v>
      </c>
      <c r="L4886">
        <v>141.67920000000001</v>
      </c>
      <c r="M4886">
        <v>-0.99985409999999997</v>
      </c>
      <c r="N4886">
        <v>-1.449844E-2</v>
      </c>
      <c r="O4886">
        <v>9.0443559999999999E-3</v>
      </c>
      <c r="P4886">
        <v>-0.92592549999999996</v>
      </c>
      <c r="Q4886">
        <v>0.37382690000000002</v>
      </c>
      <c r="R4886">
        <v>-5.399586E-2</v>
      </c>
      <c r="S4886">
        <v>-3.3795470000000001</v>
      </c>
      <c r="T4886">
        <v>-0.33815469999999997</v>
      </c>
      <c r="U4886">
        <v>5.6625370000000001E-2</v>
      </c>
      <c r="V4886">
        <v>-6.2575980000000003E-2</v>
      </c>
      <c r="W4886">
        <v>0.38717109999999999</v>
      </c>
      <c r="X4886">
        <v>0.91988190000000003</v>
      </c>
      <c r="Y4886">
        <v>7.6972259999999997E-3</v>
      </c>
      <c r="Z4886">
        <v>-3.3170820000000002E-4</v>
      </c>
      <c r="AA4886">
        <v>0.99997029999999998</v>
      </c>
      <c r="AB4886">
        <v>34</v>
      </c>
      <c r="AC4886">
        <v>-0.73529999999999496</v>
      </c>
      <c r="AD4886">
        <v>-9.3423999999999896E-2</v>
      </c>
      <c r="AE4886">
        <v>1.4099999999984901E-2</v>
      </c>
      <c r="AF4886">
        <v>7.3301222552063401E-3</v>
      </c>
      <c r="AG4886">
        <v>-9.3423999999999896E-2</v>
      </c>
      <c r="AH4886">
        <v>0.72371866682449904</v>
      </c>
      <c r="AI4886">
        <v>97.355194778849807</v>
      </c>
      <c r="AJ4886">
        <v>89.419704468992407</v>
      </c>
      <c r="AK4886">
        <v>0.72976056565047898</v>
      </c>
      <c r="AL4886">
        <v>67.221407978251804</v>
      </c>
      <c r="AM4886">
        <v>93.891613054990401</v>
      </c>
      <c r="AN4886">
        <v>0.99999996194788898</v>
      </c>
    </row>
    <row r="4887" spans="1:40" x14ac:dyDescent="0.25">
      <c r="A4887" t="str">
        <f>"20190304164946812"</f>
        <v>20190304164946812</v>
      </c>
      <c r="B4887" t="str">
        <f>"1551689386800154"</f>
        <v>1551689386800154</v>
      </c>
      <c r="C4887" t="s">
        <v>40</v>
      </c>
      <c r="D4887">
        <v>4.6005779999999996</v>
      </c>
      <c r="E4887">
        <v>0.5418307</v>
      </c>
      <c r="F4887" t="s">
        <v>41</v>
      </c>
      <c r="G4887">
        <v>-262.4212</v>
      </c>
      <c r="H4887">
        <v>1.036343</v>
      </c>
      <c r="I4887">
        <v>141.6909</v>
      </c>
      <c r="J4887">
        <v>-261.93680000000001</v>
      </c>
      <c r="K4887">
        <v>1.111232</v>
      </c>
      <c r="L4887">
        <v>141.6814</v>
      </c>
      <c r="M4887">
        <v>-0.99985650000000004</v>
      </c>
      <c r="N4887">
        <v>-1.445808E-2</v>
      </c>
      <c r="O4887">
        <v>8.8376989999999992E-3</v>
      </c>
      <c r="P4887">
        <v>-0.92591690000000004</v>
      </c>
      <c r="Q4887">
        <v>0.37380859999999999</v>
      </c>
      <c r="R4887">
        <v>-5.4271050000000001E-2</v>
      </c>
      <c r="S4887">
        <v>-3.3800659999999998</v>
      </c>
      <c r="T4887">
        <v>-0.33935510000000002</v>
      </c>
      <c r="U4887">
        <v>5.2154539999999999E-2</v>
      </c>
      <c r="V4887">
        <v>-6.2661350000000005E-2</v>
      </c>
      <c r="W4887">
        <v>0.38711570000000001</v>
      </c>
      <c r="X4887">
        <v>0.91989949999999998</v>
      </c>
      <c r="Y4887">
        <v>6.584683E-3</v>
      </c>
      <c r="Z4887">
        <v>-3.8004839999999999E-4</v>
      </c>
      <c r="AA4887">
        <v>0.99997820000000004</v>
      </c>
      <c r="AB4887">
        <v>34</v>
      </c>
      <c r="AC4887">
        <v>-0.484399999999993</v>
      </c>
      <c r="AD4887">
        <v>-7.48889999999999E-2</v>
      </c>
      <c r="AE4887">
        <v>9.5000000000027198E-3</v>
      </c>
      <c r="AF4887">
        <v>5.0964340341705097E-3</v>
      </c>
      <c r="AG4887">
        <v>-7.48889999999999E-2</v>
      </c>
      <c r="AH4887">
        <v>0.47316008922070901</v>
      </c>
      <c r="AI4887">
        <v>98.993320933216594</v>
      </c>
      <c r="AJ4887">
        <v>89.382887788274402</v>
      </c>
      <c r="AK4887">
        <v>0.479077035550875</v>
      </c>
      <c r="AL4887">
        <v>67.224852742744204</v>
      </c>
      <c r="AM4887">
        <v>93.896831558037405</v>
      </c>
      <c r="AN4887">
        <v>1.0000000500352799</v>
      </c>
    </row>
    <row r="4888" spans="1:40" x14ac:dyDescent="0.25">
      <c r="A4888" t="str">
        <f>"20190304164946836"</f>
        <v>20190304164946836</v>
      </c>
      <c r="B4888" t="str">
        <f>"1551689386830690"</f>
        <v>1551689386830690</v>
      </c>
      <c r="C4888" t="s">
        <v>40</v>
      </c>
      <c r="D4888">
        <v>4.6044780000000003</v>
      </c>
      <c r="E4888">
        <v>0.54099449999999905</v>
      </c>
      <c r="F4888" t="s">
        <v>41</v>
      </c>
      <c r="G4888">
        <v>-262.71749999999997</v>
      </c>
      <c r="H4888">
        <v>1.0326799999999901</v>
      </c>
      <c r="I4888">
        <v>141.69299999999899</v>
      </c>
      <c r="J4888">
        <v>-262.28539999999998</v>
      </c>
      <c r="K4888">
        <v>1.1112139999999999</v>
      </c>
      <c r="L4888">
        <v>141.6842</v>
      </c>
      <c r="M4888">
        <v>-0.99985999999999997</v>
      </c>
      <c r="N4888">
        <v>-1.4378520000000001E-2</v>
      </c>
      <c r="O4888">
        <v>8.5626629999999999E-3</v>
      </c>
      <c r="P4888">
        <v>-0.92600450000000001</v>
      </c>
      <c r="Q4888">
        <v>0.37351269999999998</v>
      </c>
      <c r="R4888">
        <v>-5.4807660000000001E-2</v>
      </c>
      <c r="S4888">
        <v>-3.3802189999999999</v>
      </c>
      <c r="T4888">
        <v>-0.34020250000000002</v>
      </c>
      <c r="U4888">
        <v>4.9194340000000003E-2</v>
      </c>
      <c r="V4888">
        <v>-6.2945609999999999E-2</v>
      </c>
      <c r="W4888">
        <v>0.38674720000000001</v>
      </c>
      <c r="X4888">
        <v>0.92003500000000005</v>
      </c>
      <c r="Y4888">
        <v>5.9860729999999997E-3</v>
      </c>
      <c r="Z4888">
        <v>-3.9307319999999998E-4</v>
      </c>
      <c r="AA4888">
        <v>0.99998200000000004</v>
      </c>
      <c r="AB4888">
        <v>34</v>
      </c>
      <c r="AC4888">
        <v>-0.43209999999999099</v>
      </c>
      <c r="AD4888">
        <v>-7.8534000000000104E-2</v>
      </c>
      <c r="AE4888">
        <v>8.7999999999794892E-3</v>
      </c>
      <c r="AF4888">
        <v>4.9363730759473898E-3</v>
      </c>
      <c r="AG4888">
        <v>-7.8534000000000104E-2</v>
      </c>
      <c r="AH4888">
        <v>0.418346054535919</v>
      </c>
      <c r="AI4888">
        <v>100.631383535795</v>
      </c>
      <c r="AJ4888">
        <v>89.3239562923265</v>
      </c>
      <c r="AK4888">
        <v>0.425682250370996</v>
      </c>
      <c r="AL4888">
        <v>67.247747886481804</v>
      </c>
      <c r="AM4888">
        <v>93.913879783086102</v>
      </c>
      <c r="AN4888">
        <v>0.99999997387555495</v>
      </c>
    </row>
    <row r="4889" spans="1:40" x14ac:dyDescent="0.25">
      <c r="A4889" t="str">
        <f>"20190304164946858"</f>
        <v>20190304164946858</v>
      </c>
      <c r="B4889" t="str">
        <f>"1551689386850210"</f>
        <v>1551689386850210</v>
      </c>
      <c r="C4889" t="s">
        <v>40</v>
      </c>
      <c r="D4889">
        <v>4.6289759999999998</v>
      </c>
      <c r="E4889">
        <v>0.54059000000000001</v>
      </c>
      <c r="F4889" t="s">
        <v>41</v>
      </c>
      <c r="G4889">
        <v>-263.02050000000003</v>
      </c>
      <c r="H4889">
        <v>1.0365519999999999</v>
      </c>
      <c r="I4889">
        <v>141.69299999999899</v>
      </c>
      <c r="J4889">
        <v>-262.61430000000001</v>
      </c>
      <c r="K4889">
        <v>1.1111979999999999</v>
      </c>
      <c r="L4889">
        <v>141.6867</v>
      </c>
      <c r="M4889">
        <v>-0.99986370000000002</v>
      </c>
      <c r="N4889">
        <v>-1.4273549999999999E-2</v>
      </c>
      <c r="O4889">
        <v>8.304423E-3</v>
      </c>
      <c r="P4889">
        <v>-0.92598000000000003</v>
      </c>
      <c r="Q4889">
        <v>0.37352920000000001</v>
      </c>
      <c r="R4889">
        <v>-5.5110069999999997E-2</v>
      </c>
      <c r="S4889">
        <v>-3.3806150000000001</v>
      </c>
      <c r="T4889">
        <v>-0.34336339999999999</v>
      </c>
      <c r="U4889">
        <v>4.0191650000000002E-2</v>
      </c>
      <c r="V4889">
        <v>-6.3011529999999996E-2</v>
      </c>
      <c r="W4889">
        <v>0.38666679999999998</v>
      </c>
      <c r="X4889">
        <v>0.92006429999999995</v>
      </c>
      <c r="Y4889">
        <v>3.5933800000000002E-3</v>
      </c>
      <c r="Z4889">
        <v>-5.1524389999999995E-4</v>
      </c>
      <c r="AA4889">
        <v>0.99999340000000003</v>
      </c>
      <c r="AB4889">
        <v>34</v>
      </c>
      <c r="AC4889">
        <v>-0.406200000000012</v>
      </c>
      <c r="AD4889">
        <v>-7.4645999999999699E-2</v>
      </c>
      <c r="AE4889">
        <v>6.2999999999817603E-3</v>
      </c>
      <c r="AF4889">
        <v>2.8306152456119699E-3</v>
      </c>
      <c r="AG4889">
        <v>-7.4645999999999699E-2</v>
      </c>
      <c r="AH4889">
        <v>0.39297081402057599</v>
      </c>
      <c r="AI4889">
        <v>100.75509759507101</v>
      </c>
      <c r="AJ4889">
        <v>89.587298861997596</v>
      </c>
      <c r="AK4889">
        <v>0.40000762289069303</v>
      </c>
      <c r="AL4889">
        <v>67.252743506848404</v>
      </c>
      <c r="AM4889">
        <v>93.917841466480098</v>
      </c>
      <c r="AN4889">
        <v>0.99999999163483499</v>
      </c>
    </row>
    <row r="4890" spans="1:40" x14ac:dyDescent="0.25">
      <c r="A4890" t="str">
        <f>"20190304164946880"</f>
        <v>20190304164946880</v>
      </c>
      <c r="B4890" t="str">
        <f>"1551689386870706"</f>
        <v>1551689386870706</v>
      </c>
      <c r="C4890" t="s">
        <v>40</v>
      </c>
      <c r="D4890">
        <v>4.6275320000000004</v>
      </c>
      <c r="E4890">
        <v>0.5118933</v>
      </c>
      <c r="F4890" t="s">
        <v>41</v>
      </c>
      <c r="G4890">
        <v>-263.60399999999998</v>
      </c>
      <c r="H4890">
        <v>1.0106710000000001</v>
      </c>
      <c r="I4890">
        <v>141.69710000000001</v>
      </c>
      <c r="J4890">
        <v>-262.95999999999998</v>
      </c>
      <c r="K4890">
        <v>1.1111819999999999</v>
      </c>
      <c r="L4890">
        <v>141.6893</v>
      </c>
      <c r="M4890">
        <v>-0.99986770000000003</v>
      </c>
      <c r="N4890">
        <v>-1.41443E-2</v>
      </c>
      <c r="O4890">
        <v>8.0381540000000005E-3</v>
      </c>
      <c r="P4890">
        <v>-0.92579500000000003</v>
      </c>
      <c r="Q4890">
        <v>0.37395319999999999</v>
      </c>
      <c r="R4890">
        <v>-5.5344129999999998E-2</v>
      </c>
      <c r="S4890">
        <v>-3.3804020000000001</v>
      </c>
      <c r="T4890">
        <v>-0.3434159</v>
      </c>
      <c r="U4890">
        <v>3.5034179999999998E-2</v>
      </c>
      <c r="V4890">
        <v>-6.3002879999999997E-2</v>
      </c>
      <c r="W4890">
        <v>0.38696829999999999</v>
      </c>
      <c r="X4890">
        <v>0.91993809999999998</v>
      </c>
      <c r="Y4890">
        <v>2.3414030000000001E-3</v>
      </c>
      <c r="Z4890">
        <v>-5.6578569999999999E-4</v>
      </c>
      <c r="AA4890">
        <v>0.99999709999999997</v>
      </c>
      <c r="AB4890">
        <v>33</v>
      </c>
      <c r="AC4890">
        <v>-0.64400000000006197</v>
      </c>
      <c r="AD4890">
        <v>-0.100511</v>
      </c>
      <c r="AE4890">
        <v>7.80000000000313E-3</v>
      </c>
      <c r="AF4890">
        <v>2.5603024395329499E-3</v>
      </c>
      <c r="AG4890">
        <v>-0.100511</v>
      </c>
      <c r="AH4890">
        <v>0.62872907037774595</v>
      </c>
      <c r="AI4890">
        <v>99.082592178854895</v>
      </c>
      <c r="AJ4890">
        <v>89.766682152746498</v>
      </c>
      <c r="AK4890">
        <v>0.636717567063802</v>
      </c>
      <c r="AL4890">
        <v>67.234010019587004</v>
      </c>
      <c r="AM4890">
        <v>93.917841028452898</v>
      </c>
      <c r="AN4890">
        <v>0.99999996796239599</v>
      </c>
    </row>
    <row r="4891" spans="1:40" x14ac:dyDescent="0.25">
      <c r="A4891" t="str">
        <f>"20190304164946901"</f>
        <v>20190304164946901</v>
      </c>
      <c r="B4891" t="str">
        <f>"1551689386891202"</f>
        <v>1551689386891202</v>
      </c>
      <c r="C4891" t="s">
        <v>40</v>
      </c>
      <c r="D4891">
        <v>5.1188019999999996</v>
      </c>
      <c r="E4891">
        <v>0.51148459999999996</v>
      </c>
      <c r="F4891" t="s">
        <v>42</v>
      </c>
      <c r="G4891">
        <v>-274.30029999999999</v>
      </c>
      <c r="H4891" s="1">
        <v>-2.8047910000000002E-6</v>
      </c>
      <c r="I4891">
        <v>141.0343</v>
      </c>
      <c r="J4891">
        <v>-263.27859999999998</v>
      </c>
      <c r="K4891">
        <v>1.1111690000000001</v>
      </c>
      <c r="L4891">
        <v>141.69159999999999</v>
      </c>
      <c r="M4891">
        <v>-0.99987139999999997</v>
      </c>
      <c r="N4891">
        <v>-1.4020309999999999E-2</v>
      </c>
      <c r="O4891">
        <v>7.7958799999999998E-3</v>
      </c>
      <c r="P4891">
        <v>-0.92562809999999995</v>
      </c>
      <c r="Q4891">
        <v>0.37444050000000001</v>
      </c>
      <c r="R4891">
        <v>-5.483801E-2</v>
      </c>
      <c r="S4891">
        <v>-3.3619080000000001</v>
      </c>
      <c r="T4891">
        <v>-0.32941900000000002</v>
      </c>
      <c r="U4891">
        <v>-0.19415279999999999</v>
      </c>
      <c r="V4891">
        <v>-6.2275579999999997E-2</v>
      </c>
      <c r="W4891">
        <v>0.38733899999999999</v>
      </c>
      <c r="X4891">
        <v>0.91983159999999997</v>
      </c>
      <c r="Y4891">
        <v>-6.5053990000000006E-2</v>
      </c>
      <c r="Z4891">
        <v>-4.2871039999999999E-3</v>
      </c>
      <c r="AA4891">
        <v>0.99787250000000005</v>
      </c>
      <c r="AB4891">
        <v>33</v>
      </c>
      <c r="AC4891">
        <v>-11.021699999999999</v>
      </c>
      <c r="AD4891">
        <v>-1.111171804791</v>
      </c>
      <c r="AE4891">
        <v>-0.657299999999992</v>
      </c>
      <c r="AF4891">
        <v>-0.73576053404367303</v>
      </c>
      <c r="AG4891">
        <v>-1.111171804791</v>
      </c>
      <c r="AH4891">
        <v>10.9057865361879</v>
      </c>
      <c r="AI4891">
        <v>95.804587604896099</v>
      </c>
      <c r="AJ4891">
        <v>93.859619753315599</v>
      </c>
      <c r="AK4891">
        <v>10.9869115913488</v>
      </c>
      <c r="AL4891">
        <v>67.210973837281202</v>
      </c>
      <c r="AM4891">
        <v>93.873199255881104</v>
      </c>
      <c r="AN4891">
        <v>0.99999996057194696</v>
      </c>
    </row>
    <row r="4892" spans="1:40" x14ac:dyDescent="0.25">
      <c r="A4892" t="str">
        <f>"20190304164946916"</f>
        <v>20190304164946916</v>
      </c>
      <c r="B4892" t="str">
        <f>"1551689386910222"</f>
        <v>1551689386910222</v>
      </c>
      <c r="C4892" t="s">
        <v>40</v>
      </c>
      <c r="D4892">
        <v>4.6909739999999998</v>
      </c>
      <c r="E4892">
        <v>0.51110489999999997</v>
      </c>
      <c r="F4892" t="s">
        <v>42</v>
      </c>
      <c r="G4892">
        <v>-275.10930000000002</v>
      </c>
      <c r="H4892" s="1">
        <v>-2.4486580000000001E-6</v>
      </c>
      <c r="I4892">
        <v>141.0001</v>
      </c>
      <c r="J4892">
        <v>-263.50099999999998</v>
      </c>
      <c r="K4892">
        <v>1.1111580000000001</v>
      </c>
      <c r="L4892">
        <v>141.69309999999999</v>
      </c>
      <c r="M4892">
        <v>-0.99987389999999998</v>
      </c>
      <c r="N4892">
        <v>-1.393078E-2</v>
      </c>
      <c r="O4892">
        <v>7.62574699999999E-3</v>
      </c>
      <c r="P4892">
        <v>-0.92554499999999995</v>
      </c>
      <c r="Q4892">
        <v>0.3747221</v>
      </c>
      <c r="R4892">
        <v>-5.431478E-2</v>
      </c>
      <c r="S4892">
        <v>-3.3569949999999902</v>
      </c>
      <c r="T4892">
        <v>-0.31530049999999998</v>
      </c>
      <c r="U4892">
        <v>-0.1961823</v>
      </c>
      <c r="V4892">
        <v>-6.1595839999999999E-2</v>
      </c>
      <c r="W4892">
        <v>0.38753769999999998</v>
      </c>
      <c r="X4892">
        <v>0.91979370000000005</v>
      </c>
      <c r="Y4892">
        <v>-6.5597100000000005E-2</v>
      </c>
      <c r="Z4892">
        <v>-4.1378049999999996E-3</v>
      </c>
      <c r="AA4892">
        <v>0.99783759999999999</v>
      </c>
      <c r="AB4892">
        <v>33</v>
      </c>
      <c r="AC4892">
        <v>-11.6083</v>
      </c>
      <c r="AD4892">
        <v>-1.111160448658</v>
      </c>
      <c r="AE4892">
        <v>-0.69299999999998296</v>
      </c>
      <c r="AF4892">
        <v>-0.77443975155936196</v>
      </c>
      <c r="AG4892">
        <v>-1.111160448658</v>
      </c>
      <c r="AH4892">
        <v>11.4977031054937</v>
      </c>
      <c r="AI4892">
        <v>95.507630883229595</v>
      </c>
      <c r="AJ4892">
        <v>93.853396447089295</v>
      </c>
      <c r="AK4892">
        <v>11.5772022170098</v>
      </c>
      <c r="AL4892">
        <v>67.198625190868</v>
      </c>
      <c r="AM4892">
        <v>93.831207132207894</v>
      </c>
      <c r="AN4892">
        <v>0.99999998349314201</v>
      </c>
    </row>
    <row r="4893" spans="1:40" x14ac:dyDescent="0.25">
      <c r="A4893" t="str">
        <f>"20190304164946933"</f>
        <v>20190304164946933</v>
      </c>
      <c r="B4893" t="str">
        <f>"1551689386930719"</f>
        <v>1551689386930719</v>
      </c>
      <c r="C4893" t="s">
        <v>40</v>
      </c>
      <c r="D4893">
        <v>4.6901619999999999</v>
      </c>
      <c r="E4893">
        <v>0.51108759999999998</v>
      </c>
      <c r="F4893" t="s">
        <v>42</v>
      </c>
      <c r="G4893">
        <v>-276.08179999999999</v>
      </c>
      <c r="H4893" s="1">
        <v>-2.0190800000000002E-6</v>
      </c>
      <c r="I4893">
        <v>140.9537</v>
      </c>
      <c r="J4893">
        <v>-263.76499999999999</v>
      </c>
      <c r="K4893">
        <v>1.111143</v>
      </c>
      <c r="L4893">
        <v>141.69489999999999</v>
      </c>
      <c r="M4893">
        <v>-0.99987700000000002</v>
      </c>
      <c r="N4893">
        <v>-1.381714E-2</v>
      </c>
      <c r="O4893">
        <v>7.4149269999999896E-3</v>
      </c>
      <c r="P4893">
        <v>-0.92544649999999995</v>
      </c>
      <c r="Q4893">
        <v>0.37508170000000002</v>
      </c>
      <c r="R4893">
        <v>-5.3504250000000003E-2</v>
      </c>
      <c r="S4893">
        <v>-3.349548</v>
      </c>
      <c r="T4893">
        <v>-0.29583749999999998</v>
      </c>
      <c r="U4893">
        <v>-0.1968384</v>
      </c>
      <c r="V4893">
        <v>-6.0590119999999997E-2</v>
      </c>
      <c r="W4893">
        <v>0.38779180000000002</v>
      </c>
      <c r="X4893">
        <v>0.91975340000000005</v>
      </c>
      <c r="Y4893">
        <v>-6.5749950000000001E-2</v>
      </c>
      <c r="Z4893">
        <v>-3.9020159999999999E-3</v>
      </c>
      <c r="AA4893">
        <v>0.99782850000000001</v>
      </c>
      <c r="AB4893">
        <v>33</v>
      </c>
      <c r="AC4893">
        <v>-12.316800000000001</v>
      </c>
      <c r="AD4893">
        <v>-1.1111450190799901</v>
      </c>
      <c r="AE4893">
        <v>-0.74119999999999198</v>
      </c>
      <c r="AF4893">
        <v>-0.82581981202015498</v>
      </c>
      <c r="AG4893">
        <v>-1.1111450190799901</v>
      </c>
      <c r="AH4893">
        <v>12.211936335926101</v>
      </c>
      <c r="AI4893">
        <v>95.187155831721199</v>
      </c>
      <c r="AJ4893">
        <v>93.868679005983694</v>
      </c>
      <c r="AK4893">
        <v>12.290159099379601</v>
      </c>
      <c r="AL4893">
        <v>67.182831164921097</v>
      </c>
      <c r="AM4893">
        <v>93.768998667084801</v>
      </c>
      <c r="AN4893">
        <v>0.99999997980020705</v>
      </c>
    </row>
    <row r="4894" spans="1:40" x14ac:dyDescent="0.25">
      <c r="A4894" t="str">
        <f>"20190304164946958"</f>
        <v>20190304164946958</v>
      </c>
      <c r="B4894" t="str">
        <f>"1551689386950238"</f>
        <v>1551689386950238</v>
      </c>
      <c r="C4894" t="s">
        <v>40</v>
      </c>
      <c r="D4894">
        <v>4.6751060000000004</v>
      </c>
      <c r="E4894">
        <v>0.51090449999999998</v>
      </c>
      <c r="F4894" t="s">
        <v>42</v>
      </c>
      <c r="G4894">
        <v>-276.63209999999998</v>
      </c>
      <c r="H4894" s="1">
        <v>-1.7812880000000001E-6</v>
      </c>
      <c r="I4894">
        <v>140.94720000000001</v>
      </c>
      <c r="J4894">
        <v>-264.11149999999998</v>
      </c>
      <c r="K4894">
        <v>1.1111150000000001</v>
      </c>
      <c r="L4894">
        <v>141.69710000000001</v>
      </c>
      <c r="M4894">
        <v>-0.99988140000000003</v>
      </c>
      <c r="N4894">
        <v>-1.365652E-2</v>
      </c>
      <c r="O4894">
        <v>7.1306929999999996E-3</v>
      </c>
      <c r="P4894">
        <v>-0.92546390000000001</v>
      </c>
      <c r="Q4894">
        <v>0.37503249999999999</v>
      </c>
      <c r="R4894">
        <v>-5.3548610000000003E-2</v>
      </c>
      <c r="S4894">
        <v>-3.3475950000000001</v>
      </c>
      <c r="T4894">
        <v>-0.28908430000000002</v>
      </c>
      <c r="U4894">
        <v>-0.1945038</v>
      </c>
      <c r="V4894">
        <v>-6.0366120000000002E-2</v>
      </c>
      <c r="W4894">
        <v>0.38759660000000001</v>
      </c>
      <c r="X4894">
        <v>0.91985039999999996</v>
      </c>
      <c r="Y4894">
        <v>-6.4825090000000002E-2</v>
      </c>
      <c r="Z4894">
        <v>-3.7524569999999998E-3</v>
      </c>
      <c r="AA4894">
        <v>0.99788960000000004</v>
      </c>
      <c r="AB4894">
        <v>33</v>
      </c>
      <c r="AC4894">
        <v>-12.5206</v>
      </c>
      <c r="AD4894">
        <v>-1.1111167812879901</v>
      </c>
      <c r="AE4894">
        <v>-0.74989999999999601</v>
      </c>
      <c r="AF4894">
        <v>-0.83263595514024602</v>
      </c>
      <c r="AG4894">
        <v>-1.1111167812879901</v>
      </c>
      <c r="AH4894">
        <v>12.417491435359601</v>
      </c>
      <c r="AI4894">
        <v>95.101811385305794</v>
      </c>
      <c r="AJ4894">
        <v>93.836138704252306</v>
      </c>
      <c r="AK4894">
        <v>12.4948772175913</v>
      </c>
      <c r="AL4894">
        <v>67.194964152222298</v>
      </c>
      <c r="AM4894">
        <v>93.754709872847599</v>
      </c>
      <c r="AN4894">
        <v>0.99999997557778597</v>
      </c>
    </row>
    <row r="4895" spans="1:40" x14ac:dyDescent="0.25">
      <c r="A4895" t="str">
        <f>"20190304164946980"</f>
        <v>20190304164946980</v>
      </c>
      <c r="B4895" t="str">
        <f>"1551689386970737"</f>
        <v>1551689386970737</v>
      </c>
      <c r="C4895" t="s">
        <v>40</v>
      </c>
      <c r="D4895">
        <v>4.697152</v>
      </c>
      <c r="E4895">
        <v>0.51079149999999995</v>
      </c>
      <c r="F4895" t="s">
        <v>42</v>
      </c>
      <c r="G4895">
        <v>-277.17689999999999</v>
      </c>
      <c r="H4895" s="1">
        <v>-1.543954E-6</v>
      </c>
      <c r="I4895">
        <v>140.93360000000001</v>
      </c>
      <c r="J4895">
        <v>-264.45310000000001</v>
      </c>
      <c r="K4895">
        <v>1.111078</v>
      </c>
      <c r="L4895">
        <v>141.69919999999999</v>
      </c>
      <c r="M4895">
        <v>-0.99988560000000004</v>
      </c>
      <c r="N4895">
        <v>-1.348854E-2</v>
      </c>
      <c r="O4895">
        <v>6.8571119999999899E-3</v>
      </c>
      <c r="P4895">
        <v>-0.92534459999999996</v>
      </c>
      <c r="Q4895">
        <v>0.37527100000000002</v>
      </c>
      <c r="R4895">
        <v>-5.3934030000000001E-2</v>
      </c>
      <c r="S4895">
        <v>-3.345612</v>
      </c>
      <c r="T4895">
        <v>-0.28451959999999998</v>
      </c>
      <c r="U4895">
        <v>-0.1954803</v>
      </c>
      <c r="V4895">
        <v>-6.0485280000000002E-2</v>
      </c>
      <c r="W4895">
        <v>0.387681</v>
      </c>
      <c r="X4895">
        <v>0.91980700000000004</v>
      </c>
      <c r="Y4895">
        <v>-6.488592E-2</v>
      </c>
      <c r="Z4895">
        <v>-3.679996E-3</v>
      </c>
      <c r="AA4895">
        <v>0.99788589999999999</v>
      </c>
      <c r="AB4895">
        <v>33</v>
      </c>
      <c r="AC4895">
        <v>-12.723799999999899</v>
      </c>
      <c r="AD4895">
        <v>-1.111079543954</v>
      </c>
      <c r="AE4895">
        <v>-0.76559999999997697</v>
      </c>
      <c r="AF4895">
        <v>-0.84640762472987796</v>
      </c>
      <c r="AG4895">
        <v>-1.111079543954</v>
      </c>
      <c r="AH4895">
        <v>12.6223486091022</v>
      </c>
      <c r="AI4895">
        <v>95.019268590085801</v>
      </c>
      <c r="AJ4895">
        <v>93.8362981503074</v>
      </c>
      <c r="AK4895">
        <v>12.699393215028</v>
      </c>
      <c r="AL4895">
        <v>67.189718130644394</v>
      </c>
      <c r="AM4895">
        <v>93.762277237700005</v>
      </c>
      <c r="AN4895">
        <v>0.99999997205333802</v>
      </c>
    </row>
    <row r="4896" spans="1:40" x14ac:dyDescent="0.25">
      <c r="A4896" t="str">
        <f>"20190304164947001"</f>
        <v>20190304164947001</v>
      </c>
      <c r="B4896" t="str">
        <f>"1551689386990254"</f>
        <v>1551689386990254</v>
      </c>
      <c r="C4896" t="s">
        <v>40</v>
      </c>
      <c r="D4896">
        <v>4.7120319999999998</v>
      </c>
      <c r="E4896">
        <v>0.51083889999999998</v>
      </c>
      <c r="F4896" t="s">
        <v>42</v>
      </c>
      <c r="G4896">
        <v>-277.43430000000001</v>
      </c>
      <c r="H4896" s="1">
        <v>-1.4330610000000001E-6</v>
      </c>
      <c r="I4896">
        <v>140.93180000000001</v>
      </c>
      <c r="J4896">
        <v>-264.77460000000002</v>
      </c>
      <c r="K4896">
        <v>1.1110420000000001</v>
      </c>
      <c r="L4896">
        <v>141.7012</v>
      </c>
      <c r="M4896">
        <v>-0.99988940000000004</v>
      </c>
      <c r="N4896">
        <v>-1.3332510000000001E-2</v>
      </c>
      <c r="O4896">
        <v>6.6112799999999998E-3</v>
      </c>
      <c r="P4896">
        <v>-0.92517079999999996</v>
      </c>
      <c r="Q4896">
        <v>0.37554749999999998</v>
      </c>
      <c r="R4896">
        <v>-5.498604E-2</v>
      </c>
      <c r="S4896">
        <v>-3.3466800000000001</v>
      </c>
      <c r="T4896">
        <v>-0.28644910000000001</v>
      </c>
      <c r="U4896">
        <v>-0.19784550000000001</v>
      </c>
      <c r="V4896">
        <v>-6.1294719999999997E-2</v>
      </c>
      <c r="W4896">
        <v>0.38781339999999997</v>
      </c>
      <c r="X4896">
        <v>0.9196976</v>
      </c>
      <c r="Y4896">
        <v>-6.5320459999999997E-2</v>
      </c>
      <c r="Z4896">
        <v>-3.7011330000000001E-3</v>
      </c>
      <c r="AA4896">
        <v>0.99785749999999995</v>
      </c>
      <c r="AB4896">
        <v>33</v>
      </c>
      <c r="AC4896">
        <v>-12.6596999999999</v>
      </c>
      <c r="AD4896">
        <v>-1.111043433061</v>
      </c>
      <c r="AE4896">
        <v>-0.76939999999998998</v>
      </c>
      <c r="AF4896">
        <v>-0.84659080938480802</v>
      </c>
      <c r="AG4896">
        <v>-1.111043433061</v>
      </c>
      <c r="AH4896">
        <v>12.5579679756873</v>
      </c>
      <c r="AI4896">
        <v>95.044584806134296</v>
      </c>
      <c r="AJ4896">
        <v>93.856738429406093</v>
      </c>
      <c r="AK4896">
        <v>12.6354142467539</v>
      </c>
      <c r="AL4896">
        <v>67.181488403327094</v>
      </c>
      <c r="AM4896">
        <v>93.812930304600002</v>
      </c>
      <c r="AN4896">
        <v>0.99999997568259802</v>
      </c>
    </row>
    <row r="4897" spans="1:40" x14ac:dyDescent="0.25">
      <c r="A4897" t="str">
        <f>"20190304164947023"</f>
        <v>20190304164947023</v>
      </c>
      <c r="B4897" t="str">
        <f>"1551689387010750"</f>
        <v>1551689387010750</v>
      </c>
      <c r="C4897" t="s">
        <v>40</v>
      </c>
      <c r="D4897">
        <v>4.7578009999999997</v>
      </c>
      <c r="E4897">
        <v>0.51067220000000002</v>
      </c>
      <c r="F4897" t="s">
        <v>42</v>
      </c>
      <c r="G4897">
        <v>-277.46559999999999</v>
      </c>
      <c r="H4897" s="1">
        <v>-1.420539E-6</v>
      </c>
      <c r="I4897">
        <v>140.93530000000001</v>
      </c>
      <c r="J4897">
        <v>-265.09160000000003</v>
      </c>
      <c r="K4897">
        <v>1.1110040000000001</v>
      </c>
      <c r="L4897">
        <v>141.703</v>
      </c>
      <c r="M4897">
        <v>-0.99989269999999997</v>
      </c>
      <c r="N4897">
        <v>-1.318455E-2</v>
      </c>
      <c r="O4897">
        <v>6.3918050000000004E-3</v>
      </c>
      <c r="P4897">
        <v>-0.92519450000000003</v>
      </c>
      <c r="Q4897">
        <v>0.37527189999999999</v>
      </c>
      <c r="R4897">
        <v>-5.6444889999999998E-2</v>
      </c>
      <c r="S4897">
        <v>-3.34964</v>
      </c>
      <c r="T4897">
        <v>-0.29324670000000003</v>
      </c>
      <c r="U4897">
        <v>-0.20213320000000001</v>
      </c>
      <c r="V4897">
        <v>-6.2535569999999999E-2</v>
      </c>
      <c r="W4897">
        <v>0.38740409999999997</v>
      </c>
      <c r="X4897">
        <v>0.91978660000000001</v>
      </c>
      <c r="Y4897">
        <v>-6.6306080000000003E-2</v>
      </c>
      <c r="Z4897">
        <v>-3.8066990000000002E-3</v>
      </c>
      <c r="AA4897">
        <v>0.99779209999999996</v>
      </c>
      <c r="AB4897">
        <v>33</v>
      </c>
      <c r="AC4897">
        <v>-12.373999999999899</v>
      </c>
      <c r="AD4897">
        <v>-1.1110054205390001</v>
      </c>
      <c r="AE4897">
        <v>-0.76769999999998995</v>
      </c>
      <c r="AF4897">
        <v>-0.84003744355335797</v>
      </c>
      <c r="AG4897">
        <v>-1.1110054205390001</v>
      </c>
      <c r="AH4897">
        <v>12.2703028513973</v>
      </c>
      <c r="AI4897">
        <v>95.161679430803204</v>
      </c>
      <c r="AJ4897">
        <v>93.916416478648401</v>
      </c>
      <c r="AK4897">
        <v>12.349102316202901</v>
      </c>
      <c r="AL4897">
        <v>67.206929232842299</v>
      </c>
      <c r="AM4897">
        <v>93.889509380922803</v>
      </c>
      <c r="AN4897">
        <v>1.0000000118757899</v>
      </c>
    </row>
    <row r="4898" spans="1:40" x14ac:dyDescent="0.25">
      <c r="A4898" t="str">
        <f>"20190304164947059"</f>
        <v>20190304164947059</v>
      </c>
      <c r="B4898" t="str">
        <f>"1551689387050765"</f>
        <v>1551689387050765</v>
      </c>
      <c r="C4898" t="s">
        <v>40</v>
      </c>
      <c r="D4898">
        <v>4.7466929999999996</v>
      </c>
      <c r="E4898">
        <v>0.51008509999999996</v>
      </c>
      <c r="F4898" t="s">
        <v>42</v>
      </c>
      <c r="G4898">
        <v>-277.55799999999999</v>
      </c>
      <c r="H4898" s="1">
        <v>-1.3774440000000001E-6</v>
      </c>
      <c r="I4898">
        <v>140.92230000000001</v>
      </c>
      <c r="J4898">
        <v>-265.6361</v>
      </c>
      <c r="K4898">
        <v>1.1109420000000001</v>
      </c>
      <c r="L4898">
        <v>141.7062</v>
      </c>
      <c r="M4898">
        <v>-0.9998977</v>
      </c>
      <c r="N4898">
        <v>-1.294607E-2</v>
      </c>
      <c r="O4898">
        <v>6.0942390000000004E-3</v>
      </c>
      <c r="P4898">
        <v>-0.92504529999999996</v>
      </c>
      <c r="Q4898">
        <v>0.37534519999999999</v>
      </c>
      <c r="R4898">
        <v>-5.8373870000000001E-2</v>
      </c>
      <c r="S4898">
        <v>-3.3508909999999998</v>
      </c>
      <c r="T4898">
        <v>-0.29863129999999999</v>
      </c>
      <c r="U4898">
        <v>-0.20983889999999999</v>
      </c>
      <c r="V4898">
        <v>-6.4152780000000006E-2</v>
      </c>
      <c r="W4898">
        <v>0.38726120000000003</v>
      </c>
      <c r="X4898">
        <v>0.91973539999999998</v>
      </c>
      <c r="Y4898">
        <v>-6.8254579999999995E-2</v>
      </c>
      <c r="Z4898">
        <v>-3.9385720000000004E-3</v>
      </c>
      <c r="AA4898">
        <v>0.9976602</v>
      </c>
      <c r="AB4898">
        <v>33</v>
      </c>
      <c r="AC4898">
        <v>-11.9218999999999</v>
      </c>
      <c r="AD4898">
        <v>-1.1109433774439901</v>
      </c>
      <c r="AE4898">
        <v>-0.78389999999998805</v>
      </c>
      <c r="AF4898">
        <v>-0.84920414446301096</v>
      </c>
      <c r="AG4898">
        <v>-1.1109433774439901</v>
      </c>
      <c r="AH4898">
        <v>11.814749617305001</v>
      </c>
      <c r="AI4898">
        <v>95.357997765530598</v>
      </c>
      <c r="AJ4898">
        <v>94.111156346996395</v>
      </c>
      <c r="AK4898">
        <v>11.897211916514999</v>
      </c>
      <c r="AL4898">
        <v>67.215810016342004</v>
      </c>
      <c r="AM4898">
        <v>93.989995208667196</v>
      </c>
      <c r="AN4898">
        <v>1.0000000111101599</v>
      </c>
    </row>
    <row r="4899" spans="1:40" x14ac:dyDescent="0.25">
      <c r="A4899" t="str">
        <f>"20190304164947081"</f>
        <v>20190304164947081</v>
      </c>
      <c r="B4899" t="str">
        <f>"1551689387070286"</f>
        <v>1551689387070286</v>
      </c>
      <c r="C4899" t="s">
        <v>40</v>
      </c>
      <c r="D4899">
        <v>4.7635439999999996</v>
      </c>
      <c r="E4899">
        <v>0.51008450000000005</v>
      </c>
      <c r="F4899" t="s">
        <v>42</v>
      </c>
      <c r="G4899">
        <v>-278.09530000000001</v>
      </c>
      <c r="H4899" s="1">
        <v>-1.1361030000000001E-6</v>
      </c>
      <c r="I4899">
        <v>140.88149999999999</v>
      </c>
      <c r="J4899">
        <v>-265.97500000000002</v>
      </c>
      <c r="K4899">
        <v>1.1108979999999999</v>
      </c>
      <c r="L4899">
        <v>141.7081</v>
      </c>
      <c r="M4899">
        <v>-0.99990020000000002</v>
      </c>
      <c r="N4899">
        <v>-1.280533E-2</v>
      </c>
      <c r="O4899">
        <v>5.970983E-3</v>
      </c>
      <c r="P4899">
        <v>-0.92497059999999998</v>
      </c>
      <c r="Q4899">
        <v>0.37523390000000001</v>
      </c>
      <c r="R4899">
        <v>-6.0238819999999998E-2</v>
      </c>
      <c r="S4899">
        <v>-3.3502809999999998</v>
      </c>
      <c r="T4899">
        <v>-0.29873379999999999</v>
      </c>
      <c r="U4899">
        <v>-0.22174070000000001</v>
      </c>
      <c r="V4899">
        <v>-6.5873680000000004E-2</v>
      </c>
      <c r="W4899">
        <v>0.38702379999999997</v>
      </c>
      <c r="X4899">
        <v>0.91971369999999997</v>
      </c>
      <c r="Y4899">
        <v>-7.1657139999999994E-2</v>
      </c>
      <c r="Z4899">
        <v>-4.0998420000000002E-3</v>
      </c>
      <c r="AA4899">
        <v>0.99742090000000005</v>
      </c>
      <c r="AB4899">
        <v>33</v>
      </c>
      <c r="AC4899">
        <v>-12.120299999999901</v>
      </c>
      <c r="AD4899">
        <v>-1.1108991361029901</v>
      </c>
      <c r="AE4899">
        <v>-0.82660000000001299</v>
      </c>
      <c r="AF4899">
        <v>-0.89150657291135005</v>
      </c>
      <c r="AG4899">
        <v>-1.1108991361029901</v>
      </c>
      <c r="AH4899">
        <v>12.014681795751001</v>
      </c>
      <c r="AI4899">
        <v>95.268249734218699</v>
      </c>
      <c r="AJ4899">
        <v>94.243651880970702</v>
      </c>
      <c r="AK4899">
        <v>12.0988205835647</v>
      </c>
      <c r="AL4899">
        <v>67.230562804512601</v>
      </c>
      <c r="AM4899">
        <v>94.096763585508896</v>
      </c>
      <c r="AN4899">
        <v>1.0000000267254301</v>
      </c>
    </row>
    <row r="4900" spans="1:40" x14ac:dyDescent="0.25">
      <c r="A4900" t="str">
        <f>"20190304164947101"</f>
        <v>20190304164947101</v>
      </c>
      <c r="B4900" t="str">
        <f>"1551689387090782"</f>
        <v>1551689387090782</v>
      </c>
      <c r="C4900" t="s">
        <v>40</v>
      </c>
      <c r="D4900">
        <v>4.8302579999999997</v>
      </c>
      <c r="E4900">
        <v>0.51012639999999998</v>
      </c>
      <c r="F4900" t="s">
        <v>42</v>
      </c>
      <c r="G4900">
        <v>-278.26560000000001</v>
      </c>
      <c r="H4900" s="1">
        <v>-1.058303E-6</v>
      </c>
      <c r="I4900">
        <v>140.86369999999999</v>
      </c>
      <c r="J4900">
        <v>-266.27080000000001</v>
      </c>
      <c r="K4900">
        <v>1.1108640000000001</v>
      </c>
      <c r="L4900">
        <v>141.7097</v>
      </c>
      <c r="M4900">
        <v>-0.99990219999999996</v>
      </c>
      <c r="N4900">
        <v>-1.268727E-2</v>
      </c>
      <c r="O4900">
        <v>5.8935200000000002E-3</v>
      </c>
      <c r="P4900">
        <v>-0.92485090000000003</v>
      </c>
      <c r="Q4900">
        <v>0.37522030000000001</v>
      </c>
      <c r="R4900">
        <v>-6.2134410000000001E-2</v>
      </c>
      <c r="S4900">
        <v>-3.3512270000000002</v>
      </c>
      <c r="T4900">
        <v>-0.30290349999999999</v>
      </c>
      <c r="U4900">
        <v>-0.23020940000000001</v>
      </c>
      <c r="V4900">
        <v>-6.7670939999999999E-2</v>
      </c>
      <c r="W4900">
        <v>0.38690419999999998</v>
      </c>
      <c r="X4900">
        <v>0.91963349999999999</v>
      </c>
      <c r="Y4900">
        <v>-7.4050809999999995E-2</v>
      </c>
      <c r="Z4900">
        <v>-4.263724E-3</v>
      </c>
      <c r="AA4900">
        <v>0.99724539999999995</v>
      </c>
      <c r="AB4900">
        <v>33</v>
      </c>
      <c r="AC4900">
        <v>-11.9947999999999</v>
      </c>
      <c r="AD4900">
        <v>-1.11086505830299</v>
      </c>
      <c r="AE4900">
        <v>-0.84600000000000297</v>
      </c>
      <c r="AF4900">
        <v>-0.90892530077790201</v>
      </c>
      <c r="AG4900">
        <v>-1.11086505830299</v>
      </c>
      <c r="AH4900">
        <v>11.888145156062301</v>
      </c>
      <c r="AI4900">
        <v>95.322947712591102</v>
      </c>
      <c r="AJ4900">
        <v>94.372125565223101</v>
      </c>
      <c r="AK4900">
        <v>11.974479597534099</v>
      </c>
      <c r="AL4900">
        <v>67.2379935765331</v>
      </c>
      <c r="AM4900">
        <v>94.208506794387603</v>
      </c>
      <c r="AN4900">
        <v>0.99999999521018601</v>
      </c>
    </row>
    <row r="4901" spans="1:40" x14ac:dyDescent="0.25">
      <c r="A4901" t="str">
        <f>"20190304164947122"</f>
        <v>20190304164947122</v>
      </c>
      <c r="B4901" t="str">
        <f>"1551689387110302"</f>
        <v>1551689387110302</v>
      </c>
      <c r="C4901" t="s">
        <v>40</v>
      </c>
      <c r="D4901">
        <v>4.7718550000000004</v>
      </c>
      <c r="E4901">
        <v>0.5244761</v>
      </c>
      <c r="F4901" t="s">
        <v>42</v>
      </c>
      <c r="G4901">
        <v>-278.49979999999999</v>
      </c>
      <c r="H4901" s="1">
        <v>-9.520501E-7</v>
      </c>
      <c r="I4901">
        <v>140.84200000000001</v>
      </c>
      <c r="J4901">
        <v>-266.59059999999999</v>
      </c>
      <c r="K4901">
        <v>1.110824</v>
      </c>
      <c r="L4901">
        <v>141.7116</v>
      </c>
      <c r="M4901">
        <v>-0.99990420000000002</v>
      </c>
      <c r="N4901">
        <v>-1.2558629999999999E-2</v>
      </c>
      <c r="O4901">
        <v>5.8398369999999996E-3</v>
      </c>
      <c r="P4901">
        <v>-0.92434850000000002</v>
      </c>
      <c r="Q4901">
        <v>0.37609789999999998</v>
      </c>
      <c r="R4901">
        <v>-6.4272270000000006E-2</v>
      </c>
      <c r="S4901">
        <v>-3.3512879999999998</v>
      </c>
      <c r="T4901">
        <v>-0.30442550000000002</v>
      </c>
      <c r="U4901">
        <v>-0.237793</v>
      </c>
      <c r="V4901">
        <v>-6.9729219999999995E-2</v>
      </c>
      <c r="W4901">
        <v>0.38766129999999999</v>
      </c>
      <c r="X4901">
        <v>0.9191608</v>
      </c>
      <c r="Y4901">
        <v>-7.6228569999999995E-2</v>
      </c>
      <c r="Z4901">
        <v>-4.3868500000000003E-3</v>
      </c>
      <c r="AA4901">
        <v>0.99708070000000004</v>
      </c>
      <c r="AB4901">
        <v>33</v>
      </c>
      <c r="AC4901">
        <v>-11.909199999999901</v>
      </c>
      <c r="AD4901">
        <v>-1.1108249520500999</v>
      </c>
      <c r="AE4901">
        <v>-0.86959999999999105</v>
      </c>
      <c r="AF4901">
        <v>-0.93108086371277798</v>
      </c>
      <c r="AG4901">
        <v>-1.1108249520500999</v>
      </c>
      <c r="AH4901">
        <v>11.8017855732482</v>
      </c>
      <c r="AI4901">
        <v>95.360477021011206</v>
      </c>
      <c r="AJ4901">
        <v>94.510905176682897</v>
      </c>
      <c r="AK4901">
        <v>11.890457786216601</v>
      </c>
      <c r="AL4901">
        <v>67.190943576262995</v>
      </c>
      <c r="AM4901">
        <v>94.338253156225306</v>
      </c>
      <c r="AN4901">
        <v>1.0000000119480601</v>
      </c>
    </row>
    <row r="4902" spans="1:40" x14ac:dyDescent="0.25">
      <c r="A4902" t="str">
        <f>"20190304164947146"</f>
        <v>20190304164947146</v>
      </c>
      <c r="B4902" t="str">
        <f>"1551689387140559"</f>
        <v>1551689387140559</v>
      </c>
      <c r="C4902" t="s">
        <v>40</v>
      </c>
      <c r="D4902">
        <v>4.7309229999999998</v>
      </c>
      <c r="E4902">
        <v>0.53040390000000004</v>
      </c>
      <c r="F4902" t="s">
        <v>41</v>
      </c>
      <c r="G4902">
        <v>-267.49259999999998</v>
      </c>
      <c r="H4902">
        <v>1.008575</v>
      </c>
      <c r="I4902">
        <v>141.67500000000001</v>
      </c>
      <c r="J4902">
        <v>-266.93239999999997</v>
      </c>
      <c r="K4902">
        <v>1.1107860000000001</v>
      </c>
      <c r="L4902">
        <v>141.71350000000001</v>
      </c>
      <c r="M4902">
        <v>-0.99990619999999997</v>
      </c>
      <c r="N4902">
        <v>-1.2416419999999999E-2</v>
      </c>
      <c r="O4902">
        <v>5.8095309999999997E-3</v>
      </c>
      <c r="P4902">
        <v>-0.92394969999999998</v>
      </c>
      <c r="Q4902">
        <v>0.37684289999999998</v>
      </c>
      <c r="R4902">
        <v>-6.5625149999999993E-2</v>
      </c>
      <c r="S4902">
        <v>-3.3924259999999999</v>
      </c>
      <c r="T4902">
        <v>-0.3846347</v>
      </c>
      <c r="U4902">
        <v>-0.13833619999999999</v>
      </c>
      <c r="V4902">
        <v>-7.1028939999999999E-2</v>
      </c>
      <c r="W4902">
        <v>0.38827430000000002</v>
      </c>
      <c r="X4902">
        <v>0.91880249999999997</v>
      </c>
      <c r="Y4902">
        <v>-4.6191000000000003E-2</v>
      </c>
      <c r="Z4902">
        <v>-3.4814820000000002E-3</v>
      </c>
      <c r="AA4902">
        <v>0.9989266</v>
      </c>
      <c r="AB4902">
        <v>33</v>
      </c>
      <c r="AC4902">
        <v>-0.56020000000000802</v>
      </c>
      <c r="AD4902">
        <v>-0.102211</v>
      </c>
      <c r="AE4902">
        <v>-3.8499999999999E-2</v>
      </c>
      <c r="AF4902">
        <v>-4.0415023071710701E-2</v>
      </c>
      <c r="AG4902">
        <v>-0.102211</v>
      </c>
      <c r="AH4902">
        <v>0.54200841811779799</v>
      </c>
      <c r="AI4902">
        <v>100.65043677166101</v>
      </c>
      <c r="AJ4902">
        <v>94.264385658734696</v>
      </c>
      <c r="AK4902">
        <v>0.55304031310696</v>
      </c>
      <c r="AL4902">
        <v>67.152837076033094</v>
      </c>
      <c r="AM4902">
        <v>94.420515157417697</v>
      </c>
      <c r="AN4902">
        <v>1.0000000381821299</v>
      </c>
    </row>
    <row r="4903" spans="1:40" x14ac:dyDescent="0.25">
      <c r="A4903" t="str">
        <f>"20190304164947168"</f>
        <v>20190304164947168</v>
      </c>
      <c r="B4903" t="str">
        <f>"1551689387161057"</f>
        <v>1551689387161057</v>
      </c>
      <c r="C4903" t="s">
        <v>40</v>
      </c>
      <c r="D4903">
        <v>4.7433649999999998</v>
      </c>
      <c r="E4903">
        <v>0.5302635</v>
      </c>
      <c r="F4903" t="s">
        <v>41</v>
      </c>
      <c r="G4903">
        <v>-267.77870000000001</v>
      </c>
      <c r="H4903">
        <v>0.9825275</v>
      </c>
      <c r="I4903">
        <v>141.68690000000001</v>
      </c>
      <c r="J4903">
        <v>-267.28579999999999</v>
      </c>
      <c r="K4903">
        <v>1.110751</v>
      </c>
      <c r="L4903">
        <v>141.71549999999999</v>
      </c>
      <c r="M4903">
        <v>-0.99990789999999996</v>
      </c>
      <c r="N4903">
        <v>-1.226811E-2</v>
      </c>
      <c r="O4903">
        <v>5.8021749999999997E-3</v>
      </c>
      <c r="P4903">
        <v>-0.92362979999999995</v>
      </c>
      <c r="Q4903">
        <v>0.37754500000000002</v>
      </c>
      <c r="R4903">
        <v>-6.6090179999999998E-2</v>
      </c>
      <c r="S4903">
        <v>-3.4526669999999999</v>
      </c>
      <c r="T4903">
        <v>-0.52338640000000003</v>
      </c>
      <c r="U4903">
        <v>-0.10903930000000001</v>
      </c>
      <c r="V4903">
        <v>-7.1466089999999996E-2</v>
      </c>
      <c r="W4903">
        <v>0.38883980000000001</v>
      </c>
      <c r="X4903">
        <v>0.91852940000000005</v>
      </c>
      <c r="Y4903">
        <v>-3.68536E-2</v>
      </c>
      <c r="Z4903">
        <v>-3.8078270000000002E-3</v>
      </c>
      <c r="AA4903">
        <v>0.99931340000000002</v>
      </c>
      <c r="AB4903">
        <v>34</v>
      </c>
      <c r="AC4903">
        <v>-0.49290000000001999</v>
      </c>
      <c r="AD4903">
        <v>-0.12822349999999999</v>
      </c>
      <c r="AE4903">
        <v>-2.8599999999983E-2</v>
      </c>
      <c r="AF4903">
        <v>-2.9471859037798E-2</v>
      </c>
      <c r="AG4903">
        <v>-0.12822349999999999</v>
      </c>
      <c r="AH4903">
        <v>0.46159302213986603</v>
      </c>
      <c r="AI4903">
        <v>105.49445172735</v>
      </c>
      <c r="AJ4903">
        <v>93.653270436114397</v>
      </c>
      <c r="AK4903">
        <v>0.47997705623874198</v>
      </c>
      <c r="AL4903">
        <v>67.117672998984602</v>
      </c>
      <c r="AM4903">
        <v>94.448929608501302</v>
      </c>
      <c r="AN4903">
        <v>1.0000000253741399</v>
      </c>
    </row>
    <row r="4904" spans="1:40" x14ac:dyDescent="0.25">
      <c r="A4904" t="str">
        <f>"20190304164947190"</f>
        <v>20190304164947190</v>
      </c>
      <c r="B4904" t="str">
        <f>"1551689387180574"</f>
        <v>1551689387180574</v>
      </c>
      <c r="C4904" t="s">
        <v>40</v>
      </c>
      <c r="D4904">
        <v>4.77562</v>
      </c>
      <c r="E4904">
        <v>0.53047449999999996</v>
      </c>
      <c r="F4904" t="s">
        <v>41</v>
      </c>
      <c r="G4904">
        <v>-268.08249999999998</v>
      </c>
      <c r="H4904">
        <v>0.99120900000000001</v>
      </c>
      <c r="I4904">
        <v>141.6901</v>
      </c>
      <c r="J4904">
        <v>-267.6028</v>
      </c>
      <c r="K4904">
        <v>1.1107180000000001</v>
      </c>
      <c r="L4904">
        <v>141.7174</v>
      </c>
      <c r="M4904">
        <v>-0.99990959999999995</v>
      </c>
      <c r="N4904">
        <v>-1.213648E-2</v>
      </c>
      <c r="O4904">
        <v>5.8130940000000004E-3</v>
      </c>
      <c r="P4904">
        <v>-0.92349959999999998</v>
      </c>
      <c r="Q4904">
        <v>0.3779245</v>
      </c>
      <c r="R4904">
        <v>-6.5742369999999994E-2</v>
      </c>
      <c r="S4904">
        <v>-3.4518430000000002</v>
      </c>
      <c r="T4904">
        <v>-0.51796540000000002</v>
      </c>
      <c r="U4904">
        <v>-0.11114499999999999</v>
      </c>
      <c r="V4904">
        <v>-7.111381E-2</v>
      </c>
      <c r="W4904">
        <v>0.38909890000000003</v>
      </c>
      <c r="X4904">
        <v>0.91844700000000001</v>
      </c>
      <c r="Y4904">
        <v>-3.7483549999999997E-2</v>
      </c>
      <c r="Z4904">
        <v>-3.821868E-3</v>
      </c>
      <c r="AA4904">
        <v>0.99928989999999995</v>
      </c>
      <c r="AB4904">
        <v>34</v>
      </c>
      <c r="AC4904">
        <v>-0.47969999999997898</v>
      </c>
      <c r="AD4904">
        <v>-0.119509</v>
      </c>
      <c r="AE4904">
        <v>-2.7299999999996698E-2</v>
      </c>
      <c r="AF4904">
        <v>-2.8335272944591001E-2</v>
      </c>
      <c r="AG4904">
        <v>-0.119509</v>
      </c>
      <c r="AH4904">
        <v>0.451594490814619</v>
      </c>
      <c r="AI4904">
        <v>104.795022664096</v>
      </c>
      <c r="AJ4904">
        <v>93.590314052044604</v>
      </c>
      <c r="AK4904">
        <v>0.46799879584028797</v>
      </c>
      <c r="AL4904">
        <v>67.101558295811301</v>
      </c>
      <c r="AM4904">
        <v>94.427482363026996</v>
      </c>
      <c r="AN4904">
        <v>1.0000000098814601</v>
      </c>
    </row>
    <row r="4905" spans="1:40" x14ac:dyDescent="0.25">
      <c r="A4905" t="str">
        <f>"20190304164947211"</f>
        <v>20190304164947211</v>
      </c>
      <c r="B4905" t="str">
        <f>"1551689387201074"</f>
        <v>1551689387201074</v>
      </c>
      <c r="C4905" t="s">
        <v>40</v>
      </c>
      <c r="D4905">
        <v>4.7631750000000004</v>
      </c>
      <c r="E4905">
        <v>0.53056759999999903</v>
      </c>
      <c r="F4905" t="s">
        <v>41</v>
      </c>
      <c r="G4905">
        <v>-268.38389999999998</v>
      </c>
      <c r="H4905">
        <v>0.99410620000000005</v>
      </c>
      <c r="I4905">
        <v>141.69309999999999</v>
      </c>
      <c r="J4905">
        <v>-267.92430000000002</v>
      </c>
      <c r="K4905">
        <v>1.110689</v>
      </c>
      <c r="L4905">
        <v>141.7193</v>
      </c>
      <c r="M4905">
        <v>-0.99991099999999999</v>
      </c>
      <c r="N4905">
        <v>-1.200121E-2</v>
      </c>
      <c r="O4905">
        <v>5.8356160000000001E-3</v>
      </c>
      <c r="P4905">
        <v>-0.92354309999999995</v>
      </c>
      <c r="Q4905">
        <v>0.37795400000000001</v>
      </c>
      <c r="R4905">
        <v>-6.4955260000000001E-2</v>
      </c>
      <c r="S4905">
        <v>-3.4516300000000002</v>
      </c>
      <c r="T4905">
        <v>-0.51531170000000004</v>
      </c>
      <c r="U4905">
        <v>-0.1085052</v>
      </c>
      <c r="V4905">
        <v>-7.0336319999999994E-2</v>
      </c>
      <c r="W4905">
        <v>0.3890072</v>
      </c>
      <c r="X4905">
        <v>0.91854570000000002</v>
      </c>
      <c r="Y4905">
        <v>-3.6758270000000003E-2</v>
      </c>
      <c r="Z4905">
        <v>-3.7466489999999999E-3</v>
      </c>
      <c r="AA4905">
        <v>0.99931720000000002</v>
      </c>
      <c r="AB4905">
        <v>34</v>
      </c>
      <c r="AC4905">
        <v>-0.45959999999996598</v>
      </c>
      <c r="AD4905">
        <v>-0.1165828</v>
      </c>
      <c r="AE4905">
        <v>-2.6200000000017099E-2</v>
      </c>
      <c r="AF4905">
        <v>-2.7141083402437802E-2</v>
      </c>
      <c r="AG4905">
        <v>-0.1165828</v>
      </c>
      <c r="AH4905">
        <v>0.43174875713571598</v>
      </c>
      <c r="AI4905">
        <v>105.082478947371</v>
      </c>
      <c r="AJ4905">
        <v>93.597059446945906</v>
      </c>
      <c r="AK4905">
        <v>0.44803479435456001</v>
      </c>
      <c r="AL4905">
        <v>67.107261447749806</v>
      </c>
      <c r="AM4905">
        <v>94.378797133439505</v>
      </c>
      <c r="AN4905">
        <v>1.00000000127573</v>
      </c>
    </row>
    <row r="4906" spans="1:40" x14ac:dyDescent="0.25">
      <c r="A4906" t="str">
        <f>"20190304164947235"</f>
        <v>20190304164947235</v>
      </c>
      <c r="B4906" t="str">
        <f>"1551689387230350"</f>
        <v>1551689387230350</v>
      </c>
      <c r="C4906" t="s">
        <v>40</v>
      </c>
      <c r="D4906">
        <v>4.7610279999999996</v>
      </c>
      <c r="E4906">
        <v>0.53070150000000005</v>
      </c>
      <c r="F4906" t="s">
        <v>41</v>
      </c>
      <c r="G4906">
        <v>-268.68540000000002</v>
      </c>
      <c r="H4906">
        <v>0.99689209999999995</v>
      </c>
      <c r="I4906">
        <v>141.69630000000001</v>
      </c>
      <c r="J4906">
        <v>-268.2704</v>
      </c>
      <c r="K4906">
        <v>1.1106609999999999</v>
      </c>
      <c r="L4906">
        <v>141.72130000000001</v>
      </c>
      <c r="M4906">
        <v>-0.99991260000000004</v>
      </c>
      <c r="N4906">
        <v>-1.1857339999999999E-2</v>
      </c>
      <c r="O4906">
        <v>5.8662050000000002E-3</v>
      </c>
      <c r="P4906">
        <v>-0.9235795</v>
      </c>
      <c r="Q4906">
        <v>0.37802259999999999</v>
      </c>
      <c r="R4906">
        <v>-6.4032480000000003E-2</v>
      </c>
      <c r="S4906">
        <v>-3.4522710000000001</v>
      </c>
      <c r="T4906">
        <v>-0.51628479999999999</v>
      </c>
      <c r="U4906">
        <v>-0.1052551</v>
      </c>
      <c r="V4906">
        <v>-6.9431160000000006E-2</v>
      </c>
      <c r="W4906">
        <v>0.38894570000000001</v>
      </c>
      <c r="X4906">
        <v>0.91864060000000003</v>
      </c>
      <c r="Y4906">
        <v>-3.5852299999999997E-2</v>
      </c>
      <c r="Z4906">
        <v>-3.6823569999999998E-3</v>
      </c>
      <c r="AA4906">
        <v>0.99935030000000002</v>
      </c>
      <c r="AB4906">
        <v>34</v>
      </c>
      <c r="AC4906">
        <v>-0.41500000000002002</v>
      </c>
      <c r="AD4906">
        <v>-0.11376890000000001</v>
      </c>
      <c r="AE4906">
        <v>-2.5000000000005601E-2</v>
      </c>
      <c r="AF4906">
        <v>-2.55230010689157E-2</v>
      </c>
      <c r="AG4906">
        <v>-0.11376890000000001</v>
      </c>
      <c r="AH4906">
        <v>0.38594578108384098</v>
      </c>
      <c r="AI4906">
        <v>106.390561585583</v>
      </c>
      <c r="AJ4906">
        <v>93.783521162236298</v>
      </c>
      <c r="AK4906">
        <v>0.40317357568073597</v>
      </c>
      <c r="AL4906">
        <v>67.111086273392502</v>
      </c>
      <c r="AM4906">
        <v>94.322216384849398</v>
      </c>
      <c r="AN4906">
        <v>0.99999999774789705</v>
      </c>
    </row>
    <row r="4907" spans="1:40" x14ac:dyDescent="0.25">
      <c r="A4907" t="str">
        <f>"20190304164947259"</f>
        <v>20190304164947259</v>
      </c>
      <c r="B4907" t="str">
        <f>"1551689387250846"</f>
        <v>1551689387250846</v>
      </c>
      <c r="C4907" t="s">
        <v>40</v>
      </c>
      <c r="D4907">
        <v>4.8036269999999996</v>
      </c>
      <c r="E4907">
        <v>0.53068309999999996</v>
      </c>
      <c r="F4907" t="s">
        <v>41</v>
      </c>
      <c r="G4907">
        <v>-268.98840000000001</v>
      </c>
      <c r="H4907">
        <v>1.0025930000000001</v>
      </c>
      <c r="I4907">
        <v>141.70079999999999</v>
      </c>
      <c r="J4907">
        <v>-268.63490000000002</v>
      </c>
      <c r="K4907">
        <v>1.110638</v>
      </c>
      <c r="L4907">
        <v>141.7234</v>
      </c>
      <c r="M4907">
        <v>-0.99991399999999997</v>
      </c>
      <c r="N4907">
        <v>-1.171118E-2</v>
      </c>
      <c r="O4907">
        <v>5.9026549999999997E-3</v>
      </c>
      <c r="P4907">
        <v>-0.92352429999999996</v>
      </c>
      <c r="Q4907">
        <v>0.37831730000000002</v>
      </c>
      <c r="R4907">
        <v>-6.3079510000000005E-2</v>
      </c>
      <c r="S4907">
        <v>-3.4541019999999998</v>
      </c>
      <c r="T4907">
        <v>-0.5198815</v>
      </c>
      <c r="U4907">
        <v>-9.9319459999999998E-2</v>
      </c>
      <c r="V4907">
        <v>-6.8503079999999994E-2</v>
      </c>
      <c r="W4907">
        <v>0.38910729999999999</v>
      </c>
      <c r="X4907">
        <v>0.91864190000000001</v>
      </c>
      <c r="Y4907">
        <v>-3.4170939999999997E-2</v>
      </c>
      <c r="Z4907">
        <v>-3.5725029999999999E-3</v>
      </c>
      <c r="AA4907">
        <v>0.99940960000000001</v>
      </c>
      <c r="AB4907">
        <v>34</v>
      </c>
      <c r="AC4907">
        <v>-0.35349999999999598</v>
      </c>
      <c r="AD4907">
        <v>-0.108044999999999</v>
      </c>
      <c r="AE4907">
        <v>-2.2600000000011201E-2</v>
      </c>
      <c r="AF4907">
        <v>-2.2585074206111999E-2</v>
      </c>
      <c r="AG4907">
        <v>-0.108044999999999</v>
      </c>
      <c r="AH4907">
        <v>0.32328292720587398</v>
      </c>
      <c r="AI4907">
        <v>108.438349573949</v>
      </c>
      <c r="AJ4907">
        <v>93.996283851309499</v>
      </c>
      <c r="AK4907">
        <v>0.341607462776641</v>
      </c>
      <c r="AL4907">
        <v>67.101036849700805</v>
      </c>
      <c r="AM4907">
        <v>94.264650285285299</v>
      </c>
      <c r="AN4907">
        <v>1.00000005165919</v>
      </c>
    </row>
    <row r="4908" spans="1:40" x14ac:dyDescent="0.25">
      <c r="A4908" t="str">
        <f>"20190304164947280"</f>
        <v>20190304164947280</v>
      </c>
      <c r="B4908" t="str">
        <f>"1551689387270366"</f>
        <v>1551689387270366</v>
      </c>
      <c r="C4908" t="s">
        <v>40</v>
      </c>
      <c r="D4908">
        <v>4.810765</v>
      </c>
      <c r="E4908">
        <v>0.53074900000000003</v>
      </c>
      <c r="F4908" t="s">
        <v>41</v>
      </c>
      <c r="G4908">
        <v>-269.5745</v>
      </c>
      <c r="H4908">
        <v>0.9692231</v>
      </c>
      <c r="I4908">
        <v>141.69759999999999</v>
      </c>
      <c r="J4908">
        <v>-268.95319999999998</v>
      </c>
      <c r="K4908">
        <v>1.1106229999999999</v>
      </c>
      <c r="L4908">
        <v>141.72540000000001</v>
      </c>
      <c r="M4908">
        <v>-0.99991540000000001</v>
      </c>
      <c r="N4908">
        <v>-1.158761E-2</v>
      </c>
      <c r="O4908">
        <v>5.9353979999999997E-3</v>
      </c>
      <c r="P4908">
        <v>-0.92352279999999998</v>
      </c>
      <c r="Q4908">
        <v>0.37844100000000003</v>
      </c>
      <c r="R4908">
        <v>-6.2355939999999999E-2</v>
      </c>
      <c r="S4908">
        <v>-3.4549259999999999</v>
      </c>
      <c r="T4908">
        <v>-0.52001129999999995</v>
      </c>
      <c r="U4908">
        <v>-9.5703129999999997E-2</v>
      </c>
      <c r="V4908">
        <v>-6.7804489999999995E-2</v>
      </c>
      <c r="W4908">
        <v>0.38911780000000001</v>
      </c>
      <c r="X4908">
        <v>0.91868919999999998</v>
      </c>
      <c r="Y4908">
        <v>-3.3163619999999998E-2</v>
      </c>
      <c r="Z4908">
        <v>-3.4944680000000001E-3</v>
      </c>
      <c r="AA4908">
        <v>0.99944379999999999</v>
      </c>
      <c r="AB4908">
        <v>34</v>
      </c>
      <c r="AC4908">
        <v>-0.62130000000001895</v>
      </c>
      <c r="AD4908">
        <v>-0.141399899999999</v>
      </c>
      <c r="AE4908">
        <v>-2.78000000000133E-2</v>
      </c>
      <c r="AF4908">
        <v>-2.9939761341792302E-2</v>
      </c>
      <c r="AG4908">
        <v>-0.141399899999999</v>
      </c>
      <c r="AH4908">
        <v>0.59059476677228295</v>
      </c>
      <c r="AI4908">
        <v>103.44763991865899</v>
      </c>
      <c r="AJ4908">
        <v>92.902082495112793</v>
      </c>
      <c r="AK4908">
        <v>0.60802343669304504</v>
      </c>
      <c r="AL4908">
        <v>67.100382008882207</v>
      </c>
      <c r="AM4908">
        <v>94.221101117787697</v>
      </c>
      <c r="AN4908">
        <v>0.99999997866881896</v>
      </c>
    </row>
    <row r="4909" spans="1:40" x14ac:dyDescent="0.25">
      <c r="A4909" t="str">
        <f>"20190304164947302"</f>
        <v>20190304164947302</v>
      </c>
      <c r="B4909" t="str">
        <f>"1551689387290865"</f>
        <v>1551689387290865</v>
      </c>
      <c r="C4909" t="s">
        <v>40</v>
      </c>
      <c r="D4909">
        <v>4.81229</v>
      </c>
      <c r="E4909">
        <v>0.53081519999999904</v>
      </c>
      <c r="F4909" t="s">
        <v>41</v>
      </c>
      <c r="G4909">
        <v>-269.8766</v>
      </c>
      <c r="H4909">
        <v>0.97144629999999998</v>
      </c>
      <c r="I4909">
        <v>141.70099999999999</v>
      </c>
      <c r="J4909">
        <v>-269.28019999999998</v>
      </c>
      <c r="K4909">
        <v>1.1106069999999999</v>
      </c>
      <c r="L4909">
        <v>141.72730000000001</v>
      </c>
      <c r="M4909">
        <v>-0.99991640000000004</v>
      </c>
      <c r="N4909">
        <v>-1.146701E-2</v>
      </c>
      <c r="O4909">
        <v>5.9699410000000003E-3</v>
      </c>
      <c r="P4909">
        <v>-0.9237052</v>
      </c>
      <c r="Q4909">
        <v>0.37806770000000001</v>
      </c>
      <c r="R4909">
        <v>-6.1917939999999998E-2</v>
      </c>
      <c r="S4909">
        <v>-3.4556269999999998</v>
      </c>
      <c r="T4909">
        <v>-0.52080760000000004</v>
      </c>
      <c r="U4909">
        <v>-9.1979980000000003E-2</v>
      </c>
      <c r="V4909">
        <v>-6.7395739999999996E-2</v>
      </c>
      <c r="W4909">
        <v>0.38863690000000001</v>
      </c>
      <c r="X4909">
        <v>0.91892280000000004</v>
      </c>
      <c r="Y4909">
        <v>-3.2127740000000002E-2</v>
      </c>
      <c r="Z4909">
        <v>-3.418838E-3</v>
      </c>
      <c r="AA4909">
        <v>0.99947790000000003</v>
      </c>
      <c r="AB4909">
        <v>34</v>
      </c>
      <c r="AC4909">
        <v>-0.59640000000001603</v>
      </c>
      <c r="AD4909">
        <v>-0.139160699999999</v>
      </c>
      <c r="AE4909">
        <v>-2.6300000000020401E-2</v>
      </c>
      <c r="AF4909">
        <v>-2.83212791740486E-2</v>
      </c>
      <c r="AG4909">
        <v>-0.139160699999999</v>
      </c>
      <c r="AH4909">
        <v>0.56550328543134798</v>
      </c>
      <c r="AI4909">
        <v>103.80817713101</v>
      </c>
      <c r="AJ4909">
        <v>92.867065834859403</v>
      </c>
      <c r="AK4909">
        <v>0.58306239898675705</v>
      </c>
      <c r="AL4909">
        <v>67.130289358461198</v>
      </c>
      <c r="AM4909">
        <v>94.194683145338999</v>
      </c>
      <c r="AN4909">
        <v>0.99999996908579802</v>
      </c>
    </row>
    <row r="4910" spans="1:40" x14ac:dyDescent="0.25">
      <c r="A4910" t="str">
        <f>"20190304164947324"</f>
        <v>20190304164947324</v>
      </c>
      <c r="B4910" t="str">
        <f>"1551689387321119"</f>
        <v>1551689387321119</v>
      </c>
      <c r="C4910" t="s">
        <v>40</v>
      </c>
      <c r="D4910">
        <v>4.8126550000000003</v>
      </c>
      <c r="E4910">
        <v>0.52706619999999904</v>
      </c>
      <c r="F4910" t="s">
        <v>41</v>
      </c>
      <c r="G4910">
        <v>-270.17939999999999</v>
      </c>
      <c r="H4910">
        <v>0.97438689999999994</v>
      </c>
      <c r="I4910">
        <v>141.70439999999999</v>
      </c>
      <c r="J4910">
        <v>-269.61059999999998</v>
      </c>
      <c r="K4910">
        <v>1.1105769999999999</v>
      </c>
      <c r="L4910">
        <v>141.72929999999999</v>
      </c>
      <c r="M4910">
        <v>-0.99991759999999996</v>
      </c>
      <c r="N4910">
        <v>-1.134981E-2</v>
      </c>
      <c r="O4910">
        <v>6.0050959999999997E-3</v>
      </c>
      <c r="P4910">
        <v>-0.92381009999999997</v>
      </c>
      <c r="Q4910">
        <v>0.37785580000000002</v>
      </c>
      <c r="R4910">
        <v>-6.1640699999999903E-2</v>
      </c>
      <c r="S4910">
        <v>-3.4561769999999998</v>
      </c>
      <c r="T4910">
        <v>-0.52357959999999903</v>
      </c>
      <c r="U4910">
        <v>-8.8043209999999997E-2</v>
      </c>
      <c r="V4910">
        <v>-6.7149600000000004E-2</v>
      </c>
      <c r="W4910">
        <v>0.38831909999999997</v>
      </c>
      <c r="X4910">
        <v>0.91907519999999998</v>
      </c>
      <c r="Y4910">
        <v>-3.102972E-2</v>
      </c>
      <c r="Z4910">
        <v>-3.3504920000000001E-3</v>
      </c>
      <c r="AA4910">
        <v>0.99951290000000004</v>
      </c>
      <c r="AB4910">
        <v>34</v>
      </c>
      <c r="AC4910">
        <v>-0.56880000000000996</v>
      </c>
      <c r="AD4910">
        <v>-0.13619010000000001</v>
      </c>
      <c r="AE4910">
        <v>-2.4900000000002299E-2</v>
      </c>
      <c r="AF4910">
        <v>-2.6782973889271498E-2</v>
      </c>
      <c r="AG4910">
        <v>-0.13619010000000001</v>
      </c>
      <c r="AH4910">
        <v>0.537864145953172</v>
      </c>
      <c r="AI4910">
        <v>104.192092294185</v>
      </c>
      <c r="AJ4910">
        <v>92.850691816648805</v>
      </c>
      <c r="AK4910">
        <v>0.55548439269730898</v>
      </c>
      <c r="AL4910">
        <v>67.150050931195807</v>
      </c>
      <c r="AM4910">
        <v>94.178727305953998</v>
      </c>
      <c r="AN4910">
        <v>1.00000000773</v>
      </c>
    </row>
    <row r="4911" spans="1:40" x14ac:dyDescent="0.25">
      <c r="A4911" t="str">
        <f>"20190304164947347"</f>
        <v>20190304164947347</v>
      </c>
      <c r="B4911" t="str">
        <f>"1551689387340639"</f>
        <v>1551689387340639</v>
      </c>
      <c r="C4911" t="s">
        <v>40</v>
      </c>
      <c r="D4911">
        <v>4.7891879999999896</v>
      </c>
      <c r="E4911">
        <v>0.53006569999999997</v>
      </c>
      <c r="F4911" t="s">
        <v>41</v>
      </c>
      <c r="G4911">
        <v>-270.49239999999998</v>
      </c>
      <c r="H4911">
        <v>0.99785400000000002</v>
      </c>
      <c r="I4911">
        <v>141.7012</v>
      </c>
      <c r="J4911">
        <v>-269.96699999999998</v>
      </c>
      <c r="K4911">
        <v>1.1105609999999999</v>
      </c>
      <c r="L4911">
        <v>141.73150000000001</v>
      </c>
      <c r="M4911">
        <v>-0.9999188</v>
      </c>
      <c r="N4911">
        <v>-1.1225550000000001E-2</v>
      </c>
      <c r="O4911">
        <v>6.0424789999999999E-3</v>
      </c>
      <c r="P4911">
        <v>-0.92372750000000003</v>
      </c>
      <c r="Q4911">
        <v>0.37812600000000002</v>
      </c>
      <c r="R4911">
        <v>-6.122379E-2</v>
      </c>
      <c r="S4911">
        <v>-3.4188540000000001</v>
      </c>
      <c r="T4911">
        <v>-0.43704569999999998</v>
      </c>
      <c r="U4911">
        <v>-0.1096954</v>
      </c>
      <c r="V4911">
        <v>-6.6764459999999998E-2</v>
      </c>
      <c r="W4911">
        <v>0.38847419999999999</v>
      </c>
      <c r="X4911">
        <v>0.91903769999999996</v>
      </c>
      <c r="Y4911">
        <v>-3.7733290000000003E-2</v>
      </c>
      <c r="Z4911">
        <v>-3.3157579999999998E-3</v>
      </c>
      <c r="AA4911">
        <v>0.99928240000000002</v>
      </c>
      <c r="AB4911">
        <v>34</v>
      </c>
      <c r="AC4911">
        <v>-0.52539999999998999</v>
      </c>
      <c r="AD4911">
        <v>-0.112706999999999</v>
      </c>
      <c r="AE4911">
        <v>-3.0300000000010999E-2</v>
      </c>
      <c r="AF4911">
        <v>-3.2006397618144097E-2</v>
      </c>
      <c r="AG4911">
        <v>-0.112706999999999</v>
      </c>
      <c r="AH4911">
        <v>0.50217513929825497</v>
      </c>
      <c r="AI4911">
        <v>102.624918151545</v>
      </c>
      <c r="AJ4911">
        <v>93.646844002289001</v>
      </c>
      <c r="AK4911">
        <v>0.51566185419004196</v>
      </c>
      <c r="AL4911">
        <v>67.140406959828496</v>
      </c>
      <c r="AM4911">
        <v>94.155013112497102</v>
      </c>
      <c r="AN4911">
        <v>0.99999999560301001</v>
      </c>
    </row>
    <row r="4912" spans="1:40" x14ac:dyDescent="0.25">
      <c r="A4912" t="str">
        <f>"20190304164947369"</f>
        <v>20190304164947369</v>
      </c>
      <c r="B4912" t="str">
        <f>"1551689387361134"</f>
        <v>1551689387361134</v>
      </c>
      <c r="C4912" t="s">
        <v>40</v>
      </c>
      <c r="D4912">
        <v>4.7482800000000003</v>
      </c>
      <c r="E4912">
        <v>0.530138</v>
      </c>
      <c r="F4912" t="s">
        <v>41</v>
      </c>
      <c r="G4912">
        <v>-270.79509999999999</v>
      </c>
      <c r="H4912">
        <v>0.99976779999999998</v>
      </c>
      <c r="I4912">
        <v>141.7105</v>
      </c>
      <c r="J4912">
        <v>-270.30369999999999</v>
      </c>
      <c r="K4912">
        <v>1.110549</v>
      </c>
      <c r="L4912">
        <v>141.7336</v>
      </c>
      <c r="M4912">
        <v>-0.99991989999999997</v>
      </c>
      <c r="N4912">
        <v>-1.1109340000000001E-2</v>
      </c>
      <c r="O4912">
        <v>6.0759169999999897E-3</v>
      </c>
      <c r="P4912">
        <v>-0.92382960000000003</v>
      </c>
      <c r="Q4912">
        <v>0.37790639999999998</v>
      </c>
      <c r="R4912">
        <v>-6.104089E-2</v>
      </c>
      <c r="S4912">
        <v>-3.4297490000000002</v>
      </c>
      <c r="T4912">
        <v>-0.45891929999999997</v>
      </c>
      <c r="U4912">
        <v>-8.7936399999999998E-2</v>
      </c>
      <c r="V4912">
        <v>-6.661222E-2</v>
      </c>
      <c r="W4912">
        <v>0.38814860000000001</v>
      </c>
      <c r="X4912">
        <v>0.91918630000000001</v>
      </c>
      <c r="Y4912">
        <v>-3.1356509999999997E-2</v>
      </c>
      <c r="Z4912">
        <v>-3.0052880000000001E-3</v>
      </c>
      <c r="AA4912">
        <v>0.99950369999999999</v>
      </c>
      <c r="AB4912">
        <v>34</v>
      </c>
      <c r="AC4912">
        <v>-0.49139999999999801</v>
      </c>
      <c r="AD4912">
        <v>-0.1107812</v>
      </c>
      <c r="AE4912">
        <v>-2.3099999999999399E-2</v>
      </c>
      <c r="AF4912">
        <v>-2.4826484454111401E-2</v>
      </c>
      <c r="AG4912">
        <v>-0.1107812</v>
      </c>
      <c r="AH4912">
        <v>0.467541037605818</v>
      </c>
      <c r="AI4912">
        <v>103.311992157576</v>
      </c>
      <c r="AJ4912">
        <v>93.039558018737793</v>
      </c>
      <c r="AK4912">
        <v>0.48112727053173199</v>
      </c>
      <c r="AL4912">
        <v>67.160650892553306</v>
      </c>
      <c r="AM4912">
        <v>94.144903835402005</v>
      </c>
      <c r="AN4912">
        <v>0.99999998882148899</v>
      </c>
    </row>
    <row r="4913" spans="1:40" x14ac:dyDescent="0.25">
      <c r="A4913" t="str">
        <f>"20190304164947391"</f>
        <v>20190304164947391</v>
      </c>
      <c r="B4913" t="str">
        <f>"1551689387380654"</f>
        <v>1551689387380654</v>
      </c>
      <c r="C4913" t="s">
        <v>40</v>
      </c>
      <c r="D4913">
        <v>4.7333819999999998</v>
      </c>
      <c r="E4913">
        <v>0.5295337</v>
      </c>
      <c r="F4913" t="s">
        <v>41</v>
      </c>
      <c r="G4913">
        <v>-271.1019</v>
      </c>
      <c r="H4913">
        <v>1.009282</v>
      </c>
      <c r="I4913">
        <v>141.71350000000001</v>
      </c>
      <c r="J4913">
        <v>-270.62790000000001</v>
      </c>
      <c r="K4913">
        <v>1.1105389999999999</v>
      </c>
      <c r="L4913">
        <v>141.7355</v>
      </c>
      <c r="M4913">
        <v>-0.9999209</v>
      </c>
      <c r="N4913">
        <v>-1.099844E-2</v>
      </c>
      <c r="O4913">
        <v>6.1042309999999999E-3</v>
      </c>
      <c r="P4913">
        <v>-0.92388959999999998</v>
      </c>
      <c r="Q4913">
        <v>0.37755169999999999</v>
      </c>
      <c r="R4913">
        <v>-6.2313670000000002E-2</v>
      </c>
      <c r="S4913">
        <v>-3.4190369999999999</v>
      </c>
      <c r="T4913">
        <v>-0.43379839999999997</v>
      </c>
      <c r="U4913">
        <v>-8.6944579999999994E-2</v>
      </c>
      <c r="V4913">
        <v>-6.7912260000000002E-2</v>
      </c>
      <c r="W4913">
        <v>0.38769290000000001</v>
      </c>
      <c r="X4913">
        <v>0.91928350000000003</v>
      </c>
      <c r="Y4913">
        <v>-3.121078E-2</v>
      </c>
      <c r="Z4913">
        <v>-2.8485659999999999E-3</v>
      </c>
      <c r="AA4913">
        <v>0.99950870000000003</v>
      </c>
      <c r="AB4913">
        <v>34</v>
      </c>
      <c r="AC4913">
        <v>-0.47399999999998899</v>
      </c>
      <c r="AD4913">
        <v>-0.101256999999999</v>
      </c>
      <c r="AE4913">
        <v>-2.1999999999991301E-2</v>
      </c>
      <c r="AF4913">
        <v>-2.3808994200986599E-2</v>
      </c>
      <c r="AG4913">
        <v>-0.101256999999999</v>
      </c>
      <c r="AH4913">
        <v>0.45321890097232298</v>
      </c>
      <c r="AI4913">
        <v>102.577258618367</v>
      </c>
      <c r="AJ4913">
        <v>93.007160678549496</v>
      </c>
      <c r="AK4913">
        <v>0.46500238757712098</v>
      </c>
      <c r="AL4913">
        <v>67.188979293978804</v>
      </c>
      <c r="AM4913">
        <v>94.2250626388672</v>
      </c>
      <c r="AN4913">
        <v>1.0000000065704799</v>
      </c>
    </row>
    <row r="4914" spans="1:40" x14ac:dyDescent="0.25">
      <c r="A4914" t="str">
        <f>"20190304164947413"</f>
        <v>20190304164947413</v>
      </c>
      <c r="B4914" t="str">
        <f>"1551689387401150"</f>
        <v>1551689387401150</v>
      </c>
      <c r="C4914" t="s">
        <v>40</v>
      </c>
      <c r="D4914">
        <v>4.7448230000000002</v>
      </c>
      <c r="E4914">
        <v>0.52912349999999997</v>
      </c>
      <c r="F4914" t="s">
        <v>41</v>
      </c>
      <c r="G4914">
        <v>-271.4083</v>
      </c>
      <c r="H4914">
        <v>1.0170079999999999</v>
      </c>
      <c r="I4914">
        <v>141.71449999999999</v>
      </c>
      <c r="J4914">
        <v>-270.9631</v>
      </c>
      <c r="K4914">
        <v>1.110527</v>
      </c>
      <c r="L4914">
        <v>141.73759999999999</v>
      </c>
      <c r="M4914">
        <v>-0.99992190000000003</v>
      </c>
      <c r="N4914">
        <v>-1.088417E-2</v>
      </c>
      <c r="O4914">
        <v>6.1290190000000003E-3</v>
      </c>
      <c r="P4914">
        <v>-0.92358799999999996</v>
      </c>
      <c r="Q4914">
        <v>0.37811470000000003</v>
      </c>
      <c r="R4914">
        <v>-6.3359860000000004E-2</v>
      </c>
      <c r="S4914">
        <v>-3.4078369999999998</v>
      </c>
      <c r="T4914">
        <v>-0.40842079999999997</v>
      </c>
      <c r="U4914">
        <v>-9.2132569999999997E-2</v>
      </c>
      <c r="V4914">
        <v>-6.898195E-2</v>
      </c>
      <c r="W4914">
        <v>0.38814739999999998</v>
      </c>
      <c r="X4914">
        <v>0.9190121</v>
      </c>
      <c r="Y4914">
        <v>-3.285954E-2</v>
      </c>
      <c r="Z4914">
        <v>-2.8065759999999999E-3</v>
      </c>
      <c r="AA4914">
        <v>0.99945600000000001</v>
      </c>
      <c r="AB4914">
        <v>34</v>
      </c>
      <c r="AC4914">
        <v>-0.44519999999999899</v>
      </c>
      <c r="AD4914">
        <v>-9.3519000000000102E-2</v>
      </c>
      <c r="AE4914">
        <v>-2.3099999999999399E-2</v>
      </c>
      <c r="AF4914">
        <v>-2.4739649485592201E-2</v>
      </c>
      <c r="AG4914">
        <v>-9.3519000000000102E-2</v>
      </c>
      <c r="AH4914">
        <v>0.426290292210179</v>
      </c>
      <c r="AI4914">
        <v>102.35331239694</v>
      </c>
      <c r="AJ4914">
        <v>93.321420558618996</v>
      </c>
      <c r="AK4914">
        <v>0.4371284329008</v>
      </c>
      <c r="AL4914">
        <v>67.160727618476301</v>
      </c>
      <c r="AM4914">
        <v>94.292627737218396</v>
      </c>
      <c r="AN4914">
        <v>1.0000000767494801</v>
      </c>
    </row>
    <row r="4915" spans="1:40" x14ac:dyDescent="0.25">
      <c r="A4915" t="str">
        <f>"20190304164947437"</f>
        <v>20190304164947437</v>
      </c>
      <c r="B4915" t="str">
        <f>"1551689387430433"</f>
        <v>1551689387430433</v>
      </c>
      <c r="C4915" t="s">
        <v>40</v>
      </c>
      <c r="D4915">
        <v>4.680129</v>
      </c>
      <c r="E4915">
        <v>0.52873359999999903</v>
      </c>
      <c r="F4915" t="s">
        <v>41</v>
      </c>
      <c r="G4915">
        <v>-271.71660000000003</v>
      </c>
      <c r="H4915">
        <v>1.0242719999999901</v>
      </c>
      <c r="I4915">
        <v>141.7166</v>
      </c>
      <c r="J4915">
        <v>-271.31319999999999</v>
      </c>
      <c r="K4915">
        <v>1.1105119999999999</v>
      </c>
      <c r="L4915">
        <v>141.7398</v>
      </c>
      <c r="M4915">
        <v>-0.99992320000000001</v>
      </c>
      <c r="N4915">
        <v>-1.0765490000000001E-2</v>
      </c>
      <c r="O4915">
        <v>6.1497590000000003E-3</v>
      </c>
      <c r="P4915">
        <v>-0.92341779999999996</v>
      </c>
      <c r="Q4915">
        <v>0.3784961</v>
      </c>
      <c r="R4915">
        <v>-6.3565739999999996E-2</v>
      </c>
      <c r="S4915">
        <v>-3.401062</v>
      </c>
      <c r="T4915">
        <v>-0.38939190000000001</v>
      </c>
      <c r="U4915">
        <v>-9.5718380000000006E-2</v>
      </c>
      <c r="V4915">
        <v>-6.9209610000000005E-2</v>
      </c>
      <c r="W4915">
        <v>0.3884167</v>
      </c>
      <c r="X4915">
        <v>0.91888110000000001</v>
      </c>
      <c r="Y4915">
        <v>-3.4003739999999998E-2</v>
      </c>
      <c r="Z4915">
        <v>-2.7592530000000001E-3</v>
      </c>
      <c r="AA4915">
        <v>0.99941789999999997</v>
      </c>
      <c r="AB4915">
        <v>34</v>
      </c>
      <c r="AC4915">
        <v>-0.40340000000003301</v>
      </c>
      <c r="AD4915">
        <v>-8.6240000000000303E-2</v>
      </c>
      <c r="AE4915">
        <v>-2.3200000000002701E-2</v>
      </c>
      <c r="AF4915">
        <v>-2.4561673505677901E-2</v>
      </c>
      <c r="AG4915">
        <v>-8.6240000000000303E-2</v>
      </c>
      <c r="AH4915">
        <v>0.38568097892184</v>
      </c>
      <c r="AI4915">
        <v>102.579587042249</v>
      </c>
      <c r="AJ4915">
        <v>93.643898580029997</v>
      </c>
      <c r="AK4915">
        <v>0.39596771447620399</v>
      </c>
      <c r="AL4915">
        <v>67.143982078033503</v>
      </c>
      <c r="AM4915">
        <v>94.307353089895699</v>
      </c>
      <c r="AN4915">
        <v>0.99999998944622503</v>
      </c>
    </row>
    <row r="4916" spans="1:40" x14ac:dyDescent="0.25">
      <c r="A4916" t="str">
        <f>"20190304164947460"</f>
        <v>20190304164947460</v>
      </c>
      <c r="B4916" t="str">
        <f>"1551689387450929"</f>
        <v>1551689387450929</v>
      </c>
      <c r="C4916" t="s">
        <v>40</v>
      </c>
      <c r="D4916">
        <v>4.6893349999999998</v>
      </c>
      <c r="E4916">
        <v>0.52852569999999999</v>
      </c>
      <c r="F4916" t="s">
        <v>41</v>
      </c>
      <c r="G4916">
        <v>-272.31139999999999</v>
      </c>
      <c r="H4916">
        <v>1.002005</v>
      </c>
      <c r="I4916">
        <v>141.71129999999999</v>
      </c>
      <c r="J4916">
        <v>-271.67149999999998</v>
      </c>
      <c r="K4916">
        <v>1.1104959999999999</v>
      </c>
      <c r="L4916">
        <v>141.74199999999999</v>
      </c>
      <c r="M4916">
        <v>-0.99992429999999999</v>
      </c>
      <c r="N4916">
        <v>-1.0645129999999999E-2</v>
      </c>
      <c r="O4916">
        <v>6.1666890000000004E-3</v>
      </c>
      <c r="P4916">
        <v>-0.92338070000000005</v>
      </c>
      <c r="Q4916">
        <v>0.37851879999999999</v>
      </c>
      <c r="R4916">
        <v>-6.3963519999999996E-2</v>
      </c>
      <c r="S4916">
        <v>-3.3933409999999999</v>
      </c>
      <c r="T4916">
        <v>-0.36887150000000002</v>
      </c>
      <c r="U4916">
        <v>-9.713745E-2</v>
      </c>
      <c r="V4916">
        <v>-6.9626049999999995E-2</v>
      </c>
      <c r="W4916">
        <v>0.38832830000000002</v>
      </c>
      <c r="X4916">
        <v>0.91888700000000001</v>
      </c>
      <c r="Y4916">
        <v>-3.4525340000000002E-2</v>
      </c>
      <c r="Z4916">
        <v>-2.6578330000000001E-3</v>
      </c>
      <c r="AA4916">
        <v>0.99940030000000002</v>
      </c>
      <c r="AB4916">
        <v>34</v>
      </c>
      <c r="AC4916">
        <v>-0.63990000000001102</v>
      </c>
      <c r="AD4916">
        <v>-0.108490999999999</v>
      </c>
      <c r="AE4916">
        <v>-3.0700000000024302E-2</v>
      </c>
      <c r="AF4916">
        <v>-3.3679799598938603E-2</v>
      </c>
      <c r="AG4916">
        <v>-0.108490999999999</v>
      </c>
      <c r="AH4916">
        <v>0.62186403493507902</v>
      </c>
      <c r="AI4916">
        <v>99.882079563554498</v>
      </c>
      <c r="AJ4916">
        <v>93.100077841944795</v>
      </c>
      <c r="AK4916">
        <v>0.63215465190707998</v>
      </c>
      <c r="AL4916">
        <v>67.149478422116303</v>
      </c>
      <c r="AM4916">
        <v>94.333144656687494</v>
      </c>
      <c r="AN4916">
        <v>0.99999998709424598</v>
      </c>
    </row>
    <row r="4917" spans="1:40" x14ac:dyDescent="0.25">
      <c r="A4917" t="str">
        <f>"20190304164947482"</f>
        <v>20190304164947482</v>
      </c>
      <c r="B4917" t="str">
        <f>"1551689387470449"</f>
        <v>1551689387470449</v>
      </c>
      <c r="C4917" t="s">
        <v>40</v>
      </c>
      <c r="D4917">
        <v>4.7085379999999999</v>
      </c>
      <c r="E4917">
        <v>0.52836890000000003</v>
      </c>
      <c r="F4917" t="s">
        <v>41</v>
      </c>
      <c r="G4917">
        <v>-272.6189</v>
      </c>
      <c r="H4917">
        <v>1.0091600000000001</v>
      </c>
      <c r="I4917">
        <v>141.7141</v>
      </c>
      <c r="J4917">
        <v>-272.00099999999998</v>
      </c>
      <c r="K4917">
        <v>1.1104849999999999</v>
      </c>
      <c r="L4917">
        <v>141.744</v>
      </c>
      <c r="M4917">
        <v>-0.99992550000000002</v>
      </c>
      <c r="N4917">
        <v>-1.054073E-2</v>
      </c>
      <c r="O4917">
        <v>6.1791320000000004E-3</v>
      </c>
      <c r="P4917">
        <v>-0.92342219999999997</v>
      </c>
      <c r="Q4917">
        <v>0.37835200000000002</v>
      </c>
      <c r="R4917">
        <v>-6.4352300000000001E-2</v>
      </c>
      <c r="S4917">
        <v>-3.3906860000000001</v>
      </c>
      <c r="T4917">
        <v>-0.36267969999999999</v>
      </c>
      <c r="U4917">
        <v>-9.9853520000000001E-2</v>
      </c>
      <c r="V4917">
        <v>-7.0028800000000002E-2</v>
      </c>
      <c r="W4917">
        <v>0.3880651</v>
      </c>
      <c r="X4917">
        <v>0.9189676</v>
      </c>
      <c r="Y4917">
        <v>-3.5362659999999997E-2</v>
      </c>
      <c r="Z4917">
        <v>-2.6664549999999999E-3</v>
      </c>
      <c r="AA4917">
        <v>0.99937100000000001</v>
      </c>
      <c r="AB4917">
        <v>34</v>
      </c>
      <c r="AC4917">
        <v>-0.61790000000001999</v>
      </c>
      <c r="AD4917">
        <v>-0.101324999999999</v>
      </c>
      <c r="AE4917">
        <v>-2.98999999999978E-2</v>
      </c>
      <c r="AF4917">
        <v>-3.28367954051711E-2</v>
      </c>
      <c r="AG4917">
        <v>-0.101324999999999</v>
      </c>
      <c r="AH4917">
        <v>0.60156492005123596</v>
      </c>
      <c r="AI4917">
        <v>99.546961526147001</v>
      </c>
      <c r="AJ4917">
        <v>93.124425062538705</v>
      </c>
      <c r="AK4917">
        <v>0.61092173295253704</v>
      </c>
      <c r="AL4917">
        <v>67.165842322395505</v>
      </c>
      <c r="AM4917">
        <v>94.357732559263695</v>
      </c>
      <c r="AN4917">
        <v>1.0000000022586</v>
      </c>
    </row>
    <row r="4918" spans="1:40" x14ac:dyDescent="0.25">
      <c r="A4918" t="str">
        <f>"20190304164947502"</f>
        <v>20190304164947502</v>
      </c>
      <c r="B4918" t="str">
        <f>"1551689387490945"</f>
        <v>1551689387490945</v>
      </c>
      <c r="C4918" t="s">
        <v>40</v>
      </c>
      <c r="D4918">
        <v>4.680974</v>
      </c>
      <c r="E4918">
        <v>0.52815429999999997</v>
      </c>
      <c r="F4918" t="s">
        <v>41</v>
      </c>
      <c r="G4918">
        <v>-272.92520000000002</v>
      </c>
      <c r="H4918">
        <v>1.0132030000000001</v>
      </c>
      <c r="I4918">
        <v>141.71610000000001</v>
      </c>
      <c r="J4918">
        <v>-272.32010000000002</v>
      </c>
      <c r="K4918">
        <v>1.1104769999999999</v>
      </c>
      <c r="L4918">
        <v>141.74600000000001</v>
      </c>
      <c r="M4918">
        <v>-0.99992630000000005</v>
      </c>
      <c r="N4918">
        <v>-1.0445350000000001E-2</v>
      </c>
      <c r="O4918">
        <v>6.1893869999999898E-3</v>
      </c>
      <c r="P4918">
        <v>-0.92338869999999895</v>
      </c>
      <c r="Q4918">
        <v>0.37842429999999999</v>
      </c>
      <c r="R4918">
        <v>-6.4409659999999994E-2</v>
      </c>
      <c r="S4918">
        <v>-3.3877259999999998</v>
      </c>
      <c r="T4918">
        <v>-0.356653</v>
      </c>
      <c r="U4918">
        <v>-0.1030121</v>
      </c>
      <c r="V4918">
        <v>-7.0096779999999997E-2</v>
      </c>
      <c r="W4918">
        <v>0.3880498</v>
      </c>
      <c r="X4918">
        <v>0.91896889999999998</v>
      </c>
      <c r="Y4918">
        <v>-3.6331309999999999E-2</v>
      </c>
      <c r="Z4918">
        <v>-2.6823049999999998E-3</v>
      </c>
      <c r="AA4918">
        <v>0.99933620000000001</v>
      </c>
      <c r="AB4918">
        <v>34</v>
      </c>
      <c r="AC4918">
        <v>-0.60509999999999298</v>
      </c>
      <c r="AD4918">
        <v>-9.7273999999999805E-2</v>
      </c>
      <c r="AE4918">
        <v>-2.98999999999978E-2</v>
      </c>
      <c r="AF4918">
        <v>-3.2799269827343498E-2</v>
      </c>
      <c r="AG4918">
        <v>-9.7273999999999805E-2</v>
      </c>
      <c r="AH4918">
        <v>0.58970094274047302</v>
      </c>
      <c r="AI4918">
        <v>99.352664296891902</v>
      </c>
      <c r="AJ4918">
        <v>93.183521154859406</v>
      </c>
      <c r="AK4918">
        <v>0.59856931515590495</v>
      </c>
      <c r="AL4918">
        <v>67.166793974011</v>
      </c>
      <c r="AM4918">
        <v>94.361940334592504</v>
      </c>
      <c r="AN4918">
        <v>1.0000000225068</v>
      </c>
    </row>
    <row r="4919" spans="1:40" x14ac:dyDescent="0.25">
      <c r="A4919" t="str">
        <f>"20190304164947526"</f>
        <v>20190304164947526</v>
      </c>
      <c r="B4919" t="str">
        <f>"1551689387521202"</f>
        <v>1551689387521202</v>
      </c>
      <c r="C4919" t="s">
        <v>40</v>
      </c>
      <c r="D4919">
        <v>5.0856560000000002</v>
      </c>
      <c r="E4919">
        <v>0.52805040000000003</v>
      </c>
      <c r="F4919" t="s">
        <v>41</v>
      </c>
      <c r="G4919">
        <v>-273.23180000000002</v>
      </c>
      <c r="H4919">
        <v>1.0155259999999999</v>
      </c>
      <c r="I4919">
        <v>141.7176</v>
      </c>
      <c r="J4919">
        <v>-272.6619</v>
      </c>
      <c r="K4919">
        <v>1.110465</v>
      </c>
      <c r="L4919">
        <v>141.7482</v>
      </c>
      <c r="M4919">
        <v>-0.99992729999999996</v>
      </c>
      <c r="N4919">
        <v>-1.0342230000000001E-2</v>
      </c>
      <c r="O4919">
        <v>6.1983139999999999E-3</v>
      </c>
      <c r="P4919">
        <v>-0.92320049999999998</v>
      </c>
      <c r="Q4919">
        <v>0.37891849999999999</v>
      </c>
      <c r="R4919">
        <v>-6.4200699999999999E-2</v>
      </c>
      <c r="S4919">
        <v>-3.386047</v>
      </c>
      <c r="T4919">
        <v>-0.35271570000000002</v>
      </c>
      <c r="U4919">
        <v>-0.106308</v>
      </c>
      <c r="V4919">
        <v>-6.9895669999999993E-2</v>
      </c>
      <c r="W4919">
        <v>0.38844659999999998</v>
      </c>
      <c r="X4919">
        <v>0.91881659999999998</v>
      </c>
      <c r="Y4919">
        <v>-3.73263E-2</v>
      </c>
      <c r="Z4919">
        <v>-2.7118580000000002E-3</v>
      </c>
      <c r="AA4919">
        <v>0.99929950000000001</v>
      </c>
      <c r="AB4919">
        <v>34</v>
      </c>
      <c r="AC4919">
        <v>-0.56990000000001795</v>
      </c>
      <c r="AD4919">
        <v>-9.4939000000000107E-2</v>
      </c>
      <c r="AE4919">
        <v>-3.0599999999992598E-2</v>
      </c>
      <c r="AF4919">
        <v>-3.3212949021449799E-2</v>
      </c>
      <c r="AG4919">
        <v>-9.4939000000000107E-2</v>
      </c>
      <c r="AH4919">
        <v>0.55435910610936201</v>
      </c>
      <c r="AI4919">
        <v>99.701077392138302</v>
      </c>
      <c r="AJ4919">
        <v>93.428625575285693</v>
      </c>
      <c r="AK4919">
        <v>0.56340973742922895</v>
      </c>
      <c r="AL4919">
        <v>67.142124536370503</v>
      </c>
      <c r="AM4919">
        <v>94.350192061332606</v>
      </c>
      <c r="AN4919">
        <v>1.00000005508593</v>
      </c>
    </row>
    <row r="4920" spans="1:40" x14ac:dyDescent="0.25">
      <c r="A4920" t="str">
        <f>"20190304164947548"</f>
        <v>20190304164947548</v>
      </c>
      <c r="B4920" t="str">
        <f>"1551689387540725"</f>
        <v>1551689387540725</v>
      </c>
      <c r="C4920" t="s">
        <v>40</v>
      </c>
      <c r="D4920">
        <v>4.728961</v>
      </c>
      <c r="E4920">
        <v>0.52816470000000004</v>
      </c>
      <c r="F4920" t="s">
        <v>41</v>
      </c>
      <c r="G4920">
        <v>-273.54079999999999</v>
      </c>
      <c r="H4920">
        <v>1.0208539999999999</v>
      </c>
      <c r="I4920">
        <v>141.72069999999999</v>
      </c>
      <c r="J4920">
        <v>-273.01979999999998</v>
      </c>
      <c r="K4920">
        <v>1.110449</v>
      </c>
      <c r="L4920">
        <v>141.75040000000001</v>
      </c>
      <c r="M4920">
        <v>-0.9999285</v>
      </c>
      <c r="N4920">
        <v>-1.0231820000000001E-2</v>
      </c>
      <c r="O4920">
        <v>6.2054179999999999E-3</v>
      </c>
      <c r="P4920">
        <v>-0.92302419999999996</v>
      </c>
      <c r="Q4920">
        <v>0.37940689999999999</v>
      </c>
      <c r="R4920">
        <v>-6.3850980000000002E-2</v>
      </c>
      <c r="S4920">
        <v>-3.3837589999999902</v>
      </c>
      <c r="T4920">
        <v>-0.345033799999999</v>
      </c>
      <c r="U4920">
        <v>-0.10676570000000001</v>
      </c>
      <c r="V4920">
        <v>-6.9553069999999995E-2</v>
      </c>
      <c r="W4920">
        <v>0.38883139999999999</v>
      </c>
      <c r="X4920">
        <v>0.91867980000000005</v>
      </c>
      <c r="Y4920">
        <v>-3.7498879999999998E-2</v>
      </c>
      <c r="Z4920">
        <v>-2.6665019999999998E-3</v>
      </c>
      <c r="AA4920">
        <v>0.99929310000000005</v>
      </c>
      <c r="AB4920">
        <v>34</v>
      </c>
      <c r="AC4920">
        <v>-0.52100000000001501</v>
      </c>
      <c r="AD4920">
        <v>-8.95949999999998E-2</v>
      </c>
      <c r="AE4920">
        <v>-2.97000000000196E-2</v>
      </c>
      <c r="AF4920">
        <v>-3.1989660996717198E-2</v>
      </c>
      <c r="AG4920">
        <v>-8.95949999999998E-2</v>
      </c>
      <c r="AH4920">
        <v>0.50589344303356099</v>
      </c>
      <c r="AI4920">
        <v>100.023476655105</v>
      </c>
      <c r="AJ4920">
        <v>93.618223355181499</v>
      </c>
      <c r="AK4920">
        <v>0.51476089414410198</v>
      </c>
      <c r="AL4920">
        <v>67.118195529373807</v>
      </c>
      <c r="AM4920">
        <v>94.329592621603794</v>
      </c>
      <c r="AN4920">
        <v>1.00000003105021</v>
      </c>
    </row>
    <row r="4921" spans="1:40" x14ac:dyDescent="0.25">
      <c r="A4921" t="str">
        <f>"20190304164947570"</f>
        <v>20190304164947570</v>
      </c>
      <c r="B4921" t="str">
        <f>"1551689387561222"</f>
        <v>1551689387561222</v>
      </c>
      <c r="C4921" t="s">
        <v>40</v>
      </c>
      <c r="D4921">
        <v>4.7090379999999996</v>
      </c>
      <c r="E4921">
        <v>0.52818100000000001</v>
      </c>
      <c r="F4921" t="s">
        <v>41</v>
      </c>
      <c r="G4921">
        <v>-273.85129999999998</v>
      </c>
      <c r="H4921">
        <v>1.027352</v>
      </c>
      <c r="I4921">
        <v>141.72479999999999</v>
      </c>
      <c r="J4921">
        <v>-273.35640000000001</v>
      </c>
      <c r="K4921">
        <v>1.1104400000000001</v>
      </c>
      <c r="L4921">
        <v>141.7525</v>
      </c>
      <c r="M4921">
        <v>-0.99992950000000003</v>
      </c>
      <c r="N4921">
        <v>-1.01301E-2</v>
      </c>
      <c r="O4921">
        <v>6.2102600000000004E-3</v>
      </c>
      <c r="P4921">
        <v>-0.92291160000000005</v>
      </c>
      <c r="Q4921">
        <v>0.3798221</v>
      </c>
      <c r="R4921">
        <v>-6.3003580000000003E-2</v>
      </c>
      <c r="S4921">
        <v>-3.3818969999999999</v>
      </c>
      <c r="T4921">
        <v>-0.33796609999999899</v>
      </c>
      <c r="U4921">
        <v>-0.1041412</v>
      </c>
      <c r="V4921">
        <v>-6.8711499999999995E-2</v>
      </c>
      <c r="W4921">
        <v>0.38915169999999999</v>
      </c>
      <c r="X4921">
        <v>0.91860750000000002</v>
      </c>
      <c r="Y4921">
        <v>-3.6759640000000003E-2</v>
      </c>
      <c r="Z4921">
        <v>-2.574705E-3</v>
      </c>
      <c r="AA4921">
        <v>0.99932080000000001</v>
      </c>
      <c r="AB4921">
        <v>34</v>
      </c>
      <c r="AC4921">
        <v>-0.49489999999997197</v>
      </c>
      <c r="AD4921">
        <v>-8.3087999999999801E-2</v>
      </c>
      <c r="AE4921">
        <v>-2.7700000000010001E-2</v>
      </c>
      <c r="AF4921">
        <v>-2.99320352682006E-2</v>
      </c>
      <c r="AG4921">
        <v>-8.3087999999999801E-2</v>
      </c>
      <c r="AH4921">
        <v>0.481197489763875</v>
      </c>
      <c r="AI4921">
        <v>99.778086597686098</v>
      </c>
      <c r="AJ4921">
        <v>93.5593962166149</v>
      </c>
      <c r="AK4921">
        <v>0.48923467439905699</v>
      </c>
      <c r="AL4921">
        <v>67.098274670998904</v>
      </c>
      <c r="AM4921">
        <v>94.277736949639902</v>
      </c>
      <c r="AN4921">
        <v>1.0000000274506899</v>
      </c>
    </row>
    <row r="4922" spans="1:40" x14ac:dyDescent="0.25">
      <c r="A4922" t="str">
        <f>"20190304164947591"</f>
        <v>20190304164947591</v>
      </c>
      <c r="B4922" t="str">
        <f>"1551689387580738"</f>
        <v>1551689387580738</v>
      </c>
      <c r="C4922" t="s">
        <v>40</v>
      </c>
      <c r="D4922">
        <v>4.7053699999999896</v>
      </c>
      <c r="E4922">
        <v>0.52828439999999999</v>
      </c>
      <c r="F4922" t="s">
        <v>48</v>
      </c>
      <c r="G4922">
        <v>-284.62419999999997</v>
      </c>
      <c r="H4922" s="1">
        <v>-6.2497389999999997E-6</v>
      </c>
      <c r="I4922">
        <v>141.4135</v>
      </c>
      <c r="J4922">
        <v>-273.68150000000003</v>
      </c>
      <c r="K4922">
        <v>1.1104259999999999</v>
      </c>
      <c r="L4922">
        <v>141.75450000000001</v>
      </c>
      <c r="M4922">
        <v>-0.99993030000000005</v>
      </c>
      <c r="N4922">
        <v>-1.0035489999999999E-2</v>
      </c>
      <c r="O4922">
        <v>6.2132150000000002E-3</v>
      </c>
      <c r="P4922">
        <v>-0.92313020000000001</v>
      </c>
      <c r="Q4922">
        <v>0.37961070000000002</v>
      </c>
      <c r="R4922">
        <v>-6.1044790000000002E-2</v>
      </c>
      <c r="S4922">
        <v>-3.3807680000000002</v>
      </c>
      <c r="T4922">
        <v>-0.33317629999999998</v>
      </c>
      <c r="U4922">
        <v>-0.10169980000000001</v>
      </c>
      <c r="V4922">
        <v>-6.6758499999999998E-2</v>
      </c>
      <c r="W4922">
        <v>0.38885560000000002</v>
      </c>
      <c r="X4922">
        <v>0.91887680000000005</v>
      </c>
      <c r="Y4922">
        <v>-3.606173E-2</v>
      </c>
      <c r="Z4922">
        <v>-2.5022400000000002E-3</v>
      </c>
      <c r="AA4922">
        <v>0.99934639999999997</v>
      </c>
      <c r="AB4922">
        <v>34</v>
      </c>
      <c r="AC4922">
        <v>-10.942699999999901</v>
      </c>
      <c r="AD4922">
        <v>-1.110432249739</v>
      </c>
      <c r="AE4922">
        <v>-0.34100000000000802</v>
      </c>
      <c r="AF4922">
        <v>-0.40482155385671198</v>
      </c>
      <c r="AG4922">
        <v>-1.110432249739</v>
      </c>
      <c r="AH4922">
        <v>10.8289659942248</v>
      </c>
      <c r="AI4922">
        <v>95.850746046749194</v>
      </c>
      <c r="AJ4922">
        <v>92.140903454366807</v>
      </c>
      <c r="AK4922">
        <v>10.8932752088527</v>
      </c>
      <c r="AL4922">
        <v>67.116689161217906</v>
      </c>
      <c r="AM4922">
        <v>94.155368448371306</v>
      </c>
      <c r="AN4922">
        <v>0.99999997427592402</v>
      </c>
    </row>
    <row r="4923" spans="1:40" x14ac:dyDescent="0.25">
      <c r="A4923" t="str">
        <f>"20190304164947605"</f>
        <v>20190304164947605</v>
      </c>
      <c r="B4923" t="str">
        <f>"1551689387601234"</f>
        <v>1551689387601234</v>
      </c>
      <c r="C4923" t="s">
        <v>40</v>
      </c>
      <c r="D4923">
        <v>4.7171070000000004</v>
      </c>
      <c r="E4923">
        <v>0.52819609999999995</v>
      </c>
      <c r="F4923" t="s">
        <v>48</v>
      </c>
      <c r="G4923">
        <v>-285.0256</v>
      </c>
      <c r="H4923" s="1">
        <v>-6.4464489999999997E-6</v>
      </c>
      <c r="I4923">
        <v>141.43379999999999</v>
      </c>
      <c r="J4923">
        <v>-273.87830000000002</v>
      </c>
      <c r="K4923">
        <v>1.110422</v>
      </c>
      <c r="L4923">
        <v>141.75579999999999</v>
      </c>
      <c r="M4923">
        <v>-0.99993100000000001</v>
      </c>
      <c r="N4923">
        <v>-9.9790699999999996E-3</v>
      </c>
      <c r="O4923">
        <v>6.2132990000000003E-3</v>
      </c>
      <c r="P4923">
        <v>-0.92330129999999999</v>
      </c>
      <c r="Q4923">
        <v>0.37934319999999999</v>
      </c>
      <c r="R4923">
        <v>-6.0110940000000002E-2</v>
      </c>
      <c r="S4923">
        <v>-3.3795169999999999</v>
      </c>
      <c r="T4923">
        <v>-0.33080779999999999</v>
      </c>
      <c r="U4923">
        <v>-9.5565800000000006E-2</v>
      </c>
      <c r="V4923">
        <v>-6.5827759999999999E-2</v>
      </c>
      <c r="W4923">
        <v>0.38853749999999998</v>
      </c>
      <c r="X4923">
        <v>0.91907850000000002</v>
      </c>
      <c r="Y4923">
        <v>-3.4272829999999997E-2</v>
      </c>
      <c r="Z4923">
        <v>-2.3893569999999999E-3</v>
      </c>
      <c r="AA4923">
        <v>0.99940969999999996</v>
      </c>
      <c r="AB4923">
        <v>34</v>
      </c>
      <c r="AC4923">
        <v>-11.1472999999999</v>
      </c>
      <c r="AD4923">
        <v>-1.110428446449</v>
      </c>
      <c r="AE4923">
        <v>-0.32200000000000201</v>
      </c>
      <c r="AF4923">
        <v>-0.38741760491833799</v>
      </c>
      <c r="AG4923">
        <v>-1.110428446449</v>
      </c>
      <c r="AH4923">
        <v>11.035668684614199</v>
      </c>
      <c r="AI4923">
        <v>95.742348916732993</v>
      </c>
      <c r="AJ4923">
        <v>92.010596924296706</v>
      </c>
      <c r="AK4923">
        <v>11.098158723493601</v>
      </c>
      <c r="AL4923">
        <v>67.136470717206507</v>
      </c>
      <c r="AM4923">
        <v>94.096737265604304</v>
      </c>
      <c r="AN4923">
        <v>0.99999998602755802</v>
      </c>
    </row>
    <row r="4924" spans="1:40" x14ac:dyDescent="0.25">
      <c r="A4924" t="str">
        <f>"20190304164947618"</f>
        <v>20190304164947618</v>
      </c>
      <c r="B4924" t="str">
        <f>"1551689387610524"</f>
        <v>1551689387610524</v>
      </c>
      <c r="C4924" t="s">
        <v>40</v>
      </c>
      <c r="D4924">
        <v>4.7544380000000004</v>
      </c>
      <c r="E4924">
        <v>0.52823750000000003</v>
      </c>
      <c r="F4924" t="s">
        <v>41</v>
      </c>
      <c r="G4924">
        <v>-274.76760000000002</v>
      </c>
      <c r="H4924">
        <v>1.0236179999999999</v>
      </c>
      <c r="I4924">
        <v>141.73159999999999</v>
      </c>
      <c r="J4924">
        <v>-274.09829999999999</v>
      </c>
      <c r="K4924">
        <v>1.1104179999999999</v>
      </c>
      <c r="L4924">
        <v>141.75710000000001</v>
      </c>
      <c r="M4924">
        <v>-0.99993160000000003</v>
      </c>
      <c r="N4924">
        <v>-9.9167470000000001E-3</v>
      </c>
      <c r="O4924">
        <v>6.2100559999999898E-3</v>
      </c>
      <c r="P4924">
        <v>-0.92333580000000004</v>
      </c>
      <c r="Q4924">
        <v>0.37943009999999999</v>
      </c>
      <c r="R4924">
        <v>-5.9023949999999999E-2</v>
      </c>
      <c r="S4924">
        <v>-3.3786930000000002</v>
      </c>
      <c r="T4924">
        <v>-0.32983020000000002</v>
      </c>
      <c r="U4924">
        <v>-9.248352E-2</v>
      </c>
      <c r="V4924">
        <v>-6.4740870000000006E-2</v>
      </c>
      <c r="W4924">
        <v>0.388567</v>
      </c>
      <c r="X4924">
        <v>0.9191433</v>
      </c>
      <c r="Y4924">
        <v>-3.3371310000000001E-2</v>
      </c>
      <c r="Z4924">
        <v>-2.3338830000000001E-3</v>
      </c>
      <c r="AA4924">
        <v>0.99944029999999995</v>
      </c>
      <c r="AB4924">
        <v>34</v>
      </c>
      <c r="AC4924">
        <v>-0.66930000000002099</v>
      </c>
      <c r="AD4924">
        <v>-8.6799999999999905E-2</v>
      </c>
      <c r="AE4924">
        <v>-2.5500000000022199E-2</v>
      </c>
      <c r="AF4924">
        <v>-2.9166269110148999E-2</v>
      </c>
      <c r="AG4924">
        <v>-8.6799999999999905E-2</v>
      </c>
      <c r="AH4924">
        <v>0.65807664097984897</v>
      </c>
      <c r="AI4924">
        <v>97.506627483669902</v>
      </c>
      <c r="AJ4924">
        <v>92.537715399955204</v>
      </c>
      <c r="AK4924">
        <v>0.66441686963616897</v>
      </c>
      <c r="AL4924">
        <v>67.134637901918595</v>
      </c>
      <c r="AM4924">
        <v>94.029037073138994</v>
      </c>
      <c r="AN4924">
        <v>1.0000000498361199</v>
      </c>
    </row>
    <row r="4925" spans="1:40" x14ac:dyDescent="0.25">
      <c r="A4925" t="str">
        <f>"20190304164947637"</f>
        <v>20190304164947637</v>
      </c>
      <c r="B4925" t="str">
        <f>"1551689387631020"</f>
        <v>1551689387631020</v>
      </c>
      <c r="C4925" t="s">
        <v>40</v>
      </c>
      <c r="D4925">
        <v>4.6717170000000001</v>
      </c>
      <c r="E4925">
        <v>0.52813669999999902</v>
      </c>
      <c r="F4925" t="s">
        <v>41</v>
      </c>
      <c r="G4925">
        <v>-275.06909999999999</v>
      </c>
      <c r="H4925">
        <v>1.0157229999999999</v>
      </c>
      <c r="I4925">
        <v>141.732</v>
      </c>
      <c r="J4925">
        <v>-274.38299999999998</v>
      </c>
      <c r="K4925">
        <v>1.110411</v>
      </c>
      <c r="L4925">
        <v>141.75890000000001</v>
      </c>
      <c r="M4925">
        <v>-0.9999325</v>
      </c>
      <c r="N4925">
        <v>-9.8385959999999998E-3</v>
      </c>
      <c r="O4925">
        <v>6.1935360000000004E-3</v>
      </c>
      <c r="P4925">
        <v>-0.92356959999999999</v>
      </c>
      <c r="Q4925">
        <v>0.3791544</v>
      </c>
      <c r="R4925">
        <v>-5.7107600000000001E-2</v>
      </c>
      <c r="S4925">
        <v>-3.3789370000000001</v>
      </c>
      <c r="T4925">
        <v>-0.32962010000000003</v>
      </c>
      <c r="U4925">
        <v>-8.7692259999999994E-2</v>
      </c>
      <c r="V4925">
        <v>-6.2818739999999998E-2</v>
      </c>
      <c r="W4925">
        <v>0.38822030000000002</v>
      </c>
      <c r="X4925">
        <v>0.91942310000000005</v>
      </c>
      <c r="Y4925">
        <v>-3.1944479999999997E-2</v>
      </c>
      <c r="Z4925">
        <v>-2.2536190000000001E-3</v>
      </c>
      <c r="AA4925">
        <v>0.99948709999999996</v>
      </c>
      <c r="AB4925">
        <v>34</v>
      </c>
      <c r="AC4925">
        <v>-0.68610000000001004</v>
      </c>
      <c r="AD4925">
        <v>-9.4688000000000105E-2</v>
      </c>
      <c r="AE4925">
        <v>-2.6900000000011901E-2</v>
      </c>
      <c r="AF4925">
        <v>-3.0567759335934599E-2</v>
      </c>
      <c r="AG4925">
        <v>-9.4688000000000105E-2</v>
      </c>
      <c r="AH4925">
        <v>0.67311933899402698</v>
      </c>
      <c r="AI4925">
        <v>97.999145374097395</v>
      </c>
      <c r="AJ4925">
        <v>92.600134978068496</v>
      </c>
      <c r="AK4925">
        <v>0.68043357484957701</v>
      </c>
      <c r="AL4925">
        <v>67.156193881082302</v>
      </c>
      <c r="AM4925">
        <v>93.9086071079455</v>
      </c>
      <c r="AN4925">
        <v>1.0000000161204401</v>
      </c>
    </row>
    <row r="4926" spans="1:40" x14ac:dyDescent="0.25">
      <c r="A4926" t="str">
        <f>"20190304164947662"</f>
        <v>20190304164947662</v>
      </c>
      <c r="B4926" t="str">
        <f>"1551689387650550"</f>
        <v>1551689387650550</v>
      </c>
      <c r="C4926" t="s">
        <v>40</v>
      </c>
      <c r="D4926">
        <v>4.7060570000000004</v>
      </c>
      <c r="E4926">
        <v>0.52827429999999997</v>
      </c>
      <c r="F4926" t="s">
        <v>41</v>
      </c>
      <c r="G4926">
        <v>-275.3759</v>
      </c>
      <c r="H4926">
        <v>1.013611</v>
      </c>
      <c r="I4926">
        <v>141.7354</v>
      </c>
      <c r="J4926">
        <v>-274.74979999999999</v>
      </c>
      <c r="K4926">
        <v>1.1104050000000001</v>
      </c>
      <c r="L4926">
        <v>141.7612</v>
      </c>
      <c r="M4926">
        <v>-0.99993379999999998</v>
      </c>
      <c r="N4926">
        <v>-9.7420849999999993E-3</v>
      </c>
      <c r="O4926">
        <v>6.145574E-3</v>
      </c>
      <c r="P4926">
        <v>-0.92387450000000004</v>
      </c>
      <c r="Q4926">
        <v>0.37870510000000002</v>
      </c>
      <c r="R4926">
        <v>-5.5124050000000001E-2</v>
      </c>
      <c r="S4926">
        <v>-3.3785099999999999</v>
      </c>
      <c r="T4926">
        <v>-0.32943270000000002</v>
      </c>
      <c r="U4926">
        <v>-8.0780030000000003E-2</v>
      </c>
      <c r="V4926">
        <v>-6.080936E-2</v>
      </c>
      <c r="W4926">
        <v>0.38768279999999999</v>
      </c>
      <c r="X4926">
        <v>0.91978490000000002</v>
      </c>
      <c r="Y4926">
        <v>-2.9867390000000001E-2</v>
      </c>
      <c r="Z4926">
        <v>-2.136411E-3</v>
      </c>
      <c r="AA4926">
        <v>0.99955159999999998</v>
      </c>
      <c r="AB4926">
        <v>34</v>
      </c>
      <c r="AC4926">
        <v>-0.62610000000000798</v>
      </c>
      <c r="AD4926">
        <v>-9.6793999999999797E-2</v>
      </c>
      <c r="AE4926">
        <v>-2.5800000000003799E-2</v>
      </c>
      <c r="AF4926">
        <v>-2.89565323301917E-2</v>
      </c>
      <c r="AG4926">
        <v>-9.6793999999999797E-2</v>
      </c>
      <c r="AH4926">
        <v>0.61134289685229404</v>
      </c>
      <c r="AI4926">
        <v>98.987053544290703</v>
      </c>
      <c r="AJ4926">
        <v>92.711813705444499</v>
      </c>
      <c r="AK4926">
        <v>0.61963513193842001</v>
      </c>
      <c r="AL4926">
        <v>67.189606848789197</v>
      </c>
      <c r="AM4926">
        <v>93.782467767857199</v>
      </c>
      <c r="AN4926">
        <v>0.99999999697372899</v>
      </c>
    </row>
    <row r="4927" spans="1:40" x14ac:dyDescent="0.25">
      <c r="A4927" t="str">
        <f>"20190304164947682"</f>
        <v>20190304164947682</v>
      </c>
      <c r="B4927" t="str">
        <f>"1551689387671038"</f>
        <v>1551689387671038</v>
      </c>
      <c r="C4927" t="s">
        <v>40</v>
      </c>
      <c r="D4927">
        <v>4.7424819999999999</v>
      </c>
      <c r="E4927">
        <v>0.52849040000000003</v>
      </c>
      <c r="F4927" t="s">
        <v>41</v>
      </c>
      <c r="G4927">
        <v>-275.68610000000001</v>
      </c>
      <c r="H4927">
        <v>1.0174129999999999</v>
      </c>
      <c r="I4927">
        <v>141.74100000000001</v>
      </c>
      <c r="J4927">
        <v>-275.07560000000001</v>
      </c>
      <c r="K4927">
        <v>1.110414</v>
      </c>
      <c r="L4927">
        <v>141.76310000000001</v>
      </c>
      <c r="M4927">
        <v>-0.99993500000000002</v>
      </c>
      <c r="N4927">
        <v>-9.6618510000000008E-3</v>
      </c>
      <c r="O4927">
        <v>6.0774729999999999E-3</v>
      </c>
      <c r="P4927">
        <v>-0.92424550000000005</v>
      </c>
      <c r="Q4927">
        <v>0.3779304</v>
      </c>
      <c r="R4927">
        <v>-5.4214520000000002E-2</v>
      </c>
      <c r="S4927">
        <v>-3.380493</v>
      </c>
      <c r="T4927">
        <v>-0.33581470000000002</v>
      </c>
      <c r="U4927">
        <v>-7.3242189999999999E-2</v>
      </c>
      <c r="V4927">
        <v>-5.9859660000000002E-2</v>
      </c>
      <c r="W4927">
        <v>0.38683469999999998</v>
      </c>
      <c r="X4927">
        <v>0.92020420000000003</v>
      </c>
      <c r="Y4927">
        <v>-2.756374E-2</v>
      </c>
      <c r="Z4927">
        <v>-2.0426939999999998E-3</v>
      </c>
      <c r="AA4927">
        <v>0.99961789999999995</v>
      </c>
      <c r="AB4927">
        <v>34</v>
      </c>
      <c r="AC4927">
        <v>-0.61050000000000104</v>
      </c>
      <c r="AD4927">
        <v>-9.3001000000000097E-2</v>
      </c>
      <c r="AE4927">
        <v>-2.20999999999946E-2</v>
      </c>
      <c r="AF4927">
        <v>-2.5225441379237799E-2</v>
      </c>
      <c r="AG4927">
        <v>-9.3001000000000097E-2</v>
      </c>
      <c r="AH4927">
        <v>0.59652934739701902</v>
      </c>
      <c r="AI4927">
        <v>98.853490234667802</v>
      </c>
      <c r="AJ4927">
        <v>92.421424460044904</v>
      </c>
      <c r="AK4927">
        <v>0.60426217091564705</v>
      </c>
      <c r="AL4927">
        <v>67.242312400439502</v>
      </c>
      <c r="AM4927">
        <v>93.721870061761393</v>
      </c>
      <c r="AN4927">
        <v>1.0000000168585199</v>
      </c>
    </row>
    <row r="4928" spans="1:40" x14ac:dyDescent="0.25">
      <c r="A4928" t="str">
        <f>"20190304164947704"</f>
        <v>20190304164947704</v>
      </c>
      <c r="B4928" t="str">
        <f>"1551689387690556"</f>
        <v>1551689387690556</v>
      </c>
      <c r="C4928" t="s">
        <v>40</v>
      </c>
      <c r="D4928">
        <v>4.7860279999999999</v>
      </c>
      <c r="E4928">
        <v>0.52862399999999998</v>
      </c>
      <c r="F4928" t="s">
        <v>41</v>
      </c>
      <c r="G4928">
        <v>-275.99470000000002</v>
      </c>
      <c r="H4928">
        <v>1.0171829999999999</v>
      </c>
      <c r="I4928">
        <v>141.7448</v>
      </c>
      <c r="J4928">
        <v>-275.40539999999999</v>
      </c>
      <c r="K4928">
        <v>1.1104240000000001</v>
      </c>
      <c r="L4928">
        <v>141.76499999999999</v>
      </c>
      <c r="M4928">
        <v>-0.9999363</v>
      </c>
      <c r="N4928">
        <v>-9.5865470000000008E-3</v>
      </c>
      <c r="O4928">
        <v>5.983276E-3</v>
      </c>
      <c r="P4928">
        <v>-0.92430840000000003</v>
      </c>
      <c r="Q4928">
        <v>0.37776300000000002</v>
      </c>
      <c r="R4928">
        <v>-5.4309299999999998E-2</v>
      </c>
      <c r="S4928">
        <v>-3.3822019999999902</v>
      </c>
      <c r="T4928">
        <v>-0.34319080000000002</v>
      </c>
      <c r="U4928">
        <v>-6.8267820000000007E-2</v>
      </c>
      <c r="V4928">
        <v>-5.9888980000000001E-2</v>
      </c>
      <c r="W4928">
        <v>0.38659549999999998</v>
      </c>
      <c r="X4928">
        <v>0.92030279999999998</v>
      </c>
      <c r="Y4928">
        <v>-2.5991029999999998E-2</v>
      </c>
      <c r="Z4928">
        <v>-1.9883769999999999E-3</v>
      </c>
      <c r="AA4928">
        <v>0.9996602</v>
      </c>
      <c r="AB4928">
        <v>35</v>
      </c>
      <c r="AC4928">
        <v>-0.58930000000003602</v>
      </c>
      <c r="AD4928">
        <v>-9.3241000000000102E-2</v>
      </c>
      <c r="AE4928">
        <v>-2.0199999999988401E-2</v>
      </c>
      <c r="AF4928">
        <v>-2.3146949469003999E-2</v>
      </c>
      <c r="AG4928">
        <v>-9.3241000000000102E-2</v>
      </c>
      <c r="AH4928">
        <v>0.57479568062900899</v>
      </c>
      <c r="AI4928">
        <v>99.206692594443993</v>
      </c>
      <c r="AJ4928">
        <v>92.3060477998892</v>
      </c>
      <c r="AK4928">
        <v>0.58276902784935802</v>
      </c>
      <c r="AL4928">
        <v>67.257173543168804</v>
      </c>
      <c r="AM4928">
        <v>93.723290123227599</v>
      </c>
      <c r="AN4928">
        <v>1.0000000071167601</v>
      </c>
    </row>
    <row r="4929" spans="1:40" x14ac:dyDescent="0.25">
      <c r="A4929" t="str">
        <f>"20190304164947717"</f>
        <v>20190304164947717</v>
      </c>
      <c r="B4929" t="str">
        <f>"1551689387711053"</f>
        <v>1551689387711053</v>
      </c>
      <c r="C4929" t="s">
        <v>40</v>
      </c>
      <c r="D4929">
        <v>4.7749519999999999</v>
      </c>
      <c r="E4929">
        <v>0.52865329999999999</v>
      </c>
      <c r="F4929" t="s">
        <v>41</v>
      </c>
      <c r="G4929">
        <v>-276.30439999999999</v>
      </c>
      <c r="H4929">
        <v>1.0180370000000001</v>
      </c>
      <c r="I4929">
        <v>141.7474</v>
      </c>
      <c r="J4929">
        <v>-275.61489999999998</v>
      </c>
      <c r="K4929">
        <v>1.1104290000000001</v>
      </c>
      <c r="L4929">
        <v>141.7662</v>
      </c>
      <c r="M4929">
        <v>-0.99993699999999996</v>
      </c>
      <c r="N4929">
        <v>-9.5403650000000003E-3</v>
      </c>
      <c r="O4929">
        <v>5.9132419999999896E-3</v>
      </c>
      <c r="P4929">
        <v>-0.92429300000000003</v>
      </c>
      <c r="Q4929">
        <v>0.37777850000000002</v>
      </c>
      <c r="R4929">
        <v>-5.4461099999999998E-2</v>
      </c>
      <c r="S4929">
        <v>-3.3838810000000001</v>
      </c>
      <c r="T4929">
        <v>-0.3478366</v>
      </c>
      <c r="U4929">
        <v>-6.7001340000000006E-2</v>
      </c>
      <c r="V4929">
        <v>-5.9989389999999997E-2</v>
      </c>
      <c r="W4929">
        <v>0.38656649999999998</v>
      </c>
      <c r="X4929">
        <v>0.92030840000000003</v>
      </c>
      <c r="Y4929">
        <v>-2.5535579999999999E-2</v>
      </c>
      <c r="Z4929">
        <v>-1.9809379999999998E-3</v>
      </c>
      <c r="AA4929">
        <v>0.99967189999999995</v>
      </c>
      <c r="AB4929">
        <v>35</v>
      </c>
      <c r="AC4929">
        <v>-0.68950000000000899</v>
      </c>
      <c r="AD4929">
        <v>-9.2392000000000002E-2</v>
      </c>
      <c r="AE4929">
        <v>-1.87999999999988E-2</v>
      </c>
      <c r="AF4929">
        <v>-2.2473806078774899E-2</v>
      </c>
      <c r="AG4929">
        <v>-9.2392000000000002E-2</v>
      </c>
      <c r="AH4929">
        <v>0.67722580040851299</v>
      </c>
      <c r="AI4929">
        <v>97.764517807990202</v>
      </c>
      <c r="AJ4929">
        <v>91.9006686874921</v>
      </c>
      <c r="AK4929">
        <v>0.68386850955619904</v>
      </c>
      <c r="AL4929">
        <v>67.258974260821802</v>
      </c>
      <c r="AM4929">
        <v>93.729492366829305</v>
      </c>
      <c r="AN4929">
        <v>0.99999996847269002</v>
      </c>
    </row>
    <row r="4930" spans="1:40" x14ac:dyDescent="0.25">
      <c r="A4930" t="str">
        <f>"20190304164947730"</f>
        <v>20190304164947730</v>
      </c>
      <c r="B4930" t="str">
        <f>"1551689387720814"</f>
        <v>1551689387720814</v>
      </c>
      <c r="C4930" t="s">
        <v>40</v>
      </c>
      <c r="D4930">
        <v>4.7269300000000003</v>
      </c>
      <c r="E4930">
        <v>0.52858519999999998</v>
      </c>
      <c r="F4930" t="s">
        <v>41</v>
      </c>
      <c r="G4930">
        <v>-276.60919999999999</v>
      </c>
      <c r="H4930">
        <v>1.0074289999999999</v>
      </c>
      <c r="I4930">
        <v>141.74680000000001</v>
      </c>
      <c r="J4930">
        <v>-275.82979999999998</v>
      </c>
      <c r="K4930">
        <v>1.1104339999999999</v>
      </c>
      <c r="L4930">
        <v>141.76740000000001</v>
      </c>
      <c r="M4930">
        <v>-0.99993790000000005</v>
      </c>
      <c r="N4930">
        <v>-9.4951410000000003E-3</v>
      </c>
      <c r="O4930">
        <v>5.8311219999999898E-3</v>
      </c>
      <c r="P4930">
        <v>-0.92427369999999998</v>
      </c>
      <c r="Q4930">
        <v>0.37781019999999998</v>
      </c>
      <c r="R4930">
        <v>-5.4568360000000003E-2</v>
      </c>
      <c r="S4930">
        <v>-3.385132</v>
      </c>
      <c r="T4930">
        <v>-0.350742</v>
      </c>
      <c r="U4930">
        <v>-6.6787719999999995E-2</v>
      </c>
      <c r="V4930">
        <v>-6.0032290000000002E-2</v>
      </c>
      <c r="W4930">
        <v>0.38655420000000001</v>
      </c>
      <c r="X4930">
        <v>0.92031079999999998</v>
      </c>
      <c r="Y4930">
        <v>-2.53817E-2</v>
      </c>
      <c r="Z4930">
        <v>-1.9794449999999998E-3</v>
      </c>
      <c r="AA4930">
        <v>0.99967589999999995</v>
      </c>
      <c r="AB4930">
        <v>35</v>
      </c>
      <c r="AC4930">
        <v>-0.77940000000000897</v>
      </c>
      <c r="AD4930">
        <v>-0.103004999999999</v>
      </c>
      <c r="AE4930">
        <v>-2.06000000000017E-2</v>
      </c>
      <c r="AF4930">
        <v>-2.47132879015926E-2</v>
      </c>
      <c r="AG4930">
        <v>-0.103004999999999</v>
      </c>
      <c r="AH4930">
        <v>0.76589870087356904</v>
      </c>
      <c r="AI4930">
        <v>97.655758255836702</v>
      </c>
      <c r="AJ4930">
        <v>91.848124278915705</v>
      </c>
      <c r="AK4930">
        <v>0.77318923726583799</v>
      </c>
      <c r="AL4930">
        <v>67.259739084766395</v>
      </c>
      <c r="AM4930">
        <v>93.732142185098297</v>
      </c>
      <c r="AN4930">
        <v>0.99999999698846198</v>
      </c>
    </row>
    <row r="4931" spans="1:40" x14ac:dyDescent="0.25">
      <c r="A4931" t="str">
        <f>"20190304164947750"</f>
        <v>20190304164947750</v>
      </c>
      <c r="B4931" t="str">
        <f>"1551689387741308"</f>
        <v>1551689387741308</v>
      </c>
      <c r="C4931" t="s">
        <v>40</v>
      </c>
      <c r="D4931">
        <v>4.7714299999999996</v>
      </c>
      <c r="E4931">
        <v>0.52852849999999996</v>
      </c>
      <c r="F4931" t="s">
        <v>41</v>
      </c>
      <c r="G4931">
        <v>-276.62130000000002</v>
      </c>
      <c r="H4931">
        <v>1.028702</v>
      </c>
      <c r="I4931">
        <v>141.75190000000001</v>
      </c>
      <c r="J4931">
        <v>-276.11810000000003</v>
      </c>
      <c r="K4931">
        <v>1.1104400000000001</v>
      </c>
      <c r="L4931">
        <v>141.76900000000001</v>
      </c>
      <c r="M4931">
        <v>-0.99993920000000003</v>
      </c>
      <c r="N4931">
        <v>-9.4384810000000003E-3</v>
      </c>
      <c r="O4931">
        <v>5.710901E-3</v>
      </c>
      <c r="P4931">
        <v>-0.92429600000000001</v>
      </c>
      <c r="Q4931">
        <v>0.3776523</v>
      </c>
      <c r="R4931">
        <v>-5.5278430000000003E-2</v>
      </c>
      <c r="S4931">
        <v>-3.384735</v>
      </c>
      <c r="T4931">
        <v>-0.34961239999999999</v>
      </c>
      <c r="U4931">
        <v>-6.7428589999999997E-2</v>
      </c>
      <c r="V4931">
        <v>-6.0644150000000001E-2</v>
      </c>
      <c r="W4931">
        <v>0.38634259999999998</v>
      </c>
      <c r="X4931">
        <v>0.92035960000000006</v>
      </c>
      <c r="Y4931">
        <v>-2.5454230000000001E-2</v>
      </c>
      <c r="Z4931">
        <v>-1.9659650000000001E-3</v>
      </c>
      <c r="AA4931">
        <v>0.99967410000000001</v>
      </c>
      <c r="AB4931">
        <v>35</v>
      </c>
      <c r="AC4931">
        <v>-0.50319999999999199</v>
      </c>
      <c r="AD4931">
        <v>-8.1737999999999797E-2</v>
      </c>
      <c r="AE4931">
        <v>-1.7099999999999199E-2</v>
      </c>
      <c r="AF4931">
        <v>-1.9460685070921E-2</v>
      </c>
      <c r="AG4931">
        <v>-8.1737999999999797E-2</v>
      </c>
      <c r="AH4931">
        <v>0.49017548373268599</v>
      </c>
      <c r="AI4931">
        <v>99.459791046759804</v>
      </c>
      <c r="AJ4931">
        <v>92.273532398258496</v>
      </c>
      <c r="AK4931">
        <v>0.497324666349862</v>
      </c>
      <c r="AL4931">
        <v>67.272885496064006</v>
      </c>
      <c r="AM4931">
        <v>93.769872382317601</v>
      </c>
      <c r="AN4931">
        <v>1.0000000554080599</v>
      </c>
    </row>
    <row r="4932" spans="1:40" x14ac:dyDescent="0.25">
      <c r="A4932" t="str">
        <f>"20190304164947762"</f>
        <v>20190304164947762</v>
      </c>
      <c r="B4932" t="str">
        <f>"1551689387751069"</f>
        <v>1551689387751069</v>
      </c>
      <c r="C4932" t="s">
        <v>40</v>
      </c>
      <c r="D4932">
        <v>4.7260109999999997</v>
      </c>
      <c r="E4932">
        <v>0.52845589999999998</v>
      </c>
      <c r="F4932" t="s">
        <v>41</v>
      </c>
      <c r="G4932">
        <v>-276.92989999999998</v>
      </c>
      <c r="H4932">
        <v>1.026376</v>
      </c>
      <c r="I4932">
        <v>141.75219999999999</v>
      </c>
      <c r="J4932">
        <v>-276.32150000000001</v>
      </c>
      <c r="K4932">
        <v>1.1104419999999999</v>
      </c>
      <c r="L4932">
        <v>141.77010000000001</v>
      </c>
      <c r="M4932">
        <v>-0.9999401</v>
      </c>
      <c r="N4932">
        <v>-9.4003469999999999E-3</v>
      </c>
      <c r="O4932">
        <v>5.6204030000000004E-3</v>
      </c>
      <c r="P4932">
        <v>-0.92434720000000004</v>
      </c>
      <c r="Q4932">
        <v>0.3775387</v>
      </c>
      <c r="R4932">
        <v>-5.5197259999999998E-2</v>
      </c>
      <c r="S4932">
        <v>-3.384735</v>
      </c>
      <c r="T4932">
        <v>-0.35058050000000002</v>
      </c>
      <c r="U4932">
        <v>-7.0785520000000005E-2</v>
      </c>
      <c r="V4932">
        <v>-6.0486310000000001E-2</v>
      </c>
      <c r="W4932">
        <v>0.38619310000000001</v>
      </c>
      <c r="X4932">
        <v>0.92043269999999999</v>
      </c>
      <c r="Y4932">
        <v>-2.634908E-2</v>
      </c>
      <c r="Z4932">
        <v>-2.012846E-3</v>
      </c>
      <c r="AA4932">
        <v>0.99965079999999995</v>
      </c>
      <c r="AB4932">
        <v>35</v>
      </c>
      <c r="AC4932">
        <v>-0.60839999999995997</v>
      </c>
      <c r="AD4932">
        <v>-8.4065999999999905E-2</v>
      </c>
      <c r="AE4932">
        <v>-1.7900000000025701E-2</v>
      </c>
      <c r="AF4932">
        <v>-2.0920247290631199E-2</v>
      </c>
      <c r="AG4932">
        <v>-8.4065999999999905E-2</v>
      </c>
      <c r="AH4932">
        <v>0.59690327237038199</v>
      </c>
      <c r="AI4932">
        <v>98.011778204483207</v>
      </c>
      <c r="AJ4932">
        <v>92.007279076904993</v>
      </c>
      <c r="AK4932">
        <v>0.60315691629058799</v>
      </c>
      <c r="AL4932">
        <v>67.282171352209701</v>
      </c>
      <c r="AM4932">
        <v>93.759790861574899</v>
      </c>
      <c r="AN4932">
        <v>1.0000000297071501</v>
      </c>
    </row>
    <row r="4933" spans="1:40" x14ac:dyDescent="0.25">
      <c r="A4933" t="str">
        <f>"20190304164947776"</f>
        <v>20190304164947776</v>
      </c>
      <c r="B4933" t="str">
        <f>"1551689387770589"</f>
        <v>1551689387770589</v>
      </c>
      <c r="C4933" t="s">
        <v>40</v>
      </c>
      <c r="D4933">
        <v>4.7517760000000004</v>
      </c>
      <c r="E4933">
        <v>0.52834579999999998</v>
      </c>
      <c r="F4933" t="s">
        <v>41</v>
      </c>
      <c r="G4933">
        <v>-277.23430000000002</v>
      </c>
      <c r="H4933">
        <v>1.0160530000000001</v>
      </c>
      <c r="I4933">
        <v>141.751</v>
      </c>
      <c r="J4933">
        <v>-276.53320000000002</v>
      </c>
      <c r="K4933">
        <v>1.110444</v>
      </c>
      <c r="L4933">
        <v>141.77119999999999</v>
      </c>
      <c r="M4933">
        <v>-0.99994110000000003</v>
      </c>
      <c r="N4933">
        <v>-9.3616020000000001E-3</v>
      </c>
      <c r="O4933">
        <v>5.5230059999999996E-3</v>
      </c>
      <c r="P4933">
        <v>-0.92447290000000004</v>
      </c>
      <c r="Q4933">
        <v>0.37721680000000002</v>
      </c>
      <c r="R4933">
        <v>-5.5296919999999999E-2</v>
      </c>
      <c r="S4933">
        <v>-3.3842469999999998</v>
      </c>
      <c r="T4933">
        <v>-0.35004829999999998</v>
      </c>
      <c r="U4933">
        <v>-7.1563719999999997E-2</v>
      </c>
      <c r="V4933">
        <v>-6.0502699999999902E-2</v>
      </c>
      <c r="W4933">
        <v>0.38583590000000001</v>
      </c>
      <c r="X4933">
        <v>0.92058139999999999</v>
      </c>
      <c r="Y4933">
        <v>-2.648464E-2</v>
      </c>
      <c r="Z4933">
        <v>-2.0083840000000002E-3</v>
      </c>
      <c r="AA4933">
        <v>0.99964719999999996</v>
      </c>
      <c r="AB4933">
        <v>35</v>
      </c>
      <c r="AC4933">
        <v>-0.70109999999999595</v>
      </c>
      <c r="AD4933">
        <v>-9.4390999999999795E-2</v>
      </c>
      <c r="AE4933">
        <v>-2.0199999999988401E-2</v>
      </c>
      <c r="AF4933">
        <v>-2.3643828567157701E-2</v>
      </c>
      <c r="AG4933">
        <v>-9.4390999999999795E-2</v>
      </c>
      <c r="AH4933">
        <v>0.68850820895204701</v>
      </c>
      <c r="AI4933">
        <v>97.801756171303495</v>
      </c>
      <c r="AJ4933">
        <v>91.966802176860895</v>
      </c>
      <c r="AK4933">
        <v>0.69535044783524003</v>
      </c>
      <c r="AL4933">
        <v>67.304356626675002</v>
      </c>
      <c r="AM4933">
        <v>93.760200996286599</v>
      </c>
      <c r="AN4933">
        <v>1.0000000162310201</v>
      </c>
    </row>
    <row r="4934" spans="1:40" x14ac:dyDescent="0.25">
      <c r="A4934" t="str">
        <f>"20190304164947793"</f>
        <v>20190304164947793</v>
      </c>
      <c r="B4934" t="str">
        <f>"1551689387781325"</f>
        <v>1551689387781325</v>
      </c>
      <c r="C4934" t="s">
        <v>40</v>
      </c>
      <c r="D4934">
        <v>4.6903899999999998</v>
      </c>
      <c r="E4934">
        <v>0.52827179999999996</v>
      </c>
      <c r="F4934" t="s">
        <v>41</v>
      </c>
      <c r="G4934">
        <v>-277.54109999999997</v>
      </c>
      <c r="H4934">
        <v>1.0063959999999901</v>
      </c>
      <c r="I4934">
        <v>141.74950000000001</v>
      </c>
      <c r="J4934">
        <v>-276.79140000000001</v>
      </c>
      <c r="K4934">
        <v>1.110441</v>
      </c>
      <c r="L4934">
        <v>141.77250000000001</v>
      </c>
      <c r="M4934">
        <v>-0.99994209999999994</v>
      </c>
      <c r="N4934">
        <v>-9.3162990000000001E-3</v>
      </c>
      <c r="O4934">
        <v>5.3997799999999999E-3</v>
      </c>
      <c r="P4934">
        <v>-0.92466280000000001</v>
      </c>
      <c r="Q4934">
        <v>0.37676270000000001</v>
      </c>
      <c r="R4934">
        <v>-5.5214079999999999E-2</v>
      </c>
      <c r="S4934">
        <v>-3.3832089999999901</v>
      </c>
      <c r="T4934">
        <v>-0.34927760000000002</v>
      </c>
      <c r="U4934">
        <v>-7.3089600000000005E-2</v>
      </c>
      <c r="V4934">
        <v>-6.0312060000000001E-2</v>
      </c>
      <c r="W4934">
        <v>0.38534190000000001</v>
      </c>
      <c r="X4934">
        <v>0.92080079999999997</v>
      </c>
      <c r="Y4934">
        <v>-2.6817879999999999E-2</v>
      </c>
      <c r="Z4934">
        <v>-2.0115409999999999E-3</v>
      </c>
      <c r="AA4934">
        <v>0.99963829999999998</v>
      </c>
      <c r="AB4934">
        <v>35</v>
      </c>
      <c r="AC4934">
        <v>-0.74969999999996095</v>
      </c>
      <c r="AD4934">
        <v>-0.104045</v>
      </c>
      <c r="AE4934">
        <v>-2.29999999999961E-2</v>
      </c>
      <c r="AF4934">
        <v>-2.65374120668979E-2</v>
      </c>
      <c r="AG4934">
        <v>-0.104045</v>
      </c>
      <c r="AH4934">
        <v>0.73541375614078697</v>
      </c>
      <c r="AI4934">
        <v>98.047489845685504</v>
      </c>
      <c r="AJ4934">
        <v>92.066622033099094</v>
      </c>
      <c r="AK4934">
        <v>0.74321126806938898</v>
      </c>
      <c r="AL4934">
        <v>67.335032981573903</v>
      </c>
      <c r="AM4934">
        <v>93.747496096908705</v>
      </c>
      <c r="AN4934">
        <v>1.00000001887884</v>
      </c>
    </row>
    <row r="4935" spans="1:40" x14ac:dyDescent="0.25">
      <c r="A4935" t="str">
        <f>"20190304164947809"</f>
        <v>20190304164947809</v>
      </c>
      <c r="B4935" t="str">
        <f>"1551689387800845"</f>
        <v>1551689387800845</v>
      </c>
      <c r="C4935" t="s">
        <v>40</v>
      </c>
      <c r="D4935">
        <v>5.2311069999999997</v>
      </c>
      <c r="E4935">
        <v>0.52814810000000001</v>
      </c>
      <c r="F4935" t="s">
        <v>41</v>
      </c>
      <c r="G4935">
        <v>-277.55599999999998</v>
      </c>
      <c r="H4935">
        <v>1.0313270000000001</v>
      </c>
      <c r="I4935">
        <v>141.75550000000001</v>
      </c>
      <c r="J4935">
        <v>-277.04480000000001</v>
      </c>
      <c r="K4935">
        <v>1.110436</v>
      </c>
      <c r="L4935">
        <v>141.77379999999999</v>
      </c>
      <c r="M4935">
        <v>-0.99994320000000003</v>
      </c>
      <c r="N4935">
        <v>-9.2751420000000001E-3</v>
      </c>
      <c r="O4935">
        <v>5.27649E-3</v>
      </c>
      <c r="P4935">
        <v>-0.92465450000000005</v>
      </c>
      <c r="Q4935">
        <v>0.37677290000000002</v>
      </c>
      <c r="R4935">
        <v>-5.5287959999999997E-2</v>
      </c>
      <c r="S4935">
        <v>-3.3825379999999998</v>
      </c>
      <c r="T4935">
        <v>-0.35004829999999998</v>
      </c>
      <c r="U4935">
        <v>-7.5683589999999995E-2</v>
      </c>
      <c r="V4935">
        <v>-6.0275519999999999E-2</v>
      </c>
      <c r="W4935">
        <v>0.38531320000000002</v>
      </c>
      <c r="X4935">
        <v>0.92081519999999994</v>
      </c>
      <c r="Y4935">
        <v>-2.7461139999999998E-2</v>
      </c>
      <c r="Z4935">
        <v>-2.0404310000000001E-3</v>
      </c>
      <c r="AA4935">
        <v>0.99962079999999998</v>
      </c>
      <c r="AB4935">
        <v>35</v>
      </c>
      <c r="AC4935">
        <v>-0.51119999999997301</v>
      </c>
      <c r="AD4935">
        <v>-7.9108999999999804E-2</v>
      </c>
      <c r="AE4935">
        <v>-1.8299999999982199E-2</v>
      </c>
      <c r="AF4935">
        <v>-2.0506734868967098E-2</v>
      </c>
      <c r="AG4935">
        <v>-7.9108999999999804E-2</v>
      </c>
      <c r="AH4935">
        <v>0.49915776496535702</v>
      </c>
      <c r="AI4935">
        <v>98.998152569297503</v>
      </c>
      <c r="AJ4935">
        <v>92.3525407988936</v>
      </c>
      <c r="AK4935">
        <v>0.50580355315200898</v>
      </c>
      <c r="AL4935">
        <v>67.336814918849896</v>
      </c>
      <c r="AM4935">
        <v>93.745173741562596</v>
      </c>
      <c r="AN4935">
        <v>1.0000000164782701</v>
      </c>
    </row>
    <row r="4936" spans="1:40" x14ac:dyDescent="0.25">
      <c r="A4936" t="str">
        <f>"20190304164947829"</f>
        <v>20190304164947829</v>
      </c>
      <c r="B4936" t="str">
        <f>"1551689387820872"</f>
        <v>1551689387820872</v>
      </c>
      <c r="C4936" t="s">
        <v>40</v>
      </c>
      <c r="D4936">
        <v>4.8049010000000001</v>
      </c>
      <c r="E4936">
        <v>0.52800539999999996</v>
      </c>
      <c r="F4936" t="s">
        <v>41</v>
      </c>
      <c r="G4936">
        <v>-277.8639</v>
      </c>
      <c r="H4936">
        <v>1.026187</v>
      </c>
      <c r="I4936">
        <v>141.75530000000001</v>
      </c>
      <c r="J4936">
        <v>-277.34949999999998</v>
      </c>
      <c r="K4936">
        <v>1.1104339999999999</v>
      </c>
      <c r="L4936">
        <v>141.77529999999999</v>
      </c>
      <c r="M4936">
        <v>-0.99994430000000001</v>
      </c>
      <c r="N4936">
        <v>-9.2273679999999997E-3</v>
      </c>
      <c r="O4936">
        <v>5.1280170000000003E-3</v>
      </c>
      <c r="P4936">
        <v>-0.92470660000000005</v>
      </c>
      <c r="Q4936">
        <v>0.37656879999999998</v>
      </c>
      <c r="R4936">
        <v>-5.5801030000000001E-2</v>
      </c>
      <c r="S4936">
        <v>-3.3816220000000001</v>
      </c>
      <c r="T4936">
        <v>-0.34794659999999999</v>
      </c>
      <c r="U4936">
        <v>-7.7072139999999997E-2</v>
      </c>
      <c r="V4936">
        <v>-6.065599E-2</v>
      </c>
      <c r="W4936">
        <v>0.38506499999999999</v>
      </c>
      <c r="X4936">
        <v>0.92089399999999999</v>
      </c>
      <c r="Y4936">
        <v>-2.77302E-2</v>
      </c>
      <c r="Z4936">
        <v>-2.0300019999999999E-3</v>
      </c>
      <c r="AA4936">
        <v>0.99961339999999999</v>
      </c>
      <c r="AB4936">
        <v>35</v>
      </c>
      <c r="AC4936">
        <v>-0.51440000000002295</v>
      </c>
      <c r="AD4936">
        <v>-8.4246999999999697E-2</v>
      </c>
      <c r="AE4936">
        <v>-1.99999999999818E-2</v>
      </c>
      <c r="AF4936">
        <v>-2.2047221705137902E-2</v>
      </c>
      <c r="AG4936">
        <v>-8.4246999999999697E-2</v>
      </c>
      <c r="AH4936">
        <v>0.50087596558597303</v>
      </c>
      <c r="AI4936">
        <v>99.538676187557996</v>
      </c>
      <c r="AJ4936">
        <v>92.520380197969502</v>
      </c>
      <c r="AK4936">
        <v>0.50838997816203702</v>
      </c>
      <c r="AL4936">
        <v>67.352223951809094</v>
      </c>
      <c r="AM4936">
        <v>93.768424481499594</v>
      </c>
      <c r="AN4936">
        <v>0.99999998129193901</v>
      </c>
    </row>
    <row r="4937" spans="1:40" x14ac:dyDescent="0.25">
      <c r="A4937" t="str">
        <f>"20190304164947852"</f>
        <v>20190304164947852</v>
      </c>
      <c r="B4937" t="str">
        <f>"1551689387840392"</f>
        <v>1551689387840392</v>
      </c>
      <c r="C4937" t="s">
        <v>40</v>
      </c>
      <c r="D4937">
        <v>4.7687999999999997</v>
      </c>
      <c r="E4937">
        <v>0.52791390000000005</v>
      </c>
      <c r="F4937" t="s">
        <v>41</v>
      </c>
      <c r="G4937">
        <v>-278.17610000000002</v>
      </c>
      <c r="H4937">
        <v>1.0258259999999999</v>
      </c>
      <c r="I4937">
        <v>141.75579999999999</v>
      </c>
      <c r="J4937">
        <v>-277.71109999999999</v>
      </c>
      <c r="K4937">
        <v>1.110436</v>
      </c>
      <c r="L4937">
        <v>141.77690000000001</v>
      </c>
      <c r="M4937">
        <v>-0.99994590000000005</v>
      </c>
      <c r="N4937">
        <v>-9.1730930000000002E-3</v>
      </c>
      <c r="O4937">
        <v>4.9523329999999997E-3</v>
      </c>
      <c r="P4937">
        <v>-0.92452250000000002</v>
      </c>
      <c r="Q4937">
        <v>0.37700869999999997</v>
      </c>
      <c r="R4937">
        <v>-5.5883240000000001E-2</v>
      </c>
      <c r="S4937">
        <v>-3.380341</v>
      </c>
      <c r="T4937">
        <v>-0.34603640000000002</v>
      </c>
      <c r="U4937">
        <v>-8.0307009999999998E-2</v>
      </c>
      <c r="V4937">
        <v>-6.0579500000000001E-2</v>
      </c>
      <c r="W4937">
        <v>0.38545230000000003</v>
      </c>
      <c r="X4937">
        <v>0.92073700000000003</v>
      </c>
      <c r="Y4937">
        <v>-2.8517420000000002E-2</v>
      </c>
      <c r="Z4937">
        <v>-2.0470639999999999E-3</v>
      </c>
      <c r="AA4937">
        <v>0.99959120000000001</v>
      </c>
      <c r="AB4937">
        <v>35</v>
      </c>
      <c r="AC4937">
        <v>-0.465000000000031</v>
      </c>
      <c r="AD4937">
        <v>-8.4609999999999796E-2</v>
      </c>
      <c r="AE4937">
        <v>-2.1100000000018299E-2</v>
      </c>
      <c r="AF4937">
        <v>-2.26541714511517E-2</v>
      </c>
      <c r="AG4937">
        <v>-8.4609999999999796E-2</v>
      </c>
      <c r="AH4937">
        <v>0.450020964048992</v>
      </c>
      <c r="AI4937">
        <v>100.63491385361201</v>
      </c>
      <c r="AJ4937">
        <v>92.881851627840206</v>
      </c>
      <c r="AK4937">
        <v>0.45846584569379001</v>
      </c>
      <c r="AL4937">
        <v>67.328177228525803</v>
      </c>
      <c r="AM4937">
        <v>93.7643259137201</v>
      </c>
      <c r="AN4937">
        <v>0.99999998728226902</v>
      </c>
    </row>
    <row r="4938" spans="1:40" x14ac:dyDescent="0.25">
      <c r="A4938" t="str">
        <f>"20190304164947874"</f>
        <v>20190304164947874</v>
      </c>
      <c r="B4938" t="str">
        <f>"1551689387860890"</f>
        <v>1551689387860890</v>
      </c>
      <c r="C4938" t="s">
        <v>40</v>
      </c>
      <c r="D4938">
        <v>4.7825610000000003</v>
      </c>
      <c r="E4938">
        <v>0.52784439999999999</v>
      </c>
      <c r="F4938" t="s">
        <v>41</v>
      </c>
      <c r="G4938">
        <v>-278.49299999999999</v>
      </c>
      <c r="H4938">
        <v>1.0312170000000001</v>
      </c>
      <c r="I4938">
        <v>141.7587</v>
      </c>
      <c r="J4938">
        <v>-278.053</v>
      </c>
      <c r="K4938">
        <v>1.110428</v>
      </c>
      <c r="L4938">
        <v>141.77850000000001</v>
      </c>
      <c r="M4938">
        <v>-0.99994700000000003</v>
      </c>
      <c r="N4938">
        <v>-9.1221870000000004E-3</v>
      </c>
      <c r="O4938">
        <v>4.787548E-3</v>
      </c>
      <c r="P4938">
        <v>-0.92444499999999996</v>
      </c>
      <c r="Q4938">
        <v>0.37718049999999997</v>
      </c>
      <c r="R4938">
        <v>-5.6006050000000002E-2</v>
      </c>
      <c r="S4938">
        <v>-3.3797609999999998</v>
      </c>
      <c r="T4938">
        <v>-0.34256550000000002</v>
      </c>
      <c r="U4938">
        <v>-8.0398559999999994E-2</v>
      </c>
      <c r="V4938">
        <v>-6.0552849999999998E-2</v>
      </c>
      <c r="W4938">
        <v>0.38557590000000003</v>
      </c>
      <c r="X4938">
        <v>0.92068700000000003</v>
      </c>
      <c r="Y4938">
        <v>-2.8388799999999999E-2</v>
      </c>
      <c r="Z4938">
        <v>-2.0050910000000001E-3</v>
      </c>
      <c r="AA4938">
        <v>0.99959489999999995</v>
      </c>
      <c r="AB4938">
        <v>35</v>
      </c>
      <c r="AC4938">
        <v>-0.439999999999997</v>
      </c>
      <c r="AD4938">
        <v>-7.9210999999999906E-2</v>
      </c>
      <c r="AE4938">
        <v>-1.9800000000003599E-2</v>
      </c>
      <c r="AF4938">
        <v>-2.1220050870476501E-2</v>
      </c>
      <c r="AG4938">
        <v>-7.9210999999999906E-2</v>
      </c>
      <c r="AH4938">
        <v>0.42611800964138802</v>
      </c>
      <c r="AI4938">
        <v>100.51776401902799</v>
      </c>
      <c r="AJ4938">
        <v>92.850890567828898</v>
      </c>
      <c r="AK4938">
        <v>0.43393689774054001</v>
      </c>
      <c r="AL4938">
        <v>67.320502202236199</v>
      </c>
      <c r="AM4938">
        <v>93.762878431449707</v>
      </c>
      <c r="AN4938">
        <v>0.99999998713646598</v>
      </c>
    </row>
    <row r="4939" spans="1:40" x14ac:dyDescent="0.25">
      <c r="A4939" t="str">
        <f>"20190304164947895"</f>
        <v>20190304164947895</v>
      </c>
      <c r="B4939" t="str">
        <f>"1551689387891145"</f>
        <v>1551689387891145</v>
      </c>
      <c r="C4939" t="s">
        <v>40</v>
      </c>
      <c r="D4939">
        <v>4.7451369999999997</v>
      </c>
      <c r="E4939">
        <v>0.52772189999999997</v>
      </c>
      <c r="F4939" t="s">
        <v>41</v>
      </c>
      <c r="G4939">
        <v>-278.81479999999999</v>
      </c>
      <c r="H4939">
        <v>1.0336259999999999</v>
      </c>
      <c r="I4939">
        <v>141.7604</v>
      </c>
      <c r="J4939">
        <v>-278.38159999999999</v>
      </c>
      <c r="K4939">
        <v>1.110417</v>
      </c>
      <c r="L4939">
        <v>141.7799</v>
      </c>
      <c r="M4939">
        <v>-0.99994810000000001</v>
      </c>
      <c r="N4939">
        <v>-9.0747120000000004E-3</v>
      </c>
      <c r="O4939">
        <v>4.6305010000000004E-3</v>
      </c>
      <c r="P4939">
        <v>-0.92465079999999999</v>
      </c>
      <c r="Q4939">
        <v>0.37664059999999999</v>
      </c>
      <c r="R4939">
        <v>-5.624063E-2</v>
      </c>
      <c r="S4939">
        <v>-3.3793030000000002</v>
      </c>
      <c r="T4939">
        <v>-0.340628599999999</v>
      </c>
      <c r="U4939">
        <v>-8.0398559999999994E-2</v>
      </c>
      <c r="V4939">
        <v>-6.0646499999999999E-2</v>
      </c>
      <c r="W4939">
        <v>0.38499420000000001</v>
      </c>
      <c r="X4939">
        <v>0.92092419999999997</v>
      </c>
      <c r="Y4939">
        <v>-2.8238470000000002E-2</v>
      </c>
      <c r="Z4939">
        <v>-1.9714929999999999E-3</v>
      </c>
      <c r="AA4939">
        <v>0.99959929999999997</v>
      </c>
      <c r="AB4939">
        <v>35</v>
      </c>
      <c r="AC4939">
        <v>-0.43319999999999897</v>
      </c>
      <c r="AD4939">
        <v>-7.6790999999999998E-2</v>
      </c>
      <c r="AE4939">
        <v>-1.9499999999993599E-2</v>
      </c>
      <c r="AF4939">
        <v>-2.0851907899561799E-2</v>
      </c>
      <c r="AG4939">
        <v>-7.6790999999999998E-2</v>
      </c>
      <c r="AH4939">
        <v>0.419936203244684</v>
      </c>
      <c r="AI4939">
        <v>100.350335051054</v>
      </c>
      <c r="AJ4939">
        <v>92.842683834459706</v>
      </c>
      <c r="AK4939">
        <v>0.427408556933074</v>
      </c>
      <c r="AL4939">
        <v>67.3566187816282</v>
      </c>
      <c r="AM4939">
        <v>93.767713383640498</v>
      </c>
      <c r="AN4939">
        <v>0.99999995707076395</v>
      </c>
    </row>
    <row r="4940" spans="1:40" x14ac:dyDescent="0.25">
      <c r="A4940" t="str">
        <f>"20190304164947917"</f>
        <v>20190304164947917</v>
      </c>
      <c r="B4940" t="str">
        <f>"1551689387911171"</f>
        <v>1551689387911171</v>
      </c>
      <c r="C4940" t="s">
        <v>40</v>
      </c>
      <c r="D4940">
        <v>4.832992</v>
      </c>
      <c r="E4940">
        <v>0.52776429999999996</v>
      </c>
      <c r="F4940" t="s">
        <v>48</v>
      </c>
      <c r="G4940">
        <v>-289.39760000000001</v>
      </c>
      <c r="H4940" s="1">
        <v>-9.1562799999999993E-6</v>
      </c>
      <c r="I4940">
        <v>141.5172</v>
      </c>
      <c r="J4940">
        <v>-278.72500000000002</v>
      </c>
      <c r="K4940">
        <v>1.110414</v>
      </c>
      <c r="L4940">
        <v>141.78139999999999</v>
      </c>
      <c r="M4940">
        <v>-0.99994930000000004</v>
      </c>
      <c r="N4940">
        <v>-9.0249010000000001E-3</v>
      </c>
      <c r="O4940">
        <v>4.4667309999999998E-3</v>
      </c>
      <c r="P4940">
        <v>-0.92488130000000002</v>
      </c>
      <c r="Q4940">
        <v>0.376025</v>
      </c>
      <c r="R4940">
        <v>-5.656812E-2</v>
      </c>
      <c r="S4940">
        <v>-3.3782960000000002</v>
      </c>
      <c r="T4940">
        <v>-0.34053840000000002</v>
      </c>
      <c r="U4940">
        <v>-8.0581669999999994E-2</v>
      </c>
      <c r="V4940">
        <v>-6.082622E-2</v>
      </c>
      <c r="W4940">
        <v>0.38433440000000002</v>
      </c>
      <c r="X4940">
        <v>0.92118789999999995</v>
      </c>
      <c r="Y4940">
        <v>-2.8137280000000001E-2</v>
      </c>
      <c r="Z4940">
        <v>-1.9505429999999999E-3</v>
      </c>
      <c r="AA4940">
        <v>0.99960210000000005</v>
      </c>
      <c r="AB4940">
        <v>35</v>
      </c>
      <c r="AC4940">
        <v>-10.6725999999999</v>
      </c>
      <c r="AD4940">
        <v>-1.11042315628</v>
      </c>
      <c r="AE4940">
        <v>-0.264199999999988</v>
      </c>
      <c r="AF4940">
        <v>-0.30853304760412997</v>
      </c>
      <c r="AG4940">
        <v>-1.11042315628</v>
      </c>
      <c r="AH4940">
        <v>10.557100466424201</v>
      </c>
      <c r="AI4940">
        <v>96.001896356954703</v>
      </c>
      <c r="AJ4940">
        <v>91.674002366023899</v>
      </c>
      <c r="AK4940">
        <v>10.619821207800101</v>
      </c>
      <c r="AL4940">
        <v>67.397573674477599</v>
      </c>
      <c r="AM4940">
        <v>93.777767730446499</v>
      </c>
      <c r="AN4940">
        <v>0.99999995358462801</v>
      </c>
    </row>
    <row r="4941" spans="1:40" x14ac:dyDescent="0.25">
      <c r="A4941" t="str">
        <f>"20190304164947940"</f>
        <v>20190304164947940</v>
      </c>
      <c r="B4941" t="str">
        <f>"1551689387930691"</f>
        <v>1551689387930691</v>
      </c>
      <c r="C4941" t="s">
        <v>40</v>
      </c>
      <c r="D4941">
        <v>5.3364520000000004</v>
      </c>
      <c r="E4941">
        <v>0.52778139999999996</v>
      </c>
      <c r="F4941" t="s">
        <v>41</v>
      </c>
      <c r="G4941">
        <v>-279.73509999999999</v>
      </c>
      <c r="H4941">
        <v>1.0073099999999999</v>
      </c>
      <c r="I4941">
        <v>141.75749999999999</v>
      </c>
      <c r="J4941">
        <v>-279.09750000000003</v>
      </c>
      <c r="K4941">
        <v>1.1104050000000001</v>
      </c>
      <c r="L4941">
        <v>141.78290000000001</v>
      </c>
      <c r="M4941">
        <v>-0.99995060000000002</v>
      </c>
      <c r="N4941">
        <v>-8.9728250000000002E-3</v>
      </c>
      <c r="O4941">
        <v>4.2891450000000003E-3</v>
      </c>
      <c r="P4941">
        <v>-0.9251817</v>
      </c>
      <c r="Q4941">
        <v>0.37521490000000002</v>
      </c>
      <c r="R4941">
        <v>-5.7034939999999999E-2</v>
      </c>
      <c r="S4941">
        <v>-3.3789669999999998</v>
      </c>
      <c r="T4941">
        <v>-0.34496339999999998</v>
      </c>
      <c r="U4941">
        <v>-8.0413819999999997E-2</v>
      </c>
      <c r="V4941">
        <v>-6.1132659999999998E-2</v>
      </c>
      <c r="W4941">
        <v>0.3834784</v>
      </c>
      <c r="X4941">
        <v>0.92152429999999996</v>
      </c>
      <c r="Y4941">
        <v>-2.790318E-2</v>
      </c>
      <c r="Z4941">
        <v>-1.9443069999999999E-3</v>
      </c>
      <c r="AA4941">
        <v>0.99960879999999996</v>
      </c>
      <c r="AB4941">
        <v>35</v>
      </c>
      <c r="AC4941">
        <v>-0.63759999999996297</v>
      </c>
      <c r="AD4941">
        <v>-0.10309499999999901</v>
      </c>
      <c r="AE4941">
        <v>-2.5400000000018901E-2</v>
      </c>
      <c r="AF4941">
        <v>-2.7418919901933202E-2</v>
      </c>
      <c r="AG4941">
        <v>-0.10309499999999901</v>
      </c>
      <c r="AH4941">
        <v>0.62126823988755397</v>
      </c>
      <c r="AI4941">
        <v>99.412966119056406</v>
      </c>
      <c r="AJ4941">
        <v>92.527039840479503</v>
      </c>
      <c r="AK4941">
        <v>0.63036069205381695</v>
      </c>
      <c r="AL4941">
        <v>67.450689149508804</v>
      </c>
      <c r="AM4941">
        <v>93.795362501639005</v>
      </c>
      <c r="AN4941">
        <v>0.99999996043786199</v>
      </c>
    </row>
    <row r="4942" spans="1:40" x14ac:dyDescent="0.25">
      <c r="A4942" t="str">
        <f>"20190304164947960"</f>
        <v>20190304164947960</v>
      </c>
      <c r="B4942" t="str">
        <f>"1551689387951190"</f>
        <v>1551689387951190</v>
      </c>
      <c r="C4942" t="s">
        <v>40</v>
      </c>
      <c r="D4942">
        <v>4.7725749999999998</v>
      </c>
      <c r="E4942">
        <v>0.5276843</v>
      </c>
      <c r="F4942" t="s">
        <v>41</v>
      </c>
      <c r="G4942">
        <v>-280.05270000000002</v>
      </c>
      <c r="H4942">
        <v>1.0118450000000001</v>
      </c>
      <c r="I4942">
        <v>141.75989999999999</v>
      </c>
      <c r="J4942">
        <v>-279.42180000000002</v>
      </c>
      <c r="K4942">
        <v>1.1103989999999999</v>
      </c>
      <c r="L4942">
        <v>141.7841</v>
      </c>
      <c r="M4942">
        <v>-0.9999517</v>
      </c>
      <c r="N4942">
        <v>-8.9305249999999999E-3</v>
      </c>
      <c r="O4942">
        <v>4.1339929999999999E-3</v>
      </c>
      <c r="P4942">
        <v>-0.92525009999999996</v>
      </c>
      <c r="Q4942">
        <v>0.37493739999999998</v>
      </c>
      <c r="R4942">
        <v>-5.7743620000000002E-2</v>
      </c>
      <c r="S4942">
        <v>-3.3789669999999998</v>
      </c>
      <c r="T4942">
        <v>-0.34864849999999997</v>
      </c>
      <c r="U4942">
        <v>-8.1603999999999996E-2</v>
      </c>
      <c r="V4942">
        <v>-6.1699909999999997E-2</v>
      </c>
      <c r="W4942">
        <v>0.38316230000000001</v>
      </c>
      <c r="X4942">
        <v>0.92161800000000005</v>
      </c>
      <c r="Y4942">
        <v>-2.809592E-2</v>
      </c>
      <c r="Z4942">
        <v>-1.9598300000000001E-3</v>
      </c>
      <c r="AA4942">
        <v>0.99960329999999997</v>
      </c>
      <c r="AB4942">
        <v>35</v>
      </c>
      <c r="AC4942">
        <v>-0.63089999999999602</v>
      </c>
      <c r="AD4942">
        <v>-9.8553999999999795E-2</v>
      </c>
      <c r="AE4942">
        <v>-2.42000000000075E-2</v>
      </c>
      <c r="AF4942">
        <v>-2.6170359200512999E-2</v>
      </c>
      <c r="AG4942">
        <v>-9.8553999999999795E-2</v>
      </c>
      <c r="AH4942">
        <v>0.61579005909933504</v>
      </c>
      <c r="AI4942">
        <v>99.0847164218644</v>
      </c>
      <c r="AJ4942">
        <v>92.433539386427299</v>
      </c>
      <c r="AK4942">
        <v>0.62417559668914202</v>
      </c>
      <c r="AL4942">
        <v>67.470298696572897</v>
      </c>
      <c r="AM4942">
        <v>93.830087029507496</v>
      </c>
      <c r="AN4942">
        <v>0.99999998247964905</v>
      </c>
    </row>
    <row r="4943" spans="1:40" x14ac:dyDescent="0.25">
      <c r="A4943" t="str">
        <f>"20190304164947975"</f>
        <v>20190304164947975</v>
      </c>
      <c r="B4943" t="str">
        <f>"1551689387970707"</f>
        <v>1551689387970707</v>
      </c>
      <c r="C4943" t="s">
        <v>40</v>
      </c>
      <c r="D4943">
        <v>4.738931</v>
      </c>
      <c r="E4943">
        <v>0.5276343</v>
      </c>
      <c r="F4943" t="s">
        <v>41</v>
      </c>
      <c r="G4943">
        <v>-280.36919999999998</v>
      </c>
      <c r="H4943">
        <v>1.0127619999999999</v>
      </c>
      <c r="I4943">
        <v>141.76070000000001</v>
      </c>
      <c r="J4943">
        <v>-279.64659999999998</v>
      </c>
      <c r="K4943">
        <v>1.110392</v>
      </c>
      <c r="L4943">
        <v>141.785</v>
      </c>
      <c r="M4943">
        <v>-0.99995230000000002</v>
      </c>
      <c r="N4943">
        <v>-8.9015409999999903E-3</v>
      </c>
      <c r="O4943">
        <v>4.0266499999999997E-3</v>
      </c>
      <c r="P4943">
        <v>-0.92513719999999999</v>
      </c>
      <c r="Q4943">
        <v>0.37515039999999999</v>
      </c>
      <c r="R4943">
        <v>-5.8169600000000002E-2</v>
      </c>
      <c r="S4943">
        <v>-3.3782350000000001</v>
      </c>
      <c r="T4943">
        <v>-0.34822940000000002</v>
      </c>
      <c r="U4943">
        <v>-8.4442139999999999E-2</v>
      </c>
      <c r="V4943">
        <v>-6.2026980000000002E-2</v>
      </c>
      <c r="W4943">
        <v>0.3833472</v>
      </c>
      <c r="X4943">
        <v>0.92151919999999998</v>
      </c>
      <c r="Y4943">
        <v>-2.8829759999999999E-2</v>
      </c>
      <c r="Z4943">
        <v>-1.9886000000000001E-3</v>
      </c>
      <c r="AA4943">
        <v>0.99958239999999998</v>
      </c>
      <c r="AB4943">
        <v>35</v>
      </c>
      <c r="AC4943">
        <v>-0.72259999999999902</v>
      </c>
      <c r="AD4943">
        <v>-9.76299999999998E-2</v>
      </c>
      <c r="AE4943">
        <v>-2.4299999999982402E-2</v>
      </c>
      <c r="AF4943">
        <v>-2.6722323047160601E-2</v>
      </c>
      <c r="AG4943">
        <v>-9.76299999999998E-2</v>
      </c>
      <c r="AH4943">
        <v>0.70955826836020097</v>
      </c>
      <c r="AI4943">
        <v>97.828805211049897</v>
      </c>
      <c r="AJ4943">
        <v>92.156768744950497</v>
      </c>
      <c r="AK4943">
        <v>0.71674167985918402</v>
      </c>
      <c r="AL4943">
        <v>67.458830009930196</v>
      </c>
      <c r="AM4943">
        <v>93.8507409029488</v>
      </c>
      <c r="AN4943">
        <v>1.00000002898219</v>
      </c>
    </row>
    <row r="4944" spans="1:40" x14ac:dyDescent="0.25">
      <c r="A4944" t="str">
        <f>"20190304164947994"</f>
        <v>20190304164947994</v>
      </c>
      <c r="B4944" t="str">
        <f>"1551689387991203"</f>
        <v>1551689387991203</v>
      </c>
      <c r="C4944" t="s">
        <v>40</v>
      </c>
      <c r="D4944">
        <v>4.7392260000000004</v>
      </c>
      <c r="E4944">
        <v>0.52753629999999996</v>
      </c>
      <c r="F4944" t="s">
        <v>41</v>
      </c>
      <c r="G4944">
        <v>-280.3913</v>
      </c>
      <c r="H4944">
        <v>1.0339320000000001</v>
      </c>
      <c r="I4944">
        <v>141.7663</v>
      </c>
      <c r="J4944">
        <v>-279.94889999999998</v>
      </c>
      <c r="K4944">
        <v>1.110385</v>
      </c>
      <c r="L4944">
        <v>141.7861</v>
      </c>
      <c r="M4944">
        <v>-0.99995319999999999</v>
      </c>
      <c r="N4944">
        <v>-8.8635829999999995E-3</v>
      </c>
      <c r="O4944">
        <v>3.8814420000000001E-3</v>
      </c>
      <c r="P4944">
        <v>-0.92523029999999995</v>
      </c>
      <c r="Q4944">
        <v>0.37476530000000002</v>
      </c>
      <c r="R4944">
        <v>-5.916217E-2</v>
      </c>
      <c r="S4944">
        <v>-3.3780519999999998</v>
      </c>
      <c r="T4944">
        <v>-0.34692390000000001</v>
      </c>
      <c r="U4944">
        <v>-8.5861209999999993E-2</v>
      </c>
      <c r="V4944">
        <v>-6.2886449999999997E-2</v>
      </c>
      <c r="W4944">
        <v>0.38292749999999998</v>
      </c>
      <c r="X4944">
        <v>0.92163539999999999</v>
      </c>
      <c r="Y4944">
        <v>-2.9106010000000002E-2</v>
      </c>
      <c r="Z4944">
        <v>-1.9830099999999999E-3</v>
      </c>
      <c r="AA4944">
        <v>0.99957439999999997</v>
      </c>
      <c r="AB4944">
        <v>35</v>
      </c>
      <c r="AC4944">
        <v>-0.44240000000002</v>
      </c>
      <c r="AD4944">
        <v>-7.6452999999999799E-2</v>
      </c>
      <c r="AE4944">
        <v>-1.9800000000003599E-2</v>
      </c>
      <c r="AF4944">
        <v>-2.0894312312065299E-2</v>
      </c>
      <c r="AG4944">
        <v>-7.6452999999999799E-2</v>
      </c>
      <c r="AH4944">
        <v>0.429518008523807</v>
      </c>
      <c r="AI4944">
        <v>100.08110783558099</v>
      </c>
      <c r="AJ4944">
        <v>92.785012265179901</v>
      </c>
      <c r="AK4944">
        <v>0.43676922183488498</v>
      </c>
      <c r="AL4944">
        <v>67.484862788217796</v>
      </c>
      <c r="AM4944">
        <v>93.903443713098994</v>
      </c>
      <c r="AN4944">
        <v>0.99999999319150601</v>
      </c>
    </row>
    <row r="4945" spans="1:40" x14ac:dyDescent="0.25">
      <c r="A4945" t="str">
        <f>"20190304164948009"</f>
        <v>20190304164948009</v>
      </c>
      <c r="B4945" t="str">
        <f>"1551689388000963"</f>
        <v>1551689388000963</v>
      </c>
      <c r="C4945" t="s">
        <v>40</v>
      </c>
      <c r="D4945">
        <v>4.8165779999999998</v>
      </c>
      <c r="E4945">
        <v>0.52752489999999996</v>
      </c>
      <c r="F4945" t="s">
        <v>41</v>
      </c>
      <c r="G4945">
        <v>-280.70280000000002</v>
      </c>
      <c r="H4945">
        <v>1.0329189999999999</v>
      </c>
      <c r="I4945">
        <v>141.7663</v>
      </c>
      <c r="J4945">
        <v>-280.18419999999998</v>
      </c>
      <c r="K4945">
        <v>1.1103799999999999</v>
      </c>
      <c r="L4945">
        <v>141.7869</v>
      </c>
      <c r="M4945">
        <v>-0.99995389999999995</v>
      </c>
      <c r="N4945">
        <v>-8.8335029999999995E-3</v>
      </c>
      <c r="O4945">
        <v>3.7681479999999998E-3</v>
      </c>
      <c r="P4945">
        <v>-0.92523690000000003</v>
      </c>
      <c r="Q4945">
        <v>0.37463920000000001</v>
      </c>
      <c r="R4945">
        <v>-5.9852950000000002E-2</v>
      </c>
      <c r="S4945">
        <v>-3.3773499999999999</v>
      </c>
      <c r="T4945">
        <v>-0.34703339999999999</v>
      </c>
      <c r="U4945">
        <v>-8.8668819999999995E-2</v>
      </c>
      <c r="V4945">
        <v>-6.3473119999999994E-2</v>
      </c>
      <c r="W4945">
        <v>0.38277369999999999</v>
      </c>
      <c r="X4945">
        <v>0.92165909999999995</v>
      </c>
      <c r="Y4945">
        <v>-2.9824670000000001E-2</v>
      </c>
      <c r="Z4945">
        <v>-2.0130439999999999E-3</v>
      </c>
      <c r="AA4945">
        <v>0.99955309999999997</v>
      </c>
      <c r="AB4945">
        <v>35</v>
      </c>
      <c r="AC4945">
        <v>-0.51860000000004902</v>
      </c>
      <c r="AD4945">
        <v>-7.7460999999999697E-2</v>
      </c>
      <c r="AE4945">
        <v>-2.06000000000017E-2</v>
      </c>
      <c r="AF4945">
        <v>-2.20626474570297E-2</v>
      </c>
      <c r="AG4945">
        <v>-7.7460999999999697E-2</v>
      </c>
      <c r="AH4945">
        <v>0.50722038954441895</v>
      </c>
      <c r="AI4945">
        <v>98.674854619729302</v>
      </c>
      <c r="AJ4945">
        <v>92.490633833176503</v>
      </c>
      <c r="AK4945">
        <v>0.51357520433078296</v>
      </c>
      <c r="AL4945">
        <v>67.494402266250006</v>
      </c>
      <c r="AM4945">
        <v>93.939643944227299</v>
      </c>
      <c r="AN4945">
        <v>1.0000000194935099</v>
      </c>
    </row>
    <row r="4946" spans="1:40" x14ac:dyDescent="0.25">
      <c r="A4946" t="str">
        <f>"20190304164948028"</f>
        <v>20190304164948028</v>
      </c>
      <c r="B4946" t="str">
        <f>"1551689388020993"</f>
        <v>1551689388020993</v>
      </c>
      <c r="C4946" t="s">
        <v>40</v>
      </c>
      <c r="D4946">
        <v>4.8613350000000004</v>
      </c>
      <c r="E4946">
        <v>0.5275434</v>
      </c>
      <c r="F4946" t="s">
        <v>41</v>
      </c>
      <c r="G4946">
        <v>-281.01060000000001</v>
      </c>
      <c r="H4946">
        <v>1.02542</v>
      </c>
      <c r="I4946">
        <v>141.76490000000001</v>
      </c>
      <c r="J4946">
        <v>-280.50479999999999</v>
      </c>
      <c r="K4946">
        <v>1.1103749999999999</v>
      </c>
      <c r="L4946">
        <v>141.78799999999899</v>
      </c>
      <c r="M4946">
        <v>-0.99995489999999998</v>
      </c>
      <c r="N4946">
        <v>-8.7929630000000009E-3</v>
      </c>
      <c r="O4946">
        <v>3.6138960000000001E-3</v>
      </c>
      <c r="P4946">
        <v>-0.92538339999999997</v>
      </c>
      <c r="Q4946">
        <v>0.37425779999999997</v>
      </c>
      <c r="R4946">
        <v>-5.9974609999999998E-2</v>
      </c>
      <c r="S4946">
        <v>-3.3771360000000001</v>
      </c>
      <c r="T4946">
        <v>-0.34723939999999998</v>
      </c>
      <c r="U4946">
        <v>-9.0942380000000003E-2</v>
      </c>
      <c r="V4946">
        <v>-6.3452900000000007E-2</v>
      </c>
      <c r="W4946">
        <v>0.38235609999999998</v>
      </c>
      <c r="X4946">
        <v>0.92183380000000004</v>
      </c>
      <c r="Y4946">
        <v>-3.0342109999999999E-2</v>
      </c>
      <c r="Z4946">
        <v>-2.0281710000000001E-3</v>
      </c>
      <c r="AA4946">
        <v>0.99953749999999997</v>
      </c>
      <c r="AB4946">
        <v>35</v>
      </c>
      <c r="AC4946">
        <v>-0.50580000000002201</v>
      </c>
      <c r="AD4946">
        <v>-8.4954999999999795E-2</v>
      </c>
      <c r="AE4946">
        <v>-2.3099999999971001E-2</v>
      </c>
      <c r="AF4946">
        <v>-2.42452659453474E-2</v>
      </c>
      <c r="AG4946">
        <v>-8.4954999999999795E-2</v>
      </c>
      <c r="AH4946">
        <v>0.49186600659542801</v>
      </c>
      <c r="AI4946">
        <v>99.787779692096905</v>
      </c>
      <c r="AJ4946">
        <v>92.821963577677906</v>
      </c>
      <c r="AK4946">
        <v>0.499737284370392</v>
      </c>
      <c r="AL4946">
        <v>67.520298669021102</v>
      </c>
      <c r="AM4946">
        <v>93.937648850499698</v>
      </c>
      <c r="AN4946">
        <v>1.00000000627403</v>
      </c>
    </row>
    <row r="4947" spans="1:40" x14ac:dyDescent="0.25">
      <c r="A4947" t="str">
        <f>"20190304164948042"</f>
        <v>20190304164948042</v>
      </c>
      <c r="B4947" t="str">
        <f>"1551689388030750"</f>
        <v>1551689388030750</v>
      </c>
      <c r="C4947" t="s">
        <v>40</v>
      </c>
      <c r="D4947">
        <v>5.3836459999999997</v>
      </c>
      <c r="E4947">
        <v>0.5275377</v>
      </c>
      <c r="F4947" t="s">
        <v>41</v>
      </c>
      <c r="G4947">
        <v>-281.32819999999998</v>
      </c>
      <c r="H4947">
        <v>1.0251840000000001</v>
      </c>
      <c r="I4947">
        <v>141.76560000000001</v>
      </c>
      <c r="J4947">
        <v>-280.7115</v>
      </c>
      <c r="K4947">
        <v>1.1103700000000001</v>
      </c>
      <c r="L4947">
        <v>141.78870000000001</v>
      </c>
      <c r="M4947">
        <v>-0.9999555</v>
      </c>
      <c r="N4947">
        <v>-8.7679799999999999E-3</v>
      </c>
      <c r="O4947">
        <v>3.5145290000000002E-3</v>
      </c>
      <c r="P4947">
        <v>-0.92551240000000001</v>
      </c>
      <c r="Q4947">
        <v>0.3739307</v>
      </c>
      <c r="R4947">
        <v>-6.0026679999999999E-2</v>
      </c>
      <c r="S4947">
        <v>-3.3773499999999999</v>
      </c>
      <c r="T4947">
        <v>-0.34964489999999998</v>
      </c>
      <c r="U4947">
        <v>-9.2590329999999998E-2</v>
      </c>
      <c r="V4947">
        <v>-6.3413140000000007E-2</v>
      </c>
      <c r="W4947">
        <v>0.38200709999999999</v>
      </c>
      <c r="X4947">
        <v>0.92198119999999995</v>
      </c>
      <c r="Y4947">
        <v>-3.0724169999999999E-2</v>
      </c>
      <c r="Z4947">
        <v>-2.0530380000000001E-3</v>
      </c>
      <c r="AA4947">
        <v>0.99952580000000002</v>
      </c>
      <c r="AB4947">
        <v>35</v>
      </c>
      <c r="AC4947">
        <v>-0.61669999999998004</v>
      </c>
      <c r="AD4947">
        <v>-8.5185999999999901E-2</v>
      </c>
      <c r="AE4947">
        <v>-2.3099999999999399E-2</v>
      </c>
      <c r="AF4947">
        <v>-2.4794915202917701E-2</v>
      </c>
      <c r="AG4947">
        <v>-8.5185999999999901E-2</v>
      </c>
      <c r="AH4947">
        <v>0.60508586917953799</v>
      </c>
      <c r="AI4947">
        <v>98.006991631292294</v>
      </c>
      <c r="AJ4947">
        <v>92.346525849780704</v>
      </c>
      <c r="AK4947">
        <v>0.61155568143602101</v>
      </c>
      <c r="AL4947">
        <v>67.541937225498799</v>
      </c>
      <c r="AM4947">
        <v>93.9345620938076</v>
      </c>
      <c r="AN4947">
        <v>0.99999999196425404</v>
      </c>
    </row>
    <row r="4948" spans="1:40" x14ac:dyDescent="0.25">
      <c r="A4948" t="str">
        <f>"20190304164948061"</f>
        <v>20190304164948061</v>
      </c>
      <c r="B4948" t="str">
        <f>"1551689388051248"</f>
        <v>1551689388051248</v>
      </c>
      <c r="C4948" t="s">
        <v>40</v>
      </c>
      <c r="D4948">
        <v>4.8668239999999896</v>
      </c>
      <c r="E4948">
        <v>0.52749869999999899</v>
      </c>
      <c r="F4948" t="s">
        <v>41</v>
      </c>
      <c r="G4948">
        <v>-281.63959999999997</v>
      </c>
      <c r="H4948">
        <v>1.0141020000000001</v>
      </c>
      <c r="I4948">
        <v>141.76329999999999</v>
      </c>
      <c r="J4948">
        <v>-281.02120000000002</v>
      </c>
      <c r="K4948">
        <v>1.1103510000000001</v>
      </c>
      <c r="L4948">
        <v>141.78960000000001</v>
      </c>
      <c r="M4948">
        <v>-0.99995630000000002</v>
      </c>
      <c r="N4948">
        <v>-8.7319370000000004E-3</v>
      </c>
      <c r="O4948">
        <v>3.366277E-3</v>
      </c>
      <c r="P4948">
        <v>-0.92597910000000005</v>
      </c>
      <c r="Q4948">
        <v>0.37275609999999998</v>
      </c>
      <c r="R4948">
        <v>-6.013044E-2</v>
      </c>
      <c r="S4948">
        <v>-3.3769840000000002</v>
      </c>
      <c r="T4948">
        <v>-0.35045100000000001</v>
      </c>
      <c r="U4948">
        <v>-9.3612669999999995E-2</v>
      </c>
      <c r="V4948">
        <v>-6.3381660000000006E-2</v>
      </c>
      <c r="W4948">
        <v>0.38080330000000001</v>
      </c>
      <c r="X4948">
        <v>0.9224812</v>
      </c>
      <c r="Y4948">
        <v>-3.0880210000000002E-2</v>
      </c>
      <c r="Z4948">
        <v>-2.0519890000000002E-3</v>
      </c>
      <c r="AA4948">
        <v>0.99952099999999999</v>
      </c>
      <c r="AB4948">
        <v>36</v>
      </c>
      <c r="AC4948">
        <v>-0.61839999999995099</v>
      </c>
      <c r="AD4948">
        <v>-9.6249000000000001E-2</v>
      </c>
      <c r="AE4948">
        <v>-2.6300000000020401E-2</v>
      </c>
      <c r="AF4948">
        <v>-2.7711551429149699E-2</v>
      </c>
      <c r="AG4948">
        <v>-9.6249000000000001E-2</v>
      </c>
      <c r="AH4948">
        <v>0.60370983929750899</v>
      </c>
      <c r="AI4948">
        <v>99.049017905088903</v>
      </c>
      <c r="AJ4948">
        <v>92.628151986520194</v>
      </c>
      <c r="AK4948">
        <v>0.61196190253007898</v>
      </c>
      <c r="AL4948">
        <v>67.616549655712205</v>
      </c>
      <c r="AM4948">
        <v>93.930490141581302</v>
      </c>
      <c r="AN4948">
        <v>0.999999976234342</v>
      </c>
    </row>
    <row r="4949" spans="1:40" x14ac:dyDescent="0.25">
      <c r="A4949" t="str">
        <f>"20190304164948077"</f>
        <v>20190304164948077</v>
      </c>
      <c r="B4949" t="str">
        <f>"1551689388070765"</f>
        <v>1551689388070765</v>
      </c>
      <c r="C4949" t="s">
        <v>40</v>
      </c>
      <c r="D4949">
        <v>5.0140010000000004</v>
      </c>
      <c r="E4949">
        <v>0.52747119999999903</v>
      </c>
      <c r="F4949" t="s">
        <v>41</v>
      </c>
      <c r="G4949">
        <v>-281.95760000000001</v>
      </c>
      <c r="H4949">
        <v>1.0121</v>
      </c>
      <c r="I4949">
        <v>141.76329999999999</v>
      </c>
      <c r="J4949">
        <v>-281.26330000000002</v>
      </c>
      <c r="K4949">
        <v>1.1103400000000001</v>
      </c>
      <c r="L4949">
        <v>141.7903</v>
      </c>
      <c r="M4949">
        <v>-0.99995679999999998</v>
      </c>
      <c r="N4949">
        <v>-8.7037639999999993E-3</v>
      </c>
      <c r="O4949">
        <v>3.2505939999999999E-3</v>
      </c>
      <c r="P4949">
        <v>-0.9260254</v>
      </c>
      <c r="Q4949">
        <v>0.37260510000000002</v>
      </c>
      <c r="R4949">
        <v>-6.0353699999999899E-2</v>
      </c>
      <c r="S4949">
        <v>-3.3762509999999999</v>
      </c>
      <c r="T4949">
        <v>-0.35423490000000002</v>
      </c>
      <c r="U4949">
        <v>-9.4741820000000004E-2</v>
      </c>
      <c r="V4949">
        <v>-6.3497949999999997E-2</v>
      </c>
      <c r="W4949">
        <v>0.38062649999999998</v>
      </c>
      <c r="X4949">
        <v>0.92254619999999998</v>
      </c>
      <c r="Y4949">
        <v>-3.1099689999999999E-2</v>
      </c>
      <c r="Z4949">
        <v>-2.074312E-3</v>
      </c>
      <c r="AA4949">
        <v>0.99951420000000002</v>
      </c>
      <c r="AB4949">
        <v>36</v>
      </c>
      <c r="AC4949">
        <v>-0.69429999999999803</v>
      </c>
      <c r="AD4949">
        <v>-9.82399999999998E-2</v>
      </c>
      <c r="AE4949">
        <v>-2.7000000000015199E-2</v>
      </c>
      <c r="AF4949">
        <v>-2.8683430985174199E-2</v>
      </c>
      <c r="AG4949">
        <v>-9.82399999999998E-2</v>
      </c>
      <c r="AH4949">
        <v>0.680602893645749</v>
      </c>
      <c r="AI4949">
        <v>98.206308736823601</v>
      </c>
      <c r="AJ4949">
        <v>92.413253897680804</v>
      </c>
      <c r="AK4949">
        <v>0.68825441201059301</v>
      </c>
      <c r="AL4949">
        <v>67.627505251907294</v>
      </c>
      <c r="AM4949">
        <v>93.937402408866802</v>
      </c>
      <c r="AN4949">
        <v>1.00000000664544</v>
      </c>
    </row>
    <row r="4950" spans="1:40" x14ac:dyDescent="0.25">
      <c r="A4950" t="str">
        <f>"20190304164948095"</f>
        <v>20190304164948095</v>
      </c>
      <c r="B4950" t="str">
        <f>"1551689388091261"</f>
        <v>1551689388091261</v>
      </c>
      <c r="C4950" t="s">
        <v>40</v>
      </c>
      <c r="D4950">
        <v>5.2665059999999997</v>
      </c>
      <c r="E4950">
        <v>0.53876139999999995</v>
      </c>
      <c r="F4950" t="s">
        <v>41</v>
      </c>
      <c r="G4950">
        <v>-282.27339999999998</v>
      </c>
      <c r="H4950">
        <v>1.0043390000000001</v>
      </c>
      <c r="I4950">
        <v>141.7621</v>
      </c>
      <c r="J4950">
        <v>-281.56049999999999</v>
      </c>
      <c r="K4950">
        <v>1.1103320000000001</v>
      </c>
      <c r="L4950">
        <v>141.7911</v>
      </c>
      <c r="M4950">
        <v>-0.99995750000000005</v>
      </c>
      <c r="N4950">
        <v>-8.6696329999999995E-3</v>
      </c>
      <c r="O4950">
        <v>3.108829E-3</v>
      </c>
      <c r="P4950">
        <v>-0.9262378</v>
      </c>
      <c r="Q4950">
        <v>0.3720909</v>
      </c>
      <c r="R4950">
        <v>-6.0266029999999998E-2</v>
      </c>
      <c r="S4950">
        <v>-3.3760379999999999</v>
      </c>
      <c r="T4950">
        <v>-0.35432909999999901</v>
      </c>
      <c r="U4950">
        <v>-9.5260620000000004E-2</v>
      </c>
      <c r="V4950">
        <v>-6.3280110000000001E-2</v>
      </c>
      <c r="W4950">
        <v>0.38008320000000001</v>
      </c>
      <c r="X4950">
        <v>0.92278519999999997</v>
      </c>
      <c r="Y4950">
        <v>-3.1113729999999999E-2</v>
      </c>
      <c r="Z4950">
        <v>-2.0617159999999999E-3</v>
      </c>
      <c r="AA4950">
        <v>0.99951369999999895</v>
      </c>
      <c r="AB4950">
        <v>36</v>
      </c>
      <c r="AC4950">
        <v>-0.71289999999998999</v>
      </c>
      <c r="AD4950">
        <v>-0.105993</v>
      </c>
      <c r="AE4950">
        <v>-2.89999999999963E-2</v>
      </c>
      <c r="AF4950">
        <v>-3.05421973322209E-2</v>
      </c>
      <c r="AG4950">
        <v>-0.105993</v>
      </c>
      <c r="AH4950">
        <v>0.69741526468566095</v>
      </c>
      <c r="AI4950">
        <v>98.633518610789494</v>
      </c>
      <c r="AJ4950">
        <v>92.507575706587403</v>
      </c>
      <c r="AK4950">
        <v>0.70608455108680201</v>
      </c>
      <c r="AL4950">
        <v>67.661165256449195</v>
      </c>
      <c r="AM4950">
        <v>93.922923661952794</v>
      </c>
      <c r="AN4950">
        <v>1.0000000682914401</v>
      </c>
    </row>
    <row r="4951" spans="1:40" x14ac:dyDescent="0.25">
      <c r="A4951" t="str">
        <f>"20190304164948118"</f>
        <v>20190304164948118</v>
      </c>
      <c r="B4951" t="str">
        <f>"1551689388110785"</f>
        <v>1551689388110785</v>
      </c>
      <c r="C4951" t="s">
        <v>40</v>
      </c>
      <c r="D4951">
        <v>4.9883949999999997</v>
      </c>
      <c r="E4951">
        <v>0.53200570000000003</v>
      </c>
      <c r="F4951" t="s">
        <v>41</v>
      </c>
      <c r="G4951">
        <v>-282.25330000000002</v>
      </c>
      <c r="H4951">
        <v>0.9633273</v>
      </c>
      <c r="I4951">
        <v>141.78399999999999</v>
      </c>
      <c r="J4951">
        <v>-281.92469999999997</v>
      </c>
      <c r="K4951">
        <v>1.110325</v>
      </c>
      <c r="L4951">
        <v>141.7921</v>
      </c>
      <c r="M4951">
        <v>-0.99995840000000003</v>
      </c>
      <c r="N4951">
        <v>-8.6262749999999992E-3</v>
      </c>
      <c r="O4951">
        <v>2.9355129999999998E-3</v>
      </c>
      <c r="P4951">
        <v>-0.92654190000000003</v>
      </c>
      <c r="Q4951">
        <v>0.37142320000000001</v>
      </c>
      <c r="R4951">
        <v>-5.970843E-2</v>
      </c>
      <c r="S4951">
        <v>-3.5380859999999998</v>
      </c>
      <c r="T4951">
        <v>-0.75088909999999998</v>
      </c>
      <c r="U4951">
        <v>-3.7857059999999998E-2</v>
      </c>
      <c r="V4951">
        <v>-6.2562610000000005E-2</v>
      </c>
      <c r="W4951">
        <v>0.3793782</v>
      </c>
      <c r="X4951">
        <v>0.9231241</v>
      </c>
      <c r="Y4951">
        <v>-1.3266760000000001E-2</v>
      </c>
      <c r="Z4951">
        <v>-2.041214E-3</v>
      </c>
      <c r="AA4951">
        <v>0.99990990000000002</v>
      </c>
      <c r="AB4951">
        <v>36</v>
      </c>
      <c r="AC4951">
        <v>-0.32860000000005102</v>
      </c>
      <c r="AD4951">
        <v>-0.14699769999999901</v>
      </c>
      <c r="AE4951">
        <v>-8.1000000000130898E-3</v>
      </c>
      <c r="AF4951">
        <v>-7.5538649354893401E-3</v>
      </c>
      <c r="AG4951">
        <v>-0.14699769999999901</v>
      </c>
      <c r="AH4951">
        <v>0.27381316200157102</v>
      </c>
      <c r="AI4951">
        <v>118.220224667225</v>
      </c>
      <c r="AJ4951">
        <v>91.580255774630203</v>
      </c>
      <c r="AK4951">
        <v>0.310868191306303</v>
      </c>
      <c r="AL4951">
        <v>67.704827776037106</v>
      </c>
      <c r="AM4951">
        <v>93.877160650532105</v>
      </c>
      <c r="AN4951">
        <v>1.0000000014030299</v>
      </c>
    </row>
    <row r="4952" spans="1:40" x14ac:dyDescent="0.25">
      <c r="A4952" t="str">
        <f>"20190304164948141"</f>
        <v>20190304164948141</v>
      </c>
      <c r="B4952" t="str">
        <f>"1551689388131277"</f>
        <v>1551689388131277</v>
      </c>
      <c r="C4952" t="s">
        <v>40</v>
      </c>
      <c r="D4952">
        <v>5.0298429999999996</v>
      </c>
      <c r="E4952">
        <v>0.53137570000000001</v>
      </c>
      <c r="F4952" t="s">
        <v>41</v>
      </c>
      <c r="G4952">
        <v>-282.82010000000002</v>
      </c>
      <c r="H4952">
        <v>0.78829009999999999</v>
      </c>
      <c r="I4952">
        <v>141.75899999999999</v>
      </c>
      <c r="J4952">
        <v>-282.28550000000001</v>
      </c>
      <c r="K4952">
        <v>1.1103080000000001</v>
      </c>
      <c r="L4952">
        <v>141.79300000000001</v>
      </c>
      <c r="M4952">
        <v>-0.9999595</v>
      </c>
      <c r="N4952">
        <v>-8.5801179999999994E-3</v>
      </c>
      <c r="O4952">
        <v>2.7639959999999999E-3</v>
      </c>
      <c r="P4952">
        <v>-0.92681210000000003</v>
      </c>
      <c r="Q4952">
        <v>0.37078939999999999</v>
      </c>
      <c r="R4952">
        <v>-5.9456830000000002E-2</v>
      </c>
      <c r="S4952">
        <v>-3.7727360000000001</v>
      </c>
      <c r="T4952">
        <v>-1.3569260000000001</v>
      </c>
      <c r="U4952">
        <v>-0.14068599999999901</v>
      </c>
      <c r="V4952">
        <v>-6.2153729999999997E-2</v>
      </c>
      <c r="W4952">
        <v>0.3787045</v>
      </c>
      <c r="X4952">
        <v>0.92342829999999998</v>
      </c>
      <c r="Y4952">
        <v>-3.7455919999999997E-2</v>
      </c>
      <c r="Z4952">
        <v>-7.6352980000000004E-3</v>
      </c>
      <c r="AA4952">
        <v>0.99926910000000002</v>
      </c>
      <c r="AB4952">
        <v>36</v>
      </c>
      <c r="AC4952">
        <v>-0.53460000000001096</v>
      </c>
      <c r="AD4952">
        <v>-0.32201790000000002</v>
      </c>
      <c r="AE4952">
        <v>-3.4000000000020202E-2</v>
      </c>
      <c r="AF4952">
        <v>-2.60602359209329E-2</v>
      </c>
      <c r="AG4952">
        <v>-0.32201790000000002</v>
      </c>
      <c r="AH4952">
        <v>0.39262286138827801</v>
      </c>
      <c r="AI4952">
        <v>129.295875502618</v>
      </c>
      <c r="AJ4952">
        <v>93.797421713320603</v>
      </c>
      <c r="AK4952">
        <v>0.50845587330798303</v>
      </c>
      <c r="AL4952">
        <v>67.746540644092207</v>
      </c>
      <c r="AM4952">
        <v>93.850632777873102</v>
      </c>
      <c r="AN4952">
        <v>1.0000000048570199</v>
      </c>
    </row>
    <row r="4953" spans="1:40" x14ac:dyDescent="0.25">
      <c r="A4953" t="str">
        <f>"20190304164948153"</f>
        <v>20190304164948153</v>
      </c>
      <c r="B4953" t="str">
        <f>"1551689388141038"</f>
        <v>1551689388141038</v>
      </c>
      <c r="C4953" t="s">
        <v>40</v>
      </c>
      <c r="D4953">
        <v>5.276904</v>
      </c>
      <c r="E4953">
        <v>0.53129579999999998</v>
      </c>
      <c r="F4953" t="s">
        <v>41</v>
      </c>
      <c r="G4953">
        <v>-283.14499999999998</v>
      </c>
      <c r="H4953">
        <v>0.79738759999999997</v>
      </c>
      <c r="I4953">
        <v>141.7602</v>
      </c>
      <c r="J4953">
        <v>-282.49610000000001</v>
      </c>
      <c r="K4953">
        <v>1.1103019999999999</v>
      </c>
      <c r="L4953">
        <v>141.79349999999999</v>
      </c>
      <c r="M4953">
        <v>-0.99995990000000001</v>
      </c>
      <c r="N4953">
        <v>-8.5528800000000006E-3</v>
      </c>
      <c r="O4953">
        <v>2.6640990000000001E-3</v>
      </c>
      <c r="P4953">
        <v>-0.92702479999999998</v>
      </c>
      <c r="Q4953">
        <v>0.37028889999999998</v>
      </c>
      <c r="R4953">
        <v>-5.9258480000000002E-2</v>
      </c>
      <c r="S4953">
        <v>-3.7778930000000002</v>
      </c>
      <c r="T4953">
        <v>-1.3753839999999999</v>
      </c>
      <c r="U4953">
        <v>-0.14419560000000001</v>
      </c>
      <c r="V4953">
        <v>-6.1863309999999998E-2</v>
      </c>
      <c r="W4953">
        <v>0.37818099999999999</v>
      </c>
      <c r="X4953">
        <v>0.92366230000000005</v>
      </c>
      <c r="Y4953">
        <v>-3.813337E-2</v>
      </c>
      <c r="Z4953">
        <v>-7.8089609999999997E-3</v>
      </c>
      <c r="AA4953">
        <v>0.99924210000000002</v>
      </c>
      <c r="AB4953">
        <v>36</v>
      </c>
      <c r="AC4953">
        <v>-0.64889999999996895</v>
      </c>
      <c r="AD4953">
        <v>-0.31291439999999998</v>
      </c>
      <c r="AE4953">
        <v>-3.3299999999996999E-2</v>
      </c>
      <c r="AF4953">
        <v>-2.8434028984725201E-2</v>
      </c>
      <c r="AG4953">
        <v>-0.31291439999999998</v>
      </c>
      <c r="AH4953">
        <v>0.526661408012701</v>
      </c>
      <c r="AI4953">
        <v>120.679942662261</v>
      </c>
      <c r="AJ4953">
        <v>93.090353105032406</v>
      </c>
      <c r="AK4953">
        <v>0.61326678894391895</v>
      </c>
      <c r="AL4953">
        <v>67.778944753797504</v>
      </c>
      <c r="AM4953">
        <v>93.831725953166796</v>
      </c>
      <c r="AN4953">
        <v>0.99999999116322302</v>
      </c>
    </row>
    <row r="4954" spans="1:40" x14ac:dyDescent="0.25">
      <c r="A4954" t="str">
        <f>"20190304164948166"</f>
        <v>20190304164948166</v>
      </c>
      <c r="B4954" t="str">
        <f>"1551689388160557"</f>
        <v>1551689388160557</v>
      </c>
      <c r="C4954" t="s">
        <v>40</v>
      </c>
      <c r="D4954">
        <v>4.9289180000000004</v>
      </c>
      <c r="E4954">
        <v>0.53273169999999903</v>
      </c>
      <c r="F4954" t="s">
        <v>41</v>
      </c>
      <c r="G4954">
        <v>-283.17259999999999</v>
      </c>
      <c r="H4954">
        <v>0.86339560000000004</v>
      </c>
      <c r="I4954">
        <v>141.76779999999999</v>
      </c>
      <c r="J4954">
        <v>-282.69830000000002</v>
      </c>
      <c r="K4954">
        <v>1.1102939999999999</v>
      </c>
      <c r="L4954">
        <v>141.79399999999899</v>
      </c>
      <c r="M4954">
        <v>-0.99996050000000003</v>
      </c>
      <c r="N4954">
        <v>-8.5281360000000004E-3</v>
      </c>
      <c r="O4954">
        <v>2.5682439999999999E-3</v>
      </c>
      <c r="P4954">
        <v>-0.92722230000000005</v>
      </c>
      <c r="Q4954">
        <v>0.36978759999999999</v>
      </c>
      <c r="R4954">
        <v>-5.9298009999999998E-2</v>
      </c>
      <c r="S4954">
        <v>-3.777771</v>
      </c>
      <c r="T4954">
        <v>-1.3788549999999999</v>
      </c>
      <c r="U4954">
        <v>-0.14327999999999999</v>
      </c>
      <c r="V4954">
        <v>-6.1814580000000001E-2</v>
      </c>
      <c r="W4954">
        <v>0.3776582</v>
      </c>
      <c r="X4954">
        <v>0.92387940000000002</v>
      </c>
      <c r="Y4954">
        <v>-3.7811169999999998E-2</v>
      </c>
      <c r="Z4954">
        <v>-7.7355419999999998E-3</v>
      </c>
      <c r="AA4954">
        <v>0.99925489999999995</v>
      </c>
      <c r="AB4954">
        <v>36</v>
      </c>
      <c r="AC4954">
        <v>-0.47429999999997102</v>
      </c>
      <c r="AD4954">
        <v>-0.24689839999999999</v>
      </c>
      <c r="AE4954">
        <v>-2.61999999999886E-2</v>
      </c>
      <c r="AF4954">
        <v>-2.1586463761460301E-2</v>
      </c>
      <c r="AG4954">
        <v>-0.24689839999999999</v>
      </c>
      <c r="AH4954">
        <v>0.37336585907078701</v>
      </c>
      <c r="AI4954">
        <v>123.431792362631</v>
      </c>
      <c r="AJ4954">
        <v>93.308920481882495</v>
      </c>
      <c r="AK4954">
        <v>0.44813709962460302</v>
      </c>
      <c r="AL4954">
        <v>67.811297470334296</v>
      </c>
      <c r="AM4954">
        <v>93.827819641485803</v>
      </c>
      <c r="AN4954">
        <v>0.99999995203608705</v>
      </c>
    </row>
    <row r="4955" spans="1:40" x14ac:dyDescent="0.25">
      <c r="A4955" t="str">
        <f>"20190304164948183"</f>
        <v>20190304164948183</v>
      </c>
      <c r="B4955" t="str">
        <f>"1551689388181054"</f>
        <v>1551689388181054</v>
      </c>
      <c r="C4955" t="s">
        <v>40</v>
      </c>
      <c r="D4955">
        <v>4.9237169999999999</v>
      </c>
      <c r="E4955">
        <v>0.5327963</v>
      </c>
      <c r="F4955" t="s">
        <v>41</v>
      </c>
      <c r="G4955">
        <v>-283.48070000000001</v>
      </c>
      <c r="H4955">
        <v>0.83112649999999999</v>
      </c>
      <c r="I4955">
        <v>141.76769999999999</v>
      </c>
      <c r="J4955">
        <v>-282.98050000000001</v>
      </c>
      <c r="K4955">
        <v>1.110277</v>
      </c>
      <c r="L4955">
        <v>141.7946</v>
      </c>
      <c r="M4955">
        <v>-0.99996099999999999</v>
      </c>
      <c r="N4955">
        <v>-8.4953830000000004E-3</v>
      </c>
      <c r="O4955">
        <v>2.4355330000000001E-3</v>
      </c>
      <c r="P4955">
        <v>-0.92787949999999997</v>
      </c>
      <c r="Q4955">
        <v>0.36818190000000001</v>
      </c>
      <c r="R4955">
        <v>-5.9006679999999999E-2</v>
      </c>
      <c r="S4955">
        <v>-3.7627259999999998</v>
      </c>
      <c r="T4955">
        <v>-1.3425339999999999</v>
      </c>
      <c r="U4955">
        <v>-0.12825010000000001</v>
      </c>
      <c r="V4955">
        <v>-6.1401240000000003E-2</v>
      </c>
      <c r="W4955">
        <v>0.37602809999999998</v>
      </c>
      <c r="X4955">
        <v>0.9245717</v>
      </c>
      <c r="Y4955">
        <v>-3.4193179999999997E-2</v>
      </c>
      <c r="Z4955">
        <v>-6.8881929999999999E-3</v>
      </c>
      <c r="AA4955">
        <v>0.99939149999999999</v>
      </c>
      <c r="AB4955">
        <v>36</v>
      </c>
      <c r="AC4955">
        <v>-0.50020000000000597</v>
      </c>
      <c r="AD4955">
        <v>-0.27915050000000002</v>
      </c>
      <c r="AE4955">
        <v>-2.6900000000011901E-2</v>
      </c>
      <c r="AF4955">
        <v>-2.1455237191494801E-2</v>
      </c>
      <c r="AG4955">
        <v>-0.27915050000000002</v>
      </c>
      <c r="AH4955">
        <v>0.38161992378541298</v>
      </c>
      <c r="AI4955">
        <v>126.14196150810101</v>
      </c>
      <c r="AJ4955">
        <v>93.217866014351799</v>
      </c>
      <c r="AK4955">
        <v>0.473306555081564</v>
      </c>
      <c r="AL4955">
        <v>67.912130893467705</v>
      </c>
      <c r="AM4955">
        <v>93.799460478963496</v>
      </c>
      <c r="AN4955">
        <v>1.0000000363520101</v>
      </c>
    </row>
    <row r="4956" spans="1:40" x14ac:dyDescent="0.25">
      <c r="A4956" t="str">
        <f>"20190304164948197"</f>
        <v>20190304164948197</v>
      </c>
      <c r="B4956" t="str">
        <f>"1551689388190813"</f>
        <v>1551689388190813</v>
      </c>
      <c r="C4956" t="s">
        <v>40</v>
      </c>
      <c r="D4956">
        <v>4.9224750000000004</v>
      </c>
      <c r="E4956">
        <v>0.53286719999999999</v>
      </c>
      <c r="F4956" t="s">
        <v>41</v>
      </c>
      <c r="G4956">
        <v>-283.79739999999998</v>
      </c>
      <c r="H4956">
        <v>0.81763200000000003</v>
      </c>
      <c r="I4956">
        <v>141.76759999999999</v>
      </c>
      <c r="J4956">
        <v>-283.19510000000002</v>
      </c>
      <c r="K4956">
        <v>1.110268</v>
      </c>
      <c r="L4956">
        <v>141.79499999999999</v>
      </c>
      <c r="M4956">
        <v>-0.99996149999999995</v>
      </c>
      <c r="N4956">
        <v>-8.4717070000000002E-3</v>
      </c>
      <c r="O4956">
        <v>2.335986E-3</v>
      </c>
      <c r="P4956">
        <v>-0.92813860000000004</v>
      </c>
      <c r="Q4956">
        <v>0.36753730000000001</v>
      </c>
      <c r="R4956">
        <v>-5.8951179999999999E-2</v>
      </c>
      <c r="S4956">
        <v>-3.7596440000000002</v>
      </c>
      <c r="T4956">
        <v>-1.346797</v>
      </c>
      <c r="U4956">
        <v>-0.1250916</v>
      </c>
      <c r="V4956">
        <v>-6.1253269999999999E-2</v>
      </c>
      <c r="W4956">
        <v>0.37536429999999998</v>
      </c>
      <c r="X4956">
        <v>0.92485119999999998</v>
      </c>
      <c r="Y4956">
        <v>-3.3326340000000003E-2</v>
      </c>
      <c r="Z4956">
        <v>-6.7253089999999996E-3</v>
      </c>
      <c r="AA4956">
        <v>0.99942189999999997</v>
      </c>
      <c r="AB4956">
        <v>36</v>
      </c>
      <c r="AC4956">
        <v>-0.60229999999995698</v>
      </c>
      <c r="AD4956">
        <v>-0.29263600000000001</v>
      </c>
      <c r="AE4956">
        <v>-2.7400000000000001E-2</v>
      </c>
      <c r="AF4956">
        <v>-2.3314574688501299E-2</v>
      </c>
      <c r="AG4956">
        <v>-0.29263600000000001</v>
      </c>
      <c r="AH4956">
        <v>0.487411634975359</v>
      </c>
      <c r="AI4956">
        <v>120.951205548739</v>
      </c>
      <c r="AJ4956">
        <v>92.738566796488499</v>
      </c>
      <c r="AK4956">
        <v>0.56898989428482705</v>
      </c>
      <c r="AL4956">
        <v>67.953170143845497</v>
      </c>
      <c r="AM4956">
        <v>93.789188792891693</v>
      </c>
      <c r="AN4956">
        <v>1.00000003147081</v>
      </c>
    </row>
    <row r="4957" spans="1:40" x14ac:dyDescent="0.25">
      <c r="A4957" t="str">
        <f>"20190304164948209"</f>
        <v>20190304164948209</v>
      </c>
      <c r="B4957" t="str">
        <f>"1551689388200575"</f>
        <v>1551689388200575</v>
      </c>
      <c r="C4957" t="s">
        <v>40</v>
      </c>
      <c r="D4957">
        <v>4.9474260000000001</v>
      </c>
      <c r="E4957">
        <v>0.53306399999999998</v>
      </c>
      <c r="F4957" t="s">
        <v>41</v>
      </c>
      <c r="G4957">
        <v>-284.10669999999999</v>
      </c>
      <c r="H4957">
        <v>0.78340010000000004</v>
      </c>
      <c r="I4957">
        <v>141.7654</v>
      </c>
      <c r="J4957">
        <v>-283.40230000000003</v>
      </c>
      <c r="K4957">
        <v>1.1102609999999999</v>
      </c>
      <c r="L4957">
        <v>141.7954</v>
      </c>
      <c r="M4957">
        <v>-0.99996189999999996</v>
      </c>
      <c r="N4957">
        <v>-8.4489379999999996E-3</v>
      </c>
      <c r="O4957">
        <v>2.2414480000000001E-3</v>
      </c>
      <c r="P4957">
        <v>-0.92844369999999998</v>
      </c>
      <c r="Q4957">
        <v>0.36678309999999997</v>
      </c>
      <c r="R4957">
        <v>-5.8844819999999999E-2</v>
      </c>
      <c r="S4957">
        <v>-3.7579959999999999</v>
      </c>
      <c r="T4957">
        <v>-1.3475250000000001</v>
      </c>
      <c r="U4957">
        <v>-0.1239166</v>
      </c>
      <c r="V4957">
        <v>-6.1058620000000001E-2</v>
      </c>
      <c r="W4957">
        <v>0.37459209999999998</v>
      </c>
      <c r="X4957">
        <v>0.92517709999999997</v>
      </c>
      <c r="Y4957">
        <v>-3.2959189999999999E-2</v>
      </c>
      <c r="Z4957">
        <v>-6.6335769999999999E-3</v>
      </c>
      <c r="AA4957">
        <v>0.99943470000000001</v>
      </c>
      <c r="AB4957">
        <v>36</v>
      </c>
      <c r="AC4957">
        <v>-0.70439999999996405</v>
      </c>
      <c r="AD4957">
        <v>-0.32686090000000001</v>
      </c>
      <c r="AE4957">
        <v>-3.0000000000001099E-2</v>
      </c>
      <c r="AF4957">
        <v>-2.5992292519961699E-2</v>
      </c>
      <c r="AG4957">
        <v>-0.32686090000000001</v>
      </c>
      <c r="AH4957">
        <v>0.57972893382826796</v>
      </c>
      <c r="AI4957">
        <v>119.390427238169</v>
      </c>
      <c r="AJ4957">
        <v>92.567151440102506</v>
      </c>
      <c r="AK4957">
        <v>0.66603249465541303</v>
      </c>
      <c r="AL4957">
        <v>68.000896352006095</v>
      </c>
      <c r="AM4957">
        <v>93.775855772120096</v>
      </c>
      <c r="AN4957">
        <v>1.00000003141156</v>
      </c>
    </row>
    <row r="4958" spans="1:40" x14ac:dyDescent="0.25">
      <c r="A4958" t="str">
        <f>"20190304164948223"</f>
        <v>20190304164948223</v>
      </c>
      <c r="B4958" t="str">
        <f>"1551689388211309"</f>
        <v>1551689388211309</v>
      </c>
      <c r="C4958" t="s">
        <v>40</v>
      </c>
      <c r="D4958">
        <v>4.8123089999999999</v>
      </c>
      <c r="E4958">
        <v>0.53328249999999999</v>
      </c>
      <c r="F4958" t="s">
        <v>41</v>
      </c>
      <c r="G4958">
        <v>-284.13350000000003</v>
      </c>
      <c r="H4958">
        <v>0.84837450000000003</v>
      </c>
      <c r="I4958">
        <v>141.7724</v>
      </c>
      <c r="J4958">
        <v>-283.60570000000001</v>
      </c>
      <c r="K4958">
        <v>1.110255</v>
      </c>
      <c r="L4958">
        <v>141.79580000000001</v>
      </c>
      <c r="M4958">
        <v>-0.99996229999999997</v>
      </c>
      <c r="N4958">
        <v>-8.4268559999999999E-3</v>
      </c>
      <c r="O4958">
        <v>2.1506070000000001E-3</v>
      </c>
      <c r="P4958">
        <v>-0.92873170000000005</v>
      </c>
      <c r="Q4958">
        <v>0.36604880000000001</v>
      </c>
      <c r="R4958">
        <v>-5.8874469999999998E-2</v>
      </c>
      <c r="S4958">
        <v>-3.7549130000000002</v>
      </c>
      <c r="T4958">
        <v>-1.3450009999999999</v>
      </c>
      <c r="U4958">
        <v>-0.1204224</v>
      </c>
      <c r="V4958">
        <v>-6.1002710000000002E-2</v>
      </c>
      <c r="W4958">
        <v>0.37383949999999999</v>
      </c>
      <c r="X4958">
        <v>0.92548509999999995</v>
      </c>
      <c r="Y4958">
        <v>-3.203516E-2</v>
      </c>
      <c r="Z4958">
        <v>-6.4315880000000002E-3</v>
      </c>
      <c r="AA4958">
        <v>0.99946610000000002</v>
      </c>
      <c r="AB4958">
        <v>36</v>
      </c>
      <c r="AC4958">
        <v>-0.52780000000001304</v>
      </c>
      <c r="AD4958">
        <v>-0.26188050000000002</v>
      </c>
      <c r="AE4958">
        <v>-2.3400000000009399E-2</v>
      </c>
      <c r="AF4958">
        <v>-1.96957289820592E-2</v>
      </c>
      <c r="AG4958">
        <v>-0.26188050000000002</v>
      </c>
      <c r="AH4958">
        <v>0.42365429508087898</v>
      </c>
      <c r="AI4958">
        <v>121.69449065491401</v>
      </c>
      <c r="AJ4958">
        <v>92.661769758495893</v>
      </c>
      <c r="AK4958">
        <v>0.49844987687917103</v>
      </c>
      <c r="AL4958">
        <v>68.047394682945793</v>
      </c>
      <c r="AM4958">
        <v>93.771156465992803</v>
      </c>
      <c r="AN4958">
        <v>0.99999998635480203</v>
      </c>
    </row>
    <row r="4959" spans="1:40" x14ac:dyDescent="0.25">
      <c r="A4959" t="str">
        <f>"20190304164948241"</f>
        <v>20190304164948241</v>
      </c>
      <c r="B4959" t="str">
        <f>"1551689388230829"</f>
        <v>1551689388230829</v>
      </c>
      <c r="C4959" t="s">
        <v>40</v>
      </c>
      <c r="D4959">
        <v>5.089537</v>
      </c>
      <c r="E4959">
        <v>0.53359140000000005</v>
      </c>
      <c r="F4959" t="s">
        <v>41</v>
      </c>
      <c r="G4959">
        <v>-284.44150000000002</v>
      </c>
      <c r="H4959">
        <v>0.81122539999999999</v>
      </c>
      <c r="I4959">
        <v>141.7697</v>
      </c>
      <c r="J4959">
        <v>-283.91269999999997</v>
      </c>
      <c r="K4959">
        <v>1.110242</v>
      </c>
      <c r="L4959">
        <v>141.7963</v>
      </c>
      <c r="M4959">
        <v>-0.99996289999999999</v>
      </c>
      <c r="N4959">
        <v>-8.3945779999999998E-3</v>
      </c>
      <c r="O4959">
        <v>2.0185889999999999E-3</v>
      </c>
      <c r="P4959">
        <v>-0.92901659999999997</v>
      </c>
      <c r="Q4959">
        <v>0.36531819999999998</v>
      </c>
      <c r="R4959">
        <v>-5.8914439999999998E-2</v>
      </c>
      <c r="S4959">
        <v>-3.75177</v>
      </c>
      <c r="T4959">
        <v>-1.3421080000000001</v>
      </c>
      <c r="U4959">
        <v>-0.1170807</v>
      </c>
      <c r="V4959">
        <v>-6.0917249999999999E-2</v>
      </c>
      <c r="W4959">
        <v>0.37308210000000003</v>
      </c>
      <c r="X4959">
        <v>0.92579630000000002</v>
      </c>
      <c r="Y4959">
        <v>-3.1112709999999998E-2</v>
      </c>
      <c r="Z4959">
        <v>-6.2146700000000003E-3</v>
      </c>
      <c r="AA4959">
        <v>0.99949659999999996</v>
      </c>
      <c r="AB4959">
        <v>36</v>
      </c>
      <c r="AC4959">
        <v>-0.52880000000004601</v>
      </c>
      <c r="AD4959">
        <v>-0.29901660000000002</v>
      </c>
      <c r="AE4959">
        <v>-2.66000000000019E-2</v>
      </c>
      <c r="AF4959">
        <v>-2.09769927471131E-2</v>
      </c>
      <c r="AG4959">
        <v>-0.29901660000000002</v>
      </c>
      <c r="AH4959">
        <v>0.40088622444977401</v>
      </c>
      <c r="AI4959">
        <v>126.68131613757301</v>
      </c>
      <c r="AJ4959">
        <v>92.995358587290198</v>
      </c>
      <c r="AK4959">
        <v>0.50056041219204195</v>
      </c>
      <c r="AL4959">
        <v>68.094175055405103</v>
      </c>
      <c r="AM4959">
        <v>93.764626348794707</v>
      </c>
      <c r="AN4959">
        <v>0.99999997689083098</v>
      </c>
    </row>
    <row r="4960" spans="1:40" x14ac:dyDescent="0.25">
      <c r="A4960" t="str">
        <f>"20190304164948262"</f>
        <v>20190304164948262</v>
      </c>
      <c r="B4960" t="str">
        <f>"1551689388251325"</f>
        <v>1551689388251325</v>
      </c>
      <c r="C4960" t="s">
        <v>40</v>
      </c>
      <c r="D4960">
        <v>4.8117229999999998</v>
      </c>
      <c r="E4960">
        <v>0.53395289999999995</v>
      </c>
      <c r="F4960" t="s">
        <v>41</v>
      </c>
      <c r="G4960">
        <v>-284.76389999999998</v>
      </c>
      <c r="H4960">
        <v>0.80665580000000003</v>
      </c>
      <c r="I4960">
        <v>141.77099999999999</v>
      </c>
      <c r="J4960">
        <v>-284.24459999999999</v>
      </c>
      <c r="K4960">
        <v>1.1102289999999999</v>
      </c>
      <c r="L4960">
        <v>141.79689999999999</v>
      </c>
      <c r="M4960">
        <v>-0.99996320000000005</v>
      </c>
      <c r="N4960">
        <v>-8.3626380000000004E-3</v>
      </c>
      <c r="O4960">
        <v>1.8877989999999999E-3</v>
      </c>
      <c r="P4960">
        <v>-0.9292338</v>
      </c>
      <c r="Q4960">
        <v>0.36475570000000002</v>
      </c>
      <c r="R4960">
        <v>-5.8973589999999999E-2</v>
      </c>
      <c r="S4960">
        <v>-3.747681</v>
      </c>
      <c r="T4960">
        <v>-1.336508</v>
      </c>
      <c r="U4960">
        <v>-0.111892699999999</v>
      </c>
      <c r="V4960">
        <v>-6.0848439999999997E-2</v>
      </c>
      <c r="W4960">
        <v>0.37249369999999998</v>
      </c>
      <c r="X4960">
        <v>0.92603769999999996</v>
      </c>
      <c r="Y4960">
        <v>-2.9740490000000001E-2</v>
      </c>
      <c r="Z4960">
        <v>-5.9091780000000002E-3</v>
      </c>
      <c r="AA4960">
        <v>0.99954019999999999</v>
      </c>
      <c r="AB4960">
        <v>36</v>
      </c>
      <c r="AC4960">
        <v>-0.51929999999998699</v>
      </c>
      <c r="AD4960">
        <v>-0.30357319999999999</v>
      </c>
      <c r="AE4960">
        <v>-2.58999999999787E-2</v>
      </c>
      <c r="AF4960">
        <v>-2.0046662767444101E-2</v>
      </c>
      <c r="AG4960">
        <v>-0.30357319999999999</v>
      </c>
      <c r="AH4960">
        <v>0.38724361828299703</v>
      </c>
      <c r="AI4960">
        <v>128.056861419196</v>
      </c>
      <c r="AJ4960">
        <v>92.963418206597595</v>
      </c>
      <c r="AK4960">
        <v>0.49245931440806201</v>
      </c>
      <c r="AL4960">
        <v>68.130506319165903</v>
      </c>
      <c r="AM4960">
        <v>93.759408717828293</v>
      </c>
      <c r="AN4960">
        <v>0.99999995550570497</v>
      </c>
    </row>
    <row r="4961" spans="1:40" x14ac:dyDescent="0.25">
      <c r="A4961" t="str">
        <f>"20190304164948276"</f>
        <v>20190304164948276</v>
      </c>
      <c r="B4961" t="str">
        <f>"1551689388270846"</f>
        <v>1551689388270846</v>
      </c>
      <c r="C4961" t="s">
        <v>40</v>
      </c>
      <c r="D4961">
        <v>5.162293</v>
      </c>
      <c r="E4961">
        <v>0.53455629999999998</v>
      </c>
      <c r="F4961" t="s">
        <v>41</v>
      </c>
      <c r="G4961">
        <v>-285.09019999999998</v>
      </c>
      <c r="H4961">
        <v>0.80988559999999998</v>
      </c>
      <c r="I4961">
        <v>141.77199999999999</v>
      </c>
      <c r="J4961">
        <v>-284.48140000000001</v>
      </c>
      <c r="K4961">
        <v>1.1102179999999999</v>
      </c>
      <c r="L4961">
        <v>141.79730000000001</v>
      </c>
      <c r="M4961">
        <v>-0.99996379999999996</v>
      </c>
      <c r="N4961">
        <v>-8.3418639999999992E-3</v>
      </c>
      <c r="O4961">
        <v>1.801897E-3</v>
      </c>
      <c r="P4961">
        <v>-0.92927079999999995</v>
      </c>
      <c r="Q4961">
        <v>0.36466989999999999</v>
      </c>
      <c r="R4961">
        <v>-5.8923860000000002E-2</v>
      </c>
      <c r="S4961">
        <v>-3.7433779999999999</v>
      </c>
      <c r="T4961">
        <v>-1.3295440000000001</v>
      </c>
      <c r="U4961">
        <v>-0.1100922</v>
      </c>
      <c r="V4961">
        <v>-6.0712080000000002E-2</v>
      </c>
      <c r="W4961">
        <v>0.37238969999999999</v>
      </c>
      <c r="X4961">
        <v>0.92608849999999998</v>
      </c>
      <c r="Y4961">
        <v>-2.925933E-2</v>
      </c>
      <c r="Z4961">
        <v>-5.7728240000000002E-3</v>
      </c>
      <c r="AA4961">
        <v>0.99955519999999998</v>
      </c>
      <c r="AB4961">
        <v>36</v>
      </c>
      <c r="AC4961">
        <v>-0.60879999999997303</v>
      </c>
      <c r="AD4961">
        <v>-0.300332399999999</v>
      </c>
      <c r="AE4961">
        <v>-2.5299999999987201E-2</v>
      </c>
      <c r="AF4961">
        <v>-2.12374791959721E-2</v>
      </c>
      <c r="AG4961">
        <v>-0.300332399999999</v>
      </c>
      <c r="AH4961">
        <v>0.48976748025801697</v>
      </c>
      <c r="AI4961">
        <v>121.49324183892</v>
      </c>
      <c r="AJ4961">
        <v>92.482925418137697</v>
      </c>
      <c r="AK4961">
        <v>0.57491109376202298</v>
      </c>
      <c r="AL4961">
        <v>68.136927521057103</v>
      </c>
      <c r="AM4961">
        <v>93.750802873242193</v>
      </c>
      <c r="AN4961">
        <v>0.99999997757813197</v>
      </c>
    </row>
    <row r="4962" spans="1:40" x14ac:dyDescent="0.25">
      <c r="A4962" t="str">
        <f>"20190304164948298"</f>
        <v>20190304164948298</v>
      </c>
      <c r="B4962" t="str">
        <f>"1551689388290365"</f>
        <v>1551689388290365</v>
      </c>
      <c r="C4962" t="s">
        <v>40</v>
      </c>
      <c r="D4962">
        <v>4.9102449999999997</v>
      </c>
      <c r="E4962">
        <v>0.53430230000000001</v>
      </c>
      <c r="F4962" t="s">
        <v>41</v>
      </c>
      <c r="G4962">
        <v>-285.4058</v>
      </c>
      <c r="H4962">
        <v>0.78514110000000004</v>
      </c>
      <c r="I4962">
        <v>141.77160000000001</v>
      </c>
      <c r="J4962">
        <v>-284.82499999999999</v>
      </c>
      <c r="K4962">
        <v>1.1101970000000001</v>
      </c>
      <c r="L4962">
        <v>141.7978</v>
      </c>
      <c r="M4962">
        <v>-0.99996410000000002</v>
      </c>
      <c r="N4962">
        <v>-8.3158609999999904E-3</v>
      </c>
      <c r="O4962">
        <v>1.696365E-3</v>
      </c>
      <c r="P4962">
        <v>-0.92919669999999999</v>
      </c>
      <c r="Q4962">
        <v>0.36482720000000002</v>
      </c>
      <c r="R4962">
        <v>-5.9117450000000002E-2</v>
      </c>
      <c r="S4962">
        <v>-3.7375180000000001</v>
      </c>
      <c r="T4962">
        <v>-1.314279</v>
      </c>
      <c r="U4962">
        <v>-0.1042175</v>
      </c>
      <c r="V4962">
        <v>-6.0794639999999997E-2</v>
      </c>
      <c r="W4962">
        <v>0.37252469999999999</v>
      </c>
      <c r="X4962">
        <v>0.92602879999999999</v>
      </c>
      <c r="Y4962">
        <v>-2.776489E-2</v>
      </c>
      <c r="Z4962">
        <v>-5.4228519999999997E-3</v>
      </c>
      <c r="AA4962">
        <v>0.99959980000000004</v>
      </c>
      <c r="AB4962">
        <v>36</v>
      </c>
      <c r="AC4962">
        <v>-0.58080000000000997</v>
      </c>
      <c r="AD4962">
        <v>-0.32505589999999901</v>
      </c>
      <c r="AE4962">
        <v>-2.61999999999886E-2</v>
      </c>
      <c r="AF4962">
        <v>-2.0711091245044898E-2</v>
      </c>
      <c r="AG4962">
        <v>-0.32505589999999901</v>
      </c>
      <c r="AH4962">
        <v>0.44244824479703398</v>
      </c>
      <c r="AI4962">
        <v>126.27390060038201</v>
      </c>
      <c r="AJ4962">
        <v>92.680070575592694</v>
      </c>
      <c r="AK4962">
        <v>0.54940944362956401</v>
      </c>
      <c r="AL4962">
        <v>68.128593181915804</v>
      </c>
      <c r="AM4962">
        <v>93.756130299550605</v>
      </c>
      <c r="AN4962">
        <v>0.999999989396129</v>
      </c>
    </row>
    <row r="4963" spans="1:40" x14ac:dyDescent="0.25">
      <c r="A4963" t="str">
        <f>"20190304164948319"</f>
        <v>20190304164948319</v>
      </c>
      <c r="B4963" t="str">
        <f>"1551689388310871"</f>
        <v>1551689388310871</v>
      </c>
      <c r="C4963" t="s">
        <v>40</v>
      </c>
      <c r="D4963">
        <v>4.9018879999999996</v>
      </c>
      <c r="E4963">
        <v>0.53403719999999999</v>
      </c>
      <c r="F4963" t="s">
        <v>41</v>
      </c>
      <c r="G4963">
        <v>-285.73379999999997</v>
      </c>
      <c r="H4963">
        <v>0.78966689999999995</v>
      </c>
      <c r="I4963">
        <v>141.77109999999999</v>
      </c>
      <c r="J4963">
        <v>-285.18439999999998</v>
      </c>
      <c r="K4963">
        <v>1.1101730000000001</v>
      </c>
      <c r="L4963">
        <v>141.79830000000001</v>
      </c>
      <c r="M4963">
        <v>-0.99996450000000003</v>
      </c>
      <c r="N4963">
        <v>-8.2926739999999999E-3</v>
      </c>
      <c r="O4963">
        <v>1.6094E-3</v>
      </c>
      <c r="P4963">
        <v>-0.92913820000000003</v>
      </c>
      <c r="Q4963">
        <v>0.36490270000000002</v>
      </c>
      <c r="R4963">
        <v>-5.9569080000000003E-2</v>
      </c>
      <c r="S4963">
        <v>-3.7394099999999999</v>
      </c>
      <c r="T4963">
        <v>-1.3187799999999901</v>
      </c>
      <c r="U4963">
        <v>-0.1098022</v>
      </c>
      <c r="V4963">
        <v>-6.1147720000000003E-2</v>
      </c>
      <c r="W4963">
        <v>0.37258089999999999</v>
      </c>
      <c r="X4963">
        <v>0.925983</v>
      </c>
      <c r="Y4963">
        <v>-2.9069870000000001E-2</v>
      </c>
      <c r="Z4963">
        <v>-5.6369439999999996E-3</v>
      </c>
      <c r="AA4963">
        <v>0.99956149999999999</v>
      </c>
      <c r="AB4963">
        <v>36</v>
      </c>
      <c r="AC4963">
        <v>-0.54939999999999101</v>
      </c>
      <c r="AD4963">
        <v>-0.32050609999999902</v>
      </c>
      <c r="AE4963">
        <v>-2.72000000000218E-2</v>
      </c>
      <c r="AF4963">
        <v>-2.0966274977360502E-2</v>
      </c>
      <c r="AG4963">
        <v>-0.32050609999999902</v>
      </c>
      <c r="AH4963">
        <v>0.41012166859031002</v>
      </c>
      <c r="AI4963">
        <v>127.971008368875</v>
      </c>
      <c r="AJ4963">
        <v>92.926532043685896</v>
      </c>
      <c r="AK4963">
        <v>0.52092564524213603</v>
      </c>
      <c r="AL4963">
        <v>68.125124615352206</v>
      </c>
      <c r="AM4963">
        <v>93.7780682860284</v>
      </c>
      <c r="AN4963">
        <v>1.0000000434975</v>
      </c>
    </row>
    <row r="4964" spans="1:40" x14ac:dyDescent="0.25">
      <c r="A4964" t="str">
        <f>"20190304164948340"</f>
        <v>20190304164948340</v>
      </c>
      <c r="B4964" t="str">
        <f>"1551689388330381"</f>
        <v>1551689388330381</v>
      </c>
      <c r="C4964" t="s">
        <v>40</v>
      </c>
      <c r="D4964">
        <v>4.8707200000000004</v>
      </c>
      <c r="E4964">
        <v>0.53384140000000002</v>
      </c>
      <c r="F4964" t="s">
        <v>41</v>
      </c>
      <c r="G4964">
        <v>-286.06439999999998</v>
      </c>
      <c r="H4964">
        <v>0.79881289999999905</v>
      </c>
      <c r="I4964">
        <v>141.7713</v>
      </c>
      <c r="J4964">
        <v>-285.52519999999998</v>
      </c>
      <c r="K4964">
        <v>1.110144</v>
      </c>
      <c r="L4964">
        <v>141.7988</v>
      </c>
      <c r="M4964">
        <v>-0.99996470000000004</v>
      </c>
      <c r="N4964">
        <v>-8.2742230000000007E-3</v>
      </c>
      <c r="O4964">
        <v>1.548581E-3</v>
      </c>
      <c r="P4964">
        <v>-0.92900260000000001</v>
      </c>
      <c r="Q4964">
        <v>0.3651856</v>
      </c>
      <c r="R4964">
        <v>-5.9948750000000002E-2</v>
      </c>
      <c r="S4964">
        <v>-3.7412719999999999</v>
      </c>
      <c r="T4964">
        <v>-1.3238289999999999</v>
      </c>
      <c r="U4964">
        <v>-0.1160583</v>
      </c>
      <c r="V4964">
        <v>-6.1454109999999999E-2</v>
      </c>
      <c r="W4964">
        <v>0.3728477</v>
      </c>
      <c r="X4964">
        <v>0.92585530000000005</v>
      </c>
      <c r="Y4964">
        <v>-3.0563079999999999E-2</v>
      </c>
      <c r="Z4964">
        <v>-5.8962479999999998E-3</v>
      </c>
      <c r="AA4964">
        <v>0.9995155</v>
      </c>
      <c r="AB4964">
        <v>36</v>
      </c>
      <c r="AC4964">
        <v>-0.53919999999999302</v>
      </c>
      <c r="AD4964">
        <v>-0.31133110000000003</v>
      </c>
      <c r="AE4964">
        <v>-2.75000000000034E-2</v>
      </c>
      <c r="AF4964">
        <v>-2.1264222817389902E-2</v>
      </c>
      <c r="AG4964">
        <v>-0.31133110000000003</v>
      </c>
      <c r="AH4964">
        <v>0.40461455798333701</v>
      </c>
      <c r="AI4964">
        <v>127.538339037694</v>
      </c>
      <c r="AJ4964">
        <v>93.008370258867501</v>
      </c>
      <c r="AK4964">
        <v>0.51097178154110301</v>
      </c>
      <c r="AL4964">
        <v>68.108650715703604</v>
      </c>
      <c r="AM4964">
        <v>93.797465804119597</v>
      </c>
      <c r="AN4964">
        <v>1.00000002578463</v>
      </c>
    </row>
    <row r="4965" spans="1:40" x14ac:dyDescent="0.25">
      <c r="A4965" t="str">
        <f>"20190304164948351"</f>
        <v>20190304164948351</v>
      </c>
      <c r="B4965" t="str">
        <f>"1551689388341118"</f>
        <v>1551689388341118</v>
      </c>
      <c r="C4965" t="s">
        <v>40</v>
      </c>
      <c r="D4965">
        <v>4.8827170000000004</v>
      </c>
      <c r="E4965">
        <v>0.53377830000000004</v>
      </c>
      <c r="F4965" t="s">
        <v>41</v>
      </c>
      <c r="G4965">
        <v>-286.39330000000001</v>
      </c>
      <c r="H4965">
        <v>0.80249820000000005</v>
      </c>
      <c r="I4965">
        <v>141.77070000000001</v>
      </c>
      <c r="J4965">
        <v>-285.72269999999997</v>
      </c>
      <c r="K4965">
        <v>1.1101259999999999</v>
      </c>
      <c r="L4965">
        <v>141.79910000000001</v>
      </c>
      <c r="M4965">
        <v>-0.99996479999999999</v>
      </c>
      <c r="N4965">
        <v>-8.2649219999999992E-3</v>
      </c>
      <c r="O4965">
        <v>1.5215490000000001E-3</v>
      </c>
      <c r="P4965">
        <v>-0.92897779999999996</v>
      </c>
      <c r="Q4965">
        <v>0.36526550000000002</v>
      </c>
      <c r="R4965">
        <v>-5.9845240000000001E-2</v>
      </c>
      <c r="S4965">
        <v>-3.7428279999999998</v>
      </c>
      <c r="T4965">
        <v>-1.326395</v>
      </c>
      <c r="U4965">
        <v>-0.1212616</v>
      </c>
      <c r="V4965">
        <v>-6.1315729999999999E-2</v>
      </c>
      <c r="W4965">
        <v>0.37292110000000001</v>
      </c>
      <c r="X4965">
        <v>0.92583490000000002</v>
      </c>
      <c r="Y4965">
        <v>-3.1828229999999999E-2</v>
      </c>
      <c r="Z4965">
        <v>-6.1181109999999999E-3</v>
      </c>
      <c r="AA4965">
        <v>0.99947459999999999</v>
      </c>
      <c r="AB4965">
        <v>37</v>
      </c>
      <c r="AC4965">
        <v>-0.67060000000003495</v>
      </c>
      <c r="AD4965">
        <v>-0.30762779999999901</v>
      </c>
      <c r="AE4965">
        <v>-2.84000000000048E-2</v>
      </c>
      <c r="AF4965">
        <v>-2.43131113370306E-2</v>
      </c>
      <c r="AG4965">
        <v>-0.30762779999999901</v>
      </c>
      <c r="AH4965">
        <v>0.55415049389559101</v>
      </c>
      <c r="AI4965">
        <v>119.012772111635</v>
      </c>
      <c r="AJ4965">
        <v>92.512216188171806</v>
      </c>
      <c r="AK4965">
        <v>0.63427814135476401</v>
      </c>
      <c r="AL4965">
        <v>68.104118043585899</v>
      </c>
      <c r="AM4965">
        <v>93.789022995464805</v>
      </c>
      <c r="AN4965">
        <v>1.0000000138143199</v>
      </c>
    </row>
    <row r="4966" spans="1:40" x14ac:dyDescent="0.25">
      <c r="A4966" t="str">
        <f>"20190304164948365"</f>
        <v>20190304164948365</v>
      </c>
      <c r="B4966" t="str">
        <f>"1551689388360638"</f>
        <v>1551689388360638</v>
      </c>
      <c r="C4966" t="s">
        <v>40</v>
      </c>
      <c r="D4966">
        <v>4.8411660000000003</v>
      </c>
      <c r="E4966">
        <v>0.53365779999999996</v>
      </c>
      <c r="F4966" t="s">
        <v>41</v>
      </c>
      <c r="G4966">
        <v>-286.41879999999998</v>
      </c>
      <c r="H4966">
        <v>0.86330469999999904</v>
      </c>
      <c r="I4966">
        <v>141.77610000000001</v>
      </c>
      <c r="J4966">
        <v>-285.93020000000001</v>
      </c>
      <c r="K4966">
        <v>1.110115</v>
      </c>
      <c r="L4966">
        <v>141.79939999999999</v>
      </c>
      <c r="M4966">
        <v>-0.99996470000000004</v>
      </c>
      <c r="N4966">
        <v>-8.2565429999999999E-3</v>
      </c>
      <c r="O4966">
        <v>1.5010049999999999E-3</v>
      </c>
      <c r="P4966">
        <v>-0.92904989999999998</v>
      </c>
      <c r="Q4966">
        <v>0.36510419999999999</v>
      </c>
      <c r="R4966">
        <v>-5.97064E-2</v>
      </c>
      <c r="S4966">
        <v>-3.7433169999999998</v>
      </c>
      <c r="T4966">
        <v>-1.3273999999999999</v>
      </c>
      <c r="U4966">
        <v>-0.1236877</v>
      </c>
      <c r="V4966">
        <v>-6.1148889999999997E-2</v>
      </c>
      <c r="W4966">
        <v>0.37275390000000003</v>
      </c>
      <c r="X4966">
        <v>0.92591330000000005</v>
      </c>
      <c r="Y4966">
        <v>-3.241285E-2</v>
      </c>
      <c r="Z4966">
        <v>-6.2176219999999999E-3</v>
      </c>
      <c r="AA4966">
        <v>0.99945519999999999</v>
      </c>
      <c r="AB4966">
        <v>37</v>
      </c>
      <c r="AC4966">
        <v>-0.48859999999996201</v>
      </c>
      <c r="AD4966">
        <v>-0.24681030000000001</v>
      </c>
      <c r="AE4966">
        <v>-2.3299999999977599E-2</v>
      </c>
      <c r="AF4966">
        <v>-1.9156443127086201E-2</v>
      </c>
      <c r="AG4966">
        <v>-0.24681030000000001</v>
      </c>
      <c r="AH4966">
        <v>0.38942311649765698</v>
      </c>
      <c r="AI4966">
        <v>122.334586412126</v>
      </c>
      <c r="AJ4966">
        <v>92.816215200802603</v>
      </c>
      <c r="AK4966">
        <v>0.461446266820005</v>
      </c>
      <c r="AL4966">
        <v>68.1144430969658</v>
      </c>
      <c r="AM4966">
        <v>93.7784239495424</v>
      </c>
      <c r="AN4966">
        <v>1.0000000479151601</v>
      </c>
    </row>
    <row r="4967" spans="1:40" x14ac:dyDescent="0.25">
      <c r="A4967" t="str">
        <f>"20190304164948386"</f>
        <v>20190304164948386</v>
      </c>
      <c r="B4967" t="str">
        <f>"1551689388381134"</f>
        <v>1551689388381134</v>
      </c>
      <c r="C4967" t="s">
        <v>40</v>
      </c>
      <c r="D4967">
        <v>5.0436579999999998</v>
      </c>
      <c r="E4967">
        <v>0.53356150000000002</v>
      </c>
      <c r="F4967" t="s">
        <v>41</v>
      </c>
      <c r="G4967">
        <v>-286.73090000000002</v>
      </c>
      <c r="H4967">
        <v>0.82558940000000003</v>
      </c>
      <c r="I4967">
        <v>141.77279999999999</v>
      </c>
      <c r="J4967">
        <v>-286.27019999999999</v>
      </c>
      <c r="K4967">
        <v>1.1100969999999999</v>
      </c>
      <c r="L4967">
        <v>141.79990000000001</v>
      </c>
      <c r="M4967">
        <v>-0.99996510000000005</v>
      </c>
      <c r="N4967">
        <v>-8.2448539999999994E-3</v>
      </c>
      <c r="O4967">
        <v>1.4765829999999901E-3</v>
      </c>
      <c r="P4967">
        <v>-0.92890589999999995</v>
      </c>
      <c r="Q4967">
        <v>0.36551739999999999</v>
      </c>
      <c r="R4967">
        <v>-5.9422660000000002E-2</v>
      </c>
      <c r="S4967">
        <v>-3.7438660000000001</v>
      </c>
      <c r="T4967">
        <v>-1.3304129999999901</v>
      </c>
      <c r="U4967">
        <v>-0.12568660000000001</v>
      </c>
      <c r="V4967">
        <v>-6.0829179999999997E-2</v>
      </c>
      <c r="W4967">
        <v>0.37315739999999997</v>
      </c>
      <c r="X4967">
        <v>0.92577180000000003</v>
      </c>
      <c r="Y4967">
        <v>-3.2880220000000002E-2</v>
      </c>
      <c r="Z4967">
        <v>-6.3039139999999999E-3</v>
      </c>
      <c r="AA4967">
        <v>0.99943939999999998</v>
      </c>
      <c r="AB4967">
        <v>37</v>
      </c>
      <c r="AC4967">
        <v>-0.46070000000003097</v>
      </c>
      <c r="AD4967">
        <v>-0.28450759999999897</v>
      </c>
      <c r="AE4967">
        <v>-2.7100000000018502E-2</v>
      </c>
      <c r="AF4967">
        <v>-2.0129757292673401E-2</v>
      </c>
      <c r="AG4967">
        <v>-0.28450759999999897</v>
      </c>
      <c r="AH4967">
        <v>0.33379691674891698</v>
      </c>
      <c r="AI4967">
        <v>130.39086274128999</v>
      </c>
      <c r="AJ4967">
        <v>93.451065528652407</v>
      </c>
      <c r="AK4967">
        <v>0.43905599098236398</v>
      </c>
      <c r="AL4967">
        <v>68.089526084663007</v>
      </c>
      <c r="AM4967">
        <v>93.759298525994197</v>
      </c>
      <c r="AN4967">
        <v>1.00000002999473</v>
      </c>
    </row>
    <row r="4968" spans="1:40" x14ac:dyDescent="0.25">
      <c r="A4968" t="str">
        <f>"20190304164948398"</f>
        <v>20190304164948398</v>
      </c>
      <c r="B4968" t="str">
        <f>"1551689388390894"</f>
        <v>1551689388390894</v>
      </c>
      <c r="C4968" t="s">
        <v>40</v>
      </c>
      <c r="D4968">
        <v>4.8129179999999998</v>
      </c>
      <c r="E4968">
        <v>0.53353660000000003</v>
      </c>
      <c r="F4968" t="s">
        <v>41</v>
      </c>
      <c r="G4968">
        <v>-287.06099999999998</v>
      </c>
      <c r="H4968">
        <v>0.82916399999999901</v>
      </c>
      <c r="I4968">
        <v>141.7732</v>
      </c>
      <c r="J4968">
        <v>-286.48129999999998</v>
      </c>
      <c r="K4968">
        <v>1.110088</v>
      </c>
      <c r="L4968">
        <v>141.80019999999999</v>
      </c>
      <c r="M4968">
        <v>-0.99996510000000005</v>
      </c>
      <c r="N4968">
        <v>-8.2387789999999999E-3</v>
      </c>
      <c r="O4968">
        <v>1.4667289999999999E-3</v>
      </c>
      <c r="P4968">
        <v>-0.92901149999999999</v>
      </c>
      <c r="Q4968">
        <v>0.36532249999999999</v>
      </c>
      <c r="R4968">
        <v>-5.8968560000000003E-2</v>
      </c>
      <c r="S4968">
        <v>-3.744904</v>
      </c>
      <c r="T4968">
        <v>-1.3302369999999999</v>
      </c>
      <c r="U4968">
        <v>-0.12788389999999999</v>
      </c>
      <c r="V4968">
        <v>-6.0359379999999997E-2</v>
      </c>
      <c r="W4968">
        <v>0.37295869999999998</v>
      </c>
      <c r="X4968">
        <v>0.9258826</v>
      </c>
      <c r="Y4968">
        <v>-3.3415609999999998E-2</v>
      </c>
      <c r="Z4968">
        <v>-6.3925800000000001E-3</v>
      </c>
      <c r="AA4968">
        <v>0.99942109999999995</v>
      </c>
      <c r="AB4968">
        <v>37</v>
      </c>
      <c r="AC4968">
        <v>-0.57970000000000199</v>
      </c>
      <c r="AD4968">
        <v>-0.28092400000000001</v>
      </c>
      <c r="AE4968">
        <v>-2.6999999999986798E-2</v>
      </c>
      <c r="AF4968">
        <v>-2.25630398635366E-2</v>
      </c>
      <c r="AG4968">
        <v>-0.28092400000000001</v>
      </c>
      <c r="AH4968">
        <v>0.46961448086741903</v>
      </c>
      <c r="AI4968">
        <v>120.858826524343</v>
      </c>
      <c r="AJ4968">
        <v>92.750710724373107</v>
      </c>
      <c r="AK4968">
        <v>0.54769073863290596</v>
      </c>
      <c r="AL4968">
        <v>68.101796307443806</v>
      </c>
      <c r="AM4968">
        <v>93.729901607163896</v>
      </c>
      <c r="AN4968">
        <v>1.0000000178212101</v>
      </c>
    </row>
    <row r="4969" spans="1:40" x14ac:dyDescent="0.25">
      <c r="A4969" t="str">
        <f>"20190304164948410"</f>
        <v>20190304164948410</v>
      </c>
      <c r="B4969" t="str">
        <f>"1551689388400654"</f>
        <v>1551689388400654</v>
      </c>
      <c r="C4969" t="s">
        <v>40</v>
      </c>
      <c r="D4969">
        <v>4.7866220000000004</v>
      </c>
      <c r="E4969">
        <v>0.53352559999999905</v>
      </c>
      <c r="F4969" t="s">
        <v>41</v>
      </c>
      <c r="G4969">
        <v>-287.37520000000001</v>
      </c>
      <c r="H4969">
        <v>0.79228379999999998</v>
      </c>
      <c r="I4969">
        <v>141.76990000000001</v>
      </c>
      <c r="J4969">
        <v>-286.68880000000001</v>
      </c>
      <c r="K4969">
        <v>1.11008</v>
      </c>
      <c r="L4969">
        <v>141.8006</v>
      </c>
      <c r="M4969">
        <v>-0.99996510000000005</v>
      </c>
      <c r="N4969">
        <v>-8.2338080000000004E-3</v>
      </c>
      <c r="O4969">
        <v>1.461087E-3</v>
      </c>
      <c r="P4969">
        <v>-0.92907490000000004</v>
      </c>
      <c r="Q4969">
        <v>0.36519889999999999</v>
      </c>
      <c r="R4969">
        <v>-5.8737079999999997E-2</v>
      </c>
      <c r="S4969">
        <v>-3.744659</v>
      </c>
      <c r="T4969">
        <v>-1.3312170000000001</v>
      </c>
      <c r="U4969">
        <v>-0.1276245</v>
      </c>
      <c r="V4969">
        <v>-6.0117209999999997E-2</v>
      </c>
      <c r="W4969">
        <v>0.3728322</v>
      </c>
      <c r="X4969">
        <v>0.92594929999999998</v>
      </c>
      <c r="Y4969">
        <v>-3.3344499999999999E-2</v>
      </c>
      <c r="Z4969">
        <v>-6.3827819999999896E-3</v>
      </c>
      <c r="AA4969">
        <v>0.99942359999999997</v>
      </c>
      <c r="AB4969">
        <v>37</v>
      </c>
      <c r="AC4969">
        <v>-0.68639999999999102</v>
      </c>
      <c r="AD4969">
        <v>-0.31779619999999897</v>
      </c>
      <c r="AE4969">
        <v>-3.0699999999995901E-2</v>
      </c>
      <c r="AF4969">
        <v>-2.6115879354318399E-2</v>
      </c>
      <c r="AG4969">
        <v>-0.31779619999999897</v>
      </c>
      <c r="AH4969">
        <v>0.56539792600362904</v>
      </c>
      <c r="AI4969">
        <v>119.313192809928</v>
      </c>
      <c r="AJ4969">
        <v>92.644627432687699</v>
      </c>
      <c r="AK4969">
        <v>0.649115766730476</v>
      </c>
      <c r="AL4969">
        <v>68.109607614096205</v>
      </c>
      <c r="AM4969">
        <v>93.714711871834595</v>
      </c>
      <c r="AN4969">
        <v>1.0000000172327499</v>
      </c>
    </row>
    <row r="4970" spans="1:40" x14ac:dyDescent="0.25">
      <c r="A4970" t="str">
        <f>"20190304164948424"</f>
        <v>20190304164948424</v>
      </c>
      <c r="B4970" t="str">
        <f>"1551689388421150"</f>
        <v>1551689388421150</v>
      </c>
      <c r="C4970" t="s">
        <v>40</v>
      </c>
      <c r="D4970">
        <v>4.7750579999999996</v>
      </c>
      <c r="E4970">
        <v>0.5334738</v>
      </c>
      <c r="F4970" t="s">
        <v>41</v>
      </c>
      <c r="G4970">
        <v>-287.40190000000001</v>
      </c>
      <c r="H4970">
        <v>0.85651279999999996</v>
      </c>
      <c r="I4970">
        <v>141.7765</v>
      </c>
      <c r="J4970">
        <v>-286.88679999999999</v>
      </c>
      <c r="K4970">
        <v>1.1100730000000001</v>
      </c>
      <c r="L4970">
        <v>141.80080000000001</v>
      </c>
      <c r="M4970">
        <v>-0.99996510000000005</v>
      </c>
      <c r="N4970">
        <v>-8.2299750000000005E-3</v>
      </c>
      <c r="O4970">
        <v>1.4579899999999999E-3</v>
      </c>
      <c r="P4970">
        <v>-0.9291895</v>
      </c>
      <c r="Q4970">
        <v>0.36497869999999999</v>
      </c>
      <c r="R4970">
        <v>-5.8290309999999998E-2</v>
      </c>
      <c r="S4970">
        <v>-3.744354</v>
      </c>
      <c r="T4970">
        <v>-1.3315269999999999</v>
      </c>
      <c r="U4970">
        <v>-0.12733459999999999</v>
      </c>
      <c r="V4970">
        <v>-5.9663309999999997E-2</v>
      </c>
      <c r="W4970">
        <v>0.37260959999999899</v>
      </c>
      <c r="X4970">
        <v>0.92606820000000001</v>
      </c>
      <c r="Y4970">
        <v>-3.327041E-2</v>
      </c>
      <c r="Z4970">
        <v>-6.3704479999999999E-3</v>
      </c>
      <c r="AA4970">
        <v>0.99942609999999998</v>
      </c>
      <c r="AB4970">
        <v>37</v>
      </c>
      <c r="AC4970">
        <v>-0.51510000000001799</v>
      </c>
      <c r="AD4970">
        <v>-0.25356019999999901</v>
      </c>
      <c r="AE4970">
        <v>-2.4300000000010799E-2</v>
      </c>
      <c r="AF4970">
        <v>-2.0173530004428002E-2</v>
      </c>
      <c r="AG4970">
        <v>-0.25356019999999901</v>
      </c>
      <c r="AH4970">
        <v>0.41478005909144</v>
      </c>
      <c r="AI4970">
        <v>121.407849112748</v>
      </c>
      <c r="AJ4970">
        <v>92.784482976845496</v>
      </c>
      <c r="AK4970">
        <v>0.48656165463050799</v>
      </c>
      <c r="AL4970">
        <v>68.123350891932702</v>
      </c>
      <c r="AM4970">
        <v>93.686270468050495</v>
      </c>
      <c r="AN4970">
        <v>0.99999996781177702</v>
      </c>
    </row>
    <row r="4971" spans="1:40" x14ac:dyDescent="0.25">
      <c r="A4971" t="str">
        <f>"20190304164948440"</f>
        <v>20190304164948440</v>
      </c>
      <c r="B4971" t="str">
        <f>"1551689388430909"</f>
        <v>1551689388430909</v>
      </c>
      <c r="C4971" t="s">
        <v>40</v>
      </c>
      <c r="D4971">
        <v>4.7547189999999997</v>
      </c>
      <c r="E4971">
        <v>0.53344579999999997</v>
      </c>
      <c r="F4971" t="s">
        <v>41</v>
      </c>
      <c r="G4971">
        <v>-287.71429999999998</v>
      </c>
      <c r="H4971">
        <v>0.81539150000000005</v>
      </c>
      <c r="I4971">
        <v>141.773</v>
      </c>
      <c r="J4971">
        <v>-287.17219999999998</v>
      </c>
      <c r="K4971">
        <v>1.1100639999999999</v>
      </c>
      <c r="L4971">
        <v>141.80119999999999</v>
      </c>
      <c r="M4971">
        <v>-0.99996510000000005</v>
      </c>
      <c r="N4971">
        <v>-8.2256139999999991E-3</v>
      </c>
      <c r="O4971">
        <v>1.4556790000000001E-3</v>
      </c>
      <c r="P4971">
        <v>-0.92935319999999999</v>
      </c>
      <c r="Q4971">
        <v>0.36465769999999997</v>
      </c>
      <c r="R4971">
        <v>-5.76874E-2</v>
      </c>
      <c r="S4971">
        <v>-3.7443240000000002</v>
      </c>
      <c r="T4971">
        <v>-1.333275</v>
      </c>
      <c r="U4971">
        <v>-0.1267548</v>
      </c>
      <c r="V4971">
        <v>-5.9053769999999998E-2</v>
      </c>
      <c r="W4971">
        <v>0.37228699999999998</v>
      </c>
      <c r="X4971">
        <v>0.92623699999999998</v>
      </c>
      <c r="Y4971">
        <v>-3.3118000000000002E-2</v>
      </c>
      <c r="Z4971">
        <v>-6.3504310000000001E-3</v>
      </c>
      <c r="AA4971">
        <v>0.99943130000000002</v>
      </c>
      <c r="AB4971">
        <v>37</v>
      </c>
      <c r="AC4971">
        <v>-0.54210000000000402</v>
      </c>
      <c r="AD4971">
        <v>-0.294672499999999</v>
      </c>
      <c r="AE4971">
        <v>-2.8199999999998199E-2</v>
      </c>
      <c r="AF4971">
        <v>-2.23909998961246E-2</v>
      </c>
      <c r="AG4971">
        <v>-0.294672499999999</v>
      </c>
      <c r="AH4971">
        <v>0.41868220992287097</v>
      </c>
      <c r="AI4971">
        <v>125.099745618809</v>
      </c>
      <c r="AJ4971">
        <v>93.061244980240005</v>
      </c>
      <c r="AK4971">
        <v>0.51247246954201997</v>
      </c>
      <c r="AL4971">
        <v>68.143267479536604</v>
      </c>
      <c r="AM4971">
        <v>93.648049419012594</v>
      </c>
      <c r="AN4971">
        <v>0.99999996914460598</v>
      </c>
    </row>
    <row r="4972" spans="1:40" x14ac:dyDescent="0.25">
      <c r="A4972" t="str">
        <f>"20190304164948453"</f>
        <v>20190304164948453</v>
      </c>
      <c r="B4972" t="str">
        <f>"1551689388440669"</f>
        <v>1551689388440669</v>
      </c>
      <c r="C4972" t="s">
        <v>40</v>
      </c>
      <c r="D4972">
        <v>4.8630120000000003</v>
      </c>
      <c r="E4972">
        <v>0.53344579999999997</v>
      </c>
      <c r="F4972" t="s">
        <v>41</v>
      </c>
      <c r="G4972">
        <v>-288.03899999999999</v>
      </c>
      <c r="H4972">
        <v>0.80096149999999999</v>
      </c>
      <c r="I4972">
        <v>141.7731</v>
      </c>
      <c r="J4972">
        <v>-287.38150000000002</v>
      </c>
      <c r="K4972">
        <v>1.110061</v>
      </c>
      <c r="L4972">
        <v>141.8015</v>
      </c>
      <c r="M4972">
        <v>-0.99996510000000005</v>
      </c>
      <c r="N4972">
        <v>-8.2232580000000007E-3</v>
      </c>
      <c r="O4972">
        <v>1.455542E-3</v>
      </c>
      <c r="P4972">
        <v>-0.92938050000000005</v>
      </c>
      <c r="Q4972">
        <v>0.36462460000000002</v>
      </c>
      <c r="R4972">
        <v>-5.7456170000000001E-2</v>
      </c>
      <c r="S4972">
        <v>-3.7442319999999998</v>
      </c>
      <c r="T4972">
        <v>-1.335129</v>
      </c>
      <c r="U4972">
        <v>-0.1232452</v>
      </c>
      <c r="V4972">
        <v>-5.8819669999999998E-2</v>
      </c>
      <c r="W4972">
        <v>0.37225200000000003</v>
      </c>
      <c r="X4972">
        <v>0.92626600000000003</v>
      </c>
      <c r="Y4972">
        <v>-3.2232839999999999E-2</v>
      </c>
      <c r="Z4972">
        <v>-6.2019290000000001E-3</v>
      </c>
      <c r="AA4972">
        <v>0.99946120000000005</v>
      </c>
      <c r="AB4972">
        <v>37</v>
      </c>
      <c r="AC4972">
        <v>-0.65749999999997</v>
      </c>
      <c r="AD4972">
        <v>-0.30909950000000003</v>
      </c>
      <c r="AE4972">
        <v>-2.84000000000048E-2</v>
      </c>
      <c r="AF4972">
        <v>-2.4051402999816299E-2</v>
      </c>
      <c r="AG4972">
        <v>-0.30909950000000003</v>
      </c>
      <c r="AH4972">
        <v>0.53863729478146505</v>
      </c>
      <c r="AI4972">
        <v>119.824930974642</v>
      </c>
      <c r="AJ4972">
        <v>92.556690985245396</v>
      </c>
      <c r="AK4972">
        <v>0.62149103470283795</v>
      </c>
      <c r="AL4972">
        <v>68.1454289284124</v>
      </c>
      <c r="AM4972">
        <v>93.633513243067299</v>
      </c>
      <c r="AN4972">
        <v>1.0000000039194501</v>
      </c>
    </row>
    <row r="4973" spans="1:40" x14ac:dyDescent="0.25">
      <c r="A4973" t="str">
        <f>"20190304164948466"</f>
        <v>20190304164948466</v>
      </c>
      <c r="B4973" t="str">
        <f>"1551689388461166"</f>
        <v>1551689388461166</v>
      </c>
      <c r="C4973" t="s">
        <v>40</v>
      </c>
      <c r="D4973">
        <v>4.6321500000000002</v>
      </c>
      <c r="E4973">
        <v>0.5398693</v>
      </c>
      <c r="F4973" t="s">
        <v>41</v>
      </c>
      <c r="G4973">
        <v>-288.06610000000001</v>
      </c>
      <c r="H4973">
        <v>0.86593469999999995</v>
      </c>
      <c r="I4973">
        <v>141.77979999999999</v>
      </c>
      <c r="J4973">
        <v>-287.58390000000003</v>
      </c>
      <c r="K4973">
        <v>1.1100540000000001</v>
      </c>
      <c r="L4973">
        <v>141.80179999999999</v>
      </c>
      <c r="M4973">
        <v>-0.99996529999999995</v>
      </c>
      <c r="N4973">
        <v>-8.2218399999999994E-3</v>
      </c>
      <c r="O4973">
        <v>1.455755E-3</v>
      </c>
      <c r="P4973">
        <v>-0.92938270000000001</v>
      </c>
      <c r="Q4973">
        <v>0.36461250000000001</v>
      </c>
      <c r="R4973">
        <v>-5.7496510000000001E-2</v>
      </c>
      <c r="S4973">
        <v>-3.7442929999999999</v>
      </c>
      <c r="T4973">
        <v>-1.335161</v>
      </c>
      <c r="U4973">
        <v>-0.12095640000000001</v>
      </c>
      <c r="V4973">
        <v>-5.8857560000000003E-2</v>
      </c>
      <c r="W4973">
        <v>0.37223919999999999</v>
      </c>
      <c r="X4973">
        <v>0.92626869999999994</v>
      </c>
      <c r="Y4973">
        <v>-3.1658390000000002E-2</v>
      </c>
      <c r="Z4973">
        <v>-6.1003100000000003E-3</v>
      </c>
      <c r="AA4973">
        <v>0.99948009999999998</v>
      </c>
      <c r="AB4973">
        <v>37</v>
      </c>
      <c r="AC4973">
        <v>-0.48219999999997698</v>
      </c>
      <c r="AD4973">
        <v>-0.24411930000000001</v>
      </c>
      <c r="AE4973">
        <v>-2.1999999999991301E-2</v>
      </c>
      <c r="AF4973">
        <v>-1.8078147904762899E-2</v>
      </c>
      <c r="AG4973">
        <v>-0.24411930000000001</v>
      </c>
      <c r="AH4973">
        <v>0.383962116998605</v>
      </c>
      <c r="AI4973">
        <v>122.419079895918</v>
      </c>
      <c r="AJ4973">
        <v>92.695675303761504</v>
      </c>
      <c r="AK4973">
        <v>0.45535476208579101</v>
      </c>
      <c r="AL4973">
        <v>68.146218309604905</v>
      </c>
      <c r="AM4973">
        <v>93.635837005282795</v>
      </c>
      <c r="AN4973">
        <v>0.99999996949274095</v>
      </c>
    </row>
    <row r="4974" spans="1:40" x14ac:dyDescent="0.25">
      <c r="A4974" t="str">
        <f>"20190304164948480"</f>
        <v>20190304164948480</v>
      </c>
      <c r="B4974" t="str">
        <f>"1551689388470927"</f>
        <v>1551689388470927</v>
      </c>
      <c r="C4974" t="s">
        <v>40</v>
      </c>
      <c r="D4974">
        <v>4.6474699999999904</v>
      </c>
      <c r="E4974">
        <v>0.52495319999999901</v>
      </c>
      <c r="F4974" t="s">
        <v>41</v>
      </c>
      <c r="G4974">
        <v>-288.41239999999999</v>
      </c>
      <c r="H4974">
        <v>0.90329219999999999</v>
      </c>
      <c r="I4974">
        <v>141.79519999999999</v>
      </c>
      <c r="J4974">
        <v>-287.82569999999998</v>
      </c>
      <c r="K4974">
        <v>1.1100479999999999</v>
      </c>
      <c r="L4974">
        <v>141.8022</v>
      </c>
      <c r="M4974">
        <v>-0.9999652</v>
      </c>
      <c r="N4974">
        <v>-8.2207059999999995E-3</v>
      </c>
      <c r="O4974">
        <v>1.45632799999999E-3</v>
      </c>
      <c r="P4974">
        <v>-0.92943030000000004</v>
      </c>
      <c r="Q4974">
        <v>0.36449559999999998</v>
      </c>
      <c r="R4974">
        <v>-5.74654E-2</v>
      </c>
      <c r="S4974">
        <v>-3.5763240000000001</v>
      </c>
      <c r="T4974">
        <v>-0.89270849999999902</v>
      </c>
      <c r="U4974">
        <v>-2.966309E-2</v>
      </c>
      <c r="V4974">
        <v>-5.8824309999999998E-2</v>
      </c>
      <c r="W4974">
        <v>0.37212240000000002</v>
      </c>
      <c r="X4974">
        <v>0.92631779999999997</v>
      </c>
      <c r="Y4974">
        <v>-9.4100239999999995E-3</v>
      </c>
      <c r="Z4974">
        <v>-1.5421949999999999E-3</v>
      </c>
      <c r="AA4974">
        <v>0.99995449999999997</v>
      </c>
      <c r="AB4974">
        <v>37</v>
      </c>
      <c r="AC4974">
        <v>-0.58670000000000699</v>
      </c>
      <c r="AD4974">
        <v>-0.20675579999999999</v>
      </c>
      <c r="AE4974">
        <v>-7.0000000000049996E-3</v>
      </c>
      <c r="AF4974">
        <v>-6.9868788530422403E-3</v>
      </c>
      <c r="AG4974">
        <v>-0.20675579999999999</v>
      </c>
      <c r="AH4974">
        <v>0.52188590500551302</v>
      </c>
      <c r="AI4974">
        <v>111.61025190231901</v>
      </c>
      <c r="AJ4974">
        <v>90.767015840735496</v>
      </c>
      <c r="AK4974">
        <v>0.56139262121368405</v>
      </c>
      <c r="AL4974">
        <v>68.153429666427996</v>
      </c>
      <c r="AM4974">
        <v>93.633596446591994</v>
      </c>
      <c r="AN4974">
        <v>1.0000000233127799</v>
      </c>
    </row>
    <row r="4975" spans="1:40" x14ac:dyDescent="0.25">
      <c r="A4975" t="str">
        <f>"20190304164948499"</f>
        <v>20190304164948499</v>
      </c>
      <c r="B4975" t="str">
        <f>"1551689388491422"</f>
        <v>1551689388491422</v>
      </c>
      <c r="C4975" t="s">
        <v>40</v>
      </c>
      <c r="D4975">
        <v>4.656606</v>
      </c>
      <c r="E4975">
        <v>0.52178829999999998</v>
      </c>
      <c r="F4975" t="s">
        <v>41</v>
      </c>
      <c r="G4975">
        <v>-288.78899999999999</v>
      </c>
      <c r="H4975">
        <v>1.0006409999999999</v>
      </c>
      <c r="I4975">
        <v>141.773</v>
      </c>
      <c r="J4975">
        <v>-288.13159999999999</v>
      </c>
      <c r="K4975">
        <v>1.1100460000000001</v>
      </c>
      <c r="L4975">
        <v>141.80260000000001</v>
      </c>
      <c r="M4975">
        <v>-0.9999652</v>
      </c>
      <c r="N4975">
        <v>-8.2204080000000002E-3</v>
      </c>
      <c r="O4975">
        <v>1.456841E-3</v>
      </c>
      <c r="P4975">
        <v>-0.92951050000000002</v>
      </c>
      <c r="Q4975">
        <v>0.36428719999999998</v>
      </c>
      <c r="R4975">
        <v>-5.7491349999999997E-2</v>
      </c>
      <c r="S4975">
        <v>-3.3716129999999902</v>
      </c>
      <c r="T4975">
        <v>-0.38297409999999998</v>
      </c>
      <c r="U4975">
        <v>-0.1027985</v>
      </c>
      <c r="V4975">
        <v>-5.8847679999999999E-2</v>
      </c>
      <c r="W4975">
        <v>0.37191479999999999</v>
      </c>
      <c r="X4975">
        <v>0.92639959999999999</v>
      </c>
      <c r="Y4975">
        <v>-3.1704830000000003E-2</v>
      </c>
      <c r="Z4975">
        <v>-2.078225E-3</v>
      </c>
      <c r="AA4975">
        <v>0.99949509999999997</v>
      </c>
      <c r="AB4975">
        <v>37</v>
      </c>
      <c r="AC4975">
        <v>-0.65739999999999499</v>
      </c>
      <c r="AD4975">
        <v>-0.109404999999999</v>
      </c>
      <c r="AE4975">
        <v>-2.96000000000162E-2</v>
      </c>
      <c r="AF4975">
        <v>-2.9735834741681198E-2</v>
      </c>
      <c r="AG4975">
        <v>-0.109404999999999</v>
      </c>
      <c r="AH4975">
        <v>0.63967565178789099</v>
      </c>
      <c r="AI4975">
        <v>99.695232701226999</v>
      </c>
      <c r="AJ4975">
        <v>92.661524157984005</v>
      </c>
      <c r="AK4975">
        <v>0.64964499027010703</v>
      </c>
      <c r="AL4975">
        <v>68.166242181727199</v>
      </c>
      <c r="AM4975">
        <v>93.634716040246204</v>
      </c>
      <c r="AN4975">
        <v>0.99999994339028897</v>
      </c>
    </row>
    <row r="4976" spans="1:40" x14ac:dyDescent="0.25">
      <c r="A4976" t="str">
        <f>"20190304164948519"</f>
        <v>20190304164948519</v>
      </c>
      <c r="B4976" t="str">
        <f>"1551689388510941"</f>
        <v>1551689388510941</v>
      </c>
      <c r="C4976" t="s">
        <v>40</v>
      </c>
      <c r="D4976">
        <v>5.0467589999999998</v>
      </c>
      <c r="E4976">
        <v>0.52035980000000004</v>
      </c>
      <c r="F4976" t="s">
        <v>41</v>
      </c>
      <c r="G4976">
        <v>-289.12389999999999</v>
      </c>
      <c r="H4976">
        <v>1.005765</v>
      </c>
      <c r="I4976">
        <v>141.76589999999999</v>
      </c>
      <c r="J4976">
        <v>-288.48309999999998</v>
      </c>
      <c r="K4976">
        <v>1.110044</v>
      </c>
      <c r="L4976">
        <v>141.8031</v>
      </c>
      <c r="M4976">
        <v>-0.99996510000000005</v>
      </c>
      <c r="N4976">
        <v>-8.2214850000000006E-3</v>
      </c>
      <c r="O4976">
        <v>1.456695E-3</v>
      </c>
      <c r="P4976">
        <v>-0.92956360000000005</v>
      </c>
      <c r="Q4976">
        <v>0.36411389999999999</v>
      </c>
      <c r="R4976">
        <v>-5.772915E-2</v>
      </c>
      <c r="S4976">
        <v>-3.358063</v>
      </c>
      <c r="T4976">
        <v>-0.35297020000000001</v>
      </c>
      <c r="U4976">
        <v>-0.12512210000000001</v>
      </c>
      <c r="V4976">
        <v>-5.908219E-2</v>
      </c>
      <c r="W4976">
        <v>0.3717435</v>
      </c>
      <c r="X4976">
        <v>0.92645350000000004</v>
      </c>
      <c r="Y4976">
        <v>-3.8455019999999999E-2</v>
      </c>
      <c r="Z4976">
        <v>-2.3140880000000002E-3</v>
      </c>
      <c r="AA4976">
        <v>0.99925759999999997</v>
      </c>
      <c r="AB4976">
        <v>37</v>
      </c>
      <c r="AC4976">
        <v>-0.64080000000001203</v>
      </c>
      <c r="AD4976">
        <v>-0.104279</v>
      </c>
      <c r="AE4976">
        <v>-3.7200000000012702E-2</v>
      </c>
      <c r="AF4976">
        <v>-3.7152869296287798E-2</v>
      </c>
      <c r="AG4976">
        <v>-0.104279</v>
      </c>
      <c r="AH4976">
        <v>0.62426884692544504</v>
      </c>
      <c r="AI4976">
        <v>99.466787711419698</v>
      </c>
      <c r="AJ4976">
        <v>93.405895871271397</v>
      </c>
      <c r="AK4976">
        <v>0.63400791696915904</v>
      </c>
      <c r="AL4976">
        <v>68.176816567053905</v>
      </c>
      <c r="AM4976">
        <v>93.648949715725706</v>
      </c>
      <c r="AN4976">
        <v>1.00000001131484</v>
      </c>
    </row>
    <row r="4977" spans="1:40" x14ac:dyDescent="0.25">
      <c r="A4977" t="str">
        <f>"20190304164948532"</f>
        <v>20190304164948532</v>
      </c>
      <c r="B4977" t="str">
        <f>"1551689388520702"</f>
        <v>1551689388520702</v>
      </c>
      <c r="C4977" t="s">
        <v>40</v>
      </c>
      <c r="D4977">
        <v>4.6292819999999999</v>
      </c>
      <c r="E4977">
        <v>0.52020140000000004</v>
      </c>
      <c r="F4977" t="s">
        <v>41</v>
      </c>
      <c r="G4977">
        <v>-289.46089999999998</v>
      </c>
      <c r="H4977">
        <v>1.0123180000000001</v>
      </c>
      <c r="I4977">
        <v>141.7637</v>
      </c>
      <c r="J4977">
        <v>-288.69819999999999</v>
      </c>
      <c r="K4977">
        <v>1.1100399999999999</v>
      </c>
      <c r="L4977">
        <v>141.80350000000001</v>
      </c>
      <c r="M4977">
        <v>-0.99996529999999995</v>
      </c>
      <c r="N4977">
        <v>-8.2227459999999995E-3</v>
      </c>
      <c r="O4977">
        <v>1.4562329999999999E-3</v>
      </c>
      <c r="P4977">
        <v>-0.92949550000000003</v>
      </c>
      <c r="Q4977">
        <v>0.36427409999999999</v>
      </c>
      <c r="R4977">
        <v>-5.7816630000000001E-2</v>
      </c>
      <c r="S4977">
        <v>-3.3500369999999999</v>
      </c>
      <c r="T4977">
        <v>-0.3349413</v>
      </c>
      <c r="U4977">
        <v>-0.13636779999999901</v>
      </c>
      <c r="V4977">
        <v>-5.916689E-2</v>
      </c>
      <c r="W4977">
        <v>0.37190459999999997</v>
      </c>
      <c r="X4977">
        <v>0.92638339999999997</v>
      </c>
      <c r="Y4977">
        <v>-4.1895809999999999E-2</v>
      </c>
      <c r="Z4977">
        <v>-2.394354E-3</v>
      </c>
      <c r="AA4977">
        <v>0.99911910000000004</v>
      </c>
      <c r="AB4977">
        <v>37</v>
      </c>
      <c r="AC4977">
        <v>-0.76269999999999505</v>
      </c>
      <c r="AD4977">
        <v>-9.7721999999999795E-2</v>
      </c>
      <c r="AE4977">
        <v>-3.9800000000013797E-2</v>
      </c>
      <c r="AF4977">
        <v>-4.0251672103276702E-2</v>
      </c>
      <c r="AG4977">
        <v>-9.7721999999999795E-2</v>
      </c>
      <c r="AH4977">
        <v>0.75035655054043804</v>
      </c>
      <c r="AI4977">
        <v>97.409566366156895</v>
      </c>
      <c r="AJ4977">
        <v>93.070597002697497</v>
      </c>
      <c r="AK4977">
        <v>0.757762983610346</v>
      </c>
      <c r="AL4977">
        <v>68.166872555386504</v>
      </c>
      <c r="AM4977">
        <v>93.654442436178002</v>
      </c>
      <c r="AN4977">
        <v>0.99999997808449503</v>
      </c>
    </row>
    <row r="4978" spans="1:40" x14ac:dyDescent="0.25">
      <c r="A4978" t="str">
        <f>"20190304164948552"</f>
        <v>20190304164948552</v>
      </c>
      <c r="B4978" t="str">
        <f>"1551689388541198"</f>
        <v>1551689388541198</v>
      </c>
      <c r="C4978" t="s">
        <v>40</v>
      </c>
      <c r="D4978">
        <v>4.5858749999999997</v>
      </c>
      <c r="E4978">
        <v>0.52034609999999903</v>
      </c>
      <c r="F4978" t="s">
        <v>48</v>
      </c>
      <c r="G4978">
        <v>-299.97919999999999</v>
      </c>
      <c r="H4978" s="1">
        <v>-8.508578E-6</v>
      </c>
      <c r="I4978">
        <v>141.33940000000001</v>
      </c>
      <c r="J4978">
        <v>-289.02760000000001</v>
      </c>
      <c r="K4978">
        <v>1.1100300000000001</v>
      </c>
      <c r="L4978">
        <v>141.8039</v>
      </c>
      <c r="M4978">
        <v>-0.99996529999999995</v>
      </c>
      <c r="N4978">
        <v>-8.2255550000000007E-3</v>
      </c>
      <c r="O4978">
        <v>1.455235E-3</v>
      </c>
      <c r="P4978">
        <v>-0.92933659999999996</v>
      </c>
      <c r="Q4978">
        <v>0.36458239999999997</v>
      </c>
      <c r="R4978">
        <v>-5.842514E-2</v>
      </c>
      <c r="S4978">
        <v>-3.3481450000000001</v>
      </c>
      <c r="T4978">
        <v>-0.32945410000000003</v>
      </c>
      <c r="U4978">
        <v>-0.13774110000000001</v>
      </c>
      <c r="V4978">
        <v>-5.9772430000000001E-2</v>
      </c>
      <c r="W4978">
        <v>0.37221490000000002</v>
      </c>
      <c r="X4978">
        <v>0.92621989999999998</v>
      </c>
      <c r="Y4978">
        <v>-4.2331609999999999E-2</v>
      </c>
      <c r="Z4978">
        <v>-2.3822869999999999E-3</v>
      </c>
      <c r="AA4978">
        <v>0.99910080000000001</v>
      </c>
      <c r="AB4978">
        <v>37</v>
      </c>
      <c r="AC4978">
        <v>-10.9515999999999</v>
      </c>
      <c r="AD4978">
        <v>-1.11003850857799</v>
      </c>
      <c r="AE4978">
        <v>-0.46449999999998598</v>
      </c>
      <c r="AF4978">
        <v>-0.47556027240416598</v>
      </c>
      <c r="AG4978">
        <v>-1.11003850857799</v>
      </c>
      <c r="AH4978">
        <v>10.8397495854593</v>
      </c>
      <c r="AI4978">
        <v>95.841380830746004</v>
      </c>
      <c r="AJ4978">
        <v>92.512063117628202</v>
      </c>
      <c r="AK4978">
        <v>10.906810447545199</v>
      </c>
      <c r="AL4978">
        <v>68.147718842313296</v>
      </c>
      <c r="AM4978">
        <v>93.692390577599696</v>
      </c>
      <c r="AN4978">
        <v>0.99999998916306199</v>
      </c>
    </row>
    <row r="4979" spans="1:40" x14ac:dyDescent="0.25">
      <c r="A4979" t="str">
        <f>"20190304164948566"</f>
        <v>20190304164948566</v>
      </c>
      <c r="B4979" t="str">
        <f>"1551689388560718"</f>
        <v>1551689388560718</v>
      </c>
      <c r="C4979" t="s">
        <v>40</v>
      </c>
      <c r="D4979">
        <v>4.6048229999999997</v>
      </c>
      <c r="E4979">
        <v>0.52079240000000004</v>
      </c>
      <c r="F4979" t="s">
        <v>48</v>
      </c>
      <c r="G4979">
        <v>-300.67520000000002</v>
      </c>
      <c r="H4979" s="1">
        <v>-8.6273929999999905E-6</v>
      </c>
      <c r="I4979">
        <v>141.3218</v>
      </c>
      <c r="J4979">
        <v>-289.24979999999999</v>
      </c>
      <c r="K4979">
        <v>1.110023</v>
      </c>
      <c r="L4979">
        <v>141.80430000000001</v>
      </c>
      <c r="M4979">
        <v>-0.99996510000000005</v>
      </c>
      <c r="N4979">
        <v>-8.2280129999999993E-3</v>
      </c>
      <c r="O4979">
        <v>1.4545249999999999E-3</v>
      </c>
      <c r="P4979">
        <v>-0.9292686</v>
      </c>
      <c r="Q4979">
        <v>0.36471710000000002</v>
      </c>
      <c r="R4979">
        <v>-5.866594E-2</v>
      </c>
      <c r="S4979">
        <v>-3.3444210000000001</v>
      </c>
      <c r="T4979">
        <v>-0.31872929999999999</v>
      </c>
      <c r="U4979">
        <v>-0.13844300000000001</v>
      </c>
      <c r="V4979">
        <v>-6.0010479999999998E-2</v>
      </c>
      <c r="W4979">
        <v>0.37235119999999999</v>
      </c>
      <c r="X4979">
        <v>0.92614969999999996</v>
      </c>
      <c r="Y4979">
        <v>-4.2598160000000003E-2</v>
      </c>
      <c r="Z4979">
        <v>-2.3264570000000001E-3</v>
      </c>
      <c r="AA4979">
        <v>0.99908960000000002</v>
      </c>
      <c r="AB4979">
        <v>37</v>
      </c>
      <c r="AC4979">
        <v>-11.4254</v>
      </c>
      <c r="AD4979">
        <v>-1.110031627393</v>
      </c>
      <c r="AE4979">
        <v>-0.48250000000001497</v>
      </c>
      <c r="AF4979">
        <v>-0.49445966557109</v>
      </c>
      <c r="AG4979">
        <v>-1.110031627393</v>
      </c>
      <c r="AH4979">
        <v>11.3180447762422</v>
      </c>
      <c r="AI4979">
        <v>95.596138266172105</v>
      </c>
      <c r="AJ4979">
        <v>92.501531770640597</v>
      </c>
      <c r="AK4979">
        <v>11.3830926435531</v>
      </c>
      <c r="AL4979">
        <v>68.139304172869302</v>
      </c>
      <c r="AM4979">
        <v>93.707335191020704</v>
      </c>
      <c r="AN4979">
        <v>0.999999970330679</v>
      </c>
    </row>
    <row r="4980" spans="1:40" x14ac:dyDescent="0.25">
      <c r="A4980" t="str">
        <f>"20190304164948587"</f>
        <v>20190304164948587</v>
      </c>
      <c r="B4980" t="str">
        <f>"1551689388581214"</f>
        <v>1551689388581214</v>
      </c>
      <c r="C4980" t="s">
        <v>40</v>
      </c>
      <c r="D4980">
        <v>4.5722709999999998</v>
      </c>
      <c r="E4980">
        <v>0.5211093</v>
      </c>
      <c r="F4980" t="s">
        <v>41</v>
      </c>
      <c r="G4980">
        <v>-290.13749999999999</v>
      </c>
      <c r="H4980">
        <v>1.0249999999999999</v>
      </c>
      <c r="I4980">
        <v>141.76859999999999</v>
      </c>
      <c r="J4980">
        <v>-289.59899999999999</v>
      </c>
      <c r="K4980">
        <v>1.1100159999999999</v>
      </c>
      <c r="L4980">
        <v>141.8048</v>
      </c>
      <c r="M4980">
        <v>-0.99996529999999995</v>
      </c>
      <c r="N4980">
        <v>-8.2325460000000003E-3</v>
      </c>
      <c r="O4980">
        <v>1.4532150000000001E-3</v>
      </c>
      <c r="P4980">
        <v>-0.92913639999999997</v>
      </c>
      <c r="Q4980">
        <v>0.36498429999999998</v>
      </c>
      <c r="R4980">
        <v>-5.9096490000000002E-2</v>
      </c>
      <c r="S4980">
        <v>-3.3455810000000001</v>
      </c>
      <c r="T4980">
        <v>-0.32055250000000002</v>
      </c>
      <c r="U4980">
        <v>-0.1359253</v>
      </c>
      <c r="V4980">
        <v>-6.0437940000000002E-2</v>
      </c>
      <c r="W4980">
        <v>0.37262200000000001</v>
      </c>
      <c r="X4980">
        <v>0.92601299999999998</v>
      </c>
      <c r="Y4980">
        <v>-4.1833490000000001E-2</v>
      </c>
      <c r="Z4980">
        <v>-2.2983420000000001E-3</v>
      </c>
      <c r="AA4980">
        <v>0.99912199999999995</v>
      </c>
      <c r="AB4980">
        <v>37</v>
      </c>
      <c r="AC4980">
        <v>-0.53849999999999898</v>
      </c>
      <c r="AD4980">
        <v>-8.5015999999999897E-2</v>
      </c>
      <c r="AE4980">
        <v>-3.6200000000007997E-2</v>
      </c>
      <c r="AF4980">
        <v>-3.6087129942797898E-2</v>
      </c>
      <c r="AG4980">
        <v>-8.5015999999999897E-2</v>
      </c>
      <c r="AH4980">
        <v>0.52541004957271997</v>
      </c>
      <c r="AI4980">
        <v>99.170065344403497</v>
      </c>
      <c r="AJ4980">
        <v>93.929117989893996</v>
      </c>
      <c r="AK4980">
        <v>0.53346576403319201</v>
      </c>
      <c r="AL4980">
        <v>68.122585750322699</v>
      </c>
      <c r="AM4980">
        <v>93.734218049964696</v>
      </c>
      <c r="AN4980">
        <v>0.99999998782222099</v>
      </c>
    </row>
    <row r="4981" spans="1:40" x14ac:dyDescent="0.25">
      <c r="A4981" t="str">
        <f>"20190304164948599"</f>
        <v>20190304164948599</v>
      </c>
      <c r="B4981" t="str">
        <f>"1551689388590974"</f>
        <v>1551689388590974</v>
      </c>
      <c r="C4981" t="s">
        <v>40</v>
      </c>
      <c r="D4981">
        <v>4.5753069999999996</v>
      </c>
      <c r="E4981">
        <v>0.52126620000000001</v>
      </c>
      <c r="F4981" t="s">
        <v>41</v>
      </c>
      <c r="G4981">
        <v>-290.47120000000001</v>
      </c>
      <c r="H4981">
        <v>1.0245299999999999</v>
      </c>
      <c r="I4981">
        <v>141.7697</v>
      </c>
      <c r="J4981">
        <v>-289.82420000000002</v>
      </c>
      <c r="K4981">
        <v>1.110017</v>
      </c>
      <c r="L4981">
        <v>141.80510000000001</v>
      </c>
      <c r="M4981">
        <v>-0.99996499999999999</v>
      </c>
      <c r="N4981">
        <v>-8.2358769999999904E-3</v>
      </c>
      <c r="O4981">
        <v>1.4526739999999999E-3</v>
      </c>
      <c r="P4981">
        <v>-0.92916639999999995</v>
      </c>
      <c r="Q4981">
        <v>0.3648535</v>
      </c>
      <c r="R4981">
        <v>-5.9428149999999999E-2</v>
      </c>
      <c r="S4981">
        <v>-3.3491520000000001</v>
      </c>
      <c r="T4981">
        <v>-0.32830110000000001</v>
      </c>
      <c r="U4981">
        <v>-0.1351166</v>
      </c>
      <c r="V4981">
        <v>-6.0768490000000001E-2</v>
      </c>
      <c r="W4981">
        <v>0.37249460000000001</v>
      </c>
      <c r="X4981">
        <v>0.9260427</v>
      </c>
      <c r="Y4981">
        <v>-4.1540819999999999E-2</v>
      </c>
      <c r="Z4981">
        <v>-2.3319809999999999E-3</v>
      </c>
      <c r="AA4981">
        <v>0.99913410000000002</v>
      </c>
      <c r="AB4981">
        <v>37</v>
      </c>
      <c r="AC4981">
        <v>-0.64699999999999103</v>
      </c>
      <c r="AD4981">
        <v>-8.5486999999999994E-2</v>
      </c>
      <c r="AE4981">
        <v>-3.5400000000009799E-2</v>
      </c>
      <c r="AF4981">
        <v>-3.5718172087264098E-2</v>
      </c>
      <c r="AG4981">
        <v>-8.5486999999999994E-2</v>
      </c>
      <c r="AH4981">
        <v>0.63587990695652796</v>
      </c>
      <c r="AI4981">
        <v>97.644964232812796</v>
      </c>
      <c r="AJ4981">
        <v>93.214997322935403</v>
      </c>
      <c r="AK4981">
        <v>0.64259401729030896</v>
      </c>
      <c r="AL4981">
        <v>68.130453141538695</v>
      </c>
      <c r="AM4981">
        <v>93.754463077967799</v>
      </c>
      <c r="AN4981">
        <v>1.0000000593146601</v>
      </c>
    </row>
    <row r="4982" spans="1:40" x14ac:dyDescent="0.25">
      <c r="A4982" t="str">
        <f>"20190304164948613"</f>
        <v>20190304164948613</v>
      </c>
      <c r="B4982" t="str">
        <f>"1551689388600735"</f>
        <v>1551689388600735</v>
      </c>
      <c r="C4982" t="s">
        <v>40</v>
      </c>
      <c r="D4982">
        <v>4.5956330000000003</v>
      </c>
      <c r="E4982">
        <v>0.52145759999999997</v>
      </c>
      <c r="F4982" t="s">
        <v>41</v>
      </c>
      <c r="G4982">
        <v>-290.79919999999998</v>
      </c>
      <c r="H4982">
        <v>1.0135369999999999</v>
      </c>
      <c r="I4982">
        <v>141.76609999999999</v>
      </c>
      <c r="J4982">
        <v>-290.04969999999997</v>
      </c>
      <c r="K4982">
        <v>1.1100139999999901</v>
      </c>
      <c r="L4982">
        <v>141.80539999999999</v>
      </c>
      <c r="M4982">
        <v>-0.99996490000000005</v>
      </c>
      <c r="N4982">
        <v>-8.2395209999999997E-3</v>
      </c>
      <c r="O4982">
        <v>1.4521899999999999E-3</v>
      </c>
      <c r="P4982">
        <v>-0.92910190000000004</v>
      </c>
      <c r="Q4982">
        <v>0.36497289999999999</v>
      </c>
      <c r="R4982">
        <v>-5.9703340000000001E-2</v>
      </c>
      <c r="S4982">
        <v>-3.350311</v>
      </c>
      <c r="T4982">
        <v>-0.33157829999999999</v>
      </c>
      <c r="U4982">
        <v>-0.13499449999999999</v>
      </c>
      <c r="V4982">
        <v>-6.1042550000000001E-2</v>
      </c>
      <c r="W4982">
        <v>0.37261709999999998</v>
      </c>
      <c r="X4982">
        <v>0.92597529999999995</v>
      </c>
      <c r="Y4982">
        <v>-4.1486210000000003E-2</v>
      </c>
      <c r="Z4982">
        <v>-2.3499229999999999E-3</v>
      </c>
      <c r="AA4982">
        <v>0.99913629999999998</v>
      </c>
      <c r="AB4982">
        <v>37</v>
      </c>
      <c r="AC4982">
        <v>-0.74950000000001105</v>
      </c>
      <c r="AD4982">
        <v>-9.6476999999999702E-2</v>
      </c>
      <c r="AE4982">
        <v>-3.9299999999997198E-2</v>
      </c>
      <c r="AF4982">
        <v>-3.9731887304964603E-2</v>
      </c>
      <c r="AG4982">
        <v>-9.6476999999999702E-2</v>
      </c>
      <c r="AH4982">
        <v>0.73725974915327197</v>
      </c>
      <c r="AI4982">
        <v>97.444618988662398</v>
      </c>
      <c r="AJ4982">
        <v>93.084760100539995</v>
      </c>
      <c r="AK4982">
        <v>0.74460618592606398</v>
      </c>
      <c r="AL4982">
        <v>68.122888018919596</v>
      </c>
      <c r="AM4982">
        <v>93.771620303992407</v>
      </c>
      <c r="AN4982">
        <v>0.99999997616650005</v>
      </c>
    </row>
    <row r="4983" spans="1:40" x14ac:dyDescent="0.25">
      <c r="A4983" t="str">
        <f>"20190304164948630"</f>
        <v>20190304164948630</v>
      </c>
      <c r="B4983" t="str">
        <f>"1551689388621247"</f>
        <v>1551689388621247</v>
      </c>
      <c r="C4983" t="s">
        <v>40</v>
      </c>
      <c r="D4983">
        <v>4.8406820000000002</v>
      </c>
      <c r="E4983">
        <v>0.52163389999999998</v>
      </c>
      <c r="F4983" t="s">
        <v>48</v>
      </c>
      <c r="G4983">
        <v>-301.2029</v>
      </c>
      <c r="H4983" s="1">
        <v>-8.7312259999999998E-6</v>
      </c>
      <c r="I4983">
        <v>141.36060000000001</v>
      </c>
      <c r="J4983">
        <v>-290.33100000000002</v>
      </c>
      <c r="K4983">
        <v>1.1100139999999901</v>
      </c>
      <c r="L4983">
        <v>141.8058</v>
      </c>
      <c r="M4983">
        <v>-0.99996510000000005</v>
      </c>
      <c r="N4983">
        <v>-8.2445260000000003E-3</v>
      </c>
      <c r="O4983">
        <v>1.4513429999999999E-3</v>
      </c>
      <c r="P4983">
        <v>-0.92904229999999999</v>
      </c>
      <c r="Q4983">
        <v>0.3650892</v>
      </c>
      <c r="R4983">
        <v>-5.9922820000000002E-2</v>
      </c>
      <c r="S4983">
        <v>-3.3513790000000001</v>
      </c>
      <c r="T4983">
        <v>-0.33354699999999998</v>
      </c>
      <c r="U4983">
        <v>-0.13366700000000001</v>
      </c>
      <c r="V4983">
        <v>-6.1260149999999999E-2</v>
      </c>
      <c r="W4983">
        <v>0.37273709999999999</v>
      </c>
      <c r="X4983">
        <v>0.92591270000000003</v>
      </c>
      <c r="Y4983">
        <v>-4.1077160000000001E-2</v>
      </c>
      <c r="Z4983">
        <v>-2.3402190000000002E-3</v>
      </c>
      <c r="AA4983">
        <v>0.99915330000000002</v>
      </c>
      <c r="AB4983">
        <v>37</v>
      </c>
      <c r="AC4983">
        <v>-10.8719</v>
      </c>
      <c r="AD4983">
        <v>-1.11002273122599</v>
      </c>
      <c r="AE4983">
        <v>-0.44519999999999899</v>
      </c>
      <c r="AF4983">
        <v>-0.45623092970519802</v>
      </c>
      <c r="AG4983">
        <v>-1.11002273122599</v>
      </c>
      <c r="AH4983">
        <v>10.7592707495998</v>
      </c>
      <c r="AI4983">
        <v>95.885054975400095</v>
      </c>
      <c r="AJ4983">
        <v>92.428088027381904</v>
      </c>
      <c r="AK4983">
        <v>10.825996683366</v>
      </c>
      <c r="AL4983">
        <v>68.115480236858502</v>
      </c>
      <c r="AM4983">
        <v>93.785281243993694</v>
      </c>
      <c r="AN4983">
        <v>1.0000000398578599</v>
      </c>
    </row>
    <row r="4984" spans="1:40" x14ac:dyDescent="0.25">
      <c r="A4984" t="str">
        <f>"20190304164948644"</f>
        <v>20190304164948644</v>
      </c>
      <c r="B4984" t="str">
        <f>"1551689388640751"</f>
        <v>1551689388640751</v>
      </c>
      <c r="C4984" t="s">
        <v>40</v>
      </c>
      <c r="D4984">
        <v>4.5848979999999999</v>
      </c>
      <c r="E4984">
        <v>0.52186659999999996</v>
      </c>
      <c r="F4984" t="s">
        <v>41</v>
      </c>
      <c r="G4984">
        <v>-291.15460000000002</v>
      </c>
      <c r="H4984">
        <v>1.028071</v>
      </c>
      <c r="I4984">
        <v>141.77350000000001</v>
      </c>
      <c r="J4984">
        <v>-290.56420000000003</v>
      </c>
      <c r="K4984">
        <v>1.1100129999999999</v>
      </c>
      <c r="L4984">
        <v>141.80619999999999</v>
      </c>
      <c r="M4984">
        <v>-0.99996490000000005</v>
      </c>
      <c r="N4984">
        <v>-8.2489620000000003E-3</v>
      </c>
      <c r="O4984">
        <v>1.450972E-3</v>
      </c>
      <c r="P4984">
        <v>-0.92901840000000002</v>
      </c>
      <c r="Q4984">
        <v>0.36510019999999999</v>
      </c>
      <c r="R4984">
        <v>-6.022251E-2</v>
      </c>
      <c r="S4984">
        <v>-3.3516539999999999</v>
      </c>
      <c r="T4984">
        <v>-0.33356999999999998</v>
      </c>
      <c r="U4984">
        <v>-0.13287349999999901</v>
      </c>
      <c r="V4984">
        <v>-6.1559080000000002E-2</v>
      </c>
      <c r="W4984">
        <v>0.37275259999999999</v>
      </c>
      <c r="X4984">
        <v>0.9258866</v>
      </c>
      <c r="Y4984">
        <v>-4.0838630000000001E-2</v>
      </c>
      <c r="Z4984">
        <v>-2.3274290000000002E-3</v>
      </c>
      <c r="AA4984">
        <v>0.99916300000000002</v>
      </c>
      <c r="AB4984">
        <v>37</v>
      </c>
      <c r="AC4984">
        <v>-0.59039999999998805</v>
      </c>
      <c r="AD4984">
        <v>-8.1941999999999904E-2</v>
      </c>
      <c r="AE4984">
        <v>-3.2699999999976997E-2</v>
      </c>
      <c r="AF4984">
        <v>-3.2924371158218502E-2</v>
      </c>
      <c r="AG4984">
        <v>-8.1941999999999904E-2</v>
      </c>
      <c r="AH4984">
        <v>0.57922846480088797</v>
      </c>
      <c r="AI4984">
        <v>98.039251856120003</v>
      </c>
      <c r="AJ4984">
        <v>93.253292751279602</v>
      </c>
      <c r="AK4984">
        <v>0.58592159886435202</v>
      </c>
      <c r="AL4984">
        <v>68.1145224615465</v>
      </c>
      <c r="AM4984">
        <v>93.803805026186296</v>
      </c>
      <c r="AN4984">
        <v>1.00000000859838</v>
      </c>
    </row>
    <row r="4985" spans="1:40" x14ac:dyDescent="0.25">
      <c r="A4985" t="str">
        <f>"20190304164948664"</f>
        <v>20190304164948664</v>
      </c>
      <c r="B4985" t="str">
        <f>"1551689388660270"</f>
        <v>1551689388660270</v>
      </c>
      <c r="C4985" t="s">
        <v>40</v>
      </c>
      <c r="D4985">
        <v>4.5843420000000004</v>
      </c>
      <c r="E4985">
        <v>0.52201929999999996</v>
      </c>
      <c r="F4985" t="s">
        <v>41</v>
      </c>
      <c r="G4985">
        <v>-291.47430000000003</v>
      </c>
      <c r="H4985">
        <v>1.018629</v>
      </c>
      <c r="I4985">
        <v>141.7706</v>
      </c>
      <c r="J4985">
        <v>-290.89479999999998</v>
      </c>
      <c r="K4985">
        <v>1.110017</v>
      </c>
      <c r="L4985">
        <v>141.8066</v>
      </c>
      <c r="M4985">
        <v>-0.99996499999999999</v>
      </c>
      <c r="N4985">
        <v>-8.2556469999999996E-3</v>
      </c>
      <c r="O4985">
        <v>1.450116E-3</v>
      </c>
      <c r="P4985">
        <v>-0.92889370000000004</v>
      </c>
      <c r="Q4985">
        <v>0.36526700000000001</v>
      </c>
      <c r="R4985">
        <v>-6.1129259999999998E-2</v>
      </c>
      <c r="S4985">
        <v>-3.3529969999999998</v>
      </c>
      <c r="T4985">
        <v>-0.33670879999999997</v>
      </c>
      <c r="U4985">
        <v>-0.13166810000000001</v>
      </c>
      <c r="V4985">
        <v>-6.2464310000000002E-2</v>
      </c>
      <c r="W4985">
        <v>0.37292459999999999</v>
      </c>
      <c r="X4985">
        <v>0.92575669999999999</v>
      </c>
      <c r="Y4985">
        <v>-4.0461419999999998E-2</v>
      </c>
      <c r="Z4985">
        <v>-2.3265009999999999E-3</v>
      </c>
      <c r="AA4985">
        <v>0.99917840000000002</v>
      </c>
      <c r="AB4985">
        <v>38</v>
      </c>
      <c r="AC4985">
        <v>-0.57950000000005197</v>
      </c>
      <c r="AD4985">
        <v>-9.1387999999999997E-2</v>
      </c>
      <c r="AE4985">
        <v>-3.6000000000001302E-2</v>
      </c>
      <c r="AF4985">
        <v>-3.5949709612697202E-2</v>
      </c>
      <c r="AG4985">
        <v>-9.1387999999999997E-2</v>
      </c>
      <c r="AH4985">
        <v>0.56543891946272395</v>
      </c>
      <c r="AI4985">
        <v>99.162744793899293</v>
      </c>
      <c r="AJ4985">
        <v>93.637878357506807</v>
      </c>
      <c r="AK4985">
        <v>0.57390358058511004</v>
      </c>
      <c r="AL4985">
        <v>68.103901771021299</v>
      </c>
      <c r="AM4985">
        <v>93.860112300737597</v>
      </c>
      <c r="AN4985">
        <v>1.00000000745191</v>
      </c>
    </row>
    <row r="4986" spans="1:40" x14ac:dyDescent="0.25">
      <c r="A4986" t="str">
        <f>"20190304164948677"</f>
        <v>20190304164948677</v>
      </c>
      <c r="B4986" t="str">
        <f>"1551689388671006"</f>
        <v>1551689388671006</v>
      </c>
      <c r="C4986" t="s">
        <v>40</v>
      </c>
      <c r="D4986">
        <v>4.5675910000000002</v>
      </c>
      <c r="E4986">
        <v>0.5220747</v>
      </c>
      <c r="F4986" t="s">
        <v>41</v>
      </c>
      <c r="G4986">
        <v>-291.81049999999999</v>
      </c>
      <c r="H4986">
        <v>1.017361</v>
      </c>
      <c r="I4986">
        <v>141.77080000000001</v>
      </c>
      <c r="J4986">
        <v>-291.11779999999999</v>
      </c>
      <c r="K4986">
        <v>1.110015</v>
      </c>
      <c r="L4986">
        <v>141.80690000000001</v>
      </c>
      <c r="M4986">
        <v>-0.99996499999999999</v>
      </c>
      <c r="N4986">
        <v>-8.2603629999999997E-3</v>
      </c>
      <c r="O4986">
        <v>1.4497430000000001E-3</v>
      </c>
      <c r="P4986">
        <v>-0.92891979999999996</v>
      </c>
      <c r="Q4986">
        <v>0.36511359999999998</v>
      </c>
      <c r="R4986">
        <v>-6.164828E-2</v>
      </c>
      <c r="S4986">
        <v>-3.3544309999999999</v>
      </c>
      <c r="T4986">
        <v>-0.33946290000000001</v>
      </c>
      <c r="U4986">
        <v>-0.13212589999999999</v>
      </c>
      <c r="V4986">
        <v>-6.2982640000000006E-2</v>
      </c>
      <c r="W4986">
        <v>0.37277559999999998</v>
      </c>
      <c r="X4986">
        <v>0.92578159999999998</v>
      </c>
      <c r="Y4986">
        <v>-4.0576389999999997E-2</v>
      </c>
      <c r="Z4986">
        <v>-2.349571E-3</v>
      </c>
      <c r="AA4986">
        <v>0.99917370000000005</v>
      </c>
      <c r="AB4986">
        <v>38</v>
      </c>
      <c r="AC4986">
        <v>-0.69270000000000198</v>
      </c>
      <c r="AD4986">
        <v>-9.2654E-2</v>
      </c>
      <c r="AE4986">
        <v>-3.6100000000004601E-2</v>
      </c>
      <c r="AF4986">
        <v>-3.6453799715235602E-2</v>
      </c>
      <c r="AG4986">
        <v>-9.2654E-2</v>
      </c>
      <c r="AH4986">
        <v>0.68050490451712198</v>
      </c>
      <c r="AI4986">
        <v>97.742451901613506</v>
      </c>
      <c r="AJ4986">
        <v>93.066332688690096</v>
      </c>
      <c r="AK4986">
        <v>0.68775036772184694</v>
      </c>
      <c r="AL4986">
        <v>68.113102470284602</v>
      </c>
      <c r="AM4986">
        <v>93.8919411828319</v>
      </c>
      <c r="AN4986">
        <v>1.0000000158976401</v>
      </c>
    </row>
    <row r="4987" spans="1:40" x14ac:dyDescent="0.25">
      <c r="A4987" t="str">
        <f>"20190304164948701"</f>
        <v>20190304164948701</v>
      </c>
      <c r="B4987" t="str">
        <f>"1551689388690525"</f>
        <v>1551689388690525</v>
      </c>
      <c r="C4987" t="s">
        <v>40</v>
      </c>
      <c r="D4987">
        <v>4.5936789999999998</v>
      </c>
      <c r="E4987">
        <v>0.52227579999999996</v>
      </c>
      <c r="F4987" t="s">
        <v>41</v>
      </c>
      <c r="G4987">
        <v>-292.14120000000003</v>
      </c>
      <c r="H4987">
        <v>1.005984</v>
      </c>
      <c r="I4987">
        <v>141.76660000000001</v>
      </c>
      <c r="J4987">
        <v>-291.52339999999998</v>
      </c>
      <c r="K4987">
        <v>1.1100110000000001</v>
      </c>
      <c r="L4987">
        <v>141.8075</v>
      </c>
      <c r="M4987">
        <v>-0.99996479999999999</v>
      </c>
      <c r="N4987">
        <v>-8.2694840000000006E-3</v>
      </c>
      <c r="O4987">
        <v>1.4488750000000001E-3</v>
      </c>
      <c r="P4987">
        <v>-0.92895799999999995</v>
      </c>
      <c r="Q4987">
        <v>0.36483409999999999</v>
      </c>
      <c r="R4987">
        <v>-6.2716419999999995E-2</v>
      </c>
      <c r="S4987">
        <v>-3.3548580000000001</v>
      </c>
      <c r="T4987">
        <v>-0.34109620000000002</v>
      </c>
      <c r="U4987">
        <v>-0.13275149999999999</v>
      </c>
      <c r="V4987">
        <v>-6.404957E-2</v>
      </c>
      <c r="W4987">
        <v>0.37250470000000002</v>
      </c>
      <c r="X4987">
        <v>0.92581740000000001</v>
      </c>
      <c r="Y4987">
        <v>-4.0753480000000002E-2</v>
      </c>
      <c r="Z4987">
        <v>-2.36959E-3</v>
      </c>
      <c r="AA4987">
        <v>0.99916640000000001</v>
      </c>
      <c r="AB4987">
        <v>38</v>
      </c>
      <c r="AC4987">
        <v>-0.61780000000004498</v>
      </c>
      <c r="AD4987">
        <v>-0.10402699999999999</v>
      </c>
      <c r="AE4987">
        <v>-4.0899999999993497E-2</v>
      </c>
      <c r="AF4987">
        <v>-4.0647655753891898E-2</v>
      </c>
      <c r="AG4987">
        <v>-0.10402699999999999</v>
      </c>
      <c r="AH4987">
        <v>0.60078059328166</v>
      </c>
      <c r="AI4987">
        <v>99.801564019491295</v>
      </c>
      <c r="AJ4987">
        <v>93.870623010365605</v>
      </c>
      <c r="AK4987">
        <v>0.61107378434289805</v>
      </c>
      <c r="AL4987">
        <v>68.1298277201346</v>
      </c>
      <c r="AM4987">
        <v>93.957510592469603</v>
      </c>
      <c r="AN4987">
        <v>0.99999997854101697</v>
      </c>
    </row>
    <row r="4988" spans="1:40" x14ac:dyDescent="0.25">
      <c r="A4988" t="str">
        <f>"20190304164948720"</f>
        <v>20190304164948720</v>
      </c>
      <c r="B4988" t="str">
        <f>"1551689388711022"</f>
        <v>1551689388711022</v>
      </c>
      <c r="C4988" t="s">
        <v>40</v>
      </c>
      <c r="D4988">
        <v>4.5218740000000004</v>
      </c>
      <c r="E4988">
        <v>0.52239670000000005</v>
      </c>
      <c r="F4988" t="s">
        <v>41</v>
      </c>
      <c r="G4988">
        <v>-292.48230000000001</v>
      </c>
      <c r="H4988">
        <v>1.0113399999999999</v>
      </c>
      <c r="I4988">
        <v>141.76920000000001</v>
      </c>
      <c r="J4988">
        <v>-291.85019999999997</v>
      </c>
      <c r="K4988">
        <v>1.1100030000000001</v>
      </c>
      <c r="L4988">
        <v>141.80799999999999</v>
      </c>
      <c r="M4988">
        <v>-0.99996479999999999</v>
      </c>
      <c r="N4988">
        <v>-8.2772019999999905E-3</v>
      </c>
      <c r="O4988">
        <v>1.4481909999999999E-3</v>
      </c>
      <c r="P4988">
        <v>-0.928975</v>
      </c>
      <c r="Q4988">
        <v>0.36470469999999999</v>
      </c>
      <c r="R4988">
        <v>-6.3214930000000003E-2</v>
      </c>
      <c r="S4988">
        <v>-3.3559570000000001</v>
      </c>
      <c r="T4988">
        <v>-0.34534510000000002</v>
      </c>
      <c r="U4988">
        <v>-0.13435359999999999</v>
      </c>
      <c r="V4988">
        <v>-6.4547419999999994E-2</v>
      </c>
      <c r="W4988">
        <v>0.37238260000000001</v>
      </c>
      <c r="X4988">
        <v>0.92583199999999999</v>
      </c>
      <c r="Y4988">
        <v>-4.1208050000000003E-2</v>
      </c>
      <c r="Z4988">
        <v>-2.4215579999999999E-3</v>
      </c>
      <c r="AA4988">
        <v>0.99914769999999997</v>
      </c>
      <c r="AB4988">
        <v>38</v>
      </c>
      <c r="AC4988">
        <v>-0.63210000000003597</v>
      </c>
      <c r="AD4988">
        <v>-9.8663000000000098E-2</v>
      </c>
      <c r="AE4988">
        <v>-3.87999999999806E-2</v>
      </c>
      <c r="AF4988">
        <v>-3.8774266966302103E-2</v>
      </c>
      <c r="AG4988">
        <v>-9.8663000000000098E-2</v>
      </c>
      <c r="AH4988">
        <v>0.61706578620204899</v>
      </c>
      <c r="AI4988">
        <v>99.066579561290993</v>
      </c>
      <c r="AJ4988">
        <v>93.595540155994797</v>
      </c>
      <c r="AK4988">
        <v>0.62610543508975103</v>
      </c>
      <c r="AL4988">
        <v>68.137367079528005</v>
      </c>
      <c r="AM4988">
        <v>93.988110297950499</v>
      </c>
      <c r="AN4988">
        <v>1.0000000312177</v>
      </c>
    </row>
    <row r="4989" spans="1:40" x14ac:dyDescent="0.25">
      <c r="A4989" t="str">
        <f>"20190304164948732"</f>
        <v>20190304164948732</v>
      </c>
      <c r="B4989" t="str">
        <f>"1551689388720783"</f>
        <v>1551689388720783</v>
      </c>
      <c r="C4989" t="s">
        <v>40</v>
      </c>
      <c r="D4989">
        <v>4.5662940000000001</v>
      </c>
      <c r="E4989">
        <v>0.52250390000000002</v>
      </c>
      <c r="F4989" t="s">
        <v>41</v>
      </c>
      <c r="G4989">
        <v>-292.81970000000001</v>
      </c>
      <c r="H4989">
        <v>1.009404</v>
      </c>
      <c r="I4989">
        <v>141.76910000000001</v>
      </c>
      <c r="J4989">
        <v>-292.065</v>
      </c>
      <c r="K4989">
        <v>1.110001</v>
      </c>
      <c r="L4989">
        <v>141.8083</v>
      </c>
      <c r="M4989">
        <v>-0.99996470000000004</v>
      </c>
      <c r="N4989">
        <v>-8.2824490000000008E-3</v>
      </c>
      <c r="O4989">
        <v>1.4478129999999901E-3</v>
      </c>
      <c r="P4989">
        <v>-0.92898519999999896</v>
      </c>
      <c r="Q4989">
        <v>0.36459510000000001</v>
      </c>
      <c r="R4989">
        <v>-6.3694719999999996E-2</v>
      </c>
      <c r="S4989">
        <v>-3.3569640000000001</v>
      </c>
      <c r="T4989">
        <v>-0.34839989999999998</v>
      </c>
      <c r="U4989">
        <v>-0.13580320000000001</v>
      </c>
      <c r="V4989">
        <v>-6.5026680000000003E-2</v>
      </c>
      <c r="W4989">
        <v>0.37227860000000002</v>
      </c>
      <c r="X4989">
        <v>0.92584029999999995</v>
      </c>
      <c r="Y4989">
        <v>-4.162006E-2</v>
      </c>
      <c r="Z4989">
        <v>-2.463865E-3</v>
      </c>
      <c r="AA4989">
        <v>0.99913050000000003</v>
      </c>
      <c r="AB4989">
        <v>38</v>
      </c>
      <c r="AC4989">
        <v>-0.75470000000001303</v>
      </c>
      <c r="AD4989">
        <v>-0.10059699999999901</v>
      </c>
      <c r="AE4989">
        <v>-3.9199999999993899E-2</v>
      </c>
      <c r="AF4989">
        <v>-3.9591126178307401E-2</v>
      </c>
      <c r="AG4989">
        <v>-0.10059699999999901</v>
      </c>
      <c r="AH4989">
        <v>0.74150338957740802</v>
      </c>
      <c r="AI4989">
        <v>97.715079025557401</v>
      </c>
      <c r="AJ4989">
        <v>93.056294206155798</v>
      </c>
      <c r="AK4989">
        <v>0.74934270559994898</v>
      </c>
      <c r="AL4989">
        <v>68.143787738482303</v>
      </c>
      <c r="AM4989">
        <v>94.017589219817793</v>
      </c>
      <c r="AN4989">
        <v>1.00000004311693</v>
      </c>
    </row>
    <row r="4990" spans="1:40" x14ac:dyDescent="0.25">
      <c r="A4990" t="str">
        <f>"20190304164948747"</f>
        <v>20190304164948747</v>
      </c>
      <c r="B4990" t="str">
        <f>"1551689388741278"</f>
        <v>1551689388741278</v>
      </c>
      <c r="C4990" t="s">
        <v>40</v>
      </c>
      <c r="D4990">
        <v>4.5288180000000002</v>
      </c>
      <c r="E4990">
        <v>0.522733</v>
      </c>
      <c r="F4990" t="s">
        <v>48</v>
      </c>
      <c r="G4990">
        <v>-302.7079</v>
      </c>
      <c r="H4990" s="1">
        <v>-8.9680529999999995E-6</v>
      </c>
      <c r="I4990">
        <v>141.37350000000001</v>
      </c>
      <c r="J4990">
        <v>-292.2867</v>
      </c>
      <c r="K4990">
        <v>1.109999</v>
      </c>
      <c r="L4990">
        <v>141.80860000000001</v>
      </c>
      <c r="M4990">
        <v>-0.99996470000000004</v>
      </c>
      <c r="N4990">
        <v>-8.2880109999999996E-3</v>
      </c>
      <c r="O4990">
        <v>1.4473139999999999E-3</v>
      </c>
      <c r="P4990">
        <v>-0.92906619999999995</v>
      </c>
      <c r="Q4990">
        <v>0.36436289999999999</v>
      </c>
      <c r="R4990">
        <v>-6.3842910000000003E-2</v>
      </c>
      <c r="S4990">
        <v>-3.3573300000000001</v>
      </c>
      <c r="T4990">
        <v>-0.3501534</v>
      </c>
      <c r="U4990">
        <v>-0.13716130000000001</v>
      </c>
      <c r="V4990">
        <v>-6.5174319999999994E-2</v>
      </c>
      <c r="W4990">
        <v>0.37205199999999999</v>
      </c>
      <c r="X4990">
        <v>0.92592099999999999</v>
      </c>
      <c r="Y4990">
        <v>-4.2013979999999999E-2</v>
      </c>
      <c r="Z4990">
        <v>-2.4973059999999999E-3</v>
      </c>
      <c r="AA4990">
        <v>0.9991139</v>
      </c>
      <c r="AB4990">
        <v>38</v>
      </c>
      <c r="AC4990">
        <v>-10.421200000000001</v>
      </c>
      <c r="AD4990">
        <v>-1.1100079680529999</v>
      </c>
      <c r="AE4990">
        <v>-0.43510000000000498</v>
      </c>
      <c r="AF4990">
        <v>-0.445141327197976</v>
      </c>
      <c r="AG4990">
        <v>-1.1100079680529999</v>
      </c>
      <c r="AH4990">
        <v>10.3038621527436</v>
      </c>
      <c r="AI4990">
        <v>96.142925610372998</v>
      </c>
      <c r="AJ4990">
        <v>92.473720018156399</v>
      </c>
      <c r="AK4990">
        <v>10.373034452515</v>
      </c>
      <c r="AL4990">
        <v>68.157775710470503</v>
      </c>
      <c r="AM4990">
        <v>94.026331196953706</v>
      </c>
      <c r="AN4990">
        <v>1.0000000404662299</v>
      </c>
    </row>
    <row r="4991" spans="1:40" x14ac:dyDescent="0.25">
      <c r="A4991" t="str">
        <f>"20190304164948759"</f>
        <v>20190304164948759</v>
      </c>
      <c r="B4991" t="str">
        <f>"1551689388751038"</f>
        <v>1551689388751038</v>
      </c>
      <c r="C4991" t="s">
        <v>40</v>
      </c>
      <c r="D4991">
        <v>4.4986370000000004</v>
      </c>
      <c r="E4991">
        <v>0.52276659999999997</v>
      </c>
      <c r="F4991" t="s">
        <v>41</v>
      </c>
      <c r="G4991">
        <v>-293.16430000000003</v>
      </c>
      <c r="H4991">
        <v>1.017498</v>
      </c>
      <c r="I4991">
        <v>141.7731</v>
      </c>
      <c r="J4991">
        <v>-292.51429999999999</v>
      </c>
      <c r="K4991">
        <v>1.110001</v>
      </c>
      <c r="L4991">
        <v>141.80889999999999</v>
      </c>
      <c r="M4991">
        <v>-0.99996450000000003</v>
      </c>
      <c r="N4991">
        <v>-8.2937999999999901E-3</v>
      </c>
      <c r="O4991">
        <v>1.446934E-3</v>
      </c>
      <c r="P4991">
        <v>-0.92904969999999998</v>
      </c>
      <c r="Q4991">
        <v>0.36436249999999998</v>
      </c>
      <c r="R4991">
        <v>-6.4084379999999996E-2</v>
      </c>
      <c r="S4991">
        <v>-3.3586119999999999</v>
      </c>
      <c r="T4991">
        <v>-0.35409639999999998</v>
      </c>
      <c r="U4991">
        <v>-0.13606260000000001</v>
      </c>
      <c r="V4991">
        <v>-6.5415260000000003E-2</v>
      </c>
      <c r="W4991">
        <v>0.37205690000000002</v>
      </c>
      <c r="X4991">
        <v>0.925902</v>
      </c>
      <c r="Y4991">
        <v>-4.1668490000000002E-2</v>
      </c>
      <c r="Z4991">
        <v>-2.503066E-3</v>
      </c>
      <c r="AA4991">
        <v>0.99912829999999997</v>
      </c>
      <c r="AB4991">
        <v>38</v>
      </c>
      <c r="AC4991">
        <v>-0.650000000000034</v>
      </c>
      <c r="AD4991">
        <v>-9.2503000000000002E-2</v>
      </c>
      <c r="AE4991">
        <v>-3.5799999999994697E-2</v>
      </c>
      <c r="AF4991">
        <v>-3.60133371964068E-2</v>
      </c>
      <c r="AG4991">
        <v>-9.2503000000000002E-2</v>
      </c>
      <c r="AH4991">
        <v>0.63708381260533697</v>
      </c>
      <c r="AI4991">
        <v>98.248485126126894</v>
      </c>
      <c r="AJ4991">
        <v>93.235396253336006</v>
      </c>
      <c r="AK4991">
        <v>0.644770928120037</v>
      </c>
      <c r="AL4991">
        <v>68.157472395017507</v>
      </c>
      <c r="AM4991">
        <v>94.041249385490502</v>
      </c>
      <c r="AN4991">
        <v>1.00000000334123</v>
      </c>
    </row>
    <row r="4992" spans="1:40" x14ac:dyDescent="0.25">
      <c r="A4992" t="str">
        <f>"20190304164948777"</f>
        <v>20190304164948777</v>
      </c>
      <c r="B4992" t="str">
        <f>"1551689388770558"</f>
        <v>1551689388770558</v>
      </c>
      <c r="C4992" t="s">
        <v>40</v>
      </c>
      <c r="D4992">
        <v>4.5296539999999998</v>
      </c>
      <c r="E4992">
        <v>0.52297899999999997</v>
      </c>
      <c r="F4992" t="s">
        <v>41</v>
      </c>
      <c r="G4992">
        <v>-293.49740000000003</v>
      </c>
      <c r="H4992">
        <v>1.0060469999999999</v>
      </c>
      <c r="I4992">
        <v>141.76929999999999</v>
      </c>
      <c r="J4992">
        <v>-292.80970000000002</v>
      </c>
      <c r="K4992">
        <v>1.1100019999999999</v>
      </c>
      <c r="L4992">
        <v>141.80930000000001</v>
      </c>
      <c r="M4992">
        <v>-0.99996470000000004</v>
      </c>
      <c r="N4992">
        <v>-8.3014779999999993E-3</v>
      </c>
      <c r="O4992">
        <v>1.44624799999999E-3</v>
      </c>
      <c r="P4992">
        <v>-0.9289733</v>
      </c>
      <c r="Q4992">
        <v>0.36447760000000001</v>
      </c>
      <c r="R4992">
        <v>-6.4539079999999999E-2</v>
      </c>
      <c r="S4992">
        <v>-3.358978</v>
      </c>
      <c r="T4992">
        <v>-0.35521150000000001</v>
      </c>
      <c r="U4992">
        <v>-0.1364136</v>
      </c>
      <c r="V4992">
        <v>-6.5869179999999999E-2</v>
      </c>
      <c r="W4992">
        <v>0.37217860000000003</v>
      </c>
      <c r="X4992">
        <v>0.92582089999999995</v>
      </c>
      <c r="Y4992">
        <v>-4.176552E-2</v>
      </c>
      <c r="Z4992">
        <v>-2.5157439999999999E-3</v>
      </c>
      <c r="AA4992">
        <v>0.99912429999999997</v>
      </c>
      <c r="AB4992">
        <v>38</v>
      </c>
      <c r="AC4992">
        <v>-0.68770000000000597</v>
      </c>
      <c r="AD4992">
        <v>-0.10395500000000001</v>
      </c>
      <c r="AE4992">
        <v>-4.0000000000020401E-2</v>
      </c>
      <c r="AF4992">
        <v>-4.0081782641637399E-2</v>
      </c>
      <c r="AG4992">
        <v>-0.10395500000000001</v>
      </c>
      <c r="AH4992">
        <v>0.67233025229183696</v>
      </c>
      <c r="AI4992">
        <v>98.774076544814903</v>
      </c>
      <c r="AJ4992">
        <v>93.411719288057299</v>
      </c>
      <c r="AK4992">
        <v>0.68149919990527996</v>
      </c>
      <c r="AL4992">
        <v>68.149959900832897</v>
      </c>
      <c r="AM4992">
        <v>94.069553208759999</v>
      </c>
      <c r="AN4992">
        <v>0.99999999902432102</v>
      </c>
    </row>
    <row r="4993" spans="1:40" x14ac:dyDescent="0.25">
      <c r="A4993" t="str">
        <f>"20190304164948790"</f>
        <v>20190304164948790</v>
      </c>
      <c r="B4993" t="str">
        <f>"1551689388781295"</f>
        <v>1551689388781295</v>
      </c>
      <c r="C4993" t="s">
        <v>40</v>
      </c>
      <c r="D4993">
        <v>4.5107100000000004</v>
      </c>
      <c r="E4993">
        <v>0.52308449999999995</v>
      </c>
      <c r="F4993" t="s">
        <v>41</v>
      </c>
      <c r="G4993">
        <v>-293.8356</v>
      </c>
      <c r="H4993">
        <v>1.001064</v>
      </c>
      <c r="I4993">
        <v>141.76830000000001</v>
      </c>
      <c r="J4993">
        <v>-293.0453</v>
      </c>
      <c r="K4993">
        <v>1.1100049999999999</v>
      </c>
      <c r="L4993">
        <v>141.80969999999999</v>
      </c>
      <c r="M4993">
        <v>-0.99996439999999998</v>
      </c>
      <c r="N4993">
        <v>-8.3077419999999999E-3</v>
      </c>
      <c r="O4993">
        <v>1.445865E-3</v>
      </c>
      <c r="P4993">
        <v>-0.92889279999999996</v>
      </c>
      <c r="Q4993">
        <v>0.3646876</v>
      </c>
      <c r="R4993">
        <v>-6.4505709999999994E-2</v>
      </c>
      <c r="S4993">
        <v>-3.359985</v>
      </c>
      <c r="T4993">
        <v>-0.35681180000000001</v>
      </c>
      <c r="U4993">
        <v>-0.13491819999999999</v>
      </c>
      <c r="V4993">
        <v>-6.5835249999999998E-2</v>
      </c>
      <c r="W4993">
        <v>0.37239369999999999</v>
      </c>
      <c r="X4993">
        <v>0.92573680000000003</v>
      </c>
      <c r="Y4993">
        <v>-4.1309709999999999E-2</v>
      </c>
      <c r="Z4993">
        <v>-2.4996689999999999E-3</v>
      </c>
      <c r="AA4993">
        <v>0.99914320000000001</v>
      </c>
      <c r="AB4993">
        <v>38</v>
      </c>
      <c r="AC4993">
        <v>-0.790300000000002</v>
      </c>
      <c r="AD4993">
        <v>-0.108940999999999</v>
      </c>
      <c r="AE4993">
        <v>-4.1399999999981597E-2</v>
      </c>
      <c r="AF4993">
        <v>-4.1751474023465601E-2</v>
      </c>
      <c r="AG4993">
        <v>-0.108940999999999</v>
      </c>
      <c r="AH4993">
        <v>0.77554279810151705</v>
      </c>
      <c r="AI4993">
        <v>97.984643656698196</v>
      </c>
      <c r="AJ4993">
        <v>93.081552994753196</v>
      </c>
      <c r="AK4993">
        <v>0.78426906017722098</v>
      </c>
      <c r="AL4993">
        <v>68.136680756631506</v>
      </c>
      <c r="AM4993">
        <v>94.0678322457984</v>
      </c>
      <c r="AN4993">
        <v>0.99999998540824597</v>
      </c>
    </row>
    <row r="4994" spans="1:40" x14ac:dyDescent="0.25">
      <c r="A4994" t="str">
        <f>"20190304164948805"</f>
        <v>20190304164948805</v>
      </c>
      <c r="B4994" t="str">
        <f>"1551689388800815"</f>
        <v>1551689388800815</v>
      </c>
      <c r="C4994" t="s">
        <v>40</v>
      </c>
      <c r="D4994">
        <v>4.4871160000000003</v>
      </c>
      <c r="E4994">
        <v>0.52321899999999999</v>
      </c>
      <c r="F4994" t="s">
        <v>41</v>
      </c>
      <c r="G4994">
        <v>-293.8492</v>
      </c>
      <c r="H4994">
        <v>1.0245919999999999</v>
      </c>
      <c r="I4994">
        <v>141.77789999999999</v>
      </c>
      <c r="J4994">
        <v>-293.2842</v>
      </c>
      <c r="K4994">
        <v>1.1100030000000001</v>
      </c>
      <c r="L4994">
        <v>141.81</v>
      </c>
      <c r="M4994">
        <v>-0.99996450000000003</v>
      </c>
      <c r="N4994">
        <v>-8.314185E-3</v>
      </c>
      <c r="O4994">
        <v>1.4453619999999999E-3</v>
      </c>
      <c r="P4994">
        <v>-0.92895349999999999</v>
      </c>
      <c r="Q4994">
        <v>0.3645429</v>
      </c>
      <c r="R4994">
        <v>-6.4453060000000006E-2</v>
      </c>
      <c r="S4994">
        <v>-3.3605040000000002</v>
      </c>
      <c r="T4994">
        <v>-0.3571126</v>
      </c>
      <c r="U4994">
        <v>-0.133682299999999</v>
      </c>
      <c r="V4994">
        <v>-6.5782229999999997E-2</v>
      </c>
      <c r="W4994">
        <v>0.37225560000000002</v>
      </c>
      <c r="X4994">
        <v>0.92579619999999996</v>
      </c>
      <c r="Y4994">
        <v>-4.093803E-2</v>
      </c>
      <c r="Z4994">
        <v>-2.4801269999999999E-3</v>
      </c>
      <c r="AA4994">
        <v>0.99915860000000001</v>
      </c>
      <c r="AB4994">
        <v>38</v>
      </c>
      <c r="AC4994">
        <v>-0.56499999999999695</v>
      </c>
      <c r="AD4994">
        <v>-8.5411000000000098E-2</v>
      </c>
      <c r="AE4994">
        <v>-3.2100000000013999E-2</v>
      </c>
      <c r="AF4994">
        <v>-3.2183521632586601E-2</v>
      </c>
      <c r="AG4994">
        <v>-8.5411000000000098E-2</v>
      </c>
      <c r="AH4994">
        <v>0.55237066262503698</v>
      </c>
      <c r="AI4994">
        <v>98.775169633480601</v>
      </c>
      <c r="AJ4994">
        <v>93.334531892953194</v>
      </c>
      <c r="AK4994">
        <v>0.55986084602738295</v>
      </c>
      <c r="AL4994">
        <v>68.145208180912505</v>
      </c>
      <c r="AM4994">
        <v>94.064307314606097</v>
      </c>
      <c r="AN4994">
        <v>1.0000000687247801</v>
      </c>
    </row>
    <row r="4995" spans="1:40" x14ac:dyDescent="0.25">
      <c r="A4995" t="str">
        <f>"20190304164948823"</f>
        <v>20190304164948823</v>
      </c>
      <c r="B4995" t="str">
        <f>"1551689388810574"</f>
        <v>1551689388810574</v>
      </c>
      <c r="C4995" t="s">
        <v>40</v>
      </c>
      <c r="D4995">
        <v>4.621677</v>
      </c>
      <c r="E4995">
        <v>0.52334429999999998</v>
      </c>
      <c r="F4995" t="s">
        <v>41</v>
      </c>
      <c r="G4995">
        <v>-294.18299999999999</v>
      </c>
      <c r="H4995">
        <v>1.0140880000000001</v>
      </c>
      <c r="I4995">
        <v>141.77500000000001</v>
      </c>
      <c r="J4995">
        <v>-293.58699999999999</v>
      </c>
      <c r="K4995">
        <v>1.109999</v>
      </c>
      <c r="L4995">
        <v>141.81049999999999</v>
      </c>
      <c r="M4995">
        <v>-0.99996439999999998</v>
      </c>
      <c r="N4995">
        <v>-8.3224619999999992E-3</v>
      </c>
      <c r="O4995">
        <v>1.4447920000000001E-3</v>
      </c>
      <c r="P4995">
        <v>-0.92902490000000004</v>
      </c>
      <c r="Q4995">
        <v>0.36436940000000001</v>
      </c>
      <c r="R4995">
        <v>-6.4403150000000006E-2</v>
      </c>
      <c r="S4995">
        <v>-3.3610839999999902</v>
      </c>
      <c r="T4995">
        <v>-0.3587977</v>
      </c>
      <c r="U4995">
        <v>-0.1320953</v>
      </c>
      <c r="V4995">
        <v>-6.5732200000000005E-2</v>
      </c>
      <c r="W4995">
        <v>0.37209009999999998</v>
      </c>
      <c r="X4995">
        <v>0.92586619999999997</v>
      </c>
      <c r="Y4995">
        <v>-4.0460259999999998E-2</v>
      </c>
      <c r="Z4995">
        <v>-2.4633319999999999E-3</v>
      </c>
      <c r="AA4995">
        <v>0.99917809999999996</v>
      </c>
      <c r="AB4995">
        <v>38</v>
      </c>
      <c r="AC4995">
        <v>-0.59600000000000297</v>
      </c>
      <c r="AD4995">
        <v>-9.5910999999999996E-2</v>
      </c>
      <c r="AE4995">
        <v>-3.5499999999984697E-2</v>
      </c>
      <c r="AF4995">
        <v>-3.5446389649420103E-2</v>
      </c>
      <c r="AG4995">
        <v>-9.5910999999999996E-2</v>
      </c>
      <c r="AH4995">
        <v>0.580956423548039</v>
      </c>
      <c r="AI4995">
        <v>99.357399216858795</v>
      </c>
      <c r="AJ4995">
        <v>93.491507943195799</v>
      </c>
      <c r="AK4995">
        <v>0.58988620302725103</v>
      </c>
      <c r="AL4995">
        <v>68.155422788287495</v>
      </c>
      <c r="AM4995">
        <v>94.060920573149701</v>
      </c>
      <c r="AN4995">
        <v>0.99999999246864502</v>
      </c>
    </row>
    <row r="4996" spans="1:40" x14ac:dyDescent="0.25">
      <c r="A4996" t="str">
        <f>"20190304164948843"</f>
        <v>20190304164948843</v>
      </c>
      <c r="B4996" t="str">
        <f>"1551689388831070"</f>
        <v>1551689388831070</v>
      </c>
      <c r="C4996" t="s">
        <v>40</v>
      </c>
      <c r="D4996">
        <v>4.5680209999999999</v>
      </c>
      <c r="E4996">
        <v>0.50667419999999996</v>
      </c>
      <c r="F4996" t="s">
        <v>41</v>
      </c>
      <c r="G4996">
        <v>-294.52210000000002</v>
      </c>
      <c r="H4996">
        <v>1.009379</v>
      </c>
      <c r="I4996">
        <v>141.77430000000001</v>
      </c>
      <c r="J4996">
        <v>-293.94240000000002</v>
      </c>
      <c r="K4996">
        <v>1.1099969999999999</v>
      </c>
      <c r="L4996">
        <v>141.81100000000001</v>
      </c>
      <c r="M4996">
        <v>-0.99996419999999997</v>
      </c>
      <c r="N4996">
        <v>-8.3323400000000006E-3</v>
      </c>
      <c r="O4996">
        <v>1.4442750000000001E-3</v>
      </c>
      <c r="P4996">
        <v>-0.92906310000000003</v>
      </c>
      <c r="Q4996">
        <v>0.36426310000000001</v>
      </c>
      <c r="R4996">
        <v>-6.4452339999999997E-2</v>
      </c>
      <c r="S4996">
        <v>-3.3620000000000001</v>
      </c>
      <c r="T4996">
        <v>-0.36175819999999997</v>
      </c>
      <c r="U4996">
        <v>-0.13084409999999999</v>
      </c>
      <c r="V4996">
        <v>-6.5780850000000002E-2</v>
      </c>
      <c r="W4996">
        <v>0.37199359999999998</v>
      </c>
      <c r="X4996">
        <v>0.92590150000000004</v>
      </c>
      <c r="Y4996">
        <v>-4.0076199999999902E-2</v>
      </c>
      <c r="Z4996">
        <v>-2.4595820000000001E-3</v>
      </c>
      <c r="AA4996">
        <v>0.99919360000000002</v>
      </c>
      <c r="AB4996">
        <v>38</v>
      </c>
      <c r="AC4996">
        <v>-0.57970000000000199</v>
      </c>
      <c r="AD4996">
        <v>-0.100617999999999</v>
      </c>
      <c r="AE4996">
        <v>-3.6699999999996097E-2</v>
      </c>
      <c r="AF4996">
        <v>-3.6443708406825703E-2</v>
      </c>
      <c r="AG4996">
        <v>-0.100617999999999</v>
      </c>
      <c r="AH4996">
        <v>0.56276022509977797</v>
      </c>
      <c r="AI4996">
        <v>100.11626339128</v>
      </c>
      <c r="AJ4996">
        <v>93.705235357218797</v>
      </c>
      <c r="AK4996">
        <v>0.57284482782058399</v>
      </c>
      <c r="AL4996">
        <v>68.161378979558705</v>
      </c>
      <c r="AM4996">
        <v>94.063761674848607</v>
      </c>
      <c r="AN4996">
        <v>0.99999997318496503</v>
      </c>
    </row>
    <row r="4997" spans="1:40" x14ac:dyDescent="0.25">
      <c r="A4997" t="str">
        <f>"20190304164948866"</f>
        <v>20190304164948866</v>
      </c>
      <c r="B4997" t="str">
        <f>"1551689388860350"</f>
        <v>1551689388860350</v>
      </c>
      <c r="C4997" t="s">
        <v>40</v>
      </c>
      <c r="D4997">
        <v>4.4859339999999897</v>
      </c>
      <c r="E4997">
        <v>0.49960379999999899</v>
      </c>
      <c r="F4997" t="s">
        <v>48</v>
      </c>
      <c r="G4997">
        <v>-306.99459999999999</v>
      </c>
      <c r="H4997" s="1">
        <v>-9.4131339999999994E-6</v>
      </c>
      <c r="I4997">
        <v>140.80029999999999</v>
      </c>
      <c r="J4997">
        <v>-294.33350000000002</v>
      </c>
      <c r="K4997">
        <v>1.1100000000000001</v>
      </c>
      <c r="L4997">
        <v>141.8115</v>
      </c>
      <c r="M4997">
        <v>-0.99996419999999997</v>
      </c>
      <c r="N4997">
        <v>-8.3451859999999992E-3</v>
      </c>
      <c r="O4997">
        <v>1.4436850000000001E-3</v>
      </c>
      <c r="P4997">
        <v>-0.92898460000000005</v>
      </c>
      <c r="Q4997">
        <v>0.36444919999999997</v>
      </c>
      <c r="R4997">
        <v>-6.4535659999999995E-2</v>
      </c>
      <c r="S4997">
        <v>-3.3219910000000001</v>
      </c>
      <c r="T4997">
        <v>-0.28251270000000001</v>
      </c>
      <c r="U4997">
        <v>-0.25723269999999998</v>
      </c>
      <c r="V4997">
        <v>-6.5863099999999994E-2</v>
      </c>
      <c r="W4997">
        <v>0.37219049999999998</v>
      </c>
      <c r="X4997">
        <v>0.92581650000000004</v>
      </c>
      <c r="Y4997">
        <v>-7.8328439999999999E-2</v>
      </c>
      <c r="Z4997">
        <v>-3.7580410000000002E-3</v>
      </c>
      <c r="AA4997">
        <v>0.99692049999999999</v>
      </c>
      <c r="AB4997">
        <v>38</v>
      </c>
      <c r="AC4997">
        <v>-12.6610999999999</v>
      </c>
      <c r="AD4997">
        <v>-1.1100094131339999</v>
      </c>
      <c r="AE4997">
        <v>-1.0112000000000001</v>
      </c>
      <c r="AF4997">
        <v>-1.02167521684868</v>
      </c>
      <c r="AG4997">
        <v>-1.1100094131339999</v>
      </c>
      <c r="AH4997">
        <v>12.563672340142499</v>
      </c>
      <c r="AI4997">
        <v>95.032486408325596</v>
      </c>
      <c r="AJ4997">
        <v>94.649050944558397</v>
      </c>
      <c r="AK4997">
        <v>12.653924443287501</v>
      </c>
      <c r="AL4997">
        <v>68.149224271346199</v>
      </c>
      <c r="AM4997">
        <v>94.069198107992506</v>
      </c>
      <c r="AN4997">
        <v>0.99999995395205399</v>
      </c>
    </row>
    <row r="4998" spans="1:40" x14ac:dyDescent="0.25">
      <c r="A4998" t="str">
        <f>"20190304164948880"</f>
        <v>20190304164948880</v>
      </c>
      <c r="B4998" t="str">
        <f>"1551689388871086"</f>
        <v>1551689388871086</v>
      </c>
      <c r="C4998" t="s">
        <v>40</v>
      </c>
      <c r="D4998">
        <v>4.501163</v>
      </c>
      <c r="E4998">
        <v>0.49879279999999998</v>
      </c>
      <c r="F4998" t="s">
        <v>48</v>
      </c>
      <c r="G4998">
        <v>-308.58080000000001</v>
      </c>
      <c r="H4998" s="1">
        <v>-9.5415970000000004E-6</v>
      </c>
      <c r="I4998">
        <v>140.46639999999999</v>
      </c>
      <c r="J4998">
        <v>-294.58109999999999</v>
      </c>
      <c r="K4998">
        <v>1.110001</v>
      </c>
      <c r="L4998">
        <v>141.81190000000001</v>
      </c>
      <c r="M4998">
        <v>-0.99996410000000002</v>
      </c>
      <c r="N4998">
        <v>-8.3563470000000001E-3</v>
      </c>
      <c r="O4998">
        <v>1.4433409999999999E-3</v>
      </c>
      <c r="P4998">
        <v>-0.92899219999999905</v>
      </c>
      <c r="Q4998">
        <v>0.36446390000000001</v>
      </c>
      <c r="R4998">
        <v>-6.4341629999999997E-2</v>
      </c>
      <c r="S4998">
        <v>-3.3087770000000001</v>
      </c>
      <c r="T4998">
        <v>-0.25778689999999999</v>
      </c>
      <c r="U4998">
        <v>-0.31239319999999998</v>
      </c>
      <c r="V4998">
        <v>-6.5669030000000003E-2</v>
      </c>
      <c r="W4998">
        <v>0.37221579999999999</v>
      </c>
      <c r="X4998">
        <v>0.92582019999999998</v>
      </c>
      <c r="Y4998">
        <v>-9.5112299999999997E-2</v>
      </c>
      <c r="Z4998">
        <v>-4.1902859999999997E-3</v>
      </c>
      <c r="AA4998">
        <v>0.9954577</v>
      </c>
      <c r="AB4998">
        <v>38</v>
      </c>
      <c r="AC4998">
        <v>-13.999700000000001</v>
      </c>
      <c r="AD4998">
        <v>-1.1100105415970001</v>
      </c>
      <c r="AE4998">
        <v>-1.3455000000000099</v>
      </c>
      <c r="AF4998">
        <v>-1.3572512234779901</v>
      </c>
      <c r="AG4998">
        <v>-1.1100105415970001</v>
      </c>
      <c r="AH4998">
        <v>13.9110901034409</v>
      </c>
      <c r="AI4998">
        <v>94.540678539237106</v>
      </c>
      <c r="AJ4998">
        <v>95.572490336040005</v>
      </c>
      <c r="AK4998">
        <v>14.0211512420393</v>
      </c>
      <c r="AL4998">
        <v>68.1476642912953</v>
      </c>
      <c r="AM4998">
        <v>94.057231885833701</v>
      </c>
      <c r="AN4998">
        <v>1.0000000329994001</v>
      </c>
    </row>
    <row r="4999" spans="1:40" x14ac:dyDescent="0.25">
      <c r="A4999" t="str">
        <f>"20190304164948901"</f>
        <v>20190304164948901</v>
      </c>
      <c r="B4999" t="str">
        <f>"1551689388890605"</f>
        <v>1551689388890605</v>
      </c>
      <c r="C4999" t="s">
        <v>40</v>
      </c>
      <c r="D4999">
        <v>4.4479139999999999</v>
      </c>
      <c r="E4999">
        <v>0.49804939999999998</v>
      </c>
      <c r="F4999" t="s">
        <v>48</v>
      </c>
      <c r="G4999">
        <v>-308.98050000000001</v>
      </c>
      <c r="H4999" s="1">
        <v>-9.586576E-6</v>
      </c>
      <c r="I4999">
        <v>140.4247</v>
      </c>
      <c r="J4999">
        <v>-294.9314</v>
      </c>
      <c r="K4999">
        <v>1.110001</v>
      </c>
      <c r="L4999">
        <v>141.8124</v>
      </c>
      <c r="M4999">
        <v>-0.99996410000000002</v>
      </c>
      <c r="N4999">
        <v>-8.3785359999999903E-3</v>
      </c>
      <c r="O4999">
        <v>1.442533E-3</v>
      </c>
      <c r="P4999">
        <v>-0.92889659999999996</v>
      </c>
      <c r="Q4999">
        <v>0.36474390000000001</v>
      </c>
      <c r="R4999">
        <v>-6.4136680000000001E-2</v>
      </c>
      <c r="S4999">
        <v>-3.3072509999999999</v>
      </c>
      <c r="T4999">
        <v>-0.25494660000000002</v>
      </c>
      <c r="U4999">
        <v>-0.31861879999999998</v>
      </c>
      <c r="V4999">
        <v>-6.5463199999999999E-2</v>
      </c>
      <c r="W4999">
        <v>0.37251580000000001</v>
      </c>
      <c r="X4999">
        <v>0.92571409999999998</v>
      </c>
      <c r="Y4999">
        <v>-9.7011449999999999E-2</v>
      </c>
      <c r="Z4999">
        <v>-4.2318010000000003E-3</v>
      </c>
      <c r="AA4999">
        <v>0.9952742</v>
      </c>
      <c r="AB4999">
        <v>38</v>
      </c>
      <c r="AC4999">
        <v>-14.049099999999999</v>
      </c>
      <c r="AD4999">
        <v>-1.1100105865759999</v>
      </c>
      <c r="AE4999">
        <v>-1.3876999999999899</v>
      </c>
      <c r="AF4999">
        <v>-1.3993147585394501</v>
      </c>
      <c r="AG4999">
        <v>-1.1100105865759999</v>
      </c>
      <c r="AH4999">
        <v>13.960775693184001</v>
      </c>
      <c r="AI4999">
        <v>94.523409681714796</v>
      </c>
      <c r="AJ4999">
        <v>95.723746894567896</v>
      </c>
      <c r="AK4999">
        <v>14.074567959663099</v>
      </c>
      <c r="AL4999">
        <v>68.129143445228095</v>
      </c>
      <c r="AM4999">
        <v>94.045019378807694</v>
      </c>
      <c r="AN4999">
        <v>1.00000002337134</v>
      </c>
    </row>
    <row r="5000" spans="1:40" x14ac:dyDescent="0.25">
      <c r="A5000" t="str">
        <f>"20190304164948920"</f>
        <v>20190304164948920</v>
      </c>
      <c r="B5000" t="str">
        <f>"1551689388911102"</f>
        <v>1551689388911102</v>
      </c>
      <c r="C5000" t="s">
        <v>40</v>
      </c>
      <c r="D5000">
        <v>4.4645349999999997</v>
      </c>
      <c r="E5000">
        <v>0.49767339999999999</v>
      </c>
      <c r="F5000" t="s">
        <v>48</v>
      </c>
      <c r="G5000">
        <v>-309.38490000000002</v>
      </c>
      <c r="H5000" s="1">
        <v>-9.6359539999999997E-6</v>
      </c>
      <c r="I5000">
        <v>140.3954</v>
      </c>
      <c r="J5000">
        <v>-295.27679999999998</v>
      </c>
      <c r="K5000">
        <v>1.1100049999999999</v>
      </c>
      <c r="L5000">
        <v>141.81290000000001</v>
      </c>
      <c r="M5000">
        <v>-0.99996370000000001</v>
      </c>
      <c r="N5000">
        <v>-8.4082150000000001E-3</v>
      </c>
      <c r="O5000">
        <v>1.4419329999999901E-3</v>
      </c>
      <c r="P5000">
        <v>-0.92884679999999997</v>
      </c>
      <c r="Q5000">
        <v>0.36485889999999999</v>
      </c>
      <c r="R5000">
        <v>-6.4202430000000005E-2</v>
      </c>
      <c r="S5000">
        <v>-3.3069760000000001</v>
      </c>
      <c r="T5000">
        <v>-0.25397039999999999</v>
      </c>
      <c r="U5000">
        <v>-0.32420349999999998</v>
      </c>
      <c r="V5000">
        <v>-6.5528050000000004E-2</v>
      </c>
      <c r="W5000">
        <v>0.37265740000000003</v>
      </c>
      <c r="X5000">
        <v>0.92565249999999999</v>
      </c>
      <c r="Y5000">
        <v>-9.8680470000000006E-2</v>
      </c>
      <c r="Z5000">
        <v>-4.2894389999999999E-3</v>
      </c>
      <c r="AA5000">
        <v>0.99510989999999999</v>
      </c>
      <c r="AB5000">
        <v>38</v>
      </c>
      <c r="AC5000">
        <v>-14.1081</v>
      </c>
      <c r="AD5000">
        <v>-1.110014635954</v>
      </c>
      <c r="AE5000">
        <v>-1.41750000000001</v>
      </c>
      <c r="AF5000">
        <v>-1.4290839586266599</v>
      </c>
      <c r="AG5000">
        <v>-1.110014635954</v>
      </c>
      <c r="AH5000">
        <v>14.020118251544</v>
      </c>
      <c r="AI5000">
        <v>94.503596335025193</v>
      </c>
      <c r="AJ5000">
        <v>95.820111896440594</v>
      </c>
      <c r="AK5000">
        <v>14.1364114696805</v>
      </c>
      <c r="AL5000">
        <v>68.120400497340796</v>
      </c>
      <c r="AM5000">
        <v>94.049281742794705</v>
      </c>
      <c r="AN5000">
        <v>1.0000000069338999</v>
      </c>
    </row>
    <row r="5001" spans="1:40" x14ac:dyDescent="0.25">
      <c r="A5001" t="str">
        <f>"20190304164948933"</f>
        <v>20190304164948933</v>
      </c>
      <c r="B5001" t="str">
        <f>"1551689388930622"</f>
        <v>1551689388930622</v>
      </c>
      <c r="C5001" t="s">
        <v>40</v>
      </c>
      <c r="D5001">
        <v>4.4507469999999998</v>
      </c>
      <c r="E5001">
        <v>0.49745020000000001</v>
      </c>
      <c r="F5001" t="s">
        <v>48</v>
      </c>
      <c r="G5001">
        <v>-309.80500000000001</v>
      </c>
      <c r="H5001" s="1">
        <v>-9.6900030000000003E-6</v>
      </c>
      <c r="I5001">
        <v>140.37430000000001</v>
      </c>
      <c r="J5001">
        <v>-295.5016</v>
      </c>
      <c r="K5001">
        <v>1.1100099999999999</v>
      </c>
      <c r="L5001">
        <v>141.81319999999999</v>
      </c>
      <c r="M5001">
        <v>-0.99996359999999995</v>
      </c>
      <c r="N5001">
        <v>-8.4312309999999904E-3</v>
      </c>
      <c r="O5001">
        <v>1.4414779999999999E-3</v>
      </c>
      <c r="P5001">
        <v>-0.92872849999999996</v>
      </c>
      <c r="Q5001">
        <v>0.36516900000000002</v>
      </c>
      <c r="R5001">
        <v>-6.4150040000000005E-2</v>
      </c>
      <c r="S5001">
        <v>-3.3064269999999998</v>
      </c>
      <c r="T5001">
        <v>-0.2526236</v>
      </c>
      <c r="U5001">
        <v>-0.32740780000000003</v>
      </c>
      <c r="V5001">
        <v>-6.5474969999999993E-2</v>
      </c>
      <c r="W5001">
        <v>0.3729884</v>
      </c>
      <c r="X5001">
        <v>0.92552290000000004</v>
      </c>
      <c r="Y5001">
        <v>-9.9651119999999996E-2</v>
      </c>
      <c r="Z5001">
        <v>-4.3114870000000001E-3</v>
      </c>
      <c r="AA5001">
        <v>0.99501309999999998</v>
      </c>
      <c r="AB5001">
        <v>38</v>
      </c>
      <c r="AC5001">
        <v>-14.3034</v>
      </c>
      <c r="AD5001">
        <v>-1.1100196900029999</v>
      </c>
      <c r="AE5001">
        <v>-1.4388999999999801</v>
      </c>
      <c r="AF5001">
        <v>-1.4508668471484201</v>
      </c>
      <c r="AG5001">
        <v>-1.1100196900029999</v>
      </c>
      <c r="AH5001">
        <v>14.216548380622701</v>
      </c>
      <c r="AI5001">
        <v>94.441585692204796</v>
      </c>
      <c r="AJ5001">
        <v>95.8271343611069</v>
      </c>
      <c r="AK5001">
        <v>14.333436649280401</v>
      </c>
      <c r="AL5001">
        <v>68.099961373619905</v>
      </c>
      <c r="AM5001">
        <v>94.046577258479005</v>
      </c>
      <c r="AN5001">
        <v>0.99999997832773502</v>
      </c>
    </row>
    <row r="5002" spans="1:40" x14ac:dyDescent="0.25">
      <c r="A5002" t="str">
        <f>"20190304164948946"</f>
        <v>20190304164948946</v>
      </c>
      <c r="B5002" t="str">
        <f>"1551689388940382"</f>
        <v>1551689388940382</v>
      </c>
      <c r="C5002" t="s">
        <v>40</v>
      </c>
      <c r="D5002">
        <v>4.4497859999999996</v>
      </c>
      <c r="E5002">
        <v>0.4974364</v>
      </c>
      <c r="F5002" t="s">
        <v>48</v>
      </c>
      <c r="G5002">
        <v>-310.0609</v>
      </c>
      <c r="H5002" s="1">
        <v>-9.6632579999999996E-6</v>
      </c>
      <c r="I5002">
        <v>140.36439999999999</v>
      </c>
      <c r="J5002">
        <v>-295.70339999999999</v>
      </c>
      <c r="K5002">
        <v>1.110017</v>
      </c>
      <c r="L5002">
        <v>141.8135</v>
      </c>
      <c r="M5002">
        <v>-0.9999633</v>
      </c>
      <c r="N5002">
        <v>-8.4593450000000001E-3</v>
      </c>
      <c r="O5002">
        <v>1.4411809999999999E-3</v>
      </c>
      <c r="P5002">
        <v>-0.92866389999999999</v>
      </c>
      <c r="Q5002">
        <v>0.36533409999999999</v>
      </c>
      <c r="R5002">
        <v>-6.4145649999999999E-2</v>
      </c>
      <c r="S5002">
        <v>-3.30661</v>
      </c>
      <c r="T5002">
        <v>-0.25209959999999998</v>
      </c>
      <c r="U5002">
        <v>-0.32904050000000001</v>
      </c>
      <c r="V5002">
        <v>-6.5470440000000005E-2</v>
      </c>
      <c r="W5002">
        <v>0.37317860000000003</v>
      </c>
      <c r="X5002">
        <v>0.92544660000000001</v>
      </c>
      <c r="Y5002">
        <v>-0.1001316</v>
      </c>
      <c r="Z5002">
        <v>-4.3247499999999996E-3</v>
      </c>
      <c r="AA5002">
        <v>0.99496479999999998</v>
      </c>
      <c r="AB5002">
        <v>38</v>
      </c>
      <c r="AC5002">
        <v>-14.3575</v>
      </c>
      <c r="AD5002">
        <v>-1.110026663258</v>
      </c>
      <c r="AE5002">
        <v>-1.44910000000001</v>
      </c>
      <c r="AF5002">
        <v>-1.46114527508168</v>
      </c>
      <c r="AG5002">
        <v>-1.110026663258</v>
      </c>
      <c r="AH5002">
        <v>14.2709542154854</v>
      </c>
      <c r="AI5002">
        <v>94.424600235696005</v>
      </c>
      <c r="AJ5002">
        <v>95.845912550058202</v>
      </c>
      <c r="AK5002">
        <v>14.388441157002299</v>
      </c>
      <c r="AL5002">
        <v>68.088216787092506</v>
      </c>
      <c r="AM5002">
        <v>94.046630714573297</v>
      </c>
      <c r="AN5002">
        <v>1.0000000277316501</v>
      </c>
    </row>
    <row r="5003" spans="1:40" x14ac:dyDescent="0.25">
      <c r="A5003" t="str">
        <f>"20190304164948959"</f>
        <v>20190304164948959</v>
      </c>
      <c r="B5003" t="str">
        <f>"1551689388951118"</f>
        <v>1551689388951118</v>
      </c>
      <c r="C5003" t="s">
        <v>40</v>
      </c>
      <c r="D5003">
        <v>4.4547220000000003</v>
      </c>
      <c r="E5003">
        <v>0.49739610000000001</v>
      </c>
      <c r="F5003" t="s">
        <v>48</v>
      </c>
      <c r="G5003">
        <v>-310.26479999999998</v>
      </c>
      <c r="H5003" s="1">
        <v>-9.5726470000000007E-6</v>
      </c>
      <c r="I5003">
        <v>140.36369999999999</v>
      </c>
      <c r="J5003">
        <v>-295.94560000000001</v>
      </c>
      <c r="K5003">
        <v>1.1100270000000001</v>
      </c>
      <c r="L5003">
        <v>141.81389999999999</v>
      </c>
      <c r="M5003">
        <v>-0.99996289999999999</v>
      </c>
      <c r="N5003">
        <v>-8.5024690000000003E-3</v>
      </c>
      <c r="O5003">
        <v>1.4408800000000001E-3</v>
      </c>
      <c r="P5003">
        <v>-0.92858600000000002</v>
      </c>
      <c r="Q5003">
        <v>0.365537</v>
      </c>
      <c r="R5003">
        <v>-6.4118359999999999E-2</v>
      </c>
      <c r="S5003">
        <v>-3.306915</v>
      </c>
      <c r="T5003">
        <v>-0.2520888</v>
      </c>
      <c r="U5003">
        <v>-0.3292542</v>
      </c>
      <c r="V5003">
        <v>-6.5442390000000003E-2</v>
      </c>
      <c r="W5003">
        <v>0.37342059999999999</v>
      </c>
      <c r="X5003">
        <v>0.92535100000000003</v>
      </c>
      <c r="Y5003">
        <v>-0.1001857</v>
      </c>
      <c r="Z5003">
        <v>-4.3285809999999997E-3</v>
      </c>
      <c r="AA5003">
        <v>0.99495940000000005</v>
      </c>
      <c r="AB5003">
        <v>39</v>
      </c>
      <c r="AC5003">
        <v>-14.319199999999899</v>
      </c>
      <c r="AD5003">
        <v>-1.1100365726470001</v>
      </c>
      <c r="AE5003">
        <v>-1.4501999999999899</v>
      </c>
      <c r="AF5003">
        <v>-1.462134028193</v>
      </c>
      <c r="AG5003">
        <v>-1.1100365726470001</v>
      </c>
      <c r="AH5003">
        <v>14.2324342978354</v>
      </c>
      <c r="AI5003">
        <v>94.436411637647296</v>
      </c>
      <c r="AJ5003">
        <v>95.8655633241451</v>
      </c>
      <c r="AK5003">
        <v>14.3503380849099</v>
      </c>
      <c r="AL5003">
        <v>68.073271565843498</v>
      </c>
      <c r="AM5003">
        <v>94.045319241989603</v>
      </c>
      <c r="AN5003">
        <v>1.0000000620571301</v>
      </c>
    </row>
    <row r="5004" spans="1:40" x14ac:dyDescent="0.25">
      <c r="A5004" t="str">
        <f>"20190304164948977"</f>
        <v>20190304164948977</v>
      </c>
      <c r="B5004" t="str">
        <f>"1551689388970641"</f>
        <v>1551689388970641</v>
      </c>
      <c r="C5004" t="s">
        <v>40</v>
      </c>
      <c r="D5004">
        <v>4.4640440000000003</v>
      </c>
      <c r="E5004">
        <v>0.49747370000000002</v>
      </c>
      <c r="F5004" t="s">
        <v>48</v>
      </c>
      <c r="G5004">
        <v>-310.53070000000002</v>
      </c>
      <c r="H5004" s="1">
        <v>-9.4664880000000004E-6</v>
      </c>
      <c r="I5004">
        <v>140.3578</v>
      </c>
      <c r="J5004">
        <v>-296.24540000000002</v>
      </c>
      <c r="K5004">
        <v>1.110052</v>
      </c>
      <c r="L5004">
        <v>141.8143</v>
      </c>
      <c r="M5004">
        <v>-0.99996220000000002</v>
      </c>
      <c r="N5004">
        <v>-8.5809419999999994E-3</v>
      </c>
      <c r="O5004">
        <v>1.4403669999999999E-3</v>
      </c>
      <c r="P5004">
        <v>-0.92845290000000003</v>
      </c>
      <c r="Q5004">
        <v>0.36593120000000001</v>
      </c>
      <c r="R5004">
        <v>-6.3792020000000005E-2</v>
      </c>
      <c r="S5004">
        <v>-3.307007</v>
      </c>
      <c r="T5004">
        <v>-0.25168699999999999</v>
      </c>
      <c r="U5004">
        <v>-0.33015440000000001</v>
      </c>
      <c r="V5004">
        <v>-6.5115950000000006E-2</v>
      </c>
      <c r="W5004">
        <v>0.3738863</v>
      </c>
      <c r="X5004">
        <v>0.92518590000000001</v>
      </c>
      <c r="Y5004">
        <v>-0.1004505</v>
      </c>
      <c r="Z5004">
        <v>-4.3371859999999998E-3</v>
      </c>
      <c r="AA5004">
        <v>0.99493259999999994</v>
      </c>
      <c r="AB5004">
        <v>39</v>
      </c>
      <c r="AC5004">
        <v>-14.285299999999999</v>
      </c>
      <c r="AD5004">
        <v>-1.110061466488</v>
      </c>
      <c r="AE5004">
        <v>-1.4564999999999999</v>
      </c>
      <c r="AF5004">
        <v>-1.4683004864601099</v>
      </c>
      <c r="AG5004">
        <v>-1.110061466488</v>
      </c>
      <c r="AH5004">
        <v>14.1983353456394</v>
      </c>
      <c r="AI5004">
        <v>94.446815198685698</v>
      </c>
      <c r="AJ5004">
        <v>95.904173423739095</v>
      </c>
      <c r="AK5004">
        <v>14.3171529769418</v>
      </c>
      <c r="AL5004">
        <v>68.044503926166399</v>
      </c>
      <c r="AM5004">
        <v>94.025922797878394</v>
      </c>
      <c r="AN5004">
        <v>1.0000000009154499</v>
      </c>
    </row>
    <row r="5005" spans="1:40" x14ac:dyDescent="0.25">
      <c r="A5005" t="str">
        <f>"20190304164948990"</f>
        <v>20190304164948990</v>
      </c>
      <c r="B5005" t="str">
        <f>"1551689388980398"</f>
        <v>1551689388980398</v>
      </c>
      <c r="C5005" t="s">
        <v>40</v>
      </c>
      <c r="D5005">
        <v>4.4407589999999999</v>
      </c>
      <c r="E5005">
        <v>0.4974864</v>
      </c>
      <c r="F5005" t="s">
        <v>48</v>
      </c>
      <c r="G5005">
        <v>-310.86239999999998</v>
      </c>
      <c r="H5005" s="1">
        <v>-9.3414160000000005E-6</v>
      </c>
      <c r="I5005">
        <v>140.3569</v>
      </c>
      <c r="J5005">
        <v>-296.48320000000001</v>
      </c>
      <c r="K5005">
        <v>1.1100719999999999</v>
      </c>
      <c r="L5005">
        <v>141.81469999999999</v>
      </c>
      <c r="M5005">
        <v>-0.9999614</v>
      </c>
      <c r="N5005">
        <v>-8.6644440000000003E-3</v>
      </c>
      <c r="O5005">
        <v>1.4401870000000001E-3</v>
      </c>
      <c r="P5005">
        <v>-0.92833860000000001</v>
      </c>
      <c r="Q5005">
        <v>0.36623840000000002</v>
      </c>
      <c r="R5005">
        <v>-6.3695749999999995E-2</v>
      </c>
      <c r="S5005">
        <v>-3.3075559999999999</v>
      </c>
      <c r="T5005">
        <v>-0.2511873</v>
      </c>
      <c r="U5005">
        <v>-0.32978819999999998</v>
      </c>
      <c r="V5005">
        <v>-6.5018619999999999E-2</v>
      </c>
      <c r="W5005">
        <v>0.37426969999999998</v>
      </c>
      <c r="X5005">
        <v>0.92503769999999996</v>
      </c>
      <c r="Y5005">
        <v>-0.10032629999999999</v>
      </c>
      <c r="Z5005">
        <v>-4.3276460000000001E-3</v>
      </c>
      <c r="AA5005">
        <v>0.99494519999999997</v>
      </c>
      <c r="AB5005">
        <v>39</v>
      </c>
      <c r="AC5005">
        <v>-14.3791999999999</v>
      </c>
      <c r="AD5005">
        <v>-1.110081341416</v>
      </c>
      <c r="AE5005">
        <v>-1.45779999999999</v>
      </c>
      <c r="AF5005">
        <v>-1.4698370213197101</v>
      </c>
      <c r="AG5005">
        <v>-1.110081341416</v>
      </c>
      <c r="AH5005">
        <v>14.292768446487999</v>
      </c>
      <c r="AI5005">
        <v>94.417888826558695</v>
      </c>
      <c r="AJ5005">
        <v>95.871532245296294</v>
      </c>
      <c r="AK5005">
        <v>14.4109656622561</v>
      </c>
      <c r="AL5005">
        <v>68.020816684987594</v>
      </c>
      <c r="AM5005">
        <v>94.020566839797098</v>
      </c>
      <c r="AN5005">
        <v>0.999999987853042</v>
      </c>
    </row>
    <row r="5006" spans="1:40" x14ac:dyDescent="0.25">
      <c r="A5006" t="str">
        <f>"20190304164949004"</f>
        <v>20190304164949004</v>
      </c>
      <c r="B5006" t="str">
        <f>"1551689389000894"</f>
        <v>1551689389000894</v>
      </c>
      <c r="C5006" t="s">
        <v>40</v>
      </c>
      <c r="D5006">
        <v>4.4286219999999998</v>
      </c>
      <c r="E5006">
        <v>0.49741849999999999</v>
      </c>
      <c r="F5006" t="s">
        <v>48</v>
      </c>
      <c r="G5006">
        <v>-311.13569999999999</v>
      </c>
      <c r="H5006" s="1">
        <v>-9.2380810000000002E-6</v>
      </c>
      <c r="I5006">
        <v>140.3552</v>
      </c>
      <c r="J5006">
        <v>-296.70740000000001</v>
      </c>
      <c r="K5006">
        <v>1.1100920000000001</v>
      </c>
      <c r="L5006">
        <v>141.815</v>
      </c>
      <c r="M5006">
        <v>-0.99996079999999998</v>
      </c>
      <c r="N5006">
        <v>-8.7540759999999995E-3</v>
      </c>
      <c r="O5006">
        <v>1.4396179999999999E-3</v>
      </c>
      <c r="P5006">
        <v>-0.92833670000000001</v>
      </c>
      <c r="Q5006">
        <v>0.36624509999999899</v>
      </c>
      <c r="R5006">
        <v>-6.368269E-2</v>
      </c>
      <c r="S5006">
        <v>-3.3078310000000002</v>
      </c>
      <c r="T5006">
        <v>-0.25060389999999999</v>
      </c>
      <c r="U5006">
        <v>-0.32948300000000003</v>
      </c>
      <c r="V5006">
        <v>-6.5005499999999994E-2</v>
      </c>
      <c r="W5006">
        <v>0.37435990000000002</v>
      </c>
      <c r="X5006">
        <v>0.92500210000000005</v>
      </c>
      <c r="Y5006">
        <v>-0.1002281</v>
      </c>
      <c r="Z5006">
        <v>-4.3185100000000002E-3</v>
      </c>
      <c r="AA5006">
        <v>0.99495509999999998</v>
      </c>
      <c r="AB5006">
        <v>39</v>
      </c>
      <c r="AC5006">
        <v>-14.428299999999901</v>
      </c>
      <c r="AD5006">
        <v>-1.110101238081</v>
      </c>
      <c r="AE5006">
        <v>-1.4598</v>
      </c>
      <c r="AF5006">
        <v>-1.47194543393939</v>
      </c>
      <c r="AG5006">
        <v>-1.110101238081</v>
      </c>
      <c r="AH5006">
        <v>14.342143459452799</v>
      </c>
      <c r="AI5006">
        <v>94.402910378257701</v>
      </c>
      <c r="AJ5006">
        <v>95.859794378546297</v>
      </c>
      <c r="AK5006">
        <v>14.460153081167901</v>
      </c>
      <c r="AL5006">
        <v>68.0152429665997</v>
      </c>
      <c r="AM5006">
        <v>94.019912394967307</v>
      </c>
      <c r="AN5006">
        <v>0.99999996738133401</v>
      </c>
    </row>
    <row r="5007" spans="1:40" x14ac:dyDescent="0.25">
      <c r="A5007" t="str">
        <f>"20190304164949021"</f>
        <v>20190304164949021</v>
      </c>
      <c r="B5007" t="str">
        <f>"1551689389010654"</f>
        <v>1551689389010654</v>
      </c>
      <c r="C5007" t="s">
        <v>40</v>
      </c>
      <c r="D5007">
        <v>4.4378120000000001</v>
      </c>
      <c r="E5007">
        <v>0.49733769999999999</v>
      </c>
      <c r="F5007" t="s">
        <v>48</v>
      </c>
      <c r="G5007">
        <v>-311.30110000000002</v>
      </c>
      <c r="H5007" s="1">
        <v>-9.1769059999999999E-6</v>
      </c>
      <c r="I5007">
        <v>140.35929999999999</v>
      </c>
      <c r="J5007">
        <v>-297.0145</v>
      </c>
      <c r="K5007">
        <v>1.110106</v>
      </c>
      <c r="L5007">
        <v>141.81540000000001</v>
      </c>
      <c r="M5007">
        <v>-0.99995940000000005</v>
      </c>
      <c r="N5007">
        <v>-8.8928569999999901E-3</v>
      </c>
      <c r="O5007">
        <v>1.439187E-3</v>
      </c>
      <c r="P5007">
        <v>-0.92839280000000002</v>
      </c>
      <c r="Q5007">
        <v>0.3661143</v>
      </c>
      <c r="R5007">
        <v>-6.3618969999999997E-2</v>
      </c>
      <c r="S5007">
        <v>-3.3081969999999998</v>
      </c>
      <c r="T5007">
        <v>-0.25164449999999999</v>
      </c>
      <c r="U5007">
        <v>-0.32997130000000002</v>
      </c>
      <c r="V5007">
        <v>-6.4941170000000006E-2</v>
      </c>
      <c r="W5007">
        <v>0.3743573</v>
      </c>
      <c r="X5007">
        <v>0.92500769999999999</v>
      </c>
      <c r="Y5007">
        <v>-0.1003589</v>
      </c>
      <c r="Z5007">
        <v>-4.3464619999999997E-3</v>
      </c>
      <c r="AA5007">
        <v>0.99494179999999999</v>
      </c>
      <c r="AB5007">
        <v>39</v>
      </c>
      <c r="AC5007">
        <v>-14.2866</v>
      </c>
      <c r="AD5007">
        <v>-1.110115176906</v>
      </c>
      <c r="AE5007">
        <v>-1.4561000000000199</v>
      </c>
      <c r="AF5007">
        <v>-1.4678887032347701</v>
      </c>
      <c r="AG5007">
        <v>-1.110115176906</v>
      </c>
      <c r="AH5007">
        <v>14.199636475230299</v>
      </c>
      <c r="AI5007">
        <v>94.446641074930298</v>
      </c>
      <c r="AJ5007">
        <v>95.901992259232102</v>
      </c>
      <c r="AK5007">
        <v>14.3184052526729</v>
      </c>
      <c r="AL5007">
        <v>68.015404241146797</v>
      </c>
      <c r="AM5007">
        <v>94.015923045064696</v>
      </c>
      <c r="AN5007">
        <v>0.999999994341774</v>
      </c>
    </row>
    <row r="5008" spans="1:40" x14ac:dyDescent="0.25">
      <c r="A5008" t="str">
        <f>"20190304164949036"</f>
        <v>20190304164949036</v>
      </c>
      <c r="B5008" t="str">
        <f>"1551689389030534"</f>
        <v>1551689389030534</v>
      </c>
      <c r="C5008" t="s">
        <v>40</v>
      </c>
      <c r="D5008">
        <v>4.4529230000000002</v>
      </c>
      <c r="E5008">
        <v>0.4972239</v>
      </c>
      <c r="F5008" t="s">
        <v>48</v>
      </c>
      <c r="G5008">
        <v>-311.55419999999998</v>
      </c>
      <c r="H5008" s="1">
        <v>-9.0828890000000006E-6</v>
      </c>
      <c r="I5008">
        <v>140.36410000000001</v>
      </c>
      <c r="J5008">
        <v>-297.26319999999998</v>
      </c>
      <c r="K5008">
        <v>1.1101259999999999</v>
      </c>
      <c r="L5008">
        <v>141.8158</v>
      </c>
      <c r="M5008">
        <v>-0.99995840000000003</v>
      </c>
      <c r="N5008">
        <v>-9.0183820000000001E-3</v>
      </c>
      <c r="O5008">
        <v>1.4386259999999999E-3</v>
      </c>
      <c r="P5008">
        <v>-0.92848839999999999</v>
      </c>
      <c r="Q5008">
        <v>0.36584100000000003</v>
      </c>
      <c r="R5008">
        <v>-6.3797439999999997E-2</v>
      </c>
      <c r="S5008">
        <v>-3.3083499999999999</v>
      </c>
      <c r="T5008">
        <v>-0.25259480000000001</v>
      </c>
      <c r="U5008">
        <v>-0.33023069999999999</v>
      </c>
      <c r="V5008">
        <v>-6.5119819999999995E-2</v>
      </c>
      <c r="W5008">
        <v>0.37420120000000001</v>
      </c>
      <c r="X5008">
        <v>0.9250583</v>
      </c>
      <c r="Y5008">
        <v>-0.10042810000000001</v>
      </c>
      <c r="Z5008">
        <v>-4.3700550000000003E-3</v>
      </c>
      <c r="AA5008">
        <v>0.99493469999999995</v>
      </c>
      <c r="AB5008">
        <v>39</v>
      </c>
      <c r="AC5008">
        <v>-14.290999999999899</v>
      </c>
      <c r="AD5008">
        <v>-1.110135082889</v>
      </c>
      <c r="AE5008">
        <v>-1.45169999999998</v>
      </c>
      <c r="AF5008">
        <v>-1.4635176386059501</v>
      </c>
      <c r="AG5008">
        <v>-1.110135082889</v>
      </c>
      <c r="AH5008">
        <v>14.204060609036</v>
      </c>
      <c r="AI5008">
        <v>94.445494718749003</v>
      </c>
      <c r="AJ5008">
        <v>95.882720875381096</v>
      </c>
      <c r="AK5008">
        <v>14.3223469293946</v>
      </c>
      <c r="AL5008">
        <v>68.025049127554496</v>
      </c>
      <c r="AM5008">
        <v>94.026714812328194</v>
      </c>
      <c r="AN5008">
        <v>0.99999999371858095</v>
      </c>
    </row>
    <row r="5009" spans="1:40" x14ac:dyDescent="0.25">
      <c r="A5009" t="str">
        <f>"20190304164949049"</f>
        <v>20190304164949049</v>
      </c>
      <c r="B5009" t="str">
        <f>"1551689389041269"</f>
        <v>1551689389041269</v>
      </c>
      <c r="C5009" t="s">
        <v>40</v>
      </c>
      <c r="D5009">
        <v>4.6673770000000001</v>
      </c>
      <c r="E5009">
        <v>0.49720710000000001</v>
      </c>
      <c r="F5009" t="s">
        <v>48</v>
      </c>
      <c r="G5009">
        <v>-311.66609999999997</v>
      </c>
      <c r="H5009" s="1">
        <v>-9.0427459999999998E-6</v>
      </c>
      <c r="I5009">
        <v>140.3717</v>
      </c>
      <c r="J5009">
        <v>-297.49979999999999</v>
      </c>
      <c r="K5009">
        <v>1.11015</v>
      </c>
      <c r="L5009">
        <v>141.81610000000001</v>
      </c>
      <c r="M5009">
        <v>-0.99995710000000004</v>
      </c>
      <c r="N5009">
        <v>-9.1553910000000006E-3</v>
      </c>
      <c r="O5009">
        <v>1.438482E-3</v>
      </c>
      <c r="P5009">
        <v>-0.92849029999999999</v>
      </c>
      <c r="Q5009">
        <v>0.36581999999999998</v>
      </c>
      <c r="R5009">
        <v>-6.3886440000000003E-2</v>
      </c>
      <c r="S5009">
        <v>-3.3087460000000002</v>
      </c>
      <c r="T5009">
        <v>-0.25502900000000001</v>
      </c>
      <c r="U5009">
        <v>-0.33175660000000001</v>
      </c>
      <c r="V5009">
        <v>-6.5208119999999994E-2</v>
      </c>
      <c r="W5009">
        <v>0.3743069</v>
      </c>
      <c r="X5009">
        <v>0.92500930000000003</v>
      </c>
      <c r="Y5009">
        <v>-0.10086249999999999</v>
      </c>
      <c r="Z5009">
        <v>-4.4326390000000004E-3</v>
      </c>
      <c r="AA5009">
        <v>0.99489050000000001</v>
      </c>
      <c r="AB5009">
        <v>39</v>
      </c>
      <c r="AC5009">
        <v>-14.1662999999999</v>
      </c>
      <c r="AD5009">
        <v>-1.110159042746</v>
      </c>
      <c r="AE5009">
        <v>-1.4443999999999999</v>
      </c>
      <c r="AF5009">
        <v>-1.4559280880734</v>
      </c>
      <c r="AG5009">
        <v>-1.110159042746</v>
      </c>
      <c r="AH5009">
        <v>14.078636522254801</v>
      </c>
      <c r="AI5009">
        <v>94.484861549709095</v>
      </c>
      <c r="AJ5009">
        <v>95.9041979208192</v>
      </c>
      <c r="AK5009">
        <v>14.197189370562</v>
      </c>
      <c r="AL5009">
        <v>68.018518022710495</v>
      </c>
      <c r="AM5009">
        <v>94.032369775552795</v>
      </c>
      <c r="AN5009">
        <v>0.99999997969401699</v>
      </c>
    </row>
    <row r="5010" spans="1:40" x14ac:dyDescent="0.25">
      <c r="A5010" t="str">
        <f>"20190304164949067"</f>
        <v>20190304164949067</v>
      </c>
      <c r="B5010" t="str">
        <f>"1551689389060790"</f>
        <v>1551689389060790</v>
      </c>
      <c r="C5010" t="s">
        <v>40</v>
      </c>
      <c r="D5010">
        <v>4.4496909999999996</v>
      </c>
      <c r="E5010">
        <v>0.49713489999999999</v>
      </c>
      <c r="F5010" t="s">
        <v>48</v>
      </c>
      <c r="G5010">
        <v>-311.97179999999997</v>
      </c>
      <c r="H5010" s="1">
        <v>-8.9255999999999997E-6</v>
      </c>
      <c r="I5010">
        <v>140.36369999999999</v>
      </c>
      <c r="J5010">
        <v>-297.80869999999999</v>
      </c>
      <c r="K5010">
        <v>1.110185</v>
      </c>
      <c r="L5010">
        <v>141.81659999999999</v>
      </c>
      <c r="M5010">
        <v>-0.99995540000000005</v>
      </c>
      <c r="N5010">
        <v>-9.3497470000000003E-3</v>
      </c>
      <c r="O5010">
        <v>1.437764E-3</v>
      </c>
      <c r="P5010">
        <v>-0.92844819999999995</v>
      </c>
      <c r="Q5010">
        <v>0.36591879999999999</v>
      </c>
      <c r="R5010">
        <v>-6.3936779999999999E-2</v>
      </c>
      <c r="S5010">
        <v>-3.3081360000000002</v>
      </c>
      <c r="T5010">
        <v>-0.25377</v>
      </c>
      <c r="U5010">
        <v>-0.33200069999999998</v>
      </c>
      <c r="V5010">
        <v>-6.5258010000000005E-2</v>
      </c>
      <c r="W5010">
        <v>0.374585</v>
      </c>
      <c r="X5010">
        <v>0.92489330000000003</v>
      </c>
      <c r="Y5010">
        <v>-0.10095469999999999</v>
      </c>
      <c r="Z5010">
        <v>-4.4272169999999998E-3</v>
      </c>
      <c r="AA5010">
        <v>0.99488120000000002</v>
      </c>
      <c r="AB5010">
        <v>39</v>
      </c>
      <c r="AC5010">
        <v>-14.163099999999901</v>
      </c>
      <c r="AD5010">
        <v>-1.1101939256</v>
      </c>
      <c r="AE5010">
        <v>-1.4528999999999901</v>
      </c>
      <c r="AF5010">
        <v>-1.4643586423352</v>
      </c>
      <c r="AG5010">
        <v>-1.1101939256</v>
      </c>
      <c r="AH5010">
        <v>14.0754117080052</v>
      </c>
      <c r="AI5010">
        <v>94.485739795052893</v>
      </c>
      <c r="AJ5010">
        <v>95.939493354977301</v>
      </c>
      <c r="AK5010">
        <v>14.1948614482731</v>
      </c>
      <c r="AL5010">
        <v>68.0013360647214</v>
      </c>
      <c r="AM5010">
        <v>94.035949160085806</v>
      </c>
      <c r="AN5010">
        <v>1.00000007323952</v>
      </c>
    </row>
    <row r="5011" spans="1:40" x14ac:dyDescent="0.25">
      <c r="A5011" t="str">
        <f>"20190304164949081"</f>
        <v>20190304164949081</v>
      </c>
      <c r="B5011" t="str">
        <f>"1551689389070550"</f>
        <v>1551689389070550</v>
      </c>
      <c r="C5011" t="s">
        <v>40</v>
      </c>
      <c r="D5011">
        <v>4.4771640000000001</v>
      </c>
      <c r="E5011">
        <v>0.49708740000000001</v>
      </c>
      <c r="F5011" t="s">
        <v>48</v>
      </c>
      <c r="G5011">
        <v>-312.34280000000001</v>
      </c>
      <c r="H5011" s="1">
        <v>-8.783037E-6</v>
      </c>
      <c r="I5011">
        <v>140.3527</v>
      </c>
      <c r="J5011">
        <v>-298.04500000000002</v>
      </c>
      <c r="K5011">
        <v>1.1102129999999999</v>
      </c>
      <c r="L5011">
        <v>141.8169</v>
      </c>
      <c r="M5011">
        <v>-0.9999536</v>
      </c>
      <c r="N5011">
        <v>-9.5146450000000004E-3</v>
      </c>
      <c r="O5011">
        <v>1.4376440000000001E-3</v>
      </c>
      <c r="P5011">
        <v>-0.92849939999999997</v>
      </c>
      <c r="Q5011">
        <v>0.36578430000000001</v>
      </c>
      <c r="R5011">
        <v>-6.3958780000000007E-2</v>
      </c>
      <c r="S5011">
        <v>-3.3077999999999999</v>
      </c>
      <c r="T5011">
        <v>-0.25266830000000001</v>
      </c>
      <c r="U5011">
        <v>-0.33316040000000002</v>
      </c>
      <c r="V5011">
        <v>-6.5279539999999997E-2</v>
      </c>
      <c r="W5011">
        <v>0.37460349999999998</v>
      </c>
      <c r="X5011">
        <v>0.92488419999999905</v>
      </c>
      <c r="Y5011">
        <v>-0.10131080000000001</v>
      </c>
      <c r="Z5011">
        <v>-4.4337400000000003E-3</v>
      </c>
      <c r="AA5011">
        <v>0.99484490000000003</v>
      </c>
      <c r="AB5011">
        <v>39</v>
      </c>
      <c r="AC5011">
        <v>-14.297799999999899</v>
      </c>
      <c r="AD5011">
        <v>-1.11022178303699</v>
      </c>
      <c r="AE5011">
        <v>-1.4641999999999999</v>
      </c>
      <c r="AF5011">
        <v>-1.47594770398029</v>
      </c>
      <c r="AG5011">
        <v>-1.11022178303699</v>
      </c>
      <c r="AH5011">
        <v>14.210884917518401</v>
      </c>
      <c r="AI5011">
        <v>94.443340293594503</v>
      </c>
      <c r="AJ5011">
        <v>95.929501134873206</v>
      </c>
      <c r="AK5011">
        <v>14.330396511309999</v>
      </c>
      <c r="AL5011">
        <v>68.000190973418398</v>
      </c>
      <c r="AM5011">
        <v>94.037315894456398</v>
      </c>
      <c r="AN5011">
        <v>0.99999999198224998</v>
      </c>
    </row>
    <row r="5012" spans="1:40" x14ac:dyDescent="0.25">
      <c r="A5012" t="str">
        <f>"20190304164949101"</f>
        <v>20190304164949101</v>
      </c>
      <c r="B5012" t="str">
        <f>"1551689389091045"</f>
        <v>1551689389091045</v>
      </c>
      <c r="C5012" t="s">
        <v>40</v>
      </c>
      <c r="D5012">
        <v>4.4537269999999998</v>
      </c>
      <c r="E5012">
        <v>0.4969692</v>
      </c>
      <c r="F5012" t="s">
        <v>48</v>
      </c>
      <c r="G5012">
        <v>-312.50720000000001</v>
      </c>
      <c r="H5012" s="1">
        <v>-8.7225800000000004E-6</v>
      </c>
      <c r="I5012">
        <v>140.35820000000001</v>
      </c>
      <c r="J5012">
        <v>-298.39010000000002</v>
      </c>
      <c r="K5012">
        <v>1.11026</v>
      </c>
      <c r="L5012">
        <v>141.81739999999999</v>
      </c>
      <c r="M5012">
        <v>-0.99995120000000004</v>
      </c>
      <c r="N5012">
        <v>-9.7838209999999998E-3</v>
      </c>
      <c r="O5012">
        <v>1.4373610000000001E-3</v>
      </c>
      <c r="P5012">
        <v>-0.92870649999999999</v>
      </c>
      <c r="Q5012">
        <v>0.36524909999999999</v>
      </c>
      <c r="R5012">
        <v>-6.4010529999999996E-2</v>
      </c>
      <c r="S5012">
        <v>-3.3080750000000001</v>
      </c>
      <c r="T5012">
        <v>-0.2539515</v>
      </c>
      <c r="U5012">
        <v>-0.33367920000000001</v>
      </c>
      <c r="V5012">
        <v>-6.5331719999999996E-2</v>
      </c>
      <c r="W5012">
        <v>0.37431920000000002</v>
      </c>
      <c r="X5012">
        <v>0.92499560000000003</v>
      </c>
      <c r="Y5012">
        <v>-0.1014521</v>
      </c>
      <c r="Z5012">
        <v>-4.4728509999999999E-3</v>
      </c>
      <c r="AA5012">
        <v>0.9948304</v>
      </c>
      <c r="AB5012">
        <v>39</v>
      </c>
      <c r="AC5012">
        <v>-14.117099999999899</v>
      </c>
      <c r="AD5012">
        <v>-1.1102687225799901</v>
      </c>
      <c r="AE5012">
        <v>-1.4591999999999801</v>
      </c>
      <c r="AF5012">
        <v>-1.47049145692529</v>
      </c>
      <c r="AG5012">
        <v>-1.1102687225799901</v>
      </c>
      <c r="AH5012">
        <v>14.0291299659572</v>
      </c>
      <c r="AI5012">
        <v>94.500418095843699</v>
      </c>
      <c r="AJ5012">
        <v>95.983722533161497</v>
      </c>
      <c r="AK5012">
        <v>14.149612339670201</v>
      </c>
      <c r="AL5012">
        <v>68.017758009423005</v>
      </c>
      <c r="AM5012">
        <v>94.040047362127893</v>
      </c>
      <c r="AN5012">
        <v>0.99999997857307898</v>
      </c>
    </row>
    <row r="5013" spans="1:40" x14ac:dyDescent="0.25">
      <c r="A5013" t="str">
        <f>"20190304164949122"</f>
        <v>20190304164949122</v>
      </c>
      <c r="B5013" t="str">
        <f>"1551689389110566"</f>
        <v>1551689389110566</v>
      </c>
      <c r="C5013" t="s">
        <v>40</v>
      </c>
      <c r="D5013">
        <v>4.4440689999999998</v>
      </c>
      <c r="E5013">
        <v>0.49688349999999998</v>
      </c>
      <c r="F5013" t="s">
        <v>48</v>
      </c>
      <c r="G5013">
        <v>-312.666</v>
      </c>
      <c r="H5013" s="1">
        <v>-8.666217E-6</v>
      </c>
      <c r="I5013">
        <v>140.37119999999999</v>
      </c>
      <c r="J5013">
        <v>-298.74169999999998</v>
      </c>
      <c r="K5013">
        <v>1.110304</v>
      </c>
      <c r="L5013">
        <v>141.81790000000001</v>
      </c>
      <c r="M5013">
        <v>-0.99994830000000001</v>
      </c>
      <c r="N5013">
        <v>-1.0080830000000001E-2</v>
      </c>
      <c r="O5013">
        <v>1.437081E-3</v>
      </c>
      <c r="P5013">
        <v>-0.92911049999999995</v>
      </c>
      <c r="Q5013">
        <v>0.3641778</v>
      </c>
      <c r="R5013">
        <v>-6.4253389999999994E-2</v>
      </c>
      <c r="S5013">
        <v>-3.308411</v>
      </c>
      <c r="T5013">
        <v>-0.25730160000000002</v>
      </c>
      <c r="U5013">
        <v>-0.33515929999999999</v>
      </c>
      <c r="V5013">
        <v>-6.5574839999999995E-2</v>
      </c>
      <c r="W5013">
        <v>0.37352669999999999</v>
      </c>
      <c r="X5013">
        <v>0.92529870000000003</v>
      </c>
      <c r="Y5013">
        <v>-0.1018714</v>
      </c>
      <c r="Z5013">
        <v>-4.5578950000000002E-3</v>
      </c>
      <c r="AA5013">
        <v>0.99478719999999998</v>
      </c>
      <c r="AB5013">
        <v>39</v>
      </c>
      <c r="AC5013">
        <v>-13.924300000000001</v>
      </c>
      <c r="AD5013">
        <v>-1.110312666217</v>
      </c>
      <c r="AE5013">
        <v>-1.4467000000000201</v>
      </c>
      <c r="AF5013">
        <v>-1.45754129359426</v>
      </c>
      <c r="AG5013">
        <v>-1.110312666217</v>
      </c>
      <c r="AH5013">
        <v>13.835177164354899</v>
      </c>
      <c r="AI5013">
        <v>94.5631719419777</v>
      </c>
      <c r="AJ5013">
        <v>96.013949103981901</v>
      </c>
      <c r="AK5013">
        <v>13.955978934076301</v>
      </c>
      <c r="AL5013">
        <v>68.066716164587703</v>
      </c>
      <c r="AM5013">
        <v>94.053707718381901</v>
      </c>
      <c r="AN5013">
        <v>0.99999996973780203</v>
      </c>
    </row>
    <row r="5014" spans="1:40" x14ac:dyDescent="0.25">
      <c r="A5014" t="str">
        <f>"20190304164949134"</f>
        <v>20190304164949134</v>
      </c>
      <c r="B5014" t="str">
        <f>"1551689389131062"</f>
        <v>1551689389131062</v>
      </c>
      <c r="C5014" t="s">
        <v>40</v>
      </c>
      <c r="D5014">
        <v>4.492426</v>
      </c>
      <c r="E5014">
        <v>0.4967993</v>
      </c>
      <c r="F5014" t="s">
        <v>48</v>
      </c>
      <c r="G5014">
        <v>-312.7509</v>
      </c>
      <c r="H5014" s="1">
        <v>-8.6402730000000004E-6</v>
      </c>
      <c r="I5014">
        <v>140.3938</v>
      </c>
      <c r="J5014">
        <v>-298.97910000000002</v>
      </c>
      <c r="K5014">
        <v>1.110333</v>
      </c>
      <c r="L5014">
        <v>141.81829999999999</v>
      </c>
      <c r="M5014">
        <v>-0.99994620000000001</v>
      </c>
      <c r="N5014">
        <v>-1.0287579999999999E-2</v>
      </c>
      <c r="O5014">
        <v>1.437044E-3</v>
      </c>
      <c r="P5014">
        <v>-0.92930950000000001</v>
      </c>
      <c r="Q5014">
        <v>0.36366890000000002</v>
      </c>
      <c r="R5014">
        <v>-6.4260499999999998E-2</v>
      </c>
      <c r="S5014">
        <v>-3.308411</v>
      </c>
      <c r="T5014">
        <v>-0.26221230000000001</v>
      </c>
      <c r="U5014">
        <v>-0.33631899999999998</v>
      </c>
      <c r="V5014">
        <v>-6.5582470000000004E-2</v>
      </c>
      <c r="W5014">
        <v>0.37321179999999998</v>
      </c>
      <c r="X5014">
        <v>0.92542519999999995</v>
      </c>
      <c r="Y5014">
        <v>-0.102201899999999</v>
      </c>
      <c r="Z5014">
        <v>-4.6600809999999999E-3</v>
      </c>
      <c r="AA5014">
        <v>0.99475279999999999</v>
      </c>
      <c r="AB5014">
        <v>39</v>
      </c>
      <c r="AC5014">
        <v>-13.771799999999899</v>
      </c>
      <c r="AD5014">
        <v>-1.110341640273</v>
      </c>
      <c r="AE5014">
        <v>-1.4244999999999901</v>
      </c>
      <c r="AF5014">
        <v>-1.43506071124002</v>
      </c>
      <c r="AG5014">
        <v>-1.110341640273</v>
      </c>
      <c r="AH5014">
        <v>13.681744919359399</v>
      </c>
      <c r="AI5014">
        <v>94.614465745652396</v>
      </c>
      <c r="AJ5014">
        <v>95.987786526406296</v>
      </c>
      <c r="AK5014">
        <v>13.8015362130991</v>
      </c>
      <c r="AL5014">
        <v>68.086164745269102</v>
      </c>
      <c r="AM5014">
        <v>94.053625483363803</v>
      </c>
      <c r="AN5014">
        <v>0.99999995441278899</v>
      </c>
    </row>
    <row r="5015" spans="1:40" x14ac:dyDescent="0.25">
      <c r="A5015" t="str">
        <f>"20190304164949148"</f>
        <v>20190304164949148</v>
      </c>
      <c r="B5015" t="str">
        <f>"1551689389140822"</f>
        <v>1551689389140822</v>
      </c>
      <c r="C5015" t="s">
        <v>40</v>
      </c>
      <c r="D5015">
        <v>4.456461</v>
      </c>
      <c r="E5015">
        <v>0.49675619999999998</v>
      </c>
      <c r="F5015" t="s">
        <v>48</v>
      </c>
      <c r="G5015">
        <v>-312.8528</v>
      </c>
      <c r="H5015" s="1">
        <v>-8.6050130000000003E-6</v>
      </c>
      <c r="I5015">
        <v>140.4057</v>
      </c>
      <c r="J5015">
        <v>-299.21589999999998</v>
      </c>
      <c r="K5015">
        <v>1.1103639999999999</v>
      </c>
      <c r="L5015">
        <v>141.8186</v>
      </c>
      <c r="M5015">
        <v>-0.99994400000000006</v>
      </c>
      <c r="N5015">
        <v>-1.050065E-2</v>
      </c>
      <c r="O5015">
        <v>1.4369529999999999E-3</v>
      </c>
      <c r="P5015">
        <v>-0.92936989999999997</v>
      </c>
      <c r="Q5015">
        <v>0.363512</v>
      </c>
      <c r="R5015">
        <v>-6.4274040000000005E-2</v>
      </c>
      <c r="S5015">
        <v>-3.3085019999999998</v>
      </c>
      <c r="T5015">
        <v>-0.2647854</v>
      </c>
      <c r="U5015">
        <v>-0.33685300000000001</v>
      </c>
      <c r="V5015">
        <v>-6.5595440000000005E-2</v>
      </c>
      <c r="W5015">
        <v>0.37325249999999999</v>
      </c>
      <c r="X5015">
        <v>0.92540789999999995</v>
      </c>
      <c r="Y5015">
        <v>-0.10234989999999999</v>
      </c>
      <c r="Z5015">
        <v>-4.7178239999999998E-3</v>
      </c>
      <c r="AA5015">
        <v>0.99473730000000005</v>
      </c>
      <c r="AB5015">
        <v>39</v>
      </c>
      <c r="AC5015">
        <v>-13.636900000000001</v>
      </c>
      <c r="AD5015">
        <v>-1.1103726050129901</v>
      </c>
      <c r="AE5015">
        <v>-1.4129</v>
      </c>
      <c r="AF5015">
        <v>-1.4231600224427601</v>
      </c>
      <c r="AG5015">
        <v>-1.1103726050129901</v>
      </c>
      <c r="AH5015">
        <v>13.546000905044499</v>
      </c>
      <c r="AI5015">
        <v>94.660550723443194</v>
      </c>
      <c r="AJ5015">
        <v>95.997565007204699</v>
      </c>
      <c r="AK5015">
        <v>13.6657400930542</v>
      </c>
      <c r="AL5015">
        <v>68.083651897809503</v>
      </c>
      <c r="AM5015">
        <v>94.054500022966494</v>
      </c>
      <c r="AN5015">
        <v>0.99999998594372597</v>
      </c>
    </row>
    <row r="5016" spans="1:40" x14ac:dyDescent="0.25">
      <c r="A5016" t="str">
        <f>"20190304164949161"</f>
        <v>20190304164949161</v>
      </c>
      <c r="B5016" t="str">
        <f>"1551689389150582"</f>
        <v>1551689389150582</v>
      </c>
      <c r="C5016" t="s">
        <v>40</v>
      </c>
      <c r="D5016">
        <v>4.4647649999999999</v>
      </c>
      <c r="E5016">
        <v>0.49671140000000003</v>
      </c>
      <c r="F5016" t="s">
        <v>48</v>
      </c>
      <c r="G5016">
        <v>-313.03590000000003</v>
      </c>
      <c r="H5016" s="1">
        <v>-8.5379190000000003E-6</v>
      </c>
      <c r="I5016">
        <v>140.41249999999999</v>
      </c>
      <c r="J5016">
        <v>-299.43099999999998</v>
      </c>
      <c r="K5016">
        <v>1.1103959999999999</v>
      </c>
      <c r="L5016">
        <v>141.81890000000001</v>
      </c>
      <c r="M5016">
        <v>-0.99994159999999999</v>
      </c>
      <c r="N5016">
        <v>-1.070428E-2</v>
      </c>
      <c r="O5016">
        <v>1.4370679999999999E-3</v>
      </c>
      <c r="P5016">
        <v>-0.92946419999999996</v>
      </c>
      <c r="Q5016">
        <v>0.36327720000000002</v>
      </c>
      <c r="R5016">
        <v>-6.4233940000000003E-2</v>
      </c>
      <c r="S5016">
        <v>-3.3086549999999999</v>
      </c>
      <c r="T5016">
        <v>-0.26583649999999998</v>
      </c>
      <c r="U5016">
        <v>-0.33663939999999998</v>
      </c>
      <c r="V5016">
        <v>-6.5556130000000004E-2</v>
      </c>
      <c r="W5016">
        <v>0.37320740000000002</v>
      </c>
      <c r="X5016">
        <v>0.9254289</v>
      </c>
      <c r="Y5016">
        <v>-0.1022786</v>
      </c>
      <c r="Z5016">
        <v>-4.7411900000000002E-3</v>
      </c>
      <c r="AA5016">
        <v>0.99474450000000003</v>
      </c>
      <c r="AB5016">
        <v>39</v>
      </c>
      <c r="AC5016">
        <v>-13.604900000000001</v>
      </c>
      <c r="AD5016">
        <v>-1.110404537919</v>
      </c>
      <c r="AE5016">
        <v>-1.4064000000000101</v>
      </c>
      <c r="AF5016">
        <v>-1.41661384652776</v>
      </c>
      <c r="AG5016">
        <v>-1.110404537919</v>
      </c>
      <c r="AH5016">
        <v>13.513794489394099</v>
      </c>
      <c r="AI5016">
        <v>94.671855501122494</v>
      </c>
      <c r="AJ5016">
        <v>95.984302581036303</v>
      </c>
      <c r="AK5016">
        <v>13.6331373692772</v>
      </c>
      <c r="AL5016">
        <v>68.086437744873095</v>
      </c>
      <c r="AM5016">
        <v>94.051986696356494</v>
      </c>
      <c r="AN5016">
        <v>1.0000000092752701</v>
      </c>
    </row>
    <row r="5017" spans="1:40" x14ac:dyDescent="0.25">
      <c r="A5017" t="str">
        <f>"20190304164949179"</f>
        <v>20190304164949179</v>
      </c>
      <c r="B5017" t="str">
        <f>"1551689389171081"</f>
        <v>1551689389171081</v>
      </c>
      <c r="C5017" t="s">
        <v>40</v>
      </c>
      <c r="D5017">
        <v>4.6513119999999999</v>
      </c>
      <c r="E5017">
        <v>0.49670799999999998</v>
      </c>
      <c r="F5017" t="s">
        <v>48</v>
      </c>
      <c r="G5017">
        <v>-313.19709999999998</v>
      </c>
      <c r="H5017" s="1">
        <v>-8.4787779999999905E-6</v>
      </c>
      <c r="I5017">
        <v>140.41839999999999</v>
      </c>
      <c r="J5017">
        <v>-299.74369999999999</v>
      </c>
      <c r="K5017">
        <v>1.1104480000000001</v>
      </c>
      <c r="L5017">
        <v>141.8194</v>
      </c>
      <c r="M5017">
        <v>-0.99993840000000001</v>
      </c>
      <c r="N5017">
        <v>-1.102095E-2</v>
      </c>
      <c r="O5017">
        <v>1.4364849999999999E-3</v>
      </c>
      <c r="P5017">
        <v>-0.92935630000000002</v>
      </c>
      <c r="Q5017">
        <v>0.36359920000000001</v>
      </c>
      <c r="R5017">
        <v>-6.3974859999999995E-2</v>
      </c>
      <c r="S5017">
        <v>-3.308716</v>
      </c>
      <c r="T5017">
        <v>-0.26688919999999999</v>
      </c>
      <c r="U5017">
        <v>-0.33662409999999998</v>
      </c>
      <c r="V5017">
        <v>-6.5296030000000005E-2</v>
      </c>
      <c r="W5017">
        <v>0.37382090000000001</v>
      </c>
      <c r="X5017">
        <v>0.92519960000000001</v>
      </c>
      <c r="Y5017">
        <v>-0.1022676</v>
      </c>
      <c r="Z5017">
        <v>-4.7730000000000003E-3</v>
      </c>
      <c r="AA5017">
        <v>0.99474549999999995</v>
      </c>
      <c r="AB5017">
        <v>39</v>
      </c>
      <c r="AC5017">
        <v>-13.453399999999901</v>
      </c>
      <c r="AD5017">
        <v>-1.11045647877799</v>
      </c>
      <c r="AE5017">
        <v>-1.40100000000001</v>
      </c>
      <c r="AF5017">
        <v>-1.41081654482315</v>
      </c>
      <c r="AG5017">
        <v>-1.11045647877799</v>
      </c>
      <c r="AH5017">
        <v>13.361319287974499</v>
      </c>
      <c r="AI5017">
        <v>94.724776110777896</v>
      </c>
      <c r="AJ5017">
        <v>96.027504898086605</v>
      </c>
      <c r="AK5017">
        <v>13.4814083103215</v>
      </c>
      <c r="AL5017">
        <v>68.048543274448406</v>
      </c>
      <c r="AM5017">
        <v>94.036960257968204</v>
      </c>
      <c r="AN5017">
        <v>0.99999996832536497</v>
      </c>
    </row>
    <row r="5018" spans="1:40" x14ac:dyDescent="0.25">
      <c r="A5018" t="str">
        <f>"20190304164949192"</f>
        <v>20190304164949192</v>
      </c>
      <c r="B5018" t="str">
        <f>"1551689389180838"</f>
        <v>1551689389180838</v>
      </c>
      <c r="C5018" t="s">
        <v>40</v>
      </c>
      <c r="D5018">
        <v>4.8058339999999999</v>
      </c>
      <c r="E5018">
        <v>0.513069</v>
      </c>
      <c r="F5018" t="s">
        <v>48</v>
      </c>
      <c r="G5018">
        <v>-313.55009999999999</v>
      </c>
      <c r="H5018" s="1">
        <v>-8.3462959999999906E-6</v>
      </c>
      <c r="I5018">
        <v>140.41999999999999</v>
      </c>
      <c r="J5018">
        <v>-299.97280000000001</v>
      </c>
      <c r="K5018">
        <v>1.1104780000000001</v>
      </c>
      <c r="L5018">
        <v>141.81970000000001</v>
      </c>
      <c r="M5018">
        <v>-0.99993560000000004</v>
      </c>
      <c r="N5018">
        <v>-1.1265549999999999E-2</v>
      </c>
      <c r="O5018">
        <v>1.43631799999999E-3</v>
      </c>
      <c r="P5018">
        <v>-0.92933080000000001</v>
      </c>
      <c r="Q5018">
        <v>0.36365399999999998</v>
      </c>
      <c r="R5018">
        <v>-6.4035069999999999E-2</v>
      </c>
      <c r="S5018">
        <v>-3.3090519999999999</v>
      </c>
      <c r="T5018">
        <v>-0.26614690000000002</v>
      </c>
      <c r="U5018">
        <v>-0.33538820000000003</v>
      </c>
      <c r="V5018">
        <v>-6.5355540000000004E-2</v>
      </c>
      <c r="W5018">
        <v>0.37410169999999998</v>
      </c>
      <c r="X5018">
        <v>0.92508190000000001</v>
      </c>
      <c r="Y5018">
        <v>-0.10189189999999999</v>
      </c>
      <c r="Z5018">
        <v>-4.755965E-3</v>
      </c>
      <c r="AA5018">
        <v>0.99478409999999995</v>
      </c>
      <c r="AB5018">
        <v>39</v>
      </c>
      <c r="AC5018">
        <v>-13.5772999999999</v>
      </c>
      <c r="AD5018">
        <v>-1.110486346296</v>
      </c>
      <c r="AE5018">
        <v>-1.3997000000000199</v>
      </c>
      <c r="AF5018">
        <v>-1.40986884655858</v>
      </c>
      <c r="AG5018">
        <v>-1.110486346296</v>
      </c>
      <c r="AH5018">
        <v>13.4860082741636</v>
      </c>
      <c r="AI5018">
        <v>94.681919050497498</v>
      </c>
      <c r="AJ5018">
        <v>95.968197636617205</v>
      </c>
      <c r="AK5018">
        <v>13.6049009279971</v>
      </c>
      <c r="AL5018">
        <v>68.031196130729896</v>
      </c>
      <c r="AM5018">
        <v>94.041139706622104</v>
      </c>
      <c r="AN5018">
        <v>0.99999997512959504</v>
      </c>
    </row>
    <row r="5019" spans="1:40" x14ac:dyDescent="0.25">
      <c r="A5019" t="str">
        <f>"20190304164949207"</f>
        <v>20190304164949207</v>
      </c>
      <c r="B5019" t="str">
        <f>"1551689389200358"</f>
        <v>1551689389200358</v>
      </c>
      <c r="C5019" t="s">
        <v>40</v>
      </c>
      <c r="D5019">
        <v>4.5390459999999999</v>
      </c>
      <c r="E5019">
        <v>0.53024110000000002</v>
      </c>
      <c r="F5019" t="s">
        <v>48</v>
      </c>
      <c r="G5019">
        <v>-313.05329999999998</v>
      </c>
      <c r="H5019" s="1">
        <v>-8.6880750000000007E-6</v>
      </c>
      <c r="I5019">
        <v>141.00620000000001</v>
      </c>
      <c r="J5019">
        <v>-300.21030000000002</v>
      </c>
      <c r="K5019">
        <v>1.1105130000000001</v>
      </c>
      <c r="L5019">
        <v>141.82</v>
      </c>
      <c r="M5019">
        <v>-0.99993270000000001</v>
      </c>
      <c r="N5019">
        <v>-1.1518779999999999E-2</v>
      </c>
      <c r="O5019">
        <v>1.4358929999999999E-3</v>
      </c>
      <c r="P5019">
        <v>-0.92937179999999997</v>
      </c>
      <c r="Q5019">
        <v>0.36355219999999999</v>
      </c>
      <c r="R5019">
        <v>-6.4017489999999996E-2</v>
      </c>
      <c r="S5019">
        <v>-3.3243100000000001</v>
      </c>
      <c r="T5019">
        <v>-0.28222129999999901</v>
      </c>
      <c r="U5019">
        <v>-0.20674129999999999</v>
      </c>
      <c r="V5019">
        <v>-6.5338090000000001E-2</v>
      </c>
      <c r="W5019">
        <v>0.37423479999999998</v>
      </c>
      <c r="X5019">
        <v>0.92502930000000005</v>
      </c>
      <c r="Y5019">
        <v>-6.3242549999999995E-2</v>
      </c>
      <c r="Z5019">
        <v>-3.1475449999999999E-3</v>
      </c>
      <c r="AA5019">
        <v>0.99799320000000002</v>
      </c>
      <c r="AB5019">
        <v>39</v>
      </c>
      <c r="AC5019">
        <v>-12.8429999999999</v>
      </c>
      <c r="AD5019">
        <v>-1.110521688075</v>
      </c>
      <c r="AE5019">
        <v>-0.81379999999998598</v>
      </c>
      <c r="AF5019">
        <v>-0.82608967416224199</v>
      </c>
      <c r="AG5019">
        <v>-1.110521688075</v>
      </c>
      <c r="AH5019">
        <v>12.746892154367099</v>
      </c>
      <c r="AI5019">
        <v>94.968721474761196</v>
      </c>
      <c r="AJ5019">
        <v>93.707990484677097</v>
      </c>
      <c r="AK5019">
        <v>12.821815088532</v>
      </c>
      <c r="AL5019">
        <v>68.022972803103599</v>
      </c>
      <c r="AM5019">
        <v>94.040293260995696</v>
      </c>
      <c r="AN5019">
        <v>0.99999997869718804</v>
      </c>
    </row>
    <row r="5020" spans="1:40" x14ac:dyDescent="0.25">
      <c r="A5020" t="str">
        <f>"20190304164949221"</f>
        <v>20190304164949221</v>
      </c>
      <c r="B5020" t="str">
        <f>"1551689389211094"</f>
        <v>1551689389211094</v>
      </c>
      <c r="C5020" t="s">
        <v>40</v>
      </c>
      <c r="D5020">
        <v>4.5342010000000004</v>
      </c>
      <c r="E5020">
        <v>0.53418549999999998</v>
      </c>
      <c r="F5020" t="s">
        <v>41</v>
      </c>
      <c r="G5020">
        <v>-301.08909999999997</v>
      </c>
      <c r="H5020">
        <v>1.0302849999999999</v>
      </c>
      <c r="I5020">
        <v>141.80160000000001</v>
      </c>
      <c r="J5020">
        <v>-300.47469999999998</v>
      </c>
      <c r="K5020">
        <v>1.110547</v>
      </c>
      <c r="L5020">
        <v>141.82040000000001</v>
      </c>
      <c r="M5020">
        <v>-0.99992950000000003</v>
      </c>
      <c r="N5020">
        <v>-1.1794000000000001E-2</v>
      </c>
      <c r="O5020">
        <v>1.4359609999999999E-3</v>
      </c>
      <c r="P5020">
        <v>-0.92942290000000005</v>
      </c>
      <c r="Q5020">
        <v>0.3634114</v>
      </c>
      <c r="R5020">
        <v>-6.4070929999999998E-2</v>
      </c>
      <c r="S5020">
        <v>-3.3424990000000001</v>
      </c>
      <c r="T5020">
        <v>-0.30522919999999998</v>
      </c>
      <c r="U5020">
        <v>-7.1365360000000003E-2</v>
      </c>
      <c r="V5020">
        <v>-6.5391290000000005E-2</v>
      </c>
      <c r="W5020">
        <v>0.3743493</v>
      </c>
      <c r="X5020">
        <v>0.9249792</v>
      </c>
      <c r="Y5020">
        <v>-2.2670699999999998E-2</v>
      </c>
      <c r="Z5020">
        <v>-1.2808120000000001E-3</v>
      </c>
      <c r="AA5020">
        <v>0.99974220000000003</v>
      </c>
      <c r="AB5020">
        <v>39</v>
      </c>
      <c r="AC5020">
        <v>-0.61439999999998895</v>
      </c>
      <c r="AD5020">
        <v>-8.0261999999999806E-2</v>
      </c>
      <c r="AE5020">
        <v>-1.87999999999988E-2</v>
      </c>
      <c r="AF5020">
        <v>-1.9352348887836001E-2</v>
      </c>
      <c r="AG5020">
        <v>-8.0261999999999806E-2</v>
      </c>
      <c r="AH5020">
        <v>0.60407323482162201</v>
      </c>
      <c r="AI5020">
        <v>97.564609672448896</v>
      </c>
      <c r="AJ5020">
        <v>91.834924557450506</v>
      </c>
      <c r="AK5020">
        <v>0.60968924468070995</v>
      </c>
      <c r="AL5020">
        <v>68.015897983449094</v>
      </c>
      <c r="AM5020">
        <v>94.043790353585706</v>
      </c>
      <c r="AN5020">
        <v>0.99999996982549599</v>
      </c>
    </row>
    <row r="5021" spans="1:40" x14ac:dyDescent="0.25">
      <c r="A5021" t="str">
        <f>"20190304164949236"</f>
        <v>20190304164949236</v>
      </c>
      <c r="B5021" t="str">
        <f>"1551689389230614"</f>
        <v>1551689389230614</v>
      </c>
      <c r="C5021" t="s">
        <v>40</v>
      </c>
      <c r="D5021">
        <v>4.4876649999999998</v>
      </c>
      <c r="E5021">
        <v>0.5389794</v>
      </c>
      <c r="F5021" t="s">
        <v>41</v>
      </c>
      <c r="G5021">
        <v>-301.42450000000002</v>
      </c>
      <c r="H5021">
        <v>1.019015</v>
      </c>
      <c r="I5021">
        <v>141.80869999999999</v>
      </c>
      <c r="J5021">
        <v>-300.72789999999998</v>
      </c>
      <c r="K5021">
        <v>1.110574</v>
      </c>
      <c r="L5021">
        <v>141.82079999999999</v>
      </c>
      <c r="M5021">
        <v>-0.99992650000000005</v>
      </c>
      <c r="N5021">
        <v>-1.2047510000000001E-2</v>
      </c>
      <c r="O5021">
        <v>1.4356460000000001E-3</v>
      </c>
      <c r="P5021">
        <v>-0.92957979999999996</v>
      </c>
      <c r="Q5021">
        <v>0.36299439999999999</v>
      </c>
      <c r="R5021">
        <v>-6.4160750000000003E-2</v>
      </c>
      <c r="S5021">
        <v>-3.3512270000000002</v>
      </c>
      <c r="T5021">
        <v>-0.32289830000000003</v>
      </c>
      <c r="U5021">
        <v>-4.1275020000000003E-2</v>
      </c>
      <c r="V5021">
        <v>-6.5481129999999999E-2</v>
      </c>
      <c r="W5021">
        <v>0.37416850000000001</v>
      </c>
      <c r="X5021">
        <v>0.92504600000000003</v>
      </c>
      <c r="Y5021">
        <v>-1.367472E-2</v>
      </c>
      <c r="Z5021">
        <v>-8.6058409999999999E-4</v>
      </c>
      <c r="AA5021">
        <v>0.99990610000000002</v>
      </c>
      <c r="AB5021">
        <v>38</v>
      </c>
      <c r="AC5021">
        <v>-0.69660000000004596</v>
      </c>
      <c r="AD5021">
        <v>-9.1558999999999904E-2</v>
      </c>
      <c r="AE5021">
        <v>-1.21000000000037E-2</v>
      </c>
      <c r="AF5021">
        <v>-1.2877726636364601E-2</v>
      </c>
      <c r="AG5021">
        <v>-9.1558999999999904E-2</v>
      </c>
      <c r="AH5021">
        <v>0.68475585484123902</v>
      </c>
      <c r="AI5021">
        <v>97.6145403619077</v>
      </c>
      <c r="AJ5021">
        <v>91.077394831461305</v>
      </c>
      <c r="AK5021">
        <v>0.69096994657052702</v>
      </c>
      <c r="AL5021">
        <v>68.027069000378802</v>
      </c>
      <c r="AM5021">
        <v>94.049036140841196</v>
      </c>
      <c r="AN5021">
        <v>0.99999997344716296</v>
      </c>
    </row>
    <row r="5022" spans="1:40" x14ac:dyDescent="0.25">
      <c r="A5022" t="str">
        <f>"20190304164949250"</f>
        <v>20190304164949250</v>
      </c>
      <c r="B5022" t="str">
        <f>"1551689389240374"</f>
        <v>1551689389240374</v>
      </c>
      <c r="C5022" t="s">
        <v>40</v>
      </c>
      <c r="D5022">
        <v>4.5413860000000001</v>
      </c>
      <c r="E5022">
        <v>0.54035809999999995</v>
      </c>
      <c r="F5022" t="s">
        <v>41</v>
      </c>
      <c r="G5022">
        <v>-301.76170000000002</v>
      </c>
      <c r="H5022">
        <v>1.006327</v>
      </c>
      <c r="I5022">
        <v>141.81970000000001</v>
      </c>
      <c r="J5022">
        <v>-300.9588</v>
      </c>
      <c r="K5022">
        <v>1.1105929999999999</v>
      </c>
      <c r="L5022">
        <v>141.8211</v>
      </c>
      <c r="M5022">
        <v>-0.99992380000000003</v>
      </c>
      <c r="N5022">
        <v>-1.2261899999999999E-2</v>
      </c>
      <c r="O5022">
        <v>1.4357160000000001E-3</v>
      </c>
      <c r="P5022">
        <v>-0.92970969999999997</v>
      </c>
      <c r="Q5022">
        <v>0.3626568</v>
      </c>
      <c r="R5022">
        <v>-6.4187789999999995E-2</v>
      </c>
      <c r="S5022">
        <v>-3.359283</v>
      </c>
      <c r="T5022">
        <v>-0.33885470000000001</v>
      </c>
      <c r="U5022">
        <v>-4.4555659999999898E-3</v>
      </c>
      <c r="V5022">
        <v>-6.5508430000000006E-2</v>
      </c>
      <c r="W5022">
        <v>0.3740309</v>
      </c>
      <c r="X5022">
        <v>0.92509969999999997</v>
      </c>
      <c r="Y5022">
        <v>-2.740934E-3</v>
      </c>
      <c r="Z5022">
        <v>-2.8163310000000003E-4</v>
      </c>
      <c r="AA5022">
        <v>0.9999962</v>
      </c>
      <c r="AB5022">
        <v>38</v>
      </c>
      <c r="AC5022">
        <v>-0.80290000000002204</v>
      </c>
      <c r="AD5022">
        <v>-0.104265999999999</v>
      </c>
      <c r="AE5022">
        <v>-1.39999999998963E-3</v>
      </c>
      <c r="AF5022">
        <v>-2.5104847177852101E-3</v>
      </c>
      <c r="AG5022">
        <v>-0.104265999999999</v>
      </c>
      <c r="AH5022">
        <v>0.78958163918755697</v>
      </c>
      <c r="AI5022">
        <v>97.522472869576305</v>
      </c>
      <c r="AJ5022">
        <v>90.182172035185999</v>
      </c>
      <c r="AK5022">
        <v>0.79644012093290895</v>
      </c>
      <c r="AL5022">
        <v>68.035569913292406</v>
      </c>
      <c r="AM5022">
        <v>94.050484269815101</v>
      </c>
      <c r="AN5022">
        <v>0.999999961747981</v>
      </c>
    </row>
    <row r="5023" spans="1:40" x14ac:dyDescent="0.25">
      <c r="A5023" t="str">
        <f>"20190304164949268"</f>
        <v>20190304164949268</v>
      </c>
      <c r="B5023" t="str">
        <f>"1551689389260873"</f>
        <v>1551689389260873</v>
      </c>
      <c r="C5023" t="s">
        <v>40</v>
      </c>
      <c r="D5023">
        <v>4.477913</v>
      </c>
      <c r="E5023">
        <v>0.54246749999999999</v>
      </c>
      <c r="F5023" t="s">
        <v>41</v>
      </c>
      <c r="G5023">
        <v>-301.77199999999999</v>
      </c>
      <c r="H5023">
        <v>1.0276179999999999</v>
      </c>
      <c r="I5023">
        <v>141.8229</v>
      </c>
      <c r="J5023">
        <v>-301.28160000000003</v>
      </c>
      <c r="K5023">
        <v>1.110616</v>
      </c>
      <c r="L5023">
        <v>141.82149999999999</v>
      </c>
      <c r="M5023">
        <v>-0.99992040000000004</v>
      </c>
      <c r="N5023">
        <v>-1.254239E-2</v>
      </c>
      <c r="O5023">
        <v>1.435471E-3</v>
      </c>
      <c r="P5023">
        <v>-0.92988999999999999</v>
      </c>
      <c r="Q5023">
        <v>0.36211450000000001</v>
      </c>
      <c r="R5023">
        <v>-6.4640539999999996E-2</v>
      </c>
      <c r="S5023">
        <v>-3.3610839999999902</v>
      </c>
      <c r="T5023">
        <v>-0.34312999999999999</v>
      </c>
      <c r="U5023">
        <v>6.17981E-3</v>
      </c>
      <c r="V5023">
        <v>-6.5960679999999994E-2</v>
      </c>
      <c r="W5023">
        <v>0.37375009999999997</v>
      </c>
      <c r="X5023">
        <v>0.92518109999999998</v>
      </c>
      <c r="Y5023">
        <v>4.064165E-4</v>
      </c>
      <c r="Z5023">
        <v>-1.04954E-4</v>
      </c>
      <c r="AA5023">
        <v>0.99999990000000005</v>
      </c>
      <c r="AB5023">
        <v>38</v>
      </c>
      <c r="AC5023">
        <v>-0.49039999999996498</v>
      </c>
      <c r="AD5023">
        <v>-8.2998000000000099E-2</v>
      </c>
      <c r="AE5023">
        <v>1.40000000001805E-3</v>
      </c>
      <c r="AF5023">
        <v>6.7660764400850296E-4</v>
      </c>
      <c r="AG5023">
        <v>-8.2998000000000099E-2</v>
      </c>
      <c r="AH5023">
        <v>0.47674569123895599</v>
      </c>
      <c r="AI5023">
        <v>99.875794716175406</v>
      </c>
      <c r="AJ5023">
        <v>89.918684663390593</v>
      </c>
      <c r="AK5023">
        <v>0.48391691427022199</v>
      </c>
      <c r="AL5023">
        <v>68.052917752433899</v>
      </c>
      <c r="AM5023">
        <v>94.077995913117803</v>
      </c>
      <c r="AN5023">
        <v>1.00000000817664</v>
      </c>
    </row>
    <row r="5024" spans="1:40" x14ac:dyDescent="0.25">
      <c r="A5024" t="str">
        <f>"20190304164949282"</f>
        <v>20190304164949282</v>
      </c>
      <c r="B5024" t="str">
        <f>"1551689389270630"</f>
        <v>1551689389270630</v>
      </c>
      <c r="C5024" t="s">
        <v>40</v>
      </c>
      <c r="D5024">
        <v>4.557213</v>
      </c>
      <c r="E5024">
        <v>0.54313239999999996</v>
      </c>
      <c r="F5024" t="s">
        <v>41</v>
      </c>
      <c r="G5024">
        <v>-302.11349999999999</v>
      </c>
      <c r="H5024">
        <v>1.024186</v>
      </c>
      <c r="I5024">
        <v>141.8271</v>
      </c>
      <c r="J5024">
        <v>-301.50490000000002</v>
      </c>
      <c r="K5024">
        <v>1.1106339999999999</v>
      </c>
      <c r="L5024">
        <v>141.8219</v>
      </c>
      <c r="M5024">
        <v>-0.99991810000000003</v>
      </c>
      <c r="N5024">
        <v>-1.272247E-2</v>
      </c>
      <c r="O5024">
        <v>1.4355279999999999E-3</v>
      </c>
      <c r="P5024">
        <v>-0.92986089999999999</v>
      </c>
      <c r="Q5024">
        <v>0.36210690000000001</v>
      </c>
      <c r="R5024">
        <v>-6.5097660000000002E-2</v>
      </c>
      <c r="S5024">
        <v>-3.3637999999999999</v>
      </c>
      <c r="T5024">
        <v>-0.34954350000000001</v>
      </c>
      <c r="U5024">
        <v>2.1545410000000001E-2</v>
      </c>
      <c r="V5024">
        <v>-6.6418420000000006E-2</v>
      </c>
      <c r="W5024">
        <v>0.3739093</v>
      </c>
      <c r="X5024">
        <v>0.92508400000000002</v>
      </c>
      <c r="Y5024">
        <v>4.9453739999999998E-3</v>
      </c>
      <c r="Z5024">
        <v>1.572605E-4</v>
      </c>
      <c r="AA5024">
        <v>0.99998779999999998</v>
      </c>
      <c r="AB5024">
        <v>38</v>
      </c>
      <c r="AC5024">
        <v>-0.60859999999996695</v>
      </c>
      <c r="AD5024">
        <v>-8.6447999999999997E-2</v>
      </c>
      <c r="AE5024">
        <v>5.2000000000020901E-3</v>
      </c>
      <c r="AF5024">
        <v>4.2407052641515296E-3</v>
      </c>
      <c r="AG5024">
        <v>-8.6447999999999997E-2</v>
      </c>
      <c r="AH5024">
        <v>0.59657099730993601</v>
      </c>
      <c r="AI5024">
        <v>98.245027508221099</v>
      </c>
      <c r="AJ5024">
        <v>89.592721700368998</v>
      </c>
      <c r="AK5024">
        <v>0.60281688356955399</v>
      </c>
      <c r="AL5024">
        <v>68.043082795340794</v>
      </c>
      <c r="AM5024">
        <v>94.1066285855985</v>
      </c>
      <c r="AN5024">
        <v>0.99999998909889298</v>
      </c>
    </row>
    <row r="5025" spans="1:40" x14ac:dyDescent="0.25">
      <c r="A5025" t="str">
        <f>"20190304164949301"</f>
        <v>20190304164949301</v>
      </c>
      <c r="B5025" t="str">
        <f>"1551689389291126"</f>
        <v>1551689389291126</v>
      </c>
      <c r="C5025" t="s">
        <v>40</v>
      </c>
      <c r="D5025">
        <v>4.5199949999999998</v>
      </c>
      <c r="E5025">
        <v>0.54402479999999998</v>
      </c>
      <c r="F5025" t="s">
        <v>41</v>
      </c>
      <c r="G5025">
        <v>-302.4504</v>
      </c>
      <c r="H5025">
        <v>1.012057</v>
      </c>
      <c r="I5025">
        <v>141.82929999999999</v>
      </c>
      <c r="J5025">
        <v>-301.84649999999999</v>
      </c>
      <c r="K5025">
        <v>1.1106579999999999</v>
      </c>
      <c r="L5025">
        <v>141.82239999999999</v>
      </c>
      <c r="M5025">
        <v>-0.99991479999999999</v>
      </c>
      <c r="N5025">
        <v>-1.2976039999999999E-2</v>
      </c>
      <c r="O5025">
        <v>1.435392E-3</v>
      </c>
      <c r="P5025">
        <v>-0.92977829999999995</v>
      </c>
      <c r="Q5025">
        <v>0.36224420000000002</v>
      </c>
      <c r="R5025">
        <v>-6.5510159999999998E-2</v>
      </c>
      <c r="S5025">
        <v>-3.364655</v>
      </c>
      <c r="T5025">
        <v>-0.35084749999999998</v>
      </c>
      <c r="U5025">
        <v>2.5466920000000001E-2</v>
      </c>
      <c r="V5025">
        <v>-6.683066E-2</v>
      </c>
      <c r="W5025">
        <v>0.3742799</v>
      </c>
      <c r="X5025">
        <v>0.92490439999999996</v>
      </c>
      <c r="Y5025">
        <v>6.1020019999999996E-3</v>
      </c>
      <c r="Z5025">
        <v>2.263039E-4</v>
      </c>
      <c r="AA5025">
        <v>0.99998129999999996</v>
      </c>
      <c r="AB5025">
        <v>38</v>
      </c>
      <c r="AC5025">
        <v>-0.60390000000000998</v>
      </c>
      <c r="AD5025">
        <v>-9.8600999999999897E-2</v>
      </c>
      <c r="AE5025">
        <v>6.90000000000168E-3</v>
      </c>
      <c r="AF5025">
        <v>5.87645090527311E-3</v>
      </c>
      <c r="AG5025">
        <v>-9.8600999999999897E-2</v>
      </c>
      <c r="AH5025">
        <v>0.58823011028431205</v>
      </c>
      <c r="AI5025">
        <v>99.515170630660805</v>
      </c>
      <c r="AJ5025">
        <v>89.427631076188504</v>
      </c>
      <c r="AK5025">
        <v>0.59646571780894198</v>
      </c>
      <c r="AL5025">
        <v>68.020185931256194</v>
      </c>
      <c r="AM5025">
        <v>94.132828819028106</v>
      </c>
      <c r="AN5025">
        <v>0.999999964899702</v>
      </c>
    </row>
    <row r="5026" spans="1:40" x14ac:dyDescent="0.25">
      <c r="A5026" t="str">
        <f>"20190304164949323"</f>
        <v>20190304164949323</v>
      </c>
      <c r="B5026" t="str">
        <f>"1551689389310646"</f>
        <v>1551689389310646</v>
      </c>
      <c r="C5026" t="s">
        <v>40</v>
      </c>
      <c r="D5026">
        <v>4.4985809999999997</v>
      </c>
      <c r="E5026">
        <v>0.54475379999999995</v>
      </c>
      <c r="F5026" t="s">
        <v>41</v>
      </c>
      <c r="G5026">
        <v>-302.79239999999999</v>
      </c>
      <c r="H5026">
        <v>1.011074</v>
      </c>
      <c r="I5026">
        <v>141.8313</v>
      </c>
      <c r="J5026">
        <v>-302.20339999999999</v>
      </c>
      <c r="K5026">
        <v>1.110681</v>
      </c>
      <c r="L5026">
        <v>141.8229</v>
      </c>
      <c r="M5026">
        <v>-0.99991169999999996</v>
      </c>
      <c r="N5026">
        <v>-1.321378E-2</v>
      </c>
      <c r="O5026">
        <v>1.435209E-3</v>
      </c>
      <c r="P5026">
        <v>-0.92970779999999997</v>
      </c>
      <c r="Q5026">
        <v>0.36240810000000001</v>
      </c>
      <c r="R5026">
        <v>-6.5601729999999997E-2</v>
      </c>
      <c r="S5026">
        <v>-3.3669129999999998</v>
      </c>
      <c r="T5026">
        <v>-0.3545412</v>
      </c>
      <c r="U5026">
        <v>3.1295780000000002E-2</v>
      </c>
      <c r="V5026">
        <v>-6.6921820000000007E-2</v>
      </c>
      <c r="W5026">
        <v>0.37466280000000002</v>
      </c>
      <c r="X5026">
        <v>0.92474279999999998</v>
      </c>
      <c r="Y5026">
        <v>7.8168100000000004E-3</v>
      </c>
      <c r="Z5026">
        <v>3.3043589999999902E-4</v>
      </c>
      <c r="AA5026">
        <v>0.99996940000000001</v>
      </c>
      <c r="AB5026">
        <v>38</v>
      </c>
      <c r="AC5026">
        <v>-0.58899999999999797</v>
      </c>
      <c r="AD5026">
        <v>-9.9607000000000001E-2</v>
      </c>
      <c r="AE5026">
        <v>8.3999999999946305E-3</v>
      </c>
      <c r="AF5026">
        <v>7.34457549560176E-3</v>
      </c>
      <c r="AG5026">
        <v>-9.9607000000000001E-2</v>
      </c>
      <c r="AH5026">
        <v>0.572637971674824</v>
      </c>
      <c r="AI5026">
        <v>99.8667388630533</v>
      </c>
      <c r="AJ5026">
        <v>89.265172541235103</v>
      </c>
      <c r="AK5026">
        <v>0.58128284323732304</v>
      </c>
      <c r="AL5026">
        <v>67.996526526596497</v>
      </c>
      <c r="AM5026">
        <v>94.139167293912294</v>
      </c>
      <c r="AN5026">
        <v>0.99999999492389602</v>
      </c>
    </row>
    <row r="5027" spans="1:40" x14ac:dyDescent="0.25">
      <c r="A5027" t="str">
        <f>"20190304164949336"</f>
        <v>20190304164949336</v>
      </c>
      <c r="B5027" t="str">
        <f>"1551689389331142"</f>
        <v>1551689389331142</v>
      </c>
      <c r="C5027" t="s">
        <v>40</v>
      </c>
      <c r="D5027">
        <v>4.5329519999999999</v>
      </c>
      <c r="E5027">
        <v>0.54548560000000001</v>
      </c>
      <c r="F5027" t="s">
        <v>41</v>
      </c>
      <c r="G5027">
        <v>-303.13490000000002</v>
      </c>
      <c r="H5027">
        <v>1.0121009999999999</v>
      </c>
      <c r="I5027">
        <v>141.83340000000001</v>
      </c>
      <c r="J5027">
        <v>-302.44069999999999</v>
      </c>
      <c r="K5027">
        <v>1.1106910000000001</v>
      </c>
      <c r="L5027">
        <v>141.82320000000001</v>
      </c>
      <c r="M5027">
        <v>-0.99990959999999995</v>
      </c>
      <c r="N5027">
        <v>-1.3359360000000001E-2</v>
      </c>
      <c r="O5027">
        <v>1.4349E-3</v>
      </c>
      <c r="P5027">
        <v>-0.92974979999999996</v>
      </c>
      <c r="Q5027">
        <v>0.36228510000000003</v>
      </c>
      <c r="R5027">
        <v>-6.5687670000000004E-2</v>
      </c>
      <c r="S5027">
        <v>-3.368439</v>
      </c>
      <c r="T5027">
        <v>-0.3566163</v>
      </c>
      <c r="U5027">
        <v>3.6712649999999999E-2</v>
      </c>
      <c r="V5027">
        <v>-6.7007430000000007E-2</v>
      </c>
      <c r="W5027">
        <v>0.37467519999999999</v>
      </c>
      <c r="X5027">
        <v>0.92473159999999999</v>
      </c>
      <c r="Y5027">
        <v>9.4102709999999996E-3</v>
      </c>
      <c r="Z5027">
        <v>4.2742769999999999E-4</v>
      </c>
      <c r="AA5027">
        <v>0.9999557</v>
      </c>
      <c r="AB5027">
        <v>38</v>
      </c>
      <c r="AC5027">
        <v>-0.69420000000002302</v>
      </c>
      <c r="AD5027">
        <v>-9.8590000000000094E-2</v>
      </c>
      <c r="AE5027">
        <v>1.0199999999997499E-2</v>
      </c>
      <c r="AF5027">
        <v>9.0218650764245008E-3</v>
      </c>
      <c r="AG5027">
        <v>-9.8590000000000094E-2</v>
      </c>
      <c r="AH5027">
        <v>0.680491664674307</v>
      </c>
      <c r="AI5027">
        <v>98.242969068063402</v>
      </c>
      <c r="AJ5027">
        <v>89.240424922089602</v>
      </c>
      <c r="AK5027">
        <v>0.687655646265387</v>
      </c>
      <c r="AL5027">
        <v>67.995760743679099</v>
      </c>
      <c r="AM5027">
        <v>94.144493921980001</v>
      </c>
      <c r="AN5027">
        <v>1.0000000166044001</v>
      </c>
    </row>
    <row r="5028" spans="1:40" x14ac:dyDescent="0.25">
      <c r="A5028" t="str">
        <f>"20190304164949357"</f>
        <v>20190304164949357</v>
      </c>
      <c r="B5028" t="str">
        <f>"1551689389350662"</f>
        <v>1551689389350662</v>
      </c>
      <c r="C5028" t="s">
        <v>40</v>
      </c>
      <c r="D5028">
        <v>4.4805029999999997</v>
      </c>
      <c r="E5028">
        <v>0.54607050000000001</v>
      </c>
      <c r="F5028" t="s">
        <v>41</v>
      </c>
      <c r="G5028">
        <v>-303.47109999999998</v>
      </c>
      <c r="H5028">
        <v>1.0012129999999999</v>
      </c>
      <c r="I5028">
        <v>141.8364</v>
      </c>
      <c r="J5028">
        <v>-302.79509999999999</v>
      </c>
      <c r="K5028">
        <v>1.1107020000000001</v>
      </c>
      <c r="L5028">
        <v>141.8237</v>
      </c>
      <c r="M5028">
        <v>-0.99990710000000005</v>
      </c>
      <c r="N5028">
        <v>-1.355281E-2</v>
      </c>
      <c r="O5028">
        <v>1.4346129999999999E-3</v>
      </c>
      <c r="P5028">
        <v>-0.92980189999999996</v>
      </c>
      <c r="Q5028">
        <v>0.36213820000000002</v>
      </c>
      <c r="R5028">
        <v>-6.5757679999999999E-2</v>
      </c>
      <c r="S5028">
        <v>-3.3691710000000001</v>
      </c>
      <c r="T5028">
        <v>-0.35796499999999998</v>
      </c>
      <c r="U5028">
        <v>4.2648320000000003E-2</v>
      </c>
      <c r="V5028">
        <v>-6.7077479999999995E-2</v>
      </c>
      <c r="W5028">
        <v>0.37470789999999998</v>
      </c>
      <c r="X5028">
        <v>0.92471329999999996</v>
      </c>
      <c r="Y5028">
        <v>1.1158039999999999E-2</v>
      </c>
      <c r="Z5028">
        <v>5.3433150000000004E-4</v>
      </c>
      <c r="AA5028">
        <v>0.99993759999999998</v>
      </c>
      <c r="AB5028">
        <v>38</v>
      </c>
      <c r="AC5028">
        <v>-0.67599999999998694</v>
      </c>
      <c r="AD5028">
        <v>-0.109489</v>
      </c>
      <c r="AE5028">
        <v>1.26999999999952E-2</v>
      </c>
      <c r="AF5028">
        <v>1.1430353037940299E-2</v>
      </c>
      <c r="AG5028">
        <v>-0.109489</v>
      </c>
      <c r="AH5028">
        <v>0.65874283659827504</v>
      </c>
      <c r="AI5028">
        <v>99.435412892036794</v>
      </c>
      <c r="AJ5028">
        <v>89.005916671577495</v>
      </c>
      <c r="AK5028">
        <v>0.66787769753235005</v>
      </c>
      <c r="AL5028">
        <v>67.993740565813297</v>
      </c>
      <c r="AM5028">
        <v>94.148893299408897</v>
      </c>
      <c r="AN5028">
        <v>1.0000000429212199</v>
      </c>
    </row>
    <row r="5029" spans="1:40" x14ac:dyDescent="0.25">
      <c r="A5029" t="str">
        <f>"20190304164949370"</f>
        <v>20190304164949370</v>
      </c>
      <c r="B5029" t="str">
        <f>"1551689389360422"</f>
        <v>1551689389360422</v>
      </c>
      <c r="C5029" t="s">
        <v>40</v>
      </c>
      <c r="D5029">
        <v>4.5337560000000003</v>
      </c>
      <c r="E5029">
        <v>0.54625749999999995</v>
      </c>
      <c r="F5029" t="s">
        <v>41</v>
      </c>
      <c r="G5029">
        <v>-303.81290000000001</v>
      </c>
      <c r="H5029">
        <v>1.0023249999999999</v>
      </c>
      <c r="I5029">
        <v>141.83850000000001</v>
      </c>
      <c r="J5029">
        <v>-303.03109999999998</v>
      </c>
      <c r="K5029">
        <v>1.1107089999999999</v>
      </c>
      <c r="L5029">
        <v>141.82399999999899</v>
      </c>
      <c r="M5029">
        <v>-0.99990570000000001</v>
      </c>
      <c r="N5029">
        <v>-1.3668430000000001E-2</v>
      </c>
      <c r="O5029">
        <v>1.434364E-3</v>
      </c>
      <c r="P5029">
        <v>-0.92995360000000005</v>
      </c>
      <c r="Q5029">
        <v>0.36173529999999998</v>
      </c>
      <c r="R5029">
        <v>-6.5833810000000006E-2</v>
      </c>
      <c r="S5029">
        <v>-3.3696589999999902</v>
      </c>
      <c r="T5029">
        <v>-0.35886200000000001</v>
      </c>
      <c r="U5029">
        <v>4.8080440000000002E-2</v>
      </c>
      <c r="V5029">
        <v>-6.7153099999999993E-2</v>
      </c>
      <c r="W5029">
        <v>0.37441390000000002</v>
      </c>
      <c r="X5029">
        <v>0.92482690000000001</v>
      </c>
      <c r="Y5029">
        <v>1.275754E-2</v>
      </c>
      <c r="Z5029">
        <v>6.3208950000000002E-4</v>
      </c>
      <c r="AA5029">
        <v>0.99991839999999999</v>
      </c>
      <c r="AB5029">
        <v>38</v>
      </c>
      <c r="AC5029">
        <v>-0.78180000000003202</v>
      </c>
      <c r="AD5029">
        <v>-0.10838399999999999</v>
      </c>
      <c r="AE5029">
        <v>1.4500000000026599E-2</v>
      </c>
      <c r="AF5029">
        <v>1.31263022699761E-2</v>
      </c>
      <c r="AG5029">
        <v>-0.10838399999999999</v>
      </c>
      <c r="AH5029">
        <v>0.76708223262037001</v>
      </c>
      <c r="AI5029">
        <v>98.041142568549603</v>
      </c>
      <c r="AJ5029">
        <v>89.0196509665181</v>
      </c>
      <c r="AK5029">
        <v>0.77481258564193001</v>
      </c>
      <c r="AL5029">
        <v>68.011908267583607</v>
      </c>
      <c r="AM5029">
        <v>94.153045794790899</v>
      </c>
      <c r="AN5029">
        <v>1.0000000511582099</v>
      </c>
    </row>
    <row r="5030" spans="1:40" x14ac:dyDescent="0.25">
      <c r="A5030" t="str">
        <f>"20190304164949383"</f>
        <v>20190304164949383</v>
      </c>
      <c r="B5030" t="str">
        <f>"1551689389371158"</f>
        <v>1551689389371158</v>
      </c>
      <c r="C5030" t="s">
        <v>40</v>
      </c>
      <c r="D5030">
        <v>4.5402870000000002</v>
      </c>
      <c r="E5030">
        <v>0.54647080000000003</v>
      </c>
      <c r="F5030" t="s">
        <v>41</v>
      </c>
      <c r="G5030">
        <v>-303.82440000000003</v>
      </c>
      <c r="H5030">
        <v>1.0257130000000001</v>
      </c>
      <c r="I5030">
        <v>141.83600000000001</v>
      </c>
      <c r="J5030">
        <v>-303.23829999999998</v>
      </c>
      <c r="K5030">
        <v>1.110714</v>
      </c>
      <c r="L5030">
        <v>141.82429999999999</v>
      </c>
      <c r="M5030">
        <v>-0.99990429999999997</v>
      </c>
      <c r="N5030">
        <v>-1.376223E-2</v>
      </c>
      <c r="O5030">
        <v>1.4341979999999901E-3</v>
      </c>
      <c r="P5030">
        <v>-0.9299461</v>
      </c>
      <c r="Q5030">
        <v>0.36175040000000003</v>
      </c>
      <c r="R5030">
        <v>-6.5856490000000004E-2</v>
      </c>
      <c r="S5030">
        <v>-3.3699650000000001</v>
      </c>
      <c r="T5030">
        <v>-0.36115380000000002</v>
      </c>
      <c r="U5030">
        <v>4.9468989999999997E-2</v>
      </c>
      <c r="V5030">
        <v>-6.7175689999999996E-2</v>
      </c>
      <c r="W5030">
        <v>0.3745156</v>
      </c>
      <c r="X5030">
        <v>0.92478400000000005</v>
      </c>
      <c r="Y5030">
        <v>1.3164739999999999E-2</v>
      </c>
      <c r="Z5030">
        <v>6.6069509999999905E-4</v>
      </c>
      <c r="AA5030">
        <v>0.9999131</v>
      </c>
      <c r="AB5030">
        <v>38</v>
      </c>
      <c r="AC5030">
        <v>-0.58610000000004403</v>
      </c>
      <c r="AD5030">
        <v>-8.5001000000000104E-2</v>
      </c>
      <c r="AE5030">
        <v>1.17000000000189E-2</v>
      </c>
      <c r="AF5030">
        <v>1.06357113687937E-2</v>
      </c>
      <c r="AG5030">
        <v>-8.5001000000000104E-2</v>
      </c>
      <c r="AH5030">
        <v>0.57404696392221999</v>
      </c>
      <c r="AI5030">
        <v>98.421345279385505</v>
      </c>
      <c r="AJ5030">
        <v>88.938568273378607</v>
      </c>
      <c r="AK5030">
        <v>0.58040348478075099</v>
      </c>
      <c r="AL5030">
        <v>68.0056223461211</v>
      </c>
      <c r="AM5030">
        <v>94.154630016190197</v>
      </c>
      <c r="AN5030">
        <v>0.99999997731316703</v>
      </c>
    </row>
    <row r="5031" spans="1:40" x14ac:dyDescent="0.25">
      <c r="A5031" t="str">
        <f>"20190304164949396"</f>
        <v>20190304164949396</v>
      </c>
      <c r="B5031" t="str">
        <f>"1551689389390678"</f>
        <v>1551689389390678</v>
      </c>
      <c r="C5031" t="s">
        <v>40</v>
      </c>
      <c r="D5031">
        <v>4.466888</v>
      </c>
      <c r="E5031">
        <v>0.54687989999999997</v>
      </c>
      <c r="F5031" t="s">
        <v>41</v>
      </c>
      <c r="G5031">
        <v>-304.15839999999997</v>
      </c>
      <c r="H5031">
        <v>1.011782</v>
      </c>
      <c r="I5031">
        <v>141.8383</v>
      </c>
      <c r="J5031">
        <v>-303.44869999999997</v>
      </c>
      <c r="K5031">
        <v>1.110716</v>
      </c>
      <c r="L5031">
        <v>141.8246</v>
      </c>
      <c r="M5031">
        <v>-0.99990310000000004</v>
      </c>
      <c r="N5031">
        <v>-1.385306E-2</v>
      </c>
      <c r="O5031">
        <v>1.4341079999999999E-3</v>
      </c>
      <c r="P5031">
        <v>-0.92994209999999999</v>
      </c>
      <c r="Q5031">
        <v>0.36177920000000002</v>
      </c>
      <c r="R5031">
        <v>-6.5758120000000003E-2</v>
      </c>
      <c r="S5031">
        <v>-3.3706360000000002</v>
      </c>
      <c r="T5031">
        <v>-0.36246060000000002</v>
      </c>
      <c r="U5031">
        <v>5.0872800000000003E-2</v>
      </c>
      <c r="V5031">
        <v>-6.7077600000000001E-2</v>
      </c>
      <c r="W5031">
        <v>0.37462830000000003</v>
      </c>
      <c r="X5031">
        <v>0.9247455</v>
      </c>
      <c r="Y5031">
        <v>1.357501E-2</v>
      </c>
      <c r="Z5031">
        <v>6.8814919999999995E-4</v>
      </c>
      <c r="AA5031">
        <v>0.99990760000000001</v>
      </c>
      <c r="AB5031">
        <v>38</v>
      </c>
      <c r="AC5031">
        <v>-0.709699999999997</v>
      </c>
      <c r="AD5031">
        <v>-9.8933999999999994E-2</v>
      </c>
      <c r="AE5031">
        <v>1.37E-2</v>
      </c>
      <c r="AF5031">
        <v>1.2440436004539099E-2</v>
      </c>
      <c r="AG5031">
        <v>-9.8933999999999994E-2</v>
      </c>
      <c r="AH5031">
        <v>0.696194754028855</v>
      </c>
      <c r="AI5031">
        <v>98.086691697408</v>
      </c>
      <c r="AJ5031">
        <v>88.976279808406204</v>
      </c>
      <c r="AK5031">
        <v>0.70329925091761702</v>
      </c>
      <c r="AL5031">
        <v>67.998658709793602</v>
      </c>
      <c r="AM5031">
        <v>94.148756733865895</v>
      </c>
      <c r="AN5031">
        <v>1.00000000367644</v>
      </c>
    </row>
    <row r="5032" spans="1:40" x14ac:dyDescent="0.25">
      <c r="A5032" t="str">
        <f>"20190304164949411"</f>
        <v>20190304164949411</v>
      </c>
      <c r="B5032" t="str">
        <f>"1551689389400438"</f>
        <v>1551689389400438</v>
      </c>
      <c r="C5032" t="s">
        <v>40</v>
      </c>
      <c r="D5032">
        <v>4.5052349999999999</v>
      </c>
      <c r="E5032">
        <v>0.54714529999999995</v>
      </c>
      <c r="F5032" t="s">
        <v>41</v>
      </c>
      <c r="G5032">
        <v>-304.49189999999999</v>
      </c>
      <c r="H5032">
        <v>0.99778679999999997</v>
      </c>
      <c r="I5032">
        <v>141.8416</v>
      </c>
      <c r="J5032">
        <v>-303.72609999999997</v>
      </c>
      <c r="K5032">
        <v>1.110724</v>
      </c>
      <c r="L5032">
        <v>141.82499999999999</v>
      </c>
      <c r="M5032">
        <v>-0.99990159999999995</v>
      </c>
      <c r="N5032">
        <v>-1.3958949999999999E-2</v>
      </c>
      <c r="O5032">
        <v>1.4340290000000001E-3</v>
      </c>
      <c r="P5032">
        <v>-0.92968930000000005</v>
      </c>
      <c r="Q5032">
        <v>0.36246620000000002</v>
      </c>
      <c r="R5032">
        <v>-6.5542790000000004E-2</v>
      </c>
      <c r="S5032">
        <v>-3.3718569999999999</v>
      </c>
      <c r="T5032">
        <v>-0.36509999999999998</v>
      </c>
      <c r="U5032">
        <v>5.3894039999999997E-2</v>
      </c>
      <c r="V5032">
        <v>-6.6861660000000003E-2</v>
      </c>
      <c r="W5032">
        <v>0.3754094</v>
      </c>
      <c r="X5032">
        <v>0.9244443</v>
      </c>
      <c r="Y5032">
        <v>1.445836E-2</v>
      </c>
      <c r="Z5032">
        <v>7.4684519999999996E-4</v>
      </c>
      <c r="AA5032">
        <v>0.99989519999999998</v>
      </c>
      <c r="AB5032">
        <v>38</v>
      </c>
      <c r="AC5032">
        <v>-0.76580000000001203</v>
      </c>
      <c r="AD5032">
        <v>-0.112937199999999</v>
      </c>
      <c r="AE5032">
        <v>1.6600000000010998E-2</v>
      </c>
      <c r="AF5032">
        <v>1.51718753853678E-2</v>
      </c>
      <c r="AG5032">
        <v>-0.112937199999999</v>
      </c>
      <c r="AH5032">
        <v>0.74952901849511699</v>
      </c>
      <c r="AI5032">
        <v>98.566999760166794</v>
      </c>
      <c r="AJ5032">
        <v>88.840384148465205</v>
      </c>
      <c r="AK5032">
        <v>0.75814164013909902</v>
      </c>
      <c r="AL5032">
        <v>67.950381058564204</v>
      </c>
      <c r="AM5032">
        <v>94.136789956880506</v>
      </c>
      <c r="AN5032">
        <v>0.99999998149440195</v>
      </c>
    </row>
    <row r="5033" spans="1:40" x14ac:dyDescent="0.25">
      <c r="A5033" t="str">
        <f>"20190304164949426"</f>
        <v>20190304164949426</v>
      </c>
      <c r="B5033" t="str">
        <f>"1551689389420935"</f>
        <v>1551689389420935</v>
      </c>
      <c r="C5033" t="s">
        <v>40</v>
      </c>
      <c r="D5033">
        <v>4.4734299999999996</v>
      </c>
      <c r="E5033">
        <v>0.54767659999999996</v>
      </c>
      <c r="F5033" t="s">
        <v>41</v>
      </c>
      <c r="G5033">
        <v>-304.50630000000001</v>
      </c>
      <c r="H5033">
        <v>1.0268349999999999</v>
      </c>
      <c r="I5033">
        <v>141.83799999999999</v>
      </c>
      <c r="J5033">
        <v>-303.96390000000002</v>
      </c>
      <c r="K5033">
        <v>1.1107320000000001</v>
      </c>
      <c r="L5033">
        <v>141.8254</v>
      </c>
      <c r="M5033">
        <v>-0.99990040000000002</v>
      </c>
      <c r="N5033">
        <v>-1.404158E-2</v>
      </c>
      <c r="O5033">
        <v>1.4339870000000001E-3</v>
      </c>
      <c r="P5033">
        <v>-0.92972429999999995</v>
      </c>
      <c r="Q5033">
        <v>0.36240440000000002</v>
      </c>
      <c r="R5033">
        <v>-6.5390799999999999E-2</v>
      </c>
      <c r="S5033">
        <v>-3.372223</v>
      </c>
      <c r="T5033">
        <v>-0.36273739999999999</v>
      </c>
      <c r="U5033">
        <v>5.4702760000000003E-2</v>
      </c>
      <c r="V5033">
        <v>-6.6710000000000005E-2</v>
      </c>
      <c r="W5033">
        <v>0.37542490000000001</v>
      </c>
      <c r="X5033">
        <v>0.92444899999999997</v>
      </c>
      <c r="Y5033">
        <v>1.469585E-2</v>
      </c>
      <c r="Z5033">
        <v>7.5787849999999998E-4</v>
      </c>
      <c r="AA5033">
        <v>0.99989170000000005</v>
      </c>
      <c r="AB5033">
        <v>38</v>
      </c>
      <c r="AC5033">
        <v>-0.542399999999986</v>
      </c>
      <c r="AD5033">
        <v>-8.3897000000000096E-2</v>
      </c>
      <c r="AE5033">
        <v>1.2599999999991901E-2</v>
      </c>
      <c r="AF5033">
        <v>1.15460251653247E-2</v>
      </c>
      <c r="AG5033">
        <v>-8.3897000000000096E-2</v>
      </c>
      <c r="AH5033">
        <v>0.52975003315245595</v>
      </c>
      <c r="AI5033">
        <v>98.997142537674094</v>
      </c>
      <c r="AJ5033">
        <v>88.751422841175</v>
      </c>
      <c r="AK5033">
        <v>0.53647657444770702</v>
      </c>
      <c r="AL5033">
        <v>67.949423704812006</v>
      </c>
      <c r="AM5033">
        <v>94.127418172401704</v>
      </c>
      <c r="AN5033">
        <v>1.0000000166205001</v>
      </c>
    </row>
    <row r="5034" spans="1:40" x14ac:dyDescent="0.25">
      <c r="A5034" t="str">
        <f>"20190304164949439"</f>
        <v>20190304164949439</v>
      </c>
      <c r="B5034" t="str">
        <f>"1551689389430694"</f>
        <v>1551689389430694</v>
      </c>
      <c r="C5034" t="s">
        <v>40</v>
      </c>
      <c r="D5034">
        <v>4.4816479999999999</v>
      </c>
      <c r="E5034">
        <v>0.54788800000000004</v>
      </c>
      <c r="F5034" t="s">
        <v>41</v>
      </c>
      <c r="G5034">
        <v>-304.84100000000001</v>
      </c>
      <c r="H5034">
        <v>1.0161739999999999</v>
      </c>
      <c r="I5034">
        <v>141.84110000000001</v>
      </c>
      <c r="J5034">
        <v>-304.19589999999999</v>
      </c>
      <c r="K5034">
        <v>1.110738</v>
      </c>
      <c r="L5034">
        <v>141.82570000000001</v>
      </c>
      <c r="M5034">
        <v>-0.99989930000000005</v>
      </c>
      <c r="N5034">
        <v>-1.411665E-2</v>
      </c>
      <c r="O5034">
        <v>1.433936E-3</v>
      </c>
      <c r="P5034">
        <v>-0.92961349999999998</v>
      </c>
      <c r="Q5034">
        <v>0.36269750000000001</v>
      </c>
      <c r="R5034">
        <v>-6.5342720000000007E-2</v>
      </c>
      <c r="S5034">
        <v>-3.372681</v>
      </c>
      <c r="T5034">
        <v>-0.36366470000000001</v>
      </c>
      <c r="U5034">
        <v>5.9249879999999998E-2</v>
      </c>
      <c r="V5034">
        <v>-6.6661600000000001E-2</v>
      </c>
      <c r="W5034">
        <v>0.37578539999999999</v>
      </c>
      <c r="X5034">
        <v>0.92430599999999996</v>
      </c>
      <c r="Y5034">
        <v>1.603214E-2</v>
      </c>
      <c r="Z5034">
        <v>8.4136039999999903E-4</v>
      </c>
      <c r="AA5034">
        <v>0.99987110000000001</v>
      </c>
      <c r="AB5034">
        <v>38</v>
      </c>
      <c r="AC5034">
        <v>-0.645100000000013</v>
      </c>
      <c r="AD5034">
        <v>-9.4563999999999995E-2</v>
      </c>
      <c r="AE5034">
        <v>1.53999999999996E-2</v>
      </c>
      <c r="AF5034">
        <v>1.41705356864196E-2</v>
      </c>
      <c r="AG5034">
        <v>-9.4563999999999995E-2</v>
      </c>
      <c r="AH5034">
        <v>0.631558179132227</v>
      </c>
      <c r="AI5034">
        <v>98.513594651836101</v>
      </c>
      <c r="AJ5034">
        <v>88.714646239738798</v>
      </c>
      <c r="AK5034">
        <v>0.63875573406933395</v>
      </c>
      <c r="AL5034">
        <v>67.927136534617304</v>
      </c>
      <c r="AM5034">
        <v>94.125069842539006</v>
      </c>
      <c r="AN5034">
        <v>1.0000000087018599</v>
      </c>
    </row>
    <row r="5035" spans="1:40" x14ac:dyDescent="0.25">
      <c r="A5035" t="str">
        <f>"20190304164949453"</f>
        <v>20190304164949453</v>
      </c>
      <c r="B5035" t="str">
        <f>"1551689389440455"</f>
        <v>1551689389440455</v>
      </c>
      <c r="C5035" t="s">
        <v>40</v>
      </c>
      <c r="D5035">
        <v>4.5411349999999997</v>
      </c>
      <c r="E5035">
        <v>0.54794350000000003</v>
      </c>
      <c r="F5035" t="s">
        <v>41</v>
      </c>
      <c r="G5035">
        <v>-305.17529999999999</v>
      </c>
      <c r="H5035">
        <v>1.00542</v>
      </c>
      <c r="I5035">
        <v>141.84360000000001</v>
      </c>
      <c r="J5035">
        <v>-304.42239999999998</v>
      </c>
      <c r="K5035">
        <v>1.110744</v>
      </c>
      <c r="L5035">
        <v>141.82599999999999</v>
      </c>
      <c r="M5035">
        <v>-0.99989839999999997</v>
      </c>
      <c r="N5035">
        <v>-1.41835E-2</v>
      </c>
      <c r="O5035">
        <v>1.4338210000000001E-3</v>
      </c>
      <c r="P5035">
        <v>-0.92948520000000001</v>
      </c>
      <c r="Q5035">
        <v>0.36302129999999999</v>
      </c>
      <c r="R5035">
        <v>-6.5368640000000006E-2</v>
      </c>
      <c r="S5035">
        <v>-3.3729550000000001</v>
      </c>
      <c r="T5035">
        <v>-0.36272949999999998</v>
      </c>
      <c r="U5035">
        <v>6.0943600000000001E-2</v>
      </c>
      <c r="V5035">
        <v>-6.6686529999999994E-2</v>
      </c>
      <c r="W5035">
        <v>0.37616899999999998</v>
      </c>
      <c r="X5035">
        <v>0.92414810000000003</v>
      </c>
      <c r="Y5035">
        <v>1.652992E-2</v>
      </c>
      <c r="Z5035">
        <v>8.7036220000000003E-4</v>
      </c>
      <c r="AA5035">
        <v>0.99986299999999995</v>
      </c>
      <c r="AB5035">
        <v>38</v>
      </c>
      <c r="AC5035">
        <v>-0.752900000000011</v>
      </c>
      <c r="AD5035">
        <v>-0.105323999999999</v>
      </c>
      <c r="AE5035">
        <v>1.7600000000015801E-2</v>
      </c>
      <c r="AF5035">
        <v>1.62034293963749E-2</v>
      </c>
      <c r="AG5035">
        <v>-0.105323999999999</v>
      </c>
      <c r="AH5035">
        <v>0.73848064736653196</v>
      </c>
      <c r="AI5035">
        <v>98.115002939117801</v>
      </c>
      <c r="AJ5035">
        <v>88.743041975581605</v>
      </c>
      <c r="AK5035">
        <v>0.74612958836591903</v>
      </c>
      <c r="AL5035">
        <v>67.903416462628499</v>
      </c>
      <c r="AM5035">
        <v>94.127309837239807</v>
      </c>
      <c r="AN5035">
        <v>0.99999996028902405</v>
      </c>
    </row>
    <row r="5036" spans="1:40" x14ac:dyDescent="0.25">
      <c r="A5036" t="str">
        <f>"20190304164949468"</f>
        <v>20190304164949468</v>
      </c>
      <c r="B5036" t="str">
        <f>"1551689389460950"</f>
        <v>1551689389460950</v>
      </c>
      <c r="C5036" t="s">
        <v>40</v>
      </c>
      <c r="D5036">
        <v>4.575189</v>
      </c>
      <c r="E5036">
        <v>0.54753130000000005</v>
      </c>
      <c r="F5036" t="s">
        <v>41</v>
      </c>
      <c r="G5036">
        <v>-305.18680000000001</v>
      </c>
      <c r="H5036">
        <v>1.028667</v>
      </c>
      <c r="I5036">
        <v>141.84020000000001</v>
      </c>
      <c r="J5036">
        <v>-304.6979</v>
      </c>
      <c r="K5036">
        <v>1.1107549999999999</v>
      </c>
      <c r="L5036">
        <v>141.82640000000001</v>
      </c>
      <c r="M5036">
        <v>-0.99989740000000005</v>
      </c>
      <c r="N5036">
        <v>-1.4256120000000001E-2</v>
      </c>
      <c r="O5036">
        <v>1.433782E-3</v>
      </c>
      <c r="P5036">
        <v>-0.92944729999999998</v>
      </c>
      <c r="Q5036">
        <v>0.36315579999999997</v>
      </c>
      <c r="R5036">
        <v>-6.5159069999999999E-2</v>
      </c>
      <c r="S5036">
        <v>-3.373383</v>
      </c>
      <c r="T5036">
        <v>-0.36228260000000001</v>
      </c>
      <c r="U5036">
        <v>6.1584470000000002E-2</v>
      </c>
      <c r="V5036">
        <v>-6.6477510000000004E-2</v>
      </c>
      <c r="W5036">
        <v>0.37637039999999999</v>
      </c>
      <c r="X5036">
        <v>0.92408120000000005</v>
      </c>
      <c r="Y5036">
        <v>1.6716519999999999E-2</v>
      </c>
      <c r="Z5036">
        <v>8.8140639999999997E-4</v>
      </c>
      <c r="AA5036">
        <v>0.99985990000000002</v>
      </c>
      <c r="AB5036">
        <v>38</v>
      </c>
      <c r="AC5036">
        <v>-0.488900000000001</v>
      </c>
      <c r="AD5036">
        <v>-8.2087999999999897E-2</v>
      </c>
      <c r="AE5036">
        <v>1.3800000000003299E-2</v>
      </c>
      <c r="AF5036">
        <v>1.27400621541373E-2</v>
      </c>
      <c r="AG5036">
        <v>-8.2087999999999897E-2</v>
      </c>
      <c r="AH5036">
        <v>0.47552418432267202</v>
      </c>
      <c r="AI5036">
        <v>99.790787938167995</v>
      </c>
      <c r="AJ5036">
        <v>88.465320502054993</v>
      </c>
      <c r="AK5036">
        <v>0.48272559369007401</v>
      </c>
      <c r="AL5036">
        <v>67.890962743300307</v>
      </c>
      <c r="AM5036">
        <v>94.114714679113305</v>
      </c>
      <c r="AN5036">
        <v>1.0000000007626999</v>
      </c>
    </row>
    <row r="5037" spans="1:40" x14ac:dyDescent="0.25">
      <c r="A5037" t="str">
        <f>"20190304164949482"</f>
        <v>20190304164949482</v>
      </c>
      <c r="B5037" t="str">
        <f>"1551689389470710"</f>
        <v>1551689389470710</v>
      </c>
      <c r="C5037" t="s">
        <v>40</v>
      </c>
      <c r="D5037">
        <v>4.5328799999999996</v>
      </c>
      <c r="E5037">
        <v>0.54731850000000004</v>
      </c>
      <c r="F5037" t="s">
        <v>41</v>
      </c>
      <c r="G5037">
        <v>-305.52330000000001</v>
      </c>
      <c r="H5037">
        <v>1.0230109999999999</v>
      </c>
      <c r="I5037">
        <v>141.84119999999999</v>
      </c>
      <c r="J5037">
        <v>-304.92239999999998</v>
      </c>
      <c r="K5037">
        <v>1.110757</v>
      </c>
      <c r="L5037">
        <v>141.82679999999999</v>
      </c>
      <c r="M5037">
        <v>-0.99989660000000002</v>
      </c>
      <c r="N5037">
        <v>-1.431019E-2</v>
      </c>
      <c r="O5037">
        <v>1.4335750000000001E-3</v>
      </c>
      <c r="P5037">
        <v>-0.92951859999999997</v>
      </c>
      <c r="Q5037">
        <v>0.36300840000000001</v>
      </c>
      <c r="R5037">
        <v>-6.4963099999999996E-2</v>
      </c>
      <c r="S5037">
        <v>-3.3720089999999998</v>
      </c>
      <c r="T5037">
        <v>-0.35853089999999999</v>
      </c>
      <c r="U5037">
        <v>5.9829710000000001E-2</v>
      </c>
      <c r="V5037">
        <v>-6.6281149999999997E-2</v>
      </c>
      <c r="W5037">
        <v>0.3762742</v>
      </c>
      <c r="X5037">
        <v>0.92413449999999997</v>
      </c>
      <c r="Y5037">
        <v>1.6209080000000001E-2</v>
      </c>
      <c r="Z5037">
        <v>8.4407329999999997E-4</v>
      </c>
      <c r="AA5037">
        <v>0.99986830000000004</v>
      </c>
      <c r="AB5037">
        <v>38</v>
      </c>
      <c r="AC5037">
        <v>-0.60090000000002397</v>
      </c>
      <c r="AD5037">
        <v>-8.7745999999999796E-2</v>
      </c>
      <c r="AE5037">
        <v>1.4399999999994801E-2</v>
      </c>
      <c r="AF5037">
        <v>1.32559657952451E-2</v>
      </c>
      <c r="AG5037">
        <v>-8.7745999999999796E-2</v>
      </c>
      <c r="AH5037">
        <v>0.588381122064357</v>
      </c>
      <c r="AI5037">
        <v>98.479957293537893</v>
      </c>
      <c r="AJ5037">
        <v>88.709369829062894</v>
      </c>
      <c r="AK5037">
        <v>0.59503565098813704</v>
      </c>
      <c r="AL5037">
        <v>67.896912359397305</v>
      </c>
      <c r="AM5037">
        <v>94.102366463128604</v>
      </c>
      <c r="AN5037">
        <v>1.0000000192606</v>
      </c>
    </row>
    <row r="5038" spans="1:40" x14ac:dyDescent="0.25">
      <c r="A5038" t="str">
        <f>"20190304164949497"</f>
        <v>20190304164949497</v>
      </c>
      <c r="B5038" t="str">
        <f>"1551689389491206"</f>
        <v>1551689389491206</v>
      </c>
      <c r="C5038" t="s">
        <v>40</v>
      </c>
      <c r="D5038">
        <v>4.4892349999999999</v>
      </c>
      <c r="E5038">
        <v>0.5469252</v>
      </c>
      <c r="F5038" t="s">
        <v>41</v>
      </c>
      <c r="G5038">
        <v>-305.85649999999998</v>
      </c>
      <c r="H5038">
        <v>1.0116799999999999</v>
      </c>
      <c r="I5038">
        <v>141.8434</v>
      </c>
      <c r="J5038">
        <v>-305.16570000000002</v>
      </c>
      <c r="K5038">
        <v>1.110762</v>
      </c>
      <c r="L5038">
        <v>141.8271</v>
      </c>
      <c r="M5038">
        <v>-0.99989600000000001</v>
      </c>
      <c r="N5038">
        <v>-1.4364399999999999E-2</v>
      </c>
      <c r="O5038">
        <v>1.433365E-3</v>
      </c>
      <c r="P5038">
        <v>-0.92960180000000003</v>
      </c>
      <c r="Q5038">
        <v>0.36285640000000002</v>
      </c>
      <c r="R5038">
        <v>-6.4621869999999998E-2</v>
      </c>
      <c r="S5038">
        <v>-3.3712770000000001</v>
      </c>
      <c r="T5038">
        <v>-0.35770439999999998</v>
      </c>
      <c r="U5038">
        <v>5.8837889999999997E-2</v>
      </c>
      <c r="V5038">
        <v>-6.5939899999999899E-2</v>
      </c>
      <c r="W5038">
        <v>0.37617299999999998</v>
      </c>
      <c r="X5038">
        <v>0.92420009999999997</v>
      </c>
      <c r="Y5038">
        <v>1.5921230000000001E-2</v>
      </c>
      <c r="Z5038">
        <v>8.2584140000000004E-4</v>
      </c>
      <c r="AA5038">
        <v>0.99987289999999995</v>
      </c>
      <c r="AB5038">
        <v>38</v>
      </c>
      <c r="AC5038">
        <v>-0.690799999999967</v>
      </c>
      <c r="AD5038">
        <v>-9.9082000000000101E-2</v>
      </c>
      <c r="AE5038">
        <v>1.6300000000001001E-2</v>
      </c>
      <c r="AF5038">
        <v>1.50012723554344E-2</v>
      </c>
      <c r="AG5038">
        <v>-9.9082000000000101E-2</v>
      </c>
      <c r="AH5038">
        <v>0.67690485089438401</v>
      </c>
      <c r="AI5038">
        <v>98.325520322445897</v>
      </c>
      <c r="AJ5038">
        <v>88.730443544846693</v>
      </c>
      <c r="AK5038">
        <v>0.68428244026909701</v>
      </c>
      <c r="AL5038">
        <v>67.903170281731406</v>
      </c>
      <c r="AM5038">
        <v>94.081028180105093</v>
      </c>
      <c r="AN5038">
        <v>1.0000000105905</v>
      </c>
    </row>
    <row r="5039" spans="1:40" x14ac:dyDescent="0.25">
      <c r="A5039" t="str">
        <f>"20190304164949513"</f>
        <v>20190304164949513</v>
      </c>
      <c r="B5039" t="str">
        <f>"1551689389500966"</f>
        <v>1551689389500966</v>
      </c>
      <c r="C5039" t="s">
        <v>40</v>
      </c>
      <c r="D5039">
        <v>4.5413739999999896</v>
      </c>
      <c r="E5039">
        <v>0.54672159999999903</v>
      </c>
      <c r="F5039" t="s">
        <v>41</v>
      </c>
      <c r="G5039">
        <v>-306.19049999999999</v>
      </c>
      <c r="H5039">
        <v>1.0024820000000001</v>
      </c>
      <c r="I5039">
        <v>141.84469999999999</v>
      </c>
      <c r="J5039">
        <v>-305.44630000000001</v>
      </c>
      <c r="K5039">
        <v>1.110765</v>
      </c>
      <c r="L5039">
        <v>141.82749999999999</v>
      </c>
      <c r="M5039">
        <v>-0.99989519999999998</v>
      </c>
      <c r="N5039">
        <v>-1.441973E-2</v>
      </c>
      <c r="O5039">
        <v>1.433265E-3</v>
      </c>
      <c r="P5039">
        <v>-0.92972960000000004</v>
      </c>
      <c r="Q5039">
        <v>0.36262050000000001</v>
      </c>
      <c r="R5039">
        <v>-6.4106289999999996E-2</v>
      </c>
      <c r="S5039">
        <v>-3.3701780000000001</v>
      </c>
      <c r="T5039">
        <v>-0.3561493</v>
      </c>
      <c r="U5039">
        <v>5.7083130000000003E-2</v>
      </c>
      <c r="V5039">
        <v>-6.542423E-2</v>
      </c>
      <c r="W5039">
        <v>0.37599050000000001</v>
      </c>
      <c r="X5039">
        <v>0.92431099999999999</v>
      </c>
      <c r="Y5039">
        <v>1.5410449999999999E-2</v>
      </c>
      <c r="Z5039">
        <v>7.9300249999999996E-4</v>
      </c>
      <c r="AA5039">
        <v>0.99988089999999996</v>
      </c>
      <c r="AB5039">
        <v>38</v>
      </c>
      <c r="AC5039">
        <v>-0.74419999999997799</v>
      </c>
      <c r="AD5039">
        <v>-0.108283</v>
      </c>
      <c r="AE5039">
        <v>1.7200000000002501E-2</v>
      </c>
      <c r="AF5039">
        <v>1.57989352434066E-2</v>
      </c>
      <c r="AG5039">
        <v>-0.108283</v>
      </c>
      <c r="AH5039">
        <v>0.72880265189117699</v>
      </c>
      <c r="AI5039">
        <v>98.4490309064999</v>
      </c>
      <c r="AJ5039">
        <v>88.758140421757503</v>
      </c>
      <c r="AK5039">
        <v>0.73697226531765503</v>
      </c>
      <c r="AL5039">
        <v>67.914455106977002</v>
      </c>
      <c r="AM5039">
        <v>94.048735665574796</v>
      </c>
      <c r="AN5039">
        <v>1.00000000534117</v>
      </c>
    </row>
    <row r="5040" spans="1:40" x14ac:dyDescent="0.25">
      <c r="A5040" t="str">
        <f>"20190304164949536"</f>
        <v>20190304164949536</v>
      </c>
      <c r="B5040" t="str">
        <f>"1551689389531222"</f>
        <v>1551689389531222</v>
      </c>
      <c r="C5040" t="s">
        <v>40</v>
      </c>
      <c r="D5040">
        <v>4.504467</v>
      </c>
      <c r="E5040">
        <v>0.54624640000000002</v>
      </c>
      <c r="F5040" t="s">
        <v>41</v>
      </c>
      <c r="G5040">
        <v>-306.2045</v>
      </c>
      <c r="H5040">
        <v>1.0307850000000001</v>
      </c>
      <c r="I5040">
        <v>141.84049999999999</v>
      </c>
      <c r="J5040">
        <v>-305.82350000000002</v>
      </c>
      <c r="K5040">
        <v>1.110773</v>
      </c>
      <c r="L5040">
        <v>141.828</v>
      </c>
      <c r="M5040">
        <v>-0.99989410000000001</v>
      </c>
      <c r="N5040">
        <v>-1.4485380000000001E-2</v>
      </c>
      <c r="O5040">
        <v>1.433328E-3</v>
      </c>
      <c r="P5040">
        <v>-0.92958620000000003</v>
      </c>
      <c r="Q5040">
        <v>0.36296899999999999</v>
      </c>
      <c r="R5040">
        <v>-6.4210459999999997E-2</v>
      </c>
      <c r="S5040">
        <v>-3.3693240000000002</v>
      </c>
      <c r="T5040">
        <v>-0.35550979999999999</v>
      </c>
      <c r="U5040">
        <v>5.6610109999999998E-2</v>
      </c>
      <c r="V5040">
        <v>-6.5528870000000003E-2</v>
      </c>
      <c r="W5040">
        <v>0.3763978</v>
      </c>
      <c r="X5040">
        <v>0.92413780000000001</v>
      </c>
      <c r="Y5040">
        <v>1.52754E-2</v>
      </c>
      <c r="Z5040">
        <v>7.844983E-4</v>
      </c>
      <c r="AA5040">
        <v>0.99988299999999997</v>
      </c>
      <c r="AB5040">
        <v>38</v>
      </c>
      <c r="AC5040">
        <v>-0.38099999999997097</v>
      </c>
      <c r="AD5040">
        <v>-7.9987999999999906E-2</v>
      </c>
      <c r="AE5040">
        <v>1.24999999999886E-2</v>
      </c>
      <c r="AF5040">
        <v>1.14497195426147E-2</v>
      </c>
      <c r="AG5040">
        <v>-7.9987999999999906E-2</v>
      </c>
      <c r="AH5040">
        <v>0.36494940344504001</v>
      </c>
      <c r="AI5040">
        <v>102.35646324830699</v>
      </c>
      <c r="AJ5040">
        <v>88.203023519391195</v>
      </c>
      <c r="AK5040">
        <v>0.373787698160995</v>
      </c>
      <c r="AL5040">
        <v>67.889268329849997</v>
      </c>
      <c r="AM5040">
        <v>94.055947135924498</v>
      </c>
      <c r="AN5040">
        <v>1.00000000501857</v>
      </c>
    </row>
    <row r="5041" spans="1:40" x14ac:dyDescent="0.25">
      <c r="A5041" t="str">
        <f>"20190304164949548"</f>
        <v>20190304164949548</v>
      </c>
      <c r="B5041" t="str">
        <f>"1551689389540983"</f>
        <v>1551689389540983</v>
      </c>
      <c r="C5041" t="s">
        <v>40</v>
      </c>
      <c r="D5041">
        <v>4.4623140000000001</v>
      </c>
      <c r="E5041">
        <v>0.5461684</v>
      </c>
      <c r="F5041" t="s">
        <v>41</v>
      </c>
      <c r="G5041">
        <v>-306.86619999999999</v>
      </c>
      <c r="H5041">
        <v>1.002149</v>
      </c>
      <c r="I5041">
        <v>141.84450000000001</v>
      </c>
      <c r="J5041">
        <v>-306.06130000000002</v>
      </c>
      <c r="K5041">
        <v>1.110779</v>
      </c>
      <c r="L5041">
        <v>141.82839999999999</v>
      </c>
      <c r="M5041">
        <v>-0.9998937</v>
      </c>
      <c r="N5041">
        <v>-1.4520959999999999E-2</v>
      </c>
      <c r="O5041">
        <v>1.4332489999999999E-3</v>
      </c>
      <c r="P5041">
        <v>-0.9295331</v>
      </c>
      <c r="Q5041">
        <v>0.36309669999999999</v>
      </c>
      <c r="R5041">
        <v>-6.4257750000000002E-2</v>
      </c>
      <c r="S5041">
        <v>-3.3678590000000002</v>
      </c>
      <c r="T5041">
        <v>-0.35082419999999997</v>
      </c>
      <c r="U5041">
        <v>5.2764890000000002E-2</v>
      </c>
      <c r="V5041">
        <v>-6.5575839999999996E-2</v>
      </c>
      <c r="W5041">
        <v>0.37655729999999998</v>
      </c>
      <c r="X5041">
        <v>0.92406949999999999</v>
      </c>
      <c r="Y5041">
        <v>1.415049E-2</v>
      </c>
      <c r="Z5041">
        <v>7.0992729999999995E-4</v>
      </c>
      <c r="AA5041">
        <v>0.9998996</v>
      </c>
      <c r="AB5041">
        <v>38</v>
      </c>
      <c r="AC5041">
        <v>-0.80489999999997497</v>
      </c>
      <c r="AD5041">
        <v>-0.10863</v>
      </c>
      <c r="AE5041">
        <v>1.6100000000022801E-2</v>
      </c>
      <c r="AF5041">
        <v>1.46789775316606E-2</v>
      </c>
      <c r="AG5041">
        <v>-0.10863</v>
      </c>
      <c r="AH5041">
        <v>0.79052897103279196</v>
      </c>
      <c r="AI5041">
        <v>97.822926551633998</v>
      </c>
      <c r="AJ5041">
        <v>88.936222643940397</v>
      </c>
      <c r="AK5041">
        <v>0.79809272852441104</v>
      </c>
      <c r="AL5041">
        <v>67.879404137228505</v>
      </c>
      <c r="AM5041">
        <v>94.059143653347704</v>
      </c>
      <c r="AN5041">
        <v>1.0000000159026201</v>
      </c>
    </row>
    <row r="5042" spans="1:40" x14ac:dyDescent="0.25">
      <c r="A5042" t="str">
        <f>"20190304164949561"</f>
        <v>20190304164949561</v>
      </c>
      <c r="B5042" t="str">
        <f>"1551689389550742"</f>
        <v>1551689389550742</v>
      </c>
      <c r="C5042" t="s">
        <v>40</v>
      </c>
      <c r="D5042">
        <v>4.5164049999999998</v>
      </c>
      <c r="E5042">
        <v>0.54602099999999998</v>
      </c>
      <c r="F5042" t="s">
        <v>41</v>
      </c>
      <c r="G5042">
        <v>-306.87799999999999</v>
      </c>
      <c r="H5042">
        <v>1.0260479999999901</v>
      </c>
      <c r="I5042">
        <v>141.84119999999999</v>
      </c>
      <c r="J5042">
        <v>-306.26080000000002</v>
      </c>
      <c r="K5042">
        <v>1.1107849999999999</v>
      </c>
      <c r="L5042">
        <v>141.8287</v>
      </c>
      <c r="M5042">
        <v>-0.99989309999999998</v>
      </c>
      <c r="N5042">
        <v>-1.4548709999999999E-2</v>
      </c>
      <c r="O5042">
        <v>1.4333449999999999E-3</v>
      </c>
      <c r="P5042">
        <v>-0.92948149999999996</v>
      </c>
      <c r="Q5042">
        <v>0.36318719999999999</v>
      </c>
      <c r="R5042">
        <v>-6.449117E-2</v>
      </c>
      <c r="S5042">
        <v>-3.3674930000000001</v>
      </c>
      <c r="T5042">
        <v>-0.3493464</v>
      </c>
      <c r="U5042">
        <v>5.2291869999999997E-2</v>
      </c>
      <c r="V5042">
        <v>-6.5809119999999999E-2</v>
      </c>
      <c r="W5042">
        <v>0.37667299999999998</v>
      </c>
      <c r="X5042">
        <v>0.92400570000000004</v>
      </c>
      <c r="Y5042">
        <v>1.401311E-2</v>
      </c>
      <c r="Z5042">
        <v>6.9965239999999996E-4</v>
      </c>
      <c r="AA5042">
        <v>0.99990159999999995</v>
      </c>
      <c r="AB5042">
        <v>38</v>
      </c>
      <c r="AC5042">
        <v>-0.617199999999968</v>
      </c>
      <c r="AD5042">
        <v>-8.4737000000000201E-2</v>
      </c>
      <c r="AE5042">
        <v>1.24999999999886E-2</v>
      </c>
      <c r="AF5042">
        <v>1.14004313486536E-2</v>
      </c>
      <c r="AG5042">
        <v>-8.4737000000000201E-2</v>
      </c>
      <c r="AH5042">
        <v>0.60580302687377696</v>
      </c>
      <c r="AI5042">
        <v>97.961222450313997</v>
      </c>
      <c r="AJ5042">
        <v>88.921894609638699</v>
      </c>
      <c r="AK5042">
        <v>0.61180686198617096</v>
      </c>
      <c r="AL5042">
        <v>67.872246847144098</v>
      </c>
      <c r="AM5042">
        <v>94.073815476162295</v>
      </c>
      <c r="AN5042">
        <v>0.99999996141833103</v>
      </c>
    </row>
    <row r="5043" spans="1:40" x14ac:dyDescent="0.25">
      <c r="A5043" t="str">
        <f>"20190304164949574"</f>
        <v>20190304164949574</v>
      </c>
      <c r="B5043" t="str">
        <f>"1551689389571238"</f>
        <v>1551689389571238</v>
      </c>
      <c r="C5043" t="s">
        <v>40</v>
      </c>
      <c r="D5043">
        <v>4.4655690000000003</v>
      </c>
      <c r="E5043">
        <v>0.54585989999999995</v>
      </c>
      <c r="F5043" t="s">
        <v>41</v>
      </c>
      <c r="G5043">
        <v>-307.20870000000002</v>
      </c>
      <c r="H5043">
        <v>1.0128410000000001</v>
      </c>
      <c r="I5043">
        <v>141.8433</v>
      </c>
      <c r="J5043">
        <v>-306.47550000000001</v>
      </c>
      <c r="K5043">
        <v>1.1107910000000001</v>
      </c>
      <c r="L5043">
        <v>141.82900000000001</v>
      </c>
      <c r="M5043">
        <v>-0.99989280000000003</v>
      </c>
      <c r="N5043">
        <v>-1.45766E-2</v>
      </c>
      <c r="O5043">
        <v>1.43314299999999E-3</v>
      </c>
      <c r="P5043">
        <v>-0.92942979999999997</v>
      </c>
      <c r="Q5043">
        <v>0.36331730000000001</v>
      </c>
      <c r="R5043">
        <v>-6.4505229999999997E-2</v>
      </c>
      <c r="S5043">
        <v>-3.3670960000000001</v>
      </c>
      <c r="T5043">
        <v>-0.34801599999999999</v>
      </c>
      <c r="U5043">
        <v>5.0399779999999998E-2</v>
      </c>
      <c r="V5043">
        <v>-6.5823160000000006E-2</v>
      </c>
      <c r="W5043">
        <v>0.3768281</v>
      </c>
      <c r="X5043">
        <v>0.92394149999999997</v>
      </c>
      <c r="Y5043">
        <v>1.345729E-2</v>
      </c>
      <c r="Z5043">
        <v>6.6507960000000005E-4</v>
      </c>
      <c r="AA5043">
        <v>0.99990919999999905</v>
      </c>
      <c r="AB5043">
        <v>38</v>
      </c>
      <c r="AC5043">
        <v>-0.73320000000000995</v>
      </c>
      <c r="AD5043">
        <v>-9.7950000000000204E-2</v>
      </c>
      <c r="AE5043">
        <v>1.42999999999915E-2</v>
      </c>
      <c r="AF5043">
        <v>1.3016870211493401E-2</v>
      </c>
      <c r="AG5043">
        <v>-9.7950000000000204E-2</v>
      </c>
      <c r="AH5043">
        <v>0.72036825645214697</v>
      </c>
      <c r="AI5043">
        <v>97.741893729703193</v>
      </c>
      <c r="AJ5043">
        <v>88.964792574161194</v>
      </c>
      <c r="AK5043">
        <v>0.72711351680051295</v>
      </c>
      <c r="AL5043">
        <v>67.862654282091398</v>
      </c>
      <c r="AM5043">
        <v>94.074963849425401</v>
      </c>
      <c r="AN5043">
        <v>1.0000000003821199</v>
      </c>
    </row>
    <row r="5044" spans="1:40" x14ac:dyDescent="0.25">
      <c r="A5044" t="str">
        <f>"20190304164949590"</f>
        <v>20190304164949590</v>
      </c>
      <c r="B5044" t="str">
        <f>"1551689389580998"</f>
        <v>1551689389580998</v>
      </c>
      <c r="C5044" t="s">
        <v>40</v>
      </c>
      <c r="D5044">
        <v>4.5183369999999998</v>
      </c>
      <c r="E5044">
        <v>0.54573319999999903</v>
      </c>
      <c r="F5044" t="s">
        <v>41</v>
      </c>
      <c r="G5044">
        <v>-307.21980000000002</v>
      </c>
      <c r="H5044">
        <v>1.0343560000000001</v>
      </c>
      <c r="I5044">
        <v>141.84020000000001</v>
      </c>
      <c r="J5044">
        <v>-306.75560000000002</v>
      </c>
      <c r="K5044">
        <v>1.1107959999999999</v>
      </c>
      <c r="L5044">
        <v>141.82939999999999</v>
      </c>
      <c r="M5044">
        <v>-0.99989220000000001</v>
      </c>
      <c r="N5044">
        <v>-1.4608360000000001E-2</v>
      </c>
      <c r="O5044">
        <v>1.433269E-3</v>
      </c>
      <c r="P5044">
        <v>-0.9294367</v>
      </c>
      <c r="Q5044">
        <v>0.36329489999999998</v>
      </c>
      <c r="R5044">
        <v>-6.4530279999999995E-2</v>
      </c>
      <c r="S5044">
        <v>-3.3663940000000001</v>
      </c>
      <c r="T5044">
        <v>-0.34591149999999998</v>
      </c>
      <c r="U5044">
        <v>4.8782350000000002E-2</v>
      </c>
      <c r="V5044">
        <v>-6.5848069999999995E-2</v>
      </c>
      <c r="W5044">
        <v>0.37683470000000002</v>
      </c>
      <c r="X5044">
        <v>0.92393700000000001</v>
      </c>
      <c r="Y5044">
        <v>1.29836E-2</v>
      </c>
      <c r="Z5044">
        <v>6.3441439999999995E-4</v>
      </c>
      <c r="AA5044">
        <v>0.99991549999999996</v>
      </c>
      <c r="AB5044">
        <v>38</v>
      </c>
      <c r="AC5044">
        <v>-0.464200000000005</v>
      </c>
      <c r="AD5044">
        <v>-7.64399999999998E-2</v>
      </c>
      <c r="AE5044">
        <v>1.08000000000174E-2</v>
      </c>
      <c r="AF5044">
        <v>9.8671773957640305E-3</v>
      </c>
      <c r="AG5044">
        <v>-7.64399999999998E-2</v>
      </c>
      <c r="AH5044">
        <v>0.45196597112035097</v>
      </c>
      <c r="AI5044">
        <v>99.597223032881601</v>
      </c>
      <c r="AJ5044">
        <v>88.749335429705695</v>
      </c>
      <c r="AK5044">
        <v>0.45849064749515001</v>
      </c>
      <c r="AL5044">
        <v>67.862245319714404</v>
      </c>
      <c r="AM5044">
        <v>94.076520561032297</v>
      </c>
      <c r="AN5044">
        <v>0.99999996970790594</v>
      </c>
    </row>
    <row r="5045" spans="1:40" x14ac:dyDescent="0.25">
      <c r="A5045" t="str">
        <f>"20190304164949605"</f>
        <v>20190304164949605</v>
      </c>
      <c r="B5045" t="str">
        <f>"1551689389600518"</f>
        <v>1551689389600518</v>
      </c>
      <c r="C5045" t="s">
        <v>40</v>
      </c>
      <c r="D5045">
        <v>4.4633560000000001</v>
      </c>
      <c r="E5045">
        <v>0.54547919999999905</v>
      </c>
      <c r="F5045" t="s">
        <v>41</v>
      </c>
      <c r="G5045">
        <v>-307.55369999999999</v>
      </c>
      <c r="H5045">
        <v>1.0290079999999999</v>
      </c>
      <c r="I5045">
        <v>141.84100000000001</v>
      </c>
      <c r="J5045">
        <v>-306.98219999999998</v>
      </c>
      <c r="K5045">
        <v>1.1108020000000001</v>
      </c>
      <c r="L5045">
        <v>141.82980000000001</v>
      </c>
      <c r="M5045">
        <v>-0.99989189999999994</v>
      </c>
      <c r="N5045">
        <v>-1.463156E-2</v>
      </c>
      <c r="O5045">
        <v>1.4331000000000001E-3</v>
      </c>
      <c r="P5045">
        <v>-0.92938779999999999</v>
      </c>
      <c r="Q5045">
        <v>0.36338229999999999</v>
      </c>
      <c r="R5045">
        <v>-6.4742330000000001E-2</v>
      </c>
      <c r="S5045">
        <v>-3.365936</v>
      </c>
      <c r="T5045">
        <v>-0.3450028</v>
      </c>
      <c r="U5045">
        <v>4.7683719999999999E-2</v>
      </c>
      <c r="V5045">
        <v>-6.6059919999999994E-2</v>
      </c>
      <c r="W5045">
        <v>0.37694299999999997</v>
      </c>
      <c r="X5045">
        <v>0.92387779999999997</v>
      </c>
      <c r="Y5045">
        <v>1.266168E-2</v>
      </c>
      <c r="Z5045">
        <v>6.1451180000000004E-4</v>
      </c>
      <c r="AA5045">
        <v>0.99991969999999997</v>
      </c>
      <c r="AB5045">
        <v>38</v>
      </c>
      <c r="AC5045">
        <v>-0.571500000000014</v>
      </c>
      <c r="AD5045">
        <v>-8.1794000000000103E-2</v>
      </c>
      <c r="AE5045">
        <v>1.12000000000023E-2</v>
      </c>
      <c r="AF5045">
        <v>1.01725908723741E-2</v>
      </c>
      <c r="AG5045">
        <v>-8.1794000000000103E-2</v>
      </c>
      <c r="AH5045">
        <v>0.56004796195145901</v>
      </c>
      <c r="AI5045">
        <v>98.307848277956097</v>
      </c>
      <c r="AJ5045">
        <v>88.959406197677396</v>
      </c>
      <c r="AK5045">
        <v>0.56608078904608705</v>
      </c>
      <c r="AL5045">
        <v>67.855548376165501</v>
      </c>
      <c r="AM5045">
        <v>94.089852499120994</v>
      </c>
      <c r="AN5045">
        <v>1.0000000638061199</v>
      </c>
    </row>
    <row r="5046" spans="1:40" x14ac:dyDescent="0.25">
      <c r="A5046" t="str">
        <f>"20190304164949617"</f>
        <v>20190304164949617</v>
      </c>
      <c r="B5046" t="str">
        <f>"1551689389611254"</f>
        <v>1551689389611254</v>
      </c>
      <c r="C5046" t="s">
        <v>40</v>
      </c>
      <c r="D5046">
        <v>4.515555</v>
      </c>
      <c r="E5046">
        <v>0.54535230000000001</v>
      </c>
      <c r="F5046" t="s">
        <v>41</v>
      </c>
      <c r="G5046">
        <v>-307.8852</v>
      </c>
      <c r="H5046">
        <v>1.0188950000000001</v>
      </c>
      <c r="I5046">
        <v>141.84209999999999</v>
      </c>
      <c r="J5046">
        <v>-307.20209999999997</v>
      </c>
      <c r="K5046">
        <v>1.1108049999999901</v>
      </c>
      <c r="L5046">
        <v>141.83009999999999</v>
      </c>
      <c r="M5046">
        <v>-0.99989150000000004</v>
      </c>
      <c r="N5046">
        <v>-1.4652510000000001E-2</v>
      </c>
      <c r="O5046">
        <v>1.4331249999999999E-3</v>
      </c>
      <c r="P5046">
        <v>-0.92927009999999999</v>
      </c>
      <c r="Q5046">
        <v>0.36370010000000003</v>
      </c>
      <c r="R5046">
        <v>-6.4647389999999999E-2</v>
      </c>
      <c r="S5046">
        <v>-3.3649900000000001</v>
      </c>
      <c r="T5046">
        <v>-0.34252050000000001</v>
      </c>
      <c r="U5046">
        <v>4.4952390000000002E-2</v>
      </c>
      <c r="V5046">
        <v>-6.5964300000000003E-2</v>
      </c>
      <c r="W5046">
        <v>0.37727810000000001</v>
      </c>
      <c r="X5046">
        <v>0.92374780000000001</v>
      </c>
      <c r="Y5046">
        <v>1.185978E-2</v>
      </c>
      <c r="Z5046">
        <v>5.6462919999999896E-4</v>
      </c>
      <c r="AA5046">
        <v>0.99992950000000003</v>
      </c>
      <c r="AB5046">
        <v>38</v>
      </c>
      <c r="AC5046">
        <v>-0.68310000000002402</v>
      </c>
      <c r="AD5046">
        <v>-9.19099999999997E-2</v>
      </c>
      <c r="AE5046">
        <v>1.2000000000000399E-2</v>
      </c>
      <c r="AF5046">
        <v>1.08250072215124E-2</v>
      </c>
      <c r="AG5046">
        <v>-9.19099999999997E-2</v>
      </c>
      <c r="AH5046">
        <v>0.67097343368427598</v>
      </c>
      <c r="AI5046">
        <v>97.798836047547795</v>
      </c>
      <c r="AJ5046">
        <v>89.075710910845302</v>
      </c>
      <c r="AK5046">
        <v>0.67732560677373799</v>
      </c>
      <c r="AL5046">
        <v>67.834817115088697</v>
      </c>
      <c r="AM5046">
        <v>94.084525384230403</v>
      </c>
      <c r="AN5046">
        <v>1.0000000258094599</v>
      </c>
    </row>
    <row r="5047" spans="1:40" x14ac:dyDescent="0.25">
      <c r="A5047" t="str">
        <f>"20190304164949637"</f>
        <v>20190304164949637</v>
      </c>
      <c r="B5047" t="str">
        <f>"1551689389631282"</f>
        <v>1551689389631282</v>
      </c>
      <c r="C5047" t="s">
        <v>40</v>
      </c>
      <c r="D5047">
        <v>4.5183689999999999</v>
      </c>
      <c r="E5047">
        <v>0.54513159999999905</v>
      </c>
      <c r="F5047" t="s">
        <v>41</v>
      </c>
      <c r="G5047">
        <v>-308.21620000000001</v>
      </c>
      <c r="H5047">
        <v>1.008222</v>
      </c>
      <c r="I5047">
        <v>141.84370000000001</v>
      </c>
      <c r="J5047">
        <v>-307.52359999999999</v>
      </c>
      <c r="K5047">
        <v>1.110816</v>
      </c>
      <c r="L5047">
        <v>141.8305</v>
      </c>
      <c r="M5047">
        <v>-0.99989130000000004</v>
      </c>
      <c r="N5047">
        <v>-1.467919E-2</v>
      </c>
      <c r="O5047">
        <v>1.4327509999999999E-3</v>
      </c>
      <c r="P5047">
        <v>-0.92928770000000005</v>
      </c>
      <c r="Q5047">
        <v>0.36365409999999998</v>
      </c>
      <c r="R5047">
        <v>-6.4655779999999996E-2</v>
      </c>
      <c r="S5047">
        <v>-3.364655</v>
      </c>
      <c r="T5047">
        <v>-0.3403988</v>
      </c>
      <c r="U5047">
        <v>4.4464110000000001E-2</v>
      </c>
      <c r="V5047">
        <v>-6.5972840000000005E-2</v>
      </c>
      <c r="W5047">
        <v>0.37725690000000001</v>
      </c>
      <c r="X5047">
        <v>0.92375580000000002</v>
      </c>
      <c r="Y5047">
        <v>1.171793E-2</v>
      </c>
      <c r="Z5047">
        <v>5.5388680000000002E-4</v>
      </c>
      <c r="AA5047">
        <v>0.99993120000000002</v>
      </c>
      <c r="AB5047">
        <v>38</v>
      </c>
      <c r="AC5047">
        <v>-0.69260000000002697</v>
      </c>
      <c r="AD5047">
        <v>-0.102594</v>
      </c>
      <c r="AE5047">
        <v>1.32000000000118E-2</v>
      </c>
      <c r="AF5047">
        <v>1.1945540711779E-2</v>
      </c>
      <c r="AG5047">
        <v>-0.102594</v>
      </c>
      <c r="AH5047">
        <v>0.67775226896997198</v>
      </c>
      <c r="AI5047">
        <v>98.6064195172697</v>
      </c>
      <c r="AJ5047">
        <v>88.990253166278507</v>
      </c>
      <c r="AK5047">
        <v>0.68557739378777804</v>
      </c>
      <c r="AL5047">
        <v>67.836127663560603</v>
      </c>
      <c r="AM5047">
        <v>94.085017134981996</v>
      </c>
      <c r="AN5047">
        <v>0.99999998112445698</v>
      </c>
    </row>
    <row r="5048" spans="1:40" x14ac:dyDescent="0.25">
      <c r="A5048" t="str">
        <f>"20190304164949649"</f>
        <v>20190304164949649</v>
      </c>
      <c r="B5048" t="str">
        <f>"1551689389641041"</f>
        <v>1551689389641041</v>
      </c>
      <c r="C5048" t="s">
        <v>40</v>
      </c>
      <c r="D5048">
        <v>4.4818389999999999</v>
      </c>
      <c r="E5048">
        <v>0.54501269999999902</v>
      </c>
      <c r="F5048" t="s">
        <v>41</v>
      </c>
      <c r="G5048">
        <v>-308.5514</v>
      </c>
      <c r="H5048">
        <v>1.0071889999999999</v>
      </c>
      <c r="I5048">
        <v>141.8441</v>
      </c>
      <c r="J5048">
        <v>-307.74990000000003</v>
      </c>
      <c r="K5048">
        <v>1.110819</v>
      </c>
      <c r="L5048">
        <v>141.83090000000001</v>
      </c>
      <c r="M5048">
        <v>-0.99989099999999997</v>
      </c>
      <c r="N5048">
        <v>-1.469553E-2</v>
      </c>
      <c r="O5048">
        <v>1.4328100000000001E-3</v>
      </c>
      <c r="P5048">
        <v>-0.92927590000000004</v>
      </c>
      <c r="Q5048">
        <v>0.36366690000000002</v>
      </c>
      <c r="R5048">
        <v>-6.4749020000000004E-2</v>
      </c>
      <c r="S5048">
        <v>-3.3640439999999998</v>
      </c>
      <c r="T5048">
        <v>-0.33933200000000002</v>
      </c>
      <c r="U5048">
        <v>4.2922969999999998E-2</v>
      </c>
      <c r="V5048">
        <v>-6.6066280000000005E-2</v>
      </c>
      <c r="W5048">
        <v>0.37728519999999999</v>
      </c>
      <c r="X5048">
        <v>0.92373760000000005</v>
      </c>
      <c r="Y5048">
        <v>1.1265209999999999E-2</v>
      </c>
      <c r="Z5048">
        <v>5.2657849999999896E-4</v>
      </c>
      <c r="AA5048">
        <v>0.99993639999999995</v>
      </c>
      <c r="AB5048">
        <v>38</v>
      </c>
      <c r="AC5048">
        <v>-0.80149999999997501</v>
      </c>
      <c r="AD5048">
        <v>-0.10363</v>
      </c>
      <c r="AE5048">
        <v>1.31999999999834E-2</v>
      </c>
      <c r="AF5048">
        <v>1.18533637177343E-2</v>
      </c>
      <c r="AG5048">
        <v>-0.10363</v>
      </c>
      <c r="AH5048">
        <v>0.78834276977635198</v>
      </c>
      <c r="AI5048">
        <v>97.487925736760502</v>
      </c>
      <c r="AJ5048">
        <v>89.1385770663004</v>
      </c>
      <c r="AK5048">
        <v>0.79521318009077002</v>
      </c>
      <c r="AL5048">
        <v>67.834377590683999</v>
      </c>
      <c r="AM5048">
        <v>94.090863606544701</v>
      </c>
      <c r="AN5048">
        <v>1.00000001457291</v>
      </c>
    </row>
    <row r="5049" spans="1:40" x14ac:dyDescent="0.25">
      <c r="A5049" t="str">
        <f>"20190304164949662"</f>
        <v>20190304164949662</v>
      </c>
      <c r="B5049" t="str">
        <f>"1551689389650801"</f>
        <v>1551689389650801</v>
      </c>
      <c r="C5049" t="s">
        <v>40</v>
      </c>
      <c r="D5049">
        <v>4.5175559999999999</v>
      </c>
      <c r="E5049">
        <v>0.54491909999999999</v>
      </c>
      <c r="F5049" t="s">
        <v>41</v>
      </c>
      <c r="G5049">
        <v>-308.56220000000002</v>
      </c>
      <c r="H5049">
        <v>1.0290319999999999</v>
      </c>
      <c r="I5049">
        <v>141.84129999999999</v>
      </c>
      <c r="J5049">
        <v>-307.95510000000002</v>
      </c>
      <c r="K5049">
        <v>1.1108229999999999</v>
      </c>
      <c r="L5049">
        <v>141.8312</v>
      </c>
      <c r="M5049">
        <v>-0.99989090000000003</v>
      </c>
      <c r="N5049">
        <v>-1.4709119999999999E-2</v>
      </c>
      <c r="O5049">
        <v>1.43271E-3</v>
      </c>
      <c r="P5049">
        <v>-0.92922700000000003</v>
      </c>
      <c r="Q5049">
        <v>0.36383359999999998</v>
      </c>
      <c r="R5049">
        <v>-6.4518770000000003E-2</v>
      </c>
      <c r="S5049">
        <v>-3.363861</v>
      </c>
      <c r="T5049">
        <v>-0.33889789999999997</v>
      </c>
      <c r="U5049">
        <v>4.1458130000000003E-2</v>
      </c>
      <c r="V5049">
        <v>-6.5835599999999994E-2</v>
      </c>
      <c r="W5049">
        <v>0.3774631</v>
      </c>
      <c r="X5049">
        <v>0.92368139999999999</v>
      </c>
      <c r="Y5049">
        <v>1.0833270000000001E-2</v>
      </c>
      <c r="Z5049">
        <v>5.0128E-4</v>
      </c>
      <c r="AA5049">
        <v>0.99994119999999997</v>
      </c>
      <c r="AB5049">
        <v>38</v>
      </c>
      <c r="AC5049">
        <v>-0.60710000000000197</v>
      </c>
      <c r="AD5049">
        <v>-8.1790999999999905E-2</v>
      </c>
      <c r="AE5049">
        <v>1.00999999999942E-2</v>
      </c>
      <c r="AF5049">
        <v>9.0655970394366292E-3</v>
      </c>
      <c r="AG5049">
        <v>-8.1790999999999905E-2</v>
      </c>
      <c r="AH5049">
        <v>0.59629376417570301</v>
      </c>
      <c r="AI5049">
        <v>97.809380895859704</v>
      </c>
      <c r="AJ5049">
        <v>89.128985633383294</v>
      </c>
      <c r="AK5049">
        <v>0.60194535127826199</v>
      </c>
      <c r="AL5049">
        <v>67.823371048452699</v>
      </c>
      <c r="AM5049">
        <v>94.076875204991893</v>
      </c>
      <c r="AN5049">
        <v>1.00000002339746</v>
      </c>
    </row>
    <row r="5050" spans="1:40" x14ac:dyDescent="0.25">
      <c r="A5050" t="str">
        <f>"20190304164949675"</f>
        <v>20190304164949675</v>
      </c>
      <c r="B5050" t="str">
        <f>"1551689389671297"</f>
        <v>1551689389671297</v>
      </c>
      <c r="C5050" t="s">
        <v>40</v>
      </c>
      <c r="D5050">
        <v>4.5155459999999996</v>
      </c>
      <c r="E5050">
        <v>0.54473380000000005</v>
      </c>
      <c r="F5050" t="s">
        <v>41</v>
      </c>
      <c r="G5050">
        <v>-308.89150000000001</v>
      </c>
      <c r="H5050">
        <v>1.016691</v>
      </c>
      <c r="I5050">
        <v>141.84270000000001</v>
      </c>
      <c r="J5050">
        <v>-308.16669999999999</v>
      </c>
      <c r="K5050">
        <v>1.1108309999999999</v>
      </c>
      <c r="L5050">
        <v>141.83150000000001</v>
      </c>
      <c r="M5050">
        <v>-0.99989059999999996</v>
      </c>
      <c r="N5050">
        <v>-1.47222E-2</v>
      </c>
      <c r="O5050">
        <v>1.4327929999999999E-3</v>
      </c>
      <c r="P5050">
        <v>-0.9291857</v>
      </c>
      <c r="Q5050">
        <v>0.36393360000000002</v>
      </c>
      <c r="R5050">
        <v>-6.4545699999999998E-2</v>
      </c>
      <c r="S5050">
        <v>-3.3637389999999998</v>
      </c>
      <c r="T5050">
        <v>-0.33817039999999998</v>
      </c>
      <c r="U5050">
        <v>4.1000370000000001E-2</v>
      </c>
      <c r="V5050">
        <v>-6.5862740000000003E-2</v>
      </c>
      <c r="W5050">
        <v>0.3775752</v>
      </c>
      <c r="X5050">
        <v>0.92363360000000005</v>
      </c>
      <c r="Y5050">
        <v>1.0698569999999999E-2</v>
      </c>
      <c r="Z5050">
        <v>4.9277320000000002E-4</v>
      </c>
      <c r="AA5050">
        <v>0.99994269999999996</v>
      </c>
      <c r="AB5050">
        <v>38</v>
      </c>
      <c r="AC5050">
        <v>-0.72480000000001599</v>
      </c>
      <c r="AD5050">
        <v>-9.4139999999999793E-2</v>
      </c>
      <c r="AE5050">
        <v>1.12000000000023E-2</v>
      </c>
      <c r="AF5050">
        <v>9.9928496377316902E-3</v>
      </c>
      <c r="AG5050">
        <v>-9.4139999999999793E-2</v>
      </c>
      <c r="AH5050">
        <v>0.71279343506957904</v>
      </c>
      <c r="AI5050">
        <v>97.522889854414899</v>
      </c>
      <c r="AJ5050">
        <v>89.196807130595403</v>
      </c>
      <c r="AK5050">
        <v>0.71905262514100599</v>
      </c>
      <c r="AL5050">
        <v>67.816433908456204</v>
      </c>
      <c r="AM5050">
        <v>94.078760542584703</v>
      </c>
      <c r="AN5050">
        <v>0.99999997961215303</v>
      </c>
    </row>
    <row r="5051" spans="1:40" x14ac:dyDescent="0.25">
      <c r="A5051" t="str">
        <f>"20190304164949692"</f>
        <v>20190304164949692</v>
      </c>
      <c r="B5051" t="str">
        <f>"1551689389681061"</f>
        <v>1551689389681061</v>
      </c>
      <c r="C5051" t="s">
        <v>40</v>
      </c>
      <c r="D5051">
        <v>4.5036239999999896</v>
      </c>
      <c r="E5051">
        <v>0.5446455</v>
      </c>
      <c r="F5051" t="s">
        <v>41</v>
      </c>
      <c r="G5051">
        <v>-308.9033</v>
      </c>
      <c r="H5051">
        <v>1.03704</v>
      </c>
      <c r="I5051">
        <v>141.84030000000001</v>
      </c>
      <c r="J5051">
        <v>-308.45299999999997</v>
      </c>
      <c r="K5051">
        <v>1.1108389999999999</v>
      </c>
      <c r="L5051">
        <v>141.83189999999999</v>
      </c>
      <c r="M5051">
        <v>-0.99989039999999996</v>
      </c>
      <c r="N5051">
        <v>-1.473727E-2</v>
      </c>
      <c r="O5051">
        <v>1.4325029999999999E-3</v>
      </c>
      <c r="P5051">
        <v>-0.92894049999999995</v>
      </c>
      <c r="Q5051">
        <v>0.36453190000000002</v>
      </c>
      <c r="R5051">
        <v>-6.470099E-2</v>
      </c>
      <c r="S5051">
        <v>-3.3633730000000002</v>
      </c>
      <c r="T5051">
        <v>-0.33697339999999998</v>
      </c>
      <c r="U5051">
        <v>3.9733890000000001E-2</v>
      </c>
      <c r="V5051">
        <v>-6.601725E-2</v>
      </c>
      <c r="W5051">
        <v>0.3781832</v>
      </c>
      <c r="X5051">
        <v>0.92337380000000002</v>
      </c>
      <c r="Y5051">
        <v>1.0326190000000001E-2</v>
      </c>
      <c r="Z5051">
        <v>4.7020029999999998E-4</v>
      </c>
      <c r="AA5051">
        <v>0.99994660000000002</v>
      </c>
      <c r="AB5051">
        <v>38</v>
      </c>
      <c r="AC5051">
        <v>-0.45030000000002701</v>
      </c>
      <c r="AD5051">
        <v>-7.3798999999999906E-2</v>
      </c>
      <c r="AE5051">
        <v>8.4000000000230505E-3</v>
      </c>
      <c r="AF5051">
        <v>7.5520908163747803E-3</v>
      </c>
      <c r="AG5051">
        <v>-7.3798999999999906E-2</v>
      </c>
      <c r="AH5051">
        <v>0.43853681347683399</v>
      </c>
      <c r="AI5051">
        <v>99.551104717992402</v>
      </c>
      <c r="AJ5051">
        <v>89.013400586890597</v>
      </c>
      <c r="AK5051">
        <v>0.44476720118632201</v>
      </c>
      <c r="AL5051">
        <v>67.778808616839001</v>
      </c>
      <c r="AM5051">
        <v>94.089443039462495</v>
      </c>
      <c r="AN5051">
        <v>0.99999999229312098</v>
      </c>
    </row>
    <row r="5052" spans="1:40" x14ac:dyDescent="0.25">
      <c r="A5052" t="str">
        <f>"20190304164949715"</f>
        <v>20190304164949715</v>
      </c>
      <c r="B5052" t="str">
        <f>"1551689389710336"</f>
        <v>1551689389710336</v>
      </c>
      <c r="C5052" t="s">
        <v>40</v>
      </c>
      <c r="D5052">
        <v>4.5096759999999998</v>
      </c>
      <c r="E5052">
        <v>0.54445580000000005</v>
      </c>
      <c r="F5052" t="s">
        <v>41</v>
      </c>
      <c r="G5052">
        <v>-309.23480000000001</v>
      </c>
      <c r="H5052">
        <v>1.0332239999999999</v>
      </c>
      <c r="I5052">
        <v>141.84129999999999</v>
      </c>
      <c r="J5052">
        <v>-308.827</v>
      </c>
      <c r="K5052">
        <v>1.1108420000000001</v>
      </c>
      <c r="L5052">
        <v>141.83240000000001</v>
      </c>
      <c r="M5052">
        <v>-0.99989030000000001</v>
      </c>
      <c r="N5052">
        <v>-1.47545E-2</v>
      </c>
      <c r="O5052">
        <v>1.432376E-3</v>
      </c>
      <c r="P5052">
        <v>-0.92880090000000004</v>
      </c>
      <c r="Q5052">
        <v>0.3648711</v>
      </c>
      <c r="R5052">
        <v>-6.4794599999999994E-2</v>
      </c>
      <c r="S5052">
        <v>-3.3633120000000001</v>
      </c>
      <c r="T5052">
        <v>-0.33405790000000002</v>
      </c>
      <c r="U5052">
        <v>3.9413450000000003E-2</v>
      </c>
      <c r="V5052">
        <v>-6.6110859999999994E-2</v>
      </c>
      <c r="W5052">
        <v>0.3785364</v>
      </c>
      <c r="X5052">
        <v>0.9232224</v>
      </c>
      <c r="Y5052">
        <v>1.0232639999999999E-2</v>
      </c>
      <c r="Z5052">
        <v>4.61793E-4</v>
      </c>
      <c r="AA5052">
        <v>0.99994749999999999</v>
      </c>
      <c r="AB5052">
        <v>38</v>
      </c>
      <c r="AC5052">
        <v>-0.40780000000000799</v>
      </c>
      <c r="AD5052">
        <v>-7.7618000000000104E-2</v>
      </c>
      <c r="AE5052">
        <v>8.8999999999828001E-3</v>
      </c>
      <c r="AF5052">
        <v>8.0252146901051095E-3</v>
      </c>
      <c r="AG5052">
        <v>-7.7618000000000104E-2</v>
      </c>
      <c r="AH5052">
        <v>0.39356162477408402</v>
      </c>
      <c r="AI5052">
        <v>101.154402937873</v>
      </c>
      <c r="AJ5052">
        <v>88.831829151781903</v>
      </c>
      <c r="AK5052">
        <v>0.40122276915653599</v>
      </c>
      <c r="AL5052">
        <v>67.756947273387695</v>
      </c>
      <c r="AM5052">
        <v>94.095891295573097</v>
      </c>
      <c r="AN5052">
        <v>1.0000000258983199</v>
      </c>
    </row>
    <row r="5053" spans="1:40" x14ac:dyDescent="0.25">
      <c r="A5053" t="str">
        <f>"20190304164949737"</f>
        <v>20190304164949737</v>
      </c>
      <c r="B5053" t="str">
        <f>"1551689389731341"</f>
        <v>1551689389731341</v>
      </c>
      <c r="C5053" t="s">
        <v>40</v>
      </c>
      <c r="D5053">
        <v>4.5262270000000004</v>
      </c>
      <c r="E5053">
        <v>0.54431660000000004</v>
      </c>
      <c r="F5053" t="s">
        <v>41</v>
      </c>
      <c r="G5053">
        <v>-309.57310000000001</v>
      </c>
      <c r="H5053">
        <v>1.0372030000000001</v>
      </c>
      <c r="I5053">
        <v>141.84100000000001</v>
      </c>
      <c r="J5053">
        <v>-309.19310000000002</v>
      </c>
      <c r="K5053">
        <v>1.110851</v>
      </c>
      <c r="L5053">
        <v>141.8329</v>
      </c>
      <c r="M5053">
        <v>-0.99988999999999995</v>
      </c>
      <c r="N5053">
        <v>-1.4768470000000001E-2</v>
      </c>
      <c r="O5053">
        <v>1.432273E-3</v>
      </c>
      <c r="P5053">
        <v>-0.92875649999999998</v>
      </c>
      <c r="Q5053">
        <v>0.36501689999999998</v>
      </c>
      <c r="R5053">
        <v>-6.4610299999999996E-2</v>
      </c>
      <c r="S5053">
        <v>-3.3630680000000002</v>
      </c>
      <c r="T5053">
        <v>-0.33204359999999999</v>
      </c>
      <c r="U5053">
        <v>3.7490839999999998E-2</v>
      </c>
      <c r="V5053">
        <v>-6.5926189999999996E-2</v>
      </c>
      <c r="W5053">
        <v>0.37869429999999998</v>
      </c>
      <c r="X5053">
        <v>0.92317079999999996</v>
      </c>
      <c r="Y5053">
        <v>9.6657470000000006E-3</v>
      </c>
      <c r="Z5053">
        <v>4.2761379999999997E-4</v>
      </c>
      <c r="AA5053">
        <v>0.99995319999999999</v>
      </c>
      <c r="AB5053">
        <v>37</v>
      </c>
      <c r="AC5053">
        <v>-0.37999999999999501</v>
      </c>
      <c r="AD5053">
        <v>-7.3647999999999894E-2</v>
      </c>
      <c r="AE5053">
        <v>8.1000000000130898E-3</v>
      </c>
      <c r="AF5053">
        <v>7.2822530847698004E-3</v>
      </c>
      <c r="AG5053">
        <v>-7.3647999999999894E-2</v>
      </c>
      <c r="AH5053">
        <v>0.36625981912460398</v>
      </c>
      <c r="AI5053">
        <v>101.367302913552</v>
      </c>
      <c r="AJ5053">
        <v>88.860952317430005</v>
      </c>
      <c r="AK5053">
        <v>0.373662032081369</v>
      </c>
      <c r="AL5053">
        <v>67.747171524530103</v>
      </c>
      <c r="AM5053">
        <v>94.084716389316299</v>
      </c>
      <c r="AN5053">
        <v>0.99999998067652196</v>
      </c>
    </row>
    <row r="5054" spans="1:40" x14ac:dyDescent="0.25">
      <c r="A5054" t="str">
        <f>"20190304164949749"</f>
        <v>20190304164949749</v>
      </c>
      <c r="B5054" t="str">
        <f>"1551689389741101"</f>
        <v>1551689389741101</v>
      </c>
      <c r="C5054" t="s">
        <v>40</v>
      </c>
      <c r="D5054">
        <v>4.4590420000000002</v>
      </c>
      <c r="E5054">
        <v>0.54428840000000001</v>
      </c>
      <c r="F5054" t="s">
        <v>41</v>
      </c>
      <c r="G5054">
        <v>-310.22559999999999</v>
      </c>
      <c r="H5054">
        <v>1.0091870000000001</v>
      </c>
      <c r="I5054">
        <v>141.84440000000001</v>
      </c>
      <c r="J5054">
        <v>-309.43189999999998</v>
      </c>
      <c r="K5054">
        <v>1.1108499999999999</v>
      </c>
      <c r="L5054">
        <v>141.83320000000001</v>
      </c>
      <c r="M5054">
        <v>-0.9998899</v>
      </c>
      <c r="N5054">
        <v>-1.477613E-2</v>
      </c>
      <c r="O5054">
        <v>1.432216E-3</v>
      </c>
      <c r="P5054">
        <v>-0.9287976</v>
      </c>
      <c r="Q5054">
        <v>0.3649191</v>
      </c>
      <c r="R5054">
        <v>-6.4570920000000004E-2</v>
      </c>
      <c r="S5054">
        <v>-3.3628230000000001</v>
      </c>
      <c r="T5054">
        <v>-0.33120359999999999</v>
      </c>
      <c r="U5054">
        <v>3.6865229999999999E-2</v>
      </c>
      <c r="V5054">
        <v>-6.5887000000000001E-2</v>
      </c>
      <c r="W5054">
        <v>0.37860440000000001</v>
      </c>
      <c r="X5054">
        <v>0.92321059999999999</v>
      </c>
      <c r="Y5054">
        <v>9.4818430000000002E-3</v>
      </c>
      <c r="Z5054">
        <v>4.1645030000000001E-4</v>
      </c>
      <c r="AA5054">
        <v>0.99995489999999998</v>
      </c>
      <c r="AB5054">
        <v>37</v>
      </c>
      <c r="AC5054">
        <v>-0.79370000000000096</v>
      </c>
      <c r="AD5054">
        <v>-0.101662999999999</v>
      </c>
      <c r="AE5054">
        <v>1.12000000000023E-2</v>
      </c>
      <c r="AF5054">
        <v>9.9007120437928104E-3</v>
      </c>
      <c r="AG5054">
        <v>-0.101662999999999</v>
      </c>
      <c r="AH5054">
        <v>0.78090593024654198</v>
      </c>
      <c r="AI5054">
        <v>97.416800938921199</v>
      </c>
      <c r="AJ5054">
        <v>89.2736146568122</v>
      </c>
      <c r="AK5054">
        <v>0.78755790997372999</v>
      </c>
      <c r="AL5054">
        <v>67.752739606393703</v>
      </c>
      <c r="AM5054">
        <v>94.082121035984002</v>
      </c>
      <c r="AN5054">
        <v>1.00000010021035</v>
      </c>
    </row>
    <row r="5055" spans="1:40" x14ac:dyDescent="0.25">
      <c r="A5055" t="str">
        <f>"20190304164949763"</f>
        <v>20190304164949763</v>
      </c>
      <c r="B5055" t="str">
        <f>"1551689389750861"</f>
        <v>1551689389750861</v>
      </c>
      <c r="C5055" t="s">
        <v>40</v>
      </c>
      <c r="D5055">
        <v>4.4908070000000002</v>
      </c>
      <c r="E5055">
        <v>0.5442536</v>
      </c>
      <c r="F5055" t="s">
        <v>41</v>
      </c>
      <c r="G5055">
        <v>-310.23660000000001</v>
      </c>
      <c r="H5055">
        <v>1.031569</v>
      </c>
      <c r="I5055">
        <v>141.84229999999999</v>
      </c>
      <c r="J5055">
        <v>-309.63490000000002</v>
      </c>
      <c r="K5055">
        <v>1.1108530000000001</v>
      </c>
      <c r="L5055">
        <v>141.83349999999999</v>
      </c>
      <c r="M5055">
        <v>-0.99988969999999999</v>
      </c>
      <c r="N5055">
        <v>-1.478197E-2</v>
      </c>
      <c r="O5055">
        <v>1.4321729999999999E-3</v>
      </c>
      <c r="P5055">
        <v>-0.92875090000000005</v>
      </c>
      <c r="Q5055">
        <v>0.36501600000000001</v>
      </c>
      <c r="R5055">
        <v>-6.4693239999999999E-2</v>
      </c>
      <c r="S5055">
        <v>-3.3627929999999999</v>
      </c>
      <c r="T5055">
        <v>-0.33144319999999999</v>
      </c>
      <c r="U5055">
        <v>3.6880490000000002E-2</v>
      </c>
      <c r="V5055">
        <v>-6.6009040000000005E-2</v>
      </c>
      <c r="W5055">
        <v>0.37870619999999999</v>
      </c>
      <c r="X5055">
        <v>0.92315999999999998</v>
      </c>
      <c r="Y5055">
        <v>9.4864289999999993E-3</v>
      </c>
      <c r="Z5055">
        <v>4.1698670000000002E-4</v>
      </c>
      <c r="AA5055">
        <v>0.99995489999999998</v>
      </c>
      <c r="AB5055">
        <v>37</v>
      </c>
      <c r="AC5055">
        <v>-0.60169999999999302</v>
      </c>
      <c r="AD5055">
        <v>-7.9284000000000104E-2</v>
      </c>
      <c r="AE5055">
        <v>8.8000000000079091E-3</v>
      </c>
      <c r="AF5055">
        <v>7.8027130359588802E-3</v>
      </c>
      <c r="AG5055">
        <v>-7.9284000000000104E-2</v>
      </c>
      <c r="AH5055">
        <v>0.59144524308816804</v>
      </c>
      <c r="AI5055">
        <v>97.634400625886201</v>
      </c>
      <c r="AJ5055">
        <v>89.244162334088699</v>
      </c>
      <c r="AK5055">
        <v>0.59678665413893395</v>
      </c>
      <c r="AL5055">
        <v>67.746434877042304</v>
      </c>
      <c r="AM5055">
        <v>94.089879962949496</v>
      </c>
      <c r="AN5055">
        <v>0.99999998244008004</v>
      </c>
    </row>
    <row r="5056" spans="1:40" x14ac:dyDescent="0.25">
      <c r="A5056" t="str">
        <f>"20190304164949776"</f>
        <v>20190304164949776</v>
      </c>
      <c r="B5056" t="str">
        <f>"1551689389770381"</f>
        <v>1551689389770381</v>
      </c>
      <c r="C5056" t="s">
        <v>40</v>
      </c>
      <c r="D5056">
        <v>4.4505379999999999</v>
      </c>
      <c r="E5056">
        <v>0.54419069999999903</v>
      </c>
      <c r="F5056" t="s">
        <v>41</v>
      </c>
      <c r="G5056">
        <v>-310.5641</v>
      </c>
      <c r="H5056">
        <v>1.0194259999999999</v>
      </c>
      <c r="I5056">
        <v>141.84399999999999</v>
      </c>
      <c r="J5056">
        <v>-309.86239999999998</v>
      </c>
      <c r="K5056">
        <v>1.1108549999999999</v>
      </c>
      <c r="L5056">
        <v>141.8338</v>
      </c>
      <c r="M5056">
        <v>-0.99988969999999999</v>
      </c>
      <c r="N5056">
        <v>-1.4787949999999999E-2</v>
      </c>
      <c r="O5056">
        <v>1.432308E-3</v>
      </c>
      <c r="P5056">
        <v>-0.92886150000000001</v>
      </c>
      <c r="Q5056">
        <v>0.36474669999999998</v>
      </c>
      <c r="R5056">
        <v>-6.4623620000000007E-2</v>
      </c>
      <c r="S5056">
        <v>-3.362762</v>
      </c>
      <c r="T5056">
        <v>-0.33097880000000002</v>
      </c>
      <c r="U5056">
        <v>3.6437990000000003E-2</v>
      </c>
      <c r="V5056">
        <v>-6.5939639999999994E-2</v>
      </c>
      <c r="W5056">
        <v>0.378444</v>
      </c>
      <c r="X5056">
        <v>0.92327250000000005</v>
      </c>
      <c r="Y5056">
        <v>9.3556720000000006E-3</v>
      </c>
      <c r="Z5056">
        <v>4.0917250000000003E-4</v>
      </c>
      <c r="AA5056">
        <v>0.99995610000000001</v>
      </c>
      <c r="AB5056">
        <v>37</v>
      </c>
      <c r="AC5056">
        <v>-0.70170000000001598</v>
      </c>
      <c r="AD5056">
        <v>-9.1428999999999899E-2</v>
      </c>
      <c r="AE5056">
        <v>1.0199999999997499E-2</v>
      </c>
      <c r="AF5056">
        <v>9.04136492088802E-3</v>
      </c>
      <c r="AG5056">
        <v>-9.1428999999999899E-2</v>
      </c>
      <c r="AH5056">
        <v>0.69000209148414904</v>
      </c>
      <c r="AI5056">
        <v>97.547389136128302</v>
      </c>
      <c r="AJ5056">
        <v>89.249274151538003</v>
      </c>
      <c r="AK5056">
        <v>0.69609187222171498</v>
      </c>
      <c r="AL5056">
        <v>67.762666383864797</v>
      </c>
      <c r="AM5056">
        <v>94.085098409199702</v>
      </c>
      <c r="AN5056">
        <v>1.00000000325778</v>
      </c>
    </row>
    <row r="5057" spans="1:40" x14ac:dyDescent="0.25">
      <c r="A5057" t="str">
        <f>"20190304164949790"</f>
        <v>20190304164949790</v>
      </c>
      <c r="B5057" t="str">
        <f>"1551689389781117"</f>
        <v>1551689389781117</v>
      </c>
      <c r="C5057" t="s">
        <v>40</v>
      </c>
      <c r="D5057">
        <v>4.5393379999999999</v>
      </c>
      <c r="E5057">
        <v>0.54411489999999996</v>
      </c>
      <c r="F5057" t="s">
        <v>41</v>
      </c>
      <c r="G5057">
        <v>-310.8922</v>
      </c>
      <c r="H5057">
        <v>1.0093179999999999</v>
      </c>
      <c r="I5057">
        <v>141.8451</v>
      </c>
      <c r="J5057">
        <v>-310.11430000000001</v>
      </c>
      <c r="K5057">
        <v>1.1108629999999999</v>
      </c>
      <c r="L5057">
        <v>141.83420000000001</v>
      </c>
      <c r="M5057">
        <v>-0.99988969999999999</v>
      </c>
      <c r="N5057">
        <v>-1.4793489999999999E-2</v>
      </c>
      <c r="O5057">
        <v>1.432088E-3</v>
      </c>
      <c r="P5057">
        <v>-0.92880110000000005</v>
      </c>
      <c r="Q5057">
        <v>0.36488930000000003</v>
      </c>
      <c r="R5057">
        <v>-6.4687999999999996E-2</v>
      </c>
      <c r="S5057">
        <v>-3.3624269999999998</v>
      </c>
      <c r="T5057">
        <v>-0.331534</v>
      </c>
      <c r="U5057">
        <v>3.6026000000000002E-2</v>
      </c>
      <c r="V5057">
        <v>-6.6004049999999995E-2</v>
      </c>
      <c r="W5057">
        <v>0.3785906</v>
      </c>
      <c r="X5057">
        <v>0.92320780000000002</v>
      </c>
      <c r="Y5057">
        <v>9.2349839999999999E-3</v>
      </c>
      <c r="Z5057">
        <v>4.0295869999999999E-4</v>
      </c>
      <c r="AA5057">
        <v>0.99995730000000005</v>
      </c>
      <c r="AB5057">
        <v>37</v>
      </c>
      <c r="AC5057">
        <v>-0.77789999999998805</v>
      </c>
      <c r="AD5057">
        <v>-0.101545</v>
      </c>
      <c r="AE5057">
        <v>1.08999999999923E-2</v>
      </c>
      <c r="AF5057">
        <v>9.6219204945250103E-3</v>
      </c>
      <c r="AG5057">
        <v>-0.101545</v>
      </c>
      <c r="AH5057">
        <v>0.76488375429437505</v>
      </c>
      <c r="AI5057">
        <v>97.561702604668199</v>
      </c>
      <c r="AJ5057">
        <v>89.279280864943004</v>
      </c>
      <c r="AK5057">
        <v>0.77165479714860896</v>
      </c>
      <c r="AL5057">
        <v>67.753591753060903</v>
      </c>
      <c r="AM5057">
        <v>94.089360811377702</v>
      </c>
      <c r="AN5057">
        <v>1.0000000095028001</v>
      </c>
    </row>
    <row r="5058" spans="1:40" x14ac:dyDescent="0.25">
      <c r="A5058" t="str">
        <f>"20190304164949805"</f>
        <v>20190304164949805</v>
      </c>
      <c r="B5058" t="str">
        <f>"1551689389800637"</f>
        <v>1551689389800637</v>
      </c>
      <c r="C5058" t="s">
        <v>40</v>
      </c>
      <c r="D5058">
        <v>4.3954199999999997</v>
      </c>
      <c r="E5058">
        <v>0.54403159999999995</v>
      </c>
      <c r="F5058" t="s">
        <v>41</v>
      </c>
      <c r="G5058">
        <v>-310.9042</v>
      </c>
      <c r="H5058">
        <v>1.033115</v>
      </c>
      <c r="I5058">
        <v>141.8426</v>
      </c>
      <c r="J5058">
        <v>-310.33940000000001</v>
      </c>
      <c r="K5058">
        <v>1.110868</v>
      </c>
      <c r="L5058">
        <v>141.83449999999999</v>
      </c>
      <c r="M5058">
        <v>-0.99988960000000005</v>
      </c>
      <c r="N5058">
        <v>-1.479779E-2</v>
      </c>
      <c r="O5058">
        <v>1.432057E-3</v>
      </c>
      <c r="P5058">
        <v>-0.92885189999999995</v>
      </c>
      <c r="Q5058">
        <v>0.36476769999999997</v>
      </c>
      <c r="R5058">
        <v>-6.4641920000000005E-2</v>
      </c>
      <c r="S5058">
        <v>-3.3624269999999998</v>
      </c>
      <c r="T5058">
        <v>-0.33093620000000001</v>
      </c>
      <c r="U5058">
        <v>3.4790040000000001E-2</v>
      </c>
      <c r="V5058">
        <v>-6.5957699999999994E-2</v>
      </c>
      <c r="W5058">
        <v>0.37847409999999998</v>
      </c>
      <c r="X5058">
        <v>0.92325889999999999</v>
      </c>
      <c r="Y5058">
        <v>8.8696699999999996E-3</v>
      </c>
      <c r="Z5058">
        <v>3.8178080000000002E-4</v>
      </c>
      <c r="AA5058">
        <v>0.99996059999999998</v>
      </c>
      <c r="AB5058">
        <v>37</v>
      </c>
      <c r="AC5058">
        <v>-0.56479999999999098</v>
      </c>
      <c r="AD5058">
        <v>-7.7752999999999906E-2</v>
      </c>
      <c r="AE5058">
        <v>8.1000000000130898E-3</v>
      </c>
      <c r="AF5058">
        <v>7.1554974796636701E-3</v>
      </c>
      <c r="AG5058">
        <v>-7.7752999999999906E-2</v>
      </c>
      <c r="AH5058">
        <v>0.55430817789770903</v>
      </c>
      <c r="AI5058">
        <v>97.984145134064605</v>
      </c>
      <c r="AJ5058">
        <v>89.260416765210806</v>
      </c>
      <c r="AK5058">
        <v>0.559780569721262</v>
      </c>
      <c r="AL5058">
        <v>67.7608038077896</v>
      </c>
      <c r="AM5058">
        <v>94.086273462230494</v>
      </c>
      <c r="AN5058">
        <v>1.0000000294946501</v>
      </c>
    </row>
    <row r="5059" spans="1:40" x14ac:dyDescent="0.25">
      <c r="A5059" t="str">
        <f>"20190304164949827"</f>
        <v>20190304164949827</v>
      </c>
      <c r="B5059" t="str">
        <f>"1551689389820663"</f>
        <v>1551689389820663</v>
      </c>
      <c r="C5059" t="s">
        <v>40</v>
      </c>
      <c r="D5059">
        <v>4.5019960000000001</v>
      </c>
      <c r="E5059">
        <v>0.54395990000000005</v>
      </c>
      <c r="F5059" t="s">
        <v>41</v>
      </c>
      <c r="G5059">
        <v>-311.23219999999998</v>
      </c>
      <c r="H5059">
        <v>1.0239309999999999</v>
      </c>
      <c r="I5059">
        <v>141.84399999999999</v>
      </c>
      <c r="J5059">
        <v>-310.70929999999998</v>
      </c>
      <c r="K5059">
        <v>1.1108709999999999</v>
      </c>
      <c r="L5059">
        <v>141.83510000000001</v>
      </c>
      <c r="M5059">
        <v>-0.99988949999999999</v>
      </c>
      <c r="N5059">
        <v>-1.4803709999999999E-2</v>
      </c>
      <c r="O5059">
        <v>1.4318340000000001E-3</v>
      </c>
      <c r="P5059">
        <v>-0.92885320000000005</v>
      </c>
      <c r="Q5059">
        <v>0.36483520000000003</v>
      </c>
      <c r="R5059">
        <v>-6.4240439999999996E-2</v>
      </c>
      <c r="S5059">
        <v>-3.360779</v>
      </c>
      <c r="T5059">
        <v>-0.32738129999999999</v>
      </c>
      <c r="U5059">
        <v>3.4530640000000001E-2</v>
      </c>
      <c r="V5059">
        <v>-6.5556299999999998E-2</v>
      </c>
      <c r="W5059">
        <v>0.37854700000000002</v>
      </c>
      <c r="X5059">
        <v>0.92325760000000001</v>
      </c>
      <c r="Y5059">
        <v>8.7989950000000004E-3</v>
      </c>
      <c r="Z5059">
        <v>3.7486319999999998E-4</v>
      </c>
      <c r="AA5059">
        <v>0.99996119999999999</v>
      </c>
      <c r="AB5059">
        <v>37</v>
      </c>
      <c r="AC5059">
        <v>-0.52289999999999204</v>
      </c>
      <c r="AD5059">
        <v>-8.6940000000000003E-2</v>
      </c>
      <c r="AE5059">
        <v>8.8999999999828001E-3</v>
      </c>
      <c r="AF5059">
        <v>7.9319938125933208E-3</v>
      </c>
      <c r="AG5059">
        <v>-8.6940000000000003E-2</v>
      </c>
      <c r="AH5059">
        <v>0.508849608152105</v>
      </c>
      <c r="AI5059">
        <v>99.694549805417196</v>
      </c>
      <c r="AJ5059">
        <v>89.106940525547699</v>
      </c>
      <c r="AK5059">
        <v>0.51628422776838101</v>
      </c>
      <c r="AL5059">
        <v>67.7562911541728</v>
      </c>
      <c r="AM5059">
        <v>94.061494726761396</v>
      </c>
      <c r="AN5059">
        <v>1.0000000278182199</v>
      </c>
    </row>
    <row r="5060" spans="1:40" x14ac:dyDescent="0.25">
      <c r="A5060" t="str">
        <f>"20190304164949849"</f>
        <v>20190304164949849</v>
      </c>
      <c r="B5060" t="str">
        <f>"1551689389841159"</f>
        <v>1551689389841159</v>
      </c>
      <c r="C5060" t="s">
        <v>40</v>
      </c>
      <c r="D5060">
        <v>4.4580710000000003</v>
      </c>
      <c r="E5060">
        <v>0.54393049999999998</v>
      </c>
      <c r="F5060" t="s">
        <v>41</v>
      </c>
      <c r="G5060">
        <v>-311.56630000000001</v>
      </c>
      <c r="H5060">
        <v>1.0275430000000001</v>
      </c>
      <c r="I5060">
        <v>141.84440000000001</v>
      </c>
      <c r="J5060">
        <v>-311.08120000000002</v>
      </c>
      <c r="K5060">
        <v>1.1108769999999999</v>
      </c>
      <c r="L5060">
        <v>141.8356</v>
      </c>
      <c r="M5060">
        <v>-0.99988929999999998</v>
      </c>
      <c r="N5060">
        <v>-1.480835E-2</v>
      </c>
      <c r="O5060">
        <v>1.4318E-3</v>
      </c>
      <c r="P5060">
        <v>-0.92873609999999895</v>
      </c>
      <c r="Q5060">
        <v>0.36518030000000001</v>
      </c>
      <c r="R5060">
        <v>-6.3974420000000004E-2</v>
      </c>
      <c r="S5060">
        <v>-3.360687</v>
      </c>
      <c r="T5060">
        <v>-0.32692909999999997</v>
      </c>
      <c r="U5060">
        <v>3.5324099999999997E-2</v>
      </c>
      <c r="V5060">
        <v>-6.528958E-2</v>
      </c>
      <c r="W5060">
        <v>0.37889469999999997</v>
      </c>
      <c r="X5060">
        <v>0.92313389999999995</v>
      </c>
      <c r="Y5060">
        <v>9.0341959999999995E-3</v>
      </c>
      <c r="Z5060">
        <v>3.8766320000000002E-4</v>
      </c>
      <c r="AA5060">
        <v>0.99995909999999999</v>
      </c>
      <c r="AB5060">
        <v>37</v>
      </c>
      <c r="AC5060">
        <v>-0.48509999999998799</v>
      </c>
      <c r="AD5060">
        <v>-8.3334000000000005E-2</v>
      </c>
      <c r="AE5060">
        <v>8.8000000000079091E-3</v>
      </c>
      <c r="AF5060">
        <v>7.8730835581411404E-3</v>
      </c>
      <c r="AG5060">
        <v>-8.3334000000000005E-2</v>
      </c>
      <c r="AH5060">
        <v>0.471210840053567</v>
      </c>
      <c r="AI5060">
        <v>100.027732198105</v>
      </c>
      <c r="AJ5060">
        <v>89.042779894044997</v>
      </c>
      <c r="AK5060">
        <v>0.47858771064947098</v>
      </c>
      <c r="AL5060">
        <v>67.7347667838647</v>
      </c>
      <c r="AM5060">
        <v>94.045565474058407</v>
      </c>
      <c r="AN5060">
        <v>1.0000000601369301</v>
      </c>
    </row>
    <row r="5061" spans="1:40" x14ac:dyDescent="0.25">
      <c r="A5061" t="str">
        <f>"20190304164949870"</f>
        <v>20190304164949870</v>
      </c>
      <c r="B5061" t="str">
        <f>"1551689389860679"</f>
        <v>1551689389860679</v>
      </c>
      <c r="C5061" t="s">
        <v>40</v>
      </c>
      <c r="D5061">
        <v>4.3980540000000001</v>
      </c>
      <c r="E5061">
        <v>0.54389319999999997</v>
      </c>
      <c r="F5061" t="s">
        <v>41</v>
      </c>
      <c r="G5061">
        <v>-311.90019999999998</v>
      </c>
      <c r="H5061">
        <v>1.0314730000000001</v>
      </c>
      <c r="I5061">
        <v>141.84469999999999</v>
      </c>
      <c r="J5061">
        <v>-311.42160000000001</v>
      </c>
      <c r="K5061">
        <v>1.1108849999999999</v>
      </c>
      <c r="L5061">
        <v>141.83609999999999</v>
      </c>
      <c r="M5061">
        <v>-0.99988940000000004</v>
      </c>
      <c r="N5061">
        <v>-1.4811410000000001E-2</v>
      </c>
      <c r="O5061">
        <v>1.431777E-3</v>
      </c>
      <c r="P5061">
        <v>-0.92868209999999995</v>
      </c>
      <c r="Q5061">
        <v>0.36538409999999999</v>
      </c>
      <c r="R5061">
        <v>-6.3594479999999995E-2</v>
      </c>
      <c r="S5061">
        <v>-3.36084</v>
      </c>
      <c r="T5061">
        <v>-0.3258682</v>
      </c>
      <c r="U5061">
        <v>3.6407469999999997E-2</v>
      </c>
      <c r="V5061">
        <v>-6.4909960000000003E-2</v>
      </c>
      <c r="W5061">
        <v>0.3791003</v>
      </c>
      <c r="X5061">
        <v>0.92307620000000001</v>
      </c>
      <c r="Y5061">
        <v>9.3545729999999997E-3</v>
      </c>
      <c r="Z5061">
        <v>4.0457589999999999E-4</v>
      </c>
      <c r="AA5061">
        <v>0.99995619999999996</v>
      </c>
      <c r="AB5061">
        <v>37</v>
      </c>
      <c r="AC5061">
        <v>-0.47859999999997099</v>
      </c>
      <c r="AD5061">
        <v>-7.9412000000000205E-2</v>
      </c>
      <c r="AE5061">
        <v>8.6000000000012698E-3</v>
      </c>
      <c r="AF5061">
        <v>7.7026714313086003E-3</v>
      </c>
      <c r="AG5061">
        <v>-7.9412000000000205E-2</v>
      </c>
      <c r="AH5061">
        <v>0.465792096607554</v>
      </c>
      <c r="AI5061">
        <v>99.673924892476293</v>
      </c>
      <c r="AJ5061">
        <v>89.052602342084498</v>
      </c>
      <c r="AK5061">
        <v>0.47257578667684502</v>
      </c>
      <c r="AL5061">
        <v>67.722035831228098</v>
      </c>
      <c r="AM5061">
        <v>94.022370939499694</v>
      </c>
      <c r="AN5061">
        <v>1.0000000056868601</v>
      </c>
    </row>
    <row r="5062" spans="1:40" x14ac:dyDescent="0.25">
      <c r="A5062" t="str">
        <f>"20190304164949884"</f>
        <v>20190304164949884</v>
      </c>
      <c r="B5062" t="str">
        <f>"1551689389881175"</f>
        <v>1551689389881175</v>
      </c>
      <c r="C5062" t="s">
        <v>40</v>
      </c>
      <c r="D5062">
        <v>4.4549110000000001</v>
      </c>
      <c r="E5062">
        <v>0.54385799999999995</v>
      </c>
      <c r="F5062" t="s">
        <v>41</v>
      </c>
      <c r="G5062">
        <v>-312.23239999999998</v>
      </c>
      <c r="H5062">
        <v>1.032578</v>
      </c>
      <c r="I5062">
        <v>141.84540000000001</v>
      </c>
      <c r="J5062">
        <v>-311.6474</v>
      </c>
      <c r="K5062">
        <v>1.110895</v>
      </c>
      <c r="L5062">
        <v>141.8364</v>
      </c>
      <c r="M5062">
        <v>-0.99988940000000004</v>
      </c>
      <c r="N5062">
        <v>-1.48129E-2</v>
      </c>
      <c r="O5062">
        <v>1.431587E-3</v>
      </c>
      <c r="P5062">
        <v>-0.92867029999999995</v>
      </c>
      <c r="Q5062">
        <v>0.36543759999999997</v>
      </c>
      <c r="R5062">
        <v>-6.3460219999999998E-2</v>
      </c>
      <c r="S5062">
        <v>-3.360687</v>
      </c>
      <c r="T5062">
        <v>-0.32465090000000002</v>
      </c>
      <c r="U5062">
        <v>3.7811280000000003E-2</v>
      </c>
      <c r="V5062">
        <v>-6.4775020000000003E-2</v>
      </c>
      <c r="W5062">
        <v>0.37915510000000002</v>
      </c>
      <c r="X5062">
        <v>0.92306319999999997</v>
      </c>
      <c r="Y5062">
        <v>9.7709649999999995E-3</v>
      </c>
      <c r="Z5062">
        <v>4.2660309999999999E-4</v>
      </c>
      <c r="AA5062">
        <v>0.99995219999999996</v>
      </c>
      <c r="AB5062">
        <v>37</v>
      </c>
      <c r="AC5062">
        <v>-0.58499999999997898</v>
      </c>
      <c r="AD5062">
        <v>-7.8316999999999901E-2</v>
      </c>
      <c r="AE5062">
        <v>9.0000000000145502E-3</v>
      </c>
      <c r="AF5062">
        <v>8.0187381919794593E-3</v>
      </c>
      <c r="AG5062">
        <v>-7.8316999999999901E-2</v>
      </c>
      <c r="AH5062">
        <v>0.57471436344078397</v>
      </c>
      <c r="AI5062">
        <v>97.759218842416601</v>
      </c>
      <c r="AJ5062">
        <v>89.200628913315299</v>
      </c>
      <c r="AK5062">
        <v>0.58008141859254303</v>
      </c>
      <c r="AL5062">
        <v>67.718643327525598</v>
      </c>
      <c r="AM5062">
        <v>94.014092623973696</v>
      </c>
      <c r="AN5062">
        <v>1.0000000321331199</v>
      </c>
    </row>
    <row r="5063" spans="1:40" x14ac:dyDescent="0.25">
      <c r="A5063" t="str">
        <f>"20190304164949904"</f>
        <v>20190304164949904</v>
      </c>
      <c r="B5063" t="str">
        <f>"1551689389900695"</f>
        <v>1551689389900695</v>
      </c>
      <c r="C5063" t="s">
        <v>40</v>
      </c>
      <c r="D5063">
        <v>4.3506309999999999</v>
      </c>
      <c r="E5063">
        <v>0.54381669999999904</v>
      </c>
      <c r="F5063" t="s">
        <v>41</v>
      </c>
      <c r="G5063">
        <v>-312.55880000000002</v>
      </c>
      <c r="H5063">
        <v>1.022926</v>
      </c>
      <c r="I5063">
        <v>141.84719999999999</v>
      </c>
      <c r="J5063">
        <v>-311.97919999999999</v>
      </c>
      <c r="K5063">
        <v>1.110903</v>
      </c>
      <c r="L5063">
        <v>141.83690000000001</v>
      </c>
      <c r="M5063">
        <v>-0.99988929999999998</v>
      </c>
      <c r="N5063">
        <v>-1.481446E-2</v>
      </c>
      <c r="O5063">
        <v>1.4315759999999999E-3</v>
      </c>
      <c r="P5063">
        <v>-0.92858160000000001</v>
      </c>
      <c r="Q5063">
        <v>0.36569180000000001</v>
      </c>
      <c r="R5063">
        <v>-6.3291420000000001E-2</v>
      </c>
      <c r="S5063">
        <v>-3.3607179999999999</v>
      </c>
      <c r="T5063">
        <v>-0.32441710000000001</v>
      </c>
      <c r="U5063">
        <v>3.8406370000000002E-2</v>
      </c>
      <c r="V5063">
        <v>-6.4606209999999997E-2</v>
      </c>
      <c r="W5063">
        <v>0.3794091</v>
      </c>
      <c r="X5063">
        <v>0.92297059999999997</v>
      </c>
      <c r="Y5063">
        <v>9.9470329999999992E-3</v>
      </c>
      <c r="Z5063">
        <v>4.3615789999999999E-4</v>
      </c>
      <c r="AA5063">
        <v>0.99995040000000002</v>
      </c>
      <c r="AB5063">
        <v>37</v>
      </c>
      <c r="AC5063">
        <v>-0.57960000000002698</v>
      </c>
      <c r="AD5063">
        <v>-8.7976999999999903E-2</v>
      </c>
      <c r="AE5063">
        <v>1.0299999999972401E-2</v>
      </c>
      <c r="AF5063">
        <v>9.2569447648170895E-3</v>
      </c>
      <c r="AG5063">
        <v>-8.7976999999999903E-2</v>
      </c>
      <c r="AH5063">
        <v>0.56656465228892305</v>
      </c>
      <c r="AI5063">
        <v>98.825322427394497</v>
      </c>
      <c r="AJ5063">
        <v>89.063943231195296</v>
      </c>
      <c r="AK5063">
        <v>0.57342928838580198</v>
      </c>
      <c r="AL5063">
        <v>67.702913724272406</v>
      </c>
      <c r="AM5063">
        <v>94.004065946601102</v>
      </c>
      <c r="AN5063">
        <v>0.99999997799886597</v>
      </c>
    </row>
    <row r="5064" spans="1:40" x14ac:dyDescent="0.25">
      <c r="A5064" t="str">
        <f>"20190304164949927"</f>
        <v>20190304164949927</v>
      </c>
      <c r="B5064" t="str">
        <f>"1551689389920721"</f>
        <v>1551689389920721</v>
      </c>
      <c r="C5064" t="s">
        <v>40</v>
      </c>
      <c r="D5064">
        <v>4.3300999999999998</v>
      </c>
      <c r="E5064">
        <v>0.54382189999999997</v>
      </c>
      <c r="F5064" t="s">
        <v>41</v>
      </c>
      <c r="G5064">
        <v>-312.89010000000002</v>
      </c>
      <c r="H5064">
        <v>1.023712</v>
      </c>
      <c r="I5064">
        <v>141.8477</v>
      </c>
      <c r="J5064">
        <v>-312.3614</v>
      </c>
      <c r="K5064">
        <v>1.110911</v>
      </c>
      <c r="L5064">
        <v>141.8374</v>
      </c>
      <c r="M5064">
        <v>-0.99988929999999998</v>
      </c>
      <c r="N5064">
        <v>-1.4815450000000001E-2</v>
      </c>
      <c r="O5064">
        <v>1.43139E-3</v>
      </c>
      <c r="P5064">
        <v>-0.92847630000000003</v>
      </c>
      <c r="Q5064">
        <v>0.36585899999999999</v>
      </c>
      <c r="R5064">
        <v>-6.3866779999999998E-2</v>
      </c>
      <c r="S5064">
        <v>-3.3600769999999902</v>
      </c>
      <c r="T5064">
        <v>-0.32170159999999998</v>
      </c>
      <c r="U5064">
        <v>3.8848880000000002E-2</v>
      </c>
      <c r="V5064">
        <v>-6.5181429999999999E-2</v>
      </c>
      <c r="W5064">
        <v>0.37957590000000002</v>
      </c>
      <c r="X5064">
        <v>0.92286159999999995</v>
      </c>
      <c r="Y5064">
        <v>1.0081079999999999E-2</v>
      </c>
      <c r="Z5064">
        <v>4.4079669999999999E-4</v>
      </c>
      <c r="AA5064">
        <v>0.99994910000000004</v>
      </c>
      <c r="AB5064">
        <v>37</v>
      </c>
      <c r="AC5064">
        <v>-0.52870000000001405</v>
      </c>
      <c r="AD5064">
        <v>-8.7198999999999804E-2</v>
      </c>
      <c r="AE5064">
        <v>1.03000000000008E-2</v>
      </c>
      <c r="AF5064">
        <v>9.29050406710385E-3</v>
      </c>
      <c r="AG5064">
        <v>-8.7198999999999804E-2</v>
      </c>
      <c r="AH5064">
        <v>0.51471804062638005</v>
      </c>
      <c r="AI5064">
        <v>99.613717179445004</v>
      </c>
      <c r="AJ5064">
        <v>88.965940894078997</v>
      </c>
      <c r="AK5064">
        <v>0.52213469566107296</v>
      </c>
      <c r="AL5064">
        <v>67.692584775348607</v>
      </c>
      <c r="AM5064">
        <v>94.0400740966722</v>
      </c>
      <c r="AN5064">
        <v>1.0000000077161</v>
      </c>
    </row>
    <row r="5065" spans="1:40" x14ac:dyDescent="0.25">
      <c r="A5065" t="str">
        <f>"20190304164949949"</f>
        <v>20190304164949949</v>
      </c>
      <c r="B5065" t="str">
        <f>"1551689389941217"</f>
        <v>1551689389941217</v>
      </c>
      <c r="C5065" t="s">
        <v>40</v>
      </c>
      <c r="D5065">
        <v>4.3664959999999997</v>
      </c>
      <c r="E5065">
        <v>0.5440623</v>
      </c>
      <c r="F5065" t="s">
        <v>41</v>
      </c>
      <c r="G5065">
        <v>-313.22300000000001</v>
      </c>
      <c r="H5065">
        <v>1.028637</v>
      </c>
      <c r="I5065">
        <v>141.84729999999999</v>
      </c>
      <c r="J5065">
        <v>-312.72910000000002</v>
      </c>
      <c r="K5065">
        <v>1.110911</v>
      </c>
      <c r="L5065">
        <v>141.83789999999999</v>
      </c>
      <c r="M5065">
        <v>-0.99988940000000004</v>
      </c>
      <c r="N5065">
        <v>-1.4815709999999999E-2</v>
      </c>
      <c r="O5065">
        <v>1.431269E-3</v>
      </c>
      <c r="P5065">
        <v>-0.92846200000000001</v>
      </c>
      <c r="Q5065">
        <v>0.3658748</v>
      </c>
      <c r="R5065">
        <v>-6.3986860000000007E-2</v>
      </c>
      <c r="S5065">
        <v>-3.3601679999999998</v>
      </c>
      <c r="T5065">
        <v>-0.3209629</v>
      </c>
      <c r="U5065">
        <v>3.7109379999999997E-2</v>
      </c>
      <c r="V5065">
        <v>-6.5301570000000003E-2</v>
      </c>
      <c r="W5065">
        <v>0.37959130000000002</v>
      </c>
      <c r="X5065">
        <v>0.92284670000000002</v>
      </c>
      <c r="Y5065">
        <v>9.5662070000000002E-3</v>
      </c>
      <c r="Z5065">
        <v>4.1165279999999998E-4</v>
      </c>
      <c r="AA5065">
        <v>0.99995420000000002</v>
      </c>
      <c r="AB5065">
        <v>37</v>
      </c>
      <c r="AC5065">
        <v>-0.49389999999999601</v>
      </c>
      <c r="AD5065">
        <v>-8.2273999999999903E-2</v>
      </c>
      <c r="AE5065">
        <v>9.3999999999994002E-3</v>
      </c>
      <c r="AF5065">
        <v>8.4583825614618895E-3</v>
      </c>
      <c r="AG5065">
        <v>-8.2273999999999903E-2</v>
      </c>
      <c r="AH5065">
        <v>0.48058211023678099</v>
      </c>
      <c r="AI5065">
        <v>99.713188164593205</v>
      </c>
      <c r="AJ5065">
        <v>88.991682003957905</v>
      </c>
      <c r="AK5065">
        <v>0.487647126507676</v>
      </c>
      <c r="AL5065">
        <v>67.691629469418203</v>
      </c>
      <c r="AM5065">
        <v>94.047561017934797</v>
      </c>
      <c r="AN5065">
        <v>0.99999994089052002</v>
      </c>
    </row>
    <row r="5066" spans="1:40" x14ac:dyDescent="0.25">
      <c r="A5066" t="str">
        <f>"20190304164949961"</f>
        <v>20190304164949961</v>
      </c>
      <c r="B5066" t="str">
        <f>"1551689389950979"</f>
        <v>1551689389950979</v>
      </c>
      <c r="C5066" t="s">
        <v>40</v>
      </c>
      <c r="D5066">
        <v>4.3847430000000003</v>
      </c>
      <c r="E5066">
        <v>0.54417720000000003</v>
      </c>
      <c r="F5066" t="s">
        <v>41</v>
      </c>
      <c r="G5066">
        <v>-313.55470000000003</v>
      </c>
      <c r="H5066">
        <v>1.0319830000000001</v>
      </c>
      <c r="I5066">
        <v>141.8475</v>
      </c>
      <c r="J5066">
        <v>-312.92660000000001</v>
      </c>
      <c r="K5066">
        <v>1.11091299999999</v>
      </c>
      <c r="L5066">
        <v>141.8382</v>
      </c>
      <c r="M5066">
        <v>-0.99988929999999998</v>
      </c>
      <c r="N5066">
        <v>-1.481559E-2</v>
      </c>
      <c r="O5066">
        <v>1.4312699999999999E-3</v>
      </c>
      <c r="P5066">
        <v>-0.92839590000000005</v>
      </c>
      <c r="Q5066">
        <v>0.3660021</v>
      </c>
      <c r="R5066">
        <v>-6.4219040000000005E-2</v>
      </c>
      <c r="S5066">
        <v>-3.3604430000000001</v>
      </c>
      <c r="T5066">
        <v>-0.32138240000000001</v>
      </c>
      <c r="U5066">
        <v>3.7887570000000002E-2</v>
      </c>
      <c r="V5066">
        <v>-6.5533330000000001E-2</v>
      </c>
      <c r="W5066">
        <v>0.37971749999999999</v>
      </c>
      <c r="X5066">
        <v>0.9227784</v>
      </c>
      <c r="Y5066">
        <v>9.7955279999999995E-3</v>
      </c>
      <c r="Z5066">
        <v>4.2468539999999998E-4</v>
      </c>
      <c r="AA5066">
        <v>0.99995199999999995</v>
      </c>
      <c r="AB5066">
        <v>37</v>
      </c>
      <c r="AC5066">
        <v>-0.62810000000001698</v>
      </c>
      <c r="AD5066">
        <v>-7.8929999999999695E-2</v>
      </c>
      <c r="AE5066">
        <v>9.2999999999960892E-3</v>
      </c>
      <c r="AF5066">
        <v>8.2703377924642097E-3</v>
      </c>
      <c r="AG5066">
        <v>-7.8929999999999695E-2</v>
      </c>
      <c r="AH5066">
        <v>0.61835006137385096</v>
      </c>
      <c r="AI5066">
        <v>97.273604119980604</v>
      </c>
      <c r="AJ5066">
        <v>89.233723374781803</v>
      </c>
      <c r="AK5066">
        <v>0.62342212167057898</v>
      </c>
      <c r="AL5066">
        <v>67.683814619699504</v>
      </c>
      <c r="AM5066">
        <v>94.062177742841399</v>
      </c>
      <c r="AN5066">
        <v>0.99999998632684906</v>
      </c>
    </row>
    <row r="5067" spans="1:40" x14ac:dyDescent="0.25">
      <c r="A5067" t="str">
        <f>"20190304164949974"</f>
        <v>20190304164949974</v>
      </c>
      <c r="B5067" t="str">
        <f>"1551689389970498"</f>
        <v>1551689389970498</v>
      </c>
      <c r="C5067" t="s">
        <v>40</v>
      </c>
      <c r="D5067">
        <v>4.3953179999999996</v>
      </c>
      <c r="E5067">
        <v>0.54442550000000001</v>
      </c>
      <c r="F5067" t="s">
        <v>41</v>
      </c>
      <c r="G5067">
        <v>-313.87849999999997</v>
      </c>
      <c r="H5067">
        <v>1.020008</v>
      </c>
      <c r="I5067">
        <v>141.8492</v>
      </c>
      <c r="J5067">
        <v>-313.1465</v>
      </c>
      <c r="K5067">
        <v>1.11091299999999</v>
      </c>
      <c r="L5067">
        <v>141.83860000000001</v>
      </c>
      <c r="M5067">
        <v>-0.99988940000000004</v>
      </c>
      <c r="N5067">
        <v>-1.48153E-2</v>
      </c>
      <c r="O5067">
        <v>1.4310929999999901E-3</v>
      </c>
      <c r="P5067">
        <v>-0.92823770000000005</v>
      </c>
      <c r="Q5067">
        <v>0.36639100000000002</v>
      </c>
      <c r="R5067">
        <v>-6.4288100000000001E-2</v>
      </c>
      <c r="S5067">
        <v>-3.3605040000000002</v>
      </c>
      <c r="T5067">
        <v>-0.32099470000000002</v>
      </c>
      <c r="U5067">
        <v>3.7445069999999997E-2</v>
      </c>
      <c r="V5067">
        <v>-6.5602129999999995E-2</v>
      </c>
      <c r="W5067">
        <v>0.38010389999999999</v>
      </c>
      <c r="X5067">
        <v>0.92261439999999995</v>
      </c>
      <c r="Y5067">
        <v>9.6646389999999992E-3</v>
      </c>
      <c r="Z5067">
        <v>4.1708540000000001E-4</v>
      </c>
      <c r="AA5067">
        <v>0.99995319999999999</v>
      </c>
      <c r="AB5067">
        <v>37</v>
      </c>
      <c r="AC5067">
        <v>-0.73199999999997001</v>
      </c>
      <c r="AD5067">
        <v>-9.0904999999999805E-2</v>
      </c>
      <c r="AE5067">
        <v>1.05999999999824E-2</v>
      </c>
      <c r="AF5067">
        <v>9.4072616584178394E-3</v>
      </c>
      <c r="AG5067">
        <v>-9.0904999999999805E-2</v>
      </c>
      <c r="AH5067">
        <v>0.72089872760045004</v>
      </c>
      <c r="AI5067">
        <v>97.186432429561606</v>
      </c>
      <c r="AJ5067">
        <v>89.252369607752698</v>
      </c>
      <c r="AK5067">
        <v>0.72666855653238405</v>
      </c>
      <c r="AL5067">
        <v>67.659880746475295</v>
      </c>
      <c r="AM5067">
        <v>94.067148516056207</v>
      </c>
      <c r="AN5067">
        <v>0.99999997267155205</v>
      </c>
    </row>
    <row r="5068" spans="1:40" x14ac:dyDescent="0.25">
      <c r="A5068" t="str">
        <f>"20190304164949988"</f>
        <v>20190304164949988</v>
      </c>
      <c r="B5068" t="str">
        <f>"1551689389981234"</f>
        <v>1551689389981234</v>
      </c>
      <c r="C5068" t="s">
        <v>40</v>
      </c>
      <c r="D5068">
        <v>4.400074</v>
      </c>
      <c r="E5068">
        <v>0.54454789999999997</v>
      </c>
      <c r="F5068" t="s">
        <v>41</v>
      </c>
      <c r="G5068">
        <v>-313.89139999999998</v>
      </c>
      <c r="H5068">
        <v>1.0400529999999999</v>
      </c>
      <c r="I5068">
        <v>141.84729999999999</v>
      </c>
      <c r="J5068">
        <v>-313.36309999999997</v>
      </c>
      <c r="K5068">
        <v>1.1109180000000001</v>
      </c>
      <c r="L5068">
        <v>141.8389</v>
      </c>
      <c r="M5068">
        <v>-0.99988940000000004</v>
      </c>
      <c r="N5068">
        <v>-1.481475E-2</v>
      </c>
      <c r="O5068">
        <v>1.4310970000000001E-3</v>
      </c>
      <c r="P5068">
        <v>-0.92811670000000002</v>
      </c>
      <c r="Q5068">
        <v>0.36669350000000001</v>
      </c>
      <c r="R5068">
        <v>-6.430893E-2</v>
      </c>
      <c r="S5068">
        <v>-3.36084</v>
      </c>
      <c r="T5068">
        <v>-0.31986490000000001</v>
      </c>
      <c r="U5068">
        <v>3.805542E-2</v>
      </c>
      <c r="V5068">
        <v>-6.5622860000000005E-2</v>
      </c>
      <c r="W5068">
        <v>0.38040420000000003</v>
      </c>
      <c r="X5068">
        <v>0.92248920000000001</v>
      </c>
      <c r="Y5068">
        <v>9.8444589999999998E-3</v>
      </c>
      <c r="Z5068">
        <v>4.257857E-4</v>
      </c>
      <c r="AA5068">
        <v>0.99995140000000005</v>
      </c>
      <c r="AB5068">
        <v>37</v>
      </c>
      <c r="AC5068">
        <v>-0.52830000000000099</v>
      </c>
      <c r="AD5068">
        <v>-7.08649999999999E-2</v>
      </c>
      <c r="AE5068">
        <v>8.3999999999946305E-3</v>
      </c>
      <c r="AF5068">
        <v>7.5087888856771199E-3</v>
      </c>
      <c r="AG5068">
        <v>-7.08649999999999E-2</v>
      </c>
      <c r="AH5068">
        <v>0.51897593378150297</v>
      </c>
      <c r="AI5068">
        <v>97.774718776465605</v>
      </c>
      <c r="AJ5068">
        <v>89.171075443461604</v>
      </c>
      <c r="AK5068">
        <v>0.523845635640799</v>
      </c>
      <c r="AL5068">
        <v>67.641278483294101</v>
      </c>
      <c r="AM5068">
        <v>94.068979714705094</v>
      </c>
      <c r="AN5068">
        <v>1.0000000196244201</v>
      </c>
    </row>
    <row r="5069" spans="1:40" x14ac:dyDescent="0.25">
      <c r="A5069" t="str">
        <f>"20190304164950003"</f>
        <v>20190304164950003</v>
      </c>
      <c r="B5069" t="str">
        <f>"1551689389990994"</f>
        <v>1551689389990994</v>
      </c>
      <c r="C5069" t="s">
        <v>40</v>
      </c>
      <c r="D5069">
        <v>4.942234</v>
      </c>
      <c r="E5069">
        <v>0.54454789999999997</v>
      </c>
      <c r="F5069" t="s">
        <v>41</v>
      </c>
      <c r="G5069">
        <v>-314.21300000000002</v>
      </c>
      <c r="H5069">
        <v>1.030262</v>
      </c>
      <c r="I5069">
        <v>141.84889999999999</v>
      </c>
      <c r="J5069">
        <v>-313.62479999999999</v>
      </c>
      <c r="K5069">
        <v>1.1109209999999901</v>
      </c>
      <c r="L5069">
        <v>141.83920000000001</v>
      </c>
      <c r="M5069">
        <v>-0.99988920000000003</v>
      </c>
      <c r="N5069">
        <v>-1.4813939999999999E-2</v>
      </c>
      <c r="O5069">
        <v>1.431103E-3</v>
      </c>
      <c r="P5069">
        <v>-0.92801299999999998</v>
      </c>
      <c r="Q5069">
        <v>0.36707010000000001</v>
      </c>
      <c r="R5069">
        <v>-6.3651899999999997E-2</v>
      </c>
      <c r="S5069">
        <v>-3.360992</v>
      </c>
      <c r="T5069">
        <v>-0.31904009999999999</v>
      </c>
      <c r="U5069">
        <v>3.8345339999999999E-2</v>
      </c>
      <c r="V5069">
        <v>-6.4965400000000006E-2</v>
      </c>
      <c r="W5069">
        <v>0.38077820000000001</v>
      </c>
      <c r="X5069">
        <v>0.92238140000000002</v>
      </c>
      <c r="Y5069">
        <v>9.9299609999999993E-3</v>
      </c>
      <c r="Z5069">
        <v>4.2959710000000002E-4</v>
      </c>
      <c r="AA5069">
        <v>0.99995060000000002</v>
      </c>
      <c r="AB5069">
        <v>37</v>
      </c>
      <c r="AC5069">
        <v>-0.58819999999997197</v>
      </c>
      <c r="AD5069">
        <v>-8.06589999999998E-2</v>
      </c>
      <c r="AE5069">
        <v>9.6999999999809391E-3</v>
      </c>
      <c r="AF5069">
        <v>8.6946707000130595E-3</v>
      </c>
      <c r="AG5069">
        <v>-8.06589999999998E-2</v>
      </c>
      <c r="AH5069">
        <v>0.57735943115827104</v>
      </c>
      <c r="AI5069">
        <v>97.9520449976674</v>
      </c>
      <c r="AJ5069">
        <v>89.137226734937002</v>
      </c>
      <c r="AK5069">
        <v>0.58303120356202598</v>
      </c>
      <c r="AL5069">
        <v>67.618105371571005</v>
      </c>
      <c r="AM5069">
        <v>94.028817698848101</v>
      </c>
      <c r="AN5069">
        <v>0.99999999392918004</v>
      </c>
    </row>
    <row r="5070" spans="1:40" x14ac:dyDescent="0.25">
      <c r="A5070" t="str">
        <f>"20190304164950018"</f>
        <v>20190304164950018</v>
      </c>
      <c r="B5070" t="str">
        <f>"1551689390010515"</f>
        <v>1551689390010515</v>
      </c>
      <c r="C5070" t="s">
        <v>40</v>
      </c>
      <c r="D5070">
        <v>4.4131090000000004</v>
      </c>
      <c r="E5070">
        <v>0.55278780000000005</v>
      </c>
      <c r="F5070" t="s">
        <v>41</v>
      </c>
      <c r="G5070">
        <v>-314.53899999999999</v>
      </c>
      <c r="H5070">
        <v>1.0244340000000001</v>
      </c>
      <c r="I5070">
        <v>141.85</v>
      </c>
      <c r="J5070">
        <v>-313.87400000000002</v>
      </c>
      <c r="K5070">
        <v>1.1109260000000001</v>
      </c>
      <c r="L5070">
        <v>141.83959999999999</v>
      </c>
      <c r="M5070">
        <v>-0.99988940000000004</v>
      </c>
      <c r="N5070">
        <v>-1.481298E-2</v>
      </c>
      <c r="O5070">
        <v>1.43111E-3</v>
      </c>
      <c r="P5070">
        <v>-0.92796959999999995</v>
      </c>
      <c r="Q5070">
        <v>0.36725400000000002</v>
      </c>
      <c r="R5070">
        <v>-6.3224260000000004E-2</v>
      </c>
      <c r="S5070">
        <v>-3.3612060000000001</v>
      </c>
      <c r="T5070">
        <v>-0.31798650000000001</v>
      </c>
      <c r="U5070">
        <v>3.8833619999999999E-2</v>
      </c>
      <c r="V5070">
        <v>-6.453747E-2</v>
      </c>
      <c r="W5070">
        <v>0.3809611</v>
      </c>
      <c r="X5070">
        <v>0.92233589999999999</v>
      </c>
      <c r="Y5070">
        <v>1.007401E-2</v>
      </c>
      <c r="Z5070">
        <v>4.3633639999999998E-4</v>
      </c>
      <c r="AA5070">
        <v>0.99994919999999998</v>
      </c>
      <c r="AB5070">
        <v>37</v>
      </c>
      <c r="AC5070">
        <v>-0.66499999999996295</v>
      </c>
      <c r="AD5070">
        <v>-8.6491999999999999E-2</v>
      </c>
      <c r="AE5070">
        <v>1.04000000000041E-2</v>
      </c>
      <c r="AF5070">
        <v>9.2910637525216999E-3</v>
      </c>
      <c r="AG5070">
        <v>-8.6491999999999999E-2</v>
      </c>
      <c r="AH5070">
        <v>0.65395433951214599</v>
      </c>
      <c r="AI5070">
        <v>97.533459978734996</v>
      </c>
      <c r="AJ5070">
        <v>89.186024322713195</v>
      </c>
      <c r="AK5070">
        <v>0.65971468688852197</v>
      </c>
      <c r="AL5070">
        <v>67.606771381424906</v>
      </c>
      <c r="AM5070">
        <v>94.002563027223999</v>
      </c>
      <c r="AN5070">
        <v>0.99999997858801004</v>
      </c>
    </row>
    <row r="5071" spans="1:40" x14ac:dyDescent="0.25">
      <c r="A5071" t="str">
        <f>"20190304164950030"</f>
        <v>20190304164950030</v>
      </c>
      <c r="B5071" t="str">
        <f>"1551689390020781"</f>
        <v>1551689390020781</v>
      </c>
      <c r="C5071" t="s">
        <v>40</v>
      </c>
      <c r="D5071">
        <v>4.4021080000000001</v>
      </c>
      <c r="E5071">
        <v>0.55278780000000005</v>
      </c>
      <c r="F5071" t="s">
        <v>41</v>
      </c>
      <c r="G5071">
        <v>-314.87450000000001</v>
      </c>
      <c r="H5071">
        <v>1.0389630000000001</v>
      </c>
      <c r="I5071">
        <v>141.87360000000001</v>
      </c>
      <c r="J5071">
        <v>-314.07639999999998</v>
      </c>
      <c r="K5071">
        <v>1.1109279999999999</v>
      </c>
      <c r="L5071">
        <v>141.8399</v>
      </c>
      <c r="M5071">
        <v>-0.99988940000000004</v>
      </c>
      <c r="N5071">
        <v>-1.481206E-2</v>
      </c>
      <c r="O5071">
        <v>1.4309380000000001E-3</v>
      </c>
      <c r="P5071">
        <v>-0.92789980000000005</v>
      </c>
      <c r="Q5071">
        <v>0.36749609999999999</v>
      </c>
      <c r="R5071">
        <v>-6.2840740000000006E-2</v>
      </c>
      <c r="S5071">
        <v>-3.3355410000000001</v>
      </c>
      <c r="T5071">
        <v>-0.24003910000000001</v>
      </c>
      <c r="U5071">
        <v>0.11262510000000001</v>
      </c>
      <c r="V5071">
        <v>-6.4153710000000003E-2</v>
      </c>
      <c r="W5071">
        <v>0.38120100000000001</v>
      </c>
      <c r="X5071">
        <v>0.92226359999999996</v>
      </c>
      <c r="Y5071">
        <v>3.2217540000000003E-2</v>
      </c>
      <c r="Z5071">
        <v>1.3148389999999999E-3</v>
      </c>
      <c r="AA5071">
        <v>0.99948000000000004</v>
      </c>
      <c r="AB5071">
        <v>37</v>
      </c>
      <c r="AC5071">
        <v>-0.79810000000003301</v>
      </c>
      <c r="AD5071">
        <v>-7.1965000000000195E-2</v>
      </c>
      <c r="AE5071">
        <v>3.3700000000010201E-2</v>
      </c>
      <c r="AF5071">
        <v>3.2295689448692801E-2</v>
      </c>
      <c r="AG5071">
        <v>-7.1965000000000195E-2</v>
      </c>
      <c r="AH5071">
        <v>0.79172161522818496</v>
      </c>
      <c r="AI5071">
        <v>95.189441102785395</v>
      </c>
      <c r="AJ5071">
        <v>87.664101430858807</v>
      </c>
      <c r="AK5071">
        <v>0.79564130662095001</v>
      </c>
      <c r="AL5071">
        <v>67.591905358266601</v>
      </c>
      <c r="AM5071">
        <v>93.979150121367198</v>
      </c>
      <c r="AN5071">
        <v>1.00000002439636</v>
      </c>
    </row>
    <row r="5072" spans="1:40" x14ac:dyDescent="0.25">
      <c r="A5072" t="str">
        <f>"20190304164950043"</f>
        <v>20190304164950043</v>
      </c>
      <c r="B5072" t="str">
        <f>"1551689390030542"</f>
        <v>1551689390030542</v>
      </c>
      <c r="C5072" t="s">
        <v>40</v>
      </c>
      <c r="D5072">
        <v>4.4613480000000001</v>
      </c>
      <c r="E5072">
        <v>0.55294989999999999</v>
      </c>
      <c r="F5072" t="s">
        <v>42</v>
      </c>
      <c r="G5072">
        <v>-329.56880000000001</v>
      </c>
      <c r="H5072" s="1">
        <v>-8.9974979999999996E-7</v>
      </c>
      <c r="I5072">
        <v>142.3691</v>
      </c>
      <c r="J5072">
        <v>-314.27839999999998</v>
      </c>
      <c r="K5072">
        <v>1.1109309999999999</v>
      </c>
      <c r="L5072">
        <v>141.84020000000001</v>
      </c>
      <c r="M5072">
        <v>-0.99988929999999998</v>
      </c>
      <c r="N5072">
        <v>-1.4811039999999999E-2</v>
      </c>
      <c r="O5072">
        <v>1.4309450000000001E-3</v>
      </c>
      <c r="P5072">
        <v>-0.92787649999999999</v>
      </c>
      <c r="Q5072">
        <v>0.36763590000000002</v>
      </c>
      <c r="R5072">
        <v>-6.2364160000000002E-2</v>
      </c>
      <c r="S5072">
        <v>-3.3355410000000001</v>
      </c>
      <c r="T5072">
        <v>-0.2391866</v>
      </c>
      <c r="U5072">
        <v>0.1139526</v>
      </c>
      <c r="V5072">
        <v>-6.3677429999999993E-2</v>
      </c>
      <c r="W5072">
        <v>0.38133980000000001</v>
      </c>
      <c r="X5072">
        <v>0.92223920000000004</v>
      </c>
      <c r="Y5072">
        <v>3.2614259999999999E-2</v>
      </c>
      <c r="Z5072">
        <v>1.3282229999999999E-3</v>
      </c>
      <c r="AA5072">
        <v>0.99946710000000005</v>
      </c>
      <c r="AB5072">
        <v>37</v>
      </c>
      <c r="AC5072">
        <v>-15.2904</v>
      </c>
      <c r="AD5072">
        <v>-1.1109318997497999</v>
      </c>
      <c r="AE5072">
        <v>0.52889999999999304</v>
      </c>
      <c r="AF5072">
        <v>0.50435810112915502</v>
      </c>
      <c r="AG5072">
        <v>-1.1109318997497999</v>
      </c>
      <c r="AH5072">
        <v>15.210941328607101</v>
      </c>
      <c r="AI5072">
        <v>94.174897361941206</v>
      </c>
      <c r="AJ5072">
        <v>88.100906008072897</v>
      </c>
      <c r="AK5072">
        <v>15.259793015712299</v>
      </c>
      <c r="AL5072">
        <v>67.583302331102999</v>
      </c>
      <c r="AM5072">
        <v>93.949806749170705</v>
      </c>
      <c r="AN5072">
        <v>1.0000000000860401</v>
      </c>
    </row>
    <row r="5073" spans="1:40" x14ac:dyDescent="0.25">
      <c r="A5073" t="str">
        <f>"20190304164950058"</f>
        <v>20190304164950058</v>
      </c>
      <c r="B5073" t="str">
        <f>"1551689390051041"</f>
        <v>1551689390051041</v>
      </c>
      <c r="C5073" t="s">
        <v>40</v>
      </c>
      <c r="D5073">
        <v>4.4310299999999998</v>
      </c>
      <c r="E5073">
        <v>0.55362389999999995</v>
      </c>
      <c r="F5073" t="s">
        <v>41</v>
      </c>
      <c r="G5073">
        <v>-315.19349999999997</v>
      </c>
      <c r="H5073">
        <v>1.0203960000000001</v>
      </c>
      <c r="I5073">
        <v>141.87</v>
      </c>
      <c r="J5073">
        <v>-314.5403</v>
      </c>
      <c r="K5073">
        <v>1.1109340000000001</v>
      </c>
      <c r="L5073">
        <v>141.84059999999999</v>
      </c>
      <c r="M5073">
        <v>-0.99988940000000004</v>
      </c>
      <c r="N5073">
        <v>-1.4809610000000001E-2</v>
      </c>
      <c r="O5073">
        <v>1.430777E-3</v>
      </c>
      <c r="P5073">
        <v>-0.9281758</v>
      </c>
      <c r="Q5073">
        <v>0.36700909999999998</v>
      </c>
      <c r="R5073">
        <v>-6.1596650000000003E-2</v>
      </c>
      <c r="S5073">
        <v>-3.3727420000000001</v>
      </c>
      <c r="T5073">
        <v>-0.33371269999999997</v>
      </c>
      <c r="U5073">
        <v>0.108963</v>
      </c>
      <c r="V5073">
        <v>-6.2910389999999997E-2</v>
      </c>
      <c r="W5073">
        <v>0.38071549999999998</v>
      </c>
      <c r="X5073">
        <v>0.92254970000000003</v>
      </c>
      <c r="Y5073">
        <v>3.0692669999999998E-2</v>
      </c>
      <c r="Z5073">
        <v>1.622276E-3</v>
      </c>
      <c r="AA5073">
        <v>0.99952759999999996</v>
      </c>
      <c r="AB5073">
        <v>37</v>
      </c>
      <c r="AC5073">
        <v>-0.65319999999996903</v>
      </c>
      <c r="AD5073">
        <v>-9.0538000000000202E-2</v>
      </c>
      <c r="AE5073">
        <v>2.9400000000009599E-2</v>
      </c>
      <c r="AF5073">
        <v>2.79297856063235E-2</v>
      </c>
      <c r="AG5073">
        <v>-9.0538000000000202E-2</v>
      </c>
      <c r="AH5073">
        <v>0.64095240737939096</v>
      </c>
      <c r="AI5073">
        <v>98.032622599737707</v>
      </c>
      <c r="AJ5073">
        <v>87.504889435678805</v>
      </c>
      <c r="AK5073">
        <v>0.64791758032442104</v>
      </c>
      <c r="AL5073">
        <v>67.621990091999606</v>
      </c>
      <c r="AM5073">
        <v>93.901067052570795</v>
      </c>
      <c r="AN5073">
        <v>0.99999997904014504</v>
      </c>
    </row>
    <row r="5074" spans="1:40" x14ac:dyDescent="0.25">
      <c r="A5074" t="str">
        <f>"20190304164950072"</f>
        <v>20190304164950072</v>
      </c>
      <c r="B5074" t="str">
        <f>"1551689390060798"</f>
        <v>1551689390060798</v>
      </c>
      <c r="C5074" t="s">
        <v>40</v>
      </c>
      <c r="D5074">
        <v>4.3988259999999997</v>
      </c>
      <c r="E5074">
        <v>0.55348799999999998</v>
      </c>
      <c r="F5074" t="s">
        <v>41</v>
      </c>
      <c r="G5074">
        <v>-315.51839999999999</v>
      </c>
      <c r="H5074">
        <v>1.0145789999999999</v>
      </c>
      <c r="I5074">
        <v>141.87530000000001</v>
      </c>
      <c r="J5074">
        <v>-314.75310000000002</v>
      </c>
      <c r="K5074">
        <v>1.110935</v>
      </c>
      <c r="L5074">
        <v>141.8409</v>
      </c>
      <c r="M5074">
        <v>-0.99988949999999999</v>
      </c>
      <c r="N5074">
        <v>-1.480832E-2</v>
      </c>
      <c r="O5074">
        <v>1.4306080000000001E-3</v>
      </c>
      <c r="P5074">
        <v>-0.92818429999999996</v>
      </c>
      <c r="Q5074">
        <v>0.36704530000000002</v>
      </c>
      <c r="R5074">
        <v>-6.1255280000000002E-2</v>
      </c>
      <c r="S5074">
        <v>-3.3713069999999998</v>
      </c>
      <c r="T5074">
        <v>-0.33210410000000001</v>
      </c>
      <c r="U5074">
        <v>0.1186371</v>
      </c>
      <c r="V5074">
        <v>-6.2568470000000001E-2</v>
      </c>
      <c r="W5074">
        <v>0.3807508</v>
      </c>
      <c r="X5074">
        <v>0.9225584</v>
      </c>
      <c r="Y5074">
        <v>3.3556780000000001E-2</v>
      </c>
      <c r="Z5074">
        <v>1.778158E-3</v>
      </c>
      <c r="AA5074">
        <v>0.99943519999999997</v>
      </c>
      <c r="AB5074">
        <v>37</v>
      </c>
      <c r="AC5074">
        <v>-0.76529999999996701</v>
      </c>
      <c r="AD5074">
        <v>-9.6355999999999803E-2</v>
      </c>
      <c r="AE5074">
        <v>3.4400000000005003E-2</v>
      </c>
      <c r="AF5074">
        <v>3.27863080548551E-2</v>
      </c>
      <c r="AG5074">
        <v>-9.6355999999999803E-2</v>
      </c>
      <c r="AH5074">
        <v>0.75342888742048697</v>
      </c>
      <c r="AI5074">
        <v>97.281177055888705</v>
      </c>
      <c r="AJ5074">
        <v>87.508281536980704</v>
      </c>
      <c r="AK5074">
        <v>0.760272654467817</v>
      </c>
      <c r="AL5074">
        <v>67.619803151984797</v>
      </c>
      <c r="AM5074">
        <v>93.879893084916503</v>
      </c>
      <c r="AN5074">
        <v>0.99999999327467004</v>
      </c>
    </row>
    <row r="5075" spans="1:40" x14ac:dyDescent="0.25">
      <c r="A5075" t="str">
        <f>"20190304164950084"</f>
        <v>20190304164950084</v>
      </c>
      <c r="B5075" t="str">
        <f>"1551689390070558"</f>
        <v>1551689390070558</v>
      </c>
      <c r="C5075" t="s">
        <v>40</v>
      </c>
      <c r="D5075">
        <v>4.4511839999999996</v>
      </c>
      <c r="E5075">
        <v>0.55351309999999998</v>
      </c>
      <c r="F5075" t="s">
        <v>41</v>
      </c>
      <c r="G5075">
        <v>-315.52870000000001</v>
      </c>
      <c r="H5075">
        <v>1.0352600000000001</v>
      </c>
      <c r="I5075">
        <v>141.86869999999999</v>
      </c>
      <c r="J5075">
        <v>-314.94799999999998</v>
      </c>
      <c r="K5075">
        <v>1.110935</v>
      </c>
      <c r="L5075">
        <v>141.84119999999999</v>
      </c>
      <c r="M5075">
        <v>-0.99988929999999998</v>
      </c>
      <c r="N5075">
        <v>-1.480707E-2</v>
      </c>
      <c r="O5075">
        <v>1.430796E-3</v>
      </c>
      <c r="P5075">
        <v>-0.92821120000000001</v>
      </c>
      <c r="Q5075">
        <v>0.36698589999999998</v>
      </c>
      <c r="R5075">
        <v>-6.1200049999999999E-2</v>
      </c>
      <c r="S5075">
        <v>-3.3700869999999998</v>
      </c>
      <c r="T5075">
        <v>-0.328905</v>
      </c>
      <c r="U5075">
        <v>0.1196899</v>
      </c>
      <c r="V5075">
        <v>-6.2513369999999999E-2</v>
      </c>
      <c r="W5075">
        <v>0.38069130000000001</v>
      </c>
      <c r="X5075">
        <v>0.92258669999999998</v>
      </c>
      <c r="Y5075">
        <v>3.3882490000000001E-2</v>
      </c>
      <c r="Z5075">
        <v>1.7824550000000001E-3</v>
      </c>
      <c r="AA5075">
        <v>0.99942419999999998</v>
      </c>
      <c r="AB5075">
        <v>37</v>
      </c>
      <c r="AC5075">
        <v>-0.58070000000003497</v>
      </c>
      <c r="AD5075">
        <v>-7.5674999999999895E-2</v>
      </c>
      <c r="AE5075">
        <v>2.75000000000034E-2</v>
      </c>
      <c r="AF5075">
        <v>2.62246542593393E-2</v>
      </c>
      <c r="AG5075">
        <v>-7.5674999999999895E-2</v>
      </c>
      <c r="AH5075">
        <v>0.57106239946382698</v>
      </c>
      <c r="AI5075">
        <v>97.540780535395797</v>
      </c>
      <c r="AJ5075">
        <v>87.370677702060206</v>
      </c>
      <c r="AK5075">
        <v>0.57665128301028301</v>
      </c>
      <c r="AL5075">
        <v>67.6234901335513</v>
      </c>
      <c r="AM5075">
        <v>93.876368189011103</v>
      </c>
      <c r="AN5075">
        <v>1.00000000317066</v>
      </c>
    </row>
    <row r="5076" spans="1:40" x14ac:dyDescent="0.25">
      <c r="A5076" t="str">
        <f>"20190304164950097"</f>
        <v>20190304164950097</v>
      </c>
      <c r="B5076" t="str">
        <f>"1551689390091054"</f>
        <v>1551689390091054</v>
      </c>
      <c r="C5076" t="s">
        <v>40</v>
      </c>
      <c r="D5076">
        <v>4.4112239999999998</v>
      </c>
      <c r="E5076">
        <v>0.55335319999999899</v>
      </c>
      <c r="F5076" t="s">
        <v>41</v>
      </c>
      <c r="G5076">
        <v>-315.84989999999999</v>
      </c>
      <c r="H5076">
        <v>1.0226299999999999</v>
      </c>
      <c r="I5076">
        <v>141.87360000000001</v>
      </c>
      <c r="J5076">
        <v>-315.16489999999999</v>
      </c>
      <c r="K5076">
        <v>1.1109370000000001</v>
      </c>
      <c r="L5076">
        <v>141.8415</v>
      </c>
      <c r="M5076">
        <v>-0.99988960000000005</v>
      </c>
      <c r="N5076">
        <v>-1.480561E-2</v>
      </c>
      <c r="O5076">
        <v>1.430628E-3</v>
      </c>
      <c r="P5076">
        <v>-0.92805329999999997</v>
      </c>
      <c r="Q5076">
        <v>0.36746960000000001</v>
      </c>
      <c r="R5076">
        <v>-6.0691630000000003E-2</v>
      </c>
      <c r="S5076">
        <v>-3.3703919999999998</v>
      </c>
      <c r="T5076">
        <v>-0.33005240000000002</v>
      </c>
      <c r="U5076">
        <v>0.11987299999999999</v>
      </c>
      <c r="V5076">
        <v>-6.2004770000000001E-2</v>
      </c>
      <c r="W5076">
        <v>0.38117099999999998</v>
      </c>
      <c r="X5076">
        <v>0.92242290000000005</v>
      </c>
      <c r="Y5076">
        <v>3.3932280000000002E-2</v>
      </c>
      <c r="Z5076">
        <v>1.7903509999999999E-3</v>
      </c>
      <c r="AA5076">
        <v>0.99942260000000005</v>
      </c>
      <c r="AB5076">
        <v>37</v>
      </c>
      <c r="AC5076">
        <v>-0.68500000000000205</v>
      </c>
      <c r="AD5076">
        <v>-8.8307000000000094E-2</v>
      </c>
      <c r="AE5076">
        <v>3.2100000000013999E-2</v>
      </c>
      <c r="AF5076">
        <v>3.0612244671919499E-2</v>
      </c>
      <c r="AG5076">
        <v>-8.8307000000000094E-2</v>
      </c>
      <c r="AH5076">
        <v>0.67387060168108803</v>
      </c>
      <c r="AI5076">
        <v>97.458147261042498</v>
      </c>
      <c r="AJ5076">
        <v>87.398985220255895</v>
      </c>
      <c r="AK5076">
        <v>0.680321117989795</v>
      </c>
      <c r="AL5076">
        <v>67.593763195286499</v>
      </c>
      <c r="AM5076">
        <v>93.845606302002693</v>
      </c>
      <c r="AN5076">
        <v>0.99999996459408003</v>
      </c>
    </row>
    <row r="5077" spans="1:40" x14ac:dyDescent="0.25">
      <c r="A5077" t="str">
        <f>"20190304164950110"</f>
        <v>20190304164950110</v>
      </c>
      <c r="B5077" t="str">
        <f>"1551689390100814"</f>
        <v>1551689390100814</v>
      </c>
      <c r="C5077" t="s">
        <v>40</v>
      </c>
      <c r="D5077">
        <v>4.4287530000000004</v>
      </c>
      <c r="E5077">
        <v>0.55325539999999995</v>
      </c>
      <c r="F5077" t="s">
        <v>41</v>
      </c>
      <c r="G5077">
        <v>-316.17169999999999</v>
      </c>
      <c r="H5077">
        <v>1.0118279999999999</v>
      </c>
      <c r="I5077">
        <v>141.8776</v>
      </c>
      <c r="J5077">
        <v>-315.38470000000001</v>
      </c>
      <c r="K5077">
        <v>1.1109420000000001</v>
      </c>
      <c r="L5077">
        <v>141.84180000000001</v>
      </c>
      <c r="M5077">
        <v>-0.99988949999999999</v>
      </c>
      <c r="N5077">
        <v>-1.4804029999999999E-2</v>
      </c>
      <c r="O5077">
        <v>1.4306399999999999E-3</v>
      </c>
      <c r="P5077">
        <v>-0.92813520000000005</v>
      </c>
      <c r="Q5077">
        <v>0.36727009999999899</v>
      </c>
      <c r="R5077">
        <v>-6.0645629999999999E-2</v>
      </c>
      <c r="S5077">
        <v>-3.3718870000000001</v>
      </c>
      <c r="T5077">
        <v>-0.33199050000000002</v>
      </c>
      <c r="U5077">
        <v>0.1198578</v>
      </c>
      <c r="V5077">
        <v>-6.1958810000000003E-2</v>
      </c>
      <c r="W5077">
        <v>0.38097130000000001</v>
      </c>
      <c r="X5077">
        <v>0.92250849999999995</v>
      </c>
      <c r="Y5077">
        <v>3.3910290000000003E-2</v>
      </c>
      <c r="Z5077">
        <v>1.7972779999999901E-3</v>
      </c>
      <c r="AA5077">
        <v>0.99942330000000001</v>
      </c>
      <c r="AB5077">
        <v>37</v>
      </c>
      <c r="AC5077">
        <v>-0.78699999999997705</v>
      </c>
      <c r="AD5077">
        <v>-9.9113999999999897E-2</v>
      </c>
      <c r="AE5077">
        <v>3.5799999999994697E-2</v>
      </c>
      <c r="AF5077">
        <v>3.4133662818879598E-2</v>
      </c>
      <c r="AG5077">
        <v>-9.9113999999999897E-2</v>
      </c>
      <c r="AH5077">
        <v>0.77478717706190403</v>
      </c>
      <c r="AI5077">
        <v>97.282932784951996</v>
      </c>
      <c r="AJ5077">
        <v>87.477435001124405</v>
      </c>
      <c r="AK5077">
        <v>0.78184644379378399</v>
      </c>
      <c r="AL5077">
        <v>67.606139309717307</v>
      </c>
      <c r="AM5077">
        <v>93.842408850423098</v>
      </c>
      <c r="AN5077">
        <v>0.99999997906627702</v>
      </c>
    </row>
    <row r="5078" spans="1:40" x14ac:dyDescent="0.25">
      <c r="A5078" t="str">
        <f>"20190304164950128"</f>
        <v>20190304164950128</v>
      </c>
      <c r="B5078" t="str">
        <f>"1551689390120843"</f>
        <v>1551689390120843</v>
      </c>
      <c r="C5078" t="s">
        <v>40</v>
      </c>
      <c r="D5078">
        <v>4.4507680000000001</v>
      </c>
      <c r="E5078">
        <v>0.55328639999999996</v>
      </c>
      <c r="F5078" t="s">
        <v>41</v>
      </c>
      <c r="G5078">
        <v>-316.18189999999998</v>
      </c>
      <c r="H5078">
        <v>1.032384</v>
      </c>
      <c r="I5078">
        <v>141.87029999999999</v>
      </c>
      <c r="J5078">
        <v>-315.66320000000002</v>
      </c>
      <c r="K5078">
        <v>1.1109370000000001</v>
      </c>
      <c r="L5078">
        <v>141.84219999999999</v>
      </c>
      <c r="M5078">
        <v>-0.99988960000000005</v>
      </c>
      <c r="N5078">
        <v>-1.480193E-2</v>
      </c>
      <c r="O5078">
        <v>1.4304770000000001E-3</v>
      </c>
      <c r="P5078">
        <v>-0.92815820000000004</v>
      </c>
      <c r="Q5078">
        <v>0.36715199999999998</v>
      </c>
      <c r="R5078">
        <v>-6.1007350000000002E-2</v>
      </c>
      <c r="S5078">
        <v>-3.3715820000000001</v>
      </c>
      <c r="T5078">
        <v>-0.33234639999999999</v>
      </c>
      <c r="U5078">
        <v>0.1190338</v>
      </c>
      <c r="V5078">
        <v>-6.2320639999999997E-2</v>
      </c>
      <c r="W5078">
        <v>0.38085140000000001</v>
      </c>
      <c r="X5078">
        <v>0.92253370000000001</v>
      </c>
      <c r="Y5078">
        <v>3.367067E-2</v>
      </c>
      <c r="Z5078">
        <v>1.785467E-3</v>
      </c>
      <c r="AA5078">
        <v>0.99943139999999997</v>
      </c>
      <c r="AB5078">
        <v>37</v>
      </c>
      <c r="AC5078">
        <v>-0.51869999999996697</v>
      </c>
      <c r="AD5078">
        <v>-7.8553000000000095E-2</v>
      </c>
      <c r="AE5078">
        <v>2.80999999999949E-2</v>
      </c>
      <c r="AF5078">
        <v>2.67462787876095E-2</v>
      </c>
      <c r="AG5078">
        <v>-7.8553000000000095E-2</v>
      </c>
      <c r="AH5078">
        <v>0.50714254348747601</v>
      </c>
      <c r="AI5078">
        <v>98.792736516862902</v>
      </c>
      <c r="AJ5078">
        <v>86.981064824149996</v>
      </c>
      <c r="AK5078">
        <v>0.51388665739920802</v>
      </c>
      <c r="AL5078">
        <v>67.613570624338493</v>
      </c>
      <c r="AM5078">
        <v>93.864674875597501</v>
      </c>
      <c r="AN5078">
        <v>1.00000003934382</v>
      </c>
    </row>
    <row r="5079" spans="1:40" x14ac:dyDescent="0.25">
      <c r="A5079" t="str">
        <f>"20190304164950150"</f>
        <v>20190304164950150</v>
      </c>
      <c r="B5079" t="str">
        <f>"1551689390141338"</f>
        <v>1551689390141338</v>
      </c>
      <c r="C5079" t="s">
        <v>40</v>
      </c>
      <c r="D5079">
        <v>4.4554</v>
      </c>
      <c r="E5079">
        <v>0.55330210000000002</v>
      </c>
      <c r="F5079" t="s">
        <v>41</v>
      </c>
      <c r="G5079">
        <v>-316.50639999999999</v>
      </c>
      <c r="H5079">
        <v>1.027836</v>
      </c>
      <c r="I5079">
        <v>141.87190000000001</v>
      </c>
      <c r="J5079">
        <v>-316.02809999999999</v>
      </c>
      <c r="K5079">
        <v>1.1109329999999999</v>
      </c>
      <c r="L5079">
        <v>141.84270000000001</v>
      </c>
      <c r="M5079">
        <v>-0.99988949999999999</v>
      </c>
      <c r="N5079">
        <v>-1.4799029999999999E-2</v>
      </c>
      <c r="O5079">
        <v>1.4304980000000001E-3</v>
      </c>
      <c r="P5079">
        <v>-0.92833410000000005</v>
      </c>
      <c r="Q5079">
        <v>0.36656820000000001</v>
      </c>
      <c r="R5079">
        <v>-6.1837000000000003E-2</v>
      </c>
      <c r="S5079">
        <v>-3.3713989999999998</v>
      </c>
      <c r="T5079">
        <v>-0.33234599999999997</v>
      </c>
      <c r="U5079">
        <v>0.1177063</v>
      </c>
      <c r="V5079">
        <v>-6.3150390000000001E-2</v>
      </c>
      <c r="W5079">
        <v>0.38026749999999998</v>
      </c>
      <c r="X5079">
        <v>0.92271809999999999</v>
      </c>
      <c r="Y5079">
        <v>3.3281659999999998E-2</v>
      </c>
      <c r="Z5079">
        <v>1.7634910000000001E-3</v>
      </c>
      <c r="AA5079">
        <v>0.99944449999999996</v>
      </c>
      <c r="AB5079">
        <v>37</v>
      </c>
      <c r="AC5079">
        <v>-0.47829999999999001</v>
      </c>
      <c r="AD5079">
        <v>-8.3096999999999893E-2</v>
      </c>
      <c r="AE5079">
        <v>2.9200000000002901E-2</v>
      </c>
      <c r="AF5079">
        <v>2.7683213763879898E-2</v>
      </c>
      <c r="AG5079">
        <v>-8.3096999999999893E-2</v>
      </c>
      <c r="AH5079">
        <v>0.464376803995392</v>
      </c>
      <c r="AI5079">
        <v>100.127697732737</v>
      </c>
      <c r="AJ5079">
        <v>86.588424813966995</v>
      </c>
      <c r="AK5079">
        <v>0.47256458587400602</v>
      </c>
      <c r="AL5079">
        <v>67.649747212220802</v>
      </c>
      <c r="AM5079">
        <v>93.915190768721104</v>
      </c>
      <c r="AN5079">
        <v>1.0000000176905</v>
      </c>
    </row>
    <row r="5080" spans="1:40" x14ac:dyDescent="0.25">
      <c r="A5080" t="str">
        <f>"20190304164950163"</f>
        <v>20190304164950163</v>
      </c>
      <c r="B5080" t="str">
        <f>"1551689390151098"</f>
        <v>1551689390151098</v>
      </c>
      <c r="C5080" t="s">
        <v>40</v>
      </c>
      <c r="D5080">
        <v>4.4373809999999896</v>
      </c>
      <c r="E5080">
        <v>0.55326580000000003</v>
      </c>
      <c r="F5080" t="s">
        <v>41</v>
      </c>
      <c r="G5080">
        <v>-316.8347</v>
      </c>
      <c r="H5080">
        <v>1.0317400000000001</v>
      </c>
      <c r="I5080">
        <v>141.8707</v>
      </c>
      <c r="J5080">
        <v>-316.23309999999998</v>
      </c>
      <c r="K5080">
        <v>1.1109340000000001</v>
      </c>
      <c r="L5080">
        <v>141.84299999999999</v>
      </c>
      <c r="M5080">
        <v>-0.99988960000000005</v>
      </c>
      <c r="N5080">
        <v>-1.4797380000000001E-2</v>
      </c>
      <c r="O5080">
        <v>1.430511E-3</v>
      </c>
      <c r="P5080">
        <v>-0.92836980000000002</v>
      </c>
      <c r="Q5080">
        <v>0.3664287</v>
      </c>
      <c r="R5080">
        <v>-6.2126960000000002E-2</v>
      </c>
      <c r="S5080">
        <v>-3.3699650000000001</v>
      </c>
      <c r="T5080">
        <v>-0.33092310000000003</v>
      </c>
      <c r="U5080">
        <v>0.1157837</v>
      </c>
      <c r="V5080">
        <v>-6.3440339999999998E-2</v>
      </c>
      <c r="W5080">
        <v>0.3801273</v>
      </c>
      <c r="X5080">
        <v>0.92275600000000002</v>
      </c>
      <c r="Y5080">
        <v>3.2731290000000003E-2</v>
      </c>
      <c r="Z5080">
        <v>1.7266929999999901E-3</v>
      </c>
      <c r="AA5080">
        <v>0.99946270000000004</v>
      </c>
      <c r="AB5080">
        <v>37</v>
      </c>
      <c r="AC5080">
        <v>-0.60160000000001901</v>
      </c>
      <c r="AD5080">
        <v>-7.9194000000000195E-2</v>
      </c>
      <c r="AE5080">
        <v>2.7700000000010001E-2</v>
      </c>
      <c r="AF5080">
        <v>2.6383062057460601E-2</v>
      </c>
      <c r="AG5080">
        <v>-7.9194000000000195E-2</v>
      </c>
      <c r="AH5080">
        <v>0.59141222114285197</v>
      </c>
      <c r="AI5080">
        <v>97.6194243088283</v>
      </c>
      <c r="AJ5080">
        <v>87.445713007639995</v>
      </c>
      <c r="AK5080">
        <v>0.59727394963839697</v>
      </c>
      <c r="AL5080">
        <v>67.658432766417107</v>
      </c>
      <c r="AM5080">
        <v>93.932949729152696</v>
      </c>
      <c r="AN5080">
        <v>1.0000000382403</v>
      </c>
    </row>
    <row r="5081" spans="1:40" x14ac:dyDescent="0.25">
      <c r="A5081" t="str">
        <f>"20190304164950176"</f>
        <v>20190304164950176</v>
      </c>
      <c r="B5081" t="str">
        <f>"1551689390170618"</f>
        <v>1551689390170618</v>
      </c>
      <c r="C5081" t="s">
        <v>40</v>
      </c>
      <c r="D5081">
        <v>4.3712140000000002</v>
      </c>
      <c r="E5081">
        <v>0.55307139999999999</v>
      </c>
      <c r="F5081" t="s">
        <v>41</v>
      </c>
      <c r="G5081">
        <v>-317.1551</v>
      </c>
      <c r="H5081">
        <v>1.0205649999999999</v>
      </c>
      <c r="I5081">
        <v>141.87479999999999</v>
      </c>
      <c r="J5081">
        <v>-316.45710000000003</v>
      </c>
      <c r="K5081">
        <v>1.1109340000000001</v>
      </c>
      <c r="L5081">
        <v>141.8433</v>
      </c>
      <c r="M5081">
        <v>-0.99988969999999999</v>
      </c>
      <c r="N5081">
        <v>-1.4795559999999999E-2</v>
      </c>
      <c r="O5081">
        <v>1.430405E-3</v>
      </c>
      <c r="P5081">
        <v>-0.92824949999999995</v>
      </c>
      <c r="Q5081">
        <v>0.36667699999999998</v>
      </c>
      <c r="R5081">
        <v>-6.2459050000000002E-2</v>
      </c>
      <c r="S5081">
        <v>-3.3695680000000001</v>
      </c>
      <c r="T5081">
        <v>-0.33038499999999998</v>
      </c>
      <c r="U5081">
        <v>0.1149292</v>
      </c>
      <c r="V5081">
        <v>-6.3772640000000005E-2</v>
      </c>
      <c r="W5081">
        <v>0.38037209999999999</v>
      </c>
      <c r="X5081">
        <v>0.92263220000000001</v>
      </c>
      <c r="Y5081">
        <v>3.248413E-2</v>
      </c>
      <c r="Z5081">
        <v>1.7105579999999901E-3</v>
      </c>
      <c r="AA5081">
        <v>0.99947079999999999</v>
      </c>
      <c r="AB5081">
        <v>36</v>
      </c>
      <c r="AC5081">
        <v>-0.69799999999997897</v>
      </c>
      <c r="AD5081">
        <v>-9.0369000000000102E-2</v>
      </c>
      <c r="AE5081">
        <v>3.1499999999993998E-2</v>
      </c>
      <c r="AF5081">
        <v>2.9999602047118702E-2</v>
      </c>
      <c r="AG5081">
        <v>-9.0369000000000102E-2</v>
      </c>
      <c r="AH5081">
        <v>0.68655956694889797</v>
      </c>
      <c r="AI5081">
        <v>97.491433327629096</v>
      </c>
      <c r="AJ5081">
        <v>87.498020588722994</v>
      </c>
      <c r="AK5081">
        <v>0.69313099141002499</v>
      </c>
      <c r="AL5081">
        <v>67.643267424689995</v>
      </c>
      <c r="AM5081">
        <v>93.954014132313105</v>
      </c>
      <c r="AN5081">
        <v>1.0000000302739001</v>
      </c>
    </row>
    <row r="5082" spans="1:40" x14ac:dyDescent="0.25">
      <c r="A5082" t="str">
        <f>"20190304164950188"</f>
        <v>20190304164950188</v>
      </c>
      <c r="B5082" t="str">
        <f>"1551689390181355"</f>
        <v>1551689390181355</v>
      </c>
      <c r="C5082" t="s">
        <v>40</v>
      </c>
      <c r="D5082">
        <v>4.5352699999999997</v>
      </c>
      <c r="E5082">
        <v>0.55297489999999905</v>
      </c>
      <c r="F5082" t="s">
        <v>41</v>
      </c>
      <c r="G5082">
        <v>-317.47620000000001</v>
      </c>
      <c r="H5082">
        <v>1.0115459999999901</v>
      </c>
      <c r="I5082">
        <v>141.87739999999999</v>
      </c>
      <c r="J5082">
        <v>-316.65870000000001</v>
      </c>
      <c r="K5082">
        <v>1.1109340000000001</v>
      </c>
      <c r="L5082">
        <v>141.84360000000001</v>
      </c>
      <c r="M5082">
        <v>-0.99988969999999999</v>
      </c>
      <c r="N5082">
        <v>-1.47939E-2</v>
      </c>
      <c r="O5082">
        <v>1.430417E-3</v>
      </c>
      <c r="P5082">
        <v>-0.92812539999999999</v>
      </c>
      <c r="Q5082">
        <v>0.36694130000000003</v>
      </c>
      <c r="R5082">
        <v>-6.2749540000000006E-2</v>
      </c>
      <c r="S5082">
        <v>-3.3692630000000001</v>
      </c>
      <c r="T5082">
        <v>-0.32860549999999999</v>
      </c>
      <c r="U5082">
        <v>0.1120911</v>
      </c>
      <c r="V5082">
        <v>-6.4063030000000007E-2</v>
      </c>
      <c r="W5082">
        <v>0.3806331</v>
      </c>
      <c r="X5082">
        <v>0.9225044</v>
      </c>
      <c r="Y5082">
        <v>3.1652479999999997E-2</v>
      </c>
      <c r="Z5082">
        <v>1.656285E-3</v>
      </c>
      <c r="AA5082">
        <v>0.99949750000000004</v>
      </c>
      <c r="AB5082">
        <v>36</v>
      </c>
      <c r="AC5082">
        <v>-0.81749999999999501</v>
      </c>
      <c r="AD5082">
        <v>-9.9388000000000198E-2</v>
      </c>
      <c r="AE5082">
        <v>3.3799999999985099E-2</v>
      </c>
      <c r="AF5082">
        <v>3.2155997527248903E-2</v>
      </c>
      <c r="AG5082">
        <v>-9.9388000000000198E-2</v>
      </c>
      <c r="AH5082">
        <v>0.80565969619137101</v>
      </c>
      <c r="AI5082">
        <v>97.027066880424996</v>
      </c>
      <c r="AJ5082">
        <v>87.7143878984715</v>
      </c>
      <c r="AK5082">
        <v>0.81240355045269497</v>
      </c>
      <c r="AL5082">
        <v>67.627096122057495</v>
      </c>
      <c r="AM5082">
        <v>93.972509813855595</v>
      </c>
      <c r="AN5082">
        <v>0.99999999832387498</v>
      </c>
    </row>
    <row r="5083" spans="1:40" x14ac:dyDescent="0.25">
      <c r="A5083" t="str">
        <f>"20190304164950205"</f>
        <v>20190304164950205</v>
      </c>
      <c r="B5083" t="str">
        <f>"1551689390200874"</f>
        <v>1551689390200874</v>
      </c>
      <c r="C5083" t="s">
        <v>40</v>
      </c>
      <c r="D5083">
        <v>4.4625170000000001</v>
      </c>
      <c r="E5083">
        <v>0.55314759999999996</v>
      </c>
      <c r="F5083" t="s">
        <v>41</v>
      </c>
      <c r="G5083">
        <v>-317.48540000000003</v>
      </c>
      <c r="H5083">
        <v>1.0300659999999999</v>
      </c>
      <c r="I5083">
        <v>141.8707</v>
      </c>
      <c r="J5083">
        <v>-316.91930000000002</v>
      </c>
      <c r="K5083">
        <v>1.1109359999999999</v>
      </c>
      <c r="L5083">
        <v>141.84399999999999</v>
      </c>
      <c r="M5083">
        <v>-0.99988969999999999</v>
      </c>
      <c r="N5083">
        <v>-1.4791739999999999E-2</v>
      </c>
      <c r="O5083">
        <v>1.4302539999999999E-3</v>
      </c>
      <c r="P5083">
        <v>-0.92779540000000005</v>
      </c>
      <c r="Q5083">
        <v>0.36769639999999998</v>
      </c>
      <c r="R5083">
        <v>-6.3209650000000006E-2</v>
      </c>
      <c r="S5083">
        <v>-3.3699949999999999</v>
      </c>
      <c r="T5083">
        <v>-0.32960650000000002</v>
      </c>
      <c r="U5083">
        <v>0.1098785</v>
      </c>
      <c r="V5083">
        <v>-6.452186E-2</v>
      </c>
      <c r="W5083">
        <v>0.38138129999999998</v>
      </c>
      <c r="X5083">
        <v>0.92216330000000002</v>
      </c>
      <c r="Y5083">
        <v>3.0992659999999998E-2</v>
      </c>
      <c r="Z5083">
        <v>1.6231419999999999E-3</v>
      </c>
      <c r="AA5083">
        <v>0.99951829999999997</v>
      </c>
      <c r="AB5083">
        <v>36</v>
      </c>
      <c r="AC5083">
        <v>-0.56610000000000504</v>
      </c>
      <c r="AD5083">
        <v>-8.0870000000000206E-2</v>
      </c>
      <c r="AE5083">
        <v>2.6700000000005199E-2</v>
      </c>
      <c r="AF5083">
        <v>2.5373557322196399E-2</v>
      </c>
      <c r="AG5083">
        <v>-8.0870000000000206E-2</v>
      </c>
      <c r="AH5083">
        <v>0.55483988197971101</v>
      </c>
      <c r="AI5083">
        <v>98.284143083254506</v>
      </c>
      <c r="AJ5083">
        <v>87.381612975875399</v>
      </c>
      <c r="AK5083">
        <v>0.56127628575100397</v>
      </c>
      <c r="AL5083">
        <v>67.580729200666596</v>
      </c>
      <c r="AM5083">
        <v>94.002344592405905</v>
      </c>
      <c r="AN5083">
        <v>0.99999995913721795</v>
      </c>
    </row>
    <row r="5084" spans="1:40" x14ac:dyDescent="0.25">
      <c r="A5084" t="str">
        <f>"20190304164950219"</f>
        <v>20190304164950219</v>
      </c>
      <c r="B5084" t="str">
        <f>"1551689390210634"</f>
        <v>1551689390210634</v>
      </c>
      <c r="C5084" t="s">
        <v>40</v>
      </c>
      <c r="D5084">
        <v>4.4485140000000003</v>
      </c>
      <c r="E5084">
        <v>0.55317709999999998</v>
      </c>
      <c r="F5084" t="s">
        <v>41</v>
      </c>
      <c r="G5084">
        <v>-317.80810000000002</v>
      </c>
      <c r="H5084">
        <v>1.024905</v>
      </c>
      <c r="I5084">
        <v>141.8734</v>
      </c>
      <c r="J5084">
        <v>-317.15989999999999</v>
      </c>
      <c r="K5084">
        <v>1.110935</v>
      </c>
      <c r="L5084">
        <v>141.8443</v>
      </c>
      <c r="M5084">
        <v>-0.99988969999999999</v>
      </c>
      <c r="N5084">
        <v>-1.4789719999999999E-2</v>
      </c>
      <c r="O5084">
        <v>1.4302690000000001E-3</v>
      </c>
      <c r="P5084">
        <v>-0.92770699999999995</v>
      </c>
      <c r="Q5084">
        <v>0.3678787</v>
      </c>
      <c r="R5084">
        <v>-6.3443559999999996E-2</v>
      </c>
      <c r="S5084">
        <v>-3.370209</v>
      </c>
      <c r="T5084">
        <v>-0.32626769999999999</v>
      </c>
      <c r="U5084">
        <v>0.109787</v>
      </c>
      <c r="V5084">
        <v>-6.4755889999999997E-2</v>
      </c>
      <c r="W5084">
        <v>0.38156020000000002</v>
      </c>
      <c r="X5084">
        <v>0.92207289999999997</v>
      </c>
      <c r="Y5084">
        <v>3.09667E-2</v>
      </c>
      <c r="Z5084">
        <v>1.607731E-3</v>
      </c>
      <c r="AA5084">
        <v>0.99951909999999999</v>
      </c>
      <c r="AB5084">
        <v>36</v>
      </c>
      <c r="AC5084">
        <v>-0.64820000000003097</v>
      </c>
      <c r="AD5084">
        <v>-8.6029999999999995E-2</v>
      </c>
      <c r="AE5084">
        <v>2.9099999999999598E-2</v>
      </c>
      <c r="AF5084">
        <v>2.76860604728392E-2</v>
      </c>
      <c r="AG5084">
        <v>-8.6029999999999995E-2</v>
      </c>
      <c r="AH5084">
        <v>0.63704205907012601</v>
      </c>
      <c r="AI5084">
        <v>97.683871332474197</v>
      </c>
      <c r="AJ5084">
        <v>87.511472291508497</v>
      </c>
      <c r="AK5084">
        <v>0.64342075181704605</v>
      </c>
      <c r="AL5084">
        <v>67.569640774388205</v>
      </c>
      <c r="AM5084">
        <v>94.017206751967194</v>
      </c>
      <c r="AN5084">
        <v>0.99999997221407</v>
      </c>
    </row>
    <row r="5085" spans="1:40" x14ac:dyDescent="0.25">
      <c r="A5085" t="str">
        <f>"20190304164950232"</f>
        <v>20190304164950232</v>
      </c>
      <c r="B5085" t="str">
        <f>"1551689390220902"</f>
        <v>1551689390220902</v>
      </c>
      <c r="C5085" t="s">
        <v>40</v>
      </c>
      <c r="D5085">
        <v>4.4253869999999997</v>
      </c>
      <c r="E5085">
        <v>0.55324249999999997</v>
      </c>
      <c r="F5085" t="s">
        <v>41</v>
      </c>
      <c r="G5085">
        <v>-318.12920000000003</v>
      </c>
      <c r="H5085">
        <v>1.0171460000000001</v>
      </c>
      <c r="I5085">
        <v>141.87620000000001</v>
      </c>
      <c r="J5085">
        <v>-317.3657</v>
      </c>
      <c r="K5085">
        <v>1.1109359999999999</v>
      </c>
      <c r="L5085">
        <v>141.84460000000001</v>
      </c>
      <c r="M5085">
        <v>-0.99988969999999999</v>
      </c>
      <c r="N5085">
        <v>-1.4787969999999999E-2</v>
      </c>
      <c r="O5085">
        <v>1.430104E-3</v>
      </c>
      <c r="P5085">
        <v>-0.92772840000000001</v>
      </c>
      <c r="Q5085">
        <v>0.36778159999999999</v>
      </c>
      <c r="R5085">
        <v>-6.3696649999999994E-2</v>
      </c>
      <c r="S5085">
        <v>-3.3706360000000002</v>
      </c>
      <c r="T5085">
        <v>-0.32625460000000001</v>
      </c>
      <c r="U5085">
        <v>0.10958859999999999</v>
      </c>
      <c r="V5085">
        <v>-6.5008919999999998E-2</v>
      </c>
      <c r="W5085">
        <v>0.38146190000000002</v>
      </c>
      <c r="X5085">
        <v>0.92209580000000002</v>
      </c>
      <c r="Y5085">
        <v>3.0904379999999999E-2</v>
      </c>
      <c r="Z5085">
        <v>1.6040189999999999E-3</v>
      </c>
      <c r="AA5085">
        <v>0.99952110000000005</v>
      </c>
      <c r="AB5085">
        <v>36</v>
      </c>
      <c r="AC5085">
        <v>-0.76350000000002105</v>
      </c>
      <c r="AD5085">
        <v>-9.3790000000000207E-2</v>
      </c>
      <c r="AE5085">
        <v>3.1599999999997401E-2</v>
      </c>
      <c r="AF5085">
        <v>3.0055200544906301E-2</v>
      </c>
      <c r="AG5085">
        <v>-9.3790000000000207E-2</v>
      </c>
      <c r="AH5085">
        <v>0.752212785134456</v>
      </c>
      <c r="AI5085">
        <v>97.101662751309604</v>
      </c>
      <c r="AJ5085">
        <v>87.711923185042195</v>
      </c>
      <c r="AK5085">
        <v>0.75863295031229006</v>
      </c>
      <c r="AL5085">
        <v>67.575734518648801</v>
      </c>
      <c r="AM5085">
        <v>94.032752244031698</v>
      </c>
      <c r="AN5085">
        <v>1.0000000026044</v>
      </c>
    </row>
    <row r="5086" spans="1:40" x14ac:dyDescent="0.25">
      <c r="A5086" t="str">
        <f>"20190304164950245"</f>
        <v>20190304164950245</v>
      </c>
      <c r="B5086" t="str">
        <f>"1551689390241398"</f>
        <v>1551689390241398</v>
      </c>
      <c r="C5086" t="s">
        <v>40</v>
      </c>
      <c r="D5086">
        <v>4.4010850000000001</v>
      </c>
      <c r="E5086">
        <v>0.55326399999999998</v>
      </c>
      <c r="F5086" t="s">
        <v>41</v>
      </c>
      <c r="G5086">
        <v>-318.1386</v>
      </c>
      <c r="H5086">
        <v>1.0360640000000001</v>
      </c>
      <c r="I5086">
        <v>141.87010000000001</v>
      </c>
      <c r="J5086">
        <v>-317.56560000000002</v>
      </c>
      <c r="K5086">
        <v>1.1109329999999999</v>
      </c>
      <c r="L5086">
        <v>141.8449</v>
      </c>
      <c r="M5086">
        <v>-0.99988969999999999</v>
      </c>
      <c r="N5086">
        <v>-1.4786229999999999E-2</v>
      </c>
      <c r="O5086">
        <v>1.4301159999999999E-3</v>
      </c>
      <c r="P5086">
        <v>-0.92772109999999997</v>
      </c>
      <c r="Q5086">
        <v>0.36778899999999998</v>
      </c>
      <c r="R5086">
        <v>-6.3755709999999993E-2</v>
      </c>
      <c r="S5086">
        <v>-3.370819</v>
      </c>
      <c r="T5086">
        <v>-0.32668570000000002</v>
      </c>
      <c r="U5086">
        <v>0.1096191</v>
      </c>
      <c r="V5086">
        <v>-6.5068100000000004E-2</v>
      </c>
      <c r="W5086">
        <v>0.38146770000000002</v>
      </c>
      <c r="X5086">
        <v>0.92208920000000005</v>
      </c>
      <c r="Y5086">
        <v>3.0911230000000001E-2</v>
      </c>
      <c r="Z5086">
        <v>1.6060789999999901E-3</v>
      </c>
      <c r="AA5086">
        <v>0.99952079999999999</v>
      </c>
      <c r="AB5086">
        <v>36</v>
      </c>
      <c r="AC5086">
        <v>-0.57299999999997897</v>
      </c>
      <c r="AD5086">
        <v>-7.4869000000000005E-2</v>
      </c>
      <c r="AE5086">
        <v>2.5200000000012299E-2</v>
      </c>
      <c r="AF5086">
        <v>2.3971959137650899E-2</v>
      </c>
      <c r="AG5086">
        <v>-7.4869000000000005E-2</v>
      </c>
      <c r="AH5086">
        <v>0.56343483560973096</v>
      </c>
      <c r="AI5086">
        <v>97.562337201671198</v>
      </c>
      <c r="AJ5086">
        <v>87.5637568970362</v>
      </c>
      <c r="AK5086">
        <v>0.56889264010396701</v>
      </c>
      <c r="AL5086">
        <v>67.575374443570794</v>
      </c>
      <c r="AM5086">
        <v>94.036440072657896</v>
      </c>
      <c r="AN5086">
        <v>0.99999997826876896</v>
      </c>
    </row>
    <row r="5087" spans="1:40" x14ac:dyDescent="0.25">
      <c r="A5087" t="str">
        <f>"20190304164950260"</f>
        <v>20190304164950260</v>
      </c>
      <c r="B5087" t="str">
        <f>"1551689390251159"</f>
        <v>1551689390251159</v>
      </c>
      <c r="C5087" t="s">
        <v>40</v>
      </c>
      <c r="D5087">
        <v>4.3716860000000004</v>
      </c>
      <c r="E5087">
        <v>0.55329839999999997</v>
      </c>
      <c r="F5087" t="s">
        <v>41</v>
      </c>
      <c r="G5087">
        <v>-318.45729999999998</v>
      </c>
      <c r="H5087">
        <v>1.024529</v>
      </c>
      <c r="I5087">
        <v>141.87430000000001</v>
      </c>
      <c r="J5087">
        <v>-317.81849999999997</v>
      </c>
      <c r="K5087">
        <v>1.1109359999999999</v>
      </c>
      <c r="L5087">
        <v>141.84530000000001</v>
      </c>
      <c r="M5087">
        <v>-0.99988969999999999</v>
      </c>
      <c r="N5087">
        <v>-1.4784E-2</v>
      </c>
      <c r="O5087">
        <v>1.4301330000000001E-3</v>
      </c>
      <c r="P5087">
        <v>-0.92786559999999996</v>
      </c>
      <c r="Q5087">
        <v>0.367425</v>
      </c>
      <c r="R5087">
        <v>-6.3750699999999993E-2</v>
      </c>
      <c r="S5087">
        <v>-3.3707889999999998</v>
      </c>
      <c r="T5087">
        <v>-0.32673489999999999</v>
      </c>
      <c r="U5087">
        <v>0.1095428</v>
      </c>
      <c r="V5087">
        <v>-6.5063280000000001E-2</v>
      </c>
      <c r="W5087">
        <v>0.381104</v>
      </c>
      <c r="X5087">
        <v>0.92223999999999995</v>
      </c>
      <c r="Y5087">
        <v>3.088898E-2</v>
      </c>
      <c r="Z5087">
        <v>1.6050159999999999E-3</v>
      </c>
      <c r="AA5087">
        <v>0.99952160000000001</v>
      </c>
      <c r="AB5087">
        <v>36</v>
      </c>
      <c r="AC5087">
        <v>-0.63880000000000303</v>
      </c>
      <c r="AD5087">
        <v>-8.6407000000000095E-2</v>
      </c>
      <c r="AE5087">
        <v>2.89999999999963E-2</v>
      </c>
      <c r="AF5087">
        <v>2.7582673083222799E-2</v>
      </c>
      <c r="AG5087">
        <v>-8.6407000000000095E-2</v>
      </c>
      <c r="AH5087">
        <v>0.627385474974123</v>
      </c>
      <c r="AI5087">
        <v>97.834284948062404</v>
      </c>
      <c r="AJ5087">
        <v>87.482642206682499</v>
      </c>
      <c r="AK5087">
        <v>0.63390812245302697</v>
      </c>
      <c r="AL5087">
        <v>67.597917527816705</v>
      </c>
      <c r="AM5087">
        <v>94.035484267786998</v>
      </c>
      <c r="AN5087">
        <v>1.0000000534101701</v>
      </c>
    </row>
    <row r="5088" spans="1:40" x14ac:dyDescent="0.25">
      <c r="A5088" t="str">
        <f>"20190304164950274"</f>
        <v>20190304164950274</v>
      </c>
      <c r="B5088" t="str">
        <f>"1551689390260919"</f>
        <v>1551689390260919</v>
      </c>
      <c r="C5088" t="s">
        <v>40</v>
      </c>
      <c r="D5088">
        <v>4.389856</v>
      </c>
      <c r="E5088">
        <v>0.553338</v>
      </c>
      <c r="F5088" t="s">
        <v>41</v>
      </c>
      <c r="G5088">
        <v>-318.77809999999999</v>
      </c>
      <c r="H5088">
        <v>1.0177579999999999</v>
      </c>
      <c r="I5088">
        <v>141.87690000000001</v>
      </c>
      <c r="J5088">
        <v>-318.04989999999998</v>
      </c>
      <c r="K5088">
        <v>1.110938</v>
      </c>
      <c r="L5088">
        <v>141.84559999999999</v>
      </c>
      <c r="M5088">
        <v>-0.99988969999999999</v>
      </c>
      <c r="N5088">
        <v>-1.478192E-2</v>
      </c>
      <c r="O5088">
        <v>1.43014799999999E-3</v>
      </c>
      <c r="P5088">
        <v>-0.92788769999999998</v>
      </c>
      <c r="Q5088">
        <v>0.36737769999999997</v>
      </c>
      <c r="R5088">
        <v>-6.3700679999999996E-2</v>
      </c>
      <c r="S5088">
        <v>-3.3704529999999999</v>
      </c>
      <c r="T5088">
        <v>-0.32737100000000002</v>
      </c>
      <c r="U5088">
        <v>0.1104431</v>
      </c>
      <c r="V5088">
        <v>-6.5013260000000003E-2</v>
      </c>
      <c r="W5088">
        <v>0.38105460000000002</v>
      </c>
      <c r="X5088">
        <v>0.92226390000000003</v>
      </c>
      <c r="Y5088">
        <v>3.115683E-2</v>
      </c>
      <c r="Z5088">
        <v>1.6226960000000001E-3</v>
      </c>
      <c r="AA5088">
        <v>0.99951319999999999</v>
      </c>
      <c r="AB5088">
        <v>36</v>
      </c>
      <c r="AC5088">
        <v>-0.72820000000001495</v>
      </c>
      <c r="AD5088">
        <v>-9.3179999999999999E-2</v>
      </c>
      <c r="AE5088">
        <v>3.1300000000015801E-2</v>
      </c>
      <c r="AF5088">
        <v>2.9771847153554298E-2</v>
      </c>
      <c r="AG5088">
        <v>-9.3179999999999999E-2</v>
      </c>
      <c r="AH5088">
        <v>0.71653343041429896</v>
      </c>
      <c r="AI5088">
        <v>97.403006017404294</v>
      </c>
      <c r="AJ5088">
        <v>87.620738254556002</v>
      </c>
      <c r="AK5088">
        <v>0.72317980626135903</v>
      </c>
      <c r="AL5088">
        <v>67.600978079709293</v>
      </c>
      <c r="AM5088">
        <v>94.032287913402001</v>
      </c>
      <c r="AN5088">
        <v>1.00000001670009</v>
      </c>
    </row>
    <row r="5089" spans="1:40" x14ac:dyDescent="0.25">
      <c r="A5089" t="str">
        <f>"20190304164950287"</f>
        <v>20190304164950287</v>
      </c>
      <c r="B5089" t="str">
        <f>"1551689390281414"</f>
        <v>1551689390281414</v>
      </c>
      <c r="C5089" t="s">
        <v>40</v>
      </c>
      <c r="D5089">
        <v>4.421691</v>
      </c>
      <c r="E5089">
        <v>0.55334099999999997</v>
      </c>
      <c r="F5089" t="s">
        <v>41</v>
      </c>
      <c r="G5089">
        <v>-318.7894</v>
      </c>
      <c r="H5089">
        <v>1.039104</v>
      </c>
      <c r="I5089">
        <v>141.87029999999999</v>
      </c>
      <c r="J5089">
        <v>-318.2559</v>
      </c>
      <c r="K5089">
        <v>1.110946</v>
      </c>
      <c r="L5089">
        <v>141.8459</v>
      </c>
      <c r="M5089">
        <v>-0.9998899</v>
      </c>
      <c r="N5089">
        <v>-1.478001E-2</v>
      </c>
      <c r="O5089">
        <v>1.429804E-3</v>
      </c>
      <c r="P5089">
        <v>-0.92773899999999998</v>
      </c>
      <c r="Q5089">
        <v>0.36775029999999997</v>
      </c>
      <c r="R5089">
        <v>-6.3720579999999999E-2</v>
      </c>
      <c r="S5089">
        <v>-3.370514</v>
      </c>
      <c r="T5089">
        <v>-0.32756669999999999</v>
      </c>
      <c r="U5089">
        <v>0.11154169999999999</v>
      </c>
      <c r="V5089">
        <v>-6.5032469999999995E-2</v>
      </c>
      <c r="W5089">
        <v>0.38142359999999997</v>
      </c>
      <c r="X5089">
        <v>0.92210999999999999</v>
      </c>
      <c r="Y5089">
        <v>3.1480099999999997E-2</v>
      </c>
      <c r="Z5089">
        <v>1.6415410000000001E-3</v>
      </c>
      <c r="AA5089">
        <v>0.99950300000000003</v>
      </c>
      <c r="AB5089">
        <v>36</v>
      </c>
      <c r="AC5089">
        <v>-0.53350000000000297</v>
      </c>
      <c r="AD5089">
        <v>-7.1841999999999906E-2</v>
      </c>
      <c r="AE5089">
        <v>2.43999999999857E-2</v>
      </c>
      <c r="AF5089">
        <v>2.3216959337230801E-2</v>
      </c>
      <c r="AG5089">
        <v>-7.1841999999999906E-2</v>
      </c>
      <c r="AH5089">
        <v>0.524051161520386</v>
      </c>
      <c r="AI5089">
        <v>97.798446053904499</v>
      </c>
      <c r="AJ5089">
        <v>87.463292513882195</v>
      </c>
      <c r="AK5089">
        <v>0.52946191558575095</v>
      </c>
      <c r="AL5089">
        <v>67.578108807301803</v>
      </c>
      <c r="AM5089">
        <v>94.034146398476096</v>
      </c>
      <c r="AN5089">
        <v>1.0000000184456299</v>
      </c>
    </row>
    <row r="5090" spans="1:40" x14ac:dyDescent="0.25">
      <c r="A5090" t="str">
        <f>"20190304164950300"</f>
        <v>20190304164950300</v>
      </c>
      <c r="B5090" t="str">
        <f>"1551689390291174"</f>
        <v>1551689390291174</v>
      </c>
      <c r="C5090" t="s">
        <v>40</v>
      </c>
      <c r="D5090">
        <v>4.5114460000000003</v>
      </c>
      <c r="E5090">
        <v>0.5382595</v>
      </c>
      <c r="F5090" t="s">
        <v>41</v>
      </c>
      <c r="G5090">
        <v>-319.10719999999998</v>
      </c>
      <c r="H5090">
        <v>1.0285799999999901</v>
      </c>
      <c r="I5090">
        <v>141.87450000000001</v>
      </c>
      <c r="J5090">
        <v>-318.48</v>
      </c>
      <c r="K5090">
        <v>1.1109500000000001</v>
      </c>
      <c r="L5090">
        <v>141.84620000000001</v>
      </c>
      <c r="M5090">
        <v>-0.99988980000000005</v>
      </c>
      <c r="N5090">
        <v>-1.477791E-2</v>
      </c>
      <c r="O5090">
        <v>1.4299989999999999E-3</v>
      </c>
      <c r="P5090">
        <v>-0.92766020000000005</v>
      </c>
      <c r="Q5090">
        <v>0.36796210000000001</v>
      </c>
      <c r="R5090">
        <v>-6.3645629999999995E-2</v>
      </c>
      <c r="S5090">
        <v>-3.3706670000000001</v>
      </c>
      <c r="T5090">
        <v>-0.32625850000000001</v>
      </c>
      <c r="U5090">
        <v>0.11174009999999999</v>
      </c>
      <c r="V5090">
        <v>-6.4957810000000005E-2</v>
      </c>
      <c r="W5090">
        <v>0.38163209999999997</v>
      </c>
      <c r="X5090">
        <v>0.92202899999999999</v>
      </c>
      <c r="Y5090">
        <v>3.1538089999999998E-2</v>
      </c>
      <c r="Z5090">
        <v>1.639136E-3</v>
      </c>
      <c r="AA5090">
        <v>0.99950119999999998</v>
      </c>
      <c r="AB5090">
        <v>36</v>
      </c>
      <c r="AC5090">
        <v>-0.62719999999995901</v>
      </c>
      <c r="AD5090">
        <v>-8.2370000000000193E-2</v>
      </c>
      <c r="AE5090">
        <v>2.8300000000001501E-2</v>
      </c>
      <c r="AF5090">
        <v>2.69392865766469E-2</v>
      </c>
      <c r="AG5090">
        <v>-8.2370000000000193E-2</v>
      </c>
      <c r="AH5090">
        <v>0.616626183378294</v>
      </c>
      <c r="AI5090">
        <v>97.601461163277705</v>
      </c>
      <c r="AJ5090">
        <v>87.498441391239894</v>
      </c>
      <c r="AK5090">
        <v>0.62268643159213</v>
      </c>
      <c r="AL5090">
        <v>67.565185248659205</v>
      </c>
      <c r="AM5090">
        <v>94.029883121424504</v>
      </c>
      <c r="AN5090">
        <v>1.0000000268357001</v>
      </c>
    </row>
    <row r="5091" spans="1:40" x14ac:dyDescent="0.25">
      <c r="A5091" t="str">
        <f>"20190304164950319"</f>
        <v>20190304164950319</v>
      </c>
      <c r="B5091" t="str">
        <f>"1551689390310694"</f>
        <v>1551689390310694</v>
      </c>
      <c r="C5091" t="s">
        <v>40</v>
      </c>
      <c r="D5091">
        <v>4.4029920000000002</v>
      </c>
      <c r="E5091">
        <v>0.52533369999999902</v>
      </c>
      <c r="F5091" t="s">
        <v>41</v>
      </c>
      <c r="G5091">
        <v>-319.42680000000001</v>
      </c>
      <c r="H5091">
        <v>1.019503</v>
      </c>
      <c r="I5091">
        <v>141.8442</v>
      </c>
      <c r="J5091">
        <v>-318.75490000000002</v>
      </c>
      <c r="K5091">
        <v>1.110959</v>
      </c>
      <c r="L5091">
        <v>141.8466</v>
      </c>
      <c r="M5091">
        <v>-0.99988980000000005</v>
      </c>
      <c r="N5091">
        <v>-1.477532E-2</v>
      </c>
      <c r="O5091">
        <v>1.4301989999999901E-3</v>
      </c>
      <c r="P5091">
        <v>-0.92725270000000004</v>
      </c>
      <c r="Q5091">
        <v>0.36895109999999998</v>
      </c>
      <c r="R5091">
        <v>-6.3859369999999999E-2</v>
      </c>
      <c r="S5091">
        <v>-3.362244</v>
      </c>
      <c r="T5091">
        <v>-0.32480039999999999</v>
      </c>
      <c r="U5091">
        <v>-7.6293949999999998E-3</v>
      </c>
      <c r="V5091">
        <v>-6.517059E-2</v>
      </c>
      <c r="W5091">
        <v>0.38261250000000002</v>
      </c>
      <c r="X5091">
        <v>0.92160759999999997</v>
      </c>
      <c r="Y5091">
        <v>-3.6749669999999999E-3</v>
      </c>
      <c r="Z5091">
        <v>-3.2106460000000002E-4</v>
      </c>
      <c r="AA5091">
        <v>0.99999320000000003</v>
      </c>
      <c r="AB5091">
        <v>36</v>
      </c>
      <c r="AC5091">
        <v>-0.67189999999999295</v>
      </c>
      <c r="AD5091">
        <v>-9.1455999999999898E-2</v>
      </c>
      <c r="AE5091">
        <v>-2.3999999999944001E-3</v>
      </c>
      <c r="AF5091">
        <v>-3.2999150219200301E-3</v>
      </c>
      <c r="AG5091">
        <v>-9.1455999999999898E-2</v>
      </c>
      <c r="AH5091">
        <v>0.65967397400821703</v>
      </c>
      <c r="AI5091">
        <v>97.892972073847702</v>
      </c>
      <c r="AJ5091">
        <v>90.286610710610205</v>
      </c>
      <c r="AK5091">
        <v>0.665991622589163</v>
      </c>
      <c r="AL5091">
        <v>67.504400085909296</v>
      </c>
      <c r="AM5091">
        <v>94.044882484749394</v>
      </c>
      <c r="AN5091">
        <v>1.0000000496674699</v>
      </c>
    </row>
    <row r="5092" spans="1:40" x14ac:dyDescent="0.25">
      <c r="A5092" t="str">
        <f>"20190304164950341"</f>
        <v>20190304164950341</v>
      </c>
      <c r="B5092" t="str">
        <f>"1551689390330721"</f>
        <v>1551689390330721</v>
      </c>
      <c r="C5092" t="s">
        <v>40</v>
      </c>
      <c r="D5092">
        <v>4.3933790000000004</v>
      </c>
      <c r="E5092">
        <v>0.52000079999999904</v>
      </c>
      <c r="F5092" t="s">
        <v>42</v>
      </c>
      <c r="G5092">
        <v>-332.16059999999999</v>
      </c>
      <c r="H5092" s="1">
        <v>-4.164052E-6</v>
      </c>
      <c r="I5092">
        <v>141.41220000000001</v>
      </c>
      <c r="J5092">
        <v>-319.11739999999998</v>
      </c>
      <c r="K5092">
        <v>1.1109579999999999</v>
      </c>
      <c r="L5092">
        <v>141.84710000000001</v>
      </c>
      <c r="M5092">
        <v>-0.99988999999999995</v>
      </c>
      <c r="N5092">
        <v>-1.4771919999999999E-2</v>
      </c>
      <c r="O5092">
        <v>1.433471E-3</v>
      </c>
      <c r="P5092">
        <v>-0.92696789999999996</v>
      </c>
      <c r="Q5092">
        <v>0.36965579999999998</v>
      </c>
      <c r="R5092">
        <v>-6.3916089999999995E-2</v>
      </c>
      <c r="S5092">
        <v>-3.3379819999999998</v>
      </c>
      <c r="T5092">
        <v>-0.2766267</v>
      </c>
      <c r="U5092">
        <v>-0.10815429999999999</v>
      </c>
      <c r="V5092">
        <v>-6.5228839999999996E-2</v>
      </c>
      <c r="W5092">
        <v>0.38330969999999998</v>
      </c>
      <c r="X5092">
        <v>0.92131359999999995</v>
      </c>
      <c r="Y5092">
        <v>-3.3677650000000003E-2</v>
      </c>
      <c r="Z5092">
        <v>-1.7394660000000001E-3</v>
      </c>
      <c r="AA5092">
        <v>0.99943130000000002</v>
      </c>
      <c r="AB5092">
        <v>36</v>
      </c>
      <c r="AC5092">
        <v>-13.043200000000001</v>
      </c>
      <c r="AD5092">
        <v>-1.110962164052</v>
      </c>
      <c r="AE5092">
        <v>-0.43489999999999801</v>
      </c>
      <c r="AF5092">
        <v>-0.45033514055731499</v>
      </c>
      <c r="AG5092">
        <v>-1.110962164052</v>
      </c>
      <c r="AH5092">
        <v>12.9487259836327</v>
      </c>
      <c r="AI5092">
        <v>94.900849915677099</v>
      </c>
      <c r="AJ5092">
        <v>91.991849050388495</v>
      </c>
      <c r="AK5092">
        <v>13.0040971723522</v>
      </c>
      <c r="AL5092">
        <v>67.461154153375603</v>
      </c>
      <c r="AM5092">
        <v>94.049773429803196</v>
      </c>
      <c r="AN5092">
        <v>0.99999993861339498</v>
      </c>
    </row>
    <row r="5093" spans="1:40" x14ac:dyDescent="0.25">
      <c r="A5093" t="str">
        <f>"20190304164950360"</f>
        <v>20190304164950360</v>
      </c>
      <c r="B5093" t="str">
        <f>"1551689390351222"</f>
        <v>1551689390351222</v>
      </c>
      <c r="C5093" t="s">
        <v>40</v>
      </c>
      <c r="D5093">
        <v>4.3884119999999998</v>
      </c>
      <c r="E5093">
        <v>0.51733249999999997</v>
      </c>
      <c r="F5093" t="s">
        <v>42</v>
      </c>
      <c r="G5093">
        <v>-333.19869999999997</v>
      </c>
      <c r="H5093" s="1">
        <v>-3.6204399999999999E-6</v>
      </c>
      <c r="I5093">
        <v>141.21350000000001</v>
      </c>
      <c r="J5093">
        <v>-319.4427</v>
      </c>
      <c r="K5093">
        <v>1.110951</v>
      </c>
      <c r="L5093">
        <v>141.8476</v>
      </c>
      <c r="M5093">
        <v>-0.99988999999999995</v>
      </c>
      <c r="N5093">
        <v>-1.4768750000000001E-2</v>
      </c>
      <c r="O5093">
        <v>1.4433429999999999E-3</v>
      </c>
      <c r="P5093">
        <v>-0.9269077</v>
      </c>
      <c r="Q5093">
        <v>0.3697414</v>
      </c>
      <c r="R5093">
        <v>-6.4291940000000006E-2</v>
      </c>
      <c r="S5093">
        <v>-3.3308110000000002</v>
      </c>
      <c r="T5093">
        <v>-0.26278829999999997</v>
      </c>
      <c r="U5093">
        <v>-0.149871799999999</v>
      </c>
      <c r="V5093">
        <v>-6.5609929999999997E-2</v>
      </c>
      <c r="W5093">
        <v>0.38339259999999997</v>
      </c>
      <c r="X5093">
        <v>0.92125210000000002</v>
      </c>
      <c r="Y5093">
        <v>-4.621886E-2</v>
      </c>
      <c r="Z5093">
        <v>-2.25398E-3</v>
      </c>
      <c r="AA5093">
        <v>0.99892879999999995</v>
      </c>
      <c r="AB5093">
        <v>36</v>
      </c>
      <c r="AC5093">
        <v>-13.755999999999901</v>
      </c>
      <c r="AD5093">
        <v>-1.11095462044</v>
      </c>
      <c r="AE5093">
        <v>-0.63409999999998901</v>
      </c>
      <c r="AF5093">
        <v>-0.64972732482338402</v>
      </c>
      <c r="AG5093">
        <v>-1.11095462044</v>
      </c>
      <c r="AH5093">
        <v>13.6661232434131</v>
      </c>
      <c r="AI5093">
        <v>94.642282295538195</v>
      </c>
      <c r="AJ5093">
        <v>92.721958723701604</v>
      </c>
      <c r="AK5093">
        <v>13.7265906280276</v>
      </c>
      <c r="AL5093">
        <v>67.456012670619501</v>
      </c>
      <c r="AM5093">
        <v>94.073625237860398</v>
      </c>
      <c r="AN5093">
        <v>0.99999999020188701</v>
      </c>
    </row>
    <row r="5094" spans="1:40" x14ac:dyDescent="0.25">
      <c r="A5094" t="str">
        <f>"20190304164950374"</f>
        <v>20190304164950374</v>
      </c>
      <c r="B5094" t="str">
        <f>"1551689390371092"</f>
        <v>1551689390371092</v>
      </c>
      <c r="C5094" t="s">
        <v>40</v>
      </c>
      <c r="D5094">
        <v>4.4036799999999996</v>
      </c>
      <c r="E5094">
        <v>0.51605389999999995</v>
      </c>
      <c r="F5094" t="s">
        <v>42</v>
      </c>
      <c r="G5094">
        <v>-333.76080000000002</v>
      </c>
      <c r="H5094" s="1">
        <v>-3.32692E-6</v>
      </c>
      <c r="I5094">
        <v>141.1088</v>
      </c>
      <c r="J5094">
        <v>-319.66359999999997</v>
      </c>
      <c r="K5094">
        <v>1.1109500000000001</v>
      </c>
      <c r="L5094">
        <v>141.84790000000001</v>
      </c>
      <c r="M5094">
        <v>-0.99988999999999995</v>
      </c>
      <c r="N5094">
        <v>-1.476656E-2</v>
      </c>
      <c r="O5094">
        <v>1.4541650000000001E-3</v>
      </c>
      <c r="P5094">
        <v>-0.9269018</v>
      </c>
      <c r="Q5094">
        <v>0.36972569999999999</v>
      </c>
      <c r="R5094">
        <v>-6.4469589999999993E-2</v>
      </c>
      <c r="S5094">
        <v>-3.3276669999999999</v>
      </c>
      <c r="T5094">
        <v>-0.2581966</v>
      </c>
      <c r="U5094">
        <v>-0.17169189999999901</v>
      </c>
      <c r="V5094">
        <v>-6.5793160000000003E-2</v>
      </c>
      <c r="W5094">
        <v>0.38337539999999998</v>
      </c>
      <c r="X5094">
        <v>0.92124620000000002</v>
      </c>
      <c r="Y5094">
        <v>-5.2787699999999903E-2</v>
      </c>
      <c r="Z5094">
        <v>-2.5253710000000002E-3</v>
      </c>
      <c r="AA5094">
        <v>0.99860260000000001</v>
      </c>
      <c r="AB5094">
        <v>36</v>
      </c>
      <c r="AC5094">
        <v>-14.097200000000001</v>
      </c>
      <c r="AD5094">
        <v>-1.11095332692</v>
      </c>
      <c r="AE5094">
        <v>-0.73910000000000697</v>
      </c>
      <c r="AF5094">
        <v>-0.754925501286967</v>
      </c>
      <c r="AG5094">
        <v>-1.11095332692</v>
      </c>
      <c r="AH5094">
        <v>14.0093438061478</v>
      </c>
      <c r="AI5094">
        <v>94.527575762085405</v>
      </c>
      <c r="AJ5094">
        <v>93.084530643433396</v>
      </c>
      <c r="AK5094">
        <v>14.0735867384949</v>
      </c>
      <c r="AL5094">
        <v>67.457079902146504</v>
      </c>
      <c r="AM5094">
        <v>94.084989335841698</v>
      </c>
      <c r="AN5094">
        <v>0.99999999912119197</v>
      </c>
    </row>
    <row r="5095" spans="1:40" x14ac:dyDescent="0.25">
      <c r="A5095" t="str">
        <f>"20190304164950387"</f>
        <v>20190304164950387</v>
      </c>
      <c r="B5095" t="str">
        <f>"1551689390380853"</f>
        <v>1551689390380853</v>
      </c>
      <c r="C5095" t="s">
        <v>40</v>
      </c>
      <c r="D5095">
        <v>4.6976180000000003</v>
      </c>
      <c r="E5095">
        <v>0.51564259999999995</v>
      </c>
      <c r="F5095" t="s">
        <v>42</v>
      </c>
      <c r="G5095">
        <v>-334.06580000000002</v>
      </c>
      <c r="H5095" s="1">
        <v>-3.1693330000000002E-6</v>
      </c>
      <c r="I5095">
        <v>141.05850000000001</v>
      </c>
      <c r="J5095">
        <v>-319.8673</v>
      </c>
      <c r="K5095">
        <v>1.1109450000000001</v>
      </c>
      <c r="L5095">
        <v>141.84819999999999</v>
      </c>
      <c r="M5095">
        <v>-0.9998901</v>
      </c>
      <c r="N5095">
        <v>-1.476447E-2</v>
      </c>
      <c r="O5095">
        <v>1.4715150000000001E-3</v>
      </c>
      <c r="P5095">
        <v>-0.92680130000000005</v>
      </c>
      <c r="Q5095">
        <v>0.36995339999999999</v>
      </c>
      <c r="R5095">
        <v>-6.4609260000000002E-2</v>
      </c>
      <c r="S5095">
        <v>-3.3262629999999902</v>
      </c>
      <c r="T5095">
        <v>-0.25658019999999998</v>
      </c>
      <c r="U5095">
        <v>-0.1823273</v>
      </c>
      <c r="V5095">
        <v>-6.5942870000000001E-2</v>
      </c>
      <c r="W5095">
        <v>0.38360040000000001</v>
      </c>
      <c r="X5095">
        <v>0.92114180000000001</v>
      </c>
      <c r="Y5095">
        <v>-5.6001040000000002E-2</v>
      </c>
      <c r="Z5095">
        <v>-2.6611289999999999E-3</v>
      </c>
      <c r="AA5095">
        <v>0.99842719999999896</v>
      </c>
      <c r="AB5095">
        <v>36</v>
      </c>
      <c r="AC5095">
        <v>-14.198499999999999</v>
      </c>
      <c r="AD5095">
        <v>-1.1109481693329999</v>
      </c>
      <c r="AE5095">
        <v>-0.78969999999998197</v>
      </c>
      <c r="AF5095">
        <v>-0.80567747194833705</v>
      </c>
      <c r="AG5095">
        <v>-1.1109481693329999</v>
      </c>
      <c r="AH5095">
        <v>14.111198247687399</v>
      </c>
      <c r="AI5095">
        <v>94.494215122029502</v>
      </c>
      <c r="AJ5095">
        <v>93.267749194204498</v>
      </c>
      <c r="AK5095">
        <v>14.177772674481799</v>
      </c>
      <c r="AL5095">
        <v>67.4431205104529</v>
      </c>
      <c r="AM5095">
        <v>94.094715463828507</v>
      </c>
      <c r="AN5095">
        <v>0.99999997234561799</v>
      </c>
    </row>
    <row r="5096" spans="1:40" x14ac:dyDescent="0.25">
      <c r="A5096" t="str">
        <f>"20190304164950400"</f>
        <v>20190304164950400</v>
      </c>
      <c r="B5096" t="str">
        <f>"1551689390390613"</f>
        <v>1551689390390613</v>
      </c>
      <c r="C5096" t="s">
        <v>40</v>
      </c>
      <c r="D5096">
        <v>4.3830549999999997</v>
      </c>
      <c r="E5096">
        <v>0.51525149999999997</v>
      </c>
      <c r="F5096" t="s">
        <v>42</v>
      </c>
      <c r="G5096">
        <v>-334.40019999999998</v>
      </c>
      <c r="H5096" s="1">
        <v>-3.0046910000000002E-6</v>
      </c>
      <c r="I5096">
        <v>141.03389999999999</v>
      </c>
      <c r="J5096">
        <v>-320.07319999999999</v>
      </c>
      <c r="K5096">
        <v>1.1109389999999999</v>
      </c>
      <c r="L5096">
        <v>141.8485</v>
      </c>
      <c r="M5096">
        <v>-0.9998899</v>
      </c>
      <c r="N5096">
        <v>-1.476235E-2</v>
      </c>
      <c r="O5096">
        <v>1.4949129999999901E-3</v>
      </c>
      <c r="P5096">
        <v>-0.92681910000000001</v>
      </c>
      <c r="Q5096">
        <v>0.36986049999999998</v>
      </c>
      <c r="R5096">
        <v>-6.4880679999999996E-2</v>
      </c>
      <c r="S5096">
        <v>-3.3253780000000002</v>
      </c>
      <c r="T5096">
        <v>-0.25420320000000002</v>
      </c>
      <c r="U5096">
        <v>-0.18634029999999999</v>
      </c>
      <c r="V5096">
        <v>-6.6229410000000002E-2</v>
      </c>
      <c r="W5096">
        <v>0.38350709999999999</v>
      </c>
      <c r="X5096">
        <v>0.92116010000000004</v>
      </c>
      <c r="Y5096">
        <v>-5.7239089999999999E-2</v>
      </c>
      <c r="Z5096">
        <v>-2.6984579999999999E-3</v>
      </c>
      <c r="AA5096">
        <v>0.99835689999999999</v>
      </c>
      <c r="AB5096">
        <v>36</v>
      </c>
      <c r="AC5096">
        <v>-14.3269999999999</v>
      </c>
      <c r="AD5096">
        <v>-1.1109420046909999</v>
      </c>
      <c r="AE5096">
        <v>-0.81460000000001198</v>
      </c>
      <c r="AF5096">
        <v>-0.83103832873019801</v>
      </c>
      <c r="AG5096">
        <v>-1.1109420046909999</v>
      </c>
      <c r="AH5096">
        <v>14.2404181136268</v>
      </c>
      <c r="AI5096">
        <v>94.4532518199089</v>
      </c>
      <c r="AJ5096">
        <v>93.339863039495796</v>
      </c>
      <c r="AK5096">
        <v>14.307841377808099</v>
      </c>
      <c r="AL5096">
        <v>67.448909098248507</v>
      </c>
      <c r="AM5096">
        <v>94.112365801131702</v>
      </c>
      <c r="AN5096">
        <v>0.99999998016568303</v>
      </c>
    </row>
    <row r="5097" spans="1:40" x14ac:dyDescent="0.25">
      <c r="A5097" t="str">
        <f>"20190304164950417"</f>
        <v>20190304164950417</v>
      </c>
      <c r="B5097" t="str">
        <f>"1551689390411111"</f>
        <v>1551689390411111</v>
      </c>
      <c r="C5097" t="s">
        <v>40</v>
      </c>
      <c r="D5097">
        <v>4.3839100000000002</v>
      </c>
      <c r="E5097">
        <v>0.51465260000000002</v>
      </c>
      <c r="F5097" t="s">
        <v>42</v>
      </c>
      <c r="G5097">
        <v>-334.6234</v>
      </c>
      <c r="H5097" s="1">
        <v>-2.89398E-6</v>
      </c>
      <c r="I5097">
        <v>141.01419999999999</v>
      </c>
      <c r="J5097">
        <v>-320.36500000000001</v>
      </c>
      <c r="K5097">
        <v>1.1109290000000001</v>
      </c>
      <c r="L5097">
        <v>141.84899999999999</v>
      </c>
      <c r="M5097">
        <v>-0.99988999999999995</v>
      </c>
      <c r="N5097">
        <v>-1.4759329999999999E-2</v>
      </c>
      <c r="O5097">
        <v>1.542702E-3</v>
      </c>
      <c r="P5097">
        <v>-0.92689160000000004</v>
      </c>
      <c r="Q5097">
        <v>0.36953330000000001</v>
      </c>
      <c r="R5097">
        <v>-6.5707089999999996E-2</v>
      </c>
      <c r="S5097">
        <v>-3.3248600000000001</v>
      </c>
      <c r="T5097">
        <v>-0.25386170000000002</v>
      </c>
      <c r="U5097">
        <v>-0.19065860000000001</v>
      </c>
      <c r="V5097">
        <v>-6.7086060000000003E-2</v>
      </c>
      <c r="W5097">
        <v>0.38318069999999999</v>
      </c>
      <c r="X5097">
        <v>0.921234</v>
      </c>
      <c r="Y5097">
        <v>-5.8583660000000003E-2</v>
      </c>
      <c r="Z5097">
        <v>-2.759685E-3</v>
      </c>
      <c r="AA5097">
        <v>0.99827869999999996</v>
      </c>
      <c r="AB5097">
        <v>36</v>
      </c>
      <c r="AC5097">
        <v>-14.2583999999999</v>
      </c>
      <c r="AD5097">
        <v>-1.1109318939799999</v>
      </c>
      <c r="AE5097">
        <v>-0.83480000000000099</v>
      </c>
      <c r="AF5097">
        <v>-0.851645504841259</v>
      </c>
      <c r="AG5097">
        <v>-1.1109318939799999</v>
      </c>
      <c r="AH5097">
        <v>14.1713599421778</v>
      </c>
      <c r="AI5097">
        <v>94.474367121443606</v>
      </c>
      <c r="AJ5097">
        <v>93.439124925057399</v>
      </c>
      <c r="AK5097">
        <v>14.2403269748183</v>
      </c>
      <c r="AL5097">
        <v>67.469158603804502</v>
      </c>
      <c r="AM5097">
        <v>94.1650385534533</v>
      </c>
      <c r="AN5097">
        <v>1.0000000355273999</v>
      </c>
    </row>
    <row r="5098" spans="1:40" x14ac:dyDescent="0.25">
      <c r="A5098" t="str">
        <f>"20190304164950433"</f>
        <v>20190304164950433</v>
      </c>
      <c r="B5098" t="str">
        <f>"1551689390420868"</f>
        <v>1551689390420868</v>
      </c>
      <c r="C5098" t="s">
        <v>40</v>
      </c>
      <c r="D5098">
        <v>4.3793199999999999</v>
      </c>
      <c r="E5098">
        <v>0.51444120000000004</v>
      </c>
      <c r="F5098" t="s">
        <v>42</v>
      </c>
      <c r="G5098">
        <v>-334.86130000000003</v>
      </c>
      <c r="H5098" s="1">
        <v>-2.773301E-6</v>
      </c>
      <c r="I5098">
        <v>140.98339999999999</v>
      </c>
      <c r="J5098">
        <v>-320.60309999999998</v>
      </c>
      <c r="K5098">
        <v>1.110914</v>
      </c>
      <c r="L5098">
        <v>141.8494</v>
      </c>
      <c r="M5098">
        <v>-0.9998899</v>
      </c>
      <c r="N5098">
        <v>-1.475686E-2</v>
      </c>
      <c r="O5098">
        <v>1.5962000000000001E-3</v>
      </c>
      <c r="P5098">
        <v>-0.92693020000000004</v>
      </c>
      <c r="Q5098">
        <v>0.36939480000000002</v>
      </c>
      <c r="R5098">
        <v>-6.5941120000000006E-2</v>
      </c>
      <c r="S5098">
        <v>-3.3241269999999998</v>
      </c>
      <c r="T5098">
        <v>-0.25474609999999998</v>
      </c>
      <c r="U5098">
        <v>-0.1985016</v>
      </c>
      <c r="V5098">
        <v>-6.7356440000000004E-2</v>
      </c>
      <c r="W5098">
        <v>0.38304329999999998</v>
      </c>
      <c r="X5098">
        <v>0.92127139999999996</v>
      </c>
      <c r="Y5098">
        <v>-6.098692E-2</v>
      </c>
      <c r="Z5098">
        <v>-2.8811209999999999E-3</v>
      </c>
      <c r="AA5098">
        <v>0.99813439999999998</v>
      </c>
      <c r="AB5098">
        <v>36</v>
      </c>
      <c r="AC5098">
        <v>-14.2582</v>
      </c>
      <c r="AD5098">
        <v>-1.1109167733009999</v>
      </c>
      <c r="AE5098">
        <v>-0.86600000000001298</v>
      </c>
      <c r="AF5098">
        <v>-0.88341712629577596</v>
      </c>
      <c r="AG5098">
        <v>-1.1109167733009999</v>
      </c>
      <c r="AH5098">
        <v>14.1710881504714</v>
      </c>
      <c r="AI5098">
        <v>94.473782327930806</v>
      </c>
      <c r="AJ5098">
        <v>93.567168359947203</v>
      </c>
      <c r="AK5098">
        <v>14.241990776034999</v>
      </c>
      <c r="AL5098">
        <v>67.477681085226294</v>
      </c>
      <c r="AM5098">
        <v>94.181596505666207</v>
      </c>
      <c r="AN5098">
        <v>1.0000000260711599</v>
      </c>
    </row>
    <row r="5099" spans="1:40" x14ac:dyDescent="0.25">
      <c r="A5099" t="str">
        <f>"20190304164950446"</f>
        <v>20190304164950446</v>
      </c>
      <c r="B5099" t="str">
        <f>"1551689390440388"</f>
        <v>1551689390440388</v>
      </c>
      <c r="C5099" t="s">
        <v>40</v>
      </c>
      <c r="D5099">
        <v>4.977284</v>
      </c>
      <c r="E5099">
        <v>0.51398429999999995</v>
      </c>
      <c r="F5099" t="s">
        <v>42</v>
      </c>
      <c r="G5099">
        <v>-335.1044</v>
      </c>
      <c r="H5099" s="1">
        <v>-2.655223E-6</v>
      </c>
      <c r="I5099">
        <v>140.97149999999999</v>
      </c>
      <c r="J5099">
        <v>-320.81130000000002</v>
      </c>
      <c r="K5099">
        <v>1.1108960000000001</v>
      </c>
      <c r="L5099">
        <v>141.84979999999999</v>
      </c>
      <c r="M5099">
        <v>-0.99988980000000005</v>
      </c>
      <c r="N5099">
        <v>-1.4754690000000001E-2</v>
      </c>
      <c r="O5099">
        <v>1.654207E-3</v>
      </c>
      <c r="P5099">
        <v>-0.92693000000000003</v>
      </c>
      <c r="Q5099">
        <v>0.36936999999999998</v>
      </c>
      <c r="R5099">
        <v>-6.6083740000000002E-2</v>
      </c>
      <c r="S5099">
        <v>-3.3236080000000001</v>
      </c>
      <c r="T5099">
        <v>-0.25461489999999998</v>
      </c>
      <c r="U5099">
        <v>-0.2012177</v>
      </c>
      <c r="V5099">
        <v>-6.7539929999999998E-2</v>
      </c>
      <c r="W5099">
        <v>0.38301829999999998</v>
      </c>
      <c r="X5099">
        <v>0.92126830000000004</v>
      </c>
      <c r="Y5099">
        <v>-6.1863809999999998E-2</v>
      </c>
      <c r="Z5099">
        <v>-2.9237059999999999E-3</v>
      </c>
      <c r="AA5099">
        <v>0.99808030000000003</v>
      </c>
      <c r="AB5099">
        <v>36</v>
      </c>
      <c r="AC5099">
        <v>-14.2930999999999</v>
      </c>
      <c r="AD5099">
        <v>-1.11089865522299</v>
      </c>
      <c r="AE5099">
        <v>-0.87829999999999497</v>
      </c>
      <c r="AF5099">
        <v>-0.89654959487178798</v>
      </c>
      <c r="AG5099">
        <v>-1.11089865522299</v>
      </c>
      <c r="AH5099">
        <v>14.2061334978136</v>
      </c>
      <c r="AI5099">
        <v>94.4625040282491</v>
      </c>
      <c r="AJ5099">
        <v>93.611149528311003</v>
      </c>
      <c r="AK5099">
        <v>14.2776792916756</v>
      </c>
      <c r="AL5099">
        <v>67.479230417607894</v>
      </c>
      <c r="AM5099">
        <v>94.192961347734496</v>
      </c>
      <c r="AN5099">
        <v>0.99999997043209199</v>
      </c>
    </row>
    <row r="5100" spans="1:40" x14ac:dyDescent="0.25">
      <c r="A5100" t="str">
        <f>"20190304164950461"</f>
        <v>20190304164950461</v>
      </c>
      <c r="B5100" t="str">
        <f>"1551689390451124"</f>
        <v>1551689390451124</v>
      </c>
      <c r="C5100" t="s">
        <v>40</v>
      </c>
      <c r="D5100">
        <v>4.9526309999999896</v>
      </c>
      <c r="E5100">
        <v>0.51383120000000004</v>
      </c>
      <c r="F5100" t="s">
        <v>42</v>
      </c>
      <c r="G5100">
        <v>-335.24149999999997</v>
      </c>
      <c r="H5100" s="1">
        <v>-2.5863410000000002E-6</v>
      </c>
      <c r="I5100">
        <v>140.95609999999999</v>
      </c>
      <c r="J5100">
        <v>-321.06099999999998</v>
      </c>
      <c r="K5100">
        <v>1.1108769999999999</v>
      </c>
      <c r="L5100">
        <v>141.8503</v>
      </c>
      <c r="M5100">
        <v>-0.99988969999999999</v>
      </c>
      <c r="N5100">
        <v>-1.4752080000000001E-2</v>
      </c>
      <c r="O5100">
        <v>1.733844E-3</v>
      </c>
      <c r="P5100">
        <v>-0.92695399999999994</v>
      </c>
      <c r="Q5100">
        <v>0.36930229999999997</v>
      </c>
      <c r="R5100">
        <v>-6.6123340000000003E-2</v>
      </c>
      <c r="S5100">
        <v>-3.3237610000000002</v>
      </c>
      <c r="T5100">
        <v>-0.2558782</v>
      </c>
      <c r="U5100">
        <v>-0.2058411</v>
      </c>
      <c r="V5100">
        <v>-6.7638610000000002E-2</v>
      </c>
      <c r="W5100">
        <v>0.38295129999999999</v>
      </c>
      <c r="X5100">
        <v>0.92128900000000002</v>
      </c>
      <c r="Y5100">
        <v>-6.3316399999999995E-2</v>
      </c>
      <c r="Z5100">
        <v>-3.0072219999999999E-3</v>
      </c>
      <c r="AA5100">
        <v>0.99798900000000001</v>
      </c>
      <c r="AB5100">
        <v>36</v>
      </c>
      <c r="AC5100">
        <v>-14.180499999999901</v>
      </c>
      <c r="AD5100">
        <v>-1.1108795863409999</v>
      </c>
      <c r="AE5100">
        <v>-0.89420000000001199</v>
      </c>
      <c r="AF5100">
        <v>-0.91320602435311704</v>
      </c>
      <c r="AG5100">
        <v>-1.1108795863409999</v>
      </c>
      <c r="AH5100">
        <v>14.0927842741383</v>
      </c>
      <c r="AI5100">
        <v>94.497690589368105</v>
      </c>
      <c r="AJ5100">
        <v>93.707556983538197</v>
      </c>
      <c r="AK5100">
        <v>14.165965102867601</v>
      </c>
      <c r="AL5100">
        <v>67.483387990151897</v>
      </c>
      <c r="AM5100">
        <v>94.198971616734795</v>
      </c>
      <c r="AN5100">
        <v>1.0000000506277</v>
      </c>
    </row>
    <row r="5101" spans="1:40" x14ac:dyDescent="0.25">
      <c r="A5101" t="str">
        <f>"20190304164950477"</f>
        <v>20190304164950477</v>
      </c>
      <c r="B5101" t="str">
        <f>"1551689390470646"</f>
        <v>1551689390470646</v>
      </c>
      <c r="C5101" t="s">
        <v>40</v>
      </c>
      <c r="D5101">
        <v>4.4375850000000003</v>
      </c>
      <c r="E5101">
        <v>0.51356409999999997</v>
      </c>
      <c r="F5101" t="s">
        <v>42</v>
      </c>
      <c r="G5101">
        <v>-335.4984</v>
      </c>
      <c r="H5101" s="1">
        <v>-2.4615500000000002E-6</v>
      </c>
      <c r="I5101">
        <v>140.9436</v>
      </c>
      <c r="J5101">
        <v>-321.3014</v>
      </c>
      <c r="K5101">
        <v>1.1108610000000001</v>
      </c>
      <c r="L5101">
        <v>141.85079999999999</v>
      </c>
      <c r="M5101">
        <v>-0.99988969999999999</v>
      </c>
      <c r="N5101">
        <v>-1.474956E-2</v>
      </c>
      <c r="O5101">
        <v>1.8220490000000001E-3</v>
      </c>
      <c r="P5101">
        <v>-0.92682319999999996</v>
      </c>
      <c r="Q5101">
        <v>0.36966139999999997</v>
      </c>
      <c r="R5101">
        <v>-6.5950809999999999E-2</v>
      </c>
      <c r="S5101">
        <v>-3.3233950000000001</v>
      </c>
      <c r="T5101">
        <v>-0.25571690000000002</v>
      </c>
      <c r="U5101">
        <v>-0.2087097</v>
      </c>
      <c r="V5101">
        <v>-6.7533339999999997E-2</v>
      </c>
      <c r="W5101">
        <v>0.3833085</v>
      </c>
      <c r="X5101">
        <v>0.92114810000000003</v>
      </c>
      <c r="Y5101">
        <v>-6.4266019999999993E-2</v>
      </c>
      <c r="Z5101">
        <v>-3.0546990000000001E-3</v>
      </c>
      <c r="AA5101">
        <v>0.99792809999999998</v>
      </c>
      <c r="AB5101">
        <v>36</v>
      </c>
      <c r="AC5101">
        <v>-14.196999999999999</v>
      </c>
      <c r="AD5101">
        <v>-1.1108634615499999</v>
      </c>
      <c r="AE5101">
        <v>-0.90719999999998802</v>
      </c>
      <c r="AF5101">
        <v>-0.92741394102853303</v>
      </c>
      <c r="AG5101">
        <v>-1.1108634615499999</v>
      </c>
      <c r="AH5101">
        <v>14.1092905716981</v>
      </c>
      <c r="AI5101">
        <v>94.4921146619197</v>
      </c>
      <c r="AJ5101">
        <v>93.760683478601607</v>
      </c>
      <c r="AK5101">
        <v>14.1833069023</v>
      </c>
      <c r="AL5101">
        <v>67.461229819739202</v>
      </c>
      <c r="AM5101">
        <v>94.193098823739604</v>
      </c>
      <c r="AN5101">
        <v>0.999999990158707</v>
      </c>
    </row>
    <row r="5102" spans="1:40" x14ac:dyDescent="0.25">
      <c r="A5102" t="str">
        <f>"20190304164950489"</f>
        <v>20190304164950489</v>
      </c>
      <c r="B5102" t="str">
        <f>"1551689390481381"</f>
        <v>1551689390481381</v>
      </c>
      <c r="C5102" t="s">
        <v>40</v>
      </c>
      <c r="D5102">
        <v>4.4123109999999999</v>
      </c>
      <c r="E5102">
        <v>0.51345470000000004</v>
      </c>
      <c r="F5102" t="s">
        <v>42</v>
      </c>
      <c r="G5102">
        <v>-335.84210000000002</v>
      </c>
      <c r="H5102" s="1">
        <v>-2.295375E-6</v>
      </c>
      <c r="I5102">
        <v>140.9297</v>
      </c>
      <c r="J5102">
        <v>-321.50869999999998</v>
      </c>
      <c r="K5102">
        <v>1.1108480000000001</v>
      </c>
      <c r="L5102">
        <v>141.85120000000001</v>
      </c>
      <c r="M5102">
        <v>-0.99988960000000005</v>
      </c>
      <c r="N5102">
        <v>-1.4747400000000001E-2</v>
      </c>
      <c r="O5102">
        <v>1.909715E-3</v>
      </c>
      <c r="P5102">
        <v>-0.92664679999999999</v>
      </c>
      <c r="Q5102">
        <v>0.37014720000000001</v>
      </c>
      <c r="R5102">
        <v>-6.5705379999999994E-2</v>
      </c>
      <c r="S5102">
        <v>-3.3231510000000002</v>
      </c>
      <c r="T5102">
        <v>-0.25387729999999997</v>
      </c>
      <c r="U5102">
        <v>-0.21051030000000001</v>
      </c>
      <c r="V5102">
        <v>-6.7356620000000006E-2</v>
      </c>
      <c r="W5102">
        <v>0.38379160000000001</v>
      </c>
      <c r="X5102">
        <v>0.92095990000000005</v>
      </c>
      <c r="Y5102">
        <v>-6.4897289999999996E-2</v>
      </c>
      <c r="Z5102">
        <v>-3.070194E-3</v>
      </c>
      <c r="AA5102">
        <v>0.99788730000000003</v>
      </c>
      <c r="AB5102">
        <v>36</v>
      </c>
      <c r="AC5102">
        <v>-14.333399999999999</v>
      </c>
      <c r="AD5102">
        <v>-1.1108502953749999</v>
      </c>
      <c r="AE5102">
        <v>-0.92150000000000798</v>
      </c>
      <c r="AF5102">
        <v>-0.94323191379370497</v>
      </c>
      <c r="AG5102">
        <v>-1.1108502953749999</v>
      </c>
      <c r="AH5102">
        <v>14.2463968492084</v>
      </c>
      <c r="AI5102">
        <v>94.448865728332507</v>
      </c>
      <c r="AJ5102">
        <v>93.787936569221799</v>
      </c>
      <c r="AK5102">
        <v>14.320736643310999</v>
      </c>
      <c r="AL5102">
        <v>67.431258741660201</v>
      </c>
      <c r="AM5102">
        <v>94.183016983240094</v>
      </c>
      <c r="AN5102">
        <v>1.0000000219481899</v>
      </c>
    </row>
    <row r="5103" spans="1:40" x14ac:dyDescent="0.25">
      <c r="A5103" t="str">
        <f>"20190304164950502"</f>
        <v>20190304164950502</v>
      </c>
      <c r="B5103" t="str">
        <f>"1551689390491141"</f>
        <v>1551689390491141</v>
      </c>
      <c r="C5103" t="s">
        <v>40</v>
      </c>
      <c r="D5103">
        <v>4.4284489999999996</v>
      </c>
      <c r="E5103">
        <v>0.51339290000000004</v>
      </c>
      <c r="F5103" t="s">
        <v>42</v>
      </c>
      <c r="G5103">
        <v>-336.14690000000002</v>
      </c>
      <c r="H5103" s="1">
        <v>-2.1495189999999998E-6</v>
      </c>
      <c r="I5103">
        <v>140.923</v>
      </c>
      <c r="J5103">
        <v>-321.71460000000002</v>
      </c>
      <c r="K5103">
        <v>1.11084</v>
      </c>
      <c r="L5103">
        <v>141.85169999999999</v>
      </c>
      <c r="M5103">
        <v>-0.99988940000000004</v>
      </c>
      <c r="N5103">
        <v>-1.474524E-2</v>
      </c>
      <c r="O5103">
        <v>2.0023670000000001E-3</v>
      </c>
      <c r="P5103">
        <v>-0.92650350000000004</v>
      </c>
      <c r="Q5103">
        <v>0.37057210000000002</v>
      </c>
      <c r="R5103">
        <v>-6.5327960000000004E-2</v>
      </c>
      <c r="S5103">
        <v>-3.3232729999999999</v>
      </c>
      <c r="T5103">
        <v>-0.25219249999999999</v>
      </c>
      <c r="U5103">
        <v>-0.21073910000000001</v>
      </c>
      <c r="V5103">
        <v>-6.7054459999999996E-2</v>
      </c>
      <c r="W5103">
        <v>0.38421379999999999</v>
      </c>
      <c r="X5103">
        <v>0.92080589999999995</v>
      </c>
      <c r="Y5103">
        <v>-6.5057989999999996E-2</v>
      </c>
      <c r="Z5103">
        <v>-3.065613E-3</v>
      </c>
      <c r="AA5103">
        <v>0.99787680000000001</v>
      </c>
      <c r="AB5103">
        <v>36</v>
      </c>
      <c r="AC5103">
        <v>-14.4322999999999</v>
      </c>
      <c r="AD5103">
        <v>-1.110842149519</v>
      </c>
      <c r="AE5103">
        <v>-0.92869999999999198</v>
      </c>
      <c r="AF5103">
        <v>-0.95198350313761304</v>
      </c>
      <c r="AG5103">
        <v>-1.110842149519</v>
      </c>
      <c r="AH5103">
        <v>14.3457737294976</v>
      </c>
      <c r="AI5103">
        <v>94.418093492286005</v>
      </c>
      <c r="AJ5103">
        <v>93.796573401510798</v>
      </c>
      <c r="AK5103">
        <v>14.420175684413101</v>
      </c>
      <c r="AL5103">
        <v>67.405059921184403</v>
      </c>
      <c r="AM5103">
        <v>94.165012252817704</v>
      </c>
      <c r="AN5103">
        <v>1.0000000250955701</v>
      </c>
    </row>
    <row r="5104" spans="1:40" x14ac:dyDescent="0.25">
      <c r="A5104" t="str">
        <f>"20190304164950520"</f>
        <v>20190304164950520</v>
      </c>
      <c r="B5104" t="str">
        <f>"1551689390510660"</f>
        <v>1551689390510660</v>
      </c>
      <c r="C5104" t="s">
        <v>40</v>
      </c>
      <c r="D5104">
        <v>4.4266489999999896</v>
      </c>
      <c r="E5104">
        <v>0.51320089999999996</v>
      </c>
      <c r="F5104" t="s">
        <v>42</v>
      </c>
      <c r="G5104">
        <v>-336.46210000000002</v>
      </c>
      <c r="H5104" s="1">
        <v>-1.9991949999999999E-6</v>
      </c>
      <c r="I5104">
        <v>140.9179</v>
      </c>
      <c r="J5104">
        <v>-322.00020000000001</v>
      </c>
      <c r="K5104">
        <v>1.110835</v>
      </c>
      <c r="L5104">
        <v>141.85239999999999</v>
      </c>
      <c r="M5104">
        <v>-0.99988909999999998</v>
      </c>
      <c r="N5104">
        <v>-1.474221E-2</v>
      </c>
      <c r="O5104">
        <v>2.1395260000000001E-3</v>
      </c>
      <c r="P5104">
        <v>-0.92616670000000001</v>
      </c>
      <c r="Q5104">
        <v>0.37156830000000002</v>
      </c>
      <c r="R5104">
        <v>-6.4441440000000003E-2</v>
      </c>
      <c r="S5104">
        <v>-3.3232729999999999</v>
      </c>
      <c r="T5104">
        <v>-0.25032369999999998</v>
      </c>
      <c r="U5104">
        <v>-0.21043400000000001</v>
      </c>
      <c r="V5104">
        <v>-6.6281439999999997E-2</v>
      </c>
      <c r="W5104">
        <v>0.38520409999999999</v>
      </c>
      <c r="X5104">
        <v>0.92044800000000004</v>
      </c>
      <c r="Y5104">
        <v>-6.5106299999999895E-2</v>
      </c>
      <c r="Z5104">
        <v>-3.0566590000000002E-3</v>
      </c>
      <c r="AA5104">
        <v>0.99787369999999997</v>
      </c>
      <c r="AB5104">
        <v>36</v>
      </c>
      <c r="AC5104">
        <v>-14.4619</v>
      </c>
      <c r="AD5104">
        <v>-1.110836999195</v>
      </c>
      <c r="AE5104">
        <v>-0.93449999999998501</v>
      </c>
      <c r="AF5104">
        <v>-0.95980356507063702</v>
      </c>
      <c r="AG5104">
        <v>-1.110836999195</v>
      </c>
      <c r="AH5104">
        <v>14.3754054657075</v>
      </c>
      <c r="AI5104">
        <v>94.408883641653802</v>
      </c>
      <c r="AJ5104">
        <v>93.819801481654693</v>
      </c>
      <c r="AK5104">
        <v>14.4501717645776</v>
      </c>
      <c r="AL5104">
        <v>67.343587763052099</v>
      </c>
      <c r="AM5104">
        <v>94.118758438223907</v>
      </c>
      <c r="AN5104">
        <v>0.99999997432464105</v>
      </c>
    </row>
    <row r="5105" spans="1:40" x14ac:dyDescent="0.25">
      <c r="A5105" t="str">
        <f>"20190304164950542"</f>
        <v>20190304164950542</v>
      </c>
      <c r="B5105" t="str">
        <f>"1551689390530688"</f>
        <v>1551689390530688</v>
      </c>
      <c r="C5105" t="s">
        <v>40</v>
      </c>
      <c r="D5105">
        <v>4.4372490000000004</v>
      </c>
      <c r="E5105">
        <v>0.51302899999999996</v>
      </c>
      <c r="F5105" t="s">
        <v>42</v>
      </c>
      <c r="G5105">
        <v>-337.01139999999998</v>
      </c>
      <c r="H5105" s="1">
        <v>-1.737229E-6</v>
      </c>
      <c r="I5105">
        <v>140.9093</v>
      </c>
      <c r="J5105">
        <v>-322.33519999999999</v>
      </c>
      <c r="K5105">
        <v>1.11083</v>
      </c>
      <c r="L5105">
        <v>141.85329999999999</v>
      </c>
      <c r="M5105">
        <v>-0.99988880000000002</v>
      </c>
      <c r="N5105">
        <v>-1.4738609999999999E-2</v>
      </c>
      <c r="O5105">
        <v>2.3105209999999998E-3</v>
      </c>
      <c r="P5105">
        <v>-0.92595400000000005</v>
      </c>
      <c r="Q5105">
        <v>0.37228600000000001</v>
      </c>
      <c r="R5105">
        <v>-6.3345949999999998E-2</v>
      </c>
      <c r="S5105">
        <v>-3.3233030000000001</v>
      </c>
      <c r="T5105">
        <v>-0.24592649999999999</v>
      </c>
      <c r="U5105">
        <v>-0.2088013</v>
      </c>
      <c r="V5105">
        <v>-6.5332489999999993E-2</v>
      </c>
      <c r="W5105">
        <v>0.38591639999999999</v>
      </c>
      <c r="X5105">
        <v>0.92021750000000002</v>
      </c>
      <c r="Y5105">
        <v>-6.479596E-2</v>
      </c>
      <c r="Z5105">
        <v>-3.0072229999999998E-3</v>
      </c>
      <c r="AA5105">
        <v>0.99789399999999995</v>
      </c>
      <c r="AB5105">
        <v>36</v>
      </c>
      <c r="AC5105">
        <v>-14.6761999999999</v>
      </c>
      <c r="AD5105">
        <v>-1.110831737229</v>
      </c>
      <c r="AE5105">
        <v>-0.94399999999998796</v>
      </c>
      <c r="AF5105">
        <v>-0.97236323362856802</v>
      </c>
      <c r="AG5105">
        <v>-1.110831737229</v>
      </c>
      <c r="AH5105">
        <v>14.5907353607762</v>
      </c>
      <c r="AI5105">
        <v>94.344083604184902</v>
      </c>
      <c r="AJ5105">
        <v>93.812696906439896</v>
      </c>
      <c r="AK5105">
        <v>14.6652308462824</v>
      </c>
      <c r="AL5105">
        <v>67.299357308972901</v>
      </c>
      <c r="AM5105">
        <v>94.061002439252206</v>
      </c>
      <c r="AN5105">
        <v>1.0000000246723999</v>
      </c>
    </row>
    <row r="5106" spans="1:40" x14ac:dyDescent="0.25">
      <c r="A5106" t="str">
        <f>"20190304164950562"</f>
        <v>20190304164950562</v>
      </c>
      <c r="B5106" t="str">
        <f>"1551689390551183"</f>
        <v>1551689390551183</v>
      </c>
      <c r="C5106" t="s">
        <v>40</v>
      </c>
      <c r="D5106">
        <v>4.4171420000000001</v>
      </c>
      <c r="E5106">
        <v>0.51282359999999905</v>
      </c>
      <c r="F5106" t="s">
        <v>42</v>
      </c>
      <c r="G5106">
        <v>-337.3331</v>
      </c>
      <c r="H5106" s="1">
        <v>-1.588534E-6</v>
      </c>
      <c r="I5106">
        <v>140.92189999999999</v>
      </c>
      <c r="J5106">
        <v>-322.6703</v>
      </c>
      <c r="K5106">
        <v>1.11083</v>
      </c>
      <c r="L5106">
        <v>141.85419999999999</v>
      </c>
      <c r="M5106">
        <v>-0.99988840000000001</v>
      </c>
      <c r="N5106">
        <v>-1.4735E-2</v>
      </c>
      <c r="O5106">
        <v>2.4884909999999998E-3</v>
      </c>
      <c r="P5106">
        <v>-0.92598559999999996</v>
      </c>
      <c r="Q5106">
        <v>0.37233899999999998</v>
      </c>
      <c r="R5106">
        <v>-6.256668E-2</v>
      </c>
      <c r="S5106">
        <v>-3.3248289999999998</v>
      </c>
      <c r="T5106">
        <v>-0.24625720000000001</v>
      </c>
      <c r="U5106">
        <v>-0.2064819</v>
      </c>
      <c r="V5106">
        <v>-6.4709630000000004E-2</v>
      </c>
      <c r="W5106">
        <v>0.38596789999999997</v>
      </c>
      <c r="X5106">
        <v>0.9202399</v>
      </c>
      <c r="Y5106">
        <v>-6.4252610000000002E-2</v>
      </c>
      <c r="Z5106">
        <v>-2.995869E-3</v>
      </c>
      <c r="AA5106">
        <v>0.99792919999999996</v>
      </c>
      <c r="AB5106">
        <v>36</v>
      </c>
      <c r="AC5106">
        <v>-14.662800000000001</v>
      </c>
      <c r="AD5106">
        <v>-1.1108315885340001</v>
      </c>
      <c r="AE5106">
        <v>-0.93229999999999802</v>
      </c>
      <c r="AF5106">
        <v>-0.96328296197888796</v>
      </c>
      <c r="AG5106">
        <v>-1.1108315885340001</v>
      </c>
      <c r="AH5106">
        <v>14.577108077434501</v>
      </c>
      <c r="AI5106">
        <v>94.348288928057599</v>
      </c>
      <c r="AJ5106">
        <v>93.780716990105901</v>
      </c>
      <c r="AK5106">
        <v>14.651073025008399</v>
      </c>
      <c r="AL5106">
        <v>67.296158525890803</v>
      </c>
      <c r="AM5106">
        <v>94.022316188599802</v>
      </c>
      <c r="AN5106">
        <v>1.0000000147985699</v>
      </c>
    </row>
    <row r="5107" spans="1:40" x14ac:dyDescent="0.25">
      <c r="A5107" t="str">
        <f>"20190304164950577"</f>
        <v>20190304164950577</v>
      </c>
      <c r="B5107" t="str">
        <f>"1551689390570703"</f>
        <v>1551689390570703</v>
      </c>
      <c r="C5107" t="s">
        <v>40</v>
      </c>
      <c r="D5107">
        <v>4.4268169999999998</v>
      </c>
      <c r="E5107">
        <v>0.51258019999999904</v>
      </c>
      <c r="F5107" t="s">
        <v>42</v>
      </c>
      <c r="G5107">
        <v>-337.67360000000002</v>
      </c>
      <c r="H5107" s="1">
        <v>-1.430028E-6</v>
      </c>
      <c r="I5107">
        <v>140.93109999999999</v>
      </c>
      <c r="J5107">
        <v>-322.90480000000002</v>
      </c>
      <c r="K5107">
        <v>1.110827</v>
      </c>
      <c r="L5107">
        <v>141.85489999999999</v>
      </c>
      <c r="M5107">
        <v>-0.99988809999999995</v>
      </c>
      <c r="N5107">
        <v>-1.4732479999999999E-2</v>
      </c>
      <c r="O5107">
        <v>2.6148870000000002E-3</v>
      </c>
      <c r="P5107">
        <v>-0.92600300000000002</v>
      </c>
      <c r="Q5107">
        <v>0.37236900000000001</v>
      </c>
      <c r="R5107">
        <v>-6.2125819999999998E-2</v>
      </c>
      <c r="S5107">
        <v>-3.324951</v>
      </c>
      <c r="T5107">
        <v>-0.2461768</v>
      </c>
      <c r="U5107">
        <v>-0.20458979999999999</v>
      </c>
      <c r="V5107">
        <v>-6.4381460000000001E-2</v>
      </c>
      <c r="W5107">
        <v>0.38599600000000001</v>
      </c>
      <c r="X5107">
        <v>0.92025109999999999</v>
      </c>
      <c r="Y5107">
        <v>-6.3812129999999995E-2</v>
      </c>
      <c r="Z5107">
        <v>-2.9828599999999999E-3</v>
      </c>
      <c r="AA5107">
        <v>0.99795750000000005</v>
      </c>
      <c r="AB5107">
        <v>36</v>
      </c>
      <c r="AC5107">
        <v>-14.768800000000001</v>
      </c>
      <c r="AD5107">
        <v>-1.110828430028</v>
      </c>
      <c r="AE5107">
        <v>-0.92379999999999995</v>
      </c>
      <c r="AF5107">
        <v>-0.95702675772254997</v>
      </c>
      <c r="AG5107">
        <v>-1.110828430028</v>
      </c>
      <c r="AH5107">
        <v>14.683588963031999</v>
      </c>
      <c r="AI5107">
        <v>94.317118289440401</v>
      </c>
      <c r="AJ5107">
        <v>93.729071094829095</v>
      </c>
      <c r="AK5107">
        <v>14.75661291934</v>
      </c>
      <c r="AL5107">
        <v>67.294412571186996</v>
      </c>
      <c r="AM5107">
        <v>94.0019352178562</v>
      </c>
      <c r="AN5107">
        <v>0.99999998572947002</v>
      </c>
    </row>
    <row r="5108" spans="1:40" x14ac:dyDescent="0.25">
      <c r="A5108" t="str">
        <f>"20190304164950590"</f>
        <v>20190304164950590</v>
      </c>
      <c r="B5108" t="str">
        <f>"1551689390580464"</f>
        <v>1551689390580464</v>
      </c>
      <c r="C5108" t="s">
        <v>40</v>
      </c>
      <c r="D5108">
        <v>4.4080170000000001</v>
      </c>
      <c r="E5108">
        <v>0.51247469999999995</v>
      </c>
      <c r="F5108" t="s">
        <v>42</v>
      </c>
      <c r="G5108">
        <v>-337.74380000000002</v>
      </c>
      <c r="H5108" s="1">
        <v>-1.3994159999999999E-6</v>
      </c>
      <c r="I5108">
        <v>140.9408</v>
      </c>
      <c r="J5108">
        <v>-323.11649999999997</v>
      </c>
      <c r="K5108">
        <v>1.110827</v>
      </c>
      <c r="L5108">
        <v>141.85560000000001</v>
      </c>
      <c r="M5108">
        <v>-0.99988790000000005</v>
      </c>
      <c r="N5108">
        <v>-1.4730170000000001E-2</v>
      </c>
      <c r="O5108">
        <v>2.7295739999999998E-3</v>
      </c>
      <c r="P5108">
        <v>-0.92614200000000002</v>
      </c>
      <c r="Q5108">
        <v>0.37208469999999999</v>
      </c>
      <c r="R5108">
        <v>-6.175713E-2</v>
      </c>
      <c r="S5108">
        <v>-3.3261409999999998</v>
      </c>
      <c r="T5108">
        <v>-0.2489915</v>
      </c>
      <c r="U5108">
        <v>-0.20489499999999999</v>
      </c>
      <c r="V5108">
        <v>-6.4116309999999996E-2</v>
      </c>
      <c r="W5108">
        <v>0.38571230000000001</v>
      </c>
      <c r="X5108">
        <v>0.9203886</v>
      </c>
      <c r="Y5108">
        <v>-6.3990759999999994E-2</v>
      </c>
      <c r="Z5108">
        <v>-3.0258279999999999E-3</v>
      </c>
      <c r="AA5108">
        <v>0.99794590000000005</v>
      </c>
      <c r="AB5108">
        <v>36</v>
      </c>
      <c r="AC5108">
        <v>-14.6273</v>
      </c>
      <c r="AD5108">
        <v>-1.110828399416</v>
      </c>
      <c r="AE5108">
        <v>-0.91480000000001305</v>
      </c>
      <c r="AF5108">
        <v>-0.94927388642894595</v>
      </c>
      <c r="AG5108">
        <v>-1.110828399416</v>
      </c>
      <c r="AH5108">
        <v>14.5412127488481</v>
      </c>
      <c r="AI5108">
        <v>94.359196263207707</v>
      </c>
      <c r="AJ5108">
        <v>93.735061279661195</v>
      </c>
      <c r="AK5108">
        <v>14.6144424748832</v>
      </c>
      <c r="AL5108">
        <v>67.312032818273593</v>
      </c>
      <c r="AM5108">
        <v>93.984913294520496</v>
      </c>
      <c r="AN5108">
        <v>1.0000000272946299</v>
      </c>
    </row>
    <row r="5109" spans="1:40" x14ac:dyDescent="0.25">
      <c r="A5109" t="str">
        <f>"20190304164950602"</f>
        <v>20190304164950602</v>
      </c>
      <c r="B5109" t="str">
        <f>"1551689390591199"</f>
        <v>1551689390591199</v>
      </c>
      <c r="C5109" t="s">
        <v>40</v>
      </c>
      <c r="D5109">
        <v>4.3644860000000003</v>
      </c>
      <c r="E5109">
        <v>0.51238189999999995</v>
      </c>
      <c r="F5109" t="s">
        <v>42</v>
      </c>
      <c r="G5109">
        <v>-337.8254</v>
      </c>
      <c r="H5109" s="1">
        <v>-1.3638279999999999E-6</v>
      </c>
      <c r="I5109">
        <v>140.9521</v>
      </c>
      <c r="J5109">
        <v>-323.3091</v>
      </c>
      <c r="K5109">
        <v>1.1108209999999901</v>
      </c>
      <c r="L5109">
        <v>141.8562</v>
      </c>
      <c r="M5109">
        <v>-0.99988759999999999</v>
      </c>
      <c r="N5109">
        <v>-1.4728059999999999E-2</v>
      </c>
      <c r="O5109">
        <v>2.834175E-3</v>
      </c>
      <c r="P5109">
        <v>-0.92618730000000005</v>
      </c>
      <c r="Q5109">
        <v>0.37197730000000001</v>
      </c>
      <c r="R5109">
        <v>-6.1726759999999999E-2</v>
      </c>
      <c r="S5109">
        <v>-3.3265690000000001</v>
      </c>
      <c r="T5109">
        <v>-0.25122489999999997</v>
      </c>
      <c r="U5109">
        <v>-0.2043304</v>
      </c>
      <c r="V5109">
        <v>-6.4180490000000007E-2</v>
      </c>
      <c r="W5109">
        <v>0.38560359999999999</v>
      </c>
      <c r="X5109">
        <v>0.92042959999999996</v>
      </c>
      <c r="Y5109">
        <v>-6.3915029999999998E-2</v>
      </c>
      <c r="Z5109">
        <v>-3.0515849999999999E-3</v>
      </c>
      <c r="AA5109">
        <v>0.99795069999999997</v>
      </c>
      <c r="AB5109">
        <v>36</v>
      </c>
      <c r="AC5109">
        <v>-14.516299999999999</v>
      </c>
      <c r="AD5109">
        <v>-1.1108223638279999</v>
      </c>
      <c r="AE5109">
        <v>-0.90409999999999902</v>
      </c>
      <c r="AF5109">
        <v>-0.93976088635660004</v>
      </c>
      <c r="AG5109">
        <v>-1.1108223638279999</v>
      </c>
      <c r="AH5109">
        <v>14.4295109163661</v>
      </c>
      <c r="AI5109">
        <v>94.3928300768995</v>
      </c>
      <c r="AJ5109">
        <v>93.726279912758201</v>
      </c>
      <c r="AK5109">
        <v>14.5026846526094</v>
      </c>
      <c r="AL5109">
        <v>67.318781446134295</v>
      </c>
      <c r="AM5109">
        <v>93.988712186967007</v>
      </c>
      <c r="AN5109">
        <v>0.99999996009287895</v>
      </c>
    </row>
    <row r="5110" spans="1:40" x14ac:dyDescent="0.25">
      <c r="A5110" t="str">
        <f>"20190304164950620"</f>
        <v>20190304164950620</v>
      </c>
      <c r="B5110" t="str">
        <f>"1551689390610719"</f>
        <v>1551689390610719</v>
      </c>
      <c r="C5110" t="s">
        <v>40</v>
      </c>
      <c r="D5110">
        <v>4.3742859999999997</v>
      </c>
      <c r="E5110">
        <v>0.51219579999999998</v>
      </c>
      <c r="F5110" t="s">
        <v>42</v>
      </c>
      <c r="G5110">
        <v>-337.9348</v>
      </c>
      <c r="H5110" s="1">
        <v>-1.3132289999999999E-6</v>
      </c>
      <c r="I5110">
        <v>140.9563</v>
      </c>
      <c r="J5110">
        <v>-323.58100000000002</v>
      </c>
      <c r="K5110">
        <v>1.1108180000000001</v>
      </c>
      <c r="L5110">
        <v>141.8571</v>
      </c>
      <c r="M5110">
        <v>-0.99988710000000003</v>
      </c>
      <c r="N5110">
        <v>-1.472507E-2</v>
      </c>
      <c r="O5110">
        <v>2.981704E-3</v>
      </c>
      <c r="P5110">
        <v>-0.92637119999999995</v>
      </c>
      <c r="Q5110">
        <v>0.37161539999999998</v>
      </c>
      <c r="R5110">
        <v>-6.1142620000000002E-2</v>
      </c>
      <c r="S5110">
        <v>-3.3269350000000002</v>
      </c>
      <c r="T5110">
        <v>-0.25268099999999999</v>
      </c>
      <c r="U5110">
        <v>-0.2047119</v>
      </c>
      <c r="V5110">
        <v>-6.3730930000000005E-2</v>
      </c>
      <c r="W5110">
        <v>0.38524190000000003</v>
      </c>
      <c r="X5110">
        <v>0.92061230000000005</v>
      </c>
      <c r="Y5110">
        <v>-6.4166070000000006E-2</v>
      </c>
      <c r="Z5110">
        <v>-3.0867350000000002E-3</v>
      </c>
      <c r="AA5110">
        <v>0.99793449999999995</v>
      </c>
      <c r="AB5110">
        <v>36</v>
      </c>
      <c r="AC5110">
        <v>-14.3538</v>
      </c>
      <c r="AD5110">
        <v>-1.1108193132290001</v>
      </c>
      <c r="AE5110">
        <v>-0.90080000000000304</v>
      </c>
      <c r="AF5110">
        <v>-0.93800376956993403</v>
      </c>
      <c r="AG5110">
        <v>-1.1108193132290001</v>
      </c>
      <c r="AH5110">
        <v>14.265946634078301</v>
      </c>
      <c r="AI5110">
        <v>94.442803002922503</v>
      </c>
      <c r="AJ5110">
        <v>93.761854025771697</v>
      </c>
      <c r="AK5110">
        <v>14.339839747526501</v>
      </c>
      <c r="AL5110">
        <v>67.341240990665696</v>
      </c>
      <c r="AM5110">
        <v>93.9600784605515</v>
      </c>
      <c r="AN5110">
        <v>0.999999979932782</v>
      </c>
    </row>
    <row r="5111" spans="1:40" x14ac:dyDescent="0.25">
      <c r="A5111" t="str">
        <f>"20190304164950633"</f>
        <v>20190304164950633</v>
      </c>
      <c r="B5111" t="str">
        <f>"1551689390630746"</f>
        <v>1551689390630746</v>
      </c>
      <c r="C5111" t="s">
        <v>40</v>
      </c>
      <c r="D5111">
        <v>4.3468099999999996</v>
      </c>
      <c r="E5111">
        <v>0.51200599999999996</v>
      </c>
      <c r="F5111" t="s">
        <v>42</v>
      </c>
      <c r="G5111">
        <v>-338.09410000000003</v>
      </c>
      <c r="H5111" s="1">
        <v>-1.240192E-6</v>
      </c>
      <c r="I5111">
        <v>140.9648</v>
      </c>
      <c r="J5111">
        <v>-323.80860000000001</v>
      </c>
      <c r="K5111">
        <v>1.1108169999999999</v>
      </c>
      <c r="L5111">
        <v>141.8579</v>
      </c>
      <c r="M5111">
        <v>-0.99988699999999997</v>
      </c>
      <c r="N5111">
        <v>-1.4722570000000001E-2</v>
      </c>
      <c r="O5111">
        <v>3.1046580000000002E-3</v>
      </c>
      <c r="P5111">
        <v>-0.92653529999999995</v>
      </c>
      <c r="Q5111">
        <v>0.37121749999999998</v>
      </c>
      <c r="R5111">
        <v>-6.1075409999999997E-2</v>
      </c>
      <c r="S5111">
        <v>-3.3270870000000001</v>
      </c>
      <c r="T5111">
        <v>-0.25465100000000002</v>
      </c>
      <c r="U5111">
        <v>-0.2045593</v>
      </c>
      <c r="V5111">
        <v>-6.3776199999999894E-2</v>
      </c>
      <c r="W5111">
        <v>0.38484459999999998</v>
      </c>
      <c r="X5111">
        <v>0.92077540000000002</v>
      </c>
      <c r="Y5111">
        <v>-6.4236660000000001E-2</v>
      </c>
      <c r="Z5111">
        <v>-3.118006E-3</v>
      </c>
      <c r="AA5111">
        <v>0.99792979999999998</v>
      </c>
      <c r="AB5111">
        <v>36</v>
      </c>
      <c r="AC5111">
        <v>-14.285500000000001</v>
      </c>
      <c r="AD5111">
        <v>-1.1108182401919999</v>
      </c>
      <c r="AE5111">
        <v>-0.893100000000004</v>
      </c>
      <c r="AF5111">
        <v>-0.93183976771205401</v>
      </c>
      <c r="AG5111">
        <v>-1.1108182401919999</v>
      </c>
      <c r="AH5111">
        <v>14.1971509649078</v>
      </c>
      <c r="AI5111">
        <v>94.464274156356893</v>
      </c>
      <c r="AJ5111">
        <v>93.755261464902503</v>
      </c>
      <c r="AK5111">
        <v>14.2709963925374</v>
      </c>
      <c r="AL5111">
        <v>67.365908097804805</v>
      </c>
      <c r="AM5111">
        <v>93.962182741631807</v>
      </c>
      <c r="AN5111">
        <v>1.0000000535403699</v>
      </c>
    </row>
    <row r="5112" spans="1:40" x14ac:dyDescent="0.25">
      <c r="A5112" t="str">
        <f>"20190304164950647"</f>
        <v>20190304164950647</v>
      </c>
      <c r="B5112" t="str">
        <f>"1551689390641482"</f>
        <v>1551689390641482</v>
      </c>
      <c r="C5112" t="s">
        <v>40</v>
      </c>
      <c r="D5112">
        <v>4.4035840000000004</v>
      </c>
      <c r="E5112">
        <v>0.51204269999999996</v>
      </c>
      <c r="F5112" t="s">
        <v>42</v>
      </c>
      <c r="G5112">
        <v>-338.13319999999999</v>
      </c>
      <c r="H5112" s="1">
        <v>-1.2230420000000001E-6</v>
      </c>
      <c r="I5112">
        <v>140.9699</v>
      </c>
      <c r="J5112">
        <v>-324.01</v>
      </c>
      <c r="K5112">
        <v>1.1108150000000001</v>
      </c>
      <c r="L5112">
        <v>141.8587</v>
      </c>
      <c r="M5112">
        <v>-0.99988650000000001</v>
      </c>
      <c r="N5112">
        <v>-1.472036E-2</v>
      </c>
      <c r="O5112">
        <v>3.2132340000000001E-3</v>
      </c>
      <c r="P5112">
        <v>-0.92659639999999999</v>
      </c>
      <c r="Q5112">
        <v>0.37109690000000001</v>
      </c>
      <c r="R5112">
        <v>-6.087878E-2</v>
      </c>
      <c r="S5112">
        <v>-3.3276370000000002</v>
      </c>
      <c r="T5112">
        <v>-0.25804460000000001</v>
      </c>
      <c r="U5112">
        <v>-0.2062988</v>
      </c>
      <c r="V5112">
        <v>-6.3678719999999994E-2</v>
      </c>
      <c r="W5112">
        <v>0.38472309999999998</v>
      </c>
      <c r="X5112">
        <v>0.92083289999999995</v>
      </c>
      <c r="Y5112">
        <v>-6.4846609999999999E-2</v>
      </c>
      <c r="Z5112">
        <v>-3.1881129999999998E-3</v>
      </c>
      <c r="AA5112">
        <v>0.99789019999999995</v>
      </c>
      <c r="AB5112">
        <v>36</v>
      </c>
      <c r="AC5112">
        <v>-14.123199999999899</v>
      </c>
      <c r="AD5112">
        <v>-1.11081622304199</v>
      </c>
      <c r="AE5112">
        <v>-0.88880000000000303</v>
      </c>
      <c r="AF5112">
        <v>-0.928460564542677</v>
      </c>
      <c r="AG5112">
        <v>-1.11081622304199</v>
      </c>
      <c r="AH5112">
        <v>14.0337985732583</v>
      </c>
      <c r="AI5112">
        <v>94.515861708655706</v>
      </c>
      <c r="AJ5112">
        <v>93.785109248400502</v>
      </c>
      <c r="AK5112">
        <v>14.108276085194399</v>
      </c>
      <c r="AL5112">
        <v>67.373449818387101</v>
      </c>
      <c r="AM5112">
        <v>93.955899658495298</v>
      </c>
      <c r="AN5112">
        <v>1.0000000363884201</v>
      </c>
    </row>
    <row r="5113" spans="1:40" x14ac:dyDescent="0.25">
      <c r="A5113" t="str">
        <f>"20190304164950662"</f>
        <v>20190304164950662</v>
      </c>
      <c r="B5113" t="str">
        <f>"1551689390651241"</f>
        <v>1551689390651241</v>
      </c>
      <c r="C5113" t="s">
        <v>40</v>
      </c>
      <c r="D5113">
        <v>4.6768869999999998</v>
      </c>
      <c r="E5113">
        <v>0.51204269999999996</v>
      </c>
      <c r="F5113" t="s">
        <v>42</v>
      </c>
      <c r="G5113">
        <v>-338.32499999999999</v>
      </c>
      <c r="H5113" s="1">
        <v>-1.133506E-6</v>
      </c>
      <c r="I5113">
        <v>140.97399999999999</v>
      </c>
      <c r="J5113">
        <v>-324.26049999999998</v>
      </c>
      <c r="K5113">
        <v>1.1108070000000001</v>
      </c>
      <c r="L5113">
        <v>141.8596</v>
      </c>
      <c r="M5113">
        <v>-0.99988619999999995</v>
      </c>
      <c r="N5113">
        <v>-1.471768E-2</v>
      </c>
      <c r="O5113">
        <v>3.347563E-3</v>
      </c>
      <c r="P5113">
        <v>-0.92688800000000005</v>
      </c>
      <c r="Q5113">
        <v>0.37043290000000001</v>
      </c>
      <c r="R5113">
        <v>-6.0484589999999998E-2</v>
      </c>
      <c r="S5113">
        <v>-3.3274840000000001</v>
      </c>
      <c r="T5113">
        <v>-0.2582062</v>
      </c>
      <c r="U5113">
        <v>-0.20564270000000001</v>
      </c>
      <c r="V5113">
        <v>-6.3409160000000006E-2</v>
      </c>
      <c r="W5113">
        <v>0.38406099999999999</v>
      </c>
      <c r="X5113">
        <v>0.92112780000000005</v>
      </c>
      <c r="Y5113">
        <v>-6.4787129999999998E-2</v>
      </c>
      <c r="Z5113">
        <v>-3.1955830000000001E-3</v>
      </c>
      <c r="AA5113">
        <v>0.99789399999999995</v>
      </c>
      <c r="AB5113">
        <v>36</v>
      </c>
      <c r="AC5113">
        <v>-14.064500000000001</v>
      </c>
      <c r="AD5113">
        <v>-1.1108081335059901</v>
      </c>
      <c r="AE5113">
        <v>-0.88560000000001005</v>
      </c>
      <c r="AF5113">
        <v>-0.92692283178603296</v>
      </c>
      <c r="AG5113">
        <v>-1.1108081335059901</v>
      </c>
      <c r="AH5113">
        <v>13.9746299510765</v>
      </c>
      <c r="AI5113">
        <v>94.534818748531293</v>
      </c>
      <c r="AJ5113">
        <v>93.794811508469294</v>
      </c>
      <c r="AK5113">
        <v>14.049318948442799</v>
      </c>
      <c r="AL5113">
        <v>67.414541606747605</v>
      </c>
      <c r="AM5113">
        <v>93.937949498761597</v>
      </c>
      <c r="AN5113">
        <v>0.99999999861287203</v>
      </c>
    </row>
    <row r="5114" spans="1:40" x14ac:dyDescent="0.25">
      <c r="A5114" t="str">
        <f>"20190304164950678"</f>
        <v>20190304164950678</v>
      </c>
      <c r="B5114" t="str">
        <f>"1551689390670762"</f>
        <v>1551689390670762</v>
      </c>
      <c r="C5114" t="s">
        <v>40</v>
      </c>
      <c r="D5114">
        <v>4.4830610000000002</v>
      </c>
      <c r="E5114">
        <v>0.53491889999999997</v>
      </c>
      <c r="F5114" t="s">
        <v>42</v>
      </c>
      <c r="G5114">
        <v>-338.4427</v>
      </c>
      <c r="H5114" s="1">
        <v>-1.08035E-6</v>
      </c>
      <c r="I5114">
        <v>140.98330000000001</v>
      </c>
      <c r="J5114">
        <v>-324.51100000000002</v>
      </c>
      <c r="K5114">
        <v>1.1108049999999901</v>
      </c>
      <c r="L5114">
        <v>141.8605</v>
      </c>
      <c r="M5114">
        <v>-0.99988569999999999</v>
      </c>
      <c r="N5114">
        <v>-1.471505E-2</v>
      </c>
      <c r="O5114">
        <v>3.4817670000000002E-3</v>
      </c>
      <c r="P5114">
        <v>-0.9269906</v>
      </c>
      <c r="Q5114">
        <v>0.37024750000000001</v>
      </c>
      <c r="R5114">
        <v>-6.004669E-2</v>
      </c>
      <c r="S5114">
        <v>-3.3273619999999999</v>
      </c>
      <c r="T5114">
        <v>-0.26061319999999999</v>
      </c>
      <c r="U5114">
        <v>-0.20558170000000001</v>
      </c>
      <c r="V5114">
        <v>-6.3094709999999998E-2</v>
      </c>
      <c r="W5114">
        <v>0.3838743</v>
      </c>
      <c r="X5114">
        <v>0.92122720000000002</v>
      </c>
      <c r="Y5114">
        <v>-6.4900269999999996E-2</v>
      </c>
      <c r="Z5114">
        <v>-3.2351070000000001E-3</v>
      </c>
      <c r="AA5114">
        <v>0.99788650000000001</v>
      </c>
      <c r="AB5114">
        <v>35</v>
      </c>
      <c r="AC5114">
        <v>-13.931699999999999</v>
      </c>
      <c r="AD5114">
        <v>-1.11080608034999</v>
      </c>
      <c r="AE5114">
        <v>-0.87719999999998699</v>
      </c>
      <c r="AF5114">
        <v>-0.919882052078834</v>
      </c>
      <c r="AG5114">
        <v>-1.11080608034999</v>
      </c>
      <c r="AH5114">
        <v>13.840918487082201</v>
      </c>
      <c r="AI5114">
        <v>94.578394179701604</v>
      </c>
      <c r="AJ5114">
        <v>93.802346150496504</v>
      </c>
      <c r="AK5114">
        <v>13.915857778230301</v>
      </c>
      <c r="AL5114">
        <v>67.426126502876102</v>
      </c>
      <c r="AM5114">
        <v>93.918060461903593</v>
      </c>
      <c r="AN5114">
        <v>0.99999998732515705</v>
      </c>
    </row>
    <row r="5115" spans="1:40" x14ac:dyDescent="0.25">
      <c r="A5115" t="str">
        <f>"20190304164950690"</f>
        <v>20190304164950690</v>
      </c>
      <c r="B5115" t="str">
        <f>"1551689390680522"</f>
        <v>1551689390680522</v>
      </c>
      <c r="C5115" t="s">
        <v>40</v>
      </c>
      <c r="D5115">
        <v>4.3539479999999999</v>
      </c>
      <c r="E5115">
        <v>0.54615119999999995</v>
      </c>
      <c r="F5115" t="s">
        <v>41</v>
      </c>
      <c r="G5115">
        <v>-325.48059999999998</v>
      </c>
      <c r="H5115">
        <v>0.97310759999999996</v>
      </c>
      <c r="I5115">
        <v>141.84909999999999</v>
      </c>
      <c r="J5115">
        <v>-324.70359999999999</v>
      </c>
      <c r="K5115">
        <v>1.1108070000000001</v>
      </c>
      <c r="L5115">
        <v>141.8613</v>
      </c>
      <c r="M5115">
        <v>-0.99988529999999998</v>
      </c>
      <c r="N5115">
        <v>-1.4712950000000001E-2</v>
      </c>
      <c r="O5115">
        <v>3.5849039999999999E-3</v>
      </c>
      <c r="P5115">
        <v>-0.92710060000000005</v>
      </c>
      <c r="Q5115">
        <v>0.37003920000000001</v>
      </c>
      <c r="R5115">
        <v>-5.9628250000000001E-2</v>
      </c>
      <c r="S5115">
        <v>-3.4280400000000002</v>
      </c>
      <c r="T5115">
        <v>-0.4868808</v>
      </c>
      <c r="U5115">
        <v>-4.1854860000000001E-2</v>
      </c>
      <c r="V5115">
        <v>-6.277199E-2</v>
      </c>
      <c r="W5115">
        <v>0.38366610000000001</v>
      </c>
      <c r="X5115">
        <v>0.92133600000000004</v>
      </c>
      <c r="Y5115">
        <v>-1.5591860000000001E-2</v>
      </c>
      <c r="Z5115">
        <v>-1.6711160000000001E-3</v>
      </c>
      <c r="AA5115">
        <v>0.99987700000000002</v>
      </c>
      <c r="AB5115">
        <v>35</v>
      </c>
      <c r="AC5115">
        <v>-0.77699999999998604</v>
      </c>
      <c r="AD5115">
        <v>-0.137699399999999</v>
      </c>
      <c r="AE5115">
        <v>-1.2200000000007E-2</v>
      </c>
      <c r="AF5115">
        <v>-1.45294832327578E-2</v>
      </c>
      <c r="AG5115">
        <v>-0.137699399999999</v>
      </c>
      <c r="AH5115">
        <v>0.75329849054239495</v>
      </c>
      <c r="AI5115">
        <v>100.357143985395</v>
      </c>
      <c r="AJ5115">
        <v>91.104973484528003</v>
      </c>
      <c r="AK5115">
        <v>0.76591830275612405</v>
      </c>
      <c r="AL5115">
        <v>67.439045230507901</v>
      </c>
      <c r="AM5115">
        <v>93.897623206538697</v>
      </c>
      <c r="AN5115">
        <v>1.0000000119568799</v>
      </c>
    </row>
    <row r="5116" spans="1:40" x14ac:dyDescent="0.25">
      <c r="A5116" t="str">
        <f>"20190304164950702"</f>
        <v>20190304164950702</v>
      </c>
      <c r="B5116" t="str">
        <f>"1551689390691257"</f>
        <v>1551689390691257</v>
      </c>
      <c r="C5116" t="s">
        <v>40</v>
      </c>
      <c r="D5116">
        <v>4.418374</v>
      </c>
      <c r="E5116">
        <v>0.54615119999999995</v>
      </c>
      <c r="F5116" t="s">
        <v>41</v>
      </c>
      <c r="G5116">
        <v>-325.44819999999999</v>
      </c>
      <c r="H5116">
        <v>0.90367719999999896</v>
      </c>
      <c r="I5116">
        <v>141.8623</v>
      </c>
      <c r="J5116">
        <v>-324.8999</v>
      </c>
      <c r="K5116">
        <v>1.1108039999999999</v>
      </c>
      <c r="L5116">
        <v>141.8621</v>
      </c>
      <c r="M5116">
        <v>-0.99988500000000002</v>
      </c>
      <c r="N5116">
        <v>-1.47108E-2</v>
      </c>
      <c r="O5116">
        <v>3.6899469999999998E-3</v>
      </c>
      <c r="P5116">
        <v>-0.92710040000000005</v>
      </c>
      <c r="Q5116">
        <v>0.37007709999999999</v>
      </c>
      <c r="R5116">
        <v>-5.9397400000000003E-2</v>
      </c>
      <c r="S5116">
        <v>-3.6402589999999999</v>
      </c>
      <c r="T5116">
        <v>-1.0124899999999999</v>
      </c>
      <c r="U5116">
        <v>3.0822750000000002E-3</v>
      </c>
      <c r="V5116">
        <v>-6.2637899999999996E-2</v>
      </c>
      <c r="W5116">
        <v>0.38370130000000002</v>
      </c>
      <c r="X5116">
        <v>0.92133050000000005</v>
      </c>
      <c r="Y5116">
        <v>-2.613345E-3</v>
      </c>
      <c r="Z5116">
        <v>-1.330129E-3</v>
      </c>
      <c r="AA5116">
        <v>0.99999570000000004</v>
      </c>
      <c r="AB5116">
        <v>35</v>
      </c>
      <c r="AC5116">
        <v>-0.54829999999998302</v>
      </c>
      <c r="AD5116">
        <v>-0.2071268</v>
      </c>
      <c r="AE5116">
        <v>2.0000000000663901E-4</v>
      </c>
      <c r="AF5116">
        <v>-1.5957048135386699E-3</v>
      </c>
      <c r="AG5116">
        <v>-0.2071268</v>
      </c>
      <c r="AH5116">
        <v>0.47982418985519898</v>
      </c>
      <c r="AI5116">
        <v>113.348403237345</v>
      </c>
      <c r="AJ5116">
        <v>90.190542319560706</v>
      </c>
      <c r="AK5116">
        <v>0.52262348849079698</v>
      </c>
      <c r="AL5116">
        <v>67.436861988255998</v>
      </c>
      <c r="AM5116">
        <v>93.889346049469395</v>
      </c>
      <c r="AN5116">
        <v>1.0000000421841699</v>
      </c>
    </row>
    <row r="5117" spans="1:40" x14ac:dyDescent="0.25">
      <c r="A5117" t="str">
        <f>"20190304164950720"</f>
        <v>20190304164950720</v>
      </c>
      <c r="B5117" t="str">
        <f>"1551689390710777"</f>
        <v>1551689390710777</v>
      </c>
      <c r="C5117" t="s">
        <v>40</v>
      </c>
      <c r="D5117">
        <v>4.3926109999999996</v>
      </c>
      <c r="E5117">
        <v>0.53010900000000005</v>
      </c>
      <c r="F5117" t="s">
        <v>41</v>
      </c>
      <c r="G5117">
        <v>-325.75150000000002</v>
      </c>
      <c r="H5117">
        <v>0.87400389999999994</v>
      </c>
      <c r="I5117">
        <v>141.86330000000001</v>
      </c>
      <c r="J5117">
        <v>-325.17259999999999</v>
      </c>
      <c r="K5117">
        <v>1.1108009999999999</v>
      </c>
      <c r="L5117">
        <v>141.86330000000001</v>
      </c>
      <c r="M5117">
        <v>-0.99988440000000001</v>
      </c>
      <c r="N5117">
        <v>-1.47078E-2</v>
      </c>
      <c r="O5117">
        <v>3.835705E-3</v>
      </c>
      <c r="P5117">
        <v>-0.9273747</v>
      </c>
      <c r="Q5117">
        <v>0.36952489999999999</v>
      </c>
      <c r="R5117">
        <v>-5.8543730000000002E-2</v>
      </c>
      <c r="S5117">
        <v>-3.6402589999999999</v>
      </c>
      <c r="T5117">
        <v>-1.0122709999999999</v>
      </c>
      <c r="U5117">
        <v>4.3029790000000002E-3</v>
      </c>
      <c r="V5117">
        <v>-6.1919960000000003E-2</v>
      </c>
      <c r="W5117">
        <v>0.3831503</v>
      </c>
      <c r="X5117">
        <v>0.92160830000000005</v>
      </c>
      <c r="Y5117">
        <v>-2.4264059999999999E-3</v>
      </c>
      <c r="Z5117">
        <v>-1.3406129999999901E-3</v>
      </c>
      <c r="AA5117">
        <v>0.9999962</v>
      </c>
      <c r="AB5117">
        <v>35</v>
      </c>
      <c r="AC5117">
        <v>-0.57890000000003194</v>
      </c>
      <c r="AD5117">
        <v>-0.23679709999999901</v>
      </c>
      <c r="AE5117">
        <v>0</v>
      </c>
      <c r="AF5117">
        <v>-1.9024188846363799E-3</v>
      </c>
      <c r="AG5117">
        <v>-0.23679709999999901</v>
      </c>
      <c r="AH5117">
        <v>0.49591899403455703</v>
      </c>
      <c r="AI5117">
        <v>115.523914431615</v>
      </c>
      <c r="AJ5117">
        <v>90.219794038111303</v>
      </c>
      <c r="AK5117">
        <v>0.54955630686060697</v>
      </c>
      <c r="AL5117">
        <v>67.471044567763101</v>
      </c>
      <c r="AM5117">
        <v>93.843746325290596</v>
      </c>
      <c r="AN5117">
        <v>1.0000000462326899</v>
      </c>
    </row>
    <row r="5118" spans="1:40" x14ac:dyDescent="0.25">
      <c r="A5118" t="str">
        <f>"20190304164950742"</f>
        <v>20190304164950742</v>
      </c>
      <c r="B5118" t="str">
        <f>"1551689390730805"</f>
        <v>1551689390730805</v>
      </c>
      <c r="C5118" t="s">
        <v>40</v>
      </c>
      <c r="D5118">
        <v>4.2525309999999896</v>
      </c>
      <c r="E5118">
        <v>0.53310239999999998</v>
      </c>
      <c r="F5118" t="s">
        <v>41</v>
      </c>
      <c r="G5118">
        <v>-326.03739999999999</v>
      </c>
      <c r="H5118">
        <v>0.80048419999999998</v>
      </c>
      <c r="I5118">
        <v>141.82929999999999</v>
      </c>
      <c r="J5118">
        <v>-325.52089999999998</v>
      </c>
      <c r="K5118">
        <v>1.1108009999999999</v>
      </c>
      <c r="L5118">
        <v>141.8648</v>
      </c>
      <c r="M5118">
        <v>-0.99988379999999999</v>
      </c>
      <c r="N5118">
        <v>-1.4704E-2</v>
      </c>
      <c r="O5118">
        <v>4.021457E-3</v>
      </c>
      <c r="P5118">
        <v>-0.92765310000000001</v>
      </c>
      <c r="Q5118">
        <v>0.3690369</v>
      </c>
      <c r="R5118">
        <v>-5.7198569999999997E-2</v>
      </c>
      <c r="S5118">
        <v>-3.7637330000000002</v>
      </c>
      <c r="T5118">
        <v>-1.3506039999999999</v>
      </c>
      <c r="U5118">
        <v>-0.14878849999999999</v>
      </c>
      <c r="V5118">
        <v>-6.0748440000000001E-2</v>
      </c>
      <c r="W5118">
        <v>0.38266230000000001</v>
      </c>
      <c r="X5118">
        <v>0.92188890000000001</v>
      </c>
      <c r="Y5118">
        <v>-4.0644619999999999E-2</v>
      </c>
      <c r="Z5118">
        <v>-8.7192169999999996E-3</v>
      </c>
      <c r="AA5118">
        <v>0.99913560000000001</v>
      </c>
      <c r="AB5118">
        <v>35</v>
      </c>
      <c r="AC5118">
        <v>-0.51650000000000695</v>
      </c>
      <c r="AD5118">
        <v>-0.310316799999999</v>
      </c>
      <c r="AE5118">
        <v>-3.5500000000013097E-2</v>
      </c>
      <c r="AF5118">
        <v>-2.7644964201241701E-2</v>
      </c>
      <c r="AG5118">
        <v>-0.310316799999999</v>
      </c>
      <c r="AH5118">
        <v>0.37987476002371301</v>
      </c>
      <c r="AI5118">
        <v>129.17100578213601</v>
      </c>
      <c r="AJ5118">
        <v>94.162299234831806</v>
      </c>
      <c r="AK5118">
        <v>0.49128972481724198</v>
      </c>
      <c r="AL5118">
        <v>67.501309988529002</v>
      </c>
      <c r="AM5118">
        <v>93.770090309428696</v>
      </c>
      <c r="AN5118">
        <v>0.99999997637346605</v>
      </c>
    </row>
    <row r="5119" spans="1:40" x14ac:dyDescent="0.25">
      <c r="A5119" t="str">
        <f>"20190304164950763"</f>
        <v>20190304164950763</v>
      </c>
      <c r="B5119" t="str">
        <f>"1551689390751302"</f>
        <v>1551689390751302</v>
      </c>
      <c r="C5119" t="s">
        <v>40</v>
      </c>
      <c r="D5119">
        <v>4.21774</v>
      </c>
      <c r="E5119">
        <v>0.53626580000000001</v>
      </c>
      <c r="F5119" t="s">
        <v>41</v>
      </c>
      <c r="G5119">
        <v>-326.36070000000001</v>
      </c>
      <c r="H5119">
        <v>0.81987710000000003</v>
      </c>
      <c r="I5119">
        <v>141.8389</v>
      </c>
      <c r="J5119">
        <v>-325.8492</v>
      </c>
      <c r="K5119">
        <v>1.1107929999999999</v>
      </c>
      <c r="L5119">
        <v>141.8663</v>
      </c>
      <c r="M5119">
        <v>-0.99988319999999997</v>
      </c>
      <c r="N5119">
        <v>-1.470043E-2</v>
      </c>
      <c r="O5119">
        <v>4.1969529999999998E-3</v>
      </c>
      <c r="P5119">
        <v>-0.92818999999999996</v>
      </c>
      <c r="Q5119">
        <v>0.3680059</v>
      </c>
      <c r="R5119">
        <v>-5.5095190000000002E-2</v>
      </c>
      <c r="S5119">
        <v>-3.742645</v>
      </c>
      <c r="T5119">
        <v>-1.296581</v>
      </c>
      <c r="U5119">
        <v>-0.1159058</v>
      </c>
      <c r="V5119">
        <v>-5.8809930000000003E-2</v>
      </c>
      <c r="W5119">
        <v>0.38163520000000001</v>
      </c>
      <c r="X5119">
        <v>0.92244020000000004</v>
      </c>
      <c r="Y5119">
        <v>-3.2920919999999999E-2</v>
      </c>
      <c r="Z5119">
        <v>-7.1413880000000002E-3</v>
      </c>
      <c r="AA5119">
        <v>0.9994324</v>
      </c>
      <c r="AB5119">
        <v>35</v>
      </c>
      <c r="AC5119">
        <v>-0.51150000000001195</v>
      </c>
      <c r="AD5119">
        <v>-0.29091589999999901</v>
      </c>
      <c r="AE5119">
        <v>-2.7400000000000001E-2</v>
      </c>
      <c r="AF5119">
        <v>-2.23407025052893E-2</v>
      </c>
      <c r="AG5119">
        <v>-0.29091589999999901</v>
      </c>
      <c r="AH5119">
        <v>0.38666202773696701</v>
      </c>
      <c r="AI5119">
        <v>126.91112915995799</v>
      </c>
      <c r="AJ5119">
        <v>93.306780417587206</v>
      </c>
      <c r="AK5119">
        <v>0.48439518118464298</v>
      </c>
      <c r="AL5119">
        <v>67.564991936316702</v>
      </c>
      <c r="AM5119">
        <v>93.647940001293904</v>
      </c>
      <c r="AN5119">
        <v>0.99999997816084196</v>
      </c>
    </row>
    <row r="5120" spans="1:40" x14ac:dyDescent="0.25">
      <c r="A5120" t="str">
        <f>"20190304164950777"</f>
        <v>20190304164950777</v>
      </c>
      <c r="B5120" t="str">
        <f>"1551689390770822"</f>
        <v>1551689390770822</v>
      </c>
      <c r="C5120" t="s">
        <v>40</v>
      </c>
      <c r="D5120">
        <v>4.2461390000000003</v>
      </c>
      <c r="E5120">
        <v>0.53825119999999904</v>
      </c>
      <c r="F5120" t="s">
        <v>41</v>
      </c>
      <c r="G5120">
        <v>-326.68119999999999</v>
      </c>
      <c r="H5120">
        <v>0.83346160000000002</v>
      </c>
      <c r="I5120">
        <v>141.84880000000001</v>
      </c>
      <c r="J5120">
        <v>-326.08550000000002</v>
      </c>
      <c r="K5120">
        <v>1.1107910000000001</v>
      </c>
      <c r="L5120">
        <v>141.8674</v>
      </c>
      <c r="M5120">
        <v>-0.99988279999999996</v>
      </c>
      <c r="N5120">
        <v>-1.469784E-2</v>
      </c>
      <c r="O5120">
        <v>4.3231479999999997E-3</v>
      </c>
      <c r="P5120">
        <v>-0.92850069999999996</v>
      </c>
      <c r="Q5120">
        <v>0.36739559999999999</v>
      </c>
      <c r="R5120">
        <v>-5.3919549999999997E-2</v>
      </c>
      <c r="S5120">
        <v>-3.7188110000000001</v>
      </c>
      <c r="T5120">
        <v>-1.239498</v>
      </c>
      <c r="U5120">
        <v>-7.9223630000000003E-2</v>
      </c>
      <c r="V5120">
        <v>-5.77531999999999E-2</v>
      </c>
      <c r="W5120">
        <v>0.3810268</v>
      </c>
      <c r="X5120">
        <v>0.92275850000000004</v>
      </c>
      <c r="Y5120">
        <v>-2.4047019999999999E-2</v>
      </c>
      <c r="Z5120">
        <v>-5.4241019999999897E-3</v>
      </c>
      <c r="AA5120">
        <v>0.99969609999999998</v>
      </c>
      <c r="AB5120">
        <v>35</v>
      </c>
      <c r="AC5120">
        <v>-0.59569999999996504</v>
      </c>
      <c r="AD5120">
        <v>-0.2773294</v>
      </c>
      <c r="AE5120">
        <v>-1.8599999999992099E-2</v>
      </c>
      <c r="AF5120">
        <v>-1.7406429394344999E-2</v>
      </c>
      <c r="AG5120">
        <v>-0.2773294</v>
      </c>
      <c r="AH5120">
        <v>0.48960169323219599</v>
      </c>
      <c r="AI5120">
        <v>119.513383242472</v>
      </c>
      <c r="AJ5120">
        <v>92.036134849789406</v>
      </c>
      <c r="AK5120">
        <v>0.562960387509152</v>
      </c>
      <c r="AL5120">
        <v>67.6027017034273</v>
      </c>
      <c r="AM5120">
        <v>93.581331460928098</v>
      </c>
      <c r="AN5120">
        <v>1.00000005187536</v>
      </c>
    </row>
    <row r="5121" spans="1:40" x14ac:dyDescent="0.25">
      <c r="A5121" t="str">
        <f>"20190304164950790"</f>
        <v>20190304164950790</v>
      </c>
      <c r="B5121" t="str">
        <f>"1551689390780582"</f>
        <v>1551689390780582</v>
      </c>
      <c r="C5121" t="s">
        <v>40</v>
      </c>
      <c r="D5121">
        <v>4.4035349999999998</v>
      </c>
      <c r="E5121">
        <v>0.53783219999999898</v>
      </c>
      <c r="F5121" t="s">
        <v>41</v>
      </c>
      <c r="G5121">
        <v>-326.98880000000003</v>
      </c>
      <c r="H5121">
        <v>0.81734779999999996</v>
      </c>
      <c r="I5121">
        <v>141.85399999999899</v>
      </c>
      <c r="J5121">
        <v>-326.29390000000001</v>
      </c>
      <c r="K5121">
        <v>1.110789</v>
      </c>
      <c r="L5121">
        <v>141.86840000000001</v>
      </c>
      <c r="M5121">
        <v>-0.99988220000000005</v>
      </c>
      <c r="N5121">
        <v>-1.469554E-2</v>
      </c>
      <c r="O5121">
        <v>4.4346780000000001E-3</v>
      </c>
      <c r="P5121">
        <v>-0.92883870000000002</v>
      </c>
      <c r="Q5121">
        <v>0.36673270000000002</v>
      </c>
      <c r="R5121">
        <v>-5.2588959999999997E-2</v>
      </c>
      <c r="S5121">
        <v>-3.7037659999999999</v>
      </c>
      <c r="T5121">
        <v>-1.2030559999999999</v>
      </c>
      <c r="U5121">
        <v>-5.5709839999999997E-2</v>
      </c>
      <c r="V5121">
        <v>-5.6527639999999997E-2</v>
      </c>
      <c r="W5121">
        <v>0.38036579999999998</v>
      </c>
      <c r="X5121">
        <v>0.92310700000000001</v>
      </c>
      <c r="Y5121">
        <v>-1.8281530000000001E-2</v>
      </c>
      <c r="Z5121">
        <v>-4.373063E-3</v>
      </c>
      <c r="AA5121">
        <v>0.99982329999999997</v>
      </c>
      <c r="AB5121">
        <v>35</v>
      </c>
      <c r="AC5121">
        <v>-0.69490000000001795</v>
      </c>
      <c r="AD5121">
        <v>-0.29344120000000001</v>
      </c>
      <c r="AE5121">
        <v>-1.44000000000232E-2</v>
      </c>
      <c r="AF5121">
        <v>-1.4837225655693899E-2</v>
      </c>
      <c r="AG5121">
        <v>-0.29344120000000001</v>
      </c>
      <c r="AH5121">
        <v>0.58971675049209804</v>
      </c>
      <c r="AI5121">
        <v>116.447563322154</v>
      </c>
      <c r="AJ5121">
        <v>91.441253106257804</v>
      </c>
      <c r="AK5121">
        <v>0.65885789585733701</v>
      </c>
      <c r="AL5121">
        <v>67.643657593060894</v>
      </c>
      <c r="AM5121">
        <v>93.5042047295413</v>
      </c>
      <c r="AN5121">
        <v>1.0000000246712999</v>
      </c>
    </row>
    <row r="5122" spans="1:40" x14ac:dyDescent="0.25">
      <c r="A5122" t="str">
        <f>"20190304164950806"</f>
        <v>20190304164950806</v>
      </c>
      <c r="B5122" t="str">
        <f>"1551689390801077"</f>
        <v>1551689390801077</v>
      </c>
      <c r="C5122" t="s">
        <v>40</v>
      </c>
      <c r="D5122">
        <v>4.4104839999999896</v>
      </c>
      <c r="E5122">
        <v>0.53726339999999995</v>
      </c>
      <c r="F5122" t="s">
        <v>41</v>
      </c>
      <c r="G5122">
        <v>-327.01350000000002</v>
      </c>
      <c r="H5122">
        <v>0.87478820000000002</v>
      </c>
      <c r="I5122">
        <v>141.858</v>
      </c>
      <c r="J5122">
        <v>-326.52999999999997</v>
      </c>
      <c r="K5122">
        <v>1.1107899999999999</v>
      </c>
      <c r="L5122">
        <v>141.86959999999999</v>
      </c>
      <c r="M5122">
        <v>-0.99988169999999998</v>
      </c>
      <c r="N5122">
        <v>-1.469295E-2</v>
      </c>
      <c r="O5122">
        <v>4.5611690000000003E-3</v>
      </c>
      <c r="P5122">
        <v>-0.92924030000000002</v>
      </c>
      <c r="Q5122">
        <v>0.36589359999999999</v>
      </c>
      <c r="R5122">
        <v>-5.1325860000000001E-2</v>
      </c>
      <c r="S5122">
        <v>-3.7066349999999999</v>
      </c>
      <c r="T5122">
        <v>-1.21544599999999</v>
      </c>
      <c r="U5122">
        <v>-5.4901119999999998E-2</v>
      </c>
      <c r="V5122">
        <v>-5.538477E-2</v>
      </c>
      <c r="W5122">
        <v>0.37952999999999998</v>
      </c>
      <c r="X5122">
        <v>0.92352020000000001</v>
      </c>
      <c r="Y5122">
        <v>-1.8157019999999999E-2</v>
      </c>
      <c r="Z5122">
        <v>-4.4298039999999999E-3</v>
      </c>
      <c r="AA5122">
        <v>0.99982539999999998</v>
      </c>
      <c r="AB5122">
        <v>35</v>
      </c>
      <c r="AC5122">
        <v>-0.483500000000049</v>
      </c>
      <c r="AD5122">
        <v>-0.23600180000000001</v>
      </c>
      <c r="AE5122">
        <v>-1.15999999999871E-2</v>
      </c>
      <c r="AF5122">
        <v>-1.11503667412747E-2</v>
      </c>
      <c r="AG5122">
        <v>-0.23600180000000001</v>
      </c>
      <c r="AH5122">
        <v>0.39046602128548102</v>
      </c>
      <c r="AI5122">
        <v>121.138873242491</v>
      </c>
      <c r="AJ5122">
        <v>91.6357258849294</v>
      </c>
      <c r="AK5122">
        <v>0.45638239893779697</v>
      </c>
      <c r="AL5122">
        <v>67.695427809201405</v>
      </c>
      <c r="AM5122">
        <v>93.431995765724096</v>
      </c>
      <c r="AN5122">
        <v>1.00000002672799</v>
      </c>
    </row>
    <row r="5123" spans="1:40" x14ac:dyDescent="0.25">
      <c r="A5123" t="str">
        <f>"20190304164950822"</f>
        <v>20190304164950822</v>
      </c>
      <c r="B5123" t="str">
        <f>"1551689390810838"</f>
        <v>1551689390810838</v>
      </c>
      <c r="C5123" t="s">
        <v>40</v>
      </c>
      <c r="D5123">
        <v>4.3975499999999998</v>
      </c>
      <c r="E5123">
        <v>0.53703369999999995</v>
      </c>
      <c r="F5123" t="s">
        <v>41</v>
      </c>
      <c r="G5123">
        <v>-327.31689999999998</v>
      </c>
      <c r="H5123">
        <v>0.84935740000000004</v>
      </c>
      <c r="I5123">
        <v>141.858</v>
      </c>
      <c r="J5123">
        <v>-326.77690000000001</v>
      </c>
      <c r="K5123">
        <v>1.1107910000000001</v>
      </c>
      <c r="L5123">
        <v>141.8708</v>
      </c>
      <c r="M5123">
        <v>-0.99988120000000003</v>
      </c>
      <c r="N5123">
        <v>-1.469025E-2</v>
      </c>
      <c r="O5123">
        <v>4.6933820000000003E-3</v>
      </c>
      <c r="P5123">
        <v>-0.9298478</v>
      </c>
      <c r="Q5123">
        <v>0.36465449999999999</v>
      </c>
      <c r="R5123">
        <v>-4.9098650000000001E-2</v>
      </c>
      <c r="S5123">
        <v>-3.710785</v>
      </c>
      <c r="T5123">
        <v>-1.2328159999999999</v>
      </c>
      <c r="U5123">
        <v>-5.5267330000000003E-2</v>
      </c>
      <c r="V5123">
        <v>-5.3284079999999998E-2</v>
      </c>
      <c r="W5123">
        <v>0.37829669999999999</v>
      </c>
      <c r="X5123">
        <v>0.92414960000000002</v>
      </c>
      <c r="Y5123">
        <v>-1.8324360000000001E-2</v>
      </c>
      <c r="Z5123">
        <v>-4.5535599999999999E-3</v>
      </c>
      <c r="AA5123">
        <v>0.99982170000000004</v>
      </c>
      <c r="AB5123">
        <v>35</v>
      </c>
      <c r="AC5123">
        <v>-0.53999999999996295</v>
      </c>
      <c r="AD5123">
        <v>-0.26143359999999999</v>
      </c>
      <c r="AE5123">
        <v>-1.27999999999985E-2</v>
      </c>
      <c r="AF5123">
        <v>-1.2424127845280899E-2</v>
      </c>
      <c r="AG5123">
        <v>-0.26143359999999999</v>
      </c>
      <c r="AH5123">
        <v>0.43745691639983703</v>
      </c>
      <c r="AI5123">
        <v>120.853270970767</v>
      </c>
      <c r="AJ5123">
        <v>91.626808861545001</v>
      </c>
      <c r="AK5123">
        <v>0.509774891366503</v>
      </c>
      <c r="AL5123">
        <v>67.771784638806395</v>
      </c>
      <c r="AM5123">
        <v>93.299873283319101</v>
      </c>
      <c r="AN5123">
        <v>1.0000000347962399</v>
      </c>
    </row>
    <row r="5124" spans="1:40" x14ac:dyDescent="0.25">
      <c r="A5124" t="str">
        <f>"20190304164950842"</f>
        <v>20190304164950842</v>
      </c>
      <c r="B5124" t="str">
        <f>"1551689390830865"</f>
        <v>1551689390830865</v>
      </c>
      <c r="C5124" t="s">
        <v>40</v>
      </c>
      <c r="D5124">
        <v>4.4019309999999896</v>
      </c>
      <c r="E5124">
        <v>0.53689819999999999</v>
      </c>
      <c r="F5124" t="s">
        <v>41</v>
      </c>
      <c r="G5124">
        <v>-327.62150000000003</v>
      </c>
      <c r="H5124">
        <v>0.82784179999999996</v>
      </c>
      <c r="I5124">
        <v>141.86009999999999</v>
      </c>
      <c r="J5124">
        <v>-327.09249999999997</v>
      </c>
      <c r="K5124">
        <v>1.1107800000000001</v>
      </c>
      <c r="L5124">
        <v>141.8725</v>
      </c>
      <c r="M5124">
        <v>-0.99988030000000006</v>
      </c>
      <c r="N5124">
        <v>-1.468677E-2</v>
      </c>
      <c r="O5124">
        <v>4.862257E-3</v>
      </c>
      <c r="P5124">
        <v>-0.9302937</v>
      </c>
      <c r="Q5124">
        <v>0.36377759999999998</v>
      </c>
      <c r="R5124">
        <v>-4.710984E-2</v>
      </c>
      <c r="S5124">
        <v>-3.711395</v>
      </c>
      <c r="T5124">
        <v>-1.2433590000000001</v>
      </c>
      <c r="U5124">
        <v>-4.8294070000000001E-2</v>
      </c>
      <c r="V5124">
        <v>-5.145475E-2</v>
      </c>
      <c r="W5124">
        <v>0.37742249999999999</v>
      </c>
      <c r="X5124">
        <v>0.92461059999999995</v>
      </c>
      <c r="Y5124">
        <v>-1.667768E-2</v>
      </c>
      <c r="Z5124">
        <v>-4.3610709999999898E-3</v>
      </c>
      <c r="AA5124">
        <v>0.99985139999999995</v>
      </c>
      <c r="AB5124">
        <v>35</v>
      </c>
      <c r="AC5124">
        <v>-0.52900000000005298</v>
      </c>
      <c r="AD5124">
        <v>-0.28293819999999897</v>
      </c>
      <c r="AE5124">
        <v>-1.24000000000137E-2</v>
      </c>
      <c r="AF5124">
        <v>-1.16432991237538E-2</v>
      </c>
      <c r="AG5124">
        <v>-0.28293819999999897</v>
      </c>
      <c r="AH5124">
        <v>0.41132924118133901</v>
      </c>
      <c r="AI5124">
        <v>124.511933786207</v>
      </c>
      <c r="AJ5124">
        <v>91.621411127044695</v>
      </c>
      <c r="AK5124">
        <v>0.49938095286518602</v>
      </c>
      <c r="AL5124">
        <v>67.825883643110998</v>
      </c>
      <c r="AM5124">
        <v>93.185235218381393</v>
      </c>
      <c r="AN5124">
        <v>1.00000004821808</v>
      </c>
    </row>
    <row r="5125" spans="1:40" x14ac:dyDescent="0.25">
      <c r="A5125" t="str">
        <f>"20190304164950865"</f>
        <v>20190304164950865</v>
      </c>
      <c r="B5125" t="str">
        <f>"1551689390851362"</f>
        <v>1551689390851362</v>
      </c>
      <c r="C5125" t="s">
        <v>40</v>
      </c>
      <c r="D5125">
        <v>4.4074949999999999</v>
      </c>
      <c r="E5125">
        <v>0.54759880000000005</v>
      </c>
      <c r="F5125" t="s">
        <v>41</v>
      </c>
      <c r="G5125">
        <v>-327.93470000000002</v>
      </c>
      <c r="H5125">
        <v>0.82700969999999996</v>
      </c>
      <c r="I5125">
        <v>141.8629</v>
      </c>
      <c r="J5125">
        <v>-327.43849999999998</v>
      </c>
      <c r="K5125">
        <v>1.1107640000000001</v>
      </c>
      <c r="L5125">
        <v>141.87440000000001</v>
      </c>
      <c r="M5125">
        <v>-0.99987950000000003</v>
      </c>
      <c r="N5125">
        <v>-1.468295E-2</v>
      </c>
      <c r="O5125">
        <v>5.0474029999999998E-3</v>
      </c>
      <c r="P5125">
        <v>-0.93083009999999999</v>
      </c>
      <c r="Q5125">
        <v>0.36256119999999997</v>
      </c>
      <c r="R5125">
        <v>-4.5879530000000002E-2</v>
      </c>
      <c r="S5125">
        <v>-3.7117</v>
      </c>
      <c r="T5125">
        <v>-1.2506729999999999</v>
      </c>
      <c r="U5125">
        <v>-4.3182369999999998E-2</v>
      </c>
      <c r="V5125">
        <v>-5.040004E-2</v>
      </c>
      <c r="W5125">
        <v>0.37620959999999998</v>
      </c>
      <c r="X5125">
        <v>0.92516279999999995</v>
      </c>
      <c r="Y5125">
        <v>-1.552854E-2</v>
      </c>
      <c r="Z5125">
        <v>-4.2457939999999998E-3</v>
      </c>
      <c r="AA5125">
        <v>0.99987040000000005</v>
      </c>
      <c r="AB5125">
        <v>35</v>
      </c>
      <c r="AC5125">
        <v>-0.49620000000004399</v>
      </c>
      <c r="AD5125">
        <v>-0.28375429999999902</v>
      </c>
      <c r="AE5125">
        <v>-1.15000000000122E-2</v>
      </c>
      <c r="AF5125">
        <v>-1.05548680878477E-2</v>
      </c>
      <c r="AG5125">
        <v>-0.28375429999999902</v>
      </c>
      <c r="AH5125">
        <v>0.37392209368913698</v>
      </c>
      <c r="AI5125">
        <v>127.182399905392</v>
      </c>
      <c r="AJ5125">
        <v>91.616884539490201</v>
      </c>
      <c r="AK5125">
        <v>0.469516389658241</v>
      </c>
      <c r="AL5125">
        <v>67.900907145371306</v>
      </c>
      <c r="AM5125">
        <v>93.118216600196902</v>
      </c>
      <c r="AN5125">
        <v>1.000000016834</v>
      </c>
    </row>
    <row r="5126" spans="1:40" x14ac:dyDescent="0.25">
      <c r="A5126" t="str">
        <f>"20190304164950887"</f>
        <v>20190304164950887</v>
      </c>
      <c r="B5126" t="str">
        <f>"1551689390880641"</f>
        <v>1551689390880641</v>
      </c>
      <c r="C5126" t="s">
        <v>40</v>
      </c>
      <c r="D5126">
        <v>4.4165260000000002</v>
      </c>
      <c r="E5126">
        <v>0.53979999999999995</v>
      </c>
      <c r="F5126" t="s">
        <v>41</v>
      </c>
      <c r="G5126">
        <v>-328.2654</v>
      </c>
      <c r="H5126">
        <v>0.87021859999999995</v>
      </c>
      <c r="I5126">
        <v>141.88839999999999</v>
      </c>
      <c r="J5126">
        <v>-327.79559999999998</v>
      </c>
      <c r="K5126">
        <v>1.1107590000000001</v>
      </c>
      <c r="L5126">
        <v>141.87639999999999</v>
      </c>
      <c r="M5126">
        <v>-0.9998785</v>
      </c>
      <c r="N5126">
        <v>-1.4679019999999999E-2</v>
      </c>
      <c r="O5126">
        <v>5.2386289999999999E-3</v>
      </c>
      <c r="P5126">
        <v>-0.93133969999999999</v>
      </c>
      <c r="Q5126">
        <v>0.3612998</v>
      </c>
      <c r="R5126">
        <v>-4.5484289999999997E-2</v>
      </c>
      <c r="S5126">
        <v>-3.6382140000000001</v>
      </c>
      <c r="T5126">
        <v>-1.0583320000000001</v>
      </c>
      <c r="U5126">
        <v>6.1874390000000001E-2</v>
      </c>
      <c r="V5126">
        <v>-5.0186330000000001E-2</v>
      </c>
      <c r="W5126">
        <v>0.37495230000000002</v>
      </c>
      <c r="X5126">
        <v>0.92568459999999997</v>
      </c>
      <c r="Y5126">
        <v>1.146145E-2</v>
      </c>
      <c r="Z5126">
        <v>3.0159829999999998E-4</v>
      </c>
      <c r="AA5126">
        <v>0.99993430000000005</v>
      </c>
      <c r="AB5126">
        <v>35</v>
      </c>
      <c r="AC5126">
        <v>-0.46980000000001998</v>
      </c>
      <c r="AD5126">
        <v>-0.24054039999999999</v>
      </c>
      <c r="AE5126">
        <v>1.2000000000000399E-2</v>
      </c>
      <c r="AF5126">
        <v>7.5583355729548097E-3</v>
      </c>
      <c r="AG5126">
        <v>-0.24054039999999999</v>
      </c>
      <c r="AH5126">
        <v>0.37231709547997599</v>
      </c>
      <c r="AI5126">
        <v>122.85963753398001</v>
      </c>
      <c r="AJ5126">
        <v>88.837009481776803</v>
      </c>
      <c r="AK5126">
        <v>0.443324747849067</v>
      </c>
      <c r="AL5126">
        <v>67.978633819041093</v>
      </c>
      <c r="AM5126">
        <v>93.1032735836569</v>
      </c>
      <c r="AN5126">
        <v>0.99999993683565702</v>
      </c>
    </row>
    <row r="5127" spans="1:40" x14ac:dyDescent="0.25">
      <c r="A5127" t="str">
        <f>"20190304164950900"</f>
        <v>20190304164950900</v>
      </c>
      <c r="B5127" t="str">
        <f>"1551689390890402"</f>
        <v>1551689390890402</v>
      </c>
      <c r="C5127" t="s">
        <v>40</v>
      </c>
      <c r="D5127">
        <v>4.3893399999999998</v>
      </c>
      <c r="E5127">
        <v>0.53892200000000001</v>
      </c>
      <c r="F5127" t="s">
        <v>41</v>
      </c>
      <c r="G5127">
        <v>-328.57260000000002</v>
      </c>
      <c r="H5127">
        <v>0.85494400000000004</v>
      </c>
      <c r="I5127">
        <v>141.87379999999999</v>
      </c>
      <c r="J5127">
        <v>-327.99630000000002</v>
      </c>
      <c r="K5127">
        <v>1.110754</v>
      </c>
      <c r="L5127">
        <v>141.8775</v>
      </c>
      <c r="M5127">
        <v>-0.99987800000000004</v>
      </c>
      <c r="N5127">
        <v>-1.467681E-2</v>
      </c>
      <c r="O5127">
        <v>5.3460440000000003E-3</v>
      </c>
      <c r="P5127">
        <v>-0.93161709999999998</v>
      </c>
      <c r="Q5127">
        <v>0.36060189999999998</v>
      </c>
      <c r="R5127">
        <v>-4.5345509999999999E-2</v>
      </c>
      <c r="S5127">
        <v>-3.692078</v>
      </c>
      <c r="T5127">
        <v>-1.215408</v>
      </c>
      <c r="U5127">
        <v>-1.3031010000000001E-2</v>
      </c>
      <c r="V5127">
        <v>-5.0149449999999998E-2</v>
      </c>
      <c r="W5127">
        <v>0.37425599999999998</v>
      </c>
      <c r="X5127">
        <v>0.92596840000000002</v>
      </c>
      <c r="Y5127">
        <v>-8.1669680000000001E-3</v>
      </c>
      <c r="Z5127">
        <v>-3.0093110000000002E-3</v>
      </c>
      <c r="AA5127">
        <v>0.99996220000000002</v>
      </c>
      <c r="AB5127">
        <v>35</v>
      </c>
      <c r="AC5127">
        <v>-0.57630000000000303</v>
      </c>
      <c r="AD5127">
        <v>-0.25580999999999998</v>
      </c>
      <c r="AE5127">
        <v>-3.70000000000914E-3</v>
      </c>
      <c r="AF5127">
        <v>-5.6650511498586003E-3</v>
      </c>
      <c r="AG5127">
        <v>-0.25580999999999998</v>
      </c>
      <c r="AH5127">
        <v>0.48142043402359502</v>
      </c>
      <c r="AI5127">
        <v>117.982972143414</v>
      </c>
      <c r="AJ5127">
        <v>90.674189374035805</v>
      </c>
      <c r="AK5127">
        <v>0.54519398676067299</v>
      </c>
      <c r="AL5127">
        <v>68.021663421977294</v>
      </c>
      <c r="AM5127">
        <v>93.100048989438605</v>
      </c>
      <c r="AN5127">
        <v>0.999999999334931</v>
      </c>
    </row>
    <row r="5128" spans="1:40" x14ac:dyDescent="0.25">
      <c r="A5128" t="str">
        <f>"20190304164950911"</f>
        <v>20190304164950911</v>
      </c>
      <c r="B5128" t="str">
        <f>"1551689390901138"</f>
        <v>1551689390901138</v>
      </c>
      <c r="C5128" t="s">
        <v>40</v>
      </c>
      <c r="D5128">
        <v>4.4730449999999999</v>
      </c>
      <c r="E5128">
        <v>0.53812019999999905</v>
      </c>
      <c r="F5128" t="s">
        <v>41</v>
      </c>
      <c r="G5128">
        <v>-328.86989999999997</v>
      </c>
      <c r="H5128">
        <v>0.81874559999999996</v>
      </c>
      <c r="I5128">
        <v>141.8725</v>
      </c>
      <c r="J5128">
        <v>-328.19810000000001</v>
      </c>
      <c r="K5128">
        <v>1.110752</v>
      </c>
      <c r="L5128">
        <v>141.87870000000001</v>
      </c>
      <c r="M5128">
        <v>-0.99987749999999997</v>
      </c>
      <c r="N5128">
        <v>-1.467459E-2</v>
      </c>
      <c r="O5128">
        <v>5.4543500000000002E-3</v>
      </c>
      <c r="P5128">
        <v>-0.93200210000000006</v>
      </c>
      <c r="Q5128">
        <v>0.3595893</v>
      </c>
      <c r="R5128">
        <v>-4.546969E-2</v>
      </c>
      <c r="S5128">
        <v>-3.6975709999999999</v>
      </c>
      <c r="T5128">
        <v>-1.235997</v>
      </c>
      <c r="U5128">
        <v>-2.1514889999999998E-2</v>
      </c>
      <c r="V5128">
        <v>-5.0377730000000003E-2</v>
      </c>
      <c r="W5128">
        <v>0.3732472</v>
      </c>
      <c r="X5128">
        <v>0.92636309999999999</v>
      </c>
      <c r="Y5128">
        <v>-1.0409740000000001E-2</v>
      </c>
      <c r="Z5128">
        <v>-3.4692109999999998E-3</v>
      </c>
      <c r="AA5128">
        <v>0.99993980000000005</v>
      </c>
      <c r="AB5128">
        <v>35</v>
      </c>
      <c r="AC5128">
        <v>-0.67179999999996198</v>
      </c>
      <c r="AD5128">
        <v>-0.2920064</v>
      </c>
      <c r="AE5128">
        <v>-6.2000000000068597E-3</v>
      </c>
      <c r="AF5128">
        <v>-8.2970857935567594E-3</v>
      </c>
      <c r="AG5128">
        <v>-0.2920064</v>
      </c>
      <c r="AH5128">
        <v>0.56501588609151798</v>
      </c>
      <c r="AI5128">
        <v>117.32789684922</v>
      </c>
      <c r="AJ5128">
        <v>90.841310560322796</v>
      </c>
      <c r="AK5128">
        <v>0.63606566548541899</v>
      </c>
      <c r="AL5128">
        <v>68.0839793261637</v>
      </c>
      <c r="AM5128">
        <v>93.112808438389393</v>
      </c>
      <c r="AN5128">
        <v>0.99999999051470101</v>
      </c>
    </row>
    <row r="5129" spans="1:40" x14ac:dyDescent="0.25">
      <c r="A5129" t="str">
        <f>"20190304164950927"</f>
        <v>20190304164950927</v>
      </c>
      <c r="B5129" t="str">
        <f>"1551689390921164"</f>
        <v>1551689390921164</v>
      </c>
      <c r="C5129" t="s">
        <v>40</v>
      </c>
      <c r="D5129">
        <v>4.3869360000000004</v>
      </c>
      <c r="E5129">
        <v>0.53715369999999996</v>
      </c>
      <c r="F5129" t="s">
        <v>41</v>
      </c>
      <c r="G5129">
        <v>-328.89400000000001</v>
      </c>
      <c r="H5129">
        <v>0.87467340000000005</v>
      </c>
      <c r="I5129">
        <v>141.8732</v>
      </c>
      <c r="J5129">
        <v>-328.41109999999998</v>
      </c>
      <c r="K5129">
        <v>1.110746</v>
      </c>
      <c r="L5129">
        <v>141.88</v>
      </c>
      <c r="M5129">
        <v>-0.99987689999999996</v>
      </c>
      <c r="N5129">
        <v>-1.4672259999999999E-2</v>
      </c>
      <c r="O5129">
        <v>5.5686779999999996E-3</v>
      </c>
      <c r="P5129">
        <v>-0.9323167</v>
      </c>
      <c r="Q5129">
        <v>0.35876160000000001</v>
      </c>
      <c r="R5129">
        <v>-4.5561129999999998E-2</v>
      </c>
      <c r="S5129">
        <v>-3.701965</v>
      </c>
      <c r="T5129">
        <v>-1.2558659999999999</v>
      </c>
      <c r="U5129">
        <v>-2.9617310000000001E-2</v>
      </c>
      <c r="V5129">
        <v>-5.0577770000000001E-2</v>
      </c>
      <c r="W5129">
        <v>0.37242249999999999</v>
      </c>
      <c r="X5129">
        <v>0.92668410000000001</v>
      </c>
      <c r="Y5129">
        <v>-1.2549299999999999E-2</v>
      </c>
      <c r="Z5129">
        <v>-3.9234339999999999E-3</v>
      </c>
      <c r="AA5129">
        <v>0.99991359999999996</v>
      </c>
      <c r="AB5129">
        <v>35</v>
      </c>
      <c r="AC5129">
        <v>-0.48290000000002897</v>
      </c>
      <c r="AD5129">
        <v>-0.23607259999999999</v>
      </c>
      <c r="AE5129">
        <v>-6.7999999999983603E-3</v>
      </c>
      <c r="AF5129">
        <v>-7.6592013939483098E-3</v>
      </c>
      <c r="AG5129">
        <v>-0.23607259999999999</v>
      </c>
      <c r="AH5129">
        <v>0.38973175170291402</v>
      </c>
      <c r="AI5129">
        <v>121.199686624514</v>
      </c>
      <c r="AJ5129">
        <v>91.1258601054477</v>
      </c>
      <c r="AK5129">
        <v>0.45571896397031297</v>
      </c>
      <c r="AL5129">
        <v>68.134903660312503</v>
      </c>
      <c r="AM5129">
        <v>93.124063938722401</v>
      </c>
      <c r="AN5129">
        <v>1.0000000252586101</v>
      </c>
    </row>
    <row r="5130" spans="1:40" x14ac:dyDescent="0.25">
      <c r="A5130" t="str">
        <f>"20190304164950943"</f>
        <v>20190304164950943</v>
      </c>
      <c r="B5130" t="str">
        <f>"1551689390930925"</f>
        <v>1551689390930925</v>
      </c>
      <c r="C5130" t="s">
        <v>40</v>
      </c>
      <c r="D5130">
        <v>4.3946100000000001</v>
      </c>
      <c r="E5130">
        <v>0.53682319999999994</v>
      </c>
      <c r="F5130" t="s">
        <v>41</v>
      </c>
      <c r="G5130">
        <v>-329.1918</v>
      </c>
      <c r="H5130">
        <v>0.841483599999999</v>
      </c>
      <c r="I5130">
        <v>141.87200000000001</v>
      </c>
      <c r="J5130">
        <v>-328.66739999999999</v>
      </c>
      <c r="K5130">
        <v>1.110746</v>
      </c>
      <c r="L5130">
        <v>141.88149999999999</v>
      </c>
      <c r="M5130">
        <v>-0.99987610000000005</v>
      </c>
      <c r="N5130">
        <v>-1.4669379999999999E-2</v>
      </c>
      <c r="O5130">
        <v>5.706193E-3</v>
      </c>
      <c r="P5130">
        <v>-0.93288329999999997</v>
      </c>
      <c r="Q5130">
        <v>0.35715980000000003</v>
      </c>
      <c r="R5130">
        <v>-4.6536859999999999E-2</v>
      </c>
      <c r="S5130">
        <v>-3.707916</v>
      </c>
      <c r="T5130">
        <v>-1.2786679999999999</v>
      </c>
      <c r="U5130">
        <v>-3.9504999999999998E-2</v>
      </c>
      <c r="V5130">
        <v>-5.1685729999999999E-2</v>
      </c>
      <c r="W5130">
        <v>0.3708265</v>
      </c>
      <c r="X5130">
        <v>0.92726280000000005</v>
      </c>
      <c r="Y5130">
        <v>-1.5143210000000001E-2</v>
      </c>
      <c r="Z5130">
        <v>-4.4830069999999998E-3</v>
      </c>
      <c r="AA5130">
        <v>0.99987530000000002</v>
      </c>
      <c r="AB5130">
        <v>35</v>
      </c>
      <c r="AC5130">
        <v>-0.52440000000001397</v>
      </c>
      <c r="AD5130">
        <v>-0.26926240000000001</v>
      </c>
      <c r="AE5130">
        <v>-9.4999999999742998E-3</v>
      </c>
      <c r="AF5130">
        <v>-9.8867253265590392E-3</v>
      </c>
      <c r="AG5130">
        <v>-0.26926240000000001</v>
      </c>
      <c r="AH5130">
        <v>0.41496741369489099</v>
      </c>
      <c r="AI5130">
        <v>122.971149055369</v>
      </c>
      <c r="AJ5130">
        <v>91.3648312325506</v>
      </c>
      <c r="AK5130">
        <v>0.49477059514493199</v>
      </c>
      <c r="AL5130">
        <v>68.2334013865608</v>
      </c>
      <c r="AM5130">
        <v>93.190371637773197</v>
      </c>
      <c r="AN5130">
        <v>1.0000000040258601</v>
      </c>
    </row>
    <row r="5131" spans="1:40" x14ac:dyDescent="0.25">
      <c r="A5131" t="str">
        <f>"20190304164950965"</f>
        <v>20190304164950965</v>
      </c>
      <c r="B5131" t="str">
        <f>"1551689390961180"</f>
        <v>1551689390961180</v>
      </c>
      <c r="C5131" t="s">
        <v>40</v>
      </c>
      <c r="D5131">
        <v>4.3989649999999996</v>
      </c>
      <c r="E5131">
        <v>0.53626600000000002</v>
      </c>
      <c r="F5131" t="s">
        <v>41</v>
      </c>
      <c r="G5131">
        <v>-329.49549999999999</v>
      </c>
      <c r="H5131">
        <v>0.82234050000000003</v>
      </c>
      <c r="I5131">
        <v>141.8717</v>
      </c>
      <c r="J5131">
        <v>-328.99919999999997</v>
      </c>
      <c r="K5131">
        <v>1.110749</v>
      </c>
      <c r="L5131">
        <v>141.8836</v>
      </c>
      <c r="M5131">
        <v>-0.99987519999999996</v>
      </c>
      <c r="N5131">
        <v>-1.4665559999999999E-2</v>
      </c>
      <c r="O5131">
        <v>5.883704E-3</v>
      </c>
      <c r="P5131">
        <v>-0.93292489999999995</v>
      </c>
      <c r="Q5131">
        <v>0.35687790000000003</v>
      </c>
      <c r="R5131">
        <v>-4.7850879999999998E-2</v>
      </c>
      <c r="S5131">
        <v>-3.7079770000000001</v>
      </c>
      <c r="T5131">
        <v>-1.2913159999999999</v>
      </c>
      <c r="U5131">
        <v>-4.4784549999999999E-2</v>
      </c>
      <c r="V5131">
        <v>-5.3166310000000001E-2</v>
      </c>
      <c r="W5131">
        <v>0.37054179999999998</v>
      </c>
      <c r="X5131">
        <v>0.92729289999999998</v>
      </c>
      <c r="Y5131">
        <v>-1.6620159999999998E-2</v>
      </c>
      <c r="Z5131">
        <v>-4.8430640000000002E-3</v>
      </c>
      <c r="AA5131">
        <v>0.99985020000000002</v>
      </c>
      <c r="AB5131">
        <v>35</v>
      </c>
      <c r="AC5131">
        <v>-0.496300000000019</v>
      </c>
      <c r="AD5131">
        <v>-0.28840850000000001</v>
      </c>
      <c r="AE5131">
        <v>-1.18999999999971E-2</v>
      </c>
      <c r="AF5131">
        <v>-1.10804891623076E-2</v>
      </c>
      <c r="AG5131">
        <v>-0.28840850000000001</v>
      </c>
      <c r="AH5131">
        <v>0.37100574284247001</v>
      </c>
      <c r="AI5131">
        <v>127.848024899159</v>
      </c>
      <c r="AJ5131">
        <v>91.710692123036694</v>
      </c>
      <c r="AK5131">
        <v>0.47005053061816598</v>
      </c>
      <c r="AL5131">
        <v>68.250964683892605</v>
      </c>
      <c r="AM5131">
        <v>93.281459196705399</v>
      </c>
      <c r="AN5131">
        <v>1.00000000222833</v>
      </c>
    </row>
    <row r="5132" spans="1:40" x14ac:dyDescent="0.25">
      <c r="A5132" t="str">
        <f>"20190304164950980"</f>
        <v>20190304164950980</v>
      </c>
      <c r="B5132" t="str">
        <f>"1551689390970941"</f>
        <v>1551689390970941</v>
      </c>
      <c r="C5132" t="s">
        <v>40</v>
      </c>
      <c r="D5132">
        <v>4.3833120000000001</v>
      </c>
      <c r="E5132">
        <v>0.53619669999999997</v>
      </c>
      <c r="F5132" t="s">
        <v>41</v>
      </c>
      <c r="G5132">
        <v>-329.80880000000002</v>
      </c>
      <c r="H5132">
        <v>0.82651229999999998</v>
      </c>
      <c r="I5132">
        <v>141.87209999999999</v>
      </c>
      <c r="J5132">
        <v>-329.24599999999998</v>
      </c>
      <c r="K5132">
        <v>1.1107499999999999</v>
      </c>
      <c r="L5132">
        <v>141.8852</v>
      </c>
      <c r="M5132">
        <v>-0.99987459999999995</v>
      </c>
      <c r="N5132">
        <v>-1.466277E-2</v>
      </c>
      <c r="O5132">
        <v>6.0154939999999997E-3</v>
      </c>
      <c r="P5132">
        <v>-0.93286159999999996</v>
      </c>
      <c r="Q5132">
        <v>0.35696749999999999</v>
      </c>
      <c r="R5132">
        <v>-4.8416189999999998E-2</v>
      </c>
      <c r="S5132">
        <v>-3.7113339999999999</v>
      </c>
      <c r="T5132">
        <v>-1.3028709999999999</v>
      </c>
      <c r="U5132">
        <v>-5.3833010000000001E-2</v>
      </c>
      <c r="V5132">
        <v>-5.3854520000000003E-2</v>
      </c>
      <c r="W5132">
        <v>0.37062820000000002</v>
      </c>
      <c r="X5132">
        <v>0.92721869999999995</v>
      </c>
      <c r="Y5132">
        <v>-1.9001359999999998E-2</v>
      </c>
      <c r="Z5132">
        <v>-5.3463249999999999E-3</v>
      </c>
      <c r="AA5132">
        <v>0.99980519999999995</v>
      </c>
      <c r="AB5132">
        <v>35</v>
      </c>
      <c r="AC5132">
        <v>-0.56280000000003805</v>
      </c>
      <c r="AD5132">
        <v>-0.28423769999999898</v>
      </c>
      <c r="AE5132">
        <v>-1.3100000000008501E-2</v>
      </c>
      <c r="AF5132">
        <v>-1.31367119795143E-2</v>
      </c>
      <c r="AG5132">
        <v>-0.28423769999999898</v>
      </c>
      <c r="AH5132">
        <v>0.44840052119519003</v>
      </c>
      <c r="AI5132">
        <v>122.359188288206</v>
      </c>
      <c r="AJ5132">
        <v>91.678104476115706</v>
      </c>
      <c r="AK5132">
        <v>0.53106183322758305</v>
      </c>
      <c r="AL5132">
        <v>68.245635808889602</v>
      </c>
      <c r="AM5132">
        <v>93.324106726505207</v>
      </c>
      <c r="AN5132">
        <v>1.00000004479467</v>
      </c>
    </row>
    <row r="5133" spans="1:40" x14ac:dyDescent="0.25">
      <c r="A5133" t="str">
        <f>"20190304164950992"</f>
        <v>20190304164950992</v>
      </c>
      <c r="B5133" t="str">
        <f>"1551689390981183"</f>
        <v>1551689390981183</v>
      </c>
      <c r="C5133" t="s">
        <v>40</v>
      </c>
      <c r="D5133">
        <v>4.3933090000000004</v>
      </c>
      <c r="E5133">
        <v>0.53608889999999998</v>
      </c>
      <c r="F5133" t="s">
        <v>41</v>
      </c>
      <c r="G5133">
        <v>-330.11180000000002</v>
      </c>
      <c r="H5133">
        <v>0.80658879999999999</v>
      </c>
      <c r="I5133">
        <v>141.87219999999999</v>
      </c>
      <c r="J5133">
        <v>-329.44699999999898</v>
      </c>
      <c r="K5133">
        <v>1.1107499999999999</v>
      </c>
      <c r="L5133">
        <v>141.88650000000001</v>
      </c>
      <c r="M5133">
        <v>-0.99987389999999998</v>
      </c>
      <c r="N5133">
        <v>-1.4660589999999999E-2</v>
      </c>
      <c r="O5133">
        <v>6.1227259999999898E-3</v>
      </c>
      <c r="P5133">
        <v>-0.93292390000000003</v>
      </c>
      <c r="Q5133">
        <v>0.35667409999999999</v>
      </c>
      <c r="R5133">
        <v>-4.9366170000000001E-2</v>
      </c>
      <c r="S5133">
        <v>-3.7119140000000002</v>
      </c>
      <c r="T5133">
        <v>-1.303866</v>
      </c>
      <c r="U5133">
        <v>-5.673218E-2</v>
      </c>
      <c r="V5133">
        <v>-5.4905290000000002E-2</v>
      </c>
      <c r="W5133">
        <v>0.370334</v>
      </c>
      <c r="X5133">
        <v>0.92727459999999995</v>
      </c>
      <c r="Y5133">
        <v>-1.9827689999999999E-2</v>
      </c>
      <c r="Z5133">
        <v>-5.5315169999999997E-3</v>
      </c>
      <c r="AA5133">
        <v>0.99978809999999996</v>
      </c>
      <c r="AB5133">
        <v>35</v>
      </c>
      <c r="AC5133">
        <v>-0.66480000000007</v>
      </c>
      <c r="AD5133">
        <v>-0.30416119999999902</v>
      </c>
      <c r="AE5133">
        <v>-1.4300000000019899E-2</v>
      </c>
      <c r="AF5133">
        <v>-1.5191941700034199E-2</v>
      </c>
      <c r="AG5133">
        <v>-0.30416119999999902</v>
      </c>
      <c r="AH5133">
        <v>0.54968845689201196</v>
      </c>
      <c r="AI5133">
        <v>118.947972527058</v>
      </c>
      <c r="AJ5133">
        <v>91.583101506148296</v>
      </c>
      <c r="AK5133">
        <v>0.62841246830276898</v>
      </c>
      <c r="AL5133">
        <v>68.263783129745306</v>
      </c>
      <c r="AM5133">
        <v>93.3886107379669</v>
      </c>
      <c r="AN5133">
        <v>1.0000000231155699</v>
      </c>
    </row>
    <row r="5134" spans="1:40" x14ac:dyDescent="0.25">
      <c r="A5134" t="str">
        <f>"20190304164951009"</f>
        <v>20190304164951009</v>
      </c>
      <c r="B5134" t="str">
        <f>"1551689391000732"</f>
        <v>1551689391000732</v>
      </c>
      <c r="C5134" t="s">
        <v>40</v>
      </c>
      <c r="D5134">
        <v>4.3985019999999997</v>
      </c>
      <c r="E5134">
        <v>0.53594679999999995</v>
      </c>
      <c r="F5134" t="s">
        <v>41</v>
      </c>
      <c r="G5134">
        <v>-330.13780000000003</v>
      </c>
      <c r="H5134">
        <v>0.86747919999999901</v>
      </c>
      <c r="I5134">
        <v>141.87530000000001</v>
      </c>
      <c r="J5134">
        <v>-329.70319999999998</v>
      </c>
      <c r="K5134">
        <v>1.1107479999999901</v>
      </c>
      <c r="L5134">
        <v>141.88820000000001</v>
      </c>
      <c r="M5134">
        <v>-0.99987289999999995</v>
      </c>
      <c r="N5134">
        <v>-1.465791E-2</v>
      </c>
      <c r="O5134">
        <v>6.2589840000000004E-3</v>
      </c>
      <c r="P5134">
        <v>-0.93296539999999994</v>
      </c>
      <c r="Q5134">
        <v>0.35627690000000001</v>
      </c>
      <c r="R5134">
        <v>-5.1402570000000002E-2</v>
      </c>
      <c r="S5134">
        <v>-3.7122190000000002</v>
      </c>
      <c r="T5134">
        <v>-1.3072539999999999</v>
      </c>
      <c r="U5134">
        <v>-6.1599729999999998E-2</v>
      </c>
      <c r="V5134">
        <v>-5.7069979999999999E-2</v>
      </c>
      <c r="W5134">
        <v>0.36993540000000003</v>
      </c>
      <c r="X5134">
        <v>0.92730299999999999</v>
      </c>
      <c r="Y5134">
        <v>-2.1173540000000001E-2</v>
      </c>
      <c r="Z5134">
        <v>-5.8293040000000004E-3</v>
      </c>
      <c r="AA5134">
        <v>0.99975879999999995</v>
      </c>
      <c r="AB5134">
        <v>35</v>
      </c>
      <c r="AC5134">
        <v>-0.43460000000004501</v>
      </c>
      <c r="AD5134">
        <v>-0.24326879999999901</v>
      </c>
      <c r="AE5134">
        <v>-1.29000000000019E-2</v>
      </c>
      <c r="AF5134">
        <v>-1.18961335317597E-2</v>
      </c>
      <c r="AG5134">
        <v>-0.24326879999999901</v>
      </c>
      <c r="AH5134">
        <v>0.33091763598468199</v>
      </c>
      <c r="AI5134">
        <v>126.30321519639401</v>
      </c>
      <c r="AJ5134">
        <v>92.058835135157494</v>
      </c>
      <c r="AK5134">
        <v>0.41088649144518702</v>
      </c>
      <c r="AL5134">
        <v>68.288367127342397</v>
      </c>
      <c r="AM5134">
        <v>93.521772228829704</v>
      </c>
      <c r="AN5134">
        <v>1.00000001829968</v>
      </c>
    </row>
    <row r="5135" spans="1:40" x14ac:dyDescent="0.25">
      <c r="A5135" t="str">
        <f>"20190304164951023"</f>
        <v>20190304164951023</v>
      </c>
      <c r="B5135" t="str">
        <f>"1551689391021225"</f>
        <v>1551689391021225</v>
      </c>
      <c r="C5135" t="s">
        <v>40</v>
      </c>
      <c r="D5135">
        <v>4.3770319999999998</v>
      </c>
      <c r="E5135">
        <v>0.53581899999999905</v>
      </c>
      <c r="F5135" t="s">
        <v>41</v>
      </c>
      <c r="G5135">
        <v>-330.44110000000001</v>
      </c>
      <c r="H5135">
        <v>0.85005309999999901</v>
      </c>
      <c r="I5135">
        <v>141.87450000000001</v>
      </c>
      <c r="J5135">
        <v>-329.92</v>
      </c>
      <c r="K5135">
        <v>1.1107450000000001</v>
      </c>
      <c r="L5135">
        <v>141.8897</v>
      </c>
      <c r="M5135">
        <v>-0.99987239999999999</v>
      </c>
      <c r="N5135">
        <v>-1.4655629999999999E-2</v>
      </c>
      <c r="O5135">
        <v>6.3737840000000004E-3</v>
      </c>
      <c r="P5135">
        <v>-0.93288769999999999</v>
      </c>
      <c r="Q5135">
        <v>0.35634359999999998</v>
      </c>
      <c r="R5135">
        <v>-5.2346179999999999E-2</v>
      </c>
      <c r="S5135">
        <v>-3.7125240000000002</v>
      </c>
      <c r="T5135">
        <v>-1.311453</v>
      </c>
      <c r="U5135">
        <v>-7.0449830000000005E-2</v>
      </c>
      <c r="V5135">
        <v>-5.8120739999999997E-2</v>
      </c>
      <c r="W5135">
        <v>0.36999919999999997</v>
      </c>
      <c r="X5135">
        <v>0.92721229999999999</v>
      </c>
      <c r="Y5135">
        <v>-2.350555E-2</v>
      </c>
      <c r="Z5135">
        <v>-6.3013180000000002E-3</v>
      </c>
      <c r="AA5135">
        <v>0.99970380000000003</v>
      </c>
      <c r="AB5135">
        <v>35</v>
      </c>
      <c r="AC5135">
        <v>-0.52109999999998902</v>
      </c>
      <c r="AD5135">
        <v>-0.26069189999999998</v>
      </c>
      <c r="AE5135">
        <v>-1.51999999999929E-2</v>
      </c>
      <c r="AF5135">
        <v>-1.48164343906601E-2</v>
      </c>
      <c r="AG5135">
        <v>-0.26069189999999998</v>
      </c>
      <c r="AH5135">
        <v>0.41677413707192001</v>
      </c>
      <c r="AI5135">
        <v>122.009681969711</v>
      </c>
      <c r="AJ5135">
        <v>92.036023174026596</v>
      </c>
      <c r="AK5135">
        <v>0.49181345527110798</v>
      </c>
      <c r="AL5135">
        <v>68.284432941183098</v>
      </c>
      <c r="AM5135">
        <v>93.586796521502805</v>
      </c>
      <c r="AN5135">
        <v>1.0000000388450301</v>
      </c>
    </row>
    <row r="5136" spans="1:40" x14ac:dyDescent="0.25">
      <c r="A5136" t="str">
        <f>"20190304164951042"</f>
        <v>20190304164951042</v>
      </c>
      <c r="B5136" t="str">
        <f>"1551689391030984"</f>
        <v>1551689391030984</v>
      </c>
      <c r="C5136" t="s">
        <v>40</v>
      </c>
      <c r="D5136">
        <v>4.3766759999999998</v>
      </c>
      <c r="E5136">
        <v>0.53578349999999997</v>
      </c>
      <c r="F5136" t="s">
        <v>41</v>
      </c>
      <c r="G5136">
        <v>-330.73899999999998</v>
      </c>
      <c r="H5136">
        <v>0.82107839999999999</v>
      </c>
      <c r="I5136">
        <v>141.8733</v>
      </c>
      <c r="J5136">
        <v>-330.21289999999999</v>
      </c>
      <c r="K5136">
        <v>1.110746</v>
      </c>
      <c r="L5136">
        <v>141.89169999999999</v>
      </c>
      <c r="M5136">
        <v>-0.99987139999999997</v>
      </c>
      <c r="N5136">
        <v>-1.465256E-2</v>
      </c>
      <c r="O5136">
        <v>6.5286980000000003E-3</v>
      </c>
      <c r="P5136">
        <v>-0.93293009999999998</v>
      </c>
      <c r="Q5136">
        <v>0.35581849999999998</v>
      </c>
      <c r="R5136">
        <v>-5.5090029999999998E-2</v>
      </c>
      <c r="S5136">
        <v>-3.7131959999999999</v>
      </c>
      <c r="T5136">
        <v>-1.3132090000000001</v>
      </c>
      <c r="U5136">
        <v>-7.5454709999999994E-2</v>
      </c>
      <c r="V5136">
        <v>-6.1009790000000001E-2</v>
      </c>
      <c r="W5136">
        <v>0.36947279999999999</v>
      </c>
      <c r="X5136">
        <v>0.92723659999999997</v>
      </c>
      <c r="Y5136">
        <v>-2.4902730000000001E-2</v>
      </c>
      <c r="Z5136">
        <v>-6.6093130000000003E-3</v>
      </c>
      <c r="AA5136">
        <v>0.999668</v>
      </c>
      <c r="AB5136">
        <v>35</v>
      </c>
      <c r="AC5136">
        <v>-0.52610000000004198</v>
      </c>
      <c r="AD5136">
        <v>-0.28966759999999903</v>
      </c>
      <c r="AE5136">
        <v>-1.8399999999985501E-2</v>
      </c>
      <c r="AF5136">
        <v>-1.6760054790009998E-2</v>
      </c>
      <c r="AG5136">
        <v>-0.28966759999999903</v>
      </c>
      <c r="AH5136">
        <v>0.4037267961039</v>
      </c>
      <c r="AI5136">
        <v>125.635480967842</v>
      </c>
      <c r="AJ5136">
        <v>92.377175225738895</v>
      </c>
      <c r="AK5136">
        <v>0.49717556639344601</v>
      </c>
      <c r="AL5136">
        <v>68.316893473084306</v>
      </c>
      <c r="AM5136">
        <v>93.764489053676598</v>
      </c>
      <c r="AN5136">
        <v>1.00000002839762</v>
      </c>
    </row>
    <row r="5137" spans="1:40" x14ac:dyDescent="0.25">
      <c r="A5137" t="str">
        <f>"20190304164951056"</f>
        <v>20190304164951056</v>
      </c>
      <c r="B5137" t="str">
        <f>"1551689391050505"</f>
        <v>1551689391050505</v>
      </c>
      <c r="C5137" t="s">
        <v>40</v>
      </c>
      <c r="D5137">
        <v>4.4075870000000004</v>
      </c>
      <c r="E5137">
        <v>0.53564599999999996</v>
      </c>
      <c r="F5137" t="s">
        <v>41</v>
      </c>
      <c r="G5137">
        <v>-331.04680000000002</v>
      </c>
      <c r="H5137">
        <v>0.81517600000000001</v>
      </c>
      <c r="I5137">
        <v>141.87270000000001</v>
      </c>
      <c r="J5137">
        <v>-330.42829999999998</v>
      </c>
      <c r="K5137">
        <v>1.110754</v>
      </c>
      <c r="L5137">
        <v>141.89320000000001</v>
      </c>
      <c r="M5137">
        <v>-0.9998707</v>
      </c>
      <c r="N5137">
        <v>-1.465029E-2</v>
      </c>
      <c r="O5137">
        <v>6.6421269999999899E-3</v>
      </c>
      <c r="P5137">
        <v>-0.93282500000000002</v>
      </c>
      <c r="Q5137">
        <v>0.35593229999999998</v>
      </c>
      <c r="R5137">
        <v>-5.6125170000000002E-2</v>
      </c>
      <c r="S5137">
        <v>-3.7123719999999998</v>
      </c>
      <c r="T5137">
        <v>-1.3157479999999999</v>
      </c>
      <c r="U5137">
        <v>-8.6151119999999998E-2</v>
      </c>
      <c r="V5137">
        <v>-6.2150200000000003E-2</v>
      </c>
      <c r="W5137">
        <v>0.3695832</v>
      </c>
      <c r="X5137">
        <v>0.92711690000000002</v>
      </c>
      <c r="Y5137">
        <v>-2.770686E-2</v>
      </c>
      <c r="Z5137">
        <v>-7.1631350000000002E-3</v>
      </c>
      <c r="AA5137">
        <v>0.99959039999999999</v>
      </c>
      <c r="AB5137">
        <v>35</v>
      </c>
      <c r="AC5137">
        <v>-0.61850000000004002</v>
      </c>
      <c r="AD5137">
        <v>-0.29557800000000001</v>
      </c>
      <c r="AE5137">
        <v>-2.0499999999998401E-2</v>
      </c>
      <c r="AF5137">
        <v>-2.00370362208089E-2</v>
      </c>
      <c r="AG5137">
        <v>-0.29557800000000001</v>
      </c>
      <c r="AH5137">
        <v>0.50348798918187398</v>
      </c>
      <c r="AI5137">
        <v>120.395730276366</v>
      </c>
      <c r="AJ5137">
        <v>92.278966208126704</v>
      </c>
      <c r="AK5137">
        <v>0.58418147193737702</v>
      </c>
      <c r="AL5137">
        <v>68.310087092583203</v>
      </c>
      <c r="AM5137">
        <v>93.835141400873894</v>
      </c>
      <c r="AN5137">
        <v>1.00000006767394</v>
      </c>
    </row>
    <row r="5138" spans="1:40" x14ac:dyDescent="0.25">
      <c r="A5138" t="str">
        <f>"20190304164951069"</f>
        <v>20190304164951069</v>
      </c>
      <c r="B5138" t="str">
        <f>"1551689391061241"</f>
        <v>1551689391061241</v>
      </c>
      <c r="C5138" t="s">
        <v>40</v>
      </c>
      <c r="D5138">
        <v>4.4080789999999999</v>
      </c>
      <c r="E5138">
        <v>0.5356109</v>
      </c>
      <c r="F5138" t="s">
        <v>41</v>
      </c>
      <c r="G5138">
        <v>-331.34460000000001</v>
      </c>
      <c r="H5138">
        <v>0.78579330000000003</v>
      </c>
      <c r="I5138">
        <v>141.8707</v>
      </c>
      <c r="J5138">
        <v>-330.63699999999898</v>
      </c>
      <c r="K5138">
        <v>1.110754</v>
      </c>
      <c r="L5138">
        <v>141.8947</v>
      </c>
      <c r="M5138">
        <v>-0.99987009999999998</v>
      </c>
      <c r="N5138">
        <v>-1.4648069999999999E-2</v>
      </c>
      <c r="O5138">
        <v>6.7522169999999996E-3</v>
      </c>
      <c r="P5138">
        <v>-0.93272429999999995</v>
      </c>
      <c r="Q5138">
        <v>0.3559715</v>
      </c>
      <c r="R5138">
        <v>-5.7531110000000003E-2</v>
      </c>
      <c r="S5138">
        <v>-3.712952</v>
      </c>
      <c r="T5138">
        <v>-1.3168219999999999</v>
      </c>
      <c r="U5138">
        <v>-9.2452999999999994E-2</v>
      </c>
      <c r="V5138">
        <v>-6.365883E-2</v>
      </c>
      <c r="W5138">
        <v>0.36961949999999999</v>
      </c>
      <c r="X5138">
        <v>0.92700000000000005</v>
      </c>
      <c r="Y5138">
        <v>-2.9392720000000001E-2</v>
      </c>
      <c r="Z5138">
        <v>-7.5065000000000002E-3</v>
      </c>
      <c r="AA5138">
        <v>0.99953970000000003</v>
      </c>
      <c r="AB5138">
        <v>35</v>
      </c>
      <c r="AC5138">
        <v>-0.70760000000006995</v>
      </c>
      <c r="AD5138">
        <v>-0.32496069999999899</v>
      </c>
      <c r="AE5138">
        <v>-2.4000000000000899E-2</v>
      </c>
      <c r="AF5138">
        <v>-2.3770323525224801E-2</v>
      </c>
      <c r="AG5138">
        <v>-0.32496069999999899</v>
      </c>
      <c r="AH5138">
        <v>0.58432630327726098</v>
      </c>
      <c r="AI5138">
        <v>119.059581215538</v>
      </c>
      <c r="AJ5138">
        <v>92.329500971531303</v>
      </c>
      <c r="AK5138">
        <v>0.66903042795276002</v>
      </c>
      <c r="AL5138">
        <v>68.307847462274296</v>
      </c>
      <c r="AM5138">
        <v>93.928441188657501</v>
      </c>
      <c r="AN5138">
        <v>1.0000000107086</v>
      </c>
    </row>
    <row r="5139" spans="1:40" x14ac:dyDescent="0.25">
      <c r="A5139" t="str">
        <f>"20190304164951081"</f>
        <v>20190304164951081</v>
      </c>
      <c r="B5139" t="str">
        <f>"1551689391071001"</f>
        <v>1551689391071001</v>
      </c>
      <c r="C5139" t="s">
        <v>40</v>
      </c>
      <c r="D5139">
        <v>4.3968089999999904</v>
      </c>
      <c r="E5139">
        <v>0.53560030000000003</v>
      </c>
      <c r="F5139" t="s">
        <v>41</v>
      </c>
      <c r="G5139">
        <v>-331.37169999999998</v>
      </c>
      <c r="H5139">
        <v>0.85011680000000001</v>
      </c>
      <c r="I5139">
        <v>141.87540000000001</v>
      </c>
      <c r="J5139">
        <v>-330.82240000000002</v>
      </c>
      <c r="K5139">
        <v>1.1107549999999999</v>
      </c>
      <c r="L5139">
        <v>141.89599999999999</v>
      </c>
      <c r="M5139">
        <v>-0.99986940000000002</v>
      </c>
      <c r="N5139">
        <v>-1.464611E-2</v>
      </c>
      <c r="O5139">
        <v>6.849969E-3</v>
      </c>
      <c r="P5139">
        <v>-0.93270419999999998</v>
      </c>
      <c r="Q5139">
        <v>0.35582970000000003</v>
      </c>
      <c r="R5139">
        <v>-5.8721809999999999E-2</v>
      </c>
      <c r="S5139">
        <v>-3.712952</v>
      </c>
      <c r="T5139">
        <v>-1.317178</v>
      </c>
      <c r="U5139">
        <v>-9.9136349999999998E-2</v>
      </c>
      <c r="V5139">
        <v>-6.4941120000000005E-2</v>
      </c>
      <c r="W5139">
        <v>0.36947590000000002</v>
      </c>
      <c r="X5139">
        <v>0.92696829999999997</v>
      </c>
      <c r="Y5139">
        <v>-3.1168700000000001E-2</v>
      </c>
      <c r="Z5139">
        <v>-7.8595179999999994E-3</v>
      </c>
      <c r="AA5139">
        <v>0.99948320000000002</v>
      </c>
      <c r="AB5139">
        <v>35</v>
      </c>
      <c r="AC5139">
        <v>-0.54929999999995904</v>
      </c>
      <c r="AD5139">
        <v>-0.26063819999999899</v>
      </c>
      <c r="AE5139">
        <v>-2.06000000000017E-2</v>
      </c>
      <c r="AF5139">
        <v>-1.9890668061886201E-2</v>
      </c>
      <c r="AG5139">
        <v>-0.26063819999999899</v>
      </c>
      <c r="AH5139">
        <v>0.44834611450852302</v>
      </c>
      <c r="AI5139">
        <v>120.146362714708</v>
      </c>
      <c r="AJ5139">
        <v>92.540235065350004</v>
      </c>
      <c r="AK5139">
        <v>0.51898183818904298</v>
      </c>
      <c r="AL5139">
        <v>68.316701900092895</v>
      </c>
      <c r="AM5139">
        <v>94.007453727680698</v>
      </c>
      <c r="AN5139">
        <v>1.00000000947627</v>
      </c>
    </row>
    <row r="5140" spans="1:40" x14ac:dyDescent="0.25">
      <c r="A5140" t="str">
        <f>"20190304164951093"</f>
        <v>20190304164951093</v>
      </c>
      <c r="B5140" t="str">
        <f>"1551689391090520"</f>
        <v>1551689391090520</v>
      </c>
      <c r="C5140" t="s">
        <v>40</v>
      </c>
      <c r="D5140">
        <v>4.3122099999999897</v>
      </c>
      <c r="E5140">
        <v>0.53551510000000002</v>
      </c>
      <c r="F5140" t="s">
        <v>41</v>
      </c>
      <c r="G5140">
        <v>-331.66460000000001</v>
      </c>
      <c r="H5140">
        <v>0.81180379999999996</v>
      </c>
      <c r="I5140">
        <v>141.8724</v>
      </c>
      <c r="J5140">
        <v>-331.01620000000003</v>
      </c>
      <c r="K5140">
        <v>1.110757</v>
      </c>
      <c r="L5140">
        <v>141.8974</v>
      </c>
      <c r="M5140">
        <v>-0.9998688</v>
      </c>
      <c r="N5140">
        <v>-1.464406E-2</v>
      </c>
      <c r="O5140">
        <v>6.9521330000000001E-3</v>
      </c>
      <c r="P5140">
        <v>-0.93261510000000003</v>
      </c>
      <c r="Q5140">
        <v>0.35582340000000001</v>
      </c>
      <c r="R5140">
        <v>-6.015914E-2</v>
      </c>
      <c r="S5140">
        <v>-3.7126769999999998</v>
      </c>
      <c r="T5140">
        <v>-1.3179000000000001</v>
      </c>
      <c r="U5140">
        <v>-0.1047516</v>
      </c>
      <c r="V5140">
        <v>-6.6473329999999997E-2</v>
      </c>
      <c r="W5140">
        <v>0.36946620000000002</v>
      </c>
      <c r="X5140">
        <v>0.92686360000000001</v>
      </c>
      <c r="Y5140">
        <v>-3.2678529999999997E-2</v>
      </c>
      <c r="Z5140">
        <v>-8.1690100000000009E-3</v>
      </c>
      <c r="AA5140">
        <v>0.99943249999999995</v>
      </c>
      <c r="AB5140">
        <v>35</v>
      </c>
      <c r="AC5140">
        <v>-0.64839999999997999</v>
      </c>
      <c r="AD5140">
        <v>-0.29895319999999898</v>
      </c>
      <c r="AE5140">
        <v>-2.5000000000005601E-2</v>
      </c>
      <c r="AF5140">
        <v>-2.4340947343707901E-2</v>
      </c>
      <c r="AG5140">
        <v>-0.29895319999999898</v>
      </c>
      <c r="AH5140">
        <v>0.534710912028039</v>
      </c>
      <c r="AI5140">
        <v>119.184002626693</v>
      </c>
      <c r="AJ5140">
        <v>92.606401674948103</v>
      </c>
      <c r="AK5140">
        <v>0.613091556743107</v>
      </c>
      <c r="AL5140">
        <v>68.317301020469102</v>
      </c>
      <c r="AM5140">
        <v>94.102147667820503</v>
      </c>
      <c r="AN5140">
        <v>1.00000005477434</v>
      </c>
    </row>
    <row r="5141" spans="1:40" x14ac:dyDescent="0.25">
      <c r="A5141" t="str">
        <f>"20190304164951110"</f>
        <v>20190304164951110</v>
      </c>
      <c r="B5141" t="str">
        <f>"1551689391101260"</f>
        <v>1551689391101260</v>
      </c>
      <c r="C5141" t="s">
        <v>40</v>
      </c>
      <c r="D5141">
        <v>4.5529970000000004</v>
      </c>
      <c r="E5141">
        <v>0.53551510000000002</v>
      </c>
      <c r="F5141" t="s">
        <v>41</v>
      </c>
      <c r="G5141">
        <v>-331.69029999999998</v>
      </c>
      <c r="H5141">
        <v>0.87142249999999999</v>
      </c>
      <c r="I5141">
        <v>141.87739999999999</v>
      </c>
      <c r="J5141">
        <v>-331.26029999999997</v>
      </c>
      <c r="K5141">
        <v>1.110754</v>
      </c>
      <c r="L5141">
        <v>141.89920000000001</v>
      </c>
      <c r="M5141">
        <v>-0.99986790000000003</v>
      </c>
      <c r="N5141">
        <v>-1.464147E-2</v>
      </c>
      <c r="O5141">
        <v>7.0794439999999998E-3</v>
      </c>
      <c r="P5141">
        <v>-0.93266119999999997</v>
      </c>
      <c r="Q5141">
        <v>0.35516599999999998</v>
      </c>
      <c r="R5141">
        <v>-6.3248670000000007E-2</v>
      </c>
      <c r="S5141">
        <v>-3.712494</v>
      </c>
      <c r="T5141">
        <v>-1.318152</v>
      </c>
      <c r="U5141">
        <v>-0.1112823</v>
      </c>
      <c r="V5141">
        <v>-6.9683040000000002E-2</v>
      </c>
      <c r="W5141">
        <v>0.36880849999999998</v>
      </c>
      <c r="X5141">
        <v>0.92688970000000004</v>
      </c>
      <c r="Y5141">
        <v>-3.4443040000000001E-2</v>
      </c>
      <c r="Z5141">
        <v>-8.5298919999999903E-3</v>
      </c>
      <c r="AA5141">
        <v>0.99937030000000004</v>
      </c>
      <c r="AB5141">
        <v>35</v>
      </c>
      <c r="AC5141">
        <v>-0.43000000000000599</v>
      </c>
      <c r="AD5141">
        <v>-0.2393315</v>
      </c>
      <c r="AE5141">
        <v>-2.1800000000013101E-2</v>
      </c>
      <c r="AF5141">
        <v>-1.8979436135347399E-2</v>
      </c>
      <c r="AG5141">
        <v>-0.2393315</v>
      </c>
      <c r="AH5141">
        <v>0.32837075798416199</v>
      </c>
      <c r="AI5141">
        <v>126.040795867466</v>
      </c>
      <c r="AJ5141">
        <v>93.307947020010801</v>
      </c>
      <c r="AK5141">
        <v>0.40677652413500798</v>
      </c>
      <c r="AL5141">
        <v>68.3578463024255</v>
      </c>
      <c r="AM5141">
        <v>94.299376310685204</v>
      </c>
      <c r="AN5141">
        <v>0.99999997585098999</v>
      </c>
    </row>
    <row r="5142" spans="1:40" x14ac:dyDescent="0.25">
      <c r="A5142" t="str">
        <f>"20190304164951144"</f>
        <v>20190304164951144</v>
      </c>
      <c r="B5142" t="str">
        <f>"1551689391130538"</f>
        <v>1551689391130538</v>
      </c>
      <c r="C5142" t="s">
        <v>40</v>
      </c>
      <c r="D5142">
        <v>4.3665019999999997</v>
      </c>
      <c r="E5142">
        <v>0.53911260000000005</v>
      </c>
      <c r="F5142" t="s">
        <v>41</v>
      </c>
      <c r="G5142">
        <v>-331.99059999999997</v>
      </c>
      <c r="H5142">
        <v>0.85084869999999901</v>
      </c>
      <c r="I5142">
        <v>141.87540000000001</v>
      </c>
      <c r="J5142">
        <v>-331.78059999999999</v>
      </c>
      <c r="K5142">
        <v>1.11076</v>
      </c>
      <c r="L5142">
        <v>141.9032</v>
      </c>
      <c r="M5142">
        <v>-0.99986589999999997</v>
      </c>
      <c r="N5142">
        <v>-1.463572E-2</v>
      </c>
      <c r="O5142">
        <v>7.3458380000000004E-3</v>
      </c>
      <c r="P5142">
        <v>-0.93257049999999997</v>
      </c>
      <c r="Q5142">
        <v>0.35451100000000002</v>
      </c>
      <c r="R5142">
        <v>-6.8074930000000006E-2</v>
      </c>
      <c r="S5142">
        <v>-3.7112729999999998</v>
      </c>
      <c r="T5142">
        <v>-1.3206260000000001</v>
      </c>
      <c r="U5142">
        <v>-0.12199400000000001</v>
      </c>
      <c r="V5142">
        <v>-7.4760560000000004E-2</v>
      </c>
      <c r="W5142">
        <v>0.36814760000000002</v>
      </c>
      <c r="X5142">
        <v>0.92675689999999999</v>
      </c>
      <c r="Y5142">
        <v>-3.7386269999999999E-2</v>
      </c>
      <c r="Z5142">
        <v>-9.1652550000000006E-3</v>
      </c>
      <c r="AA5142">
        <v>0.99925889999999995</v>
      </c>
      <c r="AB5142">
        <v>35</v>
      </c>
      <c r="AC5142">
        <v>-0.20999999999997901</v>
      </c>
      <c r="AD5142">
        <v>-0.25991130000000001</v>
      </c>
      <c r="AE5142">
        <v>-2.7799999999984899E-2</v>
      </c>
      <c r="AF5142">
        <v>-1.1711278830910801E-2</v>
      </c>
      <c r="AG5142">
        <v>-0.25991130000000001</v>
      </c>
      <c r="AH5142">
        <v>8.3733449790880293E-2</v>
      </c>
      <c r="AI5142">
        <v>161.980426836211</v>
      </c>
      <c r="AJ5142">
        <v>97.961956817011</v>
      </c>
      <c r="AK5142">
        <v>0.27331726717027399</v>
      </c>
      <c r="AL5142">
        <v>68.398581427792607</v>
      </c>
      <c r="AM5142">
        <v>94.612006816779299</v>
      </c>
      <c r="AN5142">
        <v>1.00000007420743</v>
      </c>
    </row>
    <row r="5143" spans="1:40" x14ac:dyDescent="0.25">
      <c r="A5143" t="str">
        <f>"20190304164951165"</f>
        <v>20190304164951165</v>
      </c>
      <c r="B5143" t="str">
        <f>"1551689391160793"</f>
        <v>1551689391160793</v>
      </c>
      <c r="C5143" t="s">
        <v>40</v>
      </c>
      <c r="D5143">
        <v>4.4689500000000004</v>
      </c>
      <c r="E5143">
        <v>0.48057060000000001</v>
      </c>
      <c r="F5143" t="s">
        <v>41</v>
      </c>
      <c r="G5143">
        <v>-332.61529999999999</v>
      </c>
      <c r="H5143">
        <v>0.869133499999999</v>
      </c>
      <c r="I5143">
        <v>141.88399999999999</v>
      </c>
      <c r="J5143">
        <v>-332.11750000000001</v>
      </c>
      <c r="K5143">
        <v>1.110768</v>
      </c>
      <c r="L5143">
        <v>141.9059</v>
      </c>
      <c r="M5143">
        <v>-0.9998648</v>
      </c>
      <c r="N5143">
        <v>-1.4631999999999999E-2</v>
      </c>
      <c r="O5143">
        <v>7.5113559999999899E-3</v>
      </c>
      <c r="P5143">
        <v>-0.93243480000000001</v>
      </c>
      <c r="Q5143">
        <v>0.35428769999999998</v>
      </c>
      <c r="R5143">
        <v>-7.1034949999999999E-2</v>
      </c>
      <c r="S5143">
        <v>-3.6078489999999999</v>
      </c>
      <c r="T5143">
        <v>-1.0444</v>
      </c>
      <c r="U5143">
        <v>-8.3648680000000003E-2</v>
      </c>
      <c r="V5143">
        <v>-7.78779E-2</v>
      </c>
      <c r="W5143">
        <v>0.36791879999999999</v>
      </c>
      <c r="X5143">
        <v>0.9265909</v>
      </c>
      <c r="Y5143">
        <v>-2.9151300000000002E-2</v>
      </c>
      <c r="Z5143">
        <v>-6.3743970000000004E-3</v>
      </c>
      <c r="AA5143">
        <v>0.99955470000000002</v>
      </c>
      <c r="AB5143">
        <v>35</v>
      </c>
      <c r="AC5143">
        <v>-0.49779999999998298</v>
      </c>
      <c r="AD5143">
        <v>-0.2416345</v>
      </c>
      <c r="AE5143">
        <v>-2.1900000000016399E-2</v>
      </c>
      <c r="AF5143">
        <v>-2.07575374420263E-2</v>
      </c>
      <c r="AG5143">
        <v>-0.2416345</v>
      </c>
      <c r="AH5143">
        <v>0.40287927552816999</v>
      </c>
      <c r="AI5143">
        <v>120.920533548595</v>
      </c>
      <c r="AJ5143">
        <v>92.9494407833064</v>
      </c>
      <c r="AK5143">
        <v>0.47024442325349303</v>
      </c>
      <c r="AL5143">
        <v>68.412677520518798</v>
      </c>
      <c r="AM5143">
        <v>94.804291252112094</v>
      </c>
      <c r="AN5143">
        <v>0.99999995333232805</v>
      </c>
    </row>
    <row r="5144" spans="1:40" x14ac:dyDescent="0.25">
      <c r="A5144" t="str">
        <f>"20190304164951188"</f>
        <v>20190304164951188</v>
      </c>
      <c r="B5144" t="str">
        <f>"1551689391181288"</f>
        <v>1551689391181288</v>
      </c>
      <c r="C5144" t="s">
        <v>40</v>
      </c>
      <c r="D5144">
        <v>4.423699</v>
      </c>
      <c r="E5144">
        <v>0.47674359999999999</v>
      </c>
      <c r="F5144" t="s">
        <v>42</v>
      </c>
      <c r="G5144">
        <v>-344.72190000000001</v>
      </c>
      <c r="H5144" s="1">
        <v>-2.3558139999999999E-6</v>
      </c>
      <c r="I5144">
        <v>140.02670000000001</v>
      </c>
      <c r="J5144">
        <v>-332.47059999999999</v>
      </c>
      <c r="K5144">
        <v>1.1107670000000001</v>
      </c>
      <c r="L5144">
        <v>141.90870000000001</v>
      </c>
      <c r="M5144">
        <v>-0.99986359999999996</v>
      </c>
      <c r="N5144">
        <v>-1.462814E-2</v>
      </c>
      <c r="O5144">
        <v>7.6739629999999998E-3</v>
      </c>
      <c r="P5144">
        <v>-0.93228909999999998</v>
      </c>
      <c r="Q5144">
        <v>0.35403570000000001</v>
      </c>
      <c r="R5144">
        <v>-7.4132130000000004E-2</v>
      </c>
      <c r="S5144">
        <v>-3.2901919999999998</v>
      </c>
      <c r="T5144">
        <v>-0.2899525</v>
      </c>
      <c r="U5144">
        <v>-0.49049379999999998</v>
      </c>
      <c r="V5144">
        <v>-8.1132899999999994E-2</v>
      </c>
      <c r="W5144">
        <v>0.36766080000000001</v>
      </c>
      <c r="X5144">
        <v>0.92641410000000002</v>
      </c>
      <c r="Y5144">
        <v>-0.15432989999999999</v>
      </c>
      <c r="Z5144">
        <v>-8.4474919999999992E-3</v>
      </c>
      <c r="AA5144">
        <v>0.98798330000000001</v>
      </c>
      <c r="AB5144">
        <v>34</v>
      </c>
      <c r="AC5144">
        <v>-12.251300000000001</v>
      </c>
      <c r="AD5144">
        <v>-1.1107693558139999</v>
      </c>
      <c r="AE5144">
        <v>-1.8819999999999999</v>
      </c>
      <c r="AF5144">
        <v>-1.96022862128324</v>
      </c>
      <c r="AG5144">
        <v>-1.1107693558139999</v>
      </c>
      <c r="AH5144">
        <v>12.1390103500766</v>
      </c>
      <c r="AI5144">
        <v>95.161741426250003</v>
      </c>
      <c r="AJ5144">
        <v>99.173036553002405</v>
      </c>
      <c r="AK5144">
        <v>12.3463305110782</v>
      </c>
      <c r="AL5144">
        <v>68.428576180271804</v>
      </c>
      <c r="AM5144">
        <v>95.005043221513603</v>
      </c>
      <c r="AN5144">
        <v>1.0000000479989199</v>
      </c>
    </row>
    <row r="5145" spans="1:40" x14ac:dyDescent="0.25">
      <c r="A5145" t="str">
        <f>"20190304164951201"</f>
        <v>20190304164951201</v>
      </c>
      <c r="B5145" t="str">
        <f>"1551689391191048"</f>
        <v>1551689391191048</v>
      </c>
      <c r="C5145" t="s">
        <v>40</v>
      </c>
      <c r="D5145">
        <v>4.4205800000000002</v>
      </c>
      <c r="E5145">
        <v>0.47612359999999998</v>
      </c>
      <c r="F5145" t="s">
        <v>42</v>
      </c>
      <c r="G5145">
        <v>-346.88760000000002</v>
      </c>
      <c r="H5145" s="1">
        <v>-1.322543E-6</v>
      </c>
      <c r="I5145">
        <v>139.58789999999999</v>
      </c>
      <c r="J5145">
        <v>-332.6746</v>
      </c>
      <c r="K5145">
        <v>1.110773</v>
      </c>
      <c r="L5145">
        <v>141.91030000000001</v>
      </c>
      <c r="M5145">
        <v>-0.9998629</v>
      </c>
      <c r="N5145">
        <v>-1.4625900000000001E-2</v>
      </c>
      <c r="O5145">
        <v>7.7600539999999997E-3</v>
      </c>
      <c r="P5145">
        <v>-0.93218100000000004</v>
      </c>
      <c r="Q5145">
        <v>0.3539717</v>
      </c>
      <c r="R5145">
        <v>-7.5781420000000002E-2</v>
      </c>
      <c r="S5145">
        <v>-3.2717290000000001</v>
      </c>
      <c r="T5145">
        <v>-0.25207289999999999</v>
      </c>
      <c r="U5145">
        <v>-0.52664180000000005</v>
      </c>
      <c r="V5145">
        <v>-8.2866419999999996E-2</v>
      </c>
      <c r="W5145">
        <v>0.36759160000000002</v>
      </c>
      <c r="X5145">
        <v>0.92628809999999995</v>
      </c>
      <c r="Y5145">
        <v>-0.16599169999999999</v>
      </c>
      <c r="Z5145">
        <v>-8.0488269999999997E-3</v>
      </c>
      <c r="AA5145">
        <v>0.98609429999999998</v>
      </c>
      <c r="AB5145">
        <v>34</v>
      </c>
      <c r="AC5145">
        <v>-14.212999999999999</v>
      </c>
      <c r="AD5145">
        <v>-1.110774322543</v>
      </c>
      <c r="AE5145">
        <v>-2.3224000000000098</v>
      </c>
      <c r="AF5145">
        <v>-2.4182495772894899</v>
      </c>
      <c r="AG5145">
        <v>-1.110774322543</v>
      </c>
      <c r="AH5145">
        <v>14.110605472452701</v>
      </c>
      <c r="AI5145">
        <v>94.436574288202607</v>
      </c>
      <c r="AJ5145">
        <v>99.724772526064996</v>
      </c>
      <c r="AK5145">
        <v>14.3593501737681</v>
      </c>
      <c r="AL5145">
        <v>68.432839329751303</v>
      </c>
      <c r="AM5145">
        <v>95.112114089326298</v>
      </c>
      <c r="AN5145">
        <v>1.00000003607789</v>
      </c>
    </row>
    <row r="5146" spans="1:40" x14ac:dyDescent="0.25">
      <c r="A5146" t="str">
        <f>"20190304164951214"</f>
        <v>20190304164951214</v>
      </c>
      <c r="B5146" t="str">
        <f>"1551689391210569"</f>
        <v>1551689391210569</v>
      </c>
      <c r="C5146" t="s">
        <v>40</v>
      </c>
      <c r="D5146">
        <v>4.4148589999999999</v>
      </c>
      <c r="E5146">
        <v>0.47565259999999998</v>
      </c>
      <c r="F5146" t="s">
        <v>42</v>
      </c>
      <c r="G5146">
        <v>-347.58879999999999</v>
      </c>
      <c r="H5146" s="1">
        <v>-1.0434489999999999E-6</v>
      </c>
      <c r="I5146">
        <v>139.46559999999999</v>
      </c>
      <c r="J5146">
        <v>-332.86930000000001</v>
      </c>
      <c r="K5146">
        <v>1.110781</v>
      </c>
      <c r="L5146">
        <v>141.9119</v>
      </c>
      <c r="M5146">
        <v>-0.99986240000000004</v>
      </c>
      <c r="N5146">
        <v>-1.462375E-2</v>
      </c>
      <c r="O5146">
        <v>7.8370090000000007E-3</v>
      </c>
      <c r="P5146">
        <v>-0.93219810000000003</v>
      </c>
      <c r="Q5146">
        <v>0.35359259999999998</v>
      </c>
      <c r="R5146">
        <v>-7.7324260000000006E-2</v>
      </c>
      <c r="S5146">
        <v>-3.2671510000000001</v>
      </c>
      <c r="T5146">
        <v>-0.2433304</v>
      </c>
      <c r="U5146">
        <v>-0.53552250000000001</v>
      </c>
      <c r="V5146">
        <v>-8.4488149999999998E-2</v>
      </c>
      <c r="W5146">
        <v>0.36721019999999999</v>
      </c>
      <c r="X5146">
        <v>0.92629280000000003</v>
      </c>
      <c r="Y5146">
        <v>-0.16892119999999999</v>
      </c>
      <c r="Z5146">
        <v>-7.9510680000000004E-3</v>
      </c>
      <c r="AA5146">
        <v>0.98559750000000002</v>
      </c>
      <c r="AB5146">
        <v>34</v>
      </c>
      <c r="AC5146">
        <v>-14.719499999999901</v>
      </c>
      <c r="AD5146">
        <v>-1.1107820434489999</v>
      </c>
      <c r="AE5146">
        <v>-2.4462999999999999</v>
      </c>
      <c r="AF5146">
        <v>-2.5474768291929402</v>
      </c>
      <c r="AG5146">
        <v>-1.1107820434489999</v>
      </c>
      <c r="AH5146">
        <v>14.6188615899878</v>
      </c>
      <c r="AI5146">
        <v>94.280878431801597</v>
      </c>
      <c r="AJ5146">
        <v>99.885078558398007</v>
      </c>
      <c r="AK5146">
        <v>14.8806783827399</v>
      </c>
      <c r="AL5146">
        <v>68.4563335660539</v>
      </c>
      <c r="AM5146">
        <v>95.211588291437593</v>
      </c>
      <c r="AN5146">
        <v>0.99999996490315002</v>
      </c>
    </row>
    <row r="5147" spans="1:40" x14ac:dyDescent="0.25">
      <c r="A5147" t="str">
        <f>"20190304164951227"</f>
        <v>20190304164951227</v>
      </c>
      <c r="B5147" t="str">
        <f>"1551689391221305"</f>
        <v>1551689391221305</v>
      </c>
      <c r="C5147" t="s">
        <v>40</v>
      </c>
      <c r="D5147">
        <v>4.4238749999999998</v>
      </c>
      <c r="E5147">
        <v>0.4756609</v>
      </c>
      <c r="F5147" t="s">
        <v>42</v>
      </c>
      <c r="G5147">
        <v>-348.20729999999998</v>
      </c>
      <c r="H5147" s="1">
        <v>-7.9719979999999998E-7</v>
      </c>
      <c r="I5147">
        <v>139.358</v>
      </c>
      <c r="J5147">
        <v>-333.05860000000001</v>
      </c>
      <c r="K5147">
        <v>1.1107910000000001</v>
      </c>
      <c r="L5147">
        <v>141.9134</v>
      </c>
      <c r="M5147">
        <v>-0.99986189999999997</v>
      </c>
      <c r="N5147">
        <v>-1.462166E-2</v>
      </c>
      <c r="O5147">
        <v>7.9006249999999997E-3</v>
      </c>
      <c r="P5147">
        <v>-0.93205009999999999</v>
      </c>
      <c r="Q5147">
        <v>0.35368240000000001</v>
      </c>
      <c r="R5147">
        <v>-7.8684680000000007E-2</v>
      </c>
      <c r="S5147">
        <v>-3.262756</v>
      </c>
      <c r="T5147">
        <v>-0.23629049999999999</v>
      </c>
      <c r="U5147">
        <v>-0.54325869999999998</v>
      </c>
      <c r="V5147">
        <v>-8.5915630000000007E-2</v>
      </c>
      <c r="W5147">
        <v>0.36729400000000001</v>
      </c>
      <c r="X5147">
        <v>0.92612830000000002</v>
      </c>
      <c r="Y5147">
        <v>-0.17149049999999999</v>
      </c>
      <c r="Z5147">
        <v>-7.8766789999999993E-3</v>
      </c>
      <c r="AA5147">
        <v>0.98515430000000004</v>
      </c>
      <c r="AB5147">
        <v>34</v>
      </c>
      <c r="AC5147">
        <v>-15.1486999999999</v>
      </c>
      <c r="AD5147">
        <v>-1.1107917971998</v>
      </c>
      <c r="AE5147">
        <v>-2.5553999999999899</v>
      </c>
      <c r="AF5147">
        <v>-2.66110517040631</v>
      </c>
      <c r="AG5147">
        <v>-1.1107917971998</v>
      </c>
      <c r="AH5147">
        <v>15.049358817531299</v>
      </c>
      <c r="AI5147">
        <v>94.157083065719206</v>
      </c>
      <c r="AJ5147">
        <v>100.02768010893701</v>
      </c>
      <c r="AK5147">
        <v>15.323137406011099</v>
      </c>
      <c r="AL5147">
        <v>68.451172320618298</v>
      </c>
      <c r="AM5147">
        <v>95.300080059000095</v>
      </c>
      <c r="AN5147">
        <v>1.00000000298759</v>
      </c>
    </row>
    <row r="5148" spans="1:40" x14ac:dyDescent="0.25">
      <c r="A5148" t="str">
        <f>"20190304164951238"</f>
        <v>20190304164951238</v>
      </c>
      <c r="B5148" t="str">
        <f>"1551689391231065"</f>
        <v>1551689391231065</v>
      </c>
      <c r="C5148" t="s">
        <v>40</v>
      </c>
      <c r="D5148">
        <v>4.4202690000000002</v>
      </c>
      <c r="E5148">
        <v>0.47581050000000003</v>
      </c>
      <c r="F5148" t="s">
        <v>42</v>
      </c>
      <c r="G5148">
        <v>-348.53519999999997</v>
      </c>
      <c r="H5148" s="1">
        <v>-6.6361809999999905E-7</v>
      </c>
      <c r="I5148">
        <v>139.31799999999899</v>
      </c>
      <c r="J5148">
        <v>-333.24880000000002</v>
      </c>
      <c r="K5148">
        <v>1.1108009999999999</v>
      </c>
      <c r="L5148">
        <v>141.91499999999999</v>
      </c>
      <c r="M5148">
        <v>-0.99986140000000001</v>
      </c>
      <c r="N5148">
        <v>-1.461955E-2</v>
      </c>
      <c r="O5148">
        <v>7.9585560000000003E-3</v>
      </c>
      <c r="P5148">
        <v>-0.93201239999999996</v>
      </c>
      <c r="Q5148">
        <v>0.3534138</v>
      </c>
      <c r="R5148">
        <v>-8.0320810000000006E-2</v>
      </c>
      <c r="S5148">
        <v>-3.2613530000000002</v>
      </c>
      <c r="T5148">
        <v>-0.2340758</v>
      </c>
      <c r="U5148">
        <v>-0.54690550000000004</v>
      </c>
      <c r="V5148">
        <v>-8.761526E-2</v>
      </c>
      <c r="W5148">
        <v>0.36702129999999999</v>
      </c>
      <c r="X5148">
        <v>0.92607720000000004</v>
      </c>
      <c r="Y5148">
        <v>-0.17269309999999999</v>
      </c>
      <c r="Z5148">
        <v>-7.8708879999999995E-3</v>
      </c>
      <c r="AA5148">
        <v>0.98494420000000005</v>
      </c>
      <c r="AB5148">
        <v>34</v>
      </c>
      <c r="AC5148">
        <v>-15.286399999999899</v>
      </c>
      <c r="AD5148">
        <v>-1.1108016636181</v>
      </c>
      <c r="AE5148">
        <v>-2.597</v>
      </c>
      <c r="AF5148">
        <v>-2.7047072630434799</v>
      </c>
      <c r="AG5148">
        <v>-1.1108016636181</v>
      </c>
      <c r="AH5148">
        <v>15.1873006283175</v>
      </c>
      <c r="AI5148">
        <v>94.118599261430006</v>
      </c>
      <c r="AJ5148">
        <v>100.097941279357</v>
      </c>
      <c r="AK5148">
        <v>15.4662025749551</v>
      </c>
      <c r="AL5148">
        <v>68.467970538876898</v>
      </c>
      <c r="AM5148">
        <v>95.404610768469297</v>
      </c>
      <c r="AN5148">
        <v>1.00000002439919</v>
      </c>
    </row>
    <row r="5149" spans="1:40" x14ac:dyDescent="0.25">
      <c r="A5149" t="str">
        <f>"20190304164951254"</f>
        <v>20190304164951254</v>
      </c>
      <c r="B5149" t="str">
        <f>"1551689391250585"</f>
        <v>1551689391250585</v>
      </c>
      <c r="C5149" t="s">
        <v>40</v>
      </c>
      <c r="D5149">
        <v>4.4306049999999999</v>
      </c>
      <c r="E5149">
        <v>0.47632419999999998</v>
      </c>
      <c r="F5149" t="s">
        <v>42</v>
      </c>
      <c r="G5149">
        <v>-348.73250000000002</v>
      </c>
      <c r="H5149" s="1">
        <v>-5.822685E-7</v>
      </c>
      <c r="I5149">
        <v>139.29939999999999</v>
      </c>
      <c r="J5149">
        <v>-333.4873</v>
      </c>
      <c r="K5149">
        <v>1.1108150000000001</v>
      </c>
      <c r="L5149">
        <v>141.9169</v>
      </c>
      <c r="M5149">
        <v>-0.99986120000000001</v>
      </c>
      <c r="N5149">
        <v>-1.461689E-2</v>
      </c>
      <c r="O5149">
        <v>8.0165710000000001E-3</v>
      </c>
      <c r="P5149">
        <v>-0.9318246</v>
      </c>
      <c r="Q5149">
        <v>0.35312399999999999</v>
      </c>
      <c r="R5149">
        <v>-8.3706500000000003E-2</v>
      </c>
      <c r="S5149">
        <v>-3.2600709999999999</v>
      </c>
      <c r="T5149">
        <v>-0.2338778</v>
      </c>
      <c r="U5149">
        <v>-0.55068969999999995</v>
      </c>
      <c r="V5149">
        <v>-9.1068339999999998E-2</v>
      </c>
      <c r="W5149">
        <v>0.36672270000000001</v>
      </c>
      <c r="X5149">
        <v>0.92586230000000003</v>
      </c>
      <c r="Y5149">
        <v>-0.17392179999999999</v>
      </c>
      <c r="Z5149">
        <v>-7.9231600000000003E-3</v>
      </c>
      <c r="AA5149">
        <v>0.98472760000000004</v>
      </c>
      <c r="AB5149">
        <v>34</v>
      </c>
      <c r="AC5149">
        <v>-15.245200000000001</v>
      </c>
      <c r="AD5149">
        <v>-1.1108155822685</v>
      </c>
      <c r="AE5149">
        <v>-2.6175000000000002</v>
      </c>
      <c r="AF5149">
        <v>-2.7255871816837098</v>
      </c>
      <c r="AG5149">
        <v>-1.1108155822685</v>
      </c>
      <c r="AH5149">
        <v>15.145617876103101</v>
      </c>
      <c r="AI5149">
        <v>94.1286126781484</v>
      </c>
      <c r="AJ5149">
        <v>100.20168706794</v>
      </c>
      <c r="AK5149">
        <v>15.428949335314501</v>
      </c>
      <c r="AL5149">
        <v>68.486360649599803</v>
      </c>
      <c r="AM5149">
        <v>95.617575506011505</v>
      </c>
      <c r="AN5149">
        <v>0.99999998990346695</v>
      </c>
    </row>
    <row r="5150" spans="1:40" x14ac:dyDescent="0.25">
      <c r="A5150" t="str">
        <f>"20190304164951269"</f>
        <v>20190304164951269</v>
      </c>
      <c r="B5150" t="str">
        <f>"1551689391261320"</f>
        <v>1551689391261320</v>
      </c>
      <c r="C5150" t="s">
        <v>40</v>
      </c>
      <c r="D5150">
        <v>4.4467089999999896</v>
      </c>
      <c r="E5150">
        <v>0.47652529999999999</v>
      </c>
      <c r="F5150" t="s">
        <v>42</v>
      </c>
      <c r="G5150">
        <v>-348.94529999999997</v>
      </c>
      <c r="H5150" s="1">
        <v>-4.9534489999999997E-7</v>
      </c>
      <c r="I5150">
        <v>139.2749</v>
      </c>
      <c r="J5150">
        <v>-333.71480000000003</v>
      </c>
      <c r="K5150">
        <v>1.1108309999999999</v>
      </c>
      <c r="L5150">
        <v>141.9188</v>
      </c>
      <c r="M5150">
        <v>-0.99986079999999999</v>
      </c>
      <c r="N5150">
        <v>-1.461432E-2</v>
      </c>
      <c r="O5150">
        <v>8.0557479999999997E-3</v>
      </c>
      <c r="P5150">
        <v>-0.9317107</v>
      </c>
      <c r="Q5150">
        <v>0.35306710000000002</v>
      </c>
      <c r="R5150">
        <v>-8.5200609999999996E-2</v>
      </c>
      <c r="S5150">
        <v>-3.2581790000000002</v>
      </c>
      <c r="T5150">
        <v>-0.2341355</v>
      </c>
      <c r="U5150">
        <v>-0.55685419999999997</v>
      </c>
      <c r="V5150">
        <v>-9.2613280000000006E-2</v>
      </c>
      <c r="W5150">
        <v>0.3666584</v>
      </c>
      <c r="X5150">
        <v>0.92573450000000002</v>
      </c>
      <c r="Y5150">
        <v>-0.1758574</v>
      </c>
      <c r="Z5150">
        <v>-8.0188719999999998E-3</v>
      </c>
      <c r="AA5150">
        <v>0.98438300000000001</v>
      </c>
      <c r="AB5150">
        <v>34</v>
      </c>
      <c r="AC5150">
        <v>-15.2304999999999</v>
      </c>
      <c r="AD5150">
        <v>-1.1108314953449001</v>
      </c>
      <c r="AE5150">
        <v>-2.6438999999999999</v>
      </c>
      <c r="AF5150">
        <v>-2.7523078375958701</v>
      </c>
      <c r="AG5150">
        <v>-1.1108314953449001</v>
      </c>
      <c r="AH5150">
        <v>15.1305727189996</v>
      </c>
      <c r="AI5150">
        <v>94.131359655572993</v>
      </c>
      <c r="AJ5150">
        <v>100.309591914791</v>
      </c>
      <c r="AK5150">
        <v>15.4189291407956</v>
      </c>
      <c r="AL5150">
        <v>68.490320455931595</v>
      </c>
      <c r="AM5150">
        <v>95.713033887317195</v>
      </c>
      <c r="AN5150">
        <v>0.99999998320658401</v>
      </c>
    </row>
    <row r="5151" spans="1:40" x14ac:dyDescent="0.25">
      <c r="A5151" t="str">
        <f>"20190304164951282"</f>
        <v>20190304164951282</v>
      </c>
      <c r="B5151" t="str">
        <f>"1551689391271081"</f>
        <v>1551689391271081</v>
      </c>
      <c r="C5151" t="s">
        <v>40</v>
      </c>
      <c r="D5151">
        <v>4.4313289999999999</v>
      </c>
      <c r="E5151">
        <v>0.47673510000000002</v>
      </c>
      <c r="F5151" t="s">
        <v>42</v>
      </c>
      <c r="G5151">
        <v>-349.14870000000002</v>
      </c>
      <c r="H5151" s="1">
        <v>-4.0939570000000002E-7</v>
      </c>
      <c r="I5151">
        <v>139.26750000000001</v>
      </c>
      <c r="J5151">
        <v>-333.91180000000003</v>
      </c>
      <c r="K5151">
        <v>1.110846</v>
      </c>
      <c r="L5151">
        <v>141.9204</v>
      </c>
      <c r="M5151">
        <v>-0.99986050000000004</v>
      </c>
      <c r="N5151">
        <v>-1.4612089999999999E-2</v>
      </c>
      <c r="O5151">
        <v>8.0823400000000004E-3</v>
      </c>
      <c r="P5151">
        <v>-0.93170019999999998</v>
      </c>
      <c r="Q5151">
        <v>0.35272429999999999</v>
      </c>
      <c r="R5151">
        <v>-8.6721019999999996E-2</v>
      </c>
      <c r="S5151">
        <v>-3.257568</v>
      </c>
      <c r="T5151">
        <v>-0.23446059999999999</v>
      </c>
      <c r="U5151">
        <v>-0.55957029999999996</v>
      </c>
      <c r="V5151">
        <v>-9.4171130000000006E-2</v>
      </c>
      <c r="W5151">
        <v>0.36631010000000003</v>
      </c>
      <c r="X5151">
        <v>0.92571530000000002</v>
      </c>
      <c r="Y5151">
        <v>-0.17670729999999901</v>
      </c>
      <c r="Z5151">
        <v>-8.0671590000000008E-3</v>
      </c>
      <c r="AA5151">
        <v>0.98423039999999995</v>
      </c>
      <c r="AB5151">
        <v>34</v>
      </c>
      <c r="AC5151">
        <v>-15.236899999999901</v>
      </c>
      <c r="AD5151">
        <v>-1.1108464093957</v>
      </c>
      <c r="AE5151">
        <v>-2.6528999999999798</v>
      </c>
      <c r="AF5151">
        <v>-2.7617292062186301</v>
      </c>
      <c r="AG5151">
        <v>-1.1108464093957</v>
      </c>
      <c r="AH5151">
        <v>15.1368708525883</v>
      </c>
      <c r="AI5151">
        <v>94.129305171990097</v>
      </c>
      <c r="AJ5151">
        <v>100.33991074609</v>
      </c>
      <c r="AK5151">
        <v>15.426794455157699</v>
      </c>
      <c r="AL5151">
        <v>68.511770459459797</v>
      </c>
      <c r="AM5151">
        <v>95.808600904362507</v>
      </c>
      <c r="AN5151">
        <v>1.0000000538707801</v>
      </c>
    </row>
    <row r="5152" spans="1:40" x14ac:dyDescent="0.25">
      <c r="A5152" t="str">
        <f>"20190304164951296"</f>
        <v>20190304164951296</v>
      </c>
      <c r="B5152" t="str">
        <f>"1551689391290601"</f>
        <v>1551689391290601</v>
      </c>
      <c r="C5152" t="s">
        <v>40</v>
      </c>
      <c r="D5152">
        <v>4.4418069999999998</v>
      </c>
      <c r="E5152">
        <v>0.47721590000000003</v>
      </c>
      <c r="F5152" t="s">
        <v>42</v>
      </c>
      <c r="G5152">
        <v>-349.2208</v>
      </c>
      <c r="H5152" s="1">
        <v>-3.7651620000000002E-7</v>
      </c>
      <c r="I5152">
        <v>139.27850000000001</v>
      </c>
      <c r="J5152">
        <v>-334.11360000000002</v>
      </c>
      <c r="K5152">
        <v>1.1108530000000001</v>
      </c>
      <c r="L5152">
        <v>141.922</v>
      </c>
      <c r="M5152">
        <v>-0.99986059999999999</v>
      </c>
      <c r="N5152">
        <v>-1.4609830000000001E-2</v>
      </c>
      <c r="O5152">
        <v>8.1034550000000007E-3</v>
      </c>
      <c r="P5152">
        <v>-0.93161890000000003</v>
      </c>
      <c r="Q5152">
        <v>0.35256599999999999</v>
      </c>
      <c r="R5152">
        <v>-8.8225650000000003E-2</v>
      </c>
      <c r="S5152">
        <v>-3.2571110000000001</v>
      </c>
      <c r="T5152">
        <v>-0.23634279999999999</v>
      </c>
      <c r="U5152">
        <v>-0.56205749999999999</v>
      </c>
      <c r="V5152">
        <v>-9.5707169999999994E-2</v>
      </c>
      <c r="W5152">
        <v>0.36614550000000001</v>
      </c>
      <c r="X5152">
        <v>0.92562279999999997</v>
      </c>
      <c r="Y5152">
        <v>-0.1774705</v>
      </c>
      <c r="Z5152">
        <v>-8.1570059999999996E-3</v>
      </c>
      <c r="AA5152">
        <v>0.98409230000000003</v>
      </c>
      <c r="AB5152">
        <v>34</v>
      </c>
      <c r="AC5152">
        <v>-15.107199999999899</v>
      </c>
      <c r="AD5152">
        <v>-1.1108533765162001</v>
      </c>
      <c r="AE5152">
        <v>-2.64349999999998</v>
      </c>
      <c r="AF5152">
        <v>-2.7514122050747298</v>
      </c>
      <c r="AG5152">
        <v>-1.1108533765162001</v>
      </c>
      <c r="AH5152">
        <v>15.006552269696501</v>
      </c>
      <c r="AI5152">
        <v>94.164406130109697</v>
      </c>
      <c r="AJ5152">
        <v>100.389637061459</v>
      </c>
      <c r="AK5152">
        <v>15.2970871530983</v>
      </c>
      <c r="AL5152">
        <v>68.521903777671</v>
      </c>
      <c r="AM5152">
        <v>95.903267959913705</v>
      </c>
      <c r="AN5152">
        <v>0.99999997871974899</v>
      </c>
    </row>
    <row r="5153" spans="1:40" x14ac:dyDescent="0.25">
      <c r="A5153" t="str">
        <f>"20190304164951309"</f>
        <v>20190304164951309</v>
      </c>
      <c r="B5153" t="str">
        <f>"1551689391301337"</f>
        <v>1551689391301337</v>
      </c>
      <c r="C5153" t="s">
        <v>40</v>
      </c>
      <c r="D5153">
        <v>4.44794</v>
      </c>
      <c r="E5153">
        <v>0.47744110000000001</v>
      </c>
      <c r="F5153" t="s">
        <v>42</v>
      </c>
      <c r="G5153">
        <v>-349.267</v>
      </c>
      <c r="H5153" s="1">
        <v>-3.5243749999999998E-7</v>
      </c>
      <c r="I5153">
        <v>139.30250000000001</v>
      </c>
      <c r="J5153">
        <v>-334.33479999999997</v>
      </c>
      <c r="K5153">
        <v>1.11086</v>
      </c>
      <c r="L5153">
        <v>141.9238</v>
      </c>
      <c r="M5153">
        <v>-0.99986030000000004</v>
      </c>
      <c r="N5153">
        <v>-1.460734E-2</v>
      </c>
      <c r="O5153">
        <v>8.1160250000000007E-3</v>
      </c>
      <c r="P5153">
        <v>-0.93152900000000005</v>
      </c>
      <c r="Q5153">
        <v>0.35212459999999901</v>
      </c>
      <c r="R5153">
        <v>-9.0895160000000003E-2</v>
      </c>
      <c r="S5153">
        <v>-3.2572019999999999</v>
      </c>
      <c r="T5153">
        <v>-0.2387772</v>
      </c>
      <c r="U5153">
        <v>-0.56304929999999997</v>
      </c>
      <c r="V5153">
        <v>-9.8397429999999994E-2</v>
      </c>
      <c r="W5153">
        <v>0.36569819999999997</v>
      </c>
      <c r="X5153">
        <v>0.92551760000000005</v>
      </c>
      <c r="Y5153">
        <v>-0.17775769999999999</v>
      </c>
      <c r="Z5153">
        <v>-8.2413550000000006E-3</v>
      </c>
      <c r="AA5153">
        <v>0.98403980000000002</v>
      </c>
      <c r="AB5153">
        <v>34</v>
      </c>
      <c r="AC5153">
        <v>-14.9322</v>
      </c>
      <c r="AD5153">
        <v>-1.1108603524375</v>
      </c>
      <c r="AE5153">
        <v>-2.62129999999999</v>
      </c>
      <c r="AF5153">
        <v>-2.72777140955675</v>
      </c>
      <c r="AG5153">
        <v>-1.1108603524375</v>
      </c>
      <c r="AH5153">
        <v>14.8308053367375</v>
      </c>
      <c r="AI5153">
        <v>94.213172978599204</v>
      </c>
      <c r="AJ5153">
        <v>100.42171007179201</v>
      </c>
      <c r="AK5153">
        <v>15.1204343364076</v>
      </c>
      <c r="AL5153">
        <v>68.549443189218906</v>
      </c>
      <c r="AM5153">
        <v>96.068667900482893</v>
      </c>
      <c r="AN5153">
        <v>1.0000000278118</v>
      </c>
    </row>
    <row r="5154" spans="1:40" x14ac:dyDescent="0.25">
      <c r="A5154" t="str">
        <f>"20190304164951334"</f>
        <v>20190304164951334</v>
      </c>
      <c r="B5154" t="str">
        <f>"1551689391330617"</f>
        <v>1551689391330617</v>
      </c>
      <c r="C5154" t="s">
        <v>40</v>
      </c>
      <c r="D5154">
        <v>4.4800690000000003</v>
      </c>
      <c r="E5154">
        <v>0.47821920000000001</v>
      </c>
      <c r="F5154" t="s">
        <v>42</v>
      </c>
      <c r="G5154">
        <v>-349.32479999999998</v>
      </c>
      <c r="H5154" s="1">
        <v>-3.2700730000000001E-7</v>
      </c>
      <c r="I5154">
        <v>139.30609999999999</v>
      </c>
      <c r="J5154">
        <v>-334.6918</v>
      </c>
      <c r="K5154">
        <v>1.1108709999999999</v>
      </c>
      <c r="L5154">
        <v>141.92670000000001</v>
      </c>
      <c r="M5154">
        <v>-0.99986039999999998</v>
      </c>
      <c r="N5154">
        <v>-1.4603319999999999E-2</v>
      </c>
      <c r="O5154">
        <v>8.1258700000000003E-3</v>
      </c>
      <c r="P5154">
        <v>-0.93153620000000004</v>
      </c>
      <c r="Q5154">
        <v>0.3514758</v>
      </c>
      <c r="R5154">
        <v>-9.3304040000000005E-2</v>
      </c>
      <c r="S5154">
        <v>-3.256195</v>
      </c>
      <c r="T5154">
        <v>-0.24130740000000001</v>
      </c>
      <c r="U5154">
        <v>-0.56861879999999998</v>
      </c>
      <c r="V5154">
        <v>-0.1008289</v>
      </c>
      <c r="W5154">
        <v>0.36504170000000002</v>
      </c>
      <c r="X5154">
        <v>0.92551510000000003</v>
      </c>
      <c r="Y5154">
        <v>-0.17943519999999999</v>
      </c>
      <c r="Z5154">
        <v>-8.391463E-3</v>
      </c>
      <c r="AA5154">
        <v>0.983734</v>
      </c>
      <c r="AB5154">
        <v>34</v>
      </c>
      <c r="AC5154">
        <v>-14.6329999999999</v>
      </c>
      <c r="AD5154">
        <v>-1.1108713270072901</v>
      </c>
      <c r="AE5154">
        <v>-2.62060000000002</v>
      </c>
      <c r="AF5154">
        <v>-2.7242197698789501</v>
      </c>
      <c r="AG5154">
        <v>-1.1108713270072901</v>
      </c>
      <c r="AH5154">
        <v>14.5300829227896</v>
      </c>
      <c r="AI5154">
        <v>94.297351031978295</v>
      </c>
      <c r="AJ5154">
        <v>100.619004724411</v>
      </c>
      <c r="AK5154">
        <v>14.824935689671999</v>
      </c>
      <c r="AL5154">
        <v>68.589852222193599</v>
      </c>
      <c r="AM5154">
        <v>96.217485140511997</v>
      </c>
      <c r="AN5154">
        <v>1.0000000550710499</v>
      </c>
    </row>
    <row r="5155" spans="1:40" x14ac:dyDescent="0.25">
      <c r="A5155" t="str">
        <f>"20190304164951356"</f>
        <v>20190304164951356</v>
      </c>
      <c r="B5155" t="str">
        <f>"1551689391351113"</f>
        <v>1551689391351113</v>
      </c>
      <c r="C5155" t="s">
        <v>40</v>
      </c>
      <c r="D5155">
        <v>4.453176</v>
      </c>
      <c r="E5155">
        <v>0.47862250000000001</v>
      </c>
      <c r="F5155" t="s">
        <v>42</v>
      </c>
      <c r="G5155">
        <v>-349.44529999999997</v>
      </c>
      <c r="H5155" s="1">
        <v>-2.6757829999999999E-7</v>
      </c>
      <c r="I5155">
        <v>139.34950000000001</v>
      </c>
      <c r="J5155">
        <v>-335.0385</v>
      </c>
      <c r="K5155">
        <v>1.1108849999999999</v>
      </c>
      <c r="L5155">
        <v>141.92949999999999</v>
      </c>
      <c r="M5155">
        <v>-0.99986050000000004</v>
      </c>
      <c r="N5155">
        <v>-1.459951E-2</v>
      </c>
      <c r="O5155">
        <v>8.1249029999999993E-3</v>
      </c>
      <c r="P5155">
        <v>-0.93135100000000004</v>
      </c>
      <c r="Q5155">
        <v>0.35139540000000002</v>
      </c>
      <c r="R5155">
        <v>-9.5431559999999999E-2</v>
      </c>
      <c r="S5155">
        <v>-3.2560120000000001</v>
      </c>
      <c r="T5155">
        <v>-0.24516270000000001</v>
      </c>
      <c r="U5155">
        <v>-0.56874080000000005</v>
      </c>
      <c r="V5155">
        <v>-0.10296180000000001</v>
      </c>
      <c r="W5155">
        <v>0.36495290000000002</v>
      </c>
      <c r="X5155">
        <v>0.9253152</v>
      </c>
      <c r="Y5155">
        <v>-0.1794618</v>
      </c>
      <c r="Z5155">
        <v>-8.5072419999999999E-3</v>
      </c>
      <c r="AA5155">
        <v>0.98372820000000005</v>
      </c>
      <c r="AB5155">
        <v>34</v>
      </c>
      <c r="AC5155">
        <v>-14.406799999999899</v>
      </c>
      <c r="AD5155">
        <v>-1.1108852675783001</v>
      </c>
      <c r="AE5155">
        <v>-2.5799999999999801</v>
      </c>
      <c r="AF5155">
        <v>-2.6815329662075298</v>
      </c>
      <c r="AG5155">
        <v>-1.1108852675783001</v>
      </c>
      <c r="AH5155">
        <v>14.302961251277599</v>
      </c>
      <c r="AI5155">
        <v>94.3653887397587</v>
      </c>
      <c r="AJ5155">
        <v>100.618601642803</v>
      </c>
      <c r="AK5155">
        <v>14.5944984731277</v>
      </c>
      <c r="AL5155">
        <v>68.595315553586801</v>
      </c>
      <c r="AM5155">
        <v>96.349305193321499</v>
      </c>
      <c r="AN5155">
        <v>0.99999998541434498</v>
      </c>
    </row>
    <row r="5156" spans="1:40" x14ac:dyDescent="0.25">
      <c r="A5156" t="str">
        <f>"20190304164951369"</f>
        <v>20190304164951369</v>
      </c>
      <c r="B5156" t="str">
        <f>"1551689391360873"</f>
        <v>1551689391360873</v>
      </c>
      <c r="C5156" t="s">
        <v>40</v>
      </c>
      <c r="D5156">
        <v>4.4579269999999998</v>
      </c>
      <c r="E5156">
        <v>0.4788251</v>
      </c>
      <c r="F5156" t="s">
        <v>42</v>
      </c>
      <c r="G5156">
        <v>-349.72320000000002</v>
      </c>
      <c r="H5156" s="1">
        <v>-1.5056339999999999E-7</v>
      </c>
      <c r="I5156">
        <v>139.35210000000001</v>
      </c>
      <c r="J5156">
        <v>-335.25380000000001</v>
      </c>
      <c r="K5156">
        <v>1.110889</v>
      </c>
      <c r="L5156">
        <v>141.93119999999999</v>
      </c>
      <c r="M5156">
        <v>-0.99986050000000004</v>
      </c>
      <c r="N5156">
        <v>-1.4596949999999999E-2</v>
      </c>
      <c r="O5156">
        <v>8.1215160000000005E-3</v>
      </c>
      <c r="P5156">
        <v>-0.93125530000000001</v>
      </c>
      <c r="Q5156">
        <v>0.35136820000000002</v>
      </c>
      <c r="R5156">
        <v>-9.6455719999999995E-2</v>
      </c>
      <c r="S5156">
        <v>-3.255493</v>
      </c>
      <c r="T5156">
        <v>-0.246277</v>
      </c>
      <c r="U5156">
        <v>-0.57138059999999902</v>
      </c>
      <c r="V5156">
        <v>-0.10398590000000001</v>
      </c>
      <c r="W5156">
        <v>0.36492140000000001</v>
      </c>
      <c r="X5156">
        <v>0.92521319999999996</v>
      </c>
      <c r="Y5156">
        <v>-0.1802512</v>
      </c>
      <c r="Z5156">
        <v>-8.5760899999999998E-3</v>
      </c>
      <c r="AA5156">
        <v>0.98358319999999999</v>
      </c>
      <c r="AB5156">
        <v>34</v>
      </c>
      <c r="AC5156">
        <v>-14.4694</v>
      </c>
      <c r="AD5156">
        <v>-1.1108891505634</v>
      </c>
      <c r="AE5156">
        <v>-2.57909999999998</v>
      </c>
      <c r="AF5156">
        <v>-2.6812233326743602</v>
      </c>
      <c r="AG5156">
        <v>-1.1108891505634</v>
      </c>
      <c r="AH5156">
        <v>14.365903232590099</v>
      </c>
      <c r="AI5156">
        <v>94.347010748046799</v>
      </c>
      <c r="AJ5156">
        <v>100.571935792926</v>
      </c>
      <c r="AK5156">
        <v>14.656132127975001</v>
      </c>
      <c r="AL5156">
        <v>68.597256201369404</v>
      </c>
      <c r="AM5156">
        <v>96.412635567337603</v>
      </c>
      <c r="AN5156">
        <v>1.0000000805155</v>
      </c>
    </row>
    <row r="5157" spans="1:40" x14ac:dyDescent="0.25">
      <c r="A5157" t="str">
        <f>"20190304164951389"</f>
        <v>20190304164951389</v>
      </c>
      <c r="B5157" t="str">
        <f>"1551689391381368"</f>
        <v>1551689391381368</v>
      </c>
      <c r="C5157" t="s">
        <v>40</v>
      </c>
      <c r="D5157">
        <v>4.4262360000000003</v>
      </c>
      <c r="E5157">
        <v>0.47922969999999998</v>
      </c>
      <c r="F5157" t="s">
        <v>42</v>
      </c>
      <c r="G5157">
        <v>-349.90449999999998</v>
      </c>
      <c r="H5157" s="1">
        <v>-8.8169030000000003E-8</v>
      </c>
      <c r="I5157">
        <v>139.35470000000001</v>
      </c>
      <c r="J5157">
        <v>-335.5367</v>
      </c>
      <c r="K5157">
        <v>1.1108929999999999</v>
      </c>
      <c r="L5157">
        <v>141.93350000000001</v>
      </c>
      <c r="M5157">
        <v>-0.99986059999999999</v>
      </c>
      <c r="N5157">
        <v>-1.4593709999999999E-2</v>
      </c>
      <c r="O5157">
        <v>8.1167569999999901E-3</v>
      </c>
      <c r="P5157">
        <v>-0.9311123</v>
      </c>
      <c r="Q5157">
        <v>0.35113230000000001</v>
      </c>
      <c r="R5157">
        <v>-9.8671369999999994E-2</v>
      </c>
      <c r="S5157">
        <v>-3.2553100000000001</v>
      </c>
      <c r="T5157">
        <v>-0.24683440000000001</v>
      </c>
      <c r="U5157">
        <v>-0.57247919999999997</v>
      </c>
      <c r="V5157">
        <v>-0.10619919999999999</v>
      </c>
      <c r="W5157">
        <v>0.36467939999999999</v>
      </c>
      <c r="X5157">
        <v>0.92505709999999997</v>
      </c>
      <c r="Y5157">
        <v>-0.18057429999999999</v>
      </c>
      <c r="Z5157">
        <v>-8.6069240000000002E-3</v>
      </c>
      <c r="AA5157">
        <v>0.9835237</v>
      </c>
      <c r="AB5157">
        <v>34</v>
      </c>
      <c r="AC5157">
        <v>-14.3677999999999</v>
      </c>
      <c r="AD5157">
        <v>-1.11089308816903</v>
      </c>
      <c r="AE5157">
        <v>-2.5788000000000002</v>
      </c>
      <c r="AF5157">
        <v>-2.6798270692546402</v>
      </c>
      <c r="AG5157">
        <v>-1.11089308816903</v>
      </c>
      <c r="AH5157">
        <v>14.263783635229901</v>
      </c>
      <c r="AI5157">
        <v>94.3770505795395</v>
      </c>
      <c r="AJ5157">
        <v>100.64048269980501</v>
      </c>
      <c r="AK5157">
        <v>14.5557919800712</v>
      </c>
      <c r="AL5157">
        <v>68.6121459303249</v>
      </c>
      <c r="AM5157">
        <v>96.549048246300302</v>
      </c>
      <c r="AN5157">
        <v>0.99999998656270395</v>
      </c>
    </row>
    <row r="5158" spans="1:40" x14ac:dyDescent="0.25">
      <c r="A5158" t="str">
        <f>"20190304164951402"</f>
        <v>20190304164951402</v>
      </c>
      <c r="B5158" t="str">
        <f>"1551689391391129"</f>
        <v>1551689391391129</v>
      </c>
      <c r="C5158" t="s">
        <v>40</v>
      </c>
      <c r="D5158">
        <v>4.4472449999999997</v>
      </c>
      <c r="E5158">
        <v>0.4794563</v>
      </c>
      <c r="F5158" t="s">
        <v>42</v>
      </c>
      <c r="G5158">
        <v>-350.09429999999998</v>
      </c>
      <c r="H5158" s="1">
        <v>-4.2768399999999997E-6</v>
      </c>
      <c r="I5158">
        <v>139.36259999999999</v>
      </c>
      <c r="J5158">
        <v>-335.74169999999998</v>
      </c>
      <c r="K5158">
        <v>1.1108960000000001</v>
      </c>
      <c r="L5158">
        <v>141.93520000000001</v>
      </c>
      <c r="M5158">
        <v>-0.99986059999999999</v>
      </c>
      <c r="N5158">
        <v>-1.4591399999999999E-2</v>
      </c>
      <c r="O5158">
        <v>8.1135100000000009E-3</v>
      </c>
      <c r="P5158">
        <v>-0.93110539999999997</v>
      </c>
      <c r="Q5158">
        <v>0.35078809999999999</v>
      </c>
      <c r="R5158">
        <v>-9.995271E-2</v>
      </c>
      <c r="S5158">
        <v>-3.2547000000000001</v>
      </c>
      <c r="T5158">
        <v>-0.2483689</v>
      </c>
      <c r="U5158">
        <v>-0.5747833</v>
      </c>
      <c r="V5158">
        <v>-0.1074799</v>
      </c>
      <c r="W5158">
        <v>0.36433219999999999</v>
      </c>
      <c r="X5158">
        <v>0.92504600000000003</v>
      </c>
      <c r="Y5158">
        <v>-0.18126819999999999</v>
      </c>
      <c r="Z5158">
        <v>-8.6847560000000001E-3</v>
      </c>
      <c r="AA5158">
        <v>0.98339529999999997</v>
      </c>
      <c r="AB5158">
        <v>34</v>
      </c>
      <c r="AC5158">
        <v>-14.352599999999899</v>
      </c>
      <c r="AD5158">
        <v>-1.11090027683999</v>
      </c>
      <c r="AE5158">
        <v>-2.57260000000002</v>
      </c>
      <c r="AF5158">
        <v>-2.67345990644752</v>
      </c>
      <c r="AG5158">
        <v>-1.11090027683999</v>
      </c>
      <c r="AH5158">
        <v>14.248548530009399</v>
      </c>
      <c r="AI5158">
        <v>94.381935436580505</v>
      </c>
      <c r="AJ5158">
        <v>100.62686902626101</v>
      </c>
      <c r="AK5158">
        <v>14.5396912796833</v>
      </c>
      <c r="AL5158">
        <v>68.633508874976499</v>
      </c>
      <c r="AM5158">
        <v>96.627406308064593</v>
      </c>
      <c r="AN5158">
        <v>0.999999991488425</v>
      </c>
    </row>
    <row r="5159" spans="1:40" x14ac:dyDescent="0.25">
      <c r="A5159" t="str">
        <f>"20190304164951416"</f>
        <v>20190304164951416</v>
      </c>
      <c r="B5159" t="str">
        <f>"1551689391410649"</f>
        <v>1551689391410649</v>
      </c>
      <c r="C5159" t="s">
        <v>40</v>
      </c>
      <c r="D5159">
        <v>4.4129389999999997</v>
      </c>
      <c r="E5159">
        <v>0.47995450000000001</v>
      </c>
      <c r="F5159" t="s">
        <v>42</v>
      </c>
      <c r="G5159">
        <v>-350.2287</v>
      </c>
      <c r="H5159" s="1">
        <v>-4.2182459999999997E-6</v>
      </c>
      <c r="I5159">
        <v>139.36770000000001</v>
      </c>
      <c r="J5159">
        <v>-335.94619999999998</v>
      </c>
      <c r="K5159">
        <v>1.1108979999999999</v>
      </c>
      <c r="L5159">
        <v>141.93680000000001</v>
      </c>
      <c r="M5159">
        <v>-0.99986079999999999</v>
      </c>
      <c r="N5159">
        <v>-1.4589059999999999E-2</v>
      </c>
      <c r="O5159">
        <v>8.1109830000000004E-3</v>
      </c>
      <c r="P5159">
        <v>-0.93109949999999997</v>
      </c>
      <c r="Q5159">
        <v>0.35048879999999999</v>
      </c>
      <c r="R5159">
        <v>-0.101053</v>
      </c>
      <c r="S5159">
        <v>-3.2541199999999999</v>
      </c>
      <c r="T5159">
        <v>-0.2495337</v>
      </c>
      <c r="U5159">
        <v>-0.576690699999999</v>
      </c>
      <c r="V5159">
        <v>-0.1085795</v>
      </c>
      <c r="W5159">
        <v>0.36403020000000003</v>
      </c>
      <c r="X5159">
        <v>0.92503650000000004</v>
      </c>
      <c r="Y5159">
        <v>-0.18184700000000001</v>
      </c>
      <c r="Z5159">
        <v>-8.7466079999999995E-3</v>
      </c>
      <c r="AA5159">
        <v>0.98328789999999999</v>
      </c>
      <c r="AB5159">
        <v>34</v>
      </c>
      <c r="AC5159">
        <v>-14.282500000000001</v>
      </c>
      <c r="AD5159">
        <v>-1.110902218246</v>
      </c>
      <c r="AE5159">
        <v>-2.5690999999999899</v>
      </c>
      <c r="AF5159">
        <v>-2.66923063035942</v>
      </c>
      <c r="AG5159">
        <v>-1.110902218246</v>
      </c>
      <c r="AH5159">
        <v>14.178103169360099</v>
      </c>
      <c r="AI5159">
        <v>94.403124993244901</v>
      </c>
      <c r="AJ5159">
        <v>100.66195318106701</v>
      </c>
      <c r="AK5159">
        <v>14.469882700891899</v>
      </c>
      <c r="AL5159">
        <v>68.652088490973696</v>
      </c>
      <c r="AM5159">
        <v>96.694665417626297</v>
      </c>
      <c r="AN5159">
        <v>1.0000000103322699</v>
      </c>
    </row>
    <row r="5160" spans="1:40" x14ac:dyDescent="0.25">
      <c r="A5160" t="str">
        <f>"20190304164951428"</f>
        <v>20190304164951428</v>
      </c>
      <c r="B5160" t="str">
        <f>"1551689391421385"</f>
        <v>1551689391421385</v>
      </c>
      <c r="C5160" t="s">
        <v>40</v>
      </c>
      <c r="D5160">
        <v>4.391184</v>
      </c>
      <c r="E5160">
        <v>0.48020819999999997</v>
      </c>
      <c r="F5160" t="s">
        <v>42</v>
      </c>
      <c r="G5160">
        <v>-350.35469999999998</v>
      </c>
      <c r="H5160" s="1">
        <v>-4.1610310000000003E-6</v>
      </c>
      <c r="I5160">
        <v>139.38560000000001</v>
      </c>
      <c r="J5160">
        <v>-336.14229999999998</v>
      </c>
      <c r="K5160">
        <v>1.1109009999999999</v>
      </c>
      <c r="L5160">
        <v>141.9384</v>
      </c>
      <c r="M5160">
        <v>-0.99986090000000005</v>
      </c>
      <c r="N5160">
        <v>-1.4585839999999999E-2</v>
      </c>
      <c r="O5160">
        <v>8.1093080000000008E-3</v>
      </c>
      <c r="P5160">
        <v>-0.93102640000000003</v>
      </c>
      <c r="Q5160">
        <v>0.35043530000000001</v>
      </c>
      <c r="R5160">
        <v>-0.1019079</v>
      </c>
      <c r="S5160">
        <v>-3.2539060000000002</v>
      </c>
      <c r="T5160">
        <v>-0.25087749999999998</v>
      </c>
      <c r="U5160">
        <v>-0.57614140000000003</v>
      </c>
      <c r="V5160">
        <v>-0.1094335</v>
      </c>
      <c r="W5160">
        <v>0.36397200000000002</v>
      </c>
      <c r="X5160">
        <v>0.92495879999999997</v>
      </c>
      <c r="Y5160">
        <v>-0.18168970000000001</v>
      </c>
      <c r="Z5160">
        <v>-8.780075E-3</v>
      </c>
      <c r="AA5160">
        <v>0.98331670000000004</v>
      </c>
      <c r="AB5160">
        <v>34</v>
      </c>
      <c r="AC5160">
        <v>-14.212400000000001</v>
      </c>
      <c r="AD5160">
        <v>-1.1109051610309999</v>
      </c>
      <c r="AE5160">
        <v>-2.5527999999999902</v>
      </c>
      <c r="AF5160">
        <v>-2.6522828541665802</v>
      </c>
      <c r="AG5160">
        <v>-1.1109051610309999</v>
      </c>
      <c r="AH5160">
        <v>14.1077290222616</v>
      </c>
      <c r="AI5160">
        <v>94.425223906323893</v>
      </c>
      <c r="AJ5160">
        <v>100.647444597732</v>
      </c>
      <c r="AK5160">
        <v>14.397803053968801</v>
      </c>
      <c r="AL5160">
        <v>68.655669483428397</v>
      </c>
      <c r="AM5160">
        <v>96.7473983340915</v>
      </c>
      <c r="AN5160">
        <v>1.00000004470184</v>
      </c>
    </row>
    <row r="5161" spans="1:40" x14ac:dyDescent="0.25">
      <c r="A5161" t="str">
        <f>"20190304164951443"</f>
        <v>20190304164951443</v>
      </c>
      <c r="B5161" t="str">
        <f>"1551689391440905"</f>
        <v>1551689391440905</v>
      </c>
      <c r="C5161" t="s">
        <v>40</v>
      </c>
      <c r="D5161">
        <v>4.3748279999999999</v>
      </c>
      <c r="E5161">
        <v>0.4806878</v>
      </c>
      <c r="F5161" t="s">
        <v>42</v>
      </c>
      <c r="G5161">
        <v>-350.54489999999998</v>
      </c>
      <c r="H5161" s="1">
        <v>-4.0795989999999996E-6</v>
      </c>
      <c r="I5161">
        <v>139.38470000000001</v>
      </c>
      <c r="J5161">
        <v>-336.37369999999999</v>
      </c>
      <c r="K5161">
        <v>1.1109070000000001</v>
      </c>
      <c r="L5161">
        <v>141.94030000000001</v>
      </c>
      <c r="M5161">
        <v>-0.99986079999999999</v>
      </c>
      <c r="N5161">
        <v>-1.457959E-2</v>
      </c>
      <c r="O5161">
        <v>8.1081279999999992E-3</v>
      </c>
      <c r="P5161">
        <v>-0.93091800000000002</v>
      </c>
      <c r="Q5161">
        <v>0.3501205</v>
      </c>
      <c r="R5161">
        <v>-0.1039583</v>
      </c>
      <c r="S5161">
        <v>-3.253571</v>
      </c>
      <c r="T5161">
        <v>-0.25095640000000002</v>
      </c>
      <c r="U5161">
        <v>-0.57687379999999999</v>
      </c>
      <c r="V5161">
        <v>-0.11148379999999999</v>
      </c>
      <c r="W5161">
        <v>0.3636491</v>
      </c>
      <c r="X5161">
        <v>0.92484089999999997</v>
      </c>
      <c r="Y5161">
        <v>-0.18191940000000001</v>
      </c>
      <c r="Z5161">
        <v>-8.7929700000000006E-3</v>
      </c>
      <c r="AA5161">
        <v>0.98327419999999999</v>
      </c>
      <c r="AB5161">
        <v>34</v>
      </c>
      <c r="AC5161">
        <v>-14.171200000000001</v>
      </c>
      <c r="AD5161">
        <v>-1.11091107959899</v>
      </c>
      <c r="AE5161">
        <v>-2.5555999999999899</v>
      </c>
      <c r="AF5161">
        <v>-2.65463034711486</v>
      </c>
      <c r="AG5161">
        <v>-1.11091107959899</v>
      </c>
      <c r="AH5161">
        <v>14.066291399952201</v>
      </c>
      <c r="AI5161">
        <v>94.437652120978498</v>
      </c>
      <c r="AJ5161">
        <v>100.687323860829</v>
      </c>
      <c r="AK5161">
        <v>14.3576369732268</v>
      </c>
      <c r="AL5161">
        <v>68.675530320101899</v>
      </c>
      <c r="AM5161">
        <v>96.873484352979304</v>
      </c>
      <c r="AN5161">
        <v>0.99999999795302996</v>
      </c>
    </row>
    <row r="5162" spans="1:40" x14ac:dyDescent="0.25">
      <c r="A5162" t="str">
        <f>"20190304164951459"</f>
        <v>20190304164951459</v>
      </c>
      <c r="B5162" t="str">
        <f>"1551689391450664"</f>
        <v>1551689391450664</v>
      </c>
      <c r="C5162" t="s">
        <v>40</v>
      </c>
      <c r="D5162">
        <v>4.336042</v>
      </c>
      <c r="E5162">
        <v>0.48093760000000002</v>
      </c>
      <c r="F5162" t="s">
        <v>42</v>
      </c>
      <c r="G5162">
        <v>-350.72919999999999</v>
      </c>
      <c r="H5162" s="1">
        <v>-4.0017530000000001E-6</v>
      </c>
      <c r="I5162">
        <v>139.37780000000001</v>
      </c>
      <c r="J5162">
        <v>-336.6</v>
      </c>
      <c r="K5162">
        <v>1.110908</v>
      </c>
      <c r="L5162">
        <v>141.94210000000001</v>
      </c>
      <c r="M5162">
        <v>-0.999861</v>
      </c>
      <c r="N5162">
        <v>-1.457021E-2</v>
      </c>
      <c r="O5162">
        <v>8.1075139999999997E-3</v>
      </c>
      <c r="P5162">
        <v>-0.93086840000000004</v>
      </c>
      <c r="Q5162">
        <v>0.34998629999999997</v>
      </c>
      <c r="R5162">
        <v>-0.104852399999999</v>
      </c>
      <c r="S5162">
        <v>-3.2524109999999999</v>
      </c>
      <c r="T5162">
        <v>-0.25169160000000002</v>
      </c>
      <c r="U5162">
        <v>-0.58053589999999999</v>
      </c>
      <c r="V5162">
        <v>-0.1123782</v>
      </c>
      <c r="W5162">
        <v>0.36350519999999997</v>
      </c>
      <c r="X5162">
        <v>0.92478919999999998</v>
      </c>
      <c r="Y5162">
        <v>-0.1830445</v>
      </c>
      <c r="Z5162">
        <v>-8.8677449999999998E-3</v>
      </c>
      <c r="AA5162">
        <v>0.98306470000000001</v>
      </c>
      <c r="AB5162">
        <v>34</v>
      </c>
      <c r="AC5162">
        <v>-14.1291999999999</v>
      </c>
      <c r="AD5162">
        <v>-1.1109120017530001</v>
      </c>
      <c r="AE5162">
        <v>-2.5642999999999998</v>
      </c>
      <c r="AF5162">
        <v>-2.6628439558722699</v>
      </c>
      <c r="AG5162">
        <v>-1.1109120017530001</v>
      </c>
      <c r="AH5162">
        <v>14.0240122907722</v>
      </c>
      <c r="AI5162">
        <v>94.450045266231697</v>
      </c>
      <c r="AJ5162">
        <v>100.751191024646</v>
      </c>
      <c r="AK5162">
        <v>14.3177436819037</v>
      </c>
      <c r="AL5162">
        <v>68.684380418208093</v>
      </c>
      <c r="AM5162">
        <v>96.928477894836007</v>
      </c>
      <c r="AN5162">
        <v>0.999999977349459</v>
      </c>
    </row>
    <row r="5163" spans="1:40" x14ac:dyDescent="0.25">
      <c r="A5163" t="str">
        <f>"20190304164951472"</f>
        <v>20190304164951472</v>
      </c>
      <c r="B5163" t="str">
        <f>"1551689391460425"</f>
        <v>1551689391460425</v>
      </c>
      <c r="C5163" t="s">
        <v>40</v>
      </c>
      <c r="D5163">
        <v>4.3262900000000002</v>
      </c>
      <c r="E5163">
        <v>0.48116740000000002</v>
      </c>
      <c r="F5163" t="s">
        <v>42</v>
      </c>
      <c r="G5163">
        <v>-350.94130000000001</v>
      </c>
      <c r="H5163" s="1">
        <v>-3.9107880000000004E-6</v>
      </c>
      <c r="I5163">
        <v>139.3777</v>
      </c>
      <c r="J5163">
        <v>-336.80540000000002</v>
      </c>
      <c r="K5163">
        <v>1.110908</v>
      </c>
      <c r="L5163">
        <v>141.94380000000001</v>
      </c>
      <c r="M5163">
        <v>-0.99986140000000001</v>
      </c>
      <c r="N5163">
        <v>-1.4557540000000001E-2</v>
      </c>
      <c r="O5163">
        <v>8.1071100000000007E-3</v>
      </c>
      <c r="P5163">
        <v>-0.93070540000000002</v>
      </c>
      <c r="Q5163">
        <v>0.35021079999999999</v>
      </c>
      <c r="R5163">
        <v>-0.1055498</v>
      </c>
      <c r="S5163">
        <v>-3.2519840000000002</v>
      </c>
      <c r="T5163">
        <v>-0.25190679999999999</v>
      </c>
      <c r="U5163">
        <v>-0.5814819</v>
      </c>
      <c r="V5163">
        <v>-0.1130752</v>
      </c>
      <c r="W5163">
        <v>0.36371490000000001</v>
      </c>
      <c r="X5163">
        <v>0.92462180000000005</v>
      </c>
      <c r="Y5163">
        <v>-0.18334139999999999</v>
      </c>
      <c r="Z5163">
        <v>-8.8875759999999995E-3</v>
      </c>
      <c r="AA5163">
        <v>0.98300909999999997</v>
      </c>
      <c r="AB5163">
        <v>34</v>
      </c>
      <c r="AC5163">
        <v>-14.1358999999999</v>
      </c>
      <c r="AD5163">
        <v>-1.1109119107879999</v>
      </c>
      <c r="AE5163">
        <v>-2.5661</v>
      </c>
      <c r="AF5163">
        <v>-2.6646967336162501</v>
      </c>
      <c r="AG5163">
        <v>-1.1109119107879999</v>
      </c>
      <c r="AH5163">
        <v>14.030739121136101</v>
      </c>
      <c r="AI5163">
        <v>94.4478866534117</v>
      </c>
      <c r="AJ5163">
        <v>100.753459349069</v>
      </c>
      <c r="AK5163">
        <v>14.3246771077416</v>
      </c>
      <c r="AL5163">
        <v>68.671483190545104</v>
      </c>
      <c r="AM5163">
        <v>96.972278310018098</v>
      </c>
      <c r="AN5163">
        <v>1.0000000011861401</v>
      </c>
    </row>
    <row r="5164" spans="1:40" x14ac:dyDescent="0.25">
      <c r="A5164" t="str">
        <f>"20190304164951485"</f>
        <v>20190304164951485</v>
      </c>
      <c r="B5164" t="str">
        <f>"1551689391480921"</f>
        <v>1551689391480921</v>
      </c>
      <c r="C5164" t="s">
        <v>40</v>
      </c>
      <c r="D5164">
        <v>4.7021059999999997</v>
      </c>
      <c r="E5164">
        <v>0.50472029999999901</v>
      </c>
      <c r="F5164" t="s">
        <v>42</v>
      </c>
      <c r="G5164">
        <v>-351.20400000000001</v>
      </c>
      <c r="H5164" s="1">
        <v>-3.7999370000000002E-6</v>
      </c>
      <c r="I5164">
        <v>139.3673</v>
      </c>
      <c r="J5164">
        <v>-337.00569999999999</v>
      </c>
      <c r="K5164">
        <v>1.1109070000000001</v>
      </c>
      <c r="L5164">
        <v>141.94540000000001</v>
      </c>
      <c r="M5164">
        <v>-0.99986149999999996</v>
      </c>
      <c r="N5164">
        <v>-1.454066E-2</v>
      </c>
      <c r="O5164">
        <v>8.1072190000000006E-3</v>
      </c>
      <c r="P5164">
        <v>-0.93060659999999895</v>
      </c>
      <c r="Q5164">
        <v>0.3502015</v>
      </c>
      <c r="R5164">
        <v>-0.10644530000000001</v>
      </c>
      <c r="S5164">
        <v>-3.2518009999999999</v>
      </c>
      <c r="T5164">
        <v>-0.25089030000000001</v>
      </c>
      <c r="U5164">
        <v>-0.58186340000000003</v>
      </c>
      <c r="V5164">
        <v>-0.1139705</v>
      </c>
      <c r="W5164">
        <v>0.36368820000000002</v>
      </c>
      <c r="X5164">
        <v>0.92452239999999997</v>
      </c>
      <c r="Y5164">
        <v>-0.1834674</v>
      </c>
      <c r="Z5164">
        <v>-8.8614260000000004E-3</v>
      </c>
      <c r="AA5164">
        <v>0.98298589999999997</v>
      </c>
      <c r="AB5164">
        <v>34</v>
      </c>
      <c r="AC5164">
        <v>-14.1983</v>
      </c>
      <c r="AD5164">
        <v>-1.11091079993699</v>
      </c>
      <c r="AE5164">
        <v>-2.5781000000000001</v>
      </c>
      <c r="AF5164">
        <v>-2.6772693274165902</v>
      </c>
      <c r="AG5164">
        <v>-1.11091079993699</v>
      </c>
      <c r="AH5164">
        <v>14.0934054005716</v>
      </c>
      <c r="AI5164">
        <v>94.428145063878205</v>
      </c>
      <c r="AJ5164">
        <v>100.756092690591</v>
      </c>
      <c r="AK5164">
        <v>14.388397049073999</v>
      </c>
      <c r="AL5164">
        <v>68.673125988021297</v>
      </c>
      <c r="AM5164">
        <v>97.027681169269002</v>
      </c>
      <c r="AN5164">
        <v>1.00000002489562</v>
      </c>
    </row>
    <row r="5165" spans="1:40" x14ac:dyDescent="0.25">
      <c r="A5165" t="str">
        <f>"20190304164951500"</f>
        <v>20190304164951500</v>
      </c>
      <c r="B5165" t="str">
        <f>"1551689391490681"</f>
        <v>1551689391490681</v>
      </c>
      <c r="C5165" t="s">
        <v>40</v>
      </c>
      <c r="D5165">
        <v>4.8235479999999997</v>
      </c>
      <c r="E5165">
        <v>0.5161249</v>
      </c>
      <c r="F5165" t="s">
        <v>42</v>
      </c>
      <c r="G5165">
        <v>-352.09480000000002</v>
      </c>
      <c r="H5165" s="1">
        <v>-3.5063190000000001E-6</v>
      </c>
      <c r="I5165">
        <v>140.11510000000001</v>
      </c>
      <c r="J5165">
        <v>-337.21949999999998</v>
      </c>
      <c r="K5165">
        <v>1.1109</v>
      </c>
      <c r="L5165">
        <v>141.94710000000001</v>
      </c>
      <c r="M5165">
        <v>-0.99986180000000002</v>
      </c>
      <c r="N5165">
        <v>-1.4517469999999999E-2</v>
      </c>
      <c r="O5165">
        <v>8.107197E-3</v>
      </c>
      <c r="P5165">
        <v>-0.93043129999999996</v>
      </c>
      <c r="Q5165">
        <v>0.35036719999999999</v>
      </c>
      <c r="R5165">
        <v>-0.1074272</v>
      </c>
      <c r="S5165">
        <v>-3.2689210000000002</v>
      </c>
      <c r="T5165">
        <v>-0.2406691</v>
      </c>
      <c r="U5165">
        <v>-0.39649960000000001</v>
      </c>
      <c r="V5165">
        <v>-0.1149515</v>
      </c>
      <c r="W5165">
        <v>0.3638304</v>
      </c>
      <c r="X5165">
        <v>0.92434499999999997</v>
      </c>
      <c r="Y5165">
        <v>-0.12803249999999999</v>
      </c>
      <c r="Z5165">
        <v>-6.1007309999999999E-3</v>
      </c>
      <c r="AA5165">
        <v>0.99175119999999894</v>
      </c>
      <c r="AB5165">
        <v>34</v>
      </c>
      <c r="AC5165">
        <v>-14.875299999999999</v>
      </c>
      <c r="AD5165">
        <v>-1.110903506319</v>
      </c>
      <c r="AE5165">
        <v>-1.8319999999999901</v>
      </c>
      <c r="AF5165">
        <v>-1.94188090726037</v>
      </c>
      <c r="AG5165">
        <v>-1.110903506319</v>
      </c>
      <c r="AH5165">
        <v>14.7787635392823</v>
      </c>
      <c r="AI5165">
        <v>94.262276654863996</v>
      </c>
      <c r="AJ5165">
        <v>97.485593663349903</v>
      </c>
      <c r="AK5165">
        <v>14.947135505117799</v>
      </c>
      <c r="AL5165">
        <v>68.664379729243805</v>
      </c>
      <c r="AM5165">
        <v>97.088905655630796</v>
      </c>
      <c r="AN5165">
        <v>1.0000000431706999</v>
      </c>
    </row>
    <row r="5166" spans="1:40" x14ac:dyDescent="0.25">
      <c r="A5166" t="str">
        <f>"20190304164951515"</f>
        <v>20190304164951515</v>
      </c>
      <c r="B5166" t="str">
        <f>"1551689391511177"</f>
        <v>1551689391511177</v>
      </c>
      <c r="C5166" t="s">
        <v>40</v>
      </c>
      <c r="D5166">
        <v>4.478059</v>
      </c>
      <c r="E5166">
        <v>0.53229490000000002</v>
      </c>
      <c r="F5166" t="s">
        <v>42</v>
      </c>
      <c r="G5166">
        <v>-351.2527</v>
      </c>
      <c r="H5166" s="1">
        <v>-4.0035200000000004E-6</v>
      </c>
      <c r="I5166">
        <v>140.6259</v>
      </c>
      <c r="J5166">
        <v>-337.44450000000001</v>
      </c>
      <c r="K5166">
        <v>1.1108910000000001</v>
      </c>
      <c r="L5166">
        <v>141.94890000000001</v>
      </c>
      <c r="M5166">
        <v>-0.99986220000000003</v>
      </c>
      <c r="N5166">
        <v>-1.448468E-2</v>
      </c>
      <c r="O5166">
        <v>8.1072479999999992E-3</v>
      </c>
      <c r="P5166">
        <v>-0.93045880000000003</v>
      </c>
      <c r="Q5166">
        <v>0.35021669999999999</v>
      </c>
      <c r="R5166">
        <v>-0.1076773</v>
      </c>
      <c r="S5166">
        <v>-3.28653</v>
      </c>
      <c r="T5166">
        <v>-0.26017170000000001</v>
      </c>
      <c r="U5166">
        <v>-0.30940250000000002</v>
      </c>
      <c r="V5166">
        <v>-0.1152022</v>
      </c>
      <c r="W5166">
        <v>0.36364960000000002</v>
      </c>
      <c r="X5166">
        <v>0.92438489999999995</v>
      </c>
      <c r="Y5166">
        <v>-0.1014081</v>
      </c>
      <c r="Z5166">
        <v>-5.2586769999999998E-3</v>
      </c>
      <c r="AA5166">
        <v>0.99483100000000002</v>
      </c>
      <c r="AB5166">
        <v>34</v>
      </c>
      <c r="AC5166">
        <v>-13.808199999999999</v>
      </c>
      <c r="AD5166">
        <v>-1.11089500352</v>
      </c>
      <c r="AE5166">
        <v>-1.323</v>
      </c>
      <c r="AF5166">
        <v>-1.4257704116095</v>
      </c>
      <c r="AG5166">
        <v>-1.11089500352</v>
      </c>
      <c r="AH5166">
        <v>13.709094172326701</v>
      </c>
      <c r="AI5166">
        <v>94.608005346909707</v>
      </c>
      <c r="AJ5166">
        <v>95.937517885690497</v>
      </c>
      <c r="AK5166">
        <v>13.827731990503301</v>
      </c>
      <c r="AL5166">
        <v>68.675499856438407</v>
      </c>
      <c r="AM5166">
        <v>97.103904676112705</v>
      </c>
      <c r="AN5166">
        <v>1.0000000109064999</v>
      </c>
    </row>
    <row r="5167" spans="1:40" x14ac:dyDescent="0.25">
      <c r="A5167" t="str">
        <f>"20190304164951535"</f>
        <v>20190304164951535</v>
      </c>
      <c r="B5167" t="str">
        <f>"1551689391530697"</f>
        <v>1551689391530697</v>
      </c>
      <c r="C5167" t="s">
        <v>40</v>
      </c>
      <c r="D5167">
        <v>4.4326309999999998</v>
      </c>
      <c r="E5167">
        <v>0.53943989999999997</v>
      </c>
      <c r="F5167" t="s">
        <v>42</v>
      </c>
      <c r="G5167">
        <v>-350.10320000000002</v>
      </c>
      <c r="H5167" s="1">
        <v>-4.5299789999999999E-6</v>
      </c>
      <c r="I5167">
        <v>141.24600000000001</v>
      </c>
      <c r="J5167">
        <v>-337.7405</v>
      </c>
      <c r="K5167">
        <v>1.110876</v>
      </c>
      <c r="L5167">
        <v>141.9513</v>
      </c>
      <c r="M5167">
        <v>-0.9998631</v>
      </c>
      <c r="N5167">
        <v>-1.4423460000000001E-2</v>
      </c>
      <c r="O5167">
        <v>8.1071470000000003E-3</v>
      </c>
      <c r="P5167">
        <v>-0.93062080000000003</v>
      </c>
      <c r="Q5167">
        <v>0.34977530000000001</v>
      </c>
      <c r="R5167">
        <v>-0.10771219999999999</v>
      </c>
      <c r="S5167">
        <v>-3.312408</v>
      </c>
      <c r="T5167">
        <v>-0.2906878</v>
      </c>
      <c r="U5167">
        <v>-0.1839142</v>
      </c>
      <c r="V5167">
        <v>-0.11523890000000001</v>
      </c>
      <c r="W5167">
        <v>0.36315380000000003</v>
      </c>
      <c r="X5167">
        <v>0.92457520000000004</v>
      </c>
      <c r="Y5167">
        <v>-6.3227060000000002E-2</v>
      </c>
      <c r="Z5167">
        <v>-3.817174E-3</v>
      </c>
      <c r="AA5167">
        <v>0.99799190000000004</v>
      </c>
      <c r="AB5167">
        <v>34</v>
      </c>
      <c r="AC5167">
        <v>-12.3627</v>
      </c>
      <c r="AD5167">
        <v>-1.1108805299790001</v>
      </c>
      <c r="AE5167">
        <v>-0.70529999999999404</v>
      </c>
      <c r="AF5167">
        <v>-0.79908232519128797</v>
      </c>
      <c r="AG5167">
        <v>-1.1108805299790001</v>
      </c>
      <c r="AH5167">
        <v>12.257921308691399</v>
      </c>
      <c r="AI5167">
        <v>95.167405897481601</v>
      </c>
      <c r="AJ5167">
        <v>93.729780409319005</v>
      </c>
      <c r="AK5167">
        <v>12.334067574178</v>
      </c>
      <c r="AL5167">
        <v>68.705991368733606</v>
      </c>
      <c r="AM5167">
        <v>97.104696967756198</v>
      </c>
      <c r="AN5167">
        <v>0.99999999349134405</v>
      </c>
    </row>
    <row r="5168" spans="1:40" x14ac:dyDescent="0.25">
      <c r="A5168" t="str">
        <f>"20190304164951551"</f>
        <v>20190304164951551</v>
      </c>
      <c r="B5168" t="str">
        <f>"1551689391540457"</f>
        <v>1551689391540457</v>
      </c>
      <c r="C5168" t="s">
        <v>40</v>
      </c>
      <c r="D5168">
        <v>4.3847779999999998</v>
      </c>
      <c r="E5168">
        <v>0.54187379999999996</v>
      </c>
      <c r="F5168" t="s">
        <v>42</v>
      </c>
      <c r="G5168">
        <v>-349.93860000000001</v>
      </c>
      <c r="H5168" s="1">
        <v>-5.056599E-7</v>
      </c>
      <c r="I5168">
        <v>141.48429999999999</v>
      </c>
      <c r="J5168">
        <v>-337.99009999999998</v>
      </c>
      <c r="K5168">
        <v>1.1108579999999999</v>
      </c>
      <c r="L5168">
        <v>141.95330000000001</v>
      </c>
      <c r="M5168">
        <v>-0.99986419999999998</v>
      </c>
      <c r="N5168">
        <v>-1.435494E-2</v>
      </c>
      <c r="O5168">
        <v>8.1073389999999999E-3</v>
      </c>
      <c r="P5168">
        <v>-0.93062219999999996</v>
      </c>
      <c r="Q5168">
        <v>0.34980820000000001</v>
      </c>
      <c r="R5168">
        <v>-0.107595899999999</v>
      </c>
      <c r="S5168">
        <v>-3.3226930000000001</v>
      </c>
      <c r="T5168">
        <v>-0.30259730000000001</v>
      </c>
      <c r="U5168">
        <v>-0.12719730000000001</v>
      </c>
      <c r="V5168">
        <v>-0.115122699999999</v>
      </c>
      <c r="W5168">
        <v>0.36312309999999998</v>
      </c>
      <c r="X5168">
        <v>0.92460169999999997</v>
      </c>
      <c r="Y5168">
        <v>-4.6109810000000001E-2</v>
      </c>
      <c r="Z5168">
        <v>-3.0468169999999998E-3</v>
      </c>
      <c r="AA5168">
        <v>0.99893169999999998</v>
      </c>
      <c r="AB5168">
        <v>34</v>
      </c>
      <c r="AC5168">
        <v>-11.948499999999999</v>
      </c>
      <c r="AD5168">
        <v>-1.1108585056599001</v>
      </c>
      <c r="AE5168">
        <v>-0.46900000000002201</v>
      </c>
      <c r="AF5168">
        <v>-0.56102333770572699</v>
      </c>
      <c r="AG5168">
        <v>-1.1108585056599001</v>
      </c>
      <c r="AH5168">
        <v>11.8421044740913</v>
      </c>
      <c r="AI5168">
        <v>95.353027380755705</v>
      </c>
      <c r="AJ5168">
        <v>92.7123771329031</v>
      </c>
      <c r="AK5168">
        <v>11.9073167498114</v>
      </c>
      <c r="AL5168">
        <v>68.707878536222097</v>
      </c>
      <c r="AM5168">
        <v>97.097404768202097</v>
      </c>
      <c r="AN5168">
        <v>0.99999996272589398</v>
      </c>
    </row>
    <row r="5169" spans="1:40" x14ac:dyDescent="0.25">
      <c r="A5169" t="str">
        <f>"20190304164951569"</f>
        <v>20190304164951569</v>
      </c>
      <c r="B5169" t="str">
        <f>"1551689391560953"</f>
        <v>1551689391560953</v>
      </c>
      <c r="C5169" t="s">
        <v>40</v>
      </c>
      <c r="D5169">
        <v>4.3476900000000001</v>
      </c>
      <c r="E5169">
        <v>0.54515449999999999</v>
      </c>
      <c r="F5169" t="s">
        <v>42</v>
      </c>
      <c r="G5169">
        <v>-350.12200000000001</v>
      </c>
      <c r="H5169" s="1">
        <v>-4.5798459999999998E-6</v>
      </c>
      <c r="I5169">
        <v>141.56319999999999</v>
      </c>
      <c r="J5169">
        <v>-338.26609999999999</v>
      </c>
      <c r="K5169">
        <v>1.1108389999999999</v>
      </c>
      <c r="L5169">
        <v>141.9556</v>
      </c>
      <c r="M5169">
        <v>-0.99986549999999996</v>
      </c>
      <c r="N5169">
        <v>-1.426264E-2</v>
      </c>
      <c r="O5169">
        <v>8.1073429999999995E-3</v>
      </c>
      <c r="P5169">
        <v>-0.93075669999999999</v>
      </c>
      <c r="Q5169">
        <v>0.34954210000000002</v>
      </c>
      <c r="R5169">
        <v>-0.1072956</v>
      </c>
      <c r="S5169">
        <v>-3.3257140000000001</v>
      </c>
      <c r="T5169">
        <v>-0.30452200000000001</v>
      </c>
      <c r="U5169">
        <v>-0.1069336</v>
      </c>
      <c r="V5169">
        <v>-0.1148238</v>
      </c>
      <c r="W5169">
        <v>0.36277340000000002</v>
      </c>
      <c r="X5169">
        <v>0.92477609999999999</v>
      </c>
      <c r="Y5169">
        <v>-4.002228E-2</v>
      </c>
      <c r="Z5169">
        <v>-2.739465E-3</v>
      </c>
      <c r="AA5169">
        <v>0.99919500000000006</v>
      </c>
      <c r="AB5169">
        <v>34</v>
      </c>
      <c r="AC5169">
        <v>-11.855899999999901</v>
      </c>
      <c r="AD5169">
        <v>-1.1108435798459999</v>
      </c>
      <c r="AE5169">
        <v>-0.39240000000000902</v>
      </c>
      <c r="AF5169">
        <v>-0.48427004517656103</v>
      </c>
      <c r="AG5169">
        <v>-1.1108435798459999</v>
      </c>
      <c r="AH5169">
        <v>11.749296391854401</v>
      </c>
      <c r="AI5169">
        <v>95.396450876634603</v>
      </c>
      <c r="AJ5169">
        <v>92.360220772265293</v>
      </c>
      <c r="AK5169">
        <v>11.811623793500299</v>
      </c>
      <c r="AL5169">
        <v>68.729380641922205</v>
      </c>
      <c r="AM5169">
        <v>97.077843064541</v>
      </c>
      <c r="AN5169">
        <v>0.99999993996260295</v>
      </c>
    </row>
    <row r="5170" spans="1:40" x14ac:dyDescent="0.25">
      <c r="A5170" t="str">
        <f>"20190304164951589"</f>
        <v>20190304164951589</v>
      </c>
      <c r="B5170" t="str">
        <f>"1551689391580473"</f>
        <v>1551689391580473</v>
      </c>
      <c r="C5170" t="s">
        <v>40</v>
      </c>
      <c r="D5170">
        <v>4.3512529999999998</v>
      </c>
      <c r="E5170">
        <v>0.54720719999999901</v>
      </c>
      <c r="F5170" t="s">
        <v>42</v>
      </c>
      <c r="G5170">
        <v>-350.27499999999998</v>
      </c>
      <c r="H5170" s="1">
        <v>-4.547029E-6</v>
      </c>
      <c r="I5170">
        <v>141.67160000000001</v>
      </c>
      <c r="J5170">
        <v>-338.5675</v>
      </c>
      <c r="K5170">
        <v>1.110824</v>
      </c>
      <c r="L5170">
        <v>141.958</v>
      </c>
      <c r="M5170">
        <v>-0.99986710000000001</v>
      </c>
      <c r="N5170">
        <v>-1.414413E-2</v>
      </c>
      <c r="O5170">
        <v>8.1074679999999996E-3</v>
      </c>
      <c r="P5170">
        <v>-0.93091270000000004</v>
      </c>
      <c r="Q5170">
        <v>0.34928730000000002</v>
      </c>
      <c r="R5170">
        <v>-0.10677</v>
      </c>
      <c r="S5170">
        <v>-3.3298339999999902</v>
      </c>
      <c r="T5170">
        <v>-0.30801770000000001</v>
      </c>
      <c r="U5170">
        <v>-7.8704830000000003E-2</v>
      </c>
      <c r="V5170">
        <v>-0.1143004</v>
      </c>
      <c r="W5170">
        <v>0.36241129999999999</v>
      </c>
      <c r="X5170">
        <v>0.924983</v>
      </c>
      <c r="Y5170">
        <v>-3.1554749999999999E-2</v>
      </c>
      <c r="Z5170">
        <v>-2.3137000000000001E-3</v>
      </c>
      <c r="AA5170">
        <v>0.99949929999999998</v>
      </c>
      <c r="AB5170">
        <v>34</v>
      </c>
      <c r="AC5170">
        <v>-11.7074999999999</v>
      </c>
      <c r="AD5170">
        <v>-1.110828547029</v>
      </c>
      <c r="AE5170">
        <v>-0.286399999999986</v>
      </c>
      <c r="AF5170">
        <v>-0.37791806956359397</v>
      </c>
      <c r="AG5170">
        <v>-1.110828547029</v>
      </c>
      <c r="AH5170">
        <v>11.6004219675645</v>
      </c>
      <c r="AI5170">
        <v>95.466945618294901</v>
      </c>
      <c r="AJ5170">
        <v>91.865919619561694</v>
      </c>
      <c r="AK5170">
        <v>11.6596119984221</v>
      </c>
      <c r="AL5170">
        <v>68.751644658439702</v>
      </c>
      <c r="AM5170">
        <v>97.044345038658903</v>
      </c>
      <c r="AN5170">
        <v>1.00000004104842</v>
      </c>
    </row>
    <row r="5171" spans="1:40" x14ac:dyDescent="0.25">
      <c r="A5171" t="str">
        <f>"20190304164951602"</f>
        <v>20190304164951602</v>
      </c>
      <c r="B5171" t="str">
        <f>"1551689391591210"</f>
        <v>1551689391591210</v>
      </c>
      <c r="C5171" t="s">
        <v>40</v>
      </c>
      <c r="D5171">
        <v>4.3441260000000002</v>
      </c>
      <c r="E5171">
        <v>0.54801250000000001</v>
      </c>
      <c r="F5171" t="s">
        <v>42</v>
      </c>
      <c r="G5171">
        <v>-350.45890000000003</v>
      </c>
      <c r="H5171" s="1">
        <v>-4.4971310000000003E-6</v>
      </c>
      <c r="I5171">
        <v>141.7432</v>
      </c>
      <c r="J5171">
        <v>-338.7679</v>
      </c>
      <c r="K5171">
        <v>1.110806</v>
      </c>
      <c r="L5171">
        <v>141.95959999999999</v>
      </c>
      <c r="M5171">
        <v>-0.99986850000000005</v>
      </c>
      <c r="N5171">
        <v>-1.4055430000000001E-2</v>
      </c>
      <c r="O5171">
        <v>8.1076169999999993E-3</v>
      </c>
      <c r="P5171">
        <v>-0.93094410000000005</v>
      </c>
      <c r="Q5171">
        <v>0.34933720000000001</v>
      </c>
      <c r="R5171">
        <v>-0.106333399999999</v>
      </c>
      <c r="S5171">
        <v>-3.3325499999999999</v>
      </c>
      <c r="T5171">
        <v>-0.31130980000000003</v>
      </c>
      <c r="U5171">
        <v>-6.0180659999999997E-2</v>
      </c>
      <c r="V5171">
        <v>-0.1138644</v>
      </c>
      <c r="W5171">
        <v>0.36237970000000003</v>
      </c>
      <c r="X5171">
        <v>0.92504909999999996</v>
      </c>
      <c r="Y5171">
        <v>-2.6006230000000002E-2</v>
      </c>
      <c r="Z5171">
        <v>-2.0371260000000002E-3</v>
      </c>
      <c r="AA5171">
        <v>0.99965970000000004</v>
      </c>
      <c r="AB5171">
        <v>34</v>
      </c>
      <c r="AC5171">
        <v>-11.691000000000001</v>
      </c>
      <c r="AD5171">
        <v>-1.110810497131</v>
      </c>
      <c r="AE5171">
        <v>-0.21639999999999299</v>
      </c>
      <c r="AF5171">
        <v>-0.30840515361820298</v>
      </c>
      <c r="AG5171">
        <v>-1.110810497131</v>
      </c>
      <c r="AH5171">
        <v>11.584317207628599</v>
      </c>
      <c r="AI5171">
        <v>95.475369720753505</v>
      </c>
      <c r="AJ5171">
        <v>91.525004921671695</v>
      </c>
      <c r="AK5171">
        <v>11.6415385094186</v>
      </c>
      <c r="AL5171">
        <v>68.753586183365101</v>
      </c>
      <c r="AM5171">
        <v>97.0172463003818</v>
      </c>
      <c r="AN5171">
        <v>0.99999999298512998</v>
      </c>
    </row>
    <row r="5172" spans="1:40" x14ac:dyDescent="0.25">
      <c r="A5172" t="str">
        <f>"20190304164951616"</f>
        <v>20190304164951616</v>
      </c>
      <c r="B5172" t="str">
        <f>"1551689391610729"</f>
        <v>1551689391610729</v>
      </c>
      <c r="C5172" t="s">
        <v>40</v>
      </c>
      <c r="D5172">
        <v>4.322025</v>
      </c>
      <c r="E5172">
        <v>0.54922709999999997</v>
      </c>
      <c r="F5172" t="s">
        <v>41</v>
      </c>
      <c r="G5172">
        <v>-339.68490000000003</v>
      </c>
      <c r="H5172">
        <v>1.024824</v>
      </c>
      <c r="I5172">
        <v>141.94540000000001</v>
      </c>
      <c r="J5172">
        <v>-338.97050000000002</v>
      </c>
      <c r="K5172">
        <v>1.1107860000000001</v>
      </c>
      <c r="L5172">
        <v>141.96129999999999</v>
      </c>
      <c r="M5172">
        <v>-0.99986980000000003</v>
      </c>
      <c r="N5172">
        <v>-1.39601E-2</v>
      </c>
      <c r="O5172">
        <v>8.1077500000000004E-3</v>
      </c>
      <c r="P5172">
        <v>-0.93091219999999997</v>
      </c>
      <c r="Q5172">
        <v>0.34951690000000002</v>
      </c>
      <c r="R5172">
        <v>-0.10602209999999999</v>
      </c>
      <c r="S5172">
        <v>-3.3338009999999998</v>
      </c>
      <c r="T5172">
        <v>-0.31264720000000001</v>
      </c>
      <c r="U5172">
        <v>-5.2856449999999999E-2</v>
      </c>
      <c r="V5172">
        <v>-0.1135526</v>
      </c>
      <c r="W5172">
        <v>0.36247040000000003</v>
      </c>
      <c r="X5172">
        <v>0.92505190000000004</v>
      </c>
      <c r="Y5172">
        <v>-2.3813850000000001E-2</v>
      </c>
      <c r="Z5172">
        <v>-1.926463E-3</v>
      </c>
      <c r="AA5172">
        <v>0.99971460000000001</v>
      </c>
      <c r="AB5172">
        <v>34</v>
      </c>
      <c r="AC5172">
        <v>-0.71440000000001103</v>
      </c>
      <c r="AD5172">
        <v>-8.5962000000000094E-2</v>
      </c>
      <c r="AE5172">
        <v>-1.5899999999987799E-2</v>
      </c>
      <c r="AF5172">
        <v>-2.1382775776102501E-2</v>
      </c>
      <c r="AG5172">
        <v>-8.5962000000000094E-2</v>
      </c>
      <c r="AH5172">
        <v>0.70405876669501199</v>
      </c>
      <c r="AI5172">
        <v>96.957893497085095</v>
      </c>
      <c r="AJ5172">
        <v>91.739579690930697</v>
      </c>
      <c r="AK5172">
        <v>0.70960935415479998</v>
      </c>
      <c r="AL5172">
        <v>68.748010546491898</v>
      </c>
      <c r="AM5172">
        <v>96.998200489695293</v>
      </c>
      <c r="AN5172">
        <v>1.0000000007682599</v>
      </c>
    </row>
    <row r="5173" spans="1:40" x14ac:dyDescent="0.25">
      <c r="A5173" t="str">
        <f>"20190304164951629"</f>
        <v>20190304164951629</v>
      </c>
      <c r="B5173" t="str">
        <f>"1551689391620489"</f>
        <v>1551689391620489</v>
      </c>
      <c r="C5173" t="s">
        <v>40</v>
      </c>
      <c r="D5173">
        <v>4.3335059999999999</v>
      </c>
      <c r="E5173">
        <v>0.54976000000000003</v>
      </c>
      <c r="F5173" t="s">
        <v>41</v>
      </c>
      <c r="G5173">
        <v>-339.97989999999999</v>
      </c>
      <c r="H5173">
        <v>1.0156590000000001</v>
      </c>
      <c r="I5173">
        <v>141.9486</v>
      </c>
      <c r="J5173">
        <v>-339.16879999999998</v>
      </c>
      <c r="K5173">
        <v>1.110771</v>
      </c>
      <c r="L5173">
        <v>141.96289999999999</v>
      </c>
      <c r="M5173">
        <v>-0.99987110000000001</v>
      </c>
      <c r="N5173">
        <v>-1.386094E-2</v>
      </c>
      <c r="O5173">
        <v>8.1077860000000005E-3</v>
      </c>
      <c r="P5173">
        <v>-0.93095559999999999</v>
      </c>
      <c r="Q5173">
        <v>0.34954950000000001</v>
      </c>
      <c r="R5173">
        <v>-0.10553369999999999</v>
      </c>
      <c r="S5173">
        <v>-3.3359070000000002</v>
      </c>
      <c r="T5173">
        <v>-0.3144671</v>
      </c>
      <c r="U5173">
        <v>-4.2282100000000003E-2</v>
      </c>
      <c r="V5173">
        <v>-0.1130644</v>
      </c>
      <c r="W5173">
        <v>0.3624117</v>
      </c>
      <c r="X5173">
        <v>0.92513469999999998</v>
      </c>
      <c r="Y5173">
        <v>-2.0650120000000001E-2</v>
      </c>
      <c r="Z5173">
        <v>-1.765027E-3</v>
      </c>
      <c r="AA5173">
        <v>0.99978520000000004</v>
      </c>
      <c r="AB5173">
        <v>34</v>
      </c>
      <c r="AC5173">
        <v>-0.81110000000001004</v>
      </c>
      <c r="AD5173">
        <v>-9.5111999999999794E-2</v>
      </c>
      <c r="AE5173">
        <v>-1.42999999999915E-2</v>
      </c>
      <c r="AF5173">
        <v>-2.0593304262455502E-2</v>
      </c>
      <c r="AG5173">
        <v>-9.5111999999999794E-2</v>
      </c>
      <c r="AH5173">
        <v>0.79996085450991505</v>
      </c>
      <c r="AI5173">
        <v>96.778173732391394</v>
      </c>
      <c r="AJ5173">
        <v>91.474633260908206</v>
      </c>
      <c r="AK5173">
        <v>0.80585839045869501</v>
      </c>
      <c r="AL5173">
        <v>68.751619287475194</v>
      </c>
      <c r="AM5173">
        <v>96.967791830077601</v>
      </c>
      <c r="AN5173">
        <v>1.00000000599417</v>
      </c>
    </row>
    <row r="5174" spans="1:40" x14ac:dyDescent="0.25">
      <c r="A5174" t="str">
        <f>"20190304164951641"</f>
        <v>20190304164951641</v>
      </c>
      <c r="B5174" t="str">
        <f>"1551689391631225"</f>
        <v>1551689391631225</v>
      </c>
      <c r="C5174" t="s">
        <v>40</v>
      </c>
      <c r="D5174">
        <v>4.3213629999999998</v>
      </c>
      <c r="E5174">
        <v>0.55024819999999997</v>
      </c>
      <c r="F5174" t="s">
        <v>41</v>
      </c>
      <c r="G5174">
        <v>-339.99239999999998</v>
      </c>
      <c r="H5174">
        <v>1.0330269999999999</v>
      </c>
      <c r="I5174">
        <v>141.95400000000001</v>
      </c>
      <c r="J5174">
        <v>-339.35890000000001</v>
      </c>
      <c r="K5174">
        <v>1.1107579999999999</v>
      </c>
      <c r="L5174">
        <v>141.96440000000001</v>
      </c>
      <c r="M5174">
        <v>-0.99987239999999999</v>
      </c>
      <c r="N5174">
        <v>-1.376379E-2</v>
      </c>
      <c r="O5174">
        <v>8.1079829999999992E-3</v>
      </c>
      <c r="P5174">
        <v>-0.93088479999999996</v>
      </c>
      <c r="Q5174">
        <v>0.349881</v>
      </c>
      <c r="R5174">
        <v>-0.1050566</v>
      </c>
      <c r="S5174">
        <v>-3.3365480000000001</v>
      </c>
      <c r="T5174">
        <v>-0.31496940000000001</v>
      </c>
      <c r="U5174">
        <v>-3.6788939999999999E-2</v>
      </c>
      <c r="V5174">
        <v>-0.1125877</v>
      </c>
      <c r="W5174">
        <v>0.36265259999999999</v>
      </c>
      <c r="X5174">
        <v>0.92509839999999999</v>
      </c>
      <c r="Y5174">
        <v>-1.901009E-2</v>
      </c>
      <c r="Z5174">
        <v>-1.678712E-3</v>
      </c>
      <c r="AA5174">
        <v>0.99981790000000004</v>
      </c>
      <c r="AB5174">
        <v>34</v>
      </c>
      <c r="AC5174">
        <v>-0.63349999999996898</v>
      </c>
      <c r="AD5174">
        <v>-7.7730999999999703E-2</v>
      </c>
      <c r="AE5174">
        <v>-1.04000000000041E-2</v>
      </c>
      <c r="AF5174">
        <v>-1.53061718879356E-2</v>
      </c>
      <c r="AG5174">
        <v>-7.7730999999999703E-2</v>
      </c>
      <c r="AH5174">
        <v>0.62400269848385104</v>
      </c>
      <c r="AI5174">
        <v>97.098551649064206</v>
      </c>
      <c r="AJ5174">
        <v>91.405127302370104</v>
      </c>
      <c r="AK5174">
        <v>0.62901172880479095</v>
      </c>
      <c r="AL5174">
        <v>68.736808512822805</v>
      </c>
      <c r="AM5174">
        <v>96.938970959253098</v>
      </c>
      <c r="AN5174">
        <v>0.99999997408030405</v>
      </c>
    </row>
    <row r="5175" spans="1:40" x14ac:dyDescent="0.25">
      <c r="A5175" t="str">
        <f>"20190304164951657"</f>
        <v>20190304164951657</v>
      </c>
      <c r="B5175" t="str">
        <f>"1551689391650748"</f>
        <v>1551689391650748</v>
      </c>
      <c r="C5175" t="s">
        <v>40</v>
      </c>
      <c r="D5175">
        <v>4.3226559999999896</v>
      </c>
      <c r="E5175">
        <v>0.55097850000000004</v>
      </c>
      <c r="F5175" t="s">
        <v>41</v>
      </c>
      <c r="G5175">
        <v>-340.28559999999999</v>
      </c>
      <c r="H5175">
        <v>1.0236430000000001</v>
      </c>
      <c r="I5175">
        <v>141.95580000000001</v>
      </c>
      <c r="J5175">
        <v>-339.59370000000001</v>
      </c>
      <c r="K5175">
        <v>1.110744</v>
      </c>
      <c r="L5175">
        <v>141.96629999999999</v>
      </c>
      <c r="M5175">
        <v>-0.99987420000000005</v>
      </c>
      <c r="N5175">
        <v>-1.3640640000000001E-2</v>
      </c>
      <c r="O5175">
        <v>8.1078160000000003E-3</v>
      </c>
      <c r="P5175">
        <v>-0.93092529999999996</v>
      </c>
      <c r="Q5175">
        <v>0.34997099999999998</v>
      </c>
      <c r="R5175">
        <v>-0.1043965</v>
      </c>
      <c r="S5175">
        <v>-3.337097</v>
      </c>
      <c r="T5175">
        <v>-0.3137432</v>
      </c>
      <c r="U5175">
        <v>-3.1539919999999999E-2</v>
      </c>
      <c r="V5175">
        <v>-0.111928</v>
      </c>
      <c r="W5175">
        <v>0.36262899999999998</v>
      </c>
      <c r="X5175">
        <v>0.92518769999999995</v>
      </c>
      <c r="Y5175">
        <v>-1.7444520000000002E-2</v>
      </c>
      <c r="Z5175">
        <v>-1.587689E-3</v>
      </c>
      <c r="AA5175">
        <v>0.99984660000000003</v>
      </c>
      <c r="AB5175">
        <v>34</v>
      </c>
      <c r="AC5175">
        <v>-0.69189999999997498</v>
      </c>
      <c r="AD5175">
        <v>-8.7100999999999804E-2</v>
      </c>
      <c r="AE5175">
        <v>-1.0499999999979E-2</v>
      </c>
      <c r="AF5175">
        <v>-1.5858711651010601E-2</v>
      </c>
      <c r="AG5175">
        <v>-8.7100999999999804E-2</v>
      </c>
      <c r="AH5175">
        <v>0.681002440797425</v>
      </c>
      <c r="AI5175">
        <v>97.286669969078702</v>
      </c>
      <c r="AJ5175">
        <v>91.334023190255493</v>
      </c>
      <c r="AK5175">
        <v>0.68673314126251395</v>
      </c>
      <c r="AL5175">
        <v>68.738259470728494</v>
      </c>
      <c r="AM5175">
        <v>96.898046035324896</v>
      </c>
      <c r="AN5175">
        <v>0.99999997452814404</v>
      </c>
    </row>
    <row r="5176" spans="1:40" x14ac:dyDescent="0.25">
      <c r="A5176" t="str">
        <f>"20190304164951670"</f>
        <v>20190304164951670</v>
      </c>
      <c r="B5176" t="str">
        <f>"1551689391660505"</f>
        <v>1551689391660505</v>
      </c>
      <c r="C5176" t="s">
        <v>40</v>
      </c>
      <c r="D5176">
        <v>4.3363180000000003</v>
      </c>
      <c r="E5176">
        <v>0.55130889999999999</v>
      </c>
      <c r="F5176" t="s">
        <v>41</v>
      </c>
      <c r="G5176">
        <v>-340.58350000000002</v>
      </c>
      <c r="H5176">
        <v>1.017231</v>
      </c>
      <c r="I5176">
        <v>141.95930000000001</v>
      </c>
      <c r="J5176">
        <v>-339.79399999999998</v>
      </c>
      <c r="K5176">
        <v>1.1107290000000001</v>
      </c>
      <c r="L5176">
        <v>141.96789999999999</v>
      </c>
      <c r="M5176">
        <v>-0.99987570000000003</v>
      </c>
      <c r="N5176">
        <v>-1.35316E-2</v>
      </c>
      <c r="O5176">
        <v>8.1077259999999905E-3</v>
      </c>
      <c r="P5176">
        <v>-0.93095419999999995</v>
      </c>
      <c r="Q5176">
        <v>0.3500547</v>
      </c>
      <c r="R5176">
        <v>-0.1038588</v>
      </c>
      <c r="S5176">
        <v>-3.33847</v>
      </c>
      <c r="T5176">
        <v>-0.31543310000000002</v>
      </c>
      <c r="U5176">
        <v>-2.427673E-2</v>
      </c>
      <c r="V5176">
        <v>-0.11139010000000001</v>
      </c>
      <c r="W5176">
        <v>0.36261209999999999</v>
      </c>
      <c r="X5176">
        <v>0.92525930000000001</v>
      </c>
      <c r="Y5176">
        <v>-1.527531E-2</v>
      </c>
      <c r="Z5176">
        <v>-1.478479E-3</v>
      </c>
      <c r="AA5176">
        <v>0.99988220000000005</v>
      </c>
      <c r="AB5176">
        <v>34</v>
      </c>
      <c r="AC5176">
        <v>-0.789499999999975</v>
      </c>
      <c r="AD5176">
        <v>-9.3497999999999998E-2</v>
      </c>
      <c r="AE5176">
        <v>-8.5999999999728498E-3</v>
      </c>
      <c r="AF5176">
        <v>-1.47938937031544E-2</v>
      </c>
      <c r="AG5176">
        <v>-9.3497999999999998E-2</v>
      </c>
      <c r="AH5176">
        <v>0.77848738557793196</v>
      </c>
      <c r="AI5176">
        <v>96.847317859402395</v>
      </c>
      <c r="AJ5176">
        <v>91.088682585453199</v>
      </c>
      <c r="AK5176">
        <v>0.78422148963087202</v>
      </c>
      <c r="AL5176">
        <v>68.739299743603098</v>
      </c>
      <c r="AM5176">
        <v>96.864686575760402</v>
      </c>
      <c r="AN5176">
        <v>1.00000003084045</v>
      </c>
    </row>
    <row r="5177" spans="1:40" x14ac:dyDescent="0.25">
      <c r="A5177" t="str">
        <f>"20190304164951682"</f>
        <v>20190304164951682</v>
      </c>
      <c r="B5177" t="str">
        <f>"1551689391681001"</f>
        <v>1551689391681001</v>
      </c>
      <c r="C5177" t="s">
        <v>40</v>
      </c>
      <c r="D5177">
        <v>4.3381220000000003</v>
      </c>
      <c r="E5177">
        <v>0.551853699999999</v>
      </c>
      <c r="F5177" t="s">
        <v>41</v>
      </c>
      <c r="G5177">
        <v>-340.59550000000002</v>
      </c>
      <c r="H5177">
        <v>1.034848</v>
      </c>
      <c r="I5177">
        <v>141.9631</v>
      </c>
      <c r="J5177">
        <v>-339.97890000000001</v>
      </c>
      <c r="K5177">
        <v>1.1107149999999999</v>
      </c>
      <c r="L5177">
        <v>141.96950000000001</v>
      </c>
      <c r="M5177">
        <v>-0.99987700000000002</v>
      </c>
      <c r="N5177">
        <v>-1.343159E-2</v>
      </c>
      <c r="O5177">
        <v>8.107688E-3</v>
      </c>
      <c r="P5177">
        <v>-0.93098780000000003</v>
      </c>
      <c r="Q5177">
        <v>0.35007509999999997</v>
      </c>
      <c r="R5177">
        <v>-0.1034872</v>
      </c>
      <c r="S5177">
        <v>-3.3390499999999999</v>
      </c>
      <c r="T5177">
        <v>-0.31613950000000002</v>
      </c>
      <c r="U5177">
        <v>-2.0843509999999999E-2</v>
      </c>
      <c r="V5177">
        <v>-0.1110188</v>
      </c>
      <c r="W5177">
        <v>0.36254110000000001</v>
      </c>
      <c r="X5177">
        <v>0.92533169999999998</v>
      </c>
      <c r="Y5177">
        <v>-1.4250769999999999E-2</v>
      </c>
      <c r="Z5177">
        <v>-1.426285E-3</v>
      </c>
      <c r="AA5177">
        <v>0.99989740000000005</v>
      </c>
      <c r="AB5177">
        <v>34</v>
      </c>
      <c r="AC5177">
        <v>-0.61660000000000503</v>
      </c>
      <c r="AD5177">
        <v>-7.5866999999999907E-2</v>
      </c>
      <c r="AE5177">
        <v>-6.4000000000134999E-3</v>
      </c>
      <c r="AF5177">
        <v>-1.12294556046034E-2</v>
      </c>
      <c r="AG5177">
        <v>-7.5866999999999907E-2</v>
      </c>
      <c r="AH5177">
        <v>0.60733435804274605</v>
      </c>
      <c r="AI5177">
        <v>97.1191866205248</v>
      </c>
      <c r="AJ5177">
        <v>91.059263483126401</v>
      </c>
      <c r="AK5177">
        <v>0.61215759802633396</v>
      </c>
      <c r="AL5177">
        <v>68.743663835561506</v>
      </c>
      <c r="AM5177">
        <v>96.841491320817397</v>
      </c>
      <c r="AN5177">
        <v>0.99999998908376997</v>
      </c>
    </row>
    <row r="5178" spans="1:40" x14ac:dyDescent="0.25">
      <c r="A5178" t="str">
        <f>"20190304164951696"</f>
        <v>20190304164951696</v>
      </c>
      <c r="B5178" t="str">
        <f>"1551689391690761"</f>
        <v>1551689391690761</v>
      </c>
      <c r="C5178" t="s">
        <v>40</v>
      </c>
      <c r="D5178">
        <v>4.3210879999999996</v>
      </c>
      <c r="E5178">
        <v>0.55205070000000001</v>
      </c>
      <c r="F5178" t="s">
        <v>41</v>
      </c>
      <c r="G5178">
        <v>-340.88850000000002</v>
      </c>
      <c r="H5178">
        <v>1.024518</v>
      </c>
      <c r="I5178">
        <v>141.96539999999999</v>
      </c>
      <c r="J5178">
        <v>-340.1746</v>
      </c>
      <c r="K5178">
        <v>1.1107020000000001</v>
      </c>
      <c r="L5178">
        <v>141.971</v>
      </c>
      <c r="M5178">
        <v>-0.99987839999999995</v>
      </c>
      <c r="N5178">
        <v>-1.332619E-2</v>
      </c>
      <c r="O5178">
        <v>8.1073829999999993E-3</v>
      </c>
      <c r="P5178">
        <v>-0.93095989999999995</v>
      </c>
      <c r="Q5178">
        <v>0.35019980000000001</v>
      </c>
      <c r="R5178">
        <v>-0.1033155</v>
      </c>
      <c r="S5178">
        <v>-3.3395999999999999</v>
      </c>
      <c r="T5178">
        <v>-0.3164555</v>
      </c>
      <c r="U5178">
        <v>-1.5731809999999999E-2</v>
      </c>
      <c r="V5178">
        <v>-0.1108468</v>
      </c>
      <c r="W5178">
        <v>0.36256769999999999</v>
      </c>
      <c r="X5178">
        <v>0.92534190000000005</v>
      </c>
      <c r="Y5178">
        <v>-1.2726609999999999E-2</v>
      </c>
      <c r="Z5178">
        <v>-1.34532799999999E-3</v>
      </c>
      <c r="AA5178">
        <v>0.99991810000000003</v>
      </c>
      <c r="AB5178">
        <v>34</v>
      </c>
      <c r="AC5178">
        <v>-0.71390000000002296</v>
      </c>
      <c r="AD5178">
        <v>-8.6183999999999997E-2</v>
      </c>
      <c r="AE5178">
        <v>-5.6000000000153696E-3</v>
      </c>
      <c r="AF5178">
        <v>-1.12246129028368E-2</v>
      </c>
      <c r="AG5178">
        <v>-8.6183999999999997E-2</v>
      </c>
      <c r="AH5178">
        <v>0.70357782117428203</v>
      </c>
      <c r="AI5178">
        <v>96.982714040499303</v>
      </c>
      <c r="AJ5178">
        <v>90.913997532129201</v>
      </c>
      <c r="AK5178">
        <v>0.70892554209815895</v>
      </c>
      <c r="AL5178">
        <v>68.742028547386099</v>
      </c>
      <c r="AM5178">
        <v>96.830917533039994</v>
      </c>
      <c r="AN5178">
        <v>0.99999999102457005</v>
      </c>
    </row>
    <row r="5179" spans="1:40" x14ac:dyDescent="0.25">
      <c r="A5179" t="str">
        <f>"20190304164951708"</f>
        <v>20190304164951708</v>
      </c>
      <c r="B5179" t="str">
        <f>"1551689391700522"</f>
        <v>1551689391700522</v>
      </c>
      <c r="C5179" t="s">
        <v>40</v>
      </c>
      <c r="D5179">
        <v>5.09497</v>
      </c>
      <c r="E5179">
        <v>0.55218579999999995</v>
      </c>
      <c r="F5179" t="s">
        <v>41</v>
      </c>
      <c r="G5179">
        <v>-341.18560000000002</v>
      </c>
      <c r="H5179">
        <v>1.0149649999999999</v>
      </c>
      <c r="I5179">
        <v>141.96700000000001</v>
      </c>
      <c r="J5179">
        <v>-340.37310000000002</v>
      </c>
      <c r="K5179">
        <v>1.110689</v>
      </c>
      <c r="L5179">
        <v>141.9726</v>
      </c>
      <c r="M5179">
        <v>-0.99987990000000004</v>
      </c>
      <c r="N5179">
        <v>-1.32196E-2</v>
      </c>
      <c r="O5179">
        <v>8.1072590000000003E-3</v>
      </c>
      <c r="P5179">
        <v>-0.93091889999999999</v>
      </c>
      <c r="Q5179">
        <v>0.35040840000000001</v>
      </c>
      <c r="R5179">
        <v>-0.10297770000000001</v>
      </c>
      <c r="S5179">
        <v>-3.3399049999999999</v>
      </c>
      <c r="T5179">
        <v>-0.31625379999999997</v>
      </c>
      <c r="U5179">
        <v>-1.3854979999999999E-2</v>
      </c>
      <c r="V5179">
        <v>-0.1105082</v>
      </c>
      <c r="W5179">
        <v>0.36267700000000003</v>
      </c>
      <c r="X5179">
        <v>0.92533960000000004</v>
      </c>
      <c r="Y5179">
        <v>-1.216714E-2</v>
      </c>
      <c r="Z5179">
        <v>-1.3143720000000001E-3</v>
      </c>
      <c r="AA5179">
        <v>0.99992510000000001</v>
      </c>
      <c r="AB5179">
        <v>34</v>
      </c>
      <c r="AC5179">
        <v>-0.8125</v>
      </c>
      <c r="AD5179">
        <v>-9.5724000000000101E-2</v>
      </c>
      <c r="AE5179">
        <v>-5.5999999999869496E-3</v>
      </c>
      <c r="AF5179">
        <v>-1.2020697078607199E-2</v>
      </c>
      <c r="AG5179">
        <v>-9.5724000000000101E-2</v>
      </c>
      <c r="AH5179">
        <v>0.80130614732918004</v>
      </c>
      <c r="AI5179">
        <v>96.811509481491797</v>
      </c>
      <c r="AJ5179">
        <v>90.859451227276907</v>
      </c>
      <c r="AK5179">
        <v>0.80709300770220305</v>
      </c>
      <c r="AL5179">
        <v>68.7353094328639</v>
      </c>
      <c r="AM5179">
        <v>96.810264399513898</v>
      </c>
      <c r="AN5179">
        <v>1.0000000219621901</v>
      </c>
    </row>
    <row r="5180" spans="1:40" x14ac:dyDescent="0.25">
      <c r="A5180" t="str">
        <f>"20190304164951723"</f>
        <v>20190304164951723</v>
      </c>
      <c r="B5180" t="str">
        <f>"1551689391711257"</f>
        <v>1551689391711257</v>
      </c>
      <c r="C5180" t="s">
        <v>40</v>
      </c>
      <c r="D5180">
        <v>4.237463</v>
      </c>
      <c r="E5180">
        <v>0.55229159999999999</v>
      </c>
      <c r="F5180" t="s">
        <v>41</v>
      </c>
      <c r="G5180">
        <v>-341.19720000000001</v>
      </c>
      <c r="H5180">
        <v>1.0335289999999999</v>
      </c>
      <c r="I5180">
        <v>141.97</v>
      </c>
      <c r="J5180">
        <v>-340.58969999999999</v>
      </c>
      <c r="K5180">
        <v>1.1106769999999999</v>
      </c>
      <c r="L5180">
        <v>141.9744</v>
      </c>
      <c r="M5180">
        <v>-0.99988129999999997</v>
      </c>
      <c r="N5180">
        <v>-1.310395E-2</v>
      </c>
      <c r="O5180">
        <v>8.1073680000000002E-3</v>
      </c>
      <c r="P5180">
        <v>-0.93092010000000003</v>
      </c>
      <c r="Q5180">
        <v>0.35049079999999999</v>
      </c>
      <c r="R5180">
        <v>-0.1026844</v>
      </c>
      <c r="S5180">
        <v>-3.3390499999999999</v>
      </c>
      <c r="T5180">
        <v>-0.31268889999999999</v>
      </c>
      <c r="U5180">
        <v>-1.147461E-2</v>
      </c>
      <c r="V5180">
        <v>-0.11021540000000001</v>
      </c>
      <c r="W5180">
        <v>0.36265249999999999</v>
      </c>
      <c r="X5180">
        <v>0.92538399999999998</v>
      </c>
      <c r="Y5180">
        <v>-1.1460939999999999E-2</v>
      </c>
      <c r="Z5180">
        <v>-1.2622620000000001E-3</v>
      </c>
      <c r="AA5180">
        <v>0.99993350000000003</v>
      </c>
      <c r="AB5180">
        <v>34</v>
      </c>
      <c r="AC5180">
        <v>-0.60750000000001503</v>
      </c>
      <c r="AD5180">
        <v>-7.7147999999999994E-2</v>
      </c>
      <c r="AE5180">
        <v>-4.4000000000039502E-3</v>
      </c>
      <c r="AF5180">
        <v>-9.1775052543388493E-3</v>
      </c>
      <c r="AG5180">
        <v>-7.7147999999999994E-2</v>
      </c>
      <c r="AH5180">
        <v>0.59780400509362297</v>
      </c>
      <c r="AI5180">
        <v>97.352653663807502</v>
      </c>
      <c r="AJ5180">
        <v>90.879537454849299</v>
      </c>
      <c r="AK5180">
        <v>0.60283137693111899</v>
      </c>
      <c r="AL5180">
        <v>68.736813205533394</v>
      </c>
      <c r="AM5180">
        <v>96.7920660332002</v>
      </c>
      <c r="AN5180">
        <v>0.99999990880470002</v>
      </c>
    </row>
    <row r="5181" spans="1:40" x14ac:dyDescent="0.25">
      <c r="A5181" t="str">
        <f>"20190304164951739"</f>
        <v>20190304164951739</v>
      </c>
      <c r="B5181" t="str">
        <f>"1551689391730778"</f>
        <v>1551689391730778</v>
      </c>
      <c r="C5181" t="s">
        <v>40</v>
      </c>
      <c r="D5181">
        <v>4.2317280000000004</v>
      </c>
      <c r="E5181">
        <v>0.55273519999999998</v>
      </c>
      <c r="F5181" t="s">
        <v>41</v>
      </c>
      <c r="G5181">
        <v>-341.49329999999998</v>
      </c>
      <c r="H5181">
        <v>1.026716</v>
      </c>
      <c r="I5181">
        <v>141.97210000000001</v>
      </c>
      <c r="J5181">
        <v>-340.83240000000001</v>
      </c>
      <c r="K5181">
        <v>1.1106590000000001</v>
      </c>
      <c r="L5181">
        <v>141.97640000000001</v>
      </c>
      <c r="M5181">
        <v>-0.99988310000000002</v>
      </c>
      <c r="N5181">
        <v>-1.297451E-2</v>
      </c>
      <c r="O5181">
        <v>8.1070239999999991E-3</v>
      </c>
      <c r="P5181">
        <v>-0.93084659999999997</v>
      </c>
      <c r="Q5181">
        <v>0.35073100000000001</v>
      </c>
      <c r="R5181">
        <v>-0.102533</v>
      </c>
      <c r="S5181">
        <v>-3.3384089999999902</v>
      </c>
      <c r="T5181">
        <v>-0.31022230000000001</v>
      </c>
      <c r="U5181">
        <v>-9.1705320000000003E-3</v>
      </c>
      <c r="V5181">
        <v>-0.11006299999999999</v>
      </c>
      <c r="W5181">
        <v>0.36277169999999997</v>
      </c>
      <c r="X5181">
        <v>0.92535559999999994</v>
      </c>
      <c r="Y5181">
        <v>-1.0775760000000001E-2</v>
      </c>
      <c r="Z5181">
        <v>-1.216399E-3</v>
      </c>
      <c r="AA5181">
        <v>0.99994119999999997</v>
      </c>
      <c r="AB5181">
        <v>34</v>
      </c>
      <c r="AC5181">
        <v>-0.66089999999996896</v>
      </c>
      <c r="AD5181">
        <v>-8.3943000000000101E-2</v>
      </c>
      <c r="AE5181">
        <v>-4.3000000000006297E-3</v>
      </c>
      <c r="AF5181">
        <v>-9.5049111165943292E-3</v>
      </c>
      <c r="AG5181">
        <v>-8.3943000000000101E-2</v>
      </c>
      <c r="AH5181">
        <v>0.65035215399322299</v>
      </c>
      <c r="AI5181">
        <v>97.353907063169402</v>
      </c>
      <c r="AJ5181">
        <v>90.837319471547303</v>
      </c>
      <c r="AK5181">
        <v>0.65581605255434205</v>
      </c>
      <c r="AL5181">
        <v>68.729488252265895</v>
      </c>
      <c r="AM5181">
        <v>96.782968113516205</v>
      </c>
      <c r="AN5181">
        <v>1.00000007837062</v>
      </c>
    </row>
    <row r="5182" spans="1:40" x14ac:dyDescent="0.25">
      <c r="A5182" t="str">
        <f>"20190304164951759"</f>
        <v>20190304164951759</v>
      </c>
      <c r="B5182" t="str">
        <f>"1551689391751273"</f>
        <v>1551689391751273</v>
      </c>
      <c r="C5182" t="s">
        <v>40</v>
      </c>
      <c r="D5182">
        <v>4.3064809999999998</v>
      </c>
      <c r="E5182">
        <v>0.55312989999999995</v>
      </c>
      <c r="F5182" t="s">
        <v>41</v>
      </c>
      <c r="G5182">
        <v>-341.79329999999999</v>
      </c>
      <c r="H5182">
        <v>1.0233270000000001</v>
      </c>
      <c r="I5182">
        <v>141.9751</v>
      </c>
      <c r="J5182">
        <v>-341.11939999999998</v>
      </c>
      <c r="K5182">
        <v>1.110644</v>
      </c>
      <c r="L5182">
        <v>141.9787</v>
      </c>
      <c r="M5182">
        <v>-0.99988500000000002</v>
      </c>
      <c r="N5182">
        <v>-1.282114E-2</v>
      </c>
      <c r="O5182">
        <v>8.1070640000000006E-3</v>
      </c>
      <c r="P5182">
        <v>-0.93080050000000003</v>
      </c>
      <c r="Q5182">
        <v>0.35094900000000001</v>
      </c>
      <c r="R5182">
        <v>-0.102201</v>
      </c>
      <c r="S5182">
        <v>-3.3366090000000002</v>
      </c>
      <c r="T5182">
        <v>-0.30325999999999997</v>
      </c>
      <c r="U5182">
        <v>-4.8675539999999996E-3</v>
      </c>
      <c r="V5182">
        <v>-0.1097308</v>
      </c>
      <c r="W5182">
        <v>0.36284719999999998</v>
      </c>
      <c r="X5182">
        <v>0.9253654</v>
      </c>
      <c r="Y5182">
        <v>-9.4971610000000005E-3</v>
      </c>
      <c r="Z5182">
        <v>-1.1232880000000001E-3</v>
      </c>
      <c r="AA5182">
        <v>0.99995429999999996</v>
      </c>
      <c r="AB5182">
        <v>34</v>
      </c>
      <c r="AC5182">
        <v>-0.67390000000000305</v>
      </c>
      <c r="AD5182">
        <v>-8.7316999999999798E-2</v>
      </c>
      <c r="AE5182">
        <v>-3.6000000000058199E-3</v>
      </c>
      <c r="AF5182">
        <v>-8.9140336772068791E-3</v>
      </c>
      <c r="AG5182">
        <v>-8.7316999999999798E-2</v>
      </c>
      <c r="AH5182">
        <v>0.66272298802635998</v>
      </c>
      <c r="AI5182">
        <v>97.505095965812899</v>
      </c>
      <c r="AJ5182">
        <v>90.770617165912</v>
      </c>
      <c r="AK5182">
        <v>0.66850989322820398</v>
      </c>
      <c r="AL5182">
        <v>68.724845071213693</v>
      </c>
      <c r="AM5182">
        <v>96.762614215332107</v>
      </c>
      <c r="AN5182">
        <v>1.00000003126681</v>
      </c>
    </row>
    <row r="5183" spans="1:40" x14ac:dyDescent="0.25">
      <c r="A5183" t="str">
        <f>"20190304164951779"</f>
        <v>20190304164951779</v>
      </c>
      <c r="B5183" t="str">
        <f>"1551689391770794"</f>
        <v>1551689391770794</v>
      </c>
      <c r="C5183" t="s">
        <v>40</v>
      </c>
      <c r="D5183">
        <v>4.2791110000000003</v>
      </c>
      <c r="E5183">
        <v>0.553485</v>
      </c>
      <c r="F5183" t="s">
        <v>41</v>
      </c>
      <c r="G5183">
        <v>-342.09550000000002</v>
      </c>
      <c r="H5183">
        <v>1.023668</v>
      </c>
      <c r="I5183">
        <v>141.9787</v>
      </c>
      <c r="J5183">
        <v>-341.43169999999998</v>
      </c>
      <c r="K5183">
        <v>1.1106229999999999</v>
      </c>
      <c r="L5183">
        <v>141.9812</v>
      </c>
      <c r="M5183">
        <v>-0.99988699999999997</v>
      </c>
      <c r="N5183">
        <v>-1.266055E-2</v>
      </c>
      <c r="O5183">
        <v>8.1067220000000002E-3</v>
      </c>
      <c r="P5183">
        <v>-0.93086690000000005</v>
      </c>
      <c r="Q5183">
        <v>0.35081649999999998</v>
      </c>
      <c r="R5183">
        <v>-0.1020528</v>
      </c>
      <c r="S5183">
        <v>-3.3350520000000001</v>
      </c>
      <c r="T5183">
        <v>-0.29725240000000003</v>
      </c>
      <c r="U5183">
        <v>-7.7819819999999998E-4</v>
      </c>
      <c r="V5183">
        <v>-0.1095821</v>
      </c>
      <c r="W5183">
        <v>0.36256719999999998</v>
      </c>
      <c r="X5183">
        <v>0.92549269999999995</v>
      </c>
      <c r="Y5183">
        <v>-8.2795479999999994E-3</v>
      </c>
      <c r="Z5183">
        <v>-1.0394289999999999E-3</v>
      </c>
      <c r="AA5183">
        <v>0.9999652</v>
      </c>
      <c r="AB5183">
        <v>34</v>
      </c>
      <c r="AC5183">
        <v>-0.66380000000003703</v>
      </c>
      <c r="AD5183">
        <v>-8.6954999999999893E-2</v>
      </c>
      <c r="AE5183">
        <v>-2.4999999999977202E-3</v>
      </c>
      <c r="AF5183">
        <v>-7.7486274274526402E-3</v>
      </c>
      <c r="AG5183">
        <v>-8.6954999999999893E-2</v>
      </c>
      <c r="AH5183">
        <v>0.65256020983568797</v>
      </c>
      <c r="AI5183">
        <v>97.589539915916603</v>
      </c>
      <c r="AJ5183">
        <v>90.680309307723903</v>
      </c>
      <c r="AK5183">
        <v>0.65837378495259602</v>
      </c>
      <c r="AL5183">
        <v>68.742058917521106</v>
      </c>
      <c r="AM5183">
        <v>96.752614308497201</v>
      </c>
      <c r="AN5183">
        <v>0.99999997445476896</v>
      </c>
    </row>
    <row r="5184" spans="1:40" x14ac:dyDescent="0.25">
      <c r="A5184" t="str">
        <f>"20190304164951792"</f>
        <v>20190304164951792</v>
      </c>
      <c r="B5184" t="str">
        <f>"1551689391781529"</f>
        <v>1551689391781529</v>
      </c>
      <c r="C5184" t="s">
        <v>40</v>
      </c>
      <c r="D5184">
        <v>4.2713970000000003</v>
      </c>
      <c r="E5184">
        <v>0.5535409</v>
      </c>
      <c r="F5184" t="s">
        <v>41</v>
      </c>
      <c r="G5184">
        <v>-342.39850000000001</v>
      </c>
      <c r="H5184">
        <v>1.0254319999999999</v>
      </c>
      <c r="I5184">
        <v>141.9819</v>
      </c>
      <c r="J5184">
        <v>-341.63229999999999</v>
      </c>
      <c r="K5184">
        <v>1.1106119999999999</v>
      </c>
      <c r="L5184">
        <v>141.9829</v>
      </c>
      <c r="M5184">
        <v>-0.99988829999999995</v>
      </c>
      <c r="N5184">
        <v>-1.2563090000000001E-2</v>
      </c>
      <c r="O5184">
        <v>8.106505E-3</v>
      </c>
      <c r="P5184">
        <v>-0.93076530000000002</v>
      </c>
      <c r="Q5184">
        <v>0.35110809999999998</v>
      </c>
      <c r="R5184">
        <v>-0.1019784</v>
      </c>
      <c r="S5184">
        <v>-3.33371</v>
      </c>
      <c r="T5184">
        <v>-0.29374830000000002</v>
      </c>
      <c r="U5184">
        <v>1.922607E-3</v>
      </c>
      <c r="V5184">
        <v>-0.1095072</v>
      </c>
      <c r="W5184">
        <v>0.36276720000000001</v>
      </c>
      <c r="X5184">
        <v>0.9254232</v>
      </c>
      <c r="Y5184">
        <v>-7.4742509999999899E-3</v>
      </c>
      <c r="Z5184">
        <v>-9.869484E-4</v>
      </c>
      <c r="AA5184">
        <v>0.99997159999999996</v>
      </c>
      <c r="AB5184">
        <v>34</v>
      </c>
      <c r="AC5184">
        <v>-0.76620000000002597</v>
      </c>
      <c r="AD5184">
        <v>-8.51800000000002E-2</v>
      </c>
      <c r="AE5184">
        <v>-1.0000000000047701E-3</v>
      </c>
      <c r="AF5184">
        <v>-7.1236187880475404E-3</v>
      </c>
      <c r="AG5184">
        <v>-8.51800000000002E-2</v>
      </c>
      <c r="AH5184">
        <v>0.75681311095788995</v>
      </c>
      <c r="AI5184">
        <v>96.421384783207699</v>
      </c>
      <c r="AJ5184">
        <v>90.539289333506204</v>
      </c>
      <c r="AK5184">
        <v>0.76162488356302904</v>
      </c>
      <c r="AL5184">
        <v>68.729762818721497</v>
      </c>
      <c r="AM5184">
        <v>96.748543543644303</v>
      </c>
      <c r="AN5184">
        <v>0.99999998367295895</v>
      </c>
    </row>
    <row r="5185" spans="1:40" x14ac:dyDescent="0.25">
      <c r="A5185" t="str">
        <f>"20190304164951805"</f>
        <v>20190304164951805</v>
      </c>
      <c r="B5185" t="str">
        <f>"1551689391801049"</f>
        <v>1551689391801049</v>
      </c>
      <c r="C5185" t="s">
        <v>40</v>
      </c>
      <c r="D5185">
        <v>4.1644430000000003</v>
      </c>
      <c r="E5185">
        <v>0.55382030000000004</v>
      </c>
      <c r="F5185" t="s">
        <v>42</v>
      </c>
      <c r="G5185">
        <v>-354.3365</v>
      </c>
      <c r="H5185" s="1">
        <v>-3.0438270000000001E-6</v>
      </c>
      <c r="I5185">
        <v>141.99119999999999</v>
      </c>
      <c r="J5185">
        <v>-341.82400000000001</v>
      </c>
      <c r="K5185">
        <v>1.110606</v>
      </c>
      <c r="L5185">
        <v>141.98439999999999</v>
      </c>
      <c r="M5185">
        <v>-0.99988949999999999</v>
      </c>
      <c r="N5185">
        <v>-1.2474259999999999E-2</v>
      </c>
      <c r="O5185">
        <v>8.1062289999999995E-3</v>
      </c>
      <c r="P5185">
        <v>-0.93083910000000003</v>
      </c>
      <c r="Q5185">
        <v>0.35091450000000002</v>
      </c>
      <c r="R5185">
        <v>-0.1019717</v>
      </c>
      <c r="S5185">
        <v>-3.3332820000000001</v>
      </c>
      <c r="T5185">
        <v>-0.29139949999999998</v>
      </c>
      <c r="U5185">
        <v>2.1972659999999998E-3</v>
      </c>
      <c r="V5185">
        <v>-0.1095008</v>
      </c>
      <c r="W5185">
        <v>0.36249209999999998</v>
      </c>
      <c r="X5185">
        <v>0.92553169999999996</v>
      </c>
      <c r="Y5185">
        <v>-7.3927339999999998E-3</v>
      </c>
      <c r="Z5185">
        <v>-9.750793E-4</v>
      </c>
      <c r="AA5185">
        <v>0.99997219999999998</v>
      </c>
      <c r="AB5185">
        <v>34</v>
      </c>
      <c r="AC5185">
        <v>-12.5124999999999</v>
      </c>
      <c r="AD5185">
        <v>-1.110609043827</v>
      </c>
      <c r="AE5185">
        <v>6.7999999999983603E-3</v>
      </c>
      <c r="AF5185">
        <v>-9.38975338918073E-2</v>
      </c>
      <c r="AG5185">
        <v>-1.110609043827</v>
      </c>
      <c r="AH5185">
        <v>12.414339701892301</v>
      </c>
      <c r="AI5185">
        <v>95.112028219763999</v>
      </c>
      <c r="AJ5185">
        <v>90.433356097757994</v>
      </c>
      <c r="AK5185">
        <v>12.464272920194</v>
      </c>
      <c r="AL5185">
        <v>68.746675096352206</v>
      </c>
      <c r="AM5185">
        <v>96.747368980349606</v>
      </c>
      <c r="AN5185">
        <v>0.999999937733968</v>
      </c>
    </row>
    <row r="5186" spans="1:40" x14ac:dyDescent="0.25">
      <c r="A5186" t="str">
        <f>"20190304164951820"</f>
        <v>20190304164951820</v>
      </c>
      <c r="B5186" t="str">
        <f>"1551689391810809"</f>
        <v>1551689391810809</v>
      </c>
      <c r="C5186" t="s">
        <v>40</v>
      </c>
      <c r="D5186">
        <v>4.1656550000000001</v>
      </c>
      <c r="E5186">
        <v>0.55402050000000003</v>
      </c>
      <c r="F5186" t="s">
        <v>41</v>
      </c>
      <c r="G5186">
        <v>-342.70710000000003</v>
      </c>
      <c r="H5186">
        <v>1.034187</v>
      </c>
      <c r="I5186">
        <v>141.98589999999999</v>
      </c>
      <c r="J5186">
        <v>-342.04950000000002</v>
      </c>
      <c r="K5186">
        <v>1.1106009999999999</v>
      </c>
      <c r="L5186">
        <v>141.9863</v>
      </c>
      <c r="M5186">
        <v>-0.99989070000000002</v>
      </c>
      <c r="N5186">
        <v>-1.2373510000000001E-2</v>
      </c>
      <c r="O5186">
        <v>8.1062019999999999E-3</v>
      </c>
      <c r="P5186">
        <v>-0.93081190000000003</v>
      </c>
      <c r="Q5186">
        <v>0.35096309999999997</v>
      </c>
      <c r="R5186">
        <v>-0.1020509</v>
      </c>
      <c r="S5186">
        <v>-3.3321230000000002</v>
      </c>
      <c r="T5186">
        <v>-0.28841480000000003</v>
      </c>
      <c r="U5186">
        <v>4.4097900000000002E-3</v>
      </c>
      <c r="V5186">
        <v>-0.1095801</v>
      </c>
      <c r="W5186">
        <v>0.36244680000000001</v>
      </c>
      <c r="X5186">
        <v>0.92554009999999998</v>
      </c>
      <c r="Y5186">
        <v>-6.7323950000000004E-3</v>
      </c>
      <c r="Z5186">
        <v>-9.3273919999999999E-4</v>
      </c>
      <c r="AA5186">
        <v>0.99997689999999995</v>
      </c>
      <c r="AB5186">
        <v>34</v>
      </c>
      <c r="AC5186">
        <v>-0.65760000000000196</v>
      </c>
      <c r="AD5186">
        <v>-7.6413999999999704E-2</v>
      </c>
      <c r="AE5186">
        <v>-4.0000000001327803E-4</v>
      </c>
      <c r="AF5186">
        <v>-5.65467910931959E-3</v>
      </c>
      <c r="AG5186">
        <v>-7.6413999999999704E-2</v>
      </c>
      <c r="AH5186">
        <v>0.64881437232393402</v>
      </c>
      <c r="AI5186">
        <v>96.7168045359589</v>
      </c>
      <c r="AJ5186">
        <v>90.499343199593994</v>
      </c>
      <c r="AK5186">
        <v>0.653323170051338</v>
      </c>
      <c r="AL5186">
        <v>68.749460897365395</v>
      </c>
      <c r="AM5186">
        <v>96.752149578827002</v>
      </c>
      <c r="AN5186">
        <v>0.999999978927129</v>
      </c>
    </row>
    <row r="5187" spans="1:40" x14ac:dyDescent="0.25">
      <c r="A5187" t="str">
        <f>"20190304164951836"</f>
        <v>20190304164951836</v>
      </c>
      <c r="B5187" t="str">
        <f>"1551689391831306"</f>
        <v>1551689391831306</v>
      </c>
      <c r="C5187" t="s">
        <v>40</v>
      </c>
      <c r="D5187">
        <v>4.1866050000000001</v>
      </c>
      <c r="E5187">
        <v>0.55425970000000002</v>
      </c>
      <c r="F5187" t="s">
        <v>41</v>
      </c>
      <c r="G5187">
        <v>-343.005</v>
      </c>
      <c r="H5187">
        <v>1.0285869999999999</v>
      </c>
      <c r="I5187">
        <v>141.9879</v>
      </c>
      <c r="J5187">
        <v>-342.28469999999999</v>
      </c>
      <c r="K5187">
        <v>1.1105929999999999</v>
      </c>
      <c r="L5187">
        <v>141.98820000000001</v>
      </c>
      <c r="M5187">
        <v>-0.9998918</v>
      </c>
      <c r="N5187">
        <v>-1.2273549999999999E-2</v>
      </c>
      <c r="O5187">
        <v>8.1062840000000001E-3</v>
      </c>
      <c r="P5187">
        <v>-0.93084210000000001</v>
      </c>
      <c r="Q5187">
        <v>0.3509195</v>
      </c>
      <c r="R5187">
        <v>-0.1019253</v>
      </c>
      <c r="S5187">
        <v>-3.3314819999999998</v>
      </c>
      <c r="T5187">
        <v>-0.28600059999999999</v>
      </c>
      <c r="U5187">
        <v>5.3710939999999999E-3</v>
      </c>
      <c r="V5187">
        <v>-0.1094543</v>
      </c>
      <c r="W5187">
        <v>0.36231180000000002</v>
      </c>
      <c r="X5187">
        <v>0.92560790000000004</v>
      </c>
      <c r="Y5187">
        <v>-6.4457069999999898E-3</v>
      </c>
      <c r="Z5187">
        <v>-9.1108889999999998E-4</v>
      </c>
      <c r="AA5187">
        <v>0.99997879999999995</v>
      </c>
      <c r="AB5187">
        <v>34</v>
      </c>
      <c r="AC5187">
        <v>-0.72030000000000804</v>
      </c>
      <c r="AD5187">
        <v>-8.2005999999999801E-2</v>
      </c>
      <c r="AE5187">
        <v>-3.0000000000995799E-4</v>
      </c>
      <c r="AF5187">
        <v>-6.0608273948227097E-3</v>
      </c>
      <c r="AG5187">
        <v>-8.2005999999999801E-2</v>
      </c>
      <c r="AH5187">
        <v>0.71105733532842097</v>
      </c>
      <c r="AI5187">
        <v>96.578600357624495</v>
      </c>
      <c r="AJ5187">
        <v>90.488359241022195</v>
      </c>
      <c r="AK5187">
        <v>0.71579623622163902</v>
      </c>
      <c r="AL5187">
        <v>68.757761140439996</v>
      </c>
      <c r="AM5187">
        <v>96.743979957231304</v>
      </c>
      <c r="AN5187">
        <v>1.0000000343750599</v>
      </c>
    </row>
    <row r="5188" spans="1:40" x14ac:dyDescent="0.25">
      <c r="A5188" t="str">
        <f>"20190304164951851"</f>
        <v>20190304164951851</v>
      </c>
      <c r="B5188" t="str">
        <f>"1551689391841066"</f>
        <v>1551689391841066</v>
      </c>
      <c r="C5188" t="s">
        <v>40</v>
      </c>
      <c r="D5188">
        <v>4.1722769999999896</v>
      </c>
      <c r="E5188">
        <v>0.5544618</v>
      </c>
      <c r="F5188" t="s">
        <v>41</v>
      </c>
      <c r="G5188">
        <v>-343.30520000000001</v>
      </c>
      <c r="H5188">
        <v>1.023811</v>
      </c>
      <c r="I5188">
        <v>141.99039999999999</v>
      </c>
      <c r="J5188">
        <v>-342.53629999999998</v>
      </c>
      <c r="K5188">
        <v>1.110579</v>
      </c>
      <c r="L5188">
        <v>141.99019999999999</v>
      </c>
      <c r="M5188">
        <v>-0.99989309999999998</v>
      </c>
      <c r="N5188">
        <v>-1.2175399999999999E-2</v>
      </c>
      <c r="O5188">
        <v>8.1058729999999996E-3</v>
      </c>
      <c r="P5188">
        <v>-0.93092359999999996</v>
      </c>
      <c r="Q5188">
        <v>0.35076289999999999</v>
      </c>
      <c r="R5188">
        <v>-0.10171810000000001</v>
      </c>
      <c r="S5188">
        <v>-3.3303829999999999</v>
      </c>
      <c r="T5188">
        <v>-0.28325879999999998</v>
      </c>
      <c r="U5188">
        <v>6.698608E-3</v>
      </c>
      <c r="V5188">
        <v>-0.109248</v>
      </c>
      <c r="W5188">
        <v>0.36206500000000003</v>
      </c>
      <c r="X5188">
        <v>0.92572880000000002</v>
      </c>
      <c r="Y5188">
        <v>-6.0487040000000002E-3</v>
      </c>
      <c r="Z5188">
        <v>-8.8329969999999996E-4</v>
      </c>
      <c r="AA5188">
        <v>0.99998129999999996</v>
      </c>
      <c r="AB5188">
        <v>34</v>
      </c>
      <c r="AC5188">
        <v>-0.76890000000003</v>
      </c>
      <c r="AD5188">
        <v>-8.6767999999999901E-2</v>
      </c>
      <c r="AE5188">
        <v>2.0000000000663901E-4</v>
      </c>
      <c r="AF5188">
        <v>-5.9572121593056996E-3</v>
      </c>
      <c r="AG5188">
        <v>-8.6767999999999901E-2</v>
      </c>
      <c r="AH5188">
        <v>0.75920827410861402</v>
      </c>
      <c r="AI5188">
        <v>96.519702606673505</v>
      </c>
      <c r="AJ5188">
        <v>90.449568479798799</v>
      </c>
      <c r="AK5188">
        <v>0.76417365675328697</v>
      </c>
      <c r="AL5188">
        <v>68.772930992866904</v>
      </c>
      <c r="AM5188">
        <v>96.730514569599507</v>
      </c>
      <c r="AN5188">
        <v>1.00000000043922</v>
      </c>
    </row>
    <row r="5189" spans="1:40" x14ac:dyDescent="0.25">
      <c r="A5189" t="str">
        <f>"20190304164951870"</f>
        <v>20190304164951870</v>
      </c>
      <c r="B5189" t="str">
        <f>"1551689391860586"</f>
        <v>1551689391860586</v>
      </c>
      <c r="C5189" t="s">
        <v>40</v>
      </c>
      <c r="D5189">
        <v>4.2695780000000001</v>
      </c>
      <c r="E5189">
        <v>0.55451589999999995</v>
      </c>
      <c r="F5189" t="s">
        <v>42</v>
      </c>
      <c r="G5189">
        <v>-355.56580000000002</v>
      </c>
      <c r="H5189" s="1">
        <v>-2.5254290000000002E-6</v>
      </c>
      <c r="I5189">
        <v>142.0249</v>
      </c>
      <c r="J5189">
        <v>-342.8057</v>
      </c>
      <c r="K5189">
        <v>1.110571</v>
      </c>
      <c r="L5189">
        <v>141.9924</v>
      </c>
      <c r="M5189">
        <v>-0.99989430000000001</v>
      </c>
      <c r="N5189">
        <v>-1.20789E-2</v>
      </c>
      <c r="O5189">
        <v>8.1058050000000006E-3</v>
      </c>
      <c r="P5189">
        <v>-0.93084699999999998</v>
      </c>
      <c r="Q5189">
        <v>0.35099039999999998</v>
      </c>
      <c r="R5189">
        <v>-0.1016355</v>
      </c>
      <c r="S5189">
        <v>-3.330505</v>
      </c>
      <c r="T5189">
        <v>-0.283879299999999</v>
      </c>
      <c r="U5189">
        <v>8.8806149999999997E-3</v>
      </c>
      <c r="V5189">
        <v>-0.1091645</v>
      </c>
      <c r="W5189">
        <v>0.36220229999999998</v>
      </c>
      <c r="X5189">
        <v>0.92568490000000003</v>
      </c>
      <c r="Y5189">
        <v>-5.3960190000000002E-3</v>
      </c>
      <c r="Z5189">
        <v>-8.5409539999999995E-4</v>
      </c>
      <c r="AA5189">
        <v>0.99998509999999996</v>
      </c>
      <c r="AB5189">
        <v>34</v>
      </c>
      <c r="AC5189">
        <v>-12.7601</v>
      </c>
      <c r="AD5189">
        <v>-1.1105735254289999</v>
      </c>
      <c r="AE5189">
        <v>3.2499999999998801E-2</v>
      </c>
      <c r="AF5189">
        <v>-7.04061573224673E-2</v>
      </c>
      <c r="AG5189">
        <v>-1.1105735254289999</v>
      </c>
      <c r="AH5189">
        <v>12.6640140623061</v>
      </c>
      <c r="AI5189">
        <v>95.011667765492305</v>
      </c>
      <c r="AJ5189">
        <v>90.318535188432406</v>
      </c>
      <c r="AK5189">
        <v>12.712811756360599</v>
      </c>
      <c r="AL5189">
        <v>68.764490650692494</v>
      </c>
      <c r="AM5189">
        <v>96.725733496005105</v>
      </c>
      <c r="AN5189">
        <v>0.99999996413677406</v>
      </c>
    </row>
    <row r="5190" spans="1:40" x14ac:dyDescent="0.25">
      <c r="A5190" t="str">
        <f>"20190304164951891"</f>
        <v>20190304164951891</v>
      </c>
      <c r="B5190" t="str">
        <f>"1551689391881082"</f>
        <v>1551689391881082</v>
      </c>
      <c r="C5190" t="s">
        <v>40</v>
      </c>
      <c r="D5190">
        <v>4.2611759999999999</v>
      </c>
      <c r="E5190">
        <v>0.55457500000000004</v>
      </c>
      <c r="F5190" t="s">
        <v>41</v>
      </c>
      <c r="G5190">
        <v>-343.62450000000001</v>
      </c>
      <c r="H5190">
        <v>1.040543</v>
      </c>
      <c r="I5190">
        <v>141.9948</v>
      </c>
      <c r="J5190">
        <v>-343.13010000000003</v>
      </c>
      <c r="K5190">
        <v>1.1105590000000001</v>
      </c>
      <c r="L5190">
        <v>141.99510000000001</v>
      </c>
      <c r="M5190">
        <v>-0.99989550000000005</v>
      </c>
      <c r="N5190">
        <v>-1.1970430000000001E-2</v>
      </c>
      <c r="O5190">
        <v>8.1058050000000006E-3</v>
      </c>
      <c r="P5190">
        <v>-0.93078919999999998</v>
      </c>
      <c r="Q5190">
        <v>0.35116770000000003</v>
      </c>
      <c r="R5190">
        <v>-0.1015539</v>
      </c>
      <c r="S5190">
        <v>-3.331299</v>
      </c>
      <c r="T5190">
        <v>-0.28499839999999999</v>
      </c>
      <c r="U5190">
        <v>9.1705320000000003E-3</v>
      </c>
      <c r="V5190">
        <v>-0.109082399999999</v>
      </c>
      <c r="W5190">
        <v>0.3622784</v>
      </c>
      <c r="X5190">
        <v>0.92566479999999995</v>
      </c>
      <c r="Y5190">
        <v>-5.3095959999999998E-3</v>
      </c>
      <c r="Z5190">
        <v>-8.5386479999999905E-4</v>
      </c>
      <c r="AA5190">
        <v>0.99998549999999997</v>
      </c>
      <c r="AB5190">
        <v>34</v>
      </c>
      <c r="AC5190">
        <v>-0.49439999999998402</v>
      </c>
      <c r="AD5190">
        <v>-7.0015999999999995E-2</v>
      </c>
      <c r="AE5190">
        <v>-3.0000000000995799E-4</v>
      </c>
      <c r="AF5190">
        <v>-4.2230903033095403E-3</v>
      </c>
      <c r="AG5190">
        <v>-7.0015999999999995E-2</v>
      </c>
      <c r="AH5190">
        <v>0.48466111265550799</v>
      </c>
      <c r="AI5190">
        <v>98.219989407373802</v>
      </c>
      <c r="AJ5190">
        <v>90.499233631731002</v>
      </c>
      <c r="AK5190">
        <v>0.48971059705522502</v>
      </c>
      <c r="AL5190">
        <v>68.759812771065597</v>
      </c>
      <c r="AM5190">
        <v>96.720866120267601</v>
      </c>
      <c r="AN5190">
        <v>0.999999965527679</v>
      </c>
    </row>
    <row r="5191" spans="1:40" x14ac:dyDescent="0.25">
      <c r="A5191" t="str">
        <f>"20190304164951906"</f>
        <v>20190304164951906</v>
      </c>
      <c r="B5191" t="str">
        <f>"1551689391900601"</f>
        <v>1551689391900601</v>
      </c>
      <c r="C5191" t="s">
        <v>40</v>
      </c>
      <c r="D5191">
        <v>4.2022329999999997</v>
      </c>
      <c r="E5191">
        <v>0.55477509999999997</v>
      </c>
      <c r="F5191" t="s">
        <v>42</v>
      </c>
      <c r="G5191">
        <v>-356.06459999999998</v>
      </c>
      <c r="H5191" s="1">
        <v>-2.3132230000000001E-6</v>
      </c>
      <c r="I5191">
        <v>142.0316</v>
      </c>
      <c r="J5191">
        <v>-343.35</v>
      </c>
      <c r="K5191">
        <v>1.110557</v>
      </c>
      <c r="L5191">
        <v>141.99680000000001</v>
      </c>
      <c r="M5191">
        <v>-0.99989649999999997</v>
      </c>
      <c r="N5191">
        <v>-1.1899669999999999E-2</v>
      </c>
      <c r="O5191">
        <v>8.1056930000000006E-3</v>
      </c>
      <c r="P5191">
        <v>-0.93084469999999997</v>
      </c>
      <c r="Q5191">
        <v>0.35102129999999998</v>
      </c>
      <c r="R5191">
        <v>-0.10155119999999999</v>
      </c>
      <c r="S5191">
        <v>-3.3320620000000001</v>
      </c>
      <c r="T5191">
        <v>-0.28609200000000001</v>
      </c>
      <c r="U5191">
        <v>9.4299320000000002E-3</v>
      </c>
      <c r="V5191">
        <v>-0.1090801</v>
      </c>
      <c r="W5191">
        <v>0.36206729999999998</v>
      </c>
      <c r="X5191">
        <v>0.92574769999999895</v>
      </c>
      <c r="Y5191">
        <v>-5.2322239999999997E-3</v>
      </c>
      <c r="Z5191">
        <v>-8.5376850000000004E-4</v>
      </c>
      <c r="AA5191">
        <v>0.99998589999999998</v>
      </c>
      <c r="AB5191">
        <v>34</v>
      </c>
      <c r="AC5191">
        <v>-12.7145999999999</v>
      </c>
      <c r="AD5191">
        <v>-1.1105593132230001</v>
      </c>
      <c r="AE5191">
        <v>3.4799999999989902E-2</v>
      </c>
      <c r="AF5191">
        <v>-6.7752178959088999E-2</v>
      </c>
      <c r="AG5191">
        <v>-1.1105593132230001</v>
      </c>
      <c r="AH5191">
        <v>12.6181985009191</v>
      </c>
      <c r="AI5191">
        <v>95.029712672738299</v>
      </c>
      <c r="AJ5191">
        <v>90.307641110711899</v>
      </c>
      <c r="AK5191">
        <v>12.6671569720493</v>
      </c>
      <c r="AL5191">
        <v>68.772789633307198</v>
      </c>
      <c r="AM5191">
        <v>96.720129375929602</v>
      </c>
      <c r="AN5191">
        <v>1.0000000010002901</v>
      </c>
    </row>
    <row r="5192" spans="1:40" x14ac:dyDescent="0.25">
      <c r="A5192" t="str">
        <f>"20190304164951919"</f>
        <v>20190304164951919</v>
      </c>
      <c r="B5192" t="str">
        <f>"1551689391911338"</f>
        <v>1551689391911338</v>
      </c>
      <c r="C5192" t="s">
        <v>40</v>
      </c>
      <c r="D5192">
        <v>4.3081110000000002</v>
      </c>
      <c r="E5192">
        <v>0.55481429999999998</v>
      </c>
      <c r="F5192" t="s">
        <v>41</v>
      </c>
      <c r="G5192">
        <v>-344.22179999999997</v>
      </c>
      <c r="H5192">
        <v>1.035485</v>
      </c>
      <c r="I5192">
        <v>141.99979999999999</v>
      </c>
      <c r="J5192">
        <v>-343.54899999999998</v>
      </c>
      <c r="K5192">
        <v>1.1105590000000001</v>
      </c>
      <c r="L5192">
        <v>141.9984</v>
      </c>
      <c r="M5192">
        <v>-0.99989720000000004</v>
      </c>
      <c r="N5192">
        <v>-1.183555E-2</v>
      </c>
      <c r="O5192">
        <v>8.1057779999999992E-3</v>
      </c>
      <c r="P5192">
        <v>-0.93085439999999997</v>
      </c>
      <c r="Q5192">
        <v>0.35102280000000002</v>
      </c>
      <c r="R5192">
        <v>-0.1014559</v>
      </c>
      <c r="S5192">
        <v>-3.3323360000000002</v>
      </c>
      <c r="T5192">
        <v>-0.28701670000000001</v>
      </c>
      <c r="U5192">
        <v>1.0986330000000001E-2</v>
      </c>
      <c r="V5192">
        <v>-0.1089852</v>
      </c>
      <c r="W5192">
        <v>0.36200909999999997</v>
      </c>
      <c r="X5192">
        <v>0.92578170000000004</v>
      </c>
      <c r="Y5192">
        <v>-4.767131E-3</v>
      </c>
      <c r="Z5192">
        <v>-8.3425899999999996E-4</v>
      </c>
      <c r="AA5192">
        <v>0.99998830000000005</v>
      </c>
      <c r="AB5192">
        <v>34</v>
      </c>
      <c r="AC5192">
        <v>-0.672799999999938</v>
      </c>
      <c r="AD5192">
        <v>-7.5074000000000002E-2</v>
      </c>
      <c r="AE5192">
        <v>1.39999999998963E-3</v>
      </c>
      <c r="AF5192">
        <v>-4.0041392599814898E-3</v>
      </c>
      <c r="AG5192">
        <v>-7.5074000000000002E-2</v>
      </c>
      <c r="AH5192">
        <v>0.66451534251672595</v>
      </c>
      <c r="AI5192">
        <v>96.445576916953002</v>
      </c>
      <c r="AJ5192">
        <v>90.345240341232198</v>
      </c>
      <c r="AK5192">
        <v>0.66875464786970595</v>
      </c>
      <c r="AL5192">
        <v>68.776368213585897</v>
      </c>
      <c r="AM5192">
        <v>96.714091908988394</v>
      </c>
      <c r="AN5192">
        <v>1.00000005917836</v>
      </c>
    </row>
    <row r="5193" spans="1:40" x14ac:dyDescent="0.25">
      <c r="A5193" t="str">
        <f>"20190304164951931"</f>
        <v>20190304164951931</v>
      </c>
      <c r="B5193" t="str">
        <f>"1551689391921097"</f>
        <v>1551689391921097</v>
      </c>
      <c r="C5193" t="s">
        <v>40</v>
      </c>
      <c r="D5193">
        <v>4.1828310000000002</v>
      </c>
      <c r="E5193">
        <v>0.554979</v>
      </c>
      <c r="F5193" t="s">
        <v>41</v>
      </c>
      <c r="G5193">
        <v>-344.51889999999997</v>
      </c>
      <c r="H5193">
        <v>1.0267459999999999</v>
      </c>
      <c r="I5193">
        <v>142.00190000000001</v>
      </c>
      <c r="J5193">
        <v>-343.74619999999999</v>
      </c>
      <c r="K5193">
        <v>1.110552</v>
      </c>
      <c r="L5193">
        <v>142</v>
      </c>
      <c r="M5193">
        <v>-0.99989790000000001</v>
      </c>
      <c r="N5193">
        <v>-1.177049E-2</v>
      </c>
      <c r="O5193">
        <v>8.1054479999999995E-3</v>
      </c>
      <c r="P5193">
        <v>-0.93075909999999995</v>
      </c>
      <c r="Q5193">
        <v>0.35123480000000001</v>
      </c>
      <c r="R5193">
        <v>-0.1015971</v>
      </c>
      <c r="S5193">
        <v>-3.3327330000000002</v>
      </c>
      <c r="T5193">
        <v>-0.28802650000000002</v>
      </c>
      <c r="U5193">
        <v>1.152039E-2</v>
      </c>
      <c r="V5193">
        <v>-0.1091245</v>
      </c>
      <c r="W5193">
        <v>0.36216009999999998</v>
      </c>
      <c r="X5193">
        <v>0.92570609999999998</v>
      </c>
      <c r="Y5193">
        <v>-4.6072930000000002E-3</v>
      </c>
      <c r="Z5193">
        <v>-8.2982349999999999E-4</v>
      </c>
      <c r="AA5193">
        <v>0.99998900000000002</v>
      </c>
      <c r="AB5193">
        <v>34</v>
      </c>
      <c r="AC5193">
        <v>-0.77269999999998595</v>
      </c>
      <c r="AD5193">
        <v>-8.3806000000000005E-2</v>
      </c>
      <c r="AE5193">
        <v>1.90000000000623E-3</v>
      </c>
      <c r="AF5193">
        <v>-4.3128429600454996E-3</v>
      </c>
      <c r="AG5193">
        <v>-8.3806000000000005E-2</v>
      </c>
      <c r="AH5193">
        <v>0.76370637800821894</v>
      </c>
      <c r="AI5193">
        <v>96.262247590804904</v>
      </c>
      <c r="AJ5193">
        <v>90.323560310092702</v>
      </c>
      <c r="AK5193">
        <v>0.76830298584662005</v>
      </c>
      <c r="AL5193">
        <v>68.7670840865391</v>
      </c>
      <c r="AM5193">
        <v>96.723139057256006</v>
      </c>
      <c r="AN5193">
        <v>0.99999993905473294</v>
      </c>
    </row>
    <row r="5194" spans="1:40" x14ac:dyDescent="0.25">
      <c r="A5194" t="str">
        <f>"20190304164951949"</f>
        <v>20190304164951949</v>
      </c>
      <c r="B5194" t="str">
        <f>"1551689391940617"</f>
        <v>1551689391940617</v>
      </c>
      <c r="C5194" t="s">
        <v>40</v>
      </c>
      <c r="D5194">
        <v>4.387194</v>
      </c>
      <c r="E5194">
        <v>0.55515409999999998</v>
      </c>
      <c r="F5194" t="s">
        <v>42</v>
      </c>
      <c r="G5194">
        <v>-356.65910000000002</v>
      </c>
      <c r="H5194" s="1">
        <v>-2.062694E-6</v>
      </c>
      <c r="I5194">
        <v>142.04839999999999</v>
      </c>
      <c r="J5194">
        <v>-343.995</v>
      </c>
      <c r="K5194">
        <v>1.1105389999999999</v>
      </c>
      <c r="L5194">
        <v>142.00200000000001</v>
      </c>
      <c r="M5194">
        <v>-0.99989879999999998</v>
      </c>
      <c r="N5194">
        <v>-1.168946E-2</v>
      </c>
      <c r="O5194">
        <v>8.1054490000000007E-3</v>
      </c>
      <c r="P5194">
        <v>-0.93066099999999996</v>
      </c>
      <c r="Q5194">
        <v>0.35136590000000001</v>
      </c>
      <c r="R5194">
        <v>-0.10204100000000001</v>
      </c>
      <c r="S5194">
        <v>-3.332703</v>
      </c>
      <c r="T5194">
        <v>-0.28662609999999999</v>
      </c>
      <c r="U5194">
        <v>1.249695E-2</v>
      </c>
      <c r="V5194">
        <v>-0.10956780000000001</v>
      </c>
      <c r="W5194">
        <v>0.3622148</v>
      </c>
      <c r="X5194">
        <v>0.92563240000000002</v>
      </c>
      <c r="Y5194">
        <v>-4.3158579999999997E-3</v>
      </c>
      <c r="Z5194">
        <v>-8.1173230000000001E-4</v>
      </c>
      <c r="AA5194">
        <v>0.9999903</v>
      </c>
      <c r="AB5194">
        <v>34</v>
      </c>
      <c r="AC5194">
        <v>-12.664099999999999</v>
      </c>
      <c r="AD5194">
        <v>-1.110541062694</v>
      </c>
      <c r="AE5194">
        <v>4.6399999999977098E-2</v>
      </c>
      <c r="AF5194">
        <v>-5.5827455723170001E-2</v>
      </c>
      <c r="AG5194">
        <v>-1.110541062694</v>
      </c>
      <c r="AH5194">
        <v>12.567419175390601</v>
      </c>
      <c r="AI5194">
        <v>95.049870908669007</v>
      </c>
      <c r="AJ5194">
        <v>90.254519763299299</v>
      </c>
      <c r="AK5194">
        <v>12.616514688562599</v>
      </c>
      <c r="AL5194">
        <v>68.763723122485501</v>
      </c>
      <c r="AM5194">
        <v>96.7507316628366</v>
      </c>
      <c r="AN5194">
        <v>1.0000000020328199</v>
      </c>
    </row>
    <row r="5195" spans="1:40" x14ac:dyDescent="0.25">
      <c r="A5195" t="str">
        <f>"20190304164951970"</f>
        <v>20190304164951970</v>
      </c>
      <c r="B5195" t="str">
        <f>"1551689391961113"</f>
        <v>1551689391961113</v>
      </c>
      <c r="C5195" t="s">
        <v>40</v>
      </c>
      <c r="D5195">
        <v>4.3321449999999997</v>
      </c>
      <c r="E5195">
        <v>0.57073560000000001</v>
      </c>
      <c r="F5195" t="s">
        <v>41</v>
      </c>
      <c r="G5195">
        <v>-344.83109999999999</v>
      </c>
      <c r="H5195">
        <v>1.0385489999999999</v>
      </c>
      <c r="I5195">
        <v>142.0051</v>
      </c>
      <c r="J5195">
        <v>-344.33300000000003</v>
      </c>
      <c r="K5195">
        <v>1.1105240000000001</v>
      </c>
      <c r="L5195">
        <v>142.00479999999999</v>
      </c>
      <c r="M5195">
        <v>-0.99990020000000002</v>
      </c>
      <c r="N5195">
        <v>-1.1578450000000001E-2</v>
      </c>
      <c r="O5195">
        <v>8.1050849999999997E-3</v>
      </c>
      <c r="P5195">
        <v>-0.93067370000000005</v>
      </c>
      <c r="Q5195">
        <v>0.3512342</v>
      </c>
      <c r="R5195">
        <v>-0.1023777</v>
      </c>
      <c r="S5195">
        <v>-3.3331599999999999</v>
      </c>
      <c r="T5195">
        <v>-0.28687889999999999</v>
      </c>
      <c r="U5195">
        <v>1.2146000000000001E-2</v>
      </c>
      <c r="V5195">
        <v>-0.10990469999999999</v>
      </c>
      <c r="W5195">
        <v>0.361981</v>
      </c>
      <c r="X5195">
        <v>0.9256839</v>
      </c>
      <c r="Y5195">
        <v>-4.4207389999999999E-3</v>
      </c>
      <c r="Z5195">
        <v>-8.1813169999999996E-4</v>
      </c>
      <c r="AA5195">
        <v>0.99998989999999999</v>
      </c>
      <c r="AB5195">
        <v>34</v>
      </c>
      <c r="AC5195">
        <v>-0.49809999999996502</v>
      </c>
      <c r="AD5195">
        <v>-7.1975000000000094E-2</v>
      </c>
      <c r="AE5195">
        <v>3.0000000000995799E-4</v>
      </c>
      <c r="AF5195">
        <v>-3.6609817718585599E-3</v>
      </c>
      <c r="AG5195">
        <v>-7.1975000000000094E-2</v>
      </c>
      <c r="AH5195">
        <v>0.48789875170688501</v>
      </c>
      <c r="AI5195">
        <v>98.391535901414102</v>
      </c>
      <c r="AJ5195">
        <v>90.429914745794605</v>
      </c>
      <c r="AK5195">
        <v>0.49319265538901802</v>
      </c>
      <c r="AL5195">
        <v>68.778093711343601</v>
      </c>
      <c r="AM5195">
        <v>96.770923204472297</v>
      </c>
      <c r="AN5195">
        <v>0.99999998508114896</v>
      </c>
    </row>
    <row r="5196" spans="1:40" x14ac:dyDescent="0.25">
      <c r="A5196" t="str">
        <f>"20190304164951991"</f>
        <v>20190304164951991</v>
      </c>
      <c r="B5196" t="str">
        <f>"1551689391980634"</f>
        <v>1551689391980634</v>
      </c>
      <c r="C5196" t="s">
        <v>40</v>
      </c>
      <c r="D5196">
        <v>4.3359129999999997</v>
      </c>
      <c r="E5196">
        <v>0.57135040000000004</v>
      </c>
      <c r="F5196" t="s">
        <v>42</v>
      </c>
      <c r="G5196">
        <v>-362.80739999999997</v>
      </c>
      <c r="H5196" s="1">
        <v>-3.885389E-6</v>
      </c>
      <c r="I5196">
        <v>142.80000000000001</v>
      </c>
      <c r="J5196">
        <v>-344.64420000000001</v>
      </c>
      <c r="K5196">
        <v>1.1105039999999999</v>
      </c>
      <c r="L5196">
        <v>142.00729999999999</v>
      </c>
      <c r="M5196">
        <v>-0.99990140000000005</v>
      </c>
      <c r="N5196">
        <v>-1.147402E-2</v>
      </c>
      <c r="O5196">
        <v>8.1046759999999999E-3</v>
      </c>
      <c r="P5196">
        <v>-0.93063720000000005</v>
      </c>
      <c r="Q5196">
        <v>0.35110209999999997</v>
      </c>
      <c r="R5196">
        <v>-0.10315729999999999</v>
      </c>
      <c r="S5196">
        <v>-3.3144230000000001</v>
      </c>
      <c r="T5196">
        <v>-0.19923579999999999</v>
      </c>
      <c r="U5196">
        <v>0.1426849</v>
      </c>
      <c r="V5196">
        <v>-0.1106837</v>
      </c>
      <c r="W5196">
        <v>0.36175170000000001</v>
      </c>
      <c r="X5196">
        <v>0.92568079999999997</v>
      </c>
      <c r="Y5196">
        <v>3.4845510000000003E-2</v>
      </c>
      <c r="Z5196">
        <v>8.5250069999999998E-4</v>
      </c>
      <c r="AA5196">
        <v>0.99939230000000001</v>
      </c>
      <c r="AB5196">
        <v>34</v>
      </c>
      <c r="AC5196">
        <v>-18.1631999999999</v>
      </c>
      <c r="AD5196">
        <v>-1.110507885389</v>
      </c>
      <c r="AE5196">
        <v>0.79270000000002405</v>
      </c>
      <c r="AF5196">
        <v>0.64305814234986602</v>
      </c>
      <c r="AG5196">
        <v>-1.110507885389</v>
      </c>
      <c r="AH5196">
        <v>18.101490646203001</v>
      </c>
      <c r="AI5196">
        <v>93.508429743630202</v>
      </c>
      <c r="AJ5196">
        <v>87.965414546264995</v>
      </c>
      <c r="AK5196">
        <v>18.146920266329801</v>
      </c>
      <c r="AL5196">
        <v>68.792188353663605</v>
      </c>
      <c r="AM5196">
        <v>96.818487585089201</v>
      </c>
      <c r="AN5196">
        <v>1.0000000586936</v>
      </c>
    </row>
    <row r="5197" spans="1:40" x14ac:dyDescent="0.25">
      <c r="A5197" t="str">
        <f>"20190304164952006"</f>
        <v>20190304164952006</v>
      </c>
      <c r="B5197" t="str">
        <f>"1551689392001129"</f>
        <v>1551689392001129</v>
      </c>
      <c r="C5197" t="s">
        <v>40</v>
      </c>
      <c r="D5197">
        <v>4.336881</v>
      </c>
      <c r="E5197">
        <v>0.57127609999999995</v>
      </c>
      <c r="F5197" t="s">
        <v>41</v>
      </c>
      <c r="G5197">
        <v>-345.44349999999997</v>
      </c>
      <c r="H5197">
        <v>1.0487029999999999</v>
      </c>
      <c r="I5197">
        <v>142.04089999999999</v>
      </c>
      <c r="J5197">
        <v>-344.87380000000002</v>
      </c>
      <c r="K5197">
        <v>1.110492</v>
      </c>
      <c r="L5197">
        <v>142.00919999999999</v>
      </c>
      <c r="M5197">
        <v>-0.99990230000000002</v>
      </c>
      <c r="N5197">
        <v>-1.1393550000000001E-2</v>
      </c>
      <c r="O5197">
        <v>8.1043039999999997E-3</v>
      </c>
      <c r="P5197">
        <v>-0.9306468</v>
      </c>
      <c r="Q5197">
        <v>0.35102129999999998</v>
      </c>
      <c r="R5197">
        <v>-0.1033468</v>
      </c>
      <c r="S5197">
        <v>-3.3364259999999999</v>
      </c>
      <c r="T5197">
        <v>-0.25786920000000002</v>
      </c>
      <c r="U5197">
        <v>0.14031979999999999</v>
      </c>
      <c r="V5197">
        <v>-0.1108727</v>
      </c>
      <c r="W5197">
        <v>0.36159599999999997</v>
      </c>
      <c r="X5197">
        <v>0.92571899999999996</v>
      </c>
      <c r="Y5197">
        <v>3.3822669999999999E-2</v>
      </c>
      <c r="Z5197">
        <v>9.646934E-4</v>
      </c>
      <c r="AA5197">
        <v>0.99942739999999997</v>
      </c>
      <c r="AB5197">
        <v>34</v>
      </c>
      <c r="AC5197">
        <v>-0.56969999999995402</v>
      </c>
      <c r="AD5197">
        <v>-6.1788999999999802E-2</v>
      </c>
      <c r="AE5197">
        <v>3.17000000000007E-2</v>
      </c>
      <c r="AF5197">
        <v>2.6767731891461699E-2</v>
      </c>
      <c r="AG5197">
        <v>-6.1788999999999802E-2</v>
      </c>
      <c r="AH5197">
        <v>0.56333201102016806</v>
      </c>
      <c r="AI5197">
        <v>96.252459683779094</v>
      </c>
      <c r="AJ5197">
        <v>87.279534402143398</v>
      </c>
      <c r="AK5197">
        <v>0.56734235399063904</v>
      </c>
      <c r="AL5197">
        <v>68.801756756005005</v>
      </c>
      <c r="AM5197">
        <v>96.829741545528293</v>
      </c>
      <c r="AN5197">
        <v>1.0000000448911399</v>
      </c>
    </row>
    <row r="5198" spans="1:40" x14ac:dyDescent="0.25">
      <c r="A5198" t="str">
        <f>"20190304164952020"</f>
        <v>20190304164952020</v>
      </c>
      <c r="B5198" t="str">
        <f>"1551689392010889"</f>
        <v>1551689392010889</v>
      </c>
      <c r="C5198" t="s">
        <v>40</v>
      </c>
      <c r="D5198">
        <v>4.2801070000000001</v>
      </c>
      <c r="E5198">
        <v>0.57118199999999997</v>
      </c>
      <c r="F5198" t="s">
        <v>41</v>
      </c>
      <c r="G5198">
        <v>-345.74299999999999</v>
      </c>
      <c r="H5198">
        <v>1.0436799999999999</v>
      </c>
      <c r="I5198">
        <v>142.04580000000001</v>
      </c>
      <c r="J5198">
        <v>-345.08659999999998</v>
      </c>
      <c r="K5198">
        <v>1.110482</v>
      </c>
      <c r="L5198">
        <v>142.01089999999999</v>
      </c>
      <c r="M5198">
        <v>-0.99990330000000005</v>
      </c>
      <c r="N5198">
        <v>-1.131714E-2</v>
      </c>
      <c r="O5198">
        <v>8.1040839999999992E-3</v>
      </c>
      <c r="P5198">
        <v>-0.93069349999999995</v>
      </c>
      <c r="Q5198">
        <v>0.35083710000000001</v>
      </c>
      <c r="R5198">
        <v>-0.1035532</v>
      </c>
      <c r="S5198">
        <v>-3.3358460000000001</v>
      </c>
      <c r="T5198">
        <v>-0.2565385</v>
      </c>
      <c r="U5198">
        <v>0.13948060000000001</v>
      </c>
      <c r="V5198">
        <v>-0.1110791</v>
      </c>
      <c r="W5198">
        <v>0.36134179999999999</v>
      </c>
      <c r="X5198">
        <v>0.92579350000000005</v>
      </c>
      <c r="Y5198">
        <v>3.3581020000000003E-2</v>
      </c>
      <c r="Z5198">
        <v>9.4877239999999999E-4</v>
      </c>
      <c r="AA5198">
        <v>0.99943550000000003</v>
      </c>
      <c r="AB5198">
        <v>34</v>
      </c>
      <c r="AC5198">
        <v>-0.65640000000007603</v>
      </c>
      <c r="AD5198">
        <v>-6.6802E-2</v>
      </c>
      <c r="AE5198">
        <v>3.4900000000021601E-2</v>
      </c>
      <c r="AF5198">
        <v>2.92766246441684E-2</v>
      </c>
      <c r="AG5198">
        <v>-6.6802E-2</v>
      </c>
      <c r="AH5198">
        <v>0.64994862973360301</v>
      </c>
      <c r="AI5198">
        <v>95.8623760399053</v>
      </c>
      <c r="AJ5198">
        <v>87.420882469482393</v>
      </c>
      <c r="AK5198">
        <v>0.65402817160053905</v>
      </c>
      <c r="AL5198">
        <v>68.817377308788906</v>
      </c>
      <c r="AM5198">
        <v>96.841789933391695</v>
      </c>
      <c r="AN5198">
        <v>1.0000000337631401</v>
      </c>
    </row>
    <row r="5199" spans="1:40" x14ac:dyDescent="0.25">
      <c r="A5199" t="str">
        <f>"20190304164952037"</f>
        <v>20190304164952037</v>
      </c>
      <c r="B5199" t="str">
        <f>"1551689392031390"</f>
        <v>1551689392031390</v>
      </c>
      <c r="C5199" t="s">
        <v>40</v>
      </c>
      <c r="D5199">
        <v>4.3402919999999998</v>
      </c>
      <c r="E5199">
        <v>0.57128489999999998</v>
      </c>
      <c r="F5199" t="s">
        <v>41</v>
      </c>
      <c r="G5199">
        <v>-346.04300000000001</v>
      </c>
      <c r="H5199">
        <v>1.036019</v>
      </c>
      <c r="I5199">
        <v>142.0506</v>
      </c>
      <c r="J5199">
        <v>-345.33859999999999</v>
      </c>
      <c r="K5199">
        <v>1.1104700000000001</v>
      </c>
      <c r="L5199">
        <v>142.0129</v>
      </c>
      <c r="M5199">
        <v>-0.99990420000000002</v>
      </c>
      <c r="N5199">
        <v>-1.1225229999999999E-2</v>
      </c>
      <c r="O5199">
        <v>8.1038880000000001E-3</v>
      </c>
      <c r="P5199">
        <v>-0.93057319999999999</v>
      </c>
      <c r="Q5199">
        <v>0.35094309999999901</v>
      </c>
      <c r="R5199">
        <v>-0.1042715</v>
      </c>
      <c r="S5199">
        <v>-3.3366699999999998</v>
      </c>
      <c r="T5199">
        <v>-0.25979720000000001</v>
      </c>
      <c r="U5199">
        <v>0.13787839999999901</v>
      </c>
      <c r="V5199">
        <v>-0.1117964</v>
      </c>
      <c r="W5199">
        <v>0.3613613</v>
      </c>
      <c r="X5199">
        <v>0.92569950000000001</v>
      </c>
      <c r="Y5199">
        <v>3.3091559999999999E-2</v>
      </c>
      <c r="Z5199">
        <v>9.3301110000000001E-4</v>
      </c>
      <c r="AA5199">
        <v>0.99945189999999995</v>
      </c>
      <c r="AB5199">
        <v>34</v>
      </c>
      <c r="AC5199">
        <v>-0.70440000000002101</v>
      </c>
      <c r="AD5199">
        <v>-7.4451000000000003E-2</v>
      </c>
      <c r="AE5199">
        <v>3.7700000000000899E-2</v>
      </c>
      <c r="AF5199">
        <v>3.1637601211289897E-2</v>
      </c>
      <c r="AG5199">
        <v>-7.4451000000000003E-2</v>
      </c>
      <c r="AH5199">
        <v>0.69691917088209299</v>
      </c>
      <c r="AI5199">
        <v>96.091483612043007</v>
      </c>
      <c r="AJ5199">
        <v>87.400764086741404</v>
      </c>
      <c r="AK5199">
        <v>0.701598332348637</v>
      </c>
      <c r="AL5199">
        <v>68.816178198646398</v>
      </c>
      <c r="AM5199">
        <v>96.886240868996296</v>
      </c>
      <c r="AN5199">
        <v>0.99999999424544905</v>
      </c>
    </row>
    <row r="5200" spans="1:40" x14ac:dyDescent="0.25">
      <c r="A5200" t="str">
        <f>"20190304164952050"</f>
        <v>20190304164952050</v>
      </c>
      <c r="B5200" t="str">
        <f>"1551689392041150"</f>
        <v>1551689392041150</v>
      </c>
      <c r="C5200" t="s">
        <v>40</v>
      </c>
      <c r="D5200">
        <v>4.4678649999999998</v>
      </c>
      <c r="E5200">
        <v>0.57127620000000001</v>
      </c>
      <c r="F5200" t="s">
        <v>41</v>
      </c>
      <c r="G5200">
        <v>-346.34440000000001</v>
      </c>
      <c r="H5200">
        <v>1.028813</v>
      </c>
      <c r="I5200">
        <v>142.05410000000001</v>
      </c>
      <c r="J5200">
        <v>-345.56599999999997</v>
      </c>
      <c r="K5200">
        <v>1.1104579999999999</v>
      </c>
      <c r="L5200">
        <v>142.01480000000001</v>
      </c>
      <c r="M5200">
        <v>-0.99990509999999999</v>
      </c>
      <c r="N5200">
        <v>-1.1144279999999999E-2</v>
      </c>
      <c r="O5200">
        <v>8.103687E-3</v>
      </c>
      <c r="P5200">
        <v>-0.93048730000000002</v>
      </c>
      <c r="Q5200">
        <v>0.35108859999999997</v>
      </c>
      <c r="R5200">
        <v>-0.1045474</v>
      </c>
      <c r="S5200">
        <v>-3.3413699999999902</v>
      </c>
      <c r="T5200">
        <v>-0.27132869999999998</v>
      </c>
      <c r="U5200">
        <v>0.1358337</v>
      </c>
      <c r="V5200">
        <v>-0.112071699999999</v>
      </c>
      <c r="W5200">
        <v>0.36143069999999999</v>
      </c>
      <c r="X5200">
        <v>0.9256392</v>
      </c>
      <c r="Y5200">
        <v>3.2418339999999997E-2</v>
      </c>
      <c r="Z5200">
        <v>9.2807800000000004E-4</v>
      </c>
      <c r="AA5200">
        <v>0.99947390000000003</v>
      </c>
      <c r="AB5200">
        <v>34</v>
      </c>
      <c r="AC5200">
        <v>-0.77840000000003295</v>
      </c>
      <c r="AD5200">
        <v>-8.1644999999999898E-2</v>
      </c>
      <c r="AE5200">
        <v>3.9299999999997198E-2</v>
      </c>
      <c r="AF5200">
        <v>3.2632314977315197E-2</v>
      </c>
      <c r="AG5200">
        <v>-8.1644999999999898E-2</v>
      </c>
      <c r="AH5200">
        <v>0.77024064354335697</v>
      </c>
      <c r="AI5200">
        <v>96.045337865880398</v>
      </c>
      <c r="AJ5200">
        <v>87.574035467891804</v>
      </c>
      <c r="AK5200">
        <v>0.77524281549193497</v>
      </c>
      <c r="AL5200">
        <v>68.811915383057197</v>
      </c>
      <c r="AM5200">
        <v>96.903480249474597</v>
      </c>
      <c r="AN5200">
        <v>1.00000007271</v>
      </c>
    </row>
    <row r="5201" spans="1:40" x14ac:dyDescent="0.25">
      <c r="A5201" t="str">
        <f>"20190304164952069"</f>
        <v>20190304164952069</v>
      </c>
      <c r="B5201" t="str">
        <f>"1551689392060670"</f>
        <v>1551689392060670</v>
      </c>
      <c r="C5201" t="s">
        <v>40</v>
      </c>
      <c r="D5201">
        <v>4.5957299999999996</v>
      </c>
      <c r="E5201">
        <v>0.54750849999999995</v>
      </c>
      <c r="F5201" t="s">
        <v>41</v>
      </c>
      <c r="G5201">
        <v>-346.3546</v>
      </c>
      <c r="H5201">
        <v>1.045337</v>
      </c>
      <c r="I5201">
        <v>142.04689999999999</v>
      </c>
      <c r="J5201">
        <v>-345.83940000000001</v>
      </c>
      <c r="K5201">
        <v>1.1104419999999999</v>
      </c>
      <c r="L5201">
        <v>142.017</v>
      </c>
      <c r="M5201">
        <v>-0.99990619999999997</v>
      </c>
      <c r="N5201">
        <v>-1.104963E-2</v>
      </c>
      <c r="O5201">
        <v>8.1035599999999992E-3</v>
      </c>
      <c r="P5201">
        <v>-0.93035789999999996</v>
      </c>
      <c r="Q5201">
        <v>0.35106880000000001</v>
      </c>
      <c r="R5201">
        <v>-0.1057598</v>
      </c>
      <c r="S5201">
        <v>-3.3435060000000001</v>
      </c>
      <c r="T5201">
        <v>-0.2762368</v>
      </c>
      <c r="U5201">
        <v>0.134964</v>
      </c>
      <c r="V5201">
        <v>-0.1132826</v>
      </c>
      <c r="W5201">
        <v>0.36132170000000002</v>
      </c>
      <c r="X5201">
        <v>0.92553419999999997</v>
      </c>
      <c r="Y5201">
        <v>3.2131090000000001E-2</v>
      </c>
      <c r="Z5201">
        <v>9.2377629999999995E-4</v>
      </c>
      <c r="AA5201">
        <v>0.99948320000000002</v>
      </c>
      <c r="AB5201">
        <v>34</v>
      </c>
      <c r="AC5201">
        <v>-0.515199999999993</v>
      </c>
      <c r="AD5201">
        <v>-6.5104999999999705E-2</v>
      </c>
      <c r="AE5201">
        <v>2.98999999999978E-2</v>
      </c>
      <c r="AF5201">
        <v>2.5320819341165202E-2</v>
      </c>
      <c r="AG5201">
        <v>-6.5104999999999705E-2</v>
      </c>
      <c r="AH5201">
        <v>0.50735071976218205</v>
      </c>
      <c r="AI5201">
        <v>97.303438012996494</v>
      </c>
      <c r="AJ5201">
        <v>87.1428574134668</v>
      </c>
      <c r="AK5201">
        <v>0.51213724504307601</v>
      </c>
      <c r="AL5201">
        <v>68.818610248553199</v>
      </c>
      <c r="AM5201">
        <v>96.978122594067997</v>
      </c>
      <c r="AN5201">
        <v>0.99999993686164301</v>
      </c>
    </row>
    <row r="5202" spans="1:40" x14ac:dyDescent="0.25">
      <c r="A5202" t="str">
        <f>"20190304164952091"</f>
        <v>20190304164952091</v>
      </c>
      <c r="B5202" t="str">
        <f>"1551689392081166"</f>
        <v>1551689392081166</v>
      </c>
      <c r="C5202" t="s">
        <v>40</v>
      </c>
      <c r="D5202">
        <v>4.3966409999999998</v>
      </c>
      <c r="E5202">
        <v>0.53012749999999997</v>
      </c>
      <c r="F5202" t="s">
        <v>42</v>
      </c>
      <c r="G5202">
        <v>-357.74029999999999</v>
      </c>
      <c r="H5202" s="1">
        <v>-1.5346460000000001E-6</v>
      </c>
      <c r="I5202">
        <v>141.80709999999999</v>
      </c>
      <c r="J5202">
        <v>-346.17520000000002</v>
      </c>
      <c r="K5202">
        <v>1.1104320000000001</v>
      </c>
      <c r="L5202">
        <v>142.0197</v>
      </c>
      <c r="M5202">
        <v>-0.9999074</v>
      </c>
      <c r="N5202">
        <v>-1.093829E-2</v>
      </c>
      <c r="O5202">
        <v>8.1033400000000005E-3</v>
      </c>
      <c r="P5202">
        <v>-0.93037700000000001</v>
      </c>
      <c r="Q5202">
        <v>0.35087620000000003</v>
      </c>
      <c r="R5202">
        <v>-0.1062283</v>
      </c>
      <c r="S5202">
        <v>-3.3353579999999998</v>
      </c>
      <c r="T5202">
        <v>-0.31121310000000002</v>
      </c>
      <c r="U5202">
        <v>-5.877686E-2</v>
      </c>
      <c r="V5202">
        <v>-0.11375109999999999</v>
      </c>
      <c r="W5202">
        <v>0.36102649999999997</v>
      </c>
      <c r="X5202">
        <v>0.92559199999999997</v>
      </c>
      <c r="Y5202">
        <v>-2.557007E-2</v>
      </c>
      <c r="Z5202">
        <v>-1.9964090000000002E-3</v>
      </c>
      <c r="AA5202">
        <v>0.99967099999999998</v>
      </c>
      <c r="AB5202">
        <v>34</v>
      </c>
      <c r="AC5202">
        <v>-11.5650999999999</v>
      </c>
      <c r="AD5202">
        <v>-1.1104335346459999</v>
      </c>
      <c r="AE5202">
        <v>-0.212600000000008</v>
      </c>
      <c r="AF5202">
        <v>-0.30351736006255198</v>
      </c>
      <c r="AG5202">
        <v>-1.1104335346459999</v>
      </c>
      <c r="AH5202">
        <v>11.457406602891201</v>
      </c>
      <c r="AI5202">
        <v>95.533796562699195</v>
      </c>
      <c r="AJ5202">
        <v>91.517463599767794</v>
      </c>
      <c r="AK5202">
        <v>11.5150923351357</v>
      </c>
      <c r="AL5202">
        <v>68.836749678588404</v>
      </c>
      <c r="AM5202">
        <v>97.006262362772901</v>
      </c>
      <c r="AN5202">
        <v>0.999999998458729</v>
      </c>
    </row>
    <row r="5203" spans="1:40" x14ac:dyDescent="0.25">
      <c r="A5203" t="str">
        <f>"20190304164952106"</f>
        <v>20190304164952106</v>
      </c>
      <c r="B5203" t="str">
        <f>"1551689392100686"</f>
        <v>1551689392100686</v>
      </c>
      <c r="C5203" t="s">
        <v>40</v>
      </c>
      <c r="D5203">
        <v>4.375311</v>
      </c>
      <c r="E5203">
        <v>0.52267159999999901</v>
      </c>
      <c r="F5203" t="s">
        <v>42</v>
      </c>
      <c r="G5203">
        <v>-358.50810000000001</v>
      </c>
      <c r="H5203" s="1">
        <v>-1.067056E-6</v>
      </c>
      <c r="I5203">
        <v>141.2877</v>
      </c>
      <c r="J5203">
        <v>-346.40179999999998</v>
      </c>
      <c r="K5203">
        <v>1.1104210000000001</v>
      </c>
      <c r="L5203">
        <v>142.0215</v>
      </c>
      <c r="M5203">
        <v>-0.99990829999999997</v>
      </c>
      <c r="N5203">
        <v>-1.086851E-2</v>
      </c>
      <c r="O5203">
        <v>8.1028869999999996E-3</v>
      </c>
      <c r="P5203">
        <v>-0.93028440000000001</v>
      </c>
      <c r="Q5203">
        <v>0.3510296</v>
      </c>
      <c r="R5203">
        <v>-0.10653459999999999</v>
      </c>
      <c r="S5203">
        <v>-3.3146360000000001</v>
      </c>
      <c r="T5203">
        <v>-0.2984445</v>
      </c>
      <c r="U5203">
        <v>-0.19670099999999999</v>
      </c>
      <c r="V5203">
        <v>-0.1140559</v>
      </c>
      <c r="W5203">
        <v>0.36111409999999999</v>
      </c>
      <c r="X5203">
        <v>0.92552029999999996</v>
      </c>
      <c r="Y5203">
        <v>-6.6997970000000004E-2</v>
      </c>
      <c r="Z5203">
        <v>-4.0123820000000001E-3</v>
      </c>
      <c r="AA5203">
        <v>0.99774499999999999</v>
      </c>
      <c r="AB5203">
        <v>34</v>
      </c>
      <c r="AC5203">
        <v>-12.106299999999999</v>
      </c>
      <c r="AD5203">
        <v>-1.1104220670560001</v>
      </c>
      <c r="AE5203">
        <v>-0.73380000000000201</v>
      </c>
      <c r="AF5203">
        <v>-0.824962619717859</v>
      </c>
      <c r="AG5203">
        <v>-1.1104220670560001</v>
      </c>
      <c r="AH5203">
        <v>11.999374500540201</v>
      </c>
      <c r="AI5203">
        <v>95.274712614236407</v>
      </c>
      <c r="AJ5203">
        <v>93.932922994245601</v>
      </c>
      <c r="AK5203">
        <v>12.0788488232592</v>
      </c>
      <c r="AL5203">
        <v>68.831367148402705</v>
      </c>
      <c r="AM5203">
        <v>97.025387331715194</v>
      </c>
      <c r="AN5203">
        <v>0.99999998362785503</v>
      </c>
    </row>
    <row r="5204" spans="1:40" x14ac:dyDescent="0.25">
      <c r="A5204" t="str">
        <f>"20190304164952119"</f>
        <v>20190304164952119</v>
      </c>
      <c r="B5204" t="str">
        <f>"1551689392111422"</f>
        <v>1551689392111422</v>
      </c>
      <c r="C5204" t="s">
        <v>40</v>
      </c>
      <c r="D5204">
        <v>4.6376150000000003</v>
      </c>
      <c r="E5204">
        <v>0.5205689</v>
      </c>
      <c r="F5204" t="s">
        <v>42</v>
      </c>
      <c r="G5204">
        <v>-358.53070000000002</v>
      </c>
      <c r="H5204" s="1">
        <v>-1.0011860000000001E-6</v>
      </c>
      <c r="I5204">
        <v>141.07660000000001</v>
      </c>
      <c r="J5204">
        <v>-346.60289999999998</v>
      </c>
      <c r="K5204">
        <v>1.110414</v>
      </c>
      <c r="L5204">
        <v>142.0231</v>
      </c>
      <c r="M5204">
        <v>-0.99990880000000004</v>
      </c>
      <c r="N5204">
        <v>-1.080967E-2</v>
      </c>
      <c r="O5204">
        <v>8.1026710000000005E-3</v>
      </c>
      <c r="P5204">
        <v>-0.93018599999999996</v>
      </c>
      <c r="Q5204">
        <v>0.35117429999999999</v>
      </c>
      <c r="R5204">
        <v>-0.1069141</v>
      </c>
      <c r="S5204">
        <v>-3.3096309999999902</v>
      </c>
      <c r="T5204">
        <v>-0.30300389999999999</v>
      </c>
      <c r="U5204">
        <v>-0.2578278</v>
      </c>
      <c r="V5204">
        <v>-0.1144347</v>
      </c>
      <c r="W5204">
        <v>0.36120350000000001</v>
      </c>
      <c r="X5204">
        <v>0.92543869999999895</v>
      </c>
      <c r="Y5204">
        <v>-8.5319870000000006E-2</v>
      </c>
      <c r="Z5204">
        <v>-5.00644E-3</v>
      </c>
      <c r="AA5204">
        <v>0.99634100000000003</v>
      </c>
      <c r="AB5204">
        <v>34</v>
      </c>
      <c r="AC5204">
        <v>-11.9278</v>
      </c>
      <c r="AD5204">
        <v>-1.1104150011859999</v>
      </c>
      <c r="AE5204">
        <v>-0.94649999999998602</v>
      </c>
      <c r="AF5204">
        <v>-1.03421454402964</v>
      </c>
      <c r="AG5204">
        <v>-1.1104150011859999</v>
      </c>
      <c r="AH5204">
        <v>11.817957872799401</v>
      </c>
      <c r="AI5204">
        <v>95.347432445352396</v>
      </c>
      <c r="AJ5204">
        <v>95.001333728596805</v>
      </c>
      <c r="AK5204">
        <v>11.914980045354699</v>
      </c>
      <c r="AL5204">
        <v>68.825875141742401</v>
      </c>
      <c r="AM5204">
        <v>97.049100828308596</v>
      </c>
      <c r="AN5204">
        <v>1.0000000282170101</v>
      </c>
    </row>
    <row r="5205" spans="1:40" x14ac:dyDescent="0.25">
      <c r="A5205" t="str">
        <f>"20190304164952132"</f>
        <v>20190304164952132</v>
      </c>
      <c r="B5205" t="str">
        <f>"1551689392121182"</f>
        <v>1551689392121182</v>
      </c>
      <c r="C5205" t="s">
        <v>40</v>
      </c>
      <c r="D5205">
        <v>4.3787969999999996</v>
      </c>
      <c r="E5205">
        <v>0.51917860000000005</v>
      </c>
      <c r="F5205" t="s">
        <v>42</v>
      </c>
      <c r="G5205">
        <v>-358.79610000000002</v>
      </c>
      <c r="H5205" s="1">
        <v>-8.6848119999999896E-7</v>
      </c>
      <c r="I5205">
        <v>141.00569999999999</v>
      </c>
      <c r="J5205">
        <v>-346.80450000000002</v>
      </c>
      <c r="K5205">
        <v>1.1104069999999999</v>
      </c>
      <c r="L5205">
        <v>142.0248</v>
      </c>
      <c r="M5205">
        <v>-0.99990939999999995</v>
      </c>
      <c r="N5205">
        <v>-1.075448E-2</v>
      </c>
      <c r="O5205">
        <v>8.1024930000000005E-3</v>
      </c>
      <c r="P5205">
        <v>-0.93013469999999998</v>
      </c>
      <c r="Q5205">
        <v>0.35125129999999999</v>
      </c>
      <c r="R5205">
        <v>-0.1071087</v>
      </c>
      <c r="S5205">
        <v>-3.3071899999999999</v>
      </c>
      <c r="T5205">
        <v>-0.3011818</v>
      </c>
      <c r="U5205">
        <v>-0.27592470000000002</v>
      </c>
      <c r="V5205">
        <v>-0.11462899999999999</v>
      </c>
      <c r="W5205">
        <v>0.36122890000000002</v>
      </c>
      <c r="X5205">
        <v>0.92540469999999997</v>
      </c>
      <c r="Y5205">
        <v>-9.0771560000000001E-2</v>
      </c>
      <c r="Z5205">
        <v>-5.2559879999999996E-3</v>
      </c>
      <c r="AA5205">
        <v>0.99585789999999996</v>
      </c>
      <c r="AB5205">
        <v>34</v>
      </c>
      <c r="AC5205">
        <v>-11.9916</v>
      </c>
      <c r="AD5205">
        <v>-1.1104078684812</v>
      </c>
      <c r="AE5205">
        <v>-1.0190999999999999</v>
      </c>
      <c r="AF5205">
        <v>-1.10681166361928</v>
      </c>
      <c r="AG5205">
        <v>-1.1104078684812</v>
      </c>
      <c r="AH5205">
        <v>11.881798193351999</v>
      </c>
      <c r="AI5205">
        <v>95.316160560887795</v>
      </c>
      <c r="AJ5205">
        <v>95.321851140805506</v>
      </c>
      <c r="AK5205">
        <v>11.984788942682799</v>
      </c>
      <c r="AL5205">
        <v>68.824313657671098</v>
      </c>
      <c r="AM5205">
        <v>97.061205669580801</v>
      </c>
      <c r="AN5205">
        <v>0.99999999230914904</v>
      </c>
    </row>
    <row r="5206" spans="1:40" x14ac:dyDescent="0.25">
      <c r="A5206" t="str">
        <f>"20190304164952149"</f>
        <v>20190304164952149</v>
      </c>
      <c r="B5206" t="str">
        <f>"1551689392140702"</f>
        <v>1551689392140702</v>
      </c>
      <c r="C5206" t="s">
        <v>40</v>
      </c>
      <c r="D5206">
        <v>4.3537980000000003</v>
      </c>
      <c r="E5206">
        <v>0.51736720000000003</v>
      </c>
      <c r="F5206" t="s">
        <v>42</v>
      </c>
      <c r="G5206">
        <v>-358.91950000000003</v>
      </c>
      <c r="H5206" s="1">
        <v>-8.0578309999999998E-7</v>
      </c>
      <c r="I5206">
        <v>140.96899999999999</v>
      </c>
      <c r="J5206">
        <v>-347.06369999999998</v>
      </c>
      <c r="K5206">
        <v>1.1104050000000001</v>
      </c>
      <c r="L5206">
        <v>142.02690000000001</v>
      </c>
      <c r="M5206">
        <v>-0.99991019999999997</v>
      </c>
      <c r="N5206">
        <v>-1.0689479999999999E-2</v>
      </c>
      <c r="O5206">
        <v>8.1023069999999996E-3</v>
      </c>
      <c r="P5206">
        <v>-0.93016120000000002</v>
      </c>
      <c r="Q5206">
        <v>0.35094740000000002</v>
      </c>
      <c r="R5206">
        <v>-0.1078725</v>
      </c>
      <c r="S5206">
        <v>-3.30661</v>
      </c>
      <c r="T5206">
        <v>-0.30307009999999901</v>
      </c>
      <c r="U5206">
        <v>-0.28813169999999999</v>
      </c>
      <c r="V5206">
        <v>-0.1153926</v>
      </c>
      <c r="W5206">
        <v>0.36086509999999999</v>
      </c>
      <c r="X5206">
        <v>0.92545180000000005</v>
      </c>
      <c r="Y5206">
        <v>-9.4413059999999993E-2</v>
      </c>
      <c r="Z5206">
        <v>-5.4697969999999898E-3</v>
      </c>
      <c r="AA5206">
        <v>0.99551809999999996</v>
      </c>
      <c r="AB5206">
        <v>34</v>
      </c>
      <c r="AC5206">
        <v>-11.8558</v>
      </c>
      <c r="AD5206">
        <v>-1.1104058057831001</v>
      </c>
      <c r="AE5206">
        <v>-1.0579000000000101</v>
      </c>
      <c r="AF5206">
        <v>-1.1439743300731799</v>
      </c>
      <c r="AG5206">
        <v>-1.1104058057831001</v>
      </c>
      <c r="AH5206">
        <v>11.744628079681201</v>
      </c>
      <c r="AI5206">
        <v>95.375732103988994</v>
      </c>
      <c r="AJ5206">
        <v>95.563291214872393</v>
      </c>
      <c r="AK5206">
        <v>11.852340150848701</v>
      </c>
      <c r="AL5206">
        <v>68.846666903818004</v>
      </c>
      <c r="AM5206">
        <v>97.107406238645794</v>
      </c>
      <c r="AN5206">
        <v>1.000000053328</v>
      </c>
    </row>
    <row r="5207" spans="1:40" x14ac:dyDescent="0.25">
      <c r="A5207" t="str">
        <f>"20190304164952170"</f>
        <v>20190304164952170</v>
      </c>
      <c r="B5207" t="str">
        <f>"1551689392161198"</f>
        <v>1551689392161198</v>
      </c>
      <c r="C5207" t="s">
        <v>40</v>
      </c>
      <c r="D5207">
        <v>4.3283750000000003</v>
      </c>
      <c r="E5207">
        <v>0.51628479999999999</v>
      </c>
      <c r="F5207" t="s">
        <v>42</v>
      </c>
      <c r="G5207">
        <v>-359.03120000000001</v>
      </c>
      <c r="H5207" s="1">
        <v>-7.4599149999999895E-7</v>
      </c>
      <c r="I5207">
        <v>140.92439999999999</v>
      </c>
      <c r="J5207">
        <v>-347.38920000000002</v>
      </c>
      <c r="K5207">
        <v>1.1104000000000001</v>
      </c>
      <c r="L5207">
        <v>142.02950000000001</v>
      </c>
      <c r="M5207">
        <v>-0.99991079999999999</v>
      </c>
      <c r="N5207">
        <v>-1.0615299999999999E-2</v>
      </c>
      <c r="O5207">
        <v>8.102227E-3</v>
      </c>
      <c r="P5207">
        <v>-0.93003539999999996</v>
      </c>
      <c r="Q5207">
        <v>0.3509777</v>
      </c>
      <c r="R5207">
        <v>-0.1088525</v>
      </c>
      <c r="S5207">
        <v>-3.3056640000000002</v>
      </c>
      <c r="T5207">
        <v>-0.30671670000000001</v>
      </c>
      <c r="U5207">
        <v>-0.30448910000000001</v>
      </c>
      <c r="V5207">
        <v>-0.1163714</v>
      </c>
      <c r="W5207">
        <v>0.36082500000000001</v>
      </c>
      <c r="X5207">
        <v>0.92534479999999997</v>
      </c>
      <c r="Y5207">
        <v>-9.9289600000000006E-2</v>
      </c>
      <c r="Z5207">
        <v>-5.7791419999999897E-3</v>
      </c>
      <c r="AA5207">
        <v>0.99504179999999998</v>
      </c>
      <c r="AB5207">
        <v>34</v>
      </c>
      <c r="AC5207">
        <v>-11.6419999999999</v>
      </c>
      <c r="AD5207">
        <v>-1.1104007459915</v>
      </c>
      <c r="AE5207">
        <v>-1.10510000000002</v>
      </c>
      <c r="AF5207">
        <v>-1.1886781750819</v>
      </c>
      <c r="AG5207">
        <v>-1.1104007459915</v>
      </c>
      <c r="AH5207">
        <v>11.5287218565136</v>
      </c>
      <c r="AI5207">
        <v>95.472696709776997</v>
      </c>
      <c r="AJ5207">
        <v>95.886726197701407</v>
      </c>
      <c r="AK5207">
        <v>11.6429108587788</v>
      </c>
      <c r="AL5207">
        <v>68.849129064636102</v>
      </c>
      <c r="AM5207">
        <v>97.167889516709707</v>
      </c>
      <c r="AN5207">
        <v>0.99999999112499904</v>
      </c>
    </row>
    <row r="5208" spans="1:40" x14ac:dyDescent="0.25">
      <c r="A5208" t="str">
        <f>"20190304164952192"</f>
        <v>20190304164952192</v>
      </c>
      <c r="B5208" t="str">
        <f>"1551689392180717"</f>
        <v>1551689392180717</v>
      </c>
      <c r="C5208" t="s">
        <v>40</v>
      </c>
      <c r="D5208">
        <v>4.3436879999999896</v>
      </c>
      <c r="E5208">
        <v>0.51565099999999997</v>
      </c>
      <c r="F5208" t="s">
        <v>42</v>
      </c>
      <c r="G5208">
        <v>-359.43689999999998</v>
      </c>
      <c r="H5208" s="1">
        <v>-5.6000700000000002E-7</v>
      </c>
      <c r="I5208">
        <v>140.87950000000001</v>
      </c>
      <c r="J5208">
        <v>-347.71910000000003</v>
      </c>
      <c r="K5208">
        <v>1.110387</v>
      </c>
      <c r="L5208">
        <v>142.03219999999999</v>
      </c>
      <c r="M5208">
        <v>-0.99991149999999995</v>
      </c>
      <c r="N5208">
        <v>-1.054884E-2</v>
      </c>
      <c r="O5208">
        <v>8.1019239999999999E-3</v>
      </c>
      <c r="P5208">
        <v>-0.92996089999999998</v>
      </c>
      <c r="Q5208">
        <v>0.35081119999999999</v>
      </c>
      <c r="R5208">
        <v>-0.1100199</v>
      </c>
      <c r="S5208">
        <v>-3.3036799999999999</v>
      </c>
      <c r="T5208">
        <v>-0.30449090000000001</v>
      </c>
      <c r="U5208">
        <v>-0.31532290000000002</v>
      </c>
      <c r="V5208">
        <v>-0.11753769999999999</v>
      </c>
      <c r="W5208">
        <v>0.36059600000000003</v>
      </c>
      <c r="X5208">
        <v>0.92528670000000002</v>
      </c>
      <c r="Y5208">
        <v>-0.1025693</v>
      </c>
      <c r="Z5208">
        <v>-5.9080699999999996E-3</v>
      </c>
      <c r="AA5208">
        <v>0.99470829999999999</v>
      </c>
      <c r="AB5208">
        <v>34</v>
      </c>
      <c r="AC5208">
        <v>-11.717799999999899</v>
      </c>
      <c r="AD5208">
        <v>-1.1103875600069999</v>
      </c>
      <c r="AE5208">
        <v>-1.1526999999999801</v>
      </c>
      <c r="AF5208">
        <v>-1.23660636859962</v>
      </c>
      <c r="AG5208">
        <v>-1.1103875600069999</v>
      </c>
      <c r="AH5208">
        <v>11.604867431471799</v>
      </c>
      <c r="AI5208">
        <v>95.435004244640993</v>
      </c>
      <c r="AJ5208">
        <v>96.082444747270003</v>
      </c>
      <c r="AK5208">
        <v>11.7232718959475</v>
      </c>
      <c r="AL5208">
        <v>68.863197771802405</v>
      </c>
      <c r="AM5208">
        <v>97.239419082449004</v>
      </c>
      <c r="AN5208">
        <v>1.0000000316670801</v>
      </c>
    </row>
    <row r="5209" spans="1:40" x14ac:dyDescent="0.25">
      <c r="A5209" t="str">
        <f>"20190304164952208"</f>
        <v>20190304164952208</v>
      </c>
      <c r="B5209" t="str">
        <f>"1551689392201214"</f>
        <v>1551689392201214</v>
      </c>
      <c r="C5209" t="s">
        <v>40</v>
      </c>
      <c r="D5209">
        <v>4.3429869999999999</v>
      </c>
      <c r="E5209">
        <v>0.51513560000000003</v>
      </c>
      <c r="F5209" t="s">
        <v>42</v>
      </c>
      <c r="G5209">
        <v>-359.7903</v>
      </c>
      <c r="H5209" s="1">
        <v>-4.0090240000000002E-7</v>
      </c>
      <c r="I5209">
        <v>140.85130000000001</v>
      </c>
      <c r="J5209">
        <v>-347.9572</v>
      </c>
      <c r="K5209">
        <v>1.1103809999999901</v>
      </c>
      <c r="L5209">
        <v>142.0341</v>
      </c>
      <c r="M5209">
        <v>-0.99991200000000002</v>
      </c>
      <c r="N5209">
        <v>-1.050656E-2</v>
      </c>
      <c r="O5209">
        <v>8.1017910000000005E-3</v>
      </c>
      <c r="P5209">
        <v>-0.92983950000000004</v>
      </c>
      <c r="Q5209">
        <v>0.35095019999999999</v>
      </c>
      <c r="R5209">
        <v>-0.1106007</v>
      </c>
      <c r="S5209">
        <v>-3.302368</v>
      </c>
      <c r="T5209">
        <v>-0.30377300000000002</v>
      </c>
      <c r="U5209">
        <v>-0.3230133</v>
      </c>
      <c r="V5209">
        <v>-0.1181178</v>
      </c>
      <c r="W5209">
        <v>0.36069519999999999</v>
      </c>
      <c r="X5209">
        <v>0.9251741</v>
      </c>
      <c r="Y5209">
        <v>-0.1048926</v>
      </c>
      <c r="Z5209">
        <v>-6.0136719999999899E-3</v>
      </c>
      <c r="AA5209">
        <v>0.99446540000000005</v>
      </c>
      <c r="AB5209">
        <v>34</v>
      </c>
      <c r="AC5209">
        <v>-11.8331</v>
      </c>
      <c r="AD5209">
        <v>-1.11038140090239</v>
      </c>
      <c r="AE5209">
        <v>-1.1827999999999801</v>
      </c>
      <c r="AF5209">
        <v>-1.2675846419535699</v>
      </c>
      <c r="AG5209">
        <v>-1.11038140090239</v>
      </c>
      <c r="AH5209">
        <v>11.7209420927349</v>
      </c>
      <c r="AI5209">
        <v>95.380566876987302</v>
      </c>
      <c r="AJ5209">
        <v>96.172377285703206</v>
      </c>
      <c r="AK5209">
        <v>11.841461110067099</v>
      </c>
      <c r="AL5209">
        <v>68.857102758328395</v>
      </c>
      <c r="AM5209">
        <v>97.275642846964303</v>
      </c>
      <c r="AN5209">
        <v>0.99999997864534396</v>
      </c>
    </row>
    <row r="5210" spans="1:40" x14ac:dyDescent="0.25">
      <c r="A5210" t="str">
        <f>"20190304164952221"</f>
        <v>20190304164952221</v>
      </c>
      <c r="B5210" t="str">
        <f>"1551689392210974"</f>
        <v>1551689392210974</v>
      </c>
      <c r="C5210" t="s">
        <v>40</v>
      </c>
      <c r="D5210">
        <v>4.3660129999999997</v>
      </c>
      <c r="E5210">
        <v>0.51496200000000003</v>
      </c>
      <c r="F5210" t="s">
        <v>42</v>
      </c>
      <c r="G5210">
        <v>-359.98090000000002</v>
      </c>
      <c r="H5210" s="1">
        <v>-4.4989170000000001E-6</v>
      </c>
      <c r="I5210">
        <v>140.83609999999999</v>
      </c>
      <c r="J5210">
        <v>-348.16480000000001</v>
      </c>
      <c r="K5210">
        <v>1.1103719999999999</v>
      </c>
      <c r="L5210">
        <v>142.03579999999999</v>
      </c>
      <c r="M5210">
        <v>-0.99991249999999998</v>
      </c>
      <c r="N5210">
        <v>-1.0472540000000001E-2</v>
      </c>
      <c r="O5210">
        <v>8.1014929999999995E-3</v>
      </c>
      <c r="P5210">
        <v>-0.92986860000000005</v>
      </c>
      <c r="Q5210">
        <v>0.35066019999999998</v>
      </c>
      <c r="R5210">
        <v>-0.1112754</v>
      </c>
      <c r="S5210">
        <v>-3.3023989999999999</v>
      </c>
      <c r="T5210">
        <v>-0.30497790000000002</v>
      </c>
      <c r="U5210">
        <v>-0.32901000000000002</v>
      </c>
      <c r="V5210">
        <v>-0.1187918</v>
      </c>
      <c r="W5210">
        <v>0.36037360000000002</v>
      </c>
      <c r="X5210">
        <v>0.92521319999999996</v>
      </c>
      <c r="Y5210">
        <v>-0.1066676</v>
      </c>
      <c r="Z5210">
        <v>-6.1244819999999997E-3</v>
      </c>
      <c r="AA5210">
        <v>0.99427589999999999</v>
      </c>
      <c r="AB5210">
        <v>34</v>
      </c>
      <c r="AC5210">
        <v>-11.8161</v>
      </c>
      <c r="AD5210">
        <v>-1.110376498917</v>
      </c>
      <c r="AE5210">
        <v>-1.1997</v>
      </c>
      <c r="AF5210">
        <v>-1.2841695770761501</v>
      </c>
      <c r="AG5210">
        <v>-1.110376498917</v>
      </c>
      <c r="AH5210">
        <v>11.703695687020501</v>
      </c>
      <c r="AI5210">
        <v>95.387516286170595</v>
      </c>
      <c r="AJ5210">
        <v>96.261640895876198</v>
      </c>
      <c r="AK5210">
        <v>11.826179442508799</v>
      </c>
      <c r="AL5210">
        <v>68.8768591360447</v>
      </c>
      <c r="AM5210">
        <v>97.316404405620403</v>
      </c>
      <c r="AN5210">
        <v>1.0000000443892101</v>
      </c>
    </row>
    <row r="5211" spans="1:40" x14ac:dyDescent="0.25">
      <c r="A5211" t="str">
        <f>"20190304164952233"</f>
        <v>20190304164952233</v>
      </c>
      <c r="B5211" t="str">
        <f>"1551689392231470"</f>
        <v>1551689392231470</v>
      </c>
      <c r="C5211" t="s">
        <v>40</v>
      </c>
      <c r="D5211">
        <v>4.8564129999999999</v>
      </c>
      <c r="E5211">
        <v>0.51460309999999998</v>
      </c>
      <c r="F5211" t="s">
        <v>42</v>
      </c>
      <c r="G5211">
        <v>-360.0926</v>
      </c>
      <c r="H5211" s="1">
        <v>-4.4606799999999998E-6</v>
      </c>
      <c r="I5211">
        <v>140.8349</v>
      </c>
      <c r="J5211">
        <v>-348.36270000000002</v>
      </c>
      <c r="K5211">
        <v>1.110368</v>
      </c>
      <c r="L5211">
        <v>142.03729999999999</v>
      </c>
      <c r="M5211">
        <v>-0.99991269999999999</v>
      </c>
      <c r="N5211">
        <v>-1.0442359999999999E-2</v>
      </c>
      <c r="O5211">
        <v>8.1012949999999997E-3</v>
      </c>
      <c r="P5211">
        <v>-0.92984310000000003</v>
      </c>
      <c r="Q5211">
        <v>0.35059030000000002</v>
      </c>
      <c r="R5211">
        <v>-0.111707</v>
      </c>
      <c r="S5211">
        <v>-3.3023380000000002</v>
      </c>
      <c r="T5211">
        <v>-0.30742120000000001</v>
      </c>
      <c r="U5211">
        <v>-0.33245849999999999</v>
      </c>
      <c r="V5211">
        <v>-0.1192233</v>
      </c>
      <c r="W5211">
        <v>0.36027579999999998</v>
      </c>
      <c r="X5211">
        <v>0.92519580000000001</v>
      </c>
      <c r="Y5211">
        <v>-0.1076844</v>
      </c>
      <c r="Z5211">
        <v>-6.2204519999999996E-3</v>
      </c>
      <c r="AA5211">
        <v>0.99416570000000004</v>
      </c>
      <c r="AB5211">
        <v>34</v>
      </c>
      <c r="AC5211">
        <v>-11.729899999999899</v>
      </c>
      <c r="AD5211">
        <v>-1.1103724606799901</v>
      </c>
      <c r="AE5211">
        <v>-1.2023999999999799</v>
      </c>
      <c r="AF5211">
        <v>-1.28598937719025</v>
      </c>
      <c r="AG5211">
        <v>-1.1103724606799901</v>
      </c>
      <c r="AH5211">
        <v>11.616760007539799</v>
      </c>
      <c r="AI5211">
        <v>95.427000631942803</v>
      </c>
      <c r="AJ5211">
        <v>96.316991451436394</v>
      </c>
      <c r="AK5211">
        <v>11.7403496009471</v>
      </c>
      <c r="AL5211">
        <v>68.882866471581806</v>
      </c>
      <c r="AM5211">
        <v>97.342827627761594</v>
      </c>
      <c r="AN5211">
        <v>1.0000000578330801</v>
      </c>
    </row>
    <row r="5212" spans="1:40" x14ac:dyDescent="0.25">
      <c r="A5212" t="str">
        <f>"20190304164952249"</f>
        <v>20190304164952249</v>
      </c>
      <c r="B5212" t="str">
        <f>"1551689392241235"</f>
        <v>1551689392241235</v>
      </c>
      <c r="C5212" t="s">
        <v>40</v>
      </c>
      <c r="D5212">
        <v>4.4491829999999997</v>
      </c>
      <c r="E5212">
        <v>0.51455989999999996</v>
      </c>
      <c r="F5212" t="s">
        <v>42</v>
      </c>
      <c r="G5212">
        <v>-360.28739999999999</v>
      </c>
      <c r="H5212" s="1">
        <v>-4.3919799999999999E-6</v>
      </c>
      <c r="I5212">
        <v>140.82149999999999</v>
      </c>
      <c r="J5212">
        <v>-348.59539999999998</v>
      </c>
      <c r="K5212">
        <v>1.110357</v>
      </c>
      <c r="L5212">
        <v>142.03919999999999</v>
      </c>
      <c r="M5212">
        <v>-0.99991300000000005</v>
      </c>
      <c r="N5212">
        <v>-1.041096E-2</v>
      </c>
      <c r="O5212">
        <v>8.1011009999999994E-3</v>
      </c>
      <c r="P5212">
        <v>-0.92962409999999995</v>
      </c>
      <c r="Q5212">
        <v>0.35068860000000002</v>
      </c>
      <c r="R5212">
        <v>-0.11321050000000001</v>
      </c>
      <c r="S5212">
        <v>-3.3018190000000001</v>
      </c>
      <c r="T5212">
        <v>-0.30745029999999901</v>
      </c>
      <c r="U5212">
        <v>-0.33663939999999998</v>
      </c>
      <c r="V5212">
        <v>-0.1207251</v>
      </c>
      <c r="W5212">
        <v>0.36034250000000001</v>
      </c>
      <c r="X5212">
        <v>0.92497499999999999</v>
      </c>
      <c r="Y5212">
        <v>-0.1089397</v>
      </c>
      <c r="Z5212">
        <v>-6.2848380000000001E-3</v>
      </c>
      <c r="AA5212">
        <v>0.99402849999999998</v>
      </c>
      <c r="AB5212">
        <v>34</v>
      </c>
      <c r="AC5212">
        <v>-11.692</v>
      </c>
      <c r="AD5212">
        <v>-1.1103613919799999</v>
      </c>
      <c r="AE5212">
        <v>-1.2177</v>
      </c>
      <c r="AF5212">
        <v>-1.30077761100634</v>
      </c>
      <c r="AG5212">
        <v>-1.1103613919799999</v>
      </c>
      <c r="AH5212">
        <v>11.578447302969501</v>
      </c>
      <c r="AI5212">
        <v>95.443816994065699</v>
      </c>
      <c r="AJ5212">
        <v>96.410001816060898</v>
      </c>
      <c r="AK5212">
        <v>11.704074793068299</v>
      </c>
      <c r="AL5212">
        <v>68.878768589380002</v>
      </c>
      <c r="AM5212">
        <v>97.436048228552494</v>
      </c>
      <c r="AN5212">
        <v>1.00000000885063</v>
      </c>
    </row>
    <row r="5213" spans="1:40" x14ac:dyDescent="0.25">
      <c r="A5213" t="str">
        <f>"20190304164952264"</f>
        <v>20190304164952264</v>
      </c>
      <c r="B5213" t="str">
        <f>"1551689392260751"</f>
        <v>1551689392260751</v>
      </c>
      <c r="C5213" t="s">
        <v>40</v>
      </c>
      <c r="D5213">
        <v>4.3955279999999997</v>
      </c>
      <c r="E5213">
        <v>0.51438090000000003</v>
      </c>
      <c r="F5213" t="s">
        <v>42</v>
      </c>
      <c r="G5213">
        <v>-360.4853</v>
      </c>
      <c r="H5213" s="1">
        <v>-4.3228759999999999E-6</v>
      </c>
      <c r="I5213">
        <v>140.81139999999999</v>
      </c>
      <c r="J5213">
        <v>-348.81819999999999</v>
      </c>
      <c r="K5213">
        <v>1.1103540000000001</v>
      </c>
      <c r="L5213">
        <v>142.041</v>
      </c>
      <c r="M5213">
        <v>-0.9999133</v>
      </c>
      <c r="N5213">
        <v>-1.03816E-2</v>
      </c>
      <c r="O5213">
        <v>8.1009569999999902E-3</v>
      </c>
      <c r="P5213">
        <v>-0.92966879999999996</v>
      </c>
      <c r="Q5213">
        <v>0.35037649999999998</v>
      </c>
      <c r="R5213">
        <v>-0.1138065</v>
      </c>
      <c r="S5213">
        <v>-3.3019409999999998</v>
      </c>
      <c r="T5213">
        <v>-0.30836180000000002</v>
      </c>
      <c r="U5213">
        <v>-0.34097290000000002</v>
      </c>
      <c r="V5213">
        <v>-0.1213211</v>
      </c>
      <c r="W5213">
        <v>0.36000389999999999</v>
      </c>
      <c r="X5213">
        <v>0.92502890000000004</v>
      </c>
      <c r="Y5213">
        <v>-0.1102177</v>
      </c>
      <c r="Z5213">
        <v>-6.3660870000000003E-3</v>
      </c>
      <c r="AA5213">
        <v>0.99388710000000002</v>
      </c>
      <c r="AB5213">
        <v>34</v>
      </c>
      <c r="AC5213">
        <v>-11.6671</v>
      </c>
      <c r="AD5213">
        <v>-1.1103583228759999</v>
      </c>
      <c r="AE5213">
        <v>-1.2296</v>
      </c>
      <c r="AF5213">
        <v>-1.3123238304100899</v>
      </c>
      <c r="AG5213">
        <v>-1.1103583228759999</v>
      </c>
      <c r="AH5213">
        <v>11.5532633669959</v>
      </c>
      <c r="AI5213">
        <v>95.454844412319702</v>
      </c>
      <c r="AJ5213">
        <v>96.480395507060393</v>
      </c>
      <c r="AK5213">
        <v>11.680453067762899</v>
      </c>
      <c r="AL5213">
        <v>68.899565382674496</v>
      </c>
      <c r="AM5213">
        <v>97.471914446904094</v>
      </c>
      <c r="AN5213">
        <v>1.0000000415778101</v>
      </c>
    </row>
    <row r="5214" spans="1:40" x14ac:dyDescent="0.25">
      <c r="A5214" t="str">
        <f>"20190304164952278"</f>
        <v>20190304164952278</v>
      </c>
      <c r="B5214" t="str">
        <f>"1551689392271486"</f>
        <v>1551689392271486</v>
      </c>
      <c r="C5214" t="s">
        <v>40</v>
      </c>
      <c r="D5214">
        <v>4.3479570000000001</v>
      </c>
      <c r="E5214">
        <v>0.51426090000000002</v>
      </c>
      <c r="F5214" t="s">
        <v>42</v>
      </c>
      <c r="G5214">
        <v>-360.59050000000002</v>
      </c>
      <c r="H5214" s="1">
        <v>-4.2875570000000001E-6</v>
      </c>
      <c r="I5214">
        <v>140.8141</v>
      </c>
      <c r="J5214">
        <v>-349.03570000000002</v>
      </c>
      <c r="K5214">
        <v>1.110347</v>
      </c>
      <c r="L5214">
        <v>142.0428</v>
      </c>
      <c r="M5214">
        <v>-0.99991370000000002</v>
      </c>
      <c r="N5214">
        <v>-1.03534E-2</v>
      </c>
      <c r="O5214">
        <v>8.1007449999999995E-3</v>
      </c>
      <c r="P5214">
        <v>-0.92958540000000001</v>
      </c>
      <c r="Q5214">
        <v>0.35038249999999999</v>
      </c>
      <c r="R5214">
        <v>-0.11447060000000001</v>
      </c>
      <c r="S5214">
        <v>-3.302216</v>
      </c>
      <c r="T5214">
        <v>-0.31146479999999999</v>
      </c>
      <c r="U5214">
        <v>-0.34413149999999998</v>
      </c>
      <c r="V5214">
        <v>-0.1219842</v>
      </c>
      <c r="W5214">
        <v>0.35998259999999899</v>
      </c>
      <c r="X5214">
        <v>0.92494989999999999</v>
      </c>
      <c r="Y5214">
        <v>-0.1111346</v>
      </c>
      <c r="Z5214">
        <v>-6.4706759999999999E-3</v>
      </c>
      <c r="AA5214">
        <v>0.99378429999999995</v>
      </c>
      <c r="AB5214">
        <v>34</v>
      </c>
      <c r="AC5214">
        <v>-11.5548</v>
      </c>
      <c r="AD5214">
        <v>-1.1103512875570001</v>
      </c>
      <c r="AE5214">
        <v>-1.2286999999999999</v>
      </c>
      <c r="AF5214">
        <v>-1.3103029542358899</v>
      </c>
      <c r="AG5214">
        <v>-1.1103512875570001</v>
      </c>
      <c r="AH5214">
        <v>11.4400095394959</v>
      </c>
      <c r="AI5214">
        <v>95.507896805137705</v>
      </c>
      <c r="AJ5214">
        <v>96.534006321618705</v>
      </c>
      <c r="AK5214">
        <v>11.5682147316436</v>
      </c>
      <c r="AL5214">
        <v>68.900871845325895</v>
      </c>
      <c r="AM5214">
        <v>97.512922505489499</v>
      </c>
      <c r="AN5214">
        <v>0.99999996743120401</v>
      </c>
    </row>
    <row r="5215" spans="1:40" x14ac:dyDescent="0.25">
      <c r="A5215" t="str">
        <f>"20190304164952292"</f>
        <v>20190304164952292</v>
      </c>
      <c r="B5215" t="str">
        <f>"1551689392281246"</f>
        <v>1551689392281246</v>
      </c>
      <c r="C5215" t="s">
        <v>40</v>
      </c>
      <c r="D5215">
        <v>4.3689410000000004</v>
      </c>
      <c r="E5215">
        <v>0.51420739999999998</v>
      </c>
      <c r="F5215" t="s">
        <v>42</v>
      </c>
      <c r="G5215">
        <v>-360.77620000000002</v>
      </c>
      <c r="H5215" s="1">
        <v>-4.2232539999999999E-6</v>
      </c>
      <c r="I5215">
        <v>140.80779999999999</v>
      </c>
      <c r="J5215">
        <v>-349.26569999999998</v>
      </c>
      <c r="K5215">
        <v>1.110339</v>
      </c>
      <c r="L5215">
        <v>142.0446</v>
      </c>
      <c r="M5215">
        <v>-0.99991399999999997</v>
      </c>
      <c r="N5215">
        <v>-1.0324659999999999E-2</v>
      </c>
      <c r="O5215">
        <v>8.1004179999999999E-3</v>
      </c>
      <c r="P5215">
        <v>-0.92939530000000004</v>
      </c>
      <c r="Q5215">
        <v>0.3505163</v>
      </c>
      <c r="R5215">
        <v>-0.11559949999999999</v>
      </c>
      <c r="S5215">
        <v>-3.3022459999999998</v>
      </c>
      <c r="T5215">
        <v>-0.3123109</v>
      </c>
      <c r="U5215">
        <v>-0.34733579999999997</v>
      </c>
      <c r="V5215">
        <v>-0.1231114</v>
      </c>
      <c r="W5215">
        <v>0.36008810000000002</v>
      </c>
      <c r="X5215">
        <v>0.92475949999999996</v>
      </c>
      <c r="Y5215">
        <v>-0.11207979999999999</v>
      </c>
      <c r="Z5215">
        <v>-6.5345019999999898E-3</v>
      </c>
      <c r="AA5215">
        <v>0.9936777</v>
      </c>
      <c r="AB5215">
        <v>35</v>
      </c>
      <c r="AC5215">
        <v>-11.5105</v>
      </c>
      <c r="AD5215">
        <v>-1.110343223254</v>
      </c>
      <c r="AE5215">
        <v>-1.2368000000000099</v>
      </c>
      <c r="AF5215">
        <v>-1.3178810481346499</v>
      </c>
      <c r="AG5215">
        <v>-1.110343223254</v>
      </c>
      <c r="AH5215">
        <v>11.3952779969283</v>
      </c>
      <c r="AI5215">
        <v>95.528648420785103</v>
      </c>
      <c r="AJ5215">
        <v>96.597034922180001</v>
      </c>
      <c r="AK5215">
        <v>11.5248441706488</v>
      </c>
      <c r="AL5215">
        <v>68.894393239083499</v>
      </c>
      <c r="AM5215">
        <v>97.583084874159297</v>
      </c>
      <c r="AN5215">
        <v>0.99999999470590994</v>
      </c>
    </row>
    <row r="5216" spans="1:40" x14ac:dyDescent="0.25">
      <c r="A5216" t="str">
        <f>"20190304164952307"</f>
        <v>20190304164952307</v>
      </c>
      <c r="B5216" t="str">
        <f>"1551689392300767"</f>
        <v>1551689392300767</v>
      </c>
      <c r="C5216" t="s">
        <v>40</v>
      </c>
      <c r="D5216">
        <v>4.8088899999999999</v>
      </c>
      <c r="E5216">
        <v>0.51408569999999998</v>
      </c>
      <c r="F5216" t="s">
        <v>42</v>
      </c>
      <c r="G5216">
        <v>-361.00479999999999</v>
      </c>
      <c r="H5216" s="1">
        <v>-4.1429389999999998E-6</v>
      </c>
      <c r="I5216">
        <v>140.7937</v>
      </c>
      <c r="J5216">
        <v>-349.49689999999998</v>
      </c>
      <c r="K5216">
        <v>1.110336</v>
      </c>
      <c r="L5216">
        <v>142.04650000000001</v>
      </c>
      <c r="M5216">
        <v>-0.99991410000000003</v>
      </c>
      <c r="N5216">
        <v>-1.0295520000000001E-2</v>
      </c>
      <c r="O5216">
        <v>8.1003900000000007E-3</v>
      </c>
      <c r="P5216">
        <v>-0.92942179999999996</v>
      </c>
      <c r="Q5216">
        <v>0.35029640000000001</v>
      </c>
      <c r="R5216">
        <v>-0.1160496</v>
      </c>
      <c r="S5216">
        <v>-3.3019409999999998</v>
      </c>
      <c r="T5216">
        <v>-0.31231510000000001</v>
      </c>
      <c r="U5216">
        <v>-0.35183720000000002</v>
      </c>
      <c r="V5216">
        <v>-0.1235618</v>
      </c>
      <c r="W5216">
        <v>0.35984159999999998</v>
      </c>
      <c r="X5216">
        <v>0.92479540000000005</v>
      </c>
      <c r="Y5216">
        <v>-0.1134223</v>
      </c>
      <c r="Z5216">
        <v>-6.6034639999999999E-3</v>
      </c>
      <c r="AA5216">
        <v>0.99352490000000004</v>
      </c>
      <c r="AB5216">
        <v>35</v>
      </c>
      <c r="AC5216">
        <v>-11.507899999999999</v>
      </c>
      <c r="AD5216">
        <v>-1.1103401429390001</v>
      </c>
      <c r="AE5216">
        <v>-1.2527999999999999</v>
      </c>
      <c r="AF5216">
        <v>-1.3337117387550601</v>
      </c>
      <c r="AG5216">
        <v>-1.1103401429390001</v>
      </c>
      <c r="AH5216">
        <v>11.3925584532795</v>
      </c>
      <c r="AI5216">
        <v>95.529050681796903</v>
      </c>
      <c r="AJ5216">
        <v>96.677148152470494</v>
      </c>
      <c r="AK5216">
        <v>11.5239763253186</v>
      </c>
      <c r="AL5216">
        <v>68.909531843401695</v>
      </c>
      <c r="AM5216">
        <v>97.610210846031407</v>
      </c>
      <c r="AN5216">
        <v>1.0000000136854801</v>
      </c>
    </row>
    <row r="5217" spans="1:40" x14ac:dyDescent="0.25">
      <c r="A5217" t="str">
        <f>"20190304164952321"</f>
        <v>20190304164952321</v>
      </c>
      <c r="B5217" t="str">
        <f>"1551689392311503"</f>
        <v>1551689392311503</v>
      </c>
      <c r="C5217" t="s">
        <v>40</v>
      </c>
      <c r="D5217">
        <v>4.3385339999999903</v>
      </c>
      <c r="E5217">
        <v>0.51405970000000001</v>
      </c>
      <c r="F5217" t="s">
        <v>42</v>
      </c>
      <c r="G5217">
        <v>-361.21820000000002</v>
      </c>
      <c r="H5217" s="1">
        <v>-4.0618349999999997E-6</v>
      </c>
      <c r="I5217">
        <v>140.7895</v>
      </c>
      <c r="J5217">
        <v>-349.7115</v>
      </c>
      <c r="K5217">
        <v>1.1103400000000001</v>
      </c>
      <c r="L5217">
        <v>142.04820000000001</v>
      </c>
      <c r="M5217">
        <v>-0.99991450000000004</v>
      </c>
      <c r="N5217">
        <v>-1.0268599999999999E-2</v>
      </c>
      <c r="O5217">
        <v>8.1001719999999992E-3</v>
      </c>
      <c r="P5217">
        <v>-0.92928639999999996</v>
      </c>
      <c r="Q5217">
        <v>0.35047919999999999</v>
      </c>
      <c r="R5217">
        <v>-0.11658060000000001</v>
      </c>
      <c r="S5217">
        <v>-3.3015140000000001</v>
      </c>
      <c r="T5217">
        <v>-0.31274780000000002</v>
      </c>
      <c r="U5217">
        <v>-0.35404970000000002</v>
      </c>
      <c r="V5217">
        <v>-0.1240914</v>
      </c>
      <c r="W5217">
        <v>0.35999769999999998</v>
      </c>
      <c r="X5217">
        <v>0.92466369999999998</v>
      </c>
      <c r="Y5217">
        <v>-0.1140891</v>
      </c>
      <c r="Z5217">
        <v>-6.6460019999999998E-3</v>
      </c>
      <c r="AA5217">
        <v>0.99344829999999995</v>
      </c>
      <c r="AB5217">
        <v>35</v>
      </c>
      <c r="AC5217">
        <v>-11.5067</v>
      </c>
      <c r="AD5217">
        <v>-1.11034406183499</v>
      </c>
      <c r="AE5217">
        <v>-1.2586999999999999</v>
      </c>
      <c r="AF5217">
        <v>-1.33954435444453</v>
      </c>
      <c r="AG5217">
        <v>-1.11034406183499</v>
      </c>
      <c r="AH5217">
        <v>11.3913117157188</v>
      </c>
      <c r="AI5217">
        <v>95.529337662626702</v>
      </c>
      <c r="AJ5217">
        <v>96.706810683412201</v>
      </c>
      <c r="AK5217">
        <v>11.523420742897899</v>
      </c>
      <c r="AL5217">
        <v>68.8999449796883</v>
      </c>
      <c r="AM5217">
        <v>97.643520017062798</v>
      </c>
      <c r="AN5217">
        <v>0.99999998882846997</v>
      </c>
    </row>
    <row r="5218" spans="1:40" x14ac:dyDescent="0.25">
      <c r="A5218" t="str">
        <f>"20190304164952333"</f>
        <v>20190304164952333</v>
      </c>
      <c r="B5218" t="str">
        <f>"1551689392330696"</f>
        <v>1551689392330696</v>
      </c>
      <c r="C5218" t="s">
        <v>40</v>
      </c>
      <c r="D5218">
        <v>4.3233610000000002</v>
      </c>
      <c r="E5218">
        <v>0.51397029999999999</v>
      </c>
      <c r="F5218" t="s">
        <v>42</v>
      </c>
      <c r="G5218">
        <v>-361.48</v>
      </c>
      <c r="H5218" s="1">
        <v>-3.9469399999999997E-6</v>
      </c>
      <c r="I5218">
        <v>140.77969999999999</v>
      </c>
      <c r="J5218">
        <v>-349.8999</v>
      </c>
      <c r="K5218">
        <v>1.1103369999999999</v>
      </c>
      <c r="L5218">
        <v>142.0498</v>
      </c>
      <c r="M5218">
        <v>-0.99991479999999999</v>
      </c>
      <c r="N5218">
        <v>-1.024517E-2</v>
      </c>
      <c r="O5218">
        <v>8.0999350000000008E-3</v>
      </c>
      <c r="P5218">
        <v>-0.92912910000000004</v>
      </c>
      <c r="Q5218">
        <v>0.35067549999999997</v>
      </c>
      <c r="R5218">
        <v>-0.1172424</v>
      </c>
      <c r="S5218">
        <v>-3.3011170000000001</v>
      </c>
      <c r="T5218">
        <v>-0.31145909999999999</v>
      </c>
      <c r="U5218">
        <v>-0.35580440000000002</v>
      </c>
      <c r="V5218">
        <v>-0.1247513</v>
      </c>
      <c r="W5218">
        <v>0.36017080000000001</v>
      </c>
      <c r="X5218">
        <v>0.92450750000000004</v>
      </c>
      <c r="Y5218">
        <v>-0.11462559999999999</v>
      </c>
      <c r="Z5218">
        <v>-6.6481459999999997E-3</v>
      </c>
      <c r="AA5218">
        <v>0.99338649999999995</v>
      </c>
      <c r="AB5218">
        <v>35</v>
      </c>
      <c r="AC5218">
        <v>-11.5801</v>
      </c>
      <c r="AD5218">
        <v>-1.1103409469399901</v>
      </c>
      <c r="AE5218">
        <v>-1.27010000000001</v>
      </c>
      <c r="AF5218">
        <v>-1.3515830199169001</v>
      </c>
      <c r="AG5218">
        <v>-1.1103409469399901</v>
      </c>
      <c r="AH5218">
        <v>11.4652769751794</v>
      </c>
      <c r="AI5218">
        <v>95.493685437866006</v>
      </c>
      <c r="AJ5218">
        <v>96.723277645815401</v>
      </c>
      <c r="AK5218">
        <v>11.5979398944708</v>
      </c>
      <c r="AL5218">
        <v>68.889314301367094</v>
      </c>
      <c r="AM5218">
        <v>97.684965496016304</v>
      </c>
      <c r="AN5218">
        <v>1.0000000047902899</v>
      </c>
    </row>
    <row r="5219" spans="1:40" x14ac:dyDescent="0.25">
      <c r="A5219" t="str">
        <f>"20190304164952350"</f>
        <v>20190304164952350</v>
      </c>
      <c r="B5219" t="str">
        <f>"1551689392341432"</f>
        <v>1551689392341432</v>
      </c>
      <c r="C5219" t="s">
        <v>40</v>
      </c>
      <c r="D5219">
        <v>4.4089499999999999</v>
      </c>
      <c r="E5219">
        <v>0.51399249999999996</v>
      </c>
      <c r="F5219" t="s">
        <v>42</v>
      </c>
      <c r="G5219">
        <v>-361.75369999999998</v>
      </c>
      <c r="H5219" s="1">
        <v>-3.8243900000000003E-6</v>
      </c>
      <c r="I5219">
        <v>140.76050000000001</v>
      </c>
      <c r="J5219">
        <v>-350.14280000000002</v>
      </c>
      <c r="K5219">
        <v>1.110336</v>
      </c>
      <c r="L5219">
        <v>142.05170000000001</v>
      </c>
      <c r="M5219">
        <v>-0.99991509999999995</v>
      </c>
      <c r="N5219">
        <v>-1.0213959999999999E-2</v>
      </c>
      <c r="O5219">
        <v>8.0997969999999902E-3</v>
      </c>
      <c r="P5219">
        <v>-0.9289695</v>
      </c>
      <c r="Q5219">
        <v>0.35092630000000002</v>
      </c>
      <c r="R5219">
        <v>-0.117757399999999</v>
      </c>
      <c r="S5219">
        <v>-3.3002009999999999</v>
      </c>
      <c r="T5219">
        <v>-0.30912849999999997</v>
      </c>
      <c r="U5219">
        <v>-0.35891719999999999</v>
      </c>
      <c r="V5219">
        <v>-0.12526489999999901</v>
      </c>
      <c r="W5219">
        <v>0.36039100000000002</v>
      </c>
      <c r="X5219">
        <v>0.92435219999999996</v>
      </c>
      <c r="Y5219">
        <v>-0.1155846</v>
      </c>
      <c r="Z5219">
        <v>-6.6518269999999999E-3</v>
      </c>
      <c r="AA5219">
        <v>0.99327529999999997</v>
      </c>
      <c r="AB5219">
        <v>35</v>
      </c>
      <c r="AC5219">
        <v>-11.6108999999999</v>
      </c>
      <c r="AD5219">
        <v>-1.11033982439</v>
      </c>
      <c r="AE5219">
        <v>-1.2911999999999999</v>
      </c>
      <c r="AF5219">
        <v>-1.37280760974382</v>
      </c>
      <c r="AG5219">
        <v>-1.11033982439</v>
      </c>
      <c r="AH5219">
        <v>11.4962123532174</v>
      </c>
      <c r="AI5219">
        <v>95.478012821461505</v>
      </c>
      <c r="AJ5219">
        <v>96.8096670493739</v>
      </c>
      <c r="AK5219">
        <v>11.6310082851516</v>
      </c>
      <c r="AL5219">
        <v>68.875788922893506</v>
      </c>
      <c r="AM5219">
        <v>97.717504803921898</v>
      </c>
      <c r="AN5219">
        <v>0.999999978848924</v>
      </c>
    </row>
    <row r="5220" spans="1:40" x14ac:dyDescent="0.25">
      <c r="A5220" t="str">
        <f>"20190304164952367"</f>
        <v>20190304164952367</v>
      </c>
      <c r="B5220" t="str">
        <f>"1551689392360952"</f>
        <v>1551689392360952</v>
      </c>
      <c r="C5220" t="s">
        <v>40</v>
      </c>
      <c r="D5220">
        <v>4.4460300000000004</v>
      </c>
      <c r="E5220">
        <v>0.51410389999999995</v>
      </c>
      <c r="F5220" t="s">
        <v>42</v>
      </c>
      <c r="G5220">
        <v>-362.0086</v>
      </c>
      <c r="H5220" s="1">
        <v>-3.712431E-6</v>
      </c>
      <c r="I5220">
        <v>140.75069999999999</v>
      </c>
      <c r="J5220">
        <v>-350.41320000000002</v>
      </c>
      <c r="K5220">
        <v>1.11032999999999</v>
      </c>
      <c r="L5220">
        <v>142.0539</v>
      </c>
      <c r="M5220">
        <v>-0.99991560000000002</v>
      </c>
      <c r="N5220">
        <v>-1.017938E-2</v>
      </c>
      <c r="O5220">
        <v>8.0993179999999994E-3</v>
      </c>
      <c r="P5220">
        <v>-0.9288902</v>
      </c>
      <c r="Q5220">
        <v>0.35096189999999999</v>
      </c>
      <c r="R5220">
        <v>-0.1182754</v>
      </c>
      <c r="S5220">
        <v>-3.3001399999999999</v>
      </c>
      <c r="T5220">
        <v>-0.30881049999999999</v>
      </c>
      <c r="U5220">
        <v>-0.36183169999999998</v>
      </c>
      <c r="V5220">
        <v>-0.12578219999999901</v>
      </c>
      <c r="W5220">
        <v>0.3603941</v>
      </c>
      <c r="X5220">
        <v>0.92428080000000001</v>
      </c>
      <c r="Y5220">
        <v>-0.1164501</v>
      </c>
      <c r="Z5220">
        <v>-6.6883309999999996E-3</v>
      </c>
      <c r="AA5220">
        <v>0.993174</v>
      </c>
      <c r="AB5220">
        <v>35</v>
      </c>
      <c r="AC5220">
        <v>-11.5953999999999</v>
      </c>
      <c r="AD5220">
        <v>-1.11033371243099</v>
      </c>
      <c r="AE5220">
        <v>-1.3031999999999999</v>
      </c>
      <c r="AF5220">
        <v>-1.3845400413032101</v>
      </c>
      <c r="AG5220">
        <v>-1.11033371243099</v>
      </c>
      <c r="AH5220">
        <v>11.4805090637334</v>
      </c>
      <c r="AI5220">
        <v>95.484665649560597</v>
      </c>
      <c r="AJ5220">
        <v>96.876614460070002</v>
      </c>
      <c r="AK5220">
        <v>11.6168791179644</v>
      </c>
      <c r="AL5220">
        <v>68.875599713545895</v>
      </c>
      <c r="AM5220">
        <v>97.749580279263995</v>
      </c>
      <c r="AN5220">
        <v>1.00000003320014</v>
      </c>
    </row>
    <row r="5221" spans="1:40" x14ac:dyDescent="0.25">
      <c r="A5221" t="str">
        <f>"20190304164952383"</f>
        <v>20190304164952383</v>
      </c>
      <c r="B5221" t="str">
        <f>"1551689392370712"</f>
        <v>1551689392370712</v>
      </c>
      <c r="C5221" t="s">
        <v>40</v>
      </c>
      <c r="D5221">
        <v>4.2805059999999999</v>
      </c>
      <c r="E5221">
        <v>0.51408419999999999</v>
      </c>
      <c r="F5221" t="s">
        <v>42</v>
      </c>
      <c r="G5221">
        <v>-362.2595</v>
      </c>
      <c r="H5221" s="1">
        <v>-3.6046850000000002E-6</v>
      </c>
      <c r="I5221">
        <v>140.75020000000001</v>
      </c>
      <c r="J5221">
        <v>-350.66739999999999</v>
      </c>
      <c r="K5221">
        <v>1.1103229999999999</v>
      </c>
      <c r="L5221">
        <v>142.05600000000001</v>
      </c>
      <c r="M5221">
        <v>-0.99991580000000002</v>
      </c>
      <c r="N5221">
        <v>-1.014805E-2</v>
      </c>
      <c r="O5221">
        <v>8.0993000000000002E-3</v>
      </c>
      <c r="P5221">
        <v>-0.92884409999999895</v>
      </c>
      <c r="Q5221">
        <v>0.35090510000000003</v>
      </c>
      <c r="R5221">
        <v>-0.1188058</v>
      </c>
      <c r="S5221">
        <v>-3.3002929999999999</v>
      </c>
      <c r="T5221">
        <v>-0.30933509999999997</v>
      </c>
      <c r="U5221">
        <v>-0.363205</v>
      </c>
      <c r="V5221">
        <v>-0.12631199999999901</v>
      </c>
      <c r="W5221">
        <v>0.3603073</v>
      </c>
      <c r="X5221">
        <v>0.92424229999999996</v>
      </c>
      <c r="Y5221">
        <v>-0.1168498</v>
      </c>
      <c r="Z5221">
        <v>-6.7174670000000004E-3</v>
      </c>
      <c r="AA5221">
        <v>0.99312690000000003</v>
      </c>
      <c r="AB5221">
        <v>35</v>
      </c>
      <c r="AC5221">
        <v>-11.5921</v>
      </c>
      <c r="AD5221">
        <v>-1.110326604685</v>
      </c>
      <c r="AE5221">
        <v>-1.3058000000000001</v>
      </c>
      <c r="AF5221">
        <v>-1.3870836916684901</v>
      </c>
      <c r="AG5221">
        <v>-1.110326604685</v>
      </c>
      <c r="AH5221">
        <v>11.4771664817671</v>
      </c>
      <c r="AI5221">
        <v>95.486051752987706</v>
      </c>
      <c r="AJ5221">
        <v>96.891113823736703</v>
      </c>
      <c r="AK5221">
        <v>11.6138786280451</v>
      </c>
      <c r="AL5221">
        <v>68.880929339385403</v>
      </c>
      <c r="AM5221">
        <v>97.782142910667503</v>
      </c>
      <c r="AN5221">
        <v>0.99999995044328804</v>
      </c>
    </row>
    <row r="5222" spans="1:40" x14ac:dyDescent="0.25">
      <c r="A5222" t="str">
        <f>"20190304164952405"</f>
        <v>20190304164952405</v>
      </c>
      <c r="B5222" t="str">
        <f>"1551689392400969"</f>
        <v>1551689392400969</v>
      </c>
      <c r="C5222" t="s">
        <v>40</v>
      </c>
      <c r="D5222">
        <v>4.2528040000000003</v>
      </c>
      <c r="E5222">
        <v>0.51407709999999995</v>
      </c>
      <c r="F5222" t="s">
        <v>42</v>
      </c>
      <c r="G5222">
        <v>-362.51780000000002</v>
      </c>
      <c r="H5222" s="1">
        <v>-3.4921500000000001E-6</v>
      </c>
      <c r="I5222">
        <v>140.74379999999999</v>
      </c>
      <c r="J5222">
        <v>-351.00760000000002</v>
      </c>
      <c r="K5222">
        <v>1.1103160000000001</v>
      </c>
      <c r="L5222">
        <v>142.05869999999999</v>
      </c>
      <c r="M5222">
        <v>-0.99991629999999998</v>
      </c>
      <c r="N5222">
        <v>-1.010726E-2</v>
      </c>
      <c r="O5222">
        <v>8.0988520000000001E-3</v>
      </c>
      <c r="P5222">
        <v>-0.92865699999999995</v>
      </c>
      <c r="Q5222">
        <v>0.35107120000000003</v>
      </c>
      <c r="R5222">
        <v>-0.1197724</v>
      </c>
      <c r="S5222">
        <v>-3.2999269999999998</v>
      </c>
      <c r="T5222">
        <v>-0.30918770000000001</v>
      </c>
      <c r="U5222">
        <v>-0.36538700000000002</v>
      </c>
      <c r="V5222">
        <v>-0.12727659999999999</v>
      </c>
      <c r="W5222">
        <v>0.36043409999999998</v>
      </c>
      <c r="X5222">
        <v>0.92406060000000001</v>
      </c>
      <c r="Y5222">
        <v>-0.1175076</v>
      </c>
      <c r="Z5222">
        <v>-6.7468959999999996E-3</v>
      </c>
      <c r="AA5222">
        <v>0.99304910000000002</v>
      </c>
      <c r="AB5222">
        <v>35</v>
      </c>
      <c r="AC5222">
        <v>-11.5101999999999</v>
      </c>
      <c r="AD5222">
        <v>-1.1103194921499999</v>
      </c>
      <c r="AE5222">
        <v>-1.31489999999999</v>
      </c>
      <c r="AF5222">
        <v>-1.39526492407631</v>
      </c>
      <c r="AG5222">
        <v>-1.1103194921499999</v>
      </c>
      <c r="AH5222">
        <v>11.394509352661199</v>
      </c>
      <c r="AI5222">
        <v>95.524517936610806</v>
      </c>
      <c r="AJ5222">
        <v>96.981150944400198</v>
      </c>
      <c r="AK5222">
        <v>11.5331876326924</v>
      </c>
      <c r="AL5222">
        <v>68.873142749877104</v>
      </c>
      <c r="AM5222">
        <v>97.8423585008929</v>
      </c>
      <c r="AN5222">
        <v>1.0000000329113601</v>
      </c>
    </row>
    <row r="5223" spans="1:40" x14ac:dyDescent="0.25">
      <c r="A5223" t="str">
        <f>"20190304164952420"</f>
        <v>20190304164952420</v>
      </c>
      <c r="B5223" t="str">
        <f>"1551689392410728"</f>
        <v>1551689392410728</v>
      </c>
      <c r="C5223" t="s">
        <v>40</v>
      </c>
      <c r="D5223">
        <v>4.2581189999999998</v>
      </c>
      <c r="E5223">
        <v>0.51406019999999997</v>
      </c>
      <c r="F5223" t="s">
        <v>42</v>
      </c>
      <c r="G5223">
        <v>-362.9205</v>
      </c>
      <c r="H5223" s="1">
        <v>-3.3149670000000002E-6</v>
      </c>
      <c r="I5223">
        <v>140.72720000000001</v>
      </c>
      <c r="J5223">
        <v>-351.2441</v>
      </c>
      <c r="K5223">
        <v>1.110312</v>
      </c>
      <c r="L5223">
        <v>142.0607</v>
      </c>
      <c r="M5223">
        <v>-0.99991660000000004</v>
      </c>
      <c r="N5223">
        <v>-1.0078719999999999E-2</v>
      </c>
      <c r="O5223">
        <v>8.0986389999999995E-3</v>
      </c>
      <c r="P5223">
        <v>-0.92862120000000004</v>
      </c>
      <c r="Q5223">
        <v>0.3510469</v>
      </c>
      <c r="R5223">
        <v>-0.1201204</v>
      </c>
      <c r="S5223">
        <v>-3.299194</v>
      </c>
      <c r="T5223">
        <v>-0.30749670000000001</v>
      </c>
      <c r="U5223">
        <v>-0.36874390000000001</v>
      </c>
      <c r="V5223">
        <v>-0.1276243</v>
      </c>
      <c r="W5223">
        <v>0.36038290000000001</v>
      </c>
      <c r="X5223">
        <v>0.92403259999999998</v>
      </c>
      <c r="Y5223">
        <v>-0.11853080000000001</v>
      </c>
      <c r="Z5223">
        <v>-6.7651459999999997E-3</v>
      </c>
      <c r="AA5223">
        <v>0.99292729999999996</v>
      </c>
      <c r="AB5223">
        <v>35</v>
      </c>
      <c r="AC5223">
        <v>-11.676399999999999</v>
      </c>
      <c r="AD5223">
        <v>-1.110315314967</v>
      </c>
      <c r="AE5223">
        <v>-1.3334999999999799</v>
      </c>
      <c r="AF5223">
        <v>-1.41539051057383</v>
      </c>
      <c r="AG5223">
        <v>-1.110315314967</v>
      </c>
      <c r="AH5223">
        <v>11.5620167510678</v>
      </c>
      <c r="AI5223">
        <v>95.444966147024601</v>
      </c>
      <c r="AJ5223">
        <v>96.979267335751501</v>
      </c>
      <c r="AK5223">
        <v>11.701126516196799</v>
      </c>
      <c r="AL5223">
        <v>68.876287388938806</v>
      </c>
      <c r="AM5223">
        <v>97.863750251239793</v>
      </c>
      <c r="AN5223">
        <v>1.0000000212128199</v>
      </c>
    </row>
    <row r="5224" spans="1:40" x14ac:dyDescent="0.25">
      <c r="A5224" t="str">
        <f>"20190304164952433"</f>
        <v>20190304164952433</v>
      </c>
      <c r="B5224" t="str">
        <f>"1551689392421464"</f>
        <v>1551689392421464</v>
      </c>
      <c r="C5224" t="s">
        <v>40</v>
      </c>
      <c r="D5224">
        <v>4.224386</v>
      </c>
      <c r="E5224">
        <v>0.51405639999999997</v>
      </c>
      <c r="F5224" t="s">
        <v>42</v>
      </c>
      <c r="G5224">
        <v>-363.16399999999999</v>
      </c>
      <c r="H5224" s="1">
        <v>-3.2095630000000002E-6</v>
      </c>
      <c r="I5224">
        <v>140.7236</v>
      </c>
      <c r="J5224">
        <v>-351.4425</v>
      </c>
      <c r="K5224">
        <v>1.1103069999999999</v>
      </c>
      <c r="L5224">
        <v>142.06229999999999</v>
      </c>
      <c r="M5224">
        <v>-0.99991669999999999</v>
      </c>
      <c r="N5224">
        <v>-1.0054789999999999E-2</v>
      </c>
      <c r="O5224">
        <v>8.0984019999999993E-3</v>
      </c>
      <c r="P5224">
        <v>-0.9286124</v>
      </c>
      <c r="Q5224">
        <v>0.35095419999999999</v>
      </c>
      <c r="R5224">
        <v>-0.12045939999999999</v>
      </c>
      <c r="S5224">
        <v>-3.298889</v>
      </c>
      <c r="T5224">
        <v>-0.30728709999999998</v>
      </c>
      <c r="U5224">
        <v>-0.37002560000000001</v>
      </c>
      <c r="V5224">
        <v>-0.12796299999999999</v>
      </c>
      <c r="W5224">
        <v>0.36026819999999998</v>
      </c>
      <c r="X5224">
        <v>0.92403049999999998</v>
      </c>
      <c r="Y5224">
        <v>-0.1189207</v>
      </c>
      <c r="Z5224">
        <v>-6.7801390000000001E-3</v>
      </c>
      <c r="AA5224">
        <v>0.9928806</v>
      </c>
      <c r="AB5224">
        <v>35</v>
      </c>
      <c r="AC5224">
        <v>-11.721499999999899</v>
      </c>
      <c r="AD5224">
        <v>-1.110310209563</v>
      </c>
      <c r="AE5224">
        <v>-1.33869999999998</v>
      </c>
      <c r="AF5224">
        <v>-1.4210002937011901</v>
      </c>
      <c r="AG5224">
        <v>-1.110310209563</v>
      </c>
      <c r="AH5224">
        <v>11.607464622762899</v>
      </c>
      <c r="AI5224">
        <v>95.423746927599296</v>
      </c>
      <c r="AJ5224">
        <v>96.979491914024706</v>
      </c>
      <c r="AK5224">
        <v>11.746712968522401</v>
      </c>
      <c r="AL5224">
        <v>68.883332763286504</v>
      </c>
      <c r="AM5224">
        <v>97.884375300492394</v>
      </c>
      <c r="AN5224">
        <v>1.00000003511524</v>
      </c>
    </row>
    <row r="5225" spans="1:40" x14ac:dyDescent="0.25">
      <c r="A5225" t="str">
        <f>"20190304164952445"</f>
        <v>20190304164952445</v>
      </c>
      <c r="B5225" t="str">
        <f>"1551689392440984"</f>
        <v>1551689392440984</v>
      </c>
      <c r="C5225" t="s">
        <v>40</v>
      </c>
      <c r="D5225">
        <v>4.2429750000000004</v>
      </c>
      <c r="E5225">
        <v>0.51405779999999901</v>
      </c>
      <c r="F5225" t="s">
        <v>42</v>
      </c>
      <c r="G5225">
        <v>-363.34829999999999</v>
      </c>
      <c r="H5225" s="1">
        <v>-3.1297049999999998E-6</v>
      </c>
      <c r="I5225">
        <v>140.72059999999999</v>
      </c>
      <c r="J5225">
        <v>-351.6397</v>
      </c>
      <c r="K5225">
        <v>1.110301</v>
      </c>
      <c r="L5225">
        <v>142.06389999999999</v>
      </c>
      <c r="M5225">
        <v>-0.99991699999999994</v>
      </c>
      <c r="N5225">
        <v>-1.003017E-2</v>
      </c>
      <c r="O5225">
        <v>8.0982290000000002E-3</v>
      </c>
      <c r="P5225">
        <v>-0.92850180000000004</v>
      </c>
      <c r="Q5225">
        <v>0.35111130000000002</v>
      </c>
      <c r="R5225">
        <v>-0.1208521</v>
      </c>
      <c r="S5225">
        <v>-3.2986149999999999</v>
      </c>
      <c r="T5225">
        <v>-0.30762299999999998</v>
      </c>
      <c r="U5225">
        <v>-0.37168879999999999</v>
      </c>
      <c r="V5225">
        <v>-0.12835469999999999</v>
      </c>
      <c r="W5225">
        <v>0.36040159999999999</v>
      </c>
      <c r="X5225">
        <v>0.92392410000000003</v>
      </c>
      <c r="Y5225">
        <v>-0.1194205</v>
      </c>
      <c r="Z5225">
        <v>-6.8117309999999997E-3</v>
      </c>
      <c r="AA5225">
        <v>0.99282040000000005</v>
      </c>
      <c r="AB5225">
        <v>35</v>
      </c>
      <c r="AC5225">
        <v>-11.708599999999899</v>
      </c>
      <c r="AD5225">
        <v>-1.110304129705</v>
      </c>
      <c r="AE5225">
        <v>-1.3432999999999899</v>
      </c>
      <c r="AF5225">
        <v>-1.4254281840354599</v>
      </c>
      <c r="AG5225">
        <v>-1.110304129705</v>
      </c>
      <c r="AH5225">
        <v>11.594430269890699</v>
      </c>
      <c r="AI5225">
        <v>95.429439387969396</v>
      </c>
      <c r="AJ5225">
        <v>97.008817021737599</v>
      </c>
      <c r="AK5225">
        <v>11.7343697765002</v>
      </c>
      <c r="AL5225">
        <v>68.875138134571699</v>
      </c>
      <c r="AM5225">
        <v>97.909103993762002</v>
      </c>
      <c r="AN5225">
        <v>0.99999999242772997</v>
      </c>
    </row>
    <row r="5226" spans="1:40" x14ac:dyDescent="0.25">
      <c r="A5226" t="str">
        <f>"20190304164952460"</f>
        <v>20190304164952460</v>
      </c>
      <c r="B5226" t="str">
        <f>"1551689392450745"</f>
        <v>1551689392450745</v>
      </c>
      <c r="C5226" t="s">
        <v>40</v>
      </c>
      <c r="D5226">
        <v>4.2154089999999904</v>
      </c>
      <c r="E5226">
        <v>0.51403959999999904</v>
      </c>
      <c r="F5226" t="s">
        <v>42</v>
      </c>
      <c r="G5226">
        <v>-363.54109999999997</v>
      </c>
      <c r="H5226" s="1">
        <v>-3.046456E-6</v>
      </c>
      <c r="I5226">
        <v>140.71860000000001</v>
      </c>
      <c r="J5226">
        <v>-351.8664</v>
      </c>
      <c r="K5226">
        <v>1.1102909999999999</v>
      </c>
      <c r="L5226">
        <v>142.06569999999999</v>
      </c>
      <c r="M5226">
        <v>-0.99991719999999895</v>
      </c>
      <c r="N5226">
        <v>-9.999707E-3</v>
      </c>
      <c r="O5226">
        <v>8.0980240000000005E-3</v>
      </c>
      <c r="P5226">
        <v>-0.92844640000000001</v>
      </c>
      <c r="Q5226">
        <v>0.35102559999999999</v>
      </c>
      <c r="R5226">
        <v>-0.1215241</v>
      </c>
      <c r="S5226">
        <v>-3.298889</v>
      </c>
      <c r="T5226">
        <v>-0.30776120000000001</v>
      </c>
      <c r="U5226">
        <v>-0.37287900000000002</v>
      </c>
      <c r="V5226">
        <v>-0.129026</v>
      </c>
      <c r="W5226">
        <v>0.36028729999999998</v>
      </c>
      <c r="X5226">
        <v>0.92387520000000001</v>
      </c>
      <c r="Y5226">
        <v>-0.1197628</v>
      </c>
      <c r="Z5226">
        <v>-6.8299210000000001E-3</v>
      </c>
      <c r="AA5226">
        <v>0.99277899999999997</v>
      </c>
      <c r="AB5226">
        <v>35</v>
      </c>
      <c r="AC5226">
        <v>-11.6746999999999</v>
      </c>
      <c r="AD5226">
        <v>-1.1102940464559901</v>
      </c>
      <c r="AE5226">
        <v>-1.34709999999998</v>
      </c>
      <c r="AF5226">
        <v>-1.4288491268282399</v>
      </c>
      <c r="AG5226">
        <v>-1.1102940464559901</v>
      </c>
      <c r="AH5226">
        <v>11.5602250774736</v>
      </c>
      <c r="AI5226">
        <v>95.444925257795006</v>
      </c>
      <c r="AJ5226">
        <v>97.046048667822006</v>
      </c>
      <c r="AK5226">
        <v>11.700989981137599</v>
      </c>
      <c r="AL5226">
        <v>68.882159213770805</v>
      </c>
      <c r="AM5226">
        <v>97.950356789899303</v>
      </c>
      <c r="AN5226">
        <v>1.00000001619616</v>
      </c>
    </row>
    <row r="5227" spans="1:40" x14ac:dyDescent="0.25">
      <c r="A5227" t="str">
        <f>"20190304164952476"</f>
        <v>20190304164952476</v>
      </c>
      <c r="B5227" t="str">
        <f>"1551689392471241"</f>
        <v>1551689392471241</v>
      </c>
      <c r="C5227" t="s">
        <v>40</v>
      </c>
      <c r="D5227">
        <v>4.2214530000000003</v>
      </c>
      <c r="E5227">
        <v>0.51407259999999999</v>
      </c>
      <c r="F5227" t="s">
        <v>42</v>
      </c>
      <c r="G5227">
        <v>-363.77229999999997</v>
      </c>
      <c r="H5227" s="1">
        <v>-2.9446900000000001E-6</v>
      </c>
      <c r="I5227">
        <v>140.7089</v>
      </c>
      <c r="J5227">
        <v>-352.10449999999997</v>
      </c>
      <c r="K5227">
        <v>1.1102829999999999</v>
      </c>
      <c r="L5227">
        <v>142.0676</v>
      </c>
      <c r="M5227">
        <v>-0.99991759999999996</v>
      </c>
      <c r="N5227">
        <v>-9.9637219999999995E-3</v>
      </c>
      <c r="O5227">
        <v>8.097847E-3</v>
      </c>
      <c r="P5227">
        <v>-0.92838920000000003</v>
      </c>
      <c r="Q5227">
        <v>0.35105910000000001</v>
      </c>
      <c r="R5227">
        <v>-0.12186569999999999</v>
      </c>
      <c r="S5227">
        <v>-3.29834</v>
      </c>
      <c r="T5227">
        <v>-0.30758940000000001</v>
      </c>
      <c r="U5227">
        <v>-0.37585449999999998</v>
      </c>
      <c r="V5227">
        <v>-0.12936700000000001</v>
      </c>
      <c r="W5227">
        <v>0.36028640000000001</v>
      </c>
      <c r="X5227">
        <v>0.92382779999999998</v>
      </c>
      <c r="Y5227">
        <v>-0.1206617</v>
      </c>
      <c r="Z5227">
        <v>-6.8714700000000002E-3</v>
      </c>
      <c r="AA5227">
        <v>0.99266989999999999</v>
      </c>
      <c r="AB5227">
        <v>35</v>
      </c>
      <c r="AC5227">
        <v>-11.6678</v>
      </c>
      <c r="AD5227">
        <v>-1.11028594469</v>
      </c>
      <c r="AE5227">
        <v>-1.35869999999999</v>
      </c>
      <c r="AF5227">
        <v>-1.4402768724278401</v>
      </c>
      <c r="AG5227">
        <v>-1.11028594469</v>
      </c>
      <c r="AH5227">
        <v>11.553198931861001</v>
      </c>
      <c r="AI5227">
        <v>95.447472630495497</v>
      </c>
      <c r="AJ5227">
        <v>97.106103727365195</v>
      </c>
      <c r="AK5227">
        <v>11.695449452987299</v>
      </c>
      <c r="AL5227">
        <v>68.882213190927502</v>
      </c>
      <c r="AM5227">
        <v>97.971502615333307</v>
      </c>
      <c r="AN5227">
        <v>0.99999995738339897</v>
      </c>
    </row>
    <row r="5228" spans="1:40" x14ac:dyDescent="0.25">
      <c r="A5228" t="str">
        <f>"20190304164952487"</f>
        <v>20190304164952487</v>
      </c>
      <c r="B5228" t="str">
        <f>"1551689392481001"</f>
        <v>1551689392481001</v>
      </c>
      <c r="C5228" t="s">
        <v>40</v>
      </c>
      <c r="D5228">
        <v>4.2252409999999996</v>
      </c>
      <c r="E5228">
        <v>0.51412290000000005</v>
      </c>
      <c r="F5228" t="s">
        <v>42</v>
      </c>
      <c r="G5228">
        <v>-364.04050000000001</v>
      </c>
      <c r="H5228" s="1">
        <v>-2.8283629999999999E-6</v>
      </c>
      <c r="I5228">
        <v>140.70410000000001</v>
      </c>
      <c r="J5228">
        <v>-352.30849999999998</v>
      </c>
      <c r="K5228">
        <v>1.1102719999999999</v>
      </c>
      <c r="L5228">
        <v>142.0693</v>
      </c>
      <c r="M5228">
        <v>-0.99991790000000003</v>
      </c>
      <c r="N5228">
        <v>-9.9304019999999996E-3</v>
      </c>
      <c r="O5228">
        <v>8.0975370000000001E-3</v>
      </c>
      <c r="P5228">
        <v>-0.92838730000000003</v>
      </c>
      <c r="Q5228">
        <v>0.35095559999999998</v>
      </c>
      <c r="R5228">
        <v>-0.1221776</v>
      </c>
      <c r="S5228">
        <v>-3.297974</v>
      </c>
      <c r="T5228">
        <v>-0.30677840000000001</v>
      </c>
      <c r="U5228">
        <v>-0.37672420000000001</v>
      </c>
      <c r="V5228">
        <v>-0.12967819999999999</v>
      </c>
      <c r="W5228">
        <v>0.36015249999999999</v>
      </c>
      <c r="X5228">
        <v>0.9238364</v>
      </c>
      <c r="Y5228">
        <v>-0.120934</v>
      </c>
      <c r="Z5228">
        <v>-6.8675890000000003E-3</v>
      </c>
      <c r="AA5228">
        <v>0.99263679999999999</v>
      </c>
      <c r="AB5228">
        <v>35</v>
      </c>
      <c r="AC5228">
        <v>-11.731999999999999</v>
      </c>
      <c r="AD5228">
        <v>-1.110274828363</v>
      </c>
      <c r="AE5228">
        <v>-1.36519999999998</v>
      </c>
      <c r="AF5228">
        <v>-1.4473706730196001</v>
      </c>
      <c r="AG5228">
        <v>-1.110274828363</v>
      </c>
      <c r="AH5228">
        <v>11.6178995589339</v>
      </c>
      <c r="AI5228">
        <v>95.417317758822705</v>
      </c>
      <c r="AJ5228">
        <v>97.101383015248601</v>
      </c>
      <c r="AK5228">
        <v>11.7602373369371</v>
      </c>
      <c r="AL5228">
        <v>68.890437613632002</v>
      </c>
      <c r="AM5228">
        <v>97.990357738511193</v>
      </c>
      <c r="AN5228">
        <v>0.99999997638822402</v>
      </c>
    </row>
    <row r="5229" spans="1:40" x14ac:dyDescent="0.25">
      <c r="A5229" t="str">
        <f>"20190304164952501"</f>
        <v>20190304164952501</v>
      </c>
      <c r="B5229" t="str">
        <f>"1551689392490760"</f>
        <v>1551689392490760</v>
      </c>
      <c r="C5229" t="s">
        <v>40</v>
      </c>
      <c r="D5229">
        <v>4.2290020000000004</v>
      </c>
      <c r="E5229">
        <v>0.51415319999999998</v>
      </c>
      <c r="F5229" t="s">
        <v>42</v>
      </c>
      <c r="G5229">
        <v>-364.24239999999998</v>
      </c>
      <c r="H5229" s="1">
        <v>-2.7415060000000001E-6</v>
      </c>
      <c r="I5229">
        <v>140.70320000000001</v>
      </c>
      <c r="J5229">
        <v>-352.50560000000002</v>
      </c>
      <c r="K5229">
        <v>1.1102650000000001</v>
      </c>
      <c r="L5229">
        <v>142.07089999999999</v>
      </c>
      <c r="M5229">
        <v>-0.99991819999999998</v>
      </c>
      <c r="N5229">
        <v>-9.8975279999999992E-3</v>
      </c>
      <c r="O5229">
        <v>8.0973429999999999E-3</v>
      </c>
      <c r="P5229">
        <v>-0.92826739999999996</v>
      </c>
      <c r="Q5229">
        <v>0.35112840000000001</v>
      </c>
      <c r="R5229">
        <v>-0.1225917</v>
      </c>
      <c r="S5229">
        <v>-3.2977599999999998</v>
      </c>
      <c r="T5229">
        <v>-0.3068089</v>
      </c>
      <c r="U5229">
        <v>-0.37745669999999998</v>
      </c>
      <c r="V5229">
        <v>-0.13009129999999999</v>
      </c>
      <c r="W5229">
        <v>0.36029359999999999</v>
      </c>
      <c r="X5229">
        <v>0.92372330000000002</v>
      </c>
      <c r="Y5229">
        <v>-0.1211576</v>
      </c>
      <c r="Z5229">
        <v>-6.8782619999999996E-3</v>
      </c>
      <c r="AA5229">
        <v>0.99260939999999998</v>
      </c>
      <c r="AB5229">
        <v>35</v>
      </c>
      <c r="AC5229">
        <v>-11.736799999999899</v>
      </c>
      <c r="AD5229">
        <v>-1.110267741506</v>
      </c>
      <c r="AE5229">
        <v>-1.3676999999999799</v>
      </c>
      <c r="AF5229">
        <v>-1.4498959705265599</v>
      </c>
      <c r="AG5229">
        <v>-1.110267741506</v>
      </c>
      <c r="AH5229">
        <v>11.6227259938887</v>
      </c>
      <c r="AI5229">
        <v>95.414937804349606</v>
      </c>
      <c r="AJ5229">
        <v>97.110722557206898</v>
      </c>
      <c r="AK5229">
        <v>11.7653156486426</v>
      </c>
      <c r="AL5229">
        <v>68.881771456265398</v>
      </c>
      <c r="AM5229">
        <v>98.016450003164394</v>
      </c>
      <c r="AN5229">
        <v>0.99999997974976895</v>
      </c>
    </row>
    <row r="5230" spans="1:40" x14ac:dyDescent="0.25">
      <c r="A5230" t="str">
        <f>"20190304164952517"</f>
        <v>20190304164952517</v>
      </c>
      <c r="B5230" t="str">
        <f>"1551689392511260"</f>
        <v>1551689392511260</v>
      </c>
      <c r="C5230" t="s">
        <v>40</v>
      </c>
      <c r="D5230">
        <v>4.2160599999999997</v>
      </c>
      <c r="E5230">
        <v>0.51422139999999905</v>
      </c>
      <c r="F5230" t="s">
        <v>42</v>
      </c>
      <c r="G5230">
        <v>-364.4873</v>
      </c>
      <c r="H5230" s="1">
        <v>-2.6343049999999998E-6</v>
      </c>
      <c r="I5230">
        <v>140.6951</v>
      </c>
      <c r="J5230">
        <v>-352.75580000000002</v>
      </c>
      <c r="K5230">
        <v>1.1102609999999999</v>
      </c>
      <c r="L5230">
        <v>142.0729</v>
      </c>
      <c r="M5230">
        <v>-0.9999188</v>
      </c>
      <c r="N5230">
        <v>-9.8548520000000008E-3</v>
      </c>
      <c r="O5230">
        <v>8.0972570000000001E-3</v>
      </c>
      <c r="P5230">
        <v>-0.92816140000000003</v>
      </c>
      <c r="Q5230">
        <v>0.35118199999999999</v>
      </c>
      <c r="R5230">
        <v>-0.1232393</v>
      </c>
      <c r="S5230">
        <v>-3.2973940000000002</v>
      </c>
      <c r="T5230">
        <v>-0.30555199999999999</v>
      </c>
      <c r="U5230">
        <v>-0.37860110000000002</v>
      </c>
      <c r="V5230">
        <v>-0.13073799999999999</v>
      </c>
      <c r="W5230">
        <v>0.36030649999999997</v>
      </c>
      <c r="X5230">
        <v>0.92362699999999998</v>
      </c>
      <c r="Y5230">
        <v>-0.1215132</v>
      </c>
      <c r="Z5230">
        <v>-6.868791E-3</v>
      </c>
      <c r="AA5230">
        <v>0.99256599999999995</v>
      </c>
      <c r="AB5230">
        <v>35</v>
      </c>
      <c r="AC5230">
        <v>-11.731499999999899</v>
      </c>
      <c r="AD5230">
        <v>-1.1102636343050001</v>
      </c>
      <c r="AE5230">
        <v>-1.3777999999999999</v>
      </c>
      <c r="AF5230">
        <v>-1.45985489900106</v>
      </c>
      <c r="AG5230">
        <v>-1.1102636343050001</v>
      </c>
      <c r="AH5230">
        <v>11.617321935213001</v>
      </c>
      <c r="AI5230">
        <v>95.416814214648696</v>
      </c>
      <c r="AJ5230">
        <v>97.162354667647406</v>
      </c>
      <c r="AK5230">
        <v>11.7612087223286</v>
      </c>
      <c r="AL5230">
        <v>68.880979946133706</v>
      </c>
      <c r="AM5230">
        <v>98.056607813408206</v>
      </c>
      <c r="AN5230">
        <v>1.00000001685762</v>
      </c>
    </row>
    <row r="5231" spans="1:40" x14ac:dyDescent="0.25">
      <c r="A5231" t="str">
        <f>"20190304164952531"</f>
        <v>20190304164952531</v>
      </c>
      <c r="B5231" t="str">
        <f>"1551689392521016"</f>
        <v>1551689392521016</v>
      </c>
      <c r="C5231" t="s">
        <v>40</v>
      </c>
      <c r="D5231">
        <v>4.2227240000000004</v>
      </c>
      <c r="E5231">
        <v>0.51425480000000001</v>
      </c>
      <c r="F5231" t="s">
        <v>42</v>
      </c>
      <c r="G5231">
        <v>-364.75630000000001</v>
      </c>
      <c r="H5231" s="1">
        <v>-2.5169450000000002E-6</v>
      </c>
      <c r="I5231">
        <v>140.68770000000001</v>
      </c>
      <c r="J5231">
        <v>-352.97820000000002</v>
      </c>
      <c r="K5231">
        <v>1.1102540000000001</v>
      </c>
      <c r="L5231">
        <v>142.07470000000001</v>
      </c>
      <c r="M5231">
        <v>-0.99991909999999895</v>
      </c>
      <c r="N5231">
        <v>-9.8171720000000007E-3</v>
      </c>
      <c r="O5231">
        <v>8.0969049999999997E-3</v>
      </c>
      <c r="P5231">
        <v>-0.92806580000000005</v>
      </c>
      <c r="Q5231">
        <v>0.3513463</v>
      </c>
      <c r="R5231">
        <v>-0.1234896</v>
      </c>
      <c r="S5231">
        <v>-3.2971189999999999</v>
      </c>
      <c r="T5231">
        <v>-0.30504490000000001</v>
      </c>
      <c r="U5231">
        <v>-0.38055420000000001</v>
      </c>
      <c r="V5231">
        <v>-0.1309874</v>
      </c>
      <c r="W5231">
        <v>0.36043500000000001</v>
      </c>
      <c r="X5231">
        <v>0.92354150000000002</v>
      </c>
      <c r="Y5231">
        <v>-0.12210169999999999</v>
      </c>
      <c r="Z5231">
        <v>-6.8865879999999999E-3</v>
      </c>
      <c r="AA5231">
        <v>0.99249370000000003</v>
      </c>
      <c r="AB5231">
        <v>35</v>
      </c>
      <c r="AC5231">
        <v>-11.778099999999901</v>
      </c>
      <c r="AD5231">
        <v>-1.110256516945</v>
      </c>
      <c r="AE5231">
        <v>-1.387</v>
      </c>
      <c r="AF5231">
        <v>-1.4694466718986099</v>
      </c>
      <c r="AG5231">
        <v>-1.110256516945</v>
      </c>
      <c r="AH5231">
        <v>11.664254441507</v>
      </c>
      <c r="AI5231">
        <v>95.394903122238105</v>
      </c>
      <c r="AJ5231">
        <v>97.180217822291993</v>
      </c>
      <c r="AK5231">
        <v>11.808758390753299</v>
      </c>
      <c r="AL5231">
        <v>68.873086633024897</v>
      </c>
      <c r="AM5231">
        <v>98.072511921719695</v>
      </c>
      <c r="AN5231">
        <v>0.99999999520300498</v>
      </c>
    </row>
    <row r="5232" spans="1:40" x14ac:dyDescent="0.25">
      <c r="A5232" t="str">
        <f>"20190304164952543"</f>
        <v>20190304164952543</v>
      </c>
      <c r="B5232" t="str">
        <f>"1551689392541045"</f>
        <v>1551689392541045</v>
      </c>
      <c r="C5232" t="s">
        <v>40</v>
      </c>
      <c r="D5232">
        <v>4.2266300000000001</v>
      </c>
      <c r="E5232">
        <v>0.51431939999999998</v>
      </c>
      <c r="F5232" t="s">
        <v>42</v>
      </c>
      <c r="G5232">
        <v>-365.01510000000002</v>
      </c>
      <c r="H5232" s="1">
        <v>-2.4046210000000002E-6</v>
      </c>
      <c r="I5232">
        <v>140.68289999999999</v>
      </c>
      <c r="J5232">
        <v>-353.17360000000002</v>
      </c>
      <c r="K5232">
        <v>1.110249</v>
      </c>
      <c r="L5232">
        <v>142.0763</v>
      </c>
      <c r="M5232">
        <v>-0.99991949999999996</v>
      </c>
      <c r="N5232">
        <v>-9.7853179999999994E-3</v>
      </c>
      <c r="O5232">
        <v>8.0965849999999999E-3</v>
      </c>
      <c r="P5232">
        <v>-0.92795280000000002</v>
      </c>
      <c r="Q5232">
        <v>0.35153869999999998</v>
      </c>
      <c r="R5232">
        <v>-0.1237921</v>
      </c>
      <c r="S5232">
        <v>-3.2969360000000001</v>
      </c>
      <c r="T5232">
        <v>-0.30410359999999997</v>
      </c>
      <c r="U5232">
        <v>-0.38119510000000001</v>
      </c>
      <c r="V5232">
        <v>-0.13128809999999999</v>
      </c>
      <c r="W5232">
        <v>0.36059740000000001</v>
      </c>
      <c r="X5232">
        <v>0.92343540000000002</v>
      </c>
      <c r="Y5232">
        <v>-0.1223008</v>
      </c>
      <c r="Z5232">
        <v>-6.8756959999999997E-3</v>
      </c>
      <c r="AA5232">
        <v>0.9924693</v>
      </c>
      <c r="AB5232">
        <v>35</v>
      </c>
      <c r="AC5232">
        <v>-11.8414999999999</v>
      </c>
      <c r="AD5232">
        <v>-1.1102514046209999</v>
      </c>
      <c r="AE5232">
        <v>-1.39340000000001</v>
      </c>
      <c r="AF5232">
        <v>-1.4764328186673099</v>
      </c>
      <c r="AG5232">
        <v>-1.1102514046209999</v>
      </c>
      <c r="AH5232">
        <v>11.7281376655078</v>
      </c>
      <c r="AI5232">
        <v>95.365724340343306</v>
      </c>
      <c r="AJ5232">
        <v>97.175111691000097</v>
      </c>
      <c r="AK5232">
        <v>11.872730315753101</v>
      </c>
      <c r="AL5232">
        <v>68.863110938109003</v>
      </c>
      <c r="AM5232">
        <v>98.091715708366706</v>
      </c>
      <c r="AN5232">
        <v>0.999999994030765</v>
      </c>
    </row>
    <row r="5233" spans="1:40" x14ac:dyDescent="0.25">
      <c r="A5233" t="str">
        <f>"20190304164952557"</f>
        <v>20190304164952557</v>
      </c>
      <c r="B5233" t="str">
        <f>"1551689392550805"</f>
        <v>1551689392550805</v>
      </c>
      <c r="C5233" t="s">
        <v>40</v>
      </c>
      <c r="D5233">
        <v>4.2459680000000004</v>
      </c>
      <c r="E5233">
        <v>0.51434499999999905</v>
      </c>
      <c r="F5233" t="s">
        <v>42</v>
      </c>
      <c r="G5233">
        <v>-365.24740000000003</v>
      </c>
      <c r="H5233" s="1">
        <v>-2.3036899999999998E-6</v>
      </c>
      <c r="I5233">
        <v>140.6781</v>
      </c>
      <c r="J5233">
        <v>-353.38600000000002</v>
      </c>
      <c r="K5233">
        <v>1.11025</v>
      </c>
      <c r="L5233">
        <v>142.078</v>
      </c>
      <c r="M5233">
        <v>-0.99991980000000003</v>
      </c>
      <c r="N5233">
        <v>-9.7513530000000008E-3</v>
      </c>
      <c r="O5233">
        <v>8.0963939999999998E-3</v>
      </c>
      <c r="P5233">
        <v>-0.92788099999999996</v>
      </c>
      <c r="Q5233">
        <v>0.35164580000000001</v>
      </c>
      <c r="R5233">
        <v>-0.12402489999999999</v>
      </c>
      <c r="S5233">
        <v>-3.2968440000000001</v>
      </c>
      <c r="T5233">
        <v>-0.30316290000000001</v>
      </c>
      <c r="U5233">
        <v>-0.38175959999999998</v>
      </c>
      <c r="V5233">
        <v>-0.13152049999999901</v>
      </c>
      <c r="W5233">
        <v>0.3606721</v>
      </c>
      <c r="X5233">
        <v>0.92337320000000001</v>
      </c>
      <c r="Y5233">
        <v>-0.12247429999999999</v>
      </c>
      <c r="Z5233">
        <v>-6.8631940000000004E-3</v>
      </c>
      <c r="AA5233">
        <v>0.992448</v>
      </c>
      <c r="AB5233">
        <v>35</v>
      </c>
      <c r="AC5233">
        <v>-11.8614</v>
      </c>
      <c r="AD5233">
        <v>-1.1102523036900001</v>
      </c>
      <c r="AE5233">
        <v>-1.3998999999999999</v>
      </c>
      <c r="AF5233">
        <v>-1.48307796103305</v>
      </c>
      <c r="AG5233">
        <v>-1.1102523036900001</v>
      </c>
      <c r="AH5233">
        <v>11.748160681455399</v>
      </c>
      <c r="AI5233">
        <v>95.356404801990095</v>
      </c>
      <c r="AJ5233">
        <v>97.194912126004198</v>
      </c>
      <c r="AK5233">
        <v>11.893336782150101</v>
      </c>
      <c r="AL5233">
        <v>68.858523081813601</v>
      </c>
      <c r="AM5233">
        <v>98.106387853966595</v>
      </c>
      <c r="AN5233">
        <v>1.00000003605844</v>
      </c>
    </row>
    <row r="5234" spans="1:40" x14ac:dyDescent="0.25">
      <c r="A5234" t="str">
        <f>"20190304164952573"</f>
        <v>20190304164952573</v>
      </c>
      <c r="B5234" t="str">
        <f>"1551689392561540"</f>
        <v>1551689392561540</v>
      </c>
      <c r="C5234" t="s">
        <v>40</v>
      </c>
      <c r="D5234">
        <v>4.2436819999999997</v>
      </c>
      <c r="E5234">
        <v>0.5143605</v>
      </c>
      <c r="F5234" t="s">
        <v>42</v>
      </c>
      <c r="G5234">
        <v>-365.47899999999998</v>
      </c>
      <c r="H5234" s="1">
        <v>-2.2036139999999999E-6</v>
      </c>
      <c r="I5234">
        <v>140.6754</v>
      </c>
      <c r="J5234">
        <v>-353.6284</v>
      </c>
      <c r="K5234">
        <v>1.1102449999999999</v>
      </c>
      <c r="L5234">
        <v>142.08000000000001</v>
      </c>
      <c r="M5234">
        <v>-0.99992000000000003</v>
      </c>
      <c r="N5234">
        <v>-9.7127580000000002E-3</v>
      </c>
      <c r="O5234">
        <v>8.0961049999999993E-3</v>
      </c>
      <c r="P5234">
        <v>-0.9276527</v>
      </c>
      <c r="Q5234">
        <v>0.35200189999999998</v>
      </c>
      <c r="R5234">
        <v>-0.12471939999999999</v>
      </c>
      <c r="S5234">
        <v>-3.2968139999999999</v>
      </c>
      <c r="T5234">
        <v>-0.3026798</v>
      </c>
      <c r="U5234">
        <v>-0.38235469999999999</v>
      </c>
      <c r="V5234">
        <v>-0.13221279999999999</v>
      </c>
      <c r="W5234">
        <v>0.36098999999999998</v>
      </c>
      <c r="X5234">
        <v>0.92315000000000003</v>
      </c>
      <c r="Y5234">
        <v>-0.122653</v>
      </c>
      <c r="Z5234">
        <v>-6.8600659999999997E-3</v>
      </c>
      <c r="AA5234">
        <v>0.99242589999999997</v>
      </c>
      <c r="AB5234">
        <v>35</v>
      </c>
      <c r="AC5234">
        <v>-11.8506</v>
      </c>
      <c r="AD5234">
        <v>-1.1102472036139901</v>
      </c>
      <c r="AE5234">
        <v>-1.4046000000000101</v>
      </c>
      <c r="AF5234">
        <v>-1.4876258153477699</v>
      </c>
      <c r="AG5234">
        <v>-1.1102472036139901</v>
      </c>
      <c r="AH5234">
        <v>11.737245671714099</v>
      </c>
      <c r="AI5234">
        <v>95.360997457688299</v>
      </c>
      <c r="AJ5234">
        <v>97.223383369330094</v>
      </c>
      <c r="AK5234">
        <v>11.883123132316401</v>
      </c>
      <c r="AL5234">
        <v>68.838991430210697</v>
      </c>
      <c r="AM5234">
        <v>98.150430509734505</v>
      </c>
      <c r="AN5234">
        <v>0.999999963541919</v>
      </c>
    </row>
    <row r="5235" spans="1:40" x14ac:dyDescent="0.25">
      <c r="A5235" t="str">
        <f>"20190304164952589"</f>
        <v>20190304164952589</v>
      </c>
      <c r="B5235" t="str">
        <f>"1551689392581060"</f>
        <v>1551689392581060</v>
      </c>
      <c r="C5235" t="s">
        <v>40</v>
      </c>
      <c r="D5235">
        <v>4.2403690000000003</v>
      </c>
      <c r="E5235">
        <v>0.51441629999999905</v>
      </c>
      <c r="F5235" t="s">
        <v>42</v>
      </c>
      <c r="G5235">
        <v>-365.77120000000002</v>
      </c>
      <c r="H5235" s="1">
        <v>-2.0749689999999998E-6</v>
      </c>
      <c r="I5235">
        <v>140.66290000000001</v>
      </c>
      <c r="J5235">
        <v>-353.89729999999997</v>
      </c>
      <c r="K5235">
        <v>1.1102379999999901</v>
      </c>
      <c r="L5235">
        <v>142.0822</v>
      </c>
      <c r="M5235">
        <v>-0.99992060000000005</v>
      </c>
      <c r="N5235">
        <v>-9.6709640000000006E-3</v>
      </c>
      <c r="O5235">
        <v>8.0955929999999999E-3</v>
      </c>
      <c r="P5235">
        <v>-0.92760149999999997</v>
      </c>
      <c r="Q5235">
        <v>0.35203899999999999</v>
      </c>
      <c r="R5235">
        <v>-0.12499680000000001</v>
      </c>
      <c r="S5235">
        <v>-3.2966310000000001</v>
      </c>
      <c r="T5235">
        <v>-0.30142140000000001</v>
      </c>
      <c r="U5235">
        <v>-0.38468930000000001</v>
      </c>
      <c r="V5235">
        <v>-0.13248929999999901</v>
      </c>
      <c r="W5235">
        <v>0.36098829999999998</v>
      </c>
      <c r="X5235">
        <v>0.92311109999999996</v>
      </c>
      <c r="Y5235">
        <v>-0.1233539</v>
      </c>
      <c r="Z5235">
        <v>-6.8669229999999996E-3</v>
      </c>
      <c r="AA5235">
        <v>0.99233899999999997</v>
      </c>
      <c r="AB5235">
        <v>35</v>
      </c>
      <c r="AC5235">
        <v>-11.873900000000001</v>
      </c>
      <c r="AD5235">
        <v>-1.11024007496899</v>
      </c>
      <c r="AE5235">
        <v>-1.41929999999999</v>
      </c>
      <c r="AF5235">
        <v>-1.50243388732755</v>
      </c>
      <c r="AG5235">
        <v>-1.11024007496899</v>
      </c>
      <c r="AH5235">
        <v>11.7606484501718</v>
      </c>
      <c r="AI5235">
        <v>95.349686661032393</v>
      </c>
      <c r="AJ5235">
        <v>97.280155779366794</v>
      </c>
      <c r="AK5235">
        <v>11.908097773296401</v>
      </c>
      <c r="AL5235">
        <v>68.839097463911799</v>
      </c>
      <c r="AM5235">
        <v>98.167585513020597</v>
      </c>
      <c r="AN5235">
        <v>1.00000003514729</v>
      </c>
    </row>
    <row r="5236" spans="1:40" x14ac:dyDescent="0.25">
      <c r="A5236" t="str">
        <f>"20190304164952606"</f>
        <v>20190304164952606</v>
      </c>
      <c r="B5236" t="str">
        <f>"1551689392600585"</f>
        <v>1551689392600585</v>
      </c>
      <c r="C5236" t="s">
        <v>40</v>
      </c>
      <c r="D5236">
        <v>4.2640479999999998</v>
      </c>
      <c r="E5236">
        <v>0.51447089999999995</v>
      </c>
      <c r="F5236" t="s">
        <v>42</v>
      </c>
      <c r="G5236">
        <v>-366.03840000000002</v>
      </c>
      <c r="H5236" s="1">
        <v>-1.9602930000000001E-6</v>
      </c>
      <c r="I5236">
        <v>140.6627</v>
      </c>
      <c r="J5236">
        <v>-354.14789999999999</v>
      </c>
      <c r="K5236">
        <v>1.110233</v>
      </c>
      <c r="L5236">
        <v>142.08420000000001</v>
      </c>
      <c r="M5236">
        <v>-0.99992080000000005</v>
      </c>
      <c r="N5236">
        <v>-9.633773E-3</v>
      </c>
      <c r="O5236">
        <v>8.0954759999999903E-3</v>
      </c>
      <c r="P5236">
        <v>-0.92740040000000001</v>
      </c>
      <c r="Q5236">
        <v>0.35234470000000001</v>
      </c>
      <c r="R5236">
        <v>-0.1256255</v>
      </c>
      <c r="S5236">
        <v>-3.2966310000000001</v>
      </c>
      <c r="T5236">
        <v>-0.30146339999999999</v>
      </c>
      <c r="U5236">
        <v>-0.38539119999999999</v>
      </c>
      <c r="V5236">
        <v>-0.13311609999999999</v>
      </c>
      <c r="W5236">
        <v>0.36125770000000001</v>
      </c>
      <c r="X5236">
        <v>0.9229155</v>
      </c>
      <c r="Y5236">
        <v>-0.1235613</v>
      </c>
      <c r="Z5236">
        <v>-6.8761509999999996E-3</v>
      </c>
      <c r="AA5236">
        <v>0.99231309999999995</v>
      </c>
      <c r="AB5236">
        <v>35</v>
      </c>
      <c r="AC5236">
        <v>-11.890499999999999</v>
      </c>
      <c r="AD5236">
        <v>-1.110234960293</v>
      </c>
      <c r="AE5236">
        <v>-1.4215</v>
      </c>
      <c r="AF5236">
        <v>-1.5047829166400399</v>
      </c>
      <c r="AG5236">
        <v>-1.110234960293</v>
      </c>
      <c r="AH5236">
        <v>11.777370751009199</v>
      </c>
      <c r="AI5236">
        <v>95.342098265446097</v>
      </c>
      <c r="AJ5236">
        <v>97.281174115568007</v>
      </c>
      <c r="AK5236">
        <v>11.924909018520699</v>
      </c>
      <c r="AL5236">
        <v>68.822544676920302</v>
      </c>
      <c r="AM5236">
        <v>98.207416344928006</v>
      </c>
      <c r="AN5236">
        <v>1.00000002101437</v>
      </c>
    </row>
    <row r="5237" spans="1:40" x14ac:dyDescent="0.25">
      <c r="A5237" t="str">
        <f>"20190304164952620"</f>
        <v>20190304164952620</v>
      </c>
      <c r="B5237" t="str">
        <f>"1551689392611316"</f>
        <v>1551689392611316</v>
      </c>
      <c r="C5237" t="s">
        <v>40</v>
      </c>
      <c r="D5237">
        <v>4.2687689999999998</v>
      </c>
      <c r="E5237">
        <v>0.51449129999999998</v>
      </c>
      <c r="F5237" t="s">
        <v>42</v>
      </c>
      <c r="G5237">
        <v>-366.34280000000001</v>
      </c>
      <c r="H5237" s="1">
        <v>-1.8266260000000001E-6</v>
      </c>
      <c r="I5237">
        <v>140.65119999999999</v>
      </c>
      <c r="J5237">
        <v>-354.3734</v>
      </c>
      <c r="K5237">
        <v>1.1102270000000001</v>
      </c>
      <c r="L5237">
        <v>142.08600000000001</v>
      </c>
      <c r="M5237">
        <v>-0.99992130000000001</v>
      </c>
      <c r="N5237">
        <v>-9.6021240000000001E-3</v>
      </c>
      <c r="O5237">
        <v>8.0952709999999994E-3</v>
      </c>
      <c r="P5237">
        <v>-0.92725449999999998</v>
      </c>
      <c r="Q5237">
        <v>0.3525991</v>
      </c>
      <c r="R5237">
        <v>-0.1259893</v>
      </c>
      <c r="S5237">
        <v>-3.2964479999999998</v>
      </c>
      <c r="T5237">
        <v>-0.30011280000000001</v>
      </c>
      <c r="U5237">
        <v>-0.38731379999999999</v>
      </c>
      <c r="V5237">
        <v>-0.13347870000000001</v>
      </c>
      <c r="W5237">
        <v>0.36148140000000001</v>
      </c>
      <c r="X5237">
        <v>0.92277549999999997</v>
      </c>
      <c r="Y5237">
        <v>-0.124140899999999</v>
      </c>
      <c r="Z5237">
        <v>-6.8752519999999897E-3</v>
      </c>
      <c r="AA5237">
        <v>0.99224080000000003</v>
      </c>
      <c r="AB5237">
        <v>35</v>
      </c>
      <c r="AC5237">
        <v>-11.9694</v>
      </c>
      <c r="AD5237">
        <v>-1.1102288266259901</v>
      </c>
      <c r="AE5237">
        <v>-1.4348000000000201</v>
      </c>
      <c r="AF5237">
        <v>-1.5187711716485299</v>
      </c>
      <c r="AG5237">
        <v>-1.1102288266259901</v>
      </c>
      <c r="AH5237">
        <v>11.8568258140214</v>
      </c>
      <c r="AI5237">
        <v>95.306260771070598</v>
      </c>
      <c r="AJ5237">
        <v>97.299414054844107</v>
      </c>
      <c r="AK5237">
        <v>12.0051485748135</v>
      </c>
      <c r="AL5237">
        <v>68.808798108976006</v>
      </c>
      <c r="AM5237">
        <v>98.230698474285404</v>
      </c>
      <c r="AN5237">
        <v>0.99999999464995004</v>
      </c>
    </row>
    <row r="5238" spans="1:40" x14ac:dyDescent="0.25">
      <c r="A5238" t="str">
        <f>"20190304164952634"</f>
        <v>20190304164952634</v>
      </c>
      <c r="B5238" t="str">
        <f>"1551689392631344"</f>
        <v>1551689392631344</v>
      </c>
      <c r="C5238" t="s">
        <v>40</v>
      </c>
      <c r="D5238">
        <v>4.2790850000000002</v>
      </c>
      <c r="E5238">
        <v>0.51452920000000002</v>
      </c>
      <c r="F5238" t="s">
        <v>42</v>
      </c>
      <c r="G5238">
        <v>-366.59640000000002</v>
      </c>
      <c r="H5238" s="1">
        <v>-1.71604E-6</v>
      </c>
      <c r="I5238">
        <v>140.64449999999999</v>
      </c>
      <c r="J5238">
        <v>-354.59300000000002</v>
      </c>
      <c r="K5238">
        <v>1.110222</v>
      </c>
      <c r="L5238">
        <v>142.08779999999999</v>
      </c>
      <c r="M5238">
        <v>-0.99992159999999997</v>
      </c>
      <c r="N5238">
        <v>-9.5734540000000003E-3</v>
      </c>
      <c r="O5238">
        <v>8.0949319999999905E-3</v>
      </c>
      <c r="P5238">
        <v>-0.92708869999999999</v>
      </c>
      <c r="Q5238">
        <v>0.35293069999999999</v>
      </c>
      <c r="R5238">
        <v>-0.12628200000000001</v>
      </c>
      <c r="S5238">
        <v>-3.2963870000000002</v>
      </c>
      <c r="T5238">
        <v>-0.29941649999999997</v>
      </c>
      <c r="U5238">
        <v>-0.3887177</v>
      </c>
      <c r="V5238">
        <v>-0.13376979999999999</v>
      </c>
      <c r="W5238">
        <v>0.36178450000000001</v>
      </c>
      <c r="X5238">
        <v>0.9226145</v>
      </c>
      <c r="Y5238">
        <v>-0.1245604</v>
      </c>
      <c r="Z5238">
        <v>-6.879919E-3</v>
      </c>
      <c r="AA5238">
        <v>0.99218819999999996</v>
      </c>
      <c r="AB5238">
        <v>35</v>
      </c>
      <c r="AC5238">
        <v>-12.003399999999999</v>
      </c>
      <c r="AD5238">
        <v>-1.1102237160399999</v>
      </c>
      <c r="AE5238">
        <v>-1.44329999999999</v>
      </c>
      <c r="AF5238">
        <v>-1.5275421935325999</v>
      </c>
      <c r="AG5238">
        <v>-1.1102237160399999</v>
      </c>
      <c r="AH5238">
        <v>11.891046385220699</v>
      </c>
      <c r="AI5238">
        <v>95.290807778930002</v>
      </c>
      <c r="AJ5238">
        <v>97.320213106562406</v>
      </c>
      <c r="AK5238">
        <v>12.040056726949</v>
      </c>
      <c r="AL5238">
        <v>68.790170092736204</v>
      </c>
      <c r="AM5238">
        <v>98.2498214245566</v>
      </c>
      <c r="AN5238">
        <v>0.99999994972126804</v>
      </c>
    </row>
    <row r="5239" spans="1:40" x14ac:dyDescent="0.25">
      <c r="A5239" t="str">
        <f>"20190304164952659"</f>
        <v>20190304164952659</v>
      </c>
      <c r="B5239" t="str">
        <f>"1551689392650864"</f>
        <v>1551689392650864</v>
      </c>
      <c r="C5239" t="s">
        <v>40</v>
      </c>
      <c r="D5239">
        <v>4.2810779999999999</v>
      </c>
      <c r="E5239">
        <v>0.51458470000000001</v>
      </c>
      <c r="F5239" t="s">
        <v>42</v>
      </c>
      <c r="G5239">
        <v>-366.86149999999998</v>
      </c>
      <c r="H5239" s="1">
        <v>-1.6004609999999999E-6</v>
      </c>
      <c r="I5239">
        <v>140.63759999999999</v>
      </c>
      <c r="J5239">
        <v>-354.98869999999999</v>
      </c>
      <c r="K5239">
        <v>1.1102160000000001</v>
      </c>
      <c r="L5239">
        <v>142.09100000000001</v>
      </c>
      <c r="M5239">
        <v>-0.99992190000000003</v>
      </c>
      <c r="N5239">
        <v>-9.5277539999999994E-3</v>
      </c>
      <c r="O5239">
        <v>8.094614E-3</v>
      </c>
      <c r="P5239">
        <v>-0.92699869999999995</v>
      </c>
      <c r="Q5239">
        <v>0.35300300000000001</v>
      </c>
      <c r="R5239">
        <v>-0.12673699999999999</v>
      </c>
      <c r="S5239">
        <v>-3.2964169999999999</v>
      </c>
      <c r="T5239">
        <v>-0.298305599999999</v>
      </c>
      <c r="U5239">
        <v>-0.38961790000000002</v>
      </c>
      <c r="V5239">
        <v>-0.1342235</v>
      </c>
      <c r="W5239">
        <v>0.36181390000000002</v>
      </c>
      <c r="X5239">
        <v>0.9225371</v>
      </c>
      <c r="Y5239">
        <v>-0.12482939999999999</v>
      </c>
      <c r="Z5239">
        <v>-6.8671449999999998E-3</v>
      </c>
      <c r="AA5239">
        <v>0.99215450000000005</v>
      </c>
      <c r="AB5239">
        <v>35</v>
      </c>
      <c r="AC5239">
        <v>-11.8727999999999</v>
      </c>
      <c r="AD5239">
        <v>-1.110217600461</v>
      </c>
      <c r="AE5239">
        <v>-1.45340000000001</v>
      </c>
      <c r="AF5239">
        <v>-1.5362280209554</v>
      </c>
      <c r="AG5239">
        <v>-1.110217600461</v>
      </c>
      <c r="AH5239">
        <v>11.7593402175275</v>
      </c>
      <c r="AI5239">
        <v>95.348218962726705</v>
      </c>
      <c r="AJ5239">
        <v>97.442910686649995</v>
      </c>
      <c r="AK5239">
        <v>11.911115061332501</v>
      </c>
      <c r="AL5239">
        <v>68.788363719442202</v>
      </c>
      <c r="AM5239">
        <v>98.278099695277405</v>
      </c>
      <c r="AN5239">
        <v>0.99999997353093395</v>
      </c>
    </row>
    <row r="5240" spans="1:40" x14ac:dyDescent="0.25">
      <c r="A5240" t="str">
        <f>"20190304164952672"</f>
        <v>20190304164952672</v>
      </c>
      <c r="B5240" t="str">
        <f>"1551689392660625"</f>
        <v>1551689392660625</v>
      </c>
      <c r="C5240" t="s">
        <v>40</v>
      </c>
      <c r="D5240">
        <v>4.3054810000000003</v>
      </c>
      <c r="E5240">
        <v>0.51459290000000002</v>
      </c>
      <c r="F5240" t="s">
        <v>42</v>
      </c>
      <c r="G5240">
        <v>-367.25700000000001</v>
      </c>
      <c r="H5240" s="1">
        <v>-1.430732E-6</v>
      </c>
      <c r="I5240">
        <v>140.63730000000001</v>
      </c>
      <c r="J5240">
        <v>-355.20190000000002</v>
      </c>
      <c r="K5240">
        <v>1.1102129999999999</v>
      </c>
      <c r="L5240">
        <v>142.09270000000001</v>
      </c>
      <c r="M5240">
        <v>-0.99992219999999998</v>
      </c>
      <c r="N5240">
        <v>-9.5058160000000003E-3</v>
      </c>
      <c r="O5240">
        <v>8.0942429999999992E-3</v>
      </c>
      <c r="P5240">
        <v>-0.92677069999999995</v>
      </c>
      <c r="Q5240">
        <v>0.35306130000000002</v>
      </c>
      <c r="R5240">
        <v>-0.1282335</v>
      </c>
      <c r="S5240">
        <v>-3.296478</v>
      </c>
      <c r="T5240">
        <v>-0.29831679999999999</v>
      </c>
      <c r="U5240">
        <v>-0.39059450000000001</v>
      </c>
      <c r="V5240">
        <v>-0.1357178</v>
      </c>
      <c r="W5240">
        <v>0.3618499</v>
      </c>
      <c r="X5240">
        <v>0.92230440000000002</v>
      </c>
      <c r="Y5240">
        <v>-0.12511559999999999</v>
      </c>
      <c r="Z5240">
        <v>-6.8801849999999996E-3</v>
      </c>
      <c r="AA5240">
        <v>0.99211830000000001</v>
      </c>
      <c r="AB5240">
        <v>35</v>
      </c>
      <c r="AC5240">
        <v>-12.0550999999999</v>
      </c>
      <c r="AD5240">
        <v>-1.1102144307320001</v>
      </c>
      <c r="AE5240">
        <v>-1.45539999999999</v>
      </c>
      <c r="AF5240">
        <v>-1.54005927629698</v>
      </c>
      <c r="AG5240">
        <v>-1.1102144307320001</v>
      </c>
      <c r="AH5240">
        <v>11.9430842388591</v>
      </c>
      <c r="AI5240">
        <v>95.267517229677495</v>
      </c>
      <c r="AJ5240">
        <v>97.347736677617803</v>
      </c>
      <c r="AK5240">
        <v>12.0930401385755</v>
      </c>
      <c r="AL5240">
        <v>68.786152607247402</v>
      </c>
      <c r="AM5240">
        <v>98.371042521561904</v>
      </c>
      <c r="AN5240">
        <v>1.0000000388131001</v>
      </c>
    </row>
    <row r="5241" spans="1:40" x14ac:dyDescent="0.25">
      <c r="A5241" t="str">
        <f>"20190304164952688"</f>
        <v>20190304164952688</v>
      </c>
      <c r="B5241" t="str">
        <f>"1551689392681120"</f>
        <v>1551689392681120</v>
      </c>
      <c r="C5241" t="s">
        <v>40</v>
      </c>
      <c r="D5241">
        <v>4.3678299999999997</v>
      </c>
      <c r="E5241">
        <v>0.5146406</v>
      </c>
      <c r="F5241" t="s">
        <v>42</v>
      </c>
      <c r="G5241">
        <v>-367.4726</v>
      </c>
      <c r="H5241" s="1">
        <v>-1.3333819999999999E-6</v>
      </c>
      <c r="I5241">
        <v>140.619</v>
      </c>
      <c r="J5241">
        <v>-355.45749999999998</v>
      </c>
      <c r="K5241">
        <v>1.110209</v>
      </c>
      <c r="L5241">
        <v>142.09469999999999</v>
      </c>
      <c r="M5241">
        <v>-0.99992230000000004</v>
      </c>
      <c r="N5241">
        <v>-9.4822900000000009E-3</v>
      </c>
      <c r="O5241">
        <v>8.0938179999999992E-3</v>
      </c>
      <c r="P5241">
        <v>-0.92666680000000001</v>
      </c>
      <c r="Q5241">
        <v>0.35307650000000002</v>
      </c>
      <c r="R5241">
        <v>-0.1289409</v>
      </c>
      <c r="S5241">
        <v>-3.295868</v>
      </c>
      <c r="T5241">
        <v>-0.29820140000000001</v>
      </c>
      <c r="U5241">
        <v>-0.39579769999999997</v>
      </c>
      <c r="V5241">
        <v>-0.13642399999999999</v>
      </c>
      <c r="W5241">
        <v>0.36184240000000001</v>
      </c>
      <c r="X5241">
        <v>0.92220310000000005</v>
      </c>
      <c r="Y5241">
        <v>-0.12667439999999999</v>
      </c>
      <c r="Z5241">
        <v>-6.9546019999999998E-3</v>
      </c>
      <c r="AA5241">
        <v>0.99192000000000002</v>
      </c>
      <c r="AB5241">
        <v>35</v>
      </c>
      <c r="AC5241">
        <v>-12.0151</v>
      </c>
      <c r="AD5241">
        <v>-1.1102103333819999</v>
      </c>
      <c r="AE5241">
        <v>-1.47569999999998</v>
      </c>
      <c r="AF5241">
        <v>-1.55978453990204</v>
      </c>
      <c r="AG5241">
        <v>-1.1102103333819999</v>
      </c>
      <c r="AH5241">
        <v>11.902647324270999</v>
      </c>
      <c r="AI5241">
        <v>95.283884518852304</v>
      </c>
      <c r="AJ5241">
        <v>97.465793315834404</v>
      </c>
      <c r="AK5241">
        <v>12.055642169591801</v>
      </c>
      <c r="AL5241">
        <v>68.786612562672204</v>
      </c>
      <c r="AM5241">
        <v>98.414889819105596</v>
      </c>
      <c r="AN5241">
        <v>0.99999999393168504</v>
      </c>
    </row>
    <row r="5242" spans="1:40" x14ac:dyDescent="0.25">
      <c r="A5242" t="str">
        <f>"20190304164952702"</f>
        <v>20190304164952702</v>
      </c>
      <c r="B5242" t="str">
        <f>"1551689392690881"</f>
        <v>1551689392690881</v>
      </c>
      <c r="C5242" t="s">
        <v>40</v>
      </c>
      <c r="D5242">
        <v>4.3108529999999998</v>
      </c>
      <c r="E5242">
        <v>0.51464969999999999</v>
      </c>
      <c r="F5242" t="s">
        <v>42</v>
      </c>
      <c r="G5242">
        <v>-367.71850000000001</v>
      </c>
      <c r="H5242" s="1">
        <v>-1.226913E-6</v>
      </c>
      <c r="I5242">
        <v>140.61539999999999</v>
      </c>
      <c r="J5242">
        <v>-355.67320000000001</v>
      </c>
      <c r="K5242">
        <v>1.1102080000000001</v>
      </c>
      <c r="L5242">
        <v>142.09649999999999</v>
      </c>
      <c r="M5242">
        <v>-0.99992250000000005</v>
      </c>
      <c r="N5242">
        <v>-9.4641580000000003E-3</v>
      </c>
      <c r="O5242">
        <v>8.0927680000000002E-3</v>
      </c>
      <c r="P5242">
        <v>-0.92656320000000003</v>
      </c>
      <c r="Q5242">
        <v>0.35319660000000003</v>
      </c>
      <c r="R5242">
        <v>-0.12935530000000001</v>
      </c>
      <c r="S5242">
        <v>-3.2958069999999999</v>
      </c>
      <c r="T5242">
        <v>-0.29843029999999998</v>
      </c>
      <c r="U5242">
        <v>-0.3976288</v>
      </c>
      <c r="V5242">
        <v>-0.1368373</v>
      </c>
      <c r="W5242">
        <v>0.36194460000000001</v>
      </c>
      <c r="X5242">
        <v>0.92210179999999997</v>
      </c>
      <c r="Y5242">
        <v>-0.12721550000000001</v>
      </c>
      <c r="Z5242">
        <v>-6.9852890000000004E-3</v>
      </c>
      <c r="AA5242">
        <v>0.99185049999999997</v>
      </c>
      <c r="AB5242">
        <v>35</v>
      </c>
      <c r="AC5242">
        <v>-12.0452999999999</v>
      </c>
      <c r="AD5242">
        <v>-1.1102092269129999</v>
      </c>
      <c r="AE5242">
        <v>-1.4810999999999901</v>
      </c>
      <c r="AF5242">
        <v>-1.5654350396293799</v>
      </c>
      <c r="AG5242">
        <v>-1.1102092269129999</v>
      </c>
      <c r="AH5242">
        <v>11.933054785206201</v>
      </c>
      <c r="AI5242">
        <v>95.2703966790436</v>
      </c>
      <c r="AJ5242">
        <v>97.473656127700593</v>
      </c>
      <c r="AK5242">
        <v>12.0863951572648</v>
      </c>
      <c r="AL5242">
        <v>68.780332088559405</v>
      </c>
      <c r="AM5242">
        <v>98.440930141232798</v>
      </c>
      <c r="AN5242">
        <v>1.0000000348518401</v>
      </c>
    </row>
    <row r="5243" spans="1:40" x14ac:dyDescent="0.25">
      <c r="A5243" t="str">
        <f>"20190304164952718"</f>
        <v>20190304164952718</v>
      </c>
      <c r="B5243" t="str">
        <f>"1551689392711376"</f>
        <v>1551689392711376</v>
      </c>
      <c r="C5243" t="s">
        <v>40</v>
      </c>
      <c r="D5243">
        <v>4.3525530000000003</v>
      </c>
      <c r="E5243">
        <v>0.5146925</v>
      </c>
      <c r="F5243" t="s">
        <v>42</v>
      </c>
      <c r="G5243">
        <v>-367.94420000000002</v>
      </c>
      <c r="H5243" s="1">
        <v>-1.1285719999999999E-6</v>
      </c>
      <c r="I5243">
        <v>140.60980000000001</v>
      </c>
      <c r="J5243">
        <v>-355.92559999999997</v>
      </c>
      <c r="K5243">
        <v>1.110204</v>
      </c>
      <c r="L5243">
        <v>142.0985</v>
      </c>
      <c r="M5243">
        <v>-0.99992270000000005</v>
      </c>
      <c r="N5243">
        <v>-9.4447990000000002E-3</v>
      </c>
      <c r="O5243">
        <v>8.0904659999999993E-3</v>
      </c>
      <c r="P5243">
        <v>-0.92650270000000001</v>
      </c>
      <c r="Q5243">
        <v>0.35293099999999999</v>
      </c>
      <c r="R5243">
        <v>-0.13050899999999999</v>
      </c>
      <c r="S5243">
        <v>-3.2956850000000002</v>
      </c>
      <c r="T5243">
        <v>-0.29817460000000001</v>
      </c>
      <c r="U5243">
        <v>-0.39927669999999998</v>
      </c>
      <c r="V5243">
        <v>-0.13798879999999999</v>
      </c>
      <c r="W5243">
        <v>0.3616605</v>
      </c>
      <c r="X5243">
        <v>0.92204169999999996</v>
      </c>
      <c r="Y5243">
        <v>-0.12770529999999999</v>
      </c>
      <c r="Z5243">
        <v>-7.0029319999999999E-3</v>
      </c>
      <c r="AA5243">
        <v>0.99178739999999999</v>
      </c>
      <c r="AB5243">
        <v>35</v>
      </c>
      <c r="AC5243">
        <v>-12.018599999999999</v>
      </c>
      <c r="AD5243">
        <v>-1.110205128572</v>
      </c>
      <c r="AE5243">
        <v>-1.4886999999999899</v>
      </c>
      <c r="AF5243">
        <v>-1.5726749237621001</v>
      </c>
      <c r="AG5243">
        <v>-1.110205128572</v>
      </c>
      <c r="AH5243">
        <v>11.9061029298064</v>
      </c>
      <c r="AI5243">
        <v>95.281625419018098</v>
      </c>
      <c r="AJ5243">
        <v>97.524628112532199</v>
      </c>
      <c r="AK5243">
        <v>12.0607275410102</v>
      </c>
      <c r="AL5243">
        <v>68.797793281160907</v>
      </c>
      <c r="AM5243">
        <v>98.511472028884398</v>
      </c>
      <c r="AN5243">
        <v>1.0000000613622799</v>
      </c>
    </row>
    <row r="5244" spans="1:40" x14ac:dyDescent="0.25">
      <c r="A5244" t="str">
        <f>"20190304164952732"</f>
        <v>20190304164952732</v>
      </c>
      <c r="B5244" t="str">
        <f>"1551689392721137"</f>
        <v>1551689392721137</v>
      </c>
      <c r="C5244" t="s">
        <v>40</v>
      </c>
      <c r="D5244">
        <v>4.3341250000000002</v>
      </c>
      <c r="E5244">
        <v>0.52527630000000003</v>
      </c>
      <c r="F5244" t="s">
        <v>42</v>
      </c>
      <c r="G5244">
        <v>-368.1472</v>
      </c>
      <c r="H5244" s="1">
        <v>-1.0392989999999999E-6</v>
      </c>
      <c r="I5244">
        <v>140.60149999999999</v>
      </c>
      <c r="J5244">
        <v>-356.15890000000002</v>
      </c>
      <c r="K5244">
        <v>1.1102019999999999</v>
      </c>
      <c r="L5244">
        <v>142.10040000000001</v>
      </c>
      <c r="M5244">
        <v>-0.99992289999999995</v>
      </c>
      <c r="N5244">
        <v>-9.4290079999999991E-3</v>
      </c>
      <c r="O5244">
        <v>8.0858119999999995E-3</v>
      </c>
      <c r="P5244">
        <v>-0.92645699999999997</v>
      </c>
      <c r="Q5244">
        <v>0.35290319999999997</v>
      </c>
      <c r="R5244">
        <v>-0.13090689999999999</v>
      </c>
      <c r="S5244">
        <v>-3.295166</v>
      </c>
      <c r="T5244">
        <v>-0.29933259999999901</v>
      </c>
      <c r="U5244">
        <v>-0.40359499999999998</v>
      </c>
      <c r="V5244">
        <v>-0.13838349999999999</v>
      </c>
      <c r="W5244">
        <v>0.36161700000000002</v>
      </c>
      <c r="X5244">
        <v>0.92199960000000003</v>
      </c>
      <c r="Y5244">
        <v>-0.12898969999999901</v>
      </c>
      <c r="Z5244">
        <v>-7.0913670000000003E-3</v>
      </c>
      <c r="AA5244">
        <v>0.99162059999999996</v>
      </c>
      <c r="AB5244">
        <v>35</v>
      </c>
      <c r="AC5244">
        <v>-11.988299999999899</v>
      </c>
      <c r="AD5244">
        <v>-1.1102030392990001</v>
      </c>
      <c r="AE5244">
        <v>-1.4989000000000201</v>
      </c>
      <c r="AF5244">
        <v>-1.5824282690709399</v>
      </c>
      <c r="AG5244">
        <v>-1.1102030392990001</v>
      </c>
      <c r="AH5244">
        <v>11.8755097891802</v>
      </c>
      <c r="AI5244">
        <v>95.294347255727104</v>
      </c>
      <c r="AJ5244">
        <v>97.590030712840999</v>
      </c>
      <c r="AK5244">
        <v>12.031806296983699</v>
      </c>
      <c r="AL5244">
        <v>68.800466441263595</v>
      </c>
      <c r="AM5244">
        <v>98.535843943695596</v>
      </c>
      <c r="AN5244">
        <v>1.0000000550807</v>
      </c>
    </row>
    <row r="5245" spans="1:40" x14ac:dyDescent="0.25">
      <c r="A5245" t="str">
        <f>"20190304164952745"</f>
        <v>20190304164952745</v>
      </c>
      <c r="B5245" t="str">
        <f>"1551689392740657"</f>
        <v>1551689392740657</v>
      </c>
      <c r="C5245" t="s">
        <v>40</v>
      </c>
      <c r="D5245">
        <v>4.3413519999999997</v>
      </c>
      <c r="E5245">
        <v>0.52640050000000005</v>
      </c>
      <c r="F5245" t="s">
        <v>42</v>
      </c>
      <c r="G5245">
        <v>-367.64319999999998</v>
      </c>
      <c r="H5245" s="1">
        <v>-1.3560969999999999E-6</v>
      </c>
      <c r="I5245">
        <v>140.9795</v>
      </c>
      <c r="J5245">
        <v>-356.35199999999998</v>
      </c>
      <c r="K5245">
        <v>1.1102030000000001</v>
      </c>
      <c r="L5245">
        <v>142.102</v>
      </c>
      <c r="M5245">
        <v>-0.99992309999999995</v>
      </c>
      <c r="N5245">
        <v>-9.4174329999999994E-3</v>
      </c>
      <c r="O5245">
        <v>8.0791600000000002E-3</v>
      </c>
      <c r="P5245">
        <v>-0.92623420000000001</v>
      </c>
      <c r="Q5245">
        <v>0.35321970000000003</v>
      </c>
      <c r="R5245">
        <v>-0.13162860000000001</v>
      </c>
      <c r="S5245">
        <v>-3.314514</v>
      </c>
      <c r="T5245">
        <v>-0.32041950000000002</v>
      </c>
      <c r="U5245">
        <v>-0.3234863</v>
      </c>
      <c r="V5245">
        <v>-0.13909920000000001</v>
      </c>
      <c r="W5245">
        <v>0.36191970000000001</v>
      </c>
      <c r="X5245">
        <v>0.92177299999999995</v>
      </c>
      <c r="Y5245">
        <v>-0.10461230000000001</v>
      </c>
      <c r="Z5245">
        <v>-6.2296080000000002E-3</v>
      </c>
      <c r="AA5245">
        <v>0.99449350000000003</v>
      </c>
      <c r="AB5245">
        <v>35</v>
      </c>
      <c r="AC5245">
        <v>-11.2912</v>
      </c>
      <c r="AD5245">
        <v>-1.1102043560969901</v>
      </c>
      <c r="AE5245">
        <v>-1.1225000000000001</v>
      </c>
      <c r="AF5245">
        <v>-1.20218214916386</v>
      </c>
      <c r="AG5245">
        <v>-1.1102043560969901</v>
      </c>
      <c r="AH5245">
        <v>11.174784387215</v>
      </c>
      <c r="AI5245">
        <v>95.641325005942306</v>
      </c>
      <c r="AJ5245">
        <v>96.140258743922601</v>
      </c>
      <c r="AK5245">
        <v>11.2939630658511</v>
      </c>
      <c r="AL5245">
        <v>68.781860846515499</v>
      </c>
      <c r="AM5245">
        <v>98.581412519920093</v>
      </c>
      <c r="AN5245">
        <v>0.99999996010886405</v>
      </c>
    </row>
    <row r="5246" spans="1:40" x14ac:dyDescent="0.25">
      <c r="A5246" t="str">
        <f>"20190304164952760"</f>
        <v>20190304164952760</v>
      </c>
      <c r="B5246" t="str">
        <f>"1551689392751392"</f>
        <v>1551689392751392</v>
      </c>
      <c r="C5246" t="s">
        <v>40</v>
      </c>
      <c r="D5246">
        <v>4.2979250000000002</v>
      </c>
      <c r="E5246">
        <v>0.52657349999999903</v>
      </c>
      <c r="F5246" t="s">
        <v>42</v>
      </c>
      <c r="G5246">
        <v>-367.9316</v>
      </c>
      <c r="H5246" s="1">
        <v>-1.236472E-6</v>
      </c>
      <c r="I5246">
        <v>140.9949</v>
      </c>
      <c r="J5246">
        <v>-356.58330000000001</v>
      </c>
      <c r="K5246">
        <v>1.110209</v>
      </c>
      <c r="L5246">
        <v>142.10380000000001</v>
      </c>
      <c r="M5246">
        <v>-0.99992329999999996</v>
      </c>
      <c r="N5246">
        <v>-9.4046279999999999E-3</v>
      </c>
      <c r="O5246">
        <v>8.0679089999999998E-3</v>
      </c>
      <c r="P5246">
        <v>-0.92612249999999996</v>
      </c>
      <c r="Q5246">
        <v>0.35320869999999999</v>
      </c>
      <c r="R5246">
        <v>-0.13244059999999999</v>
      </c>
      <c r="S5246">
        <v>-3.3150629999999999</v>
      </c>
      <c r="T5246">
        <v>-0.31783489999999998</v>
      </c>
      <c r="U5246">
        <v>-0.31690980000000002</v>
      </c>
      <c r="V5246">
        <v>-0.1399041</v>
      </c>
      <c r="W5246">
        <v>0.3618943</v>
      </c>
      <c r="X5246">
        <v>0.92166119999999996</v>
      </c>
      <c r="Y5246">
        <v>-0.102649</v>
      </c>
      <c r="Z5246">
        <v>-6.0779659999999998E-3</v>
      </c>
      <c r="AA5246">
        <v>0.99469909999999995</v>
      </c>
      <c r="AB5246">
        <v>36</v>
      </c>
      <c r="AC5246">
        <v>-11.348299999999901</v>
      </c>
      <c r="AD5246">
        <v>-1.1102102364719999</v>
      </c>
      <c r="AE5246">
        <v>-1.1089</v>
      </c>
      <c r="AF5246">
        <v>-1.18915149607505</v>
      </c>
      <c r="AG5246">
        <v>-1.1102102364719999</v>
      </c>
      <c r="AH5246">
        <v>11.2324963673802</v>
      </c>
      <c r="AI5246">
        <v>95.613563270636405</v>
      </c>
      <c r="AJ5246">
        <v>96.043226306065606</v>
      </c>
      <c r="AK5246">
        <v>11.349697030890001</v>
      </c>
      <c r="AL5246">
        <v>68.783422971303494</v>
      </c>
      <c r="AM5246">
        <v>98.631354539445596</v>
      </c>
      <c r="AN5246">
        <v>1.00000000457737</v>
      </c>
    </row>
    <row r="5247" spans="1:40" x14ac:dyDescent="0.25">
      <c r="A5247" t="str">
        <f>"20190304164952772"</f>
        <v>20190304164952772</v>
      </c>
      <c r="B5247" t="str">
        <f>"1551689392761152"</f>
        <v>1551689392761152</v>
      </c>
      <c r="C5247" t="s">
        <v>40</v>
      </c>
      <c r="D5247">
        <v>4.3323369999999999</v>
      </c>
      <c r="E5247">
        <v>0.52691960000000004</v>
      </c>
      <c r="F5247" t="s">
        <v>42</v>
      </c>
      <c r="G5247">
        <v>-368.22370000000001</v>
      </c>
      <c r="H5247" s="1">
        <v>-1.10928E-6</v>
      </c>
      <c r="I5247">
        <v>140.98779999999999</v>
      </c>
      <c r="J5247">
        <v>-356.80430000000001</v>
      </c>
      <c r="K5247">
        <v>1.1102099999999999</v>
      </c>
      <c r="L5247">
        <v>142.10560000000001</v>
      </c>
      <c r="M5247">
        <v>-0.99992340000000002</v>
      </c>
      <c r="N5247">
        <v>-9.393808E-3</v>
      </c>
      <c r="O5247">
        <v>8.0517469999999997E-3</v>
      </c>
      <c r="P5247">
        <v>-0.92579929999999999</v>
      </c>
      <c r="Q5247">
        <v>0.3534099</v>
      </c>
      <c r="R5247">
        <v>-0.13415339999999901</v>
      </c>
      <c r="S5247">
        <v>-3.3144840000000002</v>
      </c>
      <c r="T5247">
        <v>-0.31612170000000001</v>
      </c>
      <c r="U5247">
        <v>-0.317749</v>
      </c>
      <c r="V5247">
        <v>-0.141603799999999</v>
      </c>
      <c r="W5247">
        <v>0.36208059999999997</v>
      </c>
      <c r="X5247">
        <v>0.92132840000000005</v>
      </c>
      <c r="Y5247">
        <v>-0.1029032</v>
      </c>
      <c r="Z5247">
        <v>-6.0598689999999998E-3</v>
      </c>
      <c r="AA5247">
        <v>0.99467289999999997</v>
      </c>
      <c r="AB5247">
        <v>36</v>
      </c>
      <c r="AC5247">
        <v>-11.4193999999999</v>
      </c>
      <c r="AD5247">
        <v>-1.11021110928</v>
      </c>
      <c r="AE5247">
        <v>-1.1178000000000099</v>
      </c>
      <c r="AF5247">
        <v>-1.1984932768115499</v>
      </c>
      <c r="AG5247">
        <v>-1.11021110928</v>
      </c>
      <c r="AH5247">
        <v>11.304195751026599</v>
      </c>
      <c r="AI5247">
        <v>95.578097661409004</v>
      </c>
      <c r="AJ5247">
        <v>96.052003698668102</v>
      </c>
      <c r="AK5247">
        <v>11.4216372039765</v>
      </c>
      <c r="AL5247">
        <v>68.771972306320606</v>
      </c>
      <c r="AM5247">
        <v>98.737715903344906</v>
      </c>
      <c r="AN5247">
        <v>1.00000000885868</v>
      </c>
    </row>
    <row r="5248" spans="1:40" x14ac:dyDescent="0.25">
      <c r="A5248" t="str">
        <f>"20190304164952797"</f>
        <v>20190304164952797</v>
      </c>
      <c r="B5248" t="str">
        <f>"1551689392791408"</f>
        <v>1551689392791408</v>
      </c>
      <c r="C5248" t="s">
        <v>40</v>
      </c>
      <c r="D5248">
        <v>4.3195540000000001</v>
      </c>
      <c r="E5248">
        <v>0.5281093</v>
      </c>
      <c r="F5248" t="s">
        <v>42</v>
      </c>
      <c r="G5248">
        <v>-368.37419999999997</v>
      </c>
      <c r="H5248" s="1">
        <v>-1.0436620000000001E-6</v>
      </c>
      <c r="I5248">
        <v>140.9838</v>
      </c>
      <c r="J5248">
        <v>-357.17899999999997</v>
      </c>
      <c r="K5248">
        <v>1.1102240000000001</v>
      </c>
      <c r="L5248">
        <v>142.1086</v>
      </c>
      <c r="M5248">
        <v>-0.99992409999999998</v>
      </c>
      <c r="N5248">
        <v>-9.3741320000000003E-3</v>
      </c>
      <c r="O5248">
        <v>8.0099209999999997E-3</v>
      </c>
      <c r="P5248">
        <v>-0.92547849999999998</v>
      </c>
      <c r="Q5248">
        <v>0.35372599999999998</v>
      </c>
      <c r="R5248">
        <v>-0.1355276</v>
      </c>
      <c r="S5248">
        <v>-3.315277</v>
      </c>
      <c r="T5248">
        <v>-0.31812499999999999</v>
      </c>
      <c r="U5248">
        <v>-0.32141110000000001</v>
      </c>
      <c r="V5248">
        <v>-0.1429473</v>
      </c>
      <c r="W5248">
        <v>0.36237170000000002</v>
      </c>
      <c r="X5248">
        <v>0.9210064</v>
      </c>
      <c r="Y5248">
        <v>-0.10391649999999999</v>
      </c>
      <c r="Z5248">
        <v>-6.1426040000000003E-3</v>
      </c>
      <c r="AA5248">
        <v>0.99456699999999998</v>
      </c>
      <c r="AB5248">
        <v>36</v>
      </c>
      <c r="AC5248">
        <v>-11.1951999999999</v>
      </c>
      <c r="AD5248">
        <v>-1.11022504366199</v>
      </c>
      <c r="AE5248">
        <v>-1.12479999999999</v>
      </c>
      <c r="AF5248">
        <v>-1.2027303039492401</v>
      </c>
      <c r="AG5248">
        <v>-1.11022504366199</v>
      </c>
      <c r="AH5248">
        <v>11.077971832124</v>
      </c>
      <c r="AI5248">
        <v>95.689811213387102</v>
      </c>
      <c r="AJ5248">
        <v>96.196306472359396</v>
      </c>
      <c r="AK5248">
        <v>11.1982418148986</v>
      </c>
      <c r="AL5248">
        <v>68.754077779758703</v>
      </c>
      <c r="AM5248">
        <v>98.822354665531606</v>
      </c>
      <c r="AN5248">
        <v>0.99999998418956904</v>
      </c>
    </row>
    <row r="5249" spans="1:40" x14ac:dyDescent="0.25">
      <c r="A5249" t="str">
        <f>"20190304164952811"</f>
        <v>20190304164952811</v>
      </c>
      <c r="B5249" t="str">
        <f>"1551689392801169"</f>
        <v>1551689392801169</v>
      </c>
      <c r="C5249" t="s">
        <v>40</v>
      </c>
      <c r="D5249">
        <v>4.3248620000000004</v>
      </c>
      <c r="E5249">
        <v>0.52862949999999997</v>
      </c>
      <c r="F5249" t="s">
        <v>42</v>
      </c>
      <c r="G5249">
        <v>-370.91550000000001</v>
      </c>
      <c r="H5249" s="1">
        <v>-4.1753139999999996E-6</v>
      </c>
      <c r="I5249">
        <v>140.8048</v>
      </c>
      <c r="J5249">
        <v>-357.42489999999998</v>
      </c>
      <c r="K5249">
        <v>1.110233</v>
      </c>
      <c r="L5249">
        <v>142.1105</v>
      </c>
      <c r="M5249">
        <v>-0.99992460000000005</v>
      </c>
      <c r="N5249">
        <v>-9.3605210000000001E-3</v>
      </c>
      <c r="O5249">
        <v>7.9702339999999997E-3</v>
      </c>
      <c r="P5249">
        <v>-0.92526580000000003</v>
      </c>
      <c r="Q5249">
        <v>0.35402850000000002</v>
      </c>
      <c r="R5249">
        <v>-0.136189</v>
      </c>
      <c r="S5249">
        <v>-3.2976070000000002</v>
      </c>
      <c r="T5249">
        <v>-0.26652320000000002</v>
      </c>
      <c r="U5249">
        <v>-0.31295780000000001</v>
      </c>
      <c r="V5249">
        <v>-0.14357890000000001</v>
      </c>
      <c r="W5249">
        <v>0.36265609999999998</v>
      </c>
      <c r="X5249">
        <v>0.92079619999999995</v>
      </c>
      <c r="Y5249">
        <v>-0.1020234</v>
      </c>
      <c r="Z5249">
        <v>-5.153899E-3</v>
      </c>
      <c r="AA5249">
        <v>0.9947686</v>
      </c>
      <c r="AB5249">
        <v>36</v>
      </c>
      <c r="AC5249">
        <v>-13.490600000000001</v>
      </c>
      <c r="AD5249">
        <v>-1.1102371753139999</v>
      </c>
      <c r="AE5249">
        <v>-1.3057000000000001</v>
      </c>
      <c r="AF5249">
        <v>-1.4037672380317801</v>
      </c>
      <c r="AG5249">
        <v>-1.1102371753139999</v>
      </c>
      <c r="AH5249">
        <v>13.389918509445501</v>
      </c>
      <c r="AI5249">
        <v>94.714170420297094</v>
      </c>
      <c r="AJ5249">
        <v>95.984890769492694</v>
      </c>
      <c r="AK5249">
        <v>13.5090009524618</v>
      </c>
      <c r="AL5249">
        <v>68.736593787583402</v>
      </c>
      <c r="AM5249">
        <v>98.8627088593351</v>
      </c>
      <c r="AN5249">
        <v>0.99999999466342904</v>
      </c>
    </row>
    <row r="5250" spans="1:40" x14ac:dyDescent="0.25">
      <c r="A5250" t="str">
        <f>"20190304164952829"</f>
        <v>20190304164952829</v>
      </c>
      <c r="B5250" t="str">
        <f>"1551689392820688"</f>
        <v>1551689392820688</v>
      </c>
      <c r="C5250" t="s">
        <v>40</v>
      </c>
      <c r="D5250">
        <v>4.3370100000000003</v>
      </c>
      <c r="E5250">
        <v>0.52856709999999996</v>
      </c>
      <c r="F5250" t="s">
        <v>42</v>
      </c>
      <c r="G5250">
        <v>-369.26650000000001</v>
      </c>
      <c r="H5250" s="1">
        <v>-6.6002530000000001E-7</v>
      </c>
      <c r="I5250">
        <v>140.98070000000001</v>
      </c>
      <c r="J5250">
        <v>-357.69540000000001</v>
      </c>
      <c r="K5250">
        <v>1.1102350000000001</v>
      </c>
      <c r="L5250">
        <v>142.11259999999999</v>
      </c>
      <c r="M5250">
        <v>-0.99992510000000001</v>
      </c>
      <c r="N5250">
        <v>-9.3461970000000005E-3</v>
      </c>
      <c r="O5250">
        <v>7.9169440000000004E-3</v>
      </c>
      <c r="P5250">
        <v>-0.92511520000000003</v>
      </c>
      <c r="Q5250">
        <v>0.35404400000000003</v>
      </c>
      <c r="R5250">
        <v>-0.13716689999999901</v>
      </c>
      <c r="S5250">
        <v>-3.3146360000000001</v>
      </c>
      <c r="T5250">
        <v>-0.3107724</v>
      </c>
      <c r="U5250">
        <v>-0.31623839999999998</v>
      </c>
      <c r="V5250">
        <v>-0.144516899999999</v>
      </c>
      <c r="W5250">
        <v>0.36265259999999999</v>
      </c>
      <c r="X5250">
        <v>0.92065079999999999</v>
      </c>
      <c r="Y5250">
        <v>-0.10233630000000001</v>
      </c>
      <c r="Z5250">
        <v>-5.921969E-3</v>
      </c>
      <c r="AA5250">
        <v>0.99473219999999996</v>
      </c>
      <c r="AB5250">
        <v>36</v>
      </c>
      <c r="AC5250">
        <v>-11.571099999999999</v>
      </c>
      <c r="AD5250">
        <v>-1.1102356600253001</v>
      </c>
      <c r="AE5250">
        <v>-1.1318999999999699</v>
      </c>
      <c r="AF5250">
        <v>-1.21242025997087</v>
      </c>
      <c r="AG5250">
        <v>-1.1102356600253001</v>
      </c>
      <c r="AH5250">
        <v>11.457297186613101</v>
      </c>
      <c r="AI5250">
        <v>95.504255768830305</v>
      </c>
      <c r="AJ5250">
        <v>96.040604050390698</v>
      </c>
      <c r="AK5250">
        <v>11.5746380042727</v>
      </c>
      <c r="AL5250">
        <v>68.736808401925401</v>
      </c>
      <c r="AM5250">
        <v>98.921066897461003</v>
      </c>
      <c r="AN5250">
        <v>0.99999996910650402</v>
      </c>
    </row>
    <row r="5251" spans="1:40" x14ac:dyDescent="0.25">
      <c r="A5251" t="str">
        <f>"20190304164952843"</f>
        <v>20190304164952843</v>
      </c>
      <c r="B5251" t="str">
        <f>"1551689392830958"</f>
        <v>1551689392830958</v>
      </c>
      <c r="C5251" t="s">
        <v>40</v>
      </c>
      <c r="D5251">
        <v>4.3640109999999996</v>
      </c>
      <c r="E5251">
        <v>0.52849190000000001</v>
      </c>
      <c r="F5251" t="s">
        <v>42</v>
      </c>
      <c r="G5251">
        <v>-370.06020000000001</v>
      </c>
      <c r="H5251" s="1">
        <v>-4.4867569999999998E-6</v>
      </c>
      <c r="I5251">
        <v>140.91970000000001</v>
      </c>
      <c r="J5251">
        <v>-357.923</v>
      </c>
      <c r="K5251">
        <v>1.110242</v>
      </c>
      <c r="L5251">
        <v>142.11429999999999</v>
      </c>
      <c r="M5251">
        <v>-0.99992570000000003</v>
      </c>
      <c r="N5251">
        <v>-9.3350559999999996E-3</v>
      </c>
      <c r="O5251">
        <v>7.8626379999999999E-3</v>
      </c>
      <c r="P5251">
        <v>-0.92484069999999996</v>
      </c>
      <c r="Q5251">
        <v>0.35408109999999998</v>
      </c>
      <c r="R5251">
        <v>-0.1389117</v>
      </c>
      <c r="S5251">
        <v>-3.3092350000000001</v>
      </c>
      <c r="T5251">
        <v>-0.29713919999999999</v>
      </c>
      <c r="U5251">
        <v>-0.31924439999999998</v>
      </c>
      <c r="V5251">
        <v>-0.1462183</v>
      </c>
      <c r="W5251">
        <v>0.36267310000000003</v>
      </c>
      <c r="X5251">
        <v>0.92037409999999997</v>
      </c>
      <c r="Y5251">
        <v>-0.103368</v>
      </c>
      <c r="Z5251">
        <v>-5.7353609999999996E-3</v>
      </c>
      <c r="AA5251">
        <v>0.99462660000000003</v>
      </c>
      <c r="AB5251">
        <v>36</v>
      </c>
      <c r="AC5251">
        <v>-12.1372</v>
      </c>
      <c r="AD5251">
        <v>-1.1102464867570001</v>
      </c>
      <c r="AE5251">
        <v>-1.1945999999999799</v>
      </c>
      <c r="AF5251">
        <v>-1.2793948483928801</v>
      </c>
      <c r="AG5251">
        <v>-1.1102464867570001</v>
      </c>
      <c r="AH5251">
        <v>12.0277536647415</v>
      </c>
      <c r="AI5251">
        <v>95.2444399817781</v>
      </c>
      <c r="AJ5251">
        <v>96.071733777680294</v>
      </c>
      <c r="AK5251">
        <v>12.1464544892389</v>
      </c>
      <c r="AL5251">
        <v>68.735549309067906</v>
      </c>
      <c r="AM5251">
        <v>99.027044565311499</v>
      </c>
      <c r="AN5251">
        <v>1.00000002633465</v>
      </c>
    </row>
    <row r="5252" spans="1:40" x14ac:dyDescent="0.25">
      <c r="A5252" t="str">
        <f>"20190304164952863"</f>
        <v>20190304164952863</v>
      </c>
      <c r="B5252" t="str">
        <f>"1551689392851453"</f>
        <v>1551689392851453</v>
      </c>
      <c r="C5252" t="s">
        <v>40</v>
      </c>
      <c r="D5252">
        <v>4.3365260000000001</v>
      </c>
      <c r="E5252">
        <v>0.52846789999999999</v>
      </c>
      <c r="F5252" t="s">
        <v>42</v>
      </c>
      <c r="G5252">
        <v>-370.51780000000002</v>
      </c>
      <c r="H5252" s="1">
        <v>-4.3231479999999998E-6</v>
      </c>
      <c r="I5252">
        <v>140.87520000000001</v>
      </c>
      <c r="J5252">
        <v>-358.23239999999998</v>
      </c>
      <c r="K5252">
        <v>1.110255</v>
      </c>
      <c r="L5252">
        <v>142.11670000000001</v>
      </c>
      <c r="M5252">
        <v>-0.99992639999999999</v>
      </c>
      <c r="N5252">
        <v>-9.3214779999999994E-3</v>
      </c>
      <c r="O5252">
        <v>7.7740149999999996E-3</v>
      </c>
      <c r="P5252">
        <v>-0.92434709999999998</v>
      </c>
      <c r="Q5252">
        <v>0.35459760000000001</v>
      </c>
      <c r="R5252">
        <v>-0.14086609999999999</v>
      </c>
      <c r="S5252">
        <v>-3.306549</v>
      </c>
      <c r="T5252">
        <v>-0.29147859999999998</v>
      </c>
      <c r="U5252">
        <v>-0.32528689999999999</v>
      </c>
      <c r="V5252">
        <v>-0.14810090000000001</v>
      </c>
      <c r="W5252">
        <v>0.36316670000000001</v>
      </c>
      <c r="X5252">
        <v>0.91987830000000004</v>
      </c>
      <c r="Y5252">
        <v>-0.10516689999999999</v>
      </c>
      <c r="Z5252">
        <v>-5.7179020000000004E-3</v>
      </c>
      <c r="AA5252">
        <v>0.99443820000000005</v>
      </c>
      <c r="AB5252">
        <v>36</v>
      </c>
      <c r="AC5252">
        <v>-12.285399999999999</v>
      </c>
      <c r="AD5252">
        <v>-1.110259323148</v>
      </c>
      <c r="AE5252">
        <v>-1.2415</v>
      </c>
      <c r="AF5252">
        <v>-1.32625131765154</v>
      </c>
      <c r="AG5252">
        <v>-1.110259323148</v>
      </c>
      <c r="AH5252">
        <v>12.1769314397611</v>
      </c>
      <c r="AI5252">
        <v>95.179207380255406</v>
      </c>
      <c r="AJ5252">
        <v>96.215872422174996</v>
      </c>
      <c r="AK5252">
        <v>12.299157597610099</v>
      </c>
      <c r="AL5252">
        <v>68.705198410761696</v>
      </c>
      <c r="AM5252">
        <v>99.146163782524994</v>
      </c>
      <c r="AN5252">
        <v>1.00000000769029</v>
      </c>
    </row>
    <row r="5253" spans="1:40" x14ac:dyDescent="0.25">
      <c r="A5253" t="str">
        <f>"20190304164952885"</f>
        <v>20190304164952885</v>
      </c>
      <c r="B5253" t="str">
        <f>"1551689392880734"</f>
        <v>1551689392880734</v>
      </c>
      <c r="C5253" t="s">
        <v>40</v>
      </c>
      <c r="D5253">
        <v>4.3543120000000002</v>
      </c>
      <c r="E5253">
        <v>0.52864359999999999</v>
      </c>
      <c r="F5253" t="s">
        <v>42</v>
      </c>
      <c r="G5253">
        <v>-370.99520000000001</v>
      </c>
      <c r="H5253" s="1">
        <v>-4.1537959999999998E-6</v>
      </c>
      <c r="I5253">
        <v>140.8364</v>
      </c>
      <c r="J5253">
        <v>-358.59629999999999</v>
      </c>
      <c r="K5253">
        <v>1.1102799999999999</v>
      </c>
      <c r="L5253">
        <v>142.11940000000001</v>
      </c>
      <c r="M5253">
        <v>-0.99992749999999997</v>
      </c>
      <c r="N5253">
        <v>-9.3078580000000005E-3</v>
      </c>
      <c r="O5253">
        <v>7.6470849999999996E-3</v>
      </c>
      <c r="P5253">
        <v>-0.92390329999999998</v>
      </c>
      <c r="Q5253">
        <v>0.35506459999999901</v>
      </c>
      <c r="R5253">
        <v>-0.14258970000000001</v>
      </c>
      <c r="S5253">
        <v>-3.3053279999999998</v>
      </c>
      <c r="T5253">
        <v>-0.28753849999999997</v>
      </c>
      <c r="U5253">
        <v>-0.33155820000000003</v>
      </c>
      <c r="V5253">
        <v>-0.1497203</v>
      </c>
      <c r="W5253">
        <v>0.36361009999999999</v>
      </c>
      <c r="X5253">
        <v>0.91944090000000001</v>
      </c>
      <c r="Y5253">
        <v>-0.10694960000000001</v>
      </c>
      <c r="Z5253">
        <v>-5.7231130000000002E-3</v>
      </c>
      <c r="AA5253">
        <v>0.99424800000000002</v>
      </c>
      <c r="AB5253">
        <v>36</v>
      </c>
      <c r="AC5253">
        <v>-12.398899999999999</v>
      </c>
      <c r="AD5253">
        <v>-1.110284153796</v>
      </c>
      <c r="AE5253">
        <v>-1.2830000000000099</v>
      </c>
      <c r="AF5253">
        <v>-1.3669371395732599</v>
      </c>
      <c r="AG5253">
        <v>-1.110284153796</v>
      </c>
      <c r="AH5253">
        <v>12.291210857352899</v>
      </c>
      <c r="AI5253">
        <v>95.130150265770496</v>
      </c>
      <c r="AJ5253">
        <v>96.345933917656197</v>
      </c>
      <c r="AK5253">
        <v>12.416727120526801</v>
      </c>
      <c r="AL5253">
        <v>68.677929576373103</v>
      </c>
      <c r="AM5253">
        <v>99.248776214305096</v>
      </c>
      <c r="AN5253">
        <v>1.0000000208234501</v>
      </c>
    </row>
    <row r="5254" spans="1:40" x14ac:dyDescent="0.25">
      <c r="A5254" t="str">
        <f>"20190304164952900"</f>
        <v>20190304164952900</v>
      </c>
      <c r="B5254" t="str">
        <f>"1551689392890493"</f>
        <v>1551689392890493</v>
      </c>
      <c r="C5254" t="s">
        <v>40</v>
      </c>
      <c r="D5254">
        <v>4.3282220000000002</v>
      </c>
      <c r="E5254">
        <v>0.52870479999999997</v>
      </c>
      <c r="F5254" t="s">
        <v>42</v>
      </c>
      <c r="G5254">
        <v>-371.39370000000002</v>
      </c>
      <c r="H5254" s="1">
        <v>-3.9946580000000002E-6</v>
      </c>
      <c r="I5254">
        <v>140.82</v>
      </c>
      <c r="J5254">
        <v>-358.83409999999998</v>
      </c>
      <c r="K5254">
        <v>1.1102909999999999</v>
      </c>
      <c r="L5254">
        <v>142.12119999999999</v>
      </c>
      <c r="M5254">
        <v>-0.99992840000000005</v>
      </c>
      <c r="N5254">
        <v>-9.3001130000000005E-3</v>
      </c>
      <c r="O5254">
        <v>7.5528039999999998E-3</v>
      </c>
      <c r="P5254">
        <v>-0.9237457</v>
      </c>
      <c r="Q5254">
        <v>0.35502479999999997</v>
      </c>
      <c r="R5254">
        <v>-0.14370669999999999</v>
      </c>
      <c r="S5254">
        <v>-3.3055110000000001</v>
      </c>
      <c r="T5254">
        <v>-0.28678039999999999</v>
      </c>
      <c r="U5254">
        <v>-0.3356171</v>
      </c>
      <c r="V5254">
        <v>-0.15075999999999901</v>
      </c>
      <c r="W5254">
        <v>0.36355670000000001</v>
      </c>
      <c r="X5254">
        <v>0.91929209999999995</v>
      </c>
      <c r="Y5254">
        <v>-0.108057</v>
      </c>
      <c r="Z5254">
        <v>-5.7539949999999996E-3</v>
      </c>
      <c r="AA5254">
        <v>0.99412800000000001</v>
      </c>
      <c r="AB5254">
        <v>36</v>
      </c>
      <c r="AC5254">
        <v>-12.5596</v>
      </c>
      <c r="AD5254">
        <v>-1.1102949946580001</v>
      </c>
      <c r="AE5254">
        <v>-1.3011999999999899</v>
      </c>
      <c r="AF5254">
        <v>-1.38531598473291</v>
      </c>
      <c r="AG5254">
        <v>-1.1102949946580001</v>
      </c>
      <c r="AH5254">
        <v>12.453126758811299</v>
      </c>
      <c r="AI5254">
        <v>95.063829637288293</v>
      </c>
      <c r="AJ5254">
        <v>96.347623459630498</v>
      </c>
      <c r="AK5254">
        <v>12.5790389705947</v>
      </c>
      <c r="AL5254">
        <v>68.681213670511696</v>
      </c>
      <c r="AM5254">
        <v>99.313361937191999</v>
      </c>
      <c r="AN5254">
        <v>1.00000000841864</v>
      </c>
    </row>
    <row r="5255" spans="1:40" x14ac:dyDescent="0.25">
      <c r="A5255" t="str">
        <f>"20190304164952911"</f>
        <v>20190304164952911</v>
      </c>
      <c r="B5255" t="str">
        <f>"1551689392901229"</f>
        <v>1551689392901229</v>
      </c>
      <c r="C5255" t="s">
        <v>40</v>
      </c>
      <c r="D5255">
        <v>4.3555970000000004</v>
      </c>
      <c r="E5255">
        <v>0.52879299999999996</v>
      </c>
      <c r="F5255" t="s">
        <v>42</v>
      </c>
      <c r="G5255">
        <v>-371.63619999999997</v>
      </c>
      <c r="H5255" s="1">
        <v>-3.8880449999999996E-6</v>
      </c>
      <c r="I5255">
        <v>140.81020000000001</v>
      </c>
      <c r="J5255">
        <v>-359.03590000000003</v>
      </c>
      <c r="K5255">
        <v>1.1102989999999999</v>
      </c>
      <c r="L5255">
        <v>142.12260000000001</v>
      </c>
      <c r="M5255">
        <v>-0.99992899999999996</v>
      </c>
      <c r="N5255">
        <v>-9.2942240000000002E-3</v>
      </c>
      <c r="O5255">
        <v>7.4658679999999996E-3</v>
      </c>
      <c r="P5255">
        <v>-0.92351510000000003</v>
      </c>
      <c r="Q5255">
        <v>0.35519279999999998</v>
      </c>
      <c r="R5255">
        <v>-0.144768799999999</v>
      </c>
      <c r="S5255">
        <v>-3.3051759999999999</v>
      </c>
      <c r="T5255">
        <v>-0.2866514</v>
      </c>
      <c r="U5255">
        <v>-0.33843990000000002</v>
      </c>
      <c r="V5255">
        <v>-0.15174979999999999</v>
      </c>
      <c r="W5255">
        <v>0.36371300000000001</v>
      </c>
      <c r="X5255">
        <v>0.91906739999999998</v>
      </c>
      <c r="Y5255">
        <v>-0.1088186</v>
      </c>
      <c r="Z5255">
        <v>-5.7813949999999999E-3</v>
      </c>
      <c r="AA5255">
        <v>0.99404479999999995</v>
      </c>
      <c r="AB5255">
        <v>36</v>
      </c>
      <c r="AC5255">
        <v>-12.600299999999899</v>
      </c>
      <c r="AD5255">
        <v>-1.1103028880450001</v>
      </c>
      <c r="AE5255">
        <v>-1.31239999999999</v>
      </c>
      <c r="AF5255">
        <v>-1.39571871122582</v>
      </c>
      <c r="AG5255">
        <v>-1.1103028880450001</v>
      </c>
      <c r="AH5255">
        <v>12.494178558596801</v>
      </c>
      <c r="AI5255">
        <v>95.047055080870393</v>
      </c>
      <c r="AJ5255">
        <v>96.374057793846006</v>
      </c>
      <c r="AK5255">
        <v>12.620828066262799</v>
      </c>
      <c r="AL5255">
        <v>68.671600409393506</v>
      </c>
      <c r="AM5255">
        <v>99.375677153061702</v>
      </c>
      <c r="AN5255">
        <v>1.00000001695589</v>
      </c>
    </row>
    <row r="5256" spans="1:40" x14ac:dyDescent="0.25">
      <c r="A5256" t="str">
        <f>"20190304164952925"</f>
        <v>20190304164952925</v>
      </c>
      <c r="B5256" t="str">
        <f>"1551689392920749"</f>
        <v>1551689392920749</v>
      </c>
      <c r="C5256" t="s">
        <v>40</v>
      </c>
      <c r="D5256">
        <v>4.3888299999999996</v>
      </c>
      <c r="E5256">
        <v>0.52894350000000001</v>
      </c>
      <c r="F5256" t="s">
        <v>42</v>
      </c>
      <c r="G5256">
        <v>-371.88990000000001</v>
      </c>
      <c r="H5256" s="1">
        <v>-3.7756579999999998E-6</v>
      </c>
      <c r="I5256">
        <v>140.79689999999999</v>
      </c>
      <c r="J5256">
        <v>-359.23230000000001</v>
      </c>
      <c r="K5256">
        <v>1.1103099999999999</v>
      </c>
      <c r="L5256">
        <v>142.124</v>
      </c>
      <c r="M5256">
        <v>-0.99992979999999998</v>
      </c>
      <c r="N5256">
        <v>-9.2894129999999998E-3</v>
      </c>
      <c r="O5256">
        <v>7.3737480000000003E-3</v>
      </c>
      <c r="P5256">
        <v>-0.92333929999999997</v>
      </c>
      <c r="Q5256">
        <v>0.35528720000000003</v>
      </c>
      <c r="R5256">
        <v>-0.14565610000000001</v>
      </c>
      <c r="S5256">
        <v>-3.3048099999999998</v>
      </c>
      <c r="T5256">
        <v>-0.2854642</v>
      </c>
      <c r="U5256">
        <v>-0.34082030000000002</v>
      </c>
      <c r="V5256">
        <v>-0.15256</v>
      </c>
      <c r="W5256">
        <v>0.36379790000000001</v>
      </c>
      <c r="X5256">
        <v>0.91889969999999999</v>
      </c>
      <c r="Y5256">
        <v>-0.109448</v>
      </c>
      <c r="Z5256">
        <v>-5.7824560000000001E-3</v>
      </c>
      <c r="AA5256">
        <v>0.99397570000000002</v>
      </c>
      <c r="AB5256">
        <v>36</v>
      </c>
      <c r="AC5256">
        <v>-12.6576</v>
      </c>
      <c r="AD5256">
        <v>-1.1103137756579999</v>
      </c>
      <c r="AE5256">
        <v>-1.3270999999999999</v>
      </c>
      <c r="AF5256">
        <v>-1.4096728900086799</v>
      </c>
      <c r="AG5256">
        <v>-1.1103137756579999</v>
      </c>
      <c r="AH5256">
        <v>12.5519371643031</v>
      </c>
      <c r="AI5256">
        <v>95.023668399835003</v>
      </c>
      <c r="AJ5256">
        <v>96.407877808027493</v>
      </c>
      <c r="AK5256">
        <v>12.679554444611</v>
      </c>
      <c r="AL5256">
        <v>68.666379262535898</v>
      </c>
      <c r="AM5256">
        <v>99.426527760343703</v>
      </c>
      <c r="AN5256">
        <v>1.00000006215224</v>
      </c>
    </row>
    <row r="5257" spans="1:40" x14ac:dyDescent="0.25">
      <c r="A5257" t="str">
        <f>"20190304164952940"</f>
        <v>20190304164952940</v>
      </c>
      <c r="B5257" t="str">
        <f>"1551689392931017"</f>
        <v>1551689392931017</v>
      </c>
      <c r="C5257" t="s">
        <v>40</v>
      </c>
      <c r="D5257">
        <v>4.3849119999999999</v>
      </c>
      <c r="E5257">
        <v>0.52903140000000004</v>
      </c>
      <c r="F5257" t="s">
        <v>42</v>
      </c>
      <c r="G5257">
        <v>-372.0967</v>
      </c>
      <c r="H5257" s="1">
        <v>-3.6852470000000001E-6</v>
      </c>
      <c r="I5257">
        <v>140.79060000000001</v>
      </c>
      <c r="J5257">
        <v>-359.48570000000001</v>
      </c>
      <c r="K5257">
        <v>1.1103209999999999</v>
      </c>
      <c r="L5257">
        <v>142.12569999999999</v>
      </c>
      <c r="M5257">
        <v>-0.99993069999999895</v>
      </c>
      <c r="N5257">
        <v>-9.2840309999999999E-3</v>
      </c>
      <c r="O5257">
        <v>7.2481639999999996E-3</v>
      </c>
      <c r="P5257">
        <v>-0.92301979999999995</v>
      </c>
      <c r="Q5257">
        <v>0.35531289999999999</v>
      </c>
      <c r="R5257">
        <v>-0.1476044</v>
      </c>
      <c r="S5257">
        <v>-3.30484</v>
      </c>
      <c r="T5257">
        <v>-0.28523680000000001</v>
      </c>
      <c r="U5257">
        <v>-0.34252929999999998</v>
      </c>
      <c r="V5257">
        <v>-0.15440090000000001</v>
      </c>
      <c r="W5257">
        <v>0.36381039999999998</v>
      </c>
      <c r="X5257">
        <v>0.91858709999999999</v>
      </c>
      <c r="Y5257">
        <v>-0.10983030000000001</v>
      </c>
      <c r="Z5257">
        <v>-5.7863649999999999E-3</v>
      </c>
      <c r="AA5257">
        <v>0.99393350000000003</v>
      </c>
      <c r="AB5257">
        <v>36</v>
      </c>
      <c r="AC5257">
        <v>-12.610999999999899</v>
      </c>
      <c r="AD5257">
        <v>-1.1103246852469999</v>
      </c>
      <c r="AE5257">
        <v>-1.33509999999998</v>
      </c>
      <c r="AF5257">
        <v>-1.4156234954529201</v>
      </c>
      <c r="AG5257">
        <v>-1.1103246852469999</v>
      </c>
      <c r="AH5257">
        <v>12.5051287937123</v>
      </c>
      <c r="AI5257">
        <v>95.041924641182007</v>
      </c>
      <c r="AJ5257">
        <v>96.458583573054796</v>
      </c>
      <c r="AK5257">
        <v>12.6338852668085</v>
      </c>
      <c r="AL5257">
        <v>68.665607928022496</v>
      </c>
      <c r="AM5257">
        <v>99.541383513504599</v>
      </c>
      <c r="AN5257">
        <v>0.99999995267768804</v>
      </c>
    </row>
    <row r="5258" spans="1:40" x14ac:dyDescent="0.25">
      <c r="A5258" t="str">
        <f>"20190304164952956"</f>
        <v>20190304164952956</v>
      </c>
      <c r="B5258" t="str">
        <f>"1551689392950536"</f>
        <v>1551689392950536</v>
      </c>
      <c r="C5258" t="s">
        <v>40</v>
      </c>
      <c r="D5258">
        <v>4.4043539999999997</v>
      </c>
      <c r="E5258">
        <v>0.52919819999999995</v>
      </c>
      <c r="F5258" t="s">
        <v>42</v>
      </c>
      <c r="G5258">
        <v>-372.23140000000001</v>
      </c>
      <c r="H5258" s="1">
        <v>-3.625375E-6</v>
      </c>
      <c r="I5258">
        <v>140.7826</v>
      </c>
      <c r="J5258">
        <v>-359.73489999999998</v>
      </c>
      <c r="K5258">
        <v>1.11032999999999</v>
      </c>
      <c r="L5258">
        <v>142.12739999999999</v>
      </c>
      <c r="M5258">
        <v>-0.99993180000000004</v>
      </c>
      <c r="N5258">
        <v>-9.2797709999999992E-3</v>
      </c>
      <c r="O5258">
        <v>7.1161439999999996E-3</v>
      </c>
      <c r="P5258">
        <v>-0.92290260000000002</v>
      </c>
      <c r="Q5258">
        <v>0.355161</v>
      </c>
      <c r="R5258">
        <v>-0.14870079999999999</v>
      </c>
      <c r="S5258">
        <v>-3.3053590000000002</v>
      </c>
      <c r="T5258">
        <v>-0.28794259999999999</v>
      </c>
      <c r="U5258">
        <v>-0.34829710000000003</v>
      </c>
      <c r="V5258">
        <v>-0.15538460000000001</v>
      </c>
      <c r="W5258">
        <v>0.36364869999999999</v>
      </c>
      <c r="X5258">
        <v>0.91848529999999995</v>
      </c>
      <c r="Y5258">
        <v>-0.11138430000000001</v>
      </c>
      <c r="Z5258">
        <v>-5.8997750000000003E-3</v>
      </c>
      <c r="AA5258">
        <v>0.99375990000000003</v>
      </c>
      <c r="AB5258">
        <v>36</v>
      </c>
      <c r="AC5258">
        <v>-12.496499999999999</v>
      </c>
      <c r="AD5258">
        <v>-1.11033362537499</v>
      </c>
      <c r="AE5258">
        <v>-1.34479999999999</v>
      </c>
      <c r="AF5258">
        <v>-1.42259441068521</v>
      </c>
      <c r="AG5258">
        <v>-1.11033362537499</v>
      </c>
      <c r="AH5258">
        <v>12.389919675139099</v>
      </c>
      <c r="AI5258">
        <v>95.087683166573498</v>
      </c>
      <c r="AJ5258">
        <v>96.549943777787604</v>
      </c>
      <c r="AK5258">
        <v>12.520651946817701</v>
      </c>
      <c r="AL5258">
        <v>68.675554937784895</v>
      </c>
      <c r="AM5258">
        <v>99.6020886138717</v>
      </c>
      <c r="AN5258">
        <v>0.99999999862246902</v>
      </c>
    </row>
    <row r="5259" spans="1:40" x14ac:dyDescent="0.25">
      <c r="A5259" t="str">
        <f>"20190304164952970"</f>
        <v>20190304164952970</v>
      </c>
      <c r="B5259" t="str">
        <f>"1551689392961272"</f>
        <v>1551689392961272</v>
      </c>
      <c r="C5259" t="s">
        <v>40</v>
      </c>
      <c r="D5259">
        <v>4.3955080000000004</v>
      </c>
      <c r="E5259">
        <v>0.52928640000000005</v>
      </c>
      <c r="F5259" t="s">
        <v>42</v>
      </c>
      <c r="G5259">
        <v>-372.24439999999998</v>
      </c>
      <c r="H5259" s="1">
        <v>-3.6245109999999999E-6</v>
      </c>
      <c r="I5259">
        <v>140.8005</v>
      </c>
      <c r="J5259">
        <v>-359.9597</v>
      </c>
      <c r="K5259">
        <v>1.1103369999999999</v>
      </c>
      <c r="L5259">
        <v>142.12889999999999</v>
      </c>
      <c r="M5259">
        <v>-0.99993259999999995</v>
      </c>
      <c r="N5259">
        <v>-9.2768109999999994E-3</v>
      </c>
      <c r="O5259">
        <v>6.9893830000000001E-3</v>
      </c>
      <c r="P5259">
        <v>-0.92272149999999997</v>
      </c>
      <c r="Q5259">
        <v>0.3552032</v>
      </c>
      <c r="R5259">
        <v>-0.14971950000000001</v>
      </c>
      <c r="S5259">
        <v>-3.3070680000000001</v>
      </c>
      <c r="T5259">
        <v>-0.2935315</v>
      </c>
      <c r="U5259">
        <v>-0.35078429999999999</v>
      </c>
      <c r="V5259">
        <v>-0.15629460000000001</v>
      </c>
      <c r="W5259">
        <v>0.36368279999999997</v>
      </c>
      <c r="X5259">
        <v>0.91831739999999995</v>
      </c>
      <c r="Y5259">
        <v>-0.11192439999999999</v>
      </c>
      <c r="Z5259">
        <v>-6.0182839999999996E-3</v>
      </c>
      <c r="AA5259">
        <v>0.99369850000000004</v>
      </c>
      <c r="AB5259">
        <v>36</v>
      </c>
      <c r="AC5259">
        <v>-12.2846999999999</v>
      </c>
      <c r="AD5259">
        <v>-1.1103406245109999</v>
      </c>
      <c r="AE5259">
        <v>-1.32839999999998</v>
      </c>
      <c r="AF5259">
        <v>-1.4029054589177601</v>
      </c>
      <c r="AG5259">
        <v>-1.1103406245109999</v>
      </c>
      <c r="AH5259">
        <v>12.1767890424629</v>
      </c>
      <c r="AI5259">
        <v>95.176056325147101</v>
      </c>
      <c r="AJ5259">
        <v>96.572152881304504</v>
      </c>
      <c r="AK5259">
        <v>12.3075258039033</v>
      </c>
      <c r="AL5259">
        <v>68.673457887611804</v>
      </c>
      <c r="AM5259">
        <v>99.658999026750294</v>
      </c>
      <c r="AN5259">
        <v>1.0000000140738701</v>
      </c>
    </row>
    <row r="5260" spans="1:40" x14ac:dyDescent="0.25">
      <c r="A5260" t="str">
        <f>"20190304164952987"</f>
        <v>20190304164952987</v>
      </c>
      <c r="B5260" t="str">
        <f>"1551689392980793"</f>
        <v>1551689392980793</v>
      </c>
      <c r="C5260" t="s">
        <v>40</v>
      </c>
      <c r="D5260">
        <v>4.3971559999999998</v>
      </c>
      <c r="E5260">
        <v>0.52939389999999997</v>
      </c>
      <c r="F5260" t="s">
        <v>42</v>
      </c>
      <c r="G5260">
        <v>-372.38</v>
      </c>
      <c r="H5260" s="1">
        <v>-3.5665129999999998E-6</v>
      </c>
      <c r="I5260">
        <v>140.80109999999999</v>
      </c>
      <c r="J5260">
        <v>-360.23099999999999</v>
      </c>
      <c r="K5260">
        <v>1.1103459999999901</v>
      </c>
      <c r="L5260">
        <v>142.13069999999999</v>
      </c>
      <c r="M5260">
        <v>-0.99993379999999998</v>
      </c>
      <c r="N5260">
        <v>-9.2739910000000005E-3</v>
      </c>
      <c r="O5260">
        <v>6.8301840000000004E-3</v>
      </c>
      <c r="P5260">
        <v>-0.92230789999999996</v>
      </c>
      <c r="Q5260">
        <v>0.35533979999999998</v>
      </c>
      <c r="R5260">
        <v>-0.15192700000000001</v>
      </c>
      <c r="S5260">
        <v>-3.307709</v>
      </c>
      <c r="T5260">
        <v>-0.2957013</v>
      </c>
      <c r="U5260">
        <v>-0.35360720000000001</v>
      </c>
      <c r="V5260">
        <v>-0.15836239999999999</v>
      </c>
      <c r="W5260">
        <v>0.36380770000000001</v>
      </c>
      <c r="X5260">
        <v>0.9179136</v>
      </c>
      <c r="Y5260">
        <v>-0.1125753</v>
      </c>
      <c r="Z5260">
        <v>-6.0770969999999896E-3</v>
      </c>
      <c r="AA5260">
        <v>0.99362459999999997</v>
      </c>
      <c r="AB5260">
        <v>36</v>
      </c>
      <c r="AC5260">
        <v>-12.148999999999999</v>
      </c>
      <c r="AD5260">
        <v>-1.1103495665130001</v>
      </c>
      <c r="AE5260">
        <v>-1.3295999999999899</v>
      </c>
      <c r="AF5260">
        <v>-1.4009886029815599</v>
      </c>
      <c r="AG5260">
        <v>-1.1103495665130001</v>
      </c>
      <c r="AH5260">
        <v>12.0402538148392</v>
      </c>
      <c r="AI5260">
        <v>95.233787665223204</v>
      </c>
      <c r="AJ5260">
        <v>96.637017693862106</v>
      </c>
      <c r="AK5260">
        <v>12.172237146526999</v>
      </c>
      <c r="AL5260">
        <v>68.665775842730298</v>
      </c>
      <c r="AM5260">
        <v>99.788555635668303</v>
      </c>
      <c r="AN5260">
        <v>1.0000000346889999</v>
      </c>
    </row>
    <row r="5261" spans="1:40" x14ac:dyDescent="0.25">
      <c r="A5261" t="str">
        <f>"20190304164953004"</f>
        <v>20190304164953004</v>
      </c>
      <c r="B5261" t="str">
        <f>"1551689392990553"</f>
        <v>1551689392990553</v>
      </c>
      <c r="C5261" t="s">
        <v>40</v>
      </c>
      <c r="D5261">
        <v>5.045922</v>
      </c>
      <c r="E5261">
        <v>0.52944089999999999</v>
      </c>
      <c r="F5261" t="s">
        <v>42</v>
      </c>
      <c r="G5261">
        <v>-372.53719999999998</v>
      </c>
      <c r="H5261" s="1">
        <v>-3.4963829999999998E-6</v>
      </c>
      <c r="I5261">
        <v>140.79089999999999</v>
      </c>
      <c r="J5261">
        <v>-360.50330000000002</v>
      </c>
      <c r="K5261">
        <v>1.110357</v>
      </c>
      <c r="L5261">
        <v>142.13239999999999</v>
      </c>
      <c r="M5261">
        <v>-0.99993480000000001</v>
      </c>
      <c r="N5261">
        <v>-9.2719159999999998E-3</v>
      </c>
      <c r="O5261">
        <v>6.6642569999999998E-3</v>
      </c>
      <c r="P5261">
        <v>-0.92220210000000002</v>
      </c>
      <c r="Q5261">
        <v>0.35520839999999998</v>
      </c>
      <c r="R5261">
        <v>-0.15287439999999999</v>
      </c>
      <c r="S5261">
        <v>-3.3083800000000001</v>
      </c>
      <c r="T5261">
        <v>-0.29850640000000001</v>
      </c>
      <c r="U5261">
        <v>-0.3601685</v>
      </c>
      <c r="V5261">
        <v>-0.1591651</v>
      </c>
      <c r="W5261">
        <v>0.36366949999999998</v>
      </c>
      <c r="X5261">
        <v>0.91782949999999996</v>
      </c>
      <c r="Y5261">
        <v>-0.114320699999999</v>
      </c>
      <c r="Z5261">
        <v>-6.2015129999999996E-3</v>
      </c>
      <c r="AA5261">
        <v>0.99342450000000004</v>
      </c>
      <c r="AB5261">
        <v>36</v>
      </c>
      <c r="AC5261">
        <v>-12.0338999999999</v>
      </c>
      <c r="AD5261">
        <v>-1.1103604963830001</v>
      </c>
      <c r="AE5261">
        <v>-1.3414999999999899</v>
      </c>
      <c r="AF5261">
        <v>-1.40981532673244</v>
      </c>
      <c r="AG5261">
        <v>-1.1103604963830001</v>
      </c>
      <c r="AH5261">
        <v>11.924418188185699</v>
      </c>
      <c r="AI5261">
        <v>95.283257664400594</v>
      </c>
      <c r="AJ5261">
        <v>96.742737749690505</v>
      </c>
      <c r="AK5261">
        <v>12.0586993002625</v>
      </c>
      <c r="AL5261">
        <v>68.674275905840403</v>
      </c>
      <c r="AM5261">
        <v>99.838088227957996</v>
      </c>
      <c r="AN5261">
        <v>1.0000000126792501</v>
      </c>
    </row>
    <row r="5262" spans="1:40" x14ac:dyDescent="0.25">
      <c r="A5262" t="str">
        <f>"20190304164953019"</f>
        <v>20190304164953019</v>
      </c>
      <c r="B5262" t="str">
        <f>"1551689393011049"</f>
        <v>1551689393011049</v>
      </c>
      <c r="C5262" t="s">
        <v>40</v>
      </c>
      <c r="D5262">
        <v>4.3940190000000001</v>
      </c>
      <c r="E5262">
        <v>0.52956749999999997</v>
      </c>
      <c r="F5262" t="s">
        <v>42</v>
      </c>
      <c r="G5262">
        <v>-372.82479999999998</v>
      </c>
      <c r="H5262" s="1">
        <v>-3.3699640000000002E-6</v>
      </c>
      <c r="I5262">
        <v>140.77950000000001</v>
      </c>
      <c r="J5262">
        <v>-360.76209999999998</v>
      </c>
      <c r="K5262">
        <v>1.110366</v>
      </c>
      <c r="L5262">
        <v>142.13399999999999</v>
      </c>
      <c r="M5262">
        <v>-0.99993600000000005</v>
      </c>
      <c r="N5262">
        <v>-9.2705919999999994E-3</v>
      </c>
      <c r="O5262">
        <v>6.5016819999999999E-3</v>
      </c>
      <c r="P5262">
        <v>-0.92165549999999996</v>
      </c>
      <c r="Q5262">
        <v>0.35570420000000003</v>
      </c>
      <c r="R5262">
        <v>-0.1550021</v>
      </c>
      <c r="S5262">
        <v>-3.307709</v>
      </c>
      <c r="T5262">
        <v>-0.2980759</v>
      </c>
      <c r="U5262">
        <v>-0.36315920000000002</v>
      </c>
      <c r="V5262">
        <v>-0.16114729999999999</v>
      </c>
      <c r="W5262">
        <v>0.36415500000000001</v>
      </c>
      <c r="X5262">
        <v>0.91729099999999997</v>
      </c>
      <c r="Y5262">
        <v>-0.115067</v>
      </c>
      <c r="Z5262">
        <v>-6.2179690000000003E-3</v>
      </c>
      <c r="AA5262">
        <v>0.99333830000000001</v>
      </c>
      <c r="AB5262">
        <v>36</v>
      </c>
      <c r="AC5262">
        <v>-12.0627</v>
      </c>
      <c r="AD5262">
        <v>-1.110369369964</v>
      </c>
      <c r="AE5262">
        <v>-1.3544999999999701</v>
      </c>
      <c r="AF5262">
        <v>-1.42101201817596</v>
      </c>
      <c r="AG5262">
        <v>-1.110369369964</v>
      </c>
      <c r="AH5262">
        <v>11.953614280415399</v>
      </c>
      <c r="AI5262">
        <v>95.270071256555198</v>
      </c>
      <c r="AJ5262">
        <v>96.779345700502006</v>
      </c>
      <c r="AK5262">
        <v>12.088882895392199</v>
      </c>
      <c r="AL5262">
        <v>68.644411849797507</v>
      </c>
      <c r="AM5262">
        <v>99.963900154440793</v>
      </c>
      <c r="AN5262">
        <v>1.00000004750164</v>
      </c>
    </row>
    <row r="5263" spans="1:40" x14ac:dyDescent="0.25">
      <c r="A5263" t="str">
        <f>"20190304164953036"</f>
        <v>20190304164953036</v>
      </c>
      <c r="B5263" t="str">
        <f>"1551689393031076"</f>
        <v>1551689393031076</v>
      </c>
      <c r="C5263" t="s">
        <v>40</v>
      </c>
      <c r="D5263">
        <v>4.4262680000000003</v>
      </c>
      <c r="E5263">
        <v>0.5297174</v>
      </c>
      <c r="F5263" t="s">
        <v>42</v>
      </c>
      <c r="G5263">
        <v>-372.99950000000001</v>
      </c>
      <c r="H5263" s="1">
        <v>-3.2914910000000001E-6</v>
      </c>
      <c r="I5263">
        <v>140.7663</v>
      </c>
      <c r="J5263">
        <v>-361.03620000000001</v>
      </c>
      <c r="K5263">
        <v>1.1103749999999999</v>
      </c>
      <c r="L5263">
        <v>142.13560000000001</v>
      </c>
      <c r="M5263">
        <v>-0.99993710000000002</v>
      </c>
      <c r="N5263">
        <v>-9.2699559999999993E-3</v>
      </c>
      <c r="O5263">
        <v>6.3254599999999998E-3</v>
      </c>
      <c r="P5263">
        <v>-0.92139800000000005</v>
      </c>
      <c r="Q5263">
        <v>0.35591840000000002</v>
      </c>
      <c r="R5263">
        <v>-0.15603839999999999</v>
      </c>
      <c r="S5263">
        <v>-3.3086850000000001</v>
      </c>
      <c r="T5263">
        <v>-0.30021490000000001</v>
      </c>
      <c r="U5263">
        <v>-0.36976619999999999</v>
      </c>
      <c r="V5263">
        <v>-0.16202710000000001</v>
      </c>
      <c r="W5263">
        <v>0.36436239999999998</v>
      </c>
      <c r="X5263">
        <v>0.91705360000000002</v>
      </c>
      <c r="Y5263">
        <v>-0.1168054</v>
      </c>
      <c r="Z5263">
        <v>-6.3290150000000003E-3</v>
      </c>
      <c r="AA5263">
        <v>0.99313470000000004</v>
      </c>
      <c r="AB5263">
        <v>36</v>
      </c>
      <c r="AC5263">
        <v>-11.9633</v>
      </c>
      <c r="AD5263">
        <v>-1.1103782914910001</v>
      </c>
      <c r="AE5263">
        <v>-1.3693</v>
      </c>
      <c r="AF5263">
        <v>-1.4327659914019799</v>
      </c>
      <c r="AG5263">
        <v>-1.1103782914910001</v>
      </c>
      <c r="AH5263">
        <v>11.853604110589799</v>
      </c>
      <c r="AI5263">
        <v>95.3130790361013</v>
      </c>
      <c r="AJ5263">
        <v>96.892007449545702</v>
      </c>
      <c r="AK5263">
        <v>11.9914006165637</v>
      </c>
      <c r="AL5263">
        <v>68.631651520513998</v>
      </c>
      <c r="AM5263">
        <v>100.019740838289</v>
      </c>
      <c r="AN5263">
        <v>1.0000000224705601</v>
      </c>
    </row>
    <row r="5264" spans="1:40" x14ac:dyDescent="0.25">
      <c r="A5264" t="str">
        <f>"20190304164953052"</f>
        <v>20190304164953052</v>
      </c>
      <c r="B5264" t="str">
        <f>"1551689393040835"</f>
        <v>1551689393040835</v>
      </c>
      <c r="C5264" t="s">
        <v>40</v>
      </c>
      <c r="D5264">
        <v>4.9767590000000004</v>
      </c>
      <c r="E5264">
        <v>0.52978329999999996</v>
      </c>
      <c r="F5264" t="s">
        <v>42</v>
      </c>
      <c r="G5264">
        <v>-373.20069999999998</v>
      </c>
      <c r="H5264" s="1">
        <v>-3.204946E-6</v>
      </c>
      <c r="I5264">
        <v>140.7654</v>
      </c>
      <c r="J5264">
        <v>-361.29140000000001</v>
      </c>
      <c r="K5264">
        <v>1.1103829999999999</v>
      </c>
      <c r="L5264">
        <v>142.1371</v>
      </c>
      <c r="M5264">
        <v>-0.99993810000000005</v>
      </c>
      <c r="N5264">
        <v>-9.2700579999999994E-3</v>
      </c>
      <c r="O5264">
        <v>6.1571760000000003E-3</v>
      </c>
      <c r="P5264">
        <v>-0.92086100000000004</v>
      </c>
      <c r="Q5264">
        <v>0.35641230000000002</v>
      </c>
      <c r="R5264">
        <v>-0.1580676</v>
      </c>
      <c r="S5264">
        <v>-3.3094790000000001</v>
      </c>
      <c r="T5264">
        <v>-0.302091099999999</v>
      </c>
      <c r="U5264">
        <v>-0.3727722</v>
      </c>
      <c r="V5264">
        <v>-0.16390469999999999</v>
      </c>
      <c r="W5264">
        <v>0.36484810000000001</v>
      </c>
      <c r="X5264">
        <v>0.91652670000000003</v>
      </c>
      <c r="Y5264">
        <v>-0.117494</v>
      </c>
      <c r="Z5264">
        <v>-6.3844849999999996E-3</v>
      </c>
      <c r="AA5264">
        <v>0.99305310000000002</v>
      </c>
      <c r="AB5264">
        <v>36</v>
      </c>
      <c r="AC5264">
        <v>-11.909299999999901</v>
      </c>
      <c r="AD5264">
        <v>-1.1103862049459901</v>
      </c>
      <c r="AE5264">
        <v>-1.3716999999999999</v>
      </c>
      <c r="AF5264">
        <v>-1.4327131190561699</v>
      </c>
      <c r="AG5264">
        <v>-1.1103862049459901</v>
      </c>
      <c r="AH5264">
        <v>11.7993974445289</v>
      </c>
      <c r="AI5264">
        <v>95.3370356370027</v>
      </c>
      <c r="AJ5264">
        <v>96.923109848203197</v>
      </c>
      <c r="AK5264">
        <v>11.9378140570042</v>
      </c>
      <c r="AL5264">
        <v>68.601766062499806</v>
      </c>
      <c r="AM5264">
        <v>100.13916334499299</v>
      </c>
      <c r="AN5264">
        <v>1.00000003928429</v>
      </c>
    </row>
    <row r="5265" spans="1:40" x14ac:dyDescent="0.25">
      <c r="A5265" t="str">
        <f>"20190304164953068"</f>
        <v>20190304164953068</v>
      </c>
      <c r="B5265" t="str">
        <f>"1551689393061331"</f>
        <v>1551689393061331</v>
      </c>
      <c r="C5265" t="s">
        <v>40</v>
      </c>
      <c r="D5265">
        <v>4.5964320000000001</v>
      </c>
      <c r="E5265">
        <v>0.52961059999999904</v>
      </c>
      <c r="F5265" t="s">
        <v>42</v>
      </c>
      <c r="G5265">
        <v>-373.54700000000003</v>
      </c>
      <c r="H5265" s="1">
        <v>-3.0467599999999999E-6</v>
      </c>
      <c r="I5265">
        <v>140.72909999999999</v>
      </c>
      <c r="J5265">
        <v>-361.54579999999999</v>
      </c>
      <c r="K5265">
        <v>1.1103889999999901</v>
      </c>
      <c r="L5265">
        <v>142.13849999999999</v>
      </c>
      <c r="M5265">
        <v>-0.99993929999999998</v>
      </c>
      <c r="N5265">
        <v>-9.2705730000000007E-3</v>
      </c>
      <c r="O5265">
        <v>5.9863349999999997E-3</v>
      </c>
      <c r="P5265">
        <v>-0.9204215</v>
      </c>
      <c r="Q5265">
        <v>0.35696099999999997</v>
      </c>
      <c r="R5265">
        <v>-0.159384</v>
      </c>
      <c r="S5265">
        <v>-3.308624</v>
      </c>
      <c r="T5265">
        <v>-0.29977039999999999</v>
      </c>
      <c r="U5265">
        <v>-0.38008120000000001</v>
      </c>
      <c r="V5265">
        <v>-0.165067299999999</v>
      </c>
      <c r="W5265">
        <v>0.36539060000000001</v>
      </c>
      <c r="X5265">
        <v>0.91610179999999997</v>
      </c>
      <c r="Y5265">
        <v>-0.11951779999999999</v>
      </c>
      <c r="Z5265">
        <v>-6.4270530000000003E-3</v>
      </c>
      <c r="AA5265">
        <v>0.99281129999999995</v>
      </c>
      <c r="AB5265">
        <v>36</v>
      </c>
      <c r="AC5265">
        <v>-12.0011999999999</v>
      </c>
      <c r="AD5265">
        <v>-1.1103920467599999</v>
      </c>
      <c r="AE5265">
        <v>-1.4094</v>
      </c>
      <c r="AF5265">
        <v>-1.4688181389958499</v>
      </c>
      <c r="AG5265">
        <v>-1.1103920467599999</v>
      </c>
      <c r="AH5265">
        <v>11.8921288321862</v>
      </c>
      <c r="AI5265">
        <v>95.294357020217603</v>
      </c>
      <c r="AJ5265">
        <v>97.041044789112206</v>
      </c>
      <c r="AK5265">
        <v>12.033832531004601</v>
      </c>
      <c r="AL5265">
        <v>68.568377268271803</v>
      </c>
      <c r="AM5265">
        <v>100.214209996957</v>
      </c>
      <c r="AN5265">
        <v>1.0000000060304399</v>
      </c>
    </row>
    <row r="5266" spans="1:40" x14ac:dyDescent="0.25">
      <c r="A5266" t="str">
        <f>"20190304164953081"</f>
        <v>20190304164953081</v>
      </c>
      <c r="B5266" t="str">
        <f>"1551689393071091"</f>
        <v>1551689393071091</v>
      </c>
      <c r="C5266" t="s">
        <v>40</v>
      </c>
      <c r="D5266">
        <v>4.5107549999999996</v>
      </c>
      <c r="E5266">
        <v>0.49826500000000001</v>
      </c>
      <c r="F5266" t="s">
        <v>42</v>
      </c>
      <c r="G5266">
        <v>-373.82470000000001</v>
      </c>
      <c r="H5266" s="1">
        <v>-2.920991E-6</v>
      </c>
      <c r="I5266">
        <v>140.70429999999999</v>
      </c>
      <c r="J5266">
        <v>-361.77179999999998</v>
      </c>
      <c r="K5266">
        <v>1.1103959999999999</v>
      </c>
      <c r="L5266">
        <v>142.1397</v>
      </c>
      <c r="M5266">
        <v>-0.99994000000000005</v>
      </c>
      <c r="N5266">
        <v>-9.2713610000000005E-3</v>
      </c>
      <c r="O5266">
        <v>5.8333259999999998E-3</v>
      </c>
      <c r="P5266">
        <v>-0.92015049999999998</v>
      </c>
      <c r="Q5266">
        <v>0.35708570000000001</v>
      </c>
      <c r="R5266">
        <v>-0.1606639</v>
      </c>
      <c r="S5266">
        <v>-3.3085019999999998</v>
      </c>
      <c r="T5266">
        <v>-0.29919089999999998</v>
      </c>
      <c r="U5266">
        <v>-0.38642880000000002</v>
      </c>
      <c r="V5266">
        <v>-0.16620929999999901</v>
      </c>
      <c r="W5266">
        <v>0.36551090000000003</v>
      </c>
      <c r="X5266">
        <v>0.91584730000000003</v>
      </c>
      <c r="Y5266">
        <v>-0.1212444</v>
      </c>
      <c r="Z5266">
        <v>-6.4886630000000004E-3</v>
      </c>
      <c r="AA5266">
        <v>0.99260150000000003</v>
      </c>
      <c r="AB5266">
        <v>36</v>
      </c>
      <c r="AC5266">
        <v>-12.052899999999999</v>
      </c>
      <c r="AD5266">
        <v>-1.1103989209909999</v>
      </c>
      <c r="AE5266">
        <v>-1.43540000000001</v>
      </c>
      <c r="AF5266">
        <v>-1.4931910055031701</v>
      </c>
      <c r="AG5266">
        <v>-1.1103989209909999</v>
      </c>
      <c r="AH5266">
        <v>11.944362450318801</v>
      </c>
      <c r="AI5266">
        <v>95.270405222715297</v>
      </c>
      <c r="AJ5266">
        <v>97.125704498453103</v>
      </c>
      <c r="AK5266">
        <v>12.0884407384592</v>
      </c>
      <c r="AL5266">
        <v>68.560972556700307</v>
      </c>
      <c r="AM5266">
        <v>100.286169679829</v>
      </c>
      <c r="AN5266">
        <v>1.0000000131712901</v>
      </c>
    </row>
    <row r="5267" spans="1:40" x14ac:dyDescent="0.25">
      <c r="A5267" t="str">
        <f>"20190304164953095"</f>
        <v>20190304164953095</v>
      </c>
      <c r="B5267" t="str">
        <f>"1551689393090611"</f>
        <v>1551689393090611</v>
      </c>
      <c r="C5267" t="s">
        <v>40</v>
      </c>
      <c r="D5267">
        <v>4.434895</v>
      </c>
      <c r="E5267">
        <v>0.49125649999999998</v>
      </c>
      <c r="F5267" t="s">
        <v>42</v>
      </c>
      <c r="G5267">
        <v>-373.8211</v>
      </c>
      <c r="H5267" s="1">
        <v>-2.678897E-6</v>
      </c>
      <c r="I5267">
        <v>139.7886</v>
      </c>
      <c r="J5267">
        <v>-361.99450000000002</v>
      </c>
      <c r="K5267">
        <v>1.110403</v>
      </c>
      <c r="L5267">
        <v>142.14089999999999</v>
      </c>
      <c r="M5267">
        <v>-0.99994090000000002</v>
      </c>
      <c r="N5267">
        <v>-9.2724250000000008E-3</v>
      </c>
      <c r="O5267">
        <v>5.6809169999999997E-3</v>
      </c>
      <c r="P5267">
        <v>-0.91967049999999995</v>
      </c>
      <c r="Q5267">
        <v>0.35770159999999901</v>
      </c>
      <c r="R5267">
        <v>-0.16203589999999901</v>
      </c>
      <c r="S5267">
        <v>-3.2658689999999999</v>
      </c>
      <c r="T5267">
        <v>-0.30096390000000001</v>
      </c>
      <c r="U5267">
        <v>-0.63722230000000002</v>
      </c>
      <c r="V5267">
        <v>-0.16744300000000001</v>
      </c>
      <c r="W5267">
        <v>0.36612070000000002</v>
      </c>
      <c r="X5267">
        <v>0.9153789</v>
      </c>
      <c r="Y5267">
        <v>-0.1961743</v>
      </c>
      <c r="Z5267">
        <v>-1.032193E-2</v>
      </c>
      <c r="AA5267">
        <v>0.98051469999999996</v>
      </c>
      <c r="AB5267">
        <v>36</v>
      </c>
      <c r="AC5267">
        <v>-11.8265999999999</v>
      </c>
      <c r="AD5267">
        <v>-1.110405678897</v>
      </c>
      <c r="AE5267">
        <v>-2.3522999999999801</v>
      </c>
      <c r="AF5267">
        <v>-2.39910653963272</v>
      </c>
      <c r="AG5267">
        <v>-1.110405678897</v>
      </c>
      <c r="AH5267">
        <v>11.713713568250901</v>
      </c>
      <c r="AI5267">
        <v>95.305701899690007</v>
      </c>
      <c r="AJ5267">
        <v>101.574776621206</v>
      </c>
      <c r="AK5267">
        <v>12.008322052612501</v>
      </c>
      <c r="AL5267">
        <v>68.523431850050301</v>
      </c>
      <c r="AM5267">
        <v>100.36605855131199</v>
      </c>
      <c r="AN5267">
        <v>1.0000000278913399</v>
      </c>
    </row>
    <row r="5268" spans="1:40" x14ac:dyDescent="0.25">
      <c r="A5268" t="str">
        <f>"20190304164953108"</f>
        <v>20190304164953108</v>
      </c>
      <c r="B5268" t="str">
        <f>"1551689393101347"</f>
        <v>1551689393101347</v>
      </c>
      <c r="C5268" t="s">
        <v>40</v>
      </c>
      <c r="D5268">
        <v>4.4730509999999999</v>
      </c>
      <c r="E5268">
        <v>0.49024909999999999</v>
      </c>
      <c r="F5268" t="s">
        <v>42</v>
      </c>
      <c r="G5268">
        <v>-375.13600000000002</v>
      </c>
      <c r="H5268" s="1">
        <v>-2.1194439999999999E-6</v>
      </c>
      <c r="I5268">
        <v>139.33150000000001</v>
      </c>
      <c r="J5268">
        <v>-362.21480000000003</v>
      </c>
      <c r="K5268">
        <v>1.1104069999999999</v>
      </c>
      <c r="L5268">
        <v>142.142</v>
      </c>
      <c r="M5268">
        <v>-0.99994179999999999</v>
      </c>
      <c r="N5268">
        <v>-9.2739369999999995E-3</v>
      </c>
      <c r="O5268">
        <v>5.5280950000000002E-3</v>
      </c>
      <c r="P5268">
        <v>-0.91900020000000004</v>
      </c>
      <c r="Q5268">
        <v>0.35829270000000002</v>
      </c>
      <c r="R5268">
        <v>-0.164514299999999</v>
      </c>
      <c r="S5268">
        <v>-3.246429</v>
      </c>
      <c r="T5268">
        <v>-0.2743102</v>
      </c>
      <c r="U5268">
        <v>-0.69400019999999996</v>
      </c>
      <c r="V5268">
        <v>-0.16978109999999999</v>
      </c>
      <c r="W5268">
        <v>0.36670409999999998</v>
      </c>
      <c r="X5268">
        <v>0.91471449999999999</v>
      </c>
      <c r="Y5268">
        <v>-0.21362690000000001</v>
      </c>
      <c r="Z5268">
        <v>-1.0323219999999999E-2</v>
      </c>
      <c r="AA5268">
        <v>0.97686079999999997</v>
      </c>
      <c r="AB5268">
        <v>36</v>
      </c>
      <c r="AC5268">
        <v>-12.921199999999899</v>
      </c>
      <c r="AD5268">
        <v>-1.110409119444</v>
      </c>
      <c r="AE5268">
        <v>-2.81049999999999</v>
      </c>
      <c r="AF5268">
        <v>-2.8617102404633701</v>
      </c>
      <c r="AG5268">
        <v>-1.110409119444</v>
      </c>
      <c r="AH5268">
        <v>12.8150988343499</v>
      </c>
      <c r="AI5268">
        <v>94.833754826763993</v>
      </c>
      <c r="AJ5268">
        <v>102.588060596452</v>
      </c>
      <c r="AK5268">
        <v>13.177600390324301</v>
      </c>
      <c r="AL5268">
        <v>68.487507910619897</v>
      </c>
      <c r="AM5268">
        <v>100.515065303702</v>
      </c>
      <c r="AN5268">
        <v>1.0000000676921299</v>
      </c>
    </row>
    <row r="5269" spans="1:40" x14ac:dyDescent="0.25">
      <c r="A5269" t="str">
        <f>"20190304164953123"</f>
        <v>20190304164953123</v>
      </c>
      <c r="B5269" t="str">
        <f>"1551689393120867"</f>
        <v>1551689393120867</v>
      </c>
      <c r="C5269" t="s">
        <v>40</v>
      </c>
      <c r="D5269">
        <v>4.4463439999999999</v>
      </c>
      <c r="E5269">
        <v>0.48862460000000002</v>
      </c>
      <c r="F5269" t="s">
        <v>42</v>
      </c>
      <c r="G5269">
        <v>-375.7124</v>
      </c>
      <c r="H5269" s="1">
        <v>-1.8975649999999999E-6</v>
      </c>
      <c r="I5269">
        <v>139.1885</v>
      </c>
      <c r="J5269">
        <v>-362.45659999999998</v>
      </c>
      <c r="K5269">
        <v>1.1104039999999999</v>
      </c>
      <c r="L5269">
        <v>142.14320000000001</v>
      </c>
      <c r="M5269">
        <v>-0.99994269999999996</v>
      </c>
      <c r="N5269">
        <v>-9.2758649999999995E-3</v>
      </c>
      <c r="O5269">
        <v>5.3588749999999999E-3</v>
      </c>
      <c r="P5269">
        <v>-0.91867650000000001</v>
      </c>
      <c r="Q5269">
        <v>0.35853079999999998</v>
      </c>
      <c r="R5269">
        <v>-0.16579849999999999</v>
      </c>
      <c r="S5269">
        <v>-3.241425</v>
      </c>
      <c r="T5269">
        <v>-0.26666459999999997</v>
      </c>
      <c r="U5269">
        <v>-0.70927430000000002</v>
      </c>
      <c r="V5269">
        <v>-0.1709128</v>
      </c>
      <c r="W5269">
        <v>0.36693870000000001</v>
      </c>
      <c r="X5269">
        <v>0.91440949999999999</v>
      </c>
      <c r="Y5269">
        <v>-0.21819040000000001</v>
      </c>
      <c r="Z5269">
        <v>-1.026728E-2</v>
      </c>
      <c r="AA5269">
        <v>0.97585219999999995</v>
      </c>
      <c r="AB5269">
        <v>36</v>
      </c>
      <c r="AC5269">
        <v>-13.255800000000001</v>
      </c>
      <c r="AD5269">
        <v>-1.110405897565</v>
      </c>
      <c r="AE5269">
        <v>-2.9546999999999999</v>
      </c>
      <c r="AF5269">
        <v>-3.0056047113171802</v>
      </c>
      <c r="AG5269">
        <v>-1.110405897565</v>
      </c>
      <c r="AH5269">
        <v>13.151856611577101</v>
      </c>
      <c r="AI5269">
        <v>94.705273725958506</v>
      </c>
      <c r="AJ5269">
        <v>102.87279092345899</v>
      </c>
      <c r="AK5269">
        <v>13.5365428847074</v>
      </c>
      <c r="AL5269">
        <v>68.473056777908397</v>
      </c>
      <c r="AM5269">
        <v>100.58702686137001</v>
      </c>
      <c r="AN5269">
        <v>0.99999996422588899</v>
      </c>
    </row>
    <row r="5270" spans="1:40" x14ac:dyDescent="0.25">
      <c r="A5270" t="str">
        <f>"20190304164953137"</f>
        <v>20190304164953137</v>
      </c>
      <c r="B5270" t="str">
        <f>"1551689393131135"</f>
        <v>1551689393131135</v>
      </c>
      <c r="C5270" t="s">
        <v>40</v>
      </c>
      <c r="D5270">
        <v>4.441128</v>
      </c>
      <c r="E5270">
        <v>0.4881008</v>
      </c>
      <c r="F5270" t="s">
        <v>42</v>
      </c>
      <c r="G5270">
        <v>-375.82409999999999</v>
      </c>
      <c r="H5270" s="1">
        <v>-1.857008E-6</v>
      </c>
      <c r="I5270">
        <v>139.14680000000001</v>
      </c>
      <c r="J5270">
        <v>-362.68520000000001</v>
      </c>
      <c r="K5270">
        <v>1.110409</v>
      </c>
      <c r="L5270">
        <v>142.14429999999999</v>
      </c>
      <c r="M5270">
        <v>-0.99994340000000004</v>
      </c>
      <c r="N5270">
        <v>-9.2779400000000001E-3</v>
      </c>
      <c r="O5270">
        <v>5.1970469999999998E-3</v>
      </c>
      <c r="P5270">
        <v>-0.91845619999999994</v>
      </c>
      <c r="Q5270">
        <v>0.35864170000000001</v>
      </c>
      <c r="R5270">
        <v>-0.16677600000000001</v>
      </c>
      <c r="S5270">
        <v>-3.2395019999999999</v>
      </c>
      <c r="T5270">
        <v>-0.26909830000000001</v>
      </c>
      <c r="U5270">
        <v>-0.72613530000000004</v>
      </c>
      <c r="V5270">
        <v>-0.1717446</v>
      </c>
      <c r="W5270">
        <v>0.36704740000000002</v>
      </c>
      <c r="X5270">
        <v>0.91420999999999997</v>
      </c>
      <c r="Y5270">
        <v>-0.2229614</v>
      </c>
      <c r="Z5270">
        <v>-1.0558929999999999E-2</v>
      </c>
      <c r="AA5270">
        <v>0.97477009999999997</v>
      </c>
      <c r="AB5270">
        <v>36</v>
      </c>
      <c r="AC5270">
        <v>-13.1388999999999</v>
      </c>
      <c r="AD5270">
        <v>-1.110410857008</v>
      </c>
      <c r="AE5270">
        <v>-2.9974999999999699</v>
      </c>
      <c r="AF5270">
        <v>-3.0450725516539601</v>
      </c>
      <c r="AG5270">
        <v>-1.110410857008</v>
      </c>
      <c r="AH5270">
        <v>13.034649818541199</v>
      </c>
      <c r="AI5270">
        <v>94.742145730741896</v>
      </c>
      <c r="AJ5270">
        <v>103.14925483955</v>
      </c>
      <c r="AK5270">
        <v>13.4315887000829</v>
      </c>
      <c r="AL5270">
        <v>68.466361526167006</v>
      </c>
      <c r="AM5270">
        <v>100.639647093432</v>
      </c>
      <c r="AN5270">
        <v>0.999999962787959</v>
      </c>
    </row>
    <row r="5271" spans="1:40" x14ac:dyDescent="0.25">
      <c r="A5271" t="str">
        <f>"20190304164953150"</f>
        <v>20190304164953150</v>
      </c>
      <c r="B5271" t="str">
        <f>"1551689393140894"</f>
        <v>1551689393140894</v>
      </c>
      <c r="C5271" t="s">
        <v>40</v>
      </c>
      <c r="D5271">
        <v>4.4320620000000002</v>
      </c>
      <c r="E5271">
        <v>0.48769709999999999</v>
      </c>
      <c r="F5271" t="s">
        <v>42</v>
      </c>
      <c r="G5271">
        <v>-375.98700000000002</v>
      </c>
      <c r="H5271" s="1">
        <v>-1.790199E-6</v>
      </c>
      <c r="I5271">
        <v>139.12950000000001</v>
      </c>
      <c r="J5271">
        <v>-362.90769999999998</v>
      </c>
      <c r="K5271">
        <v>1.1104130000000001</v>
      </c>
      <c r="L5271">
        <v>142.14529999999999</v>
      </c>
      <c r="M5271">
        <v>-0.99994430000000001</v>
      </c>
      <c r="N5271">
        <v>-9.2802409999999998E-3</v>
      </c>
      <c r="O5271">
        <v>5.0365879999999998E-3</v>
      </c>
      <c r="P5271">
        <v>-0.91820789999999997</v>
      </c>
      <c r="Q5271">
        <v>0.35878719999999997</v>
      </c>
      <c r="R5271">
        <v>-0.167827</v>
      </c>
      <c r="S5271">
        <v>-3.2386170000000001</v>
      </c>
      <c r="T5271">
        <v>-0.27035419999999999</v>
      </c>
      <c r="U5271">
        <v>-0.73399349999999997</v>
      </c>
      <c r="V5271">
        <v>-0.17265169999999999</v>
      </c>
      <c r="W5271">
        <v>0.36719020000000002</v>
      </c>
      <c r="X5271">
        <v>0.91398179999999996</v>
      </c>
      <c r="Y5271">
        <v>-0.2250973</v>
      </c>
      <c r="Z5271">
        <v>-1.0690180000000001E-2</v>
      </c>
      <c r="AA5271">
        <v>0.97427759999999997</v>
      </c>
      <c r="AB5271">
        <v>37</v>
      </c>
      <c r="AC5271">
        <v>-13.0792999999999</v>
      </c>
      <c r="AD5271">
        <v>-1.11041479019899</v>
      </c>
      <c r="AE5271">
        <v>-3.0157999999999801</v>
      </c>
      <c r="AF5271">
        <v>-3.0606925084343199</v>
      </c>
      <c r="AG5271">
        <v>-1.11041479019899</v>
      </c>
      <c r="AH5271">
        <v>12.9751433325648</v>
      </c>
      <c r="AI5271">
        <v>94.761411224979</v>
      </c>
      <c r="AJ5271">
        <v>103.272807345167</v>
      </c>
      <c r="AK5271">
        <v>13.377413955547601</v>
      </c>
      <c r="AL5271">
        <v>68.457566149456298</v>
      </c>
      <c r="AM5271">
        <v>100.69715798582</v>
      </c>
      <c r="AN5271">
        <v>0.99999999161008402</v>
      </c>
    </row>
    <row r="5272" spans="1:40" x14ac:dyDescent="0.25">
      <c r="A5272" t="str">
        <f>"20190304164953164"</f>
        <v>20190304164953164</v>
      </c>
      <c r="B5272" t="str">
        <f>"1551689393161390"</f>
        <v>1551689393161390</v>
      </c>
      <c r="C5272" t="s">
        <v>40</v>
      </c>
      <c r="D5272">
        <v>4.4455980000000004</v>
      </c>
      <c r="E5272">
        <v>0.48776989999999998</v>
      </c>
      <c r="F5272" t="s">
        <v>42</v>
      </c>
      <c r="G5272">
        <v>-376.16109999999998</v>
      </c>
      <c r="H5272" s="1">
        <v>-1.718386E-6</v>
      </c>
      <c r="I5272">
        <v>139.11340000000001</v>
      </c>
      <c r="J5272">
        <v>-363.11200000000002</v>
      </c>
      <c r="K5272">
        <v>1.1104179999999999</v>
      </c>
      <c r="L5272">
        <v>142.14619999999999</v>
      </c>
      <c r="M5272">
        <v>-0.99994499999999997</v>
      </c>
      <c r="N5272">
        <v>-9.2825200000000007E-3</v>
      </c>
      <c r="O5272">
        <v>4.886858E-3</v>
      </c>
      <c r="P5272">
        <v>-0.91771760000000002</v>
      </c>
      <c r="Q5272">
        <v>0.35915320000000001</v>
      </c>
      <c r="R5272">
        <v>-0.16971530000000001</v>
      </c>
      <c r="S5272">
        <v>-3.2378849999999999</v>
      </c>
      <c r="T5272">
        <v>-0.27128140000000001</v>
      </c>
      <c r="U5272">
        <v>-0.74069209999999996</v>
      </c>
      <c r="V5272">
        <v>-0.17440410000000001</v>
      </c>
      <c r="W5272">
        <v>0.36755120000000002</v>
      </c>
      <c r="X5272">
        <v>0.91350390000000004</v>
      </c>
      <c r="Y5272">
        <v>-0.2269031</v>
      </c>
      <c r="Z5272">
        <v>-1.079577E-2</v>
      </c>
      <c r="AA5272">
        <v>0.97385750000000004</v>
      </c>
      <c r="AB5272">
        <v>37</v>
      </c>
      <c r="AC5272">
        <v>-13.049099999999999</v>
      </c>
      <c r="AD5272">
        <v>-1.1104197183859901</v>
      </c>
      <c r="AE5272">
        <v>-3.03279999999998</v>
      </c>
      <c r="AF5272">
        <v>-3.0754071394925102</v>
      </c>
      <c r="AG5272">
        <v>-1.1104197183859901</v>
      </c>
      <c r="AH5272">
        <v>12.945187375443201</v>
      </c>
      <c r="AI5272">
        <v>94.770608301001502</v>
      </c>
      <c r="AJ5272">
        <v>103.36409443602101</v>
      </c>
      <c r="AK5272">
        <v>13.3517428528996</v>
      </c>
      <c r="AL5272">
        <v>68.435328069693298</v>
      </c>
      <c r="AM5272">
        <v>100.80870906570399</v>
      </c>
      <c r="AN5272">
        <v>1.00000002501672</v>
      </c>
    </row>
    <row r="5273" spans="1:40" x14ac:dyDescent="0.25">
      <c r="A5273" t="str">
        <f>"20190304164953181"</f>
        <v>20190304164953181</v>
      </c>
      <c r="B5273" t="str">
        <f>"1551689393171151"</f>
        <v>1551689393171151</v>
      </c>
      <c r="C5273" t="s">
        <v>40</v>
      </c>
      <c r="D5273">
        <v>4.4232899999999997</v>
      </c>
      <c r="E5273">
        <v>0.4876935</v>
      </c>
      <c r="F5273" t="s">
        <v>42</v>
      </c>
      <c r="G5273">
        <v>-376.58580000000001</v>
      </c>
      <c r="H5273" s="1">
        <v>-1.5493909999999999E-6</v>
      </c>
      <c r="I5273">
        <v>139.03890000000001</v>
      </c>
      <c r="J5273">
        <v>-363.40300000000002</v>
      </c>
      <c r="K5273">
        <v>1.110425</v>
      </c>
      <c r="L5273">
        <v>142.14750000000001</v>
      </c>
      <c r="M5273">
        <v>-0.999946</v>
      </c>
      <c r="N5273">
        <v>-9.2859980000000002E-3</v>
      </c>
      <c r="O5273">
        <v>4.6691429999999997E-3</v>
      </c>
      <c r="P5273">
        <v>-0.91750940000000003</v>
      </c>
      <c r="Q5273">
        <v>0.3591993</v>
      </c>
      <c r="R5273">
        <v>-0.17074029999999901</v>
      </c>
      <c r="S5273">
        <v>-3.2353519999999998</v>
      </c>
      <c r="T5273">
        <v>-0.26663700000000001</v>
      </c>
      <c r="U5273">
        <v>-0.74610900000000002</v>
      </c>
      <c r="V5273">
        <v>-0.1752349</v>
      </c>
      <c r="W5273">
        <v>0.36759510000000001</v>
      </c>
      <c r="X5273">
        <v>0.91332720000000001</v>
      </c>
      <c r="Y5273">
        <v>-0.22842699999999999</v>
      </c>
      <c r="Z5273">
        <v>-1.068847E-2</v>
      </c>
      <c r="AA5273">
        <v>0.97350239999999999</v>
      </c>
      <c r="AB5273">
        <v>37</v>
      </c>
      <c r="AC5273">
        <v>-13.182799999999901</v>
      </c>
      <c r="AD5273">
        <v>-1.1104265493909999</v>
      </c>
      <c r="AE5273">
        <v>-3.1085999999999898</v>
      </c>
      <c r="AF5273">
        <v>-3.1489555998783598</v>
      </c>
      <c r="AG5273">
        <v>-1.1104265493909999</v>
      </c>
      <c r="AH5273">
        <v>13.0802231176196</v>
      </c>
      <c r="AI5273">
        <v>94.718241214710403</v>
      </c>
      <c r="AJ5273">
        <v>103.53591018361701</v>
      </c>
      <c r="AK5273">
        <v>13.4996742663779</v>
      </c>
      <c r="AL5273">
        <v>68.432622902758098</v>
      </c>
      <c r="AM5273">
        <v>100.861027517412</v>
      </c>
      <c r="AN5273">
        <v>1.00000000099093</v>
      </c>
    </row>
    <row r="5274" spans="1:40" x14ac:dyDescent="0.25">
      <c r="A5274" t="str">
        <f>"20190304164953199"</f>
        <v>20190304164953199</v>
      </c>
      <c r="B5274" t="str">
        <f>"1551689393190670"</f>
        <v>1551689393190670</v>
      </c>
      <c r="C5274" t="s">
        <v>40</v>
      </c>
      <c r="D5274">
        <v>4.4417549999999997</v>
      </c>
      <c r="E5274">
        <v>0.48748590000000003</v>
      </c>
      <c r="F5274" t="s">
        <v>42</v>
      </c>
      <c r="G5274">
        <v>-376.78269999999998</v>
      </c>
      <c r="H5274" s="1">
        <v>-1.464073E-6</v>
      </c>
      <c r="I5274">
        <v>139.04390000000001</v>
      </c>
      <c r="J5274">
        <v>-363.68900000000002</v>
      </c>
      <c r="K5274">
        <v>1.1104339999999999</v>
      </c>
      <c r="L5274">
        <v>142.14859999999999</v>
      </c>
      <c r="M5274">
        <v>-0.99994709999999998</v>
      </c>
      <c r="N5274">
        <v>-9.2897039999999993E-3</v>
      </c>
      <c r="O5274">
        <v>4.4480190000000001E-3</v>
      </c>
      <c r="P5274">
        <v>-0.91707749999999999</v>
      </c>
      <c r="Q5274">
        <v>0.35946409999999901</v>
      </c>
      <c r="R5274">
        <v>-0.1724956</v>
      </c>
      <c r="S5274">
        <v>-3.2351679999999998</v>
      </c>
      <c r="T5274">
        <v>-0.26849959999999901</v>
      </c>
      <c r="U5274">
        <v>-0.75042719999999996</v>
      </c>
      <c r="V5274">
        <v>-0.176792899999999</v>
      </c>
      <c r="W5274">
        <v>0.3678554</v>
      </c>
      <c r="X5274">
        <v>0.91292200000000001</v>
      </c>
      <c r="Y5274">
        <v>-0.22944310000000001</v>
      </c>
      <c r="Z5274">
        <v>-1.0785660000000001E-2</v>
      </c>
      <c r="AA5274">
        <v>0.97326230000000002</v>
      </c>
      <c r="AB5274">
        <v>37</v>
      </c>
      <c r="AC5274">
        <v>-13.093699999999901</v>
      </c>
      <c r="AD5274">
        <v>-1.1104354640730001</v>
      </c>
      <c r="AE5274">
        <v>-3.1046999999999798</v>
      </c>
      <c r="AF5274">
        <v>-3.14152107083205</v>
      </c>
      <c r="AG5274">
        <v>-1.1104354640730001</v>
      </c>
      <c r="AH5274">
        <v>12.9912976919966</v>
      </c>
      <c r="AI5274">
        <v>94.749268687114395</v>
      </c>
      <c r="AJ5274">
        <v>103.59414758895301</v>
      </c>
      <c r="AK5274">
        <v>13.411787251534699</v>
      </c>
      <c r="AL5274">
        <v>68.416583992344002</v>
      </c>
      <c r="AM5274">
        <v>100.96001032185301</v>
      </c>
      <c r="AN5274">
        <v>0.999999951441783</v>
      </c>
    </row>
    <row r="5275" spans="1:40" x14ac:dyDescent="0.25">
      <c r="A5275" t="str">
        <f>"20190304164953219"</f>
        <v>20190304164953219</v>
      </c>
      <c r="B5275" t="str">
        <f>"1551689393211166"</f>
        <v>1551689393211166</v>
      </c>
      <c r="C5275" t="s">
        <v>40</v>
      </c>
      <c r="D5275">
        <v>4.4510860000000001</v>
      </c>
      <c r="E5275">
        <v>0.48742609999999997</v>
      </c>
      <c r="F5275" t="s">
        <v>42</v>
      </c>
      <c r="G5275">
        <v>-376.92880000000002</v>
      </c>
      <c r="H5275" s="1">
        <v>-1.401083E-6</v>
      </c>
      <c r="I5275">
        <v>139.0454</v>
      </c>
      <c r="J5275">
        <v>-364.03149999999999</v>
      </c>
      <c r="K5275">
        <v>1.1104419999999999</v>
      </c>
      <c r="L5275">
        <v>142.1499</v>
      </c>
      <c r="M5275">
        <v>-0.99994819999999995</v>
      </c>
      <c r="N5275">
        <v>-9.2944910000000002E-3</v>
      </c>
      <c r="O5275">
        <v>4.1724900000000001E-3</v>
      </c>
      <c r="P5275">
        <v>-0.91651800000000005</v>
      </c>
      <c r="Q5275">
        <v>0.3600314</v>
      </c>
      <c r="R5275">
        <v>-0.1742764</v>
      </c>
      <c r="S5275">
        <v>-3.2349549999999998</v>
      </c>
      <c r="T5275">
        <v>-0.27131959999999999</v>
      </c>
      <c r="U5275">
        <v>-0.75819399999999904</v>
      </c>
      <c r="V5275">
        <v>-0.17832979999999901</v>
      </c>
      <c r="W5275">
        <v>0.36841620000000003</v>
      </c>
      <c r="X5275">
        <v>0.91239680000000001</v>
      </c>
      <c r="Y5275">
        <v>-0.2313817</v>
      </c>
      <c r="Z5275">
        <v>-1.095551E-2</v>
      </c>
      <c r="AA5275">
        <v>0.97280129999999998</v>
      </c>
      <c r="AB5275">
        <v>37</v>
      </c>
      <c r="AC5275">
        <v>-12.8973</v>
      </c>
      <c r="AD5275">
        <v>-1.110443401083</v>
      </c>
      <c r="AE5275">
        <v>-3.1044999999999998</v>
      </c>
      <c r="AF5275">
        <v>-3.1363129172328801</v>
      </c>
      <c r="AG5275">
        <v>-1.110443401083</v>
      </c>
      <c r="AH5275">
        <v>12.794581682737601</v>
      </c>
      <c r="AI5275">
        <v>94.818330207449193</v>
      </c>
      <c r="AJ5275">
        <v>103.773230452524</v>
      </c>
      <c r="AK5275">
        <v>13.220093180384801</v>
      </c>
      <c r="AL5275">
        <v>68.382025907860495</v>
      </c>
      <c r="AM5275">
        <v>101.05915713859901</v>
      </c>
      <c r="AN5275">
        <v>0.99999996732035901</v>
      </c>
    </row>
    <row r="5276" spans="1:40" x14ac:dyDescent="0.25">
      <c r="A5276" t="str">
        <f>"20190304164953236"</f>
        <v>20190304164953236</v>
      </c>
      <c r="B5276" t="str">
        <f>"1551689393231195"</f>
        <v>1551689393231195</v>
      </c>
      <c r="C5276" t="s">
        <v>40</v>
      </c>
      <c r="D5276">
        <v>4.4516640000000001</v>
      </c>
      <c r="E5276">
        <v>0.4874156</v>
      </c>
      <c r="F5276" t="s">
        <v>42</v>
      </c>
      <c r="G5276">
        <v>-377.2079</v>
      </c>
      <c r="H5276" s="1">
        <v>-1.28355E-6</v>
      </c>
      <c r="I5276">
        <v>139.03319999999999</v>
      </c>
      <c r="J5276">
        <v>-364.28899999999999</v>
      </c>
      <c r="K5276">
        <v>1.110449</v>
      </c>
      <c r="L5276">
        <v>142.1507</v>
      </c>
      <c r="M5276">
        <v>-0.99994899999999998</v>
      </c>
      <c r="N5276">
        <v>-9.2982789999999996E-3</v>
      </c>
      <c r="O5276">
        <v>3.9585000000000002E-3</v>
      </c>
      <c r="P5276">
        <v>-0.91625820000000002</v>
      </c>
      <c r="Q5276">
        <v>0.36026599999999998</v>
      </c>
      <c r="R5276">
        <v>-0.17515530000000001</v>
      </c>
      <c r="S5276">
        <v>-3.2348629999999998</v>
      </c>
      <c r="T5276">
        <v>-0.27261950000000001</v>
      </c>
      <c r="U5276">
        <v>-0.765136699999999</v>
      </c>
      <c r="V5276">
        <v>-0.17902000000000001</v>
      </c>
      <c r="W5276">
        <v>0.36864760000000002</v>
      </c>
      <c r="X5276">
        <v>0.91216810000000004</v>
      </c>
      <c r="Y5276">
        <v>-0.23314389999999999</v>
      </c>
      <c r="Z5276">
        <v>-1.106702E-2</v>
      </c>
      <c r="AA5276">
        <v>0.97237929999999995</v>
      </c>
      <c r="AB5276">
        <v>37</v>
      </c>
      <c r="AC5276">
        <v>-12.918900000000001</v>
      </c>
      <c r="AD5276">
        <v>-1.1104502835500001</v>
      </c>
      <c r="AE5276">
        <v>-3.1175000000000002</v>
      </c>
      <c r="AF5276">
        <v>-3.1466480360112898</v>
      </c>
      <c r="AG5276">
        <v>-1.1104502835500001</v>
      </c>
      <c r="AH5276">
        <v>12.816972313472901</v>
      </c>
      <c r="AI5276">
        <v>94.809563147890898</v>
      </c>
      <c r="AJ5276">
        <v>103.793666149788</v>
      </c>
      <c r="AK5276">
        <v>13.244216586083899</v>
      </c>
      <c r="AL5276">
        <v>68.367762936011104</v>
      </c>
      <c r="AM5276">
        <v>101.103612927821</v>
      </c>
      <c r="AN5276">
        <v>0.99999992802168203</v>
      </c>
    </row>
    <row r="5277" spans="1:40" x14ac:dyDescent="0.25">
      <c r="A5277" t="str">
        <f>"20190304164953253"</f>
        <v>20190304164953253</v>
      </c>
      <c r="B5277" t="str">
        <f>"1551689393240952"</f>
        <v>1551689393240952</v>
      </c>
      <c r="C5277" t="s">
        <v>40</v>
      </c>
      <c r="D5277">
        <v>4.4476500000000003</v>
      </c>
      <c r="E5277">
        <v>0.48742249999999998</v>
      </c>
      <c r="F5277" t="s">
        <v>42</v>
      </c>
      <c r="G5277">
        <v>-377.37920000000003</v>
      </c>
      <c r="H5277" s="1">
        <v>-1.208286E-6</v>
      </c>
      <c r="I5277">
        <v>139.04320000000001</v>
      </c>
      <c r="J5277">
        <v>-364.58280000000002</v>
      </c>
      <c r="K5277">
        <v>1.110466</v>
      </c>
      <c r="L5277">
        <v>142.15170000000001</v>
      </c>
      <c r="M5277">
        <v>-0.99994989999999995</v>
      </c>
      <c r="N5277">
        <v>-9.3028280000000008E-3</v>
      </c>
      <c r="O5277">
        <v>3.7029400000000001E-3</v>
      </c>
      <c r="P5277">
        <v>-0.91568970000000005</v>
      </c>
      <c r="Q5277">
        <v>0.3608751</v>
      </c>
      <c r="R5277">
        <v>-0.17686589999999999</v>
      </c>
      <c r="S5277">
        <v>-3.2353209999999999</v>
      </c>
      <c r="T5277">
        <v>-0.27445639999999999</v>
      </c>
      <c r="U5277">
        <v>-0.76803589999999999</v>
      </c>
      <c r="V5277">
        <v>-0.1805052</v>
      </c>
      <c r="W5277">
        <v>0.36925000000000002</v>
      </c>
      <c r="X5277">
        <v>0.91163170000000004</v>
      </c>
      <c r="Y5277">
        <v>-0.23367740000000001</v>
      </c>
      <c r="Z5277">
        <v>-1.1138220000000001E-2</v>
      </c>
      <c r="AA5277">
        <v>0.97225039999999996</v>
      </c>
      <c r="AB5277">
        <v>37</v>
      </c>
      <c r="AC5277">
        <v>-12.7964</v>
      </c>
      <c r="AD5277">
        <v>-1.1104672082860001</v>
      </c>
      <c r="AE5277">
        <v>-3.10849999999999</v>
      </c>
      <c r="AF5277">
        <v>-3.1335818750581899</v>
      </c>
      <c r="AG5277">
        <v>-1.1104672082860001</v>
      </c>
      <c r="AH5277">
        <v>12.694529317849399</v>
      </c>
      <c r="AI5277">
        <v>94.854304506424199</v>
      </c>
      <c r="AJ5277">
        <v>103.86598615553901</v>
      </c>
      <c r="AK5277">
        <v>13.122634925582201</v>
      </c>
      <c r="AL5277">
        <v>68.330630244377701</v>
      </c>
      <c r="AM5277">
        <v>101.19983444419501</v>
      </c>
      <c r="AN5277">
        <v>1.00000002308596</v>
      </c>
    </row>
    <row r="5278" spans="1:40" x14ac:dyDescent="0.25">
      <c r="A5278" t="str">
        <f>"20190304164953269"</f>
        <v>20190304164953269</v>
      </c>
      <c r="B5278" t="str">
        <f>"1551689393261449"</f>
        <v>1551689393261449</v>
      </c>
      <c r="C5278" t="s">
        <v>40</v>
      </c>
      <c r="D5278">
        <v>4.4651040000000002</v>
      </c>
      <c r="E5278">
        <v>0.4875505</v>
      </c>
      <c r="F5278" t="s">
        <v>42</v>
      </c>
      <c r="G5278">
        <v>-377.7165</v>
      </c>
      <c r="H5278" s="1">
        <v>-1.0692930000000001E-6</v>
      </c>
      <c r="I5278">
        <v>139.011</v>
      </c>
      <c r="J5278">
        <v>-364.84309999999999</v>
      </c>
      <c r="K5278">
        <v>1.110476</v>
      </c>
      <c r="L5278">
        <v>142.1525</v>
      </c>
      <c r="M5278">
        <v>-0.99995080000000003</v>
      </c>
      <c r="N5278">
        <v>-9.3070159999999996E-3</v>
      </c>
      <c r="O5278">
        <v>3.4673550000000001E-3</v>
      </c>
      <c r="P5278">
        <v>-0.91537139999999995</v>
      </c>
      <c r="Q5278">
        <v>0.36131980000000002</v>
      </c>
      <c r="R5278">
        <v>-0.17760519999999999</v>
      </c>
      <c r="S5278">
        <v>-3.2346189999999999</v>
      </c>
      <c r="T5278">
        <v>-0.27349079999999998</v>
      </c>
      <c r="U5278">
        <v>-0.77348329999999998</v>
      </c>
      <c r="V5278">
        <v>-0.18103749999999999</v>
      </c>
      <c r="W5278">
        <v>0.36969039999999997</v>
      </c>
      <c r="X5278">
        <v>0.91134760000000004</v>
      </c>
      <c r="Y5278">
        <v>-0.23504639999999999</v>
      </c>
      <c r="Z5278">
        <v>-1.114979E-2</v>
      </c>
      <c r="AA5278">
        <v>0.97192020000000001</v>
      </c>
      <c r="AB5278">
        <v>37</v>
      </c>
      <c r="AC5278">
        <v>-12.8734</v>
      </c>
      <c r="AD5278">
        <v>-1.1104770692929999</v>
      </c>
      <c r="AE5278">
        <v>-3.1415000000000002</v>
      </c>
      <c r="AF5278">
        <v>-3.1639002215543801</v>
      </c>
      <c r="AG5278">
        <v>-1.1104770692929999</v>
      </c>
      <c r="AH5278">
        <v>12.772729000666301</v>
      </c>
      <c r="AI5278">
        <v>94.823802983465896</v>
      </c>
      <c r="AJ5278">
        <v>103.91255055619</v>
      </c>
      <c r="AK5278">
        <v>13.205530283098801</v>
      </c>
      <c r="AL5278">
        <v>68.3034754646701</v>
      </c>
      <c r="AM5278">
        <v>101.235436007801</v>
      </c>
      <c r="AN5278">
        <v>1.0000000081420799</v>
      </c>
    </row>
    <row r="5279" spans="1:40" x14ac:dyDescent="0.25">
      <c r="A5279" t="str">
        <f>"20190304164953282"</f>
        <v>20190304164953282</v>
      </c>
      <c r="B5279" t="str">
        <f>"1551689393271208"</f>
        <v>1551689393271208</v>
      </c>
      <c r="C5279" t="s">
        <v>40</v>
      </c>
      <c r="D5279">
        <v>4.4936740000000004</v>
      </c>
      <c r="E5279">
        <v>0.4876181</v>
      </c>
      <c r="F5279" t="s">
        <v>42</v>
      </c>
      <c r="G5279">
        <v>-377.93459999999999</v>
      </c>
      <c r="H5279" s="1">
        <v>-9.7472449999999989E-7</v>
      </c>
      <c r="I5279">
        <v>139.01660000000001</v>
      </c>
      <c r="J5279">
        <v>-365.0609</v>
      </c>
      <c r="K5279">
        <v>1.110487</v>
      </c>
      <c r="L5279">
        <v>142.15299999999999</v>
      </c>
      <c r="M5279">
        <v>-0.99995140000000005</v>
      </c>
      <c r="N5279">
        <v>-9.3118890000000003E-3</v>
      </c>
      <c r="O5279">
        <v>3.2625330000000002E-3</v>
      </c>
      <c r="P5279">
        <v>-0.915134</v>
      </c>
      <c r="Q5279">
        <v>0.36145929999999998</v>
      </c>
      <c r="R5279">
        <v>-0.1785418</v>
      </c>
      <c r="S5279">
        <v>-3.2353209999999999</v>
      </c>
      <c r="T5279">
        <v>-0.2744354</v>
      </c>
      <c r="U5279">
        <v>-0.77494810000000003</v>
      </c>
      <c r="V5279">
        <v>-0.1817954</v>
      </c>
      <c r="W5279">
        <v>0.3698282</v>
      </c>
      <c r="X5279">
        <v>0.91114079999999997</v>
      </c>
      <c r="Y5279">
        <v>-0.23521030000000001</v>
      </c>
      <c r="Z5279">
        <v>-1.117483E-2</v>
      </c>
      <c r="AA5279">
        <v>0.97188030000000003</v>
      </c>
      <c r="AB5279">
        <v>37</v>
      </c>
      <c r="AC5279">
        <v>-12.8736999999999</v>
      </c>
      <c r="AD5279">
        <v>-1.1104879747245</v>
      </c>
      <c r="AE5279">
        <v>-3.1363999999999801</v>
      </c>
      <c r="AF5279">
        <v>-3.1562169827056601</v>
      </c>
      <c r="AG5279">
        <v>-1.1104879747245</v>
      </c>
      <c r="AH5279">
        <v>12.773677153754001</v>
      </c>
      <c r="AI5279">
        <v>94.824187569812096</v>
      </c>
      <c r="AJ5279">
        <v>103.87908266468899</v>
      </c>
      <c r="AK5279">
        <v>13.2046096955671</v>
      </c>
      <c r="AL5279">
        <v>68.294977930301798</v>
      </c>
      <c r="AM5279">
        <v>101.283763267731</v>
      </c>
      <c r="AN5279">
        <v>1.0000000112005101</v>
      </c>
    </row>
    <row r="5280" spans="1:40" x14ac:dyDescent="0.25">
      <c r="A5280" t="str">
        <f>"20190304164953295"</f>
        <v>20190304164953295</v>
      </c>
      <c r="B5280" t="str">
        <f>"1551689393290728"</f>
        <v>1551689393290728</v>
      </c>
      <c r="C5280" t="s">
        <v>40</v>
      </c>
      <c r="D5280">
        <v>4.6552879999999996</v>
      </c>
      <c r="E5280">
        <v>0.48780950000000001</v>
      </c>
      <c r="F5280" t="s">
        <v>42</v>
      </c>
      <c r="G5280">
        <v>-378.10070000000002</v>
      </c>
      <c r="H5280" s="1">
        <v>-9.0284599999999996E-7</v>
      </c>
      <c r="I5280">
        <v>139.02019999999999</v>
      </c>
      <c r="J5280">
        <v>-365.27330000000001</v>
      </c>
      <c r="K5280">
        <v>1.1105039999999999</v>
      </c>
      <c r="L5280">
        <v>142.15360000000001</v>
      </c>
      <c r="M5280">
        <v>-0.99995199999999995</v>
      </c>
      <c r="N5280">
        <v>-9.3178040000000007E-3</v>
      </c>
      <c r="O5280">
        <v>3.057045E-3</v>
      </c>
      <c r="P5280">
        <v>-0.91479339999999998</v>
      </c>
      <c r="Q5280">
        <v>0.36187760000000002</v>
      </c>
      <c r="R5280">
        <v>-0.17943799999999999</v>
      </c>
      <c r="S5280">
        <v>-3.235382</v>
      </c>
      <c r="T5280">
        <v>-0.2755321</v>
      </c>
      <c r="U5280">
        <v>-0.77729799999999905</v>
      </c>
      <c r="V5280">
        <v>-0.18251139999999999</v>
      </c>
      <c r="W5280">
        <v>0.37024370000000001</v>
      </c>
      <c r="X5280">
        <v>0.91082879999999999</v>
      </c>
      <c r="Y5280">
        <v>-0.23566599999999999</v>
      </c>
      <c r="Z5280">
        <v>-1.12207E-2</v>
      </c>
      <c r="AA5280">
        <v>0.97176929999999995</v>
      </c>
      <c r="AB5280">
        <v>37</v>
      </c>
      <c r="AC5280">
        <v>-12.827400000000001</v>
      </c>
      <c r="AD5280">
        <v>-1.1105049028459999</v>
      </c>
      <c r="AE5280">
        <v>-3.1334000000000199</v>
      </c>
      <c r="AF5280">
        <v>-3.1503193263437699</v>
      </c>
      <c r="AG5280">
        <v>-1.1105049028459999</v>
      </c>
      <c r="AH5280">
        <v>12.727739574067799</v>
      </c>
      <c r="AI5280">
        <v>94.841109010492801</v>
      </c>
      <c r="AJ5280">
        <v>103.902215169557</v>
      </c>
      <c r="AK5280">
        <v>13.158764670837201</v>
      </c>
      <c r="AL5280">
        <v>68.269351313825496</v>
      </c>
      <c r="AM5280">
        <v>101.330837216586</v>
      </c>
      <c r="AN5280">
        <v>0.99999995571454403</v>
      </c>
    </row>
    <row r="5281" spans="1:40" x14ac:dyDescent="0.25">
      <c r="A5281" t="str">
        <f>"20190304164953309"</f>
        <v>20190304164953309</v>
      </c>
      <c r="B5281" t="str">
        <f>"1551689393301464"</f>
        <v>1551689393301464</v>
      </c>
      <c r="C5281" t="s">
        <v>40</v>
      </c>
      <c r="D5281">
        <v>4.4627999999999997</v>
      </c>
      <c r="E5281">
        <v>0.48780950000000001</v>
      </c>
      <c r="F5281" t="s">
        <v>42</v>
      </c>
      <c r="G5281">
        <v>-378.28</v>
      </c>
      <c r="H5281" s="1">
        <v>-8.2542059999999899E-7</v>
      </c>
      <c r="I5281">
        <v>139.02289999999999</v>
      </c>
      <c r="J5281">
        <v>-365.49950000000001</v>
      </c>
      <c r="K5281">
        <v>1.110522</v>
      </c>
      <c r="L5281">
        <v>142.1541</v>
      </c>
      <c r="M5281">
        <v>-0.99995259999999997</v>
      </c>
      <c r="N5281">
        <v>-9.3287960000000003E-3</v>
      </c>
      <c r="O5281">
        <v>2.8253969999999999E-3</v>
      </c>
      <c r="P5281">
        <v>-0.91417329999999997</v>
      </c>
      <c r="Q5281">
        <v>0.36270479999999999</v>
      </c>
      <c r="R5281">
        <v>-0.180922</v>
      </c>
      <c r="S5281">
        <v>-3.2359619999999998</v>
      </c>
      <c r="T5281">
        <v>-0.27628409999999998</v>
      </c>
      <c r="U5281">
        <v>-0.77885439999999995</v>
      </c>
      <c r="V5281">
        <v>-0.1837937</v>
      </c>
      <c r="W5281">
        <v>0.37106869999999997</v>
      </c>
      <c r="X5281">
        <v>0.91023500000000002</v>
      </c>
      <c r="Y5281">
        <v>-0.23583879999999999</v>
      </c>
      <c r="Z5281">
        <v>-1.123802E-2</v>
      </c>
      <c r="AA5281">
        <v>0.97172720000000001</v>
      </c>
      <c r="AB5281">
        <v>37</v>
      </c>
      <c r="AC5281">
        <v>-12.7804999999999</v>
      </c>
      <c r="AD5281">
        <v>-1.1105228254206001</v>
      </c>
      <c r="AE5281">
        <v>-3.1312000000000002</v>
      </c>
      <c r="AF5281">
        <v>-3.1448989407862298</v>
      </c>
      <c r="AG5281">
        <v>-1.1105228254206001</v>
      </c>
      <c r="AH5281">
        <v>12.6812770165025</v>
      </c>
      <c r="AI5281">
        <v>94.858298354086202</v>
      </c>
      <c r="AJ5281">
        <v>103.928096094686</v>
      </c>
      <c r="AK5281">
        <v>13.112529773572099</v>
      </c>
      <c r="AL5281">
        <v>68.218456509363705</v>
      </c>
      <c r="AM5281">
        <v>101.415612607222</v>
      </c>
      <c r="AN5281">
        <v>0.99999992975218699</v>
      </c>
    </row>
    <row r="5282" spans="1:40" x14ac:dyDescent="0.25">
      <c r="A5282" t="str">
        <f>"20190304164953324"</f>
        <v>20190304164953324</v>
      </c>
      <c r="B5282" t="str">
        <f>"1551689393320984"</f>
        <v>1551689393320984</v>
      </c>
      <c r="C5282" t="s">
        <v>40</v>
      </c>
      <c r="D5282">
        <v>4.4289160000000001</v>
      </c>
      <c r="E5282">
        <v>0.46553339999999999</v>
      </c>
      <c r="F5282" t="s">
        <v>42</v>
      </c>
      <c r="G5282">
        <v>-378.63679999999999</v>
      </c>
      <c r="H5282" s="1">
        <v>-6.8113050000000003E-7</v>
      </c>
      <c r="I5282">
        <v>138.9735</v>
      </c>
      <c r="J5282">
        <v>-365.75540000000001</v>
      </c>
      <c r="K5282">
        <v>1.1105400000000001</v>
      </c>
      <c r="L5282">
        <v>142.15459999999999</v>
      </c>
      <c r="M5282">
        <v>-0.99995319999999999</v>
      </c>
      <c r="N5282">
        <v>-9.3433079999999998E-3</v>
      </c>
      <c r="O5282">
        <v>2.5539429999999999E-3</v>
      </c>
      <c r="P5282">
        <v>-0.91386279999999998</v>
      </c>
      <c r="Q5282">
        <v>0.36310019999999998</v>
      </c>
      <c r="R5282">
        <v>-0.1816953</v>
      </c>
      <c r="S5282">
        <v>-3.2351070000000002</v>
      </c>
      <c r="T5282">
        <v>-0.27347169999999998</v>
      </c>
      <c r="U5282">
        <v>-0.78321839999999998</v>
      </c>
      <c r="V5282">
        <v>-0.1843323</v>
      </c>
      <c r="W5282">
        <v>0.37146810000000002</v>
      </c>
      <c r="X5282">
        <v>0.90996330000000003</v>
      </c>
      <c r="Y5282">
        <v>-0.23688600000000001</v>
      </c>
      <c r="Z5282">
        <v>-1.116638E-2</v>
      </c>
      <c r="AA5282">
        <v>0.97147329999999998</v>
      </c>
      <c r="AB5282">
        <v>37</v>
      </c>
      <c r="AC5282">
        <v>-12.8813999999999</v>
      </c>
      <c r="AD5282">
        <v>-1.1105406811305001</v>
      </c>
      <c r="AE5282">
        <v>-3.1810999999999798</v>
      </c>
      <c r="AF5282">
        <v>-3.1916307520283902</v>
      </c>
      <c r="AG5282">
        <v>-1.1105406811305001</v>
      </c>
      <c r="AH5282">
        <v>12.783678438411901</v>
      </c>
      <c r="AI5282">
        <v>94.8177672761623</v>
      </c>
      <c r="AJ5282">
        <v>104.018150335982</v>
      </c>
      <c r="AK5282">
        <v>13.222792514384301</v>
      </c>
      <c r="AL5282">
        <v>68.193814423154095</v>
      </c>
      <c r="AM5282">
        <v>101.45151148896601</v>
      </c>
      <c r="AN5282">
        <v>1.0000000767438899</v>
      </c>
    </row>
    <row r="5283" spans="1:40" x14ac:dyDescent="0.25">
      <c r="A5283" t="str">
        <f>"20190304164953342"</f>
        <v>20190304164953342</v>
      </c>
      <c r="B5283" t="str">
        <f>"1551689393331250"</f>
        <v>1551689393331250</v>
      </c>
      <c r="C5283" t="s">
        <v>40</v>
      </c>
      <c r="D5283">
        <v>4.4143939999999997</v>
      </c>
      <c r="E5283">
        <v>0.4644914</v>
      </c>
      <c r="F5283" t="s">
        <v>42</v>
      </c>
      <c r="G5283">
        <v>-380.43490000000003</v>
      </c>
      <c r="H5283" s="1">
        <v>-4.4164440000000001E-6</v>
      </c>
      <c r="I5283">
        <v>137.7516</v>
      </c>
      <c r="J5283">
        <v>-366.0591</v>
      </c>
      <c r="K5283">
        <v>1.110563</v>
      </c>
      <c r="L5283">
        <v>142.155</v>
      </c>
      <c r="M5283">
        <v>-0.99995369999999995</v>
      </c>
      <c r="N5283">
        <v>-9.3640289999999994E-3</v>
      </c>
      <c r="O5283">
        <v>2.2164849999999998E-3</v>
      </c>
      <c r="P5283">
        <v>-0.91333529999999996</v>
      </c>
      <c r="Q5283">
        <v>0.3636682</v>
      </c>
      <c r="R5283">
        <v>-0.1832058</v>
      </c>
      <c r="S5283">
        <v>-3.188507</v>
      </c>
      <c r="T5283">
        <v>-0.2412202</v>
      </c>
      <c r="U5283">
        <v>-0.95634459999999999</v>
      </c>
      <c r="V5283">
        <v>-0.1855511</v>
      </c>
      <c r="W5283">
        <v>0.3720405</v>
      </c>
      <c r="X5283">
        <v>0.90948150000000005</v>
      </c>
      <c r="Y5283">
        <v>-0.28855150000000002</v>
      </c>
      <c r="Z5283">
        <v>-1.219131E-2</v>
      </c>
      <c r="AA5283">
        <v>0.95738670000000003</v>
      </c>
      <c r="AB5283">
        <v>37</v>
      </c>
      <c r="AC5283">
        <v>-14.3758</v>
      </c>
      <c r="AD5283">
        <v>-1.110567416444</v>
      </c>
      <c r="AE5283">
        <v>-4.4034000000000004</v>
      </c>
      <c r="AF5283">
        <v>-4.4111866603943497</v>
      </c>
      <c r="AG5283">
        <v>-1.110567416444</v>
      </c>
      <c r="AH5283">
        <v>14.2880478525665</v>
      </c>
      <c r="AI5283">
        <v>94.247451170306306</v>
      </c>
      <c r="AJ5283">
        <v>107.157164246132</v>
      </c>
      <c r="AK5283">
        <v>14.9946736935666</v>
      </c>
      <c r="AL5283">
        <v>68.158483988148703</v>
      </c>
      <c r="AM5283">
        <v>101.53115094655701</v>
      </c>
      <c r="AN5283">
        <v>0.99999997159685405</v>
      </c>
    </row>
    <row r="5284" spans="1:40" x14ac:dyDescent="0.25">
      <c r="A5284" t="str">
        <f>"20190304164953358"</f>
        <v>20190304164953358</v>
      </c>
      <c r="B5284" t="str">
        <f>"1551689393350770"</f>
        <v>1551689393350770</v>
      </c>
      <c r="C5284" t="s">
        <v>40</v>
      </c>
      <c r="D5284">
        <v>4.3882709999999996</v>
      </c>
      <c r="E5284">
        <v>0.46307359999999997</v>
      </c>
      <c r="F5284" t="s">
        <v>42</v>
      </c>
      <c r="G5284">
        <v>-380.79129999999998</v>
      </c>
      <c r="H5284" s="1">
        <v>-4.2769359999999998E-6</v>
      </c>
      <c r="I5284">
        <v>137.67619999999999</v>
      </c>
      <c r="J5284">
        <v>-366.31830000000002</v>
      </c>
      <c r="K5284">
        <v>1.1105780000000001</v>
      </c>
      <c r="L5284">
        <v>142.15539999999999</v>
      </c>
      <c r="M5284">
        <v>-0.99995429999999996</v>
      </c>
      <c r="N5284">
        <v>-9.3849970000000008E-3</v>
      </c>
      <c r="O5284">
        <v>1.9158879999999999E-3</v>
      </c>
      <c r="P5284">
        <v>-0.91308100000000003</v>
      </c>
      <c r="Q5284">
        <v>0.36382639999999999</v>
      </c>
      <c r="R5284">
        <v>-0.18415719999999999</v>
      </c>
      <c r="S5284">
        <v>-3.1859739999999999</v>
      </c>
      <c r="T5284">
        <v>-0.24017060000000001</v>
      </c>
      <c r="U5284">
        <v>-0.96858219999999995</v>
      </c>
      <c r="V5284">
        <v>-0.18624279999999999</v>
      </c>
      <c r="W5284">
        <v>0.37220829999999999</v>
      </c>
      <c r="X5284">
        <v>0.90927150000000001</v>
      </c>
      <c r="Y5284">
        <v>-0.29183890000000001</v>
      </c>
      <c r="Z5284">
        <v>-1.226789E-2</v>
      </c>
      <c r="AA5284">
        <v>0.95638880000000004</v>
      </c>
      <c r="AB5284">
        <v>37</v>
      </c>
      <c r="AC5284">
        <v>-14.4729999999999</v>
      </c>
      <c r="AD5284">
        <v>-1.1105822769360001</v>
      </c>
      <c r="AE5284">
        <v>-4.4791999999999899</v>
      </c>
      <c r="AF5284">
        <v>-4.4828329754271303</v>
      </c>
      <c r="AG5284">
        <v>-1.1105822769360001</v>
      </c>
      <c r="AH5284">
        <v>14.387081903840301</v>
      </c>
      <c r="AI5284">
        <v>94.214982202436701</v>
      </c>
      <c r="AJ5284">
        <v>107.306374406831</v>
      </c>
      <c r="AK5284">
        <v>15.110172407594501</v>
      </c>
      <c r="AL5284">
        <v>68.148127205535999</v>
      </c>
      <c r="AM5284">
        <v>101.575580015272</v>
      </c>
      <c r="AN5284">
        <v>1.00000002992648</v>
      </c>
    </row>
    <row r="5285" spans="1:40" x14ac:dyDescent="0.25">
      <c r="A5285" t="str">
        <f>"20190304164953370"</f>
        <v>20190304164953370</v>
      </c>
      <c r="B5285" t="str">
        <f>"1551689393360530"</f>
        <v>1551689393360530</v>
      </c>
      <c r="C5285" t="s">
        <v>40</v>
      </c>
      <c r="D5285">
        <v>4.3967179999999999</v>
      </c>
      <c r="E5285">
        <v>0.46258749999999998</v>
      </c>
      <c r="F5285" t="s">
        <v>42</v>
      </c>
      <c r="G5285">
        <v>-380.78989999999999</v>
      </c>
      <c r="H5285" s="1">
        <v>-4.2751339999999996E-6</v>
      </c>
      <c r="I5285">
        <v>137.68969999999999</v>
      </c>
      <c r="J5285">
        <v>-366.5326</v>
      </c>
      <c r="K5285">
        <v>1.1105969999999901</v>
      </c>
      <c r="L5285">
        <v>142.15559999999999</v>
      </c>
      <c r="M5285">
        <v>-0.99995449999999997</v>
      </c>
      <c r="N5285">
        <v>-9.4057729999999992E-3</v>
      </c>
      <c r="O5285">
        <v>1.657405E-3</v>
      </c>
      <c r="P5285">
        <v>-0.91287289999999999</v>
      </c>
      <c r="Q5285">
        <v>0.364006</v>
      </c>
      <c r="R5285">
        <v>-0.1848321</v>
      </c>
      <c r="S5285">
        <v>-3.1847840000000001</v>
      </c>
      <c r="T5285">
        <v>-0.2444086</v>
      </c>
      <c r="U5285">
        <v>-0.98274229999999996</v>
      </c>
      <c r="V5285">
        <v>-0.1866939</v>
      </c>
      <c r="W5285">
        <v>0.37239850000000002</v>
      </c>
      <c r="X5285">
        <v>0.9091011</v>
      </c>
      <c r="Y5285">
        <v>-0.2955373</v>
      </c>
      <c r="Z5285">
        <v>-1.259969E-2</v>
      </c>
      <c r="AA5285">
        <v>0.95524810000000004</v>
      </c>
      <c r="AB5285">
        <v>37</v>
      </c>
      <c r="AC5285">
        <v>-14.257299999999899</v>
      </c>
      <c r="AD5285">
        <v>-1.11060127513399</v>
      </c>
      <c r="AE5285">
        <v>-4.4659000000000004</v>
      </c>
      <c r="AF5285">
        <v>-4.4648532528303502</v>
      </c>
      <c r="AG5285">
        <v>-1.11060127513399</v>
      </c>
      <c r="AH5285">
        <v>14.171569376363299</v>
      </c>
      <c r="AI5285">
        <v>94.274699582520995</v>
      </c>
      <c r="AJ5285">
        <v>107.48740244968199</v>
      </c>
      <c r="AK5285">
        <v>14.8997224252909</v>
      </c>
      <c r="AL5285">
        <v>68.1363855067912</v>
      </c>
      <c r="AM5285">
        <v>101.60497374648</v>
      </c>
      <c r="AN5285">
        <v>1.00000003256033</v>
      </c>
    </row>
    <row r="5286" spans="1:40" x14ac:dyDescent="0.25">
      <c r="A5286" t="str">
        <f>"20190304164953385"</f>
        <v>20190304164953385</v>
      </c>
      <c r="B5286" t="str">
        <f>"1551689393381026"</f>
        <v>1551689393381026</v>
      </c>
      <c r="C5286" t="s">
        <v>40</v>
      </c>
      <c r="D5286">
        <v>4.3812530000000001</v>
      </c>
      <c r="E5286">
        <v>0.46296739999999997</v>
      </c>
      <c r="F5286" t="s">
        <v>42</v>
      </c>
      <c r="G5286">
        <v>-380.85239999999999</v>
      </c>
      <c r="H5286" s="1">
        <v>-4.2448940000000001E-6</v>
      </c>
      <c r="I5286">
        <v>137.70910000000001</v>
      </c>
      <c r="J5286">
        <v>-366.7722</v>
      </c>
      <c r="K5286">
        <v>1.1106180000000001</v>
      </c>
      <c r="L5286">
        <v>142.1557</v>
      </c>
      <c r="M5286">
        <v>-0.99995460000000003</v>
      </c>
      <c r="N5286">
        <v>-9.4326440000000004E-3</v>
      </c>
      <c r="O5286">
        <v>1.3579200000000001E-3</v>
      </c>
      <c r="P5286">
        <v>-0.91262460000000001</v>
      </c>
      <c r="Q5286">
        <v>0.36409599999999998</v>
      </c>
      <c r="R5286">
        <v>-0.1858784</v>
      </c>
      <c r="S5286">
        <v>-3.184631</v>
      </c>
      <c r="T5286">
        <v>-0.24699160000000001</v>
      </c>
      <c r="U5286">
        <v>-0.9888458</v>
      </c>
      <c r="V5286">
        <v>-0.18748119999999999</v>
      </c>
      <c r="W5286">
        <v>0.37250349999999999</v>
      </c>
      <c r="X5286">
        <v>0.90889600000000004</v>
      </c>
      <c r="Y5286">
        <v>-0.29691309999999999</v>
      </c>
      <c r="Z5286">
        <v>-1.275827E-2</v>
      </c>
      <c r="AA5286">
        <v>0.95481930000000004</v>
      </c>
      <c r="AB5286">
        <v>37</v>
      </c>
      <c r="AC5286">
        <v>-14.0801999999999</v>
      </c>
      <c r="AD5286">
        <v>-1.110622244894</v>
      </c>
      <c r="AE5286">
        <v>-4.4465999999999797</v>
      </c>
      <c r="AF5286">
        <v>-4.4405936856647896</v>
      </c>
      <c r="AG5286">
        <v>-1.110622244894</v>
      </c>
      <c r="AH5286">
        <v>13.994971468029901</v>
      </c>
      <c r="AI5286">
        <v>94.325740089468198</v>
      </c>
      <c r="AJ5286">
        <v>107.604192888482</v>
      </c>
      <c r="AK5286">
        <v>14.724523097302299</v>
      </c>
      <c r="AL5286">
        <v>68.129902262424906</v>
      </c>
      <c r="AM5286">
        <v>101.655134566699</v>
      </c>
      <c r="AN5286">
        <v>0.99999999834084496</v>
      </c>
    </row>
    <row r="5287" spans="1:40" x14ac:dyDescent="0.25">
      <c r="A5287" t="str">
        <f>"20190304164953400"</f>
        <v>20190304164953400</v>
      </c>
      <c r="B5287" t="str">
        <f>"1551689393390786"</f>
        <v>1551689393390786</v>
      </c>
      <c r="C5287" t="s">
        <v>40</v>
      </c>
      <c r="D5287">
        <v>4.3878259999999996</v>
      </c>
      <c r="E5287">
        <v>0.4631728</v>
      </c>
      <c r="F5287" t="s">
        <v>42</v>
      </c>
      <c r="G5287">
        <v>-381.14690000000002</v>
      </c>
      <c r="H5287" s="1">
        <v>-4.1216539999999999E-6</v>
      </c>
      <c r="I5287">
        <v>137.69139999999999</v>
      </c>
      <c r="J5287">
        <v>-367.01280000000003</v>
      </c>
      <c r="K5287">
        <v>1.110643</v>
      </c>
      <c r="L5287">
        <v>142.1558</v>
      </c>
      <c r="M5287">
        <v>-0.99995480000000003</v>
      </c>
      <c r="N5287">
        <v>-9.4655199999999998E-3</v>
      </c>
      <c r="O5287">
        <v>1.048509E-3</v>
      </c>
      <c r="P5287">
        <v>-0.91223730000000003</v>
      </c>
      <c r="Q5287">
        <v>0.36431380000000002</v>
      </c>
      <c r="R5287">
        <v>-0.18734719999999999</v>
      </c>
      <c r="S5287">
        <v>-3.1839900000000001</v>
      </c>
      <c r="T5287">
        <v>-0.2460029</v>
      </c>
      <c r="U5287">
        <v>-0.98881529999999995</v>
      </c>
      <c r="V5287">
        <v>-0.1886813</v>
      </c>
      <c r="W5287">
        <v>0.37273970000000001</v>
      </c>
      <c r="X5287">
        <v>0.90855070000000004</v>
      </c>
      <c r="Y5287">
        <v>-0.29667130000000003</v>
      </c>
      <c r="Z5287">
        <v>-1.26894E-2</v>
      </c>
      <c r="AA5287">
        <v>0.9548953</v>
      </c>
      <c r="AB5287">
        <v>37</v>
      </c>
      <c r="AC5287">
        <v>-14.134099999999901</v>
      </c>
      <c r="AD5287">
        <v>-1.1106471216539999</v>
      </c>
      <c r="AE5287">
        <v>-4.4644000000000101</v>
      </c>
      <c r="AF5287">
        <v>-4.4542095583119696</v>
      </c>
      <c r="AG5287">
        <v>-1.1106471216539999</v>
      </c>
      <c r="AH5287">
        <v>14.050523695990099</v>
      </c>
      <c r="AI5287">
        <v>94.309151005637503</v>
      </c>
      <c r="AJ5287">
        <v>107.589332267229</v>
      </c>
      <c r="AK5287">
        <v>14.781432134599701</v>
      </c>
      <c r="AL5287">
        <v>68.115317531823905</v>
      </c>
      <c r="AM5287">
        <v>101.732014609651</v>
      </c>
      <c r="AN5287">
        <v>0.999999945698133</v>
      </c>
    </row>
    <row r="5288" spans="1:40" x14ac:dyDescent="0.25">
      <c r="A5288" t="str">
        <f>"20190304164953421"</f>
        <v>20190304164953421</v>
      </c>
      <c r="B5288" t="str">
        <f>"1551689393411282"</f>
        <v>1551689393411282</v>
      </c>
      <c r="C5288" t="s">
        <v>40</v>
      </c>
      <c r="D5288">
        <v>4.3579699999999999</v>
      </c>
      <c r="E5288">
        <v>0.46308169999999999</v>
      </c>
      <c r="F5288" t="s">
        <v>42</v>
      </c>
      <c r="G5288">
        <v>-381.54230000000001</v>
      </c>
      <c r="H5288" s="1">
        <v>-3.9632039999999997E-6</v>
      </c>
      <c r="I5288">
        <v>137.62860000000001</v>
      </c>
      <c r="J5288">
        <v>-367.3528</v>
      </c>
      <c r="K5288">
        <v>1.1106799999999999</v>
      </c>
      <c r="L5288">
        <v>142.1557</v>
      </c>
      <c r="M5288">
        <v>-0.99995449999999997</v>
      </c>
      <c r="N5288">
        <v>-9.529694E-3</v>
      </c>
      <c r="O5288">
        <v>5.9378079999999997E-4</v>
      </c>
      <c r="P5288">
        <v>-0.91161630000000005</v>
      </c>
      <c r="Q5288">
        <v>0.3651855</v>
      </c>
      <c r="R5288">
        <v>-0.18866830000000001</v>
      </c>
      <c r="S5288">
        <v>-3.1821290000000002</v>
      </c>
      <c r="T5288">
        <v>-0.24324599999999999</v>
      </c>
      <c r="U5288">
        <v>-0.99150090000000002</v>
      </c>
      <c r="V5288">
        <v>-0.18960769999999999</v>
      </c>
      <c r="W5288">
        <v>0.37365369999999998</v>
      </c>
      <c r="X5288">
        <v>0.90798230000000002</v>
      </c>
      <c r="Y5288">
        <v>-0.29714750000000001</v>
      </c>
      <c r="Z5288">
        <v>-1.2568640000000001E-2</v>
      </c>
      <c r="AA5288">
        <v>0.95474890000000001</v>
      </c>
      <c r="AB5288">
        <v>37</v>
      </c>
      <c r="AC5288">
        <v>-14.189500000000001</v>
      </c>
      <c r="AD5288">
        <v>-1.110683963204</v>
      </c>
      <c r="AE5288">
        <v>-4.5270999999999901</v>
      </c>
      <c r="AF5288">
        <v>-4.5104427521413299</v>
      </c>
      <c r="AG5288">
        <v>-1.110683963204</v>
      </c>
      <c r="AH5288">
        <v>14.1083536174371</v>
      </c>
      <c r="AI5288">
        <v>94.288376936326898</v>
      </c>
      <c r="AJ5288">
        <v>107.729085904874</v>
      </c>
      <c r="AK5288">
        <v>14.853395385605101</v>
      </c>
      <c r="AL5288">
        <v>68.058872587719904</v>
      </c>
      <c r="AM5288">
        <v>101.795181869017</v>
      </c>
      <c r="AN5288">
        <v>1.0000000122681301</v>
      </c>
    </row>
    <row r="5289" spans="1:40" x14ac:dyDescent="0.25">
      <c r="A5289" t="str">
        <f>"20190304164953437"</f>
        <v>20190304164953437</v>
      </c>
      <c r="B5289" t="str">
        <f>"1551689393430802"</f>
        <v>1551689393430802</v>
      </c>
      <c r="C5289" t="s">
        <v>40</v>
      </c>
      <c r="D5289">
        <v>4.357837</v>
      </c>
      <c r="E5289">
        <v>0.46272429999999898</v>
      </c>
      <c r="F5289" t="s">
        <v>42</v>
      </c>
      <c r="G5289">
        <v>-382.03870000000001</v>
      </c>
      <c r="H5289" s="1">
        <v>-3.7631430000000001E-6</v>
      </c>
      <c r="I5289">
        <v>137.5558</v>
      </c>
      <c r="J5289">
        <v>-367.62799999999999</v>
      </c>
      <c r="K5289">
        <v>1.1107089999999999</v>
      </c>
      <c r="L5289">
        <v>142.15559999999999</v>
      </c>
      <c r="M5289">
        <v>-0.99995400000000001</v>
      </c>
      <c r="N5289">
        <v>-9.5946989999999999E-3</v>
      </c>
      <c r="O5289">
        <v>2.138427E-4</v>
      </c>
      <c r="P5289">
        <v>-0.91134610000000005</v>
      </c>
      <c r="Q5289">
        <v>0.36537619999999998</v>
      </c>
      <c r="R5289">
        <v>-0.18960080000000001</v>
      </c>
      <c r="S5289">
        <v>-3.1810299999999998</v>
      </c>
      <c r="T5289">
        <v>-0.24058060000000001</v>
      </c>
      <c r="U5289">
        <v>-0.9963379</v>
      </c>
      <c r="V5289">
        <v>-0.19020909999999999</v>
      </c>
      <c r="W5289">
        <v>0.37389339999999999</v>
      </c>
      <c r="X5289">
        <v>0.90775779999999995</v>
      </c>
      <c r="Y5289">
        <v>-0.29821599999999998</v>
      </c>
      <c r="Z5289">
        <v>-1.2478619999999999E-2</v>
      </c>
      <c r="AA5289">
        <v>0.95441679999999995</v>
      </c>
      <c r="AB5289">
        <v>37</v>
      </c>
      <c r="AC5289">
        <v>-14.410699999999901</v>
      </c>
      <c r="AD5289">
        <v>-1.110712763143</v>
      </c>
      <c r="AE5289">
        <v>-4.5997999999999797</v>
      </c>
      <c r="AF5289">
        <v>-4.5781989974574797</v>
      </c>
      <c r="AG5289">
        <v>-1.110712763143</v>
      </c>
      <c r="AH5289">
        <v>14.3324448001264</v>
      </c>
      <c r="AI5289">
        <v>94.222011211921</v>
      </c>
      <c r="AJ5289">
        <v>107.714991507523</v>
      </c>
      <c r="AK5289">
        <v>15.0868340897353</v>
      </c>
      <c r="AL5289">
        <v>68.044065290969002</v>
      </c>
      <c r="AM5289">
        <v>101.83438462943199</v>
      </c>
      <c r="AN5289">
        <v>0.99999999987360499</v>
      </c>
    </row>
    <row r="5290" spans="1:40" x14ac:dyDescent="0.25">
      <c r="A5290" t="str">
        <f>"20190304164953453"</f>
        <v>20190304164953453</v>
      </c>
      <c r="B5290" t="str">
        <f>"1551689393451298"</f>
        <v>1551689393451298</v>
      </c>
      <c r="C5290" t="s">
        <v>40</v>
      </c>
      <c r="D5290">
        <v>4.3251309999999998</v>
      </c>
      <c r="E5290">
        <v>0.46218429999999999</v>
      </c>
      <c r="F5290" t="s">
        <v>42</v>
      </c>
      <c r="G5290">
        <v>-382.1499</v>
      </c>
      <c r="H5290" s="1">
        <v>-3.7111010000000002E-6</v>
      </c>
      <c r="I5290">
        <v>137.5804</v>
      </c>
      <c r="J5290">
        <v>-367.90019999999998</v>
      </c>
      <c r="K5290">
        <v>1.1107359999999999</v>
      </c>
      <c r="L5290">
        <v>142.15530000000001</v>
      </c>
      <c r="M5290">
        <v>-0.99995330000000004</v>
      </c>
      <c r="N5290">
        <v>-9.6658000000000004E-3</v>
      </c>
      <c r="O5290">
        <v>-1.7345549999999999E-4</v>
      </c>
      <c r="P5290">
        <v>-0.91099969999999997</v>
      </c>
      <c r="Q5290">
        <v>0.36566720000000003</v>
      </c>
      <c r="R5290">
        <v>-0.19070129999999999</v>
      </c>
      <c r="S5290">
        <v>-3.180847</v>
      </c>
      <c r="T5290">
        <v>-0.24328910000000001</v>
      </c>
      <c r="U5290">
        <v>-1.00212099999999</v>
      </c>
      <c r="V5290">
        <v>-0.19097169999999999</v>
      </c>
      <c r="W5290">
        <v>0.37423790000000001</v>
      </c>
      <c r="X5290">
        <v>0.90745569999999998</v>
      </c>
      <c r="Y5290">
        <v>-0.2994193</v>
      </c>
      <c r="Z5290">
        <v>-1.263681E-2</v>
      </c>
      <c r="AA5290">
        <v>0.95403800000000005</v>
      </c>
      <c r="AB5290">
        <v>37</v>
      </c>
      <c r="AC5290">
        <v>-14.249700000000001</v>
      </c>
      <c r="AD5290">
        <v>-1.110739711101</v>
      </c>
      <c r="AE5290">
        <v>-4.5749000000000102</v>
      </c>
      <c r="AF5290">
        <v>-4.5473803296567699</v>
      </c>
      <c r="AG5290">
        <v>-1.110739711101</v>
      </c>
      <c r="AH5290">
        <v>14.1724290493807</v>
      </c>
      <c r="AI5290">
        <v>94.267839818699002</v>
      </c>
      <c r="AJ5290">
        <v>107.789411867235</v>
      </c>
      <c r="AK5290">
        <v>14.9254867836227</v>
      </c>
      <c r="AL5290">
        <v>68.022782262991001</v>
      </c>
      <c r="AM5290">
        <v>101.884328767315</v>
      </c>
      <c r="AN5290">
        <v>1.0000000217298901</v>
      </c>
    </row>
    <row r="5291" spans="1:40" x14ac:dyDescent="0.25">
      <c r="A5291" t="str">
        <f>"20190304164953466"</f>
        <v>20190304164953466</v>
      </c>
      <c r="B5291" t="str">
        <f>"1551689393461058"</f>
        <v>1551689393461058</v>
      </c>
      <c r="C5291" t="s">
        <v>40</v>
      </c>
      <c r="D5291">
        <v>4.3419480000000004</v>
      </c>
      <c r="E5291">
        <v>0.46194469999999999</v>
      </c>
      <c r="F5291" t="s">
        <v>42</v>
      </c>
      <c r="G5291">
        <v>-382.33780000000002</v>
      </c>
      <c r="H5291" s="1">
        <v>-3.632196E-6</v>
      </c>
      <c r="I5291">
        <v>137.57069999999999</v>
      </c>
      <c r="J5291">
        <v>-368.10860000000002</v>
      </c>
      <c r="K5291">
        <v>1.1107560000000001</v>
      </c>
      <c r="L5291">
        <v>142.155</v>
      </c>
      <c r="M5291">
        <v>-0.99995270000000003</v>
      </c>
      <c r="N5291">
        <v>-9.7239330000000006E-3</v>
      </c>
      <c r="O5291">
        <v>-4.7802370000000002E-4</v>
      </c>
      <c r="P5291">
        <v>-0.91051380000000004</v>
      </c>
      <c r="Q5291">
        <v>0.36602479999999998</v>
      </c>
      <c r="R5291">
        <v>-0.19232949999999999</v>
      </c>
      <c r="S5291">
        <v>-3.1799010000000001</v>
      </c>
      <c r="T5291">
        <v>-0.24464240000000001</v>
      </c>
      <c r="U5291">
        <v>-1.0097499999999999</v>
      </c>
      <c r="V5291">
        <v>-0.192334</v>
      </c>
      <c r="W5291">
        <v>0.37463669999999999</v>
      </c>
      <c r="X5291">
        <v>0.90700329999999996</v>
      </c>
      <c r="Y5291">
        <v>-0.30127540000000003</v>
      </c>
      <c r="Z5291">
        <v>-1.276627E-2</v>
      </c>
      <c r="AA5291">
        <v>0.95345170000000001</v>
      </c>
      <c r="AB5291">
        <v>37</v>
      </c>
      <c r="AC5291">
        <v>-14.229199999999899</v>
      </c>
      <c r="AD5291">
        <v>-1.1107596321959901</v>
      </c>
      <c r="AE5291">
        <v>-4.5843000000000096</v>
      </c>
      <c r="AF5291">
        <v>-4.5523652591531896</v>
      </c>
      <c r="AG5291">
        <v>-1.1107596321959901</v>
      </c>
      <c r="AH5291">
        <v>14.153254759337299</v>
      </c>
      <c r="AI5291">
        <v>94.272701122342795</v>
      </c>
      <c r="AJ5291">
        <v>107.83028018710699</v>
      </c>
      <c r="AK5291">
        <v>14.908803999515399</v>
      </c>
      <c r="AL5291">
        <v>67.998139661196703</v>
      </c>
      <c r="AM5291">
        <v>101.972466717119</v>
      </c>
      <c r="AN5291">
        <v>1.00000000537689</v>
      </c>
    </row>
    <row r="5292" spans="1:40" x14ac:dyDescent="0.25">
      <c r="A5292" t="str">
        <f>"20190304164953483"</f>
        <v>20190304164953483</v>
      </c>
      <c r="B5292" t="str">
        <f>"1551689393470818"</f>
        <v>1551689393470818</v>
      </c>
      <c r="C5292" t="s">
        <v>40</v>
      </c>
      <c r="D5292">
        <v>4.3446759999999998</v>
      </c>
      <c r="E5292">
        <v>0.46179170000000003</v>
      </c>
      <c r="F5292" t="s">
        <v>42</v>
      </c>
      <c r="G5292">
        <v>-382.5324</v>
      </c>
      <c r="H5292" s="1">
        <v>-3.5536129999999999E-6</v>
      </c>
      <c r="I5292">
        <v>137.54320000000001</v>
      </c>
      <c r="J5292">
        <v>-368.38060000000002</v>
      </c>
      <c r="K5292">
        <v>1.110789</v>
      </c>
      <c r="L5292">
        <v>142.15450000000001</v>
      </c>
      <c r="M5292">
        <v>-0.99995160000000005</v>
      </c>
      <c r="N5292">
        <v>-9.806548E-3</v>
      </c>
      <c r="O5292">
        <v>-8.8255569999999995E-4</v>
      </c>
      <c r="P5292">
        <v>-0.91020880000000004</v>
      </c>
      <c r="Q5292">
        <v>0.3663536</v>
      </c>
      <c r="R5292">
        <v>-0.19314429999999999</v>
      </c>
      <c r="S5292">
        <v>-3.1785580000000002</v>
      </c>
      <c r="T5292">
        <v>-0.2447791</v>
      </c>
      <c r="U5292">
        <v>-1.0162960000000001</v>
      </c>
      <c r="V5292">
        <v>-0.19279560000000001</v>
      </c>
      <c r="W5292">
        <v>0.37503009999999998</v>
      </c>
      <c r="X5292">
        <v>0.90674259999999995</v>
      </c>
      <c r="Y5292">
        <v>-0.30278240000000001</v>
      </c>
      <c r="Z5292">
        <v>-1.2824550000000001E-2</v>
      </c>
      <c r="AA5292">
        <v>0.95297339999999997</v>
      </c>
      <c r="AB5292">
        <v>37</v>
      </c>
      <c r="AC5292">
        <v>-14.1517999999999</v>
      </c>
      <c r="AD5292">
        <v>-1.1107925536130001</v>
      </c>
      <c r="AE5292">
        <v>-4.6113</v>
      </c>
      <c r="AF5292">
        <v>-4.5733365140456996</v>
      </c>
      <c r="AG5292">
        <v>-1.1107925536130001</v>
      </c>
      <c r="AH5292">
        <v>14.077459568166001</v>
      </c>
      <c r="AI5292">
        <v>94.291713740711899</v>
      </c>
      <c r="AJ5292">
        <v>107.997395852222</v>
      </c>
      <c r="AK5292">
        <v>14.843319536451901</v>
      </c>
      <c r="AL5292">
        <v>67.973825187334697</v>
      </c>
      <c r="AM5292">
        <v>102.003718703418</v>
      </c>
      <c r="AN5292">
        <v>0.99999993097006201</v>
      </c>
    </row>
    <row r="5293" spans="1:40" x14ac:dyDescent="0.25">
      <c r="A5293" t="str">
        <f>"20190304164953500"</f>
        <v>20190304164953500</v>
      </c>
      <c r="B5293" t="str">
        <f>"1551689393491314"</f>
        <v>1551689393491314</v>
      </c>
      <c r="C5293" t="s">
        <v>40</v>
      </c>
      <c r="D5293">
        <v>4.3538370000000004</v>
      </c>
      <c r="E5293">
        <v>0.46169710000000003</v>
      </c>
      <c r="F5293" t="s">
        <v>42</v>
      </c>
      <c r="G5293">
        <v>-382.80500000000001</v>
      </c>
      <c r="H5293" s="1">
        <v>-3.4404370000000001E-6</v>
      </c>
      <c r="I5293">
        <v>137.52180000000001</v>
      </c>
      <c r="J5293">
        <v>-368.66449999999998</v>
      </c>
      <c r="K5293">
        <v>1.1108279999999999</v>
      </c>
      <c r="L5293">
        <v>142.15389999999999</v>
      </c>
      <c r="M5293">
        <v>-0.99995009999999995</v>
      </c>
      <c r="N5293">
        <v>-9.9053419999999993E-3</v>
      </c>
      <c r="O5293">
        <v>-1.316287E-3</v>
      </c>
      <c r="P5293">
        <v>-0.90970079999999998</v>
      </c>
      <c r="Q5293">
        <v>0.36688949999999998</v>
      </c>
      <c r="R5293">
        <v>-0.1945163</v>
      </c>
      <c r="S5293">
        <v>-3.1778559999999998</v>
      </c>
      <c r="T5293">
        <v>-0.2447211</v>
      </c>
      <c r="U5293">
        <v>-1.020615</v>
      </c>
      <c r="V5293">
        <v>-0.19378960000000001</v>
      </c>
      <c r="W5293">
        <v>0.3756427</v>
      </c>
      <c r="X5293">
        <v>0.90627709999999995</v>
      </c>
      <c r="Y5293">
        <v>-0.30360199999999998</v>
      </c>
      <c r="Z5293">
        <v>-1.284428E-2</v>
      </c>
      <c r="AA5293">
        <v>0.95271240000000001</v>
      </c>
      <c r="AB5293">
        <v>37</v>
      </c>
      <c r="AC5293">
        <v>-14.140499999999999</v>
      </c>
      <c r="AD5293">
        <v>-1.1108314404369899</v>
      </c>
      <c r="AE5293">
        <v>-4.6320999999999799</v>
      </c>
      <c r="AF5293">
        <v>-4.58791309675963</v>
      </c>
      <c r="AG5293">
        <v>-1.1108314404369899</v>
      </c>
      <c r="AH5293">
        <v>14.0681814629858</v>
      </c>
      <c r="AI5293">
        <v>94.293109090477799</v>
      </c>
      <c r="AJ5293">
        <v>108.062174952609</v>
      </c>
      <c r="AK5293">
        <v>14.839023645374301</v>
      </c>
      <c r="AL5293">
        <v>67.935959151681004</v>
      </c>
      <c r="AM5293">
        <v>102.069812787571</v>
      </c>
      <c r="AN5293">
        <v>1.00000001455793</v>
      </c>
    </row>
    <row r="5294" spans="1:40" x14ac:dyDescent="0.25">
      <c r="A5294" t="str">
        <f>"20190304164953514"</f>
        <v>20190304164953514</v>
      </c>
      <c r="B5294" t="str">
        <f>"1551689393510834"</f>
        <v>1551689393510834</v>
      </c>
      <c r="C5294" t="s">
        <v>40</v>
      </c>
      <c r="D5294">
        <v>4.3116289999999999</v>
      </c>
      <c r="E5294">
        <v>0.46156940000000002</v>
      </c>
      <c r="F5294" t="s">
        <v>42</v>
      </c>
      <c r="G5294">
        <v>-383.00080000000003</v>
      </c>
      <c r="H5294" s="1">
        <v>-3.3567290000000001E-6</v>
      </c>
      <c r="I5294">
        <v>137.52029999999999</v>
      </c>
      <c r="J5294">
        <v>-368.91770000000002</v>
      </c>
      <c r="K5294">
        <v>1.1108629999999999</v>
      </c>
      <c r="L5294">
        <v>142.1532</v>
      </c>
      <c r="M5294">
        <v>-0.99994859999999997</v>
      </c>
      <c r="N5294">
        <v>-1.000537E-2</v>
      </c>
      <c r="O5294">
        <v>-1.7124670000000001E-3</v>
      </c>
      <c r="P5294">
        <v>-0.90952980000000005</v>
      </c>
      <c r="Q5294">
        <v>0.36693179999999997</v>
      </c>
      <c r="R5294">
        <v>-0.19523570000000001</v>
      </c>
      <c r="S5294">
        <v>-3.1774900000000001</v>
      </c>
      <c r="T5294">
        <v>-0.2462056</v>
      </c>
      <c r="U5294">
        <v>-1.0269779999999999</v>
      </c>
      <c r="V5294">
        <v>-0.19416269999999999</v>
      </c>
      <c r="W5294">
        <v>0.37576680000000001</v>
      </c>
      <c r="X5294">
        <v>0.9061458</v>
      </c>
      <c r="Y5294">
        <v>-0.30497000000000002</v>
      </c>
      <c r="Z5294">
        <v>-1.2959210000000001E-2</v>
      </c>
      <c r="AA5294">
        <v>0.95227379999999995</v>
      </c>
      <c r="AB5294">
        <v>37</v>
      </c>
      <c r="AC5294">
        <v>-14.0831</v>
      </c>
      <c r="AD5294">
        <v>-1.110866356729</v>
      </c>
      <c r="AE5294">
        <v>-4.6329000000000002</v>
      </c>
      <c r="AF5294">
        <v>-4.5830442569036096</v>
      </c>
      <c r="AG5294">
        <v>-1.110866356729</v>
      </c>
      <c r="AH5294">
        <v>14.0123429706221</v>
      </c>
      <c r="AI5294">
        <v>94.309081162254799</v>
      </c>
      <c r="AJ5294">
        <v>108.111468563873</v>
      </c>
      <c r="AK5294">
        <v>14.7845890794973</v>
      </c>
      <c r="AL5294">
        <v>67.928286930279299</v>
      </c>
      <c r="AM5294">
        <v>102.09406789690701</v>
      </c>
      <c r="AN5294">
        <v>1.0000000264555799</v>
      </c>
    </row>
    <row r="5295" spans="1:40" x14ac:dyDescent="0.25">
      <c r="A5295" t="str">
        <f>"20190304164953527"</f>
        <v>20190304164953527</v>
      </c>
      <c r="B5295" t="str">
        <f>"1551689393520594"</f>
        <v>1551689393520594</v>
      </c>
      <c r="C5295" t="s">
        <v>40</v>
      </c>
      <c r="D5295">
        <v>4.3226870000000002</v>
      </c>
      <c r="E5295">
        <v>0.46156510000000001</v>
      </c>
      <c r="F5295" t="s">
        <v>42</v>
      </c>
      <c r="G5295">
        <v>-383.14879999999999</v>
      </c>
      <c r="H5295" s="1">
        <v>-3.290296E-6</v>
      </c>
      <c r="I5295">
        <v>137.5369</v>
      </c>
      <c r="J5295">
        <v>-369.13350000000003</v>
      </c>
      <c r="K5295">
        <v>1.110892</v>
      </c>
      <c r="L5295">
        <v>142.1525</v>
      </c>
      <c r="M5295">
        <v>-0.99994680000000002</v>
      </c>
      <c r="N5295">
        <v>-1.0105609999999999E-2</v>
      </c>
      <c r="O5295">
        <v>-2.0596429999999999E-3</v>
      </c>
      <c r="P5295">
        <v>-0.90935189999999999</v>
      </c>
      <c r="Q5295">
        <v>0.36694710000000003</v>
      </c>
      <c r="R5295">
        <v>-0.19603280000000001</v>
      </c>
      <c r="S5295">
        <v>-3.177216</v>
      </c>
      <c r="T5295">
        <v>-0.24801190000000001</v>
      </c>
      <c r="U5295">
        <v>-1.030624</v>
      </c>
      <c r="V5295">
        <v>-0.19465730000000001</v>
      </c>
      <c r="W5295">
        <v>0.37586459999999999</v>
      </c>
      <c r="X5295">
        <v>0.90599909999999995</v>
      </c>
      <c r="Y5295">
        <v>-0.30563750000000001</v>
      </c>
      <c r="Z5295">
        <v>-1.3063440000000001E-2</v>
      </c>
      <c r="AA5295">
        <v>0.95205830000000002</v>
      </c>
      <c r="AB5295">
        <v>37</v>
      </c>
      <c r="AC5295">
        <v>-14.0152999999999</v>
      </c>
      <c r="AD5295">
        <v>-1.1108952902959901</v>
      </c>
      <c r="AE5295">
        <v>-4.6155999999999997</v>
      </c>
      <c r="AF5295">
        <v>-4.5608715952601999</v>
      </c>
      <c r="AG5295">
        <v>-1.1108952902959901</v>
      </c>
      <c r="AH5295">
        <v>13.945734032352</v>
      </c>
      <c r="AI5295">
        <v>94.329732210661604</v>
      </c>
      <c r="AJ5295">
        <v>108.110033162983</v>
      </c>
      <c r="AK5295">
        <v>14.7145892146384</v>
      </c>
      <c r="AL5295">
        <v>67.922239887220897</v>
      </c>
      <c r="AM5295">
        <v>102.125870401367</v>
      </c>
      <c r="AN5295">
        <v>1.00000001558862</v>
      </c>
    </row>
    <row r="5296" spans="1:40" x14ac:dyDescent="0.25">
      <c r="A5296" t="str">
        <f>"20190304164953540"</f>
        <v>20190304164953540</v>
      </c>
      <c r="B5296" t="str">
        <f>"1551689393531330"</f>
        <v>1551689393531330</v>
      </c>
      <c r="C5296" t="s">
        <v>40</v>
      </c>
      <c r="D5296">
        <v>4.3247359999999997</v>
      </c>
      <c r="E5296">
        <v>0.46152470000000001</v>
      </c>
      <c r="F5296" t="s">
        <v>42</v>
      </c>
      <c r="G5296">
        <v>-383.31970000000001</v>
      </c>
      <c r="H5296" s="1">
        <v>-3.216882E-6</v>
      </c>
      <c r="I5296">
        <v>137.53729999999999</v>
      </c>
      <c r="J5296">
        <v>-369.346</v>
      </c>
      <c r="K5296">
        <v>1.1109260000000001</v>
      </c>
      <c r="L5296">
        <v>142.15180000000001</v>
      </c>
      <c r="M5296">
        <v>-0.99994510000000003</v>
      </c>
      <c r="N5296">
        <v>-1.0214300000000001E-2</v>
      </c>
      <c r="O5296">
        <v>-2.4066439999999999E-3</v>
      </c>
      <c r="P5296">
        <v>-0.90908630000000001</v>
      </c>
      <c r="Q5296">
        <v>0.36721110000000001</v>
      </c>
      <c r="R5296">
        <v>-0.19676969999999999</v>
      </c>
      <c r="S5296">
        <v>-3.176666</v>
      </c>
      <c r="T5296">
        <v>-0.24875949999999999</v>
      </c>
      <c r="U5296">
        <v>-1.033447</v>
      </c>
      <c r="V5296">
        <v>-0.1950924</v>
      </c>
      <c r="W5296">
        <v>0.37621759999999999</v>
      </c>
      <c r="X5296">
        <v>0.90575899999999998</v>
      </c>
      <c r="Y5296">
        <v>-0.30611329999999998</v>
      </c>
      <c r="Z5296">
        <v>-1.3113359999999999E-2</v>
      </c>
      <c r="AA5296">
        <v>0.9519048</v>
      </c>
      <c r="AB5296">
        <v>37</v>
      </c>
      <c r="AC5296">
        <v>-13.973699999999999</v>
      </c>
      <c r="AD5296">
        <v>-1.110929216882</v>
      </c>
      <c r="AE5296">
        <v>-4.61450000000002</v>
      </c>
      <c r="AF5296">
        <v>-4.5548968029530403</v>
      </c>
      <c r="AG5296">
        <v>-1.110929216882</v>
      </c>
      <c r="AH5296">
        <v>13.9055180020259</v>
      </c>
      <c r="AI5296">
        <v>94.341678429912406</v>
      </c>
      <c r="AJ5296">
        <v>108.136745938714</v>
      </c>
      <c r="AK5296">
        <v>14.674627065623801</v>
      </c>
      <c r="AL5296">
        <v>67.900413126314902</v>
      </c>
      <c r="AM5296">
        <v>102.15529511291901</v>
      </c>
      <c r="AN5296">
        <v>1.00000004658425</v>
      </c>
    </row>
    <row r="5297" spans="1:40" x14ac:dyDescent="0.25">
      <c r="A5297" t="str">
        <f>"20190304164953555"</f>
        <v>20190304164953555</v>
      </c>
      <c r="B5297" t="str">
        <f>"1551689393550851"</f>
        <v>1551689393550851</v>
      </c>
      <c r="C5297" t="s">
        <v>40</v>
      </c>
      <c r="D5297">
        <v>4.2870780000000002</v>
      </c>
      <c r="E5297">
        <v>0.46141549999999998</v>
      </c>
      <c r="F5297" t="s">
        <v>42</v>
      </c>
      <c r="G5297">
        <v>-383.5043</v>
      </c>
      <c r="H5297" s="1">
        <v>-3.1382969999999998E-6</v>
      </c>
      <c r="I5297">
        <v>137.53399999999999</v>
      </c>
      <c r="J5297">
        <v>-369.59480000000002</v>
      </c>
      <c r="K5297">
        <v>1.110967</v>
      </c>
      <c r="L5297">
        <v>142.15090000000001</v>
      </c>
      <c r="M5297">
        <v>-0.99994249999999996</v>
      </c>
      <c r="N5297">
        <v>-1.0357699999999999E-2</v>
      </c>
      <c r="O5297">
        <v>-2.8198279999999999E-3</v>
      </c>
      <c r="P5297">
        <v>-0.90858030000000001</v>
      </c>
      <c r="Q5297">
        <v>0.36759199999999997</v>
      </c>
      <c r="R5297">
        <v>-0.19838900000000001</v>
      </c>
      <c r="S5297">
        <v>-3.176453</v>
      </c>
      <c r="T5297">
        <v>-0.2492414</v>
      </c>
      <c r="U5297">
        <v>-1.036011</v>
      </c>
      <c r="V5297">
        <v>-0.19635459999999999</v>
      </c>
      <c r="W5297">
        <v>0.3767141</v>
      </c>
      <c r="X5297">
        <v>0.90527970000000002</v>
      </c>
      <c r="Y5297">
        <v>-0.30642809999999998</v>
      </c>
      <c r="Z5297">
        <v>-1.314428E-2</v>
      </c>
      <c r="AA5297">
        <v>0.95180299999999995</v>
      </c>
      <c r="AB5297">
        <v>37</v>
      </c>
      <c r="AC5297">
        <v>-13.9094999999999</v>
      </c>
      <c r="AD5297">
        <v>-1.1109701382969901</v>
      </c>
      <c r="AE5297">
        <v>-4.61690000000001</v>
      </c>
      <c r="AF5297">
        <v>-4.5515026945869996</v>
      </c>
      <c r="AG5297">
        <v>-1.1109701382969901</v>
      </c>
      <c r="AH5297">
        <v>13.8429182342802</v>
      </c>
      <c r="AI5297">
        <v>94.359805839754003</v>
      </c>
      <c r="AJ5297">
        <v>108.200682633978</v>
      </c>
      <c r="AK5297">
        <v>14.6142675720676</v>
      </c>
      <c r="AL5297">
        <v>67.869705367789194</v>
      </c>
      <c r="AM5297">
        <v>102.237857345276</v>
      </c>
      <c r="AN5297">
        <v>0.99999998865602902</v>
      </c>
    </row>
    <row r="5298" spans="1:40" x14ac:dyDescent="0.25">
      <c r="A5298" t="str">
        <f>"20190304164953568"</f>
        <v>20190304164953568</v>
      </c>
      <c r="B5298" t="str">
        <f>"1551689393560610"</f>
        <v>1551689393560610</v>
      </c>
      <c r="C5298" t="s">
        <v>40</v>
      </c>
      <c r="D5298">
        <v>4.2928300000000004</v>
      </c>
      <c r="E5298">
        <v>0.46131899999999998</v>
      </c>
      <c r="F5298" t="s">
        <v>42</v>
      </c>
      <c r="G5298">
        <v>-383.73919999999998</v>
      </c>
      <c r="H5298" s="1">
        <v>-3.041339E-6</v>
      </c>
      <c r="I5298">
        <v>137.51249999999999</v>
      </c>
      <c r="J5298">
        <v>-369.81889999999999</v>
      </c>
      <c r="K5298">
        <v>1.1110089999999999</v>
      </c>
      <c r="L5298">
        <v>142.1499</v>
      </c>
      <c r="M5298">
        <v>-0.99993969999999999</v>
      </c>
      <c r="N5298">
        <v>-1.050764E-2</v>
      </c>
      <c r="O5298">
        <v>-3.1982310000000002E-3</v>
      </c>
      <c r="P5298">
        <v>-0.90852909999999998</v>
      </c>
      <c r="Q5298">
        <v>0.3673071</v>
      </c>
      <c r="R5298">
        <v>-0.19914970000000001</v>
      </c>
      <c r="S5298">
        <v>-3.175354</v>
      </c>
      <c r="T5298">
        <v>-0.2494084</v>
      </c>
      <c r="U5298">
        <v>-1.041275</v>
      </c>
      <c r="V5298">
        <v>-0.19678570000000001</v>
      </c>
      <c r="W5298">
        <v>0.37655640000000001</v>
      </c>
      <c r="X5298">
        <v>0.90525169999999999</v>
      </c>
      <c r="Y5298">
        <v>-0.30758449999999998</v>
      </c>
      <c r="Z5298">
        <v>-1.320265E-2</v>
      </c>
      <c r="AA5298">
        <v>0.95142919999999997</v>
      </c>
      <c r="AB5298">
        <v>37</v>
      </c>
      <c r="AC5298">
        <v>-13.9202999999999</v>
      </c>
      <c r="AD5298">
        <v>-1.1110120413389999</v>
      </c>
      <c r="AE5298">
        <v>-4.6374000000000102</v>
      </c>
      <c r="AF5298">
        <v>-4.5666696697303903</v>
      </c>
      <c r="AG5298">
        <v>-1.1110120413389999</v>
      </c>
      <c r="AH5298">
        <v>13.855617429965699</v>
      </c>
      <c r="AI5298">
        <v>94.3549667005733</v>
      </c>
      <c r="AJ5298">
        <v>108.241690827935</v>
      </c>
      <c r="AK5298">
        <v>14.6310270997632</v>
      </c>
      <c r="AL5298">
        <v>67.879459132829993</v>
      </c>
      <c r="AM5298">
        <v>102.264281301011</v>
      </c>
      <c r="AN5298">
        <v>0.99999998722916905</v>
      </c>
    </row>
    <row r="5299" spans="1:40" x14ac:dyDescent="0.25">
      <c r="A5299" t="str">
        <f>"20190304164953582"</f>
        <v>20190304164953582</v>
      </c>
      <c r="B5299" t="str">
        <f>"1551689393571346"</f>
        <v>1551689393571346</v>
      </c>
      <c r="C5299" t="s">
        <v>40</v>
      </c>
      <c r="D5299">
        <v>4.3110400000000002</v>
      </c>
      <c r="E5299">
        <v>0.461281</v>
      </c>
      <c r="F5299" t="s">
        <v>42</v>
      </c>
      <c r="G5299">
        <v>-383.87900000000002</v>
      </c>
      <c r="H5299" s="1">
        <v>-2.979169E-6</v>
      </c>
      <c r="I5299">
        <v>137.5249</v>
      </c>
      <c r="J5299">
        <v>-370.03059999999999</v>
      </c>
      <c r="K5299">
        <v>1.1110439999999999</v>
      </c>
      <c r="L5299">
        <v>142.1489</v>
      </c>
      <c r="M5299">
        <v>-0.99993690000000002</v>
      </c>
      <c r="N5299">
        <v>-1.0655410000000001E-2</v>
      </c>
      <c r="O5299">
        <v>-3.5581269999999999E-3</v>
      </c>
      <c r="P5299">
        <v>-0.90854869999999999</v>
      </c>
      <c r="Q5299">
        <v>0.36688939999999998</v>
      </c>
      <c r="R5299">
        <v>-0.19982939999999999</v>
      </c>
      <c r="S5299">
        <v>-3.1745610000000002</v>
      </c>
      <c r="T5299">
        <v>-0.25085229999999997</v>
      </c>
      <c r="U5299">
        <v>-1.044235</v>
      </c>
      <c r="V5299">
        <v>-0.1971504</v>
      </c>
      <c r="W5299">
        <v>0.37626700000000002</v>
      </c>
      <c r="X5299">
        <v>0.90529269999999995</v>
      </c>
      <c r="Y5299">
        <v>-0.30809979999999998</v>
      </c>
      <c r="Z5299">
        <v>-1.3292989999999999E-2</v>
      </c>
      <c r="AA5299">
        <v>0.95126120000000003</v>
      </c>
      <c r="AB5299">
        <v>37</v>
      </c>
      <c r="AC5299">
        <v>-13.8484</v>
      </c>
      <c r="AD5299">
        <v>-1.1110469791689901</v>
      </c>
      <c r="AE5299">
        <v>-4.6239999999999899</v>
      </c>
      <c r="AF5299">
        <v>-4.54835365432342</v>
      </c>
      <c r="AG5299">
        <v>-1.1110469791689901</v>
      </c>
      <c r="AH5299">
        <v>13.7849362857944</v>
      </c>
      <c r="AI5299">
        <v>94.376878523494696</v>
      </c>
      <c r="AJ5299">
        <v>108.26035865500199</v>
      </c>
      <c r="AK5299">
        <v>14.5583795375079</v>
      </c>
      <c r="AL5299">
        <v>67.897357257625302</v>
      </c>
      <c r="AM5299">
        <v>102.285781187607</v>
      </c>
      <c r="AN5299">
        <v>1.00000000409122</v>
      </c>
    </row>
    <row r="5300" spans="1:40" x14ac:dyDescent="0.25">
      <c r="A5300" t="str">
        <f>"20190304164953597"</f>
        <v>20190304164953597</v>
      </c>
      <c r="B5300" t="str">
        <f>"1551689393590866"</f>
        <v>1551689393590866</v>
      </c>
      <c r="C5300" t="s">
        <v>40</v>
      </c>
      <c r="D5300">
        <v>4.4952220000000001</v>
      </c>
      <c r="E5300">
        <v>0.46125620000000001</v>
      </c>
      <c r="F5300" t="s">
        <v>42</v>
      </c>
      <c r="G5300">
        <v>-383.96559999999999</v>
      </c>
      <c r="H5300" s="1">
        <v>-2.9370340000000001E-6</v>
      </c>
      <c r="I5300">
        <v>137.553</v>
      </c>
      <c r="J5300">
        <v>-370.29689999999999</v>
      </c>
      <c r="K5300">
        <v>1.1110869999999999</v>
      </c>
      <c r="L5300">
        <v>142.14750000000001</v>
      </c>
      <c r="M5300">
        <v>-0.99993319999999997</v>
      </c>
      <c r="N5300">
        <v>-1.0852530000000001E-2</v>
      </c>
      <c r="O5300">
        <v>-4.0164620000000002E-3</v>
      </c>
      <c r="P5300">
        <v>-0.90839789999999998</v>
      </c>
      <c r="Q5300">
        <v>0.36673440000000002</v>
      </c>
      <c r="R5300">
        <v>-0.2007969</v>
      </c>
      <c r="S5300">
        <v>-3.1739199999999999</v>
      </c>
      <c r="T5300">
        <v>-0.25306000000000001</v>
      </c>
      <c r="U5300">
        <v>-1.0467679999999999</v>
      </c>
      <c r="V5300">
        <v>-0.19771449999999999</v>
      </c>
      <c r="W5300">
        <v>0.37628210000000001</v>
      </c>
      <c r="X5300">
        <v>0.90516339999999995</v>
      </c>
      <c r="Y5300">
        <v>-0.30838710000000003</v>
      </c>
      <c r="Z5300">
        <v>-1.3409519999999999E-2</v>
      </c>
      <c r="AA5300">
        <v>0.95116650000000003</v>
      </c>
      <c r="AB5300">
        <v>37</v>
      </c>
      <c r="AC5300">
        <v>-13.668699999999999</v>
      </c>
      <c r="AD5300">
        <v>-1.1110899370339999</v>
      </c>
      <c r="AE5300">
        <v>-4.5945000000000098</v>
      </c>
      <c r="AF5300">
        <v>-4.5127683621088304</v>
      </c>
      <c r="AG5300">
        <v>-1.1110899370339999</v>
      </c>
      <c r="AH5300">
        <v>13.6062663727892</v>
      </c>
      <c r="AI5300">
        <v>94.432035177911104</v>
      </c>
      <c r="AJ5300">
        <v>108.349050801218</v>
      </c>
      <c r="AK5300">
        <v>14.378111271843901</v>
      </c>
      <c r="AL5300">
        <v>67.896423637573605</v>
      </c>
      <c r="AM5300">
        <v>102.32156810723301</v>
      </c>
      <c r="AN5300">
        <v>1.0000000114951</v>
      </c>
    </row>
    <row r="5301" spans="1:40" x14ac:dyDescent="0.25">
      <c r="A5301" t="str">
        <f>"20190304164953612"</f>
        <v>20190304164953612</v>
      </c>
      <c r="B5301" t="str">
        <f>"1551689393600626"</f>
        <v>1551689393600626</v>
      </c>
      <c r="C5301" t="s">
        <v>40</v>
      </c>
      <c r="D5301">
        <v>4.2746740000000001</v>
      </c>
      <c r="E5301">
        <v>0.46132980000000001</v>
      </c>
      <c r="F5301" t="s">
        <v>42</v>
      </c>
      <c r="G5301">
        <v>-384.19349999999997</v>
      </c>
      <c r="H5301" s="1">
        <v>-2.8402189999999998E-6</v>
      </c>
      <c r="I5301">
        <v>137.54759999999999</v>
      </c>
      <c r="J5301">
        <v>-370.53559999999999</v>
      </c>
      <c r="K5301">
        <v>1.11112099999999</v>
      </c>
      <c r="L5301">
        <v>142.14609999999999</v>
      </c>
      <c r="M5301">
        <v>-0.99992919999999996</v>
      </c>
      <c r="N5301">
        <v>-1.1046449999999999E-2</v>
      </c>
      <c r="O5301">
        <v>-4.4340660000000004E-3</v>
      </c>
      <c r="P5301">
        <v>-0.90826359999999995</v>
      </c>
      <c r="Q5301">
        <v>0.36657309999999999</v>
      </c>
      <c r="R5301">
        <v>-0.20169570000000001</v>
      </c>
      <c r="S5301">
        <v>-3.1727910000000001</v>
      </c>
      <c r="T5301">
        <v>-0.25367879999999998</v>
      </c>
      <c r="U5301">
        <v>-1.0502009999999999</v>
      </c>
      <c r="V5301">
        <v>-0.19824249999999999</v>
      </c>
      <c r="W5301">
        <v>0.37629050000000003</v>
      </c>
      <c r="X5301">
        <v>0.90504439999999997</v>
      </c>
      <c r="Y5301">
        <v>-0.30901009999999901</v>
      </c>
      <c r="Z5301">
        <v>-1.3471510000000001E-2</v>
      </c>
      <c r="AA5301">
        <v>0.95096340000000001</v>
      </c>
      <c r="AB5301">
        <v>37</v>
      </c>
      <c r="AC5301">
        <v>-13.6578999999999</v>
      </c>
      <c r="AD5301">
        <v>-1.11112384021899</v>
      </c>
      <c r="AE5301">
        <v>-4.5984999999999996</v>
      </c>
      <c r="AF5301">
        <v>-4.5110746341822896</v>
      </c>
      <c r="AG5301">
        <v>-1.11112384021899</v>
      </c>
      <c r="AH5301">
        <v>13.5973266549277</v>
      </c>
      <c r="AI5301">
        <v>94.434948815969307</v>
      </c>
      <c r="AJ5301">
        <v>108.35387670211399</v>
      </c>
      <c r="AK5301">
        <v>14.3691225446884</v>
      </c>
      <c r="AL5301">
        <v>67.895903850549203</v>
      </c>
      <c r="AM5301">
        <v>102.355038433248</v>
      </c>
      <c r="AN5301">
        <v>0.99999999758392999</v>
      </c>
    </row>
    <row r="5302" spans="1:40" x14ac:dyDescent="0.25">
      <c r="A5302" t="str">
        <f>"20190304164953632"</f>
        <v>20190304164953632</v>
      </c>
      <c r="B5302" t="str">
        <f>"1551689393621122"</f>
        <v>1551689393621122</v>
      </c>
      <c r="C5302" t="s">
        <v>40</v>
      </c>
      <c r="D5302">
        <v>4.2875209999999999</v>
      </c>
      <c r="E5302">
        <v>0.4612388</v>
      </c>
      <c r="F5302" t="s">
        <v>42</v>
      </c>
      <c r="G5302">
        <v>-384.43299999999999</v>
      </c>
      <c r="H5302" s="1">
        <v>-2.7393129999999999E-6</v>
      </c>
      <c r="I5302">
        <v>137.53720000000001</v>
      </c>
      <c r="J5302">
        <v>-370.88350000000003</v>
      </c>
      <c r="K5302">
        <v>1.1111759999999999</v>
      </c>
      <c r="L5302">
        <v>142.14400000000001</v>
      </c>
      <c r="M5302">
        <v>-0.9999228</v>
      </c>
      <c r="N5302">
        <v>-1.135334E-2</v>
      </c>
      <c r="O5302">
        <v>-5.0549189999999997E-3</v>
      </c>
      <c r="P5302">
        <v>-0.90792700000000004</v>
      </c>
      <c r="Q5302">
        <v>0.36669869999999999</v>
      </c>
      <c r="R5302">
        <v>-0.20297899999999999</v>
      </c>
      <c r="S5302">
        <v>-3.171783</v>
      </c>
      <c r="T5302">
        <v>-0.25359090000000001</v>
      </c>
      <c r="U5302">
        <v>-1.0518799999999999</v>
      </c>
      <c r="V5302">
        <v>-0.19896990000000001</v>
      </c>
      <c r="W5302">
        <v>0.3766872</v>
      </c>
      <c r="X5302">
        <v>0.90471970000000002</v>
      </c>
      <c r="Y5302">
        <v>-0.30896119999999999</v>
      </c>
      <c r="Z5302">
        <v>-1.347669E-2</v>
      </c>
      <c r="AA5302">
        <v>0.95097920000000002</v>
      </c>
      <c r="AB5302">
        <v>37</v>
      </c>
      <c r="AC5302">
        <v>-13.5495</v>
      </c>
      <c r="AD5302">
        <v>-1.1111787393129999</v>
      </c>
      <c r="AE5302">
        <v>-4.60679999999999</v>
      </c>
      <c r="AF5302">
        <v>-4.5110499744169896</v>
      </c>
      <c r="AG5302">
        <v>-1.1111787393129999</v>
      </c>
      <c r="AH5302">
        <v>13.491282399821401</v>
      </c>
      <c r="AI5302">
        <v>94.466411004100195</v>
      </c>
      <c r="AJ5302">
        <v>108.488274090939</v>
      </c>
      <c r="AK5302">
        <v>14.268811823488299</v>
      </c>
      <c r="AL5302">
        <v>67.871369492588201</v>
      </c>
      <c r="AM5302">
        <v>102.403284623359</v>
      </c>
      <c r="AN5302">
        <v>1.0000000016589701</v>
      </c>
    </row>
    <row r="5303" spans="1:40" x14ac:dyDescent="0.25">
      <c r="A5303" t="str">
        <f>"20190304164953647"</f>
        <v>20190304164953647</v>
      </c>
      <c r="B5303" t="str">
        <f>"1551689393640643"</f>
        <v>1551689393640643</v>
      </c>
      <c r="C5303" t="s">
        <v>40</v>
      </c>
      <c r="D5303">
        <v>4.2710689999999998</v>
      </c>
      <c r="E5303">
        <v>0.46110089999999998</v>
      </c>
      <c r="F5303" t="s">
        <v>42</v>
      </c>
      <c r="G5303">
        <v>-384.7527</v>
      </c>
      <c r="H5303" s="1">
        <v>-2.6046980000000002E-6</v>
      </c>
      <c r="I5303">
        <v>137.52289999999999</v>
      </c>
      <c r="J5303">
        <v>-371.11869999999999</v>
      </c>
      <c r="K5303">
        <v>1.111213</v>
      </c>
      <c r="L5303">
        <v>142.14240000000001</v>
      </c>
      <c r="M5303">
        <v>-0.99991810000000003</v>
      </c>
      <c r="N5303">
        <v>-1.157498E-2</v>
      </c>
      <c r="O5303">
        <v>-5.4836140000000004E-3</v>
      </c>
      <c r="P5303">
        <v>-0.90771109999999999</v>
      </c>
      <c r="Q5303">
        <v>0.36687819999999999</v>
      </c>
      <c r="R5303">
        <v>-0.20362069999999999</v>
      </c>
      <c r="S5303">
        <v>-3.1706240000000001</v>
      </c>
      <c r="T5303">
        <v>-0.25402609999999998</v>
      </c>
      <c r="U5303">
        <v>-1.0564119999999999</v>
      </c>
      <c r="V5303">
        <v>-0.19922509999999999</v>
      </c>
      <c r="W5303">
        <v>0.37706440000000002</v>
      </c>
      <c r="X5303">
        <v>0.90450640000000004</v>
      </c>
      <c r="Y5303">
        <v>-0.30987300000000001</v>
      </c>
      <c r="Z5303">
        <v>-1.3547139999999999E-2</v>
      </c>
      <c r="AA5303">
        <v>0.95068140000000001</v>
      </c>
      <c r="AB5303">
        <v>37</v>
      </c>
      <c r="AC5303">
        <v>-13.634</v>
      </c>
      <c r="AD5303">
        <v>-1.111215604698</v>
      </c>
      <c r="AE5303">
        <v>-4.6195000000000102</v>
      </c>
      <c r="AF5303">
        <v>-4.5177419842583202</v>
      </c>
      <c r="AG5303">
        <v>-1.111215604698</v>
      </c>
      <c r="AH5303">
        <v>13.578219426037499</v>
      </c>
      <c r="AI5303">
        <v>94.440262305794107</v>
      </c>
      <c r="AJ5303">
        <v>108.403303642127</v>
      </c>
      <c r="AK5303">
        <v>14.353147234599</v>
      </c>
      <c r="AL5303">
        <v>67.848037390604205</v>
      </c>
      <c r="AM5303">
        <v>102.42153753810599</v>
      </c>
      <c r="AN5303">
        <v>1.0000000149291599</v>
      </c>
    </row>
    <row r="5304" spans="1:40" x14ac:dyDescent="0.25">
      <c r="A5304" t="str">
        <f>"20190304164953660"</f>
        <v>20190304164953660</v>
      </c>
      <c r="B5304" t="str">
        <f>"1551689393651378"</f>
        <v>1551689393651378</v>
      </c>
      <c r="C5304" t="s">
        <v>40</v>
      </c>
      <c r="D5304">
        <v>4.2832809999999997</v>
      </c>
      <c r="E5304">
        <v>0.46105669999999999</v>
      </c>
      <c r="F5304" t="s">
        <v>42</v>
      </c>
      <c r="G5304">
        <v>-384.99959999999999</v>
      </c>
      <c r="H5304" s="1">
        <v>-2.5023679999999999E-6</v>
      </c>
      <c r="I5304">
        <v>137.5026</v>
      </c>
      <c r="J5304">
        <v>-371.34129999999999</v>
      </c>
      <c r="K5304">
        <v>1.111251</v>
      </c>
      <c r="L5304">
        <v>142.14080000000001</v>
      </c>
      <c r="M5304">
        <v>-0.9999133</v>
      </c>
      <c r="N5304">
        <v>-1.178655E-2</v>
      </c>
      <c r="O5304">
        <v>-5.892708E-3</v>
      </c>
      <c r="P5304">
        <v>-0.90745129999999996</v>
      </c>
      <c r="Q5304">
        <v>0.36713210000000002</v>
      </c>
      <c r="R5304">
        <v>-0.20431949999999999</v>
      </c>
      <c r="S5304">
        <v>-3.1699220000000001</v>
      </c>
      <c r="T5304">
        <v>-0.25376310000000002</v>
      </c>
      <c r="U5304">
        <v>-1.059555</v>
      </c>
      <c r="V5304">
        <v>-0.19955539999999999</v>
      </c>
      <c r="W5304">
        <v>0.37750689999999998</v>
      </c>
      <c r="X5304">
        <v>0.90424899999999997</v>
      </c>
      <c r="Y5304">
        <v>-0.3103938</v>
      </c>
      <c r="Z5304">
        <v>-1.35672E-2</v>
      </c>
      <c r="AA5304">
        <v>0.9505112</v>
      </c>
      <c r="AB5304">
        <v>37</v>
      </c>
      <c r="AC5304">
        <v>-13.658299999999899</v>
      </c>
      <c r="AD5304">
        <v>-1.1112535023679999</v>
      </c>
      <c r="AE5304">
        <v>-4.6382000000000101</v>
      </c>
      <c r="AF5304">
        <v>-4.53073878579435</v>
      </c>
      <c r="AG5304">
        <v>-1.1112535023679999</v>
      </c>
      <c r="AH5304">
        <v>13.6046503273494</v>
      </c>
      <c r="AI5304">
        <v>94.431412155806399</v>
      </c>
      <c r="AJ5304">
        <v>108.419237744349</v>
      </c>
      <c r="AK5304">
        <v>14.382245611206701</v>
      </c>
      <c r="AL5304">
        <v>67.820661276958305</v>
      </c>
      <c r="AM5304">
        <v>102.444921936195</v>
      </c>
      <c r="AN5304">
        <v>1.0000000356088801</v>
      </c>
    </row>
    <row r="5305" spans="1:40" x14ac:dyDescent="0.25">
      <c r="A5305" t="str">
        <f>"20190304164953673"</f>
        <v>20190304164953673</v>
      </c>
      <c r="B5305" t="str">
        <f>"1551689393670899"</f>
        <v>1551689393670899</v>
      </c>
      <c r="C5305" t="s">
        <v>40</v>
      </c>
      <c r="D5305">
        <v>4.2443429999999998</v>
      </c>
      <c r="E5305">
        <v>0.46090439999999999</v>
      </c>
      <c r="F5305" t="s">
        <v>42</v>
      </c>
      <c r="G5305">
        <v>-385.25</v>
      </c>
      <c r="H5305" s="1">
        <v>-2.3989949999999999E-6</v>
      </c>
      <c r="I5305">
        <v>137.47980000000001</v>
      </c>
      <c r="J5305">
        <v>-371.56689999999998</v>
      </c>
      <c r="K5305">
        <v>1.111283</v>
      </c>
      <c r="L5305">
        <v>142.13910000000001</v>
      </c>
      <c r="M5305">
        <v>-0.99990809999999997</v>
      </c>
      <c r="N5305">
        <v>-1.200008E-2</v>
      </c>
      <c r="O5305">
        <v>-6.3095850000000004E-3</v>
      </c>
      <c r="P5305">
        <v>-0.90733390000000003</v>
      </c>
      <c r="Q5305">
        <v>0.36710769999999998</v>
      </c>
      <c r="R5305">
        <v>-0.20488319999999999</v>
      </c>
      <c r="S5305">
        <v>-3.1693120000000001</v>
      </c>
      <c r="T5305">
        <v>-0.25321709999999997</v>
      </c>
      <c r="U5305">
        <v>-1.062073</v>
      </c>
      <c r="V5305">
        <v>-0.19974249999999999</v>
      </c>
      <c r="W5305">
        <v>0.3776738</v>
      </c>
      <c r="X5305">
        <v>0.904138</v>
      </c>
      <c r="Y5305">
        <v>-0.31073279999999998</v>
      </c>
      <c r="Z5305">
        <v>-1.356626E-2</v>
      </c>
      <c r="AA5305">
        <v>0.95040049999999998</v>
      </c>
      <c r="AB5305">
        <v>37</v>
      </c>
      <c r="AC5305">
        <v>-13.6831</v>
      </c>
      <c r="AD5305">
        <v>-1.111285398995</v>
      </c>
      <c r="AE5305">
        <v>-4.6593</v>
      </c>
      <c r="AF5305">
        <v>-4.54599642013223</v>
      </c>
      <c r="AG5305">
        <v>-1.111285398995</v>
      </c>
      <c r="AH5305">
        <v>13.6316556268452</v>
      </c>
      <c r="AI5305">
        <v>94.422187366154205</v>
      </c>
      <c r="AJ5305">
        <v>108.44293479951099</v>
      </c>
      <c r="AK5305">
        <v>14.4126012162543</v>
      </c>
      <c r="AL5305">
        <v>67.810334323329201</v>
      </c>
      <c r="AM5305">
        <v>102.457707564012</v>
      </c>
      <c r="AN5305">
        <v>1.0000000442783401</v>
      </c>
    </row>
    <row r="5306" spans="1:40" x14ac:dyDescent="0.25">
      <c r="A5306" t="str">
        <f>"20190304164953689"</f>
        <v>20190304164953689</v>
      </c>
      <c r="B5306" t="str">
        <f>"1551689393680658"</f>
        <v>1551689393680658</v>
      </c>
      <c r="C5306" t="s">
        <v>40</v>
      </c>
      <c r="D5306">
        <v>4.2549489999999999</v>
      </c>
      <c r="E5306">
        <v>0.46078560000000002</v>
      </c>
      <c r="F5306" t="s">
        <v>42</v>
      </c>
      <c r="G5306">
        <v>-385.4271</v>
      </c>
      <c r="H5306" s="1">
        <v>-2.322791E-6</v>
      </c>
      <c r="I5306">
        <v>137.4812</v>
      </c>
      <c r="J5306">
        <v>-371.81450000000001</v>
      </c>
      <c r="K5306">
        <v>1.111318</v>
      </c>
      <c r="L5306">
        <v>142.1371</v>
      </c>
      <c r="M5306">
        <v>-0.99990250000000003</v>
      </c>
      <c r="N5306">
        <v>-1.2222729999999999E-2</v>
      </c>
      <c r="O5306">
        <v>-6.7682869999999996E-3</v>
      </c>
      <c r="P5306">
        <v>-0.90704240000000003</v>
      </c>
      <c r="Q5306">
        <v>0.36713109999999999</v>
      </c>
      <c r="R5306">
        <v>-0.20612900000000001</v>
      </c>
      <c r="S5306">
        <v>-3.1687319999999999</v>
      </c>
      <c r="T5306">
        <v>-0.25406430000000002</v>
      </c>
      <c r="U5306">
        <v>-1.0648799999999901</v>
      </c>
      <c r="V5306">
        <v>-0.2005757</v>
      </c>
      <c r="W5306">
        <v>0.3778936</v>
      </c>
      <c r="X5306">
        <v>0.90386160000000004</v>
      </c>
      <c r="Y5306">
        <v>-0.3110966</v>
      </c>
      <c r="Z5306">
        <v>-1.362872E-2</v>
      </c>
      <c r="AA5306">
        <v>0.95028049999999997</v>
      </c>
      <c r="AB5306">
        <v>37</v>
      </c>
      <c r="AC5306">
        <v>-13.612599999999899</v>
      </c>
      <c r="AD5306">
        <v>-1.111320322791</v>
      </c>
      <c r="AE5306">
        <v>-4.6558999999999999</v>
      </c>
      <c r="AF5306">
        <v>-4.5365830974288297</v>
      </c>
      <c r="AG5306">
        <v>-1.111320322791</v>
      </c>
      <c r="AH5306">
        <v>13.562874513045999</v>
      </c>
      <c r="AI5306">
        <v>94.443336830972697</v>
      </c>
      <c r="AJ5306">
        <v>108.494334423433</v>
      </c>
      <c r="AK5306">
        <v>14.344587275915501</v>
      </c>
      <c r="AL5306">
        <v>67.796731439371797</v>
      </c>
      <c r="AM5306">
        <v>102.511745649066</v>
      </c>
      <c r="AN5306">
        <v>0.99999998815300495</v>
      </c>
    </row>
    <row r="5307" spans="1:40" x14ac:dyDescent="0.25">
      <c r="A5307" t="str">
        <f>"20190304164953702"</f>
        <v>20190304164953702</v>
      </c>
      <c r="B5307" t="str">
        <f>"1551689393691395"</f>
        <v>1551689393691395</v>
      </c>
      <c r="C5307" t="s">
        <v>40</v>
      </c>
      <c r="D5307">
        <v>4.2337059999999997</v>
      </c>
      <c r="E5307">
        <v>0.46067819999999998</v>
      </c>
      <c r="F5307" t="s">
        <v>42</v>
      </c>
      <c r="G5307">
        <v>-385.65940000000001</v>
      </c>
      <c r="H5307" s="1">
        <v>-2.2266820000000001E-6</v>
      </c>
      <c r="I5307">
        <v>137.46119999999999</v>
      </c>
      <c r="J5307">
        <v>-372.02949999999998</v>
      </c>
      <c r="K5307">
        <v>1.1113440000000001</v>
      </c>
      <c r="L5307">
        <v>142.1353</v>
      </c>
      <c r="M5307">
        <v>-0.99989740000000005</v>
      </c>
      <c r="N5307">
        <v>-1.240752E-2</v>
      </c>
      <c r="O5307">
        <v>-7.1654850000000001E-3</v>
      </c>
      <c r="P5307">
        <v>-0.90704949999999995</v>
      </c>
      <c r="Q5307">
        <v>0.3667956</v>
      </c>
      <c r="R5307">
        <v>-0.20669299999999999</v>
      </c>
      <c r="S5307">
        <v>-3.1672669999999998</v>
      </c>
      <c r="T5307">
        <v>-0.25423499999999999</v>
      </c>
      <c r="U5307">
        <v>-1.0696870000000001</v>
      </c>
      <c r="V5307">
        <v>-0.20078080000000001</v>
      </c>
      <c r="W5307">
        <v>0.37772489999999997</v>
      </c>
      <c r="X5307">
        <v>0.90388659999999998</v>
      </c>
      <c r="Y5307">
        <v>-0.31214019999999998</v>
      </c>
      <c r="Z5307">
        <v>-1.369127E-2</v>
      </c>
      <c r="AA5307">
        <v>0.94993740000000004</v>
      </c>
      <c r="AB5307">
        <v>37</v>
      </c>
      <c r="AC5307">
        <v>-13.629899999999999</v>
      </c>
      <c r="AD5307">
        <v>-1.111346226682</v>
      </c>
      <c r="AE5307">
        <v>-4.6741000000000099</v>
      </c>
      <c r="AF5307">
        <v>-4.5492452462694901</v>
      </c>
      <c r="AG5307">
        <v>-1.111346226682</v>
      </c>
      <c r="AH5307">
        <v>13.5822472323913</v>
      </c>
      <c r="AI5307">
        <v>94.436522086062297</v>
      </c>
      <c r="AJ5307">
        <v>108.51778645740301</v>
      </c>
      <c r="AK5307">
        <v>14.3669120769936</v>
      </c>
      <c r="AL5307">
        <v>67.807171436984902</v>
      </c>
      <c r="AM5307">
        <v>102.52380068682101</v>
      </c>
      <c r="AN5307">
        <v>1.0000000076941</v>
      </c>
    </row>
    <row r="5308" spans="1:40" x14ac:dyDescent="0.25">
      <c r="A5308" t="str">
        <f>"20190304164953716"</f>
        <v>20190304164953716</v>
      </c>
      <c r="B5308" t="str">
        <f>"1551689393710915"</f>
        <v>1551689393710915</v>
      </c>
      <c r="C5308" t="s">
        <v>40</v>
      </c>
      <c r="D5308">
        <v>4.2443479999999996</v>
      </c>
      <c r="E5308">
        <v>0.46046589999999998</v>
      </c>
      <c r="F5308" t="s">
        <v>42</v>
      </c>
      <c r="G5308">
        <v>-385.80470000000003</v>
      </c>
      <c r="H5308" s="1">
        <v>-2.1630739999999998E-6</v>
      </c>
      <c r="I5308">
        <v>137.4684</v>
      </c>
      <c r="J5308">
        <v>-372.2654</v>
      </c>
      <c r="K5308">
        <v>1.1113660000000001</v>
      </c>
      <c r="L5308">
        <v>142.13329999999999</v>
      </c>
      <c r="M5308">
        <v>-0.9998918</v>
      </c>
      <c r="N5308">
        <v>-1.26012E-2</v>
      </c>
      <c r="O5308">
        <v>-7.6002069999999899E-3</v>
      </c>
      <c r="P5308">
        <v>-0.90693270000000004</v>
      </c>
      <c r="Q5308">
        <v>0.36672700000000003</v>
      </c>
      <c r="R5308">
        <v>-0.2073276</v>
      </c>
      <c r="S5308">
        <v>-3.1663209999999999</v>
      </c>
      <c r="T5308">
        <v>-0.25545259999999997</v>
      </c>
      <c r="U5308">
        <v>-1.0727230000000001</v>
      </c>
      <c r="V5308">
        <v>-0.20102449999999999</v>
      </c>
      <c r="W5308">
        <v>0.37782919999999998</v>
      </c>
      <c r="X5308">
        <v>0.90378890000000001</v>
      </c>
      <c r="Y5308">
        <v>-0.31261809999999901</v>
      </c>
      <c r="Z5308">
        <v>-1.3774170000000001E-2</v>
      </c>
      <c r="AA5308">
        <v>0.94977900000000004</v>
      </c>
      <c r="AB5308">
        <v>37</v>
      </c>
      <c r="AC5308">
        <v>-13.539300000000001</v>
      </c>
      <c r="AD5308">
        <v>-1.111368163074</v>
      </c>
      <c r="AE5308">
        <v>-4.6648999999999798</v>
      </c>
      <c r="AF5308">
        <v>-4.5345445075961601</v>
      </c>
      <c r="AG5308">
        <v>-1.111368163074</v>
      </c>
      <c r="AH5308">
        <v>13.493098372453099</v>
      </c>
      <c r="AI5308">
        <v>94.464297205075596</v>
      </c>
      <c r="AJ5308">
        <v>108.57564299443401</v>
      </c>
      <c r="AK5308">
        <v>14.277987840517399</v>
      </c>
      <c r="AL5308">
        <v>67.800718543573197</v>
      </c>
      <c r="AM5308">
        <v>102.53983373209699</v>
      </c>
      <c r="AN5308">
        <v>1.0000000648680401</v>
      </c>
    </row>
    <row r="5309" spans="1:40" x14ac:dyDescent="0.25">
      <c r="A5309" t="str">
        <f>"20190304164953729"</f>
        <v>20190304164953729</v>
      </c>
      <c r="B5309" t="str">
        <f>"1551689393720674"</f>
        <v>1551689393720674</v>
      </c>
      <c r="C5309" t="s">
        <v>40</v>
      </c>
      <c r="D5309">
        <v>4.4590740000000002</v>
      </c>
      <c r="E5309">
        <v>0.46046110000000001</v>
      </c>
      <c r="F5309" t="s">
        <v>42</v>
      </c>
      <c r="G5309">
        <v>-385.99419999999998</v>
      </c>
      <c r="H5309" s="1">
        <v>-2.0828289999999999E-6</v>
      </c>
      <c r="I5309">
        <v>137.4623</v>
      </c>
      <c r="J5309">
        <v>-372.48180000000002</v>
      </c>
      <c r="K5309">
        <v>1.111383</v>
      </c>
      <c r="L5309">
        <v>142.13130000000001</v>
      </c>
      <c r="M5309">
        <v>-0.99988659999999996</v>
      </c>
      <c r="N5309">
        <v>-1.276454E-2</v>
      </c>
      <c r="O5309">
        <v>-7.9967040000000003E-3</v>
      </c>
      <c r="P5309">
        <v>-0.90686679999999997</v>
      </c>
      <c r="Q5309">
        <v>0.36660490000000001</v>
      </c>
      <c r="R5309">
        <v>-0.20783080000000001</v>
      </c>
      <c r="S5309">
        <v>-3.1652830000000001</v>
      </c>
      <c r="T5309">
        <v>-0.25623610000000002</v>
      </c>
      <c r="U5309">
        <v>-1.0769040000000001</v>
      </c>
      <c r="V5309">
        <v>-0.2011715</v>
      </c>
      <c r="W5309">
        <v>0.37785299999999999</v>
      </c>
      <c r="X5309">
        <v>0.90374620000000006</v>
      </c>
      <c r="Y5309">
        <v>-0.31345079999999997</v>
      </c>
      <c r="Z5309">
        <v>-1.3850909999999999E-2</v>
      </c>
      <c r="AA5309">
        <v>0.9495034</v>
      </c>
      <c r="AB5309">
        <v>37</v>
      </c>
      <c r="AC5309">
        <v>-13.5123999999999</v>
      </c>
      <c r="AD5309">
        <v>-1.1113850828289999</v>
      </c>
      <c r="AE5309">
        <v>-4.6690000000000103</v>
      </c>
      <c r="AF5309">
        <v>-4.5333901490866699</v>
      </c>
      <c r="AG5309">
        <v>-1.1113850828289999</v>
      </c>
      <c r="AH5309">
        <v>13.4679155703158</v>
      </c>
      <c r="AI5309">
        <v>94.471948332564494</v>
      </c>
      <c r="AJ5309">
        <v>108.603576041289</v>
      </c>
      <c r="AK5309">
        <v>14.2538259023789</v>
      </c>
      <c r="AL5309">
        <v>67.799244863073696</v>
      </c>
      <c r="AM5309">
        <v>102.549287318011</v>
      </c>
      <c r="AN5309">
        <v>1.00000002801784</v>
      </c>
    </row>
    <row r="5310" spans="1:40" x14ac:dyDescent="0.25">
      <c r="A5310" t="str">
        <f>"20190304164953742"</f>
        <v>20190304164953742</v>
      </c>
      <c r="B5310" t="str">
        <f>"1551689393731411"</f>
        <v>1551689393731411</v>
      </c>
      <c r="C5310" t="s">
        <v>40</v>
      </c>
      <c r="D5310">
        <v>4.2364319999999998</v>
      </c>
      <c r="E5310">
        <v>0.4603373</v>
      </c>
      <c r="F5310" t="s">
        <v>42</v>
      </c>
      <c r="G5310">
        <v>-386.22919999999999</v>
      </c>
      <c r="H5310" s="1">
        <v>-1.9858140000000001E-6</v>
      </c>
      <c r="I5310">
        <v>137.441</v>
      </c>
      <c r="J5310">
        <v>-372.68799999999999</v>
      </c>
      <c r="K5310">
        <v>1.1114040000000001</v>
      </c>
      <c r="L5310">
        <v>142.1293</v>
      </c>
      <c r="M5310">
        <v>-0.99988169999999998</v>
      </c>
      <c r="N5310">
        <v>-1.291261E-2</v>
      </c>
      <c r="O5310">
        <v>-8.3746210000000005E-3</v>
      </c>
      <c r="P5310">
        <v>-0.90686699999999998</v>
      </c>
      <c r="Q5310">
        <v>0.36635529999999999</v>
      </c>
      <c r="R5310">
        <v>-0.2082697</v>
      </c>
      <c r="S5310">
        <v>-3.1640929999999998</v>
      </c>
      <c r="T5310">
        <v>-0.25579629999999998</v>
      </c>
      <c r="U5310">
        <v>-1.079483</v>
      </c>
      <c r="V5310">
        <v>-0.2012689</v>
      </c>
      <c r="W5310">
        <v>0.37773640000000003</v>
      </c>
      <c r="X5310">
        <v>0.90377320000000005</v>
      </c>
      <c r="Y5310">
        <v>-0.31389450000000002</v>
      </c>
      <c r="Z5310">
        <v>-1.385433E-2</v>
      </c>
      <c r="AA5310">
        <v>0.9493568</v>
      </c>
      <c r="AB5310">
        <v>37</v>
      </c>
      <c r="AC5310">
        <v>-13.5411999999999</v>
      </c>
      <c r="AD5310">
        <v>-1.111405985814</v>
      </c>
      <c r="AE5310">
        <v>-4.6882999999999901</v>
      </c>
      <c r="AF5310">
        <v>-4.5473695615727898</v>
      </c>
      <c r="AG5310">
        <v>-1.111405985814</v>
      </c>
      <c r="AH5310">
        <v>13.4987907392937</v>
      </c>
      <c r="AI5310">
        <v>94.461487686124499</v>
      </c>
      <c r="AJ5310">
        <v>108.61724907967699</v>
      </c>
      <c r="AK5310">
        <v>14.2874470993969</v>
      </c>
      <c r="AL5310">
        <v>67.806459109999807</v>
      </c>
      <c r="AM5310">
        <v>102.55480744373401</v>
      </c>
      <c r="AN5310">
        <v>0.99999997751520397</v>
      </c>
    </row>
    <row r="5311" spans="1:40" x14ac:dyDescent="0.25">
      <c r="A5311" t="str">
        <f>"20190304164953756"</f>
        <v>20190304164953756</v>
      </c>
      <c r="B5311" t="str">
        <f>"1551689393750934"</f>
        <v>1551689393750934</v>
      </c>
      <c r="C5311" t="s">
        <v>40</v>
      </c>
      <c r="D5311">
        <v>4.2313320000000001</v>
      </c>
      <c r="E5311">
        <v>0.4600841</v>
      </c>
      <c r="F5311" t="s">
        <v>42</v>
      </c>
      <c r="G5311">
        <v>-386.39109999999999</v>
      </c>
      <c r="H5311" s="1">
        <v>-1.916407E-6</v>
      </c>
      <c r="I5311">
        <v>137.44069999999999</v>
      </c>
      <c r="J5311">
        <v>-372.92750000000001</v>
      </c>
      <c r="K5311">
        <v>1.1114269999999999</v>
      </c>
      <c r="L5311">
        <v>142.12690000000001</v>
      </c>
      <c r="M5311">
        <v>-0.99987579999999998</v>
      </c>
      <c r="N5311">
        <v>-1.3075349999999999E-2</v>
      </c>
      <c r="O5311">
        <v>-8.8124959999999995E-3</v>
      </c>
      <c r="P5311">
        <v>-0.90628540000000002</v>
      </c>
      <c r="Q5311">
        <v>0.36744280000000001</v>
      </c>
      <c r="R5311">
        <v>-0.20888390000000001</v>
      </c>
      <c r="S5311">
        <v>-3.1631770000000001</v>
      </c>
      <c r="T5311">
        <v>-0.25655420000000001</v>
      </c>
      <c r="U5311">
        <v>-1.0822909999999999</v>
      </c>
      <c r="V5311">
        <v>-0.20149539999999999</v>
      </c>
      <c r="W5311">
        <v>0.3789631</v>
      </c>
      <c r="X5311">
        <v>0.90320900000000004</v>
      </c>
      <c r="Y5311">
        <v>-0.3143087</v>
      </c>
      <c r="Z5311">
        <v>-1.3908500000000001E-2</v>
      </c>
      <c r="AA5311">
        <v>0.94921889999999998</v>
      </c>
      <c r="AB5311">
        <v>37</v>
      </c>
      <c r="AC5311">
        <v>-13.4635999999999</v>
      </c>
      <c r="AD5311">
        <v>-1.1114289164069999</v>
      </c>
      <c r="AE5311">
        <v>-4.6862000000000101</v>
      </c>
      <c r="AF5311">
        <v>-4.5397661695568496</v>
      </c>
      <c r="AG5311">
        <v>-1.1114289164069999</v>
      </c>
      <c r="AH5311">
        <v>13.4227908332998</v>
      </c>
      <c r="AI5311">
        <v>94.484922734026497</v>
      </c>
      <c r="AJ5311">
        <v>108.686219877562</v>
      </c>
      <c r="AK5311">
        <v>14.213235552294</v>
      </c>
      <c r="AL5311">
        <v>67.730529652778003</v>
      </c>
      <c r="AM5311">
        <v>102.576088843131</v>
      </c>
      <c r="AN5311">
        <v>0.99999996253188395</v>
      </c>
    </row>
    <row r="5312" spans="1:40" x14ac:dyDescent="0.25">
      <c r="A5312" t="str">
        <f>"20190304164953769"</f>
        <v>20190304164953769</v>
      </c>
      <c r="B5312" t="str">
        <f>"1551689393760691"</f>
        <v>1551689393760691</v>
      </c>
      <c r="C5312" t="s">
        <v>40</v>
      </c>
      <c r="D5312">
        <v>4.1935729999999998</v>
      </c>
      <c r="E5312">
        <v>0.45994429999999997</v>
      </c>
      <c r="F5312" t="s">
        <v>42</v>
      </c>
      <c r="G5312">
        <v>-386.82889999999998</v>
      </c>
      <c r="H5312" s="1">
        <v>-1.7446800000000001E-6</v>
      </c>
      <c r="I5312">
        <v>137.34989999999999</v>
      </c>
      <c r="J5312">
        <v>-373.1497</v>
      </c>
      <c r="K5312">
        <v>1.11144</v>
      </c>
      <c r="L5312">
        <v>142.12450000000001</v>
      </c>
      <c r="M5312">
        <v>-0.99987040000000005</v>
      </c>
      <c r="N5312">
        <v>-1.321257E-2</v>
      </c>
      <c r="O5312">
        <v>-9.2191800000000004E-3</v>
      </c>
      <c r="P5312">
        <v>-0.90597519999999998</v>
      </c>
      <c r="Q5312">
        <v>0.3679017</v>
      </c>
      <c r="R5312">
        <v>-0.20942169999999999</v>
      </c>
      <c r="S5312">
        <v>-3.1622309999999998</v>
      </c>
      <c r="T5312">
        <v>-0.25282320000000003</v>
      </c>
      <c r="U5312">
        <v>-1.086624</v>
      </c>
      <c r="V5312">
        <v>-0.20166890000000001</v>
      </c>
      <c r="W5312">
        <v>0.37954189999999999</v>
      </c>
      <c r="X5312">
        <v>0.90292720000000004</v>
      </c>
      <c r="Y5312">
        <v>-0.31519779999999997</v>
      </c>
      <c r="Z5312">
        <v>-1.3777859999999999E-2</v>
      </c>
      <c r="AA5312">
        <v>0.94892600000000005</v>
      </c>
      <c r="AB5312">
        <v>37</v>
      </c>
      <c r="AC5312">
        <v>-13.6791999999999</v>
      </c>
      <c r="AD5312">
        <v>-1.11144174468</v>
      </c>
      <c r="AE5312">
        <v>-4.7746000000000199</v>
      </c>
      <c r="AF5312">
        <v>-4.6210813355295004</v>
      </c>
      <c r="AG5312">
        <v>-1.11144174468</v>
      </c>
      <c r="AH5312">
        <v>13.6423589573982</v>
      </c>
      <c r="AI5312">
        <v>94.412387753387605</v>
      </c>
      <c r="AJ5312">
        <v>108.712801591613</v>
      </c>
      <c r="AK5312">
        <v>14.4465792969789</v>
      </c>
      <c r="AL5312">
        <v>67.694689368453098</v>
      </c>
      <c r="AM5312">
        <v>102.59037573562701</v>
      </c>
      <c r="AN5312">
        <v>0.99999996379132905</v>
      </c>
    </row>
    <row r="5313" spans="1:40" x14ac:dyDescent="0.25">
      <c r="A5313" t="str">
        <f>"20190304164953783"</f>
        <v>20190304164953783</v>
      </c>
      <c r="B5313" t="str">
        <f>"1551689393771426"</f>
        <v>1551689393771426</v>
      </c>
      <c r="C5313" t="s">
        <v>40</v>
      </c>
      <c r="D5313">
        <v>4.2683450000000001</v>
      </c>
      <c r="E5313">
        <v>0.45992149999999998</v>
      </c>
      <c r="F5313" t="s">
        <v>42</v>
      </c>
      <c r="G5313">
        <v>-387.13159999999999</v>
      </c>
      <c r="H5313" s="1">
        <v>-1.622609E-6</v>
      </c>
      <c r="I5313">
        <v>137.30619999999999</v>
      </c>
      <c r="J5313">
        <v>-373.3596</v>
      </c>
      <c r="K5313">
        <v>1.1114489999999999</v>
      </c>
      <c r="L5313">
        <v>142.1223</v>
      </c>
      <c r="M5313">
        <v>-0.99986509999999995</v>
      </c>
      <c r="N5313">
        <v>-1.333438E-2</v>
      </c>
      <c r="O5313">
        <v>-9.6042880000000008E-3</v>
      </c>
      <c r="P5313">
        <v>-0.90581100000000003</v>
      </c>
      <c r="Q5313">
        <v>0.36800529999999998</v>
      </c>
      <c r="R5313">
        <v>-0.20995069999999999</v>
      </c>
      <c r="S5313">
        <v>-3.1615600000000001</v>
      </c>
      <c r="T5313">
        <v>-0.25131920000000002</v>
      </c>
      <c r="U5313">
        <v>-1.089493</v>
      </c>
      <c r="V5313">
        <v>-0.20185059999999999</v>
      </c>
      <c r="W5313">
        <v>0.37975360000000002</v>
      </c>
      <c r="X5313">
        <v>0.90279759999999998</v>
      </c>
      <c r="Y5313">
        <v>-0.31567299999999998</v>
      </c>
      <c r="Z5313">
        <v>-1.3728229999999999E-2</v>
      </c>
      <c r="AA5313">
        <v>0.94876870000000002</v>
      </c>
      <c r="AB5313">
        <v>37</v>
      </c>
      <c r="AC5313">
        <v>-13.771999999999901</v>
      </c>
      <c r="AD5313">
        <v>-1.111450622609</v>
      </c>
      <c r="AE5313">
        <v>-4.8160999999999996</v>
      </c>
      <c r="AF5313">
        <v>-4.6565720042246301</v>
      </c>
      <c r="AG5313">
        <v>-1.111450622609</v>
      </c>
      <c r="AH5313">
        <v>13.737897848747</v>
      </c>
      <c r="AI5313">
        <v>94.381554884181895</v>
      </c>
      <c r="AJ5313">
        <v>108.72450653903699</v>
      </c>
      <c r="AK5313">
        <v>14.548155299543399</v>
      </c>
      <c r="AL5313">
        <v>67.681578710817305</v>
      </c>
      <c r="AM5313">
        <v>102.603108491325</v>
      </c>
      <c r="AN5313">
        <v>0.99999998399953904</v>
      </c>
    </row>
    <row r="5314" spans="1:40" x14ac:dyDescent="0.25">
      <c r="A5314" t="str">
        <f>"20190304164953802"</f>
        <v>20190304164953802</v>
      </c>
      <c r="B5314" t="str">
        <f>"1551689393790947"</f>
        <v>1551689393790947</v>
      </c>
      <c r="C5314" t="s">
        <v>40</v>
      </c>
      <c r="D5314">
        <v>4.5116699999999996</v>
      </c>
      <c r="E5314">
        <v>0.49042980000000003</v>
      </c>
      <c r="F5314" t="s">
        <v>42</v>
      </c>
      <c r="G5314">
        <v>-387.34660000000002</v>
      </c>
      <c r="H5314" s="1">
        <v>-1.5327449999999999E-6</v>
      </c>
      <c r="I5314">
        <v>137.2928</v>
      </c>
      <c r="J5314">
        <v>-373.6728</v>
      </c>
      <c r="K5314">
        <v>1.1114539999999999</v>
      </c>
      <c r="L5314">
        <v>142.11869999999999</v>
      </c>
      <c r="M5314">
        <v>-0.999857</v>
      </c>
      <c r="N5314">
        <v>-1.350121E-2</v>
      </c>
      <c r="O5314">
        <v>-1.017938E-2</v>
      </c>
      <c r="P5314">
        <v>-0.90558590000000005</v>
      </c>
      <c r="Q5314">
        <v>0.36815930000000002</v>
      </c>
      <c r="R5314">
        <v>-0.2106479</v>
      </c>
      <c r="S5314">
        <v>-3.161041</v>
      </c>
      <c r="T5314">
        <v>-0.25118889999999999</v>
      </c>
      <c r="U5314">
        <v>-1.091431</v>
      </c>
      <c r="V5314">
        <v>-0.20202880000000001</v>
      </c>
      <c r="W5314">
        <v>0.38005670000000003</v>
      </c>
      <c r="X5314">
        <v>0.90263020000000005</v>
      </c>
      <c r="Y5314">
        <v>-0.3156949</v>
      </c>
      <c r="Z5314">
        <v>-1.37161E-2</v>
      </c>
      <c r="AA5314">
        <v>0.94876159999999998</v>
      </c>
      <c r="AB5314">
        <v>37</v>
      </c>
      <c r="AC5314">
        <v>-13.6738</v>
      </c>
      <c r="AD5314">
        <v>-1.111455532745</v>
      </c>
      <c r="AE5314">
        <v>-4.8258999999999901</v>
      </c>
      <c r="AF5314">
        <v>-4.6590733999107297</v>
      </c>
      <c r="AG5314">
        <v>-1.111455532745</v>
      </c>
      <c r="AH5314">
        <v>13.6420705795563</v>
      </c>
      <c r="AI5314">
        <v>94.408795689983094</v>
      </c>
      <c r="AJ5314">
        <v>108.85618810442701</v>
      </c>
      <c r="AK5314">
        <v>14.4585057334643</v>
      </c>
      <c r="AL5314">
        <v>67.662805278480405</v>
      </c>
      <c r="AM5314">
        <v>102.61614347779199</v>
      </c>
      <c r="AN5314">
        <v>1.0000000045981801</v>
      </c>
    </row>
    <row r="5315" spans="1:40" x14ac:dyDescent="0.25">
      <c r="A5315" t="str">
        <f>"20190304164953825"</f>
        <v>20190304164953825</v>
      </c>
      <c r="B5315" t="str">
        <f>"1551689393821203"</f>
        <v>1551689393821203</v>
      </c>
      <c r="C5315" t="s">
        <v>40</v>
      </c>
      <c r="D5315">
        <v>4.2377409999999998</v>
      </c>
      <c r="E5315">
        <v>0.53499770000000002</v>
      </c>
      <c r="F5315" t="s">
        <v>42</v>
      </c>
      <c r="G5315">
        <v>-384.82010000000002</v>
      </c>
      <c r="H5315" s="1">
        <v>-2.2881920000000002E-6</v>
      </c>
      <c r="I5315">
        <v>139.14429999999999</v>
      </c>
      <c r="J5315">
        <v>-374.04329999999999</v>
      </c>
      <c r="K5315">
        <v>1.111459</v>
      </c>
      <c r="L5315">
        <v>142.11420000000001</v>
      </c>
      <c r="M5315">
        <v>-0.99984759999999995</v>
      </c>
      <c r="N5315">
        <v>-1.3675639999999999E-2</v>
      </c>
      <c r="O5315">
        <v>-1.0862520000000001E-2</v>
      </c>
      <c r="P5315">
        <v>-0.90556170000000002</v>
      </c>
      <c r="Q5315">
        <v>0.36763299999999999</v>
      </c>
      <c r="R5315">
        <v>-0.2116701</v>
      </c>
      <c r="S5315">
        <v>-3.24295</v>
      </c>
      <c r="T5315">
        <v>-0.32334449999999998</v>
      </c>
      <c r="U5315">
        <v>-0.86528019999999894</v>
      </c>
      <c r="V5315">
        <v>-0.20242930000000001</v>
      </c>
      <c r="W5315">
        <v>0.37968970000000002</v>
      </c>
      <c r="X5315">
        <v>0.90269489999999997</v>
      </c>
      <c r="Y5315">
        <v>-0.24602189999999999</v>
      </c>
      <c r="Z5315">
        <v>-1.282579E-2</v>
      </c>
      <c r="AA5315">
        <v>0.96917940000000002</v>
      </c>
      <c r="AB5315">
        <v>37</v>
      </c>
      <c r="AC5315">
        <v>-10.7768</v>
      </c>
      <c r="AD5315">
        <v>-1.1114612881919901</v>
      </c>
      <c r="AE5315">
        <v>-2.96990000000002</v>
      </c>
      <c r="AF5315">
        <v>-2.8247254978500802</v>
      </c>
      <c r="AG5315">
        <v>-1.1114612881919901</v>
      </c>
      <c r="AH5315">
        <v>10.702622034698001</v>
      </c>
      <c r="AI5315">
        <v>95.733912213244096</v>
      </c>
      <c r="AJ5315">
        <v>104.784840399008</v>
      </c>
      <c r="AK5315">
        <v>11.124771402188699</v>
      </c>
      <c r="AL5315">
        <v>67.685536384282301</v>
      </c>
      <c r="AM5315">
        <v>102.639473824321</v>
      </c>
      <c r="AN5315">
        <v>0.99999998613529495</v>
      </c>
    </row>
    <row r="5316" spans="1:40" x14ac:dyDescent="0.25">
      <c r="A5316" t="str">
        <f>"20190304164953847"</f>
        <v>20190304164953847</v>
      </c>
      <c r="B5316" t="str">
        <f>"1551689393840722"</f>
        <v>1551689393840722</v>
      </c>
      <c r="C5316" t="s">
        <v>40</v>
      </c>
      <c r="D5316">
        <v>4.1908010000000004</v>
      </c>
      <c r="E5316">
        <v>0.53708540000000005</v>
      </c>
      <c r="F5316" t="s">
        <v>42</v>
      </c>
      <c r="G5316">
        <v>-383.76420000000002</v>
      </c>
      <c r="H5316" s="1">
        <v>-2.9125660000000002E-6</v>
      </c>
      <c r="I5316">
        <v>140.57499999999999</v>
      </c>
      <c r="J5316">
        <v>-374.40179999999998</v>
      </c>
      <c r="K5316">
        <v>1.111461</v>
      </c>
      <c r="L5316">
        <v>142.1097</v>
      </c>
      <c r="M5316">
        <v>-0.99983809999999995</v>
      </c>
      <c r="N5316">
        <v>-1.3823459999999999E-2</v>
      </c>
      <c r="O5316">
        <v>-1.1524360000000001E-2</v>
      </c>
      <c r="P5316">
        <v>-0.90560879999999999</v>
      </c>
      <c r="Q5316">
        <v>0.36695430000000001</v>
      </c>
      <c r="R5316">
        <v>-0.21264359999999999</v>
      </c>
      <c r="S5316">
        <v>-3.3443909999999999</v>
      </c>
      <c r="T5316">
        <v>-0.3823916</v>
      </c>
      <c r="U5316">
        <v>-0.52954100000000004</v>
      </c>
      <c r="V5316">
        <v>-0.20279920000000001</v>
      </c>
      <c r="W5316">
        <v>0.37914710000000001</v>
      </c>
      <c r="X5316">
        <v>0.90283999999999998</v>
      </c>
      <c r="Y5316">
        <v>-0.1440227</v>
      </c>
      <c r="Z5316">
        <v>-8.014696E-3</v>
      </c>
      <c r="AA5316">
        <v>0.98954189999999997</v>
      </c>
      <c r="AB5316">
        <v>37</v>
      </c>
      <c r="AC5316">
        <v>-9.3624000000000294</v>
      </c>
      <c r="AD5316">
        <v>-1.111463912566</v>
      </c>
      <c r="AE5316">
        <v>-1.5347000000000099</v>
      </c>
      <c r="AF5316">
        <v>-1.40737636840616</v>
      </c>
      <c r="AG5316">
        <v>-1.111463912566</v>
      </c>
      <c r="AH5316">
        <v>9.2524793828198693</v>
      </c>
      <c r="AI5316">
        <v>96.7727278571261</v>
      </c>
      <c r="AJ5316">
        <v>98.648852108324903</v>
      </c>
      <c r="AK5316">
        <v>9.4246716123582495</v>
      </c>
      <c r="AL5316">
        <v>67.719139152260595</v>
      </c>
      <c r="AM5316">
        <v>102.659856634101</v>
      </c>
      <c r="AN5316">
        <v>1.00000005227952</v>
      </c>
    </row>
    <row r="5317" spans="1:40" x14ac:dyDescent="0.25">
      <c r="A5317" t="str">
        <f>"20190304164953869"</f>
        <v>20190304164953869</v>
      </c>
      <c r="B5317" t="str">
        <f>"1551689393861218"</f>
        <v>1551689393861218</v>
      </c>
      <c r="C5317" t="s">
        <v>40</v>
      </c>
      <c r="D5317">
        <v>4.2681190000000004</v>
      </c>
      <c r="E5317">
        <v>0.53823449999999995</v>
      </c>
      <c r="F5317" t="s">
        <v>42</v>
      </c>
      <c r="G5317">
        <v>-384.44540000000001</v>
      </c>
      <c r="H5317" s="1">
        <v>-2.6166000000000001E-6</v>
      </c>
      <c r="I5317">
        <v>140.56100000000001</v>
      </c>
      <c r="J5317">
        <v>-374.7774</v>
      </c>
      <c r="K5317">
        <v>1.111469</v>
      </c>
      <c r="L5317">
        <v>142.1046</v>
      </c>
      <c r="M5317">
        <v>-0.99982800000000005</v>
      </c>
      <c r="N5317">
        <v>-1.3958369999999999E-2</v>
      </c>
      <c r="O5317">
        <v>-1.2218069999999999E-2</v>
      </c>
      <c r="P5317">
        <v>-0.90537409999999996</v>
      </c>
      <c r="Q5317">
        <v>0.36675960000000002</v>
      </c>
      <c r="R5317">
        <v>-0.2139752</v>
      </c>
      <c r="S5317">
        <v>-3.3415530000000002</v>
      </c>
      <c r="T5317">
        <v>-0.36979129999999999</v>
      </c>
      <c r="U5317">
        <v>-0.51521300000000003</v>
      </c>
      <c r="V5317">
        <v>-0.20350199999999999</v>
      </c>
      <c r="W5317">
        <v>0.37907249999999998</v>
      </c>
      <c r="X5317">
        <v>0.90271310000000005</v>
      </c>
      <c r="Y5317">
        <v>-0.13941229999999999</v>
      </c>
      <c r="Z5317">
        <v>-7.4571189999999999E-3</v>
      </c>
      <c r="AA5317">
        <v>0.99020640000000004</v>
      </c>
      <c r="AB5317">
        <v>37</v>
      </c>
      <c r="AC5317">
        <v>-9.6679999999999993</v>
      </c>
      <c r="AD5317">
        <v>-1.1114716166</v>
      </c>
      <c r="AE5317">
        <v>-1.5435999999999901</v>
      </c>
      <c r="AF5317">
        <v>-1.4072125568226299</v>
      </c>
      <c r="AG5317">
        <v>-1.1114716166</v>
      </c>
      <c r="AH5317">
        <v>9.5628916466578406</v>
      </c>
      <c r="AI5317">
        <v>96.5595877731066</v>
      </c>
      <c r="AJ5317">
        <v>98.371193326162299</v>
      </c>
      <c r="AK5317">
        <v>9.7295690028030002</v>
      </c>
      <c r="AL5317">
        <v>67.723756587174805</v>
      </c>
      <c r="AM5317">
        <v>102.704035868834</v>
      </c>
      <c r="AN5317">
        <v>0.99999998258592904</v>
      </c>
    </row>
    <row r="5318" spans="1:40" x14ac:dyDescent="0.25">
      <c r="A5318" t="str">
        <f>"20190304164953890"</f>
        <v>20190304164953890</v>
      </c>
      <c r="B5318" t="str">
        <f>"1551689393880738"</f>
        <v>1551689393880738</v>
      </c>
      <c r="C5318" t="s">
        <v>40</v>
      </c>
      <c r="D5318">
        <v>4.2813290000000004</v>
      </c>
      <c r="E5318">
        <v>0.53867240000000005</v>
      </c>
      <c r="F5318" t="s">
        <v>42</v>
      </c>
      <c r="G5318">
        <v>-384.48910000000001</v>
      </c>
      <c r="H5318" s="1">
        <v>-2.6127739999999999E-6</v>
      </c>
      <c r="I5318">
        <v>140.61709999999999</v>
      </c>
      <c r="J5318">
        <v>-375.12180000000001</v>
      </c>
      <c r="K5318">
        <v>1.1114809999999999</v>
      </c>
      <c r="L5318">
        <v>142.09979999999999</v>
      </c>
      <c r="M5318">
        <v>-0.9998184</v>
      </c>
      <c r="N5318">
        <v>-1.406582E-2</v>
      </c>
      <c r="O5318">
        <v>-1.2856029999999999E-2</v>
      </c>
      <c r="P5318">
        <v>-0.90501310000000001</v>
      </c>
      <c r="Q5318">
        <v>0.36715179999999997</v>
      </c>
      <c r="R5318">
        <v>-0.21482770000000001</v>
      </c>
      <c r="S5318">
        <v>-3.347534</v>
      </c>
      <c r="T5318">
        <v>-0.38311669999999998</v>
      </c>
      <c r="U5318">
        <v>-0.51271060000000002</v>
      </c>
      <c r="V5318">
        <v>-0.2037805</v>
      </c>
      <c r="W5318">
        <v>0.3795578</v>
      </c>
      <c r="X5318">
        <v>0.90244630000000003</v>
      </c>
      <c r="Y5318">
        <v>-0.1377477</v>
      </c>
      <c r="Z5318">
        <v>-7.5111780000000003E-3</v>
      </c>
      <c r="AA5318">
        <v>0.99043890000000001</v>
      </c>
      <c r="AB5318">
        <v>37</v>
      </c>
      <c r="AC5318">
        <v>-9.3673000000000002</v>
      </c>
      <c r="AD5318">
        <v>-1.111483612774</v>
      </c>
      <c r="AE5318">
        <v>-1.4826999999999899</v>
      </c>
      <c r="AF5318">
        <v>-1.34368366155698</v>
      </c>
      <c r="AG5318">
        <v>-1.111483612774</v>
      </c>
      <c r="AH5318">
        <v>9.2584242375756691</v>
      </c>
      <c r="AI5318">
        <v>96.775344703338405</v>
      </c>
      <c r="AJ5318">
        <v>98.257733998704694</v>
      </c>
      <c r="AK5318">
        <v>9.4212154718342394</v>
      </c>
      <c r="AL5318">
        <v>67.693704829930496</v>
      </c>
      <c r="AM5318">
        <v>102.724494821436</v>
      </c>
      <c r="AN5318">
        <v>0.99999997005238905</v>
      </c>
    </row>
    <row r="5319" spans="1:40" x14ac:dyDescent="0.25">
      <c r="A5319" t="str">
        <f>"20190304164953912"</f>
        <v>20190304164953912</v>
      </c>
      <c r="B5319" t="str">
        <f>"1551689393901235"</f>
        <v>1551689393901235</v>
      </c>
      <c r="C5319" t="s">
        <v>40</v>
      </c>
      <c r="D5319">
        <v>4.2752460000000001</v>
      </c>
      <c r="E5319">
        <v>0.53895890000000002</v>
      </c>
      <c r="F5319" t="s">
        <v>42</v>
      </c>
      <c r="G5319">
        <v>-384.64620000000002</v>
      </c>
      <c r="H5319" s="1">
        <v>-2.5509119999999999E-6</v>
      </c>
      <c r="I5319">
        <v>140.6379</v>
      </c>
      <c r="J5319">
        <v>-375.48149999999998</v>
      </c>
      <c r="K5319">
        <v>1.1114949999999999</v>
      </c>
      <c r="L5319">
        <v>142.09450000000001</v>
      </c>
      <c r="M5319">
        <v>-0.99980820000000004</v>
      </c>
      <c r="N5319">
        <v>-1.416362E-2</v>
      </c>
      <c r="O5319">
        <v>-1.352999E-2</v>
      </c>
      <c r="P5319">
        <v>-0.90463289999999996</v>
      </c>
      <c r="Q5319">
        <v>0.36774950000000001</v>
      </c>
      <c r="R5319">
        <v>-0.21540580000000001</v>
      </c>
      <c r="S5319">
        <v>-3.35141</v>
      </c>
      <c r="T5319">
        <v>-0.39110600000000001</v>
      </c>
      <c r="U5319">
        <v>-0.51438899999999999</v>
      </c>
      <c r="V5319">
        <v>-0.2037554</v>
      </c>
      <c r="W5319">
        <v>0.3802393</v>
      </c>
      <c r="X5319">
        <v>0.90216510000000005</v>
      </c>
      <c r="Y5319">
        <v>-0.13736470000000001</v>
      </c>
      <c r="Z5319">
        <v>-7.550078E-3</v>
      </c>
      <c r="AA5319">
        <v>0.99049169999999997</v>
      </c>
      <c r="AB5319">
        <v>37</v>
      </c>
      <c r="AC5319">
        <v>-9.16470000000003</v>
      </c>
      <c r="AD5319">
        <v>-1.111497550912</v>
      </c>
      <c r="AE5319">
        <v>-1.4565999999999999</v>
      </c>
      <c r="AF5319">
        <v>-1.3136101914687901</v>
      </c>
      <c r="AG5319">
        <v>-1.111497550912</v>
      </c>
      <c r="AH5319">
        <v>9.0536819751066098</v>
      </c>
      <c r="AI5319">
        <v>96.927216256430896</v>
      </c>
      <c r="AJ5319">
        <v>98.255508712819804</v>
      </c>
      <c r="AK5319">
        <v>9.2157558478501596</v>
      </c>
      <c r="AL5319">
        <v>67.651494423672801</v>
      </c>
      <c r="AM5319">
        <v>102.72681508346599</v>
      </c>
      <c r="AN5319">
        <v>1.0000000279758201</v>
      </c>
    </row>
    <row r="5320" spans="1:40" x14ac:dyDescent="0.25">
      <c r="A5320" t="str">
        <f>"20190304164953925"</f>
        <v>20190304164953925</v>
      </c>
      <c r="B5320" t="str">
        <f>"1551689393920754"</f>
        <v>1551689393920754</v>
      </c>
      <c r="C5320" t="s">
        <v>40</v>
      </c>
      <c r="D5320">
        <v>4.2984830000000001</v>
      </c>
      <c r="E5320">
        <v>0.53915259999999998</v>
      </c>
      <c r="F5320" t="s">
        <v>42</v>
      </c>
      <c r="G5320">
        <v>-384.9597</v>
      </c>
      <c r="H5320" s="1">
        <v>-2.4160740000000002E-6</v>
      </c>
      <c r="I5320">
        <v>140.63650000000001</v>
      </c>
      <c r="J5320">
        <v>-375.70190000000002</v>
      </c>
      <c r="K5320">
        <v>1.111505</v>
      </c>
      <c r="L5320">
        <v>142.09110000000001</v>
      </c>
      <c r="M5320">
        <v>-0.99980159999999996</v>
      </c>
      <c r="N5320">
        <v>-1.421614E-2</v>
      </c>
      <c r="O5320">
        <v>-1.3951760000000001E-2</v>
      </c>
      <c r="P5320">
        <v>-0.9046071</v>
      </c>
      <c r="Q5320">
        <v>0.36765569999999997</v>
      </c>
      <c r="R5320">
        <v>-0.21567410000000001</v>
      </c>
      <c r="S5320">
        <v>-3.3533019999999998</v>
      </c>
      <c r="T5320">
        <v>-0.39324239999999999</v>
      </c>
      <c r="U5320">
        <v>-0.51582340000000004</v>
      </c>
      <c r="V5320">
        <v>-0.20364579999999999</v>
      </c>
      <c r="W5320">
        <v>0.38019170000000002</v>
      </c>
      <c r="X5320">
        <v>0.90220990000000001</v>
      </c>
      <c r="Y5320">
        <v>-0.1372708</v>
      </c>
      <c r="Z5320">
        <v>-7.5361569999999999E-3</v>
      </c>
      <c r="AA5320">
        <v>0.99050490000000002</v>
      </c>
      <c r="AB5320">
        <v>37</v>
      </c>
      <c r="AC5320">
        <v>-9.2577999999999694</v>
      </c>
      <c r="AD5320">
        <v>-1.1115074160739999</v>
      </c>
      <c r="AE5320">
        <v>-1.4545999999999899</v>
      </c>
      <c r="AF5320">
        <v>-1.30689791123239</v>
      </c>
      <c r="AG5320">
        <v>-1.1115074160739999</v>
      </c>
      <c r="AH5320">
        <v>9.1484982628403895</v>
      </c>
      <c r="AI5320">
        <v>96.858312288204402</v>
      </c>
      <c r="AJ5320">
        <v>98.129915697054301</v>
      </c>
      <c r="AK5320">
        <v>9.3079778336416705</v>
      </c>
      <c r="AL5320">
        <v>67.654443021186395</v>
      </c>
      <c r="AM5320">
        <v>102.719581041607</v>
      </c>
      <c r="AN5320">
        <v>1.00000002213226</v>
      </c>
    </row>
    <row r="5321" spans="1:40" x14ac:dyDescent="0.25">
      <c r="A5321" t="str">
        <f>"20190304164953939"</f>
        <v>20190304164953939</v>
      </c>
      <c r="B5321" t="str">
        <f>"1551689393931491"</f>
        <v>1551689393931491</v>
      </c>
      <c r="C5321" t="s">
        <v>40</v>
      </c>
      <c r="D5321">
        <v>4.2948589999999998</v>
      </c>
      <c r="E5321">
        <v>0.53918159999999904</v>
      </c>
      <c r="F5321" t="s">
        <v>42</v>
      </c>
      <c r="G5321">
        <v>-385.05650000000003</v>
      </c>
      <c r="H5321" s="1">
        <v>-2.378393E-6</v>
      </c>
      <c r="I5321">
        <v>140.65110000000001</v>
      </c>
      <c r="J5321">
        <v>-375.91950000000003</v>
      </c>
      <c r="K5321">
        <v>1.1115159999999999</v>
      </c>
      <c r="L5321">
        <v>142.08770000000001</v>
      </c>
      <c r="M5321">
        <v>-0.99979510000000005</v>
      </c>
      <c r="N5321">
        <v>-1.4264570000000001E-2</v>
      </c>
      <c r="O5321">
        <v>-1.4374369999999999E-2</v>
      </c>
      <c r="P5321">
        <v>-0.90446400000000005</v>
      </c>
      <c r="Q5321">
        <v>0.36779430000000002</v>
      </c>
      <c r="R5321">
        <v>-0.21603910000000001</v>
      </c>
      <c r="S5321">
        <v>-3.3552249999999999</v>
      </c>
      <c r="T5321">
        <v>-0.3986673</v>
      </c>
      <c r="U5321">
        <v>-0.51647949999999998</v>
      </c>
      <c r="V5321">
        <v>-0.20363529999999999</v>
      </c>
      <c r="W5321">
        <v>0.38036940000000002</v>
      </c>
      <c r="X5321">
        <v>0.90213730000000003</v>
      </c>
      <c r="Y5321">
        <v>-0.1369368</v>
      </c>
      <c r="Z5321">
        <v>-7.5578090000000004E-3</v>
      </c>
      <c r="AA5321">
        <v>0.99055090000000001</v>
      </c>
      <c r="AB5321">
        <v>37</v>
      </c>
      <c r="AC5321">
        <v>-9.1370000000000005</v>
      </c>
      <c r="AD5321">
        <v>-1.1115183783930001</v>
      </c>
      <c r="AE5321">
        <v>-1.4365999999999901</v>
      </c>
      <c r="AF5321">
        <v>-1.2865199584050699</v>
      </c>
      <c r="AG5321">
        <v>-1.1115183783930001</v>
      </c>
      <c r="AH5321">
        <v>9.0263516211490895</v>
      </c>
      <c r="AI5321">
        <v>96.950598916221097</v>
      </c>
      <c r="AJ5321">
        <v>98.111695543892793</v>
      </c>
      <c r="AK5321">
        <v>9.1850764992731992</v>
      </c>
      <c r="AL5321">
        <v>67.643433086542501</v>
      </c>
      <c r="AM5321">
        <v>102.71993681690699</v>
      </c>
      <c r="AN5321">
        <v>0.99999996195686902</v>
      </c>
    </row>
    <row r="5322" spans="1:40" x14ac:dyDescent="0.25">
      <c r="A5322" t="str">
        <f>"20190304164953951"</f>
        <v>20190304164953951</v>
      </c>
      <c r="B5322" t="str">
        <f>"1551689393941250"</f>
        <v>1551689393941250</v>
      </c>
      <c r="C5322" t="s">
        <v>40</v>
      </c>
      <c r="D5322">
        <v>4.3075400000000004</v>
      </c>
      <c r="E5322">
        <v>0.53919949999999905</v>
      </c>
      <c r="F5322" t="s">
        <v>42</v>
      </c>
      <c r="G5322">
        <v>-385.24079999999998</v>
      </c>
      <c r="H5322" s="1">
        <v>-2.2987180000000002E-6</v>
      </c>
      <c r="I5322">
        <v>140.64869999999999</v>
      </c>
      <c r="J5322">
        <v>-376.13490000000002</v>
      </c>
      <c r="K5322">
        <v>1.1115250000000001</v>
      </c>
      <c r="L5322">
        <v>142.08430000000001</v>
      </c>
      <c r="M5322">
        <v>-0.99978820000000002</v>
      </c>
      <c r="N5322">
        <v>-1.4308009999999999E-2</v>
      </c>
      <c r="O5322">
        <v>-1.480296E-2</v>
      </c>
      <c r="P5322">
        <v>-0.90444849999999999</v>
      </c>
      <c r="Q5322">
        <v>0.36763570000000001</v>
      </c>
      <c r="R5322">
        <v>-0.21637319999999999</v>
      </c>
      <c r="S5322">
        <v>-3.3558650000000001</v>
      </c>
      <c r="T5322">
        <v>-0.40017320000000001</v>
      </c>
      <c r="U5322">
        <v>-0.51805109999999999</v>
      </c>
      <c r="V5322">
        <v>-0.2035892</v>
      </c>
      <c r="W5322">
        <v>0.3802468</v>
      </c>
      <c r="X5322">
        <v>0.90219939999999998</v>
      </c>
      <c r="Y5322">
        <v>-0.13693239999999901</v>
      </c>
      <c r="Z5322">
        <v>-7.5391369999999996E-3</v>
      </c>
      <c r="AA5322">
        <v>0.99055170000000003</v>
      </c>
      <c r="AB5322">
        <v>37</v>
      </c>
      <c r="AC5322">
        <v>-9.1058999999999592</v>
      </c>
      <c r="AD5322">
        <v>-1.111527298718</v>
      </c>
      <c r="AE5322">
        <v>-1.43560000000002</v>
      </c>
      <c r="AF5322">
        <v>-1.2819957919049401</v>
      </c>
      <c r="AG5322">
        <v>-1.111527298718</v>
      </c>
      <c r="AH5322">
        <v>8.9953724371325805</v>
      </c>
      <c r="AI5322">
        <v>96.974367827698501</v>
      </c>
      <c r="AJ5322">
        <v>98.1110168176168</v>
      </c>
      <c r="AK5322">
        <v>9.1540008427453206</v>
      </c>
      <c r="AL5322">
        <v>67.651028542290206</v>
      </c>
      <c r="AM5322">
        <v>102.71630399001501</v>
      </c>
      <c r="AN5322">
        <v>0.99999997431361898</v>
      </c>
    </row>
    <row r="5323" spans="1:40" x14ac:dyDescent="0.25">
      <c r="A5323" t="str">
        <f>"20190304164953965"</f>
        <v>20190304164953965</v>
      </c>
      <c r="B5323" t="str">
        <f>"1551689393960771"</f>
        <v>1551689393960771</v>
      </c>
      <c r="C5323" t="s">
        <v>40</v>
      </c>
      <c r="D5323">
        <v>4.3226789999999999</v>
      </c>
      <c r="E5323">
        <v>0.53922550000000002</v>
      </c>
      <c r="F5323" t="s">
        <v>42</v>
      </c>
      <c r="G5323">
        <v>-385.38990000000001</v>
      </c>
      <c r="H5323" s="1">
        <v>-2.2355940000000001E-6</v>
      </c>
      <c r="I5323">
        <v>140.65190000000001</v>
      </c>
      <c r="J5323">
        <v>-376.35250000000002</v>
      </c>
      <c r="K5323">
        <v>1.111542</v>
      </c>
      <c r="L5323">
        <v>142.0806</v>
      </c>
      <c r="M5323">
        <v>-0.99978069999999997</v>
      </c>
      <c r="N5323">
        <v>-1.434763E-2</v>
      </c>
      <c r="O5323">
        <v>-1.524959E-2</v>
      </c>
      <c r="P5323">
        <v>-0.90447999999999995</v>
      </c>
      <c r="Q5323">
        <v>0.36742330000000001</v>
      </c>
      <c r="R5323">
        <v>-0.21660119999999999</v>
      </c>
      <c r="S5323">
        <v>-3.3565369999999999</v>
      </c>
      <c r="T5323">
        <v>-0.40312229999999999</v>
      </c>
      <c r="U5323">
        <v>-0.519455</v>
      </c>
      <c r="V5323">
        <v>-0.20342360000000001</v>
      </c>
      <c r="W5323">
        <v>0.3800655</v>
      </c>
      <c r="X5323">
        <v>0.90231320000000004</v>
      </c>
      <c r="Y5323">
        <v>-0.13685420000000001</v>
      </c>
      <c r="Z5323">
        <v>-7.5355090000000001E-3</v>
      </c>
      <c r="AA5323">
        <v>0.99056259999999996</v>
      </c>
      <c r="AB5323">
        <v>37</v>
      </c>
      <c r="AC5323">
        <v>-9.0373999999999892</v>
      </c>
      <c r="AD5323">
        <v>-1.111544235594</v>
      </c>
      <c r="AE5323">
        <v>-1.4286999999999901</v>
      </c>
      <c r="AF5323">
        <v>-1.2719310274895701</v>
      </c>
      <c r="AG5323">
        <v>-1.111544235594</v>
      </c>
      <c r="AH5323">
        <v>8.92639680950521</v>
      </c>
      <c r="AI5323">
        <v>97.027854508292904</v>
      </c>
      <c r="AJ5323">
        <v>98.109541295311502</v>
      </c>
      <c r="AK5323">
        <v>9.0848169561702097</v>
      </c>
      <c r="AL5323">
        <v>67.662260725104801</v>
      </c>
      <c r="AM5323">
        <v>102.70474595141199</v>
      </c>
      <c r="AN5323">
        <v>1.00000002811072</v>
      </c>
    </row>
    <row r="5324" spans="1:40" x14ac:dyDescent="0.25">
      <c r="A5324" t="str">
        <f>"20190304164953979"</f>
        <v>20190304164953979</v>
      </c>
      <c r="B5324" t="str">
        <f>"1551689393970530"</f>
        <v>1551689393970530</v>
      </c>
      <c r="C5324" t="s">
        <v>40</v>
      </c>
      <c r="D5324">
        <v>4.305517</v>
      </c>
      <c r="E5324">
        <v>0.53922780000000003</v>
      </c>
      <c r="F5324" t="s">
        <v>42</v>
      </c>
      <c r="G5324">
        <v>-385.5027</v>
      </c>
      <c r="H5324" s="1">
        <v>-2.1898979999999999E-6</v>
      </c>
      <c r="I5324">
        <v>140.66200000000001</v>
      </c>
      <c r="J5324">
        <v>-376.57780000000002</v>
      </c>
      <c r="K5324">
        <v>1.111567</v>
      </c>
      <c r="L5324">
        <v>142.07679999999999</v>
      </c>
      <c r="M5324">
        <v>-0.99977289999999996</v>
      </c>
      <c r="N5324">
        <v>-1.438583E-2</v>
      </c>
      <c r="O5324">
        <v>-1.5723919999999999E-2</v>
      </c>
      <c r="P5324">
        <v>-0.90448689999999998</v>
      </c>
      <c r="Q5324">
        <v>0.36728670000000002</v>
      </c>
      <c r="R5324">
        <v>-0.21680489999999999</v>
      </c>
      <c r="S5324">
        <v>-3.3578489999999999</v>
      </c>
      <c r="T5324">
        <v>-0.40790460000000001</v>
      </c>
      <c r="U5324">
        <v>-0.52055359999999995</v>
      </c>
      <c r="V5324">
        <v>-0.20321130000000001</v>
      </c>
      <c r="W5324">
        <v>0.3799575</v>
      </c>
      <c r="X5324">
        <v>0.9024065</v>
      </c>
      <c r="Y5324">
        <v>-0.1366252</v>
      </c>
      <c r="Z5324">
        <v>-7.5450150000000004E-3</v>
      </c>
      <c r="AA5324">
        <v>0.99059410000000003</v>
      </c>
      <c r="AB5324">
        <v>36</v>
      </c>
      <c r="AC5324">
        <v>-8.9248999999999796</v>
      </c>
      <c r="AD5324">
        <v>-1.111569189898</v>
      </c>
      <c r="AE5324">
        <v>-1.4147999999999801</v>
      </c>
      <c r="AF5324">
        <v>-1.2552815829125801</v>
      </c>
      <c r="AG5324">
        <v>-1.111569189898</v>
      </c>
      <c r="AH5324">
        <v>8.8126939119231409</v>
      </c>
      <c r="AI5324">
        <v>97.1178130778042</v>
      </c>
      <c r="AJ5324">
        <v>98.106687789650906</v>
      </c>
      <c r="AK5324">
        <v>8.9707798937203496</v>
      </c>
      <c r="AL5324">
        <v>67.668950164625002</v>
      </c>
      <c r="AM5324">
        <v>102.690646833003</v>
      </c>
      <c r="AN5324">
        <v>1.0000000127480899</v>
      </c>
    </row>
    <row r="5325" spans="1:40" x14ac:dyDescent="0.25">
      <c r="A5325" t="str">
        <f>"20190304164953992"</f>
        <v>20190304164953992</v>
      </c>
      <c r="B5325" t="str">
        <f>"1551689393981266"</f>
        <v>1551689393981266</v>
      </c>
      <c r="C5325" t="s">
        <v>40</v>
      </c>
      <c r="D5325">
        <v>4.2962069999999999</v>
      </c>
      <c r="E5325">
        <v>0.53921980000000003</v>
      </c>
      <c r="F5325" t="s">
        <v>42</v>
      </c>
      <c r="G5325">
        <v>-385.70350000000002</v>
      </c>
      <c r="H5325" s="1">
        <v>-2.1030099999999999E-6</v>
      </c>
      <c r="I5325">
        <v>140.6592</v>
      </c>
      <c r="J5325">
        <v>-376.8023</v>
      </c>
      <c r="K5325">
        <v>1.1115900000000001</v>
      </c>
      <c r="L5325">
        <v>142.0728</v>
      </c>
      <c r="M5325">
        <v>-0.99976469999999995</v>
      </c>
      <c r="N5325">
        <v>-1.442034E-2</v>
      </c>
      <c r="O5325">
        <v>-1.621498E-2</v>
      </c>
      <c r="P5325">
        <v>-0.90441539999999998</v>
      </c>
      <c r="Q5325">
        <v>0.3672338</v>
      </c>
      <c r="R5325">
        <v>-0.217192</v>
      </c>
      <c r="S5325">
        <v>-3.3578800000000002</v>
      </c>
      <c r="T5325">
        <v>-0.40901300000000002</v>
      </c>
      <c r="U5325">
        <v>-0.52157589999999998</v>
      </c>
      <c r="V5325">
        <v>-0.20317189999999999</v>
      </c>
      <c r="W5325">
        <v>0.3799266</v>
      </c>
      <c r="X5325">
        <v>0.90242840000000002</v>
      </c>
      <c r="Y5325">
        <v>-0.13643079999999999</v>
      </c>
      <c r="Z5325">
        <v>-7.4995180000000002E-3</v>
      </c>
      <c r="AA5325">
        <v>0.99062119999999998</v>
      </c>
      <c r="AB5325">
        <v>36</v>
      </c>
      <c r="AC5325">
        <v>-8.90120000000001</v>
      </c>
      <c r="AD5325">
        <v>-1.11159210300999</v>
      </c>
      <c r="AE5325">
        <v>-1.4136</v>
      </c>
      <c r="AF5325">
        <v>-1.2500510041109301</v>
      </c>
      <c r="AG5325">
        <v>-1.11159210300999</v>
      </c>
      <c r="AH5325">
        <v>8.7892542805273699</v>
      </c>
      <c r="AI5325">
        <v>97.136957443539899</v>
      </c>
      <c r="AJ5325">
        <v>98.094600098866707</v>
      </c>
      <c r="AK5325">
        <v>8.9470249426343802</v>
      </c>
      <c r="AL5325">
        <v>67.670864531720298</v>
      </c>
      <c r="AM5325">
        <v>102.68796800200499</v>
      </c>
      <c r="AN5325">
        <v>1.0000000297318601</v>
      </c>
    </row>
    <row r="5326" spans="1:40" x14ac:dyDescent="0.25">
      <c r="A5326" t="str">
        <f>"20190304164954015"</f>
        <v>20190304164954015</v>
      </c>
      <c r="B5326" t="str">
        <f>"1551689394011522"</f>
        <v>1551689394011522</v>
      </c>
      <c r="C5326" t="s">
        <v>40</v>
      </c>
      <c r="D5326">
        <v>4.3355610000000002</v>
      </c>
      <c r="E5326">
        <v>0.53918290000000002</v>
      </c>
      <c r="F5326" t="s">
        <v>42</v>
      </c>
      <c r="G5326">
        <v>-385.90620000000001</v>
      </c>
      <c r="H5326" s="1">
        <v>-2.014925E-6</v>
      </c>
      <c r="I5326">
        <v>140.655</v>
      </c>
      <c r="J5326">
        <v>-377.13170000000002</v>
      </c>
      <c r="K5326">
        <v>1.1116239999999999</v>
      </c>
      <c r="L5326">
        <v>142.0667</v>
      </c>
      <c r="M5326">
        <v>-0.99975139999999996</v>
      </c>
      <c r="N5326">
        <v>-1.4465169999999999E-2</v>
      </c>
      <c r="O5326">
        <v>-1.6973080000000001E-2</v>
      </c>
      <c r="P5326">
        <v>-0.90430440000000001</v>
      </c>
      <c r="Q5326">
        <v>0.3672686</v>
      </c>
      <c r="R5326">
        <v>-0.2175946</v>
      </c>
      <c r="S5326">
        <v>-3.357971</v>
      </c>
      <c r="T5326">
        <v>-0.4100143</v>
      </c>
      <c r="U5326">
        <v>-0.52293400000000001</v>
      </c>
      <c r="V5326">
        <v>-0.20291999999999999</v>
      </c>
      <c r="W5326">
        <v>0.37998609999999999</v>
      </c>
      <c r="X5326">
        <v>0.90246000000000004</v>
      </c>
      <c r="Y5326">
        <v>-0.1360691</v>
      </c>
      <c r="Z5326">
        <v>-7.4130050000000003E-3</v>
      </c>
      <c r="AA5326">
        <v>0.99067159999999999</v>
      </c>
      <c r="AB5326">
        <v>36</v>
      </c>
      <c r="AC5326">
        <v>-8.7744999999999802</v>
      </c>
      <c r="AD5326">
        <v>-1.1116260149249999</v>
      </c>
      <c r="AE5326">
        <v>-1.41169999999999</v>
      </c>
      <c r="AF5326">
        <v>-1.24310246216385</v>
      </c>
      <c r="AG5326">
        <v>-1.1116260149249999</v>
      </c>
      <c r="AH5326">
        <v>8.6616874787206903</v>
      </c>
      <c r="AI5326">
        <v>97.239883043230094</v>
      </c>
      <c r="AJ5326">
        <v>98.167169650088496</v>
      </c>
      <c r="AK5326">
        <v>8.8207622180581797</v>
      </c>
      <c r="AL5326">
        <v>67.667178504376196</v>
      </c>
      <c r="AM5326">
        <v>102.672315936323</v>
      </c>
      <c r="AN5326">
        <v>1.0000000070966</v>
      </c>
    </row>
    <row r="5327" spans="1:40" x14ac:dyDescent="0.25">
      <c r="A5327" t="str">
        <f>"20190304164954037"</f>
        <v>20190304164954037</v>
      </c>
      <c r="B5327" t="str">
        <f>"1551689394031042"</f>
        <v>1551689394031042</v>
      </c>
      <c r="C5327" t="s">
        <v>40</v>
      </c>
      <c r="D5327">
        <v>4.3456659999999996</v>
      </c>
      <c r="E5327">
        <v>0.53914390000000001</v>
      </c>
      <c r="F5327" t="s">
        <v>42</v>
      </c>
      <c r="G5327">
        <v>-386.17329999999998</v>
      </c>
      <c r="H5327" s="1">
        <v>-1.89966E-6</v>
      </c>
      <c r="I5327">
        <v>140.6524</v>
      </c>
      <c r="J5327">
        <v>-377.52359999999999</v>
      </c>
      <c r="K5327">
        <v>1.1116760000000001</v>
      </c>
      <c r="L5327">
        <v>142.0591</v>
      </c>
      <c r="M5327">
        <v>-0.99973380000000001</v>
      </c>
      <c r="N5327">
        <v>-1.4510820000000001E-2</v>
      </c>
      <c r="O5327">
        <v>-1.794345E-2</v>
      </c>
      <c r="P5327">
        <v>-0.90423180000000003</v>
      </c>
      <c r="Q5327">
        <v>0.36699130000000002</v>
      </c>
      <c r="R5327">
        <v>-0.21836349999999999</v>
      </c>
      <c r="S5327">
        <v>-3.358765</v>
      </c>
      <c r="T5327">
        <v>-0.4129488</v>
      </c>
      <c r="U5327">
        <v>-0.5253601</v>
      </c>
      <c r="V5327">
        <v>-0.2028537</v>
      </c>
      <c r="W5327">
        <v>0.3797277</v>
      </c>
      <c r="X5327">
        <v>0.90258369999999999</v>
      </c>
      <c r="Y5327">
        <v>-0.13576540000000001</v>
      </c>
      <c r="Z5327">
        <v>-7.3342889999999999E-3</v>
      </c>
      <c r="AA5327">
        <v>0.99071390000000004</v>
      </c>
      <c r="AB5327">
        <v>36</v>
      </c>
      <c r="AC5327">
        <v>-8.6496999999999904</v>
      </c>
      <c r="AD5327">
        <v>-1.1116778996600001</v>
      </c>
      <c r="AE5327">
        <v>-1.4067000000000001</v>
      </c>
      <c r="AF5327">
        <v>-1.23143504334895</v>
      </c>
      <c r="AG5327">
        <v>-1.1116778996600001</v>
      </c>
      <c r="AH5327">
        <v>8.5361838282135203</v>
      </c>
      <c r="AI5327">
        <v>97.344751520195103</v>
      </c>
      <c r="AJ5327">
        <v>98.208891031396803</v>
      </c>
      <c r="AK5327">
        <v>8.6959010095351399</v>
      </c>
      <c r="AL5327">
        <v>67.683184210266305</v>
      </c>
      <c r="AM5327">
        <v>102.66662898153299</v>
      </c>
      <c r="AN5327">
        <v>1.00000004262833</v>
      </c>
    </row>
    <row r="5328" spans="1:40" x14ac:dyDescent="0.25">
      <c r="A5328" t="str">
        <f>"20190304164954059"</f>
        <v>20190304164954059</v>
      </c>
      <c r="B5328" t="str">
        <f>"1551689394050562"</f>
        <v>1551689394050562</v>
      </c>
      <c r="C5328" t="s">
        <v>40</v>
      </c>
      <c r="D5328">
        <v>4.3297230000000004</v>
      </c>
      <c r="E5328">
        <v>0.53909430000000003</v>
      </c>
      <c r="F5328" t="s">
        <v>42</v>
      </c>
      <c r="G5328">
        <v>-386.52</v>
      </c>
      <c r="H5328" s="1">
        <v>-1.7486610000000001E-6</v>
      </c>
      <c r="I5328">
        <v>140.6439</v>
      </c>
      <c r="J5328">
        <v>-377.8657</v>
      </c>
      <c r="K5328">
        <v>1.1117269999999999</v>
      </c>
      <c r="L5328">
        <v>142.05199999999999</v>
      </c>
      <c r="M5328">
        <v>-0.99971650000000001</v>
      </c>
      <c r="N5328">
        <v>-1.454479E-2</v>
      </c>
      <c r="O5328">
        <v>-1.885423E-2</v>
      </c>
      <c r="P5328">
        <v>-0.90415100000000004</v>
      </c>
      <c r="Q5328">
        <v>0.36647819999999998</v>
      </c>
      <c r="R5328">
        <v>-0.21955659999999999</v>
      </c>
      <c r="S5328">
        <v>-3.3585509999999998</v>
      </c>
      <c r="T5328">
        <v>-0.41501470000000001</v>
      </c>
      <c r="U5328">
        <v>-0.52828980000000003</v>
      </c>
      <c r="V5328">
        <v>-0.2032651</v>
      </c>
      <c r="W5328">
        <v>0.37922250000000002</v>
      </c>
      <c r="X5328">
        <v>0.90270349999999999</v>
      </c>
      <c r="Y5328">
        <v>-0.135712</v>
      </c>
      <c r="Z5328">
        <v>-7.265606E-3</v>
      </c>
      <c r="AA5328">
        <v>0.99072170000000004</v>
      </c>
      <c r="AB5328">
        <v>36</v>
      </c>
      <c r="AC5328">
        <v>-8.6542999999999708</v>
      </c>
      <c r="AD5328">
        <v>-1.1117287486609999</v>
      </c>
      <c r="AE5328">
        <v>-1.4081000000000099</v>
      </c>
      <c r="AF5328">
        <v>-1.2249692521409099</v>
      </c>
      <c r="AG5328">
        <v>-1.1117287486609999</v>
      </c>
      <c r="AH5328">
        <v>8.54198913500095</v>
      </c>
      <c r="AI5328">
        <v>97.341021163304404</v>
      </c>
      <c r="AJ5328">
        <v>98.160896931134403</v>
      </c>
      <c r="AK5328">
        <v>8.7006935850979303</v>
      </c>
      <c r="AL5328">
        <v>67.714469332489401</v>
      </c>
      <c r="AM5328">
        <v>102.68985663919</v>
      </c>
      <c r="AN5328">
        <v>1.00000000714825</v>
      </c>
    </row>
    <row r="5329" spans="1:40" x14ac:dyDescent="0.25">
      <c r="A5329" t="str">
        <f>"20190304164954080"</f>
        <v>20190304164954080</v>
      </c>
      <c r="B5329" t="str">
        <f>"1551689394071059"</f>
        <v>1551689394071059</v>
      </c>
      <c r="C5329" t="s">
        <v>40</v>
      </c>
      <c r="D5329">
        <v>4.380738</v>
      </c>
      <c r="E5329">
        <v>0.53851599999999999</v>
      </c>
      <c r="F5329" t="s">
        <v>42</v>
      </c>
      <c r="G5329">
        <v>-386.78410000000002</v>
      </c>
      <c r="H5329" s="1">
        <v>-1.633503E-6</v>
      </c>
      <c r="I5329">
        <v>140.63679999999999</v>
      </c>
      <c r="J5329">
        <v>-378.21409999999997</v>
      </c>
      <c r="K5329">
        <v>1.1117870000000001</v>
      </c>
      <c r="L5329">
        <v>142.0445</v>
      </c>
      <c r="M5329">
        <v>-0.99969699999999995</v>
      </c>
      <c r="N5329">
        <v>-1.4574500000000001E-2</v>
      </c>
      <c r="O5329">
        <v>-1.9834589999999999E-2</v>
      </c>
      <c r="P5329">
        <v>-0.90387770000000001</v>
      </c>
      <c r="Q5329">
        <v>0.36631940000000002</v>
      </c>
      <c r="R5329">
        <v>-0.220942</v>
      </c>
      <c r="S5329">
        <v>-3.358276</v>
      </c>
      <c r="T5329">
        <v>-0.41863309999999998</v>
      </c>
      <c r="U5329">
        <v>-0.53289790000000004</v>
      </c>
      <c r="V5329">
        <v>-0.2038092</v>
      </c>
      <c r="W5329">
        <v>0.37906459999999997</v>
      </c>
      <c r="X5329">
        <v>0.90264710000000004</v>
      </c>
      <c r="Y5329">
        <v>-0.1360654</v>
      </c>
      <c r="Z5329">
        <v>-7.2377680000000003E-3</v>
      </c>
      <c r="AA5329">
        <v>0.99067340000000004</v>
      </c>
      <c r="AB5329">
        <v>36</v>
      </c>
      <c r="AC5329">
        <v>-8.57000000000005</v>
      </c>
      <c r="AD5329">
        <v>-1.1117886335030001</v>
      </c>
      <c r="AE5329">
        <v>-1.4077</v>
      </c>
      <c r="AF5329">
        <v>-1.2174708551941</v>
      </c>
      <c r="AG5329">
        <v>-1.1117886335030001</v>
      </c>
      <c r="AH5329">
        <v>8.4576358679457702</v>
      </c>
      <c r="AI5329">
        <v>97.413261052569993</v>
      </c>
      <c r="AJ5329">
        <v>98.191418043410707</v>
      </c>
      <c r="AK5329">
        <v>8.6168389635408893</v>
      </c>
      <c r="AL5329">
        <v>67.724245529047806</v>
      </c>
      <c r="AM5329">
        <v>102.72348968479</v>
      </c>
      <c r="AN5329">
        <v>0.99999997405810404</v>
      </c>
    </row>
    <row r="5330" spans="1:40" x14ac:dyDescent="0.25">
      <c r="A5330" t="str">
        <f>"20190304164954102"</f>
        <v>20190304164954102</v>
      </c>
      <c r="B5330" t="str">
        <f>"1551689394090580"</f>
        <v>1551689394090580</v>
      </c>
      <c r="C5330" t="s">
        <v>40</v>
      </c>
      <c r="D5330">
        <v>4.3393860000000002</v>
      </c>
      <c r="E5330">
        <v>0.53850629999999999</v>
      </c>
      <c r="F5330" t="s">
        <v>42</v>
      </c>
      <c r="G5330">
        <v>-387.25940000000003</v>
      </c>
      <c r="H5330" s="1">
        <v>-1.4161549999999999E-6</v>
      </c>
      <c r="I5330">
        <v>140.58629999999999</v>
      </c>
      <c r="J5330">
        <v>-378.56450000000001</v>
      </c>
      <c r="K5330">
        <v>1.1118429999999999</v>
      </c>
      <c r="L5330">
        <v>142.03649999999999</v>
      </c>
      <c r="M5330">
        <v>-0.9996756</v>
      </c>
      <c r="N5330">
        <v>-1.460003E-2</v>
      </c>
      <c r="O5330">
        <v>-2.0877969999999999E-2</v>
      </c>
      <c r="P5330">
        <v>-0.90311390000000002</v>
      </c>
      <c r="Q5330">
        <v>0.36731279999999999</v>
      </c>
      <c r="R5330">
        <v>-0.22241140000000001</v>
      </c>
      <c r="S5330">
        <v>-3.3539729999999999</v>
      </c>
      <c r="T5330">
        <v>-0.41224959999999999</v>
      </c>
      <c r="U5330">
        <v>-0.5406647</v>
      </c>
      <c r="V5330">
        <v>-0.20439260000000001</v>
      </c>
      <c r="W5330">
        <v>0.38004830000000001</v>
      </c>
      <c r="X5330">
        <v>0.90210140000000005</v>
      </c>
      <c r="Y5330">
        <v>-0.13748589999999999</v>
      </c>
      <c r="Z5330">
        <v>-7.1415339999999997E-3</v>
      </c>
      <c r="AA5330">
        <v>0.99047799999999997</v>
      </c>
      <c r="AB5330">
        <v>36</v>
      </c>
      <c r="AC5330">
        <v>-8.6949000000000094</v>
      </c>
      <c r="AD5330">
        <v>-1.1118444161550001</v>
      </c>
      <c r="AE5330">
        <v>-1.4501999999999899</v>
      </c>
      <c r="AF5330">
        <v>-1.24847074581271</v>
      </c>
      <c r="AG5330">
        <v>-1.1118444161550001</v>
      </c>
      <c r="AH5330">
        <v>8.5866794359623704</v>
      </c>
      <c r="AI5330">
        <v>97.301945113822896</v>
      </c>
      <c r="AJ5330">
        <v>98.272620323271099</v>
      </c>
      <c r="AK5330">
        <v>8.7479106616873992</v>
      </c>
      <c r="AL5330">
        <v>67.663325275699506</v>
      </c>
      <c r="AM5330">
        <v>102.766185103738</v>
      </c>
      <c r="AN5330">
        <v>0.99999999057480504</v>
      </c>
    </row>
    <row r="5331" spans="1:40" x14ac:dyDescent="0.25">
      <c r="A5331" t="str">
        <f>"20190304164954125"</f>
        <v>20190304164954125</v>
      </c>
      <c r="B5331" t="str">
        <f>"1551689394120835"</f>
        <v>1551689394120835</v>
      </c>
      <c r="C5331" t="s">
        <v>40</v>
      </c>
      <c r="D5331">
        <v>4.3268469999999999</v>
      </c>
      <c r="E5331">
        <v>0.53846149999999904</v>
      </c>
      <c r="F5331" t="s">
        <v>42</v>
      </c>
      <c r="G5331">
        <v>-387.66250000000002</v>
      </c>
      <c r="H5331" s="1">
        <v>-1.2344790000000001E-6</v>
      </c>
      <c r="I5331">
        <v>140.55340000000001</v>
      </c>
      <c r="J5331">
        <v>-378.93759999999997</v>
      </c>
      <c r="K5331">
        <v>1.111904</v>
      </c>
      <c r="L5331">
        <v>142.02760000000001</v>
      </c>
      <c r="M5331">
        <v>-0.99964989999999998</v>
      </c>
      <c r="N5331">
        <v>-1.4622949999999999E-2</v>
      </c>
      <c r="O5331">
        <v>-2.2052789999999999E-2</v>
      </c>
      <c r="P5331">
        <v>-0.90220339999999999</v>
      </c>
      <c r="Q5331">
        <v>0.3682262</v>
      </c>
      <c r="R5331">
        <v>-0.22458539999999999</v>
      </c>
      <c r="S5331">
        <v>-3.3539119999999998</v>
      </c>
      <c r="T5331">
        <v>-0.40988000000000002</v>
      </c>
      <c r="U5331">
        <v>-0.54672240000000005</v>
      </c>
      <c r="V5331">
        <v>-0.205569</v>
      </c>
      <c r="W5331">
        <v>0.38094529999999999</v>
      </c>
      <c r="X5331">
        <v>0.90145549999999997</v>
      </c>
      <c r="Y5331">
        <v>-0.13808049999999999</v>
      </c>
      <c r="Z5331">
        <v>-7.025145E-3</v>
      </c>
      <c r="AA5331">
        <v>0.9903961</v>
      </c>
      <c r="AB5331">
        <v>36</v>
      </c>
      <c r="AC5331">
        <v>-8.7249000000000407</v>
      </c>
      <c r="AD5331">
        <v>-1.1119052344789999</v>
      </c>
      <c r="AE5331">
        <v>-1.47419999999999</v>
      </c>
      <c r="AF5331">
        <v>-1.2614931344873399</v>
      </c>
      <c r="AG5331">
        <v>-1.1119052344789999</v>
      </c>
      <c r="AH5331">
        <v>8.6191920264109907</v>
      </c>
      <c r="AI5331">
        <v>97.274101296720701</v>
      </c>
      <c r="AJ5331">
        <v>98.326613264219006</v>
      </c>
      <c r="AK5331">
        <v>8.7816951306093198</v>
      </c>
      <c r="AL5331">
        <v>67.607750445256897</v>
      </c>
      <c r="AM5331">
        <v>102.846127128646</v>
      </c>
      <c r="AN5331">
        <v>0.99999997691666898</v>
      </c>
    </row>
    <row r="5332" spans="1:40" x14ac:dyDescent="0.25">
      <c r="A5332" t="str">
        <f>"20190304164954149"</f>
        <v>20190304164954149</v>
      </c>
      <c r="B5332" t="str">
        <f>"1551689394141331"</f>
        <v>1551689394141331</v>
      </c>
      <c r="C5332" t="s">
        <v>40</v>
      </c>
      <c r="D5332">
        <v>4.3799099999999997</v>
      </c>
      <c r="E5332">
        <v>0.53844479999999995</v>
      </c>
      <c r="F5332" t="s">
        <v>42</v>
      </c>
      <c r="G5332">
        <v>-388.05990000000003</v>
      </c>
      <c r="H5332" s="1">
        <v>-1.055257E-6</v>
      </c>
      <c r="I5332">
        <v>140.52070000000001</v>
      </c>
      <c r="J5332">
        <v>-379.31</v>
      </c>
      <c r="K5332">
        <v>1.111964</v>
      </c>
      <c r="L5332">
        <v>142.0181</v>
      </c>
      <c r="M5332">
        <v>-0.99962150000000005</v>
      </c>
      <c r="N5332">
        <v>-1.464233E-2</v>
      </c>
      <c r="O5332">
        <v>-2.329175E-2</v>
      </c>
      <c r="P5332">
        <v>-0.90162679999999995</v>
      </c>
      <c r="Q5332">
        <v>0.36789300000000003</v>
      </c>
      <c r="R5332">
        <v>-0.22742889999999999</v>
      </c>
      <c r="S5332">
        <v>-3.3541560000000001</v>
      </c>
      <c r="T5332">
        <v>-0.408833</v>
      </c>
      <c r="U5332">
        <v>-0.55403139999999995</v>
      </c>
      <c r="V5332">
        <v>-0.2073496</v>
      </c>
      <c r="W5332">
        <v>0.3805943</v>
      </c>
      <c r="X5332">
        <v>0.90119590000000005</v>
      </c>
      <c r="Y5332">
        <v>-0.13894809999999999</v>
      </c>
      <c r="Z5332">
        <v>-6.9386789999999997E-3</v>
      </c>
      <c r="AA5332">
        <v>0.99027540000000003</v>
      </c>
      <c r="AB5332">
        <v>36</v>
      </c>
      <c r="AC5332">
        <v>-8.7499000000000198</v>
      </c>
      <c r="AD5332">
        <v>-1.111965055257</v>
      </c>
      <c r="AE5332">
        <v>-1.4973999999999901</v>
      </c>
      <c r="AF5332">
        <v>-1.27319416434612</v>
      </c>
      <c r="AG5332">
        <v>-1.111965055257</v>
      </c>
      <c r="AH5332">
        <v>8.6467340271559294</v>
      </c>
      <c r="AI5332">
        <v>97.250649954312394</v>
      </c>
      <c r="AJ5332">
        <v>98.376364861138697</v>
      </c>
      <c r="AK5332">
        <v>8.8104199105725893</v>
      </c>
      <c r="AL5332">
        <v>67.629499329192498</v>
      </c>
      <c r="AM5332">
        <v>102.957265578727</v>
      </c>
      <c r="AN5332">
        <v>0.99999996399472901</v>
      </c>
    </row>
    <row r="5333" spans="1:40" x14ac:dyDescent="0.25">
      <c r="A5333" t="str">
        <f>"20190304164954169"</f>
        <v>20190304164954169</v>
      </c>
      <c r="B5333" t="str">
        <f>"1551689394160850"</f>
        <v>1551689394160850</v>
      </c>
      <c r="C5333" t="s">
        <v>40</v>
      </c>
      <c r="D5333">
        <v>4.5147440000000003</v>
      </c>
      <c r="E5333">
        <v>0.53809430000000003</v>
      </c>
      <c r="F5333" t="s">
        <v>42</v>
      </c>
      <c r="G5333">
        <v>-388.36579999999998</v>
      </c>
      <c r="H5333" s="1">
        <v>-9.1770940000000002E-7</v>
      </c>
      <c r="I5333">
        <v>140.49690000000001</v>
      </c>
      <c r="J5333">
        <v>-379.65219999999999</v>
      </c>
      <c r="K5333">
        <v>1.112018</v>
      </c>
      <c r="L5333">
        <v>142.00899999999999</v>
      </c>
      <c r="M5333">
        <v>-0.99959279999999995</v>
      </c>
      <c r="N5333">
        <v>-1.4657440000000001E-2</v>
      </c>
      <c r="O5333">
        <v>-2.4486899999999999E-2</v>
      </c>
      <c r="P5333">
        <v>-0.9008043</v>
      </c>
      <c r="Q5333">
        <v>0.36805850000000001</v>
      </c>
      <c r="R5333">
        <v>-0.23040179999999999</v>
      </c>
      <c r="S5333">
        <v>-3.3532410000000001</v>
      </c>
      <c r="T5333">
        <v>-0.41174529999999898</v>
      </c>
      <c r="U5333">
        <v>-0.56324770000000002</v>
      </c>
      <c r="V5333">
        <v>-0.20930550000000001</v>
      </c>
      <c r="W5333">
        <v>0.38073489999999999</v>
      </c>
      <c r="X5333">
        <v>0.90068419999999905</v>
      </c>
      <c r="Y5333">
        <v>-0.14043720000000001</v>
      </c>
      <c r="Z5333">
        <v>-6.9538000000000004E-3</v>
      </c>
      <c r="AA5333">
        <v>0.99006519999999998</v>
      </c>
      <c r="AB5333">
        <v>36</v>
      </c>
      <c r="AC5333">
        <v>-8.71359999999998</v>
      </c>
      <c r="AD5333">
        <v>-1.1120189177094</v>
      </c>
      <c r="AE5333">
        <v>-1.51209999999997</v>
      </c>
      <c r="AF5333">
        <v>-1.27804804868985</v>
      </c>
      <c r="AG5333">
        <v>-1.1120189177094</v>
      </c>
      <c r="AH5333">
        <v>8.6118600112758692</v>
      </c>
      <c r="AI5333">
        <v>97.278837831935505</v>
      </c>
      <c r="AJ5333">
        <v>98.441401264995804</v>
      </c>
      <c r="AK5333">
        <v>8.7769086666044291</v>
      </c>
      <c r="AL5333">
        <v>67.620787156498693</v>
      </c>
      <c r="AM5333">
        <v>103.08248165946701</v>
      </c>
      <c r="AN5333">
        <v>0.99999994226894795</v>
      </c>
    </row>
    <row r="5334" spans="1:40" x14ac:dyDescent="0.25">
      <c r="A5334" t="str">
        <f>"20190304164954184"</f>
        <v>20190304164954184</v>
      </c>
      <c r="B5334" t="str">
        <f>"1551689394181346"</f>
        <v>1551689394181346</v>
      </c>
      <c r="C5334" t="s">
        <v>40</v>
      </c>
      <c r="D5334">
        <v>4.3155939999999999</v>
      </c>
      <c r="E5334">
        <v>0.467414</v>
      </c>
      <c r="F5334" t="s">
        <v>42</v>
      </c>
      <c r="G5334">
        <v>-388.7235</v>
      </c>
      <c r="H5334" s="1">
        <v>-7.5108279999999997E-7</v>
      </c>
      <c r="I5334">
        <v>140.44730000000001</v>
      </c>
      <c r="J5334">
        <v>-379.88170000000002</v>
      </c>
      <c r="K5334">
        <v>1.1120540000000001</v>
      </c>
      <c r="L5334">
        <v>142.0026</v>
      </c>
      <c r="M5334">
        <v>-0.99957180000000001</v>
      </c>
      <c r="N5334">
        <v>-1.46662999999999E-2</v>
      </c>
      <c r="O5334">
        <v>-2.532011E-2</v>
      </c>
      <c r="P5334">
        <v>-0.90031299999999903</v>
      </c>
      <c r="Q5334">
        <v>0.36825560000000002</v>
      </c>
      <c r="R5334">
        <v>-0.2320007</v>
      </c>
      <c r="S5334">
        <v>-3.3506469999999999</v>
      </c>
      <c r="T5334">
        <v>-0.41074630000000001</v>
      </c>
      <c r="U5334">
        <v>-0.57681269999999996</v>
      </c>
      <c r="V5334">
        <v>-0.21019379999999999</v>
      </c>
      <c r="W5334">
        <v>0.38091570000000002</v>
      </c>
      <c r="X5334">
        <v>0.90040089999999995</v>
      </c>
      <c r="Y5334">
        <v>-0.14361450000000001</v>
      </c>
      <c r="Z5334">
        <v>-7.0712719999999904E-3</v>
      </c>
      <c r="AA5334">
        <v>0.9896085</v>
      </c>
      <c r="AB5334">
        <v>36</v>
      </c>
      <c r="AC5334">
        <v>-8.8417999999999708</v>
      </c>
      <c r="AD5334">
        <v>-1.1120547510828001</v>
      </c>
      <c r="AE5334">
        <v>-1.5552999999999799</v>
      </c>
      <c r="AF5334">
        <v>-1.3107891590829699</v>
      </c>
      <c r="AG5334">
        <v>-1.1120547510828001</v>
      </c>
      <c r="AH5334">
        <v>8.7441791405150795</v>
      </c>
      <c r="AI5334">
        <v>97.168524843307296</v>
      </c>
      <c r="AJ5334">
        <v>98.525397256453601</v>
      </c>
      <c r="AK5334">
        <v>8.9115376243605908</v>
      </c>
      <c r="AL5334">
        <v>67.609585061461303</v>
      </c>
      <c r="AM5334">
        <v>103.140072448395</v>
      </c>
      <c r="AN5334">
        <v>0.99999999239286996</v>
      </c>
    </row>
    <row r="5335" spans="1:40" x14ac:dyDescent="0.25">
      <c r="A5335" t="str">
        <f>"20190304164954198"</f>
        <v>20190304164954198</v>
      </c>
      <c r="B5335" t="str">
        <f>"1551689394191107"</f>
        <v>1551689394191107</v>
      </c>
      <c r="C5335" t="s">
        <v>40</v>
      </c>
      <c r="D5335">
        <v>4.3692909999999996</v>
      </c>
      <c r="E5335">
        <v>0.46203499999999997</v>
      </c>
      <c r="F5335" t="s">
        <v>42</v>
      </c>
      <c r="G5335">
        <v>-393.55160000000001</v>
      </c>
      <c r="H5335" s="1">
        <v>-3.1799069999999998E-6</v>
      </c>
      <c r="I5335">
        <v>137.185</v>
      </c>
      <c r="J5335">
        <v>-380.11110000000002</v>
      </c>
      <c r="K5335">
        <v>1.112093</v>
      </c>
      <c r="L5335">
        <v>141.99600000000001</v>
      </c>
      <c r="M5335">
        <v>-0.99954969999999999</v>
      </c>
      <c r="N5335">
        <v>-1.4674410000000001E-2</v>
      </c>
      <c r="O5335">
        <v>-2.6173120000000001E-2</v>
      </c>
      <c r="P5335">
        <v>-0.89984569999999997</v>
      </c>
      <c r="Q5335">
        <v>0.36826520000000001</v>
      </c>
      <c r="R5335">
        <v>-0.23379159999999999</v>
      </c>
      <c r="S5335">
        <v>-3.1508790000000002</v>
      </c>
      <c r="T5335">
        <v>-0.25632820000000001</v>
      </c>
      <c r="U5335">
        <v>-1.1104430000000001</v>
      </c>
      <c r="V5335">
        <v>-0.2112561</v>
      </c>
      <c r="W5335">
        <v>0.38090829999999998</v>
      </c>
      <c r="X5335">
        <v>0.90015540000000005</v>
      </c>
      <c r="Y5335">
        <v>-0.30655789999999999</v>
      </c>
      <c r="Z5335">
        <v>-1.2717060000000001E-2</v>
      </c>
      <c r="AA5335">
        <v>0.95176709999999998</v>
      </c>
      <c r="AB5335">
        <v>36</v>
      </c>
      <c r="AC5335">
        <v>-13.440499999999901</v>
      </c>
      <c r="AD5335">
        <v>-1.1120961799069999</v>
      </c>
      <c r="AE5335">
        <v>-4.8109999999999999</v>
      </c>
      <c r="AF5335">
        <v>-4.43064553602313</v>
      </c>
      <c r="AG5335">
        <v>-1.1120961799069999</v>
      </c>
      <c r="AH5335">
        <v>13.480020819233101</v>
      </c>
      <c r="AI5335">
        <v>94.481375872774507</v>
      </c>
      <c r="AJ5335">
        <v>108.19478393896399</v>
      </c>
      <c r="AK5335">
        <v>14.233001758806999</v>
      </c>
      <c r="AL5335">
        <v>67.610043999941993</v>
      </c>
      <c r="AM5335">
        <v>103.207635194258</v>
      </c>
      <c r="AN5335">
        <v>1.0000000084726299</v>
      </c>
    </row>
    <row r="5336" spans="1:40" x14ac:dyDescent="0.25">
      <c r="A5336" t="str">
        <f>"20190304164954214"</f>
        <v>20190304164954214</v>
      </c>
      <c r="B5336" t="str">
        <f>"1551689394210628"</f>
        <v>1551689394210628</v>
      </c>
      <c r="C5336" t="s">
        <v>40</v>
      </c>
      <c r="D5336">
        <v>4.4943989999999996</v>
      </c>
      <c r="E5336">
        <v>0.45640239999999999</v>
      </c>
      <c r="F5336" t="s">
        <v>42</v>
      </c>
      <c r="G5336">
        <v>-394.84210000000002</v>
      </c>
      <c r="H5336" s="1">
        <v>-2.7379640000000002E-6</v>
      </c>
      <c r="I5336">
        <v>136.55529999999999</v>
      </c>
      <c r="J5336">
        <v>-380.3691</v>
      </c>
      <c r="K5336">
        <v>1.1121369999999999</v>
      </c>
      <c r="L5336">
        <v>141.98840000000001</v>
      </c>
      <c r="M5336">
        <v>-0.99952319999999995</v>
      </c>
      <c r="N5336">
        <v>-1.468246E-2</v>
      </c>
      <c r="O5336">
        <v>-2.716439E-2</v>
      </c>
      <c r="P5336">
        <v>-0.89906299999999995</v>
      </c>
      <c r="Q5336">
        <v>0.36854989999999999</v>
      </c>
      <c r="R5336">
        <v>-0.2363413</v>
      </c>
      <c r="S5336">
        <v>-3.1302189999999999</v>
      </c>
      <c r="T5336">
        <v>-0.2363123</v>
      </c>
      <c r="U5336">
        <v>-1.1560969999999999</v>
      </c>
      <c r="V5336">
        <v>-0.21296570000000001</v>
      </c>
      <c r="W5336">
        <v>0.38116699999999998</v>
      </c>
      <c r="X5336">
        <v>0.89964290000000002</v>
      </c>
      <c r="Y5336">
        <v>-0.3199188</v>
      </c>
      <c r="Z5336">
        <v>-1.250852E-2</v>
      </c>
      <c r="AA5336">
        <v>0.94736240000000005</v>
      </c>
      <c r="AB5336">
        <v>36</v>
      </c>
      <c r="AC5336">
        <v>-14.473000000000001</v>
      </c>
      <c r="AD5336">
        <v>-1.1121397379639999</v>
      </c>
      <c r="AE5336">
        <v>-5.43310000000002</v>
      </c>
      <c r="AF5336">
        <v>-5.0119630454903499</v>
      </c>
      <c r="AG5336">
        <v>-1.1121397379639999</v>
      </c>
      <c r="AH5336">
        <v>14.540010093405099</v>
      </c>
      <c r="AI5336">
        <v>94.136014576319397</v>
      </c>
      <c r="AJ5336">
        <v>109.019148436782</v>
      </c>
      <c r="AK5336">
        <v>15.419744546601301</v>
      </c>
      <c r="AL5336">
        <v>67.594012151654397</v>
      </c>
      <c r="AM5336">
        <v>103.318041211181</v>
      </c>
      <c r="AN5336">
        <v>1.00000000939295</v>
      </c>
    </row>
    <row r="5337" spans="1:40" x14ac:dyDescent="0.25">
      <c r="A5337" t="str">
        <f>"20190304164954228"</f>
        <v>20190304164954228</v>
      </c>
      <c r="B5337" t="str">
        <f>"1551689394221363"</f>
        <v>1551689394221363</v>
      </c>
      <c r="C5337" t="s">
        <v>40</v>
      </c>
      <c r="D5337">
        <v>4.3293239999999997</v>
      </c>
      <c r="E5337">
        <v>0.45489869999999999</v>
      </c>
      <c r="F5337" t="s">
        <v>42</v>
      </c>
      <c r="G5337">
        <v>-396.32470000000001</v>
      </c>
      <c r="H5337" s="1">
        <v>-2.2530869999999999E-6</v>
      </c>
      <c r="I5337">
        <v>135.79650000000001</v>
      </c>
      <c r="J5337">
        <v>-380.59460000000001</v>
      </c>
      <c r="K5337">
        <v>1.1121890000000001</v>
      </c>
      <c r="L5337">
        <v>141.98140000000001</v>
      </c>
      <c r="M5337">
        <v>-0.99949840000000001</v>
      </c>
      <c r="N5337">
        <v>-1.46884999999999E-2</v>
      </c>
      <c r="O5337">
        <v>-2.806136E-2</v>
      </c>
      <c r="P5337">
        <v>-0.89795659999999899</v>
      </c>
      <c r="Q5337">
        <v>0.36951600000000001</v>
      </c>
      <c r="R5337">
        <v>-0.23902290000000001</v>
      </c>
      <c r="S5337">
        <v>-3.1085509999999998</v>
      </c>
      <c r="T5337">
        <v>-0.21667330000000001</v>
      </c>
      <c r="U5337">
        <v>-1.2063140000000001</v>
      </c>
      <c r="V5337">
        <v>-0.21490020000000001</v>
      </c>
      <c r="W5337">
        <v>0.38210230000000001</v>
      </c>
      <c r="X5337">
        <v>0.89878570000000002</v>
      </c>
      <c r="Y5337">
        <v>-0.33463769999999998</v>
      </c>
      <c r="Z5337">
        <v>-1.2303939999999999E-2</v>
      </c>
      <c r="AA5337">
        <v>0.94226650000000001</v>
      </c>
      <c r="AB5337">
        <v>36</v>
      </c>
      <c r="AC5337">
        <v>-15.730099999999901</v>
      </c>
      <c r="AD5337">
        <v>-1.112191253087</v>
      </c>
      <c r="AE5337">
        <v>-6.1848999999999901</v>
      </c>
      <c r="AF5337">
        <v>-5.7162581917850099</v>
      </c>
      <c r="AG5337">
        <v>-1.112191253087</v>
      </c>
      <c r="AH5337">
        <v>15.828943827021</v>
      </c>
      <c r="AI5337">
        <v>93.780947224220895</v>
      </c>
      <c r="AJ5337">
        <v>109.856017133427</v>
      </c>
      <c r="AK5337">
        <v>16.866180355302099</v>
      </c>
      <c r="AL5337">
        <v>67.536035084814401</v>
      </c>
      <c r="AM5337">
        <v>103.446998087464</v>
      </c>
      <c r="AN5337">
        <v>0.99999999907491</v>
      </c>
    </row>
    <row r="5338" spans="1:40" x14ac:dyDescent="0.25">
      <c r="A5338" t="str">
        <f>"20190304164954248"</f>
        <v>20190304164954248</v>
      </c>
      <c r="B5338" t="str">
        <f>"1551689394240897"</f>
        <v>1551689394240897</v>
      </c>
      <c r="C5338" t="s">
        <v>40</v>
      </c>
      <c r="D5338">
        <v>4.3419280000000002</v>
      </c>
      <c r="E5338">
        <v>0.45304610000000001</v>
      </c>
      <c r="F5338" t="s">
        <v>42</v>
      </c>
      <c r="G5338">
        <v>-397.11430000000001</v>
      </c>
      <c r="H5338" s="1">
        <v>-2.0773809999999999E-6</v>
      </c>
      <c r="I5338">
        <v>135.447</v>
      </c>
      <c r="J5338">
        <v>-380.9135</v>
      </c>
      <c r="K5338">
        <v>1.1122459999999901</v>
      </c>
      <c r="L5338">
        <v>141.97120000000001</v>
      </c>
      <c r="M5338">
        <v>-0.99946069999999998</v>
      </c>
      <c r="N5338">
        <v>-1.46961E-2</v>
      </c>
      <c r="O5338">
        <v>-2.9368999999999999E-2</v>
      </c>
      <c r="P5338">
        <v>-0.89685419999999905</v>
      </c>
      <c r="Q5338">
        <v>0.37066189999999999</v>
      </c>
      <c r="R5338">
        <v>-0.24137610000000001</v>
      </c>
      <c r="S5338">
        <v>-3.100403</v>
      </c>
      <c r="T5338">
        <v>-0.20873530000000001</v>
      </c>
      <c r="U5338">
        <v>-1.2263489999999999</v>
      </c>
      <c r="V5338">
        <v>-0.21615210000000001</v>
      </c>
      <c r="W5338">
        <v>0.38321339999999998</v>
      </c>
      <c r="X5338">
        <v>0.89801219999999904</v>
      </c>
      <c r="Y5338">
        <v>-0.33955350000000001</v>
      </c>
      <c r="Z5338">
        <v>-1.210843E-2</v>
      </c>
      <c r="AA5338">
        <v>0.94050880000000003</v>
      </c>
      <c r="AB5338">
        <v>36</v>
      </c>
      <c r="AC5338">
        <v>-16.200800000000001</v>
      </c>
      <c r="AD5338">
        <v>-1.112248077381</v>
      </c>
      <c r="AE5338">
        <v>-6.5242000000000004</v>
      </c>
      <c r="AF5338">
        <v>-6.0211130086961804</v>
      </c>
      <c r="AG5338">
        <v>-1.112248077381</v>
      </c>
      <c r="AH5338">
        <v>16.319254992259101</v>
      </c>
      <c r="AI5338">
        <v>93.658635725275005</v>
      </c>
      <c r="AJ5338">
        <v>110.251922132216</v>
      </c>
      <c r="AK5338">
        <v>17.430117072225901</v>
      </c>
      <c r="AL5338">
        <v>67.467131154318196</v>
      </c>
      <c r="AM5338">
        <v>103.53368393202901</v>
      </c>
      <c r="AN5338">
        <v>1.0000000758114</v>
      </c>
    </row>
    <row r="5339" spans="1:40" x14ac:dyDescent="0.25">
      <c r="A5339" t="str">
        <f>"20190304164954263"</f>
        <v>20190304164954263</v>
      </c>
      <c r="B5339" t="str">
        <f>"1551689394250643"</f>
        <v>1551689394250643</v>
      </c>
      <c r="C5339" t="s">
        <v>40</v>
      </c>
      <c r="D5339">
        <v>4.3121850000000004</v>
      </c>
      <c r="E5339">
        <v>0.45205329999999999</v>
      </c>
      <c r="F5339" t="s">
        <v>42</v>
      </c>
      <c r="G5339">
        <v>-398.3723</v>
      </c>
      <c r="H5339" s="1">
        <v>-1.7879799999999999E-6</v>
      </c>
      <c r="I5339">
        <v>134.92570000000001</v>
      </c>
      <c r="J5339">
        <v>-381.1422</v>
      </c>
      <c r="K5339">
        <v>1.1122860000000001</v>
      </c>
      <c r="L5339">
        <v>141.96360000000001</v>
      </c>
      <c r="M5339">
        <v>-0.99943170000000003</v>
      </c>
      <c r="N5339">
        <v>-1.470086E-2</v>
      </c>
      <c r="O5339">
        <v>-3.0340300000000001E-2</v>
      </c>
      <c r="P5339">
        <v>-0.89620889999999997</v>
      </c>
      <c r="Q5339">
        <v>0.37115290000000001</v>
      </c>
      <c r="R5339">
        <v>-0.24301320000000001</v>
      </c>
      <c r="S5339">
        <v>-3.0907290000000001</v>
      </c>
      <c r="T5339">
        <v>-0.19690160000000001</v>
      </c>
      <c r="U5339">
        <v>-1.2472529999999999</v>
      </c>
      <c r="V5339">
        <v>-0.21696660000000001</v>
      </c>
      <c r="W5339">
        <v>0.38368059999999998</v>
      </c>
      <c r="X5339">
        <v>0.89761610000000003</v>
      </c>
      <c r="Y5339">
        <v>-0.34518720000000003</v>
      </c>
      <c r="Z5339">
        <v>-1.17815E-2</v>
      </c>
      <c r="AA5339">
        <v>0.93845990000000001</v>
      </c>
      <c r="AB5339">
        <v>36</v>
      </c>
      <c r="AC5339">
        <v>-17.230099999999901</v>
      </c>
      <c r="AD5339">
        <v>-1.1122877879799999</v>
      </c>
      <c r="AE5339">
        <v>-7.0378999999999996</v>
      </c>
      <c r="AF5339">
        <v>-6.4886624320023696</v>
      </c>
      <c r="AG5339">
        <v>-1.1122877879799999</v>
      </c>
      <c r="AH5339">
        <v>17.373671656857798</v>
      </c>
      <c r="AI5339">
        <v>93.432211136524501</v>
      </c>
      <c r="AJ5339">
        <v>110.47949117823801</v>
      </c>
      <c r="AK5339">
        <v>18.579138600055501</v>
      </c>
      <c r="AL5339">
        <v>67.438144965207997</v>
      </c>
      <c r="AM5339">
        <v>103.58856692051501</v>
      </c>
      <c r="AN5339">
        <v>0.99999998565556403</v>
      </c>
    </row>
    <row r="5340" spans="1:40" x14ac:dyDescent="0.25">
      <c r="A5340" t="str">
        <f>"20190304164954280"</f>
        <v>20190304164954280</v>
      </c>
      <c r="B5340" t="str">
        <f>"1551689394271138"</f>
        <v>1551689394271138</v>
      </c>
      <c r="C5340" t="s">
        <v>40</v>
      </c>
      <c r="D5340">
        <v>4.3486479999999998</v>
      </c>
      <c r="E5340">
        <v>0.45032519999999998</v>
      </c>
      <c r="F5340" t="s">
        <v>42</v>
      </c>
      <c r="G5340">
        <v>-398.61219999999997</v>
      </c>
      <c r="H5340" s="1">
        <v>-1.7322389999999999E-6</v>
      </c>
      <c r="I5340">
        <v>134.82839999999999</v>
      </c>
      <c r="J5340">
        <v>-381.4307</v>
      </c>
      <c r="K5340">
        <v>1.1123459999999901</v>
      </c>
      <c r="L5340">
        <v>141.95359999999999</v>
      </c>
      <c r="M5340">
        <v>-0.99939219999999895</v>
      </c>
      <c r="N5340">
        <v>-1.47061E-2</v>
      </c>
      <c r="O5340">
        <v>-3.1607009999999998E-2</v>
      </c>
      <c r="P5340">
        <v>-0.89535710000000002</v>
      </c>
      <c r="Q5340">
        <v>0.37168780000000001</v>
      </c>
      <c r="R5340">
        <v>-0.2453246</v>
      </c>
      <c r="S5340">
        <v>-3.0870060000000001</v>
      </c>
      <c r="T5340">
        <v>-0.1965451</v>
      </c>
      <c r="U5340">
        <v>-1.260788</v>
      </c>
      <c r="V5340">
        <v>-0.21820619999999999</v>
      </c>
      <c r="W5340">
        <v>0.38418289999999999</v>
      </c>
      <c r="X5340">
        <v>0.89710059999999903</v>
      </c>
      <c r="Y5340">
        <v>-0.34791830000000001</v>
      </c>
      <c r="Z5340">
        <v>-1.181662E-2</v>
      </c>
      <c r="AA5340">
        <v>0.93745040000000002</v>
      </c>
      <c r="AB5340">
        <v>36</v>
      </c>
      <c r="AC5340">
        <v>-17.1814999999999</v>
      </c>
      <c r="AD5340">
        <v>-1.1123477322390001</v>
      </c>
      <c r="AE5340">
        <v>-7.1252000000000004</v>
      </c>
      <c r="AF5340">
        <v>-6.5550814814053604</v>
      </c>
      <c r="AG5340">
        <v>-1.1123477322390001</v>
      </c>
      <c r="AH5340">
        <v>17.336144361340299</v>
      </c>
      <c r="AI5340">
        <v>93.434569099387801</v>
      </c>
      <c r="AJ5340">
        <v>110.712430200333</v>
      </c>
      <c r="AK5340">
        <v>18.567399172272701</v>
      </c>
      <c r="AL5340">
        <v>67.406976138278296</v>
      </c>
      <c r="AM5340">
        <v>103.670857326326</v>
      </c>
      <c r="AN5340">
        <v>0.99999996644560396</v>
      </c>
    </row>
    <row r="5341" spans="1:40" x14ac:dyDescent="0.25">
      <c r="A5341" t="str">
        <f>"20190304164954293"</f>
        <v>20190304164954293</v>
      </c>
      <c r="B5341" t="str">
        <f>"1551689394280899"</f>
        <v>1551689394280899</v>
      </c>
      <c r="C5341" t="s">
        <v>40</v>
      </c>
      <c r="D5341">
        <v>4.5083989999999998</v>
      </c>
      <c r="E5341">
        <v>0.45003179999999998</v>
      </c>
      <c r="F5341" t="s">
        <v>42</v>
      </c>
      <c r="G5341">
        <v>-398.7158</v>
      </c>
      <c r="H5341" s="1">
        <v>-1.715097E-6</v>
      </c>
      <c r="I5341">
        <v>134.7603</v>
      </c>
      <c r="J5341">
        <v>-381.63499999999999</v>
      </c>
      <c r="K5341">
        <v>1.112384</v>
      </c>
      <c r="L5341">
        <v>141.94640000000001</v>
      </c>
      <c r="M5341">
        <v>-0.99936259999999999</v>
      </c>
      <c r="N5341">
        <v>-1.470928E-2</v>
      </c>
      <c r="O5341">
        <v>-3.252915E-2</v>
      </c>
      <c r="P5341">
        <v>-0.89469469999999995</v>
      </c>
      <c r="Q5341">
        <v>0.37230449999999998</v>
      </c>
      <c r="R5341">
        <v>-0.24680170000000001</v>
      </c>
      <c r="S5341">
        <v>-3.081512</v>
      </c>
      <c r="T5341">
        <v>-0.19830510000000001</v>
      </c>
      <c r="U5341">
        <v>-1.2823789999999999</v>
      </c>
      <c r="V5341">
        <v>-0.21890699999999999</v>
      </c>
      <c r="W5341">
        <v>0.38477499999999998</v>
      </c>
      <c r="X5341">
        <v>0.89667609999999998</v>
      </c>
      <c r="Y5341">
        <v>-0.3532228</v>
      </c>
      <c r="Z5341">
        <v>-1.206199E-2</v>
      </c>
      <c r="AA5341">
        <v>0.93546149999999995</v>
      </c>
      <c r="AB5341">
        <v>36</v>
      </c>
      <c r="AC5341">
        <v>-17.0808</v>
      </c>
      <c r="AD5341">
        <v>-1.112385715097</v>
      </c>
      <c r="AE5341">
        <v>-7.1860999999999997</v>
      </c>
      <c r="AF5341">
        <v>-6.6028192855757801</v>
      </c>
      <c r="AG5341">
        <v>-1.112385715097</v>
      </c>
      <c r="AH5341">
        <v>17.2434059320546</v>
      </c>
      <c r="AI5341">
        <v>93.447619954043404</v>
      </c>
      <c r="AJ5341">
        <v>110.952767926181</v>
      </c>
      <c r="AK5341">
        <v>18.497828862727101</v>
      </c>
      <c r="AL5341">
        <v>67.370228536829501</v>
      </c>
      <c r="AM5341">
        <v>103.71935483336399</v>
      </c>
      <c r="AN5341">
        <v>1.0000000517926</v>
      </c>
    </row>
    <row r="5342" spans="1:40" x14ac:dyDescent="0.25">
      <c r="A5342" t="str">
        <f>"20190304164954315"</f>
        <v>20190304164954315</v>
      </c>
      <c r="B5342" t="str">
        <f>"1551689394311155"</f>
        <v>1551689394311155</v>
      </c>
      <c r="C5342" t="s">
        <v>40</v>
      </c>
      <c r="D5342">
        <v>4.4363650000000003</v>
      </c>
      <c r="E5342">
        <v>0.44924809999999998</v>
      </c>
      <c r="F5342" t="s">
        <v>42</v>
      </c>
      <c r="G5342">
        <v>-399.1558</v>
      </c>
      <c r="H5342" s="1">
        <v>-1.6051220000000001E-6</v>
      </c>
      <c r="I5342">
        <v>134.61089999999999</v>
      </c>
      <c r="J5342">
        <v>-381.96850000000001</v>
      </c>
      <c r="K5342">
        <v>1.112452</v>
      </c>
      <c r="L5342">
        <v>141.934</v>
      </c>
      <c r="M5342">
        <v>-0.99931060000000005</v>
      </c>
      <c r="N5342">
        <v>-1.471368E-2</v>
      </c>
      <c r="O5342">
        <v>-3.4087300000000001E-2</v>
      </c>
      <c r="P5342">
        <v>-0.89336139999999997</v>
      </c>
      <c r="Q5342">
        <v>0.37346800000000002</v>
      </c>
      <c r="R5342">
        <v>-0.24985450000000001</v>
      </c>
      <c r="S5342">
        <v>-3.078827</v>
      </c>
      <c r="T5342">
        <v>-0.19547339999999999</v>
      </c>
      <c r="U5342">
        <v>-1.2890010000000001</v>
      </c>
      <c r="V5342">
        <v>-0.22065570000000001</v>
      </c>
      <c r="W5342">
        <v>0.38589180000000001</v>
      </c>
      <c r="X5342">
        <v>0.89576699999999998</v>
      </c>
      <c r="Y5342">
        <v>-0.35378579999999998</v>
      </c>
      <c r="Z5342">
        <v>-1.188962E-2</v>
      </c>
      <c r="AA5342">
        <v>0.9352509</v>
      </c>
      <c r="AB5342">
        <v>36</v>
      </c>
      <c r="AC5342">
        <v>-17.187299999999901</v>
      </c>
      <c r="AD5342">
        <v>-1.112453605122</v>
      </c>
      <c r="AE5342">
        <v>-7.3231000000000099</v>
      </c>
      <c r="AF5342">
        <v>-6.7091228662319997</v>
      </c>
      <c r="AG5342">
        <v>-1.112453605122</v>
      </c>
      <c r="AH5342">
        <v>17.365389174060098</v>
      </c>
      <c r="AI5342">
        <v>93.419743250141394</v>
      </c>
      <c r="AJ5342">
        <v>111.12405298099</v>
      </c>
      <c r="AK5342">
        <v>18.6495743604059</v>
      </c>
      <c r="AL5342">
        <v>67.300883792164598</v>
      </c>
      <c r="AM5342">
        <v>103.838252171289</v>
      </c>
      <c r="AN5342">
        <v>0.99999996876936403</v>
      </c>
    </row>
    <row r="5343" spans="1:40" x14ac:dyDescent="0.25">
      <c r="A5343" t="str">
        <f>"20190304164954329"</f>
        <v>20190304164954329</v>
      </c>
      <c r="B5343" t="str">
        <f>"1551689394320915"</f>
        <v>1551689394320915</v>
      </c>
      <c r="C5343" t="s">
        <v>40</v>
      </c>
      <c r="D5343">
        <v>4.5383589999999998</v>
      </c>
      <c r="E5343">
        <v>0.44904630000000001</v>
      </c>
      <c r="F5343" t="s">
        <v>42</v>
      </c>
      <c r="G5343">
        <v>-399.90499999999997</v>
      </c>
      <c r="H5343" s="1">
        <v>-1.425585E-6</v>
      </c>
      <c r="I5343">
        <v>134.32740000000001</v>
      </c>
      <c r="J5343">
        <v>-382.20780000000002</v>
      </c>
      <c r="K5343">
        <v>1.1124989999999999</v>
      </c>
      <c r="L5343">
        <v>141.9247</v>
      </c>
      <c r="M5343">
        <v>-0.99927029999999994</v>
      </c>
      <c r="N5343">
        <v>-1.471621E-2</v>
      </c>
      <c r="O5343">
        <v>-3.5251490000000003E-2</v>
      </c>
      <c r="P5343">
        <v>-0.89263869999999901</v>
      </c>
      <c r="Q5343">
        <v>0.374004</v>
      </c>
      <c r="R5343">
        <v>-0.25163010000000002</v>
      </c>
      <c r="S5343">
        <v>-3.0732729999999999</v>
      </c>
      <c r="T5343">
        <v>-0.19061049999999999</v>
      </c>
      <c r="U5343">
        <v>-1.3033140000000001</v>
      </c>
      <c r="V5343">
        <v>-0.22144839999999999</v>
      </c>
      <c r="W5343">
        <v>0.38639760000000001</v>
      </c>
      <c r="X5343">
        <v>0.89535330000000002</v>
      </c>
      <c r="Y5343">
        <v>-0.35701919999999998</v>
      </c>
      <c r="Z5343">
        <v>-1.1751360000000001E-2</v>
      </c>
      <c r="AA5343">
        <v>0.9340231</v>
      </c>
      <c r="AB5343">
        <v>36</v>
      </c>
      <c r="AC5343">
        <v>-17.697199999999899</v>
      </c>
      <c r="AD5343">
        <v>-1.112500425585</v>
      </c>
      <c r="AE5343">
        <v>-7.59729999999999</v>
      </c>
      <c r="AF5343">
        <v>-6.9454811551175304</v>
      </c>
      <c r="AG5343">
        <v>-1.112500425585</v>
      </c>
      <c r="AH5343">
        <v>17.894333372962102</v>
      </c>
      <c r="AI5343">
        <v>93.317033084877394</v>
      </c>
      <c r="AJ5343">
        <v>111.213153958257</v>
      </c>
      <c r="AK5343">
        <v>19.227182126763299</v>
      </c>
      <c r="AL5343">
        <v>67.269467951075498</v>
      </c>
      <c r="AM5343">
        <v>103.892212638705</v>
      </c>
      <c r="AN5343">
        <v>1.0000000154846</v>
      </c>
    </row>
    <row r="5344" spans="1:40" x14ac:dyDescent="0.25">
      <c r="A5344" t="str">
        <f>"20190304164954342"</f>
        <v>20190304164954342</v>
      </c>
      <c r="B5344" t="str">
        <f>"1551689394331651"</f>
        <v>1551689394331651</v>
      </c>
      <c r="C5344" t="s">
        <v>40</v>
      </c>
      <c r="D5344">
        <v>4.3608190000000002</v>
      </c>
      <c r="E5344">
        <v>0.44886900000000002</v>
      </c>
      <c r="F5344" t="s">
        <v>48</v>
      </c>
      <c r="G5344">
        <v>-400.34899999999999</v>
      </c>
      <c r="H5344" s="1">
        <v>-2.6890060000000002E-6</v>
      </c>
      <c r="I5344">
        <v>134.18209999999999</v>
      </c>
      <c r="J5344">
        <v>-382.41129999999998</v>
      </c>
      <c r="K5344">
        <v>1.1125419999999999</v>
      </c>
      <c r="L5344">
        <v>141.91659999999999</v>
      </c>
      <c r="M5344">
        <v>-0.9992337</v>
      </c>
      <c r="N5344">
        <v>-1.4718159999999999E-2</v>
      </c>
      <c r="O5344">
        <v>-3.6265350000000002E-2</v>
      </c>
      <c r="P5344">
        <v>-0.89206759999999996</v>
      </c>
      <c r="Q5344">
        <v>0.3741698</v>
      </c>
      <c r="R5344">
        <v>-0.25340089999999998</v>
      </c>
      <c r="S5344">
        <v>-3.0703429999999998</v>
      </c>
      <c r="T5344">
        <v>-0.18828710000000001</v>
      </c>
      <c r="U5344">
        <v>-1.3104100000000001</v>
      </c>
      <c r="V5344">
        <v>-0.22236069999999999</v>
      </c>
      <c r="W5344">
        <v>0.38653700000000002</v>
      </c>
      <c r="X5344">
        <v>0.89506699999999995</v>
      </c>
      <c r="Y5344">
        <v>-0.35823199999999999</v>
      </c>
      <c r="Z5344">
        <v>-1.1652900000000001E-2</v>
      </c>
      <c r="AA5344">
        <v>0.9335599</v>
      </c>
      <c r="AB5344">
        <v>36</v>
      </c>
      <c r="AC5344">
        <v>-17.9377</v>
      </c>
      <c r="AD5344">
        <v>-1.112544689006</v>
      </c>
      <c r="AE5344">
        <v>-7.7344999999999899</v>
      </c>
      <c r="AF5344">
        <v>-7.0559360205607202</v>
      </c>
      <c r="AG5344">
        <v>-1.112544689006</v>
      </c>
      <c r="AH5344">
        <v>18.147556860683299</v>
      </c>
      <c r="AI5344">
        <v>93.270240979332897</v>
      </c>
      <c r="AJ5344">
        <v>111.24653650064</v>
      </c>
      <c r="AK5344">
        <v>19.502764132886799</v>
      </c>
      <c r="AL5344">
        <v>67.260808515793499</v>
      </c>
      <c r="AM5344">
        <v>103.95150138196701</v>
      </c>
      <c r="AN5344">
        <v>1.00000003388124</v>
      </c>
    </row>
    <row r="5345" spans="1:40" x14ac:dyDescent="0.25">
      <c r="A5345" t="str">
        <f>"20190304164954358"</f>
        <v>20190304164954358</v>
      </c>
      <c r="B5345" t="str">
        <f>"1551689394351174"</f>
        <v>1551689394351174</v>
      </c>
      <c r="C5345" t="s">
        <v>40</v>
      </c>
      <c r="D5345">
        <v>4.4037559999999996</v>
      </c>
      <c r="E5345">
        <v>0.44840059999999898</v>
      </c>
      <c r="F5345" t="s">
        <v>48</v>
      </c>
      <c r="G5345">
        <v>-400.55919999999998</v>
      </c>
      <c r="H5345" s="1">
        <v>-2.7789199999999999E-6</v>
      </c>
      <c r="I5345">
        <v>134.12569999999999</v>
      </c>
      <c r="J5345">
        <v>-382.67630000000003</v>
      </c>
      <c r="K5345">
        <v>1.11259</v>
      </c>
      <c r="L5345">
        <v>141.9057</v>
      </c>
      <c r="M5345">
        <v>-0.99918379999999996</v>
      </c>
      <c r="N5345">
        <v>-1.472044E-2</v>
      </c>
      <c r="O5345">
        <v>-3.7619809999999997E-2</v>
      </c>
      <c r="P5345">
        <v>-0.89077719999999905</v>
      </c>
      <c r="Q5345">
        <v>0.37518390000000001</v>
      </c>
      <c r="R5345">
        <v>-0.25642419999999999</v>
      </c>
      <c r="S5345">
        <v>-3.0677490000000001</v>
      </c>
      <c r="T5345">
        <v>-0.18806610000000001</v>
      </c>
      <c r="U5345">
        <v>-1.316986</v>
      </c>
      <c r="V5345">
        <v>-0.22425990000000001</v>
      </c>
      <c r="W5345">
        <v>0.38750610000000002</v>
      </c>
      <c r="X5345">
        <v>0.89417369999999996</v>
      </c>
      <c r="Y5345">
        <v>-0.35894369999999998</v>
      </c>
      <c r="Z5345">
        <v>-1.1614070000000001E-2</v>
      </c>
      <c r="AA5345">
        <v>0.93328699999999998</v>
      </c>
      <c r="AB5345">
        <v>36</v>
      </c>
      <c r="AC5345">
        <v>-17.8828999999999</v>
      </c>
      <c r="AD5345">
        <v>-1.1125927789200001</v>
      </c>
      <c r="AE5345">
        <v>-7.78</v>
      </c>
      <c r="AF5345">
        <v>-7.0786283309792903</v>
      </c>
      <c r="AG5345">
        <v>-1.1125927789200001</v>
      </c>
      <c r="AH5345">
        <v>18.104028349803201</v>
      </c>
      <c r="AI5345">
        <v>93.275806317539093</v>
      </c>
      <c r="AJ5345">
        <v>111.355370033669</v>
      </c>
      <c r="AK5345">
        <v>19.4705080629737</v>
      </c>
      <c r="AL5345">
        <v>67.200590638453207</v>
      </c>
      <c r="AM5345">
        <v>104.079444178366</v>
      </c>
      <c r="AN5345">
        <v>1.0000000430284499</v>
      </c>
    </row>
    <row r="5346" spans="1:40" x14ac:dyDescent="0.25">
      <c r="A5346" t="str">
        <f>"20190304164954372"</f>
        <v>20190304164954372</v>
      </c>
      <c r="B5346" t="str">
        <f>"1551689394360931"</f>
        <v>1551689394360931</v>
      </c>
      <c r="C5346" t="s">
        <v>40</v>
      </c>
      <c r="D5346">
        <v>4.3672519999999997</v>
      </c>
      <c r="E5346">
        <v>0.4251432</v>
      </c>
      <c r="F5346" t="s">
        <v>48</v>
      </c>
      <c r="G5346">
        <v>-400.89640000000003</v>
      </c>
      <c r="H5346" s="1">
        <v>-2.9054350000000001E-6</v>
      </c>
      <c r="I5346">
        <v>134.0017</v>
      </c>
      <c r="J5346">
        <v>-382.90410000000003</v>
      </c>
      <c r="K5346">
        <v>1.112635</v>
      </c>
      <c r="L5346">
        <v>141.89609999999999</v>
      </c>
      <c r="M5346">
        <v>-0.99913810000000003</v>
      </c>
      <c r="N5346">
        <v>-1.472213E-2</v>
      </c>
      <c r="O5346">
        <v>-3.8815679999999998E-2</v>
      </c>
      <c r="P5346">
        <v>-0.89028759999999996</v>
      </c>
      <c r="Q5346">
        <v>0.37484610000000002</v>
      </c>
      <c r="R5346">
        <v>-0.25860909999999998</v>
      </c>
      <c r="S5346">
        <v>-3.0640260000000001</v>
      </c>
      <c r="T5346">
        <v>-0.18710180000000001</v>
      </c>
      <c r="U5346">
        <v>-1.3291930000000001</v>
      </c>
      <c r="V5346">
        <v>-0.22542329999999999</v>
      </c>
      <c r="W5346">
        <v>0.38714080000000001</v>
      </c>
      <c r="X5346">
        <v>0.89403940000000004</v>
      </c>
      <c r="Y5346">
        <v>-0.36137259999999999</v>
      </c>
      <c r="Z5346">
        <v>-1.161353E-2</v>
      </c>
      <c r="AA5346">
        <v>0.93234910000000004</v>
      </c>
      <c r="AB5346">
        <v>36</v>
      </c>
      <c r="AC5346">
        <v>-17.9923</v>
      </c>
      <c r="AD5346">
        <v>-1.112637905435</v>
      </c>
      <c r="AE5346">
        <v>-7.8943999999999903</v>
      </c>
      <c r="AF5346">
        <v>-7.1670073738567499</v>
      </c>
      <c r="AG5346">
        <v>-1.112637905435</v>
      </c>
      <c r="AH5346">
        <v>18.226748165199599</v>
      </c>
      <c r="AI5346">
        <v>93.251484976679606</v>
      </c>
      <c r="AJ5346">
        <v>111.465432764567</v>
      </c>
      <c r="AK5346">
        <v>19.616786344433098</v>
      </c>
      <c r="AL5346">
        <v>67.223293142136001</v>
      </c>
      <c r="AM5346">
        <v>104.151598068092</v>
      </c>
      <c r="AN5346">
        <v>1.00000005597994</v>
      </c>
    </row>
    <row r="5347" spans="1:40" x14ac:dyDescent="0.25">
      <c r="A5347" t="str">
        <f>"20190304164954387"</f>
        <v>20190304164954387</v>
      </c>
      <c r="B5347" t="str">
        <f>"1551689394381427"</f>
        <v>1551689394381427</v>
      </c>
      <c r="C5347" t="s">
        <v>40</v>
      </c>
      <c r="D5347">
        <v>4.3794629999999897</v>
      </c>
      <c r="E5347">
        <v>0.42422939999999998</v>
      </c>
      <c r="F5347" t="s">
        <v>48</v>
      </c>
      <c r="G5347">
        <v>-404.87090000000001</v>
      </c>
      <c r="H5347" s="1">
        <v>-3.4258910000000001E-6</v>
      </c>
      <c r="I5347">
        <v>130.8348</v>
      </c>
      <c r="J5347">
        <v>-383.12240000000003</v>
      </c>
      <c r="K5347">
        <v>1.1126769999999999</v>
      </c>
      <c r="L5347">
        <v>141.88650000000001</v>
      </c>
      <c r="M5347">
        <v>-0.99909170000000003</v>
      </c>
      <c r="N5347">
        <v>-1.4723440000000001E-2</v>
      </c>
      <c r="O5347">
        <v>-3.9990100000000001E-2</v>
      </c>
      <c r="P5347">
        <v>-0.88970519999999997</v>
      </c>
      <c r="Q5347">
        <v>0.37469029999999998</v>
      </c>
      <c r="R5347">
        <v>-0.2608299</v>
      </c>
      <c r="S5347">
        <v>-2.9954830000000001</v>
      </c>
      <c r="T5347">
        <v>-0.15172349999999901</v>
      </c>
      <c r="U5347">
        <v>-1.508362</v>
      </c>
      <c r="V5347">
        <v>-0.2266416</v>
      </c>
      <c r="W5347">
        <v>0.38695740000000001</v>
      </c>
      <c r="X5347">
        <v>0.89381069999999996</v>
      </c>
      <c r="Y5347">
        <v>-0.41311589999999998</v>
      </c>
      <c r="Z5347">
        <v>-1.173341E-2</v>
      </c>
      <c r="AA5347">
        <v>0.91060289999999999</v>
      </c>
      <c r="AB5347">
        <v>36</v>
      </c>
      <c r="AC5347">
        <v>-21.7484999999999</v>
      </c>
      <c r="AD5347">
        <v>-1.1126804258909999</v>
      </c>
      <c r="AE5347">
        <v>-11.0517</v>
      </c>
      <c r="AF5347">
        <v>-10.1519197536935</v>
      </c>
      <c r="AG5347">
        <v>-1.1126804258909999</v>
      </c>
      <c r="AH5347">
        <v>22.127074821873698</v>
      </c>
      <c r="AI5347">
        <v>92.616886412422602</v>
      </c>
      <c r="AJ5347">
        <v>114.645695288402</v>
      </c>
      <c r="AK5347">
        <v>24.370206658713201</v>
      </c>
      <c r="AL5347">
        <v>67.234688218488103</v>
      </c>
      <c r="AM5347">
        <v>104.228475781051</v>
      </c>
      <c r="AN5347">
        <v>1.0000000058498999</v>
      </c>
    </row>
    <row r="5348" spans="1:40" x14ac:dyDescent="0.25">
      <c r="A5348" t="str">
        <f>"20190304164954404"</f>
        <v>20190304164954404</v>
      </c>
      <c r="B5348" t="str">
        <f>"1551689394400946"</f>
        <v>1551689394400946</v>
      </c>
      <c r="C5348" t="s">
        <v>40</v>
      </c>
      <c r="D5348">
        <v>4.3756269999999997</v>
      </c>
      <c r="E5348">
        <v>0.41279090000000002</v>
      </c>
      <c r="F5348" t="s">
        <v>41</v>
      </c>
      <c r="G5348">
        <v>-384.0659</v>
      </c>
      <c r="H5348">
        <v>1.0643339999999999</v>
      </c>
      <c r="I5348">
        <v>141.40649999999999</v>
      </c>
      <c r="J5348">
        <v>-383.39760000000001</v>
      </c>
      <c r="K5348">
        <v>1.112725</v>
      </c>
      <c r="L5348">
        <v>141.874</v>
      </c>
      <c r="M5348">
        <v>-0.99903019999999998</v>
      </c>
      <c r="N5348">
        <v>-1.47247E-2</v>
      </c>
      <c r="O5348">
        <v>-4.1495940000000002E-2</v>
      </c>
      <c r="P5348">
        <v>-0.88848869999999902</v>
      </c>
      <c r="Q5348">
        <v>0.37493339999999997</v>
      </c>
      <c r="R5348">
        <v>-0.2645999</v>
      </c>
      <c r="S5348">
        <v>-2.99057</v>
      </c>
      <c r="T5348">
        <v>-0.15323689999999901</v>
      </c>
      <c r="U5348">
        <v>-1.5210269999999999</v>
      </c>
      <c r="V5348">
        <v>-0.22914480000000001</v>
      </c>
      <c r="W5348">
        <v>0.38715660000000002</v>
      </c>
      <c r="X5348">
        <v>0.89308600000000005</v>
      </c>
      <c r="Y5348">
        <v>-0.41540009999999999</v>
      </c>
      <c r="Z5348">
        <v>-1.1841819999999999E-2</v>
      </c>
      <c r="AA5348">
        <v>0.90956179999999998</v>
      </c>
      <c r="AB5348">
        <v>36</v>
      </c>
      <c r="AC5348">
        <v>-0.66829999999998702</v>
      </c>
      <c r="AD5348">
        <v>-4.8390999999999802E-2</v>
      </c>
      <c r="AE5348">
        <v>-0.46750000000000103</v>
      </c>
      <c r="AF5348">
        <v>-0.43782120348909898</v>
      </c>
      <c r="AG5348">
        <v>-4.8390999999999802E-2</v>
      </c>
      <c r="AH5348">
        <v>0.684715248353294</v>
      </c>
      <c r="AI5348">
        <v>93.407462044448806</v>
      </c>
      <c r="AJ5348">
        <v>122.59569611033</v>
      </c>
      <c r="AK5348">
        <v>0.814164643320475</v>
      </c>
      <c r="AL5348">
        <v>67.222312068942799</v>
      </c>
      <c r="AM5348">
        <v>104.390326865782</v>
      </c>
      <c r="AN5348">
        <v>1.00000008784329</v>
      </c>
    </row>
    <row r="5349" spans="1:40" x14ac:dyDescent="0.25">
      <c r="A5349" t="str">
        <f>"20190304164954428"</f>
        <v>20190304164954428</v>
      </c>
      <c r="B5349" t="str">
        <f>"1551689394421443"</f>
        <v>1551689394421443</v>
      </c>
      <c r="C5349" t="s">
        <v>40</v>
      </c>
      <c r="D5349">
        <v>4.3787310000000002</v>
      </c>
      <c r="E5349">
        <v>0.41254600000000002</v>
      </c>
      <c r="F5349" t="s">
        <v>41</v>
      </c>
      <c r="G5349">
        <v>-384.2799</v>
      </c>
      <c r="H5349">
        <v>1.0515399999999999</v>
      </c>
      <c r="I5349">
        <v>141.39320000000001</v>
      </c>
      <c r="J5349">
        <v>-383.7645</v>
      </c>
      <c r="K5349">
        <v>1.1127849999999999</v>
      </c>
      <c r="L5349">
        <v>141.85679999999999</v>
      </c>
      <c r="M5349">
        <v>-0.99894269999999996</v>
      </c>
      <c r="N5349">
        <v>-1.472569E-2</v>
      </c>
      <c r="O5349">
        <v>-4.3550760000000001E-2</v>
      </c>
      <c r="P5349">
        <v>-0.88691929999999997</v>
      </c>
      <c r="Q5349">
        <v>0.37548209999999999</v>
      </c>
      <c r="R5349">
        <v>-0.26904909999999999</v>
      </c>
      <c r="S5349">
        <v>-2.9798580000000001</v>
      </c>
      <c r="T5349">
        <v>-0.20663000000000001</v>
      </c>
      <c r="U5349">
        <v>-1.624771</v>
      </c>
      <c r="V5349">
        <v>-0.23185919999999999</v>
      </c>
      <c r="W5349">
        <v>0.38765329999999998</v>
      </c>
      <c r="X5349">
        <v>0.8921694</v>
      </c>
      <c r="Y5349">
        <v>-0.4390483</v>
      </c>
      <c r="Z5349">
        <v>-1.545467E-2</v>
      </c>
      <c r="AA5349">
        <v>0.89833050000000003</v>
      </c>
      <c r="AB5349">
        <v>36</v>
      </c>
      <c r="AC5349">
        <v>-0.51539999999999897</v>
      </c>
      <c r="AD5349">
        <v>-6.1245000000000202E-2</v>
      </c>
      <c r="AE5349">
        <v>-0.46359999999998502</v>
      </c>
      <c r="AF5349">
        <v>-0.43729829149740601</v>
      </c>
      <c r="AG5349">
        <v>-6.1245000000000202E-2</v>
      </c>
      <c r="AH5349">
        <v>0.53095889790266004</v>
      </c>
      <c r="AI5349">
        <v>95.088050763078897</v>
      </c>
      <c r="AJ5349">
        <v>129.47490465657</v>
      </c>
      <c r="AK5349">
        <v>0.69057808901930695</v>
      </c>
      <c r="AL5349">
        <v>67.191440633168298</v>
      </c>
      <c r="AM5349">
        <v>104.567909199168</v>
      </c>
      <c r="AN5349">
        <v>1.00000000396094</v>
      </c>
    </row>
    <row r="5350" spans="1:40" x14ac:dyDescent="0.25">
      <c r="A5350" t="str">
        <f>"20190304164954448"</f>
        <v>20190304164954448</v>
      </c>
      <c r="B5350" t="str">
        <f>"1551689394440964"</f>
        <v>1551689394440964</v>
      </c>
      <c r="C5350" t="s">
        <v>40</v>
      </c>
      <c r="D5350">
        <v>4.3618969999999999</v>
      </c>
      <c r="E5350">
        <v>0.4126515</v>
      </c>
      <c r="F5350" t="s">
        <v>41</v>
      </c>
      <c r="G5350">
        <v>-384.60120000000001</v>
      </c>
      <c r="H5350">
        <v>1.0551029999999999</v>
      </c>
      <c r="I5350">
        <v>141.3948</v>
      </c>
      <c r="J5350">
        <v>-384.10449999999997</v>
      </c>
      <c r="K5350">
        <v>1.11283</v>
      </c>
      <c r="L5350">
        <v>141.84</v>
      </c>
      <c r="M5350">
        <v>-0.99885610000000002</v>
      </c>
      <c r="N5350">
        <v>-1.4726110000000001E-2</v>
      </c>
      <c r="O5350">
        <v>-4.5493850000000002E-2</v>
      </c>
      <c r="P5350">
        <v>-0.88551780000000002</v>
      </c>
      <c r="Q5350">
        <v>0.37567200000000001</v>
      </c>
      <c r="R5350">
        <v>-0.2733659</v>
      </c>
      <c r="S5350">
        <v>-2.9715579999999999</v>
      </c>
      <c r="T5350">
        <v>-0.2048719</v>
      </c>
      <c r="U5350">
        <v>-1.640671</v>
      </c>
      <c r="V5350">
        <v>-0.23452529999999999</v>
      </c>
      <c r="W5350">
        <v>0.3877988</v>
      </c>
      <c r="X5350">
        <v>0.89140900000000001</v>
      </c>
      <c r="Y5350">
        <v>-0.44205319999999998</v>
      </c>
      <c r="Z5350">
        <v>-1.5398780000000001E-2</v>
      </c>
      <c r="AA5350">
        <v>0.89685669999999995</v>
      </c>
      <c r="AB5350">
        <v>36</v>
      </c>
      <c r="AC5350">
        <v>-0.496700000000032</v>
      </c>
      <c r="AD5350">
        <v>-5.7726999999999799E-2</v>
      </c>
      <c r="AE5350">
        <v>-0.44519999999999899</v>
      </c>
      <c r="AF5350">
        <v>-0.41900138161045802</v>
      </c>
      <c r="AG5350">
        <v>-5.7726999999999799E-2</v>
      </c>
      <c r="AH5350">
        <v>0.51260228003494701</v>
      </c>
      <c r="AI5350">
        <v>94.983189250007896</v>
      </c>
      <c r="AJ5350">
        <v>129.262582622618</v>
      </c>
      <c r="AK5350">
        <v>0.664571788309961</v>
      </c>
      <c r="AL5350">
        <v>67.182396903710696</v>
      </c>
      <c r="AM5350">
        <v>104.74019552963</v>
      </c>
      <c r="AN5350">
        <v>1.00000001545126</v>
      </c>
    </row>
    <row r="5351" spans="1:40" x14ac:dyDescent="0.25">
      <c r="A5351" t="str">
        <f>"20190304164954471"</f>
        <v>20190304164954471</v>
      </c>
      <c r="B5351" t="str">
        <f>"1551689394461460"</f>
        <v>1551689394461460</v>
      </c>
      <c r="C5351" t="s">
        <v>40</v>
      </c>
      <c r="D5351">
        <v>4.3514689999999998</v>
      </c>
      <c r="E5351">
        <v>0.41263309999999997</v>
      </c>
      <c r="F5351" t="s">
        <v>41</v>
      </c>
      <c r="G5351">
        <v>-384.9348</v>
      </c>
      <c r="H5351">
        <v>1.0552159999999999</v>
      </c>
      <c r="I5351">
        <v>141.3768</v>
      </c>
      <c r="J5351">
        <v>-384.44510000000002</v>
      </c>
      <c r="K5351">
        <v>1.11286</v>
      </c>
      <c r="L5351">
        <v>141.82259999999999</v>
      </c>
      <c r="M5351">
        <v>-0.99876410000000004</v>
      </c>
      <c r="N5351">
        <v>-1.472596E-2</v>
      </c>
      <c r="O5351">
        <v>-4.7471850000000003E-2</v>
      </c>
      <c r="P5351">
        <v>-0.88421240000000001</v>
      </c>
      <c r="Q5351">
        <v>0.37531829999999999</v>
      </c>
      <c r="R5351">
        <v>-0.2780377</v>
      </c>
      <c r="S5351">
        <v>-2.9644469999999998</v>
      </c>
      <c r="T5351">
        <v>-0.20569109999999999</v>
      </c>
      <c r="U5351">
        <v>-1.6541600000000001</v>
      </c>
      <c r="V5351">
        <v>-0.23750650000000001</v>
      </c>
      <c r="W5351">
        <v>0.38740360000000001</v>
      </c>
      <c r="X5351">
        <v>0.89079129999999995</v>
      </c>
      <c r="Y5351">
        <v>-0.4442931</v>
      </c>
      <c r="Z5351">
        <v>-1.5449620000000001E-2</v>
      </c>
      <c r="AA5351">
        <v>0.89574830000000005</v>
      </c>
      <c r="AB5351">
        <v>35</v>
      </c>
      <c r="AC5351">
        <v>-0.48969999999996999</v>
      </c>
      <c r="AD5351">
        <v>-5.7644000000000001E-2</v>
      </c>
      <c r="AE5351">
        <v>-0.44579999999999098</v>
      </c>
      <c r="AF5351">
        <v>-0.41887400742397102</v>
      </c>
      <c r="AG5351">
        <v>-5.7644000000000001E-2</v>
      </c>
      <c r="AH5351">
        <v>0.50647547764559597</v>
      </c>
      <c r="AI5351">
        <v>95.012318394313098</v>
      </c>
      <c r="AJ5351">
        <v>129.59201037515001</v>
      </c>
      <c r="AK5351">
        <v>0.65976940993634403</v>
      </c>
      <c r="AL5351">
        <v>67.206960346331201</v>
      </c>
      <c r="AM5351">
        <v>104.92914446632101</v>
      </c>
      <c r="AN5351">
        <v>1.0000000134954401</v>
      </c>
    </row>
    <row r="5352" spans="1:40" x14ac:dyDescent="0.25">
      <c r="A5352" t="str">
        <f>"20190304164954485"</f>
        <v>20190304164954485</v>
      </c>
      <c r="B5352" t="str">
        <f>"1551689394480979"</f>
        <v>1551689394480979</v>
      </c>
      <c r="C5352" t="s">
        <v>40</v>
      </c>
      <c r="D5352">
        <v>4.3430419999999996</v>
      </c>
      <c r="E5352">
        <v>0.41262310000000002</v>
      </c>
      <c r="F5352" t="s">
        <v>41</v>
      </c>
      <c r="G5352">
        <v>-385.27969999999999</v>
      </c>
      <c r="H5352">
        <v>1.0544560000000001</v>
      </c>
      <c r="I5352">
        <v>141.35120000000001</v>
      </c>
      <c r="J5352">
        <v>-384.68180000000001</v>
      </c>
      <c r="K5352">
        <v>1.1128819999999999</v>
      </c>
      <c r="L5352">
        <v>141.81</v>
      </c>
      <c r="M5352">
        <v>-0.99869669999999999</v>
      </c>
      <c r="N5352">
        <v>-1.472562E-2</v>
      </c>
      <c r="O5352">
        <v>-4.8866809999999997E-2</v>
      </c>
      <c r="P5352">
        <v>-0.88336150000000002</v>
      </c>
      <c r="Q5352">
        <v>0.37533329999999998</v>
      </c>
      <c r="R5352">
        <v>-0.28070879999999998</v>
      </c>
      <c r="S5352">
        <v>-2.9556879999999999</v>
      </c>
      <c r="T5352">
        <v>-0.2068323</v>
      </c>
      <c r="U5352">
        <v>-1.6694180000000001</v>
      </c>
      <c r="V5352">
        <v>-0.23898469999999999</v>
      </c>
      <c r="W5352">
        <v>0.38739309999999899</v>
      </c>
      <c r="X5352">
        <v>0.89040039999999998</v>
      </c>
      <c r="Y5352">
        <v>-0.4476639</v>
      </c>
      <c r="Z5352">
        <v>-1.559731E-2</v>
      </c>
      <c r="AA5352">
        <v>0.89406589999999997</v>
      </c>
      <c r="AB5352">
        <v>35</v>
      </c>
      <c r="AC5352">
        <v>-0.597899999999981</v>
      </c>
      <c r="AD5352">
        <v>-5.8425999999999798E-2</v>
      </c>
      <c r="AE5352">
        <v>-0.45879999999999599</v>
      </c>
      <c r="AF5352">
        <v>-0.42646802621643698</v>
      </c>
      <c r="AG5352">
        <v>-5.8425999999999798E-2</v>
      </c>
      <c r="AH5352">
        <v>0.615906434271841</v>
      </c>
      <c r="AI5352">
        <v>94.459494731404703</v>
      </c>
      <c r="AJ5352">
        <v>124.699634804597</v>
      </c>
      <c r="AK5352">
        <v>0.75141819956559397</v>
      </c>
      <c r="AL5352">
        <v>67.207612260090698</v>
      </c>
      <c r="AM5352">
        <v>105.024170402446</v>
      </c>
      <c r="AN5352">
        <v>0.99999998654092903</v>
      </c>
    </row>
    <row r="5353" spans="1:40" x14ac:dyDescent="0.25">
      <c r="A5353" t="str">
        <f>"20190304164954499"</f>
        <v>20190304164954499</v>
      </c>
      <c r="B5353" t="str">
        <f>"1551689394491715"</f>
        <v>1551689394491715</v>
      </c>
      <c r="C5353" t="s">
        <v>40</v>
      </c>
      <c r="D5353">
        <v>4.3378300000000003</v>
      </c>
      <c r="E5353">
        <v>0.41253620000000002</v>
      </c>
      <c r="F5353" t="s">
        <v>41</v>
      </c>
      <c r="G5353">
        <v>-385.53890000000001</v>
      </c>
      <c r="H5353">
        <v>1.0529790000000001</v>
      </c>
      <c r="I5353">
        <v>141.3228</v>
      </c>
      <c r="J5353">
        <v>-384.89150000000001</v>
      </c>
      <c r="K5353">
        <v>1.1129020000000001</v>
      </c>
      <c r="L5353">
        <v>141.79859999999999</v>
      </c>
      <c r="M5353">
        <v>-0.99863500000000005</v>
      </c>
      <c r="N5353">
        <v>-1.472525E-2</v>
      </c>
      <c r="O5353">
        <v>-5.0115229999999997E-2</v>
      </c>
      <c r="P5353">
        <v>-0.8826773</v>
      </c>
      <c r="Q5353">
        <v>0.3752489</v>
      </c>
      <c r="R5353">
        <v>-0.28296549999999998</v>
      </c>
      <c r="S5353">
        <v>-2.9504090000000001</v>
      </c>
      <c r="T5353">
        <v>-0.20618919999999999</v>
      </c>
      <c r="U5353">
        <v>-1.678223</v>
      </c>
      <c r="V5353">
        <v>-0.24017079999999999</v>
      </c>
      <c r="W5353">
        <v>0.3872871</v>
      </c>
      <c r="X5353">
        <v>0.89012739999999901</v>
      </c>
      <c r="Y5353">
        <v>-0.44925100000000001</v>
      </c>
      <c r="Z5353">
        <v>-1.557481E-2</v>
      </c>
      <c r="AA5353">
        <v>0.8932698</v>
      </c>
      <c r="AB5353">
        <v>35</v>
      </c>
      <c r="AC5353">
        <v>-0.64740000000000397</v>
      </c>
      <c r="AD5353">
        <v>-5.99229999999999E-2</v>
      </c>
      <c r="AE5353">
        <v>-0.47579999999999201</v>
      </c>
      <c r="AF5353">
        <v>-0.44030462119971497</v>
      </c>
      <c r="AG5353">
        <v>-5.99229999999999E-2</v>
      </c>
      <c r="AH5353">
        <v>0.66672497324742197</v>
      </c>
      <c r="AI5353">
        <v>94.2890463565289</v>
      </c>
      <c r="AJ5353">
        <v>123.440739541881</v>
      </c>
      <c r="AK5353">
        <v>0.80123724035431598</v>
      </c>
      <c r="AL5353">
        <v>67.214201379480897</v>
      </c>
      <c r="AM5353">
        <v>105.099759693233</v>
      </c>
      <c r="AN5353">
        <v>1.0000000496149</v>
      </c>
    </row>
    <row r="5354" spans="1:40" x14ac:dyDescent="0.25">
      <c r="A5354" t="str">
        <f>"20190304164954516"</f>
        <v>20190304164954516</v>
      </c>
      <c r="B5354" t="str">
        <f>"1551689394511235"</f>
        <v>1551689394511235</v>
      </c>
      <c r="C5354" t="s">
        <v>40</v>
      </c>
      <c r="D5354">
        <v>4.3072339999999896</v>
      </c>
      <c r="E5354">
        <v>0.41239619999999999</v>
      </c>
      <c r="F5354" t="s">
        <v>41</v>
      </c>
      <c r="G5354">
        <v>-385.83969999999999</v>
      </c>
      <c r="H5354">
        <v>1.046556</v>
      </c>
      <c r="I5354">
        <v>141.2561</v>
      </c>
      <c r="J5354">
        <v>-385.154</v>
      </c>
      <c r="K5354">
        <v>1.1129340000000001</v>
      </c>
      <c r="L5354">
        <v>141.78399999999999</v>
      </c>
      <c r="M5354">
        <v>-0.99855419999999995</v>
      </c>
      <c r="N5354">
        <v>-1.472476E-2</v>
      </c>
      <c r="O5354">
        <v>-5.1700000000000003E-2</v>
      </c>
      <c r="P5354">
        <v>-0.88102930000000002</v>
      </c>
      <c r="Q5354">
        <v>0.37587480000000001</v>
      </c>
      <c r="R5354">
        <v>-0.28723769999999998</v>
      </c>
      <c r="S5354">
        <v>-2.9459529999999998</v>
      </c>
      <c r="T5354">
        <v>-0.2061296</v>
      </c>
      <c r="U5354">
        <v>-1.6859440000000001</v>
      </c>
      <c r="V5354">
        <v>-0.2431306</v>
      </c>
      <c r="W5354">
        <v>0.3878665</v>
      </c>
      <c r="X5354">
        <v>0.8890709</v>
      </c>
      <c r="Y5354">
        <v>-0.45017889999999999</v>
      </c>
      <c r="Z5354">
        <v>-1.553859E-2</v>
      </c>
      <c r="AA5354">
        <v>0.89280319999999902</v>
      </c>
      <c r="AB5354">
        <v>35</v>
      </c>
      <c r="AC5354">
        <v>-0.68569999999999698</v>
      </c>
      <c r="AD5354">
        <v>-6.6378000000000006E-2</v>
      </c>
      <c r="AE5354">
        <v>-0.52789999999998805</v>
      </c>
      <c r="AF5354">
        <v>-0.48886304166368399</v>
      </c>
      <c r="AG5354">
        <v>-6.6378000000000006E-2</v>
      </c>
      <c r="AH5354">
        <v>0.70791306931645603</v>
      </c>
      <c r="AI5354">
        <v>94.411982697764003</v>
      </c>
      <c r="AJ5354">
        <v>124.627767909586</v>
      </c>
      <c r="AK5354">
        <v>0.86286385142600297</v>
      </c>
      <c r="AL5354">
        <v>67.178187928897103</v>
      </c>
      <c r="AM5354">
        <v>105.29450324526999</v>
      </c>
      <c r="AN5354">
        <v>0.99999998785271005</v>
      </c>
    </row>
    <row r="5355" spans="1:40" x14ac:dyDescent="0.25">
      <c r="A5355" t="str">
        <f>"20190304164954528"</f>
        <v>20190304164954528</v>
      </c>
      <c r="B5355" t="str">
        <f>"1551689394520995"</f>
        <v>1551689394520995</v>
      </c>
      <c r="C5355" t="s">
        <v>40</v>
      </c>
      <c r="D5355">
        <v>4.3195430000000004</v>
      </c>
      <c r="E5355">
        <v>0.41244310000000001</v>
      </c>
      <c r="F5355" t="s">
        <v>41</v>
      </c>
      <c r="G5355">
        <v>-386.14580000000001</v>
      </c>
      <c r="H5355">
        <v>1.044532</v>
      </c>
      <c r="I5355">
        <v>141.21019999999999</v>
      </c>
      <c r="J5355">
        <v>-385.36070000000001</v>
      </c>
      <c r="K5355">
        <v>1.112965</v>
      </c>
      <c r="L5355">
        <v>141.77209999999999</v>
      </c>
      <c r="M5355">
        <v>-0.99848720000000002</v>
      </c>
      <c r="N5355">
        <v>-1.472438E-2</v>
      </c>
      <c r="O5355">
        <v>-5.2977200000000002E-2</v>
      </c>
      <c r="P5355">
        <v>-0.88011419999999996</v>
      </c>
      <c r="Q5355">
        <v>0.3763843</v>
      </c>
      <c r="R5355">
        <v>-0.28936840000000003</v>
      </c>
      <c r="S5355">
        <v>-2.937103</v>
      </c>
      <c r="T5355">
        <v>-0.20255409999999999</v>
      </c>
      <c r="U5355">
        <v>-1.70048499999999</v>
      </c>
      <c r="V5355">
        <v>-0.2441905</v>
      </c>
      <c r="W5355">
        <v>0.38834730000000001</v>
      </c>
      <c r="X5355">
        <v>0.88857039999999998</v>
      </c>
      <c r="Y5355">
        <v>-0.45353209999999999</v>
      </c>
      <c r="Z5355">
        <v>-1.543346E-2</v>
      </c>
      <c r="AA5355">
        <v>0.89110630000000002</v>
      </c>
      <c r="AB5355">
        <v>35</v>
      </c>
      <c r="AC5355">
        <v>-0.78509999999999902</v>
      </c>
      <c r="AD5355">
        <v>-6.8432999999999897E-2</v>
      </c>
      <c r="AE5355">
        <v>-0.56190000000000795</v>
      </c>
      <c r="AF5355">
        <v>-0.51691679178671501</v>
      </c>
      <c r="AG5355">
        <v>-6.8432999999999897E-2</v>
      </c>
      <c r="AH5355">
        <v>0.80970032411663595</v>
      </c>
      <c r="AI5355">
        <v>94.074715065386499</v>
      </c>
      <c r="AJ5355">
        <v>122.554367246241</v>
      </c>
      <c r="AK5355">
        <v>0.96306835686500203</v>
      </c>
      <c r="AL5355">
        <v>67.148297175565503</v>
      </c>
      <c r="AM5355">
        <v>105.366277932391</v>
      </c>
      <c r="AN5355">
        <v>0.99999999073184997</v>
      </c>
    </row>
    <row r="5356" spans="1:40" x14ac:dyDescent="0.25">
      <c r="A5356" t="str">
        <f>"20190304164954542"</f>
        <v>20190304164954542</v>
      </c>
      <c r="B5356" t="str">
        <f>"1551689394530755"</f>
        <v>1551689394530755</v>
      </c>
      <c r="C5356" t="s">
        <v>40</v>
      </c>
      <c r="D5356">
        <v>4.3083130000000001</v>
      </c>
      <c r="E5356">
        <v>0.41243400000000002</v>
      </c>
      <c r="F5356" t="s">
        <v>41</v>
      </c>
      <c r="G5356">
        <v>-386.1705</v>
      </c>
      <c r="H5356">
        <v>1.0576449999999999</v>
      </c>
      <c r="I5356">
        <v>141.3013</v>
      </c>
      <c r="J5356">
        <v>-385.572</v>
      </c>
      <c r="K5356">
        <v>1.1129990000000001</v>
      </c>
      <c r="L5356">
        <v>141.75970000000001</v>
      </c>
      <c r="M5356">
        <v>-0.99841610000000003</v>
      </c>
      <c r="N5356">
        <v>-1.4724080000000001E-2</v>
      </c>
      <c r="O5356">
        <v>-5.4301820000000001E-2</v>
      </c>
      <c r="P5356">
        <v>-0.87902800000000003</v>
      </c>
      <c r="Q5356">
        <v>0.37735350000000001</v>
      </c>
      <c r="R5356">
        <v>-0.29140060000000001</v>
      </c>
      <c r="S5356">
        <v>-2.9331049999999999</v>
      </c>
      <c r="T5356">
        <v>-0.2003307</v>
      </c>
      <c r="U5356">
        <v>-1.7068479999999999</v>
      </c>
      <c r="V5356">
        <v>-0.2451258</v>
      </c>
      <c r="W5356">
        <v>0.3892834</v>
      </c>
      <c r="X5356">
        <v>0.887903</v>
      </c>
      <c r="Y5356">
        <v>-0.4543391</v>
      </c>
      <c r="Z5356">
        <v>-1.528759E-2</v>
      </c>
      <c r="AA5356">
        <v>0.89069769999999904</v>
      </c>
      <c r="AB5356">
        <v>35</v>
      </c>
      <c r="AC5356">
        <v>-0.59850000000005799</v>
      </c>
      <c r="AD5356">
        <v>-5.5353999999999903E-2</v>
      </c>
      <c r="AE5356">
        <v>-0.45840000000001102</v>
      </c>
      <c r="AF5356">
        <v>-0.42294014896550097</v>
      </c>
      <c r="AG5356">
        <v>-5.5353999999999903E-2</v>
      </c>
      <c r="AH5356">
        <v>0.619173250384767</v>
      </c>
      <c r="AI5356">
        <v>94.222001221355995</v>
      </c>
      <c r="AJ5356">
        <v>124.33590407153</v>
      </c>
      <c r="AK5356">
        <v>0.75187628564478504</v>
      </c>
      <c r="AL5356">
        <v>67.090081718872597</v>
      </c>
      <c r="AM5356">
        <v>105.433376821957</v>
      </c>
      <c r="AN5356">
        <v>0.99999998037509896</v>
      </c>
    </row>
    <row r="5357" spans="1:40" x14ac:dyDescent="0.25">
      <c r="A5357" t="str">
        <f>"20190304164954561"</f>
        <v>20190304164954561</v>
      </c>
      <c r="B5357" t="str">
        <f>"1551689394551251"</f>
        <v>1551689394551251</v>
      </c>
      <c r="C5357" t="s">
        <v>40</v>
      </c>
      <c r="D5357">
        <v>4.3122660000000002</v>
      </c>
      <c r="E5357">
        <v>0.412412</v>
      </c>
      <c r="F5357" t="s">
        <v>41</v>
      </c>
      <c r="G5357">
        <v>-386.47050000000002</v>
      </c>
      <c r="H5357">
        <v>1.052727</v>
      </c>
      <c r="I5357">
        <v>141.23400000000001</v>
      </c>
      <c r="J5357">
        <v>-385.85210000000001</v>
      </c>
      <c r="K5357">
        <v>1.1130639999999901</v>
      </c>
      <c r="L5357">
        <v>141.74279999999999</v>
      </c>
      <c r="M5357">
        <v>-0.9983166</v>
      </c>
      <c r="N5357">
        <v>-1.472385E-2</v>
      </c>
      <c r="O5357">
        <v>-5.6102880000000001E-2</v>
      </c>
      <c r="P5357">
        <v>-0.87702930000000001</v>
      </c>
      <c r="Q5357">
        <v>0.37942239999999999</v>
      </c>
      <c r="R5357">
        <v>-0.29471760000000002</v>
      </c>
      <c r="S5357">
        <v>-2.9289860000000001</v>
      </c>
      <c r="T5357">
        <v>-0.1964669</v>
      </c>
      <c r="U5357">
        <v>-1.714127</v>
      </c>
      <c r="V5357">
        <v>-0.24699560000000001</v>
      </c>
      <c r="W5357">
        <v>0.3912929</v>
      </c>
      <c r="X5357">
        <v>0.88650049999999903</v>
      </c>
      <c r="Y5357">
        <v>-0.45495869999999999</v>
      </c>
      <c r="Z5357">
        <v>-1.502335E-2</v>
      </c>
      <c r="AA5357">
        <v>0.89038580000000001</v>
      </c>
      <c r="AB5357">
        <v>35</v>
      </c>
      <c r="AC5357">
        <v>-0.61840000000000805</v>
      </c>
      <c r="AD5357">
        <v>-6.0336999999999801E-2</v>
      </c>
      <c r="AE5357">
        <v>-0.50879999999997905</v>
      </c>
      <c r="AF5357">
        <v>-0.47062898756113097</v>
      </c>
      <c r="AG5357">
        <v>-6.0336999999999801E-2</v>
      </c>
      <c r="AH5357">
        <v>0.64232762962747003</v>
      </c>
      <c r="AI5357">
        <v>94.3331770448426</v>
      </c>
      <c r="AJ5357">
        <v>126.22997410888701</v>
      </c>
      <c r="AK5357">
        <v>0.79857183852466296</v>
      </c>
      <c r="AL5357">
        <v>66.965029813257999</v>
      </c>
      <c r="AM5357">
        <v>105.568830190767</v>
      </c>
      <c r="AN5357">
        <v>1.000000048255</v>
      </c>
    </row>
    <row r="5358" spans="1:40" x14ac:dyDescent="0.25">
      <c r="A5358" t="str">
        <f>"20190304164954574"</f>
        <v>20190304164954574</v>
      </c>
      <c r="B5358" t="str">
        <f>"1551689394570771"</f>
        <v>1551689394570771</v>
      </c>
      <c r="C5358" t="s">
        <v>40</v>
      </c>
      <c r="D5358">
        <v>4.2851860000000004</v>
      </c>
      <c r="E5358">
        <v>0.41231220000000002</v>
      </c>
      <c r="F5358" t="s">
        <v>41</v>
      </c>
      <c r="G5358">
        <v>-386.77809999999999</v>
      </c>
      <c r="H5358">
        <v>1.053226</v>
      </c>
      <c r="I5358">
        <v>141.196</v>
      </c>
      <c r="J5358">
        <v>-386.07909999999998</v>
      </c>
      <c r="K5358">
        <v>1.11312099999999</v>
      </c>
      <c r="L5358">
        <v>141.7287</v>
      </c>
      <c r="M5358">
        <v>-0.99823050000000002</v>
      </c>
      <c r="N5358">
        <v>-1.4723689999999999E-2</v>
      </c>
      <c r="O5358">
        <v>-5.7610750000000002E-2</v>
      </c>
      <c r="P5358">
        <v>-0.87590309999999905</v>
      </c>
      <c r="Q5358">
        <v>0.38047510000000001</v>
      </c>
      <c r="R5358">
        <v>-0.29670249999999998</v>
      </c>
      <c r="S5358">
        <v>-2.9223940000000002</v>
      </c>
      <c r="T5358">
        <v>-0.18884989999999999</v>
      </c>
      <c r="U5358">
        <v>-1.725784</v>
      </c>
      <c r="V5358">
        <v>-0.24774860000000001</v>
      </c>
      <c r="W5358">
        <v>0.39230100000000001</v>
      </c>
      <c r="X5358">
        <v>0.88584459999999998</v>
      </c>
      <c r="Y5358">
        <v>-0.45718170000000002</v>
      </c>
      <c r="Z5358">
        <v>-1.463952E-2</v>
      </c>
      <c r="AA5358">
        <v>0.88925279999999995</v>
      </c>
      <c r="AB5358">
        <v>35</v>
      </c>
      <c r="AC5358">
        <v>-0.69900000000001195</v>
      </c>
      <c r="AD5358">
        <v>-5.9894999999999803E-2</v>
      </c>
      <c r="AE5358">
        <v>-0.53270000000000495</v>
      </c>
      <c r="AF5358">
        <v>-0.48926828284212998</v>
      </c>
      <c r="AG5358">
        <v>-5.9894999999999803E-2</v>
      </c>
      <c r="AH5358">
        <v>0.72516321933768801</v>
      </c>
      <c r="AI5358">
        <v>93.916838254085505</v>
      </c>
      <c r="AJ5358">
        <v>124.007575623561</v>
      </c>
      <c r="AK5358">
        <v>0.87683097476109195</v>
      </c>
      <c r="AL5358">
        <v>66.902250894819602</v>
      </c>
      <c r="AM5358">
        <v>105.624978323281</v>
      </c>
      <c r="AN5358">
        <v>1.0000000493760499</v>
      </c>
    </row>
    <row r="5359" spans="1:40" x14ac:dyDescent="0.25">
      <c r="A5359" t="str">
        <f>"20190304164954588"</f>
        <v>20190304164954588</v>
      </c>
      <c r="B5359" t="str">
        <f>"1551689394581509"</f>
        <v>1551689394581509</v>
      </c>
      <c r="C5359" t="s">
        <v>40</v>
      </c>
      <c r="D5359">
        <v>4.2783160000000002</v>
      </c>
      <c r="E5359">
        <v>0.41220909999999999</v>
      </c>
      <c r="F5359" t="s">
        <v>48</v>
      </c>
      <c r="G5359">
        <v>-403.58789999999999</v>
      </c>
      <c r="H5359" s="1">
        <v>-3.0200549999999999E-6</v>
      </c>
      <c r="I5359">
        <v>131.32409999999999</v>
      </c>
      <c r="J5359">
        <v>-386.2989</v>
      </c>
      <c r="K5359">
        <v>1.113189</v>
      </c>
      <c r="L5359">
        <v>141.71449999999999</v>
      </c>
      <c r="M5359">
        <v>-0.99814080000000005</v>
      </c>
      <c r="N5359">
        <v>-1.4724050000000001E-2</v>
      </c>
      <c r="O5359">
        <v>-5.9147320000000003E-2</v>
      </c>
      <c r="P5359">
        <v>-0.87495730000000005</v>
      </c>
      <c r="Q5359">
        <v>0.38148700000000002</v>
      </c>
      <c r="R5359">
        <v>-0.29819059999999997</v>
      </c>
      <c r="S5359">
        <v>-2.9182130000000002</v>
      </c>
      <c r="T5359">
        <v>-0.18552630000000001</v>
      </c>
      <c r="U5359">
        <v>-1.734146</v>
      </c>
      <c r="V5359">
        <v>-0.2479845</v>
      </c>
      <c r="W5359">
        <v>0.39326610000000001</v>
      </c>
      <c r="X5359">
        <v>0.88535039999999998</v>
      </c>
      <c r="Y5359">
        <v>-0.45828029999999997</v>
      </c>
      <c r="Z5359">
        <v>-1.444019E-2</v>
      </c>
      <c r="AA5359">
        <v>0.88869039999999999</v>
      </c>
      <c r="AB5359">
        <v>35</v>
      </c>
      <c r="AC5359">
        <v>-17.288999999999898</v>
      </c>
      <c r="AD5359">
        <v>-1.1131920200550001</v>
      </c>
      <c r="AE5359">
        <v>-10.3904</v>
      </c>
      <c r="AF5359">
        <v>-9.3211073380706093</v>
      </c>
      <c r="AG5359">
        <v>-1.1131920200550001</v>
      </c>
      <c r="AH5359">
        <v>17.819084572308299</v>
      </c>
      <c r="AI5359">
        <v>93.168419089493199</v>
      </c>
      <c r="AJ5359">
        <v>117.613925095947</v>
      </c>
      <c r="AK5359">
        <v>20.140556434131199</v>
      </c>
      <c r="AL5359">
        <v>66.842119433387694</v>
      </c>
      <c r="AM5359">
        <v>105.647430516752</v>
      </c>
      <c r="AN5359">
        <v>0.99999993421480704</v>
      </c>
    </row>
    <row r="5360" spans="1:40" x14ac:dyDescent="0.25">
      <c r="A5360" t="str">
        <f>"20190304164954605"</f>
        <v>20190304164954605</v>
      </c>
      <c r="B5360" t="str">
        <f>"1551689394591267"</f>
        <v>1551689394591267</v>
      </c>
      <c r="C5360" t="s">
        <v>40</v>
      </c>
      <c r="D5360">
        <v>4.2883839999999998</v>
      </c>
      <c r="E5360">
        <v>0.41214899999999999</v>
      </c>
      <c r="F5360" t="s">
        <v>41</v>
      </c>
      <c r="G5360">
        <v>-387.10599999999999</v>
      </c>
      <c r="H5360">
        <v>1.06314</v>
      </c>
      <c r="I5360">
        <v>141.2321</v>
      </c>
      <c r="J5360">
        <v>-386.55939999999998</v>
      </c>
      <c r="K5360">
        <v>1.1132850000000001</v>
      </c>
      <c r="L5360">
        <v>141.69730000000001</v>
      </c>
      <c r="M5360">
        <v>-0.99802599999999997</v>
      </c>
      <c r="N5360">
        <v>-1.472507E-2</v>
      </c>
      <c r="O5360">
        <v>-6.1054530000000003E-2</v>
      </c>
      <c r="P5360">
        <v>-0.87366429999999995</v>
      </c>
      <c r="Q5360">
        <v>0.38274059999999999</v>
      </c>
      <c r="R5360">
        <v>-0.3003672</v>
      </c>
      <c r="S5360">
        <v>-2.9136660000000001</v>
      </c>
      <c r="T5360">
        <v>-0.18069089999999999</v>
      </c>
      <c r="U5360">
        <v>-1.742416</v>
      </c>
      <c r="V5360">
        <v>-0.2486294</v>
      </c>
      <c r="W5360">
        <v>0.39445089999999999</v>
      </c>
      <c r="X5360">
        <v>0.88464219999999905</v>
      </c>
      <c r="Y5360">
        <v>-0.45908769999999999</v>
      </c>
      <c r="Z5360">
        <v>-1.413644E-2</v>
      </c>
      <c r="AA5360">
        <v>0.88827849999999997</v>
      </c>
      <c r="AB5360">
        <v>35</v>
      </c>
      <c r="AC5360">
        <v>-0.54660000000001197</v>
      </c>
      <c r="AD5360">
        <v>-5.0145000000000099E-2</v>
      </c>
      <c r="AE5360">
        <v>-0.46520000000000999</v>
      </c>
      <c r="AF5360">
        <v>-0.42886272334395098</v>
      </c>
      <c r="AG5360">
        <v>-5.0145000000000099E-2</v>
      </c>
      <c r="AH5360">
        <v>0.57119777941040295</v>
      </c>
      <c r="AI5360">
        <v>94.015801799064306</v>
      </c>
      <c r="AJ5360">
        <v>126.89969847399099</v>
      </c>
      <c r="AK5360">
        <v>0.71603397943279601</v>
      </c>
      <c r="AL5360">
        <v>66.768266427502496</v>
      </c>
      <c r="AM5360">
        <v>105.698060711785</v>
      </c>
      <c r="AN5360">
        <v>0.999999956538003</v>
      </c>
    </row>
    <row r="5361" spans="1:40" x14ac:dyDescent="0.25">
      <c r="A5361" t="str">
        <f>"20190304164954622"</f>
        <v>20190304164954622</v>
      </c>
      <c r="B5361" t="str">
        <f>"1551689394610788"</f>
        <v>1551689394610788</v>
      </c>
      <c r="C5361" t="s">
        <v>40</v>
      </c>
      <c r="D5361">
        <v>4.2826779999999998</v>
      </c>
      <c r="E5361">
        <v>0.41190450000000001</v>
      </c>
      <c r="F5361" t="s">
        <v>41</v>
      </c>
      <c r="G5361">
        <v>-387.41019999999997</v>
      </c>
      <c r="H5361">
        <v>1.062295</v>
      </c>
      <c r="I5361">
        <v>141.184</v>
      </c>
      <c r="J5361">
        <v>-386.82380000000001</v>
      </c>
      <c r="K5361">
        <v>1.1134029999999999</v>
      </c>
      <c r="L5361">
        <v>141.67930000000001</v>
      </c>
      <c r="M5361">
        <v>-0.99789830000000002</v>
      </c>
      <c r="N5361">
        <v>-1.472709E-2</v>
      </c>
      <c r="O5361">
        <v>-6.3104660000000007E-2</v>
      </c>
      <c r="P5361">
        <v>-0.87291149999999995</v>
      </c>
      <c r="Q5361">
        <v>0.38290750000000001</v>
      </c>
      <c r="R5361">
        <v>-0.30233649999999901</v>
      </c>
      <c r="S5361">
        <v>-2.9068909999999999</v>
      </c>
      <c r="T5361">
        <v>-0.17422889999999999</v>
      </c>
      <c r="U5361">
        <v>-1.7547299999999999</v>
      </c>
      <c r="V5361">
        <v>-0.24892449999999999</v>
      </c>
      <c r="W5361">
        <v>0.39454679999999998</v>
      </c>
      <c r="X5361">
        <v>0.88451650000000004</v>
      </c>
      <c r="Y5361">
        <v>-0.4609818</v>
      </c>
      <c r="Z5361">
        <v>-1.378773E-2</v>
      </c>
      <c r="AA5361">
        <v>0.88730249999999999</v>
      </c>
      <c r="AB5361">
        <v>35</v>
      </c>
      <c r="AC5361">
        <v>-0.58639999999996895</v>
      </c>
      <c r="AD5361">
        <v>-5.1108000000000098E-2</v>
      </c>
      <c r="AE5361">
        <v>-0.49530000000001401</v>
      </c>
      <c r="AF5361">
        <v>-0.45528562039091602</v>
      </c>
      <c r="AG5361">
        <v>-5.1108000000000098E-2</v>
      </c>
      <c r="AH5361">
        <v>0.61376912094555802</v>
      </c>
      <c r="AI5361">
        <v>93.826130509441796</v>
      </c>
      <c r="AJ5361">
        <v>126.56752339303399</v>
      </c>
      <c r="AK5361">
        <v>0.765904405017379</v>
      </c>
      <c r="AL5361">
        <v>66.762288142686302</v>
      </c>
      <c r="AM5361">
        <v>105.717895799875</v>
      </c>
      <c r="AN5361">
        <v>1.0000000114313701</v>
      </c>
    </row>
    <row r="5362" spans="1:40" x14ac:dyDescent="0.25">
      <c r="A5362" t="str">
        <f>"20190304164954639"</f>
        <v>20190304164954639</v>
      </c>
      <c r="B5362" t="str">
        <f>"1551689394631283"</f>
        <v>1551689394631283</v>
      </c>
      <c r="C5362" t="s">
        <v>40</v>
      </c>
      <c r="D5362">
        <v>4.289669</v>
      </c>
      <c r="E5362">
        <v>0.41181329999999999</v>
      </c>
      <c r="F5362" t="s">
        <v>41</v>
      </c>
      <c r="G5362">
        <v>-387.71420000000001</v>
      </c>
      <c r="H5362">
        <v>1.060284</v>
      </c>
      <c r="I5362">
        <v>141.13749999999999</v>
      </c>
      <c r="J5362">
        <v>-387.09519999999998</v>
      </c>
      <c r="K5362">
        <v>1.1135389999999901</v>
      </c>
      <c r="L5362">
        <v>141.66</v>
      </c>
      <c r="M5362">
        <v>-0.99775420000000004</v>
      </c>
      <c r="N5362">
        <v>-1.473026E-2</v>
      </c>
      <c r="O5362">
        <v>-6.5341549999999998E-2</v>
      </c>
      <c r="P5362">
        <v>-0.87195750000000005</v>
      </c>
      <c r="Q5362">
        <v>0.38248749999999998</v>
      </c>
      <c r="R5362">
        <v>-0.30560369999999998</v>
      </c>
      <c r="S5362">
        <v>-2.9011840000000002</v>
      </c>
      <c r="T5362">
        <v>-0.17305960000000001</v>
      </c>
      <c r="U5362">
        <v>-1.765671</v>
      </c>
      <c r="V5362">
        <v>-0.2503782</v>
      </c>
      <c r="W5362">
        <v>0.39403680000000002</v>
      </c>
      <c r="X5362">
        <v>0.88433359999999905</v>
      </c>
      <c r="Y5362">
        <v>-0.46221770000000001</v>
      </c>
      <c r="Z5362">
        <v>-1.36895E-2</v>
      </c>
      <c r="AA5362">
        <v>0.88666080000000003</v>
      </c>
      <c r="AB5362">
        <v>35</v>
      </c>
      <c r="AC5362">
        <v>-0.61900000000002797</v>
      </c>
      <c r="AD5362">
        <v>-5.3254999999999802E-2</v>
      </c>
      <c r="AE5362">
        <v>-0.52250000000000796</v>
      </c>
      <c r="AF5362">
        <v>-0.47886259679541299</v>
      </c>
      <c r="AG5362">
        <v>-5.3254999999999802E-2</v>
      </c>
      <c r="AH5362">
        <v>0.64901636125351103</v>
      </c>
      <c r="AI5362">
        <v>93.777625303823896</v>
      </c>
      <c r="AJ5362">
        <v>126.420953788178</v>
      </c>
      <c r="AK5362">
        <v>0.80831164708260606</v>
      </c>
      <c r="AL5362">
        <v>66.794086674211997</v>
      </c>
      <c r="AM5362">
        <v>105.808218706269</v>
      </c>
      <c r="AN5362">
        <v>1.0000000794392101</v>
      </c>
    </row>
    <row r="5363" spans="1:40" x14ac:dyDescent="0.25">
      <c r="A5363" t="str">
        <f>"20190304164954660"</f>
        <v>20190304164954660</v>
      </c>
      <c r="B5363" t="str">
        <f>"1551689394651377"</f>
        <v>1551689394651377</v>
      </c>
      <c r="C5363" t="s">
        <v>40</v>
      </c>
      <c r="D5363">
        <v>4.2868500000000003</v>
      </c>
      <c r="E5363">
        <v>0.4158328</v>
      </c>
      <c r="F5363" t="s">
        <v>41</v>
      </c>
      <c r="G5363">
        <v>-388.01850000000002</v>
      </c>
      <c r="H5363">
        <v>1.0577639999999999</v>
      </c>
      <c r="I5363">
        <v>141.0926</v>
      </c>
      <c r="J5363">
        <v>-387.41890000000001</v>
      </c>
      <c r="K5363">
        <v>1.113718</v>
      </c>
      <c r="L5363">
        <v>141.6361</v>
      </c>
      <c r="M5363">
        <v>-0.99756250000000002</v>
      </c>
      <c r="N5363">
        <v>-1.47352E-2</v>
      </c>
      <c r="O5363">
        <v>-6.8205539999999995E-2</v>
      </c>
      <c r="P5363">
        <v>-0.87062260000000002</v>
      </c>
      <c r="Q5363">
        <v>0.38253860000000001</v>
      </c>
      <c r="R5363">
        <v>-0.309322599999999</v>
      </c>
      <c r="S5363">
        <v>-2.8936769999999998</v>
      </c>
      <c r="T5363">
        <v>-0.17479</v>
      </c>
      <c r="U5363">
        <v>-1.779175</v>
      </c>
      <c r="V5363">
        <v>-0.25179269999999998</v>
      </c>
      <c r="W5363">
        <v>0.39397100000000002</v>
      </c>
      <c r="X5363">
        <v>0.88396109999999894</v>
      </c>
      <c r="Y5363">
        <v>-0.4636883</v>
      </c>
      <c r="Z5363">
        <v>-1.3730330000000001E-2</v>
      </c>
      <c r="AA5363">
        <v>0.88589200000000001</v>
      </c>
      <c r="AB5363">
        <v>35</v>
      </c>
      <c r="AC5363">
        <v>-0.59960000000000901</v>
      </c>
      <c r="AD5363">
        <v>-5.5953999999999997E-2</v>
      </c>
      <c r="AE5363">
        <v>-0.54349999999999399</v>
      </c>
      <c r="AF5363">
        <v>-0.49894833636512698</v>
      </c>
      <c r="AG5363">
        <v>-5.5953999999999997E-2</v>
      </c>
      <c r="AH5363">
        <v>0.63225460423768098</v>
      </c>
      <c r="AI5363">
        <v>93.974075861365094</v>
      </c>
      <c r="AJ5363">
        <v>128.278994202153</v>
      </c>
      <c r="AK5363">
        <v>0.80735752740485101</v>
      </c>
      <c r="AL5363">
        <v>66.798185840324805</v>
      </c>
      <c r="AM5363">
        <v>105.89938589641601</v>
      </c>
      <c r="AN5363">
        <v>0.99999996946374903</v>
      </c>
    </row>
    <row r="5364" spans="1:40" x14ac:dyDescent="0.25">
      <c r="A5364" t="str">
        <f>"20190304164954676"</f>
        <v>20190304164954676</v>
      </c>
      <c r="B5364" t="str">
        <f>"1551689394670898"</f>
        <v>1551689394670898</v>
      </c>
      <c r="C5364" t="s">
        <v>40</v>
      </c>
      <c r="D5364">
        <v>4.308967</v>
      </c>
      <c r="E5364">
        <v>0.41674220000000001</v>
      </c>
      <c r="F5364" t="s">
        <v>41</v>
      </c>
      <c r="G5364">
        <v>-388.33210000000003</v>
      </c>
      <c r="H5364">
        <v>1.031247</v>
      </c>
      <c r="I5364">
        <v>141.0831</v>
      </c>
      <c r="J5364">
        <v>-387.66829999999999</v>
      </c>
      <c r="K5364">
        <v>1.1138629999999901</v>
      </c>
      <c r="L5364">
        <v>141.61689999999999</v>
      </c>
      <c r="M5364">
        <v>-0.99739999999999995</v>
      </c>
      <c r="N5364">
        <v>-1.4739510000000001E-2</v>
      </c>
      <c r="O5364">
        <v>-7.0541640000000003E-2</v>
      </c>
      <c r="P5364">
        <v>-0.86966399999999999</v>
      </c>
      <c r="Q5364">
        <v>0.38290459999999998</v>
      </c>
      <c r="R5364">
        <v>-0.31155909999999998</v>
      </c>
      <c r="S5364">
        <v>-2.9313660000000001</v>
      </c>
      <c r="T5364">
        <v>-0.26472889999999999</v>
      </c>
      <c r="U5364">
        <v>-1.7753909999999999</v>
      </c>
      <c r="V5364">
        <v>-0.25214300000000001</v>
      </c>
      <c r="W5364">
        <v>0.39425060000000001</v>
      </c>
      <c r="X5364">
        <v>0.88373659999999998</v>
      </c>
      <c r="Y5364">
        <v>-0.45493210000000001</v>
      </c>
      <c r="Z5364">
        <v>-1.766216E-2</v>
      </c>
      <c r="AA5364">
        <v>0.89035089999999995</v>
      </c>
      <c r="AB5364">
        <v>35</v>
      </c>
      <c r="AC5364">
        <v>-0.66380000000003703</v>
      </c>
      <c r="AD5364">
        <v>-8.2615999999999801E-2</v>
      </c>
      <c r="AE5364">
        <v>-0.53379999999998495</v>
      </c>
      <c r="AF5364">
        <v>-0.48111350794131602</v>
      </c>
      <c r="AG5364">
        <v>-8.2615999999999801E-2</v>
      </c>
      <c r="AH5364">
        <v>0.69328356084167697</v>
      </c>
      <c r="AI5364">
        <v>95.591531160821901</v>
      </c>
      <c r="AJ5364">
        <v>124.75923770417801</v>
      </c>
      <c r="AK5364">
        <v>0.84790194404359898</v>
      </c>
      <c r="AL5364">
        <v>66.780755977966194</v>
      </c>
      <c r="AM5364">
        <v>105.92422441248701</v>
      </c>
      <c r="AN5364">
        <v>1.00000000311445</v>
      </c>
    </row>
    <row r="5365" spans="1:40" x14ac:dyDescent="0.25">
      <c r="A5365" t="str">
        <f>"20190304164954694"</f>
        <v>20190304164954694</v>
      </c>
      <c r="B5365" t="str">
        <f>"1551689394691392"</f>
        <v>1551689394691392</v>
      </c>
      <c r="C5365" t="s">
        <v>40</v>
      </c>
      <c r="D5365">
        <v>4.3257450000000004</v>
      </c>
      <c r="E5365">
        <v>0.41690490000000002</v>
      </c>
      <c r="F5365" t="s">
        <v>41</v>
      </c>
      <c r="G5365">
        <v>-388.63350000000003</v>
      </c>
      <c r="H5365">
        <v>1.0268870000000001</v>
      </c>
      <c r="I5365">
        <v>141.0316</v>
      </c>
      <c r="J5365">
        <v>-387.94040000000001</v>
      </c>
      <c r="K5365">
        <v>1.1140190000000001</v>
      </c>
      <c r="L5365">
        <v>141.5951</v>
      </c>
      <c r="M5365">
        <v>-0.99720450000000005</v>
      </c>
      <c r="N5365">
        <v>-1.4744470000000001E-2</v>
      </c>
      <c r="O5365">
        <v>-7.3253479999999996E-2</v>
      </c>
      <c r="P5365">
        <v>-0.86822029999999994</v>
      </c>
      <c r="Q5365">
        <v>0.38404290000000002</v>
      </c>
      <c r="R5365">
        <v>-0.3141738</v>
      </c>
      <c r="S5365">
        <v>-2.9291990000000001</v>
      </c>
      <c r="T5365">
        <v>-0.26395049999999998</v>
      </c>
      <c r="U5365">
        <v>-1.7770079999999999</v>
      </c>
      <c r="V5365">
        <v>-0.25259389999999998</v>
      </c>
      <c r="W5365">
        <v>0.39528720000000001</v>
      </c>
      <c r="X5365">
        <v>0.88314459999999995</v>
      </c>
      <c r="Y5365">
        <v>-0.45318170000000002</v>
      </c>
      <c r="Z5365">
        <v>-1.736097E-2</v>
      </c>
      <c r="AA5365">
        <v>0.89124910000000002</v>
      </c>
      <c r="AB5365">
        <v>35</v>
      </c>
      <c r="AC5365">
        <v>-0.69310000000001504</v>
      </c>
      <c r="AD5365">
        <v>-8.7131999999999904E-2</v>
      </c>
      <c r="AE5365">
        <v>-0.563500000000004</v>
      </c>
      <c r="AF5365">
        <v>-0.50639008596309498</v>
      </c>
      <c r="AG5365">
        <v>-8.7131999999999904E-2</v>
      </c>
      <c r="AH5365">
        <v>0.72561626221906705</v>
      </c>
      <c r="AI5365">
        <v>95.623872487299494</v>
      </c>
      <c r="AJ5365">
        <v>124.910258639472</v>
      </c>
      <c r="AK5365">
        <v>0.88912421212251302</v>
      </c>
      <c r="AL5365">
        <v>66.716113219229001</v>
      </c>
      <c r="AM5365">
        <v>105.961401739379</v>
      </c>
      <c r="AN5365">
        <v>1.0000000166551</v>
      </c>
    </row>
    <row r="5366" spans="1:40" x14ac:dyDescent="0.25">
      <c r="A5366" t="str">
        <f>"20190304164954707"</f>
        <v>20190304164954707</v>
      </c>
      <c r="B5366" t="str">
        <f>"1551689394701153"</f>
        <v>1551689394701153</v>
      </c>
      <c r="C5366" t="s">
        <v>40</v>
      </c>
      <c r="D5366">
        <v>4.2973929999999996</v>
      </c>
      <c r="E5366">
        <v>0.41688049999999999</v>
      </c>
      <c r="F5366" t="s">
        <v>48</v>
      </c>
      <c r="G5366">
        <v>-400.3965</v>
      </c>
      <c r="H5366" s="1">
        <v>-2.6121060000000001E-6</v>
      </c>
      <c r="I5366">
        <v>133.98599999999999</v>
      </c>
      <c r="J5366">
        <v>-388.15120000000002</v>
      </c>
      <c r="K5366">
        <v>1.1141430000000001</v>
      </c>
      <c r="L5366">
        <v>141.57749999999999</v>
      </c>
      <c r="M5366">
        <v>-0.99703790000000003</v>
      </c>
      <c r="N5366">
        <v>-1.4748580000000001E-2</v>
      </c>
      <c r="O5366">
        <v>-7.5484339999999997E-2</v>
      </c>
      <c r="P5366">
        <v>-0.86727739999999998</v>
      </c>
      <c r="Q5366">
        <v>0.38453730000000003</v>
      </c>
      <c r="R5366">
        <v>-0.31616539999999999</v>
      </c>
      <c r="S5366">
        <v>-2.9245610000000002</v>
      </c>
      <c r="T5366">
        <v>-0.26156059999999998</v>
      </c>
      <c r="U5366">
        <v>-1.78653</v>
      </c>
      <c r="V5366">
        <v>-0.25278299999999998</v>
      </c>
      <c r="W5366">
        <v>0.39570630000000001</v>
      </c>
      <c r="X5366">
        <v>0.88290270000000004</v>
      </c>
      <c r="Y5366">
        <v>-0.45395560000000001</v>
      </c>
      <c r="Z5366">
        <v>-1.714419E-2</v>
      </c>
      <c r="AA5366">
        <v>0.89085939999999997</v>
      </c>
      <c r="AB5366">
        <v>35</v>
      </c>
      <c r="AC5366">
        <v>-12.245299999999901</v>
      </c>
      <c r="AD5366">
        <v>-1.114145612106</v>
      </c>
      <c r="AE5366">
        <v>-7.5914999999999901</v>
      </c>
      <c r="AF5366">
        <v>-6.6059043021341699</v>
      </c>
      <c r="AG5366">
        <v>-1.114145612106</v>
      </c>
      <c r="AH5366">
        <v>12.707467288650999</v>
      </c>
      <c r="AI5366">
        <v>94.448250436791795</v>
      </c>
      <c r="AJ5366">
        <v>117.467408537832</v>
      </c>
      <c r="AK5366">
        <v>14.365201599214201</v>
      </c>
      <c r="AL5366">
        <v>66.689967284450901</v>
      </c>
      <c r="AM5366">
        <v>105.97689455055701</v>
      </c>
      <c r="AN5366">
        <v>0.99999994930798797</v>
      </c>
    </row>
    <row r="5367" spans="1:40" x14ac:dyDescent="0.25">
      <c r="A5367" t="str">
        <f>"20190304164954721"</f>
        <v>20190304164954721</v>
      </c>
      <c r="B5367" t="str">
        <f>"1551689394710913"</f>
        <v>1551689394710913</v>
      </c>
      <c r="C5367" t="s">
        <v>40</v>
      </c>
      <c r="D5367">
        <v>4.3374220000000001</v>
      </c>
      <c r="E5367">
        <v>0.4168654</v>
      </c>
      <c r="F5367" t="s">
        <v>41</v>
      </c>
      <c r="G5367">
        <v>-388.96370000000002</v>
      </c>
      <c r="H5367">
        <v>1.0416589999999999</v>
      </c>
      <c r="I5367">
        <v>141.07810000000001</v>
      </c>
      <c r="J5367">
        <v>-388.36279999999999</v>
      </c>
      <c r="K5367">
        <v>1.114279</v>
      </c>
      <c r="L5367">
        <v>141.55940000000001</v>
      </c>
      <c r="M5367">
        <v>-0.9968593</v>
      </c>
      <c r="N5367">
        <v>-1.4752889999999999E-2</v>
      </c>
      <c r="O5367">
        <v>-7.7809219999999998E-2</v>
      </c>
      <c r="P5367">
        <v>-0.86628869999999902</v>
      </c>
      <c r="Q5367">
        <v>0.3850346</v>
      </c>
      <c r="R5367">
        <v>-0.31826500000000002</v>
      </c>
      <c r="S5367">
        <v>-2.9203800000000002</v>
      </c>
      <c r="T5367">
        <v>-0.26054549999999999</v>
      </c>
      <c r="U5367">
        <v>-1.7945099999999901</v>
      </c>
      <c r="V5367">
        <v>-0.25300709999999998</v>
      </c>
      <c r="W5367">
        <v>0.39612399999999998</v>
      </c>
      <c r="X5367">
        <v>0.88265119999999897</v>
      </c>
      <c r="Y5367">
        <v>-0.45422849999999998</v>
      </c>
      <c r="Z5367">
        <v>-1.6963430000000002E-2</v>
      </c>
      <c r="AA5367">
        <v>0.89072369999999901</v>
      </c>
      <c r="AB5367">
        <v>35</v>
      </c>
      <c r="AC5367">
        <v>-0.60090000000002397</v>
      </c>
      <c r="AD5367">
        <v>-7.2619999999999907E-2</v>
      </c>
      <c r="AE5367">
        <v>-0.481300000000004</v>
      </c>
      <c r="AF5367">
        <v>-0.42926063500677403</v>
      </c>
      <c r="AG5367">
        <v>-7.2619999999999907E-2</v>
      </c>
      <c r="AH5367">
        <v>0.630918053380771</v>
      </c>
      <c r="AI5367">
        <v>95.436147857984807</v>
      </c>
      <c r="AJ5367">
        <v>124.23037717773801</v>
      </c>
      <c r="AK5367">
        <v>0.766548072366111</v>
      </c>
      <c r="AL5367">
        <v>66.663905949625502</v>
      </c>
      <c r="AM5367">
        <v>105.994657981261</v>
      </c>
      <c r="AN5367">
        <v>0.99999997844392396</v>
      </c>
    </row>
    <row r="5368" spans="1:40" x14ac:dyDescent="0.25">
      <c r="A5368" t="str">
        <f>"20190304164954739"</f>
        <v>20190304164954739</v>
      </c>
      <c r="B5368" t="str">
        <f>"1551689394731409"</f>
        <v>1551689394731409</v>
      </c>
      <c r="C5368" t="s">
        <v>40</v>
      </c>
      <c r="D5368">
        <v>4.3294629999999996</v>
      </c>
      <c r="E5368">
        <v>0.41665410000000003</v>
      </c>
      <c r="F5368" t="s">
        <v>41</v>
      </c>
      <c r="G5368">
        <v>-389.25830000000002</v>
      </c>
      <c r="H5368">
        <v>1.034346</v>
      </c>
      <c r="I5368">
        <v>141.0061</v>
      </c>
      <c r="J5368">
        <v>-388.63350000000003</v>
      </c>
      <c r="K5368">
        <v>1.1144480000000001</v>
      </c>
      <c r="L5368">
        <v>141.53540000000001</v>
      </c>
      <c r="M5368">
        <v>-0.99660979999999999</v>
      </c>
      <c r="N5368">
        <v>-1.475919E-2</v>
      </c>
      <c r="O5368">
        <v>-8.0939639999999993E-2</v>
      </c>
      <c r="P5368">
        <v>-0.86500319999999997</v>
      </c>
      <c r="Q5368">
        <v>0.38538699999999998</v>
      </c>
      <c r="R5368">
        <v>-0.32131949999999998</v>
      </c>
      <c r="S5368">
        <v>-2.9164430000000001</v>
      </c>
      <c r="T5368">
        <v>-0.26029859999999999</v>
      </c>
      <c r="U5368">
        <v>-1.8028409999999999</v>
      </c>
      <c r="V5368">
        <v>-0.25353419999999999</v>
      </c>
      <c r="W5368">
        <v>0.39636880000000002</v>
      </c>
      <c r="X5368">
        <v>0.88239000000000001</v>
      </c>
      <c r="Y5368">
        <v>-0.45382159999999999</v>
      </c>
      <c r="Z5368">
        <v>-1.6731670000000001E-2</v>
      </c>
      <c r="AA5368">
        <v>0.89093549999999999</v>
      </c>
      <c r="AB5368">
        <v>35</v>
      </c>
      <c r="AC5368">
        <v>-0.62479999999999303</v>
      </c>
      <c r="AD5368">
        <v>-8.0101999999999896E-2</v>
      </c>
      <c r="AE5368">
        <v>-0.52930000000000599</v>
      </c>
      <c r="AF5368">
        <v>-0.47246538064092902</v>
      </c>
      <c r="AG5368">
        <v>-8.0101999999999896E-2</v>
      </c>
      <c r="AH5368">
        <v>0.65928689086932002</v>
      </c>
      <c r="AI5368">
        <v>95.640086777906703</v>
      </c>
      <c r="AJ5368">
        <v>125.626554670042</v>
      </c>
      <c r="AK5368">
        <v>0.81504544092971498</v>
      </c>
      <c r="AL5368">
        <v>66.648629120643804</v>
      </c>
      <c r="AM5368">
        <v>106.03077118156401</v>
      </c>
      <c r="AN5368">
        <v>0.99999996414153902</v>
      </c>
    </row>
    <row r="5369" spans="1:40" x14ac:dyDescent="0.25">
      <c r="A5369" t="str">
        <f>"20190304164954752"</f>
        <v>20190304164954752</v>
      </c>
      <c r="B5369" t="str">
        <f>"1551689394741169"</f>
        <v>1551689394741169</v>
      </c>
      <c r="C5369" t="s">
        <v>40</v>
      </c>
      <c r="D5369">
        <v>4.3224589999999896</v>
      </c>
      <c r="E5369">
        <v>0.41656260000000001</v>
      </c>
      <c r="F5369" t="s">
        <v>41</v>
      </c>
      <c r="G5369">
        <v>-389.55970000000002</v>
      </c>
      <c r="H5369">
        <v>1.0316430000000001</v>
      </c>
      <c r="I5369">
        <v>140.95779999999999</v>
      </c>
      <c r="J5369">
        <v>-388.84769999999997</v>
      </c>
      <c r="K5369">
        <v>1.1145830000000001</v>
      </c>
      <c r="L5369">
        <v>141.51570000000001</v>
      </c>
      <c r="M5369">
        <v>-0.99639509999999998</v>
      </c>
      <c r="N5369">
        <v>-1.4765199999999999E-2</v>
      </c>
      <c r="O5369">
        <v>-8.354048E-2</v>
      </c>
      <c r="P5369">
        <v>-0.86388929999999997</v>
      </c>
      <c r="Q5369">
        <v>0.38543699999999997</v>
      </c>
      <c r="R5369">
        <v>-0.32424320000000001</v>
      </c>
      <c r="S5369">
        <v>-2.9100950000000001</v>
      </c>
      <c r="T5369">
        <v>-0.26017679999999999</v>
      </c>
      <c r="U5369">
        <v>-1.814468</v>
      </c>
      <c r="V5369">
        <v>-0.25435960000000002</v>
      </c>
      <c r="W5369">
        <v>0.39632679999999998</v>
      </c>
      <c r="X5369">
        <v>0.88217139999999905</v>
      </c>
      <c r="Y5369">
        <v>-0.45493489999999998</v>
      </c>
      <c r="Z5369">
        <v>-1.6621670000000002E-2</v>
      </c>
      <c r="AA5369">
        <v>0.89036959999999998</v>
      </c>
      <c r="AB5369">
        <v>35</v>
      </c>
      <c r="AC5369">
        <v>-0.71200000000004504</v>
      </c>
      <c r="AD5369">
        <v>-8.294E-2</v>
      </c>
      <c r="AE5369">
        <v>-0.55790000000001705</v>
      </c>
      <c r="AF5369">
        <v>-0.49232283175424701</v>
      </c>
      <c r="AG5369">
        <v>-8.294E-2</v>
      </c>
      <c r="AH5369">
        <v>0.74981873506232699</v>
      </c>
      <c r="AI5369">
        <v>95.282759805370702</v>
      </c>
      <c r="AJ5369">
        <v>123.288467524572</v>
      </c>
      <c r="AK5369">
        <v>0.90082681449709801</v>
      </c>
      <c r="AL5369">
        <v>66.651252549338395</v>
      </c>
      <c r="AM5369">
        <v>106.084045553503</v>
      </c>
      <c r="AN5369">
        <v>1.00000005874417</v>
      </c>
    </row>
    <row r="5370" spans="1:40" x14ac:dyDescent="0.25">
      <c r="A5370" t="str">
        <f>"20190304164954772"</f>
        <v>20190304164954772</v>
      </c>
      <c r="B5370" t="str">
        <f>"1551689394760689"</f>
        <v>1551689394760689</v>
      </c>
      <c r="C5370" t="s">
        <v>40</v>
      </c>
      <c r="D5370">
        <v>4.3599370000000004</v>
      </c>
      <c r="E5370">
        <v>0.41625580000000001</v>
      </c>
      <c r="F5370" t="s">
        <v>41</v>
      </c>
      <c r="G5370">
        <v>-389.65159999999997</v>
      </c>
      <c r="H5370">
        <v>1.0422100000000001</v>
      </c>
      <c r="I5370">
        <v>141.01070000000001</v>
      </c>
      <c r="J5370">
        <v>-389.142</v>
      </c>
      <c r="K5370">
        <v>1.11477</v>
      </c>
      <c r="L5370">
        <v>141.48750000000001</v>
      </c>
      <c r="M5370">
        <v>-0.99607400000000001</v>
      </c>
      <c r="N5370">
        <v>-1.4774509999999999E-2</v>
      </c>
      <c r="O5370">
        <v>-8.7283890000000003E-2</v>
      </c>
      <c r="P5370">
        <v>-0.86215069999999905</v>
      </c>
      <c r="Q5370">
        <v>0.38544279999999997</v>
      </c>
      <c r="R5370">
        <v>-0.3288314</v>
      </c>
      <c r="S5370">
        <v>-2.9046630000000002</v>
      </c>
      <c r="T5370">
        <v>-0.26147579999999998</v>
      </c>
      <c r="U5370">
        <v>-1.824249</v>
      </c>
      <c r="V5370">
        <v>-0.2559324</v>
      </c>
      <c r="W5370">
        <v>0.39620159999999999</v>
      </c>
      <c r="X5370">
        <v>0.88177260000000002</v>
      </c>
      <c r="Y5370">
        <v>-0.45448739999999999</v>
      </c>
      <c r="Z5370">
        <v>-1.642076E-2</v>
      </c>
      <c r="AA5370">
        <v>0.8906018</v>
      </c>
      <c r="AB5370">
        <v>35</v>
      </c>
      <c r="AC5370">
        <v>-0.50959999999997696</v>
      </c>
      <c r="AD5370">
        <v>-7.2559999999999902E-2</v>
      </c>
      <c r="AE5370">
        <v>-0.476799999999997</v>
      </c>
      <c r="AF5370">
        <v>-0.425891144077501</v>
      </c>
      <c r="AG5370">
        <v>-7.2559999999999902E-2</v>
      </c>
      <c r="AH5370">
        <v>0.54340182681479299</v>
      </c>
      <c r="AI5370">
        <v>95.999570589429695</v>
      </c>
      <c r="AJ5370">
        <v>128.08757133633799</v>
      </c>
      <c r="AK5370">
        <v>0.69421449537538304</v>
      </c>
      <c r="AL5370">
        <v>66.659064368942296</v>
      </c>
      <c r="AM5370">
        <v>106.18524520376501</v>
      </c>
      <c r="AN5370">
        <v>1.00000000966154</v>
      </c>
    </row>
    <row r="5371" spans="1:40" x14ac:dyDescent="0.25">
      <c r="A5371" t="str">
        <f>"20190304164954794"</f>
        <v>20190304164954794</v>
      </c>
      <c r="B5371" t="str">
        <f>"1551689394790945"</f>
        <v>1551689394790945</v>
      </c>
      <c r="C5371" t="s">
        <v>40</v>
      </c>
      <c r="D5371">
        <v>4.3596810000000001</v>
      </c>
      <c r="E5371">
        <v>0.4158289</v>
      </c>
      <c r="F5371" t="s">
        <v>41</v>
      </c>
      <c r="G5371">
        <v>-389.93340000000001</v>
      </c>
      <c r="H5371">
        <v>1.042065</v>
      </c>
      <c r="I5371">
        <v>140.9853</v>
      </c>
      <c r="J5371">
        <v>-389.48759999999999</v>
      </c>
      <c r="K5371">
        <v>1.1149979999999999</v>
      </c>
      <c r="L5371">
        <v>141.45269999999999</v>
      </c>
      <c r="M5371">
        <v>-0.99565789999999998</v>
      </c>
      <c r="N5371">
        <v>-1.478547E-2</v>
      </c>
      <c r="O5371">
        <v>-9.1906409999999994E-2</v>
      </c>
      <c r="P5371">
        <v>-0.86059470000000005</v>
      </c>
      <c r="Q5371">
        <v>0.38424059999999999</v>
      </c>
      <c r="R5371">
        <v>-0.3342697</v>
      </c>
      <c r="S5371">
        <v>-2.8970639999999999</v>
      </c>
      <c r="T5371">
        <v>-0.26611829999999997</v>
      </c>
      <c r="U5371">
        <v>-1.8393550000000001</v>
      </c>
      <c r="V5371">
        <v>-0.25757550000000001</v>
      </c>
      <c r="W5371">
        <v>0.39485530000000002</v>
      </c>
      <c r="X5371">
        <v>0.88189799999999996</v>
      </c>
      <c r="Y5371">
        <v>-0.4546888</v>
      </c>
      <c r="Z5371">
        <v>-1.6336070000000001E-2</v>
      </c>
      <c r="AA5371">
        <v>0.89050059999999998</v>
      </c>
      <c r="AB5371">
        <v>35</v>
      </c>
      <c r="AC5371">
        <v>-0.44580000000001901</v>
      </c>
      <c r="AD5371">
        <v>-7.2932999999999901E-2</v>
      </c>
      <c r="AE5371">
        <v>-0.46739999999999698</v>
      </c>
      <c r="AF5371">
        <v>-0.419101548579278</v>
      </c>
      <c r="AG5371">
        <v>-7.2932999999999901E-2</v>
      </c>
      <c r="AH5371">
        <v>0.48074515044388</v>
      </c>
      <c r="AI5371">
        <v>96.523701386053304</v>
      </c>
      <c r="AJ5371">
        <v>131.08110050349899</v>
      </c>
      <c r="AK5371">
        <v>0.64193553429130001</v>
      </c>
      <c r="AL5371">
        <v>66.743049320109293</v>
      </c>
      <c r="AM5371">
        <v>106.281473057642</v>
      </c>
      <c r="AN5371">
        <v>0.999999964271169</v>
      </c>
    </row>
    <row r="5372" spans="1:40" x14ac:dyDescent="0.25">
      <c r="A5372" t="str">
        <f>"20190304164954811"</f>
        <v>20190304164954811</v>
      </c>
      <c r="B5372" t="str">
        <f>"1551689394800705"</f>
        <v>1551689394800705</v>
      </c>
      <c r="C5372" t="s">
        <v>40</v>
      </c>
      <c r="D5372">
        <v>4.360652</v>
      </c>
      <c r="E5372">
        <v>0.4116649</v>
      </c>
      <c r="F5372" t="s">
        <v>48</v>
      </c>
      <c r="G5372">
        <v>-401.2867</v>
      </c>
      <c r="H5372" s="1">
        <v>-3.0455319999999999E-6</v>
      </c>
      <c r="I5372">
        <v>133.84639999999999</v>
      </c>
      <c r="J5372">
        <v>-389.73329999999999</v>
      </c>
      <c r="K5372">
        <v>1.115154</v>
      </c>
      <c r="L5372">
        <v>141.42679999999999</v>
      </c>
      <c r="M5372">
        <v>-0.99533240000000001</v>
      </c>
      <c r="N5372">
        <v>-1.4793550000000001E-2</v>
      </c>
      <c r="O5372">
        <v>-9.5366989999999999E-2</v>
      </c>
      <c r="P5372">
        <v>-0.85945910000000003</v>
      </c>
      <c r="Q5372">
        <v>0.38399879999999997</v>
      </c>
      <c r="R5372">
        <v>-0.33745429999999998</v>
      </c>
      <c r="S5372">
        <v>-2.8852229999999999</v>
      </c>
      <c r="T5372">
        <v>-0.27265060000000002</v>
      </c>
      <c r="U5372">
        <v>-1.859985</v>
      </c>
      <c r="V5372">
        <v>-0.25791510000000001</v>
      </c>
      <c r="W5372">
        <v>0.39452140000000002</v>
      </c>
      <c r="X5372">
        <v>0.88194819999999996</v>
      </c>
      <c r="Y5372">
        <v>-0.45768789999999998</v>
      </c>
      <c r="Z5372">
        <v>-1.6551409999999999E-2</v>
      </c>
      <c r="AA5372">
        <v>0.88895879999999905</v>
      </c>
      <c r="AB5372">
        <v>35</v>
      </c>
      <c r="AC5372">
        <v>-11.5534</v>
      </c>
      <c r="AD5372">
        <v>-1.1151570455319999</v>
      </c>
      <c r="AE5372">
        <v>-7.5803999999999903</v>
      </c>
      <c r="AF5372">
        <v>-6.4022126677708702</v>
      </c>
      <c r="AG5372">
        <v>-1.1151570455319999</v>
      </c>
      <c r="AH5372">
        <v>12.144633644278199</v>
      </c>
      <c r="AI5372">
        <v>94.643795453950801</v>
      </c>
      <c r="AJ5372">
        <v>117.79658049421199</v>
      </c>
      <c r="AK5372">
        <v>13.7740345808082</v>
      </c>
      <c r="AL5372">
        <v>66.763871173644901</v>
      </c>
      <c r="AM5372">
        <v>106.300921529947</v>
      </c>
      <c r="AN5372">
        <v>0.99999998067460405</v>
      </c>
    </row>
    <row r="5373" spans="1:40" x14ac:dyDescent="0.25">
      <c r="A5373" t="str">
        <f>"20190304164954829"</f>
        <v>20190304164954829</v>
      </c>
      <c r="B5373" t="str">
        <f>"1551689394821200"</f>
        <v>1551689394821200</v>
      </c>
      <c r="C5373" t="s">
        <v>40</v>
      </c>
      <c r="D5373">
        <v>4.426914</v>
      </c>
      <c r="E5373">
        <v>0.4117826</v>
      </c>
      <c r="F5373" t="s">
        <v>41</v>
      </c>
      <c r="G5373">
        <v>-390.49579999999997</v>
      </c>
      <c r="H5373">
        <v>1.035857</v>
      </c>
      <c r="I5373">
        <v>140.92179999999999</v>
      </c>
      <c r="J5373">
        <v>-390.02749999999997</v>
      </c>
      <c r="K5373">
        <v>1.1153390000000001</v>
      </c>
      <c r="L5373">
        <v>141.39449999999999</v>
      </c>
      <c r="M5373">
        <v>-0.99491180000000001</v>
      </c>
      <c r="N5373">
        <v>-1.480311E-2</v>
      </c>
      <c r="O5373">
        <v>-9.9656099999999997E-2</v>
      </c>
      <c r="P5373">
        <v>-0.85777219999999998</v>
      </c>
      <c r="Q5373">
        <v>0.38404939999999999</v>
      </c>
      <c r="R5373">
        <v>-0.34166210000000002</v>
      </c>
      <c r="S5373">
        <v>-2.8759459999999999</v>
      </c>
      <c r="T5373">
        <v>-0.29908439999999997</v>
      </c>
      <c r="U5373">
        <v>-1.9057010000000001</v>
      </c>
      <c r="V5373">
        <v>-0.2586156</v>
      </c>
      <c r="W5373">
        <v>0.3944588</v>
      </c>
      <c r="X5373">
        <v>0.88177109999999903</v>
      </c>
      <c r="Y5373">
        <v>-0.46476220000000001</v>
      </c>
      <c r="Z5373">
        <v>-1.7718749999999998E-2</v>
      </c>
      <c r="AA5373">
        <v>0.88525830000000005</v>
      </c>
      <c r="AB5373">
        <v>35</v>
      </c>
      <c r="AC5373">
        <v>-0.46829999999999899</v>
      </c>
      <c r="AD5373">
        <v>-7.9481999999999803E-2</v>
      </c>
      <c r="AE5373">
        <v>-0.47270000000000301</v>
      </c>
      <c r="AF5373">
        <v>-0.41771215447624899</v>
      </c>
      <c r="AG5373">
        <v>-7.9481999999999803E-2</v>
      </c>
      <c r="AH5373">
        <v>0.50586295002361903</v>
      </c>
      <c r="AI5373">
        <v>96.908017695034005</v>
      </c>
      <c r="AJ5373">
        <v>129.54790955615101</v>
      </c>
      <c r="AK5373">
        <v>0.66083141309095506</v>
      </c>
      <c r="AL5373">
        <v>66.767775488154399</v>
      </c>
      <c r="AM5373">
        <v>106.345942494559</v>
      </c>
      <c r="AN5373">
        <v>1.000000023128</v>
      </c>
    </row>
    <row r="5374" spans="1:40" x14ac:dyDescent="0.25">
      <c r="A5374" t="str">
        <f>"20190304164954854"</f>
        <v>20190304164954854</v>
      </c>
      <c r="B5374" t="str">
        <f>"1551689394840721"</f>
        <v>1551689394840721</v>
      </c>
      <c r="C5374" t="s">
        <v>40</v>
      </c>
      <c r="D5374">
        <v>4.4163489999999896</v>
      </c>
      <c r="E5374">
        <v>0.41125970000000001</v>
      </c>
      <c r="F5374" t="s">
        <v>41</v>
      </c>
      <c r="G5374">
        <v>-390.79790000000003</v>
      </c>
      <c r="H5374">
        <v>1.0352059999999901</v>
      </c>
      <c r="I5374">
        <v>140.87870000000001</v>
      </c>
      <c r="J5374">
        <v>-390.36290000000002</v>
      </c>
      <c r="K5374">
        <v>1.1155409999999999</v>
      </c>
      <c r="L5374">
        <v>141.3561</v>
      </c>
      <c r="M5374">
        <v>-0.99438950000000004</v>
      </c>
      <c r="N5374">
        <v>-1.4814020000000001E-2</v>
      </c>
      <c r="O5374">
        <v>-0.1047386</v>
      </c>
      <c r="P5374">
        <v>-0.8552305</v>
      </c>
      <c r="Q5374">
        <v>0.38447239999999999</v>
      </c>
      <c r="R5374">
        <v>-0.34750789999999998</v>
      </c>
      <c r="S5374">
        <v>-2.8668520000000002</v>
      </c>
      <c r="T5374">
        <v>-0.29820289999999999</v>
      </c>
      <c r="U5374">
        <v>-1.91832</v>
      </c>
      <c r="V5374">
        <v>-0.26034869999999999</v>
      </c>
      <c r="W5374">
        <v>0.39474179999999998</v>
      </c>
      <c r="X5374">
        <v>0.88113419999999898</v>
      </c>
      <c r="Y5374">
        <v>-0.46425309999999997</v>
      </c>
      <c r="Z5374">
        <v>-1.7280190000000001E-2</v>
      </c>
      <c r="AA5374">
        <v>0.88553400000000004</v>
      </c>
      <c r="AB5374">
        <v>35</v>
      </c>
      <c r="AC5374">
        <v>-0.435000000000002</v>
      </c>
      <c r="AD5374">
        <v>-8.0335000000000004E-2</v>
      </c>
      <c r="AE5374">
        <v>-0.477399999999988</v>
      </c>
      <c r="AF5374">
        <v>-0.42266802711115298</v>
      </c>
      <c r="AG5374">
        <v>-8.0335000000000004E-2</v>
      </c>
      <c r="AH5374">
        <v>0.47526156815164999</v>
      </c>
      <c r="AI5374">
        <v>97.198842953687802</v>
      </c>
      <c r="AJ5374">
        <v>131.64790086791601</v>
      </c>
      <c r="AK5374">
        <v>0.64107373330140405</v>
      </c>
      <c r="AL5374">
        <v>66.750128391895998</v>
      </c>
      <c r="AM5374">
        <v>106.46082787792299</v>
      </c>
      <c r="AN5374">
        <v>1.00000000633428</v>
      </c>
    </row>
    <row r="5375" spans="1:40" x14ac:dyDescent="0.25">
      <c r="A5375" t="str">
        <f>"20190304164954873"</f>
        <v>20190304164954873</v>
      </c>
      <c r="B5375" t="str">
        <f>"1551689394861217"</f>
        <v>1551689394861217</v>
      </c>
      <c r="C5375" t="s">
        <v>40</v>
      </c>
      <c r="D5375">
        <v>4.4434760000000004</v>
      </c>
      <c r="E5375">
        <v>0.41109669999999998</v>
      </c>
      <c r="F5375" t="s">
        <v>41</v>
      </c>
      <c r="G5375">
        <v>-391.10590000000002</v>
      </c>
      <c r="H5375">
        <v>1.0378240000000001</v>
      </c>
      <c r="I5375">
        <v>140.85140000000001</v>
      </c>
      <c r="J5375">
        <v>-390.69549999999998</v>
      </c>
      <c r="K5375">
        <v>1.1157220000000001</v>
      </c>
      <c r="L5375">
        <v>141.31610000000001</v>
      </c>
      <c r="M5375">
        <v>-0.99382389999999998</v>
      </c>
      <c r="N5375">
        <v>-1.482461E-2</v>
      </c>
      <c r="O5375">
        <v>-0.1099733</v>
      </c>
      <c r="P5375">
        <v>-0.85244769999999903</v>
      </c>
      <c r="Q5375">
        <v>0.38555980000000001</v>
      </c>
      <c r="R5375">
        <v>-0.35309559999999901</v>
      </c>
      <c r="S5375">
        <v>-2.8540040000000002</v>
      </c>
      <c r="T5375">
        <v>-0.2984889</v>
      </c>
      <c r="U5375">
        <v>-1.93927</v>
      </c>
      <c r="V5375">
        <v>-0.26172089999999998</v>
      </c>
      <c r="W5375">
        <v>0.39569850000000001</v>
      </c>
      <c r="X5375">
        <v>0.88029820000000003</v>
      </c>
      <c r="Y5375">
        <v>-0.46589580000000003</v>
      </c>
      <c r="Z5375">
        <v>-1.7002030000000001E-2</v>
      </c>
      <c r="AA5375">
        <v>0.88467619999999902</v>
      </c>
      <c r="AB5375">
        <v>35</v>
      </c>
      <c r="AC5375">
        <v>-0.41040000000003801</v>
      </c>
      <c r="AD5375">
        <v>-7.7897999999999801E-2</v>
      </c>
      <c r="AE5375">
        <v>-0.46469999999999301</v>
      </c>
      <c r="AF5375">
        <v>-0.41026590470194002</v>
      </c>
      <c r="AG5375">
        <v>-7.7897999999999801E-2</v>
      </c>
      <c r="AH5375">
        <v>0.451886488833939</v>
      </c>
      <c r="AI5375">
        <v>97.273321493416603</v>
      </c>
      <c r="AJ5375">
        <v>132.236180149527</v>
      </c>
      <c r="AK5375">
        <v>0.61529473405479995</v>
      </c>
      <c r="AL5375">
        <v>66.690455820168395</v>
      </c>
      <c r="AM5375">
        <v>106.557706721031</v>
      </c>
      <c r="AN5375">
        <v>1.00000002666114</v>
      </c>
    </row>
    <row r="5376" spans="1:40" x14ac:dyDescent="0.25">
      <c r="A5376" t="str">
        <f>"20190304164954895"</f>
        <v>20190304164954895</v>
      </c>
      <c r="B5376" t="str">
        <f>"1551689394891473"</f>
        <v>1551689394891473</v>
      </c>
      <c r="C5376" t="s">
        <v>40</v>
      </c>
      <c r="D5376">
        <v>4.5658830000000004</v>
      </c>
      <c r="E5376">
        <v>0.40928249999999999</v>
      </c>
      <c r="F5376" t="s">
        <v>41</v>
      </c>
      <c r="G5376">
        <v>-391.4402</v>
      </c>
      <c r="H5376">
        <v>1.0379020000000001</v>
      </c>
      <c r="I5376">
        <v>140.80289999999999</v>
      </c>
      <c r="J5376">
        <v>-391.03050000000002</v>
      </c>
      <c r="K5376">
        <v>1.115901</v>
      </c>
      <c r="L5376">
        <v>141.27379999999999</v>
      </c>
      <c r="M5376">
        <v>-0.99320439999999999</v>
      </c>
      <c r="N5376">
        <v>-1.483509E-2</v>
      </c>
      <c r="O5376">
        <v>-0.1154348</v>
      </c>
      <c r="P5376">
        <v>-0.84968809999999995</v>
      </c>
      <c r="Q5376">
        <v>0.38641609999999998</v>
      </c>
      <c r="R5376">
        <v>-0.35876580000000002</v>
      </c>
      <c r="S5376">
        <v>-2.8421020000000001</v>
      </c>
      <c r="T5376">
        <v>-0.29700989999999999</v>
      </c>
      <c r="U5376">
        <v>-1.9591670000000001</v>
      </c>
      <c r="V5376">
        <v>-0.26297569999999998</v>
      </c>
      <c r="W5376">
        <v>0.39642919999999998</v>
      </c>
      <c r="X5376">
        <v>0.87959519999999902</v>
      </c>
      <c r="Y5376">
        <v>-0.46699049999999998</v>
      </c>
      <c r="Z5376">
        <v>-1.6604979999999998E-2</v>
      </c>
      <c r="AA5376">
        <v>0.88410639999999996</v>
      </c>
      <c r="AB5376">
        <v>35</v>
      </c>
      <c r="AC5376">
        <v>-0.40969999999998602</v>
      </c>
      <c r="AD5376">
        <v>-7.7998999999999902E-2</v>
      </c>
      <c r="AE5376">
        <v>-0.47089999999999999</v>
      </c>
      <c r="AF5376">
        <v>-0.41398786962593198</v>
      </c>
      <c r="AG5376">
        <v>-7.7998999999999902E-2</v>
      </c>
      <c r="AH5376">
        <v>0.45423170702198601</v>
      </c>
      <c r="AI5376">
        <v>97.232949340192704</v>
      </c>
      <c r="AJ5376">
        <v>132.34611742590701</v>
      </c>
      <c r="AK5376">
        <v>0.61951290855197305</v>
      </c>
      <c r="AL5376">
        <v>66.644861101606594</v>
      </c>
      <c r="AM5376">
        <v>106.64527375439501</v>
      </c>
      <c r="AN5376">
        <v>1.0000000226330801</v>
      </c>
    </row>
    <row r="5377" spans="1:40" x14ac:dyDescent="0.25">
      <c r="A5377" t="str">
        <f>"20190304164954911"</f>
        <v>20190304164954911</v>
      </c>
      <c r="B5377" t="str">
        <f>"1551689394901233"</f>
        <v>1551689394901233</v>
      </c>
      <c r="C5377" t="s">
        <v>40</v>
      </c>
      <c r="D5377">
        <v>4.4902879999999996</v>
      </c>
      <c r="E5377">
        <v>0.40941939999999999</v>
      </c>
      <c r="F5377" t="s">
        <v>41</v>
      </c>
      <c r="G5377">
        <v>-391.77170000000001</v>
      </c>
      <c r="H5377">
        <v>1.0398259999999999</v>
      </c>
      <c r="I5377">
        <v>140.75069999999999</v>
      </c>
      <c r="J5377">
        <v>-391.28030000000001</v>
      </c>
      <c r="K5377">
        <v>1.1160330000000001</v>
      </c>
      <c r="L5377">
        <v>141.24080000000001</v>
      </c>
      <c r="M5377">
        <v>-0.99270510000000001</v>
      </c>
      <c r="N5377">
        <v>-1.484336E-2</v>
      </c>
      <c r="O5377">
        <v>-0.1196508</v>
      </c>
      <c r="P5377">
        <v>-0.84768379999999999</v>
      </c>
      <c r="Q5377">
        <v>0.38699939999999999</v>
      </c>
      <c r="R5377">
        <v>-0.36285509999999999</v>
      </c>
      <c r="S5377">
        <v>-2.8214109999999999</v>
      </c>
      <c r="T5377">
        <v>-0.2895877</v>
      </c>
      <c r="U5377">
        <v>-1.99176</v>
      </c>
      <c r="V5377">
        <v>-0.26364650000000001</v>
      </c>
      <c r="W5377">
        <v>0.39692339999999998</v>
      </c>
      <c r="X5377">
        <v>0.87917140000000005</v>
      </c>
      <c r="Y5377">
        <v>-0.4731573</v>
      </c>
      <c r="Z5377">
        <v>-1.6383249999999999E-2</v>
      </c>
      <c r="AA5377">
        <v>0.88082559999999999</v>
      </c>
      <c r="AB5377">
        <v>35</v>
      </c>
      <c r="AC5377">
        <v>-0.49139999999999801</v>
      </c>
      <c r="AD5377">
        <v>-7.6207000000000094E-2</v>
      </c>
      <c r="AE5377">
        <v>-0.49010000000001203</v>
      </c>
      <c r="AF5377">
        <v>-0.42267924904933302</v>
      </c>
      <c r="AG5377">
        <v>-7.6207000000000094E-2</v>
      </c>
      <c r="AH5377">
        <v>0.54000550443740103</v>
      </c>
      <c r="AI5377">
        <v>96.341156906780597</v>
      </c>
      <c r="AJ5377">
        <v>128.051401283357</v>
      </c>
      <c r="AK5377">
        <v>0.68997912957465601</v>
      </c>
      <c r="AL5377">
        <v>66.614014457566896</v>
      </c>
      <c r="AM5377">
        <v>106.692970947411</v>
      </c>
      <c r="AN5377">
        <v>1.0000000065038801</v>
      </c>
    </row>
    <row r="5378" spans="1:40" x14ac:dyDescent="0.25">
      <c r="A5378" t="str">
        <f>"20190304164954928"</f>
        <v>20190304164954928</v>
      </c>
      <c r="B5378" t="str">
        <f>"1551689394920753"</f>
        <v>1551689394920753</v>
      </c>
      <c r="C5378" t="s">
        <v>40</v>
      </c>
      <c r="D5378">
        <v>4.4634070000000001</v>
      </c>
      <c r="E5378">
        <v>0.4086902</v>
      </c>
      <c r="F5378" t="s">
        <v>41</v>
      </c>
      <c r="G5378">
        <v>-392.00900000000001</v>
      </c>
      <c r="H5378">
        <v>1.0404059999999999</v>
      </c>
      <c r="I5378">
        <v>140.7216</v>
      </c>
      <c r="J5378">
        <v>-391.53620000000001</v>
      </c>
      <c r="K5378">
        <v>1.116177</v>
      </c>
      <c r="L5378">
        <v>141.20570000000001</v>
      </c>
      <c r="M5378">
        <v>-0.99216090000000001</v>
      </c>
      <c r="N5378">
        <v>-1.485248E-2</v>
      </c>
      <c r="O5378">
        <v>-0.1240812</v>
      </c>
      <c r="P5378">
        <v>-0.84474099999999996</v>
      </c>
      <c r="Q5378">
        <v>0.3885306</v>
      </c>
      <c r="R5378">
        <v>-0.3680446</v>
      </c>
      <c r="S5378">
        <v>-2.8139949999999998</v>
      </c>
      <c r="T5378">
        <v>-0.29207100000000003</v>
      </c>
      <c r="U5378">
        <v>-2.0053860000000001</v>
      </c>
      <c r="V5378">
        <v>-0.26535879999999901</v>
      </c>
      <c r="W5378">
        <v>0.39833790000000002</v>
      </c>
      <c r="X5378">
        <v>0.87801569999999995</v>
      </c>
      <c r="Y5378">
        <v>-0.4731417</v>
      </c>
      <c r="Z5378">
        <v>-1.6151229999999999E-2</v>
      </c>
      <c r="AA5378">
        <v>0.88083829999999996</v>
      </c>
      <c r="AB5378">
        <v>35</v>
      </c>
      <c r="AC5378">
        <v>-0.47280000000000599</v>
      </c>
      <c r="AD5378">
        <v>-7.5771000000000005E-2</v>
      </c>
      <c r="AE5378">
        <v>-0.48410000000001202</v>
      </c>
      <c r="AF5378">
        <v>-0.41646421787873</v>
      </c>
      <c r="AG5378">
        <v>-7.5771000000000005E-2</v>
      </c>
      <c r="AH5378">
        <v>0.52266635620481405</v>
      </c>
      <c r="AI5378">
        <v>96.468516389163398</v>
      </c>
      <c r="AJ5378">
        <v>128.548082729562</v>
      </c>
      <c r="AK5378">
        <v>0.67257996485381599</v>
      </c>
      <c r="AL5378">
        <v>66.525685687759307</v>
      </c>
      <c r="AM5378">
        <v>106.81615967424401</v>
      </c>
      <c r="AN5378">
        <v>0.99999997238016902</v>
      </c>
    </row>
    <row r="5379" spans="1:40" x14ac:dyDescent="0.25">
      <c r="A5379" t="str">
        <f>"20190304164954952"</f>
        <v>20190304164954952</v>
      </c>
      <c r="B5379" t="str">
        <f>"1551689394940779"</f>
        <v>1551689394940779</v>
      </c>
      <c r="C5379" t="s">
        <v>40</v>
      </c>
      <c r="D5379">
        <v>4.48949</v>
      </c>
      <c r="E5379">
        <v>0.40787459999999998</v>
      </c>
      <c r="F5379" t="s">
        <v>41</v>
      </c>
      <c r="G5379">
        <v>-392.30090000000001</v>
      </c>
      <c r="H5379">
        <v>1.0375449999999999</v>
      </c>
      <c r="I5379">
        <v>140.6523</v>
      </c>
      <c r="J5379">
        <v>-391.88139999999999</v>
      </c>
      <c r="K5379">
        <v>1.116366</v>
      </c>
      <c r="L5379">
        <v>141.1566</v>
      </c>
      <c r="M5379">
        <v>-0.99137229999999998</v>
      </c>
      <c r="N5379">
        <v>-1.486578E-2</v>
      </c>
      <c r="O5379">
        <v>-0.13023109999999999</v>
      </c>
      <c r="P5379">
        <v>-0.84118689999999996</v>
      </c>
      <c r="Q5379">
        <v>0.38988699999999998</v>
      </c>
      <c r="R5379">
        <v>-0.37469039999999998</v>
      </c>
      <c r="S5379">
        <v>-2.8005369999999998</v>
      </c>
      <c r="T5379">
        <v>-0.28793289999999999</v>
      </c>
      <c r="U5379">
        <v>-2.02739</v>
      </c>
      <c r="V5379">
        <v>-0.26712659999999899</v>
      </c>
      <c r="W5379">
        <v>0.39954729999999999</v>
      </c>
      <c r="X5379">
        <v>0.87692950000000003</v>
      </c>
      <c r="Y5379">
        <v>-0.47428710000000002</v>
      </c>
      <c r="Z5379">
        <v>-1.5628199999999998E-2</v>
      </c>
      <c r="AA5379">
        <v>0.880231599999999</v>
      </c>
      <c r="AB5379">
        <v>34</v>
      </c>
      <c r="AC5379">
        <v>-0.41950000000002702</v>
      </c>
      <c r="AD5379">
        <v>-7.8820999999999794E-2</v>
      </c>
      <c r="AE5379">
        <v>-0.50429999999999997</v>
      </c>
      <c r="AF5379">
        <v>-0.43902750291566001</v>
      </c>
      <c r="AG5379">
        <v>-7.8820999999999794E-2</v>
      </c>
      <c r="AH5379">
        <v>0.47475478539657501</v>
      </c>
      <c r="AI5379">
        <v>96.949729903160303</v>
      </c>
      <c r="AJ5379">
        <v>132.76097610372099</v>
      </c>
      <c r="AK5379">
        <v>0.65142152605997605</v>
      </c>
      <c r="AL5379">
        <v>66.450119099020597</v>
      </c>
      <c r="AM5379">
        <v>106.941565296606</v>
      </c>
      <c r="AN5379">
        <v>1.0000000066675401</v>
      </c>
    </row>
    <row r="5380" spans="1:40" x14ac:dyDescent="0.25">
      <c r="A5380" t="str">
        <f>"20190304164954972"</f>
        <v>20190304164954972</v>
      </c>
      <c r="B5380" t="str">
        <f>"1551689394961275"</f>
        <v>1551689394961275</v>
      </c>
      <c r="C5380" t="s">
        <v>40</v>
      </c>
      <c r="D5380">
        <v>4.5414899999999996</v>
      </c>
      <c r="E5380">
        <v>0.40745690000000001</v>
      </c>
      <c r="F5380" t="s">
        <v>41</v>
      </c>
      <c r="G5380">
        <v>-392.6062</v>
      </c>
      <c r="H5380">
        <v>1.0419639999999999</v>
      </c>
      <c r="I5380">
        <v>140.62139999999999</v>
      </c>
      <c r="J5380">
        <v>-392.20940000000002</v>
      </c>
      <c r="K5380">
        <v>1.116549</v>
      </c>
      <c r="L5380">
        <v>141.1078</v>
      </c>
      <c r="M5380">
        <v>-0.99055950000000004</v>
      </c>
      <c r="N5380">
        <v>-1.4879710000000001E-2</v>
      </c>
      <c r="O5380">
        <v>-0.13627439999999999</v>
      </c>
      <c r="P5380">
        <v>-0.83788130000000005</v>
      </c>
      <c r="Q5380">
        <v>0.39080979999999998</v>
      </c>
      <c r="R5380">
        <v>-0.38108120000000001</v>
      </c>
      <c r="S5380">
        <v>-2.7835079999999999</v>
      </c>
      <c r="T5380">
        <v>-0.28576059999999998</v>
      </c>
      <c r="U5380">
        <v>-2.0550079999999999</v>
      </c>
      <c r="V5380">
        <v>-0.26870919999999998</v>
      </c>
      <c r="W5380">
        <v>0.40033269999999999</v>
      </c>
      <c r="X5380">
        <v>0.87608739999999996</v>
      </c>
      <c r="Y5380">
        <v>-0.47717300000000001</v>
      </c>
      <c r="Z5380">
        <v>-1.5290969999999999E-2</v>
      </c>
      <c r="AA5380">
        <v>0.87867640000000002</v>
      </c>
      <c r="AB5380">
        <v>34</v>
      </c>
      <c r="AC5380">
        <v>-0.396799999999984</v>
      </c>
      <c r="AD5380">
        <v>-7.4585000000000096E-2</v>
      </c>
      <c r="AE5380">
        <v>-0.486400000000003</v>
      </c>
      <c r="AF5380">
        <v>-0.42182649166963199</v>
      </c>
      <c r="AG5380">
        <v>-7.4585000000000096E-2</v>
      </c>
      <c r="AH5380">
        <v>0.45299339682339101</v>
      </c>
      <c r="AI5380">
        <v>96.8707834890443</v>
      </c>
      <c r="AJ5380">
        <v>132.959606079385</v>
      </c>
      <c r="AK5380">
        <v>0.62346092809806797</v>
      </c>
      <c r="AL5380">
        <v>66.401021659436907</v>
      </c>
      <c r="AM5380">
        <v>107.051565358823</v>
      </c>
      <c r="AN5380">
        <v>1.00000001864634</v>
      </c>
    </row>
    <row r="5381" spans="1:40" x14ac:dyDescent="0.25">
      <c r="A5381" t="str">
        <f>"20190304164954997"</f>
        <v>20190304164954997</v>
      </c>
      <c r="B5381" t="str">
        <f>"1551689394991531"</f>
        <v>1551689394991531</v>
      </c>
      <c r="C5381" t="s">
        <v>40</v>
      </c>
      <c r="D5381">
        <v>4.8782949999999996</v>
      </c>
      <c r="E5381">
        <v>0.40761720000000001</v>
      </c>
      <c r="F5381" t="s">
        <v>41</v>
      </c>
      <c r="G5381">
        <v>-392.90929999999997</v>
      </c>
      <c r="H5381">
        <v>1.044454</v>
      </c>
      <c r="I5381">
        <v>140.58179999999999</v>
      </c>
      <c r="J5381">
        <v>-392.54759999999999</v>
      </c>
      <c r="K5381">
        <v>1.116733</v>
      </c>
      <c r="L5381">
        <v>141.05500000000001</v>
      </c>
      <c r="M5381">
        <v>-0.98965080000000005</v>
      </c>
      <c r="N5381">
        <v>-1.489481E-2</v>
      </c>
      <c r="O5381">
        <v>-0.14272209999999999</v>
      </c>
      <c r="P5381">
        <v>-0.83481289999999997</v>
      </c>
      <c r="Q5381">
        <v>0.39096019999999998</v>
      </c>
      <c r="R5381">
        <v>-0.38760509999999998</v>
      </c>
      <c r="S5381">
        <v>-2.7674560000000001</v>
      </c>
      <c r="T5381">
        <v>-0.28508099999999997</v>
      </c>
      <c r="U5381">
        <v>-2.079987</v>
      </c>
      <c r="V5381">
        <v>-0.27004339999999999</v>
      </c>
      <c r="W5381">
        <v>0.40034930000000002</v>
      </c>
      <c r="X5381">
        <v>0.87566939999999904</v>
      </c>
      <c r="Y5381">
        <v>-0.47898590000000002</v>
      </c>
      <c r="Z5381">
        <v>-1.491754E-2</v>
      </c>
      <c r="AA5381">
        <v>0.87769589999999997</v>
      </c>
      <c r="AB5381">
        <v>34</v>
      </c>
      <c r="AC5381">
        <v>-0.36169999999998398</v>
      </c>
      <c r="AD5381">
        <v>-7.2278999999999899E-2</v>
      </c>
      <c r="AE5381">
        <v>-0.47320000000001899</v>
      </c>
      <c r="AF5381">
        <v>-0.41067840002404399</v>
      </c>
      <c r="AG5381">
        <v>-7.2278999999999899E-2</v>
      </c>
      <c r="AH5381">
        <v>0.419364082002119</v>
      </c>
      <c r="AI5381">
        <v>97.020124044282198</v>
      </c>
      <c r="AJ5381">
        <v>134.400470737988</v>
      </c>
      <c r="AK5381">
        <v>0.591394314616559</v>
      </c>
      <c r="AL5381">
        <v>66.399982001311798</v>
      </c>
      <c r="AM5381">
        <v>107.138983248351</v>
      </c>
      <c r="AN5381">
        <v>0.99999994899520295</v>
      </c>
    </row>
    <row r="5382" spans="1:40" x14ac:dyDescent="0.25">
      <c r="A5382" t="str">
        <f>"20190304164955018"</f>
        <v>20190304164955018</v>
      </c>
      <c r="B5382" t="str">
        <f>"1551689395011051"</f>
        <v>1551689395011051</v>
      </c>
      <c r="C5382" t="s">
        <v>40</v>
      </c>
      <c r="D5382">
        <v>4.6442170000000003</v>
      </c>
      <c r="E5382">
        <v>0.49103449999999998</v>
      </c>
      <c r="F5382" t="s">
        <v>41</v>
      </c>
      <c r="G5382">
        <v>-393.45850000000002</v>
      </c>
      <c r="H5382">
        <v>1.021433</v>
      </c>
      <c r="I5382">
        <v>140.36000000000001</v>
      </c>
      <c r="J5382">
        <v>-392.8947</v>
      </c>
      <c r="K5382">
        <v>1.1169370000000001</v>
      </c>
      <c r="L5382">
        <v>140.99809999999999</v>
      </c>
      <c r="M5382">
        <v>-0.98863290000000004</v>
      </c>
      <c r="N5382">
        <v>-1.4911819999999999E-2</v>
      </c>
      <c r="O5382">
        <v>-0.14960870000000001</v>
      </c>
      <c r="P5382">
        <v>-0.83153089999999996</v>
      </c>
      <c r="Q5382">
        <v>0.39062609999999998</v>
      </c>
      <c r="R5382">
        <v>-0.39492739999999998</v>
      </c>
      <c r="S5382">
        <v>-2.7528079999999999</v>
      </c>
      <c r="T5382">
        <v>-0.2879893</v>
      </c>
      <c r="U5382">
        <v>-2.1013489999999999</v>
      </c>
      <c r="V5382">
        <v>-0.2718238</v>
      </c>
      <c r="W5382">
        <v>0.39986860000000002</v>
      </c>
      <c r="X5382">
        <v>0.87533809999999901</v>
      </c>
      <c r="Y5382">
        <v>-0.47942269999999998</v>
      </c>
      <c r="Z5382">
        <v>-1.4543789999999999E-2</v>
      </c>
      <c r="AA5382">
        <v>0.87746360000000001</v>
      </c>
      <c r="AB5382">
        <v>34</v>
      </c>
      <c r="AC5382">
        <v>-0.56380000000001396</v>
      </c>
      <c r="AD5382">
        <v>-9.5504000000000006E-2</v>
      </c>
      <c r="AE5382">
        <v>-0.63809999999998002</v>
      </c>
      <c r="AF5382">
        <v>-0.53976773452864502</v>
      </c>
      <c r="AG5382">
        <v>-9.5504000000000006E-2</v>
      </c>
      <c r="AH5382">
        <v>0.64481730502492596</v>
      </c>
      <c r="AI5382">
        <v>96.479403724438299</v>
      </c>
      <c r="AJ5382">
        <v>129.932239670488</v>
      </c>
      <c r="AK5382">
        <v>0.84632120268476896</v>
      </c>
      <c r="AL5382">
        <v>66.430034022837603</v>
      </c>
      <c r="AM5382">
        <v>107.251438474173</v>
      </c>
      <c r="AN5382">
        <v>0.99999993241200202</v>
      </c>
    </row>
    <row r="5383" spans="1:40" x14ac:dyDescent="0.25">
      <c r="A5383" t="str">
        <f>"20190304164955040"</f>
        <v>20190304164955040</v>
      </c>
      <c r="B5383" t="str">
        <f>"1551689395031548"</f>
        <v>1551689395031548</v>
      </c>
      <c r="C5383" t="s">
        <v>40</v>
      </c>
      <c r="D5383">
        <v>4.6529089999999904</v>
      </c>
      <c r="E5383">
        <v>0.50240529999999906</v>
      </c>
      <c r="F5383" t="s">
        <v>48</v>
      </c>
      <c r="G5383">
        <v>-401.01459999999997</v>
      </c>
      <c r="H5383" s="1">
        <v>-4.5100949999999999E-6</v>
      </c>
      <c r="I5383">
        <v>136.90110000000001</v>
      </c>
      <c r="J5383">
        <v>-393.22340000000003</v>
      </c>
      <c r="K5383">
        <v>1.11712099999999</v>
      </c>
      <c r="L5383">
        <v>140.9417</v>
      </c>
      <c r="M5383">
        <v>-0.98759209999999997</v>
      </c>
      <c r="N5383">
        <v>-1.4929339999999999E-2</v>
      </c>
      <c r="O5383">
        <v>-0.15632969999999999</v>
      </c>
      <c r="P5383">
        <v>-0.82793619999999901</v>
      </c>
      <c r="Q5383">
        <v>0.39110070000000002</v>
      </c>
      <c r="R5383">
        <v>-0.40194760000000002</v>
      </c>
      <c r="S5383">
        <v>-3.0704349999999998</v>
      </c>
      <c r="T5383">
        <v>-0.42235640000000002</v>
      </c>
      <c r="U5383">
        <v>-1.5492250000000001</v>
      </c>
      <c r="V5383">
        <v>-0.27350600000000003</v>
      </c>
      <c r="W5383">
        <v>0.4002038</v>
      </c>
      <c r="X5383">
        <v>0.87466069999999996</v>
      </c>
      <c r="Y5383">
        <v>-0.3037145</v>
      </c>
      <c r="Z5383">
        <v>-4.2979059999999998E-3</v>
      </c>
      <c r="AA5383">
        <v>0.95275339999999997</v>
      </c>
      <c r="AB5383">
        <v>34</v>
      </c>
      <c r="AC5383">
        <v>-7.7911999999999404</v>
      </c>
      <c r="AD5383">
        <v>-1.1171255100949899</v>
      </c>
      <c r="AE5383">
        <v>-4.04059999999998</v>
      </c>
      <c r="AF5383">
        <v>-2.7285714363248101</v>
      </c>
      <c r="AG5383">
        <v>-1.1171255100949899</v>
      </c>
      <c r="AH5383">
        <v>8.1943624905503292</v>
      </c>
      <c r="AI5383">
        <v>97.370074869073505</v>
      </c>
      <c r="AJ5383">
        <v>108.416806230783</v>
      </c>
      <c r="AK5383">
        <v>8.7086536338845608</v>
      </c>
      <c r="AL5383">
        <v>66.409079803669499</v>
      </c>
      <c r="AM5383">
        <v>107.36443977807301</v>
      </c>
      <c r="AN5383">
        <v>0.999999976847464</v>
      </c>
    </row>
    <row r="5384" spans="1:40" x14ac:dyDescent="0.25">
      <c r="A5384" t="str">
        <f>"20190304164955062"</f>
        <v>20190304164955062</v>
      </c>
      <c r="B5384" t="str">
        <f>"1551689395051573"</f>
        <v>1551689395051573</v>
      </c>
      <c r="C5384" t="s">
        <v>40</v>
      </c>
      <c r="D5384">
        <v>4.6106280000000002</v>
      </c>
      <c r="E5384">
        <v>0.50823859999999998</v>
      </c>
      <c r="F5384" t="s">
        <v>48</v>
      </c>
      <c r="G5384">
        <v>-400.97539999999998</v>
      </c>
      <c r="H5384" s="1">
        <v>-4.6478949999999997E-6</v>
      </c>
      <c r="I5384">
        <v>137.20310000000001</v>
      </c>
      <c r="J5384">
        <v>-393.54689999999999</v>
      </c>
      <c r="K5384">
        <v>1.1172979999999999</v>
      </c>
      <c r="L5384">
        <v>140.88380000000001</v>
      </c>
      <c r="M5384">
        <v>-0.98648659999999999</v>
      </c>
      <c r="N5384">
        <v>-1.4946279999999999E-2</v>
      </c>
      <c r="O5384">
        <v>-0.1631592</v>
      </c>
      <c r="P5384">
        <v>-0.82418389999999997</v>
      </c>
      <c r="Q5384">
        <v>0.3916232</v>
      </c>
      <c r="R5384">
        <v>-0.40908670000000003</v>
      </c>
      <c r="S5384">
        <v>-3.1074519999999999</v>
      </c>
      <c r="T5384">
        <v>-0.44780409999999998</v>
      </c>
      <c r="U5384">
        <v>-1.498642</v>
      </c>
      <c r="V5384">
        <v>-0.27524559999999998</v>
      </c>
      <c r="W5384">
        <v>0.40058700000000003</v>
      </c>
      <c r="X5384">
        <v>0.87393929999999997</v>
      </c>
      <c r="Y5384">
        <v>-0.28006809999999899</v>
      </c>
      <c r="Z5384">
        <v>-1.679369E-3</v>
      </c>
      <c r="AA5384">
        <v>0.95997860000000002</v>
      </c>
      <c r="AB5384">
        <v>34</v>
      </c>
      <c r="AC5384">
        <v>-7.4284999999999801</v>
      </c>
      <c r="AD5384">
        <v>-1.1173026478949999</v>
      </c>
      <c r="AE5384">
        <v>-3.6806999999999999</v>
      </c>
      <c r="AF5384">
        <v>-2.3760463911346301</v>
      </c>
      <c r="AG5384">
        <v>-1.1173026478949999</v>
      </c>
      <c r="AH5384">
        <v>7.7880838676690303</v>
      </c>
      <c r="AI5384">
        <v>97.813280149442093</v>
      </c>
      <c r="AJ5384">
        <v>106.966288130446</v>
      </c>
      <c r="AK5384">
        <v>8.2187719270985795</v>
      </c>
      <c r="AL5384">
        <v>66.385120001204399</v>
      </c>
      <c r="AM5384">
        <v>107.48172670722199</v>
      </c>
      <c r="AN5384">
        <v>0.99999999248642402</v>
      </c>
    </row>
    <row r="5385" spans="1:40" x14ac:dyDescent="0.25">
      <c r="A5385" t="str">
        <f>"20190304164955085"</f>
        <v>20190304164955085</v>
      </c>
      <c r="B5385" t="str">
        <f>"1551689395080853"</f>
        <v>1551689395080853</v>
      </c>
      <c r="C5385" t="s">
        <v>40</v>
      </c>
      <c r="D5385">
        <v>4.5971710000000003</v>
      </c>
      <c r="E5385">
        <v>0.51246429999999998</v>
      </c>
      <c r="F5385" t="s">
        <v>48</v>
      </c>
      <c r="G5385">
        <v>-401.11680000000001</v>
      </c>
      <c r="H5385" s="1">
        <v>-4.7687289999999999E-6</v>
      </c>
      <c r="I5385">
        <v>137.279</v>
      </c>
      <c r="J5385">
        <v>-393.88080000000002</v>
      </c>
      <c r="K5385">
        <v>1.1174900000000001</v>
      </c>
      <c r="L5385">
        <v>140.82140000000001</v>
      </c>
      <c r="M5385">
        <v>-0.98525200000000002</v>
      </c>
      <c r="N5385">
        <v>-1.496464E-2</v>
      </c>
      <c r="O5385">
        <v>-0.1704541</v>
      </c>
      <c r="P5385">
        <v>-0.82053140000000002</v>
      </c>
      <c r="Q5385">
        <v>0.39155600000000002</v>
      </c>
      <c r="R5385">
        <v>-0.41642770000000001</v>
      </c>
      <c r="S5385">
        <v>-3.121124</v>
      </c>
      <c r="T5385">
        <v>-0.46067429999999898</v>
      </c>
      <c r="U5385">
        <v>-1.4862820000000001</v>
      </c>
      <c r="V5385">
        <v>-0.2767734</v>
      </c>
      <c r="W5385">
        <v>0.40037810000000001</v>
      </c>
      <c r="X5385">
        <v>0.87355239999999901</v>
      </c>
      <c r="Y5385">
        <v>-0.2683046</v>
      </c>
      <c r="Z5385">
        <v>1.8379839999999999E-4</v>
      </c>
      <c r="AA5385">
        <v>0.96333409999999997</v>
      </c>
      <c r="AB5385">
        <v>34</v>
      </c>
      <c r="AC5385">
        <v>-7.23599999999999</v>
      </c>
      <c r="AD5385">
        <v>-1.11749476872899</v>
      </c>
      <c r="AE5385">
        <v>-3.54240000000001</v>
      </c>
      <c r="AF5385">
        <v>-2.2143998449022502</v>
      </c>
      <c r="AG5385">
        <v>-1.11749476872899</v>
      </c>
      <c r="AH5385">
        <v>7.5879780248844098</v>
      </c>
      <c r="AI5385">
        <v>98.046844264453895</v>
      </c>
      <c r="AJ5385">
        <v>106.268830464914</v>
      </c>
      <c r="AK5385">
        <v>7.98309286789077</v>
      </c>
      <c r="AL5385">
        <v>66.398181706214501</v>
      </c>
      <c r="AM5385">
        <v>107.580109089506</v>
      </c>
      <c r="AN5385">
        <v>0.99999996672646396</v>
      </c>
    </row>
    <row r="5386" spans="1:40" x14ac:dyDescent="0.25">
      <c r="A5386" t="str">
        <f>"20190304164955101"</f>
        <v>20190304164955101</v>
      </c>
      <c r="B5386" t="str">
        <f>"1551689395091589"</f>
        <v>1551689395091589</v>
      </c>
      <c r="C5386" t="s">
        <v>40</v>
      </c>
      <c r="D5386">
        <v>4.6337710000000003</v>
      </c>
      <c r="E5386">
        <v>0.51345249999999998</v>
      </c>
      <c r="F5386" t="s">
        <v>48</v>
      </c>
      <c r="G5386">
        <v>-401.26100000000002</v>
      </c>
      <c r="H5386" s="1">
        <v>-4.850063E-6</v>
      </c>
      <c r="I5386">
        <v>137.31360000000001</v>
      </c>
      <c r="J5386">
        <v>-394.12569999999999</v>
      </c>
      <c r="K5386">
        <v>1.11764</v>
      </c>
      <c r="L5386">
        <v>140.7739</v>
      </c>
      <c r="M5386">
        <v>-0.98428110000000002</v>
      </c>
      <c r="N5386">
        <v>-1.497977E-2</v>
      </c>
      <c r="O5386">
        <v>-0.17597299999999999</v>
      </c>
      <c r="P5386">
        <v>-0.81789389999999995</v>
      </c>
      <c r="Q5386">
        <v>0.39146609999999998</v>
      </c>
      <c r="R5386">
        <v>-0.42166809999999899</v>
      </c>
      <c r="S5386">
        <v>-3.1276549999999999</v>
      </c>
      <c r="T5386">
        <v>-0.47358230000000001</v>
      </c>
      <c r="U5386">
        <v>-1.486572</v>
      </c>
      <c r="V5386">
        <v>-0.27761209999999997</v>
      </c>
      <c r="W5386">
        <v>0.40018369999999998</v>
      </c>
      <c r="X5386">
        <v>0.87337540000000002</v>
      </c>
      <c r="Y5386">
        <v>-0.26223540000000001</v>
      </c>
      <c r="Z5386">
        <v>1.468685E-3</v>
      </c>
      <c r="AA5386">
        <v>0.96500280000000005</v>
      </c>
      <c r="AB5386">
        <v>34</v>
      </c>
      <c r="AC5386">
        <v>-7.1352999999999698</v>
      </c>
      <c r="AD5386">
        <v>-1.1176448500630001</v>
      </c>
      <c r="AE5386">
        <v>-3.4602999999999802</v>
      </c>
      <c r="AF5386">
        <v>-2.1086441238029101</v>
      </c>
      <c r="AG5386">
        <v>-1.1176448500630001</v>
      </c>
      <c r="AH5386">
        <v>7.4842537531313598</v>
      </c>
      <c r="AI5386">
        <v>98.179492941796298</v>
      </c>
      <c r="AJ5386">
        <v>105.73486757440701</v>
      </c>
      <c r="AK5386">
        <v>7.8555435389908999</v>
      </c>
      <c r="AL5386">
        <v>66.410337811656504</v>
      </c>
      <c r="AM5386">
        <v>107.633438272193</v>
      </c>
      <c r="AN5386">
        <v>1.0000000305686201</v>
      </c>
    </row>
    <row r="5387" spans="1:40" x14ac:dyDescent="0.25">
      <c r="A5387" t="str">
        <f>"20190304164955118"</f>
        <v>20190304164955118</v>
      </c>
      <c r="B5387" t="str">
        <f>"1551689395111109"</f>
        <v>1551689395111109</v>
      </c>
      <c r="C5387" t="s">
        <v>40</v>
      </c>
      <c r="D5387">
        <v>4.6297509999999997</v>
      </c>
      <c r="E5387">
        <v>0.51524950000000003</v>
      </c>
      <c r="F5387" t="s">
        <v>48</v>
      </c>
      <c r="G5387">
        <v>-401.416</v>
      </c>
      <c r="H5387" s="1">
        <v>-4.8997730000000004E-6</v>
      </c>
      <c r="I5387">
        <v>137.27289999999999</v>
      </c>
      <c r="J5387">
        <v>-394.38490000000002</v>
      </c>
      <c r="K5387">
        <v>1.1178060000000001</v>
      </c>
      <c r="L5387">
        <v>140.72200000000001</v>
      </c>
      <c r="M5387">
        <v>-0.9831879</v>
      </c>
      <c r="N5387">
        <v>-1.499807E-2</v>
      </c>
      <c r="O5387">
        <v>-0.1819799</v>
      </c>
      <c r="P5387">
        <v>-0.81527939999999999</v>
      </c>
      <c r="Q5387">
        <v>0.3904726</v>
      </c>
      <c r="R5387">
        <v>-0.4276102</v>
      </c>
      <c r="S5387">
        <v>-3.1237490000000001</v>
      </c>
      <c r="T5387">
        <v>-0.47889379999999998</v>
      </c>
      <c r="U5387">
        <v>-1.500122</v>
      </c>
      <c r="V5387">
        <v>-0.278709599999999</v>
      </c>
      <c r="W5387">
        <v>0.39907520000000002</v>
      </c>
      <c r="X5387">
        <v>0.87353309999999995</v>
      </c>
      <c r="Y5387">
        <v>-0.26025959999999998</v>
      </c>
      <c r="Z5387">
        <v>2.4415980000000001E-3</v>
      </c>
      <c r="AA5387">
        <v>0.96553560000000005</v>
      </c>
      <c r="AB5387">
        <v>34</v>
      </c>
      <c r="AC5387">
        <v>-7.0310999999999799</v>
      </c>
      <c r="AD5387">
        <v>-1.1178108997730001</v>
      </c>
      <c r="AE5387">
        <v>-3.4491000000000098</v>
      </c>
      <c r="AF5387">
        <v>-2.0696676089865198</v>
      </c>
      <c r="AG5387">
        <v>-1.1178108997730001</v>
      </c>
      <c r="AH5387">
        <v>7.3908372513196596</v>
      </c>
      <c r="AI5387">
        <v>98.286308198930897</v>
      </c>
      <c r="AJ5387">
        <v>105.64392268979201</v>
      </c>
      <c r="AK5387">
        <v>7.75612664252162</v>
      </c>
      <c r="AL5387">
        <v>66.479624173887004</v>
      </c>
      <c r="AM5387">
        <v>107.69581073424</v>
      </c>
      <c r="AN5387">
        <v>1.0000000665913999</v>
      </c>
    </row>
    <row r="5388" spans="1:40" x14ac:dyDescent="0.25">
      <c r="A5388" t="str">
        <f>"20190304164955140"</f>
        <v>20190304164955140</v>
      </c>
      <c r="B5388" t="str">
        <f>"1551689395131605"</f>
        <v>1551689395131605</v>
      </c>
      <c r="C5388" t="s">
        <v>40</v>
      </c>
      <c r="D5388">
        <v>4.6343310000000004</v>
      </c>
      <c r="E5388">
        <v>0.51639040000000003</v>
      </c>
      <c r="F5388" t="s">
        <v>48</v>
      </c>
      <c r="G5388">
        <v>-401.47300000000001</v>
      </c>
      <c r="H5388" s="1">
        <v>-4.9333779999999999E-6</v>
      </c>
      <c r="I5388">
        <v>137.29069999999999</v>
      </c>
      <c r="J5388">
        <v>-394.70400000000001</v>
      </c>
      <c r="K5388">
        <v>1.118034</v>
      </c>
      <c r="L5388">
        <v>140.65539999999999</v>
      </c>
      <c r="M5388">
        <v>-0.98173929999999998</v>
      </c>
      <c r="N5388">
        <v>-1.502386E-2</v>
      </c>
      <c r="O5388">
        <v>-0.1896378</v>
      </c>
      <c r="P5388">
        <v>-0.81176969999999904</v>
      </c>
      <c r="Q5388">
        <v>0.38995610000000003</v>
      </c>
      <c r="R5388">
        <v>-0.43470049999999999</v>
      </c>
      <c r="S5388">
        <v>-3.1227109999999998</v>
      </c>
      <c r="T5388">
        <v>-0.49246190000000001</v>
      </c>
      <c r="U5388">
        <v>-1.5116579999999999</v>
      </c>
      <c r="V5388">
        <v>-0.27968739999999997</v>
      </c>
      <c r="W5388">
        <v>0.39841270000000001</v>
      </c>
      <c r="X5388">
        <v>0.87352289999999999</v>
      </c>
      <c r="Y5388">
        <v>-0.25580219999999998</v>
      </c>
      <c r="Z5388">
        <v>3.9821880000000002E-3</v>
      </c>
      <c r="AA5388">
        <v>0.96672089999999999</v>
      </c>
      <c r="AB5388">
        <v>34</v>
      </c>
      <c r="AC5388">
        <v>-6.7690000000000001</v>
      </c>
      <c r="AD5388">
        <v>-1.1180389333780001</v>
      </c>
      <c r="AE5388">
        <v>-3.3646999999999898</v>
      </c>
      <c r="AF5388">
        <v>-1.9765876831792799</v>
      </c>
      <c r="AG5388">
        <v>-1.1180389333780001</v>
      </c>
      <c r="AH5388">
        <v>7.1283485479022497</v>
      </c>
      <c r="AI5388">
        <v>98.594702349182</v>
      </c>
      <c r="AJ5388">
        <v>105.49792262146001</v>
      </c>
      <c r="AK5388">
        <v>7.4813276192281002</v>
      </c>
      <c r="AL5388">
        <v>66.521013599682803</v>
      </c>
      <c r="AM5388">
        <v>107.75419523060999</v>
      </c>
      <c r="AN5388">
        <v>0.99999998903222898</v>
      </c>
    </row>
    <row r="5389" spans="1:40" x14ac:dyDescent="0.25">
      <c r="A5389" t="str">
        <f>"20190304164955158"</f>
        <v>20190304164955158</v>
      </c>
      <c r="B5389" t="str">
        <f>"1551689395151128"</f>
        <v>1551689395151128</v>
      </c>
      <c r="C5389" t="s">
        <v>40</v>
      </c>
      <c r="D5389">
        <v>4.5830489999999999</v>
      </c>
      <c r="E5389">
        <v>0.51694770000000001</v>
      </c>
      <c r="F5389" t="s">
        <v>48</v>
      </c>
      <c r="G5389">
        <v>-401.66059999999999</v>
      </c>
      <c r="H5389" s="1">
        <v>-4.9887220000000004E-6</v>
      </c>
      <c r="I5389">
        <v>137.23099999999999</v>
      </c>
      <c r="J5389">
        <v>-394.96420000000001</v>
      </c>
      <c r="K5389">
        <v>1.1182270000000001</v>
      </c>
      <c r="L5389">
        <v>140.59909999999999</v>
      </c>
      <c r="M5389">
        <v>-0.98047320000000004</v>
      </c>
      <c r="N5389">
        <v>-1.504636E-2</v>
      </c>
      <c r="O5389">
        <v>-0.19607649999999999</v>
      </c>
      <c r="P5389">
        <v>-0.80875140000000001</v>
      </c>
      <c r="Q5389">
        <v>0.39014490000000002</v>
      </c>
      <c r="R5389">
        <v>-0.44012309999999999</v>
      </c>
      <c r="S5389">
        <v>-3.115021</v>
      </c>
      <c r="T5389">
        <v>-0.50063000000000002</v>
      </c>
      <c r="U5389">
        <v>-1.5333399999999999</v>
      </c>
      <c r="V5389">
        <v>-0.28000920000000001</v>
      </c>
      <c r="W5389">
        <v>0.3984857</v>
      </c>
      <c r="X5389">
        <v>0.87338649999999995</v>
      </c>
      <c r="Y5389">
        <v>-0.25584499999999999</v>
      </c>
      <c r="Z5389">
        <v>4.9619470000000004E-3</v>
      </c>
      <c r="AA5389">
        <v>0.96670509999999998</v>
      </c>
      <c r="AB5389">
        <v>34</v>
      </c>
      <c r="AC5389">
        <v>-6.6963999999999801</v>
      </c>
      <c r="AD5389">
        <v>-1.118231988722</v>
      </c>
      <c r="AE5389">
        <v>-3.3680999999999899</v>
      </c>
      <c r="AF5389">
        <v>-1.9462358630883401</v>
      </c>
      <c r="AG5389">
        <v>-1.118231988722</v>
      </c>
      <c r="AH5389">
        <v>7.0695281495400604</v>
      </c>
      <c r="AI5389">
        <v>98.670957818252305</v>
      </c>
      <c r="AJ5389">
        <v>105.392190802117</v>
      </c>
      <c r="AK5389">
        <v>7.4173111753863896</v>
      </c>
      <c r="AL5389">
        <v>66.516453446108301</v>
      </c>
      <c r="AM5389">
        <v>107.77593892009099</v>
      </c>
      <c r="AN5389">
        <v>0.99999999178568999</v>
      </c>
    </row>
    <row r="5390" spans="1:40" x14ac:dyDescent="0.25">
      <c r="A5390" t="str">
        <f>"20190304164955173"</f>
        <v>20190304164955173</v>
      </c>
      <c r="B5390" t="str">
        <f>"1551689395171622"</f>
        <v>1551689395171622</v>
      </c>
      <c r="C5390" t="s">
        <v>40</v>
      </c>
      <c r="D5390">
        <v>4.3858779999999999</v>
      </c>
      <c r="E5390">
        <v>0.51727599999999996</v>
      </c>
      <c r="F5390" t="s">
        <v>48</v>
      </c>
      <c r="G5390">
        <v>-401.92570000000001</v>
      </c>
      <c r="H5390" s="1">
        <v>-5.0555250000000002E-6</v>
      </c>
      <c r="I5390">
        <v>137.1224</v>
      </c>
      <c r="J5390">
        <v>-395.19470000000001</v>
      </c>
      <c r="K5390">
        <v>1.1184000000000001</v>
      </c>
      <c r="L5390">
        <v>140.54759999999999</v>
      </c>
      <c r="M5390">
        <v>-0.97928419999999905</v>
      </c>
      <c r="N5390">
        <v>-1.5067270000000001E-2</v>
      </c>
      <c r="O5390">
        <v>-0.20192940000000001</v>
      </c>
      <c r="P5390">
        <v>-0.80515740000000002</v>
      </c>
      <c r="Q5390">
        <v>0.39089469999999998</v>
      </c>
      <c r="R5390">
        <v>-0.4460075</v>
      </c>
      <c r="S5390">
        <v>-3.1059269999999999</v>
      </c>
      <c r="T5390">
        <v>-0.4989094</v>
      </c>
      <c r="U5390">
        <v>-1.5511629999999901</v>
      </c>
      <c r="V5390">
        <v>-0.28141909999999998</v>
      </c>
      <c r="W5390">
        <v>0.3991053</v>
      </c>
      <c r="X5390">
        <v>0.87265009999999998</v>
      </c>
      <c r="Y5390">
        <v>-0.25569629999999999</v>
      </c>
      <c r="Z5390">
        <v>5.707864E-3</v>
      </c>
      <c r="AA5390">
        <v>0.9667403</v>
      </c>
      <c r="AB5390">
        <v>34</v>
      </c>
      <c r="AC5390">
        <v>-6.7309999999999901</v>
      </c>
      <c r="AD5390">
        <v>-1.118405055525</v>
      </c>
      <c r="AE5390">
        <v>-3.4251999999999798</v>
      </c>
      <c r="AF5390">
        <v>-1.9524670276284299</v>
      </c>
      <c r="AG5390">
        <v>-1.118405055525</v>
      </c>
      <c r="AH5390">
        <v>7.1277287849900004</v>
      </c>
      <c r="AI5390">
        <v>98.605503580455903</v>
      </c>
      <c r="AJ5390">
        <v>105.319002350961</v>
      </c>
      <c r="AK5390">
        <v>7.4744548292551203</v>
      </c>
      <c r="AL5390">
        <v>66.477740974540694</v>
      </c>
      <c r="AM5390">
        <v>107.873883506552</v>
      </c>
      <c r="AN5390">
        <v>0.99999997368145399</v>
      </c>
    </row>
    <row r="5391" spans="1:40" x14ac:dyDescent="0.25">
      <c r="A5391" t="str">
        <f>"20190304164955191"</f>
        <v>20190304164955191</v>
      </c>
      <c r="B5391" t="str">
        <f>"1551689395181381"</f>
        <v>1551689395181381</v>
      </c>
      <c r="C5391" t="s">
        <v>40</v>
      </c>
      <c r="D5391">
        <v>4.9121100000000002</v>
      </c>
      <c r="E5391">
        <v>0.48096240000000001</v>
      </c>
      <c r="F5391" t="s">
        <v>48</v>
      </c>
      <c r="G5391">
        <v>-402.14769999999999</v>
      </c>
      <c r="H5391" s="1">
        <v>-5.1065769999999999E-6</v>
      </c>
      <c r="I5391">
        <v>137.02080000000001</v>
      </c>
      <c r="J5391">
        <v>-395.44760000000002</v>
      </c>
      <c r="K5391">
        <v>1.1185889999999901</v>
      </c>
      <c r="L5391">
        <v>140.489</v>
      </c>
      <c r="M5391">
        <v>-0.97789780000000004</v>
      </c>
      <c r="N5391">
        <v>-1.509079E-2</v>
      </c>
      <c r="O5391">
        <v>-0.20853869999999999</v>
      </c>
      <c r="P5391">
        <v>-0.80148790000000003</v>
      </c>
      <c r="Q5391">
        <v>0.39162130000000001</v>
      </c>
      <c r="R5391">
        <v>-0.45194099999999998</v>
      </c>
      <c r="S5391">
        <v>-3.097534</v>
      </c>
      <c r="T5391">
        <v>-0.4982432</v>
      </c>
      <c r="U5391">
        <v>-1.5711520000000001</v>
      </c>
      <c r="V5391">
        <v>-0.2822384</v>
      </c>
      <c r="W5391">
        <v>0.39970679999999997</v>
      </c>
      <c r="X5391">
        <v>0.8721101</v>
      </c>
      <c r="Y5391">
        <v>-0.2552487</v>
      </c>
      <c r="Z5391">
        <v>6.5901800000000002E-3</v>
      </c>
      <c r="AA5391">
        <v>0.96685299999999996</v>
      </c>
      <c r="AB5391">
        <v>34</v>
      </c>
      <c r="AC5391">
        <v>-6.70009999999996</v>
      </c>
      <c r="AD5391">
        <v>-1.11859410657699</v>
      </c>
      <c r="AE5391">
        <v>-3.4681999999999902</v>
      </c>
      <c r="AF5391">
        <v>-1.95163949449667</v>
      </c>
      <c r="AG5391">
        <v>-1.11859410657699</v>
      </c>
      <c r="AH5391">
        <v>7.1195865781400398</v>
      </c>
      <c r="AI5391">
        <v>98.616205732105499</v>
      </c>
      <c r="AJ5391">
        <v>105.32950326173599</v>
      </c>
      <c r="AK5391">
        <v>7.4665026977414204</v>
      </c>
      <c r="AL5391">
        <v>66.440150424136803</v>
      </c>
      <c r="AM5391">
        <v>107.932982675102</v>
      </c>
      <c r="AN5391">
        <v>1.0000000334614001</v>
      </c>
    </row>
    <row r="5392" spans="1:40" x14ac:dyDescent="0.25">
      <c r="A5392" t="str">
        <f>"20190304164955206"</f>
        <v>20190304164955206</v>
      </c>
      <c r="B5392" t="str">
        <f>"1551689395200902"</f>
        <v>1551689395200902</v>
      </c>
      <c r="C5392" t="s">
        <v>40</v>
      </c>
      <c r="D5392">
        <v>4.6555540000000004</v>
      </c>
      <c r="E5392">
        <v>0.45311390000000001</v>
      </c>
      <c r="F5392" t="s">
        <v>48</v>
      </c>
      <c r="G5392">
        <v>-404.65989999999999</v>
      </c>
      <c r="H5392" s="1">
        <v>-5.13900999999999E-6</v>
      </c>
      <c r="I5392">
        <v>134.70429999999999</v>
      </c>
      <c r="J5392">
        <v>-395.678</v>
      </c>
      <c r="K5392">
        <v>1.1187549999999999</v>
      </c>
      <c r="L5392">
        <v>140.434</v>
      </c>
      <c r="M5392">
        <v>-0.97655890000000001</v>
      </c>
      <c r="N5392">
        <v>-1.5109300000000001E-2</v>
      </c>
      <c r="O5392">
        <v>-0.2147194</v>
      </c>
      <c r="P5392">
        <v>-0.79810419999999904</v>
      </c>
      <c r="Q5392">
        <v>0.39227390000000001</v>
      </c>
      <c r="R5392">
        <v>-0.45733049999999997</v>
      </c>
      <c r="S5392">
        <v>-2.8909609999999999</v>
      </c>
      <c r="T5392">
        <v>-0.35103179999999901</v>
      </c>
      <c r="U5392">
        <v>-1.8153379999999999</v>
      </c>
      <c r="V5392">
        <v>-0.28284480000000001</v>
      </c>
      <c r="W5392">
        <v>0.40024579999999998</v>
      </c>
      <c r="X5392">
        <v>0.8716663</v>
      </c>
      <c r="Y5392">
        <v>-0.33633689999999999</v>
      </c>
      <c r="Z5392">
        <v>-1.129269E-3</v>
      </c>
      <c r="AA5392">
        <v>0.94174100000000005</v>
      </c>
      <c r="AB5392">
        <v>34</v>
      </c>
      <c r="AC5392">
        <v>-8.9818999999999392</v>
      </c>
      <c r="AD5392">
        <v>-1.1187601390099999</v>
      </c>
      <c r="AE5392">
        <v>-5.7297000000000002</v>
      </c>
      <c r="AF5392">
        <v>-3.6272220951979199</v>
      </c>
      <c r="AG5392">
        <v>-1.1187601390099999</v>
      </c>
      <c r="AH5392">
        <v>9.8936750543231504</v>
      </c>
      <c r="AI5392">
        <v>96.0602848781608</v>
      </c>
      <c r="AJ5392">
        <v>110.133961508721</v>
      </c>
      <c r="AK5392">
        <v>10.596847194192501</v>
      </c>
      <c r="AL5392">
        <v>66.406454727809205</v>
      </c>
      <c r="AM5392">
        <v>107.977597692237</v>
      </c>
      <c r="AN5392">
        <v>1.00000000993018</v>
      </c>
    </row>
    <row r="5393" spans="1:40" x14ac:dyDescent="0.25">
      <c r="A5393" t="str">
        <f>"20190304164955221"</f>
        <v>20190304164955221</v>
      </c>
      <c r="B5393" t="str">
        <f>"1551689395211636"</f>
        <v>1551689395211636</v>
      </c>
      <c r="C5393" t="s">
        <v>40</v>
      </c>
      <c r="D5393">
        <v>4.6365829999999999</v>
      </c>
      <c r="E5393">
        <v>0.44639820000000002</v>
      </c>
      <c r="F5393" t="s">
        <v>48</v>
      </c>
      <c r="G5393">
        <v>-405.4923</v>
      </c>
      <c r="H5393" s="1">
        <v>-4.9507330000000002E-6</v>
      </c>
      <c r="I5393">
        <v>133.2372</v>
      </c>
      <c r="J5393">
        <v>-395.88189999999997</v>
      </c>
      <c r="K5393">
        <v>1.1189</v>
      </c>
      <c r="L5393">
        <v>140.38399999999999</v>
      </c>
      <c r="M5393">
        <v>-0.97531469999999998</v>
      </c>
      <c r="N5393">
        <v>-1.512257E-2</v>
      </c>
      <c r="O5393">
        <v>-0.22030130000000001</v>
      </c>
      <c r="P5393">
        <v>-0.79478289999999996</v>
      </c>
      <c r="Q5393">
        <v>0.39324690000000001</v>
      </c>
      <c r="R5393">
        <v>-0.4622523</v>
      </c>
      <c r="S5393">
        <v>-2.7554630000000002</v>
      </c>
      <c r="T5393">
        <v>-0.31410339999999998</v>
      </c>
      <c r="U5393">
        <v>-2.0205690000000001</v>
      </c>
      <c r="V5393">
        <v>-0.28351539999999997</v>
      </c>
      <c r="W5393">
        <v>0.40110990000000002</v>
      </c>
      <c r="X5393">
        <v>0.87105100000000002</v>
      </c>
      <c r="Y5393">
        <v>-0.39786919999999998</v>
      </c>
      <c r="Z5393">
        <v>-4.7523060000000004E-3</v>
      </c>
      <c r="AA5393">
        <v>0.91742990000000002</v>
      </c>
      <c r="AB5393">
        <v>34</v>
      </c>
      <c r="AC5393">
        <v>-9.6104000000000198</v>
      </c>
      <c r="AD5393">
        <v>-1.118904950733</v>
      </c>
      <c r="AE5393">
        <v>-7.1467999999999803</v>
      </c>
      <c r="AF5393">
        <v>-4.8117521155819096</v>
      </c>
      <c r="AG5393">
        <v>-1.118904950733</v>
      </c>
      <c r="AH5393">
        <v>10.854127690626401</v>
      </c>
      <c r="AI5393">
        <v>95.383681199400897</v>
      </c>
      <c r="AJ5393">
        <v>113.90822740096201</v>
      </c>
      <c r="AK5393">
        <v>11.925476704727799</v>
      </c>
      <c r="AL5393">
        <v>66.352417690346499</v>
      </c>
      <c r="AM5393">
        <v>108.02937292851701</v>
      </c>
      <c r="AN5393">
        <v>0.99999998925808398</v>
      </c>
    </row>
    <row r="5394" spans="1:40" x14ac:dyDescent="0.25">
      <c r="A5394" t="str">
        <f>"20190304164955241"</f>
        <v>20190304164955241</v>
      </c>
      <c r="B5394" t="str">
        <f>"1551689395231157"</f>
        <v>1551689395231157</v>
      </c>
      <c r="C5394" t="s">
        <v>40</v>
      </c>
      <c r="D5394">
        <v>4.588819</v>
      </c>
      <c r="E5394">
        <v>0.43775019999999998</v>
      </c>
      <c r="F5394" t="s">
        <v>41</v>
      </c>
      <c r="G5394">
        <v>-396.70389999999998</v>
      </c>
      <c r="H5394">
        <v>1.026457</v>
      </c>
      <c r="I5394">
        <v>139.75290000000001</v>
      </c>
      <c r="J5394">
        <v>-396.17669999999998</v>
      </c>
      <c r="K5394">
        <v>1.1191009999999999</v>
      </c>
      <c r="L5394">
        <v>140.30930000000001</v>
      </c>
      <c r="M5394">
        <v>-0.97340970000000004</v>
      </c>
      <c r="N5394">
        <v>-1.513392E-2</v>
      </c>
      <c r="O5394">
        <v>-0.22857069999999999</v>
      </c>
      <c r="P5394">
        <v>-0.79041169999999905</v>
      </c>
      <c r="Q5394">
        <v>0.39326329999999998</v>
      </c>
      <c r="R5394">
        <v>-0.46967379999999997</v>
      </c>
      <c r="S5394">
        <v>-2.7137150000000001</v>
      </c>
      <c r="T5394">
        <v>-0.30518319999999999</v>
      </c>
      <c r="U5394">
        <v>-2.0836790000000001</v>
      </c>
      <c r="V5394">
        <v>-0.28448849999999998</v>
      </c>
      <c r="W5394">
        <v>0.400974</v>
      </c>
      <c r="X5394">
        <v>0.87079629999999997</v>
      </c>
      <c r="Y5394">
        <v>-0.41033409999999898</v>
      </c>
      <c r="Z5394">
        <v>-4.8751280000000003E-3</v>
      </c>
      <c r="AA5394">
        <v>0.91192220000000002</v>
      </c>
      <c r="AB5394">
        <v>34</v>
      </c>
      <c r="AC5394">
        <v>-0.52719999999999301</v>
      </c>
      <c r="AD5394">
        <v>-9.2644000000000101E-2</v>
      </c>
      <c r="AE5394">
        <v>-0.55639999999999601</v>
      </c>
      <c r="AF5394">
        <v>-0.41508702792057001</v>
      </c>
      <c r="AG5394">
        <v>-9.2644000000000101E-2</v>
      </c>
      <c r="AH5394">
        <v>0.63121050191773298</v>
      </c>
      <c r="AI5394">
        <v>96.991395617233195</v>
      </c>
      <c r="AJ5394">
        <v>123.329110046618</v>
      </c>
      <c r="AK5394">
        <v>0.76112209875628301</v>
      </c>
      <c r="AL5394">
        <v>66.360918592475201</v>
      </c>
      <c r="AM5394">
        <v>108.09217634344</v>
      </c>
      <c r="AN5394">
        <v>1.00000002570096</v>
      </c>
    </row>
    <row r="5395" spans="1:40" x14ac:dyDescent="0.25">
      <c r="A5395" t="str">
        <f>"20190304164955264"</f>
        <v>20190304164955264</v>
      </c>
      <c r="B5395" t="str">
        <f>"1551689395261413"</f>
        <v>1551689395261413</v>
      </c>
      <c r="C5395" t="s">
        <v>40</v>
      </c>
      <c r="D5395">
        <v>4.5172290000000004</v>
      </c>
      <c r="E5395">
        <v>0.43129810000000002</v>
      </c>
      <c r="F5395" t="s">
        <v>41</v>
      </c>
      <c r="G5395">
        <v>-396.9785</v>
      </c>
      <c r="H5395">
        <v>1.027549</v>
      </c>
      <c r="I5395">
        <v>139.65549999999999</v>
      </c>
      <c r="J5395">
        <v>-396.49619999999999</v>
      </c>
      <c r="K5395">
        <v>1.1192869999999999</v>
      </c>
      <c r="L5395">
        <v>140.2251</v>
      </c>
      <c r="M5395">
        <v>-0.97120640000000003</v>
      </c>
      <c r="N5395">
        <v>-1.513103E-2</v>
      </c>
      <c r="O5395">
        <v>-0.23775869999999999</v>
      </c>
      <c r="P5395">
        <v>-0.78525330000000004</v>
      </c>
      <c r="Q5395">
        <v>0.39329930000000002</v>
      </c>
      <c r="R5395">
        <v>-0.47821819999999998</v>
      </c>
      <c r="S5395">
        <v>-2.658264</v>
      </c>
      <c r="T5395">
        <v>-0.30354029999999999</v>
      </c>
      <c r="U5395">
        <v>-2.1679529999999998</v>
      </c>
      <c r="V5395">
        <v>-0.28591830000000001</v>
      </c>
      <c r="W5395">
        <v>0.40083340000000001</v>
      </c>
      <c r="X5395">
        <v>0.87039259999999996</v>
      </c>
      <c r="Y5395">
        <v>-0.42833860000000001</v>
      </c>
      <c r="Z5395">
        <v>-5.2110580000000002E-3</v>
      </c>
      <c r="AA5395">
        <v>0.9036033</v>
      </c>
      <c r="AB5395">
        <v>34</v>
      </c>
      <c r="AC5395">
        <v>-0.482300000000009</v>
      </c>
      <c r="AD5395">
        <v>-9.1738000000000097E-2</v>
      </c>
      <c r="AE5395">
        <v>-0.56960000000000799</v>
      </c>
      <c r="AF5395">
        <v>-0.43205104841636699</v>
      </c>
      <c r="AG5395">
        <v>-9.1738000000000097E-2</v>
      </c>
      <c r="AH5395">
        <v>0.59492143381777596</v>
      </c>
      <c r="AI5395">
        <v>97.112060535064799</v>
      </c>
      <c r="AJ5395">
        <v>125.988357443825</v>
      </c>
      <c r="AK5395">
        <v>0.74095578916523797</v>
      </c>
      <c r="AL5395">
        <v>66.369710906842201</v>
      </c>
      <c r="AM5395">
        <v>108.18501500816799</v>
      </c>
      <c r="AN5395">
        <v>0.99999998348260399</v>
      </c>
    </row>
    <row r="5396" spans="1:40" x14ac:dyDescent="0.25">
      <c r="A5396" t="str">
        <f>"20190304164955286"</f>
        <v>20190304164955286</v>
      </c>
      <c r="B5396" t="str">
        <f>"1551689395280933"</f>
        <v>1551689395280933</v>
      </c>
      <c r="C5396" t="s">
        <v>40</v>
      </c>
      <c r="D5396">
        <v>4.4780889999999998</v>
      </c>
      <c r="E5396">
        <v>0.42918590000000001</v>
      </c>
      <c r="F5396" t="s">
        <v>41</v>
      </c>
      <c r="G5396">
        <v>-397.25970000000001</v>
      </c>
      <c r="H5396">
        <v>1.028319</v>
      </c>
      <c r="I5396">
        <v>139.56989999999999</v>
      </c>
      <c r="J5396">
        <v>-396.82209999999998</v>
      </c>
      <c r="K5396">
        <v>1.1194539999999999</v>
      </c>
      <c r="L5396">
        <v>140.13570000000001</v>
      </c>
      <c r="M5396">
        <v>-0.96881099999999998</v>
      </c>
      <c r="N5396">
        <v>-1.510941E-2</v>
      </c>
      <c r="O5396">
        <v>-0.2473398</v>
      </c>
      <c r="P5396">
        <v>-0.77873829999999999</v>
      </c>
      <c r="Q5396">
        <v>0.39312750000000002</v>
      </c>
      <c r="R5396">
        <v>-0.4888942</v>
      </c>
      <c r="S5396">
        <v>-2.6115719999999998</v>
      </c>
      <c r="T5396">
        <v>-0.3111428</v>
      </c>
      <c r="U5396">
        <v>-2.2409059999999998</v>
      </c>
      <c r="V5396">
        <v>-0.28937889999999999</v>
      </c>
      <c r="W5396">
        <v>0.40043230000000002</v>
      </c>
      <c r="X5396">
        <v>0.86943300000000001</v>
      </c>
      <c r="Y5396">
        <v>-0.44187599999999999</v>
      </c>
      <c r="Z5396">
        <v>-5.1953999999999898E-3</v>
      </c>
      <c r="AA5396">
        <v>0.89706109999999994</v>
      </c>
      <c r="AB5396">
        <v>34</v>
      </c>
      <c r="AC5396">
        <v>-0.43760000000003102</v>
      </c>
      <c r="AD5396">
        <v>-9.1135000000000202E-2</v>
      </c>
      <c r="AE5396">
        <v>-0.56580000000002395</v>
      </c>
      <c r="AF5396">
        <v>-0.432939338324134</v>
      </c>
      <c r="AG5396">
        <v>-9.1135000000000202E-2</v>
      </c>
      <c r="AH5396">
        <v>0.55495194878054599</v>
      </c>
      <c r="AI5396">
        <v>97.377627314346498</v>
      </c>
      <c r="AJ5396">
        <v>127.959161575203</v>
      </c>
      <c r="AK5396">
        <v>0.70972792276256502</v>
      </c>
      <c r="AL5396">
        <v>66.394792531726907</v>
      </c>
      <c r="AM5396">
        <v>108.40931708723799</v>
      </c>
      <c r="AN5396">
        <v>0.99999995806874897</v>
      </c>
    </row>
    <row r="5397" spans="1:40" x14ac:dyDescent="0.25">
      <c r="A5397" t="str">
        <f>"20190304164955308"</f>
        <v>20190304164955308</v>
      </c>
      <c r="B5397" t="str">
        <f>"1551689395301429"</f>
        <v>1551689395301429</v>
      </c>
      <c r="C5397" t="s">
        <v>40</v>
      </c>
      <c r="D5397">
        <v>4.4452429999999996</v>
      </c>
      <c r="E5397">
        <v>0.42789779999999999</v>
      </c>
      <c r="F5397" t="s">
        <v>41</v>
      </c>
      <c r="G5397">
        <v>-397.54579999999999</v>
      </c>
      <c r="H5397">
        <v>1.030319</v>
      </c>
      <c r="I5397">
        <v>139.4939</v>
      </c>
      <c r="J5397">
        <v>-397.13729999999998</v>
      </c>
      <c r="K5397">
        <v>1.119578</v>
      </c>
      <c r="L5397">
        <v>140.04589999999999</v>
      </c>
      <c r="M5397">
        <v>-0.9663562</v>
      </c>
      <c r="N5397">
        <v>-1.506735E-2</v>
      </c>
      <c r="O5397">
        <v>-0.25676589999999999</v>
      </c>
      <c r="P5397">
        <v>-0.77254979999999995</v>
      </c>
      <c r="Q5397">
        <v>0.3935418</v>
      </c>
      <c r="R5397">
        <v>-0.49828879999999998</v>
      </c>
      <c r="S5397">
        <v>-2.5774840000000001</v>
      </c>
      <c r="T5397">
        <v>-0.31744329999999998</v>
      </c>
      <c r="U5397">
        <v>-2.2859799999999999</v>
      </c>
      <c r="V5397">
        <v>-0.29165760000000002</v>
      </c>
      <c r="W5397">
        <v>0.40064729999999998</v>
      </c>
      <c r="X5397">
        <v>0.86857220000000002</v>
      </c>
      <c r="Y5397">
        <v>-0.44777410000000001</v>
      </c>
      <c r="Z5397">
        <v>-4.7114590000000003E-3</v>
      </c>
      <c r="AA5397">
        <v>0.89413430000000005</v>
      </c>
      <c r="AB5397">
        <v>34</v>
      </c>
      <c r="AC5397">
        <v>-0.40850000000000303</v>
      </c>
      <c r="AD5397">
        <v>-8.9258999999999894E-2</v>
      </c>
      <c r="AE5397">
        <v>-0.55199999999999205</v>
      </c>
      <c r="AF5397">
        <v>-0.42146779420396402</v>
      </c>
      <c r="AG5397">
        <v>-8.9258999999999894E-2</v>
      </c>
      <c r="AH5397">
        <v>0.52763786113350297</v>
      </c>
      <c r="AI5397">
        <v>97.529472217350701</v>
      </c>
      <c r="AJ5397">
        <v>128.61724151825399</v>
      </c>
      <c r="AK5397">
        <v>0.68117837835158301</v>
      </c>
      <c r="AL5397">
        <v>66.381350454358795</v>
      </c>
      <c r="AM5397">
        <v>108.561520934247</v>
      </c>
      <c r="AN5397">
        <v>1.00000004062394</v>
      </c>
    </row>
    <row r="5398" spans="1:40" x14ac:dyDescent="0.25">
      <c r="A5398" t="str">
        <f>"20190304164955330"</f>
        <v>20190304164955330</v>
      </c>
      <c r="B5398" t="str">
        <f>"1551689395320949"</f>
        <v>1551689395320949</v>
      </c>
      <c r="C5398" t="s">
        <v>40</v>
      </c>
      <c r="D5398">
        <v>4.4298260000000003</v>
      </c>
      <c r="E5398">
        <v>0.42712070000000002</v>
      </c>
      <c r="F5398" t="s">
        <v>41</v>
      </c>
      <c r="G5398">
        <v>-397.8304</v>
      </c>
      <c r="H5398">
        <v>1.0322639999999901</v>
      </c>
      <c r="I5398">
        <v>139.41419999999999</v>
      </c>
      <c r="J5398">
        <v>-397.44720000000001</v>
      </c>
      <c r="K5398">
        <v>1.119672</v>
      </c>
      <c r="L5398">
        <v>139.95419999999999</v>
      </c>
      <c r="M5398">
        <v>-0.96381300000000003</v>
      </c>
      <c r="N5398">
        <v>-1.5004409999999999E-2</v>
      </c>
      <c r="O5398">
        <v>-0.26615680000000003</v>
      </c>
      <c r="P5398">
        <v>-0.76668239999999999</v>
      </c>
      <c r="Q5398">
        <v>0.39358850000000001</v>
      </c>
      <c r="R5398">
        <v>-0.50723370000000001</v>
      </c>
      <c r="S5398">
        <v>-2.5490110000000001</v>
      </c>
      <c r="T5398">
        <v>-0.32110870000000002</v>
      </c>
      <c r="U5398">
        <v>-2.322098</v>
      </c>
      <c r="V5398">
        <v>-0.29343320000000001</v>
      </c>
      <c r="W5398">
        <v>0.40051179999999997</v>
      </c>
      <c r="X5398">
        <v>0.86803639999999904</v>
      </c>
      <c r="Y5398">
        <v>-0.45096960000000003</v>
      </c>
      <c r="Z5398">
        <v>-4.0526909999999998E-3</v>
      </c>
      <c r="AA5398">
        <v>0.89253009999999999</v>
      </c>
      <c r="AB5398">
        <v>34</v>
      </c>
      <c r="AC5398">
        <v>-0.38319999999998799</v>
      </c>
      <c r="AD5398">
        <v>-8.7408000000000097E-2</v>
      </c>
      <c r="AE5398">
        <v>-0.53999999999999204</v>
      </c>
      <c r="AF5398">
        <v>-0.41134682987000099</v>
      </c>
      <c r="AG5398">
        <v>-8.7408000000000097E-2</v>
      </c>
      <c r="AH5398">
        <v>0.50432730625619004</v>
      </c>
      <c r="AI5398">
        <v>97.649432199200206</v>
      </c>
      <c r="AJ5398">
        <v>129.201877235609</v>
      </c>
      <c r="AK5398">
        <v>0.65665242308524596</v>
      </c>
      <c r="AL5398">
        <v>66.389821740342001</v>
      </c>
      <c r="AM5398">
        <v>108.67743894426199</v>
      </c>
      <c r="AN5398">
        <v>0.99999996826321902</v>
      </c>
    </row>
    <row r="5399" spans="1:40" x14ac:dyDescent="0.25">
      <c r="A5399" t="str">
        <f>"20190304164955353"</f>
        <v>20190304164955353</v>
      </c>
      <c r="B5399" t="str">
        <f>"1551689395341445"</f>
        <v>1551689395341445</v>
      </c>
      <c r="C5399" t="s">
        <v>40</v>
      </c>
      <c r="D5399">
        <v>4.3718370000000002</v>
      </c>
      <c r="E5399">
        <v>0.42644650000000001</v>
      </c>
      <c r="F5399" t="s">
        <v>41</v>
      </c>
      <c r="G5399">
        <v>-398.1191</v>
      </c>
      <c r="H5399">
        <v>1.0330189999999999</v>
      </c>
      <c r="I5399">
        <v>139.327</v>
      </c>
      <c r="J5399">
        <v>-397.76850000000002</v>
      </c>
      <c r="K5399">
        <v>1.1197299999999999</v>
      </c>
      <c r="L5399">
        <v>139.85560000000001</v>
      </c>
      <c r="M5399">
        <v>-0.96104610000000001</v>
      </c>
      <c r="N5399">
        <v>-1.4920889999999999E-2</v>
      </c>
      <c r="O5399">
        <v>-0.27598489999999998</v>
      </c>
      <c r="P5399">
        <v>-0.76087859999999996</v>
      </c>
      <c r="Q5399">
        <v>0.39253080000000001</v>
      </c>
      <c r="R5399">
        <v>-0.51670430000000001</v>
      </c>
      <c r="S5399">
        <v>-2.5220639999999999</v>
      </c>
      <c r="T5399">
        <v>-0.32525599999999999</v>
      </c>
      <c r="U5399">
        <v>-2.3546909999999999</v>
      </c>
      <c r="V5399">
        <v>-0.29526639999999998</v>
      </c>
      <c r="W5399">
        <v>0.39927410000000002</v>
      </c>
      <c r="X5399">
        <v>0.86798500000000001</v>
      </c>
      <c r="Y5399">
        <v>-0.45278119999999999</v>
      </c>
      <c r="Z5399">
        <v>-3.2321720000000002E-3</v>
      </c>
      <c r="AA5399">
        <v>0.89161579999999996</v>
      </c>
      <c r="AB5399">
        <v>34</v>
      </c>
      <c r="AC5399">
        <v>-0.35059999999998498</v>
      </c>
      <c r="AD5399">
        <v>-8.6710999999999705E-2</v>
      </c>
      <c r="AE5399">
        <v>-0.52860000000001095</v>
      </c>
      <c r="AF5399">
        <v>-0.40374930298415401</v>
      </c>
      <c r="AG5399">
        <v>-8.6710999999999705E-2</v>
      </c>
      <c r="AH5399">
        <v>0.47402372329776499</v>
      </c>
      <c r="AI5399">
        <v>97.927899573492994</v>
      </c>
      <c r="AJ5399">
        <v>130.42266858987901</v>
      </c>
      <c r="AK5399">
        <v>0.62867383230914398</v>
      </c>
      <c r="AL5399">
        <v>66.467193370668099</v>
      </c>
      <c r="AM5399">
        <v>108.78699700751</v>
      </c>
      <c r="AN5399">
        <v>1.00000000706238</v>
      </c>
    </row>
    <row r="5400" spans="1:40" x14ac:dyDescent="0.25">
      <c r="A5400" t="str">
        <f>"20190304164955376"</f>
        <v>20190304164955376</v>
      </c>
      <c r="B5400" t="str">
        <f>"1551689395371701"</f>
        <v>1551689395371701</v>
      </c>
      <c r="C5400" t="s">
        <v>40</v>
      </c>
      <c r="D5400">
        <v>4.350676</v>
      </c>
      <c r="E5400">
        <v>0.42578349999999998</v>
      </c>
      <c r="F5400" t="s">
        <v>41</v>
      </c>
      <c r="G5400">
        <v>-398.44260000000003</v>
      </c>
      <c r="H5400">
        <v>1.029989</v>
      </c>
      <c r="I5400">
        <v>139.2097</v>
      </c>
      <c r="J5400">
        <v>-398.08679999999998</v>
      </c>
      <c r="K5400">
        <v>1.1197709999999901</v>
      </c>
      <c r="L5400">
        <v>139.75450000000001</v>
      </c>
      <c r="M5400">
        <v>-0.9581788</v>
      </c>
      <c r="N5400">
        <v>-1.4825970000000001E-2</v>
      </c>
      <c r="O5400">
        <v>-0.2857864</v>
      </c>
      <c r="P5400">
        <v>-0.75493299999999997</v>
      </c>
      <c r="Q5400">
        <v>0.39112669999999999</v>
      </c>
      <c r="R5400">
        <v>-0.52639959999999997</v>
      </c>
      <c r="S5400">
        <v>-2.492432</v>
      </c>
      <c r="T5400">
        <v>-0.33183259999999998</v>
      </c>
      <c r="U5400">
        <v>-2.387848</v>
      </c>
      <c r="V5400">
        <v>-0.29735230000000001</v>
      </c>
      <c r="W5400">
        <v>0.39769139999999997</v>
      </c>
      <c r="X5400">
        <v>0.86799950000000003</v>
      </c>
      <c r="Y5400">
        <v>-0.45513930000000002</v>
      </c>
      <c r="Z5400">
        <v>-2.3758780000000001E-3</v>
      </c>
      <c r="AA5400">
        <v>0.89041700000000001</v>
      </c>
      <c r="AB5400">
        <v>34</v>
      </c>
      <c r="AC5400">
        <v>-0.35580000000004403</v>
      </c>
      <c r="AD5400">
        <v>-8.9781999999999806E-2</v>
      </c>
      <c r="AE5400">
        <v>-0.54480000000000905</v>
      </c>
      <c r="AF5400">
        <v>-0.412525391561612</v>
      </c>
      <c r="AG5400">
        <v>-8.9781999999999806E-2</v>
      </c>
      <c r="AH5400">
        <v>0.48739187768539999</v>
      </c>
      <c r="AI5400">
        <v>98.003663742133</v>
      </c>
      <c r="AJ5400">
        <v>130.24436440333699</v>
      </c>
      <c r="AK5400">
        <v>0.64481691094508498</v>
      </c>
      <c r="AL5400">
        <v>66.566063798874197</v>
      </c>
      <c r="AM5400">
        <v>108.910022673886</v>
      </c>
      <c r="AN5400">
        <v>0.99999998597474904</v>
      </c>
    </row>
    <row r="5401" spans="1:40" x14ac:dyDescent="0.25">
      <c r="A5401" t="str">
        <f>"20190304164955398"</f>
        <v>20190304164955398</v>
      </c>
      <c r="B5401" t="str">
        <f>"1551689395391226"</f>
        <v>1551689395391226</v>
      </c>
      <c r="C5401" t="s">
        <v>40</v>
      </c>
      <c r="D5401">
        <v>4.3565849999999999</v>
      </c>
      <c r="E5401">
        <v>0.42548570000000002</v>
      </c>
      <c r="F5401" t="s">
        <v>41</v>
      </c>
      <c r="G5401">
        <v>-398.89659999999998</v>
      </c>
      <c r="H5401">
        <v>1.007895</v>
      </c>
      <c r="I5401">
        <v>138.95750000000001</v>
      </c>
      <c r="J5401">
        <v>-398.40769999999998</v>
      </c>
      <c r="K5401">
        <v>1.119801</v>
      </c>
      <c r="L5401">
        <v>139.64850000000001</v>
      </c>
      <c r="M5401">
        <v>-0.95516219999999996</v>
      </c>
      <c r="N5401">
        <v>-1.472241E-2</v>
      </c>
      <c r="O5401">
        <v>-0.2957166</v>
      </c>
      <c r="P5401">
        <v>-0.74870959999999998</v>
      </c>
      <c r="Q5401">
        <v>0.39126250000000001</v>
      </c>
      <c r="R5401">
        <v>-0.53511430000000004</v>
      </c>
      <c r="S5401">
        <v>-2.4612120000000002</v>
      </c>
      <c r="T5401">
        <v>-0.34002690000000002</v>
      </c>
      <c r="U5401">
        <v>-2.4220280000000001</v>
      </c>
      <c r="V5401">
        <v>-0.29848619999999998</v>
      </c>
      <c r="W5401">
        <v>0.39766770000000001</v>
      </c>
      <c r="X5401">
        <v>0.86762109999999903</v>
      </c>
      <c r="Y5401">
        <v>-0.45780090000000001</v>
      </c>
      <c r="Z5401">
        <v>-1.4535819999999999E-3</v>
      </c>
      <c r="AA5401">
        <v>0.8890536</v>
      </c>
      <c r="AB5401">
        <v>34</v>
      </c>
      <c r="AC5401">
        <v>-0.488900000000001</v>
      </c>
      <c r="AD5401">
        <v>-0.11190600000000001</v>
      </c>
      <c r="AE5401">
        <v>-0.69100000000000195</v>
      </c>
      <c r="AF5401">
        <v>-0.50664211915055102</v>
      </c>
      <c r="AG5401">
        <v>-0.11190600000000001</v>
      </c>
      <c r="AH5401">
        <v>0.65985886060179899</v>
      </c>
      <c r="AI5401">
        <v>97.661124381897096</v>
      </c>
      <c r="AJ5401">
        <v>127.517189905032</v>
      </c>
      <c r="AK5401">
        <v>0.83941819473255797</v>
      </c>
      <c r="AL5401">
        <v>66.567543924782896</v>
      </c>
      <c r="AM5401">
        <v>108.98466622916401</v>
      </c>
      <c r="AN5401">
        <v>0.99999999218947</v>
      </c>
    </row>
    <row r="5402" spans="1:40" x14ac:dyDescent="0.25">
      <c r="A5402" t="str">
        <f>"20190304164955420"</f>
        <v>20190304164955420</v>
      </c>
      <c r="B5402" t="str">
        <f>"1551689395410741"</f>
        <v>1551689395410741</v>
      </c>
      <c r="C5402" t="s">
        <v>40</v>
      </c>
      <c r="D5402">
        <v>4.3211149999999998</v>
      </c>
      <c r="E5402">
        <v>0.42519760000000001</v>
      </c>
      <c r="F5402" t="s">
        <v>41</v>
      </c>
      <c r="G5402">
        <v>-399.17860000000002</v>
      </c>
      <c r="H5402">
        <v>1.0116750000000001</v>
      </c>
      <c r="I5402">
        <v>138.87090000000001</v>
      </c>
      <c r="J5402">
        <v>-398.71170000000001</v>
      </c>
      <c r="K5402">
        <v>1.1198239999999999</v>
      </c>
      <c r="L5402">
        <v>139.54480000000001</v>
      </c>
      <c r="M5402">
        <v>-0.9521925</v>
      </c>
      <c r="N5402">
        <v>-1.462455E-2</v>
      </c>
      <c r="O5402">
        <v>-0.30514849999999999</v>
      </c>
      <c r="P5402">
        <v>-0.74264509999999995</v>
      </c>
      <c r="Q5402">
        <v>0.392291</v>
      </c>
      <c r="R5402">
        <v>-0.54275769999999901</v>
      </c>
      <c r="S5402">
        <v>-2.4315799999999999</v>
      </c>
      <c r="T5402">
        <v>-0.34100570000000002</v>
      </c>
      <c r="U5402">
        <v>-2.4534449999999999</v>
      </c>
      <c r="V5402">
        <v>-0.2990237</v>
      </c>
      <c r="W5402">
        <v>0.39856140000000001</v>
      </c>
      <c r="X5402">
        <v>0.86702570000000001</v>
      </c>
      <c r="Y5402">
        <v>-0.46013999999999999</v>
      </c>
      <c r="Z5402">
        <v>-6.6337729999999895E-4</v>
      </c>
      <c r="AA5402">
        <v>0.88784619999999903</v>
      </c>
      <c r="AB5402">
        <v>34</v>
      </c>
      <c r="AC5402">
        <v>-0.46690000000000897</v>
      </c>
      <c r="AD5402">
        <v>-0.108148999999999</v>
      </c>
      <c r="AE5402">
        <v>-0.67390000000000305</v>
      </c>
      <c r="AF5402">
        <v>-0.49072274945378203</v>
      </c>
      <c r="AG5402">
        <v>-0.108148999999999</v>
      </c>
      <c r="AH5402">
        <v>0.63916533155639699</v>
      </c>
      <c r="AI5402">
        <v>97.644010020894001</v>
      </c>
      <c r="AJ5402">
        <v>127.515452882617</v>
      </c>
      <c r="AK5402">
        <v>0.81304203095293803</v>
      </c>
      <c r="AL5402">
        <v>66.511723689809202</v>
      </c>
      <c r="AM5402">
        <v>109.028518890519</v>
      </c>
      <c r="AN5402">
        <v>0.99999996359606902</v>
      </c>
    </row>
    <row r="5403" spans="1:40" x14ac:dyDescent="0.25">
      <c r="A5403" t="str">
        <f>"20190304164955442"</f>
        <v>20190304164955442</v>
      </c>
      <c r="B5403" t="str">
        <f>"1551689395431237"</f>
        <v>1551689395431237</v>
      </c>
      <c r="C5403" t="s">
        <v>40</v>
      </c>
      <c r="D5403">
        <v>4.3270169999999997</v>
      </c>
      <c r="E5403">
        <v>0.42502610000000002</v>
      </c>
      <c r="F5403" t="s">
        <v>41</v>
      </c>
      <c r="G5403">
        <v>-399.4563</v>
      </c>
      <c r="H5403">
        <v>1.015269</v>
      </c>
      <c r="I5403">
        <v>138.77549999999999</v>
      </c>
      <c r="J5403">
        <v>-399.02659999999997</v>
      </c>
      <c r="K5403">
        <v>1.119848</v>
      </c>
      <c r="L5403">
        <v>139.43379999999999</v>
      </c>
      <c r="M5403">
        <v>-0.94900309999999999</v>
      </c>
      <c r="N5403">
        <v>-1.4527160000000001E-2</v>
      </c>
      <c r="O5403">
        <v>-0.31493199999999999</v>
      </c>
      <c r="P5403">
        <v>-0.73582829999999999</v>
      </c>
      <c r="Q5403">
        <v>0.39372620000000003</v>
      </c>
      <c r="R5403">
        <v>-0.55094169999999998</v>
      </c>
      <c r="S5403">
        <v>-2.4030149999999999</v>
      </c>
      <c r="T5403">
        <v>-0.3374124</v>
      </c>
      <c r="U5403">
        <v>-2.483139</v>
      </c>
      <c r="V5403">
        <v>-0.3000041</v>
      </c>
      <c r="W5403">
        <v>0.39985189999999998</v>
      </c>
      <c r="X5403">
        <v>0.86609239999999998</v>
      </c>
      <c r="Y5403">
        <v>-0.4616401</v>
      </c>
      <c r="Z5403">
        <v>1.142435E-4</v>
      </c>
      <c r="AA5403">
        <v>0.8870673</v>
      </c>
      <c r="AB5403">
        <v>34</v>
      </c>
      <c r="AC5403">
        <v>-0.42970000000002501</v>
      </c>
      <c r="AD5403">
        <v>-0.10457899999999901</v>
      </c>
      <c r="AE5403">
        <v>-0.658299999999997</v>
      </c>
      <c r="AF5403">
        <v>-0.480942840130967</v>
      </c>
      <c r="AG5403">
        <v>-0.10457899999999901</v>
      </c>
      <c r="AH5403">
        <v>0.60447387871812897</v>
      </c>
      <c r="AI5403">
        <v>97.710073009986004</v>
      </c>
      <c r="AJ5403">
        <v>128.507117111084</v>
      </c>
      <c r="AK5403">
        <v>0.77950718583395995</v>
      </c>
      <c r="AL5403">
        <v>66.431080231307206</v>
      </c>
      <c r="AM5403">
        <v>109.105476692675</v>
      </c>
      <c r="AN5403">
        <v>1.00000002364408</v>
      </c>
    </row>
    <row r="5404" spans="1:40" x14ac:dyDescent="0.25">
      <c r="A5404" t="str">
        <f>"20190304164955465"</f>
        <v>20190304164955465</v>
      </c>
      <c r="B5404" t="str">
        <f>"1551689395461493"</f>
        <v>1551689395461493</v>
      </c>
      <c r="C5404" t="s">
        <v>40</v>
      </c>
      <c r="D5404">
        <v>4.3058569999999996</v>
      </c>
      <c r="E5404">
        <v>0.42485519999999999</v>
      </c>
      <c r="F5404" t="s">
        <v>41</v>
      </c>
      <c r="G5404">
        <v>-399.7362</v>
      </c>
      <c r="H5404">
        <v>1.0204719999999901</v>
      </c>
      <c r="I5404">
        <v>138.68299999999999</v>
      </c>
      <c r="J5404">
        <v>-399.3347</v>
      </c>
      <c r="K5404">
        <v>1.1198619999999999</v>
      </c>
      <c r="L5404">
        <v>139.3218</v>
      </c>
      <c r="M5404">
        <v>-0.94576930000000003</v>
      </c>
      <c r="N5404">
        <v>-1.443301E-2</v>
      </c>
      <c r="O5404">
        <v>-0.32451819999999998</v>
      </c>
      <c r="P5404">
        <v>-0.72902270000000002</v>
      </c>
      <c r="Q5404">
        <v>0.39369490000000001</v>
      </c>
      <c r="R5404">
        <v>-0.55993769999999998</v>
      </c>
      <c r="S5404">
        <v>-2.373901</v>
      </c>
      <c r="T5404">
        <v>-0.33243660000000003</v>
      </c>
      <c r="U5404">
        <v>-2.512283</v>
      </c>
      <c r="V5404">
        <v>-0.30191390000000001</v>
      </c>
      <c r="W5404">
        <v>0.39966479999999999</v>
      </c>
      <c r="X5404">
        <v>0.86551489999999998</v>
      </c>
      <c r="Y5404">
        <v>-0.46329350000000002</v>
      </c>
      <c r="Z5404">
        <v>8.112881E-4</v>
      </c>
      <c r="AA5404">
        <v>0.88620449999999995</v>
      </c>
      <c r="AB5404">
        <v>34</v>
      </c>
      <c r="AC5404">
        <v>-0.40149999999999803</v>
      </c>
      <c r="AD5404">
        <v>-9.9390000000000298E-2</v>
      </c>
      <c r="AE5404">
        <v>-0.63880000000000303</v>
      </c>
      <c r="AF5404">
        <v>-0.465829318797293</v>
      </c>
      <c r="AG5404">
        <v>-9.9390000000000298E-2</v>
      </c>
      <c r="AH5404">
        <v>0.57707590273346199</v>
      </c>
      <c r="AI5404">
        <v>97.633059241760506</v>
      </c>
      <c r="AJ5404">
        <v>128.91128931208999</v>
      </c>
      <c r="AK5404">
        <v>0.74825926246642005</v>
      </c>
      <c r="AL5404">
        <v>66.442774786701193</v>
      </c>
      <c r="AM5404">
        <v>109.23008796922601</v>
      </c>
      <c r="AN5404">
        <v>0.99999999874712997</v>
      </c>
    </row>
    <row r="5405" spans="1:40" x14ac:dyDescent="0.25">
      <c r="A5405" t="str">
        <f>"20190304164955487"</f>
        <v>20190304164955487</v>
      </c>
      <c r="B5405" t="str">
        <f>"1551689395481013"</f>
        <v>1551689395481013</v>
      </c>
      <c r="C5405" t="s">
        <v>40</v>
      </c>
      <c r="D5405">
        <v>4.3034509999999999</v>
      </c>
      <c r="E5405">
        <v>0.4248229</v>
      </c>
      <c r="F5405" t="s">
        <v>41</v>
      </c>
      <c r="G5405">
        <v>-400.0136</v>
      </c>
      <c r="H5405">
        <v>1.022875</v>
      </c>
      <c r="I5405">
        <v>138.58519999999999</v>
      </c>
      <c r="J5405">
        <v>-399.65199999999999</v>
      </c>
      <c r="K5405">
        <v>1.1198920000000001</v>
      </c>
      <c r="L5405">
        <v>139.20269999999999</v>
      </c>
      <c r="M5405">
        <v>-0.94231710000000002</v>
      </c>
      <c r="N5405">
        <v>-1.4334990000000001E-2</v>
      </c>
      <c r="O5405">
        <v>-0.33441409999999899</v>
      </c>
      <c r="P5405">
        <v>-0.72196919999999898</v>
      </c>
      <c r="Q5405">
        <v>0.39367020000000003</v>
      </c>
      <c r="R5405">
        <v>-0.56902019999999998</v>
      </c>
      <c r="S5405">
        <v>-2.3432010000000001</v>
      </c>
      <c r="T5405">
        <v>-0.33473320000000001</v>
      </c>
      <c r="U5405">
        <v>-2.542252</v>
      </c>
      <c r="V5405">
        <v>-0.30371520000000002</v>
      </c>
      <c r="W5405">
        <v>0.39948129999999998</v>
      </c>
      <c r="X5405">
        <v>0.86496919999999899</v>
      </c>
      <c r="Y5405">
        <v>-0.46501550000000003</v>
      </c>
      <c r="Z5405">
        <v>1.7250119999999999E-3</v>
      </c>
      <c r="AA5405">
        <v>0.88530089999999995</v>
      </c>
      <c r="AB5405">
        <v>34</v>
      </c>
      <c r="AC5405">
        <v>-0.36160000000000903</v>
      </c>
      <c r="AD5405">
        <v>-9.7017000000000103E-2</v>
      </c>
      <c r="AE5405">
        <v>-0.61750000000000604</v>
      </c>
      <c r="AF5405">
        <v>-0.452683219519525</v>
      </c>
      <c r="AG5405">
        <v>-9.7017000000000103E-2</v>
      </c>
      <c r="AH5405">
        <v>0.53742042202083296</v>
      </c>
      <c r="AI5405">
        <v>97.861093130652094</v>
      </c>
      <c r="AJ5405">
        <v>130.10830809979601</v>
      </c>
      <c r="AK5405">
        <v>0.70933426924730802</v>
      </c>
      <c r="AL5405">
        <v>66.454243317014303</v>
      </c>
      <c r="AM5405">
        <v>109.347619853403</v>
      </c>
      <c r="AN5405">
        <v>0.99999997435468402</v>
      </c>
    </row>
    <row r="5406" spans="1:40" x14ac:dyDescent="0.25">
      <c r="A5406" t="str">
        <f>"20190304164955509"</f>
        <v>20190304164955509</v>
      </c>
      <c r="B5406" t="str">
        <f>"1551689395501509"</f>
        <v>1551689395501509</v>
      </c>
      <c r="C5406" t="s">
        <v>40</v>
      </c>
      <c r="D5406">
        <v>4.2926380000000002</v>
      </c>
      <c r="E5406">
        <v>0.42486190000000001</v>
      </c>
      <c r="F5406" t="s">
        <v>41</v>
      </c>
      <c r="G5406">
        <v>-400.29320000000001</v>
      </c>
      <c r="H5406">
        <v>1.02647</v>
      </c>
      <c r="I5406">
        <v>138.4898</v>
      </c>
      <c r="J5406">
        <v>-399.9554</v>
      </c>
      <c r="K5406">
        <v>1.119931</v>
      </c>
      <c r="L5406">
        <v>139.08519999999999</v>
      </c>
      <c r="M5406">
        <v>-0.93889500000000004</v>
      </c>
      <c r="N5406">
        <v>-1.423721E-2</v>
      </c>
      <c r="O5406">
        <v>-0.34390920000000003</v>
      </c>
      <c r="P5406">
        <v>-0.71530109999999902</v>
      </c>
      <c r="Q5406">
        <v>0.39333620000000002</v>
      </c>
      <c r="R5406">
        <v>-0.57760809999999996</v>
      </c>
      <c r="S5406">
        <v>-2.312195</v>
      </c>
      <c r="T5406">
        <v>-0.33691670000000001</v>
      </c>
      <c r="U5406">
        <v>-2.571609</v>
      </c>
      <c r="V5406">
        <v>-0.3052993</v>
      </c>
      <c r="W5406">
        <v>0.39899250000000003</v>
      </c>
      <c r="X5406">
        <v>0.86463709999999905</v>
      </c>
      <c r="Y5406">
        <v>-0.46702300000000002</v>
      </c>
      <c r="Z5406">
        <v>2.5982430000000001E-3</v>
      </c>
      <c r="AA5406">
        <v>0.88424139999999996</v>
      </c>
      <c r="AB5406">
        <v>34</v>
      </c>
      <c r="AC5406">
        <v>-0.33780000000001498</v>
      </c>
      <c r="AD5406">
        <v>-9.3461000000000002E-2</v>
      </c>
      <c r="AE5406">
        <v>-0.59539999999998305</v>
      </c>
      <c r="AF5406">
        <v>-0.43478595796189001</v>
      </c>
      <c r="AG5406">
        <v>-9.3461000000000002E-2</v>
      </c>
      <c r="AH5406">
        <v>0.51242350947094695</v>
      </c>
      <c r="AI5406">
        <v>97.917558618995898</v>
      </c>
      <c r="AJ5406">
        <v>130.314254506081</v>
      </c>
      <c r="AK5406">
        <v>0.67849218184173699</v>
      </c>
      <c r="AL5406">
        <v>66.484790019335406</v>
      </c>
      <c r="AM5406">
        <v>109.447887137202</v>
      </c>
      <c r="AN5406">
        <v>0.99999999616657398</v>
      </c>
    </row>
    <row r="5407" spans="1:40" x14ac:dyDescent="0.25">
      <c r="A5407" t="str">
        <f>"20190304164955531"</f>
        <v>20190304164955531</v>
      </c>
      <c r="B5407" t="str">
        <f>"1551689395521029"</f>
        <v>1551689395521029</v>
      </c>
      <c r="C5407" t="s">
        <v>40</v>
      </c>
      <c r="D5407">
        <v>4.2394540000000003</v>
      </c>
      <c r="E5407">
        <v>0.42501040000000001</v>
      </c>
      <c r="F5407" t="s">
        <v>41</v>
      </c>
      <c r="G5407">
        <v>-400.56849999999997</v>
      </c>
      <c r="H5407">
        <v>1.0287409999999999</v>
      </c>
      <c r="I5407">
        <v>138.38640000000001</v>
      </c>
      <c r="J5407">
        <v>-400.25810000000001</v>
      </c>
      <c r="K5407">
        <v>1.119974</v>
      </c>
      <c r="L5407">
        <v>138.96440000000001</v>
      </c>
      <c r="M5407">
        <v>-0.9353532</v>
      </c>
      <c r="N5407">
        <v>-1.413494E-2</v>
      </c>
      <c r="O5407">
        <v>-0.353433</v>
      </c>
      <c r="P5407">
        <v>-0.7084897</v>
      </c>
      <c r="Q5407">
        <v>0.39418330000000001</v>
      </c>
      <c r="R5407">
        <v>-0.58537309999999998</v>
      </c>
      <c r="S5407">
        <v>-2.2807010000000001</v>
      </c>
      <c r="T5407">
        <v>-0.33924470000000001</v>
      </c>
      <c r="U5407">
        <v>-2.6003720000000001</v>
      </c>
      <c r="V5407">
        <v>-0.3061779</v>
      </c>
      <c r="W5407">
        <v>0.39968550000000003</v>
      </c>
      <c r="X5407">
        <v>0.86400619999999995</v>
      </c>
      <c r="Y5407">
        <v>-0.46895490000000001</v>
      </c>
      <c r="Z5407">
        <v>3.5040750000000002E-3</v>
      </c>
      <c r="AA5407">
        <v>0.88321519999999998</v>
      </c>
      <c r="AB5407">
        <v>34</v>
      </c>
      <c r="AC5407">
        <v>-0.31039999999995799</v>
      </c>
      <c r="AD5407">
        <v>-9.1233000000000106E-2</v>
      </c>
      <c r="AE5407">
        <v>-0.57800000000000296</v>
      </c>
      <c r="AF5407">
        <v>-0.422795747648397</v>
      </c>
      <c r="AG5407">
        <v>-9.1233000000000106E-2</v>
      </c>
      <c r="AH5407">
        <v>0.485283116321088</v>
      </c>
      <c r="AI5407">
        <v>98.067826218914703</v>
      </c>
      <c r="AJ5407">
        <v>131.06352755534999</v>
      </c>
      <c r="AK5407">
        <v>0.65006107982625305</v>
      </c>
      <c r="AL5407">
        <v>66.441482447686795</v>
      </c>
      <c r="AM5407">
        <v>109.512800881655</v>
      </c>
      <c r="AN5407">
        <v>1.0000000594985401</v>
      </c>
    </row>
    <row r="5408" spans="1:40" x14ac:dyDescent="0.25">
      <c r="A5408" t="str">
        <f>"20190304164955554"</f>
        <v>20190304164955554</v>
      </c>
      <c r="B5408" t="str">
        <f>"1551689395541525"</f>
        <v>1551689395541525</v>
      </c>
      <c r="C5408" t="s">
        <v>40</v>
      </c>
      <c r="D5408">
        <v>4.2923879999999999</v>
      </c>
      <c r="E5408">
        <v>0.42513810000000002</v>
      </c>
      <c r="F5408" t="s">
        <v>41</v>
      </c>
      <c r="G5408">
        <v>-400.84350000000001</v>
      </c>
      <c r="H5408">
        <v>1.032491</v>
      </c>
      <c r="I5408">
        <v>138.2816</v>
      </c>
      <c r="J5408">
        <v>-400.5625</v>
      </c>
      <c r="K5408">
        <v>1.120034</v>
      </c>
      <c r="L5408">
        <v>138.83940000000001</v>
      </c>
      <c r="M5408">
        <v>-0.93165240000000005</v>
      </c>
      <c r="N5408">
        <v>-1.4030229999999999E-2</v>
      </c>
      <c r="O5408">
        <v>-0.36308010000000002</v>
      </c>
      <c r="P5408">
        <v>-0.70195439999999998</v>
      </c>
      <c r="Q5408">
        <v>0.39480559999999998</v>
      </c>
      <c r="R5408">
        <v>-0.59278059999999999</v>
      </c>
      <c r="S5408">
        <v>-2.2509160000000001</v>
      </c>
      <c r="T5408">
        <v>-0.33642440000000001</v>
      </c>
      <c r="U5408">
        <v>-2.6271819999999999</v>
      </c>
      <c r="V5408">
        <v>-0.30652439999999997</v>
      </c>
      <c r="W5408">
        <v>0.40015699999999998</v>
      </c>
      <c r="X5408">
        <v>0.86366500000000002</v>
      </c>
      <c r="Y5408">
        <v>-0.47010489999999999</v>
      </c>
      <c r="Z5408">
        <v>4.2970009999999999E-3</v>
      </c>
      <c r="AA5408">
        <v>0.8826001</v>
      </c>
      <c r="AB5408">
        <v>34</v>
      </c>
      <c r="AC5408">
        <v>-0.28100000000000502</v>
      </c>
      <c r="AD5408">
        <v>-8.7542999999999899E-2</v>
      </c>
      <c r="AE5408">
        <v>-0.55780000000001395</v>
      </c>
      <c r="AF5408">
        <v>-0.40964358564119602</v>
      </c>
      <c r="AG5408">
        <v>-8.7542999999999899E-2</v>
      </c>
      <c r="AH5408">
        <v>0.45541909227459798</v>
      </c>
      <c r="AI5408">
        <v>98.133422195185204</v>
      </c>
      <c r="AJ5408">
        <v>131.97097153913299</v>
      </c>
      <c r="AK5408">
        <v>0.61877151979886302</v>
      </c>
      <c r="AL5408">
        <v>66.412007136933696</v>
      </c>
      <c r="AM5408">
        <v>109.540344857235</v>
      </c>
      <c r="AN5408">
        <v>1.0000000323346701</v>
      </c>
    </row>
    <row r="5409" spans="1:40" x14ac:dyDescent="0.25">
      <c r="A5409" t="str">
        <f>"20190304164955577"</f>
        <v>20190304164955577</v>
      </c>
      <c r="B5409" t="str">
        <f>"1551689395570805"</f>
        <v>1551689395570805</v>
      </c>
      <c r="C5409" t="s">
        <v>40</v>
      </c>
      <c r="D5409">
        <v>4.3218329999999998</v>
      </c>
      <c r="E5409">
        <v>0.42535659999999997</v>
      </c>
      <c r="F5409" t="s">
        <v>41</v>
      </c>
      <c r="G5409">
        <v>-401.13069999999999</v>
      </c>
      <c r="H5409">
        <v>1.03443</v>
      </c>
      <c r="I5409">
        <v>138.16079999999999</v>
      </c>
      <c r="J5409">
        <v>-400.88350000000003</v>
      </c>
      <c r="K5409">
        <v>1.120104</v>
      </c>
      <c r="L5409">
        <v>138.70330000000001</v>
      </c>
      <c r="M5409">
        <v>-0.92758050000000003</v>
      </c>
      <c r="N5409">
        <v>-1.391567E-2</v>
      </c>
      <c r="O5409">
        <v>-0.37336439999999999</v>
      </c>
      <c r="P5409">
        <v>-0.69460080000000002</v>
      </c>
      <c r="Q5409">
        <v>0.39674110000000001</v>
      </c>
      <c r="R5409">
        <v>-0.600105</v>
      </c>
      <c r="S5409">
        <v>-2.2213750000000001</v>
      </c>
      <c r="T5409">
        <v>-0.3346499</v>
      </c>
      <c r="U5409">
        <v>-2.6532290000000001</v>
      </c>
      <c r="V5409">
        <v>-0.30655450000000001</v>
      </c>
      <c r="W5409">
        <v>0.40192090000000003</v>
      </c>
      <c r="X5409">
        <v>0.86283489999999996</v>
      </c>
      <c r="Y5409">
        <v>-0.47043380000000001</v>
      </c>
      <c r="Z5409">
        <v>5.237401E-3</v>
      </c>
      <c r="AA5409">
        <v>0.88241970000000003</v>
      </c>
      <c r="AB5409">
        <v>34</v>
      </c>
      <c r="AC5409">
        <v>-0.247199999999963</v>
      </c>
      <c r="AD5409">
        <v>-8.5674E-2</v>
      </c>
      <c r="AE5409">
        <v>-0.54250000000001797</v>
      </c>
      <c r="AF5409">
        <v>-0.40264112145730302</v>
      </c>
      <c r="AG5409">
        <v>-8.5674E-2</v>
      </c>
      <c r="AH5409">
        <v>0.42315092157950102</v>
      </c>
      <c r="AI5409">
        <v>98.344422348485395</v>
      </c>
      <c r="AJ5409">
        <v>133.57726475010699</v>
      </c>
      <c r="AK5409">
        <v>0.59035295323897197</v>
      </c>
      <c r="AL5409">
        <v>66.301683452815197</v>
      </c>
      <c r="AM5409">
        <v>109.55949260741301</v>
      </c>
      <c r="AN5409">
        <v>1.0000000679925301</v>
      </c>
    </row>
    <row r="5410" spans="1:40" x14ac:dyDescent="0.25">
      <c r="A5410" t="str">
        <f>"20190304164955599"</f>
        <v>20190304164955599</v>
      </c>
      <c r="B5410" t="str">
        <f>"1551689395591316"</f>
        <v>1551689395591316</v>
      </c>
      <c r="C5410" t="s">
        <v>40</v>
      </c>
      <c r="D5410">
        <v>4.3297850000000002</v>
      </c>
      <c r="E5410">
        <v>0.43216670000000001</v>
      </c>
      <c r="F5410" t="s">
        <v>41</v>
      </c>
      <c r="G5410">
        <v>-401.58780000000002</v>
      </c>
      <c r="H5410">
        <v>1.014351</v>
      </c>
      <c r="I5410">
        <v>137.84229999999999</v>
      </c>
      <c r="J5410">
        <v>-401.17500000000001</v>
      </c>
      <c r="K5410">
        <v>1.120182</v>
      </c>
      <c r="L5410">
        <v>138.57589999999999</v>
      </c>
      <c r="M5410">
        <v>-0.9237204</v>
      </c>
      <c r="N5410">
        <v>-1.380958E-2</v>
      </c>
      <c r="O5410">
        <v>-0.38281860000000001</v>
      </c>
      <c r="P5410">
        <v>-0.68865109999999996</v>
      </c>
      <c r="Q5410">
        <v>0.39802490000000001</v>
      </c>
      <c r="R5410">
        <v>-0.60608219999999902</v>
      </c>
      <c r="S5410">
        <v>-2.1916500000000001</v>
      </c>
      <c r="T5410">
        <v>-0.32909919999999998</v>
      </c>
      <c r="U5410">
        <v>-2.679932</v>
      </c>
      <c r="V5410">
        <v>-0.30558279999999999</v>
      </c>
      <c r="W5410">
        <v>0.4030685</v>
      </c>
      <c r="X5410">
        <v>0.86264419999999897</v>
      </c>
      <c r="Y5410">
        <v>-0.47165669999999998</v>
      </c>
      <c r="Z5410">
        <v>5.8669799999999999E-3</v>
      </c>
      <c r="AA5410">
        <v>0.88176270000000001</v>
      </c>
      <c r="AB5410">
        <v>33</v>
      </c>
      <c r="AC5410">
        <v>-0.412800000000004</v>
      </c>
      <c r="AD5410">
        <v>-0.10583099999999999</v>
      </c>
      <c r="AE5410">
        <v>-0.73359999999999503</v>
      </c>
      <c r="AF5410">
        <v>-0.511576933394705</v>
      </c>
      <c r="AG5410">
        <v>-0.10583099999999999</v>
      </c>
      <c r="AH5410">
        <v>0.651906111603616</v>
      </c>
      <c r="AI5410">
        <v>97.277961028881904</v>
      </c>
      <c r="AJ5410">
        <v>128.122702560448</v>
      </c>
      <c r="AK5410">
        <v>0.83539974724001298</v>
      </c>
      <c r="AL5410">
        <v>66.229855080873094</v>
      </c>
      <c r="AM5410">
        <v>109.506165209293</v>
      </c>
      <c r="AN5410">
        <v>1.0000000395708599</v>
      </c>
    </row>
    <row r="5411" spans="1:40" x14ac:dyDescent="0.25">
      <c r="A5411" t="str">
        <f>"20190304164955620"</f>
        <v>20190304164955620</v>
      </c>
      <c r="B5411" t="str">
        <f>"1551689395610822"</f>
        <v>1551689395610822</v>
      </c>
      <c r="C5411" t="s">
        <v>40</v>
      </c>
      <c r="D5411">
        <v>4.3478190000000003</v>
      </c>
      <c r="E5411">
        <v>0.432838</v>
      </c>
      <c r="F5411" t="s">
        <v>41</v>
      </c>
      <c r="G5411">
        <v>-401.86700000000002</v>
      </c>
      <c r="H5411">
        <v>0.9982839</v>
      </c>
      <c r="I5411">
        <v>137.74119999999999</v>
      </c>
      <c r="J5411">
        <v>-401.47089999999997</v>
      </c>
      <c r="K5411">
        <v>1.1202449999999999</v>
      </c>
      <c r="L5411">
        <v>138.4427</v>
      </c>
      <c r="M5411">
        <v>-0.91964230000000002</v>
      </c>
      <c r="N5411">
        <v>-1.3703949999999999E-2</v>
      </c>
      <c r="O5411">
        <v>-0.39251799999999998</v>
      </c>
      <c r="P5411">
        <v>-0.68213299999999999</v>
      </c>
      <c r="Q5411">
        <v>0.39863130000000002</v>
      </c>
      <c r="R5411">
        <v>-0.61301519999999898</v>
      </c>
      <c r="S5411">
        <v>-2.222321</v>
      </c>
      <c r="T5411">
        <v>-0.39148189999999999</v>
      </c>
      <c r="U5411">
        <v>-2.681854</v>
      </c>
      <c r="V5411">
        <v>-0.3054654</v>
      </c>
      <c r="W5411">
        <v>0.40351920000000002</v>
      </c>
      <c r="X5411">
        <v>0.86247499999999999</v>
      </c>
      <c r="Y5411">
        <v>-0.45646920000000002</v>
      </c>
      <c r="Z5411">
        <v>1.0669069999999999E-2</v>
      </c>
      <c r="AA5411">
        <v>0.88967529999999995</v>
      </c>
      <c r="AB5411">
        <v>33</v>
      </c>
      <c r="AC5411">
        <v>-0.39609999999998902</v>
      </c>
      <c r="AD5411">
        <v>-0.1219611</v>
      </c>
      <c r="AE5411">
        <v>-0.70150000000001</v>
      </c>
      <c r="AF5411">
        <v>-0.47872660788587701</v>
      </c>
      <c r="AG5411">
        <v>-0.1219611</v>
      </c>
      <c r="AH5411">
        <v>0.62534920552200302</v>
      </c>
      <c r="AI5411">
        <v>98.802937799226697</v>
      </c>
      <c r="AJ5411">
        <v>127.435314911497</v>
      </c>
      <c r="AK5411">
        <v>0.79694121731664103</v>
      </c>
      <c r="AL5411">
        <v>66.201633931808999</v>
      </c>
      <c r="AM5411">
        <v>109.502773404468</v>
      </c>
      <c r="AN5411">
        <v>0.9999999904954</v>
      </c>
    </row>
    <row r="5412" spans="1:40" x14ac:dyDescent="0.25">
      <c r="A5412" t="str">
        <f>"20190304164955644"</f>
        <v>20190304164955644</v>
      </c>
      <c r="B5412" t="str">
        <f>"1551689395631318"</f>
        <v>1551689395631318</v>
      </c>
      <c r="C5412" t="s">
        <v>40</v>
      </c>
      <c r="D5412">
        <v>4.3732579999999999</v>
      </c>
      <c r="E5412">
        <v>0.4331912</v>
      </c>
      <c r="F5412" t="s">
        <v>41</v>
      </c>
      <c r="G5412">
        <v>-402.13639999999998</v>
      </c>
      <c r="H5412">
        <v>1.0003359999999999</v>
      </c>
      <c r="I5412">
        <v>137.62430000000001</v>
      </c>
      <c r="J5412">
        <v>-401.77670000000001</v>
      </c>
      <c r="K5412">
        <v>1.1203110000000001</v>
      </c>
      <c r="L5412">
        <v>138.30109999999999</v>
      </c>
      <c r="M5412">
        <v>-0.91525230000000002</v>
      </c>
      <c r="N5412">
        <v>-1.359197E-2</v>
      </c>
      <c r="O5412">
        <v>-0.4026518</v>
      </c>
      <c r="P5412">
        <v>-0.67482149999999996</v>
      </c>
      <c r="Q5412">
        <v>0.3992193</v>
      </c>
      <c r="R5412">
        <v>-0.62067680000000003</v>
      </c>
      <c r="S5412">
        <v>-2.198639</v>
      </c>
      <c r="T5412">
        <v>-0.39620850000000002</v>
      </c>
      <c r="U5412">
        <v>-2.7049259999999999</v>
      </c>
      <c r="V5412">
        <v>-0.30591810000000003</v>
      </c>
      <c r="W5412">
        <v>0.4039297</v>
      </c>
      <c r="X5412">
        <v>0.86212239999999996</v>
      </c>
      <c r="Y5412">
        <v>-0.45509650000000001</v>
      </c>
      <c r="Z5412">
        <v>1.219114E-2</v>
      </c>
      <c r="AA5412">
        <v>0.89035869999999995</v>
      </c>
      <c r="AB5412">
        <v>33</v>
      </c>
      <c r="AC5412">
        <v>-0.35969999999997498</v>
      </c>
      <c r="AD5412">
        <v>-0.119974999999999</v>
      </c>
      <c r="AE5412">
        <v>-0.67679999999998497</v>
      </c>
      <c r="AF5412">
        <v>-0.46330057737504698</v>
      </c>
      <c r="AG5412">
        <v>-0.119974999999999</v>
      </c>
      <c r="AH5412">
        <v>0.58739377388615499</v>
      </c>
      <c r="AI5412">
        <v>99.110908335219506</v>
      </c>
      <c r="AJ5412">
        <v>128.26423410913199</v>
      </c>
      <c r="AK5412">
        <v>0.75767596716622299</v>
      </c>
      <c r="AL5412">
        <v>66.175927495633402</v>
      </c>
      <c r="AM5412">
        <v>109.53687333728899</v>
      </c>
      <c r="AN5412">
        <v>1.0000000595157199</v>
      </c>
    </row>
    <row r="5413" spans="1:40" x14ac:dyDescent="0.25">
      <c r="A5413" t="str">
        <f>"20190304164955667"</f>
        <v>20190304164955667</v>
      </c>
      <c r="B5413" t="str">
        <f>"1551689395661574"</f>
        <v>1551689395661574</v>
      </c>
      <c r="C5413" t="s">
        <v>40</v>
      </c>
      <c r="D5413">
        <v>4.3894650000000004</v>
      </c>
      <c r="E5413">
        <v>0.43296820000000003</v>
      </c>
      <c r="F5413" t="s">
        <v>41</v>
      </c>
      <c r="G5413">
        <v>-402.40750000000003</v>
      </c>
      <c r="H5413">
        <v>1.004454</v>
      </c>
      <c r="I5413">
        <v>137.50839999999999</v>
      </c>
      <c r="J5413">
        <v>-402.08839999999998</v>
      </c>
      <c r="K5413">
        <v>1.120382</v>
      </c>
      <c r="L5413">
        <v>138.1524</v>
      </c>
      <c r="M5413">
        <v>-0.91058930000000005</v>
      </c>
      <c r="N5413">
        <v>-1.3474679999999999E-2</v>
      </c>
      <c r="O5413">
        <v>-0.41309240000000003</v>
      </c>
      <c r="P5413">
        <v>-0.66691579999999995</v>
      </c>
      <c r="Q5413">
        <v>0.3996653</v>
      </c>
      <c r="R5413">
        <v>-0.62888069999999996</v>
      </c>
      <c r="S5413">
        <v>-2.1709290000000001</v>
      </c>
      <c r="T5413">
        <v>-0.39878930000000001</v>
      </c>
      <c r="U5413">
        <v>-2.7296299999999998</v>
      </c>
      <c r="V5413">
        <v>-0.30680950000000001</v>
      </c>
      <c r="W5413">
        <v>0.40418270000000001</v>
      </c>
      <c r="X5413">
        <v>0.86168690000000003</v>
      </c>
      <c r="Y5413">
        <v>-0.45443109999999998</v>
      </c>
      <c r="Z5413">
        <v>1.362466E-2</v>
      </c>
      <c r="AA5413">
        <v>0.89067770000000002</v>
      </c>
      <c r="AB5413">
        <v>34</v>
      </c>
      <c r="AC5413">
        <v>-0.31910000000004801</v>
      </c>
      <c r="AD5413">
        <v>-0.115927999999999</v>
      </c>
      <c r="AE5413">
        <v>-0.64400000000000501</v>
      </c>
      <c r="AF5413">
        <v>-0.443114592655525</v>
      </c>
      <c r="AG5413">
        <v>-0.115927999999999</v>
      </c>
      <c r="AH5413">
        <v>0.54253605587918596</v>
      </c>
      <c r="AI5413">
        <v>99.396934094246703</v>
      </c>
      <c r="AJ5413">
        <v>129.24012165237701</v>
      </c>
      <c r="AK5413">
        <v>0.71002479910015504</v>
      </c>
      <c r="AL5413">
        <v>66.160079425971304</v>
      </c>
      <c r="AM5413">
        <v>109.59861895683299</v>
      </c>
      <c r="AN5413">
        <v>1.00000001895057</v>
      </c>
    </row>
    <row r="5414" spans="1:40" x14ac:dyDescent="0.25">
      <c r="A5414" t="str">
        <f>"20190304164955688"</f>
        <v>20190304164955688</v>
      </c>
      <c r="B5414" t="str">
        <f>"1551689395681093"</f>
        <v>1551689395681093</v>
      </c>
      <c r="C5414" t="s">
        <v>40</v>
      </c>
      <c r="D5414">
        <v>4.392773</v>
      </c>
      <c r="E5414">
        <v>0.43320500000000001</v>
      </c>
      <c r="F5414" t="s">
        <v>41</v>
      </c>
      <c r="G5414">
        <v>-402.67849999999999</v>
      </c>
      <c r="H5414">
        <v>1.00869599999999</v>
      </c>
      <c r="I5414">
        <v>137.39099999999999</v>
      </c>
      <c r="J5414">
        <v>-402.37700000000001</v>
      </c>
      <c r="K5414">
        <v>1.1204499999999999</v>
      </c>
      <c r="L5414">
        <v>138.01079999999999</v>
      </c>
      <c r="M5414">
        <v>-0.90609910000000005</v>
      </c>
      <c r="N5414">
        <v>-1.336465E-2</v>
      </c>
      <c r="O5414">
        <v>-0.42285420000000001</v>
      </c>
      <c r="P5414">
        <v>-0.65885660000000001</v>
      </c>
      <c r="Q5414">
        <v>0.40033200000000002</v>
      </c>
      <c r="R5414">
        <v>-0.63690040000000003</v>
      </c>
      <c r="S5414">
        <v>-2.1387019999999999</v>
      </c>
      <c r="T5414">
        <v>-0.4047827</v>
      </c>
      <c r="U5414">
        <v>-2.7596129999999999</v>
      </c>
      <c r="V5414">
        <v>-0.30823840000000002</v>
      </c>
      <c r="W5414">
        <v>0.40465449999999997</v>
      </c>
      <c r="X5414">
        <v>0.86095519999999903</v>
      </c>
      <c r="Y5414">
        <v>-0.45607389999999998</v>
      </c>
      <c r="Z5414">
        <v>1.502354E-2</v>
      </c>
      <c r="AA5414">
        <v>0.88981509999999997</v>
      </c>
      <c r="AB5414">
        <v>34</v>
      </c>
      <c r="AC5414">
        <v>-0.30150000000003202</v>
      </c>
      <c r="AD5414">
        <v>-0.11175400000000001</v>
      </c>
      <c r="AE5414">
        <v>-0.61979999999999702</v>
      </c>
      <c r="AF5414">
        <v>-0.42302729293837099</v>
      </c>
      <c r="AG5414">
        <v>-0.11175400000000001</v>
      </c>
      <c r="AH5414">
        <v>0.52160890177459596</v>
      </c>
      <c r="AI5414">
        <v>99.447627235110801</v>
      </c>
      <c r="AJ5414">
        <v>129.04221635222899</v>
      </c>
      <c r="AK5414">
        <v>0.68082074990210595</v>
      </c>
      <c r="AL5414">
        <v>66.130522258365602</v>
      </c>
      <c r="AM5414">
        <v>109.698337066896</v>
      </c>
      <c r="AN5414">
        <v>1.0000000160059199</v>
      </c>
    </row>
    <row r="5415" spans="1:40" x14ac:dyDescent="0.25">
      <c r="A5415" t="str">
        <f>"20190304164955710"</f>
        <v>20190304164955710</v>
      </c>
      <c r="B5415" t="str">
        <f>"1551689395701589"</f>
        <v>1551689395701589</v>
      </c>
      <c r="C5415" t="s">
        <v>40</v>
      </c>
      <c r="D5415">
        <v>4.4136860000000002</v>
      </c>
      <c r="E5415">
        <v>0.43333460000000001</v>
      </c>
      <c r="F5415" t="s">
        <v>41</v>
      </c>
      <c r="G5415">
        <v>-402.94299999999998</v>
      </c>
      <c r="H5415">
        <v>1.011206</v>
      </c>
      <c r="I5415">
        <v>137.26349999999999</v>
      </c>
      <c r="J5415">
        <v>-402.66120000000001</v>
      </c>
      <c r="K5415">
        <v>1.1204970000000001</v>
      </c>
      <c r="L5415">
        <v>137.86750000000001</v>
      </c>
      <c r="M5415">
        <v>-0.90151939999999997</v>
      </c>
      <c r="N5415">
        <v>-1.325225E-2</v>
      </c>
      <c r="O5415">
        <v>-0.43253589999999997</v>
      </c>
      <c r="P5415">
        <v>-0.65012959999999997</v>
      </c>
      <c r="Q5415">
        <v>0.40123999999999999</v>
      </c>
      <c r="R5415">
        <v>-0.64524300000000001</v>
      </c>
      <c r="S5415">
        <v>-2.1081539999999999</v>
      </c>
      <c r="T5415">
        <v>-0.40699279999999999</v>
      </c>
      <c r="U5415">
        <v>-2.7852329999999998</v>
      </c>
      <c r="V5415">
        <v>-0.31032409999999999</v>
      </c>
      <c r="W5415">
        <v>0.40535120000000002</v>
      </c>
      <c r="X5415">
        <v>0.85987749999999996</v>
      </c>
      <c r="Y5415">
        <v>-0.45673079999999999</v>
      </c>
      <c r="Z5415">
        <v>1.6304619999999999E-2</v>
      </c>
      <c r="AA5415">
        <v>0.88945560000000001</v>
      </c>
      <c r="AB5415">
        <v>34</v>
      </c>
      <c r="AC5415">
        <v>-0.28180000000003202</v>
      </c>
      <c r="AD5415">
        <v>-0.109290999999999</v>
      </c>
      <c r="AE5415">
        <v>-0.60400000000001297</v>
      </c>
      <c r="AF5415">
        <v>-0.41159898079659601</v>
      </c>
      <c r="AG5415">
        <v>-0.109290999999999</v>
      </c>
      <c r="AH5415">
        <v>0.50185113326761299</v>
      </c>
      <c r="AI5415">
        <v>99.558122740216007</v>
      </c>
      <c r="AJ5415">
        <v>129.35728529059199</v>
      </c>
      <c r="AK5415">
        <v>0.65818903336031398</v>
      </c>
      <c r="AL5415">
        <v>66.086862448972795</v>
      </c>
      <c r="AM5415">
        <v>109.84417778771299</v>
      </c>
      <c r="AN5415">
        <v>0.99999997869424895</v>
      </c>
    </row>
    <row r="5416" spans="1:40" x14ac:dyDescent="0.25">
      <c r="A5416" t="str">
        <f>"20190304164955732"</f>
        <v>20190304164955732</v>
      </c>
      <c r="B5416" t="str">
        <f>"1551689395721109"</f>
        <v>1551689395721109</v>
      </c>
      <c r="C5416" t="s">
        <v>40</v>
      </c>
      <c r="D5416">
        <v>4.4275159999999998</v>
      </c>
      <c r="E5416">
        <v>0.43345339999999999</v>
      </c>
      <c r="F5416" t="s">
        <v>41</v>
      </c>
      <c r="G5416">
        <v>-403.20510000000002</v>
      </c>
      <c r="H5416">
        <v>1.013288</v>
      </c>
      <c r="I5416">
        <v>137.1302</v>
      </c>
      <c r="J5416">
        <v>-402.95479999999998</v>
      </c>
      <c r="K5416">
        <v>1.12053799999999</v>
      </c>
      <c r="L5416">
        <v>137.71549999999999</v>
      </c>
      <c r="M5416">
        <v>-0.89662529999999996</v>
      </c>
      <c r="N5416">
        <v>-1.3133189999999999E-2</v>
      </c>
      <c r="O5416">
        <v>-0.44259549999999998</v>
      </c>
      <c r="P5416">
        <v>-0.64139899999999905</v>
      </c>
      <c r="Q5416">
        <v>0.401503</v>
      </c>
      <c r="R5416">
        <v>-0.65376069999999997</v>
      </c>
      <c r="S5416">
        <v>-2.075348</v>
      </c>
      <c r="T5416">
        <v>-0.40902440000000001</v>
      </c>
      <c r="U5416">
        <v>-2.8127140000000002</v>
      </c>
      <c r="V5416">
        <v>-0.31219079999999999</v>
      </c>
      <c r="W5416">
        <v>0.4054122</v>
      </c>
      <c r="X5416">
        <v>0.85917279999999996</v>
      </c>
      <c r="Y5416">
        <v>-0.45769660000000001</v>
      </c>
      <c r="Z5416">
        <v>1.7615749999999999E-2</v>
      </c>
      <c r="AA5416">
        <v>0.88893389999999906</v>
      </c>
      <c r="AB5416">
        <v>34</v>
      </c>
      <c r="AC5416">
        <v>-0.25030000000003799</v>
      </c>
      <c r="AD5416">
        <v>-0.107249999999999</v>
      </c>
      <c r="AE5416">
        <v>-0.58529999999998905</v>
      </c>
      <c r="AF5416">
        <v>-0.40262021443097001</v>
      </c>
      <c r="AG5416">
        <v>-0.107249999999999</v>
      </c>
      <c r="AH5416">
        <v>0.47017202909165101</v>
      </c>
      <c r="AI5416">
        <v>99.829622434048105</v>
      </c>
      <c r="AJ5416">
        <v>130.57428111095001</v>
      </c>
      <c r="AK5416">
        <v>0.62822554588985002</v>
      </c>
      <c r="AL5416">
        <v>66.083040316522897</v>
      </c>
      <c r="AM5416">
        <v>109.96922444336801</v>
      </c>
      <c r="AN5416">
        <v>1.00000002388665</v>
      </c>
    </row>
    <row r="5417" spans="1:40" x14ac:dyDescent="0.25">
      <c r="A5417" t="str">
        <f>"20190304164955755"</f>
        <v>20190304164955755</v>
      </c>
      <c r="B5417" t="str">
        <f>"1551689395751366"</f>
        <v>1551689395751366</v>
      </c>
      <c r="C5417" t="s">
        <v>40</v>
      </c>
      <c r="D5417">
        <v>4.4277199999999999</v>
      </c>
      <c r="E5417">
        <v>0.43349179999999998</v>
      </c>
      <c r="F5417" t="s">
        <v>41</v>
      </c>
      <c r="G5417">
        <v>-403.49040000000002</v>
      </c>
      <c r="H5417">
        <v>1.0122679999999999</v>
      </c>
      <c r="I5417">
        <v>136.97040000000001</v>
      </c>
      <c r="J5417">
        <v>-403.24779999999998</v>
      </c>
      <c r="K5417">
        <v>1.1205769999999999</v>
      </c>
      <c r="L5417">
        <v>137.55959999999999</v>
      </c>
      <c r="M5417">
        <v>-0.89157900000000001</v>
      </c>
      <c r="N5417">
        <v>-1.3014390000000001E-2</v>
      </c>
      <c r="O5417">
        <v>-0.45267800000000002</v>
      </c>
      <c r="P5417">
        <v>-0.63210419999999901</v>
      </c>
      <c r="Q5417">
        <v>0.40278049999999999</v>
      </c>
      <c r="R5417">
        <v>-0.66197589999999995</v>
      </c>
      <c r="S5417">
        <v>-2.0401310000000001</v>
      </c>
      <c r="T5417">
        <v>-0.4124794</v>
      </c>
      <c r="U5417">
        <v>-2.840576</v>
      </c>
      <c r="V5417">
        <v>-0.31403449999999999</v>
      </c>
      <c r="W5417">
        <v>0.40648990000000002</v>
      </c>
      <c r="X5417">
        <v>0.8579909</v>
      </c>
      <c r="Y5417">
        <v>-0.45911370000000001</v>
      </c>
      <c r="Z5417">
        <v>1.9015500000000001E-2</v>
      </c>
      <c r="AA5417">
        <v>0.88817389999999996</v>
      </c>
      <c r="AB5417">
        <v>34</v>
      </c>
      <c r="AC5417">
        <v>-0.24260000000003801</v>
      </c>
      <c r="AD5417">
        <v>-0.108309</v>
      </c>
      <c r="AE5417">
        <v>-0.58919999999997597</v>
      </c>
      <c r="AF5417">
        <v>-0.40386505960045199</v>
      </c>
      <c r="AG5417">
        <v>-0.108309</v>
      </c>
      <c r="AH5417">
        <v>0.46949094099284899</v>
      </c>
      <c r="AI5417">
        <v>99.920143952873005</v>
      </c>
      <c r="AJ5417">
        <v>130.70274551465201</v>
      </c>
      <c r="AK5417">
        <v>0.62869672300834201</v>
      </c>
      <c r="AL5417">
        <v>66.0154754647983</v>
      </c>
      <c r="AM5417">
        <v>110.10320471072301</v>
      </c>
      <c r="AN5417">
        <v>1.0000000452375299</v>
      </c>
    </row>
    <row r="5418" spans="1:40" x14ac:dyDescent="0.25">
      <c r="A5418" t="str">
        <f>"20190304164955778"</f>
        <v>20190304164955778</v>
      </c>
      <c r="B5418" t="str">
        <f>"1551689395770885"</f>
        <v>1551689395770885</v>
      </c>
      <c r="C5418" t="s">
        <v>40</v>
      </c>
      <c r="D5418">
        <v>4.4556459999999998</v>
      </c>
      <c r="E5418">
        <v>0.43534329999999999</v>
      </c>
      <c r="F5418" t="s">
        <v>41</v>
      </c>
      <c r="G5418">
        <v>-403.78320000000002</v>
      </c>
      <c r="H5418">
        <v>1.0096510000000001</v>
      </c>
      <c r="I5418">
        <v>136.7944</v>
      </c>
      <c r="J5418">
        <v>-403.54649999999998</v>
      </c>
      <c r="K5418">
        <v>1.1205940000000001</v>
      </c>
      <c r="L5418">
        <v>137.39599999999999</v>
      </c>
      <c r="M5418">
        <v>-0.88626609999999995</v>
      </c>
      <c r="N5418">
        <v>-1.2892529999999999E-2</v>
      </c>
      <c r="O5418">
        <v>-0.4629972</v>
      </c>
      <c r="P5418">
        <v>-0.62331550000000002</v>
      </c>
      <c r="Q5418">
        <v>0.40306589999999998</v>
      </c>
      <c r="R5418">
        <v>-0.67008690000000004</v>
      </c>
      <c r="S5418">
        <v>-2.0068969999999999</v>
      </c>
      <c r="T5418">
        <v>-0.4158037</v>
      </c>
      <c r="U5418">
        <v>-2.8685909999999999</v>
      </c>
      <c r="V5418">
        <v>-0.31529849999999998</v>
      </c>
      <c r="W5418">
        <v>0.40660059999999998</v>
      </c>
      <c r="X5418">
        <v>0.85747469999999903</v>
      </c>
      <c r="Y5418">
        <v>-0.4598392</v>
      </c>
      <c r="Z5418">
        <v>2.049666E-2</v>
      </c>
      <c r="AA5418">
        <v>0.88776559999999904</v>
      </c>
      <c r="AB5418">
        <v>34</v>
      </c>
      <c r="AC5418">
        <v>-0.23670000000004099</v>
      </c>
      <c r="AD5418">
        <v>-0.110943</v>
      </c>
      <c r="AE5418">
        <v>-0.60160000000001901</v>
      </c>
      <c r="AF5418">
        <v>-0.41150290644420501</v>
      </c>
      <c r="AG5418">
        <v>-0.110943</v>
      </c>
      <c r="AH5418">
        <v>0.47438839432110302</v>
      </c>
      <c r="AI5418">
        <v>100.018612539081</v>
      </c>
      <c r="AJ5418">
        <v>130.93963799452499</v>
      </c>
      <c r="AK5418">
        <v>0.63772042458085199</v>
      </c>
      <c r="AL5418">
        <v>66.008532749918203</v>
      </c>
      <c r="AM5418">
        <v>110.18877250588</v>
      </c>
      <c r="AN5418">
        <v>1.00000002658134</v>
      </c>
    </row>
    <row r="5419" spans="1:40" x14ac:dyDescent="0.25">
      <c r="A5419" t="str">
        <f>"20190304164955799"</f>
        <v>20190304164955799</v>
      </c>
      <c r="B5419" t="str">
        <f>"1551689395791381"</f>
        <v>1551689395791381</v>
      </c>
      <c r="C5419" t="s">
        <v>40</v>
      </c>
      <c r="D5419">
        <v>4.4749749999999997</v>
      </c>
      <c r="E5419">
        <v>0.43465429999999999</v>
      </c>
      <c r="F5419" t="s">
        <v>48</v>
      </c>
      <c r="G5419">
        <v>-408.3349</v>
      </c>
      <c r="H5419" s="1">
        <v>-5.5876450000000003E-6</v>
      </c>
      <c r="I5419">
        <v>130.44829999999999</v>
      </c>
      <c r="J5419">
        <v>-403.82740000000001</v>
      </c>
      <c r="K5419">
        <v>1.1206069999999999</v>
      </c>
      <c r="L5419">
        <v>137.2381</v>
      </c>
      <c r="M5419">
        <v>-0.88112019999999902</v>
      </c>
      <c r="N5419">
        <v>-1.2773730000000001E-2</v>
      </c>
      <c r="O5419">
        <v>-0.47272019999999998</v>
      </c>
      <c r="P5419">
        <v>-0.61537969999999997</v>
      </c>
      <c r="Q5419">
        <v>0.40294950000000002</v>
      </c>
      <c r="R5419">
        <v>-0.67745109999999997</v>
      </c>
      <c r="S5419">
        <v>-1.9983219999999999</v>
      </c>
      <c r="T5419">
        <v>-0.46765960000000001</v>
      </c>
      <c r="U5419">
        <v>-2.8994749999999998</v>
      </c>
      <c r="V5419">
        <v>-0.31605939999999999</v>
      </c>
      <c r="W5419">
        <v>0.40633439999999998</v>
      </c>
      <c r="X5419">
        <v>0.85732070000000005</v>
      </c>
      <c r="Y5419">
        <v>-0.456258</v>
      </c>
      <c r="Z5419">
        <v>2.5616880000000002E-2</v>
      </c>
      <c r="AA5419">
        <v>0.88947869999999996</v>
      </c>
      <c r="AB5419">
        <v>34</v>
      </c>
      <c r="AC5419">
        <v>-4.5074999999999896</v>
      </c>
      <c r="AD5419">
        <v>-1.1206125876449999</v>
      </c>
      <c r="AE5419">
        <v>-6.7898000000000103</v>
      </c>
      <c r="AF5419">
        <v>-3.7806765581870598</v>
      </c>
      <c r="AG5419">
        <v>-1.1206125876449999</v>
      </c>
      <c r="AH5419">
        <v>7.0486419894632499</v>
      </c>
      <c r="AI5419">
        <v>97.9753361575969</v>
      </c>
      <c r="AJ5419">
        <v>118.207751646793</v>
      </c>
      <c r="AK5419">
        <v>8.0766726877370694</v>
      </c>
      <c r="AL5419">
        <v>66.025225063531906</v>
      </c>
      <c r="AM5419">
        <v>110.236886537412</v>
      </c>
      <c r="AN5419">
        <v>0.99999998580010496</v>
      </c>
    </row>
    <row r="5420" spans="1:40" x14ac:dyDescent="0.25">
      <c r="A5420" t="str">
        <f>"20190304164955822"</f>
        <v>20190304164955822</v>
      </c>
      <c r="B5420" t="str">
        <f>"1551689395810902"</f>
        <v>1551689395810902</v>
      </c>
      <c r="C5420" t="s">
        <v>40</v>
      </c>
      <c r="D5420">
        <v>4.4751719999999997</v>
      </c>
      <c r="E5420">
        <v>0.43455280000000002</v>
      </c>
      <c r="F5420" t="s">
        <v>48</v>
      </c>
      <c r="G5420">
        <v>-408.45909999999998</v>
      </c>
      <c r="H5420" s="1">
        <v>-5.62313E-6</v>
      </c>
      <c r="I5420">
        <v>130.34280000000001</v>
      </c>
      <c r="J5420">
        <v>-404.11939999999998</v>
      </c>
      <c r="K5420">
        <v>1.120625</v>
      </c>
      <c r="L5420">
        <v>137.06960000000001</v>
      </c>
      <c r="M5420">
        <v>-0.87561540000000004</v>
      </c>
      <c r="N5420">
        <v>-1.265201E-2</v>
      </c>
      <c r="O5420">
        <v>-0.48284369999999999</v>
      </c>
      <c r="P5420">
        <v>-0.60700759999999998</v>
      </c>
      <c r="Q5420">
        <v>0.40217629999999999</v>
      </c>
      <c r="R5420">
        <v>-0.685417099999999</v>
      </c>
      <c r="S5420">
        <v>-1.965363</v>
      </c>
      <c r="T5420">
        <v>-0.47550589999999998</v>
      </c>
      <c r="U5420">
        <v>-2.9258730000000002</v>
      </c>
      <c r="V5420">
        <v>-0.3171292</v>
      </c>
      <c r="W5420">
        <v>0.40540490000000001</v>
      </c>
      <c r="X5420">
        <v>0.85736569999999901</v>
      </c>
      <c r="Y5420">
        <v>-0.45668039999999999</v>
      </c>
      <c r="Z5420">
        <v>2.7631599999999999E-2</v>
      </c>
      <c r="AA5420">
        <v>0.88920159999999904</v>
      </c>
      <c r="AB5420">
        <v>34</v>
      </c>
      <c r="AC5420">
        <v>-4.3396999999999899</v>
      </c>
      <c r="AD5420">
        <v>-1.1206306231299901</v>
      </c>
      <c r="AE5420">
        <v>-6.7267999999999901</v>
      </c>
      <c r="AF5420">
        <v>-3.7220557201255402</v>
      </c>
      <c r="AG5420">
        <v>-1.1206306231299901</v>
      </c>
      <c r="AH5420">
        <v>6.9129918318506904</v>
      </c>
      <c r="AI5420">
        <v>98.123051598419394</v>
      </c>
      <c r="AJ5420">
        <v>118.29867076615299</v>
      </c>
      <c r="AK5420">
        <v>7.9308869519398897</v>
      </c>
      <c r="AL5420">
        <v>66.083497331553502</v>
      </c>
      <c r="AM5420">
        <v>110.298824155985</v>
      </c>
      <c r="AN5420">
        <v>1.0000000029865601</v>
      </c>
    </row>
    <row r="5421" spans="1:40" x14ac:dyDescent="0.25">
      <c r="A5421" t="str">
        <f>"20190304164955846"</f>
        <v>20190304164955846</v>
      </c>
      <c r="B5421" t="str">
        <f>"1551689395841158"</f>
        <v>1551689395841158</v>
      </c>
      <c r="C5421" t="s">
        <v>40</v>
      </c>
      <c r="D5421">
        <v>4.4956459999999998</v>
      </c>
      <c r="E5421">
        <v>0.43453750000000002</v>
      </c>
      <c r="F5421" t="s">
        <v>41</v>
      </c>
      <c r="G5421">
        <v>-404.685</v>
      </c>
      <c r="H5421">
        <v>0.9786513</v>
      </c>
      <c r="I5421">
        <v>136.20609999999999</v>
      </c>
      <c r="J5421">
        <v>-404.40710000000001</v>
      </c>
      <c r="K5421">
        <v>1.1206370000000001</v>
      </c>
      <c r="L5421">
        <v>136.89930000000001</v>
      </c>
      <c r="M5421">
        <v>-0.87004239999999999</v>
      </c>
      <c r="N5421">
        <v>-1.2537960000000001E-2</v>
      </c>
      <c r="O5421">
        <v>-0.49281730000000001</v>
      </c>
      <c r="P5421">
        <v>-0.59846960000000005</v>
      </c>
      <c r="Q5421">
        <v>0.40057110000000001</v>
      </c>
      <c r="R5421">
        <v>-0.69381309999999996</v>
      </c>
      <c r="S5421">
        <v>-1.9326779999999999</v>
      </c>
      <c r="T5421">
        <v>-0.48507339999999999</v>
      </c>
      <c r="U5421">
        <v>-2.9499050000000002</v>
      </c>
      <c r="V5421">
        <v>-0.31875579999999998</v>
      </c>
      <c r="W5421">
        <v>0.40364139999999998</v>
      </c>
      <c r="X5421">
        <v>0.85759449999999904</v>
      </c>
      <c r="Y5421">
        <v>-0.45678449999999998</v>
      </c>
      <c r="Z5421">
        <v>2.984682E-2</v>
      </c>
      <c r="AA5421">
        <v>0.88907649999999905</v>
      </c>
      <c r="AB5421">
        <v>34</v>
      </c>
      <c r="AC5421">
        <v>-0.27789999999998799</v>
      </c>
      <c r="AD5421">
        <v>-0.14198569999999999</v>
      </c>
      <c r="AE5421">
        <v>-0.69320000000001802</v>
      </c>
      <c r="AF5421">
        <v>-0.44993337993590299</v>
      </c>
      <c r="AG5421">
        <v>-0.14198569999999999</v>
      </c>
      <c r="AH5421">
        <v>0.56309854166314799</v>
      </c>
      <c r="AI5421">
        <v>101.14399180311899</v>
      </c>
      <c r="AJ5421">
        <v>128.62595057057601</v>
      </c>
      <c r="AK5421">
        <v>0.73462912616380704</v>
      </c>
      <c r="AL5421">
        <v>66.193981318136494</v>
      </c>
      <c r="AM5421">
        <v>110.389391478401</v>
      </c>
      <c r="AN5421">
        <v>0.99999998312892402</v>
      </c>
    </row>
    <row r="5422" spans="1:40" x14ac:dyDescent="0.25">
      <c r="A5422" t="str">
        <f>"20190304164955868"</f>
        <v>20190304164955868</v>
      </c>
      <c r="B5422" t="str">
        <f>"1551689395860767"</f>
        <v>1551689395860767</v>
      </c>
      <c r="C5422" t="s">
        <v>40</v>
      </c>
      <c r="D5422">
        <v>4.5211489999999896</v>
      </c>
      <c r="E5422">
        <v>0.43419970000000002</v>
      </c>
      <c r="F5422" t="s">
        <v>41</v>
      </c>
      <c r="G5422">
        <v>-404.94240000000002</v>
      </c>
      <c r="H5422">
        <v>0.98010549999999996</v>
      </c>
      <c r="I5422">
        <v>136.06110000000001</v>
      </c>
      <c r="J5422">
        <v>-404.69920000000002</v>
      </c>
      <c r="K5422">
        <v>1.120652</v>
      </c>
      <c r="L5422">
        <v>136.7218</v>
      </c>
      <c r="M5422">
        <v>-0.86422509999999997</v>
      </c>
      <c r="N5422">
        <v>-1.2427779999999999E-2</v>
      </c>
      <c r="O5422">
        <v>-0.50295179999999995</v>
      </c>
      <c r="P5422">
        <v>-0.58930709999999997</v>
      </c>
      <c r="Q5422">
        <v>0.39926109999999998</v>
      </c>
      <c r="R5422">
        <v>-0.70235879999999995</v>
      </c>
      <c r="S5422">
        <v>-1.899017</v>
      </c>
      <c r="T5422">
        <v>-0.49854389999999998</v>
      </c>
      <c r="U5422">
        <v>-2.9737399999999998</v>
      </c>
      <c r="V5422">
        <v>-0.32064160000000003</v>
      </c>
      <c r="W5422">
        <v>0.40216669999999999</v>
      </c>
      <c r="X5422">
        <v>0.85758440000000002</v>
      </c>
      <c r="Y5422">
        <v>-0.45682250000000002</v>
      </c>
      <c r="Z5422">
        <v>3.2475169999999998E-2</v>
      </c>
      <c r="AA5422">
        <v>0.88896489999999995</v>
      </c>
      <c r="AB5422">
        <v>34</v>
      </c>
      <c r="AC5422">
        <v>-0.243200000000001</v>
      </c>
      <c r="AD5422">
        <v>-0.14054649999999899</v>
      </c>
      <c r="AE5422">
        <v>-0.66069999999999096</v>
      </c>
      <c r="AF5422">
        <v>-0.43151374762890099</v>
      </c>
      <c r="AG5422">
        <v>-0.14054649999999899</v>
      </c>
      <c r="AH5422">
        <v>0.52172988011334798</v>
      </c>
      <c r="AI5422">
        <v>101.727159372839</v>
      </c>
      <c r="AJ5422">
        <v>129.59356134575199</v>
      </c>
      <c r="AK5422">
        <v>0.69149078147006204</v>
      </c>
      <c r="AL5422">
        <v>66.286301759632906</v>
      </c>
      <c r="AM5422">
        <v>110.500230449546</v>
      </c>
      <c r="AN5422">
        <v>1.0000000466814001</v>
      </c>
    </row>
    <row r="5423" spans="1:40" x14ac:dyDescent="0.25">
      <c r="A5423" t="str">
        <f>"20190304164955890"</f>
        <v>20190304164955890</v>
      </c>
      <c r="B5423" t="str">
        <f>"1551689395881263"</f>
        <v>1551689395881263</v>
      </c>
      <c r="C5423" t="s">
        <v>40</v>
      </c>
      <c r="D5423">
        <v>4.5446929999999996</v>
      </c>
      <c r="E5423">
        <v>0.43411070000000002</v>
      </c>
      <c r="F5423" t="s">
        <v>41</v>
      </c>
      <c r="G5423">
        <v>-405.19929999999999</v>
      </c>
      <c r="H5423">
        <v>0.98387349999999996</v>
      </c>
      <c r="I5423">
        <v>135.91550000000001</v>
      </c>
      <c r="J5423">
        <v>-404.97859999999997</v>
      </c>
      <c r="K5423">
        <v>1.1206609999999999</v>
      </c>
      <c r="L5423">
        <v>136.54769999999999</v>
      </c>
      <c r="M5423">
        <v>-0.85851299999999997</v>
      </c>
      <c r="N5423">
        <v>-1.2329680000000001E-2</v>
      </c>
      <c r="O5423">
        <v>-0.51264379999999998</v>
      </c>
      <c r="P5423">
        <v>-0.58073430000000004</v>
      </c>
      <c r="Q5423">
        <v>0.39817920000000001</v>
      </c>
      <c r="R5423">
        <v>-0.71007140000000002</v>
      </c>
      <c r="S5423">
        <v>-1.860779</v>
      </c>
      <c r="T5423">
        <v>-0.50890179999999996</v>
      </c>
      <c r="U5423">
        <v>-2.9993289999999999</v>
      </c>
      <c r="V5423">
        <v>-0.32193119999999997</v>
      </c>
      <c r="W5423">
        <v>0.40094780000000002</v>
      </c>
      <c r="X5423">
        <v>0.85767199999999999</v>
      </c>
      <c r="Y5423">
        <v>-0.45843909999999999</v>
      </c>
      <c r="Z5423">
        <v>3.4732480000000003E-2</v>
      </c>
      <c r="AA5423">
        <v>0.88804689999999997</v>
      </c>
      <c r="AB5423">
        <v>34</v>
      </c>
      <c r="AC5423">
        <v>-0.22070000000002199</v>
      </c>
      <c r="AD5423">
        <v>-0.13678750000000001</v>
      </c>
      <c r="AE5423">
        <v>-0.632199999999983</v>
      </c>
      <c r="AF5423">
        <v>-0.41243346249120699</v>
      </c>
      <c r="AG5423">
        <v>-0.13678750000000001</v>
      </c>
      <c r="AH5423">
        <v>0.49303229597904003</v>
      </c>
      <c r="AI5423">
        <v>102.013451388664</v>
      </c>
      <c r="AJ5423">
        <v>129.91329862843901</v>
      </c>
      <c r="AK5423">
        <v>0.65718568610180506</v>
      </c>
      <c r="AL5423">
        <v>66.362557783781497</v>
      </c>
      <c r="AM5423">
        <v>110.573859450225</v>
      </c>
      <c r="AN5423">
        <v>1.0000000477211299</v>
      </c>
    </row>
    <row r="5424" spans="1:40" x14ac:dyDescent="0.25">
      <c r="A5424" t="str">
        <f>"20190304164955911"</f>
        <v>20190304164955911</v>
      </c>
      <c r="B5424" t="str">
        <f>"1551689395900783"</f>
        <v>1551689395900783</v>
      </c>
      <c r="C5424" t="s">
        <v>40</v>
      </c>
      <c r="D5424">
        <v>4.5317999999999996</v>
      </c>
      <c r="E5424">
        <v>0.43399159999999998</v>
      </c>
      <c r="F5424" t="s">
        <v>41</v>
      </c>
      <c r="G5424">
        <v>-405.45209999999997</v>
      </c>
      <c r="H5424">
        <v>0.98628269999999996</v>
      </c>
      <c r="I5424">
        <v>135.76259999999999</v>
      </c>
      <c r="J5424">
        <v>-405.24450000000002</v>
      </c>
      <c r="K5424">
        <v>1.1206670000000001</v>
      </c>
      <c r="L5424">
        <v>136.37799999999999</v>
      </c>
      <c r="M5424">
        <v>-0.85294009999999998</v>
      </c>
      <c r="N5424">
        <v>-1.2244669999999999E-2</v>
      </c>
      <c r="O5424">
        <v>-0.52186509999999997</v>
      </c>
      <c r="P5424">
        <v>-0.57271890000000003</v>
      </c>
      <c r="Q5424">
        <v>0.39718789999999998</v>
      </c>
      <c r="R5424">
        <v>-0.71710189999999996</v>
      </c>
      <c r="S5424">
        <v>-1.8229679999999999</v>
      </c>
      <c r="T5424">
        <v>-0.51748859999999997</v>
      </c>
      <c r="U5424">
        <v>-3.0242460000000002</v>
      </c>
      <c r="V5424">
        <v>-0.32279600000000003</v>
      </c>
      <c r="W5424">
        <v>0.39984500000000001</v>
      </c>
      <c r="X5424">
        <v>0.85786180000000001</v>
      </c>
      <c r="Y5424">
        <v>-0.46028560000000002</v>
      </c>
      <c r="Z5424">
        <v>3.6795330000000001E-2</v>
      </c>
      <c r="AA5424">
        <v>0.88700809999999997</v>
      </c>
      <c r="AB5424">
        <v>34</v>
      </c>
      <c r="AC5424">
        <v>-0.20759999999995599</v>
      </c>
      <c r="AD5424">
        <v>-0.13438430000000001</v>
      </c>
      <c r="AE5424">
        <v>-0.61539999999999395</v>
      </c>
      <c r="AF5424">
        <v>-0.39948812480284901</v>
      </c>
      <c r="AG5424">
        <v>-0.13438430000000001</v>
      </c>
      <c r="AH5424">
        <v>0.477807185258525</v>
      </c>
      <c r="AI5424">
        <v>102.17612137413499</v>
      </c>
      <c r="AJ5424">
        <v>129.898539563432</v>
      </c>
      <c r="AK5424">
        <v>0.63714174893006403</v>
      </c>
      <c r="AL5424">
        <v>66.431512830301401</v>
      </c>
      <c r="AM5424">
        <v>110.62030106894299</v>
      </c>
      <c r="AN5424">
        <v>1.0000000747701101</v>
      </c>
    </row>
    <row r="5425" spans="1:40" x14ac:dyDescent="0.25">
      <c r="A5425" t="str">
        <f>"20190304164955933"</f>
        <v>20190304164955933</v>
      </c>
      <c r="B5425" t="str">
        <f>"1551689395931040"</f>
        <v>1551689395931040</v>
      </c>
      <c r="C5425" t="s">
        <v>40</v>
      </c>
      <c r="D5425">
        <v>4.5564330000000002</v>
      </c>
      <c r="E5425">
        <v>0.433645</v>
      </c>
      <c r="F5425" t="s">
        <v>41</v>
      </c>
      <c r="G5425">
        <v>-405.7002</v>
      </c>
      <c r="H5425">
        <v>0.987294</v>
      </c>
      <c r="I5425">
        <v>135.60040000000001</v>
      </c>
      <c r="J5425">
        <v>-405.52879999999999</v>
      </c>
      <c r="K5425">
        <v>1.1206769999999999</v>
      </c>
      <c r="L5425">
        <v>136.19220000000001</v>
      </c>
      <c r="M5425">
        <v>-0.84682950000000001</v>
      </c>
      <c r="N5425">
        <v>-1.215959E-2</v>
      </c>
      <c r="O5425">
        <v>-0.53172559999999902</v>
      </c>
      <c r="P5425">
        <v>-0.56400839999999997</v>
      </c>
      <c r="Q5425">
        <v>0.39625300000000002</v>
      </c>
      <c r="R5425">
        <v>-0.72448489999999999</v>
      </c>
      <c r="S5425">
        <v>-1.7854920000000001</v>
      </c>
      <c r="T5425">
        <v>-0.52259849999999997</v>
      </c>
      <c r="U5425">
        <v>-3.0469819999999999</v>
      </c>
      <c r="V5425">
        <v>-0.32364939999999998</v>
      </c>
      <c r="W5425">
        <v>0.39879750000000003</v>
      </c>
      <c r="X5425">
        <v>0.85802769999999995</v>
      </c>
      <c r="Y5425">
        <v>-0.46105639999999998</v>
      </c>
      <c r="Z5425">
        <v>3.8800849999999998E-2</v>
      </c>
      <c r="AA5425">
        <v>0.88652219999999904</v>
      </c>
      <c r="AB5425">
        <v>34</v>
      </c>
      <c r="AC5425">
        <v>-0.17140000000000499</v>
      </c>
      <c r="AD5425">
        <v>-0.133383</v>
      </c>
      <c r="AE5425">
        <v>-0.59180000000000599</v>
      </c>
      <c r="AF5425">
        <v>-0.39168885839376</v>
      </c>
      <c r="AG5425">
        <v>-0.133383</v>
      </c>
      <c r="AH5425">
        <v>0.43926847051419199</v>
      </c>
      <c r="AI5425">
        <v>102.76948865073599</v>
      </c>
      <c r="AJ5425">
        <v>131.72289121261801</v>
      </c>
      <c r="AK5425">
        <v>0.60346331758167804</v>
      </c>
      <c r="AL5425">
        <v>66.496973034161201</v>
      </c>
      <c r="AM5425">
        <v>110.666554436102</v>
      </c>
      <c r="AN5425">
        <v>0.999999957046949</v>
      </c>
    </row>
    <row r="5426" spans="1:40" x14ac:dyDescent="0.25">
      <c r="A5426" t="str">
        <f>"20190304164955957"</f>
        <v>20190304164955957</v>
      </c>
      <c r="B5426" t="str">
        <f>"1551689395951539"</f>
        <v>1551689395951539</v>
      </c>
      <c r="C5426" t="s">
        <v>40</v>
      </c>
      <c r="D5426">
        <v>4.5532019999999997</v>
      </c>
      <c r="E5426">
        <v>0.4336062</v>
      </c>
      <c r="F5426" t="s">
        <v>41</v>
      </c>
      <c r="G5426">
        <v>-405.98309999999998</v>
      </c>
      <c r="H5426">
        <v>0.98338040000000004</v>
      </c>
      <c r="I5426">
        <v>135.39240000000001</v>
      </c>
      <c r="J5426">
        <v>-405.80680000000001</v>
      </c>
      <c r="K5426">
        <v>1.1206940000000001</v>
      </c>
      <c r="L5426">
        <v>136.00569999999999</v>
      </c>
      <c r="M5426">
        <v>-0.84069649999999996</v>
      </c>
      <c r="N5426">
        <v>-1.208185E-2</v>
      </c>
      <c r="O5426">
        <v>-0.54137219999999997</v>
      </c>
      <c r="P5426">
        <v>-0.55551019999999995</v>
      </c>
      <c r="Q5426">
        <v>0.3960745</v>
      </c>
      <c r="R5426">
        <v>-0.73111819999999905</v>
      </c>
      <c r="S5426">
        <v>-1.7438959999999999</v>
      </c>
      <c r="T5426">
        <v>-0.52715089999999998</v>
      </c>
      <c r="U5426">
        <v>-3.0715479999999999</v>
      </c>
      <c r="V5426">
        <v>-0.32396009999999997</v>
      </c>
      <c r="W5426">
        <v>0.39852549999999998</v>
      </c>
      <c r="X5426">
        <v>0.85803689999999999</v>
      </c>
      <c r="Y5426">
        <v>-0.46308480000000002</v>
      </c>
      <c r="Z5426">
        <v>4.0650449999999998E-2</v>
      </c>
      <c r="AA5426">
        <v>0.88538130000000004</v>
      </c>
      <c r="AB5426">
        <v>34</v>
      </c>
      <c r="AC5426">
        <v>-0.17629999999996901</v>
      </c>
      <c r="AD5426">
        <v>-0.13731360000000001</v>
      </c>
      <c r="AE5426">
        <v>-0.61329999999998097</v>
      </c>
      <c r="AF5426">
        <v>-0.40159134894487603</v>
      </c>
      <c r="AG5426">
        <v>-0.13731360000000001</v>
      </c>
      <c r="AH5426">
        <v>0.45901978989877101</v>
      </c>
      <c r="AI5426">
        <v>102.68813531451799</v>
      </c>
      <c r="AJ5426">
        <v>131.18232180642499</v>
      </c>
      <c r="AK5426">
        <v>0.625163821578822</v>
      </c>
      <c r="AL5426">
        <v>66.513967852717997</v>
      </c>
      <c r="AM5426">
        <v>110.684512338348</v>
      </c>
      <c r="AN5426">
        <v>1.00000002115193</v>
      </c>
    </row>
    <row r="5427" spans="1:40" x14ac:dyDescent="0.25">
      <c r="A5427" t="str">
        <f>"20190304164955978"</f>
        <v>20190304164955978</v>
      </c>
      <c r="B5427" t="str">
        <f>"1551689395971058"</f>
        <v>1551689395971058</v>
      </c>
      <c r="C5427" t="s">
        <v>40</v>
      </c>
      <c r="D5427">
        <v>4.5299389999999997</v>
      </c>
      <c r="E5427">
        <v>0.43349910000000003</v>
      </c>
      <c r="F5427" t="s">
        <v>48</v>
      </c>
      <c r="G5427">
        <v>-409.41559999999998</v>
      </c>
      <c r="H5427" s="1">
        <v>-5.8910799999999997E-6</v>
      </c>
      <c r="I5427">
        <v>129.4735</v>
      </c>
      <c r="J5427">
        <v>-406.08479999999997</v>
      </c>
      <c r="K5427">
        <v>1.120711</v>
      </c>
      <c r="L5427">
        <v>135.8143</v>
      </c>
      <c r="M5427">
        <v>-0.83440349999999996</v>
      </c>
      <c r="N5427">
        <v>-1.2011310000000001E-2</v>
      </c>
      <c r="O5427">
        <v>-0.55102340000000005</v>
      </c>
      <c r="P5427">
        <v>-0.54733379999999998</v>
      </c>
      <c r="Q5427">
        <v>0.39622629999999998</v>
      </c>
      <c r="R5427">
        <v>-0.73717759999999999</v>
      </c>
      <c r="S5427">
        <v>-1.7085269999999999</v>
      </c>
      <c r="T5427">
        <v>-0.53057270000000001</v>
      </c>
      <c r="U5427">
        <v>-3.0925289999999999</v>
      </c>
      <c r="V5427">
        <v>-0.32358429999999999</v>
      </c>
      <c r="W5427">
        <v>0.39860909999999999</v>
      </c>
      <c r="X5427">
        <v>0.85813989999999996</v>
      </c>
      <c r="Y5427">
        <v>-0.46324409999999999</v>
      </c>
      <c r="Z5427">
        <v>4.2564119999999997E-2</v>
      </c>
      <c r="AA5427">
        <v>0.88520799999999999</v>
      </c>
      <c r="AB5427">
        <v>34</v>
      </c>
      <c r="AC5427">
        <v>-3.3308</v>
      </c>
      <c r="AD5427">
        <v>-1.1207168910800001</v>
      </c>
      <c r="AE5427">
        <v>-6.3407999999999998</v>
      </c>
      <c r="AF5427">
        <v>-3.3731002829783301</v>
      </c>
      <c r="AG5427">
        <v>-1.1207168910800001</v>
      </c>
      <c r="AH5427">
        <v>6.1236825128708503</v>
      </c>
      <c r="AI5427">
        <v>99.107217727708203</v>
      </c>
      <c r="AJ5427">
        <v>118.847236211629</v>
      </c>
      <c r="AK5427">
        <v>7.0804872281094298</v>
      </c>
      <c r="AL5427">
        <v>66.508745909933495</v>
      </c>
      <c r="AM5427">
        <v>110.66027525765099</v>
      </c>
      <c r="AN5427">
        <v>1.0000000508906499</v>
      </c>
    </row>
    <row r="5428" spans="1:40" x14ac:dyDescent="0.25">
      <c r="A5428" t="str">
        <f>"20190304164956000"</f>
        <v>20190304164956000</v>
      </c>
      <c r="B5428" t="str">
        <f>"1551689395991551"</f>
        <v>1551689395991551</v>
      </c>
      <c r="C5428" t="s">
        <v>40</v>
      </c>
      <c r="D5428">
        <v>4.551507</v>
      </c>
      <c r="E5428">
        <v>0.433365</v>
      </c>
      <c r="F5428" t="s">
        <v>48</v>
      </c>
      <c r="G5428">
        <v>-409.60849999999999</v>
      </c>
      <c r="H5428" s="1">
        <v>-5.9526840000000002E-6</v>
      </c>
      <c r="I5428">
        <v>129.2542</v>
      </c>
      <c r="J5428">
        <v>-406.34550000000002</v>
      </c>
      <c r="K5428">
        <v>1.1207240000000001</v>
      </c>
      <c r="L5428">
        <v>135.63069999999999</v>
      </c>
      <c r="M5428">
        <v>-0.82835569999999903</v>
      </c>
      <c r="N5428">
        <v>-1.1952320000000001E-2</v>
      </c>
      <c r="O5428">
        <v>-0.56007530000000005</v>
      </c>
      <c r="P5428">
        <v>-0.5397634</v>
      </c>
      <c r="Q5428">
        <v>0.39686589999999999</v>
      </c>
      <c r="R5428">
        <v>-0.74239690000000003</v>
      </c>
      <c r="S5428">
        <v>-1.6725159999999999</v>
      </c>
      <c r="T5428">
        <v>-0.53193819999999903</v>
      </c>
      <c r="U5428">
        <v>-3.1137239999999999</v>
      </c>
      <c r="V5428">
        <v>-0.32277109999999998</v>
      </c>
      <c r="W5428">
        <v>0.3992019</v>
      </c>
      <c r="X5428">
        <v>0.85817049999999995</v>
      </c>
      <c r="Y5428">
        <v>-0.46411439999999998</v>
      </c>
      <c r="Z5428">
        <v>4.413193E-2</v>
      </c>
      <c r="AA5428">
        <v>0.88467519999999999</v>
      </c>
      <c r="AB5428">
        <v>34</v>
      </c>
      <c r="AC5428">
        <v>-3.2629999999999701</v>
      </c>
      <c r="AD5428">
        <v>-1.120729952684</v>
      </c>
      <c r="AE5428">
        <v>-6.3764999999999903</v>
      </c>
      <c r="AF5428">
        <v>-3.3721768989482701</v>
      </c>
      <c r="AG5428">
        <v>-1.120729952684</v>
      </c>
      <c r="AH5428">
        <v>6.1247528766808799</v>
      </c>
      <c r="AI5428">
        <v>99.106691756980993</v>
      </c>
      <c r="AJ5428">
        <v>118.836376251338</v>
      </c>
      <c r="AK5428">
        <v>7.0809752481599704</v>
      </c>
      <c r="AL5428">
        <v>66.471704468445495</v>
      </c>
      <c r="AM5428">
        <v>110.612050951748</v>
      </c>
      <c r="AN5428">
        <v>0.99999997351453396</v>
      </c>
    </row>
    <row r="5429" spans="1:40" x14ac:dyDescent="0.25">
      <c r="A5429" t="str">
        <f>"20190304164956023"</f>
        <v>20190304164956023</v>
      </c>
      <c r="B5429" t="str">
        <f>"1551689396011071"</f>
        <v>1551689396011071</v>
      </c>
      <c r="C5429" t="s">
        <v>40</v>
      </c>
      <c r="D5429">
        <v>4.5172889999999999</v>
      </c>
      <c r="E5429">
        <v>0.43327789999999999</v>
      </c>
      <c r="F5429" t="s">
        <v>48</v>
      </c>
      <c r="G5429">
        <v>-409.80399999999997</v>
      </c>
      <c r="H5429" s="1">
        <v>-6.0000150000000004E-6</v>
      </c>
      <c r="I5429">
        <v>129.0231</v>
      </c>
      <c r="J5429">
        <v>-406.61840000000001</v>
      </c>
      <c r="K5429">
        <v>1.120743</v>
      </c>
      <c r="L5429">
        <v>135.43389999999999</v>
      </c>
      <c r="M5429">
        <v>-0.82186309999999996</v>
      </c>
      <c r="N5429">
        <v>-1.189813E-2</v>
      </c>
      <c r="O5429">
        <v>-0.56956059999999997</v>
      </c>
      <c r="P5429">
        <v>-0.53173749999999997</v>
      </c>
      <c r="Q5429">
        <v>0.39747130000000003</v>
      </c>
      <c r="R5429">
        <v>-0.74784469999999903</v>
      </c>
      <c r="S5429">
        <v>-1.6397710000000001</v>
      </c>
      <c r="T5429">
        <v>-0.53136589999999995</v>
      </c>
      <c r="U5429">
        <v>-3.1328130000000001</v>
      </c>
      <c r="V5429">
        <v>-0.321918599999999</v>
      </c>
      <c r="W5429">
        <v>0.3997637</v>
      </c>
      <c r="X5429">
        <v>0.85822919999999903</v>
      </c>
      <c r="Y5429">
        <v>-0.4634838</v>
      </c>
      <c r="Z5429">
        <v>4.5701110000000003E-2</v>
      </c>
      <c r="AA5429">
        <v>0.88492610000000005</v>
      </c>
      <c r="AB5429">
        <v>34</v>
      </c>
      <c r="AC5429">
        <v>-3.18560000000002</v>
      </c>
      <c r="AD5429">
        <v>-1.120749000015</v>
      </c>
      <c r="AE5429">
        <v>-6.4107999999999903</v>
      </c>
      <c r="AF5429">
        <v>-3.37200290531973</v>
      </c>
      <c r="AG5429">
        <v>-1.120749000015</v>
      </c>
      <c r="AH5429">
        <v>6.1199082282740704</v>
      </c>
      <c r="AI5429">
        <v>99.112389464565297</v>
      </c>
      <c r="AJ5429">
        <v>118.85428645330801</v>
      </c>
      <c r="AK5429">
        <v>7.0767053518580303</v>
      </c>
      <c r="AL5429">
        <v>66.436592450736896</v>
      </c>
      <c r="AM5429">
        <v>110.56088254791899</v>
      </c>
      <c r="AN5429">
        <v>0.99999998029814396</v>
      </c>
    </row>
    <row r="5430" spans="1:40" x14ac:dyDescent="0.25">
      <c r="A5430" t="str">
        <f>"20190304164956046"</f>
        <v>20190304164956046</v>
      </c>
      <c r="B5430" t="str">
        <f>"1551689396041327"</f>
        <v>1551689396041327</v>
      </c>
      <c r="C5430" t="s">
        <v>40</v>
      </c>
      <c r="D5430">
        <v>4.5511999999999997</v>
      </c>
      <c r="E5430">
        <v>0.4295892</v>
      </c>
      <c r="F5430" t="s">
        <v>48</v>
      </c>
      <c r="G5430">
        <v>-410.01229999999998</v>
      </c>
      <c r="H5430" s="1">
        <v>-6.0027820000000003E-6</v>
      </c>
      <c r="I5430">
        <v>128.76410000000001</v>
      </c>
      <c r="J5430">
        <v>-406.88889999999998</v>
      </c>
      <c r="K5430">
        <v>1.1207670000000001</v>
      </c>
      <c r="L5430">
        <v>135.23400000000001</v>
      </c>
      <c r="M5430">
        <v>-0.81525329999999996</v>
      </c>
      <c r="N5430">
        <v>-1.1852339999999999E-2</v>
      </c>
      <c r="O5430">
        <v>-0.57898349999999998</v>
      </c>
      <c r="P5430">
        <v>-0.52344709999999905</v>
      </c>
      <c r="Q5430">
        <v>0.39865479999999998</v>
      </c>
      <c r="R5430">
        <v>-0.75304550000000003</v>
      </c>
      <c r="S5430">
        <v>-1.6041559999999999</v>
      </c>
      <c r="T5430">
        <v>-0.52972359999999996</v>
      </c>
      <c r="U5430">
        <v>-3.152466</v>
      </c>
      <c r="V5430">
        <v>-0.32106430000000002</v>
      </c>
      <c r="W5430">
        <v>0.40090330000000002</v>
      </c>
      <c r="X5430">
        <v>0.85801759999999905</v>
      </c>
      <c r="Y5430">
        <v>-0.4635243</v>
      </c>
      <c r="Z5430">
        <v>4.7095970000000001E-2</v>
      </c>
      <c r="AA5430">
        <v>0.884831699999999</v>
      </c>
      <c r="AB5430">
        <v>34</v>
      </c>
      <c r="AC5430">
        <v>-3.1234000000000002</v>
      </c>
      <c r="AD5430">
        <v>-1.120773002782</v>
      </c>
      <c r="AE5430">
        <v>-6.4698999999999902</v>
      </c>
      <c r="AF5430">
        <v>-3.3840962780874602</v>
      </c>
      <c r="AG5430">
        <v>-1.120773002782</v>
      </c>
      <c r="AH5430">
        <v>6.1432632408976504</v>
      </c>
      <c r="AI5430">
        <v>99.078991808696898</v>
      </c>
      <c r="AJ5430">
        <v>118.848741480332</v>
      </c>
      <c r="AK5430">
        <v>7.1026701310207798</v>
      </c>
      <c r="AL5430">
        <v>66.365339005283403</v>
      </c>
      <c r="AM5430">
        <v>110.515504352864</v>
      </c>
      <c r="AN5430">
        <v>0.99999997129756901</v>
      </c>
    </row>
    <row r="5431" spans="1:40" x14ac:dyDescent="0.25">
      <c r="A5431" t="str">
        <f>"20190304164956068"</f>
        <v>20190304164956068</v>
      </c>
      <c r="B5431" t="str">
        <f>"1551689396060847"</f>
        <v>1551689396060847</v>
      </c>
      <c r="C5431" t="s">
        <v>40</v>
      </c>
      <c r="D5431">
        <v>4.5423530000000003</v>
      </c>
      <c r="E5431">
        <v>0.42913630000000003</v>
      </c>
      <c r="F5431" t="s">
        <v>48</v>
      </c>
      <c r="G5431">
        <v>-410.07100000000003</v>
      </c>
      <c r="H5431" s="1">
        <v>-5.9615149999999998E-6</v>
      </c>
      <c r="I5431">
        <v>128.6688</v>
      </c>
      <c r="J5431">
        <v>-407.16149999999999</v>
      </c>
      <c r="K5431">
        <v>1.1208100000000001</v>
      </c>
      <c r="L5431">
        <v>135.02780000000001</v>
      </c>
      <c r="M5431">
        <v>-0.80840029999999996</v>
      </c>
      <c r="N5431">
        <v>-1.181459E-2</v>
      </c>
      <c r="O5431">
        <v>-0.5885146</v>
      </c>
      <c r="P5431">
        <v>-0.51496569999999997</v>
      </c>
      <c r="Q5431">
        <v>0.40051809999999899</v>
      </c>
      <c r="R5431">
        <v>-0.75788869999999997</v>
      </c>
      <c r="S5431">
        <v>-1.5490109999999999</v>
      </c>
      <c r="T5431">
        <v>-0.54557469999999997</v>
      </c>
      <c r="U5431">
        <v>-3.195862</v>
      </c>
      <c r="V5431">
        <v>-0.31991029999999998</v>
      </c>
      <c r="W5431">
        <v>0.40272590000000003</v>
      </c>
      <c r="X5431">
        <v>0.85759509999999906</v>
      </c>
      <c r="Y5431">
        <v>-0.47026059999999997</v>
      </c>
      <c r="Z5431">
        <v>4.9633749999999997E-2</v>
      </c>
      <c r="AA5431">
        <v>0.88113079999999999</v>
      </c>
      <c r="AB5431">
        <v>34</v>
      </c>
      <c r="AC5431">
        <v>-2.9094999999999702</v>
      </c>
      <c r="AD5431">
        <v>-1.120815961515</v>
      </c>
      <c r="AE5431">
        <v>-6.359</v>
      </c>
      <c r="AF5431">
        <v>-3.3427038995223599</v>
      </c>
      <c r="AG5431">
        <v>-1.120815961515</v>
      </c>
      <c r="AH5431">
        <v>5.94218350619653</v>
      </c>
      <c r="AI5431">
        <v>99.335586481222606</v>
      </c>
      <c r="AJ5431">
        <v>119.35940652219099</v>
      </c>
      <c r="AK5431">
        <v>6.9093735317163798</v>
      </c>
      <c r="AL5431">
        <v>66.251302714505499</v>
      </c>
      <c r="AM5431">
        <v>110.457118139028</v>
      </c>
      <c r="AN5431">
        <v>1.00000005306045</v>
      </c>
    </row>
    <row r="5432" spans="1:40" x14ac:dyDescent="0.25">
      <c r="A5432" t="str">
        <f>"20190304164956090"</f>
        <v>20190304164956090</v>
      </c>
      <c r="B5432" t="str">
        <f>"1551689396081344"</f>
        <v>1551689396081344</v>
      </c>
      <c r="C5432" t="s">
        <v>40</v>
      </c>
      <c r="D5432">
        <v>4.5255780000000003</v>
      </c>
      <c r="E5432">
        <v>0.42858540000000001</v>
      </c>
      <c r="F5432" t="s">
        <v>48</v>
      </c>
      <c r="G5432">
        <v>-410.3005</v>
      </c>
      <c r="H5432" s="1">
        <v>-5.8141799999999996E-6</v>
      </c>
      <c r="I5432">
        <v>128.3364</v>
      </c>
      <c r="J5432">
        <v>-407.41860000000003</v>
      </c>
      <c r="K5432">
        <v>1.120865</v>
      </c>
      <c r="L5432">
        <v>134.82859999999999</v>
      </c>
      <c r="M5432">
        <v>-0.80174230000000002</v>
      </c>
      <c r="N5432">
        <v>-1.178679E-2</v>
      </c>
      <c r="O5432">
        <v>-0.59755360000000002</v>
      </c>
      <c r="P5432">
        <v>-0.50696149999999995</v>
      </c>
      <c r="Q5432">
        <v>0.40273209999999998</v>
      </c>
      <c r="R5432">
        <v>-0.76210049999999996</v>
      </c>
      <c r="S5432">
        <v>-1.5094299999999901</v>
      </c>
      <c r="T5432">
        <v>-0.53894830000000005</v>
      </c>
      <c r="U5432">
        <v>-3.2175750000000001</v>
      </c>
      <c r="V5432">
        <v>-0.31847799999999998</v>
      </c>
      <c r="W5432">
        <v>0.40490609999999999</v>
      </c>
      <c r="X5432">
        <v>0.85710140000000001</v>
      </c>
      <c r="Y5432">
        <v>-0.47158240000000001</v>
      </c>
      <c r="Z5432">
        <v>5.0325599999999998E-2</v>
      </c>
      <c r="AA5432">
        <v>0.88038479999999997</v>
      </c>
      <c r="AB5432">
        <v>34</v>
      </c>
      <c r="AC5432">
        <v>-2.8818999999999702</v>
      </c>
      <c r="AD5432">
        <v>-1.1208708141799999</v>
      </c>
      <c r="AE5432">
        <v>-6.4921999999999898</v>
      </c>
      <c r="AF5432">
        <v>-3.3985955311979699</v>
      </c>
      <c r="AG5432">
        <v>-1.1208708141799999</v>
      </c>
      <c r="AH5432">
        <v>6.0400070504549799</v>
      </c>
      <c r="AI5432">
        <v>99.186877914544198</v>
      </c>
      <c r="AJ5432">
        <v>119.365618773036</v>
      </c>
      <c r="AK5432">
        <v>7.0205760544491902</v>
      </c>
      <c r="AL5432">
        <v>66.114756933227994</v>
      </c>
      <c r="AM5432">
        <v>110.383839627366</v>
      </c>
      <c r="AN5432">
        <v>0.99999999809158502</v>
      </c>
    </row>
    <row r="5433" spans="1:40" x14ac:dyDescent="0.25">
      <c r="A5433" t="str">
        <f>"20190304164956112"</f>
        <v>20190304164956112</v>
      </c>
      <c r="B5433" t="str">
        <f>"1551689396100863"</f>
        <v>1551689396100863</v>
      </c>
      <c r="C5433" t="s">
        <v>40</v>
      </c>
      <c r="D5433">
        <v>4.4558109999999997</v>
      </c>
      <c r="E5433">
        <v>0.42820469999999999</v>
      </c>
      <c r="F5433" t="s">
        <v>41</v>
      </c>
      <c r="G5433">
        <v>-407.7989</v>
      </c>
      <c r="H5433">
        <v>0.98308960000000001</v>
      </c>
      <c r="I5433">
        <v>133.99270000000001</v>
      </c>
      <c r="J5433">
        <v>-407.67529999999999</v>
      </c>
      <c r="K5433">
        <v>1.120932</v>
      </c>
      <c r="L5433">
        <v>134.6249</v>
      </c>
      <c r="M5433">
        <v>-0.79488950000000003</v>
      </c>
      <c r="N5433">
        <v>-1.1766449999999999E-2</v>
      </c>
      <c r="O5433">
        <v>-0.60664019999999996</v>
      </c>
      <c r="P5433">
        <v>-0.49863809999999897</v>
      </c>
      <c r="Q5433">
        <v>0.40489950000000002</v>
      </c>
      <c r="R5433">
        <v>-0.76643099999999997</v>
      </c>
      <c r="S5433">
        <v>-1.4727779999999999</v>
      </c>
      <c r="T5433">
        <v>-0.53369679999999997</v>
      </c>
      <c r="U5433">
        <v>-3.2388150000000002</v>
      </c>
      <c r="V5433">
        <v>-0.31726290000000001</v>
      </c>
      <c r="W5433">
        <v>0.40703</v>
      </c>
      <c r="X5433">
        <v>0.85654589999999997</v>
      </c>
      <c r="Y5433">
        <v>-0.47204459999999998</v>
      </c>
      <c r="Z5433">
        <v>5.1187070000000001E-2</v>
      </c>
      <c r="AA5433">
        <v>0.88008739999999996</v>
      </c>
      <c r="AB5433">
        <v>34</v>
      </c>
      <c r="AC5433">
        <v>-0.12360000000000999</v>
      </c>
      <c r="AD5433">
        <v>-0.137842399999999</v>
      </c>
      <c r="AE5433">
        <v>-0.632199999999983</v>
      </c>
      <c r="AF5433">
        <v>-0.40885665022955497</v>
      </c>
      <c r="AG5433">
        <v>-0.137842399999999</v>
      </c>
      <c r="AH5433">
        <v>0.46070419159216203</v>
      </c>
      <c r="AI5433">
        <v>102.614001088021</v>
      </c>
      <c r="AJ5433">
        <v>131.587780526682</v>
      </c>
      <c r="AK5433">
        <v>0.63119936614771799</v>
      </c>
      <c r="AL5433">
        <v>65.981600518673702</v>
      </c>
      <c r="AM5433">
        <v>110.324529608052</v>
      </c>
      <c r="AN5433">
        <v>1.0000000237116</v>
      </c>
    </row>
    <row r="5434" spans="1:40" x14ac:dyDescent="0.25">
      <c r="A5434" t="str">
        <f>"20190304164956135"</f>
        <v>20190304164956135</v>
      </c>
      <c r="B5434" t="str">
        <f>"1551689396131120"</f>
        <v>1551689396131120</v>
      </c>
      <c r="C5434" t="s">
        <v>40</v>
      </c>
      <c r="D5434">
        <v>4.5237569999999998</v>
      </c>
      <c r="E5434">
        <v>0.42825429999999998</v>
      </c>
      <c r="F5434" t="s">
        <v>41</v>
      </c>
      <c r="G5434">
        <v>-408.03460000000001</v>
      </c>
      <c r="H5434">
        <v>0.98769370000000001</v>
      </c>
      <c r="I5434">
        <v>133.8098</v>
      </c>
      <c r="J5434">
        <v>-407.94349999999997</v>
      </c>
      <c r="K5434">
        <v>1.1210169999999999</v>
      </c>
      <c r="L5434">
        <v>134.40710000000001</v>
      </c>
      <c r="M5434">
        <v>-0.78749250000000004</v>
      </c>
      <c r="N5434">
        <v>-1.175206E-2</v>
      </c>
      <c r="O5434">
        <v>-0.61621230000000005</v>
      </c>
      <c r="P5434">
        <v>-0.49037979999999998</v>
      </c>
      <c r="Q5434">
        <v>0.40675020000000001</v>
      </c>
      <c r="R5434">
        <v>-0.77076750000000005</v>
      </c>
      <c r="S5434">
        <v>-1.4378359999999999</v>
      </c>
      <c r="T5434">
        <v>-0.53303739999999999</v>
      </c>
      <c r="U5434">
        <v>-3.260437</v>
      </c>
      <c r="V5434">
        <v>-0.31545669999999998</v>
      </c>
      <c r="W5434">
        <v>0.40884999999999999</v>
      </c>
      <c r="X5434">
        <v>0.85634619999999995</v>
      </c>
      <c r="Y5434">
        <v>-0.47150989999999998</v>
      </c>
      <c r="Z5434">
        <v>5.2676630000000002E-2</v>
      </c>
      <c r="AA5434">
        <v>0.88028600000000001</v>
      </c>
      <c r="AB5434">
        <v>34</v>
      </c>
      <c r="AC5434">
        <v>-9.1100000000039899E-2</v>
      </c>
      <c r="AD5434">
        <v>-0.13332329999999901</v>
      </c>
      <c r="AE5434">
        <v>-0.59730000000001804</v>
      </c>
      <c r="AF5434">
        <v>-0.395027025700322</v>
      </c>
      <c r="AG5434">
        <v>-0.13332329999999901</v>
      </c>
      <c r="AH5434">
        <v>0.41941326666016499</v>
      </c>
      <c r="AI5434">
        <v>103.029036759127</v>
      </c>
      <c r="AJ5434">
        <v>133.28494321297899</v>
      </c>
      <c r="AK5434">
        <v>0.59137884778463601</v>
      </c>
      <c r="AL5434">
        <v>65.867386801512893</v>
      </c>
      <c r="AM5434">
        <v>110.222546053697</v>
      </c>
      <c r="AN5434">
        <v>1.0000000331646599</v>
      </c>
    </row>
    <row r="5435" spans="1:40" x14ac:dyDescent="0.25">
      <c r="A5435" t="str">
        <f>"20190304164956158"</f>
        <v>20190304164956158</v>
      </c>
      <c r="B5435" t="str">
        <f>"1551689396151615"</f>
        <v>1551689396151615</v>
      </c>
      <c r="C5435" t="s">
        <v>40</v>
      </c>
      <c r="D5435">
        <v>4.5355730000000003</v>
      </c>
      <c r="E5435">
        <v>0.42854379999999997</v>
      </c>
      <c r="F5435" t="s">
        <v>41</v>
      </c>
      <c r="G5435">
        <v>-408.2996</v>
      </c>
      <c r="H5435">
        <v>0.98455429999999999</v>
      </c>
      <c r="I5435">
        <v>133.5762</v>
      </c>
      <c r="J5435">
        <v>-408.20240000000001</v>
      </c>
      <c r="K5435">
        <v>1.1211199999999999</v>
      </c>
      <c r="L5435">
        <v>134.19110000000001</v>
      </c>
      <c r="M5435">
        <v>-0.78009209999999995</v>
      </c>
      <c r="N5435">
        <v>-1.1745190000000001E-2</v>
      </c>
      <c r="O5435">
        <v>-0.62555450000000001</v>
      </c>
      <c r="P5435">
        <v>-0.4825507</v>
      </c>
      <c r="Q5435">
        <v>0.40792430000000002</v>
      </c>
      <c r="R5435">
        <v>-0.77507590000000004</v>
      </c>
      <c r="S5435">
        <v>-1.4062809999999999</v>
      </c>
      <c r="T5435">
        <v>-0.53895329999999997</v>
      </c>
      <c r="U5435">
        <v>-3.2819060000000002</v>
      </c>
      <c r="V5435">
        <v>-0.31355460000000002</v>
      </c>
      <c r="W5435">
        <v>0.41000009999999998</v>
      </c>
      <c r="X5435">
        <v>0.8564948</v>
      </c>
      <c r="Y5435">
        <v>-0.47032030000000002</v>
      </c>
      <c r="Z5435">
        <v>5.4915180000000001E-2</v>
      </c>
      <c r="AA5435">
        <v>0.8807855</v>
      </c>
      <c r="AB5435">
        <v>34</v>
      </c>
      <c r="AC5435">
        <v>-9.7199999999986603E-2</v>
      </c>
      <c r="AD5435">
        <v>-0.13656570000000001</v>
      </c>
      <c r="AE5435">
        <v>-0.614900000000005</v>
      </c>
      <c r="AF5435">
        <v>-0.39967015581214499</v>
      </c>
      <c r="AG5435">
        <v>-0.13656570000000001</v>
      </c>
      <c r="AH5435">
        <v>0.43936638858816601</v>
      </c>
      <c r="AI5435">
        <v>102.94879963181</v>
      </c>
      <c r="AJ5435">
        <v>132.29125999432901</v>
      </c>
      <c r="AK5435">
        <v>0.60944995470046803</v>
      </c>
      <c r="AL5435">
        <v>65.795157778408296</v>
      </c>
      <c r="AM5435">
        <v>110.107197811448</v>
      </c>
      <c r="AN5435">
        <v>0.99999995580410395</v>
      </c>
    </row>
    <row r="5436" spans="1:40" x14ac:dyDescent="0.25">
      <c r="A5436" t="str">
        <f>"20190304164956179"</f>
        <v>20190304164956179</v>
      </c>
      <c r="B5436" t="str">
        <f>"1551689396171139"</f>
        <v>1551689396171139</v>
      </c>
      <c r="C5436" t="s">
        <v>40</v>
      </c>
      <c r="D5436">
        <v>4.5147810000000002</v>
      </c>
      <c r="E5436">
        <v>0.42863089999999998</v>
      </c>
      <c r="F5436" t="s">
        <v>48</v>
      </c>
      <c r="G5436">
        <v>-411.02499999999998</v>
      </c>
      <c r="H5436" s="1">
        <v>-5.3977269999999997E-6</v>
      </c>
      <c r="I5436">
        <v>127.4273</v>
      </c>
      <c r="J5436">
        <v>-408.4513</v>
      </c>
      <c r="K5436">
        <v>1.121213</v>
      </c>
      <c r="L5436">
        <v>133.97819999999999</v>
      </c>
      <c r="M5436">
        <v>-0.77272830000000003</v>
      </c>
      <c r="N5436">
        <v>-1.17433E-2</v>
      </c>
      <c r="O5436">
        <v>-0.63462850000000004</v>
      </c>
      <c r="P5436">
        <v>-0.47470220000000002</v>
      </c>
      <c r="Q5436">
        <v>0.40902490000000002</v>
      </c>
      <c r="R5436">
        <v>-0.77933090000000005</v>
      </c>
      <c r="S5436">
        <v>-1.3775329999999999</v>
      </c>
      <c r="T5436">
        <v>-0.54714969999999996</v>
      </c>
      <c r="U5436">
        <v>-3.3009490000000001</v>
      </c>
      <c r="V5436">
        <v>-0.31186239999999998</v>
      </c>
      <c r="W5436">
        <v>0.4110741</v>
      </c>
      <c r="X5436">
        <v>0.85659789999999902</v>
      </c>
      <c r="Y5436">
        <v>-0.46843259999999998</v>
      </c>
      <c r="Z5436">
        <v>5.7479879999999997E-2</v>
      </c>
      <c r="AA5436">
        <v>0.88162739999999995</v>
      </c>
      <c r="AB5436">
        <v>34</v>
      </c>
      <c r="AC5436">
        <v>-2.5736999999999699</v>
      </c>
      <c r="AD5436">
        <v>-1.121218397727</v>
      </c>
      <c r="AE5436">
        <v>-6.55089999999998</v>
      </c>
      <c r="AF5436">
        <v>-3.3440953852627802</v>
      </c>
      <c r="AG5436">
        <v>-1.121218397727</v>
      </c>
      <c r="AH5436">
        <v>5.9944603661772904</v>
      </c>
      <c r="AI5436">
        <v>99.277001547966506</v>
      </c>
      <c r="AJ5436">
        <v>119.15558753701001</v>
      </c>
      <c r="AK5436">
        <v>6.9551175204167297</v>
      </c>
      <c r="AL5436">
        <v>65.727674485723099</v>
      </c>
      <c r="AM5436">
        <v>110.00509472843601</v>
      </c>
      <c r="AN5436">
        <v>1.0000000172544801</v>
      </c>
    </row>
    <row r="5437" spans="1:40" x14ac:dyDescent="0.25">
      <c r="A5437" t="str">
        <f>"20190304164956201"</f>
        <v>20190304164956201</v>
      </c>
      <c r="B5437" t="str">
        <f>"1551689396191631"</f>
        <v>1551689396191631</v>
      </c>
      <c r="C5437" t="s">
        <v>40</v>
      </c>
      <c r="D5437">
        <v>4.5375069999999997</v>
      </c>
      <c r="E5437">
        <v>0.42860779999999898</v>
      </c>
      <c r="F5437" t="s">
        <v>48</v>
      </c>
      <c r="G5437">
        <v>-411.17380000000003</v>
      </c>
      <c r="H5437" s="1">
        <v>-5.3218569999999997E-6</v>
      </c>
      <c r="I5437">
        <v>127.2685</v>
      </c>
      <c r="J5437">
        <v>-408.7002</v>
      </c>
      <c r="K5437">
        <v>1.121305</v>
      </c>
      <c r="L5437">
        <v>133.7603</v>
      </c>
      <c r="M5437">
        <v>-0.765119199999999</v>
      </c>
      <c r="N5437">
        <v>-1.174451E-2</v>
      </c>
      <c r="O5437">
        <v>-0.64378169999999901</v>
      </c>
      <c r="P5437">
        <v>-0.46628449999999999</v>
      </c>
      <c r="Q5437">
        <v>0.410414</v>
      </c>
      <c r="R5437">
        <v>-0.78367039999999999</v>
      </c>
      <c r="S5437">
        <v>-1.347137</v>
      </c>
      <c r="T5437">
        <v>-0.5547938</v>
      </c>
      <c r="U5437">
        <v>-3.320084</v>
      </c>
      <c r="V5437">
        <v>-0.31045879999999998</v>
      </c>
      <c r="W5437">
        <v>0.41243109999999999</v>
      </c>
      <c r="X5437">
        <v>0.85645539999999998</v>
      </c>
      <c r="Y5437">
        <v>-0.4667039</v>
      </c>
      <c r="Z5437">
        <v>6.0026169999999997E-2</v>
      </c>
      <c r="AA5437">
        <v>0.8823742</v>
      </c>
      <c r="AB5437">
        <v>34</v>
      </c>
      <c r="AC5437">
        <v>-2.47360000000003</v>
      </c>
      <c r="AD5437">
        <v>-1.121310321857</v>
      </c>
      <c r="AE5437">
        <v>-6.4917999999999898</v>
      </c>
      <c r="AF5437">
        <v>-3.2890867912027999</v>
      </c>
      <c r="AG5437">
        <v>-1.121310321857</v>
      </c>
      <c r="AH5437">
        <v>5.9181384028198396</v>
      </c>
      <c r="AI5437">
        <v>99.403519297012807</v>
      </c>
      <c r="AJ5437">
        <v>119.06371858829699</v>
      </c>
      <c r="AK5437">
        <v>6.8629287416451197</v>
      </c>
      <c r="AL5437">
        <v>65.642354638837901</v>
      </c>
      <c r="AM5437">
        <v>109.92520918041799</v>
      </c>
      <c r="AN5437">
        <v>0.99999996546690395</v>
      </c>
    </row>
    <row r="5438" spans="1:40" x14ac:dyDescent="0.25">
      <c r="A5438" t="str">
        <f>"20190304164956224"</f>
        <v>20190304164956224</v>
      </c>
      <c r="B5438" t="str">
        <f>"1551689396220911"</f>
        <v>1551689396220911</v>
      </c>
      <c r="C5438" t="s">
        <v>40</v>
      </c>
      <c r="D5438">
        <v>4.538475</v>
      </c>
      <c r="E5438">
        <v>0.42798150000000001</v>
      </c>
      <c r="F5438" t="s">
        <v>48</v>
      </c>
      <c r="G5438">
        <v>-411.3329</v>
      </c>
      <c r="H5438" s="1">
        <v>-5.2363000000000002E-6</v>
      </c>
      <c r="I5438">
        <v>127.08580000000001</v>
      </c>
      <c r="J5438">
        <v>-408.95269999999999</v>
      </c>
      <c r="K5438">
        <v>1.121399</v>
      </c>
      <c r="L5438">
        <v>133.53370000000001</v>
      </c>
      <c r="M5438">
        <v>-0.75713719999999995</v>
      </c>
      <c r="N5438">
        <v>-1.1747519999999999E-2</v>
      </c>
      <c r="O5438">
        <v>-0.65315040000000002</v>
      </c>
      <c r="P5438">
        <v>-0.45743820000000002</v>
      </c>
      <c r="Q5438">
        <v>0.41077419999999998</v>
      </c>
      <c r="R5438">
        <v>-0.78867949999999998</v>
      </c>
      <c r="S5438">
        <v>-1.3167719999999901</v>
      </c>
      <c r="T5438">
        <v>-0.56084679999999998</v>
      </c>
      <c r="U5438">
        <v>-3.3383790000000002</v>
      </c>
      <c r="V5438">
        <v>-0.30950889999999998</v>
      </c>
      <c r="W5438">
        <v>0.41275339999999999</v>
      </c>
      <c r="X5438">
        <v>0.85664390000000001</v>
      </c>
      <c r="Y5438">
        <v>-0.46450469999999999</v>
      </c>
      <c r="Z5438">
        <v>6.2495460000000003E-2</v>
      </c>
      <c r="AA5438">
        <v>0.88336269999999995</v>
      </c>
      <c r="AB5438">
        <v>34</v>
      </c>
      <c r="AC5438">
        <v>-2.3801999999999999</v>
      </c>
      <c r="AD5438">
        <v>-1.1214042362999901</v>
      </c>
      <c r="AE5438">
        <v>-6.4478999999999997</v>
      </c>
      <c r="AF5438">
        <v>-3.2412633600041998</v>
      </c>
      <c r="AG5438">
        <v>-1.1214042362999901</v>
      </c>
      <c r="AH5438">
        <v>5.85805952415941</v>
      </c>
      <c r="AI5438">
        <v>99.508742263600993</v>
      </c>
      <c r="AJ5438">
        <v>118.95574810516899</v>
      </c>
      <c r="AK5438">
        <v>6.7882396111725498</v>
      </c>
      <c r="AL5438">
        <v>65.622081855771</v>
      </c>
      <c r="AM5438">
        <v>109.864992491967</v>
      </c>
      <c r="AN5438">
        <v>0.99999994989898799</v>
      </c>
    </row>
    <row r="5439" spans="1:40" x14ac:dyDescent="0.25">
      <c r="A5439" t="str">
        <f>"20190304164956247"</f>
        <v>20190304164956247</v>
      </c>
      <c r="B5439" t="str">
        <f>"1551689396241407"</f>
        <v>1551689396241407</v>
      </c>
      <c r="C5439" t="s">
        <v>40</v>
      </c>
      <c r="D5439">
        <v>4.5366160000000004</v>
      </c>
      <c r="E5439">
        <v>0.42730259999999998</v>
      </c>
      <c r="F5439" t="s">
        <v>48</v>
      </c>
      <c r="G5439">
        <v>-411.44850000000002</v>
      </c>
      <c r="H5439" s="1">
        <v>-5.180087E-6</v>
      </c>
      <c r="I5439">
        <v>126.97029999999999</v>
      </c>
      <c r="J5439">
        <v>-409.20409999999998</v>
      </c>
      <c r="K5439">
        <v>1.121481</v>
      </c>
      <c r="L5439">
        <v>133.30240000000001</v>
      </c>
      <c r="M5439">
        <v>-0.74891730000000001</v>
      </c>
      <c r="N5439">
        <v>-1.175235E-2</v>
      </c>
      <c r="O5439">
        <v>-0.66255949999999997</v>
      </c>
      <c r="P5439">
        <v>-0.4480074</v>
      </c>
      <c r="Q5439">
        <v>0.41029749999999998</v>
      </c>
      <c r="R5439">
        <v>-0.7943209</v>
      </c>
      <c r="S5439">
        <v>-1.278259</v>
      </c>
      <c r="T5439">
        <v>-0.57434419999999897</v>
      </c>
      <c r="U5439">
        <v>-3.3615569999999999</v>
      </c>
      <c r="V5439">
        <v>-0.30927399999999999</v>
      </c>
      <c r="W5439">
        <v>0.41222520000000001</v>
      </c>
      <c r="X5439">
        <v>0.8569831</v>
      </c>
      <c r="Y5439">
        <v>-0.4643987</v>
      </c>
      <c r="Z5439">
        <v>6.5773150000000002E-2</v>
      </c>
      <c r="AA5439">
        <v>0.88318039999999998</v>
      </c>
      <c r="AB5439">
        <v>34</v>
      </c>
      <c r="AC5439">
        <v>-2.2444000000000401</v>
      </c>
      <c r="AD5439">
        <v>-1.121486180087</v>
      </c>
      <c r="AE5439">
        <v>-6.3321000000000103</v>
      </c>
      <c r="AF5439">
        <v>-3.16713536889073</v>
      </c>
      <c r="AG5439">
        <v>-1.121486180087</v>
      </c>
      <c r="AH5439">
        <v>5.7173408494622997</v>
      </c>
      <c r="AI5439">
        <v>99.736404469751406</v>
      </c>
      <c r="AJ5439">
        <v>118.984371217288</v>
      </c>
      <c r="AK5439">
        <v>6.6314752571305799</v>
      </c>
      <c r="AL5439">
        <v>65.6553054876223</v>
      </c>
      <c r="AM5439">
        <v>109.843850658552</v>
      </c>
      <c r="AN5439">
        <v>1.0000000281383199</v>
      </c>
    </row>
    <row r="5440" spans="1:40" x14ac:dyDescent="0.25">
      <c r="A5440" t="str">
        <f>"20190304164956269"</f>
        <v>20190304164956269</v>
      </c>
      <c r="B5440" t="str">
        <f>"1551689396260927"</f>
        <v>1551689396260927</v>
      </c>
      <c r="C5440" t="s">
        <v>40</v>
      </c>
      <c r="D5440">
        <v>4.5464339999999996</v>
      </c>
      <c r="E5440">
        <v>0.42666300000000001</v>
      </c>
      <c r="F5440" t="s">
        <v>48</v>
      </c>
      <c r="G5440">
        <v>-411.56920000000002</v>
      </c>
      <c r="H5440" s="1">
        <v>-5.1108310000000001E-6</v>
      </c>
      <c r="I5440">
        <v>126.8192</v>
      </c>
      <c r="J5440">
        <v>-409.45119999999997</v>
      </c>
      <c r="K5440">
        <v>1.1215679999999999</v>
      </c>
      <c r="L5440">
        <v>133.0693</v>
      </c>
      <c r="M5440">
        <v>-0.74055979999999999</v>
      </c>
      <c r="N5440">
        <v>-1.175696E-2</v>
      </c>
      <c r="O5440">
        <v>-0.67188780000000004</v>
      </c>
      <c r="P5440">
        <v>-0.43836249999999999</v>
      </c>
      <c r="Q5440">
        <v>0.41082109999999999</v>
      </c>
      <c r="R5440">
        <v>-0.79941499999999999</v>
      </c>
      <c r="S5440">
        <v>-1.2341610000000001</v>
      </c>
      <c r="T5440">
        <v>-0.58520620000000001</v>
      </c>
      <c r="U5440">
        <v>-3.3830260000000001</v>
      </c>
      <c r="V5440">
        <v>-0.308812799999999</v>
      </c>
      <c r="W5440">
        <v>0.41270040000000002</v>
      </c>
      <c r="X5440">
        <v>0.85692069999999998</v>
      </c>
      <c r="Y5440">
        <v>-0.46534710000000001</v>
      </c>
      <c r="Z5440">
        <v>6.8745940000000005E-2</v>
      </c>
      <c r="AA5440">
        <v>0.88245459999999998</v>
      </c>
      <c r="AB5440">
        <v>34</v>
      </c>
      <c r="AC5440">
        <v>-2.1180000000000501</v>
      </c>
      <c r="AD5440">
        <v>-1.1215731108310001</v>
      </c>
      <c r="AE5440">
        <v>-6.2500999999999998</v>
      </c>
      <c r="AF5440">
        <v>-3.11573794114125</v>
      </c>
      <c r="AG5440">
        <v>-1.1215731108310001</v>
      </c>
      <c r="AH5440">
        <v>5.60633142474635</v>
      </c>
      <c r="AI5440">
        <v>99.918718287884602</v>
      </c>
      <c r="AJ5440">
        <v>119.06326700643601</v>
      </c>
      <c r="AK5440">
        <v>6.5112749292979997</v>
      </c>
      <c r="AL5440">
        <v>65.625417702769695</v>
      </c>
      <c r="AM5440">
        <v>109.81789506204601</v>
      </c>
      <c r="AN5440">
        <v>1.00000002584624</v>
      </c>
    </row>
    <row r="5441" spans="1:40" x14ac:dyDescent="0.25">
      <c r="A5441" t="str">
        <f>"20190304164956292"</f>
        <v>20190304164956292</v>
      </c>
      <c r="B5441" t="str">
        <f>"1551689396281424"</f>
        <v>1551689396281424</v>
      </c>
      <c r="C5441" t="s">
        <v>40</v>
      </c>
      <c r="D5441">
        <v>4.544791</v>
      </c>
      <c r="E5441">
        <v>0.42634490000000003</v>
      </c>
      <c r="F5441" t="s">
        <v>48</v>
      </c>
      <c r="G5441">
        <v>-411.70510000000002</v>
      </c>
      <c r="H5441" s="1">
        <v>-5.0181579999999998E-6</v>
      </c>
      <c r="I5441">
        <v>126.6067</v>
      </c>
      <c r="J5441">
        <v>-409.6909</v>
      </c>
      <c r="K5441">
        <v>1.121653</v>
      </c>
      <c r="L5441">
        <v>132.83760000000001</v>
      </c>
      <c r="M5441">
        <v>-0.73218050000000001</v>
      </c>
      <c r="N5441">
        <v>-1.1759520000000001E-2</v>
      </c>
      <c r="O5441">
        <v>-0.68100919999999998</v>
      </c>
      <c r="P5441">
        <v>-0.42867189999999999</v>
      </c>
      <c r="Q5441">
        <v>0.41171160000000001</v>
      </c>
      <c r="R5441">
        <v>-0.80419770000000002</v>
      </c>
      <c r="S5441">
        <v>-1.187622</v>
      </c>
      <c r="T5441">
        <v>-0.59097100000000002</v>
      </c>
      <c r="U5441">
        <v>-3.4052280000000001</v>
      </c>
      <c r="V5441">
        <v>-0.30832989999999999</v>
      </c>
      <c r="W5441">
        <v>0.41354030000000003</v>
      </c>
      <c r="X5441">
        <v>0.85668960000000005</v>
      </c>
      <c r="Y5441">
        <v>-0.4669914</v>
      </c>
      <c r="Z5441">
        <v>7.0993200000000006E-2</v>
      </c>
      <c r="AA5441">
        <v>0.88140739999999995</v>
      </c>
      <c r="AB5441">
        <v>34</v>
      </c>
      <c r="AC5441">
        <v>-2.01420000000001</v>
      </c>
      <c r="AD5441">
        <v>-1.121658018158</v>
      </c>
      <c r="AE5441">
        <v>-6.2309000000000001</v>
      </c>
      <c r="AF5441">
        <v>-3.0997302234434501</v>
      </c>
      <c r="AG5441">
        <v>-1.121658018158</v>
      </c>
      <c r="AH5441">
        <v>5.5554581366659699</v>
      </c>
      <c r="AI5441">
        <v>99.999263448404804</v>
      </c>
      <c r="AJ5441">
        <v>119.159823013013</v>
      </c>
      <c r="AK5441">
        <v>6.4598420473007696</v>
      </c>
      <c r="AL5441">
        <v>65.572573903240695</v>
      </c>
      <c r="AM5441">
        <v>109.794236980676</v>
      </c>
      <c r="AN5441">
        <v>0.99999998885312902</v>
      </c>
    </row>
    <row r="5442" spans="1:40" x14ac:dyDescent="0.25">
      <c r="A5442" t="str">
        <f>"20190304164956314"</f>
        <v>20190304164956314</v>
      </c>
      <c r="B5442" t="str">
        <f>"1551689396300943"</f>
        <v>1551689396300943</v>
      </c>
      <c r="C5442" t="s">
        <v>40</v>
      </c>
      <c r="D5442">
        <v>4.5709439999999999</v>
      </c>
      <c r="E5442">
        <v>0.41418450000000001</v>
      </c>
      <c r="F5442" t="s">
        <v>48</v>
      </c>
      <c r="G5442">
        <v>-411.86200000000002</v>
      </c>
      <c r="H5442" s="1">
        <v>-4.9016319999999998E-6</v>
      </c>
      <c r="I5442">
        <v>126.334</v>
      </c>
      <c r="J5442">
        <v>-409.92419999999998</v>
      </c>
      <c r="K5442">
        <v>1.1217349999999999</v>
      </c>
      <c r="L5442">
        <v>132.6062</v>
      </c>
      <c r="M5442">
        <v>-0.72375259999999997</v>
      </c>
      <c r="N5442">
        <v>-1.1761550000000001E-2</v>
      </c>
      <c r="O5442">
        <v>-0.68995949999999995</v>
      </c>
      <c r="P5442">
        <v>-0.41833609999999999</v>
      </c>
      <c r="Q5442">
        <v>0.41220430000000002</v>
      </c>
      <c r="R5442">
        <v>-0.80937190000000003</v>
      </c>
      <c r="S5442">
        <v>-1.1428830000000001</v>
      </c>
      <c r="T5442">
        <v>-0.59044280000000005</v>
      </c>
      <c r="U5442">
        <v>-3.423508</v>
      </c>
      <c r="V5442">
        <v>-0.30869180000000002</v>
      </c>
      <c r="W5442">
        <v>0.41395880000000002</v>
      </c>
      <c r="X5442">
        <v>0.85635720000000004</v>
      </c>
      <c r="Y5442">
        <v>-0.46795189999999998</v>
      </c>
      <c r="Z5442">
        <v>7.2486739999999994E-2</v>
      </c>
      <c r="AA5442">
        <v>0.88077619999999901</v>
      </c>
      <c r="AB5442">
        <v>34</v>
      </c>
      <c r="AC5442">
        <v>-1.93779999999998</v>
      </c>
      <c r="AD5442">
        <v>-1.121739901632</v>
      </c>
      <c r="AE5442">
        <v>-6.27219999999999</v>
      </c>
      <c r="AF5442">
        <v>-3.1118782874422002</v>
      </c>
      <c r="AG5442">
        <v>-1.121739901632</v>
      </c>
      <c r="AH5442">
        <v>5.56787697673475</v>
      </c>
      <c r="AI5442">
        <v>99.974222513456496</v>
      </c>
      <c r="AJ5442">
        <v>119.200760785904</v>
      </c>
      <c r="AK5442">
        <v>6.4763678795155304</v>
      </c>
      <c r="AL5442">
        <v>65.546237947988601</v>
      </c>
      <c r="AM5442">
        <v>109.82275484931</v>
      </c>
      <c r="AN5442">
        <v>1.00000008473825</v>
      </c>
    </row>
    <row r="5443" spans="1:40" x14ac:dyDescent="0.25">
      <c r="A5443" t="str">
        <f>"20190304164956348"</f>
        <v>20190304164956348</v>
      </c>
      <c r="B5443" t="str">
        <f>"1551689396340959"</f>
        <v>1551689396340959</v>
      </c>
      <c r="C5443" t="s">
        <v>40</v>
      </c>
      <c r="D5443">
        <v>4.5531860000000002</v>
      </c>
      <c r="E5443">
        <v>0.41277390000000003</v>
      </c>
      <c r="F5443" t="s">
        <v>48</v>
      </c>
      <c r="G5443">
        <v>-411.60169999999999</v>
      </c>
      <c r="H5443" s="1">
        <v>-5.1350769999999998E-6</v>
      </c>
      <c r="I5443">
        <v>126.902</v>
      </c>
      <c r="J5443">
        <v>-410.28230000000002</v>
      </c>
      <c r="K5443">
        <v>1.1218429999999999</v>
      </c>
      <c r="L5443">
        <v>132.23920000000001</v>
      </c>
      <c r="M5443">
        <v>-0.71027459999999998</v>
      </c>
      <c r="N5443">
        <v>-1.175843E-2</v>
      </c>
      <c r="O5443">
        <v>-0.70382650000000002</v>
      </c>
      <c r="P5443">
        <v>-0.4024414</v>
      </c>
      <c r="Q5443">
        <v>0.41195169999999998</v>
      </c>
      <c r="R5443">
        <v>-0.81751870000000004</v>
      </c>
      <c r="S5443">
        <v>-1.036316</v>
      </c>
      <c r="T5443">
        <v>-0.69298590000000004</v>
      </c>
      <c r="U5443">
        <v>-3.523895</v>
      </c>
      <c r="V5443">
        <v>-0.30907889999999999</v>
      </c>
      <c r="W5443">
        <v>0.41359889999999999</v>
      </c>
      <c r="X5443">
        <v>0.85639140000000002</v>
      </c>
      <c r="Y5443">
        <v>-0.48270679999999999</v>
      </c>
      <c r="Z5443">
        <v>8.6686719999999995E-2</v>
      </c>
      <c r="AA5443">
        <v>0.87148119999999996</v>
      </c>
      <c r="AB5443">
        <v>34</v>
      </c>
      <c r="AC5443">
        <v>-1.3193999999999699</v>
      </c>
      <c r="AD5443">
        <v>-1.121848135077</v>
      </c>
      <c r="AE5443">
        <v>-5.3372000000000099</v>
      </c>
      <c r="AF5443">
        <v>-2.74802703650629</v>
      </c>
      <c r="AG5443">
        <v>-1.121848135077</v>
      </c>
      <c r="AH5443">
        <v>4.5062947474680097</v>
      </c>
      <c r="AI5443">
        <v>101.999514338626</v>
      </c>
      <c r="AJ5443">
        <v>121.37565899025201</v>
      </c>
      <c r="AK5443">
        <v>5.3960066885246798</v>
      </c>
      <c r="AL5443">
        <v>65.568887116913203</v>
      </c>
      <c r="AM5443">
        <v>109.844942004342</v>
      </c>
      <c r="AN5443">
        <v>1.00000002325018</v>
      </c>
    </row>
    <row r="5444" spans="1:40" x14ac:dyDescent="0.25">
      <c r="A5444" t="str">
        <f>"20190304164956369"</f>
        <v>20190304164956369</v>
      </c>
      <c r="B5444" t="str">
        <f>"1551689396361455"</f>
        <v>1551689396361455</v>
      </c>
      <c r="C5444" t="s">
        <v>40</v>
      </c>
      <c r="D5444">
        <v>4.8217429999999997</v>
      </c>
      <c r="E5444">
        <v>0.41235739999999999</v>
      </c>
      <c r="F5444" t="s">
        <v>48</v>
      </c>
      <c r="G5444">
        <v>-411.8125</v>
      </c>
      <c r="H5444" s="1">
        <v>-5.0017879999999998E-6</v>
      </c>
      <c r="I5444">
        <v>126.6026</v>
      </c>
      <c r="J5444">
        <v>-410.50290000000001</v>
      </c>
      <c r="K5444">
        <v>1.121907</v>
      </c>
      <c r="L5444">
        <v>132.006</v>
      </c>
      <c r="M5444">
        <v>-0.70164729999999997</v>
      </c>
      <c r="N5444">
        <v>-1.175345E-2</v>
      </c>
      <c r="O5444">
        <v>-0.71242749999999999</v>
      </c>
      <c r="P5444">
        <v>-0.39285999999999999</v>
      </c>
      <c r="Q5444">
        <v>0.41078949999999997</v>
      </c>
      <c r="R5444">
        <v>-0.82274729999999996</v>
      </c>
      <c r="S5444">
        <v>-0.96405030000000003</v>
      </c>
      <c r="T5444">
        <v>-0.70679340000000002</v>
      </c>
      <c r="U5444">
        <v>-3.5512079999999999</v>
      </c>
      <c r="V5444">
        <v>-0.3091025</v>
      </c>
      <c r="W5444">
        <v>0.41238380000000002</v>
      </c>
      <c r="X5444">
        <v>0.85696859999999997</v>
      </c>
      <c r="Y5444">
        <v>-0.49026510000000001</v>
      </c>
      <c r="Z5444">
        <v>8.9716110000000002E-2</v>
      </c>
      <c r="AA5444">
        <v>0.86694349999999998</v>
      </c>
      <c r="AB5444">
        <v>34</v>
      </c>
      <c r="AC5444">
        <v>-1.3095999999999799</v>
      </c>
      <c r="AD5444">
        <v>-1.121912001788</v>
      </c>
      <c r="AE5444">
        <v>-5.4034000000000004</v>
      </c>
      <c r="AF5444">
        <v>-2.7466437224222302</v>
      </c>
      <c r="AG5444">
        <v>-1.121912001788</v>
      </c>
      <c r="AH5444">
        <v>4.5821580518309402</v>
      </c>
      <c r="AI5444">
        <v>101.86006594923499</v>
      </c>
      <c r="AJ5444">
        <v>120.93937550298899</v>
      </c>
      <c r="AK5444">
        <v>5.45883785156113</v>
      </c>
      <c r="AL5444">
        <v>65.645329550650203</v>
      </c>
      <c r="AM5444">
        <v>109.834014611085</v>
      </c>
      <c r="AN5444">
        <v>0.99999996769732402</v>
      </c>
    </row>
    <row r="5445" spans="1:40" x14ac:dyDescent="0.25">
      <c r="A5445" t="str">
        <f>"20190304164956391"</f>
        <v>20190304164956391</v>
      </c>
      <c r="B5445" t="str">
        <f>"1551689396380976"</f>
        <v>1551689396380976</v>
      </c>
      <c r="C5445" t="s">
        <v>40</v>
      </c>
      <c r="D5445">
        <v>4.7529849999999998</v>
      </c>
      <c r="E5445">
        <v>0.46835349999999998</v>
      </c>
      <c r="F5445" t="s">
        <v>48</v>
      </c>
      <c r="G5445">
        <v>-411.94490000000002</v>
      </c>
      <c r="H5445" s="1">
        <v>-4.9186510000000001E-6</v>
      </c>
      <c r="I5445">
        <v>126.4162</v>
      </c>
      <c r="J5445">
        <v>-410.73169999999999</v>
      </c>
      <c r="K5445">
        <v>1.121969</v>
      </c>
      <c r="L5445">
        <v>131.75829999999999</v>
      </c>
      <c r="M5445">
        <v>-0.6924323</v>
      </c>
      <c r="N5445">
        <v>-1.1744900000000001E-2</v>
      </c>
      <c r="O5445">
        <v>-0.72138740000000001</v>
      </c>
      <c r="P5445">
        <v>-0.38265399999999999</v>
      </c>
      <c r="Q5445">
        <v>0.40986230000000001</v>
      </c>
      <c r="R5445">
        <v>-0.82800300000000004</v>
      </c>
      <c r="S5445">
        <v>-0.91946410000000001</v>
      </c>
      <c r="T5445">
        <v>-0.71540999999999999</v>
      </c>
      <c r="U5445">
        <v>-3.5644680000000002</v>
      </c>
      <c r="V5445">
        <v>-0.30904969999999998</v>
      </c>
      <c r="W5445">
        <v>0.41140310000000002</v>
      </c>
      <c r="X5445">
        <v>0.85745890000000002</v>
      </c>
      <c r="Y5445">
        <v>-0.49009039999999998</v>
      </c>
      <c r="Z5445">
        <v>9.2980880000000002E-2</v>
      </c>
      <c r="AA5445">
        <v>0.86669830000000003</v>
      </c>
      <c r="AB5445">
        <v>34</v>
      </c>
      <c r="AC5445">
        <v>-1.21320000000002</v>
      </c>
      <c r="AD5445">
        <v>-1.121973918651</v>
      </c>
      <c r="AE5445">
        <v>-5.3420999999999799</v>
      </c>
      <c r="AF5445">
        <v>-2.7103584070490201</v>
      </c>
      <c r="AG5445">
        <v>-1.121973918651</v>
      </c>
      <c r="AH5445">
        <v>4.5051290041151004</v>
      </c>
      <c r="AI5445">
        <v>102.046277222352</v>
      </c>
      <c r="AJ5445">
        <v>121.03179555152199</v>
      </c>
      <c r="AK5445">
        <v>5.37597019267346</v>
      </c>
      <c r="AL5445">
        <v>65.706994038662401</v>
      </c>
      <c r="AM5445">
        <v>109.820434855044</v>
      </c>
      <c r="AN5445">
        <v>0.99999999647445403</v>
      </c>
    </row>
    <row r="5446" spans="1:40" x14ac:dyDescent="0.25">
      <c r="A5446" t="str">
        <f>"20190304164956414"</f>
        <v>20190304164956414</v>
      </c>
      <c r="B5446" t="str">
        <f>"1551689396411231"</f>
        <v>1551689396411231</v>
      </c>
      <c r="C5446" t="s">
        <v>40</v>
      </c>
      <c r="D5446">
        <v>4.6137779999999999</v>
      </c>
      <c r="E5446">
        <v>0.49593799999999999</v>
      </c>
      <c r="F5446" t="s">
        <v>48</v>
      </c>
      <c r="G5446">
        <v>-413.30770000000001</v>
      </c>
      <c r="H5446" s="1">
        <v>-4.2055809999999997E-6</v>
      </c>
      <c r="I5446">
        <v>124.9087</v>
      </c>
      <c r="J5446">
        <v>-410.95850000000002</v>
      </c>
      <c r="K5446">
        <v>1.1220289999999999</v>
      </c>
      <c r="L5446">
        <v>131.50620000000001</v>
      </c>
      <c r="M5446">
        <v>-0.68301140000000005</v>
      </c>
      <c r="N5446">
        <v>-1.173313E-2</v>
      </c>
      <c r="O5446">
        <v>-0.73031369999999995</v>
      </c>
      <c r="P5446">
        <v>-0.37161460000000002</v>
      </c>
      <c r="Q5446">
        <v>0.40988180000000002</v>
      </c>
      <c r="R5446">
        <v>-0.83300640000000004</v>
      </c>
      <c r="S5446">
        <v>-1.247009</v>
      </c>
      <c r="T5446">
        <v>-0.54313250000000002</v>
      </c>
      <c r="U5446">
        <v>-3.3157649999999999</v>
      </c>
      <c r="V5446">
        <v>-0.30938399999999999</v>
      </c>
      <c r="W5446">
        <v>0.41135060000000001</v>
      </c>
      <c r="X5446">
        <v>0.8573636</v>
      </c>
      <c r="Y5446">
        <v>-0.38298270000000001</v>
      </c>
      <c r="Z5446">
        <v>8.0208000000000002E-2</v>
      </c>
      <c r="AA5446">
        <v>0.92026669999999999</v>
      </c>
      <c r="AB5446">
        <v>34</v>
      </c>
      <c r="AC5446">
        <v>-2.34919999999999</v>
      </c>
      <c r="AD5446">
        <v>-1.1220332055810001</v>
      </c>
      <c r="AE5446">
        <v>-6.5975000000000099</v>
      </c>
      <c r="AF5446">
        <v>-2.72086434726064</v>
      </c>
      <c r="AG5446">
        <v>-1.1220332055810001</v>
      </c>
      <c r="AH5446">
        <v>6.2624644588896201</v>
      </c>
      <c r="AI5446">
        <v>99.331913973635693</v>
      </c>
      <c r="AJ5446">
        <v>113.48358820029399</v>
      </c>
      <c r="AK5446">
        <v>6.9195753055715903</v>
      </c>
      <c r="AL5446">
        <v>65.7102958692725</v>
      </c>
      <c r="AM5446">
        <v>109.842235436781</v>
      </c>
      <c r="AN5446">
        <v>1.0000000590906499</v>
      </c>
    </row>
    <row r="5447" spans="1:40" x14ac:dyDescent="0.25">
      <c r="A5447" t="str">
        <f>"20190304164956438"</f>
        <v>20190304164956438</v>
      </c>
      <c r="B5447" t="str">
        <f>"1551689396430752"</f>
        <v>1551689396430752</v>
      </c>
      <c r="C5447" t="s">
        <v>40</v>
      </c>
      <c r="D5447">
        <v>4.6172050000000002</v>
      </c>
      <c r="E5447">
        <v>0.50326769999999998</v>
      </c>
      <c r="F5447" t="s">
        <v>48</v>
      </c>
      <c r="G5447">
        <v>-413.98469999999998</v>
      </c>
      <c r="H5447" s="1">
        <v>-3.9406169999999998E-6</v>
      </c>
      <c r="I5447">
        <v>124.50749999999999</v>
      </c>
      <c r="J5447">
        <v>-411.19690000000003</v>
      </c>
      <c r="K5447">
        <v>1.1220939999999999</v>
      </c>
      <c r="L5447">
        <v>131.2337</v>
      </c>
      <c r="M5447">
        <v>-0.67277519999999902</v>
      </c>
      <c r="N5447">
        <v>-1.172058E-2</v>
      </c>
      <c r="O5447">
        <v>-0.73975400000000002</v>
      </c>
      <c r="P5447">
        <v>-0.35936859999999998</v>
      </c>
      <c r="Q5447">
        <v>0.41109689999999999</v>
      </c>
      <c r="R5447">
        <v>-0.83776700000000004</v>
      </c>
      <c r="S5447">
        <v>-1.3978269999999999</v>
      </c>
      <c r="T5447">
        <v>-0.51828030000000003</v>
      </c>
      <c r="U5447">
        <v>-3.2328190000000001</v>
      </c>
      <c r="V5447">
        <v>-0.30972139999999998</v>
      </c>
      <c r="W5447">
        <v>0.41248289999999999</v>
      </c>
      <c r="X5447">
        <v>0.85669740000000005</v>
      </c>
      <c r="Y5447">
        <v>-0.32515569999999999</v>
      </c>
      <c r="Z5447">
        <v>8.1614270000000003E-2</v>
      </c>
      <c r="AA5447">
        <v>0.94213210000000003</v>
      </c>
      <c r="AB5447">
        <v>34</v>
      </c>
      <c r="AC5447">
        <v>-2.7877999999999399</v>
      </c>
      <c r="AD5447">
        <v>-1.122097940617</v>
      </c>
      <c r="AE5447">
        <v>-6.7262000000000004</v>
      </c>
      <c r="AF5447">
        <v>-2.4059607835277901</v>
      </c>
      <c r="AG5447">
        <v>-1.122097940617</v>
      </c>
      <c r="AH5447">
        <v>6.6928091837979604</v>
      </c>
      <c r="AI5447">
        <v>98.965793007106498</v>
      </c>
      <c r="AJ5447">
        <v>109.772721896812</v>
      </c>
      <c r="AK5447">
        <v>7.2001004056152498</v>
      </c>
      <c r="AL5447">
        <v>65.639096589286495</v>
      </c>
      <c r="AM5447">
        <v>109.876419115597</v>
      </c>
      <c r="AN5447">
        <v>0.99999996178856398</v>
      </c>
    </row>
    <row r="5448" spans="1:40" x14ac:dyDescent="0.25">
      <c r="A5448" t="str">
        <f>"20190304164956459"</f>
        <v>20190304164956459</v>
      </c>
      <c r="B5448" t="str">
        <f>"1551689396451251"</f>
        <v>1551689396451251</v>
      </c>
      <c r="C5448" t="s">
        <v>40</v>
      </c>
      <c r="D5448">
        <v>4.6395589999999904</v>
      </c>
      <c r="E5448">
        <v>0.50791509999999995</v>
      </c>
      <c r="F5448" t="s">
        <v>48</v>
      </c>
      <c r="G5448">
        <v>-414.29680000000002</v>
      </c>
      <c r="H5448" s="1">
        <v>-3.6362110000000001E-6</v>
      </c>
      <c r="I5448">
        <v>124.09690000000001</v>
      </c>
      <c r="J5448">
        <v>-411.40719999999999</v>
      </c>
      <c r="K5448">
        <v>1.1221620000000001</v>
      </c>
      <c r="L5448">
        <v>130.98679999999999</v>
      </c>
      <c r="M5448">
        <v>-0.66344780000000003</v>
      </c>
      <c r="N5448">
        <v>-1.170828E-2</v>
      </c>
      <c r="O5448">
        <v>-0.74813099999999999</v>
      </c>
      <c r="P5448">
        <v>-0.3479835</v>
      </c>
      <c r="Q5448">
        <v>0.41160980000000003</v>
      </c>
      <c r="R5448">
        <v>-0.84230890000000003</v>
      </c>
      <c r="S5448">
        <v>-1.402344</v>
      </c>
      <c r="T5448">
        <v>-0.50760499999999997</v>
      </c>
      <c r="U5448">
        <v>-3.228485</v>
      </c>
      <c r="V5448">
        <v>-0.31051380000000001</v>
      </c>
      <c r="W5448">
        <v>0.41290490000000002</v>
      </c>
      <c r="X5448">
        <v>0.8562071</v>
      </c>
      <c r="Y5448">
        <v>-0.31174230000000003</v>
      </c>
      <c r="Z5448">
        <v>8.1904459999999998E-2</v>
      </c>
      <c r="AA5448">
        <v>0.94663010000000003</v>
      </c>
      <c r="AB5448">
        <v>34</v>
      </c>
      <c r="AC5448">
        <v>-2.8896000000000299</v>
      </c>
      <c r="AD5448">
        <v>-1.122165636211</v>
      </c>
      <c r="AE5448">
        <v>-6.8898999999999804</v>
      </c>
      <c r="AF5448">
        <v>-2.3562989581812399</v>
      </c>
      <c r="AG5448">
        <v>-1.122165636211</v>
      </c>
      <c r="AH5448">
        <v>6.9161104426679803</v>
      </c>
      <c r="AI5448">
        <v>98.731537600600404</v>
      </c>
      <c r="AJ5448">
        <v>108.81382916016101</v>
      </c>
      <c r="AK5448">
        <v>7.3921569349277201</v>
      </c>
      <c r="AL5448">
        <v>65.612551191245004</v>
      </c>
      <c r="AM5448">
        <v>109.93378533225</v>
      </c>
      <c r="AN5448">
        <v>0.99999993726242797</v>
      </c>
    </row>
    <row r="5449" spans="1:40" x14ac:dyDescent="0.25">
      <c r="A5449" t="str">
        <f>"20190304164956481"</f>
        <v>20190304164956481</v>
      </c>
      <c r="B5449" t="str">
        <f>"1551689396470768"</f>
        <v>1551689396470768</v>
      </c>
      <c r="C5449" t="s">
        <v>40</v>
      </c>
      <c r="D5449">
        <v>4.597664</v>
      </c>
      <c r="E5449">
        <v>0.51116079999999997</v>
      </c>
      <c r="F5449" t="s">
        <v>48</v>
      </c>
      <c r="G5449">
        <v>-414.50409999999999</v>
      </c>
      <c r="H5449" s="1">
        <v>-3.4173969999999998E-6</v>
      </c>
      <c r="I5449">
        <v>123.79810000000001</v>
      </c>
      <c r="J5449">
        <v>-411.61849999999998</v>
      </c>
      <c r="K5449">
        <v>1.1222369999999999</v>
      </c>
      <c r="L5449">
        <v>130.732</v>
      </c>
      <c r="M5449">
        <v>-0.65377799999999997</v>
      </c>
      <c r="N5449">
        <v>-1.16953E-2</v>
      </c>
      <c r="O5449">
        <v>-0.75659600000000005</v>
      </c>
      <c r="P5449">
        <v>-0.33629179999999997</v>
      </c>
      <c r="Q5449">
        <v>0.41290919999999998</v>
      </c>
      <c r="R5449">
        <v>-0.84641219999999995</v>
      </c>
      <c r="S5449">
        <v>-1.3927309999999999</v>
      </c>
      <c r="T5449">
        <v>-0.50465539999999998</v>
      </c>
      <c r="U5449">
        <v>-3.2328800000000002</v>
      </c>
      <c r="V5449">
        <v>-0.31106339999999999</v>
      </c>
      <c r="W5449">
        <v>0.41411409999999998</v>
      </c>
      <c r="X5449">
        <v>0.8554233</v>
      </c>
      <c r="Y5449">
        <v>-0.30242249999999998</v>
      </c>
      <c r="Z5449">
        <v>8.3226869999999994E-2</v>
      </c>
      <c r="AA5449">
        <v>0.94953350000000003</v>
      </c>
      <c r="AB5449">
        <v>34</v>
      </c>
      <c r="AC5449">
        <v>-2.8856000000000099</v>
      </c>
      <c r="AD5449">
        <v>-1.122240417397</v>
      </c>
      <c r="AE5449">
        <v>-6.9338999999999897</v>
      </c>
      <c r="AF5449">
        <v>-2.29883042932601</v>
      </c>
      <c r="AG5449">
        <v>-1.122240417397</v>
      </c>
      <c r="AH5449">
        <v>6.9773996587642504</v>
      </c>
      <c r="AI5449">
        <v>98.685460989527897</v>
      </c>
      <c r="AJ5449">
        <v>108.235401512758</v>
      </c>
      <c r="AK5449">
        <v>7.4315644984995002</v>
      </c>
      <c r="AL5449">
        <v>65.536459809266503</v>
      </c>
      <c r="AM5449">
        <v>109.983129109126</v>
      </c>
      <c r="AN5449">
        <v>0.99999997441062904</v>
      </c>
    </row>
    <row r="5450" spans="1:40" x14ac:dyDescent="0.25">
      <c r="A5450" t="str">
        <f>"20190304164956503"</f>
        <v>20190304164956503</v>
      </c>
      <c r="B5450" t="str">
        <f>"1551689396491263"</f>
        <v>1551689396491263</v>
      </c>
      <c r="C5450" t="s">
        <v>40</v>
      </c>
      <c r="D5450">
        <v>4.5937710000000003</v>
      </c>
      <c r="E5450">
        <v>0.51342759999999998</v>
      </c>
      <c r="F5450" t="s">
        <v>48</v>
      </c>
      <c r="G5450">
        <v>-414.69119999999998</v>
      </c>
      <c r="H5450" s="1">
        <v>-3.188689E-6</v>
      </c>
      <c r="I5450">
        <v>123.47929999999999</v>
      </c>
      <c r="J5450">
        <v>-411.83109999999999</v>
      </c>
      <c r="K5450">
        <v>1.1223179999999999</v>
      </c>
      <c r="L5450">
        <v>130.4691</v>
      </c>
      <c r="M5450">
        <v>-0.64373649999999905</v>
      </c>
      <c r="N5450">
        <v>-1.168402E-2</v>
      </c>
      <c r="O5450">
        <v>-0.76515840000000002</v>
      </c>
      <c r="P5450">
        <v>-0.32524449999999999</v>
      </c>
      <c r="Q5450">
        <v>0.41435820000000001</v>
      </c>
      <c r="R5450">
        <v>-0.85001399999999905</v>
      </c>
      <c r="S5450">
        <v>-1.374023</v>
      </c>
      <c r="T5450">
        <v>-0.50183459999999902</v>
      </c>
      <c r="U5450">
        <v>-3.2432400000000001</v>
      </c>
      <c r="V5450">
        <v>-0.31058140000000001</v>
      </c>
      <c r="W5450">
        <v>0.4155025</v>
      </c>
      <c r="X5450">
        <v>0.85492500000000005</v>
      </c>
      <c r="Y5450">
        <v>-0.29562080000000002</v>
      </c>
      <c r="Z5450">
        <v>8.4369089999999994E-2</v>
      </c>
      <c r="AA5450">
        <v>0.95157250000000004</v>
      </c>
      <c r="AB5450">
        <v>34</v>
      </c>
      <c r="AC5450">
        <v>-2.8600999999999801</v>
      </c>
      <c r="AD5450">
        <v>-1.1223211886890001</v>
      </c>
      <c r="AE5450">
        <v>-6.9897999999999998</v>
      </c>
      <c r="AF5450">
        <v>-2.2613771296104401</v>
      </c>
      <c r="AG5450">
        <v>-1.1223211886890001</v>
      </c>
      <c r="AH5450">
        <v>7.0345930458933497</v>
      </c>
      <c r="AI5450">
        <v>98.636531407061796</v>
      </c>
      <c r="AJ5450">
        <v>107.820793021808</v>
      </c>
      <c r="AK5450">
        <v>7.47388324060769</v>
      </c>
      <c r="AL5450">
        <v>65.449033263541097</v>
      </c>
      <c r="AM5450">
        <v>109.965322309602</v>
      </c>
      <c r="AN5450">
        <v>0.99999994457860297</v>
      </c>
    </row>
    <row r="5451" spans="1:40" x14ac:dyDescent="0.25">
      <c r="A5451" t="str">
        <f>"20190304164956526"</f>
        <v>20190304164956526</v>
      </c>
      <c r="B5451" t="str">
        <f>"1551689396521519"</f>
        <v>1551689396521519</v>
      </c>
      <c r="C5451" t="s">
        <v>40</v>
      </c>
      <c r="D5451">
        <v>4.6319970000000001</v>
      </c>
      <c r="E5451">
        <v>0.51571009999999995</v>
      </c>
      <c r="F5451" t="s">
        <v>48</v>
      </c>
      <c r="G5451">
        <v>-414.86770000000001</v>
      </c>
      <c r="H5451" s="1">
        <v>-2.9425199999999999E-6</v>
      </c>
      <c r="I5451">
        <v>123.1306</v>
      </c>
      <c r="J5451">
        <v>-412.0428</v>
      </c>
      <c r="K5451">
        <v>1.122417</v>
      </c>
      <c r="L5451">
        <v>130.19980000000001</v>
      </c>
      <c r="M5451">
        <v>-0.63337739999999998</v>
      </c>
      <c r="N5451">
        <v>-1.1677140000000001E-2</v>
      </c>
      <c r="O5451">
        <v>-0.77375509999999903</v>
      </c>
      <c r="P5451">
        <v>-0.31403589999999998</v>
      </c>
      <c r="Q5451">
        <v>0.41573739999999998</v>
      </c>
      <c r="R5451">
        <v>-0.85354799999999997</v>
      </c>
      <c r="S5451">
        <v>-1.347534</v>
      </c>
      <c r="T5451">
        <v>-0.49804349999999997</v>
      </c>
      <c r="U5451">
        <v>-3.256516</v>
      </c>
      <c r="V5451">
        <v>-0.31002689999999999</v>
      </c>
      <c r="W5451">
        <v>0.416819</v>
      </c>
      <c r="X5451">
        <v>0.85448539999999995</v>
      </c>
      <c r="Y5451">
        <v>-0.29077019999999998</v>
      </c>
      <c r="Z5451">
        <v>8.5206900000000002E-2</v>
      </c>
      <c r="AA5451">
        <v>0.95299129999999999</v>
      </c>
      <c r="AB5451">
        <v>34</v>
      </c>
      <c r="AC5451">
        <v>-2.8249000000000102</v>
      </c>
      <c r="AD5451">
        <v>-1.1224199425200001</v>
      </c>
      <c r="AE5451">
        <v>-7.0692000000000004</v>
      </c>
      <c r="AF5451">
        <v>-2.2430853609652699</v>
      </c>
      <c r="AG5451">
        <v>-1.1224199425200001</v>
      </c>
      <c r="AH5451">
        <v>7.1050971578516897</v>
      </c>
      <c r="AI5451">
        <v>98.566905290104302</v>
      </c>
      <c r="AJ5451">
        <v>107.520952037122</v>
      </c>
      <c r="AK5451">
        <v>7.5348300635419401</v>
      </c>
      <c r="AL5451">
        <v>65.366080822434995</v>
      </c>
      <c r="AM5451">
        <v>109.941932740404</v>
      </c>
      <c r="AN5451">
        <v>1.0000000281488799</v>
      </c>
    </row>
    <row r="5452" spans="1:40" x14ac:dyDescent="0.25">
      <c r="A5452" t="str">
        <f>"20190304164956548"</f>
        <v>20190304164956548</v>
      </c>
      <c r="B5452" t="str">
        <f>"1551689396541043"</f>
        <v>1551689396541043</v>
      </c>
      <c r="C5452" t="s">
        <v>40</v>
      </c>
      <c r="D5452">
        <v>4.6932580000000002</v>
      </c>
      <c r="E5452">
        <v>0.51710219999999996</v>
      </c>
      <c r="F5452" t="s">
        <v>48</v>
      </c>
      <c r="G5452">
        <v>-415.02109999999999</v>
      </c>
      <c r="H5452" s="1">
        <v>-2.7359660000000001E-6</v>
      </c>
      <c r="I5452">
        <v>122.83929999999999</v>
      </c>
      <c r="J5452">
        <v>-412.25200000000001</v>
      </c>
      <c r="K5452">
        <v>1.122525</v>
      </c>
      <c r="L5452">
        <v>129.9263</v>
      </c>
      <c r="M5452">
        <v>-0.62276519999999902</v>
      </c>
      <c r="N5452">
        <v>-1.1676300000000001E-2</v>
      </c>
      <c r="O5452">
        <v>-0.78232159999999995</v>
      </c>
      <c r="P5452">
        <v>-0.30208259999999998</v>
      </c>
      <c r="Q5452">
        <v>0.41593190000000002</v>
      </c>
      <c r="R5452">
        <v>-0.85775669999999904</v>
      </c>
      <c r="S5452">
        <v>-1.323456</v>
      </c>
      <c r="T5452">
        <v>-0.49876549999999997</v>
      </c>
      <c r="U5452">
        <v>-3.2707519999999999</v>
      </c>
      <c r="V5452">
        <v>-0.31036589999999997</v>
      </c>
      <c r="W5452">
        <v>0.41692299999999899</v>
      </c>
      <c r="X5452">
        <v>0.85431159999999995</v>
      </c>
      <c r="Y5452">
        <v>-0.28525420000000001</v>
      </c>
      <c r="Z5452">
        <v>8.6849670000000004E-2</v>
      </c>
      <c r="AA5452">
        <v>0.95450880000000005</v>
      </c>
      <c r="AB5452">
        <v>34</v>
      </c>
      <c r="AC5452">
        <v>-2.7691000000000301</v>
      </c>
      <c r="AD5452">
        <v>-1.122527735966</v>
      </c>
      <c r="AE5452">
        <v>-7.0869999999999997</v>
      </c>
      <c r="AF5452">
        <v>-2.1994909667702101</v>
      </c>
      <c r="AG5452">
        <v>-1.122527735966</v>
      </c>
      <c r="AH5452">
        <v>7.1144598616763997</v>
      </c>
      <c r="AI5452">
        <v>98.572321754142806</v>
      </c>
      <c r="AJ5452">
        <v>107.179403421581</v>
      </c>
      <c r="AK5452">
        <v>7.5308278531859498</v>
      </c>
      <c r="AL5452">
        <v>65.359525721292698</v>
      </c>
      <c r="AM5452">
        <v>109.965757124806</v>
      </c>
      <c r="AN5452">
        <v>1.0000000448531801</v>
      </c>
    </row>
    <row r="5453" spans="1:40" x14ac:dyDescent="0.25">
      <c r="A5453" t="str">
        <f>"20190304164956570"</f>
        <v>20190304164956570</v>
      </c>
      <c r="B5453" t="str">
        <f>"1551689396561066"</f>
        <v>1551689396561066</v>
      </c>
      <c r="C5453" t="s">
        <v>40</v>
      </c>
      <c r="D5453">
        <v>4.6326559999999999</v>
      </c>
      <c r="E5453">
        <v>0.51834629999999904</v>
      </c>
      <c r="F5453" t="s">
        <v>48</v>
      </c>
      <c r="G5453">
        <v>-415.13220000000001</v>
      </c>
      <c r="H5453" s="1">
        <v>-2.558924E-6</v>
      </c>
      <c r="I5453">
        <v>122.5851</v>
      </c>
      <c r="J5453">
        <v>-412.44650000000001</v>
      </c>
      <c r="K5453">
        <v>1.122638</v>
      </c>
      <c r="L5453">
        <v>129.66480000000001</v>
      </c>
      <c r="M5453">
        <v>-0.61251679999999997</v>
      </c>
      <c r="N5453">
        <v>-1.1681489999999999E-2</v>
      </c>
      <c r="O5453">
        <v>-0.7903715</v>
      </c>
      <c r="P5453">
        <v>-0.2897381</v>
      </c>
      <c r="Q5453">
        <v>0.416101</v>
      </c>
      <c r="R5453">
        <v>-0.86192329999999995</v>
      </c>
      <c r="S5453">
        <v>-1.289642</v>
      </c>
      <c r="T5453">
        <v>-0.50261160000000005</v>
      </c>
      <c r="U5453">
        <v>-3.2870330000000001</v>
      </c>
      <c r="V5453">
        <v>-0.3115734</v>
      </c>
      <c r="W5453">
        <v>0.41697190000000001</v>
      </c>
      <c r="X5453">
        <v>0.85384799999999905</v>
      </c>
      <c r="Y5453">
        <v>-0.2829507</v>
      </c>
      <c r="Z5453">
        <v>8.889118E-2</v>
      </c>
      <c r="AA5453">
        <v>0.95500640000000003</v>
      </c>
      <c r="AB5453">
        <v>34</v>
      </c>
      <c r="AC5453">
        <v>-2.68569999999999</v>
      </c>
      <c r="AD5453">
        <v>-1.1226405589240001</v>
      </c>
      <c r="AE5453">
        <v>-7.0797000000000097</v>
      </c>
      <c r="AF5453">
        <v>-2.1662669131879202</v>
      </c>
      <c r="AG5453">
        <v>-1.1226405589240001</v>
      </c>
      <c r="AH5453">
        <v>7.0853737942803496</v>
      </c>
      <c r="AI5453">
        <v>98.615987083757005</v>
      </c>
      <c r="AJ5453">
        <v>107.000375342431</v>
      </c>
      <c r="AK5453">
        <v>7.4937010861381896</v>
      </c>
      <c r="AL5453">
        <v>65.356441481739196</v>
      </c>
      <c r="AM5453">
        <v>110.047278542619</v>
      </c>
      <c r="AN5453">
        <v>0.99999997804058405</v>
      </c>
    </row>
    <row r="5454" spans="1:40" x14ac:dyDescent="0.25">
      <c r="A5454" t="str">
        <f>"20190304164956592"</f>
        <v>20190304164956592</v>
      </c>
      <c r="B5454" t="str">
        <f>"1551689396581562"</f>
        <v>1551689396581562</v>
      </c>
      <c r="C5454" t="s">
        <v>40</v>
      </c>
      <c r="D5454">
        <v>4.6650869999999998</v>
      </c>
      <c r="E5454">
        <v>0.51931439999999995</v>
      </c>
      <c r="F5454" t="s">
        <v>48</v>
      </c>
      <c r="G5454">
        <v>-415.22910000000002</v>
      </c>
      <c r="H5454" s="1">
        <v>-2.3928499999999999E-6</v>
      </c>
      <c r="I5454">
        <v>122.345</v>
      </c>
      <c r="J5454">
        <v>-412.64429999999999</v>
      </c>
      <c r="K5454">
        <v>1.1227670000000001</v>
      </c>
      <c r="L5454">
        <v>129.3912</v>
      </c>
      <c r="M5454">
        <v>-0.60168299999999997</v>
      </c>
      <c r="N5454">
        <v>-1.169248E-2</v>
      </c>
      <c r="O5454">
        <v>-0.79864939999999995</v>
      </c>
      <c r="P5454">
        <v>-0.27760370000000001</v>
      </c>
      <c r="Q5454">
        <v>0.41702840000000002</v>
      </c>
      <c r="R5454">
        <v>-0.86546149999999999</v>
      </c>
      <c r="S5454">
        <v>-1.255676</v>
      </c>
      <c r="T5454">
        <v>-0.50659989999999999</v>
      </c>
      <c r="U5454">
        <v>-3.3030849999999998</v>
      </c>
      <c r="V5454">
        <v>-0.31181730000000002</v>
      </c>
      <c r="W5454">
        <v>0.41780089999999998</v>
      </c>
      <c r="X5454">
        <v>0.85335369999999999</v>
      </c>
      <c r="Y5454">
        <v>-0.28006890000000001</v>
      </c>
      <c r="Z5454">
        <v>9.103696E-2</v>
      </c>
      <c r="AA5454">
        <v>0.95565350000000004</v>
      </c>
      <c r="AB5454">
        <v>34</v>
      </c>
      <c r="AC5454">
        <v>-2.58480000000002</v>
      </c>
      <c r="AD5454">
        <v>-1.12276939285</v>
      </c>
      <c r="AE5454">
        <v>-7.04619999999999</v>
      </c>
      <c r="AF5454">
        <v>-2.1277613393872001</v>
      </c>
      <c r="AG5454">
        <v>-1.12276939285</v>
      </c>
      <c r="AH5454">
        <v>7.0259313960924796</v>
      </c>
      <c r="AI5454">
        <v>98.695654568797295</v>
      </c>
      <c r="AJ5454">
        <v>106.848622928193</v>
      </c>
      <c r="AK5454">
        <v>7.42641847794141</v>
      </c>
      <c r="AL5454">
        <v>65.304175313166297</v>
      </c>
      <c r="AM5454">
        <v>110.072413569483</v>
      </c>
      <c r="AN5454">
        <v>1.0000000789618899</v>
      </c>
    </row>
    <row r="5455" spans="1:40" x14ac:dyDescent="0.25">
      <c r="A5455" t="str">
        <f>"20190304164956615"</f>
        <v>20190304164956615</v>
      </c>
      <c r="B5455" t="str">
        <f>"1551689396610842"</f>
        <v>1551689396610842</v>
      </c>
      <c r="C5455" t="s">
        <v>40</v>
      </c>
      <c r="D5455">
        <v>4.6549300000000002</v>
      </c>
      <c r="E5455">
        <v>0.53169549999999999</v>
      </c>
      <c r="F5455" t="s">
        <v>48</v>
      </c>
      <c r="G5455">
        <v>-415.34140000000002</v>
      </c>
      <c r="H5455" s="1">
        <v>-2.1882469999999999E-6</v>
      </c>
      <c r="I5455">
        <v>122.04770000000001</v>
      </c>
      <c r="J5455">
        <v>-412.84379999999999</v>
      </c>
      <c r="K5455">
        <v>1.122908</v>
      </c>
      <c r="L5455">
        <v>129.10730000000001</v>
      </c>
      <c r="M5455">
        <v>-0.59031129999999998</v>
      </c>
      <c r="N5455">
        <v>-1.17091E-2</v>
      </c>
      <c r="O5455">
        <v>-0.8070908</v>
      </c>
      <c r="P5455">
        <v>-0.26515949999999999</v>
      </c>
      <c r="Q5455">
        <v>0.41813620000000001</v>
      </c>
      <c r="R5455">
        <v>-0.86882269999999995</v>
      </c>
      <c r="S5455">
        <v>-1.2192989999999999</v>
      </c>
      <c r="T5455">
        <v>-0.50758409999999998</v>
      </c>
      <c r="U5455">
        <v>-3.319839</v>
      </c>
      <c r="V5455">
        <v>-0.31183959999999999</v>
      </c>
      <c r="W5455">
        <v>0.41881269999999998</v>
      </c>
      <c r="X5455">
        <v>0.85284939999999998</v>
      </c>
      <c r="Y5455">
        <v>-0.2773138</v>
      </c>
      <c r="Z5455">
        <v>9.2612589999999995E-2</v>
      </c>
      <c r="AA5455">
        <v>0.95630539999999997</v>
      </c>
      <c r="AB5455">
        <v>34</v>
      </c>
      <c r="AC5455">
        <v>-2.49760000000003</v>
      </c>
      <c r="AD5455">
        <v>-1.1229101882470001</v>
      </c>
      <c r="AE5455">
        <v>-7.0595999999999997</v>
      </c>
      <c r="AF5455">
        <v>-2.10439943011828</v>
      </c>
      <c r="AG5455">
        <v>-1.1229101882470001</v>
      </c>
      <c r="AH5455">
        <v>7.0148546537847896</v>
      </c>
      <c r="AI5455">
        <v>98.717012080318796</v>
      </c>
      <c r="AJ5455">
        <v>106.69881736532</v>
      </c>
      <c r="AK5455">
        <v>7.4092921433883996</v>
      </c>
      <c r="AL5455">
        <v>65.240350542134095</v>
      </c>
      <c r="AM5455">
        <v>110.0846557783</v>
      </c>
      <c r="AN5455">
        <v>1.0000000564449001</v>
      </c>
    </row>
    <row r="5456" spans="1:40" x14ac:dyDescent="0.25">
      <c r="A5456" t="str">
        <f>"20190304164956639"</f>
        <v>20190304164956639</v>
      </c>
      <c r="B5456" t="str">
        <f>"1551689396631338"</f>
        <v>1551689396631338</v>
      </c>
      <c r="C5456" t="s">
        <v>40</v>
      </c>
      <c r="D5456">
        <v>4.7734949999999996</v>
      </c>
      <c r="E5456">
        <v>0.53168459999999995</v>
      </c>
      <c r="F5456" t="s">
        <v>48</v>
      </c>
      <c r="G5456">
        <v>-415.26299999999998</v>
      </c>
      <c r="H5456" s="1">
        <v>-2.6463840000000002E-6</v>
      </c>
      <c r="I5456">
        <v>122.7513</v>
      </c>
      <c r="J5456">
        <v>-413.03870000000001</v>
      </c>
      <c r="K5456">
        <v>1.1230519999999999</v>
      </c>
      <c r="L5456">
        <v>128.8202</v>
      </c>
      <c r="M5456">
        <v>-0.57866609999999996</v>
      </c>
      <c r="N5456">
        <v>-1.1731159999999999E-2</v>
      </c>
      <c r="O5456">
        <v>-0.81548039999999999</v>
      </c>
      <c r="P5456">
        <v>-0.25348280000000001</v>
      </c>
      <c r="Q5456">
        <v>0.41809950000000001</v>
      </c>
      <c r="R5456">
        <v>-0.87231879999999995</v>
      </c>
      <c r="S5456">
        <v>-1.274597</v>
      </c>
      <c r="T5456">
        <v>-0.59161079999999999</v>
      </c>
      <c r="U5456">
        <v>-3.3486790000000002</v>
      </c>
      <c r="V5456">
        <v>-0.31119540000000001</v>
      </c>
      <c r="W5456">
        <v>0.4187092</v>
      </c>
      <c r="X5456">
        <v>0.85313549999999905</v>
      </c>
      <c r="Y5456">
        <v>-0.25299660000000002</v>
      </c>
      <c r="Z5456">
        <v>0.1106351</v>
      </c>
      <c r="AA5456">
        <v>0.96112050000000004</v>
      </c>
      <c r="AB5456">
        <v>34</v>
      </c>
      <c r="AC5456">
        <v>-2.2243000000000199</v>
      </c>
      <c r="AD5456">
        <v>-1.1230546463840001</v>
      </c>
      <c r="AE5456">
        <v>-6.0688999999999904</v>
      </c>
      <c r="AF5456">
        <v>-1.6483488253208101</v>
      </c>
      <c r="AG5456">
        <v>-1.1230546463840001</v>
      </c>
      <c r="AH5456">
        <v>6.05386623071435</v>
      </c>
      <c r="AI5456">
        <v>100.148129639499</v>
      </c>
      <c r="AJ5456">
        <v>105.231282072407</v>
      </c>
      <c r="AK5456">
        <v>6.3739785007548297</v>
      </c>
      <c r="AL5456">
        <v>65.246881332551396</v>
      </c>
      <c r="AM5456">
        <v>110.04028438357599</v>
      </c>
      <c r="AN5456">
        <v>1.0000000762530199</v>
      </c>
    </row>
    <row r="5457" spans="1:40" x14ac:dyDescent="0.25">
      <c r="A5457" t="str">
        <f>"20190304164956659"</f>
        <v>20190304164956659</v>
      </c>
      <c r="B5457" t="str">
        <f>"1551689396650858"</f>
        <v>1551689396650858</v>
      </c>
      <c r="C5457" t="s">
        <v>40</v>
      </c>
      <c r="D5457">
        <v>4.6178059999999999</v>
      </c>
      <c r="E5457">
        <v>0.53222449999999999</v>
      </c>
      <c r="F5457" t="s">
        <v>48</v>
      </c>
      <c r="G5457">
        <v>-415.38130000000001</v>
      </c>
      <c r="H5457" s="1">
        <v>-2.40077E-6</v>
      </c>
      <c r="I5457">
        <v>122.3908</v>
      </c>
      <c r="J5457">
        <v>-413.21839999999997</v>
      </c>
      <c r="K5457">
        <v>1.123186</v>
      </c>
      <c r="L5457">
        <v>128.54759999999999</v>
      </c>
      <c r="M5457">
        <v>-0.56748160000000003</v>
      </c>
      <c r="N5457">
        <v>-1.1754840000000001E-2</v>
      </c>
      <c r="O5457">
        <v>-0.82330210000000004</v>
      </c>
      <c r="P5457">
        <v>-0.24265010000000001</v>
      </c>
      <c r="Q5457">
        <v>0.41710469999999999</v>
      </c>
      <c r="R5457">
        <v>-0.87586769999999903</v>
      </c>
      <c r="S5457">
        <v>-1.225922</v>
      </c>
      <c r="T5457">
        <v>-0.58770909999999998</v>
      </c>
      <c r="U5457">
        <v>-3.3645629999999902</v>
      </c>
      <c r="V5457">
        <v>-0.31050489999999997</v>
      </c>
      <c r="W5457">
        <v>0.41766130000000001</v>
      </c>
      <c r="X5457">
        <v>0.85390029999999995</v>
      </c>
      <c r="Y5457">
        <v>-0.25352069999999999</v>
      </c>
      <c r="Z5457">
        <v>0.11129410000000001</v>
      </c>
      <c r="AA5457">
        <v>0.96090629999999999</v>
      </c>
      <c r="AB5457">
        <v>35</v>
      </c>
      <c r="AC5457">
        <v>-2.1629000000000298</v>
      </c>
      <c r="AD5457">
        <v>-1.1231884007699999</v>
      </c>
      <c r="AE5457">
        <v>-6.1567999999999898</v>
      </c>
      <c r="AF5457">
        <v>-1.66397416003082</v>
      </c>
      <c r="AG5457">
        <v>-1.1231884007699999</v>
      </c>
      <c r="AH5457">
        <v>6.1155750055461002</v>
      </c>
      <c r="AI5457">
        <v>100.049479827083</v>
      </c>
      <c r="AJ5457">
        <v>105.22101770899999</v>
      </c>
      <c r="AK5457">
        <v>6.4366621658538801</v>
      </c>
      <c r="AL5457">
        <v>65.312976304333603</v>
      </c>
      <c r="AM5457">
        <v>109.982851692561</v>
      </c>
      <c r="AN5457">
        <v>0.99999998839089399</v>
      </c>
    </row>
    <row r="5458" spans="1:40" x14ac:dyDescent="0.25">
      <c r="A5458" t="str">
        <f>"20190304164956683"</f>
        <v>20190304164956683</v>
      </c>
      <c r="B5458" t="str">
        <f>"1551689396671354"</f>
        <v>1551689396671354</v>
      </c>
      <c r="C5458" t="s">
        <v>40</v>
      </c>
      <c r="D5458">
        <v>4.6250720000000003</v>
      </c>
      <c r="E5458">
        <v>0.53297169999999905</v>
      </c>
      <c r="F5458" t="s">
        <v>48</v>
      </c>
      <c r="G5458">
        <v>-415.49220000000003</v>
      </c>
      <c r="H5458" s="1">
        <v>-2.1850109999999999E-6</v>
      </c>
      <c r="I5458">
        <v>122.0757</v>
      </c>
      <c r="J5458">
        <v>-413.40719999999999</v>
      </c>
      <c r="K5458">
        <v>1.1233200000000001</v>
      </c>
      <c r="L5458">
        <v>128.2518</v>
      </c>
      <c r="M5458">
        <v>-0.55521390000000004</v>
      </c>
      <c r="N5458">
        <v>-1.1781359999999999E-2</v>
      </c>
      <c r="O5458">
        <v>-0.83162420000000004</v>
      </c>
      <c r="P5458">
        <v>-0.23112460000000001</v>
      </c>
      <c r="Q5458">
        <v>0.41599520000000001</v>
      </c>
      <c r="R5458">
        <v>-0.87950519999999999</v>
      </c>
      <c r="S5458">
        <v>-1.1859740000000001</v>
      </c>
      <c r="T5458">
        <v>-0.58582190000000001</v>
      </c>
      <c r="U5458">
        <v>-3.3755799999999998</v>
      </c>
      <c r="V5458">
        <v>-0.3094597</v>
      </c>
      <c r="W5458">
        <v>0.4165124</v>
      </c>
      <c r="X5458">
        <v>0.8548403</v>
      </c>
      <c r="Y5458">
        <v>-0.25031170000000003</v>
      </c>
      <c r="Z5458">
        <v>0.1126677</v>
      </c>
      <c r="AA5458">
        <v>0.96158730000000003</v>
      </c>
      <c r="AB5458">
        <v>35</v>
      </c>
      <c r="AC5458">
        <v>-2.0850000000000302</v>
      </c>
      <c r="AD5458">
        <v>-1.123322185011</v>
      </c>
      <c r="AE5458">
        <v>-6.1760999999999999</v>
      </c>
      <c r="AF5458">
        <v>-1.64634673220508</v>
      </c>
      <c r="AG5458">
        <v>-1.123322185011</v>
      </c>
      <c r="AH5458">
        <v>6.1127244180534497</v>
      </c>
      <c r="AI5458">
        <v>100.062095209286</v>
      </c>
      <c r="AJ5458">
        <v>105.07384751450699</v>
      </c>
      <c r="AK5458">
        <v>6.4294408858816903</v>
      </c>
      <c r="AL5458">
        <v>65.385402006361403</v>
      </c>
      <c r="AM5458">
        <v>109.90070111945199</v>
      </c>
      <c r="AN5458">
        <v>0.99999991189096604</v>
      </c>
    </row>
    <row r="5459" spans="1:40" x14ac:dyDescent="0.25">
      <c r="A5459" t="str">
        <f>"20190304164956706"</f>
        <v>20190304164956706</v>
      </c>
      <c r="B5459" t="str">
        <f>"1551689396701610"</f>
        <v>1551689396701610</v>
      </c>
      <c r="C5459" t="s">
        <v>40</v>
      </c>
      <c r="D5459">
        <v>4.6111750000000002</v>
      </c>
      <c r="E5459">
        <v>0.53403250000000002</v>
      </c>
      <c r="F5459" t="s">
        <v>48</v>
      </c>
      <c r="G5459">
        <v>-415.56200000000001</v>
      </c>
      <c r="H5459" s="1">
        <v>-2.0467529999999998E-6</v>
      </c>
      <c r="I5459">
        <v>121.87350000000001</v>
      </c>
      <c r="J5459">
        <v>-413.58519999999999</v>
      </c>
      <c r="K5459">
        <v>1.1234470000000001</v>
      </c>
      <c r="L5459">
        <v>127.9639</v>
      </c>
      <c r="M5459">
        <v>-0.54315219999999997</v>
      </c>
      <c r="N5459">
        <v>-1.1806509999999999E-2</v>
      </c>
      <c r="O5459">
        <v>-0.83955119999999905</v>
      </c>
      <c r="P5459">
        <v>-0.22023519999999999</v>
      </c>
      <c r="Q5459">
        <v>0.41600150000000002</v>
      </c>
      <c r="R5459">
        <v>-0.88229199999999997</v>
      </c>
      <c r="S5459">
        <v>-1.146088</v>
      </c>
      <c r="T5459">
        <v>-0.59745539999999997</v>
      </c>
      <c r="U5459">
        <v>-3.3924259999999999</v>
      </c>
      <c r="V5459">
        <v>-0.30781209999999998</v>
      </c>
      <c r="W5459">
        <v>0.41650419999999999</v>
      </c>
      <c r="X5459">
        <v>0.85543910000000001</v>
      </c>
      <c r="Y5459">
        <v>-0.2480784</v>
      </c>
      <c r="Z5459">
        <v>0.11652609999999999</v>
      </c>
      <c r="AA5459">
        <v>0.96170619999999996</v>
      </c>
      <c r="AB5459">
        <v>35</v>
      </c>
      <c r="AC5459">
        <v>-1.9767999999999599</v>
      </c>
      <c r="AD5459">
        <v>-1.1234490467529901</v>
      </c>
      <c r="AE5459">
        <v>-6.0903999999999803</v>
      </c>
      <c r="AF5459">
        <v>-1.5992733741938601</v>
      </c>
      <c r="AG5459">
        <v>-1.1234490467529901</v>
      </c>
      <c r="AH5459">
        <v>6.0025587341406998</v>
      </c>
      <c r="AI5459">
        <v>100.251291198469</v>
      </c>
      <c r="AJ5459">
        <v>104.918860517478</v>
      </c>
      <c r="AK5459">
        <v>6.3127271795052602</v>
      </c>
      <c r="AL5459">
        <v>65.385922302522303</v>
      </c>
      <c r="AM5459">
        <v>109.790220420715</v>
      </c>
      <c r="AN5459">
        <v>1.00000004566642</v>
      </c>
    </row>
    <row r="5460" spans="1:40" x14ac:dyDescent="0.25">
      <c r="A5460" t="str">
        <f>"20190304164956727"</f>
        <v>20190304164956727</v>
      </c>
      <c r="B5460" t="str">
        <f>"1551689396721130"</f>
        <v>1551689396721130</v>
      </c>
      <c r="C5460" t="s">
        <v>40</v>
      </c>
      <c r="D5460">
        <v>4.7093879999999997</v>
      </c>
      <c r="E5460">
        <v>0.53468349999999998</v>
      </c>
      <c r="F5460" t="s">
        <v>48</v>
      </c>
      <c r="G5460">
        <v>-415.63670000000002</v>
      </c>
      <c r="H5460" s="1">
        <v>-1.9398259999999999E-6</v>
      </c>
      <c r="I5460">
        <v>121.6849</v>
      </c>
      <c r="J5460">
        <v>-413.76420000000002</v>
      </c>
      <c r="K5460">
        <v>1.1235790000000001</v>
      </c>
      <c r="L5460">
        <v>127.6648</v>
      </c>
      <c r="M5460">
        <v>-0.5305105</v>
      </c>
      <c r="N5460">
        <v>-1.1833400000000001E-2</v>
      </c>
      <c r="O5460">
        <v>-0.84759589999999996</v>
      </c>
      <c r="P5460">
        <v>-0.2091017</v>
      </c>
      <c r="Q5460">
        <v>0.41606739999999998</v>
      </c>
      <c r="R5460">
        <v>-0.88496600000000003</v>
      </c>
      <c r="S5460">
        <v>-1.114044</v>
      </c>
      <c r="T5460">
        <v>-0.61008739999999995</v>
      </c>
      <c r="U5460">
        <v>-3.409805</v>
      </c>
      <c r="V5460">
        <v>-0.30587510000000001</v>
      </c>
      <c r="W5460">
        <v>0.41657230000000001</v>
      </c>
      <c r="X5460">
        <v>0.85610039999999998</v>
      </c>
      <c r="Y5460">
        <v>-0.24334230000000001</v>
      </c>
      <c r="Z5460">
        <v>0.1206725</v>
      </c>
      <c r="AA5460">
        <v>0.96240460000000005</v>
      </c>
      <c r="AB5460">
        <v>35</v>
      </c>
      <c r="AC5460">
        <v>-1.8725000000000001</v>
      </c>
      <c r="AD5460">
        <v>-1.1235809398259999</v>
      </c>
      <c r="AE5460">
        <v>-5.9798999999999998</v>
      </c>
      <c r="AF5460">
        <v>-1.5360028085726001</v>
      </c>
      <c r="AG5460">
        <v>-1.1235809398259999</v>
      </c>
      <c r="AH5460">
        <v>5.8735028714818798</v>
      </c>
      <c r="AI5460">
        <v>100.485245755561</v>
      </c>
      <c r="AJ5460">
        <v>104.655435448788</v>
      </c>
      <c r="AK5460">
        <v>6.1741213737332004</v>
      </c>
      <c r="AL5460">
        <v>65.381628586275198</v>
      </c>
      <c r="AM5460">
        <v>109.661240621842</v>
      </c>
      <c r="AN5460">
        <v>0.99999997640372895</v>
      </c>
    </row>
    <row r="5461" spans="1:40" x14ac:dyDescent="0.25">
      <c r="A5461" t="str">
        <f>"20190304164956749"</f>
        <v>20190304164956749</v>
      </c>
      <c r="B5461" t="str">
        <f>"1551689396741630"</f>
        <v>1551689396741630</v>
      </c>
      <c r="C5461" t="s">
        <v>40</v>
      </c>
      <c r="D5461">
        <v>4.6226690000000001</v>
      </c>
      <c r="E5461">
        <v>0.53519380000000005</v>
      </c>
      <c r="F5461" t="s">
        <v>48</v>
      </c>
      <c r="G5461">
        <v>-415.73809999999997</v>
      </c>
      <c r="H5461" s="1">
        <v>-1.797594E-6</v>
      </c>
      <c r="I5461">
        <v>121.3832</v>
      </c>
      <c r="J5461">
        <v>-413.928</v>
      </c>
      <c r="K5461">
        <v>1.1236870000000001</v>
      </c>
      <c r="L5461">
        <v>127.3818</v>
      </c>
      <c r="M5461">
        <v>-0.51845470000000005</v>
      </c>
      <c r="N5461">
        <v>-1.1860870000000001E-2</v>
      </c>
      <c r="O5461">
        <v>-0.85502279999999997</v>
      </c>
      <c r="P5461">
        <v>-0.1984302</v>
      </c>
      <c r="Q5461">
        <v>0.41660439999999999</v>
      </c>
      <c r="R5461">
        <v>-0.887167499999999</v>
      </c>
      <c r="S5461">
        <v>-1.0758669999999999</v>
      </c>
      <c r="T5461">
        <v>-0.61237959999999902</v>
      </c>
      <c r="U5461">
        <v>-3.4236599999999999</v>
      </c>
      <c r="V5461">
        <v>-0.30404799999999998</v>
      </c>
      <c r="W5461">
        <v>0.41712060000000001</v>
      </c>
      <c r="X5461">
        <v>0.85648419999999903</v>
      </c>
      <c r="Y5461">
        <v>-0.24055289999999999</v>
      </c>
      <c r="Z5461">
        <v>0.1226334</v>
      </c>
      <c r="AA5461">
        <v>0.96285790000000004</v>
      </c>
      <c r="AB5461">
        <v>35</v>
      </c>
      <c r="AC5461">
        <v>-1.8100999999999201</v>
      </c>
      <c r="AD5461">
        <v>-1.123688797594</v>
      </c>
      <c r="AE5461">
        <v>-5.9985999999999899</v>
      </c>
      <c r="AF5461">
        <v>-1.51375003579222</v>
      </c>
      <c r="AG5461">
        <v>-1.123688797594</v>
      </c>
      <c r="AH5461">
        <v>5.8787482355476097</v>
      </c>
      <c r="AI5461">
        <v>100.487095346348</v>
      </c>
      <c r="AJ5461">
        <v>104.439712532488</v>
      </c>
      <c r="AK5461">
        <v>6.1736372181764496</v>
      </c>
      <c r="AL5461">
        <v>65.347067622045799</v>
      </c>
      <c r="AM5461">
        <v>109.544631164281</v>
      </c>
      <c r="AN5461">
        <v>0.99999998304899895</v>
      </c>
    </row>
    <row r="5462" spans="1:40" x14ac:dyDescent="0.25">
      <c r="A5462" t="str">
        <f>"20190304164956771"</f>
        <v>20190304164956771</v>
      </c>
      <c r="B5462" t="str">
        <f>"1551689396761146"</f>
        <v>1551689396761146</v>
      </c>
      <c r="C5462" t="s">
        <v>40</v>
      </c>
      <c r="D5462">
        <v>4.6951720000000003</v>
      </c>
      <c r="E5462">
        <v>0.5179163</v>
      </c>
      <c r="F5462" t="s">
        <v>48</v>
      </c>
      <c r="G5462">
        <v>-415.83010000000002</v>
      </c>
      <c r="H5462" s="1">
        <v>-1.662807E-6</v>
      </c>
      <c r="I5462">
        <v>121.09439999999999</v>
      </c>
      <c r="J5462">
        <v>-414.09480000000002</v>
      </c>
      <c r="K5462">
        <v>1.123788</v>
      </c>
      <c r="L5462">
        <v>127.0838</v>
      </c>
      <c r="M5462">
        <v>-0.50568539999999995</v>
      </c>
      <c r="N5462">
        <v>-1.188993E-2</v>
      </c>
      <c r="O5462">
        <v>-0.86263599999999996</v>
      </c>
      <c r="P5462">
        <v>-0.1869951</v>
      </c>
      <c r="Q5462">
        <v>0.41701850000000001</v>
      </c>
      <c r="R5462">
        <v>-0.88945409999999903</v>
      </c>
      <c r="S5462">
        <v>-1.039917</v>
      </c>
      <c r="T5462">
        <v>-0.61433850000000001</v>
      </c>
      <c r="U5462">
        <v>-3.437424</v>
      </c>
      <c r="V5462">
        <v>-0.30234759999999899</v>
      </c>
      <c r="W5462">
        <v>0.41754869999999999</v>
      </c>
      <c r="X5462">
        <v>0.85687749999999996</v>
      </c>
      <c r="Y5462">
        <v>-0.23648269999999999</v>
      </c>
      <c r="Z5462">
        <v>0.1245923</v>
      </c>
      <c r="AA5462">
        <v>0.96361439999999998</v>
      </c>
      <c r="AB5462">
        <v>35</v>
      </c>
      <c r="AC5462">
        <v>-1.7352999999999901</v>
      </c>
      <c r="AD5462">
        <v>-1.1237896628069901</v>
      </c>
      <c r="AE5462">
        <v>-5.9893999999999998</v>
      </c>
      <c r="AF5462">
        <v>-1.48373847074822</v>
      </c>
      <c r="AG5462">
        <v>-1.1237896628069901</v>
      </c>
      <c r="AH5462">
        <v>5.8544703946982404</v>
      </c>
      <c r="AI5462">
        <v>100.54056195782999</v>
      </c>
      <c r="AJ5462">
        <v>104.22142612405899</v>
      </c>
      <c r="AK5462">
        <v>6.14322445123147</v>
      </c>
      <c r="AL5462">
        <v>65.320077377162207</v>
      </c>
      <c r="AM5462">
        <v>109.435292651081</v>
      </c>
      <c r="AN5462">
        <v>1.0000000190518401</v>
      </c>
    </row>
    <row r="5463" spans="1:40" x14ac:dyDescent="0.25">
      <c r="A5463" t="str">
        <f>"20190304164956794"</f>
        <v>20190304164956794</v>
      </c>
      <c r="B5463" t="str">
        <f>"1551689396791403"</f>
        <v>1551689396791403</v>
      </c>
      <c r="C5463" t="s">
        <v>40</v>
      </c>
      <c r="D5463">
        <v>4.5462379999999998</v>
      </c>
      <c r="E5463">
        <v>0.50506139999999999</v>
      </c>
      <c r="F5463" t="s">
        <v>42</v>
      </c>
      <c r="G5463">
        <v>-416.10329999999999</v>
      </c>
      <c r="H5463" s="1">
        <v>-4.7062739999999999E-6</v>
      </c>
      <c r="I5463">
        <v>118.992</v>
      </c>
      <c r="J5463">
        <v>-414.25360000000001</v>
      </c>
      <c r="K5463">
        <v>1.1238589999999999</v>
      </c>
      <c r="L5463">
        <v>126.79</v>
      </c>
      <c r="M5463">
        <v>-0.49303550000000002</v>
      </c>
      <c r="N5463">
        <v>-1.1916599999999999E-2</v>
      </c>
      <c r="O5463">
        <v>-0.86992760000000002</v>
      </c>
      <c r="P5463">
        <v>-0.17590349999999999</v>
      </c>
      <c r="Q5463">
        <v>0.41747220000000002</v>
      </c>
      <c r="R5463">
        <v>-0.8915014</v>
      </c>
      <c r="S5463">
        <v>-0.84817500000000001</v>
      </c>
      <c r="T5463">
        <v>-0.47455930000000002</v>
      </c>
      <c r="U5463">
        <v>-3.4170229999999999</v>
      </c>
      <c r="V5463">
        <v>-0.3004945</v>
      </c>
      <c r="W5463">
        <v>0.41803180000000001</v>
      </c>
      <c r="X5463">
        <v>0.85729369999999905</v>
      </c>
      <c r="Y5463">
        <v>-0.26990439999999999</v>
      </c>
      <c r="Z5463">
        <v>9.615862E-2</v>
      </c>
      <c r="AA5463">
        <v>0.95807370000000003</v>
      </c>
      <c r="AB5463">
        <v>35</v>
      </c>
      <c r="AC5463">
        <v>-1.8496999999999799</v>
      </c>
      <c r="AD5463">
        <v>-1.123863706274</v>
      </c>
      <c r="AE5463">
        <v>-7.798</v>
      </c>
      <c r="AF5463">
        <v>-2.1926270278053099</v>
      </c>
      <c r="AG5463">
        <v>-1.123863706274</v>
      </c>
      <c r="AH5463">
        <v>7.5477843450856499</v>
      </c>
      <c r="AI5463">
        <v>98.137483778517506</v>
      </c>
      <c r="AJ5463">
        <v>106.19855071227499</v>
      </c>
      <c r="AK5463">
        <v>7.9397563837476897</v>
      </c>
      <c r="AL5463">
        <v>65.289611222601707</v>
      </c>
      <c r="AM5463">
        <v>109.316340976753</v>
      </c>
      <c r="AN5463">
        <v>1.0000000092005901</v>
      </c>
    </row>
    <row r="5464" spans="1:40" x14ac:dyDescent="0.25">
      <c r="A5464" t="str">
        <f>"20190304164956818"</f>
        <v>20190304164956818</v>
      </c>
      <c r="B5464" t="str">
        <f>"1551689396810923"</f>
        <v>1551689396810923</v>
      </c>
      <c r="C5464" t="s">
        <v>40</v>
      </c>
      <c r="D5464">
        <v>4.6460710000000001</v>
      </c>
      <c r="E5464">
        <v>0.50413859999999999</v>
      </c>
      <c r="F5464" t="s">
        <v>42</v>
      </c>
      <c r="G5464">
        <v>-416.17230000000001</v>
      </c>
      <c r="H5464" s="1">
        <v>-4.0201830000000002E-6</v>
      </c>
      <c r="I5464">
        <v>117.4212</v>
      </c>
      <c r="J5464">
        <v>-414.42239999999998</v>
      </c>
      <c r="K5464">
        <v>1.123923</v>
      </c>
      <c r="L5464">
        <v>126.4658</v>
      </c>
      <c r="M5464">
        <v>-0.47904200000000002</v>
      </c>
      <c r="N5464">
        <v>-1.1941520000000001E-2</v>
      </c>
      <c r="O5464">
        <v>-0.87771080000000001</v>
      </c>
      <c r="P5464">
        <v>-0.16324040000000001</v>
      </c>
      <c r="Q5464">
        <v>0.41752850000000002</v>
      </c>
      <c r="R5464">
        <v>-0.89388029999999996</v>
      </c>
      <c r="S5464">
        <v>-0.70019529999999996</v>
      </c>
      <c r="T5464">
        <v>-0.41013919999999998</v>
      </c>
      <c r="U5464">
        <v>-3.4190059999999902</v>
      </c>
      <c r="V5464">
        <v>-0.29898459999999899</v>
      </c>
      <c r="W5464">
        <v>0.41811359999999997</v>
      </c>
      <c r="X5464">
        <v>0.85778149999999997</v>
      </c>
      <c r="Y5464">
        <v>-0.29369410000000001</v>
      </c>
      <c r="Z5464">
        <v>8.2833539999999997E-2</v>
      </c>
      <c r="AA5464">
        <v>0.95230369999999998</v>
      </c>
      <c r="AB5464">
        <v>35</v>
      </c>
      <c r="AC5464">
        <v>-1.74990000000002</v>
      </c>
      <c r="AD5464">
        <v>-1.1239270201830001</v>
      </c>
      <c r="AE5464">
        <v>-9.0446000000000009</v>
      </c>
      <c r="AF5464">
        <v>-2.7560142411152699</v>
      </c>
      <c r="AG5464">
        <v>-1.1239270201830001</v>
      </c>
      <c r="AH5464">
        <v>8.6487114101056992</v>
      </c>
      <c r="AI5464">
        <v>97.058352768484298</v>
      </c>
      <c r="AJ5464">
        <v>107.675095236796</v>
      </c>
      <c r="AK5464">
        <v>9.1465313370271701</v>
      </c>
      <c r="AL5464">
        <v>65.284450017222397</v>
      </c>
      <c r="AM5464">
        <v>109.216289767981</v>
      </c>
      <c r="AN5464">
        <v>0.99999993764218298</v>
      </c>
    </row>
    <row r="5465" spans="1:40" x14ac:dyDescent="0.25">
      <c r="A5465" t="str">
        <f>"20190304164956842"</f>
        <v>20190304164956842</v>
      </c>
      <c r="B5465" t="str">
        <f>"1551689396831419"</f>
        <v>1551689396831419</v>
      </c>
      <c r="C5465" t="s">
        <v>40</v>
      </c>
      <c r="D5465">
        <v>4.5782669999999897</v>
      </c>
      <c r="E5465">
        <v>0.50429369999999996</v>
      </c>
      <c r="F5465" t="s">
        <v>42</v>
      </c>
      <c r="G5465">
        <v>-416.19220000000001</v>
      </c>
      <c r="H5465" s="1">
        <v>-3.8644590000000004E-6</v>
      </c>
      <c r="I5465">
        <v>117.0665</v>
      </c>
      <c r="J5465">
        <v>-414.58780000000002</v>
      </c>
      <c r="K5465">
        <v>1.123966</v>
      </c>
      <c r="L5465">
        <v>126.1348</v>
      </c>
      <c r="M5465">
        <v>-0.464754</v>
      </c>
      <c r="N5465">
        <v>-1.196031E-2</v>
      </c>
      <c r="O5465">
        <v>-0.88535919999999901</v>
      </c>
      <c r="P5465">
        <v>-0.15058849999999999</v>
      </c>
      <c r="Q5465">
        <v>0.41733589999999998</v>
      </c>
      <c r="R5465">
        <v>-0.8961886</v>
      </c>
      <c r="S5465">
        <v>-0.64581299999999997</v>
      </c>
      <c r="T5465">
        <v>-0.41011419999999998</v>
      </c>
      <c r="U5465">
        <v>-3.429764</v>
      </c>
      <c r="V5465">
        <v>-0.29728559999999998</v>
      </c>
      <c r="W5465">
        <v>0.4179659</v>
      </c>
      <c r="X5465">
        <v>0.85844379999999998</v>
      </c>
      <c r="Y5465">
        <v>-0.29333999999999999</v>
      </c>
      <c r="Z5465">
        <v>8.3894419999999997E-2</v>
      </c>
      <c r="AA5465">
        <v>0.95232000000000006</v>
      </c>
      <c r="AB5465">
        <v>35</v>
      </c>
      <c r="AC5465">
        <v>-1.6043999999999901</v>
      </c>
      <c r="AD5465">
        <v>-1.1239698644589999</v>
      </c>
      <c r="AE5465">
        <v>-9.06829999999999</v>
      </c>
      <c r="AF5465">
        <v>-2.75324539089898</v>
      </c>
      <c r="AG5465">
        <v>-1.1239698644589999</v>
      </c>
      <c r="AH5465">
        <v>8.6461865449767608</v>
      </c>
      <c r="AI5465">
        <v>97.061118812044896</v>
      </c>
      <c r="AJ5465">
        <v>107.663277731086</v>
      </c>
      <c r="AK5465">
        <v>9.1433150557801302</v>
      </c>
      <c r="AL5465">
        <v>65.293767019472696</v>
      </c>
      <c r="AM5465">
        <v>109.101357728737</v>
      </c>
      <c r="AN5465">
        <v>0.99999998964430503</v>
      </c>
    </row>
    <row r="5466" spans="1:40" x14ac:dyDescent="0.25">
      <c r="A5466" t="str">
        <f>"20190304164956861"</f>
        <v>20190304164956861</v>
      </c>
      <c r="B5466" t="str">
        <f>"1551689396850939"</f>
        <v>1551689396850939</v>
      </c>
      <c r="C5466" t="s">
        <v>40</v>
      </c>
      <c r="D5466">
        <v>4.593693</v>
      </c>
      <c r="E5466">
        <v>0.50462370000000001</v>
      </c>
      <c r="F5466" t="s">
        <v>42</v>
      </c>
      <c r="G5466">
        <v>-416.22829999999999</v>
      </c>
      <c r="H5466" s="1">
        <v>-3.714586E-6</v>
      </c>
      <c r="I5466">
        <v>116.732</v>
      </c>
      <c r="J5466">
        <v>-414.71850000000001</v>
      </c>
      <c r="K5466">
        <v>1.12398</v>
      </c>
      <c r="L5466">
        <v>125.8639</v>
      </c>
      <c r="M5466">
        <v>-0.45306629999999998</v>
      </c>
      <c r="N5466">
        <v>-1.1970929999999999E-2</v>
      </c>
      <c r="O5466">
        <v>-0.89139650000000004</v>
      </c>
      <c r="P5466">
        <v>-0.139794899999999</v>
      </c>
      <c r="Q5466">
        <v>0.41576239999999998</v>
      </c>
      <c r="R5466">
        <v>-0.89866520000000005</v>
      </c>
      <c r="S5466">
        <v>-0.59985350000000004</v>
      </c>
      <c r="T5466">
        <v>-0.41097299999999998</v>
      </c>
      <c r="U5466">
        <v>-3.4380799999999998</v>
      </c>
      <c r="V5466">
        <v>-0.29662139999999998</v>
      </c>
      <c r="W5466">
        <v>0.41641630000000002</v>
      </c>
      <c r="X5466">
        <v>0.85942609999999997</v>
      </c>
      <c r="Y5466">
        <v>-0.29351850000000002</v>
      </c>
      <c r="Z5466">
        <v>8.4934280000000001E-2</v>
      </c>
      <c r="AA5466">
        <v>0.95217280000000004</v>
      </c>
      <c r="AB5466">
        <v>35</v>
      </c>
      <c r="AC5466">
        <v>-1.50979999999998</v>
      </c>
      <c r="AD5466">
        <v>-1.1239837145860001</v>
      </c>
      <c r="AE5466">
        <v>-9.1318999999999804</v>
      </c>
      <c r="AF5466">
        <v>-2.7511559943093098</v>
      </c>
      <c r="AG5466">
        <v>-1.1239837145860001</v>
      </c>
      <c r="AH5466">
        <v>8.6965720644060198</v>
      </c>
      <c r="AI5466">
        <v>97.024884023979496</v>
      </c>
      <c r="AJ5466">
        <v>107.554739781314</v>
      </c>
      <c r="AK5466">
        <v>9.1903516998581605</v>
      </c>
      <c r="AL5466">
        <v>65.391460795775799</v>
      </c>
      <c r="AM5466">
        <v>109.041547204997</v>
      </c>
      <c r="AN5466">
        <v>1.0000000056024301</v>
      </c>
    </row>
    <row r="5467" spans="1:40" x14ac:dyDescent="0.25">
      <c r="A5467" t="str">
        <f>"20190304164956885"</f>
        <v>20190304164956885</v>
      </c>
      <c r="B5467" t="str">
        <f>"1551689396881195"</f>
        <v>1551689396881195</v>
      </c>
      <c r="C5467" t="s">
        <v>40</v>
      </c>
      <c r="D5467">
        <v>4.594544</v>
      </c>
      <c r="E5467">
        <v>0.50597979999999998</v>
      </c>
      <c r="F5467" t="s">
        <v>42</v>
      </c>
      <c r="G5467">
        <v>-416.23070000000001</v>
      </c>
      <c r="H5467" s="1">
        <v>-3.6498160000000002E-6</v>
      </c>
      <c r="I5467">
        <v>116.58199999999999</v>
      </c>
      <c r="J5467">
        <v>-414.86419999999998</v>
      </c>
      <c r="K5467">
        <v>1.1239699999999999</v>
      </c>
      <c r="L5467">
        <v>125.5508</v>
      </c>
      <c r="M5467">
        <v>-0.43960909999999898</v>
      </c>
      <c r="N5467">
        <v>-1.197723E-2</v>
      </c>
      <c r="O5467">
        <v>-0.89810939999999995</v>
      </c>
      <c r="P5467">
        <v>-0.12680459999999999</v>
      </c>
      <c r="Q5467">
        <v>0.41336590000000001</v>
      </c>
      <c r="R5467">
        <v>-0.90169250000000001</v>
      </c>
      <c r="S5467">
        <v>-0.561065699999999</v>
      </c>
      <c r="T5467">
        <v>-0.41704150000000001</v>
      </c>
      <c r="U5467">
        <v>-3.4439540000000002</v>
      </c>
      <c r="V5467">
        <v>-0.29651460000000002</v>
      </c>
      <c r="W5467">
        <v>0.41403649999999997</v>
      </c>
      <c r="X5467">
        <v>0.86061189999999999</v>
      </c>
      <c r="Y5467">
        <v>-0.28987540000000001</v>
      </c>
      <c r="Z5467">
        <v>8.7442610000000004E-2</v>
      </c>
      <c r="AA5467">
        <v>0.95306139999999995</v>
      </c>
      <c r="AB5467">
        <v>35</v>
      </c>
      <c r="AC5467">
        <v>-1.36650000000003</v>
      </c>
      <c r="AD5467">
        <v>-1.123973649816</v>
      </c>
      <c r="AE5467">
        <v>-8.9687999999999803</v>
      </c>
      <c r="AF5467">
        <v>-2.6746414594896302</v>
      </c>
      <c r="AG5467">
        <v>-1.123973649816</v>
      </c>
      <c r="AH5467">
        <v>8.5254535776196505</v>
      </c>
      <c r="AI5467">
        <v>97.169705585693706</v>
      </c>
      <c r="AJ5467">
        <v>107.417905672647</v>
      </c>
      <c r="AK5467">
        <v>9.0055750736113005</v>
      </c>
      <c r="AL5467">
        <v>65.541344713977296</v>
      </c>
      <c r="AM5467">
        <v>109.010841180288</v>
      </c>
      <c r="AN5467">
        <v>0.99999998688350999</v>
      </c>
    </row>
    <row r="5468" spans="1:40" x14ac:dyDescent="0.25">
      <c r="A5468" t="str">
        <f>"20190304164956908"</f>
        <v>20190304164956908</v>
      </c>
      <c r="B5468" t="str">
        <f>"1551689396901690"</f>
        <v>1551689396901690</v>
      </c>
      <c r="C5468" t="s">
        <v>40</v>
      </c>
      <c r="D5468">
        <v>4.6164779999999999</v>
      </c>
      <c r="E5468">
        <v>0.50686220000000004</v>
      </c>
      <c r="F5468" t="s">
        <v>42</v>
      </c>
      <c r="G5468">
        <v>-416.23070000000001</v>
      </c>
      <c r="H5468" s="1">
        <v>-3.6507290000000002E-6</v>
      </c>
      <c r="I5468">
        <v>116.5842</v>
      </c>
      <c r="J5468">
        <v>-415.00830000000002</v>
      </c>
      <c r="K5468">
        <v>1.123937</v>
      </c>
      <c r="L5468">
        <v>125.229</v>
      </c>
      <c r="M5468">
        <v>-0.42587390000000003</v>
      </c>
      <c r="N5468">
        <v>-1.1975120000000001E-2</v>
      </c>
      <c r="O5468">
        <v>-0.90470340000000005</v>
      </c>
      <c r="P5468">
        <v>-0.11345909999999999</v>
      </c>
      <c r="Q5468">
        <v>0.41269879999999998</v>
      </c>
      <c r="R5468">
        <v>-0.90377370000000001</v>
      </c>
      <c r="S5468">
        <v>-0.52600100000000005</v>
      </c>
      <c r="T5468">
        <v>-0.43263950000000001</v>
      </c>
      <c r="U5468">
        <v>-3.4514469999999999</v>
      </c>
      <c r="V5468">
        <v>-0.29620570000000002</v>
      </c>
      <c r="W5468">
        <v>0.41340009999999999</v>
      </c>
      <c r="X5468">
        <v>0.86102420000000002</v>
      </c>
      <c r="Y5468">
        <v>-0.2851262</v>
      </c>
      <c r="Z5468">
        <v>9.2191690000000007E-2</v>
      </c>
      <c r="AA5468">
        <v>0.95404599999999995</v>
      </c>
      <c r="AB5468">
        <v>35</v>
      </c>
      <c r="AC5468">
        <v>-1.2223999999999899</v>
      </c>
      <c r="AD5468">
        <v>-1.123940650729</v>
      </c>
      <c r="AE5468">
        <v>-8.6448</v>
      </c>
      <c r="AF5468">
        <v>-2.53387785802397</v>
      </c>
      <c r="AG5468">
        <v>-1.123940650729</v>
      </c>
      <c r="AH5468">
        <v>8.2061715208474606</v>
      </c>
      <c r="AI5468">
        <v>97.455714390644502</v>
      </c>
      <c r="AJ5468">
        <v>107.15949026856499</v>
      </c>
      <c r="AK5468">
        <v>8.6616990605373303</v>
      </c>
      <c r="AL5468">
        <v>65.581398224346799</v>
      </c>
      <c r="AM5468">
        <v>108.98401291281399</v>
      </c>
      <c r="AN5468">
        <v>1.00000006618906</v>
      </c>
    </row>
    <row r="5469" spans="1:40" x14ac:dyDescent="0.25">
      <c r="A5469" t="str">
        <f>"20190304164956929"</f>
        <v>20190304164956929</v>
      </c>
      <c r="B5469" t="str">
        <f>"1551689396921211"</f>
        <v>1551689396921211</v>
      </c>
      <c r="C5469" t="s">
        <v>40</v>
      </c>
      <c r="D5469">
        <v>4.6253190000000002</v>
      </c>
      <c r="E5469">
        <v>0.50767359999999995</v>
      </c>
      <c r="F5469" t="s">
        <v>42</v>
      </c>
      <c r="G5469">
        <v>-416.25319999999999</v>
      </c>
      <c r="H5469" s="1">
        <v>-3.5599579999999999E-6</v>
      </c>
      <c r="I5469">
        <v>116.3819</v>
      </c>
      <c r="J5469">
        <v>-415.14400000000001</v>
      </c>
      <c r="K5469">
        <v>1.123875</v>
      </c>
      <c r="L5469">
        <v>124.91379999999999</v>
      </c>
      <c r="M5469">
        <v>-0.41256470000000001</v>
      </c>
      <c r="N5469">
        <v>-1.19633E-2</v>
      </c>
      <c r="O5469">
        <v>-0.91084980000000004</v>
      </c>
      <c r="P5469">
        <v>-0.1011449</v>
      </c>
      <c r="Q5469">
        <v>0.41394009999999998</v>
      </c>
      <c r="R5469">
        <v>-0.90466789999999997</v>
      </c>
      <c r="S5469">
        <v>-0.48672490000000002</v>
      </c>
      <c r="T5469">
        <v>-0.43942920000000002</v>
      </c>
      <c r="U5469">
        <v>-3.4589690000000002</v>
      </c>
      <c r="V5469">
        <v>-0.29504360000000002</v>
      </c>
      <c r="W5469">
        <v>0.41471079999999999</v>
      </c>
      <c r="X5469">
        <v>0.86079280000000002</v>
      </c>
      <c r="Y5469">
        <v>-0.28201959999999998</v>
      </c>
      <c r="Z5469">
        <v>9.4806660000000001E-2</v>
      </c>
      <c r="AA5469">
        <v>0.95471289999999998</v>
      </c>
      <c r="AB5469">
        <v>35</v>
      </c>
      <c r="AC5469">
        <v>-1.10919999999998</v>
      </c>
      <c r="AD5469">
        <v>-1.1238785599579999</v>
      </c>
      <c r="AE5469">
        <v>-8.5318999999999896</v>
      </c>
      <c r="AF5469">
        <v>-2.4677177162749699</v>
      </c>
      <c r="AG5469">
        <v>-1.1238785599579999</v>
      </c>
      <c r="AH5469">
        <v>8.0914166907633298</v>
      </c>
      <c r="AI5469">
        <v>97.567788490186203</v>
      </c>
      <c r="AJ5469">
        <v>106.960640996816</v>
      </c>
      <c r="AK5469">
        <v>8.5336837185540304</v>
      </c>
      <c r="AL5469">
        <v>65.498894731595101</v>
      </c>
      <c r="AM5469">
        <v>108.919560196864</v>
      </c>
      <c r="AN5469">
        <v>1.0000000090347101</v>
      </c>
    </row>
    <row r="5470" spans="1:40" x14ac:dyDescent="0.25">
      <c r="A5470" t="str">
        <f>"20190304164956951"</f>
        <v>20190304164956951</v>
      </c>
      <c r="B5470" t="str">
        <f>"1551689396941707"</f>
        <v>1551689396941707</v>
      </c>
      <c r="C5470" t="s">
        <v>40</v>
      </c>
      <c r="D5470">
        <v>4.5418089999999998</v>
      </c>
      <c r="E5470">
        <v>0.50832909999999998</v>
      </c>
      <c r="F5470" t="s">
        <v>42</v>
      </c>
      <c r="G5470">
        <v>-416.29840000000002</v>
      </c>
      <c r="H5470" s="1">
        <v>-3.3806540000000001E-6</v>
      </c>
      <c r="I5470">
        <v>115.98260000000001</v>
      </c>
      <c r="J5470">
        <v>-415.26859999999999</v>
      </c>
      <c r="K5470">
        <v>1.123764</v>
      </c>
      <c r="L5470">
        <v>124.6133</v>
      </c>
      <c r="M5470">
        <v>-0.40005469999999999</v>
      </c>
      <c r="N5470">
        <v>-1.194274E-2</v>
      </c>
      <c r="O5470">
        <v>-0.9164137</v>
      </c>
      <c r="P5470">
        <v>-9.1429720000000006E-2</v>
      </c>
      <c r="Q5470">
        <v>0.41461959999999998</v>
      </c>
      <c r="R5470">
        <v>-0.90539029999999998</v>
      </c>
      <c r="S5470">
        <v>-0.44793699999999997</v>
      </c>
      <c r="T5470">
        <v>-0.43610169999999998</v>
      </c>
      <c r="U5470">
        <v>-3.4656069999999999</v>
      </c>
      <c r="V5470">
        <v>-0.292280599999999</v>
      </c>
      <c r="W5470">
        <v>0.41553679999999898</v>
      </c>
      <c r="X5470">
        <v>0.86133689999999996</v>
      </c>
      <c r="Y5470">
        <v>-0.27963320000000003</v>
      </c>
      <c r="Z5470">
        <v>9.4923740000000006E-2</v>
      </c>
      <c r="AA5470">
        <v>0.95540290000000005</v>
      </c>
      <c r="AB5470">
        <v>35</v>
      </c>
      <c r="AC5470">
        <v>-1.02980000000002</v>
      </c>
      <c r="AD5470">
        <v>-1.1237673806540001</v>
      </c>
      <c r="AE5470">
        <v>-8.6306999999999903</v>
      </c>
      <c r="AF5470">
        <v>-2.4679543557691699</v>
      </c>
      <c r="AG5470">
        <v>-1.1237673806540001</v>
      </c>
      <c r="AH5470">
        <v>8.1850419077391408</v>
      </c>
      <c r="AI5470">
        <v>97.488588242015197</v>
      </c>
      <c r="AJ5470">
        <v>106.779112807499</v>
      </c>
      <c r="AK5470">
        <v>8.6225612702623309</v>
      </c>
      <c r="AL5470">
        <v>65.446874595606701</v>
      </c>
      <c r="AM5470">
        <v>108.743803745609</v>
      </c>
      <c r="AN5470">
        <v>1.0000000182961</v>
      </c>
    </row>
    <row r="5471" spans="1:40" x14ac:dyDescent="0.25">
      <c r="A5471" t="str">
        <f>"20190304164956972"</f>
        <v>20190304164956972</v>
      </c>
      <c r="B5471" t="str">
        <f>"1551689396961226"</f>
        <v>1551689396961226</v>
      </c>
      <c r="C5471" t="s">
        <v>40</v>
      </c>
      <c r="D5471">
        <v>4.6439059999999897</v>
      </c>
      <c r="E5471">
        <v>0.50924609999999904</v>
      </c>
      <c r="F5471" t="s">
        <v>42</v>
      </c>
      <c r="G5471">
        <v>-416.33819999999997</v>
      </c>
      <c r="H5471" s="1">
        <v>-3.2103469999999998E-6</v>
      </c>
      <c r="I5471">
        <v>115.60209999999999</v>
      </c>
      <c r="J5471">
        <v>-415.39389999999997</v>
      </c>
      <c r="K5471">
        <v>1.1236139999999999</v>
      </c>
      <c r="L5471">
        <v>124.2991</v>
      </c>
      <c r="M5471">
        <v>-0.38720559999999998</v>
      </c>
      <c r="N5471">
        <v>-1.191248E-2</v>
      </c>
      <c r="O5471">
        <v>-0.92191650000000003</v>
      </c>
      <c r="P5471">
        <v>-8.2811629999999997E-2</v>
      </c>
      <c r="Q5471">
        <v>0.41431820000000003</v>
      </c>
      <c r="R5471">
        <v>-0.90635670000000002</v>
      </c>
      <c r="S5471">
        <v>-0.41189579999999998</v>
      </c>
      <c r="T5471">
        <v>-0.43274309999999999</v>
      </c>
      <c r="U5471">
        <v>-3.470062</v>
      </c>
      <c r="V5471">
        <v>-0.28831319999999999</v>
      </c>
      <c r="W5471">
        <v>0.41545009999999999</v>
      </c>
      <c r="X5471">
        <v>0.8627148</v>
      </c>
      <c r="Y5471">
        <v>-0.27614620000000001</v>
      </c>
      <c r="Z5471">
        <v>9.5096020000000003E-2</v>
      </c>
      <c r="AA5471">
        <v>0.95639949999999996</v>
      </c>
      <c r="AB5471">
        <v>35</v>
      </c>
      <c r="AC5471">
        <v>-0.94429999999999803</v>
      </c>
      <c r="AD5471">
        <v>-1.1236172103469999</v>
      </c>
      <c r="AE5471">
        <v>-8.6969999999999992</v>
      </c>
      <c r="AF5471">
        <v>-2.4566114092501401</v>
      </c>
      <c r="AG5471">
        <v>-1.1236172103469999</v>
      </c>
      <c r="AH5471">
        <v>8.2480711422935897</v>
      </c>
      <c r="AI5471">
        <v>97.438460881424106</v>
      </c>
      <c r="AJ5471">
        <v>106.58567422998399</v>
      </c>
      <c r="AK5471">
        <v>8.6791781189109294</v>
      </c>
      <c r="AL5471">
        <v>65.452336858734398</v>
      </c>
      <c r="AM5471">
        <v>108.479264311821</v>
      </c>
      <c r="AN5471">
        <v>1.00000005651164</v>
      </c>
    </row>
    <row r="5472" spans="1:40" x14ac:dyDescent="0.25">
      <c r="A5472" t="str">
        <f>"20190304164956996"</f>
        <v>20190304164956996</v>
      </c>
      <c r="B5472" t="str">
        <f>"1551689396991483"</f>
        <v>1551689396991483</v>
      </c>
      <c r="C5472" t="s">
        <v>40</v>
      </c>
      <c r="D5472">
        <v>4.6381040000000002</v>
      </c>
      <c r="E5472">
        <v>0.51070519999999997</v>
      </c>
      <c r="F5472" t="s">
        <v>42</v>
      </c>
      <c r="G5472">
        <v>-416.3716</v>
      </c>
      <c r="H5472" s="1">
        <v>-3.1006570000000001E-6</v>
      </c>
      <c r="I5472">
        <v>115.36020000000001</v>
      </c>
      <c r="J5472">
        <v>-415.51900000000001</v>
      </c>
      <c r="K5472">
        <v>1.123429</v>
      </c>
      <c r="L5472">
        <v>123.9735</v>
      </c>
      <c r="M5472">
        <v>-0.37416159999999998</v>
      </c>
      <c r="N5472">
        <v>-1.187352E-2</v>
      </c>
      <c r="O5472">
        <v>-0.9272878</v>
      </c>
      <c r="P5472">
        <v>-7.4327110000000002E-2</v>
      </c>
      <c r="Q5472">
        <v>0.41393099999999999</v>
      </c>
      <c r="R5472">
        <v>-0.90726879999999999</v>
      </c>
      <c r="S5472">
        <v>-0.38003540000000002</v>
      </c>
      <c r="T5472">
        <v>-0.4367917</v>
      </c>
      <c r="U5472">
        <v>-3.4749150000000002</v>
      </c>
      <c r="V5472">
        <v>-0.28405900000000001</v>
      </c>
      <c r="W5472">
        <v>0.41530529999999999</v>
      </c>
      <c r="X5472">
        <v>0.86419449999999998</v>
      </c>
      <c r="Y5472">
        <v>-0.27142040000000001</v>
      </c>
      <c r="Z5472">
        <v>9.7058459999999999E-2</v>
      </c>
      <c r="AA5472">
        <v>0.95755449999999998</v>
      </c>
      <c r="AB5472">
        <v>35</v>
      </c>
      <c r="AC5472">
        <v>-0.85259999999999503</v>
      </c>
      <c r="AD5472">
        <v>-1.1234321006570001</v>
      </c>
      <c r="AE5472">
        <v>-8.61329999999999</v>
      </c>
      <c r="AF5472">
        <v>-2.3920329982267599</v>
      </c>
      <c r="AG5472">
        <v>-1.1234321006570001</v>
      </c>
      <c r="AH5472">
        <v>8.1689795291429395</v>
      </c>
      <c r="AI5472">
        <v>97.518570274591198</v>
      </c>
      <c r="AJ5472">
        <v>106.32103716807001</v>
      </c>
      <c r="AK5472">
        <v>8.5858108584424695</v>
      </c>
      <c r="AL5472">
        <v>65.461457703178098</v>
      </c>
      <c r="AM5472">
        <v>108.19559060420001</v>
      </c>
      <c r="AN5472">
        <v>1.0000000707596599</v>
      </c>
    </row>
    <row r="5473" spans="1:40" x14ac:dyDescent="0.25">
      <c r="A5473" t="str">
        <f>"20190304164957018"</f>
        <v>20190304164957018</v>
      </c>
      <c r="B5473" t="str">
        <f>"1551689397011003"</f>
        <v>1551689397011003</v>
      </c>
      <c r="C5473" t="s">
        <v>40</v>
      </c>
      <c r="D5473">
        <v>4.6581260000000002</v>
      </c>
      <c r="E5473">
        <v>0.5115845</v>
      </c>
      <c r="F5473" t="s">
        <v>42</v>
      </c>
      <c r="G5473">
        <v>-416.41500000000002</v>
      </c>
      <c r="H5473" s="1">
        <v>-3.0108340000000001E-6</v>
      </c>
      <c r="I5473">
        <v>115.1687</v>
      </c>
      <c r="J5473">
        <v>-415.6422</v>
      </c>
      <c r="K5473">
        <v>1.12321</v>
      </c>
      <c r="L5473">
        <v>123.63809999999999</v>
      </c>
      <c r="M5473">
        <v>-0.36109279999999999</v>
      </c>
      <c r="N5473">
        <v>-1.1826969999999999E-2</v>
      </c>
      <c r="O5473">
        <v>-0.93245500000000003</v>
      </c>
      <c r="P5473">
        <v>-6.6221479999999999E-2</v>
      </c>
      <c r="Q5473">
        <v>0.41346670000000002</v>
      </c>
      <c r="R5473">
        <v>-0.90810820000000003</v>
      </c>
      <c r="S5473">
        <v>-0.35415649999999999</v>
      </c>
      <c r="T5473">
        <v>-0.444052</v>
      </c>
      <c r="U5473">
        <v>-3.4802089999999901</v>
      </c>
      <c r="V5473">
        <v>-0.279443</v>
      </c>
      <c r="W5473">
        <v>0.41510999999999998</v>
      </c>
      <c r="X5473">
        <v>0.86579169999999905</v>
      </c>
      <c r="Y5473">
        <v>-0.2651191</v>
      </c>
      <c r="Z5473">
        <v>9.9807170000000001E-2</v>
      </c>
      <c r="AA5473">
        <v>0.95903620000000001</v>
      </c>
      <c r="AB5473">
        <v>35</v>
      </c>
      <c r="AC5473">
        <v>-0.77280000000001703</v>
      </c>
      <c r="AD5473">
        <v>-1.1232130108339999</v>
      </c>
      <c r="AE5473">
        <v>-8.4693999999999896</v>
      </c>
      <c r="AF5473">
        <v>-2.2977225084168098</v>
      </c>
      <c r="AG5473">
        <v>-1.1232130108339999</v>
      </c>
      <c r="AH5473">
        <v>8.0367734891501197</v>
      </c>
      <c r="AI5473">
        <v>97.653286159994096</v>
      </c>
      <c r="AJ5473">
        <v>105.955292098228</v>
      </c>
      <c r="AK5473">
        <v>8.4339115663669606</v>
      </c>
      <c r="AL5473">
        <v>65.473755712304296</v>
      </c>
      <c r="AM5473">
        <v>107.888008086895</v>
      </c>
      <c r="AN5473">
        <v>0.99999998506894405</v>
      </c>
    </row>
    <row r="5474" spans="1:40" x14ac:dyDescent="0.25">
      <c r="A5474" t="str">
        <f>"20190304164957039"</f>
        <v>20190304164957039</v>
      </c>
      <c r="B5474" t="str">
        <f>"1551689397031498"</f>
        <v>1551689397031498</v>
      </c>
      <c r="C5474" t="s">
        <v>40</v>
      </c>
      <c r="D5474">
        <v>4.5862119999999997</v>
      </c>
      <c r="E5474">
        <v>0.51225290000000001</v>
      </c>
      <c r="F5474" t="s">
        <v>42</v>
      </c>
      <c r="G5474">
        <v>-416.45749999999998</v>
      </c>
      <c r="H5474" s="1">
        <v>-2.9049170000000002E-6</v>
      </c>
      <c r="I5474">
        <v>114.93940000000001</v>
      </c>
      <c r="J5474">
        <v>-415.75080000000003</v>
      </c>
      <c r="K5474">
        <v>1.1230059999999999</v>
      </c>
      <c r="L5474">
        <v>123.3306</v>
      </c>
      <c r="M5474">
        <v>-0.34937249999999997</v>
      </c>
      <c r="N5474">
        <v>-1.178451E-2</v>
      </c>
      <c r="O5474">
        <v>-0.93691000000000002</v>
      </c>
      <c r="P5474">
        <v>-5.9242110000000001E-2</v>
      </c>
      <c r="Q5474">
        <v>0.41322769999999998</v>
      </c>
      <c r="R5474">
        <v>-0.90869900000000003</v>
      </c>
      <c r="S5474">
        <v>-0.32659909999999998</v>
      </c>
      <c r="T5474">
        <v>-0.44994780000000001</v>
      </c>
      <c r="U5474">
        <v>-3.484604</v>
      </c>
      <c r="V5474">
        <v>-0.2750399</v>
      </c>
      <c r="W5474">
        <v>0.41511870000000001</v>
      </c>
      <c r="X5474">
        <v>0.86719639999999998</v>
      </c>
      <c r="Y5474">
        <v>-0.26068429999999998</v>
      </c>
      <c r="Z5474">
        <v>0.1020998</v>
      </c>
      <c r="AA5474">
        <v>0.96001009999999998</v>
      </c>
      <c r="AB5474">
        <v>35</v>
      </c>
      <c r="AC5474">
        <v>-0.70669999999995503</v>
      </c>
      <c r="AD5474">
        <v>-1.123008904917</v>
      </c>
      <c r="AE5474">
        <v>-8.3911999999999907</v>
      </c>
      <c r="AF5474">
        <v>-2.2300366828442999</v>
      </c>
      <c r="AG5474">
        <v>-1.123008904917</v>
      </c>
      <c r="AH5474">
        <v>7.9675609606737803</v>
      </c>
      <c r="AI5474">
        <v>97.729599738807593</v>
      </c>
      <c r="AJ5474">
        <v>105.636375579749</v>
      </c>
      <c r="AK5474">
        <v>8.34962515741916</v>
      </c>
      <c r="AL5474">
        <v>65.473209208568207</v>
      </c>
      <c r="AM5474">
        <v>107.59693831432401</v>
      </c>
      <c r="AN5474">
        <v>1.00000003892732</v>
      </c>
    </row>
    <row r="5475" spans="1:40" x14ac:dyDescent="0.25">
      <c r="A5475" t="str">
        <f>"20190304164957062"</f>
        <v>20190304164957062</v>
      </c>
      <c r="B5475" t="str">
        <f>"1551689397051019"</f>
        <v>1551689397051019</v>
      </c>
      <c r="C5475" t="s">
        <v>40</v>
      </c>
      <c r="D5475">
        <v>4.6638659999999996</v>
      </c>
      <c r="E5475">
        <v>0.51303120000000002</v>
      </c>
      <c r="F5475" t="s">
        <v>42</v>
      </c>
      <c r="G5475">
        <v>-416.50630000000001</v>
      </c>
      <c r="H5475" s="1">
        <v>-2.7684320000000001E-6</v>
      </c>
      <c r="I5475">
        <v>114.64149999999999</v>
      </c>
      <c r="J5475">
        <v>-415.86169999999998</v>
      </c>
      <c r="K5475">
        <v>1.122784</v>
      </c>
      <c r="L5475">
        <v>123.0043</v>
      </c>
      <c r="M5475">
        <v>-0.33724910000000002</v>
      </c>
      <c r="N5475">
        <v>-1.174095E-2</v>
      </c>
      <c r="O5475">
        <v>-0.94134220000000002</v>
      </c>
      <c r="P5475">
        <v>-5.192795E-2</v>
      </c>
      <c r="Q5475">
        <v>0.41337309999999999</v>
      </c>
      <c r="R5475">
        <v>-0.90907979999999999</v>
      </c>
      <c r="S5475">
        <v>-0.30316159999999998</v>
      </c>
      <c r="T5475">
        <v>-0.45061590000000001</v>
      </c>
      <c r="U5475">
        <v>-3.4865719999999998</v>
      </c>
      <c r="V5475">
        <v>-0.27055659999999998</v>
      </c>
      <c r="W5475">
        <v>0.4155182</v>
      </c>
      <c r="X5475">
        <v>0.86841449999999998</v>
      </c>
      <c r="Y5475">
        <v>-0.25468499999999999</v>
      </c>
      <c r="Z5475">
        <v>0.10319780000000001</v>
      </c>
      <c r="AA5475">
        <v>0.96150179999999996</v>
      </c>
      <c r="AB5475">
        <v>35</v>
      </c>
      <c r="AC5475">
        <v>-0.64460000000002504</v>
      </c>
      <c r="AD5475">
        <v>-1.1227867684319901</v>
      </c>
      <c r="AE5475">
        <v>-8.3628</v>
      </c>
      <c r="AF5475">
        <v>-2.1747406344916</v>
      </c>
      <c r="AG5475">
        <v>-1.1227867684319901</v>
      </c>
      <c r="AH5475">
        <v>7.9477872246119299</v>
      </c>
      <c r="AI5475">
        <v>97.759410339329094</v>
      </c>
      <c r="AJ5475">
        <v>105.30316628303</v>
      </c>
      <c r="AK5475">
        <v>8.3160969644647391</v>
      </c>
      <c r="AL5475">
        <v>65.448045654414202</v>
      </c>
      <c r="AM5475">
        <v>107.304546897789</v>
      </c>
      <c r="AN5475">
        <v>0.99999999607252499</v>
      </c>
    </row>
    <row r="5476" spans="1:40" x14ac:dyDescent="0.25">
      <c r="A5476" t="str">
        <f>"20190304164957086"</f>
        <v>20190304164957086</v>
      </c>
      <c r="B5476" t="str">
        <f>"1551689397081275"</f>
        <v>1551689397081275</v>
      </c>
      <c r="C5476" t="s">
        <v>40</v>
      </c>
      <c r="D5476">
        <v>4.59978</v>
      </c>
      <c r="E5476">
        <v>0.51401949999999996</v>
      </c>
      <c r="F5476" t="s">
        <v>42</v>
      </c>
      <c r="G5476">
        <v>-416.55079999999998</v>
      </c>
      <c r="H5476" s="1">
        <v>-2.6482310000000001E-6</v>
      </c>
      <c r="I5476">
        <v>114.3797</v>
      </c>
      <c r="J5476">
        <v>-415.97379999999998</v>
      </c>
      <c r="K5476">
        <v>1.1225419999999999</v>
      </c>
      <c r="L5476">
        <v>122.6604</v>
      </c>
      <c r="M5476">
        <v>-0.32485130000000001</v>
      </c>
      <c r="N5476">
        <v>-1.1693149999999999E-2</v>
      </c>
      <c r="O5476">
        <v>-0.9456928</v>
      </c>
      <c r="P5476">
        <v>-4.5808250000000002E-2</v>
      </c>
      <c r="Q5476">
        <v>0.4124546</v>
      </c>
      <c r="R5476">
        <v>-0.90982589999999997</v>
      </c>
      <c r="S5476">
        <v>-0.27893069999999998</v>
      </c>
      <c r="T5476">
        <v>-0.45444129999999999</v>
      </c>
      <c r="U5476">
        <v>-3.4907680000000001</v>
      </c>
      <c r="V5476">
        <v>-0.26480949999999998</v>
      </c>
      <c r="W5476">
        <v>0.4149118</v>
      </c>
      <c r="X5476">
        <v>0.87047350000000001</v>
      </c>
      <c r="Y5476">
        <v>-0.2487222</v>
      </c>
      <c r="Z5476">
        <v>0.1050084</v>
      </c>
      <c r="AA5476">
        <v>0.96286579999999999</v>
      </c>
      <c r="AB5476">
        <v>35</v>
      </c>
      <c r="AC5476">
        <v>-0.57699999999999796</v>
      </c>
      <c r="AD5476">
        <v>-1.122544648231</v>
      </c>
      <c r="AE5476">
        <v>-8.2806999999999906</v>
      </c>
      <c r="AF5476">
        <v>-2.1059638907478599</v>
      </c>
      <c r="AG5476">
        <v>-1.122544648231</v>
      </c>
      <c r="AH5476">
        <v>7.8749673991462599</v>
      </c>
      <c r="AI5476">
        <v>97.840706983594202</v>
      </c>
      <c r="AJ5476">
        <v>104.971979197132</v>
      </c>
      <c r="AK5476">
        <v>8.2286269774502703</v>
      </c>
      <c r="AL5476">
        <v>65.486237600849506</v>
      </c>
      <c r="AM5476">
        <v>106.920451461903</v>
      </c>
      <c r="AN5476">
        <v>0.99999999363587</v>
      </c>
    </row>
    <row r="5477" spans="1:40" x14ac:dyDescent="0.25">
      <c r="A5477" t="str">
        <f>"20190304164957109"</f>
        <v>20190304164957109</v>
      </c>
      <c r="B5477" t="str">
        <f>"1551689397100794"</f>
        <v>1551689397100794</v>
      </c>
      <c r="C5477" t="s">
        <v>40</v>
      </c>
      <c r="D5477">
        <v>4.64771</v>
      </c>
      <c r="E5477">
        <v>0.51478800000000002</v>
      </c>
      <c r="F5477" t="s">
        <v>42</v>
      </c>
      <c r="G5477">
        <v>-416.59390000000002</v>
      </c>
      <c r="H5477" s="1">
        <v>-2.550852E-6</v>
      </c>
      <c r="I5477">
        <v>114.1705</v>
      </c>
      <c r="J5477">
        <v>-416.0822</v>
      </c>
      <c r="K5477">
        <v>1.1222570000000001</v>
      </c>
      <c r="L5477">
        <v>122.3138</v>
      </c>
      <c r="M5477">
        <v>-0.3127798</v>
      </c>
      <c r="N5477">
        <v>-1.16398E-2</v>
      </c>
      <c r="O5477">
        <v>-0.9497544</v>
      </c>
      <c r="P5477">
        <v>-4.0045909999999997E-2</v>
      </c>
      <c r="Q5477">
        <v>0.4114602</v>
      </c>
      <c r="R5477">
        <v>-0.91054760000000001</v>
      </c>
      <c r="S5477">
        <v>-0.25521850000000001</v>
      </c>
      <c r="T5477">
        <v>-0.46196999999999999</v>
      </c>
      <c r="U5477">
        <v>-3.4939119999999999</v>
      </c>
      <c r="V5477">
        <v>-0.25902370000000002</v>
      </c>
      <c r="W5477">
        <v>0.4142382</v>
      </c>
      <c r="X5477">
        <v>0.87253269999999905</v>
      </c>
      <c r="Y5477">
        <v>-0.2429714</v>
      </c>
      <c r="Z5477">
        <v>0.10775</v>
      </c>
      <c r="AA5477">
        <v>0.96403050000000001</v>
      </c>
      <c r="AB5477">
        <v>35</v>
      </c>
      <c r="AC5477">
        <v>-0.51170000000001803</v>
      </c>
      <c r="AD5477">
        <v>-1.1222595508519999</v>
      </c>
      <c r="AE5477">
        <v>-8.1432999999999893</v>
      </c>
      <c r="AF5477">
        <v>-2.0229400424531798</v>
      </c>
      <c r="AG5477">
        <v>-1.1222595508519999</v>
      </c>
      <c r="AH5477">
        <v>7.7481398200512199</v>
      </c>
      <c r="AI5477">
        <v>97.977736151452802</v>
      </c>
      <c r="AJ5477">
        <v>104.632547790334</v>
      </c>
      <c r="AK5477">
        <v>8.0861253753514397</v>
      </c>
      <c r="AL5477">
        <v>65.528646916215607</v>
      </c>
      <c r="AM5477">
        <v>106.53426785604201</v>
      </c>
      <c r="AN5477">
        <v>0.999999938035108</v>
      </c>
    </row>
    <row r="5478" spans="1:40" x14ac:dyDescent="0.25">
      <c r="A5478" t="str">
        <f>"20190304164957130"</f>
        <v>20190304164957130</v>
      </c>
      <c r="B5478" t="str">
        <f>"1551689397121307"</f>
        <v>1551689397121307</v>
      </c>
      <c r="C5478" t="s">
        <v>40</v>
      </c>
      <c r="D5478">
        <v>4.6013120000000001</v>
      </c>
      <c r="E5478">
        <v>0.51537869999999997</v>
      </c>
      <c r="F5478" t="s">
        <v>42</v>
      </c>
      <c r="G5478">
        <v>-416.63119999999998</v>
      </c>
      <c r="H5478" s="1">
        <v>-2.4544359999999999E-6</v>
      </c>
      <c r="I5478">
        <v>113.96120000000001</v>
      </c>
      <c r="J5478">
        <v>-416.17500000000001</v>
      </c>
      <c r="K5478">
        <v>1.1219650000000001</v>
      </c>
      <c r="L5478">
        <v>122.00490000000001</v>
      </c>
      <c r="M5478">
        <v>-0.3024268</v>
      </c>
      <c r="N5478">
        <v>-1.158442E-2</v>
      </c>
      <c r="O5478">
        <v>-0.95310229999999996</v>
      </c>
      <c r="P5478">
        <v>-3.5047519999999999E-2</v>
      </c>
      <c r="Q5478">
        <v>0.41100959999999997</v>
      </c>
      <c r="R5478">
        <v>-0.91095720000000002</v>
      </c>
      <c r="S5478">
        <v>-0.2298279</v>
      </c>
      <c r="T5478">
        <v>-0.46985070000000001</v>
      </c>
      <c r="U5478">
        <v>-3.4969329999999998</v>
      </c>
      <c r="V5478">
        <v>-0.25404660000000001</v>
      </c>
      <c r="W5478">
        <v>0.41407290000000002</v>
      </c>
      <c r="X5478">
        <v>0.87407319999999999</v>
      </c>
      <c r="Y5478">
        <v>-0.23946139999999999</v>
      </c>
      <c r="Z5478">
        <v>0.11043169999999999</v>
      </c>
      <c r="AA5478">
        <v>0.96460520000000005</v>
      </c>
      <c r="AB5478">
        <v>35</v>
      </c>
      <c r="AC5478">
        <v>-0.45619999999996702</v>
      </c>
      <c r="AD5478">
        <v>-1.1219674544360001</v>
      </c>
      <c r="AE5478">
        <v>-8.0436999999999994</v>
      </c>
      <c r="AF5478">
        <v>-1.9599490006490301</v>
      </c>
      <c r="AG5478">
        <v>-1.1219674544360001</v>
      </c>
      <c r="AH5478">
        <v>7.6564740637371802</v>
      </c>
      <c r="AI5478">
        <v>98.079774204595694</v>
      </c>
      <c r="AJ5478">
        <v>104.358575526417</v>
      </c>
      <c r="AK5478">
        <v>7.9825939482500798</v>
      </c>
      <c r="AL5478">
        <v>65.539053864905796</v>
      </c>
      <c r="AM5478">
        <v>106.206338427996</v>
      </c>
      <c r="AN5478">
        <v>1.0000000002220999</v>
      </c>
    </row>
    <row r="5479" spans="1:40" x14ac:dyDescent="0.25">
      <c r="A5479" t="str">
        <f>"20190304164957151"</f>
        <v>20190304164957151</v>
      </c>
      <c r="B5479" t="str">
        <f>"1551689397140811"</f>
        <v>1551689397140811</v>
      </c>
      <c r="C5479" t="s">
        <v>40</v>
      </c>
      <c r="D5479">
        <v>4.7563129999999996</v>
      </c>
      <c r="E5479">
        <v>0.5159726</v>
      </c>
      <c r="F5479" t="s">
        <v>42</v>
      </c>
      <c r="G5479">
        <v>-416.67860000000002</v>
      </c>
      <c r="H5479" s="1">
        <v>-2.339791E-6</v>
      </c>
      <c r="I5479">
        <v>113.7135</v>
      </c>
      <c r="J5479">
        <v>-416.26839999999999</v>
      </c>
      <c r="K5479">
        <v>1.1216390000000001</v>
      </c>
      <c r="L5479">
        <v>121.68219999999999</v>
      </c>
      <c r="M5479">
        <v>-0.29203289999999998</v>
      </c>
      <c r="N5479">
        <v>-1.151575E-2</v>
      </c>
      <c r="O5479">
        <v>-0.95633919999999994</v>
      </c>
      <c r="P5479">
        <v>-2.932649E-2</v>
      </c>
      <c r="Q5479">
        <v>0.41147299999999998</v>
      </c>
      <c r="R5479">
        <v>-0.91095040000000005</v>
      </c>
      <c r="S5479">
        <v>-0.2125244</v>
      </c>
      <c r="T5479">
        <v>-0.47343000000000002</v>
      </c>
      <c r="U5479">
        <v>-3.4986570000000001</v>
      </c>
      <c r="V5479">
        <v>-0.24960189999999999</v>
      </c>
      <c r="W5479">
        <v>0.41481200000000001</v>
      </c>
      <c r="X5479">
        <v>0.87500279999999997</v>
      </c>
      <c r="Y5479">
        <v>-0.23368749999999999</v>
      </c>
      <c r="Z5479">
        <v>0.11209619999999999</v>
      </c>
      <c r="AA5479">
        <v>0.96582849999999998</v>
      </c>
      <c r="AB5479">
        <v>35</v>
      </c>
      <c r="AC5479">
        <v>-0.41020000000003098</v>
      </c>
      <c r="AD5479">
        <v>-1.1216413397909999</v>
      </c>
      <c r="AE5479">
        <v>-7.9686999999999903</v>
      </c>
      <c r="AF5479">
        <v>-1.89746639475852</v>
      </c>
      <c r="AG5479">
        <v>-1.1216413397909999</v>
      </c>
      <c r="AH5479">
        <v>7.5910847280166003</v>
      </c>
      <c r="AI5479">
        <v>98.157627994719803</v>
      </c>
      <c r="AJ5479">
        <v>104.034078304179</v>
      </c>
      <c r="AK5479">
        <v>7.9046205071649602</v>
      </c>
      <c r="AL5479">
        <v>65.492522262652599</v>
      </c>
      <c r="AM5479">
        <v>105.921244089306</v>
      </c>
      <c r="AN5479">
        <v>1.00000000191772</v>
      </c>
    </row>
    <row r="5480" spans="1:40" x14ac:dyDescent="0.25">
      <c r="A5480" t="str">
        <f>"20190304164957173"</f>
        <v>20190304164957173</v>
      </c>
      <c r="B5480" t="str">
        <f>"1551689397161307"</f>
        <v>1551689397161307</v>
      </c>
      <c r="C5480" t="s">
        <v>40</v>
      </c>
      <c r="D5480">
        <v>4.6468879999999997</v>
      </c>
      <c r="E5480">
        <v>0.51670640000000001</v>
      </c>
      <c r="F5480" t="s">
        <v>42</v>
      </c>
      <c r="G5480">
        <v>-416.73320000000001</v>
      </c>
      <c r="H5480" s="1">
        <v>-2.1861530000000001E-6</v>
      </c>
      <c r="I5480">
        <v>113.378</v>
      </c>
      <c r="J5480">
        <v>-416.36180000000002</v>
      </c>
      <c r="K5480">
        <v>1.121254</v>
      </c>
      <c r="L5480">
        <v>121.3471</v>
      </c>
      <c r="M5480">
        <v>-0.28173559999999997</v>
      </c>
      <c r="N5480">
        <v>-1.143536E-2</v>
      </c>
      <c r="O5480">
        <v>-0.9594239</v>
      </c>
      <c r="P5480">
        <v>-2.5523770000000001E-2</v>
      </c>
      <c r="Q5480">
        <v>0.41135899999999997</v>
      </c>
      <c r="R5480">
        <v>-0.91111589999999998</v>
      </c>
      <c r="S5480">
        <v>-0.19592290000000001</v>
      </c>
      <c r="T5480">
        <v>-0.47281380000000001</v>
      </c>
      <c r="U5480">
        <v>-3.500534</v>
      </c>
      <c r="V5480">
        <v>-0.2434209</v>
      </c>
      <c r="W5480">
        <v>0.41504279999999999</v>
      </c>
      <c r="X5480">
        <v>0.8766332</v>
      </c>
      <c r="Y5480">
        <v>-0.22783929999999999</v>
      </c>
      <c r="Z5480">
        <v>0.1126624</v>
      </c>
      <c r="AA5480">
        <v>0.96715899999999999</v>
      </c>
      <c r="AB5480">
        <v>35</v>
      </c>
      <c r="AC5480">
        <v>-0.37139999999999401</v>
      </c>
      <c r="AD5480">
        <v>-1.1212561861529999</v>
      </c>
      <c r="AE5480">
        <v>-7.9691000000000098</v>
      </c>
      <c r="AF5480">
        <v>-1.85238128671501</v>
      </c>
      <c r="AG5480">
        <v>-1.1212561861529999</v>
      </c>
      <c r="AH5480">
        <v>7.6007456563278399</v>
      </c>
      <c r="AI5480">
        <v>98.156329703069801</v>
      </c>
      <c r="AJ5480">
        <v>103.69657903785</v>
      </c>
      <c r="AK5480">
        <v>7.9031554709840304</v>
      </c>
      <c r="AL5480">
        <v>65.477988530642705</v>
      </c>
      <c r="AM5480">
        <v>105.518751727566</v>
      </c>
      <c r="AN5480">
        <v>1.0000000138654399</v>
      </c>
    </row>
    <row r="5481" spans="1:40" x14ac:dyDescent="0.25">
      <c r="A5481" t="str">
        <f>"20190304164957197"</f>
        <v>20190304164957197</v>
      </c>
      <c r="B5481" t="str">
        <f>"1551689397191567"</f>
        <v>1551689397191567</v>
      </c>
      <c r="C5481" t="s">
        <v>40</v>
      </c>
      <c r="D5481">
        <v>4.6688729999999996</v>
      </c>
      <c r="E5481">
        <v>0.53311839999999999</v>
      </c>
      <c r="F5481" t="s">
        <v>42</v>
      </c>
      <c r="G5481">
        <v>-416.78899999999999</v>
      </c>
      <c r="H5481" s="1">
        <v>-2.0639229999999998E-6</v>
      </c>
      <c r="I5481">
        <v>113.1161</v>
      </c>
      <c r="J5481">
        <v>-416.45580000000001</v>
      </c>
      <c r="K5481">
        <v>1.120787</v>
      </c>
      <c r="L5481">
        <v>120.9962</v>
      </c>
      <c r="M5481">
        <v>-0.27157219999999999</v>
      </c>
      <c r="N5481">
        <v>-1.134601E-2</v>
      </c>
      <c r="O5481">
        <v>-0.96235130000000002</v>
      </c>
      <c r="P5481">
        <v>-2.216104E-2</v>
      </c>
      <c r="Q5481">
        <v>0.41070319999999999</v>
      </c>
      <c r="R5481">
        <v>-0.91149990000000003</v>
      </c>
      <c r="S5481">
        <v>-0.1818237</v>
      </c>
      <c r="T5481">
        <v>-0.47719909999999999</v>
      </c>
      <c r="U5481">
        <v>-3.5030359999999998</v>
      </c>
      <c r="V5481">
        <v>-0.23693549999999999</v>
      </c>
      <c r="W5481">
        <v>0.4147612</v>
      </c>
      <c r="X5481">
        <v>0.87854120000000002</v>
      </c>
      <c r="Y5481">
        <v>-0.22147310000000001</v>
      </c>
      <c r="Z5481">
        <v>0.1144823</v>
      </c>
      <c r="AA5481">
        <v>0.96842320000000004</v>
      </c>
      <c r="AB5481">
        <v>35</v>
      </c>
      <c r="AC5481">
        <v>-0.33319999999997602</v>
      </c>
      <c r="AD5481">
        <v>-1.120789063923</v>
      </c>
      <c r="AE5481">
        <v>-7.8800999999999899</v>
      </c>
      <c r="AF5481">
        <v>-1.7834634453074101</v>
      </c>
      <c r="AG5481">
        <v>-1.120789063923</v>
      </c>
      <c r="AH5481">
        <v>7.52250094494807</v>
      </c>
      <c r="AI5481">
        <v>98.248865110257796</v>
      </c>
      <c r="AJ5481">
        <v>103.337645522866</v>
      </c>
      <c r="AK5481">
        <v>7.8118455215974203</v>
      </c>
      <c r="AL5481">
        <v>65.495719999218394</v>
      </c>
      <c r="AM5481">
        <v>105.093123784592</v>
      </c>
      <c r="AN5481">
        <v>0.99999996214156395</v>
      </c>
    </row>
    <row r="5482" spans="1:40" x14ac:dyDescent="0.25">
      <c r="A5482" t="str">
        <f>"20190304164957218"</f>
        <v>20190304164957218</v>
      </c>
      <c r="B5482" t="str">
        <f>"1551689397211083"</f>
        <v>1551689397211083</v>
      </c>
      <c r="C5482" t="s">
        <v>40</v>
      </c>
      <c r="D5482">
        <v>4.7082850000000001</v>
      </c>
      <c r="E5482">
        <v>0.53285000000000005</v>
      </c>
      <c r="F5482" t="s">
        <v>42</v>
      </c>
      <c r="G5482">
        <v>-417.03859999999997</v>
      </c>
      <c r="H5482" s="1">
        <v>-2.3658209999999998E-6</v>
      </c>
      <c r="I5482">
        <v>113.92310000000001</v>
      </c>
      <c r="J5482">
        <v>-416.54169999999999</v>
      </c>
      <c r="K5482">
        <v>1.1202989999999999</v>
      </c>
      <c r="L5482">
        <v>120.6632</v>
      </c>
      <c r="M5482">
        <v>-0.26253490000000002</v>
      </c>
      <c r="N5482">
        <v>-1.1260310000000001E-2</v>
      </c>
      <c r="O5482">
        <v>-0.96485699999999996</v>
      </c>
      <c r="P5482">
        <v>-1.8228339999999999E-2</v>
      </c>
      <c r="Q5482">
        <v>0.41038659999999999</v>
      </c>
      <c r="R5482">
        <v>-0.91172960000000003</v>
      </c>
      <c r="S5482">
        <v>-0.29141240000000002</v>
      </c>
      <c r="T5482">
        <v>-0.56041439999999998</v>
      </c>
      <c r="U5482">
        <v>-3.5367130000000002</v>
      </c>
      <c r="V5482">
        <v>-0.23200090000000001</v>
      </c>
      <c r="W5482">
        <v>0.41477069999999999</v>
      </c>
      <c r="X5482">
        <v>0.87985279999999999</v>
      </c>
      <c r="Y5482">
        <v>-0.18301249999999999</v>
      </c>
      <c r="Z5482">
        <v>0.13576440000000001</v>
      </c>
      <c r="AA5482">
        <v>0.97369119999999998</v>
      </c>
      <c r="AB5482">
        <v>35</v>
      </c>
      <c r="AC5482">
        <v>-0.49689999999998202</v>
      </c>
      <c r="AD5482">
        <v>-1.1203013658209999</v>
      </c>
      <c r="AE5482">
        <v>-6.7400999999999902</v>
      </c>
      <c r="AF5482">
        <v>-1.25565290999166</v>
      </c>
      <c r="AG5482">
        <v>-1.1203013658209999</v>
      </c>
      <c r="AH5482">
        <v>6.4566894763760896</v>
      </c>
      <c r="AI5482">
        <v>99.665827727373994</v>
      </c>
      <c r="AJ5482">
        <v>101.005127076302</v>
      </c>
      <c r="AK5482">
        <v>6.6723742682029403</v>
      </c>
      <c r="AL5482">
        <v>65.495124114863998</v>
      </c>
      <c r="AM5482">
        <v>104.77161619111</v>
      </c>
      <c r="AN5482">
        <v>1.00000005042356</v>
      </c>
    </row>
    <row r="5483" spans="1:40" x14ac:dyDescent="0.25">
      <c r="A5483" t="str">
        <f>"20190304164957241"</f>
        <v>20190304164957241</v>
      </c>
      <c r="B5483" t="str">
        <f>"1551689397231579"</f>
        <v>1551689397231579</v>
      </c>
      <c r="C5483" t="s">
        <v>40</v>
      </c>
      <c r="D5483">
        <v>4.7954589999999904</v>
      </c>
      <c r="E5483">
        <v>0.53292099999999998</v>
      </c>
      <c r="F5483" t="s">
        <v>42</v>
      </c>
      <c r="G5483">
        <v>-417.09449999999998</v>
      </c>
      <c r="H5483" s="1">
        <v>-2.2039280000000001E-6</v>
      </c>
      <c r="I5483">
        <v>113.5688</v>
      </c>
      <c r="J5483">
        <v>-416.62520000000001</v>
      </c>
      <c r="K5483">
        <v>1.119828</v>
      </c>
      <c r="L5483">
        <v>120.32850000000001</v>
      </c>
      <c r="M5483">
        <v>-0.25396239999999998</v>
      </c>
      <c r="N5483">
        <v>-1.117872E-2</v>
      </c>
      <c r="O5483">
        <v>-0.9671497</v>
      </c>
      <c r="P5483">
        <v>-1.324639E-2</v>
      </c>
      <c r="Q5483">
        <v>0.4104119</v>
      </c>
      <c r="R5483">
        <v>-0.91180439999999996</v>
      </c>
      <c r="S5483">
        <v>-0.2755127</v>
      </c>
      <c r="T5483">
        <v>-0.55842709999999995</v>
      </c>
      <c r="U5483">
        <v>-3.5363009999999999</v>
      </c>
      <c r="V5483">
        <v>-0.22850010000000001</v>
      </c>
      <c r="W5483">
        <v>0.41507100000000002</v>
      </c>
      <c r="X5483">
        <v>0.88062689999999999</v>
      </c>
      <c r="Y5483">
        <v>-0.1786346</v>
      </c>
      <c r="Z5483">
        <v>0.135958299999999</v>
      </c>
      <c r="AA5483">
        <v>0.97447680000000003</v>
      </c>
      <c r="AB5483">
        <v>35</v>
      </c>
      <c r="AC5483">
        <v>-0.46929999999997501</v>
      </c>
      <c r="AD5483">
        <v>-1.1198302039279999</v>
      </c>
      <c r="AE5483">
        <v>-6.7596999999999996</v>
      </c>
      <c r="AF5483">
        <v>-1.22932890605068</v>
      </c>
      <c r="AG5483">
        <v>-1.1198302039279999</v>
      </c>
      <c r="AH5483">
        <v>6.4802492756914001</v>
      </c>
      <c r="AI5483">
        <v>99.635721118648306</v>
      </c>
      <c r="AJ5483">
        <v>100.741594975495</v>
      </c>
      <c r="AK5483">
        <v>6.6902092583102499</v>
      </c>
      <c r="AL5483">
        <v>65.476211807926802</v>
      </c>
      <c r="AM5483">
        <v>104.54600255059</v>
      </c>
      <c r="AN5483">
        <v>0.99999998387230904</v>
      </c>
    </row>
    <row r="5484" spans="1:40" x14ac:dyDescent="0.25">
      <c r="A5484" t="str">
        <f>"20190304164957263"</f>
        <v>20190304164957263</v>
      </c>
      <c r="B5484" t="str">
        <f>"1551689397251099"</f>
        <v>1551689397251099</v>
      </c>
      <c r="C5484" t="s">
        <v>40</v>
      </c>
      <c r="D5484">
        <v>4.6750629999999997</v>
      </c>
      <c r="E5484">
        <v>0.53347529999999999</v>
      </c>
      <c r="F5484" t="s">
        <v>42</v>
      </c>
      <c r="G5484">
        <v>-417.16090000000003</v>
      </c>
      <c r="H5484" s="1">
        <v>-2.0160080000000001E-6</v>
      </c>
      <c r="I5484">
        <v>113.15819999999999</v>
      </c>
      <c r="J5484">
        <v>-416.7054</v>
      </c>
      <c r="K5484">
        <v>1.1193569999999999</v>
      </c>
      <c r="L5484">
        <v>119.9965</v>
      </c>
      <c r="M5484">
        <v>-0.24601480000000001</v>
      </c>
      <c r="N5484">
        <v>-1.1101690000000001E-2</v>
      </c>
      <c r="O5484">
        <v>-0.96920260000000003</v>
      </c>
      <c r="P5484">
        <v>-9.3171069999999998E-3</v>
      </c>
      <c r="Q5484">
        <v>0.4098445</v>
      </c>
      <c r="R5484">
        <v>-0.91210789999999997</v>
      </c>
      <c r="S5484">
        <v>-0.26412960000000002</v>
      </c>
      <c r="T5484">
        <v>-0.55205819999999906</v>
      </c>
      <c r="U5484">
        <v>-3.534821</v>
      </c>
      <c r="V5484">
        <v>-0.22461039999999999</v>
      </c>
      <c r="W5484">
        <v>0.41478979999999999</v>
      </c>
      <c r="X5484">
        <v>0.88175930000000002</v>
      </c>
      <c r="Y5484">
        <v>-0.1736415</v>
      </c>
      <c r="Z5484">
        <v>0.13500119999999999</v>
      </c>
      <c r="AA5484">
        <v>0.97551180000000004</v>
      </c>
      <c r="AB5484">
        <v>35</v>
      </c>
      <c r="AC5484">
        <v>-0.45550000000002899</v>
      </c>
      <c r="AD5484">
        <v>-1.119359016008</v>
      </c>
      <c r="AE5484">
        <v>-6.8383000000000003</v>
      </c>
      <c r="AF5484">
        <v>-1.2086847555653999</v>
      </c>
      <c r="AG5484">
        <v>-1.119359016008</v>
      </c>
      <c r="AH5484">
        <v>6.5650437852390597</v>
      </c>
      <c r="AI5484">
        <v>99.519062575777198</v>
      </c>
      <c r="AJ5484">
        <v>100.431858497836</v>
      </c>
      <c r="AK5484">
        <v>6.7685806006252598</v>
      </c>
      <c r="AL5484">
        <v>65.493918455497095</v>
      </c>
      <c r="AM5484">
        <v>104.291016619559</v>
      </c>
      <c r="AN5484">
        <v>0.99999993655434205</v>
      </c>
    </row>
    <row r="5485" spans="1:40" x14ac:dyDescent="0.25">
      <c r="A5485" t="str">
        <f>"20190304164957287"</f>
        <v>20190304164957287</v>
      </c>
      <c r="B5485" t="str">
        <f>"1551689397281355"</f>
        <v>1551689397281355</v>
      </c>
      <c r="C5485" t="s">
        <v>40</v>
      </c>
      <c r="D5485">
        <v>5.0543139999999998</v>
      </c>
      <c r="E5485">
        <v>0.53433900000000001</v>
      </c>
      <c r="F5485" t="s">
        <v>42</v>
      </c>
      <c r="G5485">
        <v>-417.25420000000003</v>
      </c>
      <c r="H5485" s="1">
        <v>-1.6967800000000001E-6</v>
      </c>
      <c r="I5485">
        <v>112.45269999999999</v>
      </c>
      <c r="J5485">
        <v>-416.78989999999999</v>
      </c>
      <c r="K5485">
        <v>1.118806</v>
      </c>
      <c r="L5485">
        <v>119.63500000000001</v>
      </c>
      <c r="M5485">
        <v>-0.23806959999999999</v>
      </c>
      <c r="N5485">
        <v>-1.1014289999999999E-2</v>
      </c>
      <c r="O5485">
        <v>-0.97118570000000004</v>
      </c>
      <c r="P5485">
        <v>-6.2825110000000002E-3</v>
      </c>
      <c r="Q5485">
        <v>0.40933540000000002</v>
      </c>
      <c r="R5485">
        <v>-0.91236229999999996</v>
      </c>
      <c r="S5485">
        <v>-0.25616460000000002</v>
      </c>
      <c r="T5485">
        <v>-0.52248760000000005</v>
      </c>
      <c r="U5485">
        <v>-3.521255</v>
      </c>
      <c r="V5485">
        <v>-0.21977350000000001</v>
      </c>
      <c r="W5485">
        <v>0.41461320000000002</v>
      </c>
      <c r="X5485">
        <v>0.88306030000000002</v>
      </c>
      <c r="Y5485">
        <v>-0.16744000000000001</v>
      </c>
      <c r="Z5485">
        <v>0.12846440000000001</v>
      </c>
      <c r="AA5485">
        <v>0.97747669999999998</v>
      </c>
      <c r="AB5485">
        <v>35</v>
      </c>
      <c r="AC5485">
        <v>-0.46430000000003702</v>
      </c>
      <c r="AD5485">
        <v>-1.11880769677999</v>
      </c>
      <c r="AE5485">
        <v>-7.1823000000000103</v>
      </c>
      <c r="AF5485">
        <v>-1.2293361270394001</v>
      </c>
      <c r="AG5485">
        <v>-1.11880769677999</v>
      </c>
      <c r="AH5485">
        <v>6.9191171861340699</v>
      </c>
      <c r="AI5485">
        <v>99.045842579329403</v>
      </c>
      <c r="AJ5485">
        <v>100.07474491920399</v>
      </c>
      <c r="AK5485">
        <v>7.1159806499929603</v>
      </c>
      <c r="AL5485">
        <v>65.505039664909901</v>
      </c>
      <c r="AM5485">
        <v>103.975675430804</v>
      </c>
      <c r="AN5485">
        <v>0.99999999517629001</v>
      </c>
    </row>
    <row r="5486" spans="1:40" x14ac:dyDescent="0.25">
      <c r="A5486" t="str">
        <f>"20190304164957308"</f>
        <v>20190304164957308</v>
      </c>
      <c r="B5486" t="str">
        <f>"1551689397300875"</f>
        <v>1551689397300875</v>
      </c>
      <c r="C5486" t="s">
        <v>40</v>
      </c>
      <c r="D5486">
        <v>4.6939739999999999</v>
      </c>
      <c r="E5486">
        <v>0.53462180000000004</v>
      </c>
      <c r="F5486" t="s">
        <v>42</v>
      </c>
      <c r="G5486">
        <v>-417.33240000000001</v>
      </c>
      <c r="H5486" s="1">
        <v>-1.4956510000000001E-6</v>
      </c>
      <c r="I5486">
        <v>111.95740000000001</v>
      </c>
      <c r="J5486">
        <v>-416.86770000000001</v>
      </c>
      <c r="K5486">
        <v>1.1182259999999999</v>
      </c>
      <c r="L5486">
        <v>119.29259999999999</v>
      </c>
      <c r="M5486">
        <v>-0.23126089999999999</v>
      </c>
      <c r="N5486">
        <v>-1.092779E-2</v>
      </c>
      <c r="O5486">
        <v>-0.97283070000000005</v>
      </c>
      <c r="P5486">
        <v>-3.3754760000000001E-3</v>
      </c>
      <c r="Q5486">
        <v>0.40992149999999999</v>
      </c>
      <c r="R5486">
        <v>-0.9121148</v>
      </c>
      <c r="S5486">
        <v>-0.2484741</v>
      </c>
      <c r="T5486">
        <v>-0.51241409999999998</v>
      </c>
      <c r="U5486">
        <v>-3.5163730000000002</v>
      </c>
      <c r="V5486">
        <v>-0.2157376</v>
      </c>
      <c r="W5486">
        <v>0.4155104</v>
      </c>
      <c r="X5486">
        <v>0.88363359999999902</v>
      </c>
      <c r="Y5486">
        <v>-0.16255069999999999</v>
      </c>
      <c r="Z5486">
        <v>0.1265163</v>
      </c>
      <c r="AA5486">
        <v>0.97855550000000002</v>
      </c>
      <c r="AB5486">
        <v>35</v>
      </c>
      <c r="AC5486">
        <v>-0.46469999999999301</v>
      </c>
      <c r="AD5486">
        <v>-1.1182274956510001</v>
      </c>
      <c r="AE5486">
        <v>-7.33519999999998</v>
      </c>
      <c r="AF5486">
        <v>-1.21619309788859</v>
      </c>
      <c r="AG5486">
        <v>-1.1182274956510001</v>
      </c>
      <c r="AH5486">
        <v>7.0799252337315801</v>
      </c>
      <c r="AI5486">
        <v>98.847847636879493</v>
      </c>
      <c r="AJ5486">
        <v>99.747165776487904</v>
      </c>
      <c r="AK5486">
        <v>7.27013752955272</v>
      </c>
      <c r="AL5486">
        <v>65.448536349126002</v>
      </c>
      <c r="AM5486">
        <v>103.72025357388701</v>
      </c>
      <c r="AN5486">
        <v>0.99999997180543898</v>
      </c>
    </row>
    <row r="5487" spans="1:40" x14ac:dyDescent="0.25">
      <c r="A5487" t="str">
        <f>"20190304164957331"</f>
        <v>20190304164957331</v>
      </c>
      <c r="B5487" t="str">
        <f>"1551689397321371"</f>
        <v>1551689397321371</v>
      </c>
      <c r="C5487" t="s">
        <v>40</v>
      </c>
      <c r="D5487">
        <v>5.0731909999999996</v>
      </c>
      <c r="E5487">
        <v>0.53497980000000001</v>
      </c>
      <c r="F5487" t="s">
        <v>42</v>
      </c>
      <c r="G5487">
        <v>-417.40449999999998</v>
      </c>
      <c r="H5487" s="1">
        <v>-1.3006070000000001E-6</v>
      </c>
      <c r="I5487">
        <v>111.4406</v>
      </c>
      <c r="J5487">
        <v>-416.94099999999997</v>
      </c>
      <c r="K5487">
        <v>1.1176200000000001</v>
      </c>
      <c r="L5487">
        <v>118.9619</v>
      </c>
      <c r="M5487">
        <v>-0.22539419999999999</v>
      </c>
      <c r="N5487">
        <v>-1.084503E-2</v>
      </c>
      <c r="O5487">
        <v>-0.9742073</v>
      </c>
      <c r="P5487">
        <v>-1.1158729999999999E-4</v>
      </c>
      <c r="Q5487">
        <v>0.41078320000000001</v>
      </c>
      <c r="R5487">
        <v>-0.91173329999999997</v>
      </c>
      <c r="S5487">
        <v>-0.24017330000000001</v>
      </c>
      <c r="T5487">
        <v>-0.50030200000000002</v>
      </c>
      <c r="U5487">
        <v>-3.5130159999999999</v>
      </c>
      <c r="V5487">
        <v>-0.21285519999999999</v>
      </c>
      <c r="W5487">
        <v>0.41666900000000001</v>
      </c>
      <c r="X5487">
        <v>0.88378709999999905</v>
      </c>
      <c r="Y5487">
        <v>-0.15882299999999999</v>
      </c>
      <c r="Z5487">
        <v>0.1238741</v>
      </c>
      <c r="AA5487">
        <v>0.97950519999999996</v>
      </c>
      <c r="AB5487">
        <v>35</v>
      </c>
      <c r="AC5487">
        <v>-0.46350000000001002</v>
      </c>
      <c r="AD5487">
        <v>-1.1176213006069999</v>
      </c>
      <c r="AE5487">
        <v>-7.5212999999999903</v>
      </c>
      <c r="AF5487">
        <v>-1.21701513863627</v>
      </c>
      <c r="AG5487">
        <v>-1.1176213006069999</v>
      </c>
      <c r="AH5487">
        <v>7.2722471993747302</v>
      </c>
      <c r="AI5487">
        <v>98.619011730425001</v>
      </c>
      <c r="AJ5487">
        <v>99.500446955697001</v>
      </c>
      <c r="AK5487">
        <v>7.4575989801043896</v>
      </c>
      <c r="AL5487">
        <v>65.375534975489103</v>
      </c>
      <c r="AM5487">
        <v>103.541471719927</v>
      </c>
      <c r="AN5487">
        <v>1.0000000149272199</v>
      </c>
    </row>
    <row r="5488" spans="1:40" x14ac:dyDescent="0.25">
      <c r="A5488" t="str">
        <f>"20190304164957352"</f>
        <v>20190304164957352</v>
      </c>
      <c r="B5488" t="str">
        <f>"1551689397340894"</f>
        <v>1551689397340894</v>
      </c>
      <c r="C5488" t="s">
        <v>40</v>
      </c>
      <c r="D5488">
        <v>5.0996410000000001</v>
      </c>
      <c r="E5488">
        <v>0.53550640000000005</v>
      </c>
      <c r="F5488" t="s">
        <v>42</v>
      </c>
      <c r="G5488">
        <v>-417.47829999999999</v>
      </c>
      <c r="H5488" s="1">
        <v>-1.1108480000000001E-6</v>
      </c>
      <c r="I5488">
        <v>110.94070000000001</v>
      </c>
      <c r="J5488">
        <v>-417.01549999999997</v>
      </c>
      <c r="K5488">
        <v>1.1169290000000001</v>
      </c>
      <c r="L5488">
        <v>118.61839999999999</v>
      </c>
      <c r="M5488">
        <v>-0.22006049999999999</v>
      </c>
      <c r="N5488">
        <v>-1.0763780000000001E-2</v>
      </c>
      <c r="O5488">
        <v>-0.97542709999999999</v>
      </c>
      <c r="P5488">
        <v>1.2555489999999999E-3</v>
      </c>
      <c r="Q5488">
        <v>0.410659</v>
      </c>
      <c r="R5488">
        <v>-0.91178859999999995</v>
      </c>
      <c r="S5488">
        <v>-0.2351685</v>
      </c>
      <c r="T5488">
        <v>-0.48917529999999998</v>
      </c>
      <c r="U5488">
        <v>-3.510818</v>
      </c>
      <c r="V5488">
        <v>-0.20862030000000001</v>
      </c>
      <c r="W5488">
        <v>0.41690300000000002</v>
      </c>
      <c r="X5488">
        <v>0.88468609999999903</v>
      </c>
      <c r="Y5488">
        <v>-0.15475420000000001</v>
      </c>
      <c r="Z5488">
        <v>0.12139179999999999</v>
      </c>
      <c r="AA5488">
        <v>0.98046679999999997</v>
      </c>
      <c r="AB5488">
        <v>36</v>
      </c>
      <c r="AC5488">
        <v>-0.46280000000001498</v>
      </c>
      <c r="AD5488">
        <v>-1.1169301108480001</v>
      </c>
      <c r="AE5488">
        <v>-7.6776999999999802</v>
      </c>
      <c r="AF5488">
        <v>-1.21263150624409</v>
      </c>
      <c r="AG5488">
        <v>-1.1169301108480001</v>
      </c>
      <c r="AH5488">
        <v>7.4345462859224902</v>
      </c>
      <c r="AI5488">
        <v>98.434121014621695</v>
      </c>
      <c r="AJ5488">
        <v>99.263804051635603</v>
      </c>
      <c r="AK5488">
        <v>7.6151484896867601</v>
      </c>
      <c r="AL5488">
        <v>65.360785729850903</v>
      </c>
      <c r="AM5488">
        <v>103.268675583041</v>
      </c>
      <c r="AN5488">
        <v>1.00000001825714</v>
      </c>
    </row>
    <row r="5489" spans="1:40" x14ac:dyDescent="0.25">
      <c r="A5489" t="str">
        <f>"20190304164957376"</f>
        <v>20190304164957376</v>
      </c>
      <c r="B5489" t="str">
        <f>"1551689397371147"</f>
        <v>1551689397371147</v>
      </c>
      <c r="C5489" t="s">
        <v>40</v>
      </c>
      <c r="D5489">
        <v>4.7964560000000001</v>
      </c>
      <c r="E5489">
        <v>0.53623330000000002</v>
      </c>
      <c r="F5489" t="s">
        <v>42</v>
      </c>
      <c r="G5489">
        <v>-417.54500000000002</v>
      </c>
      <c r="H5489" s="1">
        <v>-9.7478520000000007E-7</v>
      </c>
      <c r="I5489">
        <v>110.593</v>
      </c>
      <c r="J5489">
        <v>-417.09050000000002</v>
      </c>
      <c r="K5489">
        <v>1.116182</v>
      </c>
      <c r="L5489">
        <v>118.2677</v>
      </c>
      <c r="M5489">
        <v>-0.21543219999999999</v>
      </c>
      <c r="N5489">
        <v>-1.068768E-2</v>
      </c>
      <c r="O5489">
        <v>-0.97646029999999995</v>
      </c>
      <c r="P5489">
        <v>-2.5574490000000001E-4</v>
      </c>
      <c r="Q5489">
        <v>0.40985779999999999</v>
      </c>
      <c r="R5489">
        <v>-0.91214930000000005</v>
      </c>
      <c r="S5489">
        <v>-0.23162840000000001</v>
      </c>
      <c r="T5489">
        <v>-0.48859079999999999</v>
      </c>
      <c r="U5489">
        <v>-3.5106199999999999</v>
      </c>
      <c r="V5489">
        <v>-0.20222219999999999</v>
      </c>
      <c r="W5489">
        <v>0.41651640000000001</v>
      </c>
      <c r="X5489">
        <v>0.88635219999999904</v>
      </c>
      <c r="Y5489">
        <v>-0.1510541</v>
      </c>
      <c r="Z5489">
        <v>0.1215715</v>
      </c>
      <c r="AA5489">
        <v>0.98102140000000004</v>
      </c>
      <c r="AB5489">
        <v>36</v>
      </c>
      <c r="AC5489">
        <v>-0.45449999999999502</v>
      </c>
      <c r="AD5489">
        <v>-1.1161829747851999</v>
      </c>
      <c r="AE5489">
        <v>-7.6747000000000103</v>
      </c>
      <c r="AF5489">
        <v>-1.1846749309461799</v>
      </c>
      <c r="AG5489">
        <v>-1.1161829747851999</v>
      </c>
      <c r="AH5489">
        <v>7.4356593713469401</v>
      </c>
      <c r="AI5489">
        <v>98.432257215727702</v>
      </c>
      <c r="AJ5489">
        <v>99.052477253690796</v>
      </c>
      <c r="AK5489">
        <v>7.61172447030975</v>
      </c>
      <c r="AL5489">
        <v>65.385151599500801</v>
      </c>
      <c r="AM5489">
        <v>102.852110355318</v>
      </c>
      <c r="AN5489">
        <v>0.99999997604331903</v>
      </c>
    </row>
    <row r="5490" spans="1:40" x14ac:dyDescent="0.25">
      <c r="A5490" t="str">
        <f>"20190304164957389"</f>
        <v>20190304164957389</v>
      </c>
      <c r="B5490" t="str">
        <f>"1551689397380907"</f>
        <v>1551689397380907</v>
      </c>
      <c r="C5490" t="s">
        <v>40</v>
      </c>
      <c r="D5490">
        <v>4.789752</v>
      </c>
      <c r="E5490">
        <v>0.53644569999999903</v>
      </c>
      <c r="F5490" t="s">
        <v>42</v>
      </c>
      <c r="G5490">
        <v>-417.62240000000003</v>
      </c>
      <c r="H5490" s="1">
        <v>-8.8172819999999998E-7</v>
      </c>
      <c r="I5490">
        <v>110.3801</v>
      </c>
      <c r="J5490">
        <v>-417.13830000000002</v>
      </c>
      <c r="K5490">
        <v>1.115691</v>
      </c>
      <c r="L5490">
        <v>118.0407</v>
      </c>
      <c r="M5490">
        <v>-0.2129762</v>
      </c>
      <c r="N5490">
        <v>-1.0642550000000001E-2</v>
      </c>
      <c r="O5490">
        <v>-0.97699959999999997</v>
      </c>
      <c r="P5490">
        <v>4.165382E-4</v>
      </c>
      <c r="Q5490">
        <v>0.40994639999999999</v>
      </c>
      <c r="R5490">
        <v>-0.91210970000000002</v>
      </c>
      <c r="S5490">
        <v>-0.2368469</v>
      </c>
      <c r="T5490">
        <v>-0.49701309999999899</v>
      </c>
      <c r="U5490">
        <v>-3.5122070000000001</v>
      </c>
      <c r="V5490">
        <v>-0.200125</v>
      </c>
      <c r="W5490">
        <v>0.41683409999999899</v>
      </c>
      <c r="X5490">
        <v>0.88667879999999999</v>
      </c>
      <c r="Y5490">
        <v>-0.1471671</v>
      </c>
      <c r="Z5490">
        <v>0.123941</v>
      </c>
      <c r="AA5490">
        <v>0.98131570000000001</v>
      </c>
      <c r="AB5490">
        <v>36</v>
      </c>
      <c r="AC5490">
        <v>-0.48410000000001202</v>
      </c>
      <c r="AD5490">
        <v>-1.1156918817282</v>
      </c>
      <c r="AE5490">
        <v>-7.6605999999999996</v>
      </c>
      <c r="AF5490">
        <v>-1.1346538726575199</v>
      </c>
      <c r="AG5490">
        <v>-1.1156918817282</v>
      </c>
      <c r="AH5490">
        <v>7.4309418998624404</v>
      </c>
      <c r="AI5490">
        <v>98.442272484940005</v>
      </c>
      <c r="AJ5490">
        <v>98.681615898795499</v>
      </c>
      <c r="AK5490">
        <v>7.59941480015548</v>
      </c>
      <c r="AL5490">
        <v>65.365127986946604</v>
      </c>
      <c r="AM5490">
        <v>102.718650288448</v>
      </c>
      <c r="AN5490">
        <v>0.99999998845862403</v>
      </c>
    </row>
    <row r="5491" spans="1:40" x14ac:dyDescent="0.25">
      <c r="A5491" t="str">
        <f>"20190304164957409"</f>
        <v>20190304164957409</v>
      </c>
      <c r="B5491" t="str">
        <f>"1551689397401403"</f>
        <v>1551689397401403</v>
      </c>
      <c r="C5491" t="s">
        <v>40</v>
      </c>
      <c r="D5491">
        <v>4.7259799999999998</v>
      </c>
      <c r="E5491">
        <v>0.5367923</v>
      </c>
      <c r="F5491" t="s">
        <v>42</v>
      </c>
      <c r="G5491">
        <v>-417.66539999999998</v>
      </c>
      <c r="H5491" s="1">
        <v>-8.0167400000000001E-7</v>
      </c>
      <c r="I5491">
        <v>110.1785</v>
      </c>
      <c r="J5491">
        <v>-417.20209999999997</v>
      </c>
      <c r="K5491">
        <v>1.1150500000000001</v>
      </c>
      <c r="L5491">
        <v>117.7363</v>
      </c>
      <c r="M5491">
        <v>-0.21013899999999999</v>
      </c>
      <c r="N5491">
        <v>-1.0587050000000001E-2</v>
      </c>
      <c r="O5491">
        <v>-0.97761430000000005</v>
      </c>
      <c r="P5491" s="1">
        <v>4.7787090000000001E-5</v>
      </c>
      <c r="Q5491">
        <v>0.41038780000000002</v>
      </c>
      <c r="R5491">
        <v>-0.91191120000000003</v>
      </c>
      <c r="S5491">
        <v>-0.23553470000000001</v>
      </c>
      <c r="T5491">
        <v>-0.4985482</v>
      </c>
      <c r="U5491">
        <v>-3.5132599999999998</v>
      </c>
      <c r="V5491">
        <v>-0.196468</v>
      </c>
      <c r="W5491">
        <v>0.41758679999999898</v>
      </c>
      <c r="X5491">
        <v>0.8871424</v>
      </c>
      <c r="Y5491">
        <v>-0.14468699999999901</v>
      </c>
      <c r="Z5491">
        <v>0.1245179</v>
      </c>
      <c r="AA5491">
        <v>0.98161140000000002</v>
      </c>
      <c r="AB5491">
        <v>36</v>
      </c>
      <c r="AC5491">
        <v>-0.46330000000000299</v>
      </c>
      <c r="AD5491">
        <v>-1.1150508016739999</v>
      </c>
      <c r="AE5491">
        <v>-7.5578000000000003</v>
      </c>
      <c r="AF5491">
        <v>-1.1112258453164601</v>
      </c>
      <c r="AG5491">
        <v>-1.1150508016739999</v>
      </c>
      <c r="AH5491">
        <v>7.3274892389701796</v>
      </c>
      <c r="AI5491">
        <v>98.556170546549097</v>
      </c>
      <c r="AJ5491">
        <v>98.623293395989293</v>
      </c>
      <c r="AK5491">
        <v>7.4946820957821103</v>
      </c>
      <c r="AL5491">
        <v>65.317675070824805</v>
      </c>
      <c r="AM5491">
        <v>102.487272946</v>
      </c>
      <c r="AN5491">
        <v>1.0000000242179901</v>
      </c>
    </row>
    <row r="5492" spans="1:40" x14ac:dyDescent="0.25">
      <c r="A5492" t="str">
        <f>"20190304164957430"</f>
        <v>20190304164957430</v>
      </c>
      <c r="B5492" t="str">
        <f>"1551689397420923"</f>
        <v>1551689397420923</v>
      </c>
      <c r="C5492" t="s">
        <v>40</v>
      </c>
      <c r="D5492">
        <v>4.9355900000000004</v>
      </c>
      <c r="E5492">
        <v>0.53708789999999995</v>
      </c>
      <c r="F5492" t="s">
        <v>42</v>
      </c>
      <c r="G5492">
        <v>-417.73070000000001</v>
      </c>
      <c r="H5492" s="1">
        <v>-6.8634709999999996E-7</v>
      </c>
      <c r="I5492">
        <v>109.89060000000001</v>
      </c>
      <c r="J5492">
        <v>-417.27050000000003</v>
      </c>
      <c r="K5492">
        <v>1.114398</v>
      </c>
      <c r="L5492">
        <v>117.407</v>
      </c>
      <c r="M5492">
        <v>-0.20769670000000001</v>
      </c>
      <c r="N5492">
        <v>-1.0533020000000001E-2</v>
      </c>
      <c r="O5492">
        <v>-0.97813669999999997</v>
      </c>
      <c r="P5492">
        <v>-7.2352219999999995E-4</v>
      </c>
      <c r="Q5492">
        <v>0.41094819999999999</v>
      </c>
      <c r="R5492">
        <v>-0.91165870000000004</v>
      </c>
      <c r="S5492">
        <v>-0.23681640000000001</v>
      </c>
      <c r="T5492">
        <v>-0.49950859999999903</v>
      </c>
      <c r="U5492">
        <v>-3.5146030000000001</v>
      </c>
      <c r="V5492">
        <v>-0.19274749999999999</v>
      </c>
      <c r="W5492">
        <v>0.41845749999999998</v>
      </c>
      <c r="X5492">
        <v>0.88754809999999995</v>
      </c>
      <c r="Y5492">
        <v>-0.14188999999999999</v>
      </c>
      <c r="Z5492">
        <v>0.12491140000000001</v>
      </c>
      <c r="AA5492">
        <v>0.98196969999999995</v>
      </c>
      <c r="AB5492">
        <v>36</v>
      </c>
      <c r="AC5492">
        <v>-0.46019999999998601</v>
      </c>
      <c r="AD5492">
        <v>-1.1143986863471</v>
      </c>
      <c r="AE5492">
        <v>-7.5164</v>
      </c>
      <c r="AF5492">
        <v>-1.08724422420383</v>
      </c>
      <c r="AG5492">
        <v>-1.1143986863471</v>
      </c>
      <c r="AH5492">
        <v>7.2884467239837702</v>
      </c>
      <c r="AI5492">
        <v>98.599451986984505</v>
      </c>
      <c r="AJ5492">
        <v>98.484455671446597</v>
      </c>
      <c r="AK5492">
        <v>7.4528813276172903</v>
      </c>
      <c r="AL5492">
        <v>65.262757524128901</v>
      </c>
      <c r="AM5492">
        <v>102.252584131105</v>
      </c>
      <c r="AN5492">
        <v>0.99999995393805297</v>
      </c>
    </row>
    <row r="5493" spans="1:40" x14ac:dyDescent="0.25">
      <c r="A5493" t="str">
        <f>"20190304164957453"</f>
        <v>20190304164957453</v>
      </c>
      <c r="B5493" t="str">
        <f>"1551689397441419"</f>
        <v>1551689397441419</v>
      </c>
      <c r="C5493" t="s">
        <v>40</v>
      </c>
      <c r="D5493">
        <v>4.8098769999999904</v>
      </c>
      <c r="E5493">
        <v>0.53732199999999997</v>
      </c>
      <c r="F5493" t="s">
        <v>42</v>
      </c>
      <c r="G5493">
        <v>-417.79860000000002</v>
      </c>
      <c r="H5493" s="1">
        <v>-5.0935740000000004E-6</v>
      </c>
      <c r="I5493">
        <v>109.5805</v>
      </c>
      <c r="J5493">
        <v>-417.34359999999998</v>
      </c>
      <c r="K5493">
        <v>1.113766</v>
      </c>
      <c r="L5493">
        <v>117.05370000000001</v>
      </c>
      <c r="M5493">
        <v>-0.20570920000000001</v>
      </c>
      <c r="N5493">
        <v>-1.0480690000000001E-2</v>
      </c>
      <c r="O5493">
        <v>-0.97855720000000002</v>
      </c>
      <c r="P5493">
        <v>-1.8732849999999999E-3</v>
      </c>
      <c r="Q5493">
        <v>0.4107035</v>
      </c>
      <c r="R5493">
        <v>-0.91176749999999995</v>
      </c>
      <c r="S5493">
        <v>-0.2372437</v>
      </c>
      <c r="T5493">
        <v>-0.50066109999999997</v>
      </c>
      <c r="U5493">
        <v>-3.5161739999999999</v>
      </c>
      <c r="V5493">
        <v>-0.18915170000000001</v>
      </c>
      <c r="W5493">
        <v>0.41850949999999998</v>
      </c>
      <c r="X5493">
        <v>0.888296999999999</v>
      </c>
      <c r="Y5493">
        <v>-0.139794899999999</v>
      </c>
      <c r="Z5493">
        <v>0.12531800000000001</v>
      </c>
      <c r="AA5493">
        <v>0.98221829999999999</v>
      </c>
      <c r="AB5493">
        <v>36</v>
      </c>
      <c r="AC5493">
        <v>-0.45500000000003998</v>
      </c>
      <c r="AD5493">
        <v>-1.1137710935739999</v>
      </c>
      <c r="AE5493">
        <v>-7.4732000000000003</v>
      </c>
      <c r="AF5493">
        <v>-1.06847740014517</v>
      </c>
      <c r="AG5493">
        <v>-1.1137710935739999</v>
      </c>
      <c r="AH5493">
        <v>7.2465934593370598</v>
      </c>
      <c r="AI5493">
        <v>98.645708265128704</v>
      </c>
      <c r="AJ5493">
        <v>98.387569344270702</v>
      </c>
      <c r="AK5493">
        <v>7.4091326596578604</v>
      </c>
      <c r="AL5493">
        <v>65.259479976686194</v>
      </c>
      <c r="AM5493">
        <v>102.020878436172</v>
      </c>
      <c r="AN5493">
        <v>1.00000006370606</v>
      </c>
    </row>
    <row r="5494" spans="1:40" x14ac:dyDescent="0.25">
      <c r="A5494" t="str">
        <f>"20190304164957476"</f>
        <v>20190304164957476</v>
      </c>
      <c r="B5494" t="str">
        <f>"1551689397471675"</f>
        <v>1551689397471675</v>
      </c>
      <c r="C5494" t="s">
        <v>40</v>
      </c>
      <c r="D5494">
        <v>4.828322</v>
      </c>
      <c r="E5494">
        <v>0.53768059999999995</v>
      </c>
      <c r="F5494" t="s">
        <v>42</v>
      </c>
      <c r="G5494">
        <v>-417.8732</v>
      </c>
      <c r="H5494" s="1">
        <v>-4.9310870000000004E-6</v>
      </c>
      <c r="I5494">
        <v>109.26479999999999</v>
      </c>
      <c r="J5494">
        <v>-417.41550000000001</v>
      </c>
      <c r="K5494">
        <v>1.1132070000000001</v>
      </c>
      <c r="L5494">
        <v>116.7046</v>
      </c>
      <c r="M5494">
        <v>-0.20431179999999999</v>
      </c>
      <c r="N5494">
        <v>-1.0433329999999999E-2</v>
      </c>
      <c r="O5494">
        <v>-0.97885029999999995</v>
      </c>
      <c r="P5494">
        <v>-4.1518730000000004E-3</v>
      </c>
      <c r="Q5494">
        <v>0.41015839999999998</v>
      </c>
      <c r="R5494">
        <v>-0.91200490000000001</v>
      </c>
      <c r="S5494">
        <v>-0.23910519999999999</v>
      </c>
      <c r="T5494">
        <v>-0.50281239999999905</v>
      </c>
      <c r="U5494">
        <v>-3.5163269999999902</v>
      </c>
      <c r="V5494">
        <v>-0.1850957</v>
      </c>
      <c r="W5494">
        <v>0.4182245</v>
      </c>
      <c r="X5494">
        <v>0.88928499999999999</v>
      </c>
      <c r="Y5494">
        <v>-0.13787389999999999</v>
      </c>
      <c r="Z5494">
        <v>0.12600939999999999</v>
      </c>
      <c r="AA5494">
        <v>0.98240139999999998</v>
      </c>
      <c r="AB5494">
        <v>36</v>
      </c>
      <c r="AC5494">
        <v>-0.45769999999998801</v>
      </c>
      <c r="AD5494">
        <v>-1.1132119310869999</v>
      </c>
      <c r="AE5494">
        <v>-7.4398</v>
      </c>
      <c r="AF5494">
        <v>-1.0486870141092399</v>
      </c>
      <c r="AG5494">
        <v>-1.1132119310869999</v>
      </c>
      <c r="AH5494">
        <v>7.2154286181157303</v>
      </c>
      <c r="AI5494">
        <v>98.680770073901002</v>
      </c>
      <c r="AJ5494">
        <v>98.269439433071994</v>
      </c>
      <c r="AK5494">
        <v>7.3757301604789802</v>
      </c>
      <c r="AL5494">
        <v>65.277456092425297</v>
      </c>
      <c r="AM5494">
        <v>101.75766718551201</v>
      </c>
      <c r="AN5494">
        <v>0.99999998089186903</v>
      </c>
    </row>
    <row r="5495" spans="1:40" x14ac:dyDescent="0.25">
      <c r="A5495" t="str">
        <f>"20190304164957499"</f>
        <v>20190304164957499</v>
      </c>
      <c r="B5495" t="str">
        <f>"1551689397491195"</f>
        <v>1551689397491195</v>
      </c>
      <c r="C5495" t="s">
        <v>40</v>
      </c>
      <c r="D5495">
        <v>4.8389730000000002</v>
      </c>
      <c r="E5495">
        <v>0.5379562</v>
      </c>
      <c r="F5495" t="s">
        <v>42</v>
      </c>
      <c r="G5495">
        <v>-417.96179999999998</v>
      </c>
      <c r="H5495" s="1">
        <v>-4.7556930000000001E-6</v>
      </c>
      <c r="I5495">
        <v>108.9269</v>
      </c>
      <c r="J5495">
        <v>-417.49169999999998</v>
      </c>
      <c r="K5495">
        <v>1.112687</v>
      </c>
      <c r="L5495">
        <v>116.3336</v>
      </c>
      <c r="M5495">
        <v>-0.20338390000000001</v>
      </c>
      <c r="N5495">
        <v>-1.038816E-2</v>
      </c>
      <c r="O5495">
        <v>-0.97904389999999997</v>
      </c>
      <c r="P5495">
        <v>-6.5019400000000003E-3</v>
      </c>
      <c r="Q5495">
        <v>0.40936420000000001</v>
      </c>
      <c r="R5495">
        <v>-0.91234800000000005</v>
      </c>
      <c r="S5495">
        <v>-0.24685670000000001</v>
      </c>
      <c r="T5495">
        <v>-0.50303819999999999</v>
      </c>
      <c r="U5495">
        <v>-3.5145569999999999</v>
      </c>
      <c r="V5495">
        <v>-0.1814566</v>
      </c>
      <c r="W5495">
        <v>0.4176627</v>
      </c>
      <c r="X5495">
        <v>0.89029849999999999</v>
      </c>
      <c r="Y5495">
        <v>-0.134749799999999</v>
      </c>
      <c r="Z5495">
        <v>0.12624469999999999</v>
      </c>
      <c r="AA5495">
        <v>0.98280449999999997</v>
      </c>
      <c r="AB5495">
        <v>36</v>
      </c>
      <c r="AC5495">
        <v>-0.47010000000000202</v>
      </c>
      <c r="AD5495">
        <v>-1.1126917556930001</v>
      </c>
      <c r="AE5495">
        <v>-7.4066999999999998</v>
      </c>
      <c r="AF5495">
        <v>-1.0232119316063699</v>
      </c>
      <c r="AG5495">
        <v>-1.1126917556930001</v>
      </c>
      <c r="AH5495">
        <v>7.18596721824062</v>
      </c>
      <c r="AI5495">
        <v>98.715370889642301</v>
      </c>
      <c r="AJ5495">
        <v>98.1038867264662</v>
      </c>
      <c r="AK5495">
        <v>7.3432397796747502</v>
      </c>
      <c r="AL5495">
        <v>65.312888956055403</v>
      </c>
      <c r="AM5495">
        <v>101.519979203779</v>
      </c>
      <c r="AN5495">
        <v>1.00000002387854</v>
      </c>
    </row>
    <row r="5496" spans="1:40" x14ac:dyDescent="0.25">
      <c r="A5496" t="str">
        <f>"20190304164957520"</f>
        <v>20190304164957520</v>
      </c>
      <c r="B5496" t="str">
        <f>"1551689397511691"</f>
        <v>1551689397511691</v>
      </c>
      <c r="C5496" t="s">
        <v>40</v>
      </c>
      <c r="D5496">
        <v>4.8396160000000004</v>
      </c>
      <c r="E5496">
        <v>0.53813420000000001</v>
      </c>
      <c r="F5496" t="s">
        <v>42</v>
      </c>
      <c r="G5496">
        <v>-418.04790000000003</v>
      </c>
      <c r="H5496" s="1">
        <v>-4.6152950000000002E-6</v>
      </c>
      <c r="I5496">
        <v>108.6623</v>
      </c>
      <c r="J5496">
        <v>-417.55880000000002</v>
      </c>
      <c r="K5496">
        <v>1.11226</v>
      </c>
      <c r="L5496">
        <v>116.0064</v>
      </c>
      <c r="M5496">
        <v>-0.2028652</v>
      </c>
      <c r="N5496">
        <v>-1.035194E-2</v>
      </c>
      <c r="O5496">
        <v>-0.97915209999999997</v>
      </c>
      <c r="P5496">
        <v>-8.8376380000000001E-3</v>
      </c>
      <c r="Q5496">
        <v>0.40935700000000003</v>
      </c>
      <c r="R5496">
        <v>-0.91233189999999997</v>
      </c>
      <c r="S5496">
        <v>-0.25485229999999998</v>
      </c>
      <c r="T5496">
        <v>-0.50985979999999997</v>
      </c>
      <c r="U5496">
        <v>-3.5151819999999998</v>
      </c>
      <c r="V5496">
        <v>-0.17826529999999999</v>
      </c>
      <c r="W5496">
        <v>0.41782550000000002</v>
      </c>
      <c r="X5496">
        <v>0.89086659999999995</v>
      </c>
      <c r="Y5496">
        <v>-0.1320315</v>
      </c>
      <c r="Z5496">
        <v>0.128113</v>
      </c>
      <c r="AA5496">
        <v>0.98293169999999996</v>
      </c>
      <c r="AB5496">
        <v>36</v>
      </c>
      <c r="AC5496">
        <v>-0.48910000000000697</v>
      </c>
      <c r="AD5496">
        <v>-1.112264615295</v>
      </c>
      <c r="AE5496">
        <v>-7.3440999999999903</v>
      </c>
      <c r="AF5496">
        <v>-0.98844115949314004</v>
      </c>
      <c r="AG5496">
        <v>-1.112264615295</v>
      </c>
      <c r="AH5496">
        <v>7.1278318311386801</v>
      </c>
      <c r="AI5496">
        <v>98.786459153951398</v>
      </c>
      <c r="AJ5496">
        <v>97.895053227547805</v>
      </c>
      <c r="AK5496">
        <v>7.2814926432161702</v>
      </c>
      <c r="AL5496">
        <v>65.302621390723701</v>
      </c>
      <c r="AM5496">
        <v>101.31562049771701</v>
      </c>
      <c r="AN5496">
        <v>0.99999998231494902</v>
      </c>
    </row>
    <row r="5497" spans="1:40" x14ac:dyDescent="0.25">
      <c r="A5497" t="str">
        <f>"20190304164957542"</f>
        <v>20190304164957542</v>
      </c>
      <c r="B5497" t="str">
        <f>"1551689397531211"</f>
        <v>1551689397531211</v>
      </c>
      <c r="C5497" t="s">
        <v>40</v>
      </c>
      <c r="D5497">
        <v>4.8419749999999997</v>
      </c>
      <c r="E5497">
        <v>0.53833509999999996</v>
      </c>
      <c r="F5497" t="s">
        <v>42</v>
      </c>
      <c r="G5497">
        <v>-418.13420000000002</v>
      </c>
      <c r="H5497" s="1">
        <v>-4.4549170000000002E-6</v>
      </c>
      <c r="I5497">
        <v>108.3554</v>
      </c>
      <c r="J5497">
        <v>-417.6311</v>
      </c>
      <c r="K5497">
        <v>1.111856</v>
      </c>
      <c r="L5497">
        <v>115.6546</v>
      </c>
      <c r="M5497">
        <v>-0.20257030000000001</v>
      </c>
      <c r="N5497">
        <v>-1.031546E-2</v>
      </c>
      <c r="O5497">
        <v>-0.97921360000000002</v>
      </c>
      <c r="P5497">
        <v>-1.0301050000000001E-2</v>
      </c>
      <c r="Q5497">
        <v>0.4101881</v>
      </c>
      <c r="R5497">
        <v>-0.91194280000000005</v>
      </c>
      <c r="S5497">
        <v>-0.2643433</v>
      </c>
      <c r="T5497">
        <v>-0.51099280000000002</v>
      </c>
      <c r="U5497">
        <v>-3.515015</v>
      </c>
      <c r="V5497">
        <v>-0.1760842</v>
      </c>
      <c r="W5497">
        <v>0.4188018</v>
      </c>
      <c r="X5497">
        <v>0.89084200000000002</v>
      </c>
      <c r="Y5497">
        <v>-0.12909590000000001</v>
      </c>
      <c r="Z5497">
        <v>0.1284875</v>
      </c>
      <c r="AA5497">
        <v>0.9832727</v>
      </c>
      <c r="AB5497">
        <v>36</v>
      </c>
      <c r="AC5497">
        <v>-0.50310000000001698</v>
      </c>
      <c r="AD5497">
        <v>-1.1118604549169999</v>
      </c>
      <c r="AE5497">
        <v>-7.2991999999999901</v>
      </c>
      <c r="AF5497">
        <v>-0.96375446678259802</v>
      </c>
      <c r="AG5497">
        <v>-1.1118604549169999</v>
      </c>
      <c r="AH5497">
        <v>7.0861290121964302</v>
      </c>
      <c r="AI5497">
        <v>98.837321373509596</v>
      </c>
      <c r="AJ5497">
        <v>97.745035410333401</v>
      </c>
      <c r="AK5497">
        <v>7.2372840707646402</v>
      </c>
      <c r="AL5497">
        <v>65.241037616358398</v>
      </c>
      <c r="AM5497">
        <v>101.180982069489</v>
      </c>
      <c r="AN5497">
        <v>1.0000000310684301</v>
      </c>
    </row>
    <row r="5498" spans="1:40" x14ac:dyDescent="0.25">
      <c r="A5498" t="str">
        <f>"20190304164957565"</f>
        <v>20190304164957565</v>
      </c>
      <c r="B5498" t="str">
        <f>"1551689397561467"</f>
        <v>1551689397561467</v>
      </c>
      <c r="C5498" t="s">
        <v>40</v>
      </c>
      <c r="D5498">
        <v>5.0258260000000003</v>
      </c>
      <c r="E5498">
        <v>0.5386898</v>
      </c>
      <c r="F5498" t="s">
        <v>42</v>
      </c>
      <c r="G5498">
        <v>-418.22140000000002</v>
      </c>
      <c r="H5498" s="1">
        <v>-4.256805E-6</v>
      </c>
      <c r="I5498">
        <v>107.96899999999999</v>
      </c>
      <c r="J5498">
        <v>-417.7045</v>
      </c>
      <c r="K5498">
        <v>1.111472</v>
      </c>
      <c r="L5498">
        <v>115.29810000000001</v>
      </c>
      <c r="M5498">
        <v>-0.20253470000000001</v>
      </c>
      <c r="N5498">
        <v>-1.027635E-2</v>
      </c>
      <c r="O5498">
        <v>-0.97922149999999997</v>
      </c>
      <c r="P5498">
        <v>-1.169623E-2</v>
      </c>
      <c r="Q5498">
        <v>0.41194009999999998</v>
      </c>
      <c r="R5498">
        <v>-0.91113619999999995</v>
      </c>
      <c r="S5498">
        <v>-0.27001950000000002</v>
      </c>
      <c r="T5498">
        <v>-0.50856210000000002</v>
      </c>
      <c r="U5498">
        <v>-3.5153810000000001</v>
      </c>
      <c r="V5498">
        <v>-0.17414379999999999</v>
      </c>
      <c r="W5498">
        <v>0.42067830000000001</v>
      </c>
      <c r="X5498">
        <v>0.89033909999999905</v>
      </c>
      <c r="Y5498">
        <v>-0.12748489999999901</v>
      </c>
      <c r="Z5498">
        <v>0.12787499999999999</v>
      </c>
      <c r="AA5498">
        <v>0.98356270000000001</v>
      </c>
      <c r="AB5498">
        <v>36</v>
      </c>
      <c r="AC5498">
        <v>-0.51690000000002101</v>
      </c>
      <c r="AD5498">
        <v>-1.1114762568050001</v>
      </c>
      <c r="AE5498">
        <v>-7.3291000000000102</v>
      </c>
      <c r="AF5498">
        <v>-0.95640189281682297</v>
      </c>
      <c r="AG5498">
        <v>-1.1114762568050001</v>
      </c>
      <c r="AH5498">
        <v>7.1189694979768703</v>
      </c>
      <c r="AI5498">
        <v>98.796108900461107</v>
      </c>
      <c r="AJ5498">
        <v>97.651618671025702</v>
      </c>
      <c r="AK5498">
        <v>7.2684118460052796</v>
      </c>
      <c r="AL5498">
        <v>65.122581299316096</v>
      </c>
      <c r="AM5498">
        <v>101.06691880454299</v>
      </c>
      <c r="AN5498">
        <v>1.00000000407907</v>
      </c>
    </row>
    <row r="5499" spans="1:40" x14ac:dyDescent="0.25">
      <c r="A5499" t="str">
        <f>"20190304164957587"</f>
        <v>20190304164957587</v>
      </c>
      <c r="B5499" t="str">
        <f>"1551689397580987"</f>
        <v>1551689397580987</v>
      </c>
      <c r="C5499" t="s">
        <v>40</v>
      </c>
      <c r="D5499">
        <v>4.9225399999999997</v>
      </c>
      <c r="E5499">
        <v>0.5387364</v>
      </c>
      <c r="F5499" t="s">
        <v>42</v>
      </c>
      <c r="G5499">
        <v>-418.31580000000002</v>
      </c>
      <c r="H5499" s="1">
        <v>-4.0295740000000001E-6</v>
      </c>
      <c r="I5499">
        <v>107.52370000000001</v>
      </c>
      <c r="J5499">
        <v>-417.77960000000002</v>
      </c>
      <c r="K5499">
        <v>1.111084</v>
      </c>
      <c r="L5499">
        <v>114.93380000000001</v>
      </c>
      <c r="M5499">
        <v>-0.20278170000000001</v>
      </c>
      <c r="N5499">
        <v>-1.0233849999999999E-2</v>
      </c>
      <c r="O5499">
        <v>-0.97917069999999995</v>
      </c>
      <c r="P5499">
        <v>-1.263307E-2</v>
      </c>
      <c r="Q5499">
        <v>0.4126242</v>
      </c>
      <c r="R5499">
        <v>-0.91081420000000002</v>
      </c>
      <c r="S5499">
        <v>-0.27648929999999999</v>
      </c>
      <c r="T5499">
        <v>-0.502718</v>
      </c>
      <c r="U5499">
        <v>-3.5163269999999902</v>
      </c>
      <c r="V5499">
        <v>-0.17299729999999999</v>
      </c>
      <c r="W5499">
        <v>0.421485</v>
      </c>
      <c r="X5499">
        <v>0.89018109999999995</v>
      </c>
      <c r="Y5499">
        <v>-0.12594369999999999</v>
      </c>
      <c r="Z5499">
        <v>0.1263205</v>
      </c>
      <c r="AA5499">
        <v>0.98396209999999995</v>
      </c>
      <c r="AB5499">
        <v>36</v>
      </c>
      <c r="AC5499">
        <v>-0.536200000000008</v>
      </c>
      <c r="AD5499">
        <v>-1.111088029574</v>
      </c>
      <c r="AE5499">
        <v>-7.4100999999999999</v>
      </c>
      <c r="AF5499">
        <v>-0.95626489555086602</v>
      </c>
      <c r="AG5499">
        <v>-1.111088029574</v>
      </c>
      <c r="AH5499">
        <v>7.20375221384261</v>
      </c>
      <c r="AI5499">
        <v>98.692982990276306</v>
      </c>
      <c r="AJ5499">
        <v>97.561542552601495</v>
      </c>
      <c r="AK5499">
        <v>7.3513947736717196</v>
      </c>
      <c r="AL5499">
        <v>65.071623525525794</v>
      </c>
      <c r="AM5499">
        <v>100.99774382660399</v>
      </c>
      <c r="AN5499">
        <v>1.0000000309147401</v>
      </c>
    </row>
    <row r="5500" spans="1:40" x14ac:dyDescent="0.25">
      <c r="A5500" t="str">
        <f>"20190304164957609"</f>
        <v>20190304164957609</v>
      </c>
      <c r="B5500" t="str">
        <f>"1551689397601483"</f>
        <v>1551689397601483</v>
      </c>
      <c r="C5500" t="s">
        <v>40</v>
      </c>
      <c r="D5500">
        <v>4.8110730000000004</v>
      </c>
      <c r="E5500">
        <v>0.52419649999999995</v>
      </c>
      <c r="F5500" t="s">
        <v>42</v>
      </c>
      <c r="G5500">
        <v>-418.39229999999998</v>
      </c>
      <c r="H5500" s="1">
        <v>-3.8197099999999999E-6</v>
      </c>
      <c r="I5500">
        <v>107.1084</v>
      </c>
      <c r="J5500">
        <v>-417.84899999999999</v>
      </c>
      <c r="K5500">
        <v>1.110714</v>
      </c>
      <c r="L5500">
        <v>114.5993</v>
      </c>
      <c r="M5500">
        <v>-0.20328560000000001</v>
      </c>
      <c r="N5500">
        <v>-1.019693E-2</v>
      </c>
      <c r="O5500">
        <v>-0.9790664</v>
      </c>
      <c r="P5500">
        <v>-1.2786560000000001E-2</v>
      </c>
      <c r="Q5500">
        <v>0.40940389999999999</v>
      </c>
      <c r="R5500">
        <v>-0.9122635</v>
      </c>
      <c r="S5500">
        <v>-0.27526859999999997</v>
      </c>
      <c r="T5500">
        <v>-0.49923990000000001</v>
      </c>
      <c r="U5500">
        <v>-3.5161289999999998</v>
      </c>
      <c r="V5500">
        <v>-0.17322760000000001</v>
      </c>
      <c r="W5500">
        <v>0.41839860000000001</v>
      </c>
      <c r="X5500">
        <v>0.89159109999999997</v>
      </c>
      <c r="Y5500">
        <v>-0.12678049999999999</v>
      </c>
      <c r="Z5500">
        <v>0.1254101</v>
      </c>
      <c r="AA5500">
        <v>0.98397109999999999</v>
      </c>
      <c r="AB5500">
        <v>36</v>
      </c>
      <c r="AC5500">
        <v>-0.54329999999998702</v>
      </c>
      <c r="AD5500">
        <v>-1.1107178197100001</v>
      </c>
      <c r="AE5500">
        <v>-7.4908999999999901</v>
      </c>
      <c r="AF5500">
        <v>-0.969708706525099</v>
      </c>
      <c r="AG5500">
        <v>-1.1107178197100001</v>
      </c>
      <c r="AH5500">
        <v>7.2855804138868399</v>
      </c>
      <c r="AI5500">
        <v>98.593600943319402</v>
      </c>
      <c r="AJ5500">
        <v>97.581491657420301</v>
      </c>
      <c r="AK5500">
        <v>7.4332839995350302</v>
      </c>
      <c r="AL5500">
        <v>65.266472780364296</v>
      </c>
      <c r="AM5500">
        <v>100.995036584467</v>
      </c>
      <c r="AN5500">
        <v>0.99999993974146295</v>
      </c>
    </row>
    <row r="5501" spans="1:40" x14ac:dyDescent="0.25">
      <c r="A5501" t="str">
        <f>"20190304164957631"</f>
        <v>20190304164957631</v>
      </c>
      <c r="B5501" t="str">
        <f>"1551689397621003"</f>
        <v>1551689397621003</v>
      </c>
      <c r="C5501" t="s">
        <v>40</v>
      </c>
      <c r="D5501">
        <v>4.7714059999999998</v>
      </c>
      <c r="E5501">
        <v>0.52409609999999995</v>
      </c>
      <c r="F5501" t="s">
        <v>42</v>
      </c>
      <c r="G5501">
        <v>-418.24340000000001</v>
      </c>
      <c r="H5501" s="1">
        <v>-3.2595240000000001E-6</v>
      </c>
      <c r="I5501">
        <v>105.86750000000001</v>
      </c>
      <c r="J5501">
        <v>-417.92290000000003</v>
      </c>
      <c r="K5501">
        <v>1.1103130000000001</v>
      </c>
      <c r="L5501">
        <v>114.246</v>
      </c>
      <c r="M5501">
        <v>-0.20412739999999999</v>
      </c>
      <c r="N5501">
        <v>-1.0163E-2</v>
      </c>
      <c r="O5501">
        <v>-0.97889190000000004</v>
      </c>
      <c r="P5501">
        <v>-1.194656E-2</v>
      </c>
      <c r="Q5501">
        <v>0.40652890000000003</v>
      </c>
      <c r="R5501">
        <v>-0.91356009999999999</v>
      </c>
      <c r="S5501">
        <v>-0.15740970000000001</v>
      </c>
      <c r="T5501">
        <v>-0.44334030000000002</v>
      </c>
      <c r="U5501">
        <v>-3.4852599999999998</v>
      </c>
      <c r="V5501">
        <v>-0.1746799</v>
      </c>
      <c r="W5501">
        <v>0.41567130000000002</v>
      </c>
      <c r="X5501">
        <v>0.89258300000000002</v>
      </c>
      <c r="Y5501">
        <v>-0.1599254</v>
      </c>
      <c r="Z5501">
        <v>0.1113058</v>
      </c>
      <c r="AA5501">
        <v>0.98083379999999998</v>
      </c>
      <c r="AB5501">
        <v>36</v>
      </c>
      <c r="AC5501">
        <v>-0.32049999999998102</v>
      </c>
      <c r="AD5501">
        <v>-1.1103162595239999</v>
      </c>
      <c r="AE5501">
        <v>-8.3785000000000007</v>
      </c>
      <c r="AF5501">
        <v>-1.3725494853312401</v>
      </c>
      <c r="AG5501">
        <v>-1.1103162595239999</v>
      </c>
      <c r="AH5501">
        <v>8.1250142619047203</v>
      </c>
      <c r="AI5501">
        <v>97.674097619795106</v>
      </c>
      <c r="AJ5501">
        <v>99.588387411890807</v>
      </c>
      <c r="AK5501">
        <v>8.3145986699299907</v>
      </c>
      <c r="AL5501">
        <v>65.438402871257495</v>
      </c>
      <c r="AM5501">
        <v>101.07292873802299</v>
      </c>
      <c r="AN5501">
        <v>1.0000000544983401</v>
      </c>
    </row>
    <row r="5502" spans="1:40" x14ac:dyDescent="0.25">
      <c r="A5502" t="str">
        <f>"20190304164957654"</f>
        <v>20190304164957654</v>
      </c>
      <c r="B5502" t="str">
        <f>"1551689397651259"</f>
        <v>1551689397651259</v>
      </c>
      <c r="C5502" t="s">
        <v>40</v>
      </c>
      <c r="D5502">
        <v>4.7868789999999999</v>
      </c>
      <c r="E5502">
        <v>0.52432659999999998</v>
      </c>
      <c r="F5502" t="s">
        <v>42</v>
      </c>
      <c r="G5502">
        <v>-418.31020000000001</v>
      </c>
      <c r="H5502" s="1">
        <v>-3.096888E-6</v>
      </c>
      <c r="I5502">
        <v>105.5485</v>
      </c>
      <c r="J5502">
        <v>-417.99709999999999</v>
      </c>
      <c r="K5502">
        <v>1.109934</v>
      </c>
      <c r="L5502">
        <v>113.8943</v>
      </c>
      <c r="M5502">
        <v>-0.205286</v>
      </c>
      <c r="N5502">
        <v>-1.013491E-2</v>
      </c>
      <c r="O5502">
        <v>-0.97864969999999996</v>
      </c>
      <c r="P5502">
        <v>-1.0369639999999999E-2</v>
      </c>
      <c r="Q5502">
        <v>0.40438499999999999</v>
      </c>
      <c r="R5502">
        <v>-0.91453019999999996</v>
      </c>
      <c r="S5502">
        <v>-0.15493770000000001</v>
      </c>
      <c r="T5502">
        <v>-0.44419599999999998</v>
      </c>
      <c r="U5502">
        <v>-3.4795229999999999</v>
      </c>
      <c r="V5502">
        <v>-0.177086299999999</v>
      </c>
      <c r="W5502">
        <v>0.41367749999999998</v>
      </c>
      <c r="X5502">
        <v>0.89303489999999996</v>
      </c>
      <c r="Y5502">
        <v>-0.16171659999999999</v>
      </c>
      <c r="Z5502">
        <v>0.1116989</v>
      </c>
      <c r="AA5502">
        <v>0.98049529999999996</v>
      </c>
      <c r="AB5502">
        <v>36</v>
      </c>
      <c r="AC5502">
        <v>-0.31310000000001897</v>
      </c>
      <c r="AD5502">
        <v>-1.109937096888</v>
      </c>
      <c r="AE5502">
        <v>-8.3457999999999899</v>
      </c>
      <c r="AF5502">
        <v>-1.3825141973925399</v>
      </c>
      <c r="AG5502">
        <v>-1.109937096888</v>
      </c>
      <c r="AH5502">
        <v>8.0894324360260903</v>
      </c>
      <c r="AI5502">
        <v>97.702364982670701</v>
      </c>
      <c r="AJ5502">
        <v>99.698363438414901</v>
      </c>
      <c r="AK5502">
        <v>8.2814384621315096</v>
      </c>
      <c r="AL5502">
        <v>65.563939601418397</v>
      </c>
      <c r="AM5502">
        <v>101.216089762641</v>
      </c>
      <c r="AN5502">
        <v>0.99999998213597396</v>
      </c>
    </row>
    <row r="5503" spans="1:40" x14ac:dyDescent="0.25">
      <c r="A5503" t="str">
        <f>"20190304164957678"</f>
        <v>20190304164957678</v>
      </c>
      <c r="B5503" t="str">
        <f>"1551689397671755"</f>
        <v>1551689397671755</v>
      </c>
      <c r="C5503" t="s">
        <v>40</v>
      </c>
      <c r="D5503">
        <v>4.7583520000000004</v>
      </c>
      <c r="E5503">
        <v>0.52433859999999999</v>
      </c>
      <c r="F5503" t="s">
        <v>42</v>
      </c>
      <c r="G5503">
        <v>-418.38709999999998</v>
      </c>
      <c r="H5503" s="1">
        <v>-2.943352E-6</v>
      </c>
      <c r="I5503">
        <v>105.2526</v>
      </c>
      <c r="J5503">
        <v>-418.07810000000001</v>
      </c>
      <c r="K5503">
        <v>1.1095489999999999</v>
      </c>
      <c r="L5503">
        <v>113.51479999999999</v>
      </c>
      <c r="M5503">
        <v>-0.2068834</v>
      </c>
      <c r="N5503">
        <v>-1.0109770000000001E-2</v>
      </c>
      <c r="O5503">
        <v>-0.9783134</v>
      </c>
      <c r="P5503">
        <v>-9.4378039999999993E-3</v>
      </c>
      <c r="Q5503">
        <v>0.40207090000000001</v>
      </c>
      <c r="R5503">
        <v>-0.91555980000000003</v>
      </c>
      <c r="S5503">
        <v>-0.15686040000000001</v>
      </c>
      <c r="T5503">
        <v>-0.44645370000000001</v>
      </c>
      <c r="U5503">
        <v>-3.4759980000000001</v>
      </c>
      <c r="V5503">
        <v>-0.17928669999999999</v>
      </c>
      <c r="W5503">
        <v>0.41152090000000002</v>
      </c>
      <c r="X5503">
        <v>0.8935921</v>
      </c>
      <c r="Y5503">
        <v>-0.16274430000000001</v>
      </c>
      <c r="Z5503">
        <v>0.1123803</v>
      </c>
      <c r="AA5503">
        <v>0.98024739999999999</v>
      </c>
      <c r="AB5503">
        <v>36</v>
      </c>
      <c r="AC5503">
        <v>-0.30899999999996902</v>
      </c>
      <c r="AD5503">
        <v>-1.10955194335199</v>
      </c>
      <c r="AE5503">
        <v>-8.2621999999999893</v>
      </c>
      <c r="AF5503">
        <v>-1.38219273144501</v>
      </c>
      <c r="AG5503">
        <v>-1.10955194335199</v>
      </c>
      <c r="AH5503">
        <v>8.0032314812472301</v>
      </c>
      <c r="AI5503">
        <v>97.779336225256301</v>
      </c>
      <c r="AJ5503">
        <v>99.798572229166595</v>
      </c>
      <c r="AK5503">
        <v>8.1971505051622895</v>
      </c>
      <c r="AL5503">
        <v>65.699588941243306</v>
      </c>
      <c r="AM5503">
        <v>101.344964010027</v>
      </c>
      <c r="AN5503">
        <v>1.0000000065580501</v>
      </c>
    </row>
    <row r="5504" spans="1:40" x14ac:dyDescent="0.25">
      <c r="A5504" t="str">
        <f>"20190304164957700"</f>
        <v>20190304164957700</v>
      </c>
      <c r="B5504" t="str">
        <f>"1551689397691275"</f>
        <v>1551689397691275</v>
      </c>
      <c r="C5504" t="s">
        <v>40</v>
      </c>
      <c r="D5504">
        <v>4.7424549999999996</v>
      </c>
      <c r="E5504">
        <v>0.52421649999999997</v>
      </c>
      <c r="F5504" t="s">
        <v>42</v>
      </c>
      <c r="G5504">
        <v>-418.46690000000001</v>
      </c>
      <c r="H5504" s="1">
        <v>-2.8169129999999998E-6</v>
      </c>
      <c r="I5504">
        <v>105.015</v>
      </c>
      <c r="J5504">
        <v>-418.15390000000002</v>
      </c>
      <c r="K5504">
        <v>1.1092409999999999</v>
      </c>
      <c r="L5504">
        <v>113.1635</v>
      </c>
      <c r="M5504">
        <v>-0.20862359999999999</v>
      </c>
      <c r="N5504">
        <v>-1.008937E-2</v>
      </c>
      <c r="O5504">
        <v>-0.97794409999999998</v>
      </c>
      <c r="P5504">
        <v>-8.6954960000000005E-3</v>
      </c>
      <c r="Q5504">
        <v>0.40050940000000002</v>
      </c>
      <c r="R5504">
        <v>-0.91625160000000005</v>
      </c>
      <c r="S5504">
        <v>-0.15890499999999999</v>
      </c>
      <c r="T5504">
        <v>-0.45352320000000002</v>
      </c>
      <c r="U5504">
        <v>-3.4742280000000001</v>
      </c>
      <c r="V5504">
        <v>-0.1814567</v>
      </c>
      <c r="W5504">
        <v>0.41008139999999998</v>
      </c>
      <c r="X5504">
        <v>0.89381580000000005</v>
      </c>
      <c r="Y5504">
        <v>-0.16390869999999999</v>
      </c>
      <c r="Z5504">
        <v>0.1142869</v>
      </c>
      <c r="AA5504">
        <v>0.97983290000000001</v>
      </c>
      <c r="AB5504">
        <v>36</v>
      </c>
      <c r="AC5504">
        <v>-0.31299999999998801</v>
      </c>
      <c r="AD5504">
        <v>-1.1092438169129999</v>
      </c>
      <c r="AE5504">
        <v>-8.1484999999999896</v>
      </c>
      <c r="AF5504">
        <v>-1.36861916083671</v>
      </c>
      <c r="AG5504">
        <v>-1.1092438169129999</v>
      </c>
      <c r="AH5504">
        <v>7.88851787085963</v>
      </c>
      <c r="AI5504">
        <v>97.887848102383799</v>
      </c>
      <c r="AJ5504">
        <v>99.842561666525896</v>
      </c>
      <c r="AK5504">
        <v>8.0828370298825707</v>
      </c>
      <c r="AL5504">
        <v>65.790051327172193</v>
      </c>
      <c r="AM5504">
        <v>101.475857490493</v>
      </c>
      <c r="AN5504">
        <v>0.99999998646524502</v>
      </c>
    </row>
    <row r="5505" spans="1:40" x14ac:dyDescent="0.25">
      <c r="A5505" t="str">
        <f>"20190304164957721"</f>
        <v>20190304164957721</v>
      </c>
      <c r="B5505" t="str">
        <f>"1551689397710795"</f>
        <v>1551689397710795</v>
      </c>
      <c r="C5505" t="s">
        <v>40</v>
      </c>
      <c r="D5505">
        <v>4.7652099999999997</v>
      </c>
      <c r="E5505">
        <v>0.52405299999999999</v>
      </c>
      <c r="F5505" t="s">
        <v>42</v>
      </c>
      <c r="G5505">
        <v>-418.53930000000003</v>
      </c>
      <c r="H5505" s="1">
        <v>-2.6771039999999999E-6</v>
      </c>
      <c r="I5505">
        <v>104.7465</v>
      </c>
      <c r="J5505">
        <v>-418.2294</v>
      </c>
      <c r="K5505">
        <v>1.1090089999999999</v>
      </c>
      <c r="L5505">
        <v>112.81789999999999</v>
      </c>
      <c r="M5505">
        <v>-0.21052009999999999</v>
      </c>
      <c r="N5505">
        <v>-1.0070600000000001E-2</v>
      </c>
      <c r="O5505">
        <v>-0.97753789999999996</v>
      </c>
      <c r="P5505">
        <v>-7.7813459999999997E-3</v>
      </c>
      <c r="Q5505">
        <v>0.40035890000000002</v>
      </c>
      <c r="R5505">
        <v>-0.91632550000000001</v>
      </c>
      <c r="S5505">
        <v>-0.15899659999999999</v>
      </c>
      <c r="T5505">
        <v>-0.45765850000000002</v>
      </c>
      <c r="U5505">
        <v>-3.472763</v>
      </c>
      <c r="V5505">
        <v>-0.18387729999999999</v>
      </c>
      <c r="W5505">
        <v>0.41002050000000001</v>
      </c>
      <c r="X5505">
        <v>0.8933489</v>
      </c>
      <c r="Y5505">
        <v>-0.1657805</v>
      </c>
      <c r="Z5505">
        <v>0.1153737</v>
      </c>
      <c r="AA5505">
        <v>0.97939050000000005</v>
      </c>
      <c r="AB5505">
        <v>36</v>
      </c>
      <c r="AC5505">
        <v>-0.30990000000002699</v>
      </c>
      <c r="AD5505">
        <v>-1.1090116771039999</v>
      </c>
      <c r="AE5505">
        <v>-8.0713999999999899</v>
      </c>
      <c r="AF5505">
        <v>-1.3704883188643899</v>
      </c>
      <c r="AG5505">
        <v>-1.1090116771039999</v>
      </c>
      <c r="AH5505">
        <v>7.8085421789388496</v>
      </c>
      <c r="AI5505">
        <v>97.963273003070199</v>
      </c>
      <c r="AJ5505">
        <v>99.954674478175704</v>
      </c>
      <c r="AK5505">
        <v>8.0050906361117402</v>
      </c>
      <c r="AL5505">
        <v>65.793876499953697</v>
      </c>
      <c r="AM5505">
        <v>101.630713020234</v>
      </c>
      <c r="AN5505">
        <v>0.99999996450337403</v>
      </c>
    </row>
    <row r="5506" spans="1:40" x14ac:dyDescent="0.25">
      <c r="A5506" t="str">
        <f>"20190304164957743"</f>
        <v>20190304164957743</v>
      </c>
      <c r="B5506" t="str">
        <f>"1551689397731292"</f>
        <v>1551689397731292</v>
      </c>
      <c r="C5506" t="s">
        <v>40</v>
      </c>
      <c r="D5506">
        <v>4.7251399999999997</v>
      </c>
      <c r="E5506">
        <v>0.52405440000000003</v>
      </c>
      <c r="F5506" t="s">
        <v>42</v>
      </c>
      <c r="G5506">
        <v>-418.61320000000001</v>
      </c>
      <c r="H5506" s="1">
        <v>-2.490949E-6</v>
      </c>
      <c r="I5506">
        <v>104.38039999999999</v>
      </c>
      <c r="J5506">
        <v>-418.3057</v>
      </c>
      <c r="K5506">
        <v>1.1088359999999999</v>
      </c>
      <c r="L5506">
        <v>112.4726</v>
      </c>
      <c r="M5506">
        <v>-0.2125387</v>
      </c>
      <c r="N5506">
        <v>-1.005326E-2</v>
      </c>
      <c r="O5506">
        <v>-0.97710109999999994</v>
      </c>
      <c r="P5506">
        <v>-6.7568080000000004E-3</v>
      </c>
      <c r="Q5506">
        <v>0.40178120000000001</v>
      </c>
      <c r="R5506">
        <v>-0.91571080000000005</v>
      </c>
      <c r="S5506">
        <v>-0.1579285</v>
      </c>
      <c r="T5506">
        <v>-0.45635290000000001</v>
      </c>
      <c r="U5506">
        <v>-3.4719850000000001</v>
      </c>
      <c r="V5506">
        <v>-0.1864266</v>
      </c>
      <c r="W5506">
        <v>0.41150219999999998</v>
      </c>
      <c r="X5506">
        <v>0.89213849999999995</v>
      </c>
      <c r="Y5506">
        <v>-0.168103799999999</v>
      </c>
      <c r="Z5506">
        <v>0.1149568</v>
      </c>
      <c r="AA5506">
        <v>0.97904340000000001</v>
      </c>
      <c r="AB5506">
        <v>36</v>
      </c>
      <c r="AC5506">
        <v>-0.30750000000000399</v>
      </c>
      <c r="AD5506">
        <v>-1.1088384909489899</v>
      </c>
      <c r="AE5506">
        <v>-8.0922000000000001</v>
      </c>
      <c r="AF5506">
        <v>-1.39339392490782</v>
      </c>
      <c r="AG5506">
        <v>-1.1088384909489899</v>
      </c>
      <c r="AH5506">
        <v>7.8259269363483197</v>
      </c>
      <c r="AI5506">
        <v>97.941174071039299</v>
      </c>
      <c r="AJ5506">
        <v>100.095628862816</v>
      </c>
      <c r="AK5506">
        <v>8.0259704610746194</v>
      </c>
      <c r="AL5506">
        <v>65.700764883900405</v>
      </c>
      <c r="AM5506">
        <v>101.80302495360399</v>
      </c>
      <c r="AN5506">
        <v>1.0000000204873201</v>
      </c>
    </row>
    <row r="5507" spans="1:40" x14ac:dyDescent="0.25">
      <c r="A5507" t="str">
        <f>"20190304164957766"</f>
        <v>20190304164957766</v>
      </c>
      <c r="B5507" t="str">
        <f>"1551689397761547"</f>
        <v>1551689397761547</v>
      </c>
      <c r="C5507" t="s">
        <v>40</v>
      </c>
      <c r="D5507">
        <v>4.7454640000000001</v>
      </c>
      <c r="E5507">
        <v>0.52404790000000001</v>
      </c>
      <c r="F5507" t="s">
        <v>42</v>
      </c>
      <c r="G5507">
        <v>-418.69499999999999</v>
      </c>
      <c r="H5507" s="1">
        <v>-2.2462650000000001E-6</v>
      </c>
      <c r="I5507">
        <v>103.8935</v>
      </c>
      <c r="J5507">
        <v>-418.38600000000002</v>
      </c>
      <c r="K5507">
        <v>1.108714</v>
      </c>
      <c r="L5507">
        <v>112.1117</v>
      </c>
      <c r="M5507">
        <v>-0.21470139999999999</v>
      </c>
      <c r="N5507">
        <v>-1.0036939999999999E-2</v>
      </c>
      <c r="O5507">
        <v>-0.9766283</v>
      </c>
      <c r="P5507">
        <v>-5.8313509999999898E-3</v>
      </c>
      <c r="Q5507">
        <v>0.40382580000000001</v>
      </c>
      <c r="R5507">
        <v>-0.91481769999999996</v>
      </c>
      <c r="S5507">
        <v>-0.15756229999999999</v>
      </c>
      <c r="T5507">
        <v>-0.44873420000000003</v>
      </c>
      <c r="U5507">
        <v>-3.4718629999999999</v>
      </c>
      <c r="V5507">
        <v>-0.188997</v>
      </c>
      <c r="W5507">
        <v>0.41358109999999998</v>
      </c>
      <c r="X5507">
        <v>0.89063510000000001</v>
      </c>
      <c r="Y5507">
        <v>-0.17037639999999901</v>
      </c>
      <c r="Z5507">
        <v>0.1128089</v>
      </c>
      <c r="AA5507">
        <v>0.9789004</v>
      </c>
      <c r="AB5507">
        <v>36</v>
      </c>
      <c r="AC5507">
        <v>-0.30900000000002498</v>
      </c>
      <c r="AD5507">
        <v>-1.108716246265</v>
      </c>
      <c r="AE5507">
        <v>-8.2181999999999906</v>
      </c>
      <c r="AF5507">
        <v>-1.4366434245181401</v>
      </c>
      <c r="AG5507">
        <v>-1.108716246265</v>
      </c>
      <c r="AH5507">
        <v>7.9484137552916101</v>
      </c>
      <c r="AI5507">
        <v>97.815853276107703</v>
      </c>
      <c r="AJ5507">
        <v>100.24536561578201</v>
      </c>
      <c r="AK5507">
        <v>8.1529428594374505</v>
      </c>
      <c r="AL5507">
        <v>65.570007630444593</v>
      </c>
      <c r="AM5507">
        <v>101.980712720765</v>
      </c>
      <c r="AN5507">
        <v>1.0000000368191</v>
      </c>
    </row>
    <row r="5508" spans="1:40" x14ac:dyDescent="0.25">
      <c r="A5508" t="str">
        <f>"20190304164957788"</f>
        <v>20190304164957788</v>
      </c>
      <c r="B5508" t="str">
        <f>"1551689397781067"</f>
        <v>1551689397781067</v>
      </c>
      <c r="C5508" t="s">
        <v>40</v>
      </c>
      <c r="D5508">
        <v>4.6605439999999998</v>
      </c>
      <c r="E5508">
        <v>0.52404989999999996</v>
      </c>
      <c r="F5508" t="s">
        <v>42</v>
      </c>
      <c r="G5508">
        <v>-418.78089999999997</v>
      </c>
      <c r="H5508" s="1">
        <v>-1.9585489999999998E-6</v>
      </c>
      <c r="I5508">
        <v>103.31699999999999</v>
      </c>
      <c r="J5508">
        <v>-418.4667</v>
      </c>
      <c r="K5508">
        <v>1.10866</v>
      </c>
      <c r="L5508">
        <v>111.75360000000001</v>
      </c>
      <c r="M5508">
        <v>-0.21681500000000001</v>
      </c>
      <c r="N5508">
        <v>-1.002248E-2</v>
      </c>
      <c r="O5508">
        <v>-0.97616139999999996</v>
      </c>
      <c r="P5508">
        <v>-5.5459330000000003E-3</v>
      </c>
      <c r="Q5508">
        <v>0.40482760000000001</v>
      </c>
      <c r="R5508">
        <v>-0.91437619999999997</v>
      </c>
      <c r="S5508">
        <v>-0.1558533</v>
      </c>
      <c r="T5508">
        <v>-0.43764720000000001</v>
      </c>
      <c r="U5508">
        <v>-3.4715579999999999</v>
      </c>
      <c r="V5508">
        <v>-0.19105569999999999</v>
      </c>
      <c r="W5508">
        <v>0.41459590000000002</v>
      </c>
      <c r="X5508">
        <v>0.8897235</v>
      </c>
      <c r="Y5508">
        <v>-0.1729714</v>
      </c>
      <c r="Z5508">
        <v>0.1097308</v>
      </c>
      <c r="AA5508">
        <v>0.97879519999999998</v>
      </c>
      <c r="AB5508">
        <v>36</v>
      </c>
      <c r="AC5508">
        <v>-0.314199999999971</v>
      </c>
      <c r="AD5508">
        <v>-1.1086619585490001</v>
      </c>
      <c r="AE5508">
        <v>-8.4365999999999897</v>
      </c>
      <c r="AF5508">
        <v>-1.4967366628302601</v>
      </c>
      <c r="AG5508">
        <v>-1.1086619585490001</v>
      </c>
      <c r="AH5508">
        <v>8.1632478524158198</v>
      </c>
      <c r="AI5508">
        <v>97.608785382315006</v>
      </c>
      <c r="AJ5508">
        <v>100.389816790412</v>
      </c>
      <c r="AK5508">
        <v>8.3730500700859007</v>
      </c>
      <c r="AL5508">
        <v>65.506128349783594</v>
      </c>
      <c r="AM5508">
        <v>102.119423735417</v>
      </c>
      <c r="AN5508">
        <v>0.99999997362577397</v>
      </c>
    </row>
    <row r="5509" spans="1:40" x14ac:dyDescent="0.25">
      <c r="A5509" t="str">
        <f>"20190304164957811"</f>
        <v>20190304164957811</v>
      </c>
      <c r="B5509" t="str">
        <f>"1551689397801563"</f>
        <v>1551689397801563</v>
      </c>
      <c r="C5509" t="s">
        <v>40</v>
      </c>
      <c r="D5509">
        <v>4.6694889999999996</v>
      </c>
      <c r="E5509">
        <v>0.51866749999999995</v>
      </c>
      <c r="F5509" t="s">
        <v>42</v>
      </c>
      <c r="G5509">
        <v>-418.86619999999999</v>
      </c>
      <c r="H5509" s="1">
        <v>-1.7300059999999999E-6</v>
      </c>
      <c r="I5509">
        <v>102.8656</v>
      </c>
      <c r="J5509">
        <v>-418.54680000000002</v>
      </c>
      <c r="K5509">
        <v>1.108673</v>
      </c>
      <c r="L5509">
        <v>111.40089999999999</v>
      </c>
      <c r="M5509">
        <v>-0.21878310000000001</v>
      </c>
      <c r="N5509">
        <v>-1.000968E-2</v>
      </c>
      <c r="O5509">
        <v>-0.97572239999999999</v>
      </c>
      <c r="P5509">
        <v>-5.7942159999999996E-3</v>
      </c>
      <c r="Q5509">
        <v>0.40471000000000001</v>
      </c>
      <c r="R5509">
        <v>-0.91442670000000004</v>
      </c>
      <c r="S5509">
        <v>-0.15603639999999999</v>
      </c>
      <c r="T5509">
        <v>-0.4330484</v>
      </c>
      <c r="U5509">
        <v>-3.4716949999999902</v>
      </c>
      <c r="V5509">
        <v>-0.19263150000000001</v>
      </c>
      <c r="W5509">
        <v>0.41446830000000001</v>
      </c>
      <c r="X5509">
        <v>0.88944319999999899</v>
      </c>
      <c r="Y5509">
        <v>-0.17490069999999999</v>
      </c>
      <c r="Z5509">
        <v>0.1083974</v>
      </c>
      <c r="AA5509">
        <v>0.9786009</v>
      </c>
      <c r="AB5509">
        <v>36</v>
      </c>
      <c r="AC5509">
        <v>-0.31939999999997298</v>
      </c>
      <c r="AD5509">
        <v>-1.108674730006</v>
      </c>
      <c r="AE5509">
        <v>-8.5352999999999906</v>
      </c>
      <c r="AF5509">
        <v>-1.53003240508645</v>
      </c>
      <c r="AG5509">
        <v>-1.108674730006</v>
      </c>
      <c r="AH5509">
        <v>8.2592254975164501</v>
      </c>
      <c r="AI5509">
        <v>97.518951458374801</v>
      </c>
      <c r="AJ5509">
        <v>100.495140439056</v>
      </c>
      <c r="AK5509">
        <v>8.4726008188981901</v>
      </c>
      <c r="AL5509">
        <v>65.514163679831398</v>
      </c>
      <c r="AM5509">
        <v>102.220126826181</v>
      </c>
      <c r="AN5509">
        <v>1.0000000362616801</v>
      </c>
    </row>
    <row r="5510" spans="1:40" x14ac:dyDescent="0.25">
      <c r="A5510" t="str">
        <f>"20190304164957833"</f>
        <v>20190304164957833</v>
      </c>
      <c r="B5510" t="str">
        <f>"1551689397821083"</f>
        <v>1551689397821083</v>
      </c>
      <c r="C5510" t="s">
        <v>40</v>
      </c>
      <c r="D5510">
        <v>4.8366920000000002</v>
      </c>
      <c r="E5510">
        <v>0.5187638</v>
      </c>
      <c r="F5510" t="s">
        <v>42</v>
      </c>
      <c r="G5510">
        <v>-418.96589999999998</v>
      </c>
      <c r="H5510" s="1">
        <v>-4.3426849999999997E-6</v>
      </c>
      <c r="I5510">
        <v>99.328090000000003</v>
      </c>
      <c r="J5510">
        <v>-418.6268</v>
      </c>
      <c r="K5510">
        <v>1.1087450000000001</v>
      </c>
      <c r="L5510">
        <v>111.0514</v>
      </c>
      <c r="M5510">
        <v>-0.2205511</v>
      </c>
      <c r="N5510">
        <v>-9.998402E-3</v>
      </c>
      <c r="O5510">
        <v>-0.97532430000000003</v>
      </c>
      <c r="P5510">
        <v>-5.8945660000000004E-3</v>
      </c>
      <c r="Q5510">
        <v>0.40452589999999999</v>
      </c>
      <c r="R5510">
        <v>-0.91450770000000003</v>
      </c>
      <c r="S5510">
        <v>-0.11868289999999999</v>
      </c>
      <c r="T5510">
        <v>-0.31397150000000001</v>
      </c>
      <c r="U5510">
        <v>-3.4189609999999999</v>
      </c>
      <c r="V5510">
        <v>-0.1942372</v>
      </c>
      <c r="W5510">
        <v>0.41424739999999999</v>
      </c>
      <c r="X5510">
        <v>0.88919689999999996</v>
      </c>
      <c r="Y5510">
        <v>-0.18659400000000001</v>
      </c>
      <c r="Z5510">
        <v>7.7327469999999995E-2</v>
      </c>
      <c r="AA5510">
        <v>0.97938919999999996</v>
      </c>
      <c r="AB5510">
        <v>36</v>
      </c>
      <c r="AC5510">
        <v>-0.33909999999997298</v>
      </c>
      <c r="AD5510">
        <v>-1.1087493426849999</v>
      </c>
      <c r="AE5510">
        <v>-11.7233099999999</v>
      </c>
      <c r="AF5510">
        <v>-2.2349942215913798</v>
      </c>
      <c r="AG5510">
        <v>-1.1087493426849999</v>
      </c>
      <c r="AH5510">
        <v>11.4074409336062</v>
      </c>
      <c r="AI5510">
        <v>95.448493531942901</v>
      </c>
      <c r="AJ5510">
        <v>101.08521545951</v>
      </c>
      <c r="AK5510">
        <v>11.677081524471999</v>
      </c>
      <c r="AL5510">
        <v>65.528071016888703</v>
      </c>
      <c r="AM5510">
        <v>102.322198896308</v>
      </c>
      <c r="AN5510">
        <v>1.0000000626201</v>
      </c>
    </row>
    <row r="5511" spans="1:40" x14ac:dyDescent="0.25">
      <c r="A5511" t="str">
        <f>"20190304164957857"</f>
        <v>20190304164957857</v>
      </c>
      <c r="B5511" t="str">
        <f>"1551689397851340"</f>
        <v>1551689397851340</v>
      </c>
      <c r="C5511" t="s">
        <v>40</v>
      </c>
      <c r="D5511">
        <v>4.7148180000000002</v>
      </c>
      <c r="E5511">
        <v>0.51913240000000005</v>
      </c>
      <c r="F5511" t="s">
        <v>42</v>
      </c>
      <c r="G5511">
        <v>-419.05489999999998</v>
      </c>
      <c r="H5511" s="1">
        <v>-4.2158060000000001E-6</v>
      </c>
      <c r="I5511">
        <v>99.069149999999993</v>
      </c>
      <c r="J5511">
        <v>-418.71140000000003</v>
      </c>
      <c r="K5511">
        <v>1.108894</v>
      </c>
      <c r="L5511">
        <v>110.6835</v>
      </c>
      <c r="M5511">
        <v>-0.22214339999999999</v>
      </c>
      <c r="N5511">
        <v>-9.9882909999999998E-3</v>
      </c>
      <c r="O5511">
        <v>-0.97496289999999997</v>
      </c>
      <c r="P5511">
        <v>-6.7738219999999997E-3</v>
      </c>
      <c r="Q5511">
        <v>0.40634979999999998</v>
      </c>
      <c r="R5511">
        <v>-0.91369279999999997</v>
      </c>
      <c r="S5511">
        <v>-0.12219240000000001</v>
      </c>
      <c r="T5511">
        <v>-0.31642870000000001</v>
      </c>
      <c r="U5511">
        <v>-3.419632</v>
      </c>
      <c r="V5511">
        <v>-0.1947875</v>
      </c>
      <c r="W5511">
        <v>0.41599049999999999</v>
      </c>
      <c r="X5511">
        <v>0.888262199999999</v>
      </c>
      <c r="Y5511">
        <v>-0.1872016</v>
      </c>
      <c r="Z5511">
        <v>7.7943020000000002E-2</v>
      </c>
      <c r="AA5511">
        <v>0.97922439999999999</v>
      </c>
      <c r="AB5511">
        <v>36</v>
      </c>
      <c r="AC5511">
        <v>-0.34349999999994901</v>
      </c>
      <c r="AD5511">
        <v>-1.1088982158059999</v>
      </c>
      <c r="AE5511">
        <v>-11.61435</v>
      </c>
      <c r="AF5511">
        <v>-2.2249984612406699</v>
      </c>
      <c r="AG5511">
        <v>-1.1088982158059999</v>
      </c>
      <c r="AH5511">
        <v>11.297538868621301</v>
      </c>
      <c r="AI5511">
        <v>95.500850792190107</v>
      </c>
      <c r="AJ5511">
        <v>101.141550462182</v>
      </c>
      <c r="AK5511">
        <v>11.567828572967001</v>
      </c>
      <c r="AL5511">
        <v>65.418291544058803</v>
      </c>
      <c r="AM5511">
        <v>102.36864043817</v>
      </c>
      <c r="AN5511">
        <v>1.00000000109767</v>
      </c>
    </row>
    <row r="5512" spans="1:40" x14ac:dyDescent="0.25">
      <c r="A5512" t="str">
        <f>"20190304164957879"</f>
        <v>20190304164957879</v>
      </c>
      <c r="B5512" t="str">
        <f>"1551689397870859"</f>
        <v>1551689397870859</v>
      </c>
      <c r="C5512" t="s">
        <v>40</v>
      </c>
      <c r="D5512">
        <v>4.76701</v>
      </c>
      <c r="E5512">
        <v>0.51959540000000004</v>
      </c>
      <c r="F5512" t="s">
        <v>42</v>
      </c>
      <c r="G5512">
        <v>-419.1755</v>
      </c>
      <c r="H5512" s="1">
        <v>-3.866577E-6</v>
      </c>
      <c r="I5512">
        <v>98.304929999999999</v>
      </c>
      <c r="J5512">
        <v>-418.79689999999999</v>
      </c>
      <c r="K5512">
        <v>1.109103</v>
      </c>
      <c r="L5512">
        <v>110.31319999999999</v>
      </c>
      <c r="M5512">
        <v>-0.22337960000000001</v>
      </c>
      <c r="N5512">
        <v>-9.9853990000000007E-3</v>
      </c>
      <c r="O5512">
        <v>-0.97468049999999995</v>
      </c>
      <c r="P5512">
        <v>-8.1551890000000002E-3</v>
      </c>
      <c r="Q5512">
        <v>0.40755360000000002</v>
      </c>
      <c r="R5512">
        <v>-0.91314510000000004</v>
      </c>
      <c r="S5512">
        <v>-0.1281738</v>
      </c>
      <c r="T5512">
        <v>-0.30624689999999999</v>
      </c>
      <c r="U5512">
        <v>-3.418625</v>
      </c>
      <c r="V5512">
        <v>-0.19465440000000001</v>
      </c>
      <c r="W5512">
        <v>0.41708810000000002</v>
      </c>
      <c r="X5512">
        <v>0.88777659999999903</v>
      </c>
      <c r="Y5512">
        <v>-0.1867212</v>
      </c>
      <c r="Z5512">
        <v>7.513003E-2</v>
      </c>
      <c r="AA5512">
        <v>0.97953590000000001</v>
      </c>
      <c r="AB5512">
        <v>37</v>
      </c>
      <c r="AC5512">
        <v>-0.37860000000000499</v>
      </c>
      <c r="AD5512">
        <v>-1.1091068665770001</v>
      </c>
      <c r="AE5512">
        <v>-12.0082699999999</v>
      </c>
      <c r="AF5512">
        <v>-2.2939539300648502</v>
      </c>
      <c r="AG5512">
        <v>-1.1091068665770001</v>
      </c>
      <c r="AH5512">
        <v>11.689761424760301</v>
      </c>
      <c r="AI5512">
        <v>95.3190634587625</v>
      </c>
      <c r="AJ5512">
        <v>101.10242552381899</v>
      </c>
      <c r="AK5512">
        <v>11.964232731043101</v>
      </c>
      <c r="AL5512">
        <v>65.349118363039906</v>
      </c>
      <c r="AM5512">
        <v>102.3670016997</v>
      </c>
      <c r="AN5512">
        <v>1.00000005505426</v>
      </c>
    </row>
    <row r="5513" spans="1:40" x14ac:dyDescent="0.25">
      <c r="A5513" t="str">
        <f>"20190304164957901"</f>
        <v>20190304164957901</v>
      </c>
      <c r="B5513" t="str">
        <f>"1551689397891355"</f>
        <v>1551689397891355</v>
      </c>
      <c r="C5513" t="s">
        <v>40</v>
      </c>
      <c r="D5513">
        <v>4.7516569999999998</v>
      </c>
      <c r="E5513">
        <v>0.51999129999999905</v>
      </c>
      <c r="F5513" t="s">
        <v>42</v>
      </c>
      <c r="G5513">
        <v>-419.2715</v>
      </c>
      <c r="H5513" s="1">
        <v>-3.8376439999999998E-6</v>
      </c>
      <c r="I5513">
        <v>98.277180000000001</v>
      </c>
      <c r="J5513">
        <v>-418.8777</v>
      </c>
      <c r="K5513">
        <v>1.1093170000000001</v>
      </c>
      <c r="L5513">
        <v>109.9646</v>
      </c>
      <c r="M5513">
        <v>-0.22426470000000001</v>
      </c>
      <c r="N5513">
        <v>-9.9886039999999999E-3</v>
      </c>
      <c r="O5513">
        <v>-0.97447720000000004</v>
      </c>
      <c r="P5513">
        <v>-7.8659419999999904E-3</v>
      </c>
      <c r="Q5513">
        <v>0.40812809999999999</v>
      </c>
      <c r="R5513">
        <v>-0.91289089999999995</v>
      </c>
      <c r="S5513">
        <v>-0.135040299999999</v>
      </c>
      <c r="T5513">
        <v>-0.31561020000000001</v>
      </c>
      <c r="U5513">
        <v>-3.4249879999999999</v>
      </c>
      <c r="V5513">
        <v>-0.19590080000000001</v>
      </c>
      <c r="W5513">
        <v>0.41756389999999999</v>
      </c>
      <c r="X5513">
        <v>0.88727860000000003</v>
      </c>
      <c r="Y5513">
        <v>-0.18572569999999999</v>
      </c>
      <c r="Z5513">
        <v>7.7526440000000002E-2</v>
      </c>
      <c r="AA5513">
        <v>0.97953840000000003</v>
      </c>
      <c r="AB5513">
        <v>37</v>
      </c>
      <c r="AC5513">
        <v>-0.39379999999999798</v>
      </c>
      <c r="AD5513">
        <v>-1.109320837644</v>
      </c>
      <c r="AE5513">
        <v>-11.687419999999999</v>
      </c>
      <c r="AF5513">
        <v>-2.2174832956125199</v>
      </c>
      <c r="AG5513">
        <v>-1.109320837644</v>
      </c>
      <c r="AH5513">
        <v>11.3756439143684</v>
      </c>
      <c r="AI5513">
        <v>95.467444528798794</v>
      </c>
      <c r="AJ5513">
        <v>101.03048601863</v>
      </c>
      <c r="AK5513">
        <v>11.642727315953801</v>
      </c>
      <c r="AL5513">
        <v>65.319119058848301</v>
      </c>
      <c r="AM5513">
        <v>102.45049661105099</v>
      </c>
      <c r="AN5513">
        <v>1.0000000240208999</v>
      </c>
    </row>
    <row r="5514" spans="1:40" x14ac:dyDescent="0.25">
      <c r="A5514" t="str">
        <f>"20190304164957923"</f>
        <v>20190304164957923</v>
      </c>
      <c r="B5514" t="str">
        <f>"1551689397910875"</f>
        <v>1551689397910875</v>
      </c>
      <c r="C5514" t="s">
        <v>40</v>
      </c>
      <c r="D5514">
        <v>4.7508699999999999</v>
      </c>
      <c r="E5514">
        <v>0.52050240000000003</v>
      </c>
      <c r="F5514" t="s">
        <v>42</v>
      </c>
      <c r="G5514">
        <v>-419.33839999999998</v>
      </c>
      <c r="H5514" s="1">
        <v>-3.8041359999999999E-6</v>
      </c>
      <c r="I5514">
        <v>98.226749999999996</v>
      </c>
      <c r="J5514">
        <v>-418.95839999999998</v>
      </c>
      <c r="K5514">
        <v>1.1095410000000001</v>
      </c>
      <c r="L5514">
        <v>109.616</v>
      </c>
      <c r="M5514">
        <v>-0.22484419999999999</v>
      </c>
      <c r="N5514">
        <v>-9.994869E-3</v>
      </c>
      <c r="O5514">
        <v>-0.97434350000000003</v>
      </c>
      <c r="P5514">
        <v>-6.4862390000000004E-3</v>
      </c>
      <c r="Q5514">
        <v>0.4087943</v>
      </c>
      <c r="R5514">
        <v>-0.91260339999999995</v>
      </c>
      <c r="S5514">
        <v>-0.1346436</v>
      </c>
      <c r="T5514">
        <v>-0.32416400000000001</v>
      </c>
      <c r="U5514">
        <v>-3.4300229999999998</v>
      </c>
      <c r="V5514">
        <v>-0.19794010000000001</v>
      </c>
      <c r="W5514">
        <v>0.41812450000000001</v>
      </c>
      <c r="X5514">
        <v>0.88656170000000001</v>
      </c>
      <c r="Y5514">
        <v>-0.1864836</v>
      </c>
      <c r="Z5514">
        <v>7.9715510000000003E-2</v>
      </c>
      <c r="AA5514">
        <v>0.9792187</v>
      </c>
      <c r="AB5514">
        <v>37</v>
      </c>
      <c r="AC5514">
        <v>-0.37999999999999501</v>
      </c>
      <c r="AD5514">
        <v>-1.1095448041360001</v>
      </c>
      <c r="AE5514">
        <v>-11.389250000000001</v>
      </c>
      <c r="AF5514">
        <v>-2.1700927703563102</v>
      </c>
      <c r="AG5514">
        <v>-1.1095448041360001</v>
      </c>
      <c r="AH5514">
        <v>11.0780191834476</v>
      </c>
      <c r="AI5514">
        <v>95.613527157778407</v>
      </c>
      <c r="AJ5514">
        <v>101.083423623286</v>
      </c>
      <c r="AK5514">
        <v>11.3429670427614</v>
      </c>
      <c r="AL5514">
        <v>65.283764534017607</v>
      </c>
      <c r="AM5514">
        <v>102.58584736084499</v>
      </c>
      <c r="AN5514">
        <v>1.00000001429757</v>
      </c>
    </row>
    <row r="5515" spans="1:40" x14ac:dyDescent="0.25">
      <c r="A5515" t="str">
        <f>"20190304164957945"</f>
        <v>20190304164957945</v>
      </c>
      <c r="B5515" t="str">
        <f>"1551689397941132"</f>
        <v>1551689397941132</v>
      </c>
      <c r="C5515" t="s">
        <v>40</v>
      </c>
      <c r="D5515">
        <v>4.7622369999999998</v>
      </c>
      <c r="E5515">
        <v>0.52101299999999995</v>
      </c>
      <c r="F5515" t="s">
        <v>42</v>
      </c>
      <c r="G5515">
        <v>-419.39850000000001</v>
      </c>
      <c r="H5515" s="1">
        <v>-3.8594349999999998E-6</v>
      </c>
      <c r="I5515">
        <v>98.380489999999995</v>
      </c>
      <c r="J5515">
        <v>-419.0394</v>
      </c>
      <c r="K5515">
        <v>1.1097950000000001</v>
      </c>
      <c r="L5515">
        <v>109.2662</v>
      </c>
      <c r="M5515">
        <v>-0.2250799</v>
      </c>
      <c r="N5515">
        <v>-1.000263E-2</v>
      </c>
      <c r="O5515">
        <v>-0.97428879999999995</v>
      </c>
      <c r="P5515">
        <v>-4.8257350000000003E-3</v>
      </c>
      <c r="Q5515">
        <v>0.40833269999999999</v>
      </c>
      <c r="R5515">
        <v>-0.91282030000000003</v>
      </c>
      <c r="S5515">
        <v>-0.13467409999999999</v>
      </c>
      <c r="T5515">
        <v>-0.33955629999999998</v>
      </c>
      <c r="U5515">
        <v>-3.438431</v>
      </c>
      <c r="V5515">
        <v>-0.20008200000000001</v>
      </c>
      <c r="W5515">
        <v>0.41754780000000002</v>
      </c>
      <c r="X5515">
        <v>0.88635269999999999</v>
      </c>
      <c r="Y5515">
        <v>-0.18681449999999999</v>
      </c>
      <c r="Z5515">
        <v>8.3689360000000004E-2</v>
      </c>
      <c r="AA5515">
        <v>0.97882400000000003</v>
      </c>
      <c r="AB5515">
        <v>37</v>
      </c>
      <c r="AC5515">
        <v>-0.35910000000001202</v>
      </c>
      <c r="AD5515">
        <v>-1.1097988594349999</v>
      </c>
      <c r="AE5515">
        <v>-10.8857099999999</v>
      </c>
      <c r="AF5515">
        <v>-2.07880954724796</v>
      </c>
      <c r="AG5515">
        <v>-1.1097988594349999</v>
      </c>
      <c r="AH5515">
        <v>10.5773681788594</v>
      </c>
      <c r="AI5515">
        <v>95.878038141982998</v>
      </c>
      <c r="AJ5515">
        <v>101.118841335618</v>
      </c>
      <c r="AK5515">
        <v>10.836688619374399</v>
      </c>
      <c r="AL5515">
        <v>65.320134689360003</v>
      </c>
      <c r="AM5515">
        <v>102.72053252871</v>
      </c>
      <c r="AN5515">
        <v>1.00000004040306</v>
      </c>
    </row>
    <row r="5516" spans="1:40" x14ac:dyDescent="0.25">
      <c r="A5516" t="str">
        <f>"20190304164957968"</f>
        <v>20190304164957968</v>
      </c>
      <c r="B5516" t="str">
        <f>"1551689397961628"</f>
        <v>1551689397961628</v>
      </c>
      <c r="C5516" t="s">
        <v>40</v>
      </c>
      <c r="D5516">
        <v>4.7657610000000004</v>
      </c>
      <c r="E5516">
        <v>0.52126159999999999</v>
      </c>
      <c r="F5516" t="s">
        <v>42</v>
      </c>
      <c r="G5516">
        <v>-419.4504</v>
      </c>
      <c r="H5516" s="1">
        <v>-3.9485509999999999E-6</v>
      </c>
      <c r="I5516">
        <v>98.609700000000004</v>
      </c>
      <c r="J5516">
        <v>-419.12790000000001</v>
      </c>
      <c r="K5516">
        <v>1.1101179999999999</v>
      </c>
      <c r="L5516">
        <v>108.8828</v>
      </c>
      <c r="M5516">
        <v>-0.2249176</v>
      </c>
      <c r="N5516">
        <v>-1.001282E-2</v>
      </c>
      <c r="O5516">
        <v>-0.97432640000000004</v>
      </c>
      <c r="P5516">
        <v>-3.1243859999999998E-3</v>
      </c>
      <c r="Q5516">
        <v>0.40765059999999997</v>
      </c>
      <c r="R5516">
        <v>-0.91313250000000001</v>
      </c>
      <c r="S5516">
        <v>-0.13293460000000001</v>
      </c>
      <c r="T5516">
        <v>-0.35891329999999999</v>
      </c>
      <c r="U5516">
        <v>-3.4463650000000001</v>
      </c>
      <c r="V5516">
        <v>-0.20198459999999999</v>
      </c>
      <c r="W5516">
        <v>0.41672090000000001</v>
      </c>
      <c r="X5516">
        <v>0.8863103</v>
      </c>
      <c r="Y5516">
        <v>-0.18724299999999999</v>
      </c>
      <c r="Z5516">
        <v>8.8741970000000003E-2</v>
      </c>
      <c r="AA5516">
        <v>0.97829690000000002</v>
      </c>
      <c r="AB5516">
        <v>37</v>
      </c>
      <c r="AC5516">
        <v>-0.32249999999999002</v>
      </c>
      <c r="AD5516">
        <v>-1.1101219485510001</v>
      </c>
      <c r="AE5516">
        <v>-10.273099999999999</v>
      </c>
      <c r="AF5516">
        <v>-1.97345893133155</v>
      </c>
      <c r="AG5516">
        <v>-1.1101219485510001</v>
      </c>
      <c r="AH5516">
        <v>9.9661314663597107</v>
      </c>
      <c r="AI5516">
        <v>96.235846265589302</v>
      </c>
      <c r="AJ5516">
        <v>101.200618280596</v>
      </c>
      <c r="AK5516">
        <v>10.220111902473</v>
      </c>
      <c r="AL5516">
        <v>65.3722638671006</v>
      </c>
      <c r="AM5516">
        <v>102.83809721706599</v>
      </c>
      <c r="AN5516">
        <v>1.0000000175100201</v>
      </c>
    </row>
    <row r="5517" spans="1:40" x14ac:dyDescent="0.25">
      <c r="A5517" t="str">
        <f>"20190304164957989"</f>
        <v>20190304164957989</v>
      </c>
      <c r="B5517" t="str">
        <f>"1551689397981147"</f>
        <v>1551689397981147</v>
      </c>
      <c r="C5517" t="s">
        <v>40</v>
      </c>
      <c r="D5517">
        <v>4.7819140000000004</v>
      </c>
      <c r="E5517">
        <v>0.5214818</v>
      </c>
      <c r="F5517" t="s">
        <v>42</v>
      </c>
      <c r="G5517">
        <v>-419.51119999999997</v>
      </c>
      <c r="H5517" s="1">
        <v>-3.907888E-6</v>
      </c>
      <c r="I5517">
        <v>98.540030000000002</v>
      </c>
      <c r="J5517">
        <v>-419.20479999999998</v>
      </c>
      <c r="K5517">
        <v>1.11043</v>
      </c>
      <c r="L5517">
        <v>108.54810000000001</v>
      </c>
      <c r="M5517">
        <v>-0.22439809999999999</v>
      </c>
      <c r="N5517">
        <v>-1.002345E-2</v>
      </c>
      <c r="O5517">
        <v>-0.97444600000000003</v>
      </c>
      <c r="P5517">
        <v>-1.242972E-3</v>
      </c>
      <c r="Q5517">
        <v>0.40695369999999997</v>
      </c>
      <c r="R5517">
        <v>-0.91344820000000004</v>
      </c>
      <c r="S5517">
        <v>-0.1278687</v>
      </c>
      <c r="T5517">
        <v>-0.37032739999999997</v>
      </c>
      <c r="U5517">
        <v>-3.450272</v>
      </c>
      <c r="V5517">
        <v>-0.20373050000000001</v>
      </c>
      <c r="W5517">
        <v>0.41588029999999998</v>
      </c>
      <c r="X5517">
        <v>0.88630549999999997</v>
      </c>
      <c r="Y5517">
        <v>-0.18820200000000001</v>
      </c>
      <c r="Z5517">
        <v>9.1733670000000003E-2</v>
      </c>
      <c r="AA5517">
        <v>0.97783679999999995</v>
      </c>
      <c r="AB5517">
        <v>37</v>
      </c>
      <c r="AC5517">
        <v>-0.30639999999999601</v>
      </c>
      <c r="AD5517">
        <v>-1.1104339078879999</v>
      </c>
      <c r="AE5517">
        <v>-10.00807</v>
      </c>
      <c r="AF5517">
        <v>-1.92365994544292</v>
      </c>
      <c r="AG5517">
        <v>-1.1104339078879999</v>
      </c>
      <c r="AH5517">
        <v>9.7022427282631192</v>
      </c>
      <c r="AI5517">
        <v>96.405540909109604</v>
      </c>
      <c r="AJ5517">
        <v>101.21457037837899</v>
      </c>
      <c r="AK5517">
        <v>9.9532429392446495</v>
      </c>
      <c r="AL5517">
        <v>65.425234330149195</v>
      </c>
      <c r="AM5517">
        <v>102.945411001493</v>
      </c>
      <c r="AN5517">
        <v>0.99999998994429495</v>
      </c>
    </row>
    <row r="5518" spans="1:40" x14ac:dyDescent="0.25">
      <c r="A5518" t="str">
        <f>"20190304164958011"</f>
        <v>20190304164958011</v>
      </c>
      <c r="B5518" t="str">
        <f>"1551689398001644"</f>
        <v>1551689398001644</v>
      </c>
      <c r="C5518" t="s">
        <v>40</v>
      </c>
      <c r="D5518">
        <v>4.7735779999999997</v>
      </c>
      <c r="E5518">
        <v>0.5211884</v>
      </c>
      <c r="F5518" t="s">
        <v>42</v>
      </c>
      <c r="G5518">
        <v>-419.56380000000001</v>
      </c>
      <c r="H5518" s="1">
        <v>-3.8646390000000003E-6</v>
      </c>
      <c r="I5518">
        <v>98.460999999999999</v>
      </c>
      <c r="J5518">
        <v>-419.2851</v>
      </c>
      <c r="K5518">
        <v>1.1107880000000001</v>
      </c>
      <c r="L5518">
        <v>108.1961</v>
      </c>
      <c r="M5518">
        <v>-0.2234748</v>
      </c>
      <c r="N5518">
        <v>-1.0036410000000001E-2</v>
      </c>
      <c r="O5518">
        <v>-0.97465840000000004</v>
      </c>
      <c r="P5518">
        <v>8.5722279999999999E-4</v>
      </c>
      <c r="Q5518">
        <v>0.40602179999999999</v>
      </c>
      <c r="R5518">
        <v>-0.91386310000000004</v>
      </c>
      <c r="S5518">
        <v>-0.1229248</v>
      </c>
      <c r="T5518">
        <v>-0.3801737</v>
      </c>
      <c r="U5518">
        <v>-3.4534760000000002</v>
      </c>
      <c r="V5518">
        <v>-0.20538580000000001</v>
      </c>
      <c r="W5518">
        <v>0.41478330000000002</v>
      </c>
      <c r="X5518">
        <v>0.88643749999999999</v>
      </c>
      <c r="Y5518">
        <v>-0.18870809999999999</v>
      </c>
      <c r="Z5518">
        <v>9.4329540000000003E-2</v>
      </c>
      <c r="AA5518">
        <v>0.97749229999999998</v>
      </c>
      <c r="AB5518">
        <v>37</v>
      </c>
      <c r="AC5518">
        <v>-0.27870000000001399</v>
      </c>
      <c r="AD5518">
        <v>-1.11079186463899</v>
      </c>
      <c r="AE5518">
        <v>-9.7350999999999992</v>
      </c>
      <c r="AF5518">
        <v>-1.87955714313615</v>
      </c>
      <c r="AG5518">
        <v>-1.11079186463899</v>
      </c>
      <c r="AH5518">
        <v>9.4285059164367002</v>
      </c>
      <c r="AI5518">
        <v>96.590657033348506</v>
      </c>
      <c r="AJ5518">
        <v>101.27402748228501</v>
      </c>
      <c r="AK5518">
        <v>9.6779810620368707</v>
      </c>
      <c r="AL5518">
        <v>65.494328806705397</v>
      </c>
      <c r="AM5518">
        <v>103.04513068601599</v>
      </c>
      <c r="AN5518">
        <v>0.99999997710338895</v>
      </c>
    </row>
    <row r="5519" spans="1:40" x14ac:dyDescent="0.25">
      <c r="A5519" t="str">
        <f>"20190304164958033"</f>
        <v>20190304164958033</v>
      </c>
      <c r="B5519" t="str">
        <f>"1551689398030924"</f>
        <v>1551689398030924</v>
      </c>
      <c r="C5519" t="s">
        <v>40</v>
      </c>
      <c r="D5519">
        <v>4.7647440000000003</v>
      </c>
      <c r="E5519">
        <v>0.52024589999999904</v>
      </c>
      <c r="F5519" t="s">
        <v>42</v>
      </c>
      <c r="G5519">
        <v>-419.60719999999998</v>
      </c>
      <c r="H5519" s="1">
        <v>-3.7896959999999998E-6</v>
      </c>
      <c r="I5519">
        <v>98.304220000000001</v>
      </c>
      <c r="J5519">
        <v>-419.36649999999997</v>
      </c>
      <c r="K5519">
        <v>1.111164</v>
      </c>
      <c r="L5519">
        <v>107.83629999999999</v>
      </c>
      <c r="M5519">
        <v>-0.2221397</v>
      </c>
      <c r="N5519">
        <v>-1.0050999999999999E-2</v>
      </c>
      <c r="O5519">
        <v>-0.97496329999999998</v>
      </c>
      <c r="P5519">
        <v>2.6233379999999998E-3</v>
      </c>
      <c r="Q5519">
        <v>0.40521620000000003</v>
      </c>
      <c r="R5519">
        <v>-0.91421730000000001</v>
      </c>
      <c r="S5519">
        <v>-0.1125183</v>
      </c>
      <c r="T5519">
        <v>-0.38800249999999997</v>
      </c>
      <c r="U5519">
        <v>-3.4552610000000001</v>
      </c>
      <c r="V5519">
        <v>-0.2063497</v>
      </c>
      <c r="W5519">
        <v>0.41380159999999999</v>
      </c>
      <c r="X5519">
        <v>0.88667240000000003</v>
      </c>
      <c r="Y5519">
        <v>-0.1903241</v>
      </c>
      <c r="Z5519">
        <v>9.6418889999999993E-2</v>
      </c>
      <c r="AA5519">
        <v>0.97697500000000004</v>
      </c>
      <c r="AB5519">
        <v>37</v>
      </c>
      <c r="AC5519">
        <v>-0.24070000000000299</v>
      </c>
      <c r="AD5519">
        <v>-1.1111677896959999</v>
      </c>
      <c r="AE5519">
        <v>-9.5320799999999899</v>
      </c>
      <c r="AF5519">
        <v>-1.8576470855416201</v>
      </c>
      <c r="AG5519">
        <v>-1.1111677896959999</v>
      </c>
      <c r="AH5519">
        <v>9.2221283810097496</v>
      </c>
      <c r="AI5519">
        <v>96.736382193156203</v>
      </c>
      <c r="AJ5519">
        <v>101.388894064138</v>
      </c>
      <c r="AK5519">
        <v>9.47276086614165</v>
      </c>
      <c r="AL5519">
        <v>65.556128624968807</v>
      </c>
      <c r="AM5519">
        <v>103.100893071584</v>
      </c>
      <c r="AN5519">
        <v>0.99999995388720397</v>
      </c>
    </row>
    <row r="5520" spans="1:40" x14ac:dyDescent="0.25">
      <c r="A5520" t="str">
        <f>"20190304164958057"</f>
        <v>20190304164958057</v>
      </c>
      <c r="B5520" t="str">
        <f>"1551689398051419"</f>
        <v>1551689398051419</v>
      </c>
      <c r="C5520" t="s">
        <v>40</v>
      </c>
      <c r="D5520">
        <v>4.7689250000000003</v>
      </c>
      <c r="E5520">
        <v>0.51948739999999904</v>
      </c>
      <c r="F5520" t="s">
        <v>42</v>
      </c>
      <c r="G5520">
        <v>-419.64350000000002</v>
      </c>
      <c r="H5520" s="1">
        <v>-3.6657809999999998E-6</v>
      </c>
      <c r="I5520">
        <v>98.030370000000005</v>
      </c>
      <c r="J5520">
        <v>-419.44810000000001</v>
      </c>
      <c r="K5520">
        <v>1.1115409999999999</v>
      </c>
      <c r="L5520">
        <v>107.4712</v>
      </c>
      <c r="M5520">
        <v>-0.22038489999999999</v>
      </c>
      <c r="N5520">
        <v>-1.006671E-2</v>
      </c>
      <c r="O5520">
        <v>-0.97536129999999999</v>
      </c>
      <c r="P5520">
        <v>4.3447980000000004E-3</v>
      </c>
      <c r="Q5520">
        <v>0.4040337</v>
      </c>
      <c r="R5520">
        <v>-0.91473400000000005</v>
      </c>
      <c r="S5520">
        <v>-9.7595210000000002E-2</v>
      </c>
      <c r="T5520">
        <v>-0.391544</v>
      </c>
      <c r="U5520">
        <v>-3.4553219999999998</v>
      </c>
      <c r="V5520">
        <v>-0.2069269</v>
      </c>
      <c r="W5520">
        <v>0.41244239999999999</v>
      </c>
      <c r="X5520">
        <v>0.88717099999999904</v>
      </c>
      <c r="Y5520">
        <v>-0.19277240000000001</v>
      </c>
      <c r="Z5520">
        <v>9.7402569999999994E-2</v>
      </c>
      <c r="AA5520">
        <v>0.97639719999999997</v>
      </c>
      <c r="AB5520">
        <v>37</v>
      </c>
      <c r="AC5520">
        <v>-0.19540000000000601</v>
      </c>
      <c r="AD5520">
        <v>-1.111544665781</v>
      </c>
      <c r="AE5520">
        <v>-9.4408300000000001</v>
      </c>
      <c r="AF5520">
        <v>-1.86429384403007</v>
      </c>
      <c r="AG5520">
        <v>-1.111544665781</v>
      </c>
      <c r="AH5520">
        <v>9.1253068236907993</v>
      </c>
      <c r="AI5520">
        <v>96.8057111903791</v>
      </c>
      <c r="AJ5520">
        <v>101.546593193158</v>
      </c>
      <c r="AK5520">
        <v>9.3798906021025896</v>
      </c>
      <c r="AL5520">
        <v>65.641642994543403</v>
      </c>
      <c r="AM5520">
        <v>103.129142789035</v>
      </c>
      <c r="AN5520">
        <v>0.99999992925118197</v>
      </c>
    </row>
    <row r="5521" spans="1:40" x14ac:dyDescent="0.25">
      <c r="A5521" t="str">
        <f>"20190304164958079"</f>
        <v>20190304164958079</v>
      </c>
      <c r="B5521" t="str">
        <f>"1551689398070939"</f>
        <v>1551689398070939</v>
      </c>
      <c r="C5521" t="s">
        <v>40</v>
      </c>
      <c r="D5521">
        <v>4.7556969999999996</v>
      </c>
      <c r="E5521">
        <v>0.51887039999999995</v>
      </c>
      <c r="F5521" t="s">
        <v>42</v>
      </c>
      <c r="G5521">
        <v>-419.6875</v>
      </c>
      <c r="H5521" s="1">
        <v>-3.5213660000000002E-6</v>
      </c>
      <c r="I5521">
        <v>97.711939999999998</v>
      </c>
      <c r="J5521">
        <v>-419.53059999999999</v>
      </c>
      <c r="K5521">
        <v>1.1119049999999999</v>
      </c>
      <c r="L5521">
        <v>107.0971</v>
      </c>
      <c r="M5521">
        <v>-0.2181988</v>
      </c>
      <c r="N5521">
        <v>-1.0082900000000001E-2</v>
      </c>
      <c r="O5521">
        <v>-0.97585239999999995</v>
      </c>
      <c r="P5521">
        <v>6.5627580000000001E-3</v>
      </c>
      <c r="Q5521">
        <v>0.40313169999999998</v>
      </c>
      <c r="R5521">
        <v>-0.91511880000000001</v>
      </c>
      <c r="S5521">
        <v>-8.4716799999999995E-2</v>
      </c>
      <c r="T5521">
        <v>-0.3933758</v>
      </c>
      <c r="U5521">
        <v>-3.4537960000000001</v>
      </c>
      <c r="V5521">
        <v>-0.20755000000000001</v>
      </c>
      <c r="W5521">
        <v>0.4113697</v>
      </c>
      <c r="X5521">
        <v>0.88752350000000002</v>
      </c>
      <c r="Y5521">
        <v>-0.19419900000000001</v>
      </c>
      <c r="Z5521">
        <v>9.7997550000000003E-2</v>
      </c>
      <c r="AA5521">
        <v>0.97605489999999995</v>
      </c>
      <c r="AB5521">
        <v>37</v>
      </c>
      <c r="AC5521">
        <v>-0.15690000000000701</v>
      </c>
      <c r="AD5521">
        <v>-1.1119085213659901</v>
      </c>
      <c r="AE5521">
        <v>-9.3851600000000008</v>
      </c>
      <c r="AF5521">
        <v>-1.86859450389007</v>
      </c>
      <c r="AG5521">
        <v>-1.1119085213659901</v>
      </c>
      <c r="AH5521">
        <v>9.0660139506044803</v>
      </c>
      <c r="AI5521">
        <v>96.849601575035095</v>
      </c>
      <c r="AJ5521">
        <v>101.646136373354</v>
      </c>
      <c r="AK5521">
        <v>9.3231215229883997</v>
      </c>
      <c r="AL5521">
        <v>65.709093646388098</v>
      </c>
      <c r="AM5521">
        <v>103.162254375079</v>
      </c>
      <c r="AN5521">
        <v>0.99999999781516902</v>
      </c>
    </row>
    <row r="5522" spans="1:40" x14ac:dyDescent="0.25">
      <c r="A5522" t="str">
        <f>"20190304164958102"</f>
        <v>20190304164958102</v>
      </c>
      <c r="B5522" t="str">
        <f>"1551689398091435"</f>
        <v>1551689398091435</v>
      </c>
      <c r="C5522" t="s">
        <v>40</v>
      </c>
      <c r="D5522">
        <v>4.7076079999999996</v>
      </c>
      <c r="E5522">
        <v>0.51810179999999995</v>
      </c>
      <c r="F5522" t="s">
        <v>42</v>
      </c>
      <c r="G5522">
        <v>-419.73570000000001</v>
      </c>
      <c r="H5522" s="1">
        <v>-3.3585219999999999E-6</v>
      </c>
      <c r="I5522">
        <v>97.3523</v>
      </c>
      <c r="J5522">
        <v>-419.60599999999999</v>
      </c>
      <c r="K5522">
        <v>1.1122069999999999</v>
      </c>
      <c r="L5522">
        <v>106.7509</v>
      </c>
      <c r="M5522">
        <v>-0.2159094</v>
      </c>
      <c r="N5522">
        <v>-1.00964E-2</v>
      </c>
      <c r="O5522">
        <v>-0.97636129999999999</v>
      </c>
      <c r="P5522">
        <v>9.0294409999999992E-3</v>
      </c>
      <c r="Q5522">
        <v>0.40316020000000002</v>
      </c>
      <c r="R5522">
        <v>-0.91508520000000004</v>
      </c>
      <c r="S5522">
        <v>-7.2662350000000001E-2</v>
      </c>
      <c r="T5522">
        <v>-0.39391910000000002</v>
      </c>
      <c r="U5522">
        <v>-3.4523160000000002</v>
      </c>
      <c r="V5522">
        <v>-0.20816460000000001</v>
      </c>
      <c r="W5522">
        <v>0.4112536</v>
      </c>
      <c r="X5522">
        <v>0.88743340000000004</v>
      </c>
      <c r="Y5522">
        <v>-0.19529350000000001</v>
      </c>
      <c r="Z5522">
        <v>9.8250900000000002E-2</v>
      </c>
      <c r="AA5522">
        <v>0.97581110000000004</v>
      </c>
      <c r="AB5522">
        <v>37</v>
      </c>
      <c r="AC5522">
        <v>-0.129700000000013</v>
      </c>
      <c r="AD5522">
        <v>-1.112210358522</v>
      </c>
      <c r="AE5522">
        <v>-9.3986000000000001</v>
      </c>
      <c r="AF5522">
        <v>-1.8764364850850099</v>
      </c>
      <c r="AG5522">
        <v>-1.112210358522</v>
      </c>
      <c r="AH5522">
        <v>9.0778010564266296</v>
      </c>
      <c r="AI5522">
        <v>96.841831408736994</v>
      </c>
      <c r="AJ5522">
        <v>101.678902403764</v>
      </c>
      <c r="AK5522">
        <v>9.3361928956198295</v>
      </c>
      <c r="AL5522">
        <v>65.716392471853197</v>
      </c>
      <c r="AM5522">
        <v>103.20116121567401</v>
      </c>
      <c r="AN5522">
        <v>1.00000003182083</v>
      </c>
    </row>
    <row r="5523" spans="1:40" x14ac:dyDescent="0.25">
      <c r="A5523" t="str">
        <f>"20190304164958123"</f>
        <v>20190304164958123</v>
      </c>
      <c r="B5523" t="str">
        <f>"1551689398121692"</f>
        <v>1551689398121692</v>
      </c>
      <c r="C5523" t="s">
        <v>40</v>
      </c>
      <c r="D5523">
        <v>4.6763560000000002</v>
      </c>
      <c r="E5523">
        <v>0.51710929999999999</v>
      </c>
      <c r="F5523" t="s">
        <v>42</v>
      </c>
      <c r="G5523">
        <v>-419.77190000000002</v>
      </c>
      <c r="H5523" s="1">
        <v>-3.1384190000000002E-6</v>
      </c>
      <c r="I5523">
        <v>96.854169999999996</v>
      </c>
      <c r="J5523">
        <v>-419.68270000000001</v>
      </c>
      <c r="K5523">
        <v>1.112479</v>
      </c>
      <c r="L5523">
        <v>106.39319999999999</v>
      </c>
      <c r="M5523">
        <v>-0.21328949999999999</v>
      </c>
      <c r="N5523">
        <v>-1.0108519999999999E-2</v>
      </c>
      <c r="O5523">
        <v>-0.97693680000000005</v>
      </c>
      <c r="P5523">
        <v>1.210046E-2</v>
      </c>
      <c r="Q5523">
        <v>0.40394999999999998</v>
      </c>
      <c r="R5523">
        <v>-0.91470110000000004</v>
      </c>
      <c r="S5523">
        <v>-5.7830810000000003E-2</v>
      </c>
      <c r="T5523">
        <v>-0.38768960000000002</v>
      </c>
      <c r="U5523">
        <v>-3.4497680000000002</v>
      </c>
      <c r="V5523">
        <v>-0.2089733</v>
      </c>
      <c r="W5523">
        <v>0.41190549999999998</v>
      </c>
      <c r="X5523">
        <v>0.88694079999999997</v>
      </c>
      <c r="Y5523">
        <v>-0.19683919999999999</v>
      </c>
      <c r="Z5523">
        <v>9.6701389999999998E-2</v>
      </c>
      <c r="AA5523">
        <v>0.9756553</v>
      </c>
      <c r="AB5523">
        <v>37</v>
      </c>
      <c r="AC5523">
        <v>-8.9200000000005206E-2</v>
      </c>
      <c r="AD5523">
        <v>-1.112482138419</v>
      </c>
      <c r="AE5523">
        <v>-9.5390299999999897</v>
      </c>
      <c r="AF5523">
        <v>-1.9214004855640401</v>
      </c>
      <c r="AG5523">
        <v>-1.112482138419</v>
      </c>
      <c r="AH5523">
        <v>9.2132313363556904</v>
      </c>
      <c r="AI5523">
        <v>96.741375404433796</v>
      </c>
      <c r="AJ5523">
        <v>101.78007341489101</v>
      </c>
      <c r="AK5523">
        <v>9.4769735670958593</v>
      </c>
      <c r="AL5523">
        <v>65.675407866098297</v>
      </c>
      <c r="AM5523">
        <v>103.257740093954</v>
      </c>
      <c r="AN5523">
        <v>0.99999998187388905</v>
      </c>
    </row>
    <row r="5524" spans="1:40" x14ac:dyDescent="0.25">
      <c r="A5524" t="str">
        <f>"20190304164958147"</f>
        <v>20190304164958147</v>
      </c>
      <c r="B5524" t="str">
        <f>"1551689398141211"</f>
        <v>1551689398141211</v>
      </c>
      <c r="C5524" t="s">
        <v>40</v>
      </c>
      <c r="D5524">
        <v>4.7587590000000004</v>
      </c>
      <c r="E5524">
        <v>0.51702060000000005</v>
      </c>
      <c r="F5524" t="s">
        <v>42</v>
      </c>
      <c r="G5524">
        <v>-419.79829999999998</v>
      </c>
      <c r="H5524" s="1">
        <v>-2.851993E-6</v>
      </c>
      <c r="I5524">
        <v>96.197450000000003</v>
      </c>
      <c r="J5524">
        <v>-419.76060000000001</v>
      </c>
      <c r="K5524">
        <v>1.112746</v>
      </c>
      <c r="L5524">
        <v>106.0243</v>
      </c>
      <c r="M5524">
        <v>-0.21033750000000001</v>
      </c>
      <c r="N5524">
        <v>-1.012042E-2</v>
      </c>
      <c r="O5524">
        <v>-0.97757649999999996</v>
      </c>
      <c r="P5524">
        <v>1.635112E-2</v>
      </c>
      <c r="Q5524">
        <v>0.40433799999999998</v>
      </c>
      <c r="R5524">
        <v>-0.91446340000000004</v>
      </c>
      <c r="S5524">
        <v>-3.9093019999999999E-2</v>
      </c>
      <c r="T5524">
        <v>-0.37603969999999998</v>
      </c>
      <c r="U5524">
        <v>-3.4463499999999998</v>
      </c>
      <c r="V5524">
        <v>-0.2106528</v>
      </c>
      <c r="W5524">
        <v>0.412157</v>
      </c>
      <c r="X5524">
        <v>0.88642659999999995</v>
      </c>
      <c r="Y5524">
        <v>-0.19916329999999999</v>
      </c>
      <c r="Z5524">
        <v>9.3693499999999999E-2</v>
      </c>
      <c r="AA5524">
        <v>0.97547700000000004</v>
      </c>
      <c r="AB5524">
        <v>37</v>
      </c>
      <c r="AC5524">
        <v>-3.7699999999972499E-2</v>
      </c>
      <c r="AD5524">
        <v>-1.112748851993</v>
      </c>
      <c r="AE5524">
        <v>-9.8268499999999896</v>
      </c>
      <c r="AF5524">
        <v>-2.0045023625960998</v>
      </c>
      <c r="AG5524">
        <v>-1.112748851993</v>
      </c>
      <c r="AH5524">
        <v>9.4931965332835997</v>
      </c>
      <c r="AI5524">
        <v>96.542475510435096</v>
      </c>
      <c r="AJ5524">
        <v>101.92295202099</v>
      </c>
      <c r="AK5524">
        <v>9.7661159192799296</v>
      </c>
      <c r="AL5524">
        <v>65.659595072607999</v>
      </c>
      <c r="AM5524">
        <v>103.367957098193</v>
      </c>
      <c r="AN5524">
        <v>1.00000005599219</v>
      </c>
    </row>
    <row r="5525" spans="1:40" x14ac:dyDescent="0.25">
      <c r="A5525" t="str">
        <f>"20190304164958168"</f>
        <v>20190304164958168</v>
      </c>
      <c r="B5525" t="str">
        <f>"1551689398161711"</f>
        <v>1551689398161711</v>
      </c>
      <c r="C5525" t="s">
        <v>40</v>
      </c>
      <c r="D5525">
        <v>4.7021269999999999</v>
      </c>
      <c r="E5525">
        <v>0.51644789999999996</v>
      </c>
      <c r="F5525" t="s">
        <v>42</v>
      </c>
      <c r="G5525">
        <v>-419.8295</v>
      </c>
      <c r="H5525" s="1">
        <v>-2.677331E-6</v>
      </c>
      <c r="I5525">
        <v>95.803200000000004</v>
      </c>
      <c r="J5525">
        <v>-419.8356</v>
      </c>
      <c r="K5525">
        <v>1.1129929999999999</v>
      </c>
      <c r="L5525">
        <v>105.66249999999999</v>
      </c>
      <c r="M5525">
        <v>-0.2072196</v>
      </c>
      <c r="N5525">
        <v>-1.0132749999999999E-2</v>
      </c>
      <c r="O5525">
        <v>-0.97824199999999994</v>
      </c>
      <c r="P5525">
        <v>2.13817E-2</v>
      </c>
      <c r="Q5525">
        <v>0.40451399999999998</v>
      </c>
      <c r="R5525">
        <v>-0.91428189999999998</v>
      </c>
      <c r="S5525">
        <v>-2.325439E-2</v>
      </c>
      <c r="T5525">
        <v>-0.3752644</v>
      </c>
      <c r="U5525">
        <v>-3.4469759999999998</v>
      </c>
      <c r="V5525">
        <v>-0.21294489999999999</v>
      </c>
      <c r="W5525">
        <v>0.41219879999999998</v>
      </c>
      <c r="X5525">
        <v>0.88585930000000002</v>
      </c>
      <c r="Y5525">
        <v>-0.20052159999999999</v>
      </c>
      <c r="Z5525">
        <v>9.3540209999999999E-2</v>
      </c>
      <c r="AA5525">
        <v>0.97521349999999996</v>
      </c>
      <c r="AB5525">
        <v>37</v>
      </c>
      <c r="AC5525">
        <v>6.1000000000035401E-3</v>
      </c>
      <c r="AD5525">
        <v>-1.1129956773309999</v>
      </c>
      <c r="AE5525">
        <v>-9.8592999999999904</v>
      </c>
      <c r="AF5525">
        <v>-2.0233279973522702</v>
      </c>
      <c r="AG5525">
        <v>-1.1129956773309999</v>
      </c>
      <c r="AH5525">
        <v>9.5226585423948595</v>
      </c>
      <c r="AI5525">
        <v>96.522107620359705</v>
      </c>
      <c r="AJ5525">
        <v>101.995535261638</v>
      </c>
      <c r="AK5525">
        <v>9.7986550749412995</v>
      </c>
      <c r="AL5525">
        <v>65.656966024559907</v>
      </c>
      <c r="AM5525">
        <v>103.516442937962</v>
      </c>
      <c r="AN5525">
        <v>1.00000004027696</v>
      </c>
    </row>
    <row r="5526" spans="1:40" x14ac:dyDescent="0.25">
      <c r="A5526" t="str">
        <f>"20190304164958190"</f>
        <v>20190304164958190</v>
      </c>
      <c r="B5526" t="str">
        <f>"1551689398181228"</f>
        <v>1551689398181228</v>
      </c>
      <c r="C5526" t="s">
        <v>40</v>
      </c>
      <c r="D5526">
        <v>4.7765069999999996</v>
      </c>
      <c r="E5526">
        <v>0.51621249999999996</v>
      </c>
      <c r="F5526" t="s">
        <v>42</v>
      </c>
      <c r="G5526">
        <v>-419.84109999999998</v>
      </c>
      <c r="H5526" s="1">
        <v>-2.451418E-6</v>
      </c>
      <c r="I5526">
        <v>95.281360000000006</v>
      </c>
      <c r="J5526">
        <v>-419.90699999999998</v>
      </c>
      <c r="K5526">
        <v>1.113232</v>
      </c>
      <c r="L5526">
        <v>105.3125</v>
      </c>
      <c r="M5526">
        <v>-0.20401230000000001</v>
      </c>
      <c r="N5526">
        <v>-1.014819E-2</v>
      </c>
      <c r="O5526">
        <v>-0.9789156</v>
      </c>
      <c r="P5526">
        <v>2.5986209999999999E-2</v>
      </c>
      <c r="Q5526">
        <v>0.4046439</v>
      </c>
      <c r="R5526">
        <v>-0.91410499999999995</v>
      </c>
      <c r="S5526">
        <v>-1.8005370000000001E-3</v>
      </c>
      <c r="T5526">
        <v>-0.3693186</v>
      </c>
      <c r="U5526">
        <v>-3.4447019999999902</v>
      </c>
      <c r="V5526">
        <v>-0.2147338</v>
      </c>
      <c r="W5526">
        <v>0.41220649999999998</v>
      </c>
      <c r="X5526">
        <v>0.88542369999999904</v>
      </c>
      <c r="Y5526">
        <v>-0.20337910000000001</v>
      </c>
      <c r="Z5526">
        <v>9.2036439999999997E-2</v>
      </c>
      <c r="AA5526">
        <v>0.97476470000000004</v>
      </c>
      <c r="AB5526">
        <v>37</v>
      </c>
      <c r="AC5526">
        <v>6.5899999999999098E-2</v>
      </c>
      <c r="AD5526">
        <v>-1.1132344514179999</v>
      </c>
      <c r="AE5526">
        <v>-10.031140000000001</v>
      </c>
      <c r="AF5526">
        <v>-2.08541243827008</v>
      </c>
      <c r="AG5526">
        <v>-1.1132344514179999</v>
      </c>
      <c r="AH5526">
        <v>9.6873955625968104</v>
      </c>
      <c r="AI5526">
        <v>96.409857712516398</v>
      </c>
      <c r="AJ5526">
        <v>102.148704122626</v>
      </c>
      <c r="AK5526">
        <v>9.9716532615076297</v>
      </c>
      <c r="AL5526">
        <v>65.656479870217794</v>
      </c>
      <c r="AM5526">
        <v>103.632228308035</v>
      </c>
      <c r="AN5526">
        <v>0.99999996601318897</v>
      </c>
    </row>
    <row r="5527" spans="1:40" x14ac:dyDescent="0.25">
      <c r="A5527" t="str">
        <f>"20190304164958213"</f>
        <v>20190304164958213</v>
      </c>
      <c r="B5527" t="str">
        <f>"1551689398201724"</f>
        <v>1551689398201724</v>
      </c>
      <c r="C5527" t="s">
        <v>40</v>
      </c>
      <c r="D5527">
        <v>4.7575050000000001</v>
      </c>
      <c r="E5527">
        <v>0.51619150000000003</v>
      </c>
      <c r="F5527" t="s">
        <v>42</v>
      </c>
      <c r="G5527">
        <v>-419.85680000000002</v>
      </c>
      <c r="H5527" s="1">
        <v>-2.2810170000000001E-6</v>
      </c>
      <c r="I5527">
        <v>94.890649999999994</v>
      </c>
      <c r="J5527">
        <v>-419.9787</v>
      </c>
      <c r="K5527">
        <v>1.1134660000000001</v>
      </c>
      <c r="L5527">
        <v>104.95350000000001</v>
      </c>
      <c r="M5527">
        <v>-0.200539</v>
      </c>
      <c r="N5527">
        <v>-1.016853E-2</v>
      </c>
      <c r="O5527">
        <v>-0.97963310000000003</v>
      </c>
      <c r="P5527">
        <v>2.9784999999999999E-2</v>
      </c>
      <c r="Q5527">
        <v>0.4051458</v>
      </c>
      <c r="R5527">
        <v>-0.913767</v>
      </c>
      <c r="S5527">
        <v>1.6601560000000001E-2</v>
      </c>
      <c r="T5527">
        <v>-0.36791040000000003</v>
      </c>
      <c r="U5527">
        <v>-3.4443049999999999</v>
      </c>
      <c r="V5527">
        <v>-0.21547060000000001</v>
      </c>
      <c r="W5527">
        <v>0.41259580000000001</v>
      </c>
      <c r="X5527">
        <v>0.88506339999999994</v>
      </c>
      <c r="Y5527">
        <v>-0.2051132</v>
      </c>
      <c r="Z5527">
        <v>9.1730419999999993E-2</v>
      </c>
      <c r="AA5527">
        <v>0.97443009999999997</v>
      </c>
      <c r="AB5527">
        <v>37</v>
      </c>
      <c r="AC5527">
        <v>0.12189999999998199</v>
      </c>
      <c r="AD5527">
        <v>-1.113468281017</v>
      </c>
      <c r="AE5527">
        <v>-10.062849999999999</v>
      </c>
      <c r="AF5527">
        <v>-2.11167041548961</v>
      </c>
      <c r="AG5527">
        <v>-1.113468281017</v>
      </c>
      <c r="AH5527">
        <v>9.7150314268246607</v>
      </c>
      <c r="AI5527">
        <v>96.3903682010111</v>
      </c>
      <c r="AJ5527">
        <v>102.263124035357</v>
      </c>
      <c r="AK5527">
        <v>10.004039143299799</v>
      </c>
      <c r="AL5527">
        <v>65.631997701027103</v>
      </c>
      <c r="AM5527">
        <v>103.68260818252899</v>
      </c>
      <c r="AN5527">
        <v>1.00000004783077</v>
      </c>
    </row>
    <row r="5528" spans="1:40" x14ac:dyDescent="0.25">
      <c r="A5528" t="str">
        <f>"20190304164958234"</f>
        <v>20190304164958234</v>
      </c>
      <c r="B5528" t="str">
        <f>"1551689398231004"</f>
        <v>1551689398231004</v>
      </c>
      <c r="C5528" t="s">
        <v>40</v>
      </c>
      <c r="D5528">
        <v>4.7949580000000003</v>
      </c>
      <c r="E5528">
        <v>0.51626499999999997</v>
      </c>
      <c r="F5528" t="s">
        <v>42</v>
      </c>
      <c r="G5528">
        <v>-419.88040000000001</v>
      </c>
      <c r="H5528" s="1">
        <v>-2.1181870000000002E-6</v>
      </c>
      <c r="I5528">
        <v>94.520870000000002</v>
      </c>
      <c r="J5528">
        <v>-420.04969999999997</v>
      </c>
      <c r="K5528">
        <v>1.113693</v>
      </c>
      <c r="L5528">
        <v>104.5911</v>
      </c>
      <c r="M5528">
        <v>-0.1968531</v>
      </c>
      <c r="N5528">
        <v>-1.0191449999999999E-2</v>
      </c>
      <c r="O5528">
        <v>-0.98038020000000003</v>
      </c>
      <c r="P5528">
        <v>3.3106570000000002E-2</v>
      </c>
      <c r="Q5528">
        <v>0.40585090000000001</v>
      </c>
      <c r="R5528">
        <v>-0.91333969999999998</v>
      </c>
      <c r="S5528">
        <v>3.2470699999999998E-2</v>
      </c>
      <c r="T5528">
        <v>-0.36769429999999997</v>
      </c>
      <c r="U5528">
        <v>-3.4450989999999999</v>
      </c>
      <c r="V5528">
        <v>-0.21553459999999999</v>
      </c>
      <c r="W5528">
        <v>0.41319899999999998</v>
      </c>
      <c r="X5528">
        <v>0.88476630000000001</v>
      </c>
      <c r="Y5528">
        <v>-0.20591880000000001</v>
      </c>
      <c r="Z5528">
        <v>9.1728199999999996E-2</v>
      </c>
      <c r="AA5528">
        <v>0.97426040000000003</v>
      </c>
      <c r="AB5528">
        <v>37</v>
      </c>
      <c r="AC5528">
        <v>0.16929999999996401</v>
      </c>
      <c r="AD5528">
        <v>-1.1136951181870001</v>
      </c>
      <c r="AE5528">
        <v>-10.070229999999899</v>
      </c>
      <c r="AF5528">
        <v>-2.12249317419628</v>
      </c>
      <c r="AG5528">
        <v>-1.1136951181870001</v>
      </c>
      <c r="AH5528">
        <v>9.7209747710131804</v>
      </c>
      <c r="AI5528">
        <v>96.386492107185006</v>
      </c>
      <c r="AJ5528">
        <v>102.31675429221301</v>
      </c>
      <c r="AK5528">
        <v>10.012124878838501</v>
      </c>
      <c r="AL5528">
        <v>65.594049744305394</v>
      </c>
      <c r="AM5528">
        <v>103.690942359419</v>
      </c>
      <c r="AN5528">
        <v>0.99999999150692398</v>
      </c>
    </row>
    <row r="5529" spans="1:40" x14ac:dyDescent="0.25">
      <c r="A5529" t="str">
        <f>"20190304164958258"</f>
        <v>20190304164958258</v>
      </c>
      <c r="B5529" t="str">
        <f>"1551689398251500"</f>
        <v>1551689398251500</v>
      </c>
      <c r="C5529" t="s">
        <v>40</v>
      </c>
      <c r="D5529">
        <v>4.7586559999999896</v>
      </c>
      <c r="E5529">
        <v>0.51630569999999998</v>
      </c>
      <c r="F5529" t="s">
        <v>42</v>
      </c>
      <c r="G5529">
        <v>-419.90910000000002</v>
      </c>
      <c r="H5529" s="1">
        <v>-1.9396859999999999E-6</v>
      </c>
      <c r="I5529">
        <v>94.116630000000001</v>
      </c>
      <c r="J5529">
        <v>-420.12209999999999</v>
      </c>
      <c r="K5529">
        <v>1.1139319999999999</v>
      </c>
      <c r="L5529">
        <v>104.2122</v>
      </c>
      <c r="M5529">
        <v>-0.19279160000000001</v>
      </c>
      <c r="N5529">
        <v>-1.0216029999999999E-2</v>
      </c>
      <c r="O5529">
        <v>-0.98118640000000001</v>
      </c>
      <c r="P5529">
        <v>3.6199599999999998E-2</v>
      </c>
      <c r="Q5529">
        <v>0.4068348</v>
      </c>
      <c r="R5529">
        <v>-0.91278389999999998</v>
      </c>
      <c r="S5529">
        <v>4.6264649999999997E-2</v>
      </c>
      <c r="T5529">
        <v>-0.3663708</v>
      </c>
      <c r="U5529">
        <v>-3.44577</v>
      </c>
      <c r="V5529">
        <v>-0.2150194</v>
      </c>
      <c r="W5529">
        <v>0.41408729999999999</v>
      </c>
      <c r="X5529">
        <v>0.88447640000000005</v>
      </c>
      <c r="Y5529">
        <v>-0.20576539999999999</v>
      </c>
      <c r="Z5529">
        <v>9.1444049999999999E-2</v>
      </c>
      <c r="AA5529">
        <v>0.97431950000000001</v>
      </c>
      <c r="AB5529">
        <v>37</v>
      </c>
      <c r="AC5529">
        <v>0.212999999999965</v>
      </c>
      <c r="AD5529">
        <v>-1.113933939686</v>
      </c>
      <c r="AE5529">
        <v>-10.095569999999899</v>
      </c>
      <c r="AF5529">
        <v>-2.12953177037204</v>
      </c>
      <c r="AG5529">
        <v>-1.113933939686</v>
      </c>
      <c r="AH5529">
        <v>9.7464801859604204</v>
      </c>
      <c r="AI5529">
        <v>96.371073045120696</v>
      </c>
      <c r="AJ5529">
        <v>102.325000703897</v>
      </c>
      <c r="AK5529">
        <v>10.0384077621068</v>
      </c>
      <c r="AL5529">
        <v>65.538149219785296</v>
      </c>
      <c r="AM5529">
        <v>103.66375305839701</v>
      </c>
      <c r="AN5529">
        <v>1.0000000682773</v>
      </c>
    </row>
    <row r="5530" spans="1:40" x14ac:dyDescent="0.25">
      <c r="A5530" t="str">
        <f>"20190304164958280"</f>
        <v>20190304164958280</v>
      </c>
      <c r="B5530" t="str">
        <f>"1551689398271526"</f>
        <v>1551689398271526</v>
      </c>
      <c r="C5530" t="s">
        <v>40</v>
      </c>
      <c r="D5530">
        <v>4.7781289999999998</v>
      </c>
      <c r="E5530">
        <v>0.51640129999999995</v>
      </c>
      <c r="F5530" t="s">
        <v>42</v>
      </c>
      <c r="G5530">
        <v>-419.9436</v>
      </c>
      <c r="H5530" s="1">
        <v>-1.7393729999999999E-6</v>
      </c>
      <c r="I5530">
        <v>93.663960000000003</v>
      </c>
      <c r="J5530">
        <v>-420.18779999999998</v>
      </c>
      <c r="K5530">
        <v>1.1141319999999999</v>
      </c>
      <c r="L5530">
        <v>103.8601</v>
      </c>
      <c r="M5530">
        <v>-0.18885589999999999</v>
      </c>
      <c r="N5530">
        <v>-1.0238509999999999E-2</v>
      </c>
      <c r="O5530">
        <v>-0.98195149999999998</v>
      </c>
      <c r="P5530">
        <v>3.9538570000000002E-2</v>
      </c>
      <c r="Q5530">
        <v>0.4077443</v>
      </c>
      <c r="R5530">
        <v>-0.91223980000000005</v>
      </c>
      <c r="S5530">
        <v>5.8319089999999997E-2</v>
      </c>
      <c r="T5530">
        <v>-0.36397040000000003</v>
      </c>
      <c r="U5530">
        <v>-3.446564</v>
      </c>
      <c r="V5530">
        <v>-0.21484049999999999</v>
      </c>
      <c r="W5530">
        <v>0.41491220000000001</v>
      </c>
      <c r="X5530">
        <v>0.88413319999999995</v>
      </c>
      <c r="Y5530">
        <v>-0.20524790000000001</v>
      </c>
      <c r="Z5530">
        <v>9.0859380000000003E-2</v>
      </c>
      <c r="AA5530">
        <v>0.9744834</v>
      </c>
      <c r="AB5530">
        <v>37</v>
      </c>
      <c r="AC5530">
        <v>0.24419999999997799</v>
      </c>
      <c r="AD5530">
        <v>-1.114133739373</v>
      </c>
      <c r="AE5530">
        <v>-10.19614</v>
      </c>
      <c r="AF5530">
        <v>-2.1399705935545001</v>
      </c>
      <c r="AG5530">
        <v>-1.114133739373</v>
      </c>
      <c r="AH5530">
        <v>9.8489889487088398</v>
      </c>
      <c r="AI5530">
        <v>96.308001423578503</v>
      </c>
      <c r="AJ5530">
        <v>102.258585634196</v>
      </c>
      <c r="AK5530">
        <v>10.1401849806734</v>
      </c>
      <c r="AL5530">
        <v>65.486213747447493</v>
      </c>
      <c r="AM5530">
        <v>103.65791146194201</v>
      </c>
      <c r="AN5530">
        <v>1.0000000447456601</v>
      </c>
    </row>
    <row r="5531" spans="1:40" x14ac:dyDescent="0.25">
      <c r="A5531" t="str">
        <f>"20190304164958302"</f>
        <v>20190304164958302</v>
      </c>
      <c r="B5531" t="str">
        <f>"1551689398291046"</f>
        <v>1551689398291046</v>
      </c>
      <c r="C5531" t="s">
        <v>40</v>
      </c>
      <c r="D5531">
        <v>5.3551719999999996</v>
      </c>
      <c r="E5531">
        <v>0.51648590000000005</v>
      </c>
      <c r="F5531" t="s">
        <v>42</v>
      </c>
      <c r="G5531">
        <v>-419.97289999999998</v>
      </c>
      <c r="H5531" s="1">
        <v>-1.563266E-6</v>
      </c>
      <c r="I5531">
        <v>93.249939999999995</v>
      </c>
      <c r="J5531">
        <v>-420.255</v>
      </c>
      <c r="K5531">
        <v>1.114312</v>
      </c>
      <c r="L5531">
        <v>103.4905</v>
      </c>
      <c r="M5531">
        <v>-0.1845831</v>
      </c>
      <c r="N5531">
        <v>-1.026093E-2</v>
      </c>
      <c r="O5531">
        <v>-0.98276339999999995</v>
      </c>
      <c r="P5531">
        <v>4.3300999999999999E-2</v>
      </c>
      <c r="Q5531">
        <v>0.40747559999999999</v>
      </c>
      <c r="R5531">
        <v>-0.91218909999999997</v>
      </c>
      <c r="S5531">
        <v>6.9824220000000006E-2</v>
      </c>
      <c r="T5531">
        <v>-0.36199609999999999</v>
      </c>
      <c r="U5531">
        <v>-3.4473880000000001</v>
      </c>
      <c r="V5531">
        <v>-0.2148487</v>
      </c>
      <c r="W5531">
        <v>0.41456939999999998</v>
      </c>
      <c r="X5531">
        <v>0.88429190000000002</v>
      </c>
      <c r="Y5531">
        <v>-0.20424049999999999</v>
      </c>
      <c r="Z5531">
        <v>9.0402250000000003E-2</v>
      </c>
      <c r="AA5531">
        <v>0.97473750000000003</v>
      </c>
      <c r="AB5531">
        <v>37</v>
      </c>
      <c r="AC5531">
        <v>0.28210000000001301</v>
      </c>
      <c r="AD5531">
        <v>-1.114313563266</v>
      </c>
      <c r="AE5531">
        <v>-10.240559999999901</v>
      </c>
      <c r="AF5531">
        <v>-2.1422400542745201</v>
      </c>
      <c r="AG5531">
        <v>-1.114313563266</v>
      </c>
      <c r="AH5531">
        <v>9.8954259968564902</v>
      </c>
      <c r="AI5531">
        <v>96.280661476039597</v>
      </c>
      <c r="AJ5531">
        <v>102.215339345342</v>
      </c>
      <c r="AK5531">
        <v>10.185791222417601</v>
      </c>
      <c r="AL5531">
        <v>65.507796420325107</v>
      </c>
      <c r="AM5531">
        <v>103.656053804175</v>
      </c>
      <c r="AN5531">
        <v>0.99999995785682905</v>
      </c>
    </row>
    <row r="5532" spans="1:40" x14ac:dyDescent="0.25">
      <c r="A5532" t="str">
        <f>"20190304164958326"</f>
        <v>20190304164958326</v>
      </c>
      <c r="B5532" t="str">
        <f>"1551689398321303"</f>
        <v>1551689398321303</v>
      </c>
      <c r="C5532" t="s">
        <v>40</v>
      </c>
      <c r="D5532">
        <v>4.8310360000000001</v>
      </c>
      <c r="E5532">
        <v>0.51659949999999999</v>
      </c>
      <c r="F5532" t="s">
        <v>42</v>
      </c>
      <c r="G5532">
        <v>-420.00259999999997</v>
      </c>
      <c r="H5532" s="1">
        <v>-1.4243230000000001E-6</v>
      </c>
      <c r="I5532">
        <v>92.907629999999997</v>
      </c>
      <c r="J5532">
        <v>-420.32</v>
      </c>
      <c r="K5532">
        <v>1.1144750000000001</v>
      </c>
      <c r="L5532">
        <v>103.1238</v>
      </c>
      <c r="M5532">
        <v>-0.18021770000000001</v>
      </c>
      <c r="N5532">
        <v>-1.028154E-2</v>
      </c>
      <c r="O5532">
        <v>-0.98357309999999998</v>
      </c>
      <c r="P5532">
        <v>4.6415390000000001E-2</v>
      </c>
      <c r="Q5532">
        <v>0.40708739999999999</v>
      </c>
      <c r="R5532">
        <v>-0.91220919999999905</v>
      </c>
      <c r="S5532">
        <v>8.221436E-2</v>
      </c>
      <c r="T5532">
        <v>-0.36294949999999998</v>
      </c>
      <c r="U5532">
        <v>-3.4470209999999999</v>
      </c>
      <c r="V5532">
        <v>-0.21412900000000001</v>
      </c>
      <c r="W5532">
        <v>0.41412680000000002</v>
      </c>
      <c r="X5532">
        <v>0.88467379999999995</v>
      </c>
      <c r="Y5532">
        <v>-0.20339750000000001</v>
      </c>
      <c r="Z5532">
        <v>9.0783870000000003E-2</v>
      </c>
      <c r="AA5532">
        <v>0.97487829999999998</v>
      </c>
      <c r="AB5532">
        <v>37</v>
      </c>
      <c r="AC5532">
        <v>0.31740000000002</v>
      </c>
      <c r="AD5532">
        <v>-1.1144764243230001</v>
      </c>
      <c r="AE5532">
        <v>-10.2161699999999</v>
      </c>
      <c r="AF5532">
        <v>-2.12813295524575</v>
      </c>
      <c r="AG5532">
        <v>-1.1144764243230001</v>
      </c>
      <c r="AH5532">
        <v>9.8742805097041106</v>
      </c>
      <c r="AI5532">
        <v>96.296159808613396</v>
      </c>
      <c r="AJ5532">
        <v>102.16250993019101</v>
      </c>
      <c r="AK5532">
        <v>10.162304028117701</v>
      </c>
      <c r="AL5532">
        <v>65.535660625723196</v>
      </c>
      <c r="AM5532">
        <v>103.606355804494</v>
      </c>
      <c r="AN5532">
        <v>0.99999998376283905</v>
      </c>
    </row>
    <row r="5533" spans="1:40" x14ac:dyDescent="0.25">
      <c r="A5533" t="str">
        <f>"20190304164958347"</f>
        <v>20190304164958347</v>
      </c>
      <c r="B5533" t="str">
        <f>"1551689398341798"</f>
        <v>1551689398341798</v>
      </c>
      <c r="C5533" t="s">
        <v>40</v>
      </c>
      <c r="D5533">
        <v>4.8232939999999997</v>
      </c>
      <c r="E5533">
        <v>0.51666120000000004</v>
      </c>
      <c r="F5533" t="s">
        <v>42</v>
      </c>
      <c r="G5533">
        <v>-420.03149999999999</v>
      </c>
      <c r="H5533" s="1">
        <v>-1.260682E-6</v>
      </c>
      <c r="I5533">
        <v>92.508229999999998</v>
      </c>
      <c r="J5533">
        <v>-420.38350000000003</v>
      </c>
      <c r="K5533">
        <v>1.1146180000000001</v>
      </c>
      <c r="L5533">
        <v>102.7559</v>
      </c>
      <c r="M5533">
        <v>-0.17572699999999999</v>
      </c>
      <c r="N5533">
        <v>-1.030083E-2</v>
      </c>
      <c r="O5533">
        <v>-0.98438510000000001</v>
      </c>
      <c r="P5533">
        <v>4.9618429999999998E-2</v>
      </c>
      <c r="Q5533">
        <v>0.40776620000000002</v>
      </c>
      <c r="R5533">
        <v>-0.91173709999999997</v>
      </c>
      <c r="S5533">
        <v>9.3627929999999998E-2</v>
      </c>
      <c r="T5533">
        <v>-0.36171249999999999</v>
      </c>
      <c r="U5533">
        <v>-3.4453740000000002</v>
      </c>
      <c r="V5533">
        <v>-0.21329310000000001</v>
      </c>
      <c r="W5533">
        <v>0.41475640000000003</v>
      </c>
      <c r="X5533">
        <v>0.88458079999999994</v>
      </c>
      <c r="Y5533">
        <v>-0.2021696</v>
      </c>
      <c r="Z5533">
        <v>9.0604710000000005E-2</v>
      </c>
      <c r="AA5533">
        <v>0.97515039999999997</v>
      </c>
      <c r="AB5533">
        <v>37</v>
      </c>
      <c r="AC5533">
        <v>0.35200000000003201</v>
      </c>
      <c r="AD5533">
        <v>-1.114619260682</v>
      </c>
      <c r="AE5533">
        <v>-10.2476699999999</v>
      </c>
      <c r="AF5533">
        <v>-2.1223310412960599</v>
      </c>
      <c r="AG5533">
        <v>-1.114619260682</v>
      </c>
      <c r="AH5533">
        <v>9.9092361560678093</v>
      </c>
      <c r="AI5533">
        <v>96.276645406796206</v>
      </c>
      <c r="AJ5533">
        <v>102.088804683448</v>
      </c>
      <c r="AK5533">
        <v>10.195078535345001</v>
      </c>
      <c r="AL5533">
        <v>65.496023355285502</v>
      </c>
      <c r="AM5533">
        <v>103.556576419027</v>
      </c>
      <c r="AN5533">
        <v>1.0000000047886</v>
      </c>
    </row>
    <row r="5534" spans="1:40" x14ac:dyDescent="0.25">
      <c r="A5534" t="str">
        <f>"20190304164958370"</f>
        <v>20190304164958370</v>
      </c>
      <c r="B5534" t="str">
        <f>"1551689398361318"</f>
        <v>1551689398361318</v>
      </c>
      <c r="C5534" t="s">
        <v>40</v>
      </c>
      <c r="D5534">
        <v>4.7871079999999999</v>
      </c>
      <c r="E5534">
        <v>0.51675450000000001</v>
      </c>
      <c r="F5534" t="s">
        <v>42</v>
      </c>
      <c r="G5534">
        <v>-420.04649999999998</v>
      </c>
      <c r="H5534" s="1">
        <v>-1.056347E-6</v>
      </c>
      <c r="I5534">
        <v>92.022649999999999</v>
      </c>
      <c r="J5534">
        <v>-420.44569999999999</v>
      </c>
      <c r="K5534">
        <v>1.1147389999999999</v>
      </c>
      <c r="L5534">
        <v>102.3843</v>
      </c>
      <c r="M5534">
        <v>-0.1711047</v>
      </c>
      <c r="N5534">
        <v>-1.031902E-2</v>
      </c>
      <c r="O5534">
        <v>-0.98519889999999999</v>
      </c>
      <c r="P5534">
        <v>5.267401E-2</v>
      </c>
      <c r="Q5534">
        <v>0.40716859999999999</v>
      </c>
      <c r="R5534">
        <v>-0.91183289999999995</v>
      </c>
      <c r="S5534">
        <v>0.10815429999999999</v>
      </c>
      <c r="T5534">
        <v>-0.35770540000000001</v>
      </c>
      <c r="U5534">
        <v>-3.4445190000000001</v>
      </c>
      <c r="V5534">
        <v>-0.21226819999999999</v>
      </c>
      <c r="W5534">
        <v>0.41412670000000001</v>
      </c>
      <c r="X5534">
        <v>0.88512219999999997</v>
      </c>
      <c r="Y5534">
        <v>-0.20169309999999999</v>
      </c>
      <c r="Z5534">
        <v>8.9625789999999997E-2</v>
      </c>
      <c r="AA5534">
        <v>0.97533950000000003</v>
      </c>
      <c r="AB5534">
        <v>37</v>
      </c>
      <c r="AC5534">
        <v>0.39920000000000699</v>
      </c>
      <c r="AD5534">
        <v>-1.114740056347</v>
      </c>
      <c r="AE5534">
        <v>-10.3616499999999</v>
      </c>
      <c r="AF5534">
        <v>-2.1415832845062202</v>
      </c>
      <c r="AG5534">
        <v>-1.114740056347</v>
      </c>
      <c r="AH5534">
        <v>10.0246651290062</v>
      </c>
      <c r="AI5534">
        <v>96.206294448230693</v>
      </c>
      <c r="AJ5534">
        <v>102.05890891741799</v>
      </c>
      <c r="AK5534">
        <v>10.311301339133401</v>
      </c>
      <c r="AL5534">
        <v>65.535667621565594</v>
      </c>
      <c r="AM5534">
        <v>103.485870783206</v>
      </c>
      <c r="AN5534">
        <v>1.0000000106584801</v>
      </c>
    </row>
    <row r="5535" spans="1:40" x14ac:dyDescent="0.25">
      <c r="A5535" t="str">
        <f>"20190304164958391"</f>
        <v>20190304164958391</v>
      </c>
      <c r="B5535" t="str">
        <f>"1551689398380839"</f>
        <v>1551689398380839</v>
      </c>
      <c r="C5535" t="s">
        <v>40</v>
      </c>
      <c r="D5535">
        <v>4.8542759999999996</v>
      </c>
      <c r="E5535">
        <v>0.516629</v>
      </c>
      <c r="F5535" t="s">
        <v>42</v>
      </c>
      <c r="G5535">
        <v>-420.072</v>
      </c>
      <c r="H5535" s="1">
        <v>-9.4010369999999998E-7</v>
      </c>
      <c r="I5535">
        <v>91.735849999999999</v>
      </c>
      <c r="J5535">
        <v>-420.5027</v>
      </c>
      <c r="K5535">
        <v>1.114832</v>
      </c>
      <c r="L5535">
        <v>102.03489999999999</v>
      </c>
      <c r="M5535">
        <v>-0.16669800000000001</v>
      </c>
      <c r="N5535">
        <v>-1.0334889999999999E-2</v>
      </c>
      <c r="O5535">
        <v>-0.98595390000000005</v>
      </c>
      <c r="P5535">
        <v>5.6596069999999998E-2</v>
      </c>
      <c r="Q5535">
        <v>0.40657219999999999</v>
      </c>
      <c r="R5535">
        <v>-0.91186420000000001</v>
      </c>
      <c r="S5535">
        <v>0.1208801</v>
      </c>
      <c r="T5535">
        <v>-0.36054580000000003</v>
      </c>
      <c r="U5535">
        <v>-3.4440919999999999</v>
      </c>
      <c r="V5535">
        <v>-0.21225869999999999</v>
      </c>
      <c r="W5535">
        <v>0.41349599999999997</v>
      </c>
      <c r="X5535">
        <v>0.88541930000000002</v>
      </c>
      <c r="Y5535">
        <v>-0.2009145</v>
      </c>
      <c r="Z5535">
        <v>9.0525400000000006E-2</v>
      </c>
      <c r="AA5535">
        <v>0.97541710000000004</v>
      </c>
      <c r="AB5535">
        <v>37</v>
      </c>
      <c r="AC5535">
        <v>0.43070000000005798</v>
      </c>
      <c r="AD5535">
        <v>-1.1148329401037</v>
      </c>
      <c r="AE5535">
        <v>-10.2990499999999</v>
      </c>
      <c r="AF5535">
        <v>-2.1168354587363898</v>
      </c>
      <c r="AG5535">
        <v>-1.1148329401037</v>
      </c>
      <c r="AH5535">
        <v>9.9665529564097692</v>
      </c>
      <c r="AI5535">
        <v>96.244274660128795</v>
      </c>
      <c r="AJ5535">
        <v>101.99108498609699</v>
      </c>
      <c r="AK5535">
        <v>10.249684028135899</v>
      </c>
      <c r="AL5535">
        <v>65.575362357901199</v>
      </c>
      <c r="AM5535">
        <v>103.48092950695499</v>
      </c>
      <c r="AN5535">
        <v>1.00000001727709</v>
      </c>
    </row>
    <row r="5536" spans="1:40" x14ac:dyDescent="0.25">
      <c r="A5536" t="str">
        <f>"20190304164958425"</f>
        <v>20190304164958425</v>
      </c>
      <c r="B5536" t="str">
        <f>"1551689398420855"</f>
        <v>1551689398420855</v>
      </c>
      <c r="C5536" t="s">
        <v>40</v>
      </c>
      <c r="D5536">
        <v>4.8087869999999997</v>
      </c>
      <c r="E5536">
        <v>0.51624829999999999</v>
      </c>
      <c r="F5536" t="s">
        <v>42</v>
      </c>
      <c r="G5536">
        <v>-420.08210000000003</v>
      </c>
      <c r="H5536" s="1">
        <v>-8.4410200000000005E-7</v>
      </c>
      <c r="I5536">
        <v>91.505830000000003</v>
      </c>
      <c r="J5536">
        <v>-420.58909999999997</v>
      </c>
      <c r="K5536">
        <v>1.114949</v>
      </c>
      <c r="L5536">
        <v>101.48269999999999</v>
      </c>
      <c r="M5536">
        <v>-0.15965960000000001</v>
      </c>
      <c r="N5536">
        <v>-1.0357099999999999E-2</v>
      </c>
      <c r="O5536">
        <v>-0.98711789999999999</v>
      </c>
      <c r="P5536">
        <v>6.3884200000000002E-2</v>
      </c>
      <c r="Q5536">
        <v>0.40563729999999998</v>
      </c>
      <c r="R5536">
        <v>-0.91179880000000002</v>
      </c>
      <c r="S5536">
        <v>0.13757320000000001</v>
      </c>
      <c r="T5536">
        <v>-0.3646585</v>
      </c>
      <c r="U5536">
        <v>-3.4440309999999998</v>
      </c>
      <c r="V5536">
        <v>-0.2132086</v>
      </c>
      <c r="W5536">
        <v>0.41250799999999999</v>
      </c>
      <c r="X5536">
        <v>0.88565179999999999</v>
      </c>
      <c r="Y5536">
        <v>-0.19864270000000001</v>
      </c>
      <c r="Z5536">
        <v>9.1839829999999997E-2</v>
      </c>
      <c r="AA5536">
        <v>0.97575940000000005</v>
      </c>
      <c r="AB5536">
        <v>37</v>
      </c>
      <c r="AC5536">
        <v>0.50699999999994805</v>
      </c>
      <c r="AD5536">
        <v>-1.114949844102</v>
      </c>
      <c r="AE5536">
        <v>-9.9768699999999892</v>
      </c>
      <c r="AF5536">
        <v>-2.0677269283358202</v>
      </c>
      <c r="AG5536">
        <v>-1.114949844102</v>
      </c>
      <c r="AH5536">
        <v>9.6477436976382496</v>
      </c>
      <c r="AI5536">
        <v>96.447059943452601</v>
      </c>
      <c r="AJ5536">
        <v>102.096762996302</v>
      </c>
      <c r="AK5536">
        <v>9.9296307212477402</v>
      </c>
      <c r="AL5536">
        <v>65.637517177234201</v>
      </c>
      <c r="AM5536">
        <v>103.535619698196</v>
      </c>
      <c r="AN5536">
        <v>0.99999993401059695</v>
      </c>
    </row>
    <row r="5537" spans="1:40" x14ac:dyDescent="0.25">
      <c r="A5537" t="str">
        <f>"20190304164958448"</f>
        <v>20190304164958448</v>
      </c>
      <c r="B5537" t="str">
        <f>"1551689398441350"</f>
        <v>1551689398441350</v>
      </c>
      <c r="C5537" t="s">
        <v>40</v>
      </c>
      <c r="D5537">
        <v>4.8289609999999996</v>
      </c>
      <c r="E5537">
        <v>0.5161289</v>
      </c>
      <c r="F5537" t="s">
        <v>42</v>
      </c>
      <c r="G5537">
        <v>-420.06799999999998</v>
      </c>
      <c r="H5537" s="1">
        <v>-6.739131E-7</v>
      </c>
      <c r="I5537">
        <v>91.117819999999995</v>
      </c>
      <c r="J5537">
        <v>-420.64600000000002</v>
      </c>
      <c r="K5537">
        <v>1.1150199999999999</v>
      </c>
      <c r="L5537">
        <v>101.1046</v>
      </c>
      <c r="M5537">
        <v>-0.15481310000000001</v>
      </c>
      <c r="N5537">
        <v>-1.0370519999999999E-2</v>
      </c>
      <c r="O5537">
        <v>-0.98788949999999998</v>
      </c>
      <c r="P5537">
        <v>6.8459069999999997E-2</v>
      </c>
      <c r="Q5537">
        <v>0.4052538</v>
      </c>
      <c r="R5537">
        <v>-0.91163740000000004</v>
      </c>
      <c r="S5537">
        <v>0.1730652</v>
      </c>
      <c r="T5537">
        <v>-0.37034420000000001</v>
      </c>
      <c r="U5537">
        <v>-3.4428100000000001</v>
      </c>
      <c r="V5537">
        <v>-0.21339659999999999</v>
      </c>
      <c r="W5537">
        <v>0.41210140000000001</v>
      </c>
      <c r="X5537">
        <v>0.88579580000000002</v>
      </c>
      <c r="Y5537">
        <v>-0.2038692</v>
      </c>
      <c r="Z5537">
        <v>9.3474199999999993E-2</v>
      </c>
      <c r="AA5537">
        <v>0.97452550000000004</v>
      </c>
      <c r="AB5537">
        <v>37</v>
      </c>
      <c r="AC5537">
        <v>0.57799999999991702</v>
      </c>
      <c r="AD5537">
        <v>-1.1150206739130999</v>
      </c>
      <c r="AE5537">
        <v>-9.9867800000000102</v>
      </c>
      <c r="AF5537">
        <v>-2.0912166863479098</v>
      </c>
      <c r="AG5537">
        <v>-1.1150206739130999</v>
      </c>
      <c r="AH5537">
        <v>9.6568997493769793</v>
      </c>
      <c r="AI5537">
        <v>96.438473574178005</v>
      </c>
      <c r="AJ5537">
        <v>102.218823013039</v>
      </c>
      <c r="AK5537">
        <v>9.9434486523555208</v>
      </c>
      <c r="AL5537">
        <v>65.663088348874894</v>
      </c>
      <c r="AM5537">
        <v>103.54499409817799</v>
      </c>
      <c r="AN5537">
        <v>0.99999993603557702</v>
      </c>
    </row>
    <row r="5538" spans="1:40" x14ac:dyDescent="0.25">
      <c r="A5538" t="str">
        <f>"20190304164958470"</f>
        <v>20190304164958470</v>
      </c>
      <c r="B5538" t="str">
        <f>"1551689398460875"</f>
        <v>1551689398460875</v>
      </c>
      <c r="C5538" t="s">
        <v>40</v>
      </c>
      <c r="D5538">
        <v>4.8317949999999996</v>
      </c>
      <c r="E5538">
        <v>0.51594329999999999</v>
      </c>
      <c r="F5538" t="s">
        <v>42</v>
      </c>
      <c r="G5538">
        <v>-420.06740000000002</v>
      </c>
      <c r="H5538" s="1">
        <v>-5.464963E-7</v>
      </c>
      <c r="I5538">
        <v>90.821209999999994</v>
      </c>
      <c r="J5538">
        <v>-420.70010000000002</v>
      </c>
      <c r="K5538">
        <v>1.1150659999999999</v>
      </c>
      <c r="L5538">
        <v>100.7333</v>
      </c>
      <c r="M5538">
        <v>-0.15004049999999999</v>
      </c>
      <c r="N5538">
        <v>-1.038261E-2</v>
      </c>
      <c r="O5538">
        <v>-0.98862530000000004</v>
      </c>
      <c r="P5538">
        <v>7.1710780000000002E-2</v>
      </c>
      <c r="Q5538">
        <v>0.4045144</v>
      </c>
      <c r="R5538">
        <v>-0.91171590000000002</v>
      </c>
      <c r="S5538">
        <v>0.19366459999999999</v>
      </c>
      <c r="T5538">
        <v>-0.37322680000000003</v>
      </c>
      <c r="U5538">
        <v>-3.4421390000000001</v>
      </c>
      <c r="V5538">
        <v>-0.2123679</v>
      </c>
      <c r="W5538">
        <v>0.41136349999999999</v>
      </c>
      <c r="X5538">
        <v>0.88638589999999995</v>
      </c>
      <c r="Y5538">
        <v>-0.20496020000000001</v>
      </c>
      <c r="Z5538">
        <v>9.4368480000000005E-2</v>
      </c>
      <c r="AA5538">
        <v>0.97421040000000003</v>
      </c>
      <c r="AB5538">
        <v>38</v>
      </c>
      <c r="AC5538">
        <v>0.63269999999999904</v>
      </c>
      <c r="AD5538">
        <v>-1.1150665464963001</v>
      </c>
      <c r="AE5538">
        <v>-9.9120899999999992</v>
      </c>
      <c r="AF5538">
        <v>-2.0865336433333801</v>
      </c>
      <c r="AG5538">
        <v>-1.1150665464963001</v>
      </c>
      <c r="AH5538">
        <v>9.5841381603562095</v>
      </c>
      <c r="AI5538">
        <v>96.485662414430706</v>
      </c>
      <c r="AJ5538">
        <v>102.282042532894</v>
      </c>
      <c r="AK5538">
        <v>9.8718134263504709</v>
      </c>
      <c r="AL5538">
        <v>65.709483670329803</v>
      </c>
      <c r="AM5538">
        <v>103.473440014754</v>
      </c>
      <c r="AN5538">
        <v>1.0000000089007299</v>
      </c>
    </row>
    <row r="5539" spans="1:40" x14ac:dyDescent="0.25">
      <c r="A5539" t="str">
        <f>"20190304164958492"</f>
        <v>20190304164958492</v>
      </c>
      <c r="B5539" t="str">
        <f>"1551689398481367"</f>
        <v>1551689398481367</v>
      </c>
      <c r="C5539" t="s">
        <v>40</v>
      </c>
      <c r="D5539">
        <v>4.8590339999999896</v>
      </c>
      <c r="E5539">
        <v>0.51593020000000001</v>
      </c>
      <c r="F5539" t="s">
        <v>42</v>
      </c>
      <c r="G5539">
        <v>-420.08139999999997</v>
      </c>
      <c r="H5539" s="1">
        <v>-4.2753309999999999E-7</v>
      </c>
      <c r="I5539">
        <v>90.53519</v>
      </c>
      <c r="J5539">
        <v>-420.75029999999998</v>
      </c>
      <c r="K5539">
        <v>1.11511</v>
      </c>
      <c r="L5539">
        <v>100.37649999999999</v>
      </c>
      <c r="M5539">
        <v>-0.1454512</v>
      </c>
      <c r="N5539">
        <v>-1.039343E-2</v>
      </c>
      <c r="O5539">
        <v>-0.98931100000000005</v>
      </c>
      <c r="P5539">
        <v>7.3210689999999995E-2</v>
      </c>
      <c r="Q5539">
        <v>0.40375430000000001</v>
      </c>
      <c r="R5539">
        <v>-0.91193389999999996</v>
      </c>
      <c r="S5539">
        <v>0.20874019999999999</v>
      </c>
      <c r="T5539">
        <v>-0.3762414</v>
      </c>
      <c r="U5539">
        <v>-3.4410099999999999</v>
      </c>
      <c r="V5539">
        <v>-0.20978179999999999</v>
      </c>
      <c r="W5539">
        <v>0.41063149999999998</v>
      </c>
      <c r="X5539">
        <v>0.88734059999999904</v>
      </c>
      <c r="Y5539">
        <v>-0.204684</v>
      </c>
      <c r="Z5539">
        <v>9.5328250000000003E-2</v>
      </c>
      <c r="AA5539">
        <v>0.97417500000000001</v>
      </c>
      <c r="AB5539">
        <v>38</v>
      </c>
      <c r="AC5539">
        <v>0.66890000000000704</v>
      </c>
      <c r="AD5539">
        <v>-1.1151104275331001</v>
      </c>
      <c r="AE5539">
        <v>-9.8413099999999893</v>
      </c>
      <c r="AF5539">
        <v>-2.06687864793036</v>
      </c>
      <c r="AG5539">
        <v>-1.1151104275331001</v>
      </c>
      <c r="AH5539">
        <v>9.5177074269002802</v>
      </c>
      <c r="AI5539">
        <v>96.531528848866103</v>
      </c>
      <c r="AJ5539">
        <v>102.252194883399</v>
      </c>
      <c r="AK5539">
        <v>9.8031736328056702</v>
      </c>
      <c r="AL5539">
        <v>65.755488831552597</v>
      </c>
      <c r="AM5539">
        <v>103.30142917670899</v>
      </c>
      <c r="AN5539">
        <v>0.99999998640592402</v>
      </c>
    </row>
    <row r="5540" spans="1:40" x14ac:dyDescent="0.25">
      <c r="A5540" t="str">
        <f>"20190304164958515"</f>
        <v>20190304164958515</v>
      </c>
      <c r="B5540" t="str">
        <f>"1551689398511622"</f>
        <v>1551689398511622</v>
      </c>
      <c r="C5540" t="s">
        <v>40</v>
      </c>
      <c r="D5540">
        <v>4.8089000000000004</v>
      </c>
      <c r="E5540">
        <v>0.51594259999999903</v>
      </c>
      <c r="F5540" t="s">
        <v>42</v>
      </c>
      <c r="G5540">
        <v>-420.12200000000001</v>
      </c>
      <c r="H5540" s="1">
        <v>-3.3568749999999999E-7</v>
      </c>
      <c r="I5540">
        <v>90.295940000000002</v>
      </c>
      <c r="J5540">
        <v>-420.80239999999998</v>
      </c>
      <c r="K5540">
        <v>1.1151450000000001</v>
      </c>
      <c r="L5540">
        <v>99.993499999999997</v>
      </c>
      <c r="M5540">
        <v>-0.14053009999999999</v>
      </c>
      <c r="N5540">
        <v>-1.040787E-2</v>
      </c>
      <c r="O5540">
        <v>-0.99002179999999995</v>
      </c>
      <c r="P5540">
        <v>7.3997530000000006E-2</v>
      </c>
      <c r="Q5540">
        <v>0.40387640000000002</v>
      </c>
      <c r="R5540">
        <v>-0.91181610000000002</v>
      </c>
      <c r="S5540">
        <v>0.21447749999999999</v>
      </c>
      <c r="T5540">
        <v>-0.3806465</v>
      </c>
      <c r="U5540">
        <v>-3.4410400000000001</v>
      </c>
      <c r="V5540">
        <v>-0.20614669999999999</v>
      </c>
      <c r="W5540">
        <v>0.410798</v>
      </c>
      <c r="X5540">
        <v>0.88811509999999905</v>
      </c>
      <c r="Y5540">
        <v>-0.20142660000000001</v>
      </c>
      <c r="Z5540">
        <v>9.6686289999999994E-2</v>
      </c>
      <c r="AA5540">
        <v>0.97472000000000003</v>
      </c>
      <c r="AB5540">
        <v>38</v>
      </c>
      <c r="AC5540">
        <v>0.68040000000001999</v>
      </c>
      <c r="AD5540">
        <v>-1.1151453356874901</v>
      </c>
      <c r="AE5540">
        <v>-9.6975599999999904</v>
      </c>
      <c r="AF5540">
        <v>-2.0100705635364999</v>
      </c>
      <c r="AG5540">
        <v>-1.1151453356874901</v>
      </c>
      <c r="AH5540">
        <v>9.3822371796700299</v>
      </c>
      <c r="AI5540">
        <v>96.629162821324101</v>
      </c>
      <c r="AJ5540">
        <v>102.09236999517999</v>
      </c>
      <c r="AK5540">
        <v>9.6597260460990402</v>
      </c>
      <c r="AL5540">
        <v>65.745024798932803</v>
      </c>
      <c r="AM5540">
        <v>103.06791748552899</v>
      </c>
      <c r="AN5540">
        <v>0.99999994478644805</v>
      </c>
    </row>
    <row r="5541" spans="1:40" x14ac:dyDescent="0.25">
      <c r="A5541" t="str">
        <f>"20190304164958538"</f>
        <v>20190304164958538</v>
      </c>
      <c r="B5541" t="str">
        <f>"1551689398531143"</f>
        <v>1551689398531143</v>
      </c>
      <c r="C5541" t="s">
        <v>40</v>
      </c>
      <c r="D5541">
        <v>4.8126870000000004</v>
      </c>
      <c r="E5541">
        <v>0.51599170000000005</v>
      </c>
      <c r="F5541" t="s">
        <v>42</v>
      </c>
      <c r="G5541">
        <v>-420.1748</v>
      </c>
      <c r="H5541" s="1">
        <v>-2.0080460000000001E-7</v>
      </c>
      <c r="I5541">
        <v>89.948779999999999</v>
      </c>
      <c r="J5541">
        <v>-420.85230000000001</v>
      </c>
      <c r="K5541">
        <v>1.1151660000000001</v>
      </c>
      <c r="L5541">
        <v>99.611540000000005</v>
      </c>
      <c r="M5541">
        <v>-0.1356415</v>
      </c>
      <c r="N5541">
        <v>-1.042591E-2</v>
      </c>
      <c r="O5541">
        <v>-0.99070320000000001</v>
      </c>
      <c r="P5541">
        <v>7.5386670000000003E-2</v>
      </c>
      <c r="Q5541">
        <v>0.40380050000000001</v>
      </c>
      <c r="R5541">
        <v>-0.91173599999999999</v>
      </c>
      <c r="S5541">
        <v>0.21505740000000001</v>
      </c>
      <c r="T5541">
        <v>-0.3821156</v>
      </c>
      <c r="U5541">
        <v>-3.4419249999999999</v>
      </c>
      <c r="V5541">
        <v>-0.20312769999999999</v>
      </c>
      <c r="W5541">
        <v>0.41076889999999999</v>
      </c>
      <c r="X5541">
        <v>0.88882399999999995</v>
      </c>
      <c r="Y5541">
        <v>-0.19673769999999999</v>
      </c>
      <c r="Z5541">
        <v>9.7215940000000001E-2</v>
      </c>
      <c r="AA5541">
        <v>0.97562459999999995</v>
      </c>
      <c r="AB5541">
        <v>38</v>
      </c>
      <c r="AC5541">
        <v>0.67750000000000898</v>
      </c>
      <c r="AD5541">
        <v>-1.1151662008045999</v>
      </c>
      <c r="AE5541">
        <v>-9.6627600000000005</v>
      </c>
      <c r="AF5541">
        <v>-1.9560547036554501</v>
      </c>
      <c r="AG5541">
        <v>-1.1151662008045999</v>
      </c>
      <c r="AH5541">
        <v>9.3575201853139394</v>
      </c>
      <c r="AI5541">
        <v>96.653590716695902</v>
      </c>
      <c r="AJ5541">
        <v>101.806845849431</v>
      </c>
      <c r="AK5541">
        <v>9.6246002346937694</v>
      </c>
      <c r="AL5541">
        <v>65.746855653399393</v>
      </c>
      <c r="AM5541">
        <v>102.873036789514</v>
      </c>
      <c r="AN5541">
        <v>1.0000000273452401</v>
      </c>
    </row>
    <row r="5542" spans="1:40" x14ac:dyDescent="0.25">
      <c r="A5542" t="str">
        <f>"20190304164958559"</f>
        <v>20190304164958559</v>
      </c>
      <c r="B5542" t="str">
        <f>"1551689398551642"</f>
        <v>1551689398551642</v>
      </c>
      <c r="C5542" t="s">
        <v>40</v>
      </c>
      <c r="D5542">
        <v>4.8343790000000002</v>
      </c>
      <c r="E5542">
        <v>0.51595119999999906</v>
      </c>
      <c r="F5542" t="s">
        <v>42</v>
      </c>
      <c r="G5542">
        <v>-420.21429999999998</v>
      </c>
      <c r="H5542" s="1">
        <v>-4.3327019999999997E-6</v>
      </c>
      <c r="I5542">
        <v>89.606930000000006</v>
      </c>
      <c r="J5542">
        <v>-420.89729999999997</v>
      </c>
      <c r="K5542">
        <v>1.1151759999999999</v>
      </c>
      <c r="L5542">
        <v>99.254239999999996</v>
      </c>
      <c r="M5542">
        <v>-0.13110069999999999</v>
      </c>
      <c r="N5542">
        <v>-1.0442979999999999E-2</v>
      </c>
      <c r="O5542">
        <v>-0.99131409999999998</v>
      </c>
      <c r="P5542">
        <v>7.7360810000000002E-2</v>
      </c>
      <c r="Q5542">
        <v>0.40574100000000002</v>
      </c>
      <c r="R5542">
        <v>-0.91070810000000002</v>
      </c>
      <c r="S5542">
        <v>0.21951290000000001</v>
      </c>
      <c r="T5542">
        <v>-0.38369009999999998</v>
      </c>
      <c r="U5542">
        <v>-3.4422299999999999</v>
      </c>
      <c r="V5542">
        <v>-0.20088729999999999</v>
      </c>
      <c r="W5542">
        <v>0.41274260000000002</v>
      </c>
      <c r="X5542">
        <v>0.88841870000000001</v>
      </c>
      <c r="Y5542">
        <v>-0.19349569999999999</v>
      </c>
      <c r="Z5542">
        <v>9.7761390000000004E-2</v>
      </c>
      <c r="AA5542">
        <v>0.97621829999999998</v>
      </c>
      <c r="AB5542">
        <v>38</v>
      </c>
      <c r="AC5542">
        <v>0.68299999999999195</v>
      </c>
      <c r="AD5542">
        <v>-1.115180332702</v>
      </c>
      <c r="AE5542">
        <v>-9.6473099999999903</v>
      </c>
      <c r="AF5542">
        <v>-1.91646200413808</v>
      </c>
      <c r="AG5542">
        <v>-1.115180332702</v>
      </c>
      <c r="AH5542">
        <v>9.3501731234453995</v>
      </c>
      <c r="AI5542">
        <v>96.664189114747799</v>
      </c>
      <c r="AJ5542">
        <v>101.583223905121</v>
      </c>
      <c r="AK5542">
        <v>9.6094844412253</v>
      </c>
      <c r="AL5542">
        <v>65.622761840044703</v>
      </c>
      <c r="AM5542">
        <v>102.741329153302</v>
      </c>
      <c r="AN5542">
        <v>0.99999997383286898</v>
      </c>
    </row>
    <row r="5543" spans="1:40" x14ac:dyDescent="0.25">
      <c r="A5543" t="str">
        <f>"20190304164958581"</f>
        <v>20190304164958581</v>
      </c>
      <c r="B5543" t="str">
        <f>"1551689398571159"</f>
        <v>1551689398571159</v>
      </c>
      <c r="C5543" t="s">
        <v>40</v>
      </c>
      <c r="D5543">
        <v>4.8251379999999999</v>
      </c>
      <c r="E5543">
        <v>0.51601869999999905</v>
      </c>
      <c r="F5543" t="s">
        <v>42</v>
      </c>
      <c r="G5543">
        <v>-420.23149999999998</v>
      </c>
      <c r="H5543" s="1">
        <v>-4.1203610000000004E-6</v>
      </c>
      <c r="I5543">
        <v>89.050190000000001</v>
      </c>
      <c r="J5543">
        <v>-420.94220000000001</v>
      </c>
      <c r="K5543">
        <v>1.115181</v>
      </c>
      <c r="L5543">
        <v>98.88364</v>
      </c>
      <c r="M5543">
        <v>-0.1264296</v>
      </c>
      <c r="N5543">
        <v>-1.0459329999999999E-2</v>
      </c>
      <c r="O5543">
        <v>-0.99192069999999999</v>
      </c>
      <c r="P5543">
        <v>8.0593970000000001E-2</v>
      </c>
      <c r="Q5543">
        <v>0.40763630000000001</v>
      </c>
      <c r="R5543">
        <v>-0.90958110000000003</v>
      </c>
      <c r="S5543">
        <v>0.2246399</v>
      </c>
      <c r="T5543">
        <v>-0.37624449999999998</v>
      </c>
      <c r="U5543">
        <v>-3.4426879999999902</v>
      </c>
      <c r="V5543">
        <v>-0.19976289999999999</v>
      </c>
      <c r="W5543">
        <v>0.4146609</v>
      </c>
      <c r="X5543">
        <v>0.88777879999999998</v>
      </c>
      <c r="Y5543">
        <v>-0.19033069999999999</v>
      </c>
      <c r="Z5543">
        <v>9.5782099999999995E-2</v>
      </c>
      <c r="AA5543">
        <v>0.97703640000000003</v>
      </c>
      <c r="AB5543">
        <v>38</v>
      </c>
      <c r="AC5543">
        <v>0.71070000000003097</v>
      </c>
      <c r="AD5543">
        <v>-1.1151851203609999</v>
      </c>
      <c r="AE5543">
        <v>-9.8334499999999991</v>
      </c>
      <c r="AF5543">
        <v>-1.9236908168856</v>
      </c>
      <c r="AG5543">
        <v>-1.1151851203609999</v>
      </c>
      <c r="AH5543">
        <v>9.5425837481161295</v>
      </c>
      <c r="AI5543">
        <v>96.535284510083201</v>
      </c>
      <c r="AJ5543">
        <v>101.397509903547</v>
      </c>
      <c r="AK5543">
        <v>9.7982206956903504</v>
      </c>
      <c r="AL5543">
        <v>65.502037432556605</v>
      </c>
      <c r="AM5543">
        <v>102.681161788932</v>
      </c>
      <c r="AN5543">
        <v>1.00000003796732</v>
      </c>
    </row>
    <row r="5544" spans="1:40" x14ac:dyDescent="0.25">
      <c r="A5544" t="str">
        <f>"20190304164958603"</f>
        <v>20190304164958603</v>
      </c>
      <c r="B5544" t="str">
        <f>"1551689398591655"</f>
        <v>1551689398591655</v>
      </c>
      <c r="C5544" t="s">
        <v>40</v>
      </c>
      <c r="D5544">
        <v>4.861415</v>
      </c>
      <c r="E5544">
        <v>0.51608559999999903</v>
      </c>
      <c r="F5544" t="s">
        <v>42</v>
      </c>
      <c r="G5544">
        <v>-420.23320000000001</v>
      </c>
      <c r="H5544" s="1">
        <v>-3.8925999999999998E-6</v>
      </c>
      <c r="I5544">
        <v>88.518230000000003</v>
      </c>
      <c r="J5544">
        <v>-420.9846</v>
      </c>
      <c r="K5544">
        <v>1.1151580000000001</v>
      </c>
      <c r="L5544">
        <v>98.520359999999997</v>
      </c>
      <c r="M5544">
        <v>-0.121917</v>
      </c>
      <c r="N5544">
        <v>-1.047505E-2</v>
      </c>
      <c r="O5544">
        <v>-0.99248519999999896</v>
      </c>
      <c r="P5544">
        <v>8.4390870000000007E-2</v>
      </c>
      <c r="Q5544">
        <v>0.4082036</v>
      </c>
      <c r="R5544">
        <v>-0.90898199999999996</v>
      </c>
      <c r="S5544">
        <v>0.23553470000000001</v>
      </c>
      <c r="T5544">
        <v>-0.37046459999999998</v>
      </c>
      <c r="U5544">
        <v>-3.44339</v>
      </c>
      <c r="V5544">
        <v>-0.1993817</v>
      </c>
      <c r="W5544">
        <v>0.41525659999999998</v>
      </c>
      <c r="X5544">
        <v>0.88758599999999999</v>
      </c>
      <c r="Y5544">
        <v>-0.1889439</v>
      </c>
      <c r="Z5544">
        <v>9.4223769999999998E-2</v>
      </c>
      <c r="AA5544">
        <v>0.97745689999999996</v>
      </c>
      <c r="AB5544">
        <v>38</v>
      </c>
      <c r="AC5544">
        <v>0.75139999999998897</v>
      </c>
      <c r="AD5544">
        <v>-1.1151618926</v>
      </c>
      <c r="AE5544">
        <v>-10.0021299999999</v>
      </c>
      <c r="AF5544">
        <v>-1.9412945767508101</v>
      </c>
      <c r="AG5544">
        <v>-1.1151618926</v>
      </c>
      <c r="AH5544">
        <v>9.7158003523661201</v>
      </c>
      <c r="AI5544">
        <v>96.421809224065498</v>
      </c>
      <c r="AJ5544">
        <v>101.29935406063601</v>
      </c>
      <c r="AK5544">
        <v>9.9704055668496707</v>
      </c>
      <c r="AL5544">
        <v>65.464523331987493</v>
      </c>
      <c r="AM5544">
        <v>102.660404099638</v>
      </c>
      <c r="AN5544">
        <v>1.0000000067672199</v>
      </c>
    </row>
    <row r="5545" spans="1:40" x14ac:dyDescent="0.25">
      <c r="A5545" t="str">
        <f>"20190304164958627"</f>
        <v>20190304164958627</v>
      </c>
      <c r="B5545" t="str">
        <f>"1551689398620934"</f>
        <v>1551689398620934</v>
      </c>
      <c r="C5545" t="s">
        <v>40</v>
      </c>
      <c r="D5545">
        <v>5.2614539999999996</v>
      </c>
      <c r="E5545">
        <v>0.51594479999999998</v>
      </c>
      <c r="F5545" t="s">
        <v>42</v>
      </c>
      <c r="G5545">
        <v>-420.23390000000001</v>
      </c>
      <c r="H5545" s="1">
        <v>-3.7274929999999999E-6</v>
      </c>
      <c r="I5545">
        <v>88.132890000000003</v>
      </c>
      <c r="J5545">
        <v>-421.02890000000002</v>
      </c>
      <c r="K5545">
        <v>1.115097</v>
      </c>
      <c r="L5545">
        <v>98.125699999999995</v>
      </c>
      <c r="M5545">
        <v>-0.1171266</v>
      </c>
      <c r="N5545">
        <v>-1.049395E-2</v>
      </c>
      <c r="O5545">
        <v>-0.99306170000000005</v>
      </c>
      <c r="P5545">
        <v>8.9510690000000004E-2</v>
      </c>
      <c r="Q5545">
        <v>0.40663090000000002</v>
      </c>
      <c r="R5545">
        <v>-0.90919729999999999</v>
      </c>
      <c r="S5545">
        <v>0.24884029999999999</v>
      </c>
      <c r="T5545">
        <v>-0.3696603</v>
      </c>
      <c r="U5545">
        <v>-3.443298</v>
      </c>
      <c r="V5545">
        <v>-0.2001115</v>
      </c>
      <c r="W5545">
        <v>0.41372439999999999</v>
      </c>
      <c r="X5545">
        <v>0.88813709999999901</v>
      </c>
      <c r="Y5545">
        <v>-0.1879683</v>
      </c>
      <c r="Z5545">
        <v>9.4070169999999995E-2</v>
      </c>
      <c r="AA5545">
        <v>0.97765979999999997</v>
      </c>
      <c r="AB5545">
        <v>38</v>
      </c>
      <c r="AC5545">
        <v>0.79500000000001503</v>
      </c>
      <c r="AD5545">
        <v>-1.115100727493</v>
      </c>
      <c r="AE5545">
        <v>-9.9928099999999898</v>
      </c>
      <c r="AF5545">
        <v>-1.9360586008149501</v>
      </c>
      <c r="AG5545">
        <v>-1.115100727493</v>
      </c>
      <c r="AH5545">
        <v>9.7107396308809601</v>
      </c>
      <c r="AI5545">
        <v>96.425310544506203</v>
      </c>
      <c r="AJ5545">
        <v>101.275381643969</v>
      </c>
      <c r="AK5545">
        <v>9.9644486408936395</v>
      </c>
      <c r="AL5545">
        <v>65.560988468978195</v>
      </c>
      <c r="AM5545">
        <v>102.697615440874</v>
      </c>
      <c r="AN5545">
        <v>0.99999999999200995</v>
      </c>
    </row>
    <row r="5546" spans="1:40" x14ac:dyDescent="0.25">
      <c r="A5546" t="str">
        <f>"20190304164958649"</f>
        <v>20190304164958649</v>
      </c>
      <c r="B5546" t="str">
        <f>"1551689398641430"</f>
        <v>1551689398641430</v>
      </c>
      <c r="C5546" t="s">
        <v>40</v>
      </c>
      <c r="D5546">
        <v>4.8186609999999996</v>
      </c>
      <c r="E5546">
        <v>0.51597510000000002</v>
      </c>
      <c r="F5546" t="s">
        <v>42</v>
      </c>
      <c r="G5546">
        <v>-420.22710000000001</v>
      </c>
      <c r="H5546" s="1">
        <v>-3.6137370000000002E-6</v>
      </c>
      <c r="I5546">
        <v>87.871989999999997</v>
      </c>
      <c r="J5546">
        <v>-421.06900000000002</v>
      </c>
      <c r="K5546">
        <v>1.114994</v>
      </c>
      <c r="L5546">
        <v>97.75412</v>
      </c>
      <c r="M5546">
        <v>-0.1127604</v>
      </c>
      <c r="N5546">
        <v>-1.051387E-2</v>
      </c>
      <c r="O5546">
        <v>-0.99356679999999997</v>
      </c>
      <c r="P5546">
        <v>9.4472780000000006E-2</v>
      </c>
      <c r="Q5546">
        <v>0.40435450000000001</v>
      </c>
      <c r="R5546">
        <v>-0.90971000000000002</v>
      </c>
      <c r="S5546">
        <v>0.26904299999999998</v>
      </c>
      <c r="T5546">
        <v>-0.37415310000000002</v>
      </c>
      <c r="U5546">
        <v>-3.4404599999999999</v>
      </c>
      <c r="V5546">
        <v>-0.20106160000000001</v>
      </c>
      <c r="W5546">
        <v>0.4115048</v>
      </c>
      <c r="X5546">
        <v>0.88895329999999995</v>
      </c>
      <c r="Y5546">
        <v>-0.1894052</v>
      </c>
      <c r="Z5546">
        <v>9.5435759999999994E-2</v>
      </c>
      <c r="AA5546">
        <v>0.97724999999999995</v>
      </c>
      <c r="AB5546">
        <v>38</v>
      </c>
      <c r="AC5546">
        <v>0.84190000000000897</v>
      </c>
      <c r="AD5546">
        <v>-1.1149976137369999</v>
      </c>
      <c r="AE5546">
        <v>-9.8821300000000001</v>
      </c>
      <c r="AF5546">
        <v>-1.92655487591824</v>
      </c>
      <c r="AG5546">
        <v>-1.1149976137369999</v>
      </c>
      <c r="AH5546">
        <v>9.6027908614921191</v>
      </c>
      <c r="AI5546">
        <v>96.494780201363994</v>
      </c>
      <c r="AJ5546">
        <v>101.34433197982599</v>
      </c>
      <c r="AK5546">
        <v>9.8574046126817798</v>
      </c>
      <c r="AL5546">
        <v>65.700600089710903</v>
      </c>
      <c r="AM5546">
        <v>102.744604556704</v>
      </c>
      <c r="AN5546">
        <v>0.999999968499244</v>
      </c>
    </row>
    <row r="5547" spans="1:40" x14ac:dyDescent="0.25">
      <c r="A5547" t="str">
        <f>"20190304164958670"</f>
        <v>20190304164958670</v>
      </c>
      <c r="B5547" t="str">
        <f>"1551689398660950"</f>
        <v>1551689398660950</v>
      </c>
      <c r="C5547" t="s">
        <v>40</v>
      </c>
      <c r="D5547">
        <v>4.8260249999999996</v>
      </c>
      <c r="E5547">
        <v>0.51603199999999905</v>
      </c>
      <c r="F5547" t="s">
        <v>42</v>
      </c>
      <c r="G5547">
        <v>-420.2371</v>
      </c>
      <c r="H5547" s="1">
        <v>-3.5590539999999999E-6</v>
      </c>
      <c r="I5547">
        <v>87.738299999999995</v>
      </c>
      <c r="J5547">
        <v>-421.10680000000002</v>
      </c>
      <c r="K5547">
        <v>1.1148670000000001</v>
      </c>
      <c r="L5547">
        <v>97.390169999999998</v>
      </c>
      <c r="M5547">
        <v>-0.1086613</v>
      </c>
      <c r="N5547">
        <v>-1.0537899999999999E-2</v>
      </c>
      <c r="O5547">
        <v>-0.99402299999999999</v>
      </c>
      <c r="P5547">
        <v>9.8450650000000001E-2</v>
      </c>
      <c r="Q5547">
        <v>0.40259879999999998</v>
      </c>
      <c r="R5547">
        <v>-0.91006670000000001</v>
      </c>
      <c r="S5547">
        <v>0.28558349999999999</v>
      </c>
      <c r="T5547">
        <v>-0.38275680000000001</v>
      </c>
      <c r="U5547">
        <v>-3.4382320000000002</v>
      </c>
      <c r="V5547">
        <v>-0.20122799999999999</v>
      </c>
      <c r="W5547">
        <v>0.40983439999999999</v>
      </c>
      <c r="X5547">
        <v>0.88968709999999995</v>
      </c>
      <c r="Y5547">
        <v>-0.19005230000000001</v>
      </c>
      <c r="Z5547">
        <v>9.7937350000000006E-2</v>
      </c>
      <c r="AA5547">
        <v>0.97687690000000005</v>
      </c>
      <c r="AB5547">
        <v>38</v>
      </c>
      <c r="AC5547">
        <v>0.86970000000002201</v>
      </c>
      <c r="AD5547">
        <v>-1.114870559054</v>
      </c>
      <c r="AE5547">
        <v>-9.6518700000000006</v>
      </c>
      <c r="AF5547">
        <v>-1.88840032910557</v>
      </c>
      <c r="AG5547">
        <v>-1.114870559054</v>
      </c>
      <c r="AH5547">
        <v>9.3761152438409603</v>
      </c>
      <c r="AI5547">
        <v>96.648661665797803</v>
      </c>
      <c r="AJ5547">
        <v>101.387338454511</v>
      </c>
      <c r="AK5547">
        <v>9.6291499745407592</v>
      </c>
      <c r="AL5547">
        <v>65.805568526832204</v>
      </c>
      <c r="AM5547">
        <v>102.74463094076199</v>
      </c>
      <c r="AN5547">
        <v>1.00000003965688</v>
      </c>
    </row>
    <row r="5548" spans="1:40" x14ac:dyDescent="0.25">
      <c r="A5548" t="str">
        <f>"20190304164958693"</f>
        <v>20190304164958693</v>
      </c>
      <c r="B5548" t="str">
        <f>"1551689398681447"</f>
        <v>1551689398681447</v>
      </c>
      <c r="C5548" t="s">
        <v>40</v>
      </c>
      <c r="D5548">
        <v>4.9065260000000004</v>
      </c>
      <c r="E5548">
        <v>0.51610820000000002</v>
      </c>
      <c r="F5548" t="s">
        <v>42</v>
      </c>
      <c r="G5548">
        <v>-420.24709999999999</v>
      </c>
      <c r="H5548" s="1">
        <v>-3.4942739999999999E-6</v>
      </c>
      <c r="I5548">
        <v>87.581109999999995</v>
      </c>
      <c r="J5548">
        <v>-421.14409999999998</v>
      </c>
      <c r="K5548">
        <v>1.114719</v>
      </c>
      <c r="L5548">
        <v>97.017790000000005</v>
      </c>
      <c r="M5548">
        <v>-0.104688</v>
      </c>
      <c r="N5548">
        <v>-1.056898E-2</v>
      </c>
      <c r="O5548">
        <v>-0.99444909999999997</v>
      </c>
      <c r="P5548">
        <v>0.1011978</v>
      </c>
      <c r="Q5548">
        <v>0.40267540000000002</v>
      </c>
      <c r="R5548">
        <v>-0.90973159999999997</v>
      </c>
      <c r="S5548">
        <v>0.30120849999999999</v>
      </c>
      <c r="T5548">
        <v>-0.39060309999999998</v>
      </c>
      <c r="U5548">
        <v>-3.4366759999999998</v>
      </c>
      <c r="V5548">
        <v>-0.2001897</v>
      </c>
      <c r="W5548">
        <v>0.41002929999999999</v>
      </c>
      <c r="X5548">
        <v>0.8898315</v>
      </c>
      <c r="Y5548">
        <v>-0.1905522</v>
      </c>
      <c r="Z5548">
        <v>0.1001983</v>
      </c>
      <c r="AA5548">
        <v>0.97655009999999998</v>
      </c>
      <c r="AB5548">
        <v>38</v>
      </c>
      <c r="AC5548">
        <v>0.89699999999999103</v>
      </c>
      <c r="AD5548">
        <v>-1.1147224942739999</v>
      </c>
      <c r="AE5548">
        <v>-9.4366800000000097</v>
      </c>
      <c r="AF5548">
        <v>-1.8543885139340599</v>
      </c>
      <c r="AG5548">
        <v>-1.1147224942739999</v>
      </c>
      <c r="AH5548">
        <v>9.1641795356258697</v>
      </c>
      <c r="AI5548">
        <v>96.798866640310706</v>
      </c>
      <c r="AJ5548">
        <v>101.439441010121</v>
      </c>
      <c r="AK5548">
        <v>9.4161324099141108</v>
      </c>
      <c r="AL5548">
        <v>65.793325136370001</v>
      </c>
      <c r="AM5548">
        <v>102.679011425623</v>
      </c>
      <c r="AN5548">
        <v>1.0000000206184101</v>
      </c>
    </row>
    <row r="5549" spans="1:40" x14ac:dyDescent="0.25">
      <c r="A5549" t="str">
        <f>"20190304164958716"</f>
        <v>20190304164958716</v>
      </c>
      <c r="B5549" t="str">
        <f>"1551689398711702"</f>
        <v>1551689398711702</v>
      </c>
      <c r="C5549" t="s">
        <v>40</v>
      </c>
      <c r="D5549">
        <v>4.86578</v>
      </c>
      <c r="E5549">
        <v>0.5407267</v>
      </c>
      <c r="F5549" t="s">
        <v>42</v>
      </c>
      <c r="G5549">
        <v>-420.25099999999998</v>
      </c>
      <c r="H5549" s="1">
        <v>-3.3416030000000002E-6</v>
      </c>
      <c r="I5549">
        <v>87.222790000000003</v>
      </c>
      <c r="J5549">
        <v>-421.18130000000002</v>
      </c>
      <c r="K5549">
        <v>1.1145229999999999</v>
      </c>
      <c r="L5549">
        <v>96.632999999999996</v>
      </c>
      <c r="M5549">
        <v>-0.10084949999999999</v>
      </c>
      <c r="N5549">
        <v>-1.0608940000000001E-2</v>
      </c>
      <c r="O5549">
        <v>-0.99484519999999999</v>
      </c>
      <c r="P5549">
        <v>0.1029385</v>
      </c>
      <c r="Q5549">
        <v>0.4033485</v>
      </c>
      <c r="R5549">
        <v>-0.90923770000000004</v>
      </c>
      <c r="S5549">
        <v>0.3132935</v>
      </c>
      <c r="T5549">
        <v>-0.3910246</v>
      </c>
      <c r="U5549">
        <v>-3.4359130000000002</v>
      </c>
      <c r="V5549">
        <v>-0.19822709999999999</v>
      </c>
      <c r="W5549">
        <v>0.4108541</v>
      </c>
      <c r="X5549">
        <v>0.88989039999999997</v>
      </c>
      <c r="Y5549">
        <v>-0.1901891</v>
      </c>
      <c r="Z5549">
        <v>0.10035470000000001</v>
      </c>
      <c r="AA5549">
        <v>0.9766049</v>
      </c>
      <c r="AB5549">
        <v>38</v>
      </c>
      <c r="AC5549">
        <v>0.93030000000004498</v>
      </c>
      <c r="AD5549">
        <v>-1.114526341603</v>
      </c>
      <c r="AE5549">
        <v>-9.4102099999999904</v>
      </c>
      <c r="AF5549">
        <v>-1.8489397494998701</v>
      </c>
      <c r="AG5549">
        <v>-1.114526341603</v>
      </c>
      <c r="AH5549">
        <v>9.1414123392677897</v>
      </c>
      <c r="AI5549">
        <v>96.814573276131796</v>
      </c>
      <c r="AJ5549">
        <v>101.434372414043</v>
      </c>
      <c r="AK5549">
        <v>9.3928785108679609</v>
      </c>
      <c r="AL5549">
        <v>65.741500656280095</v>
      </c>
      <c r="AM5549">
        <v>102.557867081278</v>
      </c>
      <c r="AN5549">
        <v>0.99999999933669004</v>
      </c>
    </row>
    <row r="5550" spans="1:40" x14ac:dyDescent="0.25">
      <c r="A5550" t="str">
        <f>"20190304164958740"</f>
        <v>20190304164958740</v>
      </c>
      <c r="B5550" t="str">
        <f>"1551689398731222"</f>
        <v>1551689398731222</v>
      </c>
      <c r="C5550" t="s">
        <v>40</v>
      </c>
      <c r="D5550">
        <v>4.7459790000000002</v>
      </c>
      <c r="E5550">
        <v>0.54247529999999999</v>
      </c>
      <c r="F5550" t="s">
        <v>42</v>
      </c>
      <c r="G5550">
        <v>-420.85469999999998</v>
      </c>
      <c r="H5550" s="1">
        <v>-3.8757010000000002E-6</v>
      </c>
      <c r="I5550">
        <v>88.093329999999995</v>
      </c>
      <c r="J5550">
        <v>-421.21820000000002</v>
      </c>
      <c r="K5550">
        <v>1.114301</v>
      </c>
      <c r="L5550">
        <v>96.23724</v>
      </c>
      <c r="M5550">
        <v>-9.7223210000000004E-2</v>
      </c>
      <c r="N5550">
        <v>-1.066313E-2</v>
      </c>
      <c r="O5550">
        <v>-0.99520549999999997</v>
      </c>
      <c r="P5550">
        <v>0.1042746</v>
      </c>
      <c r="Q5550">
        <v>0.40314</v>
      </c>
      <c r="R5550">
        <v>-0.90917840000000005</v>
      </c>
      <c r="S5550">
        <v>0.13333130000000001</v>
      </c>
      <c r="T5550">
        <v>-0.45499489999999998</v>
      </c>
      <c r="U5550">
        <v>-3.486237</v>
      </c>
      <c r="V5550">
        <v>-0.1960607</v>
      </c>
      <c r="W5550">
        <v>0.41082760000000001</v>
      </c>
      <c r="X5550">
        <v>0.89038240000000002</v>
      </c>
      <c r="Y5550">
        <v>-0.13482369999999999</v>
      </c>
      <c r="Z5550">
        <v>0.1172585</v>
      </c>
      <c r="AA5550">
        <v>0.98390699999999998</v>
      </c>
      <c r="AB5550">
        <v>38</v>
      </c>
      <c r="AC5550">
        <v>0.36350000000004401</v>
      </c>
      <c r="AD5550">
        <v>-1.1143048757009999</v>
      </c>
      <c r="AE5550">
        <v>-8.1439099999999893</v>
      </c>
      <c r="AF5550">
        <v>-1.13244092085967</v>
      </c>
      <c r="AG5550">
        <v>-1.1143048757009999</v>
      </c>
      <c r="AH5550">
        <v>7.9219653212378898</v>
      </c>
      <c r="AI5550">
        <v>97.927159530286104</v>
      </c>
      <c r="AJ5550">
        <v>98.135287696959296</v>
      </c>
      <c r="AK5550">
        <v>8.0797049665284302</v>
      </c>
      <c r="AL5550">
        <v>65.743165190915306</v>
      </c>
      <c r="AM5550">
        <v>102.41825587022601</v>
      </c>
      <c r="AN5550">
        <v>0.99999996661800405</v>
      </c>
    </row>
    <row r="5551" spans="1:40" x14ac:dyDescent="0.25">
      <c r="A5551" t="str">
        <f>"20190304164958759"</f>
        <v>20190304164958759</v>
      </c>
      <c r="B5551" t="str">
        <f>"1551689398751723"</f>
        <v>1551689398751723</v>
      </c>
      <c r="C5551" t="s">
        <v>40</v>
      </c>
      <c r="D5551">
        <v>4.8276469999999998</v>
      </c>
      <c r="E5551">
        <v>0.54369469999999998</v>
      </c>
      <c r="F5551" t="s">
        <v>42</v>
      </c>
      <c r="G5551">
        <v>-420.89940000000001</v>
      </c>
      <c r="H5551" s="1">
        <v>-3.5803549999999999E-6</v>
      </c>
      <c r="I5551">
        <v>87.377179999999996</v>
      </c>
      <c r="J5551">
        <v>-421.24919999999997</v>
      </c>
      <c r="K5551">
        <v>1.114125</v>
      </c>
      <c r="L5551">
        <v>95.894649999999999</v>
      </c>
      <c r="M5551">
        <v>-9.4288360000000002E-2</v>
      </c>
      <c r="N5551">
        <v>-1.0717000000000001E-2</v>
      </c>
      <c r="O5551">
        <v>-0.99548760000000003</v>
      </c>
      <c r="P5551">
        <v>0.1048317</v>
      </c>
      <c r="Q5551">
        <v>0.402646</v>
      </c>
      <c r="R5551">
        <v>-0.90933319999999995</v>
      </c>
      <c r="S5551">
        <v>0.12521360000000001</v>
      </c>
      <c r="T5551">
        <v>-0.43758649999999999</v>
      </c>
      <c r="U5551">
        <v>-3.4793400000000001</v>
      </c>
      <c r="V5551">
        <v>-0.19379550000000001</v>
      </c>
      <c r="W5551">
        <v>0.41049849999999999</v>
      </c>
      <c r="X5551">
        <v>0.89102990000000004</v>
      </c>
      <c r="Y5551">
        <v>-0.12970880000000001</v>
      </c>
      <c r="Z5551">
        <v>0.1127264</v>
      </c>
      <c r="AA5551">
        <v>0.98512359999999999</v>
      </c>
      <c r="AB5551">
        <v>38</v>
      </c>
      <c r="AC5551">
        <v>0.34979999999995898</v>
      </c>
      <c r="AD5551">
        <v>-1.1141285803550001</v>
      </c>
      <c r="AE5551">
        <v>-8.5174699999999799</v>
      </c>
      <c r="AF5551">
        <v>-1.1320488386438701</v>
      </c>
      <c r="AG5551">
        <v>-1.1141285803550001</v>
      </c>
      <c r="AH5551">
        <v>8.3046821126491004</v>
      </c>
      <c r="AI5551">
        <v>97.571787863775697</v>
      </c>
      <c r="AJ5551">
        <v>97.7624037742372</v>
      </c>
      <c r="AK5551">
        <v>8.45520916706338</v>
      </c>
      <c r="AL5551">
        <v>65.763846323959399</v>
      </c>
      <c r="AM5551">
        <v>102.27050526389</v>
      </c>
      <c r="AN5551">
        <v>0.99999999850825505</v>
      </c>
    </row>
    <row r="5552" spans="1:40" x14ac:dyDescent="0.25">
      <c r="A5552" t="str">
        <f>"20190304164958782"</f>
        <v>20190304164958782</v>
      </c>
      <c r="B5552" t="str">
        <f>"1551689398771238"</f>
        <v>1551689398771238</v>
      </c>
      <c r="C5552" t="s">
        <v>40</v>
      </c>
      <c r="D5552">
        <v>4.7926140000000004</v>
      </c>
      <c r="E5552">
        <v>0.54447029999999996</v>
      </c>
      <c r="F5552" t="s">
        <v>42</v>
      </c>
      <c r="G5552">
        <v>-420.95179999999999</v>
      </c>
      <c r="H5552" s="1">
        <v>-3.5121869999999999E-6</v>
      </c>
      <c r="I5552">
        <v>87.185789999999997</v>
      </c>
      <c r="J5552">
        <v>-421.28269999999998</v>
      </c>
      <c r="K5552">
        <v>1.113936</v>
      </c>
      <c r="L5552">
        <v>95.51361</v>
      </c>
      <c r="M5552">
        <v>-9.1274040000000001E-2</v>
      </c>
      <c r="N5552">
        <v>-1.078905E-2</v>
      </c>
      <c r="O5552">
        <v>-0.99576739999999997</v>
      </c>
      <c r="P5552">
        <v>0.105634199999999</v>
      </c>
      <c r="Q5552">
        <v>0.4019373</v>
      </c>
      <c r="R5552">
        <v>-0.90955350000000001</v>
      </c>
      <c r="S5552">
        <v>0.11895749999999999</v>
      </c>
      <c r="T5552">
        <v>-0.44553900000000002</v>
      </c>
      <c r="U5552">
        <v>-3.482666</v>
      </c>
      <c r="V5552">
        <v>-0.19169020000000001</v>
      </c>
      <c r="W5552">
        <v>0.40997620000000001</v>
      </c>
      <c r="X5552">
        <v>0.89172549999999995</v>
      </c>
      <c r="Y5552">
        <v>-0.1248976</v>
      </c>
      <c r="Z5552">
        <v>0.114844</v>
      </c>
      <c r="AA5552">
        <v>0.98550059999999995</v>
      </c>
      <c r="AB5552">
        <v>38</v>
      </c>
      <c r="AC5552">
        <v>0.33089999999998498</v>
      </c>
      <c r="AD5552">
        <v>-1.1139395121869999</v>
      </c>
      <c r="AE5552">
        <v>-8.3278199999999991</v>
      </c>
      <c r="AF5552">
        <v>-1.0705523904745899</v>
      </c>
      <c r="AG5552">
        <v>-1.1139395121869999</v>
      </c>
      <c r="AH5552">
        <v>8.1178338430943899</v>
      </c>
      <c r="AI5552">
        <v>97.747150851673297</v>
      </c>
      <c r="AJ5552">
        <v>97.512621441089607</v>
      </c>
      <c r="AK5552">
        <v>8.26354463663451</v>
      </c>
      <c r="AL5552">
        <v>65.796660071270793</v>
      </c>
      <c r="AM5552">
        <v>102.131989685259</v>
      </c>
      <c r="AN5552">
        <v>0.99999999234636405</v>
      </c>
    </row>
    <row r="5553" spans="1:40" x14ac:dyDescent="0.25">
      <c r="A5553" t="str">
        <f>"20190304164958804"</f>
        <v>20190304164958804</v>
      </c>
      <c r="B5553" t="str">
        <f>"1551689398801495"</f>
        <v>1551689398801495</v>
      </c>
      <c r="C5553" t="s">
        <v>40</v>
      </c>
      <c r="D5553">
        <v>4.7840879999999997</v>
      </c>
      <c r="E5553">
        <v>0.54527950000000003</v>
      </c>
      <c r="F5553" t="s">
        <v>42</v>
      </c>
      <c r="G5553">
        <v>-420.99459999999999</v>
      </c>
      <c r="H5553" s="1">
        <v>-3.4104489999999999E-6</v>
      </c>
      <c r="I5553">
        <v>86.922049999999999</v>
      </c>
      <c r="J5553">
        <v>-421.31450000000001</v>
      </c>
      <c r="K5553">
        <v>1.11375</v>
      </c>
      <c r="L5553">
        <v>95.139769999999999</v>
      </c>
      <c r="M5553">
        <v>-8.8571339999999998E-2</v>
      </c>
      <c r="N5553">
        <v>-1.0877990000000001E-2</v>
      </c>
      <c r="O5553">
        <v>-0.99601039999999996</v>
      </c>
      <c r="P5553">
        <v>0.10631980000000001</v>
      </c>
      <c r="Q5553">
        <v>0.40160810000000002</v>
      </c>
      <c r="R5553">
        <v>-0.90961919999999996</v>
      </c>
      <c r="S5553">
        <v>0.1168213</v>
      </c>
      <c r="T5553">
        <v>-0.45177070000000003</v>
      </c>
      <c r="U5553">
        <v>-3.4844059999999999</v>
      </c>
      <c r="V5553">
        <v>-0.18973780000000001</v>
      </c>
      <c r="W5553">
        <v>0.40984229999999999</v>
      </c>
      <c r="X5553">
        <v>0.89220449999999996</v>
      </c>
      <c r="Y5553">
        <v>-0.12157850000000001</v>
      </c>
      <c r="Z5553">
        <v>0.1164984</v>
      </c>
      <c r="AA5553">
        <v>0.98572150000000003</v>
      </c>
      <c r="AB5553">
        <v>38</v>
      </c>
      <c r="AC5553">
        <v>0.319900000000018</v>
      </c>
      <c r="AD5553">
        <v>-1.1137534104489999</v>
      </c>
      <c r="AE5553">
        <v>-8.2177199999999999</v>
      </c>
      <c r="AF5553">
        <v>-1.0276914936603601</v>
      </c>
      <c r="AG5553">
        <v>-1.1137534104489999</v>
      </c>
      <c r="AH5553">
        <v>8.0101707555370698</v>
      </c>
      <c r="AI5553">
        <v>97.852242552742894</v>
      </c>
      <c r="AJ5553">
        <v>97.311012925614605</v>
      </c>
      <c r="AK5553">
        <v>8.1522654519029203</v>
      </c>
      <c r="AL5553">
        <v>65.805071452855699</v>
      </c>
      <c r="AM5553">
        <v>102.00576802287</v>
      </c>
      <c r="AN5553">
        <v>1.0000000067191801</v>
      </c>
    </row>
    <row r="5554" spans="1:40" x14ac:dyDescent="0.25">
      <c r="A5554" t="str">
        <f>"20190304164958828"</f>
        <v>20190304164958828</v>
      </c>
      <c r="B5554" t="str">
        <f>"1551689398821014"</f>
        <v>1551689398821014</v>
      </c>
      <c r="C5554" t="s">
        <v>40</v>
      </c>
      <c r="D5554">
        <v>4.7535309999999997</v>
      </c>
      <c r="E5554">
        <v>0.54552429999999996</v>
      </c>
      <c r="F5554" t="s">
        <v>42</v>
      </c>
      <c r="G5554">
        <v>-421.03719999999998</v>
      </c>
      <c r="H5554" s="1">
        <v>-3.2970099999999998E-6</v>
      </c>
      <c r="I5554">
        <v>86.631230000000002</v>
      </c>
      <c r="J5554">
        <v>-421.34789999999998</v>
      </c>
      <c r="K5554">
        <v>1.113553</v>
      </c>
      <c r="L5554">
        <v>94.738069999999993</v>
      </c>
      <c r="M5554">
        <v>-8.5934339999999998E-2</v>
      </c>
      <c r="N5554">
        <v>-1.099759E-2</v>
      </c>
      <c r="O5554">
        <v>-0.99624009999999996</v>
      </c>
      <c r="P5554">
        <v>0.10707319999999999</v>
      </c>
      <c r="Q5554">
        <v>0.40241100000000002</v>
      </c>
      <c r="R5554">
        <v>-0.90917590000000004</v>
      </c>
      <c r="S5554">
        <v>0.113647499999999</v>
      </c>
      <c r="T5554">
        <v>-0.45635029999999999</v>
      </c>
      <c r="U5554">
        <v>-3.4862980000000001</v>
      </c>
      <c r="V5554">
        <v>-0.18785489999999999</v>
      </c>
      <c r="W5554">
        <v>0.41086929999999999</v>
      </c>
      <c r="X5554">
        <v>0.8921306</v>
      </c>
      <c r="Y5554">
        <v>-0.1180327</v>
      </c>
      <c r="Z5554">
        <v>0.117657</v>
      </c>
      <c r="AA5554">
        <v>0.98601479999999997</v>
      </c>
      <c r="AB5554">
        <v>38</v>
      </c>
      <c r="AC5554">
        <v>0.31069999999999698</v>
      </c>
      <c r="AD5554">
        <v>-1.1135562970099999</v>
      </c>
      <c r="AE5554">
        <v>-8.1068399999999894</v>
      </c>
      <c r="AF5554">
        <v>-0.98764131721512005</v>
      </c>
      <c r="AG5554">
        <v>-1.1135562970099999</v>
      </c>
      <c r="AH5554">
        <v>7.9012849787506401</v>
      </c>
      <c r="AI5554">
        <v>97.9609172396448</v>
      </c>
      <c r="AJ5554">
        <v>97.124878512364006</v>
      </c>
      <c r="AK5554">
        <v>8.0402579133701693</v>
      </c>
      <c r="AL5554">
        <v>65.740546106100993</v>
      </c>
      <c r="AM5554">
        <v>101.89099073080401</v>
      </c>
      <c r="AN5554">
        <v>1.0000000262964199</v>
      </c>
    </row>
    <row r="5555" spans="1:40" x14ac:dyDescent="0.25">
      <c r="A5555" t="str">
        <f>"20190304164958850"</f>
        <v>20190304164958850</v>
      </c>
      <c r="B5555" t="str">
        <f>"1551689398841511"</f>
        <v>1551689398841511</v>
      </c>
      <c r="C5555" t="s">
        <v>40</v>
      </c>
      <c r="D5555">
        <v>4.7668140000000001</v>
      </c>
      <c r="E5555">
        <v>0.54594960000000003</v>
      </c>
      <c r="F5555" t="s">
        <v>42</v>
      </c>
      <c r="G5555">
        <v>-421.0634</v>
      </c>
      <c r="H5555" s="1">
        <v>-3.1315200000000001E-6</v>
      </c>
      <c r="I5555">
        <v>86.229230000000001</v>
      </c>
      <c r="J5555">
        <v>-421.37759999999997</v>
      </c>
      <c r="K5555">
        <v>1.113372</v>
      </c>
      <c r="L5555">
        <v>94.371489999999994</v>
      </c>
      <c r="M5555">
        <v>-8.3751999999999993E-2</v>
      </c>
      <c r="N5555">
        <v>-1.1132700000000001E-2</v>
      </c>
      <c r="O5555">
        <v>-0.99642470000000005</v>
      </c>
      <c r="P5555">
        <v>0.10729229999999999</v>
      </c>
      <c r="Q5555">
        <v>0.40366079999999999</v>
      </c>
      <c r="R5555">
        <v>-0.90859610000000002</v>
      </c>
      <c r="S5555">
        <v>0.1166382</v>
      </c>
      <c r="T5555">
        <v>-0.45647729999999997</v>
      </c>
      <c r="U5555">
        <v>-3.4880070000000001</v>
      </c>
      <c r="V5555">
        <v>-0.1858573</v>
      </c>
      <c r="W5555">
        <v>0.41234690000000002</v>
      </c>
      <c r="X5555">
        <v>0.89186719999999897</v>
      </c>
      <c r="Y5555">
        <v>-0.116687</v>
      </c>
      <c r="Z5555">
        <v>0.11754050000000001</v>
      </c>
      <c r="AA5555">
        <v>0.98618879999999998</v>
      </c>
      <c r="AB5555">
        <v>38</v>
      </c>
      <c r="AC5555">
        <v>0.314199999999971</v>
      </c>
      <c r="AD5555">
        <v>-1.11337513152</v>
      </c>
      <c r="AE5555">
        <v>-8.1422600000000092</v>
      </c>
      <c r="AF5555">
        <v>-0.97683106430849698</v>
      </c>
      <c r="AG5555">
        <v>-1.11337513152</v>
      </c>
      <c r="AH5555">
        <v>7.93910914228631</v>
      </c>
      <c r="AI5555">
        <v>97.924069281408805</v>
      </c>
      <c r="AJ5555">
        <v>97.014439630893804</v>
      </c>
      <c r="AK5555">
        <v>8.0760916961621607</v>
      </c>
      <c r="AL5555">
        <v>65.647651159514893</v>
      </c>
      <c r="AM5555">
        <v>101.77146796910399</v>
      </c>
      <c r="AN5555">
        <v>1.00000000216936</v>
      </c>
    </row>
    <row r="5556" spans="1:40" x14ac:dyDescent="0.25">
      <c r="A5556" t="str">
        <f>"20190304164958871"</f>
        <v>20190304164958871</v>
      </c>
      <c r="B5556" t="str">
        <f>"1551689398861031"</f>
        <v>1551689398861031</v>
      </c>
      <c r="C5556" t="s">
        <v>40</v>
      </c>
      <c r="D5556">
        <v>4.7395559999999897</v>
      </c>
      <c r="E5556">
        <v>0.54635100000000003</v>
      </c>
      <c r="F5556" t="s">
        <v>42</v>
      </c>
      <c r="G5556">
        <v>-421.09010000000001</v>
      </c>
      <c r="H5556" s="1">
        <v>-2.9436329999999999E-6</v>
      </c>
      <c r="I5556">
        <v>85.774649999999994</v>
      </c>
      <c r="J5556">
        <v>-421.40640000000002</v>
      </c>
      <c r="K5556">
        <v>1.113191</v>
      </c>
      <c r="L5556">
        <v>94.006870000000006</v>
      </c>
      <c r="M5556">
        <v>-8.1779169999999998E-2</v>
      </c>
      <c r="N5556">
        <v>-1.129084E-2</v>
      </c>
      <c r="O5556">
        <v>-0.99658670000000005</v>
      </c>
      <c r="P5556">
        <v>0.1074671</v>
      </c>
      <c r="Q5556">
        <v>0.40456409999999998</v>
      </c>
      <c r="R5556">
        <v>-0.90817340000000002</v>
      </c>
      <c r="S5556">
        <v>0.1166382</v>
      </c>
      <c r="T5556">
        <v>-0.4518257</v>
      </c>
      <c r="U5556">
        <v>-3.4887389999999998</v>
      </c>
      <c r="V5556">
        <v>-0.1840165</v>
      </c>
      <c r="W5556">
        <v>0.41349639999999999</v>
      </c>
      <c r="X5556">
        <v>0.89171669999999903</v>
      </c>
      <c r="Y5556">
        <v>-0.11472069999999999</v>
      </c>
      <c r="Z5556">
        <v>0.1161129</v>
      </c>
      <c r="AA5556">
        <v>0.98658849999999998</v>
      </c>
      <c r="AB5556">
        <v>38</v>
      </c>
      <c r="AC5556">
        <v>0.31630000000001202</v>
      </c>
      <c r="AD5556">
        <v>-1.1131939436330001</v>
      </c>
      <c r="AE5556">
        <v>-8.2322199999999892</v>
      </c>
      <c r="AF5556">
        <v>-0.97078221424861499</v>
      </c>
      <c r="AG5556">
        <v>-1.1131939436330001</v>
      </c>
      <c r="AH5556">
        <v>8.0321189468218197</v>
      </c>
      <c r="AI5556">
        <v>97.834221918093306</v>
      </c>
      <c r="AJ5556">
        <v>96.891486202440205</v>
      </c>
      <c r="AK5556">
        <v>8.1667958000391199</v>
      </c>
      <c r="AL5556">
        <v>65.575336973438297</v>
      </c>
      <c r="AM5556">
        <v>101.659999332916</v>
      </c>
      <c r="AN5556">
        <v>1.00000000907205</v>
      </c>
    </row>
    <row r="5557" spans="1:40" x14ac:dyDescent="0.25">
      <c r="A5557" t="str">
        <f>"20190304164958894"</f>
        <v>20190304164958894</v>
      </c>
      <c r="B5557" t="str">
        <f>"1551689398891287"</f>
        <v>1551689398891287</v>
      </c>
      <c r="C5557" t="s">
        <v>40</v>
      </c>
      <c r="D5557">
        <v>4.7100960000000001</v>
      </c>
      <c r="E5557">
        <v>0.54685869999999903</v>
      </c>
      <c r="F5557" t="s">
        <v>42</v>
      </c>
      <c r="G5557">
        <v>-421.11579999999998</v>
      </c>
      <c r="H5557" s="1">
        <v>-2.7650389999999998E-6</v>
      </c>
      <c r="I5557">
        <v>85.342460000000003</v>
      </c>
      <c r="J5557">
        <v>-421.43549999999999</v>
      </c>
      <c r="K5557">
        <v>1.1130059999999999</v>
      </c>
      <c r="L5557">
        <v>93.631320000000002</v>
      </c>
      <c r="M5557">
        <v>-7.9933249999999997E-2</v>
      </c>
      <c r="N5557">
        <v>-1.1475630000000001E-2</v>
      </c>
      <c r="O5557">
        <v>-0.99673429999999996</v>
      </c>
      <c r="P5557">
        <v>0.1084323</v>
      </c>
      <c r="Q5557">
        <v>0.40422590000000003</v>
      </c>
      <c r="R5557">
        <v>-0.9082095</v>
      </c>
      <c r="S5557">
        <v>0.1170349</v>
      </c>
      <c r="T5557">
        <v>-0.44828810000000002</v>
      </c>
      <c r="U5557">
        <v>-3.4891969999999999</v>
      </c>
      <c r="V5557">
        <v>-0.18310789999999999</v>
      </c>
      <c r="W5557">
        <v>0.41342440000000003</v>
      </c>
      <c r="X5557">
        <v>0.89193709999999904</v>
      </c>
      <c r="Y5557">
        <v>-0.1129937</v>
      </c>
      <c r="Z5557">
        <v>0.1149719</v>
      </c>
      <c r="AA5557">
        <v>0.98692139999999995</v>
      </c>
      <c r="AB5557">
        <v>38</v>
      </c>
      <c r="AC5557">
        <v>0.31970000000001098</v>
      </c>
      <c r="AD5557">
        <v>-1.1130087650389999</v>
      </c>
      <c r="AE5557">
        <v>-8.2888599999999997</v>
      </c>
      <c r="AF5557">
        <v>-0.96392178481698398</v>
      </c>
      <c r="AG5557">
        <v>-1.1130087650389999</v>
      </c>
      <c r="AH5557">
        <v>8.0911076850203401</v>
      </c>
      <c r="AI5557">
        <v>97.778100917907196</v>
      </c>
      <c r="AJ5557">
        <v>96.793825034912004</v>
      </c>
      <c r="AK5557">
        <v>8.2239867028645897</v>
      </c>
      <c r="AL5557">
        <v>65.579867793487693</v>
      </c>
      <c r="AM5557">
        <v>101.601202435969</v>
      </c>
      <c r="AN5557">
        <v>1.0000000139570899</v>
      </c>
    </row>
    <row r="5558" spans="1:40" x14ac:dyDescent="0.25">
      <c r="A5558" t="str">
        <f>"20190304164958918"</f>
        <v>20190304164958918</v>
      </c>
      <c r="B5558" t="str">
        <f>"1551689398911785"</f>
        <v>1551689398911785</v>
      </c>
      <c r="C5558" t="s">
        <v>40</v>
      </c>
      <c r="D5558">
        <v>4.6879280000000003</v>
      </c>
      <c r="E5558">
        <v>0.54718029999999995</v>
      </c>
      <c r="F5558" t="s">
        <v>42</v>
      </c>
      <c r="G5558">
        <v>-421.1404</v>
      </c>
      <c r="H5558" s="1">
        <v>-2.5707300000000002E-6</v>
      </c>
      <c r="I5558">
        <v>84.874209999999906</v>
      </c>
      <c r="J5558">
        <v>-421.46550000000002</v>
      </c>
      <c r="K5558">
        <v>1.112841</v>
      </c>
      <c r="L5558">
        <v>93.235140000000001</v>
      </c>
      <c r="M5558">
        <v>-7.8173019999999996E-2</v>
      </c>
      <c r="N5558">
        <v>-1.169282E-2</v>
      </c>
      <c r="O5558">
        <v>-0.99687119999999996</v>
      </c>
      <c r="P5558">
        <v>0.1093939</v>
      </c>
      <c r="Q5558">
        <v>0.4039295</v>
      </c>
      <c r="R5558">
        <v>-0.90822570000000002</v>
      </c>
      <c r="S5558">
        <v>0.1174622</v>
      </c>
      <c r="T5558">
        <v>-0.4431157</v>
      </c>
      <c r="U5558">
        <v>-3.4864199999999999</v>
      </c>
      <c r="V5558">
        <v>-0.18227769999999999</v>
      </c>
      <c r="W5558">
        <v>0.4134197</v>
      </c>
      <c r="X5558">
        <v>0.89210929999999999</v>
      </c>
      <c r="Y5558">
        <v>-0.1113929</v>
      </c>
      <c r="Z5558">
        <v>0.1134546</v>
      </c>
      <c r="AA5558">
        <v>0.98727889999999996</v>
      </c>
      <c r="AB5558">
        <v>38</v>
      </c>
      <c r="AC5558">
        <v>0.32510000000001998</v>
      </c>
      <c r="AD5558">
        <v>-1.11284357073</v>
      </c>
      <c r="AE5558">
        <v>-8.3609300000000104</v>
      </c>
      <c r="AF5558">
        <v>-0.96075408438960497</v>
      </c>
      <c r="AG5558">
        <v>-1.11284357073</v>
      </c>
      <c r="AH5558">
        <v>8.1654854856704198</v>
      </c>
      <c r="AI5558">
        <v>97.708286810799095</v>
      </c>
      <c r="AJ5558">
        <v>96.710589352072105</v>
      </c>
      <c r="AK5558">
        <v>8.2967838612489402</v>
      </c>
      <c r="AL5558">
        <v>65.5801633267493</v>
      </c>
      <c r="AM5558">
        <v>101.54785025765599</v>
      </c>
      <c r="AN5558">
        <v>1.00000000570593</v>
      </c>
    </row>
    <row r="5559" spans="1:40" x14ac:dyDescent="0.25">
      <c r="A5559" t="str">
        <f>"20190304164958940"</f>
        <v>20190304164958940</v>
      </c>
      <c r="B5559" t="str">
        <f>"1551689398931302"</f>
        <v>1551689398931302</v>
      </c>
      <c r="C5559" t="s">
        <v>40</v>
      </c>
      <c r="D5559">
        <v>4.7333819999999998</v>
      </c>
      <c r="E5559">
        <v>0.54735710000000004</v>
      </c>
      <c r="F5559" t="s">
        <v>42</v>
      </c>
      <c r="G5559">
        <v>-421.16609999999997</v>
      </c>
      <c r="H5559" s="1">
        <v>-2.419244E-6</v>
      </c>
      <c r="I5559">
        <v>84.505169999999893</v>
      </c>
      <c r="J5559">
        <v>-421.49360000000001</v>
      </c>
      <c r="K5559">
        <v>1.1127039999999999</v>
      </c>
      <c r="L5559">
        <v>92.85718</v>
      </c>
      <c r="M5559">
        <v>-7.6638769999999995E-2</v>
      </c>
      <c r="N5559">
        <v>-1.191214E-2</v>
      </c>
      <c r="O5559">
        <v>-0.99698779999999998</v>
      </c>
      <c r="P5559">
        <v>0.1088146</v>
      </c>
      <c r="Q5559">
        <v>0.4033215</v>
      </c>
      <c r="R5559">
        <v>-0.90856530000000002</v>
      </c>
      <c r="S5559">
        <v>0.1195679</v>
      </c>
      <c r="T5559">
        <v>-0.44442730000000003</v>
      </c>
      <c r="U5559">
        <v>-3.4864199999999999</v>
      </c>
      <c r="V5559">
        <v>-0.18017030000000001</v>
      </c>
      <c r="W5559">
        <v>0.41310089999999999</v>
      </c>
      <c r="X5559">
        <v>0.8926849</v>
      </c>
      <c r="Y5559">
        <v>-0.110457399999999</v>
      </c>
      <c r="Z5559">
        <v>0.1136292</v>
      </c>
      <c r="AA5559">
        <v>0.98736389999999996</v>
      </c>
      <c r="AB5559">
        <v>38</v>
      </c>
      <c r="AC5559">
        <v>0.32750000000004298</v>
      </c>
      <c r="AD5559">
        <v>-1.1127064192439999</v>
      </c>
      <c r="AE5559">
        <v>-8.3520099999999999</v>
      </c>
      <c r="AF5559">
        <v>-0.94983685233485504</v>
      </c>
      <c r="AG5559">
        <v>-1.1127064192439999</v>
      </c>
      <c r="AH5559">
        <v>8.1577699128374199</v>
      </c>
      <c r="AI5559">
        <v>97.715629909630806</v>
      </c>
      <c r="AJ5559">
        <v>96.641238726276001</v>
      </c>
      <c r="AK5559">
        <v>8.2879138250995101</v>
      </c>
      <c r="AL5559">
        <v>65.600222355587405</v>
      </c>
      <c r="AM5559">
        <v>101.41069734492601</v>
      </c>
      <c r="AN5559">
        <v>1.0000000106354501</v>
      </c>
    </row>
    <row r="5560" spans="1:40" x14ac:dyDescent="0.25">
      <c r="A5560" t="str">
        <f>"20190304164958960"</f>
        <v>20190304164958960</v>
      </c>
      <c r="B5560" t="str">
        <f>"1551689398950823"</f>
        <v>1551689398950823</v>
      </c>
      <c r="C5560" t="s">
        <v>40</v>
      </c>
      <c r="D5560">
        <v>4.6998939999999996</v>
      </c>
      <c r="E5560">
        <v>0.54751359999999905</v>
      </c>
      <c r="F5560" t="s">
        <v>42</v>
      </c>
      <c r="G5560">
        <v>-421.20069999999998</v>
      </c>
      <c r="H5560" s="1">
        <v>-2.3143960000000001E-6</v>
      </c>
      <c r="I5560">
        <v>84.239329999999995</v>
      </c>
      <c r="J5560">
        <v>-421.51979999999998</v>
      </c>
      <c r="K5560">
        <v>1.1125860000000001</v>
      </c>
      <c r="L5560">
        <v>92.499210000000005</v>
      </c>
      <c r="M5560">
        <v>-7.5280540000000007E-2</v>
      </c>
      <c r="N5560">
        <v>-1.2120250000000001E-2</v>
      </c>
      <c r="O5560">
        <v>-0.9970888</v>
      </c>
      <c r="P5560">
        <v>0.10823679999999999</v>
      </c>
      <c r="Q5560">
        <v>0.40233360000000001</v>
      </c>
      <c r="R5560">
        <v>-0.9090722</v>
      </c>
      <c r="S5560">
        <v>0.11856079999999999</v>
      </c>
      <c r="T5560">
        <v>-0.45030819999999999</v>
      </c>
      <c r="U5560">
        <v>-3.4876100000000001</v>
      </c>
      <c r="V5560">
        <v>-0.17826520000000001</v>
      </c>
      <c r="W5560">
        <v>0.41237819999999997</v>
      </c>
      <c r="X5560">
        <v>0.89340129999999995</v>
      </c>
      <c r="Y5560">
        <v>-0.1088003</v>
      </c>
      <c r="Z5560">
        <v>0.11504780000000001</v>
      </c>
      <c r="AA5560">
        <v>0.98738369999999998</v>
      </c>
      <c r="AB5560">
        <v>38</v>
      </c>
      <c r="AC5560">
        <v>0.319099999999991</v>
      </c>
      <c r="AD5560">
        <v>-1.112588314396</v>
      </c>
      <c r="AE5560">
        <v>-8.2598799999999795</v>
      </c>
      <c r="AF5560">
        <v>-0.92332092331743498</v>
      </c>
      <c r="AG5560">
        <v>-1.112588314396</v>
      </c>
      <c r="AH5560">
        <v>8.0662818521134501</v>
      </c>
      <c r="AI5560">
        <v>97.802977716609206</v>
      </c>
      <c r="AJ5560">
        <v>96.530039377112701</v>
      </c>
      <c r="AK5560">
        <v>8.1948323474309692</v>
      </c>
      <c r="AL5560">
        <v>65.645684456437905</v>
      </c>
      <c r="AM5560">
        <v>101.28433527949799</v>
      </c>
      <c r="AN5560">
        <v>1.0000000721039799</v>
      </c>
    </row>
    <row r="5561" spans="1:40" x14ac:dyDescent="0.25">
      <c r="A5561" t="str">
        <f>"20190304164958984"</f>
        <v>20190304164958984</v>
      </c>
      <c r="B5561" t="str">
        <f>"1551689398981080"</f>
        <v>1551689398981080</v>
      </c>
      <c r="C5561" t="s">
        <v>40</v>
      </c>
      <c r="D5561">
        <v>4.7307059999999996</v>
      </c>
      <c r="E5561">
        <v>0.54800119999999997</v>
      </c>
      <c r="F5561" t="s">
        <v>42</v>
      </c>
      <c r="G5561">
        <v>-421.23610000000002</v>
      </c>
      <c r="H5561" s="1">
        <v>-2.2248439999999998E-6</v>
      </c>
      <c r="I5561">
        <v>84.008579999999995</v>
      </c>
      <c r="J5561">
        <v>-421.54739999999998</v>
      </c>
      <c r="K5561">
        <v>1.1124860000000001</v>
      </c>
      <c r="L5561">
        <v>92.114620000000002</v>
      </c>
      <c r="M5561">
        <v>-7.3912140000000001E-2</v>
      </c>
      <c r="N5561">
        <v>-1.2351859999999999E-2</v>
      </c>
      <c r="O5561">
        <v>-0.99718830000000003</v>
      </c>
      <c r="P5561">
        <v>0.1081862</v>
      </c>
      <c r="Q5561">
        <v>0.40079910000000002</v>
      </c>
      <c r="R5561">
        <v>-0.90975620000000001</v>
      </c>
      <c r="S5561">
        <v>0.1165466</v>
      </c>
      <c r="T5561">
        <v>-0.45712659999999999</v>
      </c>
      <c r="U5561">
        <v>-3.4885250000000001</v>
      </c>
      <c r="V5561">
        <v>-0.17689489999999999</v>
      </c>
      <c r="W5561">
        <v>0.4111245</v>
      </c>
      <c r="X5561">
        <v>0.89425100000000002</v>
      </c>
      <c r="Y5561">
        <v>-0.10685</v>
      </c>
      <c r="Z5561">
        <v>0.1167147</v>
      </c>
      <c r="AA5561">
        <v>0.98740099999999997</v>
      </c>
      <c r="AB5561">
        <v>38</v>
      </c>
      <c r="AC5561">
        <v>0.31129999999996</v>
      </c>
      <c r="AD5561">
        <v>-1.112488224844</v>
      </c>
      <c r="AE5561">
        <v>-8.1060399999999895</v>
      </c>
      <c r="AF5561">
        <v>-0.89283672454124396</v>
      </c>
      <c r="AG5561">
        <v>-1.112488224844</v>
      </c>
      <c r="AH5561">
        <v>7.9120474171036799</v>
      </c>
      <c r="AI5561">
        <v>97.953880066465203</v>
      </c>
      <c r="AJ5561">
        <v>96.438318372662494</v>
      </c>
      <c r="AK5561">
        <v>8.0396070673636206</v>
      </c>
      <c r="AL5561">
        <v>65.724506416108895</v>
      </c>
      <c r="AM5561">
        <v>101.18942186776999</v>
      </c>
      <c r="AN5561">
        <v>1.00000000557363</v>
      </c>
    </row>
    <row r="5562" spans="1:40" x14ac:dyDescent="0.25">
      <c r="A5562" t="str">
        <f>"20190304164959006"</f>
        <v>20190304164959006</v>
      </c>
      <c r="B5562" t="str">
        <f>"1551689399001575"</f>
        <v>1551689399001575</v>
      </c>
      <c r="C5562" t="s">
        <v>40</v>
      </c>
      <c r="D5562">
        <v>4.8082390000000004</v>
      </c>
      <c r="E5562">
        <v>0.54831569999999996</v>
      </c>
      <c r="F5562" t="s">
        <v>42</v>
      </c>
      <c r="G5562">
        <v>-421.27730000000003</v>
      </c>
      <c r="H5562" s="1">
        <v>-2.1097229999999999E-6</v>
      </c>
      <c r="I5562">
        <v>83.714669999999998</v>
      </c>
      <c r="J5562">
        <v>-421.57420000000002</v>
      </c>
      <c r="K5562">
        <v>1.112393</v>
      </c>
      <c r="L5562">
        <v>91.73563</v>
      </c>
      <c r="M5562">
        <v>-7.2643680000000002E-2</v>
      </c>
      <c r="N5562">
        <v>-1.2591689999999999E-2</v>
      </c>
      <c r="O5562">
        <v>-0.99727869999999996</v>
      </c>
      <c r="P5562">
        <v>0.1080878</v>
      </c>
      <c r="Q5562">
        <v>0.39941209999999999</v>
      </c>
      <c r="R5562">
        <v>-0.91037789999999996</v>
      </c>
      <c r="S5562">
        <v>0.1121216</v>
      </c>
      <c r="T5562">
        <v>-0.46191850000000001</v>
      </c>
      <c r="U5562">
        <v>-3.487762</v>
      </c>
      <c r="V5562">
        <v>-0.17557400000000001</v>
      </c>
      <c r="W5562">
        <v>0.41001880000000002</v>
      </c>
      <c r="X5562">
        <v>0.8950186</v>
      </c>
      <c r="Y5562">
        <v>-0.1043361</v>
      </c>
      <c r="Z5562">
        <v>0.1178747</v>
      </c>
      <c r="AA5562">
        <v>0.98753210000000002</v>
      </c>
      <c r="AB5562">
        <v>38</v>
      </c>
      <c r="AC5562">
        <v>0.296899999999993</v>
      </c>
      <c r="AD5562">
        <v>-1.11239510972299</v>
      </c>
      <c r="AE5562">
        <v>-8.0209600000000005</v>
      </c>
      <c r="AF5562">
        <v>-0.86227148978426904</v>
      </c>
      <c r="AG5562">
        <v>-1.11239510972299</v>
      </c>
      <c r="AH5562">
        <v>7.8278420536708397</v>
      </c>
      <c r="AI5562">
        <v>98.040015816984194</v>
      </c>
      <c r="AJ5562">
        <v>96.286040820933906</v>
      </c>
      <c r="AK5562">
        <v>7.9533669737695396</v>
      </c>
      <c r="AL5562">
        <v>65.793983436157006</v>
      </c>
      <c r="AM5562">
        <v>101.098664294305</v>
      </c>
      <c r="AN5562">
        <v>0.99999997008769903</v>
      </c>
    </row>
    <row r="5563" spans="1:40" x14ac:dyDescent="0.25">
      <c r="A5563" t="str">
        <f>"20190304164959028"</f>
        <v>20190304164959028</v>
      </c>
      <c r="B5563" t="str">
        <f>"1551689399021095"</f>
        <v>1551689399021095</v>
      </c>
      <c r="C5563" t="s">
        <v>40</v>
      </c>
      <c r="D5563">
        <v>4.6889919999999998</v>
      </c>
      <c r="E5563">
        <v>0.54859290000000005</v>
      </c>
      <c r="F5563" t="s">
        <v>42</v>
      </c>
      <c r="G5563">
        <v>-421.31639999999999</v>
      </c>
      <c r="H5563" s="1">
        <v>-1.99511E-6</v>
      </c>
      <c r="I5563">
        <v>83.423289999999994</v>
      </c>
      <c r="J5563">
        <v>-421.6003</v>
      </c>
      <c r="K5563">
        <v>1.1123099999999999</v>
      </c>
      <c r="L5563">
        <v>91.360659999999996</v>
      </c>
      <c r="M5563">
        <v>-7.1460839999999998E-2</v>
      </c>
      <c r="N5563">
        <v>-1.2834089999999999E-2</v>
      </c>
      <c r="O5563">
        <v>-0.99736089999999999</v>
      </c>
      <c r="P5563">
        <v>0.107818899999999</v>
      </c>
      <c r="Q5563">
        <v>0.39926669999999997</v>
      </c>
      <c r="R5563">
        <v>-0.91047330000000004</v>
      </c>
      <c r="S5563">
        <v>0.10815429999999999</v>
      </c>
      <c r="T5563">
        <v>-0.46667950000000002</v>
      </c>
      <c r="U5563">
        <v>-3.487244</v>
      </c>
      <c r="V5563">
        <v>-0.17413000000000001</v>
      </c>
      <c r="W5563">
        <v>0.41014889999999998</v>
      </c>
      <c r="X5563">
        <v>0.89524110000000001</v>
      </c>
      <c r="Y5563">
        <v>-0.102034</v>
      </c>
      <c r="Z5563">
        <v>0.1190114</v>
      </c>
      <c r="AA5563">
        <v>0.98763630000000002</v>
      </c>
      <c r="AB5563">
        <v>38</v>
      </c>
      <c r="AC5563">
        <v>0.28390000000001597</v>
      </c>
      <c r="AD5563">
        <v>-1.11231199511</v>
      </c>
      <c r="AE5563">
        <v>-7.9373699999999801</v>
      </c>
      <c r="AF5563">
        <v>-0.83407316939806797</v>
      </c>
      <c r="AG5563">
        <v>-1.11231199511</v>
      </c>
      <c r="AH5563">
        <v>7.74488396112696</v>
      </c>
      <c r="AI5563">
        <v>98.1265160871761</v>
      </c>
      <c r="AJ5563">
        <v>96.146689596485103</v>
      </c>
      <c r="AK5563">
        <v>7.86868118541455</v>
      </c>
      <c r="AL5563">
        <v>65.785811245321298</v>
      </c>
      <c r="AM5563">
        <v>101.00695366513099</v>
      </c>
      <c r="AN5563">
        <v>1.00000000210021</v>
      </c>
    </row>
    <row r="5564" spans="1:40" x14ac:dyDescent="0.25">
      <c r="A5564" t="str">
        <f>"20190304164959051"</f>
        <v>20190304164959051</v>
      </c>
      <c r="B5564" t="str">
        <f>"1551689399041591"</f>
        <v>1551689399041591</v>
      </c>
      <c r="C5564" t="s">
        <v>40</v>
      </c>
      <c r="D5564">
        <v>4.6768489999999998</v>
      </c>
      <c r="E5564">
        <v>0.54880989999999996</v>
      </c>
      <c r="F5564" t="s">
        <v>42</v>
      </c>
      <c r="G5564">
        <v>-421.34910000000002</v>
      </c>
      <c r="H5564" s="1">
        <v>-1.8416230000000001E-6</v>
      </c>
      <c r="I5564">
        <v>83.045230000000004</v>
      </c>
      <c r="J5564">
        <v>-421.62599999999998</v>
      </c>
      <c r="K5564">
        <v>1.1122320000000001</v>
      </c>
      <c r="L5564">
        <v>90.985230000000001</v>
      </c>
      <c r="M5564">
        <v>-7.0350140000000005E-2</v>
      </c>
      <c r="N5564">
        <v>-1.3070089999999999E-2</v>
      </c>
      <c r="O5564">
        <v>-0.99743680000000001</v>
      </c>
      <c r="P5564">
        <v>0.1070865</v>
      </c>
      <c r="Q5564">
        <v>0.39969779999999999</v>
      </c>
      <c r="R5564">
        <v>-0.91037029999999997</v>
      </c>
      <c r="S5564">
        <v>0.1053467</v>
      </c>
      <c r="T5564">
        <v>-0.46644580000000002</v>
      </c>
      <c r="U5564">
        <v>-3.4870610000000002</v>
      </c>
      <c r="V5564">
        <v>-0.17227679999999901</v>
      </c>
      <c r="W5564">
        <v>0.41084809999999999</v>
      </c>
      <c r="X5564">
        <v>0.89527900000000005</v>
      </c>
      <c r="Y5564">
        <v>-0.1001344</v>
      </c>
      <c r="Z5564">
        <v>0.1187494</v>
      </c>
      <c r="AA5564">
        <v>0.98786220000000002</v>
      </c>
      <c r="AB5564">
        <v>38</v>
      </c>
      <c r="AC5564">
        <v>0.27689999999995502</v>
      </c>
      <c r="AD5564">
        <v>-1.112233841623</v>
      </c>
      <c r="AE5564">
        <v>-7.9399999999999897</v>
      </c>
      <c r="AF5564">
        <v>-0.81879445151575903</v>
      </c>
      <c r="AG5564">
        <v>-1.112233841623</v>
      </c>
      <c r="AH5564">
        <v>7.7489741103516696</v>
      </c>
      <c r="AI5564">
        <v>98.123435622870204</v>
      </c>
      <c r="AJ5564">
        <v>96.031769978681496</v>
      </c>
      <c r="AK5564">
        <v>7.8710919341083097</v>
      </c>
      <c r="AL5564">
        <v>65.7418770314368</v>
      </c>
      <c r="AM5564">
        <v>100.89217744290001</v>
      </c>
      <c r="AN5564">
        <v>0.99999997246642403</v>
      </c>
    </row>
    <row r="5565" spans="1:40" x14ac:dyDescent="0.25">
      <c r="A5565" t="str">
        <f>"20190304164959072"</f>
        <v>20190304164959072</v>
      </c>
      <c r="B5565" t="str">
        <f>"1551689399061111"</f>
        <v>1551689399061111</v>
      </c>
      <c r="C5565" t="s">
        <v>40</v>
      </c>
      <c r="D5565">
        <v>4.5921159999999999</v>
      </c>
      <c r="E5565">
        <v>0.54891369999999995</v>
      </c>
      <c r="F5565" t="s">
        <v>42</v>
      </c>
      <c r="G5565">
        <v>-421.37889999999999</v>
      </c>
      <c r="H5565" s="1">
        <v>-1.6662889999999999E-6</v>
      </c>
      <c r="I5565">
        <v>82.618049999999997</v>
      </c>
      <c r="J5565">
        <v>-421.65050000000002</v>
      </c>
      <c r="K5565">
        <v>1.1121430000000001</v>
      </c>
      <c r="L5565">
        <v>90.622960000000006</v>
      </c>
      <c r="M5565">
        <v>-6.9357539999999995E-2</v>
      </c>
      <c r="N5565">
        <v>-1.3281650000000001E-2</v>
      </c>
      <c r="O5565">
        <v>-0.99750349999999999</v>
      </c>
      <c r="P5565">
        <v>0.1068311</v>
      </c>
      <c r="Q5565">
        <v>0.39946549999999997</v>
      </c>
      <c r="R5565">
        <v>-0.91050229999999999</v>
      </c>
      <c r="S5565">
        <v>0.1029968</v>
      </c>
      <c r="T5565">
        <v>-0.4634838</v>
      </c>
      <c r="U5565">
        <v>-3.4867249999999999</v>
      </c>
      <c r="V5565">
        <v>-0.171021799999999</v>
      </c>
      <c r="W5565">
        <v>0.41086020000000001</v>
      </c>
      <c r="X5565">
        <v>0.89551409999999998</v>
      </c>
      <c r="Y5565">
        <v>-9.8486169999999998E-2</v>
      </c>
      <c r="Z5565">
        <v>0.1177545</v>
      </c>
      <c r="AA5565">
        <v>0.98814690000000005</v>
      </c>
      <c r="AB5565">
        <v>38</v>
      </c>
      <c r="AC5565">
        <v>0.27160000000003398</v>
      </c>
      <c r="AD5565">
        <v>-1.112144666289</v>
      </c>
      <c r="AE5565">
        <v>-8.00490999999999</v>
      </c>
      <c r="AF5565">
        <v>-0.81056779443028504</v>
      </c>
      <c r="AG5565">
        <v>-1.112144666289</v>
      </c>
      <c r="AH5565">
        <v>7.8160951910829004</v>
      </c>
      <c r="AI5565">
        <v>98.055570540168503</v>
      </c>
      <c r="AJ5565">
        <v>95.920691604328098</v>
      </c>
      <c r="AK5565">
        <v>7.9363234525938999</v>
      </c>
      <c r="AL5565">
        <v>65.741118136295</v>
      </c>
      <c r="AM5565">
        <v>100.81193582164499</v>
      </c>
      <c r="AN5565">
        <v>1.0000000316590401</v>
      </c>
    </row>
    <row r="5566" spans="1:40" x14ac:dyDescent="0.25">
      <c r="A5566" t="str">
        <f>"20190304164959095"</f>
        <v>20190304164959095</v>
      </c>
      <c r="B5566" t="str">
        <f>"1551689399091367"</f>
        <v>1551689399091367</v>
      </c>
      <c r="C5566" t="s">
        <v>40</v>
      </c>
      <c r="D5566">
        <v>4.6123649999999996</v>
      </c>
      <c r="E5566">
        <v>0.54918829999999996</v>
      </c>
      <c r="F5566" t="s">
        <v>42</v>
      </c>
      <c r="G5566">
        <v>-421.40289999999999</v>
      </c>
      <c r="H5566" s="1">
        <v>-1.47202E-6</v>
      </c>
      <c r="I5566">
        <v>82.150310000000005</v>
      </c>
      <c r="J5566">
        <v>-421.67579999999998</v>
      </c>
      <c r="K5566">
        <v>1.1120380000000001</v>
      </c>
      <c r="L5566">
        <v>90.245670000000004</v>
      </c>
      <c r="M5566">
        <v>-6.8422239999999995E-2</v>
      </c>
      <c r="N5566">
        <v>-1.348158E-2</v>
      </c>
      <c r="O5566">
        <v>-0.9975657</v>
      </c>
      <c r="P5566">
        <v>0.1073148</v>
      </c>
      <c r="Q5566">
        <v>0.39924409999999999</v>
      </c>
      <c r="R5566">
        <v>-0.91054299999999999</v>
      </c>
      <c r="S5566">
        <v>0.1018066</v>
      </c>
      <c r="T5566">
        <v>-0.45726070000000002</v>
      </c>
      <c r="U5566">
        <v>-3.4835509999999998</v>
      </c>
      <c r="V5566">
        <v>-0.17054040000000001</v>
      </c>
      <c r="W5566">
        <v>0.41087190000000001</v>
      </c>
      <c r="X5566">
        <v>0.89560049999999902</v>
      </c>
      <c r="Y5566">
        <v>-9.7249509999999997E-2</v>
      </c>
      <c r="Z5566">
        <v>0.11596190000000001</v>
      </c>
      <c r="AA5566">
        <v>0.98848130000000001</v>
      </c>
      <c r="AB5566">
        <v>38</v>
      </c>
      <c r="AC5566">
        <v>0.27289999999999198</v>
      </c>
      <c r="AD5566">
        <v>-1.11203947201999</v>
      </c>
      <c r="AE5566">
        <v>-8.0953599999999799</v>
      </c>
      <c r="AF5566">
        <v>-0.81092843444365803</v>
      </c>
      <c r="AG5566">
        <v>-1.11203947201999</v>
      </c>
      <c r="AH5566">
        <v>7.90864515917995</v>
      </c>
      <c r="AI5566">
        <v>97.962710548951407</v>
      </c>
      <c r="AJ5566">
        <v>95.854474630880802</v>
      </c>
      <c r="AK5566">
        <v>8.02750926296196</v>
      </c>
      <c r="AL5566">
        <v>65.740382052762001</v>
      </c>
      <c r="AM5566">
        <v>100.781200507935</v>
      </c>
      <c r="AN5566">
        <v>1.0000000009210099</v>
      </c>
    </row>
    <row r="5567" spans="1:40" x14ac:dyDescent="0.25">
      <c r="A5567" t="str">
        <f>"20190304164959119"</f>
        <v>20190304164959119</v>
      </c>
      <c r="B5567" t="str">
        <f>"1551689399110890"</f>
        <v>1551689399110890</v>
      </c>
      <c r="C5567" t="s">
        <v>40</v>
      </c>
      <c r="D5567">
        <v>4.6622110000000001</v>
      </c>
      <c r="E5567">
        <v>0.54936319999999905</v>
      </c>
      <c r="F5567" t="s">
        <v>42</v>
      </c>
      <c r="G5567">
        <v>-421.42649999999998</v>
      </c>
      <c r="H5567" s="1">
        <v>-1.260628E-6</v>
      </c>
      <c r="I5567">
        <v>81.642889999999994</v>
      </c>
      <c r="J5567">
        <v>-421.70150000000001</v>
      </c>
      <c r="K5567">
        <v>1.11191</v>
      </c>
      <c r="L5567">
        <v>89.857330000000005</v>
      </c>
      <c r="M5567">
        <v>-6.7595009999999997E-2</v>
      </c>
      <c r="N5567">
        <v>-1.3663430000000001E-2</v>
      </c>
      <c r="O5567">
        <v>-0.99761960000000005</v>
      </c>
      <c r="P5567">
        <v>0.1078137</v>
      </c>
      <c r="Q5567">
        <v>0.39859719999999998</v>
      </c>
      <c r="R5567">
        <v>-0.91076710000000005</v>
      </c>
      <c r="S5567">
        <v>0.10083010000000001</v>
      </c>
      <c r="T5567">
        <v>-0.44985589999999998</v>
      </c>
      <c r="U5567">
        <v>-3.4801030000000002</v>
      </c>
      <c r="V5567">
        <v>-0.1701732</v>
      </c>
      <c r="W5567">
        <v>0.41044799999999998</v>
      </c>
      <c r="X5567">
        <v>0.89586469999999896</v>
      </c>
      <c r="Y5567">
        <v>-9.6183939999999996E-2</v>
      </c>
      <c r="Z5567">
        <v>0.1138599</v>
      </c>
      <c r="AA5567">
        <v>0.98882990000000004</v>
      </c>
      <c r="AB5567">
        <v>38</v>
      </c>
      <c r="AC5567">
        <v>0.275000000000034</v>
      </c>
      <c r="AD5567">
        <v>-1.1119112606279999</v>
      </c>
      <c r="AE5567">
        <v>-8.2144399999999909</v>
      </c>
      <c r="AF5567">
        <v>-0.81476590540445903</v>
      </c>
      <c r="AG5567">
        <v>-1.1119112606279999</v>
      </c>
      <c r="AH5567">
        <v>8.0300919071563293</v>
      </c>
      <c r="AI5567">
        <v>97.843739023078498</v>
      </c>
      <c r="AJ5567">
        <v>95.793636221105302</v>
      </c>
      <c r="AK5567">
        <v>8.1475497034076696</v>
      </c>
      <c r="AL5567">
        <v>65.767019941854997</v>
      </c>
      <c r="AM5567">
        <v>100.755430499795</v>
      </c>
      <c r="AN5567">
        <v>1.0000000197041601</v>
      </c>
    </row>
    <row r="5568" spans="1:40" x14ac:dyDescent="0.25">
      <c r="A5568" t="str">
        <f>"20190304164959141"</f>
        <v>20190304164959141</v>
      </c>
      <c r="B5568" t="str">
        <f>"1551689399131383"</f>
        <v>1551689399131383</v>
      </c>
      <c r="C5568" t="s">
        <v>40</v>
      </c>
      <c r="D5568">
        <v>4.671964</v>
      </c>
      <c r="E5568">
        <v>0.54950929999999998</v>
      </c>
      <c r="F5568" t="s">
        <v>42</v>
      </c>
      <c r="G5568">
        <v>-421.45159999999998</v>
      </c>
      <c r="H5568" s="1">
        <v>-1.116623E-6</v>
      </c>
      <c r="I5568">
        <v>81.291629999999998</v>
      </c>
      <c r="J5568">
        <v>-421.726</v>
      </c>
      <c r="K5568">
        <v>1.1117859999999999</v>
      </c>
      <c r="L5568">
        <v>89.486180000000004</v>
      </c>
      <c r="M5568">
        <v>-6.6921640000000004E-2</v>
      </c>
      <c r="N5568">
        <v>-1.3817950000000001E-2</v>
      </c>
      <c r="O5568">
        <v>-0.99766250000000001</v>
      </c>
      <c r="P5568">
        <v>0.10828740000000001</v>
      </c>
      <c r="Q5568">
        <v>0.39834190000000003</v>
      </c>
      <c r="R5568">
        <v>-0.91082229999999997</v>
      </c>
      <c r="S5568">
        <v>0.10150149999999999</v>
      </c>
      <c r="T5568">
        <v>-0.45168399999999997</v>
      </c>
      <c r="U5568">
        <v>-3.479584</v>
      </c>
      <c r="V5568">
        <v>-0.16991400000000001</v>
      </c>
      <c r="W5568">
        <v>0.41038580000000002</v>
      </c>
      <c r="X5568">
        <v>0.89594229999999997</v>
      </c>
      <c r="Y5568">
        <v>-9.5704849999999994E-2</v>
      </c>
      <c r="Z5568">
        <v>0.1142466</v>
      </c>
      <c r="AA5568">
        <v>0.98883180000000004</v>
      </c>
      <c r="AB5568">
        <v>38</v>
      </c>
      <c r="AC5568">
        <v>0.27440000000001402</v>
      </c>
      <c r="AD5568">
        <v>-1.111787116623</v>
      </c>
      <c r="AE5568">
        <v>-8.1945499999999996</v>
      </c>
      <c r="AF5568">
        <v>-0.80738462747067397</v>
      </c>
      <c r="AG5568">
        <v>-1.111787116623</v>
      </c>
      <c r="AH5568">
        <v>8.0105232146271792</v>
      </c>
      <c r="AI5568">
        <v>97.862317524164695</v>
      </c>
      <c r="AJ5568">
        <v>95.755433404597099</v>
      </c>
      <c r="AK5568">
        <v>8.1275102400086698</v>
      </c>
      <c r="AL5568">
        <v>65.770925959850203</v>
      </c>
      <c r="AM5568">
        <v>100.73852108000899</v>
      </c>
      <c r="AN5568">
        <v>0.99999993858346303</v>
      </c>
    </row>
    <row r="5569" spans="1:40" x14ac:dyDescent="0.25">
      <c r="A5569" t="str">
        <f>"20190304164959162"</f>
        <v>20190304164959162</v>
      </c>
      <c r="B5569" t="str">
        <f>"1551689399150904"</f>
        <v>1551689399150904</v>
      </c>
      <c r="C5569" t="s">
        <v>40</v>
      </c>
      <c r="D5569">
        <v>4.8045780000000002</v>
      </c>
      <c r="E5569">
        <v>0.54967919999999904</v>
      </c>
      <c r="F5569" t="s">
        <v>42</v>
      </c>
      <c r="G5569">
        <v>-421.4735</v>
      </c>
      <c r="H5569" s="1">
        <v>-9.6634189999999991E-7</v>
      </c>
      <c r="I5569">
        <v>80.927769999999995</v>
      </c>
      <c r="J5569">
        <v>-421.74950000000001</v>
      </c>
      <c r="K5569">
        <v>1.1116740000000001</v>
      </c>
      <c r="L5569">
        <v>89.125789999999995</v>
      </c>
      <c r="M5569">
        <v>-6.6361489999999995E-2</v>
      </c>
      <c r="N5569">
        <v>-1.3950840000000001E-2</v>
      </c>
      <c r="O5569">
        <v>-0.99769830000000004</v>
      </c>
      <c r="P5569">
        <v>0.10950550000000001</v>
      </c>
      <c r="Q5569">
        <v>0.39759270000000002</v>
      </c>
      <c r="R5569">
        <v>-0.9110047</v>
      </c>
      <c r="S5569">
        <v>0.1026306</v>
      </c>
      <c r="T5569">
        <v>-0.45196700000000001</v>
      </c>
      <c r="U5569">
        <v>-3.479187</v>
      </c>
      <c r="V5569">
        <v>-0.17052039999999999</v>
      </c>
      <c r="W5569">
        <v>0.40980440000000001</v>
      </c>
      <c r="X5569">
        <v>0.89609319999999903</v>
      </c>
      <c r="Y5569">
        <v>-9.5469310000000002E-2</v>
      </c>
      <c r="Z5569">
        <v>0.114215899999999</v>
      </c>
      <c r="AA5569">
        <v>0.98885809999999996</v>
      </c>
      <c r="AB5569">
        <v>37</v>
      </c>
      <c r="AC5569">
        <v>0.27600000000001002</v>
      </c>
      <c r="AD5569">
        <v>-1.1116749663418899</v>
      </c>
      <c r="AE5569">
        <v>-8.1980200000000103</v>
      </c>
      <c r="AF5569">
        <v>-0.80469702480580196</v>
      </c>
      <c r="AG5569">
        <v>-1.1116749663418899</v>
      </c>
      <c r="AH5569">
        <v>8.0144241292479297</v>
      </c>
      <c r="AI5569">
        <v>97.858052718838806</v>
      </c>
      <c r="AJ5569">
        <v>95.733629327789799</v>
      </c>
      <c r="AK5569">
        <v>8.1310732782329502</v>
      </c>
      <c r="AL5569">
        <v>65.807450297280894</v>
      </c>
      <c r="AM5569">
        <v>100.774177396371</v>
      </c>
      <c r="AN5569">
        <v>0.99999993808087795</v>
      </c>
    </row>
    <row r="5570" spans="1:40" x14ac:dyDescent="0.25">
      <c r="A5570" t="str">
        <f>"20190304164959185"</f>
        <v>20190304164959185</v>
      </c>
      <c r="B5570" t="str">
        <f>"1551689399181160"</f>
        <v>1551689399181160</v>
      </c>
      <c r="C5570" t="s">
        <v>40</v>
      </c>
      <c r="D5570">
        <v>4.6722349999999997</v>
      </c>
      <c r="E5570">
        <v>0.54991219999999996</v>
      </c>
      <c r="F5570" t="s">
        <v>42</v>
      </c>
      <c r="G5570">
        <v>-421.49299999999999</v>
      </c>
      <c r="H5570" s="1">
        <v>-8.3884090000000005E-7</v>
      </c>
      <c r="I5570">
        <v>80.618480000000005</v>
      </c>
      <c r="J5570">
        <v>-421.77379999999999</v>
      </c>
      <c r="K5570">
        <v>1.1115820000000001</v>
      </c>
      <c r="L5570">
        <v>88.752930000000006</v>
      </c>
      <c r="M5570">
        <v>-6.5869209999999997E-2</v>
      </c>
      <c r="N5570">
        <v>-1.4071699999999999E-2</v>
      </c>
      <c r="O5570">
        <v>-0.99772910000000004</v>
      </c>
      <c r="P5570">
        <v>0.11042680000000001</v>
      </c>
      <c r="Q5570">
        <v>0.39692230000000001</v>
      </c>
      <c r="R5570">
        <v>-0.91118529999999998</v>
      </c>
      <c r="S5570">
        <v>0.10488889999999999</v>
      </c>
      <c r="T5570">
        <v>-0.45459500000000003</v>
      </c>
      <c r="U5570">
        <v>-3.478882</v>
      </c>
      <c r="V5570">
        <v>-0.1709019</v>
      </c>
      <c r="W5570">
        <v>0.40928720000000002</v>
      </c>
      <c r="X5570">
        <v>0.89625689999999902</v>
      </c>
      <c r="Y5570">
        <v>-9.5618419999999996E-2</v>
      </c>
      <c r="Z5570">
        <v>0.1148443</v>
      </c>
      <c r="AA5570">
        <v>0.98877090000000001</v>
      </c>
      <c r="AB5570">
        <v>37</v>
      </c>
      <c r="AC5570">
        <v>0.28079999999994198</v>
      </c>
      <c r="AD5570">
        <v>-1.1115828388408999</v>
      </c>
      <c r="AE5570">
        <v>-8.1344499999999993</v>
      </c>
      <c r="AF5570">
        <v>-0.80111107872427001</v>
      </c>
      <c r="AG5570">
        <v>-1.1115828388408999</v>
      </c>
      <c r="AH5570">
        <v>7.9500044802776602</v>
      </c>
      <c r="AI5570">
        <v>97.919991855980498</v>
      </c>
      <c r="AJ5570">
        <v>95.754193167617402</v>
      </c>
      <c r="AK5570">
        <v>8.0672155422112795</v>
      </c>
      <c r="AL5570">
        <v>65.839933061378602</v>
      </c>
      <c r="AM5570">
        <v>100.795790215496</v>
      </c>
      <c r="AN5570">
        <v>0.99999995115252804</v>
      </c>
    </row>
    <row r="5571" spans="1:40" x14ac:dyDescent="0.25">
      <c r="A5571" t="str">
        <f>"20190304164959208"</f>
        <v>20190304164959208</v>
      </c>
      <c r="B5571" t="str">
        <f>"1551689399201658"</f>
        <v>1551689399201658</v>
      </c>
      <c r="C5571" t="s">
        <v>40</v>
      </c>
      <c r="D5571">
        <v>4.582452</v>
      </c>
      <c r="E5571">
        <v>0.55000199999999999</v>
      </c>
      <c r="F5571" t="s">
        <v>42</v>
      </c>
      <c r="G5571">
        <v>-421.51749999999998</v>
      </c>
      <c r="H5571" s="1">
        <v>-6.9754359999999901E-7</v>
      </c>
      <c r="I5571">
        <v>80.273889999999994</v>
      </c>
      <c r="J5571">
        <v>-421.79899999999998</v>
      </c>
      <c r="K5571">
        <v>1.111507</v>
      </c>
      <c r="L5571">
        <v>88.363489999999999</v>
      </c>
      <c r="M5571">
        <v>-6.5428609999999998E-2</v>
      </c>
      <c r="N5571">
        <v>-1.4181590000000001E-2</v>
      </c>
      <c r="O5571">
        <v>-0.99775650000000005</v>
      </c>
      <c r="P5571">
        <v>0.11059620000000001</v>
      </c>
      <c r="Q5571">
        <v>0.396565</v>
      </c>
      <c r="R5571">
        <v>-0.91132029999999997</v>
      </c>
      <c r="S5571">
        <v>0.10513309999999999</v>
      </c>
      <c r="T5571">
        <v>-0.4560014</v>
      </c>
      <c r="U5571">
        <v>-3.4783330000000001</v>
      </c>
      <c r="V5571">
        <v>-0.1705911</v>
      </c>
      <c r="W5571">
        <v>0.40906920000000002</v>
      </c>
      <c r="X5571">
        <v>0.89641569999999904</v>
      </c>
      <c r="Y5571">
        <v>-9.5251199999999994E-2</v>
      </c>
      <c r="Z5571">
        <v>0.11515549999999999</v>
      </c>
      <c r="AA5571">
        <v>0.98877009999999999</v>
      </c>
      <c r="AB5571">
        <v>37</v>
      </c>
      <c r="AC5571">
        <v>0.28150000000004999</v>
      </c>
      <c r="AD5571">
        <v>-1.1115076975436</v>
      </c>
      <c r="AE5571">
        <v>-8.0895999999999901</v>
      </c>
      <c r="AF5571">
        <v>-0.79524618304049199</v>
      </c>
      <c r="AG5571">
        <v>-1.1115076975436</v>
      </c>
      <c r="AH5571">
        <v>7.9047912614027398</v>
      </c>
      <c r="AI5571">
        <v>97.964310562867595</v>
      </c>
      <c r="AJ5571">
        <v>95.744801730038006</v>
      </c>
      <c r="AK5571">
        <v>8.0220689812347192</v>
      </c>
      <c r="AL5571">
        <v>65.853623723244098</v>
      </c>
      <c r="AM5571">
        <v>100.774752924989</v>
      </c>
      <c r="AN5571">
        <v>1.00000002049716</v>
      </c>
    </row>
    <row r="5572" spans="1:40" x14ac:dyDescent="0.25">
      <c r="A5572" t="str">
        <f>"20190304164959228"</f>
        <v>20190304164959228</v>
      </c>
      <c r="B5572" t="str">
        <f>"1551689399221175"</f>
        <v>1551689399221175</v>
      </c>
      <c r="C5572" t="s">
        <v>40</v>
      </c>
      <c r="D5572">
        <v>4.6489339999999997</v>
      </c>
      <c r="E5572">
        <v>0.55013919999999905</v>
      </c>
      <c r="F5572" t="s">
        <v>42</v>
      </c>
      <c r="G5572">
        <v>-421.53989999999999</v>
      </c>
      <c r="H5572" s="1">
        <v>-5.0795689999999998E-7</v>
      </c>
      <c r="I5572">
        <v>79.818069999999906</v>
      </c>
      <c r="J5572">
        <v>-421.822</v>
      </c>
      <c r="K5572">
        <v>1.1114520000000001</v>
      </c>
      <c r="L5572">
        <v>88.006529999999998</v>
      </c>
      <c r="M5572">
        <v>-6.5071779999999996E-2</v>
      </c>
      <c r="N5572">
        <v>-1.426886E-2</v>
      </c>
      <c r="O5572">
        <v>-0.99777870000000002</v>
      </c>
      <c r="P5572">
        <v>0.1104156</v>
      </c>
      <c r="Q5572">
        <v>0.3958856</v>
      </c>
      <c r="R5572">
        <v>-0.91163760000000005</v>
      </c>
      <c r="S5572">
        <v>0.1053772</v>
      </c>
      <c r="T5572">
        <v>-0.45211079999999998</v>
      </c>
      <c r="U5572">
        <v>-3.4758909999999998</v>
      </c>
      <c r="V5572">
        <v>-0.17004339999999901</v>
      </c>
      <c r="W5572">
        <v>0.40850130000000001</v>
      </c>
      <c r="X5572">
        <v>0.89677870000000004</v>
      </c>
      <c r="Y5572">
        <v>-9.4989740000000003E-2</v>
      </c>
      <c r="Z5572">
        <v>0.1140771</v>
      </c>
      <c r="AA5572">
        <v>0.98892029999999997</v>
      </c>
      <c r="AB5572">
        <v>37</v>
      </c>
      <c r="AC5572">
        <v>0.282099999999957</v>
      </c>
      <c r="AD5572">
        <v>-1.1114525079569</v>
      </c>
      <c r="AE5572">
        <v>-8.1884599999999992</v>
      </c>
      <c r="AF5572">
        <v>-0.79967825429013994</v>
      </c>
      <c r="AG5572">
        <v>-1.1114525079569</v>
      </c>
      <c r="AH5572">
        <v>8.0054281775156007</v>
      </c>
      <c r="AI5572">
        <v>97.865613955276103</v>
      </c>
      <c r="AJ5572">
        <v>95.704466556036706</v>
      </c>
      <c r="AK5572">
        <v>8.12168038605245</v>
      </c>
      <c r="AL5572">
        <v>65.889277845074702</v>
      </c>
      <c r="AM5572">
        <v>100.736718881321</v>
      </c>
      <c r="AN5572">
        <v>1.00000005337946</v>
      </c>
    </row>
    <row r="5573" spans="1:40" x14ac:dyDescent="0.25">
      <c r="A5573" t="str">
        <f>"20190304164959251"</f>
        <v>20190304164959251</v>
      </c>
      <c r="B5573" t="str">
        <f>"1551689399241672"</f>
        <v>1551689399241672</v>
      </c>
      <c r="C5573" t="s">
        <v>40</v>
      </c>
      <c r="D5573">
        <v>4.7143119999999996</v>
      </c>
      <c r="E5573">
        <v>0.55026969999999997</v>
      </c>
      <c r="F5573" t="s">
        <v>42</v>
      </c>
      <c r="G5573">
        <v>-421.56799999999998</v>
      </c>
      <c r="H5573" s="1">
        <v>-4.5405449999999997E-6</v>
      </c>
      <c r="I5573">
        <v>79.512059999999906</v>
      </c>
      <c r="J5573">
        <v>-421.84519999999998</v>
      </c>
      <c r="K5573">
        <v>1.1114090000000001</v>
      </c>
      <c r="L5573">
        <v>87.643799999999999</v>
      </c>
      <c r="M5573">
        <v>-6.4730220000000005E-2</v>
      </c>
      <c r="N5573">
        <v>-1.434589E-2</v>
      </c>
      <c r="O5573">
        <v>-0.99779969999999996</v>
      </c>
      <c r="P5573">
        <v>0.1102365</v>
      </c>
      <c r="Q5573">
        <v>0.39569209999999999</v>
      </c>
      <c r="R5573">
        <v>-0.91174359999999999</v>
      </c>
      <c r="S5573">
        <v>0.1039124</v>
      </c>
      <c r="T5573">
        <v>-0.45477820000000002</v>
      </c>
      <c r="U5573">
        <v>-3.475708</v>
      </c>
      <c r="V5573">
        <v>-0.1695151</v>
      </c>
      <c r="W5573">
        <v>0.40840029999999999</v>
      </c>
      <c r="X5573">
        <v>0.89692469999999902</v>
      </c>
      <c r="Y5573">
        <v>-9.4231540000000003E-2</v>
      </c>
      <c r="Z5573">
        <v>0.11476260000000001</v>
      </c>
      <c r="AA5573">
        <v>0.9889135</v>
      </c>
      <c r="AB5573">
        <v>37</v>
      </c>
      <c r="AC5573">
        <v>0.277199999999936</v>
      </c>
      <c r="AD5573">
        <v>-1.1114135405450001</v>
      </c>
      <c r="AE5573">
        <v>-8.1317400000000006</v>
      </c>
      <c r="AF5573">
        <v>-0.788332796926007</v>
      </c>
      <c r="AG5573">
        <v>-1.1114135405450001</v>
      </c>
      <c r="AH5573">
        <v>7.9484306204750599</v>
      </c>
      <c r="AI5573">
        <v>97.921578057069397</v>
      </c>
      <c r="AJ5573">
        <v>95.664125170602105</v>
      </c>
      <c r="AK5573">
        <v>8.0643820584916099</v>
      </c>
      <c r="AL5573">
        <v>65.895617482579496</v>
      </c>
      <c r="AM5573">
        <v>100.70243124396799</v>
      </c>
      <c r="AN5573">
        <v>1.0000000458190901</v>
      </c>
    </row>
    <row r="5574" spans="1:40" x14ac:dyDescent="0.25">
      <c r="A5574" t="str">
        <f>"20190304164959273"</f>
        <v>20190304164959273</v>
      </c>
      <c r="B5574" t="str">
        <f>"1551689399261191"</f>
        <v>1551689399261191</v>
      </c>
      <c r="C5574" t="s">
        <v>40</v>
      </c>
      <c r="D5574">
        <v>4.7688290000000002</v>
      </c>
      <c r="E5574">
        <v>0.55044669999999996</v>
      </c>
      <c r="F5574" t="s">
        <v>42</v>
      </c>
      <c r="G5574">
        <v>-421.60419999999999</v>
      </c>
      <c r="H5574" s="1">
        <v>-4.4243269999999998E-6</v>
      </c>
      <c r="I5574">
        <v>79.151679999999999</v>
      </c>
      <c r="J5574">
        <v>-421.86880000000002</v>
      </c>
      <c r="K5574">
        <v>1.1113839999999999</v>
      </c>
      <c r="L5574">
        <v>87.275019999999998</v>
      </c>
      <c r="M5574">
        <v>-6.4374470000000003E-2</v>
      </c>
      <c r="N5574">
        <v>-1.44137E-2</v>
      </c>
      <c r="O5574">
        <v>-0.99782199999999999</v>
      </c>
      <c r="P5574">
        <v>0.1094381</v>
      </c>
      <c r="Q5574">
        <v>0.39610260000000003</v>
      </c>
      <c r="R5574">
        <v>-0.91166139999999996</v>
      </c>
      <c r="S5574">
        <v>9.8663329999999994E-2</v>
      </c>
      <c r="T5574">
        <v>-0.45491429999999999</v>
      </c>
      <c r="U5574">
        <v>-3.4759220000000002</v>
      </c>
      <c r="V5574">
        <v>-0.16836389999999901</v>
      </c>
      <c r="W5574">
        <v>0.40888429999999998</v>
      </c>
      <c r="X5574">
        <v>0.89692099999999897</v>
      </c>
      <c r="Y5574">
        <v>-9.2384110000000005E-2</v>
      </c>
      <c r="Z5574">
        <v>0.11474470000000001</v>
      </c>
      <c r="AA5574">
        <v>0.98908989999999997</v>
      </c>
      <c r="AB5574">
        <v>37</v>
      </c>
      <c r="AC5574">
        <v>0.26460000000002898</v>
      </c>
      <c r="AD5574">
        <v>-1.111388424327</v>
      </c>
      <c r="AE5574">
        <v>-8.12333999999999</v>
      </c>
      <c r="AF5574">
        <v>-0.77259474153350605</v>
      </c>
      <c r="AG5574">
        <v>-1.111388424327</v>
      </c>
      <c r="AH5574">
        <v>7.9409693618129804</v>
      </c>
      <c r="AI5574">
        <v>97.930188198076905</v>
      </c>
      <c r="AJ5574">
        <v>95.556945483434902</v>
      </c>
      <c r="AK5574">
        <v>8.0555000632875498</v>
      </c>
      <c r="AL5574">
        <v>65.865233169652399</v>
      </c>
      <c r="AM5574">
        <v>100.631454733506</v>
      </c>
      <c r="AN5574">
        <v>1.00000002692534</v>
      </c>
    </row>
    <row r="5575" spans="1:40" x14ac:dyDescent="0.25">
      <c r="A5575" t="str">
        <f>"20190304164959298"</f>
        <v>20190304164959298</v>
      </c>
      <c r="B5575" t="str">
        <f>"1551689399291447"</f>
        <v>1551689399291447</v>
      </c>
      <c r="C5575" t="s">
        <v>40</v>
      </c>
      <c r="D5575">
        <v>4.7430949999999896</v>
      </c>
      <c r="E5575">
        <v>0.5715943</v>
      </c>
      <c r="F5575" t="s">
        <v>42</v>
      </c>
      <c r="G5575">
        <v>-421.63839999999999</v>
      </c>
      <c r="H5575" s="1">
        <v>-4.2921349999999999E-6</v>
      </c>
      <c r="I5575">
        <v>78.745419999999996</v>
      </c>
      <c r="J5575">
        <v>-421.89350000000002</v>
      </c>
      <c r="K5575">
        <v>1.111397</v>
      </c>
      <c r="L5575">
        <v>86.884460000000004</v>
      </c>
      <c r="M5575">
        <v>-6.3953129999999997E-2</v>
      </c>
      <c r="N5575">
        <v>-1.447503E-2</v>
      </c>
      <c r="O5575">
        <v>-0.99784819999999996</v>
      </c>
      <c r="P5575">
        <v>0.108072</v>
      </c>
      <c r="Q5575">
        <v>0.39690049999999999</v>
      </c>
      <c r="R5575">
        <v>-0.91147739999999999</v>
      </c>
      <c r="S5575">
        <v>9.3902589999999994E-2</v>
      </c>
      <c r="T5575">
        <v>-0.45294479999999998</v>
      </c>
      <c r="U5575">
        <v>-3.4762270000000002</v>
      </c>
      <c r="V5575">
        <v>-0.16660629999999901</v>
      </c>
      <c r="W5575">
        <v>0.40973959999999998</v>
      </c>
      <c r="X5575">
        <v>0.89685890000000001</v>
      </c>
      <c r="Y5575">
        <v>-9.0611349999999993E-2</v>
      </c>
      <c r="Z5575">
        <v>0.1141411</v>
      </c>
      <c r="AA5575">
        <v>0.98932370000000003</v>
      </c>
      <c r="AB5575">
        <v>37</v>
      </c>
      <c r="AC5575">
        <v>0.25510000000002703</v>
      </c>
      <c r="AD5575">
        <v>-1.1114012921349901</v>
      </c>
      <c r="AE5575">
        <v>-8.1390399999999996</v>
      </c>
      <c r="AF5575">
        <v>-0.76097364596222905</v>
      </c>
      <c r="AG5575">
        <v>-1.1114012921349901</v>
      </c>
      <c r="AH5575">
        <v>7.9578197511634396</v>
      </c>
      <c r="AI5575">
        <v>97.914944151220496</v>
      </c>
      <c r="AJ5575">
        <v>95.462350861114999</v>
      </c>
      <c r="AK5575">
        <v>8.0710091632964591</v>
      </c>
      <c r="AL5575">
        <v>65.811523168539694</v>
      </c>
      <c r="AM5575">
        <v>100.523673804409</v>
      </c>
      <c r="AN5575">
        <v>1.0000000427585201</v>
      </c>
    </row>
    <row r="5576" spans="1:40" x14ac:dyDescent="0.25">
      <c r="A5576" t="str">
        <f>"20190304164959319"</f>
        <v>20190304164959319</v>
      </c>
      <c r="B5576" t="str">
        <f>"1551689399310971"</f>
        <v>1551689399310971</v>
      </c>
      <c r="C5576" t="s">
        <v>40</v>
      </c>
      <c r="D5576">
        <v>5.0652730000000004</v>
      </c>
      <c r="E5576">
        <v>0.57292849999999995</v>
      </c>
      <c r="F5576" t="s">
        <v>41</v>
      </c>
      <c r="G5576">
        <v>-421.91550000000001</v>
      </c>
      <c r="H5576">
        <v>0.97548579999999996</v>
      </c>
      <c r="I5576">
        <v>85.880960000000002</v>
      </c>
      <c r="J5576">
        <v>-421.91699999999997</v>
      </c>
      <c r="K5576">
        <v>1.1114299999999999</v>
      </c>
      <c r="L5576">
        <v>86.511319999999998</v>
      </c>
      <c r="M5576">
        <v>-6.3483059999999994E-2</v>
      </c>
      <c r="N5576">
        <v>-1.45249E-2</v>
      </c>
      <c r="O5576">
        <v>-0.99787740000000003</v>
      </c>
      <c r="P5576">
        <v>0.10643329999999999</v>
      </c>
      <c r="Q5576">
        <v>0.3976518</v>
      </c>
      <c r="R5576">
        <v>-0.91134280000000001</v>
      </c>
      <c r="S5576">
        <v>-7.6782230000000007E-2</v>
      </c>
      <c r="T5576">
        <v>-0.47499449999999999</v>
      </c>
      <c r="U5576">
        <v>-3.5072939999999999</v>
      </c>
      <c r="V5576">
        <v>-0.16456089999999901</v>
      </c>
      <c r="W5576">
        <v>0.41052939999999999</v>
      </c>
      <c r="X5576">
        <v>0.89687530000000004</v>
      </c>
      <c r="Y5576">
        <v>-4.1743080000000002E-2</v>
      </c>
      <c r="Z5576">
        <v>0.119329</v>
      </c>
      <c r="AA5576">
        <v>0.99197690000000005</v>
      </c>
      <c r="AB5576">
        <v>37</v>
      </c>
      <c r="AC5576">
        <v>1.4999999999645199E-3</v>
      </c>
      <c r="AD5576">
        <v>-0.13594419999999899</v>
      </c>
      <c r="AE5576">
        <v>-0.63035999999999504</v>
      </c>
      <c r="AF5576">
        <v>-3.9673189844555097E-2</v>
      </c>
      <c r="AG5576">
        <v>-0.13594419999999899</v>
      </c>
      <c r="AH5576">
        <v>0.601038989154703</v>
      </c>
      <c r="AI5576">
        <v>102.71805415561001</v>
      </c>
      <c r="AJ5576">
        <v>93.776483162932706</v>
      </c>
      <c r="AK5576">
        <v>0.61749708824430005</v>
      </c>
      <c r="AL5576">
        <v>65.761904546372904</v>
      </c>
      <c r="AM5576">
        <v>100.39712492286399</v>
      </c>
      <c r="AN5576">
        <v>0.99999999091163005</v>
      </c>
    </row>
    <row r="5577" spans="1:40" x14ac:dyDescent="0.25">
      <c r="A5577" t="str">
        <f>"20190304164959342"</f>
        <v>20190304164959342</v>
      </c>
      <c r="B5577" t="str">
        <f>"1551689399331463"</f>
        <v>1551689399331463</v>
      </c>
      <c r="C5577" t="s">
        <v>40</v>
      </c>
      <c r="D5577">
        <v>4.7441800000000001</v>
      </c>
      <c r="E5577">
        <v>0.57290050000000003</v>
      </c>
      <c r="F5577" t="s">
        <v>41</v>
      </c>
      <c r="G5577">
        <v>-421.94260000000003</v>
      </c>
      <c r="H5577">
        <v>0.98308870000000004</v>
      </c>
      <c r="I5577">
        <v>85.547399999999996</v>
      </c>
      <c r="J5577">
        <v>-421.9393</v>
      </c>
      <c r="K5577">
        <v>1.1114649999999999</v>
      </c>
      <c r="L5577">
        <v>86.151700000000005</v>
      </c>
      <c r="M5577">
        <v>-6.2970040000000005E-2</v>
      </c>
      <c r="N5577">
        <v>-1.4566229999999999E-2</v>
      </c>
      <c r="O5577">
        <v>-0.99790919999999905</v>
      </c>
      <c r="P5577">
        <v>0.10505929999999999</v>
      </c>
      <c r="Q5577">
        <v>0.39750750000000001</v>
      </c>
      <c r="R5577">
        <v>-0.91156479999999995</v>
      </c>
      <c r="S5577">
        <v>-9.2132569999999997E-2</v>
      </c>
      <c r="T5577">
        <v>-0.46694600000000003</v>
      </c>
      <c r="U5577">
        <v>-3.506348</v>
      </c>
      <c r="V5577">
        <v>-0.16277339999999901</v>
      </c>
      <c r="W5577">
        <v>0.41041680000000003</v>
      </c>
      <c r="X5577">
        <v>0.89725299999999997</v>
      </c>
      <c r="Y5577">
        <v>-3.6881789999999998E-2</v>
      </c>
      <c r="Z5577">
        <v>0.11710669999999999</v>
      </c>
      <c r="AA5577">
        <v>0.99243429999999999</v>
      </c>
      <c r="AB5577">
        <v>37</v>
      </c>
      <c r="AC5577">
        <v>-3.30000000002428E-3</v>
      </c>
      <c r="AD5577">
        <v>-0.1283763</v>
      </c>
      <c r="AE5577">
        <v>-0.60430000000000905</v>
      </c>
      <c r="AF5577">
        <v>-3.3262299948327002E-2</v>
      </c>
      <c r="AG5577">
        <v>-0.1283763</v>
      </c>
      <c r="AH5577">
        <v>0.57725748106085295</v>
      </c>
      <c r="AI5577">
        <v>102.517861088885</v>
      </c>
      <c r="AJ5577">
        <v>93.297808087268805</v>
      </c>
      <c r="AK5577">
        <v>0.59229473612405503</v>
      </c>
      <c r="AL5577">
        <v>65.768980759895399</v>
      </c>
      <c r="AM5577">
        <v>100.28237511210401</v>
      </c>
      <c r="AN5577">
        <v>1.0000000377393901</v>
      </c>
    </row>
    <row r="5578" spans="1:40" x14ac:dyDescent="0.25">
      <c r="A5578" t="str">
        <f>"20190304164959363"</f>
        <v>20190304164959363</v>
      </c>
      <c r="B5578" t="str">
        <f>"1551689399350983"</f>
        <v>1551689399350983</v>
      </c>
      <c r="C5578" t="s">
        <v>40</v>
      </c>
      <c r="D5578">
        <v>4.7192959999999999</v>
      </c>
      <c r="E5578">
        <v>0.57280220000000004</v>
      </c>
      <c r="F5578" t="s">
        <v>41</v>
      </c>
      <c r="G5578">
        <v>-421.96499999999997</v>
      </c>
      <c r="H5578">
        <v>0.98515299999999995</v>
      </c>
      <c r="I5578">
        <v>85.216419999999999</v>
      </c>
      <c r="J5578">
        <v>-421.96140000000003</v>
      </c>
      <c r="K5578">
        <v>1.111504</v>
      </c>
      <c r="L5578">
        <v>85.792879999999997</v>
      </c>
      <c r="M5578">
        <v>-6.2385919999999997E-2</v>
      </c>
      <c r="N5578">
        <v>-1.4601680000000001E-2</v>
      </c>
      <c r="O5578">
        <v>-0.99794550000000004</v>
      </c>
      <c r="P5578">
        <v>0.1044158</v>
      </c>
      <c r="Q5578">
        <v>0.39662380000000003</v>
      </c>
      <c r="R5578">
        <v>-0.91202380000000005</v>
      </c>
      <c r="S5578">
        <v>-9.5916749999999995E-2</v>
      </c>
      <c r="T5578">
        <v>-0.47391949999999999</v>
      </c>
      <c r="U5578">
        <v>-3.5087589999999902</v>
      </c>
      <c r="V5578">
        <v>-0.1616737</v>
      </c>
      <c r="W5578">
        <v>0.40955780000000003</v>
      </c>
      <c r="X5578">
        <v>0.89784409999999903</v>
      </c>
      <c r="Y5578">
        <v>-3.5252270000000002E-2</v>
      </c>
      <c r="Z5578">
        <v>0.1189243</v>
      </c>
      <c r="AA5578">
        <v>0.99227730000000003</v>
      </c>
      <c r="AB5578">
        <v>37</v>
      </c>
      <c r="AC5578">
        <v>-3.59999999994897E-3</v>
      </c>
      <c r="AD5578">
        <v>-0.12635099999999999</v>
      </c>
      <c r="AE5578">
        <v>-0.57646000000001096</v>
      </c>
      <c r="AF5578">
        <v>-3.0889881273771101E-2</v>
      </c>
      <c r="AG5578">
        <v>-0.12635099999999999</v>
      </c>
      <c r="AH5578">
        <v>0.54917898597371195</v>
      </c>
      <c r="AI5578">
        <v>102.93695237574499</v>
      </c>
      <c r="AJ5578">
        <v>93.219345480181403</v>
      </c>
      <c r="AK5578">
        <v>0.56437249986265503</v>
      </c>
      <c r="AL5578">
        <v>65.8229405432444</v>
      </c>
      <c r="AM5578">
        <v>100.207791316661</v>
      </c>
      <c r="AN5578">
        <v>1.0000000023586699</v>
      </c>
    </row>
    <row r="5579" spans="1:40" x14ac:dyDescent="0.25">
      <c r="A5579" t="str">
        <f>"20190304164959386"</f>
        <v>20190304164959386</v>
      </c>
      <c r="B5579" t="str">
        <f>"1551689399381239"</f>
        <v>1551689399381239</v>
      </c>
      <c r="C5579" t="s">
        <v>40</v>
      </c>
      <c r="D5579">
        <v>4.6750550000000004</v>
      </c>
      <c r="E5579">
        <v>0.57293249999999996</v>
      </c>
      <c r="F5579" t="s">
        <v>41</v>
      </c>
      <c r="G5579">
        <v>-421.98680000000002</v>
      </c>
      <c r="H5579">
        <v>0.98692270000000004</v>
      </c>
      <c r="I5579">
        <v>84.885940000000005</v>
      </c>
      <c r="J5579">
        <v>-421.98410000000001</v>
      </c>
      <c r="K5579">
        <v>1.1115679999999999</v>
      </c>
      <c r="L5579">
        <v>85.417389999999997</v>
      </c>
      <c r="M5579">
        <v>-6.1684610000000001E-2</v>
      </c>
      <c r="N5579">
        <v>-1.463338E-2</v>
      </c>
      <c r="O5579">
        <v>-0.99798849999999995</v>
      </c>
      <c r="P5579">
        <v>0.1047551</v>
      </c>
      <c r="Q5579">
        <v>0.3958817</v>
      </c>
      <c r="R5579">
        <v>-0.91230710000000004</v>
      </c>
      <c r="S5579">
        <v>-9.7564700000000004E-2</v>
      </c>
      <c r="T5579">
        <v>-0.48225829999999997</v>
      </c>
      <c r="U5579">
        <v>-3.5102839999999902</v>
      </c>
      <c r="V5579">
        <v>-0.16144939999999999</v>
      </c>
      <c r="W5579">
        <v>0.40882810000000003</v>
      </c>
      <c r="X5579">
        <v>0.89821689999999998</v>
      </c>
      <c r="Y5579">
        <v>-3.4104389999999998E-2</v>
      </c>
      <c r="Z5579">
        <v>0.1211542</v>
      </c>
      <c r="AA5579">
        <v>0.99204769999999998</v>
      </c>
      <c r="AB5579">
        <v>37</v>
      </c>
      <c r="AC5579">
        <v>-2.7000000000043599E-3</v>
      </c>
      <c r="AD5579">
        <v>-0.1246453</v>
      </c>
      <c r="AE5579">
        <v>-0.53144999999999198</v>
      </c>
      <c r="AF5579">
        <v>-2.85220327856439E-2</v>
      </c>
      <c r="AG5579">
        <v>-0.1246453</v>
      </c>
      <c r="AH5579">
        <v>0.50293926324833504</v>
      </c>
      <c r="AI5579">
        <v>103.89790259567</v>
      </c>
      <c r="AJ5579">
        <v>93.245806569852604</v>
      </c>
      <c r="AK5579">
        <v>0.51893916761321202</v>
      </c>
      <c r="AL5579">
        <v>65.868759907391293</v>
      </c>
      <c r="AM5579">
        <v>100.189784319975</v>
      </c>
      <c r="AN5579">
        <v>0.99999996177778905</v>
      </c>
    </row>
    <row r="5580" spans="1:40" x14ac:dyDescent="0.25">
      <c r="A5580" t="str">
        <f>"20190304164959408"</f>
        <v>20190304164959408</v>
      </c>
      <c r="B5580" t="str">
        <f>"1551689399401739"</f>
        <v>1551689399401739</v>
      </c>
      <c r="C5580" t="s">
        <v>40</v>
      </c>
      <c r="D5580">
        <v>4.7393919999999996</v>
      </c>
      <c r="E5580">
        <v>0.57295419999999997</v>
      </c>
      <c r="F5580" t="s">
        <v>41</v>
      </c>
      <c r="G5580">
        <v>-422.00920000000002</v>
      </c>
      <c r="H5580">
        <v>0.99193120000000001</v>
      </c>
      <c r="I5580">
        <v>84.554419999999993</v>
      </c>
      <c r="J5580">
        <v>-422.00670000000002</v>
      </c>
      <c r="K5580">
        <v>1.11164</v>
      </c>
      <c r="L5580">
        <v>85.03989</v>
      </c>
      <c r="M5580">
        <v>-6.0884010000000002E-2</v>
      </c>
      <c r="N5580">
        <v>-1.466054E-2</v>
      </c>
      <c r="O5580">
        <v>-0.99803739999999996</v>
      </c>
      <c r="P5580">
        <v>0.1053095</v>
      </c>
      <c r="Q5580">
        <v>0.39587290000000003</v>
      </c>
      <c r="R5580">
        <v>-0.91224729999999998</v>
      </c>
      <c r="S5580">
        <v>-0.10086059999999999</v>
      </c>
      <c r="T5580">
        <v>-0.48686560000000001</v>
      </c>
      <c r="U5580">
        <v>-3.5112000000000001</v>
      </c>
      <c r="V5580">
        <v>-0.16133929999999999</v>
      </c>
      <c r="W5580">
        <v>0.40881849999999997</v>
      </c>
      <c r="X5580">
        <v>0.89824110000000001</v>
      </c>
      <c r="Y5580">
        <v>-3.2385219999999999E-2</v>
      </c>
      <c r="Z5580">
        <v>0.12237870000000001</v>
      </c>
      <c r="AA5580">
        <v>0.99195500000000003</v>
      </c>
      <c r="AB5580">
        <v>37</v>
      </c>
      <c r="AC5580">
        <v>-2.4999999999977202E-3</v>
      </c>
      <c r="AD5580">
        <v>-0.119708799999999</v>
      </c>
      <c r="AE5580">
        <v>-0.48547000000000601</v>
      </c>
      <c r="AF5580">
        <v>-2.55138817210507E-2</v>
      </c>
      <c r="AG5580">
        <v>-0.119708799999999</v>
      </c>
      <c r="AH5580">
        <v>0.45693875164594799</v>
      </c>
      <c r="AI5580">
        <v>104.658578182984</v>
      </c>
      <c r="AJ5580">
        <v>93.195879911039995</v>
      </c>
      <c r="AK5580">
        <v>0.47304775415773098</v>
      </c>
      <c r="AL5580">
        <v>65.869363717015403</v>
      </c>
      <c r="AM5580">
        <v>100.182712273181</v>
      </c>
      <c r="AN5580">
        <v>1.00000000469797</v>
      </c>
    </row>
    <row r="5581" spans="1:40" x14ac:dyDescent="0.25">
      <c r="A5581" t="str">
        <f>"20190304164959430"</f>
        <v>20190304164959430</v>
      </c>
      <c r="B5581" t="str">
        <f>"1551689399421255"</f>
        <v>1551689399421255</v>
      </c>
      <c r="C5581" t="s">
        <v>40</v>
      </c>
      <c r="D5581">
        <v>4.7358609999999999</v>
      </c>
      <c r="E5581">
        <v>0.57294979999999995</v>
      </c>
      <c r="F5581" t="s">
        <v>41</v>
      </c>
      <c r="G5581">
        <v>-422.0308</v>
      </c>
      <c r="H5581">
        <v>0.99847419999999998</v>
      </c>
      <c r="I5581">
        <v>84.222489999999993</v>
      </c>
      <c r="J5581">
        <v>-422.02710000000002</v>
      </c>
      <c r="K5581">
        <v>1.111718</v>
      </c>
      <c r="L5581">
        <v>84.692319999999995</v>
      </c>
      <c r="M5581">
        <v>-6.006512E-2</v>
      </c>
      <c r="N5581">
        <v>-1.4681799999999899E-2</v>
      </c>
      <c r="O5581">
        <v>-0.99808660000000005</v>
      </c>
      <c r="P5581">
        <v>0.10650229999999999</v>
      </c>
      <c r="Q5581">
        <v>0.39592060000000001</v>
      </c>
      <c r="R5581">
        <v>-0.91208800000000001</v>
      </c>
      <c r="S5581">
        <v>-0.10241699999999999</v>
      </c>
      <c r="T5581">
        <v>-0.48625590000000002</v>
      </c>
      <c r="U5581">
        <v>-3.5114139999999998</v>
      </c>
      <c r="V5581">
        <v>-0.16184319999999999</v>
      </c>
      <c r="W5581">
        <v>0.40885769999999999</v>
      </c>
      <c r="X5581">
        <v>0.89813259999999995</v>
      </c>
      <c r="Y5581">
        <v>-3.1128320000000001E-2</v>
      </c>
      <c r="Z5581">
        <v>0.122193</v>
      </c>
      <c r="AA5581">
        <v>0.99201810000000001</v>
      </c>
      <c r="AB5581">
        <v>37</v>
      </c>
      <c r="AC5581">
        <v>-3.69999999998071E-3</v>
      </c>
      <c r="AD5581">
        <v>-0.11324380000000001</v>
      </c>
      <c r="AE5581">
        <v>-0.46982999999998698</v>
      </c>
      <c r="AF5581">
        <v>-2.3183336797639498E-2</v>
      </c>
      <c r="AG5581">
        <v>-0.11324380000000001</v>
      </c>
      <c r="AH5581">
        <v>0.44344304772434401</v>
      </c>
      <c r="AI5581">
        <v>104.30693227574</v>
      </c>
      <c r="AJ5581">
        <v>92.992716091172895</v>
      </c>
      <c r="AK5581">
        <v>0.45826123763478799</v>
      </c>
      <c r="AL5581">
        <v>65.866902616144898</v>
      </c>
      <c r="AM5581">
        <v>100.215054667866</v>
      </c>
      <c r="AN5581">
        <v>1.0000000037091401</v>
      </c>
    </row>
    <row r="5582" spans="1:40" x14ac:dyDescent="0.25">
      <c r="A5582" t="str">
        <f>"20190304164959465"</f>
        <v>20190304164959465</v>
      </c>
      <c r="B5582" t="str">
        <f>"1551689399461271"</f>
        <v>1551689399461271</v>
      </c>
      <c r="C5582" t="s">
        <v>40</v>
      </c>
      <c r="D5582">
        <v>4.5088730000000004</v>
      </c>
      <c r="E5582">
        <v>0.57275220000000004</v>
      </c>
      <c r="F5582" t="s">
        <v>41</v>
      </c>
      <c r="G5582">
        <v>-422.05059999999997</v>
      </c>
      <c r="H5582">
        <v>1.00122</v>
      </c>
      <c r="I5582">
        <v>83.892619999999994</v>
      </c>
      <c r="J5582">
        <v>-422.05900000000003</v>
      </c>
      <c r="K5582">
        <v>1.1118269999999999</v>
      </c>
      <c r="L5582">
        <v>84.135009999999994</v>
      </c>
      <c r="M5582">
        <v>-5.861222E-2</v>
      </c>
      <c r="N5582">
        <v>-1.470934E-2</v>
      </c>
      <c r="O5582">
        <v>-0.99817250000000002</v>
      </c>
      <c r="P5582">
        <v>0.1105913</v>
      </c>
      <c r="Q5582">
        <v>0.39630009999999999</v>
      </c>
      <c r="R5582">
        <v>-0.91143609999999997</v>
      </c>
      <c r="S5582">
        <v>-0.10229489999999999</v>
      </c>
      <c r="T5582">
        <v>-0.48530600000000002</v>
      </c>
      <c r="U5582">
        <v>-3.511749</v>
      </c>
      <c r="V5582">
        <v>-0.16467019999999999</v>
      </c>
      <c r="W5582">
        <v>0.4092075</v>
      </c>
      <c r="X5582">
        <v>0.89745909999999995</v>
      </c>
      <c r="Y5582">
        <v>-2.9711169999999999E-2</v>
      </c>
      <c r="Z5582">
        <v>0.12191059999999999</v>
      </c>
      <c r="AA5582">
        <v>0.99209630000000004</v>
      </c>
      <c r="AB5582">
        <v>37</v>
      </c>
      <c r="AC5582">
        <v>8.4000000000514705E-3</v>
      </c>
      <c r="AD5582">
        <v>-0.110607</v>
      </c>
      <c r="AE5582">
        <v>-0.24238999999999999</v>
      </c>
      <c r="AF5582">
        <v>-1.8704093657874898E-2</v>
      </c>
      <c r="AG5582">
        <v>-0.110607</v>
      </c>
      <c r="AH5582">
        <v>0.199905191925728</v>
      </c>
      <c r="AI5582">
        <v>118.849981422008</v>
      </c>
      <c r="AJ5582">
        <v>95.345307371094904</v>
      </c>
      <c r="AK5582">
        <v>0.22922878817335501</v>
      </c>
      <c r="AL5582">
        <v>65.844937665044696</v>
      </c>
      <c r="AM5582">
        <v>100.397259746994</v>
      </c>
      <c r="AN5582">
        <v>0.99999994449854801</v>
      </c>
    </row>
    <row r="5583" spans="1:40" x14ac:dyDescent="0.25">
      <c r="A5583" t="str">
        <f>"20190304164959486"</f>
        <v>20190304164959486</v>
      </c>
      <c r="B5583" t="str">
        <f>"1551689399481767"</f>
        <v>1551689399481767</v>
      </c>
      <c r="C5583" t="s">
        <v>40</v>
      </c>
      <c r="D5583">
        <v>4.6668770000000004</v>
      </c>
      <c r="E5583">
        <v>0.57069650000000005</v>
      </c>
      <c r="F5583" t="s">
        <v>41</v>
      </c>
      <c r="G5583">
        <v>-422.08210000000003</v>
      </c>
      <c r="H5583">
        <v>0.98842640000000004</v>
      </c>
      <c r="I5583">
        <v>83.242230000000006</v>
      </c>
      <c r="J5583">
        <v>-422.07990000000001</v>
      </c>
      <c r="K5583">
        <v>1.1118809999999999</v>
      </c>
      <c r="L5583">
        <v>83.762240000000006</v>
      </c>
      <c r="M5583">
        <v>-5.757164E-2</v>
      </c>
      <c r="N5583">
        <v>-1.472394E-2</v>
      </c>
      <c r="O5583">
        <v>-0.99823280000000003</v>
      </c>
      <c r="P5583">
        <v>0.11478729999999999</v>
      </c>
      <c r="Q5583">
        <v>0.39683040000000003</v>
      </c>
      <c r="R5583">
        <v>-0.91068610000000005</v>
      </c>
      <c r="S5583">
        <v>-9.0576169999999998E-2</v>
      </c>
      <c r="T5583">
        <v>-0.48568430000000001</v>
      </c>
      <c r="U5583">
        <v>-3.5137019999999999</v>
      </c>
      <c r="V5583">
        <v>-0.1679291</v>
      </c>
      <c r="W5583">
        <v>0.40971049999999998</v>
      </c>
      <c r="X5583">
        <v>0.89662549999999996</v>
      </c>
      <c r="Y5583">
        <v>-3.1988889999999999E-2</v>
      </c>
      <c r="Z5583">
        <v>0.12193809999999999</v>
      </c>
      <c r="AA5583">
        <v>0.99202210000000002</v>
      </c>
      <c r="AB5583">
        <v>37</v>
      </c>
      <c r="AC5583">
        <v>-2.2000000000161799E-3</v>
      </c>
      <c r="AD5583">
        <v>-0.123454599999999</v>
      </c>
      <c r="AE5583">
        <v>-0.52000999999999897</v>
      </c>
      <c r="AF5583">
        <v>-2.6264418885134599E-2</v>
      </c>
      <c r="AG5583">
        <v>-0.123454599999999</v>
      </c>
      <c r="AH5583">
        <v>0.49156839769575</v>
      </c>
      <c r="AI5583">
        <v>104.078652640047</v>
      </c>
      <c r="AJ5583">
        <v>93.0583960006757</v>
      </c>
      <c r="AK5583">
        <v>0.50751388904511896</v>
      </c>
      <c r="AL5583">
        <v>65.813351942952494</v>
      </c>
      <c r="AM5583">
        <v>100.60803815573701</v>
      </c>
      <c r="AN5583">
        <v>1.0000000818436501</v>
      </c>
    </row>
    <row r="5584" spans="1:40" x14ac:dyDescent="0.25">
      <c r="A5584" t="str">
        <f>"20190304164959509"</f>
        <v>20190304164959509</v>
      </c>
      <c r="B5584" t="str">
        <f>"1551689399501287"</f>
        <v>1551689399501287</v>
      </c>
      <c r="C5584" t="s">
        <v>40</v>
      </c>
      <c r="D5584">
        <v>4.7231500000000004</v>
      </c>
      <c r="E5584">
        <v>0.49944660000000002</v>
      </c>
      <c r="F5584" t="s">
        <v>41</v>
      </c>
      <c r="G5584">
        <v>-422.096</v>
      </c>
      <c r="H5584">
        <v>0.99782280000000001</v>
      </c>
      <c r="I5584">
        <v>82.909890000000004</v>
      </c>
      <c r="J5584">
        <v>-422.1</v>
      </c>
      <c r="K5584">
        <v>1.111926</v>
      </c>
      <c r="L5584">
        <v>83.39658</v>
      </c>
      <c r="M5584">
        <v>-5.6514710000000003E-2</v>
      </c>
      <c r="N5584">
        <v>-1.473561E-2</v>
      </c>
      <c r="O5584">
        <v>-0.99829310000000004</v>
      </c>
      <c r="P5584">
        <v>0.11939909999999999</v>
      </c>
      <c r="Q5584">
        <v>0.39702080000000001</v>
      </c>
      <c r="R5584">
        <v>-0.91001010000000004</v>
      </c>
      <c r="S5584">
        <v>-6.4819340000000003E-2</v>
      </c>
      <c r="T5584">
        <v>-0.46940330000000002</v>
      </c>
      <c r="U5584">
        <v>-3.506958</v>
      </c>
      <c r="V5584">
        <v>-0.1715795</v>
      </c>
      <c r="W5584">
        <v>0.40987580000000001</v>
      </c>
      <c r="X5584">
        <v>0.895858499999999</v>
      </c>
      <c r="Y5584">
        <v>-3.8147750000000001E-2</v>
      </c>
      <c r="Z5584">
        <v>0.11767759999999999</v>
      </c>
      <c r="AA5584">
        <v>0.9923189</v>
      </c>
      <c r="AB5584">
        <v>37</v>
      </c>
      <c r="AC5584">
        <v>4.0000000000190898E-3</v>
      </c>
      <c r="AD5584">
        <v>-0.114103199999999</v>
      </c>
      <c r="AE5584">
        <v>-0.48668999999999502</v>
      </c>
      <c r="AF5584">
        <v>-2.9860543157160899E-2</v>
      </c>
      <c r="AG5584">
        <v>-0.114103199999999</v>
      </c>
      <c r="AH5584">
        <v>0.46038242631541498</v>
      </c>
      <c r="AI5584">
        <v>103.89188630551401</v>
      </c>
      <c r="AJ5584">
        <v>93.711023464311097</v>
      </c>
      <c r="AK5584">
        <v>0.47525063992376598</v>
      </c>
      <c r="AL5584">
        <v>65.802968917327405</v>
      </c>
      <c r="AM5584">
        <v>100.84228752739401</v>
      </c>
      <c r="AN5584">
        <v>1.00000007413406</v>
      </c>
    </row>
    <row r="5585" spans="1:40" x14ac:dyDescent="0.25">
      <c r="A5585" t="str">
        <f>"20190304164959531"</f>
        <v>20190304164959531</v>
      </c>
      <c r="B5585" t="str">
        <f>"1551689399521783"</f>
        <v>1551689399521783</v>
      </c>
      <c r="C5585" t="s">
        <v>40</v>
      </c>
      <c r="D5585">
        <v>4.6649849999999997</v>
      </c>
      <c r="E5585">
        <v>0.49885560000000001</v>
      </c>
      <c r="F5585" t="s">
        <v>42</v>
      </c>
      <c r="G5585">
        <v>-420.49279999999999</v>
      </c>
      <c r="H5585" s="1">
        <v>-1.3909220000000001E-6</v>
      </c>
      <c r="I5585">
        <v>72.525729999999996</v>
      </c>
      <c r="J5585">
        <v>-422.11900000000003</v>
      </c>
      <c r="K5585">
        <v>1.1119589999999999</v>
      </c>
      <c r="L5585">
        <v>83.042270000000002</v>
      </c>
      <c r="M5585">
        <v>-5.5468870000000003E-2</v>
      </c>
      <c r="N5585">
        <v>-1.4744739999999999E-2</v>
      </c>
      <c r="O5585">
        <v>-0.99835169999999995</v>
      </c>
      <c r="P5585">
        <v>0.123197</v>
      </c>
      <c r="Q5585">
        <v>0.39699469999999998</v>
      </c>
      <c r="R5585">
        <v>-0.90951510000000002</v>
      </c>
      <c r="S5585">
        <v>0.5</v>
      </c>
      <c r="T5585">
        <v>-0.3459274</v>
      </c>
      <c r="U5585">
        <v>-3.3819889999999999</v>
      </c>
      <c r="V5585">
        <v>-0.174427</v>
      </c>
      <c r="W5585">
        <v>0.40983130000000001</v>
      </c>
      <c r="X5585">
        <v>0.89532869999999998</v>
      </c>
      <c r="Y5585">
        <v>-0.2001995</v>
      </c>
      <c r="Z5585">
        <v>8.5211460000000003E-2</v>
      </c>
      <c r="AA5585">
        <v>0.97604259999999998</v>
      </c>
      <c r="AB5585">
        <v>37</v>
      </c>
      <c r="AC5585">
        <v>1.6262000000000301</v>
      </c>
      <c r="AD5585">
        <v>-1.1119603909219999</v>
      </c>
      <c r="AE5585">
        <v>-10.5165399999999</v>
      </c>
      <c r="AF5585">
        <v>-2.18326134902681</v>
      </c>
      <c r="AG5585">
        <v>-1.1119603909219999</v>
      </c>
      <c r="AH5585">
        <v>10.2976947820324</v>
      </c>
      <c r="AI5585">
        <v>96.029989446388697</v>
      </c>
      <c r="AJ5585">
        <v>101.970285359621</v>
      </c>
      <c r="AK5585">
        <v>10.585159604513899</v>
      </c>
      <c r="AL5585">
        <v>65.805761632793093</v>
      </c>
      <c r="AM5585">
        <v>101.024215431906</v>
      </c>
      <c r="AN5585">
        <v>0.99999997691618903</v>
      </c>
    </row>
    <row r="5586" spans="1:40" x14ac:dyDescent="0.25">
      <c r="A5586" t="str">
        <f>"20190304164959553"</f>
        <v>20190304164959553</v>
      </c>
      <c r="B5586" t="str">
        <f>"1551689399541304"</f>
        <v>1551689399541304</v>
      </c>
      <c r="C5586" t="s">
        <v>40</v>
      </c>
      <c r="D5586">
        <v>4.6459669999999997</v>
      </c>
      <c r="E5586">
        <v>0.49941799999999997</v>
      </c>
      <c r="F5586" t="s">
        <v>42</v>
      </c>
      <c r="G5586">
        <v>-420.49540000000002</v>
      </c>
      <c r="H5586" s="1">
        <v>-1.354579E-6</v>
      </c>
      <c r="I5586">
        <v>72.439409999999995</v>
      </c>
      <c r="J5586">
        <v>-422.13830000000002</v>
      </c>
      <c r="K5586">
        <v>1.111985</v>
      </c>
      <c r="L5586">
        <v>82.675569999999993</v>
      </c>
      <c r="M5586">
        <v>-5.4373390000000001E-2</v>
      </c>
      <c r="N5586">
        <v>-1.4752329999999999E-2</v>
      </c>
      <c r="O5586">
        <v>-0.99841170000000001</v>
      </c>
      <c r="P5586">
        <v>0.1264294</v>
      </c>
      <c r="Q5586">
        <v>0.39700489999999999</v>
      </c>
      <c r="R5586">
        <v>-0.90906690000000001</v>
      </c>
      <c r="S5586">
        <v>0.51806640000000004</v>
      </c>
      <c r="T5586">
        <v>-0.35480299999999998</v>
      </c>
      <c r="U5586">
        <v>-3.3831479999999998</v>
      </c>
      <c r="V5586">
        <v>-0.1766617</v>
      </c>
      <c r="W5586">
        <v>0.40982790000000002</v>
      </c>
      <c r="X5586">
        <v>0.89489200000000002</v>
      </c>
      <c r="Y5586">
        <v>-0.20413200000000001</v>
      </c>
      <c r="Z5586">
        <v>8.763659E-2</v>
      </c>
      <c r="AA5586">
        <v>0.97501280000000001</v>
      </c>
      <c r="AB5586">
        <v>37</v>
      </c>
      <c r="AC5586">
        <v>1.64289999999999</v>
      </c>
      <c r="AD5586">
        <v>-1.1119863545790001</v>
      </c>
      <c r="AE5586">
        <v>-10.2361599999999</v>
      </c>
      <c r="AF5586">
        <v>-2.17211463420773</v>
      </c>
      <c r="AG5586">
        <v>-1.1119863545790001</v>
      </c>
      <c r="AH5586">
        <v>10.016437231234701</v>
      </c>
      <c r="AI5586">
        <v>96.192052933249499</v>
      </c>
      <c r="AJ5586">
        <v>102.23542988572601</v>
      </c>
      <c r="AK5586">
        <v>10.3093942811484</v>
      </c>
      <c r="AL5586">
        <v>65.805975219367795</v>
      </c>
      <c r="AM5586">
        <v>101.167239091081</v>
      </c>
      <c r="AN5586">
        <v>0.999999977764649</v>
      </c>
    </row>
    <row r="5587" spans="1:40" x14ac:dyDescent="0.25">
      <c r="A5587" t="str">
        <f>"20190304164959576"</f>
        <v>20190304164959576</v>
      </c>
      <c r="B5587" t="str">
        <f>"1551689399571559"</f>
        <v>1551689399571559</v>
      </c>
      <c r="C5587" t="s">
        <v>40</v>
      </c>
      <c r="D5587">
        <v>4.6269559999999998</v>
      </c>
      <c r="E5587">
        <v>0.50016019999999894</v>
      </c>
      <c r="F5587" t="s">
        <v>42</v>
      </c>
      <c r="G5587">
        <v>-420.51850000000002</v>
      </c>
      <c r="H5587" s="1">
        <v>-1.2798579999999999E-6</v>
      </c>
      <c r="I5587">
        <v>72.250889999999998</v>
      </c>
      <c r="J5587">
        <v>-422.15719999999999</v>
      </c>
      <c r="K5587">
        <v>1.112004</v>
      </c>
      <c r="L5587">
        <v>82.310269999999903</v>
      </c>
      <c r="M5587">
        <v>-5.3281059999999998E-2</v>
      </c>
      <c r="N5587">
        <v>-1.475833E-2</v>
      </c>
      <c r="O5587">
        <v>-0.99847070000000004</v>
      </c>
      <c r="P5587">
        <v>0.12921340000000001</v>
      </c>
      <c r="Q5587">
        <v>0.39694400000000002</v>
      </c>
      <c r="R5587">
        <v>-0.90870240000000002</v>
      </c>
      <c r="S5587">
        <v>0.52590939999999997</v>
      </c>
      <c r="T5587">
        <v>-0.36103200000000002</v>
      </c>
      <c r="U5587">
        <v>-3.3846129999999999</v>
      </c>
      <c r="V5587">
        <v>-0.1784509</v>
      </c>
      <c r="W5587">
        <v>0.40975699999999998</v>
      </c>
      <c r="X5587">
        <v>0.89456950000000002</v>
      </c>
      <c r="Y5587">
        <v>-0.20517769999999999</v>
      </c>
      <c r="Z5587">
        <v>8.9346739999999994E-2</v>
      </c>
      <c r="AA5587">
        <v>0.974638</v>
      </c>
      <c r="AB5587">
        <v>37</v>
      </c>
      <c r="AC5587">
        <v>1.6386999999999701</v>
      </c>
      <c r="AD5587">
        <v>-1.112005279858</v>
      </c>
      <c r="AE5587">
        <v>-10.0593799999999</v>
      </c>
      <c r="AF5587">
        <v>-2.1468482132585298</v>
      </c>
      <c r="AG5587">
        <v>-1.112005279858</v>
      </c>
      <c r="AH5587">
        <v>9.8406231790189604</v>
      </c>
      <c r="AI5587">
        <v>96.300208794719893</v>
      </c>
      <c r="AJ5587">
        <v>102.306921792742</v>
      </c>
      <c r="AK5587">
        <v>10.1332806901145</v>
      </c>
      <c r="AL5587">
        <v>65.810430618283903</v>
      </c>
      <c r="AM5587">
        <v>101.28141576594901</v>
      </c>
      <c r="AN5587">
        <v>1.00000005654502</v>
      </c>
    </row>
    <row r="5588" spans="1:40" x14ac:dyDescent="0.25">
      <c r="A5588" t="str">
        <f>"20190304164959598"</f>
        <v>20190304164959598</v>
      </c>
      <c r="B5588" t="str">
        <f>"1551689399591079"</f>
        <v>1551689399591079</v>
      </c>
      <c r="C5588" t="s">
        <v>40</v>
      </c>
      <c r="D5588">
        <v>4.635605</v>
      </c>
      <c r="E5588">
        <v>0.50047319999999995</v>
      </c>
      <c r="F5588" t="s">
        <v>42</v>
      </c>
      <c r="G5588">
        <v>-420.54410000000001</v>
      </c>
      <c r="H5588" s="1">
        <v>-1.18689E-6</v>
      </c>
      <c r="I5588">
        <v>72.018339999999995</v>
      </c>
      <c r="J5588">
        <v>-422.17619999999999</v>
      </c>
      <c r="K5588">
        <v>1.112012</v>
      </c>
      <c r="L5588">
        <v>81.933689999999999</v>
      </c>
      <c r="M5588">
        <v>-5.2164710000000003E-2</v>
      </c>
      <c r="N5588">
        <v>-1.4762920000000001E-2</v>
      </c>
      <c r="O5588">
        <v>-0.99852969999999996</v>
      </c>
      <c r="P5588">
        <v>0.1317017</v>
      </c>
      <c r="Q5588">
        <v>0.39679769999999998</v>
      </c>
      <c r="R5588">
        <v>-0.90840900000000002</v>
      </c>
      <c r="S5588">
        <v>0.53067019999999998</v>
      </c>
      <c r="T5588">
        <v>-0.36582019999999998</v>
      </c>
      <c r="U5588">
        <v>-3.3857729999999999</v>
      </c>
      <c r="V5588">
        <v>-0.1799212</v>
      </c>
      <c r="W5588">
        <v>0.4096052</v>
      </c>
      <c r="X5588">
        <v>0.89434439999999904</v>
      </c>
      <c r="Y5588">
        <v>-0.20535</v>
      </c>
      <c r="Z5588">
        <v>9.0670760000000003E-2</v>
      </c>
      <c r="AA5588">
        <v>0.9744794</v>
      </c>
      <c r="AB5588">
        <v>37</v>
      </c>
      <c r="AC5588">
        <v>1.6320999999999799</v>
      </c>
      <c r="AD5588">
        <v>-1.1120131868900001</v>
      </c>
      <c r="AE5588">
        <v>-9.9153499999999894</v>
      </c>
      <c r="AF5588">
        <v>-2.1211889299317899</v>
      </c>
      <c r="AG5588">
        <v>-1.1120131868900001</v>
      </c>
      <c r="AH5588">
        <v>9.69793923849649</v>
      </c>
      <c r="AI5588">
        <v>96.391440607400696</v>
      </c>
      <c r="AJ5588">
        <v>102.33776071547599</v>
      </c>
      <c r="AK5588">
        <v>9.9892963354709003</v>
      </c>
      <c r="AL5588">
        <v>65.819963038184298</v>
      </c>
      <c r="AM5588">
        <v>101.374741259207</v>
      </c>
      <c r="AN5588">
        <v>0.99999998194391904</v>
      </c>
    </row>
    <row r="5589" spans="1:40" x14ac:dyDescent="0.25">
      <c r="A5589" t="str">
        <f>"20190304164959620"</f>
        <v>20190304164959620</v>
      </c>
      <c r="B5589" t="str">
        <f>"1551689399611579"</f>
        <v>1551689399611579</v>
      </c>
      <c r="C5589" t="s">
        <v>40</v>
      </c>
      <c r="D5589">
        <v>4.6416810000000002</v>
      </c>
      <c r="E5589">
        <v>0.50093310000000002</v>
      </c>
      <c r="F5589" t="s">
        <v>42</v>
      </c>
      <c r="G5589">
        <v>-420.55900000000003</v>
      </c>
      <c r="H5589" s="1">
        <v>-1.0645900000000001E-6</v>
      </c>
      <c r="I5589">
        <v>71.724009999999893</v>
      </c>
      <c r="J5589">
        <v>-422.19380000000001</v>
      </c>
      <c r="K5589">
        <v>1.11202</v>
      </c>
      <c r="L5589">
        <v>81.576049999999995</v>
      </c>
      <c r="M5589">
        <v>-5.111483E-2</v>
      </c>
      <c r="N5589">
        <v>-1.4766110000000001E-2</v>
      </c>
      <c r="O5589">
        <v>-0.99858380000000002</v>
      </c>
      <c r="P5589">
        <v>0.13376179999999999</v>
      </c>
      <c r="Q5589">
        <v>0.39667940000000002</v>
      </c>
      <c r="R5589">
        <v>-0.90815959999999996</v>
      </c>
      <c r="S5589">
        <v>0.53631589999999996</v>
      </c>
      <c r="T5589">
        <v>-0.36877359999999998</v>
      </c>
      <c r="U5589">
        <v>-3.3858030000000001</v>
      </c>
      <c r="V5589">
        <v>-0.18102109999999999</v>
      </c>
      <c r="W5589">
        <v>0.40948299999999999</v>
      </c>
      <c r="X5589">
        <v>0.89417849999999999</v>
      </c>
      <c r="Y5589">
        <v>-0.20589180000000001</v>
      </c>
      <c r="Z5589">
        <v>9.1498869999999996E-2</v>
      </c>
      <c r="AA5589">
        <v>0.97428769999999998</v>
      </c>
      <c r="AB5589">
        <v>37</v>
      </c>
      <c r="AC5589">
        <v>1.63479999999998</v>
      </c>
      <c r="AD5589">
        <v>-1.1120210645899999</v>
      </c>
      <c r="AE5589">
        <v>-9.8520400000000006</v>
      </c>
      <c r="AF5589">
        <v>-2.1101396051017001</v>
      </c>
      <c r="AG5589">
        <v>-1.1120210645899999</v>
      </c>
      <c r="AH5589">
        <v>9.6361112511490692</v>
      </c>
      <c r="AI5589">
        <v>96.431810457604499</v>
      </c>
      <c r="AJ5589">
        <v>102.351798875724</v>
      </c>
      <c r="AK5589">
        <v>9.9269290339778493</v>
      </c>
      <c r="AL5589">
        <v>65.8276401947126</v>
      </c>
      <c r="AM5589">
        <v>101.444515762777</v>
      </c>
      <c r="AN5589">
        <v>1.0000000778982201</v>
      </c>
    </row>
    <row r="5590" spans="1:40" x14ac:dyDescent="0.25">
      <c r="A5590" t="str">
        <f>"20190304164959642"</f>
        <v>20190304164959642</v>
      </c>
      <c r="B5590" t="str">
        <f>"1551689399631096"</f>
        <v>1551689399631096</v>
      </c>
      <c r="C5590" t="s">
        <v>40</v>
      </c>
      <c r="D5590">
        <v>4.6623679999999998</v>
      </c>
      <c r="E5590">
        <v>0.50130180000000002</v>
      </c>
      <c r="F5590" t="s">
        <v>42</v>
      </c>
      <c r="G5590">
        <v>-420.57600000000002</v>
      </c>
      <c r="H5590" s="1">
        <v>-9.289178E-7</v>
      </c>
      <c r="I5590">
        <v>71.397199999999998</v>
      </c>
      <c r="J5590">
        <v>-422.21069999999997</v>
      </c>
      <c r="K5590">
        <v>1.112018</v>
      </c>
      <c r="L5590">
        <v>81.225980000000007</v>
      </c>
      <c r="M5590">
        <v>-5.0098690000000001E-2</v>
      </c>
      <c r="N5590">
        <v>-1.476828E-2</v>
      </c>
      <c r="O5590">
        <v>-0.99863519999999995</v>
      </c>
      <c r="P5590">
        <v>0.1355981</v>
      </c>
      <c r="Q5590">
        <v>0.3971094</v>
      </c>
      <c r="R5590">
        <v>-0.90769900000000003</v>
      </c>
      <c r="S5590">
        <v>0.5381165</v>
      </c>
      <c r="T5590">
        <v>-0.36987959999999998</v>
      </c>
      <c r="U5590">
        <v>-3.3856809999999999</v>
      </c>
      <c r="V5590">
        <v>-0.1819154</v>
      </c>
      <c r="W5590">
        <v>0.40990840000000001</v>
      </c>
      <c r="X5590">
        <v>0.89380199999999999</v>
      </c>
      <c r="Y5590">
        <v>-0.20540230000000001</v>
      </c>
      <c r="Z5590">
        <v>9.1826400000000002E-2</v>
      </c>
      <c r="AA5590">
        <v>0.97436020000000001</v>
      </c>
      <c r="AB5590">
        <v>36</v>
      </c>
      <c r="AC5590">
        <v>1.6347</v>
      </c>
      <c r="AD5590">
        <v>-1.1120189289178</v>
      </c>
      <c r="AE5590">
        <v>-9.8287800000000001</v>
      </c>
      <c r="AF5590">
        <v>-2.0989649712264402</v>
      </c>
      <c r="AG5590">
        <v>-1.1120189289178</v>
      </c>
      <c r="AH5590">
        <v>9.6147692093756305</v>
      </c>
      <c r="AI5590">
        <v>96.446856819727799</v>
      </c>
      <c r="AJ5590">
        <v>102.31482542270101</v>
      </c>
      <c r="AK5590">
        <v>9.90383900304648</v>
      </c>
      <c r="AL5590">
        <v>65.800920837700502</v>
      </c>
      <c r="AM5590">
        <v>101.504267445685</v>
      </c>
      <c r="AN5590">
        <v>1.00000006217585</v>
      </c>
    </row>
    <row r="5591" spans="1:40" x14ac:dyDescent="0.25">
      <c r="A5591" t="str">
        <f>"20190304164959664"</f>
        <v>20190304164959664</v>
      </c>
      <c r="B5591" t="str">
        <f>"1551689399661352"</f>
        <v>1551689399661352</v>
      </c>
      <c r="C5591" t="s">
        <v>40</v>
      </c>
      <c r="D5591">
        <v>4.6677400000000002</v>
      </c>
      <c r="E5591">
        <v>0.50178129999999999</v>
      </c>
      <c r="F5591" t="s">
        <v>42</v>
      </c>
      <c r="G5591">
        <v>-420.5804</v>
      </c>
      <c r="H5591" s="1">
        <v>-7.7984830000000001E-7</v>
      </c>
      <c r="I5591">
        <v>71.046940000000006</v>
      </c>
      <c r="J5591">
        <v>-422.2276</v>
      </c>
      <c r="K5591">
        <v>1.112012</v>
      </c>
      <c r="L5591">
        <v>80.867519999999999</v>
      </c>
      <c r="M5591">
        <v>-4.907193E-2</v>
      </c>
      <c r="N5591">
        <v>-1.4769579999999999E-2</v>
      </c>
      <c r="O5591">
        <v>-0.99868619999999997</v>
      </c>
      <c r="P5591">
        <v>0.13713339999999999</v>
      </c>
      <c r="Q5591">
        <v>0.39750089999999999</v>
      </c>
      <c r="R5591">
        <v>-0.90729700000000002</v>
      </c>
      <c r="S5591">
        <v>0.54226680000000005</v>
      </c>
      <c r="T5591">
        <v>-0.36989179999999999</v>
      </c>
      <c r="U5591">
        <v>-3.3858640000000002</v>
      </c>
      <c r="V5591">
        <v>-0.18250050000000001</v>
      </c>
      <c r="W5591">
        <v>0.41029719999999997</v>
      </c>
      <c r="X5591">
        <v>0.89350429999999903</v>
      </c>
      <c r="Y5591">
        <v>-0.20555280000000001</v>
      </c>
      <c r="Z5591">
        <v>9.1820139999999995E-2</v>
      </c>
      <c r="AA5591">
        <v>0.97432909999999995</v>
      </c>
      <c r="AB5591">
        <v>36</v>
      </c>
      <c r="AC5591">
        <v>1.64719999999999</v>
      </c>
      <c r="AD5591">
        <v>-1.1120127798482999</v>
      </c>
      <c r="AE5591">
        <v>-9.8205799999999908</v>
      </c>
      <c r="AF5591">
        <v>-2.1009813911147899</v>
      </c>
      <c r="AG5591">
        <v>-1.1120127798482999</v>
      </c>
      <c r="AH5591">
        <v>9.6080850119206893</v>
      </c>
      <c r="AI5591">
        <v>96.450786101173705</v>
      </c>
      <c r="AJ5591">
        <v>102.33460724303301</v>
      </c>
      <c r="AK5591">
        <v>9.8977771658414095</v>
      </c>
      <c r="AL5591">
        <v>65.776496242299601</v>
      </c>
      <c r="AM5591">
        <v>101.54401967227599</v>
      </c>
      <c r="AN5591">
        <v>1.00000007947328</v>
      </c>
    </row>
    <row r="5592" spans="1:40" x14ac:dyDescent="0.25">
      <c r="A5592" t="str">
        <f>"20190304164959687"</f>
        <v>20190304164959687</v>
      </c>
      <c r="B5592" t="str">
        <f>"1551689399681851"</f>
        <v>1551689399681851</v>
      </c>
      <c r="C5592" t="s">
        <v>40</v>
      </c>
      <c r="D5592">
        <v>4.6675829999999996</v>
      </c>
      <c r="E5592">
        <v>0.50197460000000005</v>
      </c>
      <c r="F5592" t="s">
        <v>42</v>
      </c>
      <c r="G5592">
        <v>-420.59739999999999</v>
      </c>
      <c r="H5592" s="1">
        <v>-6.4147040000000001E-7</v>
      </c>
      <c r="I5592">
        <v>70.713890000000006</v>
      </c>
      <c r="J5592">
        <v>-422.24540000000002</v>
      </c>
      <c r="K5592">
        <v>1.1120110000000001</v>
      </c>
      <c r="L5592">
        <v>80.485140000000001</v>
      </c>
      <c r="M5592">
        <v>-4.7992060000000003E-2</v>
      </c>
      <c r="N5592">
        <v>-1.477002E-2</v>
      </c>
      <c r="O5592">
        <v>-0.99873860000000003</v>
      </c>
      <c r="P5592">
        <v>0.13906930000000001</v>
      </c>
      <c r="Q5592">
        <v>0.39750730000000001</v>
      </c>
      <c r="R5592">
        <v>-0.90699920000000001</v>
      </c>
      <c r="S5592">
        <v>0.54379270000000002</v>
      </c>
      <c r="T5592">
        <v>-0.37092219999999998</v>
      </c>
      <c r="U5592">
        <v>-3.386841</v>
      </c>
      <c r="V5592">
        <v>-0.18343799999999999</v>
      </c>
      <c r="W5592">
        <v>0.41030280000000002</v>
      </c>
      <c r="X5592">
        <v>0.89330969999999998</v>
      </c>
      <c r="Y5592">
        <v>-0.20487520000000001</v>
      </c>
      <c r="Z5592">
        <v>9.2097070000000003E-2</v>
      </c>
      <c r="AA5592">
        <v>0.97444560000000002</v>
      </c>
      <c r="AB5592">
        <v>36</v>
      </c>
      <c r="AC5592">
        <v>1.6480000000000199</v>
      </c>
      <c r="AD5592">
        <v>-1.1120116414704</v>
      </c>
      <c r="AE5592">
        <v>-9.7712499999999896</v>
      </c>
      <c r="AF5592">
        <v>-2.0887895500381402</v>
      </c>
      <c r="AG5592">
        <v>-1.1120116414704</v>
      </c>
      <c r="AH5592">
        <v>9.5604913031994894</v>
      </c>
      <c r="AI5592">
        <v>96.482870199825896</v>
      </c>
      <c r="AJ5592">
        <v>102.3243997432</v>
      </c>
      <c r="AK5592">
        <v>9.8489900819153693</v>
      </c>
      <c r="AL5592">
        <v>65.776143745863394</v>
      </c>
      <c r="AM5592">
        <v>101.60417598957299</v>
      </c>
      <c r="AN5592">
        <v>1.0000000538229601</v>
      </c>
    </row>
    <row r="5593" spans="1:40" x14ac:dyDescent="0.25">
      <c r="A5593" t="str">
        <f>"20190304164959709"</f>
        <v>20190304164959709</v>
      </c>
      <c r="B5593" t="str">
        <f>"1551689399701367"</f>
        <v>1551689399701367</v>
      </c>
      <c r="C5593" t="s">
        <v>40</v>
      </c>
      <c r="D5593">
        <v>4.6606360000000002</v>
      </c>
      <c r="E5593">
        <v>0.5021835</v>
      </c>
      <c r="F5593" t="s">
        <v>42</v>
      </c>
      <c r="G5593">
        <v>-420.61</v>
      </c>
      <c r="H5593" s="1">
        <v>-5.0281059999999999E-7</v>
      </c>
      <c r="I5593">
        <v>70.382840000000002</v>
      </c>
      <c r="J5593">
        <v>-422.26119999999997</v>
      </c>
      <c r="K5593">
        <v>1.112007</v>
      </c>
      <c r="L5593">
        <v>80.134950000000003</v>
      </c>
      <c r="M5593">
        <v>-4.701578E-2</v>
      </c>
      <c r="N5593">
        <v>-1.4769910000000001E-2</v>
      </c>
      <c r="O5593">
        <v>-0.99878500000000003</v>
      </c>
      <c r="P5593">
        <v>0.14015269999999999</v>
      </c>
      <c r="Q5593">
        <v>0.39732709999999999</v>
      </c>
      <c r="R5593">
        <v>-0.90691140000000003</v>
      </c>
      <c r="S5593">
        <v>0.54827879999999996</v>
      </c>
      <c r="T5593">
        <v>-0.3728168</v>
      </c>
      <c r="U5593">
        <v>-3.3869319999999998</v>
      </c>
      <c r="V5593">
        <v>-0.1836265</v>
      </c>
      <c r="W5593">
        <v>0.41012710000000002</v>
      </c>
      <c r="X5593">
        <v>0.89335159999999902</v>
      </c>
      <c r="Y5593">
        <v>-0.2051635</v>
      </c>
      <c r="Z5593">
        <v>9.2628340000000003E-2</v>
      </c>
      <c r="AA5593">
        <v>0.97433460000000005</v>
      </c>
      <c r="AB5593">
        <v>36</v>
      </c>
      <c r="AC5593">
        <v>1.65119999999996</v>
      </c>
      <c r="AD5593">
        <v>-1.1120075028106</v>
      </c>
      <c r="AE5593">
        <v>-9.7521100000000001</v>
      </c>
      <c r="AF5593">
        <v>-2.0816153052812498</v>
      </c>
      <c r="AG5593">
        <v>-1.1120075028106</v>
      </c>
      <c r="AH5593">
        <v>9.5430592172957507</v>
      </c>
      <c r="AI5593">
        <v>96.495060482880206</v>
      </c>
      <c r="AJ5593">
        <v>102.305111802789</v>
      </c>
      <c r="AK5593">
        <v>9.8305474003384798</v>
      </c>
      <c r="AL5593">
        <v>65.787180866272607</v>
      </c>
      <c r="AM5593">
        <v>101.61524648483299</v>
      </c>
      <c r="AN5593">
        <v>1.0000000054396001</v>
      </c>
    </row>
    <row r="5594" spans="1:40" x14ac:dyDescent="0.25">
      <c r="A5594" t="str">
        <f>"20190304164959732"</f>
        <v>20190304164959732</v>
      </c>
      <c r="B5594" t="str">
        <f>"1551689399721863"</f>
        <v>1551689399721863</v>
      </c>
      <c r="C5594" t="s">
        <v>40</v>
      </c>
      <c r="D5594">
        <v>4.6814790000000004</v>
      </c>
      <c r="E5594">
        <v>0.50245509999999904</v>
      </c>
      <c r="F5594" t="s">
        <v>42</v>
      </c>
      <c r="G5594">
        <v>-420.62599999999998</v>
      </c>
      <c r="H5594" s="1">
        <v>-3.885875E-7</v>
      </c>
      <c r="I5594">
        <v>70.106639999999999</v>
      </c>
      <c r="J5594">
        <v>-422.27730000000003</v>
      </c>
      <c r="K5594">
        <v>1.1120110000000001</v>
      </c>
      <c r="L5594">
        <v>79.773899999999998</v>
      </c>
      <c r="M5594">
        <v>-4.6019610000000002E-2</v>
      </c>
      <c r="N5594">
        <v>-1.476948E-2</v>
      </c>
      <c r="O5594">
        <v>-0.99883149999999998</v>
      </c>
      <c r="P5594">
        <v>0.141227399999999</v>
      </c>
      <c r="Q5594">
        <v>0.39804820000000002</v>
      </c>
      <c r="R5594">
        <v>-0.90642860000000003</v>
      </c>
      <c r="S5594">
        <v>0.55230709999999905</v>
      </c>
      <c r="T5594">
        <v>-0.37558970000000003</v>
      </c>
      <c r="U5594">
        <v>-3.387146</v>
      </c>
      <c r="V5594">
        <v>-0.18377250000000001</v>
      </c>
      <c r="W5594">
        <v>0.41084670000000001</v>
      </c>
      <c r="X5594">
        <v>0.89299079999999997</v>
      </c>
      <c r="Y5594">
        <v>-0.2052938</v>
      </c>
      <c r="Z5594">
        <v>9.3409229999999996E-2</v>
      </c>
      <c r="AA5594">
        <v>0.9742326</v>
      </c>
      <c r="AB5594">
        <v>36</v>
      </c>
      <c r="AC5594">
        <v>1.65130000000004</v>
      </c>
      <c r="AD5594">
        <v>-1.1120113885875</v>
      </c>
      <c r="AE5594">
        <v>-9.6672600000000006</v>
      </c>
      <c r="AF5594">
        <v>-2.0678962937846599</v>
      </c>
      <c r="AG5594">
        <v>-1.1120113885875</v>
      </c>
      <c r="AH5594">
        <v>9.4594007714333106</v>
      </c>
      <c r="AI5594">
        <v>96.551379679771401</v>
      </c>
      <c r="AJ5594">
        <v>102.33129721114</v>
      </c>
      <c r="AK5594">
        <v>9.7464366496063395</v>
      </c>
      <c r="AL5594">
        <v>65.741964582959895</v>
      </c>
      <c r="AM5594">
        <v>101.62879913890001</v>
      </c>
      <c r="AN5594">
        <v>0.99999995577088896</v>
      </c>
    </row>
    <row r="5595" spans="1:40" x14ac:dyDescent="0.25">
      <c r="A5595" t="str">
        <f>"20190304164959755"</f>
        <v>20190304164959755</v>
      </c>
      <c r="B5595" t="str">
        <f>"1551689399751144"</f>
        <v>1551689399751144</v>
      </c>
      <c r="C5595" t="s">
        <v>40</v>
      </c>
      <c r="D5595">
        <v>4.6116089999999996</v>
      </c>
      <c r="E5595">
        <v>0.50274830000000004</v>
      </c>
      <c r="F5595" t="s">
        <v>42</v>
      </c>
      <c r="G5595">
        <v>-420.62569999999999</v>
      </c>
      <c r="H5595" s="1">
        <v>-2.222094E-7</v>
      </c>
      <c r="I5595">
        <v>69.71902</v>
      </c>
      <c r="J5595">
        <v>-422.29300000000001</v>
      </c>
      <c r="K5595">
        <v>1.112004</v>
      </c>
      <c r="L5595">
        <v>79.41046</v>
      </c>
      <c r="M5595">
        <v>-4.5025570000000001E-2</v>
      </c>
      <c r="N5595">
        <v>-1.4768689999999999E-2</v>
      </c>
      <c r="O5595">
        <v>-0.99887680000000001</v>
      </c>
      <c r="P5595">
        <v>0.14228450000000001</v>
      </c>
      <c r="Q5595">
        <v>0.39794040000000003</v>
      </c>
      <c r="R5595">
        <v>-0.90631059999999997</v>
      </c>
      <c r="S5595">
        <v>0.556427</v>
      </c>
      <c r="T5595">
        <v>-0.374639</v>
      </c>
      <c r="U5595">
        <v>-3.3875120000000001</v>
      </c>
      <c r="V5595">
        <v>-0.18392</v>
      </c>
      <c r="W5595">
        <v>0.41074149999999998</v>
      </c>
      <c r="X5595">
        <v>0.89300889999999999</v>
      </c>
      <c r="Y5595">
        <v>-0.20546200000000001</v>
      </c>
      <c r="Z5595">
        <v>9.3123600000000001E-2</v>
      </c>
      <c r="AA5595">
        <v>0.97422450000000005</v>
      </c>
      <c r="AB5595">
        <v>36</v>
      </c>
      <c r="AC5595">
        <v>1.66730000000001</v>
      </c>
      <c r="AD5595">
        <v>-1.1120042222094</v>
      </c>
      <c r="AE5595">
        <v>-9.6914400000000001</v>
      </c>
      <c r="AF5595">
        <v>-2.0754796869352399</v>
      </c>
      <c r="AG5595">
        <v>-1.1120042222094</v>
      </c>
      <c r="AH5595">
        <v>9.4852419731674793</v>
      </c>
      <c r="AI5595">
        <v>96.533368471257404</v>
      </c>
      <c r="AJ5595">
        <v>102.34244806840201</v>
      </c>
      <c r="AK5595">
        <v>9.7731256315792105</v>
      </c>
      <c r="AL5595">
        <v>65.7485773522464</v>
      </c>
      <c r="AM5595">
        <v>101.63764871879501</v>
      </c>
      <c r="AN5595">
        <v>1.00000002085072</v>
      </c>
    </row>
    <row r="5596" spans="1:40" x14ac:dyDescent="0.25">
      <c r="A5596" t="str">
        <f>"20190304164959777"</f>
        <v>20190304164959777</v>
      </c>
      <c r="B5596" t="str">
        <f>"1551689399771643"</f>
        <v>1551689399771643</v>
      </c>
      <c r="C5596" t="s">
        <v>40</v>
      </c>
      <c r="D5596">
        <v>4.6530420000000001</v>
      </c>
      <c r="E5596">
        <v>0.50275360000000002</v>
      </c>
      <c r="F5596" t="s">
        <v>42</v>
      </c>
      <c r="G5596">
        <v>-420.642</v>
      </c>
      <c r="H5596" s="1">
        <v>-4.3502250000000003E-6</v>
      </c>
      <c r="I5596">
        <v>69.435490000000001</v>
      </c>
      <c r="J5596">
        <v>-422.30860000000001</v>
      </c>
      <c r="K5596">
        <v>1.1120019999999999</v>
      </c>
      <c r="L5596">
        <v>79.042299999999997</v>
      </c>
      <c r="M5596">
        <v>-4.4024180000000003E-2</v>
      </c>
      <c r="N5596">
        <v>-1.476745E-2</v>
      </c>
      <c r="O5596">
        <v>-0.99892150000000002</v>
      </c>
      <c r="P5596">
        <v>0.14386740000000001</v>
      </c>
      <c r="Q5596">
        <v>0.39827560000000001</v>
      </c>
      <c r="R5596">
        <v>-0.90591350000000004</v>
      </c>
      <c r="S5596">
        <v>0.5607605</v>
      </c>
      <c r="T5596">
        <v>-0.3776833</v>
      </c>
      <c r="U5596">
        <v>-3.3879090000000001</v>
      </c>
      <c r="V5596">
        <v>-0.1845765</v>
      </c>
      <c r="W5596">
        <v>0.41107320000000003</v>
      </c>
      <c r="X5596">
        <v>0.89272079999999998</v>
      </c>
      <c r="Y5596">
        <v>-0.2056615</v>
      </c>
      <c r="Z5596">
        <v>9.3974459999999996E-2</v>
      </c>
      <c r="AA5596">
        <v>0.97410070000000004</v>
      </c>
      <c r="AB5596">
        <v>36</v>
      </c>
      <c r="AC5596">
        <v>1.6666000000000101</v>
      </c>
      <c r="AD5596">
        <v>-1.1120063502249999</v>
      </c>
      <c r="AE5596">
        <v>-9.6068099999999905</v>
      </c>
      <c r="AF5596">
        <v>-2.0611523046741</v>
      </c>
      <c r="AG5596">
        <v>-1.1120063502249999</v>
      </c>
      <c r="AH5596">
        <v>9.4018252130485198</v>
      </c>
      <c r="AI5596">
        <v>96.590269857423195</v>
      </c>
      <c r="AJ5596">
        <v>102.365273508531</v>
      </c>
      <c r="AK5596">
        <v>9.6891291808252298</v>
      </c>
      <c r="AL5596">
        <v>65.727731728615097</v>
      </c>
      <c r="AM5596">
        <v>101.681715337974</v>
      </c>
      <c r="AN5596">
        <v>1.0000000434315599</v>
      </c>
    </row>
    <row r="5597" spans="1:40" x14ac:dyDescent="0.25">
      <c r="A5597" t="str">
        <f>"20190304164959798"</f>
        <v>20190304164959798</v>
      </c>
      <c r="B5597" t="str">
        <f>"1551689399791159"</f>
        <v>1551689399791159</v>
      </c>
      <c r="C5597" t="s">
        <v>40</v>
      </c>
      <c r="D5597">
        <v>4.609572</v>
      </c>
      <c r="E5597">
        <v>0.49255320000000002</v>
      </c>
      <c r="F5597" t="s">
        <v>42</v>
      </c>
      <c r="G5597">
        <v>-420.64109999999999</v>
      </c>
      <c r="H5597" s="1">
        <v>-4.2177430000000004E-6</v>
      </c>
      <c r="I5597">
        <v>69.046619999999905</v>
      </c>
      <c r="J5597">
        <v>-422.32339999999999</v>
      </c>
      <c r="K5597">
        <v>1.111993</v>
      </c>
      <c r="L5597">
        <v>78.684939999999997</v>
      </c>
      <c r="M5597">
        <v>-4.3055089999999997E-2</v>
      </c>
      <c r="N5597">
        <v>-1.476595E-2</v>
      </c>
      <c r="O5597">
        <v>-0.99896370000000001</v>
      </c>
      <c r="P5597">
        <v>0.14605090000000001</v>
      </c>
      <c r="Q5597">
        <v>0.39829730000000002</v>
      </c>
      <c r="R5597">
        <v>-0.90555419999999998</v>
      </c>
      <c r="S5597">
        <v>0.56509399999999999</v>
      </c>
      <c r="T5597">
        <v>-0.37685629999999998</v>
      </c>
      <c r="U5597">
        <v>-3.3875120000000001</v>
      </c>
      <c r="V5597">
        <v>-0.18586510000000001</v>
      </c>
      <c r="W5597">
        <v>0.41108889999999998</v>
      </c>
      <c r="X5597">
        <v>0.89244619999999997</v>
      </c>
      <c r="Y5597">
        <v>-0.20594699999999999</v>
      </c>
      <c r="Z5597">
        <v>9.3746099999999999E-2</v>
      </c>
      <c r="AA5597">
        <v>0.97406239999999999</v>
      </c>
      <c r="AB5597">
        <v>36</v>
      </c>
      <c r="AC5597">
        <v>1.6822999999999899</v>
      </c>
      <c r="AD5597">
        <v>-1.111997217743</v>
      </c>
      <c r="AE5597">
        <v>-9.6383200000000002</v>
      </c>
      <c r="AF5597">
        <v>-2.06903724076769</v>
      </c>
      <c r="AG5597">
        <v>-1.111997217743</v>
      </c>
      <c r="AH5597">
        <v>9.4350654984133406</v>
      </c>
      <c r="AI5597">
        <v>96.567115390991901</v>
      </c>
      <c r="AJ5597">
        <v>102.368736654324</v>
      </c>
      <c r="AK5597">
        <v>9.7230609313786296</v>
      </c>
      <c r="AL5597">
        <v>65.726745626248501</v>
      </c>
      <c r="AM5597">
        <v>101.764523742628</v>
      </c>
      <c r="AN5597">
        <v>1.0000000694978199</v>
      </c>
    </row>
    <row r="5598" spans="1:40" x14ac:dyDescent="0.25">
      <c r="A5598" t="str">
        <f>"20190304164959822"</f>
        <v>20190304164959822</v>
      </c>
      <c r="B5598" t="str">
        <f>"1551689399811655"</f>
        <v>1551689399811655</v>
      </c>
      <c r="C5598" t="s">
        <v>40</v>
      </c>
      <c r="D5598">
        <v>4.6087669999999896</v>
      </c>
      <c r="E5598">
        <v>0.4756088</v>
      </c>
      <c r="F5598" t="s">
        <v>42</v>
      </c>
      <c r="G5598">
        <v>-420.30470000000003</v>
      </c>
      <c r="H5598" s="1">
        <v>-3.7784679999999999E-6</v>
      </c>
      <c r="I5598">
        <v>68.207819999999998</v>
      </c>
      <c r="J5598">
        <v>-422.3381</v>
      </c>
      <c r="K5598">
        <v>1.1119859999999999</v>
      </c>
      <c r="L5598">
        <v>78.321780000000004</v>
      </c>
      <c r="M5598">
        <v>-4.2071020000000001E-2</v>
      </c>
      <c r="N5598">
        <v>-1.4764050000000001E-2</v>
      </c>
      <c r="O5598">
        <v>-0.99900560000000005</v>
      </c>
      <c r="P5598">
        <v>0.14786050000000001</v>
      </c>
      <c r="Q5598">
        <v>0.39830690000000002</v>
      </c>
      <c r="R5598">
        <v>-0.90525619999999996</v>
      </c>
      <c r="S5598">
        <v>0.6484375</v>
      </c>
      <c r="T5598">
        <v>-0.35719139999999999</v>
      </c>
      <c r="U5598">
        <v>-3.3654169999999999</v>
      </c>
      <c r="V5598">
        <v>-0.18677060000000001</v>
      </c>
      <c r="W5598">
        <v>0.41109410000000002</v>
      </c>
      <c r="X5598">
        <v>0.89225469999999896</v>
      </c>
      <c r="Y5598">
        <v>-0.2294023</v>
      </c>
      <c r="Z5598">
        <v>8.8304679999999997E-2</v>
      </c>
      <c r="AA5598">
        <v>0.96931769999999995</v>
      </c>
      <c r="AB5598">
        <v>36</v>
      </c>
      <c r="AC5598">
        <v>2.0333999999999701</v>
      </c>
      <c r="AD5598">
        <v>-1.111989778468</v>
      </c>
      <c r="AE5598">
        <v>-10.113960000000001</v>
      </c>
      <c r="AF5598">
        <v>-2.42892972155899</v>
      </c>
      <c r="AG5598">
        <v>-1.111989778468</v>
      </c>
      <c r="AH5598">
        <v>9.9043728617830098</v>
      </c>
      <c r="AI5598">
        <v>96.223031853514598</v>
      </c>
      <c r="AJ5598">
        <v>103.779170362684</v>
      </c>
      <c r="AK5598">
        <v>10.258305057118999</v>
      </c>
      <c r="AL5598">
        <v>65.726417848094101</v>
      </c>
      <c r="AM5598">
        <v>101.82269512061499</v>
      </c>
      <c r="AN5598">
        <v>1.00000003287562</v>
      </c>
    </row>
    <row r="5599" spans="1:40" x14ac:dyDescent="0.25">
      <c r="A5599" t="str">
        <f>"20190304164959843"</f>
        <v>20190304164959843</v>
      </c>
      <c r="B5599" t="str">
        <f>"1551689399831176"</f>
        <v>1551689399831176</v>
      </c>
      <c r="C5599" t="s">
        <v>40</v>
      </c>
      <c r="D5599">
        <v>4.6007660000000001</v>
      </c>
      <c r="E5599">
        <v>0.4743502</v>
      </c>
      <c r="F5599" t="s">
        <v>42</v>
      </c>
      <c r="G5599">
        <v>-419.68220000000002</v>
      </c>
      <c r="H5599" s="1">
        <v>-3.238431E-6</v>
      </c>
      <c r="I5599">
        <v>67.050209999999893</v>
      </c>
      <c r="J5599">
        <v>-422.35169999999999</v>
      </c>
      <c r="K5599">
        <v>1.1119870000000001</v>
      </c>
      <c r="L5599">
        <v>77.974149999999995</v>
      </c>
      <c r="M5599">
        <v>-4.1129119999999998E-2</v>
      </c>
      <c r="N5599">
        <v>-1.476188E-2</v>
      </c>
      <c r="O5599">
        <v>-0.99904479999999996</v>
      </c>
      <c r="P5599">
        <v>0.14946609999999999</v>
      </c>
      <c r="Q5599">
        <v>0.3984877</v>
      </c>
      <c r="R5599">
        <v>-0.90491310000000003</v>
      </c>
      <c r="S5599">
        <v>0.78472900000000001</v>
      </c>
      <c r="T5599">
        <v>-0.32855390000000001</v>
      </c>
      <c r="U5599">
        <v>-3.3303530000000001</v>
      </c>
      <c r="V5599">
        <v>-0.1875098</v>
      </c>
      <c r="W5599">
        <v>0.41126970000000002</v>
      </c>
      <c r="X5599">
        <v>0.89201869999999905</v>
      </c>
      <c r="Y5599">
        <v>-0.26823229999999998</v>
      </c>
      <c r="Z5599">
        <v>8.0193009999999995E-2</v>
      </c>
      <c r="AA5599">
        <v>0.96001069999999999</v>
      </c>
      <c r="AB5599">
        <v>36</v>
      </c>
      <c r="AC5599">
        <v>2.66949999999997</v>
      </c>
      <c r="AD5599">
        <v>-1.1119902384309901</v>
      </c>
      <c r="AE5599">
        <v>-10.92394</v>
      </c>
      <c r="AF5599">
        <v>-3.0864026080032101</v>
      </c>
      <c r="AG5599">
        <v>-1.1119902384309901</v>
      </c>
      <c r="AH5599">
        <v>10.700260509066601</v>
      </c>
      <c r="AI5599">
        <v>95.702142336581204</v>
      </c>
      <c r="AJ5599">
        <v>106.08977330848199</v>
      </c>
      <c r="AK5599">
        <v>11.191871081769399</v>
      </c>
      <c r="AL5599">
        <v>65.715380319238704</v>
      </c>
      <c r="AM5599">
        <v>101.87121329186</v>
      </c>
      <c r="AN5599">
        <v>1.0000000261919</v>
      </c>
    </row>
    <row r="5600" spans="1:40" x14ac:dyDescent="0.25">
      <c r="A5600" t="str">
        <f>"20190304164959866"</f>
        <v>20190304164959866</v>
      </c>
      <c r="B5600" t="str">
        <f>"1551689399861432"</f>
        <v>1551689399861432</v>
      </c>
      <c r="C5600" t="s">
        <v>40</v>
      </c>
      <c r="D5600">
        <v>4.5505360000000001</v>
      </c>
      <c r="E5600">
        <v>0.47391430000000001</v>
      </c>
      <c r="F5600" t="s">
        <v>42</v>
      </c>
      <c r="G5600">
        <v>-419.6191</v>
      </c>
      <c r="H5600" s="1">
        <v>-3.0630670000000001E-6</v>
      </c>
      <c r="I5600">
        <v>66.615350000000007</v>
      </c>
      <c r="J5600">
        <v>-422.36590000000001</v>
      </c>
      <c r="K5600">
        <v>1.1119889999999999</v>
      </c>
      <c r="L5600">
        <v>77.604280000000003</v>
      </c>
      <c r="M5600">
        <v>-4.0125969999999997E-2</v>
      </c>
      <c r="N5600">
        <v>-1.4759319999999999E-2</v>
      </c>
      <c r="O5600">
        <v>-0.99908549999999996</v>
      </c>
      <c r="P5600">
        <v>0.1512339</v>
      </c>
      <c r="Q5600">
        <v>0.39895409999999998</v>
      </c>
      <c r="R5600">
        <v>-0.90441360000000004</v>
      </c>
      <c r="S5600">
        <v>0.80026249999999999</v>
      </c>
      <c r="T5600">
        <v>-0.32565139999999998</v>
      </c>
      <c r="U5600">
        <v>-3.3264770000000001</v>
      </c>
      <c r="V5600">
        <v>-0.18835170000000001</v>
      </c>
      <c r="W5600">
        <v>0.41172779999999998</v>
      </c>
      <c r="X5600">
        <v>0.89162989999999998</v>
      </c>
      <c r="Y5600">
        <v>-0.27176929999999999</v>
      </c>
      <c r="Z5600">
        <v>7.9377870000000003E-2</v>
      </c>
      <c r="AA5600">
        <v>0.95908320000000002</v>
      </c>
      <c r="AB5600">
        <v>36</v>
      </c>
      <c r="AC5600">
        <v>2.7467999999999999</v>
      </c>
      <c r="AD5600">
        <v>-1.1119920630669999</v>
      </c>
      <c r="AE5600">
        <v>-10.9889299999999</v>
      </c>
      <c r="AF5600">
        <v>-3.15516844039779</v>
      </c>
      <c r="AG5600">
        <v>-1.1119920630669999</v>
      </c>
      <c r="AH5600">
        <v>10.766087958147301</v>
      </c>
      <c r="AI5600">
        <v>95.660539287851407</v>
      </c>
      <c r="AJ5600">
        <v>106.33403810681401</v>
      </c>
      <c r="AK5600">
        <v>11.273875294599</v>
      </c>
      <c r="AL5600">
        <v>65.686581495064601</v>
      </c>
      <c r="AM5600">
        <v>101.92804181394401</v>
      </c>
      <c r="AN5600">
        <v>1.0000000113798699</v>
      </c>
    </row>
    <row r="5601" spans="1:40" x14ac:dyDescent="0.25">
      <c r="A5601" t="str">
        <f>"20190304164959889"</f>
        <v>20190304164959889</v>
      </c>
      <c r="B5601" t="str">
        <f>"1551689399881460"</f>
        <v>1551689399881460</v>
      </c>
      <c r="C5601" t="s">
        <v>40</v>
      </c>
      <c r="D5601">
        <v>4.5493509999999997</v>
      </c>
      <c r="E5601">
        <v>0.4741206</v>
      </c>
      <c r="F5601" t="s">
        <v>42</v>
      </c>
      <c r="G5601">
        <v>-419.56729999999999</v>
      </c>
      <c r="H5601" s="1">
        <v>-2.8569440000000001E-6</v>
      </c>
      <c r="I5601">
        <v>66.11345</v>
      </c>
      <c r="J5601">
        <v>-422.3793</v>
      </c>
      <c r="K5601">
        <v>1.111988</v>
      </c>
      <c r="L5601">
        <v>77.246549999999999</v>
      </c>
      <c r="M5601">
        <v>-3.9154630000000003E-2</v>
      </c>
      <c r="N5601">
        <v>-1.4756770000000001E-2</v>
      </c>
      <c r="O5601">
        <v>-0.99912420000000002</v>
      </c>
      <c r="P5601">
        <v>0.153193</v>
      </c>
      <c r="Q5601">
        <v>0.39896549999999997</v>
      </c>
      <c r="R5601">
        <v>-0.90407850000000001</v>
      </c>
      <c r="S5601">
        <v>0.80947880000000005</v>
      </c>
      <c r="T5601">
        <v>-0.32163259999999899</v>
      </c>
      <c r="U5601">
        <v>-3.3236080000000001</v>
      </c>
      <c r="V5601">
        <v>-0.18942000000000001</v>
      </c>
      <c r="W5601">
        <v>0.4117326</v>
      </c>
      <c r="X5601">
        <v>0.89140140000000001</v>
      </c>
      <c r="Y5601">
        <v>-0.27355590000000002</v>
      </c>
      <c r="Z5601">
        <v>7.8257640000000003E-2</v>
      </c>
      <c r="AA5601">
        <v>0.9586673</v>
      </c>
      <c r="AB5601">
        <v>36</v>
      </c>
      <c r="AC5601">
        <v>2.81200000000001</v>
      </c>
      <c r="AD5601">
        <v>-1.111990856944</v>
      </c>
      <c r="AE5601">
        <v>-11.133100000000001</v>
      </c>
      <c r="AF5601">
        <v>-3.2156466375556598</v>
      </c>
      <c r="AG5601">
        <v>-1.111990856944</v>
      </c>
      <c r="AH5601">
        <v>10.9121119628779</v>
      </c>
      <c r="AI5601">
        <v>95.582834617649198</v>
      </c>
      <c r="AJ5601">
        <v>106.419507308877</v>
      </c>
      <c r="AK5601">
        <v>11.430270970276</v>
      </c>
      <c r="AL5601">
        <v>65.686281047791795</v>
      </c>
      <c r="AM5601">
        <v>101.99672726434299</v>
      </c>
      <c r="AN5601">
        <v>1.00000006311235</v>
      </c>
    </row>
    <row r="5602" spans="1:40" x14ac:dyDescent="0.25">
      <c r="A5602" t="str">
        <f>"20190304164959910"</f>
        <v>20190304164959910</v>
      </c>
      <c r="B5602" t="str">
        <f>"1551689399900980"</f>
        <v>1551689399900980</v>
      </c>
      <c r="C5602" t="s">
        <v>40</v>
      </c>
      <c r="D5602">
        <v>4.5141809999999998</v>
      </c>
      <c r="E5602">
        <v>0.4742634</v>
      </c>
      <c r="F5602" t="s">
        <v>42</v>
      </c>
      <c r="G5602">
        <v>-419.55779999999999</v>
      </c>
      <c r="H5602" s="1">
        <v>-2.7008130000000002E-6</v>
      </c>
      <c r="I5602">
        <v>65.745580000000004</v>
      </c>
      <c r="J5602">
        <v>-422.39170000000001</v>
      </c>
      <c r="K5602">
        <v>1.1119859999999999</v>
      </c>
      <c r="L5602">
        <v>76.907229999999998</v>
      </c>
      <c r="M5602">
        <v>-3.8232830000000002E-2</v>
      </c>
      <c r="N5602">
        <v>-1.475418E-2</v>
      </c>
      <c r="O5602">
        <v>-0.9991601</v>
      </c>
      <c r="P5602">
        <v>0.15460689999999999</v>
      </c>
      <c r="Q5602">
        <v>0.3995552</v>
      </c>
      <c r="R5602">
        <v>-0.90357779999999999</v>
      </c>
      <c r="S5602">
        <v>0.81497189999999997</v>
      </c>
      <c r="T5602">
        <v>-0.32118639999999998</v>
      </c>
      <c r="U5602">
        <v>-3.32193</v>
      </c>
      <c r="V5602">
        <v>-0.1899844</v>
      </c>
      <c r="W5602">
        <v>0.41231380000000001</v>
      </c>
      <c r="X5602">
        <v>0.89101249999999999</v>
      </c>
      <c r="Y5602">
        <v>-0.27427750000000001</v>
      </c>
      <c r="Z5602">
        <v>7.8156080000000003E-2</v>
      </c>
      <c r="AA5602">
        <v>0.95846929999999997</v>
      </c>
      <c r="AB5602">
        <v>36</v>
      </c>
      <c r="AC5602">
        <v>2.8339000000000198</v>
      </c>
      <c r="AD5602">
        <v>-1.1119887008130001</v>
      </c>
      <c r="AE5602">
        <v>-11.1616499999999</v>
      </c>
      <c r="AF5602">
        <v>-3.2285120069264401</v>
      </c>
      <c r="AG5602">
        <v>-1.1119887008130001</v>
      </c>
      <c r="AH5602">
        <v>10.9430917081344</v>
      </c>
      <c r="AI5602">
        <v>95.566606053896393</v>
      </c>
      <c r="AJ5602">
        <v>106.437503975886</v>
      </c>
      <c r="AK5602">
        <v>11.463466525543</v>
      </c>
      <c r="AL5602">
        <v>65.649733013583102</v>
      </c>
      <c r="AM5602">
        <v>102.03653111889901</v>
      </c>
      <c r="AN5602">
        <v>1.00000000853502</v>
      </c>
    </row>
    <row r="5603" spans="1:40" x14ac:dyDescent="0.25">
      <c r="A5603" t="str">
        <f>"20190304164959934"</f>
        <v>20190304164959934</v>
      </c>
      <c r="B5603" t="str">
        <f>"1551689399921476"</f>
        <v>1551689399921476</v>
      </c>
      <c r="C5603" t="s">
        <v>40</v>
      </c>
      <c r="D5603">
        <v>4.5215120000000004</v>
      </c>
      <c r="E5603">
        <v>0.47443370000000001</v>
      </c>
      <c r="F5603" t="s">
        <v>42</v>
      </c>
      <c r="G5603">
        <v>-419.53739999999999</v>
      </c>
      <c r="H5603" s="1">
        <v>-2.5311810000000001E-6</v>
      </c>
      <c r="I5603">
        <v>65.341750000000005</v>
      </c>
      <c r="J5603">
        <v>-422.4051</v>
      </c>
      <c r="K5603">
        <v>1.11199</v>
      </c>
      <c r="L5603">
        <v>76.53143</v>
      </c>
      <c r="M5603">
        <v>-3.7212599999999998E-2</v>
      </c>
      <c r="N5603">
        <v>-1.475108E-2</v>
      </c>
      <c r="O5603">
        <v>-0.9991987</v>
      </c>
      <c r="P5603">
        <v>0.1562616</v>
      </c>
      <c r="Q5603">
        <v>0.39931800000000001</v>
      </c>
      <c r="R5603">
        <v>-0.90339769999999997</v>
      </c>
      <c r="S5603">
        <v>0.81961059999999997</v>
      </c>
      <c r="T5603">
        <v>-0.31931219999999999</v>
      </c>
      <c r="U5603">
        <v>-3.321075</v>
      </c>
      <c r="V5603">
        <v>-0.1907102</v>
      </c>
      <c r="W5603">
        <v>0.412074</v>
      </c>
      <c r="X5603">
        <v>0.89096839999999999</v>
      </c>
      <c r="Y5603">
        <v>-0.27462599999999998</v>
      </c>
      <c r="Z5603">
        <v>7.7631149999999996E-2</v>
      </c>
      <c r="AA5603">
        <v>0.95841220000000005</v>
      </c>
      <c r="AB5603">
        <v>36</v>
      </c>
      <c r="AC5603">
        <v>2.8677000000000099</v>
      </c>
      <c r="AD5603">
        <v>-1.1119925311809999</v>
      </c>
      <c r="AE5603">
        <v>-11.1896799999999</v>
      </c>
      <c r="AF5603">
        <v>-3.2520189941067299</v>
      </c>
      <c r="AG5603">
        <v>-1.1119925311809999</v>
      </c>
      <c r="AH5603">
        <v>10.9735097609534</v>
      </c>
      <c r="AI5603">
        <v>95.549304952787196</v>
      </c>
      <c r="AJ5603">
        <v>106.50728300546901</v>
      </c>
      <c r="AK5603">
        <v>11.4991335065375</v>
      </c>
      <c r="AL5603">
        <v>65.664813678991194</v>
      </c>
      <c r="AM5603">
        <v>102.08174641696</v>
      </c>
      <c r="AN5603">
        <v>1.00000002582929</v>
      </c>
    </row>
    <row r="5604" spans="1:40" x14ac:dyDescent="0.25">
      <c r="A5604" t="str">
        <f>"20190304164959956"</f>
        <v>20190304164959956</v>
      </c>
      <c r="B5604" t="str">
        <f>"1551689399951734"</f>
        <v>1551689399951734</v>
      </c>
      <c r="C5604" t="s">
        <v>40</v>
      </c>
      <c r="D5604">
        <v>4.5249639999999998</v>
      </c>
      <c r="E5604">
        <v>0.47468900000000003</v>
      </c>
      <c r="F5604" t="s">
        <v>42</v>
      </c>
      <c r="G5604">
        <v>-419.5437</v>
      </c>
      <c r="H5604" s="1">
        <v>-2.3832150000000001E-6</v>
      </c>
      <c r="I5604">
        <v>64.999440000000007</v>
      </c>
      <c r="J5604">
        <v>-422.41730000000001</v>
      </c>
      <c r="K5604">
        <v>1.1119870000000001</v>
      </c>
      <c r="L5604">
        <v>76.175629999999998</v>
      </c>
      <c r="M5604">
        <v>-3.6252039999999999E-2</v>
      </c>
      <c r="N5604">
        <v>-1.4748030000000001E-2</v>
      </c>
      <c r="O5604">
        <v>-0.99923410000000001</v>
      </c>
      <c r="P5604">
        <v>0.157697</v>
      </c>
      <c r="Q5604">
        <v>0.39969290000000002</v>
      </c>
      <c r="R5604">
        <v>-0.90298279999999997</v>
      </c>
      <c r="S5604">
        <v>0.82373050000000003</v>
      </c>
      <c r="T5604">
        <v>-0.3201196</v>
      </c>
      <c r="U5604">
        <v>-3.3198240000000001</v>
      </c>
      <c r="V5604">
        <v>-0.19126319999999999</v>
      </c>
      <c r="W5604">
        <v>0.41244239999999999</v>
      </c>
      <c r="X5604">
        <v>0.89067929999999995</v>
      </c>
      <c r="Y5604">
        <v>-0.27490120000000001</v>
      </c>
      <c r="Z5604">
        <v>7.7888849999999996E-2</v>
      </c>
      <c r="AA5604">
        <v>0.95831239999999995</v>
      </c>
      <c r="AB5604">
        <v>36</v>
      </c>
      <c r="AC5604">
        <v>2.8736000000000099</v>
      </c>
      <c r="AD5604">
        <v>-1.1119893832150001</v>
      </c>
      <c r="AE5604">
        <v>-11.176189999999901</v>
      </c>
      <c r="AF5604">
        <v>-3.2467660653402901</v>
      </c>
      <c r="AG5604">
        <v>-1.1119893832150001</v>
      </c>
      <c r="AH5604">
        <v>10.9628597224737</v>
      </c>
      <c r="AI5604">
        <v>95.554934126626094</v>
      </c>
      <c r="AJ5604">
        <v>106.497208734453</v>
      </c>
      <c r="AK5604">
        <v>11.487484649220001</v>
      </c>
      <c r="AL5604">
        <v>65.641644316697295</v>
      </c>
      <c r="AM5604">
        <v>102.119562419377</v>
      </c>
      <c r="AN5604">
        <v>0.99999998022024394</v>
      </c>
    </row>
    <row r="5605" spans="1:40" x14ac:dyDescent="0.25">
      <c r="A5605" t="str">
        <f>"20190304164959978"</f>
        <v>20190304164959978</v>
      </c>
      <c r="B5605" t="str">
        <f>"1551689399971758"</f>
        <v>1551689399971758</v>
      </c>
      <c r="C5605" t="s">
        <v>40</v>
      </c>
      <c r="D5605">
        <v>4.5000609999999996</v>
      </c>
      <c r="E5605">
        <v>0.47484959999999998</v>
      </c>
      <c r="F5605" t="s">
        <v>42</v>
      </c>
      <c r="G5605">
        <v>-419.52839999999998</v>
      </c>
      <c r="H5605" s="1">
        <v>-2.2054449999999999E-6</v>
      </c>
      <c r="I5605">
        <v>64.578710000000001</v>
      </c>
      <c r="J5605">
        <v>-422.42930000000001</v>
      </c>
      <c r="K5605">
        <v>1.1119810000000001</v>
      </c>
      <c r="L5605">
        <v>75.820279999999997</v>
      </c>
      <c r="M5605">
        <v>-3.5302519999999997E-2</v>
      </c>
      <c r="N5605">
        <v>-1.4744729999999999E-2</v>
      </c>
      <c r="O5605">
        <v>-0.99926820000000005</v>
      </c>
      <c r="P5605">
        <v>0.15901709999999999</v>
      </c>
      <c r="Q5605">
        <v>0.40028809999999998</v>
      </c>
      <c r="R5605">
        <v>-0.90248740000000005</v>
      </c>
      <c r="S5605">
        <v>0.82675169999999998</v>
      </c>
      <c r="T5605">
        <v>-0.31822709999999998</v>
      </c>
      <c r="U5605">
        <v>-3.3187869999999999</v>
      </c>
      <c r="V5605">
        <v>-0.19170499999999999</v>
      </c>
      <c r="W5605">
        <v>0.41303319999999999</v>
      </c>
      <c r="X5605">
        <v>0.8903105</v>
      </c>
      <c r="Y5605">
        <v>-0.27489039999999998</v>
      </c>
      <c r="Z5605">
        <v>7.7372839999999998E-2</v>
      </c>
      <c r="AA5605">
        <v>0.95835729999999997</v>
      </c>
      <c r="AB5605">
        <v>36</v>
      </c>
      <c r="AC5605">
        <v>2.9009000000000298</v>
      </c>
      <c r="AD5605">
        <v>-1.1119832054449901</v>
      </c>
      <c r="AE5605">
        <v>-11.241569999999999</v>
      </c>
      <c r="AF5605">
        <v>-3.2660285819083898</v>
      </c>
      <c r="AG5605">
        <v>-1.1119832054449901</v>
      </c>
      <c r="AH5605">
        <v>11.030946441965099</v>
      </c>
      <c r="AI5605">
        <v>95.520951361175804</v>
      </c>
      <c r="AJ5605">
        <v>106.492900976025</v>
      </c>
      <c r="AK5605">
        <v>11.5579076286557</v>
      </c>
      <c r="AL5605">
        <v>65.604481584523299</v>
      </c>
      <c r="AM5605">
        <v>102.151609207869</v>
      </c>
      <c r="AN5605">
        <v>1.00000000886874</v>
      </c>
    </row>
    <row r="5606" spans="1:40" x14ac:dyDescent="0.25">
      <c r="A5606" t="str">
        <f>"20190304165000001"</f>
        <v>20190304165000001</v>
      </c>
      <c r="B5606" t="str">
        <f>"1551689399991278"</f>
        <v>1551689399991278</v>
      </c>
      <c r="C5606" t="s">
        <v>40</v>
      </c>
      <c r="D5606">
        <v>4.4898619999999996</v>
      </c>
      <c r="E5606">
        <v>0.4749545</v>
      </c>
      <c r="F5606" t="s">
        <v>42</v>
      </c>
      <c r="G5606">
        <v>-419.5102</v>
      </c>
      <c r="H5606" s="1">
        <v>-2.0298500000000001E-6</v>
      </c>
      <c r="I5606">
        <v>64.161869999999993</v>
      </c>
      <c r="J5606">
        <v>-422.4409</v>
      </c>
      <c r="K5606">
        <v>1.1119699999999999</v>
      </c>
      <c r="L5606">
        <v>75.464510000000004</v>
      </c>
      <c r="M5606">
        <v>-3.4362990000000003E-2</v>
      </c>
      <c r="N5606">
        <v>-1.4741260000000001E-2</v>
      </c>
      <c r="O5606">
        <v>-0.99930050000000004</v>
      </c>
      <c r="P5606">
        <v>0.1609302</v>
      </c>
      <c r="Q5606">
        <v>0.40065519999999999</v>
      </c>
      <c r="R5606">
        <v>-0.90198489999999998</v>
      </c>
      <c r="S5606">
        <v>0.83081050000000001</v>
      </c>
      <c r="T5606">
        <v>-0.31648579999999998</v>
      </c>
      <c r="U5606">
        <v>-3.318146</v>
      </c>
      <c r="V5606">
        <v>-0.19274630000000001</v>
      </c>
      <c r="W5606">
        <v>0.41339429999999999</v>
      </c>
      <c r="X5606">
        <v>0.88991799999999999</v>
      </c>
      <c r="Y5606">
        <v>-0.27514379999999999</v>
      </c>
      <c r="Z5606">
        <v>7.6882359999999997E-2</v>
      </c>
      <c r="AA5606">
        <v>0.95832410000000001</v>
      </c>
      <c r="AB5606">
        <v>36</v>
      </c>
      <c r="AC5606">
        <v>2.9306999999999999</v>
      </c>
      <c r="AD5606">
        <v>-1.11197202985</v>
      </c>
      <c r="AE5606">
        <v>-11.30264</v>
      </c>
      <c r="AF5606">
        <v>-3.2875878226833199</v>
      </c>
      <c r="AG5606">
        <v>-1.11197202985</v>
      </c>
      <c r="AH5606">
        <v>11.0946255282986</v>
      </c>
      <c r="AI5606">
        <v>95.489040161322706</v>
      </c>
      <c r="AJ5606">
        <v>106.505744648177</v>
      </c>
      <c r="AK5606">
        <v>11.6247766043137</v>
      </c>
      <c r="AL5606">
        <v>65.581761855835595</v>
      </c>
      <c r="AM5606">
        <v>102.220862963239</v>
      </c>
      <c r="AN5606">
        <v>1.0000000150800801</v>
      </c>
    </row>
    <row r="5607" spans="1:40" x14ac:dyDescent="0.25">
      <c r="A5607" t="str">
        <f>"20190304165000022"</f>
        <v>20190304165000022</v>
      </c>
      <c r="B5607" t="str">
        <f>"1551689400011774"</f>
        <v>1551689400011774</v>
      </c>
      <c r="C5607" t="s">
        <v>40</v>
      </c>
      <c r="D5607">
        <v>4.480588</v>
      </c>
      <c r="E5607">
        <v>0.47499669999999999</v>
      </c>
      <c r="F5607" t="s">
        <v>42</v>
      </c>
      <c r="G5607">
        <v>-419.49540000000002</v>
      </c>
      <c r="H5607" s="1">
        <v>-1.865618E-6</v>
      </c>
      <c r="I5607">
        <v>63.772930000000002</v>
      </c>
      <c r="J5607">
        <v>-422.452</v>
      </c>
      <c r="K5607">
        <v>1.1119619999999999</v>
      </c>
      <c r="L5607">
        <v>75.115539999999996</v>
      </c>
      <c r="M5607">
        <v>-3.345803E-2</v>
      </c>
      <c r="N5607">
        <v>-1.4737709999999999E-2</v>
      </c>
      <c r="O5607">
        <v>-0.99933150000000004</v>
      </c>
      <c r="P5607">
        <v>0.16317279999999901</v>
      </c>
      <c r="Q5607">
        <v>0.40079039999999999</v>
      </c>
      <c r="R5607">
        <v>-0.90152220000000005</v>
      </c>
      <c r="S5607">
        <v>0.83566280000000004</v>
      </c>
      <c r="T5607">
        <v>-0.31548009999999999</v>
      </c>
      <c r="U5607">
        <v>-3.3170470000000001</v>
      </c>
      <c r="V5607">
        <v>-0.1941465</v>
      </c>
      <c r="W5607">
        <v>0.41352499999999998</v>
      </c>
      <c r="X5607">
        <v>0.88955280000000003</v>
      </c>
      <c r="Y5607">
        <v>-0.27567229999999998</v>
      </c>
      <c r="Z5607">
        <v>7.6608689999999993E-2</v>
      </c>
      <c r="AA5607">
        <v>0.95819410000000005</v>
      </c>
      <c r="AB5607">
        <v>36</v>
      </c>
      <c r="AC5607">
        <v>2.9565999999999799</v>
      </c>
      <c r="AD5607">
        <v>-1.111963865618</v>
      </c>
      <c r="AE5607">
        <v>-11.342609999999899</v>
      </c>
      <c r="AF5607">
        <v>-3.3047466547978299</v>
      </c>
      <c r="AG5607">
        <v>-1.111963865618</v>
      </c>
      <c r="AH5607">
        <v>11.137099851053399</v>
      </c>
      <c r="AI5607">
        <v>95.467585251589497</v>
      </c>
      <c r="AJ5607">
        <v>106.527368139454</v>
      </c>
      <c r="AK5607">
        <v>11.6701674016773</v>
      </c>
      <c r="AL5607">
        <v>65.573536649957703</v>
      </c>
      <c r="AM5607">
        <v>102.311843237175</v>
      </c>
      <c r="AN5607">
        <v>0.99999998653754496</v>
      </c>
    </row>
    <row r="5608" spans="1:40" x14ac:dyDescent="0.25">
      <c r="A5608" t="str">
        <f>"20190304165000044"</f>
        <v>20190304165000044</v>
      </c>
      <c r="B5608" t="str">
        <f>"1551689400041055"</f>
        <v>1551689400041055</v>
      </c>
      <c r="C5608" t="s">
        <v>40</v>
      </c>
      <c r="D5608">
        <v>4.5324799999999996</v>
      </c>
      <c r="E5608">
        <v>0.47511009999999998</v>
      </c>
      <c r="F5608" t="s">
        <v>42</v>
      </c>
      <c r="G5608">
        <v>-419.48899999999998</v>
      </c>
      <c r="H5608" s="1">
        <v>-1.723986E-6</v>
      </c>
      <c r="I5608">
        <v>63.440109999999997</v>
      </c>
      <c r="J5608">
        <v>-422.46289999999999</v>
      </c>
      <c r="K5608">
        <v>1.111937</v>
      </c>
      <c r="L5608">
        <v>74.761510000000001</v>
      </c>
      <c r="M5608">
        <v>-3.2566779999999997E-2</v>
      </c>
      <c r="N5608">
        <v>-1.4733960000000001E-2</v>
      </c>
      <c r="O5608">
        <v>-0.99936100000000005</v>
      </c>
      <c r="P5608">
        <v>0.16556850000000001</v>
      </c>
      <c r="Q5608">
        <v>0.40066829999999998</v>
      </c>
      <c r="R5608">
        <v>-0.90113940000000003</v>
      </c>
      <c r="S5608">
        <v>0.84149169999999995</v>
      </c>
      <c r="T5608">
        <v>-0.315795099999999</v>
      </c>
      <c r="U5608">
        <v>-3.3157960000000002</v>
      </c>
      <c r="V5608">
        <v>-0.1957082</v>
      </c>
      <c r="W5608">
        <v>0.41340179999999999</v>
      </c>
      <c r="X5608">
        <v>0.8892679</v>
      </c>
      <c r="Y5608">
        <v>-0.27648129999999999</v>
      </c>
      <c r="Z5608">
        <v>7.6711399999999902E-2</v>
      </c>
      <c r="AA5608">
        <v>0.95795269999999999</v>
      </c>
      <c r="AB5608">
        <v>36</v>
      </c>
      <c r="AC5608">
        <v>2.9738999999999498</v>
      </c>
      <c r="AD5608">
        <v>-1.1119387239859999</v>
      </c>
      <c r="AE5608">
        <v>-11.321400000000001</v>
      </c>
      <c r="AF5608">
        <v>-3.3111846808101899</v>
      </c>
      <c r="AG5608">
        <v>-1.1119387239859999</v>
      </c>
      <c r="AH5608">
        <v>11.118205446247099</v>
      </c>
      <c r="AI5608">
        <v>95.475086954915994</v>
      </c>
      <c r="AJ5608">
        <v>106.584398170443</v>
      </c>
      <c r="AK5608">
        <v>11.6539625905221</v>
      </c>
      <c r="AL5608">
        <v>65.581291426893799</v>
      </c>
      <c r="AM5608">
        <v>102.411675010697</v>
      </c>
      <c r="AN5608">
        <v>1.0000000728804399</v>
      </c>
    </row>
    <row r="5609" spans="1:40" x14ac:dyDescent="0.25">
      <c r="A5609" t="str">
        <f>"20190304165000068"</f>
        <v>20190304165000068</v>
      </c>
      <c r="B5609" t="str">
        <f>"1551689400061554"</f>
        <v>1551689400061554</v>
      </c>
      <c r="C5609" t="s">
        <v>40</v>
      </c>
      <c r="D5609">
        <v>4.4994709999999998</v>
      </c>
      <c r="E5609">
        <v>0.47512339999999997</v>
      </c>
      <c r="F5609" t="s">
        <v>42</v>
      </c>
      <c r="G5609">
        <v>-419.4871</v>
      </c>
      <c r="H5609" s="1">
        <v>-1.5847020000000001E-6</v>
      </c>
      <c r="I5609">
        <v>63.114660000000001</v>
      </c>
      <c r="J5609">
        <v>-422.47410000000002</v>
      </c>
      <c r="K5609">
        <v>1.11191</v>
      </c>
      <c r="L5609">
        <v>74.388639999999995</v>
      </c>
      <c r="M5609">
        <v>-3.1668370000000001E-2</v>
      </c>
      <c r="N5609">
        <v>-1.4729870000000001E-2</v>
      </c>
      <c r="O5609">
        <v>-0.99938990000000005</v>
      </c>
      <c r="P5609">
        <v>0.167994899999999</v>
      </c>
      <c r="Q5609">
        <v>0.40025620000000001</v>
      </c>
      <c r="R5609">
        <v>-0.90087340000000005</v>
      </c>
      <c r="S5609">
        <v>0.84680180000000005</v>
      </c>
      <c r="T5609">
        <v>-0.31641449999999999</v>
      </c>
      <c r="U5609">
        <v>-3.3142399999999999</v>
      </c>
      <c r="V5609">
        <v>-0.19728889999999999</v>
      </c>
      <c r="W5609">
        <v>0.41299449999999999</v>
      </c>
      <c r="X5609">
        <v>0.8891078</v>
      </c>
      <c r="Y5609">
        <v>-0.2771614</v>
      </c>
      <c r="Z5609">
        <v>7.6913399999999896E-2</v>
      </c>
      <c r="AA5609">
        <v>0.95774000000000004</v>
      </c>
      <c r="AB5609">
        <v>36</v>
      </c>
      <c r="AC5609">
        <v>2.9870000000000201</v>
      </c>
      <c r="AD5609">
        <v>-1.111911584702</v>
      </c>
      <c r="AE5609">
        <v>-11.27398</v>
      </c>
      <c r="AF5609">
        <v>-3.3124613925606599</v>
      </c>
      <c r="AG5609">
        <v>-1.111911584702</v>
      </c>
      <c r="AH5609">
        <v>11.0730757621994</v>
      </c>
      <c r="AI5609">
        <v>95.495141841097393</v>
      </c>
      <c r="AJ5609">
        <v>106.654319823303</v>
      </c>
      <c r="AK5609">
        <v>11.6112770479739</v>
      </c>
      <c r="AL5609">
        <v>65.606916671769895</v>
      </c>
      <c r="AM5609">
        <v>102.51096024297</v>
      </c>
      <c r="AN5609">
        <v>1.00000002355714</v>
      </c>
    </row>
    <row r="5610" spans="1:40" x14ac:dyDescent="0.25">
      <c r="A5610" t="str">
        <f>"20190304165000090"</f>
        <v>20190304165000090</v>
      </c>
      <c r="B5610" t="str">
        <f>"1551689400081581"</f>
        <v>1551689400081581</v>
      </c>
      <c r="C5610" t="s">
        <v>40</v>
      </c>
      <c r="D5610">
        <v>4.4961650000000004</v>
      </c>
      <c r="E5610">
        <v>0.47520109999999899</v>
      </c>
      <c r="F5610" t="s">
        <v>42</v>
      </c>
      <c r="G5610">
        <v>-419.49560000000002</v>
      </c>
      <c r="H5610" s="1">
        <v>-1.464141E-6</v>
      </c>
      <c r="I5610">
        <v>62.837150000000001</v>
      </c>
      <c r="J5610">
        <v>-422.48419999999999</v>
      </c>
      <c r="K5610">
        <v>1.1118749999999999</v>
      </c>
      <c r="L5610">
        <v>74.04504</v>
      </c>
      <c r="M5610">
        <v>-3.0884720000000001E-2</v>
      </c>
      <c r="N5610">
        <v>-1.472594E-2</v>
      </c>
      <c r="O5610">
        <v>-0.99941469999999999</v>
      </c>
      <c r="P5610">
        <v>0.1705749</v>
      </c>
      <c r="Q5610">
        <v>0.40029189999999998</v>
      </c>
      <c r="R5610">
        <v>-0.90037269999999903</v>
      </c>
      <c r="S5610">
        <v>0.85412600000000005</v>
      </c>
      <c r="T5610">
        <v>-0.318851</v>
      </c>
      <c r="U5610">
        <v>-3.3125</v>
      </c>
      <c r="V5610">
        <v>-0.1991144</v>
      </c>
      <c r="W5610">
        <v>0.41303400000000001</v>
      </c>
      <c r="X5610">
        <v>0.88868239999999998</v>
      </c>
      <c r="Y5610">
        <v>-0.278499</v>
      </c>
      <c r="Z5610">
        <v>7.7625749999999993E-2</v>
      </c>
      <c r="AA5610">
        <v>0.95729439999999999</v>
      </c>
      <c r="AB5610">
        <v>36</v>
      </c>
      <c r="AC5610">
        <v>2.98859999999996</v>
      </c>
      <c r="AD5610">
        <v>-1.1118764641409999</v>
      </c>
      <c r="AE5610">
        <v>-11.207890000000001</v>
      </c>
      <c r="AF5610">
        <v>-3.3030149726250402</v>
      </c>
      <c r="AG5610">
        <v>-1.1118764641409999</v>
      </c>
      <c r="AH5610">
        <v>11.009075645752301</v>
      </c>
      <c r="AI5610">
        <v>95.525386450045104</v>
      </c>
      <c r="AJ5610">
        <v>106.70063976525</v>
      </c>
      <c r="AK5610">
        <v>11.547550552164401</v>
      </c>
      <c r="AL5610">
        <v>65.6044315111332</v>
      </c>
      <c r="AM5610">
        <v>102.628878365042</v>
      </c>
      <c r="AN5610">
        <v>1.0000000187565501</v>
      </c>
    </row>
    <row r="5611" spans="1:40" x14ac:dyDescent="0.25">
      <c r="A5611" t="str">
        <f>"20190304165000110"</f>
        <v>20190304165000110</v>
      </c>
      <c r="B5611" t="str">
        <f>"1551689400101096"</f>
        <v>1551689400101096</v>
      </c>
      <c r="C5611" t="s">
        <v>40</v>
      </c>
      <c r="D5611">
        <v>4.6693280000000001</v>
      </c>
      <c r="E5611">
        <v>0.50257070000000004</v>
      </c>
      <c r="F5611" t="s">
        <v>42</v>
      </c>
      <c r="G5611">
        <v>-419.47750000000002</v>
      </c>
      <c r="H5611" s="1">
        <v>-1.3224419999999999E-6</v>
      </c>
      <c r="I5611">
        <v>62.499360000000003</v>
      </c>
      <c r="J5611">
        <v>-422.4939</v>
      </c>
      <c r="K5611">
        <v>1.1118399999999999</v>
      </c>
      <c r="L5611">
        <v>73.707210000000003</v>
      </c>
      <c r="M5611">
        <v>-3.016342E-2</v>
      </c>
      <c r="N5611">
        <v>-1.4721949999999999E-2</v>
      </c>
      <c r="O5611">
        <v>-0.99943689999999996</v>
      </c>
      <c r="P5611">
        <v>0.17257600000000001</v>
      </c>
      <c r="Q5611">
        <v>0.4006595</v>
      </c>
      <c r="R5611">
        <v>-0.89982770000000001</v>
      </c>
      <c r="S5611">
        <v>0.8620911</v>
      </c>
      <c r="T5611">
        <v>-0.31879580000000002</v>
      </c>
      <c r="U5611">
        <v>-3.3103639999999999</v>
      </c>
      <c r="V5611">
        <v>-0.20041010000000001</v>
      </c>
      <c r="W5611">
        <v>0.41340959999999899</v>
      </c>
      <c r="X5611">
        <v>0.88821640000000002</v>
      </c>
      <c r="Y5611">
        <v>-0.28011209999999997</v>
      </c>
      <c r="Z5611">
        <v>7.7625730000000004E-2</v>
      </c>
      <c r="AA5611">
        <v>0.9568236</v>
      </c>
      <c r="AB5611">
        <v>36</v>
      </c>
      <c r="AC5611">
        <v>3.0163999999999702</v>
      </c>
      <c r="AD5611">
        <v>-1.1118413224419901</v>
      </c>
      <c r="AE5611">
        <v>-11.207850000000001</v>
      </c>
      <c r="AF5611">
        <v>-3.32264100258074</v>
      </c>
      <c r="AG5611">
        <v>-1.1118413224419901</v>
      </c>
      <c r="AH5611">
        <v>11.010715902972899</v>
      </c>
      <c r="AI5611">
        <v>95.521763118765904</v>
      </c>
      <c r="AJ5611">
        <v>106.79193957907501</v>
      </c>
      <c r="AK5611">
        <v>11.554739246486699</v>
      </c>
      <c r="AL5611">
        <v>65.580799744079897</v>
      </c>
      <c r="AM5611">
        <v>102.71484842356701</v>
      </c>
      <c r="AN5611">
        <v>1.00000003939156</v>
      </c>
    </row>
    <row r="5612" spans="1:40" x14ac:dyDescent="0.25">
      <c r="A5612" t="str">
        <f>"20190304165000135"</f>
        <v>20190304165000135</v>
      </c>
      <c r="B5612" t="str">
        <f>"1551689400131354"</f>
        <v>1551689400131354</v>
      </c>
      <c r="C5612" t="s">
        <v>40</v>
      </c>
      <c r="D5612">
        <v>4.5679349999999896</v>
      </c>
      <c r="E5612">
        <v>0.51952989999999999</v>
      </c>
      <c r="F5612" t="s">
        <v>42</v>
      </c>
      <c r="G5612">
        <v>-420.59629999999999</v>
      </c>
      <c r="H5612" s="1">
        <v>-2.0550639999999999E-6</v>
      </c>
      <c r="I5612">
        <v>64.009649999999993</v>
      </c>
      <c r="J5612">
        <v>-422.5043</v>
      </c>
      <c r="K5612">
        <v>1.1117980000000001</v>
      </c>
      <c r="L5612">
        <v>73.340029999999999</v>
      </c>
      <c r="M5612">
        <v>-2.9437080000000001E-2</v>
      </c>
      <c r="N5612">
        <v>-1.4717600000000001E-2</v>
      </c>
      <c r="O5612">
        <v>-0.99945859999999997</v>
      </c>
      <c r="P5612">
        <v>0.1746315</v>
      </c>
      <c r="Q5612">
        <v>0.40111750000000002</v>
      </c>
      <c r="R5612">
        <v>-0.89922679999999999</v>
      </c>
      <c r="S5612">
        <v>0.66131589999999996</v>
      </c>
      <c r="T5612">
        <v>-0.38748480000000002</v>
      </c>
      <c r="U5612">
        <v>-3.3796689999999998</v>
      </c>
      <c r="V5612">
        <v>-0.20174729999999999</v>
      </c>
      <c r="W5612">
        <v>0.41387800000000002</v>
      </c>
      <c r="X5612">
        <v>0.88769529999999996</v>
      </c>
      <c r="Y5612">
        <v>-0.21973490000000001</v>
      </c>
      <c r="Z5612">
        <v>9.6719410000000006E-2</v>
      </c>
      <c r="AA5612">
        <v>0.97075330000000004</v>
      </c>
      <c r="AB5612">
        <v>35</v>
      </c>
      <c r="AC5612">
        <v>1.9080000000000099</v>
      </c>
      <c r="AD5612">
        <v>-1.1118000550639999</v>
      </c>
      <c r="AE5612">
        <v>-9.3303799999999999</v>
      </c>
      <c r="AF5612">
        <v>-2.15252506524096</v>
      </c>
      <c r="AG5612">
        <v>-1.1118000550639999</v>
      </c>
      <c r="AH5612">
        <v>9.1455196314232907</v>
      </c>
      <c r="AI5612">
        <v>96.748670688207497</v>
      </c>
      <c r="AJ5612">
        <v>103.244307737254</v>
      </c>
      <c r="AK5612">
        <v>9.4609720878818599</v>
      </c>
      <c r="AL5612">
        <v>65.551320273430207</v>
      </c>
      <c r="AM5612">
        <v>102.804165913608</v>
      </c>
      <c r="AN5612">
        <v>0.99999995879168901</v>
      </c>
    </row>
    <row r="5613" spans="1:40" x14ac:dyDescent="0.25">
      <c r="A5613" t="str">
        <f>"20190304165000158"</f>
        <v>20190304165000158</v>
      </c>
      <c r="B5613" t="str">
        <f>"1551689400151849"</f>
        <v>1551689400151849</v>
      </c>
      <c r="C5613" t="s">
        <v>40</v>
      </c>
      <c r="D5613">
        <v>4.5135370000000004</v>
      </c>
      <c r="E5613">
        <v>0.52360150000000005</v>
      </c>
      <c r="F5613" t="s">
        <v>42</v>
      </c>
      <c r="G5613">
        <v>-421.12959999999998</v>
      </c>
      <c r="H5613" s="1">
        <v>-2.469347E-6</v>
      </c>
      <c r="I5613">
        <v>64.644619999999904</v>
      </c>
      <c r="J5613">
        <v>-422.51409999999998</v>
      </c>
      <c r="K5613">
        <v>1.1117509999999999</v>
      </c>
      <c r="L5613">
        <v>72.982879999999994</v>
      </c>
      <c r="M5613">
        <v>-2.879046E-2</v>
      </c>
      <c r="N5613">
        <v>-1.4713399999999901E-2</v>
      </c>
      <c r="O5613">
        <v>-0.99947739999999996</v>
      </c>
      <c r="P5613">
        <v>0.176249499999999</v>
      </c>
      <c r="Q5613">
        <v>0.40143590000000001</v>
      </c>
      <c r="R5613">
        <v>-0.89876900000000004</v>
      </c>
      <c r="S5613">
        <v>0.54168700000000003</v>
      </c>
      <c r="T5613">
        <v>-0.4381005</v>
      </c>
      <c r="U5613">
        <v>-3.4263919999999999</v>
      </c>
      <c r="V5613">
        <v>-0.2027235</v>
      </c>
      <c r="W5613">
        <v>0.41420960000000001</v>
      </c>
      <c r="X5613">
        <v>0.88731819999999895</v>
      </c>
      <c r="Y5613">
        <v>-0.18338479999999999</v>
      </c>
      <c r="Z5613">
        <v>0.1102678</v>
      </c>
      <c r="AA5613">
        <v>0.97683730000000002</v>
      </c>
      <c r="AB5613">
        <v>35</v>
      </c>
      <c r="AC5613">
        <v>1.3845000000000001</v>
      </c>
      <c r="AD5613">
        <v>-1.1117534693469999</v>
      </c>
      <c r="AE5613">
        <v>-8.3382600000000195</v>
      </c>
      <c r="AF5613">
        <v>-1.5963960325356099</v>
      </c>
      <c r="AG5613">
        <v>-1.1117534693469999</v>
      </c>
      <c r="AH5613">
        <v>8.1538732694974492</v>
      </c>
      <c r="AI5613">
        <v>97.621267450441294</v>
      </c>
      <c r="AJ5613">
        <v>101.077464203617</v>
      </c>
      <c r="AK5613">
        <v>8.3827277997275793</v>
      </c>
      <c r="AL5613">
        <v>65.530448887287093</v>
      </c>
      <c r="AM5613">
        <v>102.869350343191</v>
      </c>
      <c r="AN5613">
        <v>0.999999999117824</v>
      </c>
    </row>
    <row r="5614" spans="1:40" x14ac:dyDescent="0.25">
      <c r="A5614" t="str">
        <f>"20190304165000179"</f>
        <v>20190304165000179</v>
      </c>
      <c r="B5614" t="str">
        <f>"1551689400171876"</f>
        <v>1551689400171876</v>
      </c>
      <c r="C5614" t="s">
        <v>40</v>
      </c>
      <c r="D5614">
        <v>4.5318699999999996</v>
      </c>
      <c r="E5614">
        <v>0.52558179999999999</v>
      </c>
      <c r="F5614" t="s">
        <v>42</v>
      </c>
      <c r="G5614">
        <v>-421.21620000000001</v>
      </c>
      <c r="H5614" s="1">
        <v>-2.3663550000000001E-6</v>
      </c>
      <c r="I5614">
        <v>64.350819999999999</v>
      </c>
      <c r="J5614">
        <v>-422.52359999999999</v>
      </c>
      <c r="K5614">
        <v>1.1117109999999999</v>
      </c>
      <c r="L5614">
        <v>72.630519999999905</v>
      </c>
      <c r="M5614">
        <v>-2.82017E-2</v>
      </c>
      <c r="N5614">
        <v>-1.470928E-2</v>
      </c>
      <c r="O5614">
        <v>-0.99949410000000005</v>
      </c>
      <c r="P5614">
        <v>0.1780398</v>
      </c>
      <c r="Q5614">
        <v>0.40193469999999998</v>
      </c>
      <c r="R5614">
        <v>-0.89819309999999997</v>
      </c>
      <c r="S5614">
        <v>0.51635739999999997</v>
      </c>
      <c r="T5614">
        <v>-0.44229940000000001</v>
      </c>
      <c r="U5614">
        <v>-3.4341740000000001</v>
      </c>
      <c r="V5614">
        <v>-0.20392640000000001</v>
      </c>
      <c r="W5614">
        <v>0.41471740000000001</v>
      </c>
      <c r="X5614">
        <v>0.88680519999999996</v>
      </c>
      <c r="Y5614">
        <v>-0.17540999999999901</v>
      </c>
      <c r="Z5614">
        <v>0.1113408</v>
      </c>
      <c r="AA5614">
        <v>0.97817920000000003</v>
      </c>
      <c r="AB5614">
        <v>35</v>
      </c>
      <c r="AC5614">
        <v>1.3073999999999699</v>
      </c>
      <c r="AD5614">
        <v>-1.1117133663550001</v>
      </c>
      <c r="AE5614">
        <v>-8.2796999999999894</v>
      </c>
      <c r="AF5614">
        <v>-1.51377966864976</v>
      </c>
      <c r="AG5614">
        <v>-1.1117133663550001</v>
      </c>
      <c r="AH5614">
        <v>8.0971047994756695</v>
      </c>
      <c r="AI5614">
        <v>97.686161945204404</v>
      </c>
      <c r="AJ5614">
        <v>100.589387070942</v>
      </c>
      <c r="AK5614">
        <v>8.3120720417860703</v>
      </c>
      <c r="AL5614">
        <v>65.498478415597404</v>
      </c>
      <c r="AM5614">
        <v>102.95038384788501</v>
      </c>
      <c r="AN5614">
        <v>0.99999998061337902</v>
      </c>
    </row>
    <row r="5615" spans="1:40" x14ac:dyDescent="0.25">
      <c r="A5615" t="str">
        <f>"20190304165000201"</f>
        <v>20190304165000201</v>
      </c>
      <c r="B5615" t="str">
        <f>"1551689400191397"</f>
        <v>1551689400191397</v>
      </c>
      <c r="C5615" t="s">
        <v>40</v>
      </c>
      <c r="D5615">
        <v>4.6940379999999999</v>
      </c>
      <c r="E5615">
        <v>0.52644150000000001</v>
      </c>
      <c r="F5615" t="s">
        <v>42</v>
      </c>
      <c r="G5615">
        <v>-421.26479999999998</v>
      </c>
      <c r="H5615" s="1">
        <v>-2.2689E-6</v>
      </c>
      <c r="I5615">
        <v>64.093509999999995</v>
      </c>
      <c r="J5615">
        <v>-422.53250000000003</v>
      </c>
      <c r="K5615">
        <v>1.1116779999999999</v>
      </c>
      <c r="L5615">
        <v>72.294069999999905</v>
      </c>
      <c r="M5615">
        <v>-2.767385E-2</v>
      </c>
      <c r="N5615">
        <v>-1.4705299999999999E-2</v>
      </c>
      <c r="O5615">
        <v>-0.99950899999999998</v>
      </c>
      <c r="P5615">
        <v>0.17954319999999999</v>
      </c>
      <c r="Q5615">
        <v>0.40225870000000002</v>
      </c>
      <c r="R5615">
        <v>-0.8977484</v>
      </c>
      <c r="S5615">
        <v>0.50723269999999998</v>
      </c>
      <c r="T5615">
        <v>-0.44796279999999999</v>
      </c>
      <c r="U5615">
        <v>-3.439972</v>
      </c>
      <c r="V5615">
        <v>-0.20490920000000001</v>
      </c>
      <c r="W5615">
        <v>0.4150489</v>
      </c>
      <c r="X5615">
        <v>0.88642350000000003</v>
      </c>
      <c r="Y5615">
        <v>-0.17208619999999999</v>
      </c>
      <c r="Z5615">
        <v>0.11279069999999999</v>
      </c>
      <c r="AA5615">
        <v>0.97860340000000001</v>
      </c>
      <c r="AB5615">
        <v>35</v>
      </c>
      <c r="AC5615">
        <v>1.26770000000004</v>
      </c>
      <c r="AD5615">
        <v>-1.1116802689</v>
      </c>
      <c r="AE5615">
        <v>-8.2005599999999905</v>
      </c>
      <c r="AF5615">
        <v>-1.4678352151090499</v>
      </c>
      <c r="AG5615">
        <v>-1.1116802689</v>
      </c>
      <c r="AH5615">
        <v>8.0184179341167798</v>
      </c>
      <c r="AI5615">
        <v>97.765788585170696</v>
      </c>
      <c r="AJ5615">
        <v>100.373592303726</v>
      </c>
      <c r="AK5615">
        <v>8.2271136740135997</v>
      </c>
      <c r="AL5615">
        <v>65.477603895623005</v>
      </c>
      <c r="AM5615">
        <v>103.016089786893</v>
      </c>
      <c r="AN5615">
        <v>0.99999999549404905</v>
      </c>
    </row>
    <row r="5616" spans="1:40" x14ac:dyDescent="0.25">
      <c r="A5616" t="str">
        <f>"20190304165000223"</f>
        <v>20190304165000223</v>
      </c>
      <c r="B5616" t="str">
        <f>"1551689400210917"</f>
        <v>1551689400210917</v>
      </c>
      <c r="C5616" t="s">
        <v>40</v>
      </c>
      <c r="D5616">
        <v>4.5039569999999998</v>
      </c>
      <c r="E5616">
        <v>0.52726589999999995</v>
      </c>
      <c r="F5616" t="s">
        <v>42</v>
      </c>
      <c r="G5616">
        <v>-421.28769999999997</v>
      </c>
      <c r="H5616" s="1">
        <v>-2.158892E-6</v>
      </c>
      <c r="I5616">
        <v>63.822859999999999</v>
      </c>
      <c r="J5616">
        <v>-422.54169999999999</v>
      </c>
      <c r="K5616">
        <v>1.1116509999999999</v>
      </c>
      <c r="L5616">
        <v>71.944119999999998</v>
      </c>
      <c r="M5616">
        <v>-2.7152180000000001E-2</v>
      </c>
      <c r="N5616">
        <v>-1.4701219999999999E-2</v>
      </c>
      <c r="O5616">
        <v>-0.99952339999999995</v>
      </c>
      <c r="P5616">
        <v>0.18123639999999999</v>
      </c>
      <c r="Q5616">
        <v>0.40215970000000001</v>
      </c>
      <c r="R5616">
        <v>-0.89745269999999999</v>
      </c>
      <c r="S5616">
        <v>0.50592040000000005</v>
      </c>
      <c r="T5616">
        <v>-0.45182129999999998</v>
      </c>
      <c r="U5616">
        <v>-3.4429630000000002</v>
      </c>
      <c r="V5616">
        <v>-0.20609659999999999</v>
      </c>
      <c r="W5616">
        <v>0.41495690000000002</v>
      </c>
      <c r="X5616">
        <v>0.88619130000000002</v>
      </c>
      <c r="Y5616">
        <v>-0.17106769999999999</v>
      </c>
      <c r="Z5616">
        <v>0.1137855</v>
      </c>
      <c r="AA5616">
        <v>0.97866679999999995</v>
      </c>
      <c r="AB5616">
        <v>35</v>
      </c>
      <c r="AC5616">
        <v>1.25400000000001</v>
      </c>
      <c r="AD5616">
        <v>-1.111653158892</v>
      </c>
      <c r="AE5616">
        <v>-8.1212599999999995</v>
      </c>
      <c r="AF5616">
        <v>-1.44758008707382</v>
      </c>
      <c r="AG5616">
        <v>-1.111653158892</v>
      </c>
      <c r="AH5616">
        <v>7.9389277051373996</v>
      </c>
      <c r="AI5616">
        <v>97.843377280671007</v>
      </c>
      <c r="AJ5616">
        <v>100.333757178475</v>
      </c>
      <c r="AK5616">
        <v>8.1460317923247398</v>
      </c>
      <c r="AL5616">
        <v>65.4833984515748</v>
      </c>
      <c r="AM5616">
        <v>103.092236549242</v>
      </c>
      <c r="AN5616">
        <v>1.00000002879242</v>
      </c>
    </row>
    <row r="5617" spans="1:40" x14ac:dyDescent="0.25">
      <c r="A5617" t="str">
        <f>"20190304165000247"</f>
        <v>20190304165000247</v>
      </c>
      <c r="B5617" t="str">
        <f>"1551689400241172"</f>
        <v>1551689400241172</v>
      </c>
      <c r="C5617" t="s">
        <v>40</v>
      </c>
      <c r="D5617">
        <v>4.5202710000000002</v>
      </c>
      <c r="E5617">
        <v>0.52806119999999901</v>
      </c>
      <c r="F5617" t="s">
        <v>42</v>
      </c>
      <c r="G5617">
        <v>-421.31049999999999</v>
      </c>
      <c r="H5617" s="1">
        <v>-2.0426000000000001E-6</v>
      </c>
      <c r="I5617">
        <v>63.537619999999997</v>
      </c>
      <c r="J5617">
        <v>-422.55110000000002</v>
      </c>
      <c r="K5617">
        <v>1.1116239999999999</v>
      </c>
      <c r="L5617">
        <v>71.576569999999904</v>
      </c>
      <c r="M5617">
        <v>-2.6624559999999999E-2</v>
      </c>
      <c r="N5617">
        <v>-1.469696E-2</v>
      </c>
      <c r="O5617">
        <v>-0.99953760000000003</v>
      </c>
      <c r="P5617">
        <v>0.1827665</v>
      </c>
      <c r="Q5617">
        <v>0.40245180000000003</v>
      </c>
      <c r="R5617">
        <v>-0.89701119999999901</v>
      </c>
      <c r="S5617">
        <v>0.50451659999999998</v>
      </c>
      <c r="T5617">
        <v>-0.45556239999999998</v>
      </c>
      <c r="U5617">
        <v>-3.4450379999999998</v>
      </c>
      <c r="V5617">
        <v>-0.2071181</v>
      </c>
      <c r="W5617">
        <v>0.41525099999999998</v>
      </c>
      <c r="X5617">
        <v>0.88581529999999997</v>
      </c>
      <c r="Y5617">
        <v>-0.17005580000000001</v>
      </c>
      <c r="Z5617">
        <v>0.1147794</v>
      </c>
      <c r="AA5617">
        <v>0.97872709999999996</v>
      </c>
      <c r="AB5617">
        <v>35</v>
      </c>
      <c r="AC5617">
        <v>1.2406000000000199</v>
      </c>
      <c r="AD5617">
        <v>-1.1116260426</v>
      </c>
      <c r="AE5617">
        <v>-8.0389499999999892</v>
      </c>
      <c r="AF5617">
        <v>-1.4275548942784</v>
      </c>
      <c r="AG5617">
        <v>-1.1116260426</v>
      </c>
      <c r="AH5617">
        <v>7.8563362571711499</v>
      </c>
      <c r="AI5617">
        <v>97.925470673546002</v>
      </c>
      <c r="AJ5617">
        <v>100.29870537667</v>
      </c>
      <c r="AK5617">
        <v>8.0619876470078307</v>
      </c>
      <c r="AL5617">
        <v>65.464876460867501</v>
      </c>
      <c r="AM5617">
        <v>103.160265360463</v>
      </c>
      <c r="AN5617">
        <v>1.0000000230313399</v>
      </c>
    </row>
    <row r="5618" spans="1:40" x14ac:dyDescent="0.25">
      <c r="A5618" t="str">
        <f>"20190304165000269"</f>
        <v>20190304165000269</v>
      </c>
      <c r="B5618" t="str">
        <f>"1551689400261672"</f>
        <v>1551689400261672</v>
      </c>
      <c r="C5618" t="s">
        <v>40</v>
      </c>
      <c r="D5618">
        <v>4.518777</v>
      </c>
      <c r="E5618">
        <v>0.5285337</v>
      </c>
      <c r="F5618" t="s">
        <v>42</v>
      </c>
      <c r="G5618">
        <v>-421.33769999999998</v>
      </c>
      <c r="H5618" s="1">
        <v>-1.9261800000000002E-6</v>
      </c>
      <c r="I5618">
        <v>63.249389999999998</v>
      </c>
      <c r="J5618">
        <v>-422.5598</v>
      </c>
      <c r="K5618">
        <v>1.111607</v>
      </c>
      <c r="L5618">
        <v>71.22775</v>
      </c>
      <c r="M5618">
        <v>-2.6134460000000002E-2</v>
      </c>
      <c r="N5618">
        <v>-1.469295E-2</v>
      </c>
      <c r="O5618">
        <v>-0.99955059999999996</v>
      </c>
      <c r="P5618">
        <v>0.18437139999999999</v>
      </c>
      <c r="Q5618">
        <v>0.40295910000000001</v>
      </c>
      <c r="R5618">
        <v>-0.896454999999999</v>
      </c>
      <c r="S5618">
        <v>0.50250240000000002</v>
      </c>
      <c r="T5618">
        <v>-0.46036759999999899</v>
      </c>
      <c r="U5618">
        <v>-3.4486080000000001</v>
      </c>
      <c r="V5618">
        <v>-0.20825199999999999</v>
      </c>
      <c r="W5618">
        <v>0.4157555</v>
      </c>
      <c r="X5618">
        <v>0.88531269999999995</v>
      </c>
      <c r="Y5618">
        <v>-0.16884669999999999</v>
      </c>
      <c r="Z5618">
        <v>0.1160176</v>
      </c>
      <c r="AA5618">
        <v>0.97879050000000001</v>
      </c>
      <c r="AB5618">
        <v>35</v>
      </c>
      <c r="AC5618">
        <v>1.22210000000001</v>
      </c>
      <c r="AD5618">
        <v>-1.11160892618</v>
      </c>
      <c r="AE5618">
        <v>-7.9783599999999897</v>
      </c>
      <c r="AF5618">
        <v>-1.40359278692033</v>
      </c>
      <c r="AG5618">
        <v>-1.11160892618</v>
      </c>
      <c r="AH5618">
        <v>7.7958264667685704</v>
      </c>
      <c r="AI5618">
        <v>97.988371520254802</v>
      </c>
      <c r="AJ5618">
        <v>100.20642276516</v>
      </c>
      <c r="AK5618">
        <v>7.9987909971587001</v>
      </c>
      <c r="AL5618">
        <v>65.433098485999196</v>
      </c>
      <c r="AM5618">
        <v>103.237032385756</v>
      </c>
      <c r="AN5618">
        <v>1.00000005403276</v>
      </c>
    </row>
    <row r="5619" spans="1:40" x14ac:dyDescent="0.25">
      <c r="A5619" t="str">
        <f>"20190304165000290"</f>
        <v>20190304165000290</v>
      </c>
      <c r="B5619" t="str">
        <f>"1551689400281695"</f>
        <v>1551689400281695</v>
      </c>
      <c r="C5619" t="s">
        <v>40</v>
      </c>
      <c r="D5619">
        <v>4.4881630000000001</v>
      </c>
      <c r="E5619">
        <v>0.52882929999999995</v>
      </c>
      <c r="F5619" t="s">
        <v>42</v>
      </c>
      <c r="G5619">
        <v>-421.34300000000002</v>
      </c>
      <c r="H5619" s="1">
        <v>-1.7754730000000001E-6</v>
      </c>
      <c r="I5619">
        <v>62.894779999999997</v>
      </c>
      <c r="J5619">
        <v>-422.56810000000002</v>
      </c>
      <c r="K5619">
        <v>1.11159599999999</v>
      </c>
      <c r="L5619">
        <v>70.890050000000002</v>
      </c>
      <c r="M5619">
        <v>-2.5665239999999999E-2</v>
      </c>
      <c r="N5619">
        <v>-1.4689099999999899E-2</v>
      </c>
      <c r="O5619">
        <v>-0.99956299999999998</v>
      </c>
      <c r="P5619">
        <v>0.18573719999999999</v>
      </c>
      <c r="Q5619">
        <v>0.40320420000000001</v>
      </c>
      <c r="R5619">
        <v>-0.89606299999999905</v>
      </c>
      <c r="S5619">
        <v>0.50372309999999998</v>
      </c>
      <c r="T5619">
        <v>-0.46019460000000001</v>
      </c>
      <c r="U5619">
        <v>-3.4497680000000002</v>
      </c>
      <c r="V5619">
        <v>-0.20917359999999999</v>
      </c>
      <c r="W5619">
        <v>0.41599910000000001</v>
      </c>
      <c r="X5619">
        <v>0.88498089999999996</v>
      </c>
      <c r="Y5619">
        <v>-0.1686781</v>
      </c>
      <c r="Z5619">
        <v>0.1159319</v>
      </c>
      <c r="AA5619">
        <v>0.97882970000000002</v>
      </c>
      <c r="AB5619">
        <v>35</v>
      </c>
      <c r="AC5619">
        <v>1.2250999999999901</v>
      </c>
      <c r="AD5619">
        <v>-1.11159777547299</v>
      </c>
      <c r="AE5619">
        <v>-7.9952699999999899</v>
      </c>
      <c r="AF5619">
        <v>-1.40341346408088</v>
      </c>
      <c r="AG5619">
        <v>-1.11159777547299</v>
      </c>
      <c r="AH5619">
        <v>7.8136184043882997</v>
      </c>
      <c r="AI5619">
        <v>97.970930116874797</v>
      </c>
      <c r="AJ5619">
        <v>100.182395383328</v>
      </c>
      <c r="AK5619">
        <v>8.0160995212756507</v>
      </c>
      <c r="AL5619">
        <v>65.417750179463894</v>
      </c>
      <c r="AM5619">
        <v>103.298343235297</v>
      </c>
      <c r="AN5619">
        <v>1.0000000197512799</v>
      </c>
    </row>
    <row r="5620" spans="1:40" x14ac:dyDescent="0.25">
      <c r="A5620" t="str">
        <f>"20190304165000312"</f>
        <v>20190304165000312</v>
      </c>
      <c r="B5620" t="str">
        <f>"1551689400301215"</f>
        <v>1551689400301215</v>
      </c>
      <c r="C5620" t="s">
        <v>40</v>
      </c>
      <c r="D5620">
        <v>4.5037969999999996</v>
      </c>
      <c r="E5620">
        <v>0.52919620000000001</v>
      </c>
      <c r="F5620" t="s">
        <v>42</v>
      </c>
      <c r="G5620">
        <v>-421.34530000000001</v>
      </c>
      <c r="H5620" s="1">
        <v>-1.618459E-6</v>
      </c>
      <c r="I5620">
        <v>62.527349999999998</v>
      </c>
      <c r="J5620">
        <v>-422.57650000000001</v>
      </c>
      <c r="K5620">
        <v>1.11158</v>
      </c>
      <c r="L5620">
        <v>70.543700000000001</v>
      </c>
      <c r="M5620">
        <v>-2.518778E-2</v>
      </c>
      <c r="N5620">
        <v>-1.468499E-2</v>
      </c>
      <c r="O5620">
        <v>-0.99957510000000005</v>
      </c>
      <c r="P5620">
        <v>0.18723339999999999</v>
      </c>
      <c r="Q5620">
        <v>0.40299620000000003</v>
      </c>
      <c r="R5620">
        <v>-0.89584509999999995</v>
      </c>
      <c r="S5620">
        <v>0.50442500000000001</v>
      </c>
      <c r="T5620">
        <v>-0.45855469999999998</v>
      </c>
      <c r="U5620">
        <v>-3.4497680000000002</v>
      </c>
      <c r="V5620">
        <v>-0.21022560000000001</v>
      </c>
      <c r="W5620">
        <v>0.4157901</v>
      </c>
      <c r="X5620">
        <v>0.8848298</v>
      </c>
      <c r="Y5620">
        <v>-0.1684109</v>
      </c>
      <c r="Z5620">
        <v>0.115482</v>
      </c>
      <c r="AA5620">
        <v>0.97892889999999999</v>
      </c>
      <c r="AB5620">
        <v>35</v>
      </c>
      <c r="AC5620">
        <v>1.2312000000000001</v>
      </c>
      <c r="AD5620">
        <v>-1.1115816184589999</v>
      </c>
      <c r="AE5620">
        <v>-8.0163499999999992</v>
      </c>
      <c r="AF5620">
        <v>-1.40632767074565</v>
      </c>
      <c r="AG5620">
        <v>-1.1115816184589999</v>
      </c>
      <c r="AH5620">
        <v>7.8356023205463297</v>
      </c>
      <c r="AI5620">
        <v>97.948918886049299</v>
      </c>
      <c r="AJ5620">
        <v>100.17506816657701</v>
      </c>
      <c r="AK5620">
        <v>8.0380367589201693</v>
      </c>
      <c r="AL5620">
        <v>65.430917103935897</v>
      </c>
      <c r="AM5620">
        <v>103.36503146161699</v>
      </c>
      <c r="AN5620">
        <v>0.99999999256070504</v>
      </c>
    </row>
    <row r="5621" spans="1:40" x14ac:dyDescent="0.25">
      <c r="A5621" t="str">
        <f>"20190304165000335"</f>
        <v>20190304165000335</v>
      </c>
      <c r="B5621" t="str">
        <f>"1551689400331471"</f>
        <v>1551689400331471</v>
      </c>
      <c r="C5621" t="s">
        <v>40</v>
      </c>
      <c r="D5621">
        <v>4.5065109999999997</v>
      </c>
      <c r="E5621">
        <v>0.52975620000000001</v>
      </c>
      <c r="F5621" t="s">
        <v>42</v>
      </c>
      <c r="G5621">
        <v>-421.35590000000002</v>
      </c>
      <c r="H5621" s="1">
        <v>-1.4912860000000001E-6</v>
      </c>
      <c r="I5621">
        <v>62.224369999999901</v>
      </c>
      <c r="J5621">
        <v>-422.5849</v>
      </c>
      <c r="K5621">
        <v>1.1115679999999999</v>
      </c>
      <c r="L5621">
        <v>70.189940000000007</v>
      </c>
      <c r="M5621">
        <v>-2.470222E-2</v>
      </c>
      <c r="N5621">
        <v>-1.468097E-2</v>
      </c>
      <c r="O5621">
        <v>-0.999587</v>
      </c>
      <c r="P5621">
        <v>0.18894269999999999</v>
      </c>
      <c r="Q5621">
        <v>0.40290490000000001</v>
      </c>
      <c r="R5621">
        <v>-0.89552690000000001</v>
      </c>
      <c r="S5621">
        <v>0.50625609999999999</v>
      </c>
      <c r="T5621">
        <v>-0.46101989999999998</v>
      </c>
      <c r="U5621">
        <v>-3.4503780000000002</v>
      </c>
      <c r="V5621">
        <v>-0.21148169999999999</v>
      </c>
      <c r="W5621">
        <v>0.41569600000000001</v>
      </c>
      <c r="X5621">
        <v>0.88457469999999905</v>
      </c>
      <c r="Y5621">
        <v>-0.1684039</v>
      </c>
      <c r="Z5621">
        <v>0.1161499</v>
      </c>
      <c r="AA5621">
        <v>0.97885100000000003</v>
      </c>
      <c r="AB5621">
        <v>35</v>
      </c>
      <c r="AC5621">
        <v>1.2289999999999801</v>
      </c>
      <c r="AD5621">
        <v>-1.1115694912859999</v>
      </c>
      <c r="AE5621">
        <v>-7.9655700000000103</v>
      </c>
      <c r="AF5621">
        <v>-1.3988073411442401</v>
      </c>
      <c r="AG5621">
        <v>-1.1115694912859999</v>
      </c>
      <c r="AH5621">
        <v>7.7847073793017403</v>
      </c>
      <c r="AI5621">
        <v>97.999845691881603</v>
      </c>
      <c r="AJ5621">
        <v>100.186577954009</v>
      </c>
      <c r="AK5621">
        <v>7.9871094704499797</v>
      </c>
      <c r="AL5621">
        <v>65.436846399332794</v>
      </c>
      <c r="AM5621">
        <v>103.445733395996</v>
      </c>
      <c r="AN5621">
        <v>1.00000003686548</v>
      </c>
    </row>
    <row r="5622" spans="1:40" x14ac:dyDescent="0.25">
      <c r="A5622" t="str">
        <f>"20190304165000359"</f>
        <v>20190304165000359</v>
      </c>
      <c r="B5622" t="str">
        <f>"1551689400350991"</f>
        <v>1551689400350991</v>
      </c>
      <c r="C5622" t="s">
        <v>40</v>
      </c>
      <c r="D5622">
        <v>4.7643399999999998</v>
      </c>
      <c r="E5622">
        <v>0.52999430000000003</v>
      </c>
      <c r="F5622" t="s">
        <v>42</v>
      </c>
      <c r="G5622">
        <v>-421.36660000000001</v>
      </c>
      <c r="H5622" s="1">
        <v>-1.3508109999999999E-6</v>
      </c>
      <c r="I5622">
        <v>61.890300000000003</v>
      </c>
      <c r="J5622">
        <v>-422.59370000000001</v>
      </c>
      <c r="K5622">
        <v>1.111559</v>
      </c>
      <c r="L5622">
        <v>69.813479999999998</v>
      </c>
      <c r="M5622">
        <v>-2.419112E-2</v>
      </c>
      <c r="N5622">
        <v>-1.467691E-2</v>
      </c>
      <c r="O5622">
        <v>-0.99959960000000003</v>
      </c>
      <c r="P5622">
        <v>0.19062999999999999</v>
      </c>
      <c r="Q5622">
        <v>0.40224840000000001</v>
      </c>
      <c r="R5622">
        <v>-0.89546429999999999</v>
      </c>
      <c r="S5622">
        <v>0.50659179999999904</v>
      </c>
      <c r="T5622">
        <v>-0.46219830000000001</v>
      </c>
      <c r="U5622">
        <v>-3.45105</v>
      </c>
      <c r="V5622">
        <v>-0.21269930000000001</v>
      </c>
      <c r="W5622">
        <v>0.41504059999999998</v>
      </c>
      <c r="X5622">
        <v>0.88459049999999995</v>
      </c>
      <c r="Y5622">
        <v>-0.16796069999999999</v>
      </c>
      <c r="Z5622">
        <v>0.1164651</v>
      </c>
      <c r="AA5622">
        <v>0.97888969999999997</v>
      </c>
      <c r="AB5622">
        <v>35</v>
      </c>
      <c r="AC5622">
        <v>1.2271000000000001</v>
      </c>
      <c r="AD5622">
        <v>-1.1115603508109999</v>
      </c>
      <c r="AE5622">
        <v>-7.9231799999999897</v>
      </c>
      <c r="AF5622">
        <v>-1.39168271405318</v>
      </c>
      <c r="AG5622">
        <v>-1.1115603508109999</v>
      </c>
      <c r="AH5622">
        <v>7.7423578507865898</v>
      </c>
      <c r="AI5622">
        <v>98.042880727790404</v>
      </c>
      <c r="AJ5622">
        <v>100.19005490539099</v>
      </c>
      <c r="AK5622">
        <v>7.9445863504481</v>
      </c>
      <c r="AL5622">
        <v>65.478127297920395</v>
      </c>
      <c r="AM5622">
        <v>103.520079926148</v>
      </c>
      <c r="AN5622">
        <v>1.00000002227954</v>
      </c>
    </row>
    <row r="5623" spans="1:40" x14ac:dyDescent="0.25">
      <c r="A5623" t="str">
        <f>"20190304165000380"</f>
        <v>20190304165000380</v>
      </c>
      <c r="B5623" t="str">
        <f>"1551689400371019"</f>
        <v>1551689400371019</v>
      </c>
      <c r="C5623" t="s">
        <v>40</v>
      </c>
      <c r="D5623">
        <v>4.4435169999999999</v>
      </c>
      <c r="E5623">
        <v>0.53016839999999998</v>
      </c>
      <c r="F5623" t="s">
        <v>42</v>
      </c>
      <c r="G5623">
        <v>-421.37419999999997</v>
      </c>
      <c r="H5623" s="1">
        <v>-1.202159E-6</v>
      </c>
      <c r="I5623">
        <v>61.539050000000003</v>
      </c>
      <c r="J5623">
        <v>-422.60120000000001</v>
      </c>
      <c r="K5623">
        <v>1.111551</v>
      </c>
      <c r="L5623">
        <v>69.483760000000004</v>
      </c>
      <c r="M5623">
        <v>-2.3752519999999999E-2</v>
      </c>
      <c r="N5623">
        <v>-1.4673449999999999E-2</v>
      </c>
      <c r="O5623">
        <v>-0.9996102</v>
      </c>
      <c r="P5623">
        <v>0.19231000000000001</v>
      </c>
      <c r="Q5623">
        <v>0.40189730000000001</v>
      </c>
      <c r="R5623">
        <v>-0.89526309999999998</v>
      </c>
      <c r="S5623">
        <v>0.50848389999999999</v>
      </c>
      <c r="T5623">
        <v>-0.46348020000000001</v>
      </c>
      <c r="U5623">
        <v>-3.4501339999999998</v>
      </c>
      <c r="V5623">
        <v>-0.21397140000000001</v>
      </c>
      <c r="W5623">
        <v>0.41468870000000002</v>
      </c>
      <c r="X5623">
        <v>0.88444869999999898</v>
      </c>
      <c r="Y5623">
        <v>-0.16808380000000001</v>
      </c>
      <c r="Z5623">
        <v>0.1168563</v>
      </c>
      <c r="AA5623">
        <v>0.97882199999999997</v>
      </c>
      <c r="AB5623">
        <v>35</v>
      </c>
      <c r="AC5623">
        <v>1.2270000000000301</v>
      </c>
      <c r="AD5623">
        <v>-1.1115522021590001</v>
      </c>
      <c r="AE5623">
        <v>-7.9447099999999997</v>
      </c>
      <c r="AF5623">
        <v>-1.3888278820023301</v>
      </c>
      <c r="AG5623">
        <v>-1.1115522021590001</v>
      </c>
      <c r="AH5623">
        <v>7.7648637894360997</v>
      </c>
      <c r="AI5623">
        <v>98.021036731168294</v>
      </c>
      <c r="AJ5623">
        <v>100.140724907243</v>
      </c>
      <c r="AK5623">
        <v>7.9660216452409696</v>
      </c>
      <c r="AL5623">
        <v>65.500285778449097</v>
      </c>
      <c r="AM5623">
        <v>103.60004532155</v>
      </c>
      <c r="AN5623">
        <v>0.99999999042866905</v>
      </c>
    </row>
    <row r="5624" spans="1:40" x14ac:dyDescent="0.25">
      <c r="A5624" t="str">
        <f>"20190304165000402"</f>
        <v>20190304165000402</v>
      </c>
      <c r="B5624" t="str">
        <f>"1551689400391514"</f>
        <v>1551689400391514</v>
      </c>
      <c r="C5624" t="s">
        <v>40</v>
      </c>
      <c r="D5624">
        <v>4.4364949999999999</v>
      </c>
      <c r="E5624">
        <v>0.53040140000000002</v>
      </c>
      <c r="F5624" t="s">
        <v>42</v>
      </c>
      <c r="G5624">
        <v>-421.36430000000001</v>
      </c>
      <c r="H5624" s="1">
        <v>-1.0303900000000001E-6</v>
      </c>
      <c r="I5624">
        <v>61.144799999999996</v>
      </c>
      <c r="J5624">
        <v>-422.60879999999997</v>
      </c>
      <c r="K5624">
        <v>1.1115379999999999</v>
      </c>
      <c r="L5624">
        <v>69.145449999999997</v>
      </c>
      <c r="M5624">
        <v>-2.3312349999999999E-2</v>
      </c>
      <c r="N5624">
        <v>-1.466984E-2</v>
      </c>
      <c r="O5624">
        <v>-0.99962070000000003</v>
      </c>
      <c r="P5624">
        <v>0.19445399999999999</v>
      </c>
      <c r="Q5624">
        <v>0.40245639999999999</v>
      </c>
      <c r="R5624">
        <v>-0.89454869999999898</v>
      </c>
      <c r="S5624">
        <v>0.51135249999999999</v>
      </c>
      <c r="T5624">
        <v>-0.45952769999999998</v>
      </c>
      <c r="U5624">
        <v>-3.4474179999999999</v>
      </c>
      <c r="V5624">
        <v>-0.2156941</v>
      </c>
      <c r="W5624">
        <v>0.41523919999999997</v>
      </c>
      <c r="X5624">
        <v>0.88377169999999905</v>
      </c>
      <c r="Y5624">
        <v>-0.16857629999999901</v>
      </c>
      <c r="Z5624">
        <v>0.1158454</v>
      </c>
      <c r="AA5624">
        <v>0.97885750000000005</v>
      </c>
      <c r="AB5624">
        <v>35</v>
      </c>
      <c r="AC5624">
        <v>1.24449999999995</v>
      </c>
      <c r="AD5624">
        <v>-1.1115390303899999</v>
      </c>
      <c r="AE5624">
        <v>-8.0006500000000003</v>
      </c>
      <c r="AF5624">
        <v>-1.40423176287369</v>
      </c>
      <c r="AG5624">
        <v>-1.1115390303899999</v>
      </c>
      <c r="AH5624">
        <v>7.8220466771594799</v>
      </c>
      <c r="AI5624">
        <v>97.962157813858894</v>
      </c>
      <c r="AJ5624">
        <v>100.17745994959201</v>
      </c>
      <c r="AK5624">
        <v>8.0244501418854401</v>
      </c>
      <c r="AL5624">
        <v>65.465618472845406</v>
      </c>
      <c r="AM5624">
        <v>103.71552904924199</v>
      </c>
      <c r="AN5624">
        <v>0.99999997785616901</v>
      </c>
    </row>
    <row r="5625" spans="1:40" x14ac:dyDescent="0.25">
      <c r="A5625" t="str">
        <f>"20190304165000424"</f>
        <v>20190304165000424</v>
      </c>
      <c r="B5625" t="str">
        <f>"1551689400421771"</f>
        <v>1551689400421771</v>
      </c>
      <c r="C5625" t="s">
        <v>40</v>
      </c>
      <c r="D5625">
        <v>4.4805479999999998</v>
      </c>
      <c r="E5625">
        <v>0.53068389999999999</v>
      </c>
      <c r="F5625" t="s">
        <v>42</v>
      </c>
      <c r="G5625">
        <v>-421.35860000000002</v>
      </c>
      <c r="H5625" s="1">
        <v>-8.7103169999999895E-7</v>
      </c>
      <c r="I5625">
        <v>60.776859999999999</v>
      </c>
      <c r="J5625">
        <v>-422.6164</v>
      </c>
      <c r="K5625">
        <v>1.111521</v>
      </c>
      <c r="L5625">
        <v>68.796970000000002</v>
      </c>
      <c r="M5625">
        <v>-2.2873899999999999E-2</v>
      </c>
      <c r="N5625">
        <v>-1.466604E-2</v>
      </c>
      <c r="O5625">
        <v>-0.99963089999999999</v>
      </c>
      <c r="P5625">
        <v>0.1967933</v>
      </c>
      <c r="Q5625">
        <v>0.40299839999999998</v>
      </c>
      <c r="R5625">
        <v>-0.89379259999999905</v>
      </c>
      <c r="S5625">
        <v>0.51504519999999998</v>
      </c>
      <c r="T5625">
        <v>-0.45793240000000002</v>
      </c>
      <c r="U5625">
        <v>-3.4476930000000001</v>
      </c>
      <c r="V5625">
        <v>-0.21761130000000001</v>
      </c>
      <c r="W5625">
        <v>0.4157728</v>
      </c>
      <c r="X5625">
        <v>0.88305059999999902</v>
      </c>
      <c r="Y5625">
        <v>-0.16916639999999999</v>
      </c>
      <c r="Z5625">
        <v>0.11537890000000001</v>
      </c>
      <c r="AA5625">
        <v>0.97881070000000003</v>
      </c>
      <c r="AB5625">
        <v>35</v>
      </c>
      <c r="AC5625">
        <v>1.2577999999999701</v>
      </c>
      <c r="AD5625">
        <v>-1.1115218710316901</v>
      </c>
      <c r="AE5625">
        <v>-8.0201100000000007</v>
      </c>
      <c r="AF5625">
        <v>-1.41442604574775</v>
      </c>
      <c r="AG5625">
        <v>-1.1115218710316901</v>
      </c>
      <c r="AH5625">
        <v>7.8422221816533604</v>
      </c>
      <c r="AI5625">
        <v>97.940669211947693</v>
      </c>
      <c r="AJ5625">
        <v>100.22397181091701</v>
      </c>
      <c r="AK5625">
        <v>8.0459014818159105</v>
      </c>
      <c r="AL5625">
        <v>65.432007991933006</v>
      </c>
      <c r="AM5625">
        <v>103.843638299682</v>
      </c>
      <c r="AN5625">
        <v>1.0000000306339401</v>
      </c>
    </row>
    <row r="5626" spans="1:40" x14ac:dyDescent="0.25">
      <c r="A5626" t="str">
        <f>"20190304165000447"</f>
        <v>20190304165000447</v>
      </c>
      <c r="B5626" t="str">
        <f>"1551689400441290"</f>
        <v>1551689400441290</v>
      </c>
      <c r="C5626" t="s">
        <v>40</v>
      </c>
      <c r="D5626">
        <v>4.4650629999999998</v>
      </c>
      <c r="E5626">
        <v>0.53086730000000004</v>
      </c>
      <c r="F5626" t="s">
        <v>42</v>
      </c>
      <c r="G5626">
        <v>-421.3553</v>
      </c>
      <c r="H5626" s="1">
        <v>-7.2779539999999998E-7</v>
      </c>
      <c r="I5626">
        <v>60.445030000000003</v>
      </c>
      <c r="J5626">
        <v>-422.6241</v>
      </c>
      <c r="K5626">
        <v>1.11151</v>
      </c>
      <c r="L5626">
        <v>68.444310000000002</v>
      </c>
      <c r="M5626">
        <v>-2.2448599999999999E-2</v>
      </c>
      <c r="N5626">
        <v>-1.466217E-2</v>
      </c>
      <c r="O5626">
        <v>-0.99964059999999999</v>
      </c>
      <c r="P5626">
        <v>0.1984379</v>
      </c>
      <c r="Q5626">
        <v>0.4041517</v>
      </c>
      <c r="R5626">
        <v>-0.89290800000000004</v>
      </c>
      <c r="S5626">
        <v>0.52075199999999999</v>
      </c>
      <c r="T5626">
        <v>-0.4589802</v>
      </c>
      <c r="U5626">
        <v>-3.4487610000000002</v>
      </c>
      <c r="V5626">
        <v>-0.21884139999999999</v>
      </c>
      <c r="W5626">
        <v>0.41691820000000002</v>
      </c>
      <c r="X5626">
        <v>0.88220609999999999</v>
      </c>
      <c r="Y5626">
        <v>-0.17028119999999999</v>
      </c>
      <c r="Z5626">
        <v>0.11561009999999999</v>
      </c>
      <c r="AA5626">
        <v>0.97859010000000002</v>
      </c>
      <c r="AB5626">
        <v>35</v>
      </c>
      <c r="AC5626">
        <v>1.2687999999999899</v>
      </c>
      <c r="AD5626">
        <v>-1.1115107277953999</v>
      </c>
      <c r="AE5626">
        <v>-7.99927999999999</v>
      </c>
      <c r="AF5626">
        <v>-1.42130377317866</v>
      </c>
      <c r="AG5626">
        <v>-1.1115107277953999</v>
      </c>
      <c r="AH5626">
        <v>7.8214710412741697</v>
      </c>
      <c r="AI5626">
        <v>97.959517534034802</v>
      </c>
      <c r="AJ5626">
        <v>100.299302099846</v>
      </c>
      <c r="AK5626">
        <v>8.0268904167894704</v>
      </c>
      <c r="AL5626">
        <v>65.359826413393606</v>
      </c>
      <c r="AM5626">
        <v>103.931663346479</v>
      </c>
      <c r="AN5626">
        <v>0.99999997336120405</v>
      </c>
    </row>
    <row r="5627" spans="1:40" x14ac:dyDescent="0.25">
      <c r="A5627" t="str">
        <f>"20190304165000469"</f>
        <v>20190304165000469</v>
      </c>
      <c r="B5627" t="str">
        <f>"1551689400461790"</f>
        <v>1551689400461790</v>
      </c>
      <c r="C5627" t="s">
        <v>40</v>
      </c>
      <c r="D5627">
        <v>4.4717539999999998</v>
      </c>
      <c r="E5627">
        <v>0.53105789999999997</v>
      </c>
      <c r="F5627" t="s">
        <v>42</v>
      </c>
      <c r="G5627">
        <v>-421.34230000000002</v>
      </c>
      <c r="H5627" s="1">
        <v>-5.5463050000000005E-7</v>
      </c>
      <c r="I5627">
        <v>60.049399999999999</v>
      </c>
      <c r="J5627">
        <v>-422.63130000000001</v>
      </c>
      <c r="K5627">
        <v>1.111491</v>
      </c>
      <c r="L5627">
        <v>68.100309999999993</v>
      </c>
      <c r="M5627">
        <v>-2.2054810000000001E-2</v>
      </c>
      <c r="N5627">
        <v>-1.4658310000000001E-2</v>
      </c>
      <c r="O5627">
        <v>-0.99964940000000002</v>
      </c>
      <c r="P5627">
        <v>0.20031650000000001</v>
      </c>
      <c r="Q5627">
        <v>0.4042692</v>
      </c>
      <c r="R5627">
        <v>-0.89243479999999997</v>
      </c>
      <c r="S5627">
        <v>0.52667240000000004</v>
      </c>
      <c r="T5627">
        <v>-0.4567233</v>
      </c>
      <c r="U5627">
        <v>-3.4494929999999999</v>
      </c>
      <c r="V5627">
        <v>-0.22034090000000001</v>
      </c>
      <c r="W5627">
        <v>0.41703430000000002</v>
      </c>
      <c r="X5627">
        <v>0.8817779</v>
      </c>
      <c r="Y5627">
        <v>-0.17151559999999999</v>
      </c>
      <c r="Z5627">
        <v>0.1149284</v>
      </c>
      <c r="AA5627">
        <v>0.97845479999999996</v>
      </c>
      <c r="AB5627">
        <v>35</v>
      </c>
      <c r="AC5627">
        <v>1.2889999999999799</v>
      </c>
      <c r="AD5627">
        <v>-1.1114915546305</v>
      </c>
      <c r="AE5627">
        <v>-8.0509099999999894</v>
      </c>
      <c r="AF5627">
        <v>-1.43951536496952</v>
      </c>
      <c r="AG5627">
        <v>-1.1114915546305</v>
      </c>
      <c r="AH5627">
        <v>7.8741887759084701</v>
      </c>
      <c r="AI5627">
        <v>97.905260556208205</v>
      </c>
      <c r="AJ5627">
        <v>100.360091221782</v>
      </c>
      <c r="AK5627">
        <v>8.0814891474678898</v>
      </c>
      <c r="AL5627">
        <v>65.352508268975797</v>
      </c>
      <c r="AM5627">
        <v>104.029909127102</v>
      </c>
      <c r="AN5627">
        <v>0.99999999225885505</v>
      </c>
    </row>
    <row r="5628" spans="1:40" x14ac:dyDescent="0.25">
      <c r="A5628" t="str">
        <f>"20190304165000503"</f>
        <v>20190304165000503</v>
      </c>
      <c r="B5628" t="str">
        <f>"1551689400491574"</f>
        <v>1551689400491574</v>
      </c>
      <c r="C5628" t="s">
        <v>40</v>
      </c>
      <c r="D5628">
        <v>4.4459600000000004</v>
      </c>
      <c r="E5628">
        <v>0.53127309999999905</v>
      </c>
      <c r="F5628" t="s">
        <v>42</v>
      </c>
      <c r="G5628">
        <v>-421.33859999999999</v>
      </c>
      <c r="H5628" s="1">
        <v>-4.2276060000000001E-7</v>
      </c>
      <c r="I5628">
        <v>59.744329999999998</v>
      </c>
      <c r="J5628">
        <v>-422.6422</v>
      </c>
      <c r="K5628">
        <v>1.1114679999999999</v>
      </c>
      <c r="L5628">
        <v>67.579740000000001</v>
      </c>
      <c r="M5628">
        <v>-2.1499959999999999E-2</v>
      </c>
      <c r="N5628">
        <v>-1.465233E-2</v>
      </c>
      <c r="O5628">
        <v>-0.99966149999999998</v>
      </c>
      <c r="P5628">
        <v>0.20316090000000001</v>
      </c>
      <c r="Q5628">
        <v>0.40365689999999999</v>
      </c>
      <c r="R5628">
        <v>-0.89206890000000005</v>
      </c>
      <c r="S5628">
        <v>0.53369140000000004</v>
      </c>
      <c r="T5628">
        <v>-0.45886680000000002</v>
      </c>
      <c r="U5628">
        <v>-3.4496769999999999</v>
      </c>
      <c r="V5628">
        <v>-0.2226524</v>
      </c>
      <c r="W5628">
        <v>0.41642659999999998</v>
      </c>
      <c r="X5628">
        <v>0.88148439999999995</v>
      </c>
      <c r="Y5628">
        <v>-0.17289379999999999</v>
      </c>
      <c r="Z5628">
        <v>0.11549329999999999</v>
      </c>
      <c r="AA5628">
        <v>0.97814570000000001</v>
      </c>
      <c r="AB5628">
        <v>35</v>
      </c>
      <c r="AC5628">
        <v>1.3036000000000101</v>
      </c>
      <c r="AD5628">
        <v>-1.1114684227606</v>
      </c>
      <c r="AE5628">
        <v>-7.8354099999999898</v>
      </c>
      <c r="AF5628">
        <v>-1.4435136774517601</v>
      </c>
      <c r="AG5628">
        <v>-1.1114684227606</v>
      </c>
      <c r="AH5628">
        <v>7.6556699937007497</v>
      </c>
      <c r="AI5628">
        <v>98.119503869127698</v>
      </c>
      <c r="AJ5628">
        <v>100.678029712984</v>
      </c>
      <c r="AK5628">
        <v>7.86945848481548</v>
      </c>
      <c r="AL5628">
        <v>65.390810913540307</v>
      </c>
      <c r="AM5628">
        <v>104.17571842103401</v>
      </c>
      <c r="AN5628">
        <v>0.999999975928339</v>
      </c>
    </row>
    <row r="5629" spans="1:40" x14ac:dyDescent="0.25">
      <c r="A5629" t="str">
        <f>"20190304165000525"</f>
        <v>20190304165000525</v>
      </c>
      <c r="B5629" t="str">
        <f>"1551689400521830"</f>
        <v>1551689400521830</v>
      </c>
      <c r="C5629" t="s">
        <v>40</v>
      </c>
      <c r="D5629">
        <v>4.4365319999999997</v>
      </c>
      <c r="E5629">
        <v>0.53149009999999997</v>
      </c>
      <c r="F5629" t="s">
        <v>42</v>
      </c>
      <c r="G5629">
        <v>-421.34300000000002</v>
      </c>
      <c r="H5629" s="1">
        <v>-4.4382049999999996E-6</v>
      </c>
      <c r="I5629">
        <v>59.328600000000002</v>
      </c>
      <c r="J5629">
        <v>-422.64909999999998</v>
      </c>
      <c r="K5629">
        <v>1.111451</v>
      </c>
      <c r="L5629">
        <v>67.241759999999999</v>
      </c>
      <c r="M5629">
        <v>-2.1160869999999998E-2</v>
      </c>
      <c r="N5629">
        <v>-1.464848E-2</v>
      </c>
      <c r="O5629">
        <v>-0.99966880000000002</v>
      </c>
      <c r="P5629">
        <v>0.2044089</v>
      </c>
      <c r="Q5629">
        <v>0.40413830000000001</v>
      </c>
      <c r="R5629">
        <v>-0.89156569999999902</v>
      </c>
      <c r="S5629">
        <v>0.54315190000000002</v>
      </c>
      <c r="T5629">
        <v>-0.46467340000000001</v>
      </c>
      <c r="U5629">
        <v>-3.449554</v>
      </c>
      <c r="V5629">
        <v>-0.2235712</v>
      </c>
      <c r="W5629">
        <v>0.41690690000000002</v>
      </c>
      <c r="X5629">
        <v>0.88102469999999999</v>
      </c>
      <c r="Y5629">
        <v>-0.1751501</v>
      </c>
      <c r="Z5629">
        <v>0.1170694</v>
      </c>
      <c r="AA5629">
        <v>0.9775568</v>
      </c>
      <c r="AB5629">
        <v>35</v>
      </c>
      <c r="AC5629">
        <v>1.3060999999999501</v>
      </c>
      <c r="AD5629">
        <v>-1.1114554382049999</v>
      </c>
      <c r="AE5629">
        <v>-7.9131599999999898</v>
      </c>
      <c r="AF5629">
        <v>-1.4455139048947301</v>
      </c>
      <c r="AG5629">
        <v>-1.1114554382049999</v>
      </c>
      <c r="AH5629">
        <v>7.7351932765848499</v>
      </c>
      <c r="AI5629">
        <v>98.039449688692201</v>
      </c>
      <c r="AJ5629">
        <v>100.585055261543</v>
      </c>
      <c r="AK5629">
        <v>7.9472044560639601</v>
      </c>
      <c r="AL5629">
        <v>65.360538976147694</v>
      </c>
      <c r="AM5629">
        <v>104.238967986229</v>
      </c>
      <c r="AN5629">
        <v>0.99999998337356899</v>
      </c>
    </row>
    <row r="5630" spans="1:40" x14ac:dyDescent="0.25">
      <c r="A5630" t="str">
        <f>"20190304165000548"</f>
        <v>20190304165000548</v>
      </c>
      <c r="B5630" t="str">
        <f>"1551689400541350"</f>
        <v>1551689400541350</v>
      </c>
      <c r="C5630" t="s">
        <v>40</v>
      </c>
      <c r="D5630">
        <v>4.4508039999999998</v>
      </c>
      <c r="E5630">
        <v>0.53162959999999904</v>
      </c>
      <c r="F5630" t="s">
        <v>42</v>
      </c>
      <c r="G5630">
        <v>-421.33240000000001</v>
      </c>
      <c r="H5630" s="1">
        <v>-4.3018729999999997E-6</v>
      </c>
      <c r="I5630">
        <v>58.933529999999998</v>
      </c>
      <c r="J5630">
        <v>-422.65649999999999</v>
      </c>
      <c r="K5630">
        <v>1.1114470000000001</v>
      </c>
      <c r="L5630">
        <v>66.875029999999995</v>
      </c>
      <c r="M5630">
        <v>-2.0806330000000001E-2</v>
      </c>
      <c r="N5630">
        <v>-1.4644300000000001E-2</v>
      </c>
      <c r="O5630">
        <v>-0.99967640000000002</v>
      </c>
      <c r="P5630">
        <v>0.2053982</v>
      </c>
      <c r="Q5630">
        <v>0.40550520000000001</v>
      </c>
      <c r="R5630">
        <v>-0.89071739999999999</v>
      </c>
      <c r="S5630">
        <v>0.54656979999999999</v>
      </c>
      <c r="T5630">
        <v>-0.46135910000000002</v>
      </c>
      <c r="U5630">
        <v>-3.4487000000000001</v>
      </c>
      <c r="V5630">
        <v>-0.22421350000000001</v>
      </c>
      <c r="W5630">
        <v>0.41826609999999997</v>
      </c>
      <c r="X5630">
        <v>0.88021700000000003</v>
      </c>
      <c r="Y5630">
        <v>-0.1758006</v>
      </c>
      <c r="Z5630">
        <v>0.116165</v>
      </c>
      <c r="AA5630">
        <v>0.97754790000000003</v>
      </c>
      <c r="AB5630">
        <v>35</v>
      </c>
      <c r="AC5630">
        <v>1.3240999999999801</v>
      </c>
      <c r="AD5630">
        <v>-1.1114513018729999</v>
      </c>
      <c r="AE5630">
        <v>-7.9414999999999996</v>
      </c>
      <c r="AF5630">
        <v>-1.4612172299926001</v>
      </c>
      <c r="AG5630">
        <v>-1.1114513018729999</v>
      </c>
      <c r="AH5630">
        <v>7.7642599929354601</v>
      </c>
      <c r="AI5630">
        <v>98.007820120195603</v>
      </c>
      <c r="AJ5630">
        <v>100.65827767763</v>
      </c>
      <c r="AK5630">
        <v>7.9783590435352396</v>
      </c>
      <c r="AL5630">
        <v>65.274835077895204</v>
      </c>
      <c r="AM5630">
        <v>104.290770268827</v>
      </c>
      <c r="AN5630">
        <v>1.00000009554022</v>
      </c>
    </row>
    <row r="5631" spans="1:40" x14ac:dyDescent="0.25">
      <c r="A5631" t="str">
        <f>"20190304165000572"</f>
        <v>20190304165000572</v>
      </c>
      <c r="B5631" t="str">
        <f>"1551689400561847"</f>
        <v>1551689400561847</v>
      </c>
      <c r="C5631" t="s">
        <v>40</v>
      </c>
      <c r="D5631">
        <v>4.4373670000000001</v>
      </c>
      <c r="E5631">
        <v>0.53174940000000004</v>
      </c>
      <c r="F5631" t="s">
        <v>42</v>
      </c>
      <c r="G5631">
        <v>-421.30919999999998</v>
      </c>
      <c r="H5631" s="1">
        <v>-4.1335009999999997E-6</v>
      </c>
      <c r="I5631">
        <v>58.450850000000003</v>
      </c>
      <c r="J5631">
        <v>-422.6635</v>
      </c>
      <c r="K5631">
        <v>1.1114440000000001</v>
      </c>
      <c r="L5631">
        <v>66.523499999999999</v>
      </c>
      <c r="M5631">
        <v>-2.0475879999999998E-2</v>
      </c>
      <c r="N5631">
        <v>-1.46402999999999E-2</v>
      </c>
      <c r="O5631">
        <v>-0.99968310000000005</v>
      </c>
      <c r="P5631">
        <v>0.20688570000000001</v>
      </c>
      <c r="Q5631">
        <v>0.40666239999999998</v>
      </c>
      <c r="R5631">
        <v>-0.88984470000000004</v>
      </c>
      <c r="S5631">
        <v>0.55145259999999996</v>
      </c>
      <c r="T5631">
        <v>-0.45491470000000001</v>
      </c>
      <c r="U5631">
        <v>-3.4479980000000001</v>
      </c>
      <c r="V5631">
        <v>-0.2253801</v>
      </c>
      <c r="W5631">
        <v>0.41941220000000001</v>
      </c>
      <c r="X5631">
        <v>0.87937319999999997</v>
      </c>
      <c r="Y5631">
        <v>-0.176890299999999</v>
      </c>
      <c r="Z5631">
        <v>0.1143711</v>
      </c>
      <c r="AA5631">
        <v>0.97756279999999995</v>
      </c>
      <c r="AB5631">
        <v>35</v>
      </c>
      <c r="AC5631">
        <v>1.35430000000002</v>
      </c>
      <c r="AD5631">
        <v>-1.111448133501</v>
      </c>
      <c r="AE5631">
        <v>-8.0726499999999906</v>
      </c>
      <c r="AF5631">
        <v>-1.49182349137216</v>
      </c>
      <c r="AG5631">
        <v>-1.111448133501</v>
      </c>
      <c r="AH5631">
        <v>7.8976148524612304</v>
      </c>
      <c r="AI5631">
        <v>97.8733051863952</v>
      </c>
      <c r="AJ5631">
        <v>100.696873567916</v>
      </c>
      <c r="AK5631">
        <v>8.1137645172071</v>
      </c>
      <c r="AL5631">
        <v>65.202517320796005</v>
      </c>
      <c r="AM5631">
        <v>104.37526814562599</v>
      </c>
      <c r="AN5631">
        <v>1.00000000393154</v>
      </c>
    </row>
    <row r="5632" spans="1:40" x14ac:dyDescent="0.25">
      <c r="A5632" t="str">
        <f>"20190304165000591"</f>
        <v>20190304165000591</v>
      </c>
      <c r="B5632" t="str">
        <f>"1551689400581874"</f>
        <v>1551689400581874</v>
      </c>
      <c r="C5632" t="s">
        <v>40</v>
      </c>
      <c r="D5632">
        <v>4.4369820000000004</v>
      </c>
      <c r="E5632">
        <v>0.53188000000000002</v>
      </c>
      <c r="F5632" t="s">
        <v>42</v>
      </c>
      <c r="G5632">
        <v>-421.28590000000003</v>
      </c>
      <c r="H5632" s="1">
        <v>-3.94646E-6</v>
      </c>
      <c r="I5632">
        <v>57.990839999999999</v>
      </c>
      <c r="J5632">
        <v>-422.6696</v>
      </c>
      <c r="K5632">
        <v>1.1114379999999999</v>
      </c>
      <c r="L5632">
        <v>66.208469999999906</v>
      </c>
      <c r="M5632">
        <v>-2.018408E-2</v>
      </c>
      <c r="N5632">
        <v>-1.4636720000000001E-2</v>
      </c>
      <c r="O5632">
        <v>-0.9996893</v>
      </c>
      <c r="P5632">
        <v>0.2082859</v>
      </c>
      <c r="Q5632">
        <v>0.40754180000000001</v>
      </c>
      <c r="R5632">
        <v>-0.88911589999999996</v>
      </c>
      <c r="S5632">
        <v>0.55651859999999997</v>
      </c>
      <c r="T5632">
        <v>-0.44902229999999999</v>
      </c>
      <c r="U5632">
        <v>-3.447174</v>
      </c>
      <c r="V5632">
        <v>-0.2265007</v>
      </c>
      <c r="W5632">
        <v>0.42028080000000001</v>
      </c>
      <c r="X5632">
        <v>0.87867030000000002</v>
      </c>
      <c r="Y5632">
        <v>-0.1780707</v>
      </c>
      <c r="Z5632">
        <v>0.1127321</v>
      </c>
      <c r="AA5632">
        <v>0.97753889999999999</v>
      </c>
      <c r="AB5632">
        <v>35</v>
      </c>
      <c r="AC5632">
        <v>1.38369999999997</v>
      </c>
      <c r="AD5632">
        <v>-1.1114419464599901</v>
      </c>
      <c r="AE5632">
        <v>-8.2176299999999802</v>
      </c>
      <c r="AF5632">
        <v>-1.5222230891377</v>
      </c>
      <c r="AG5632">
        <v>-1.1114419464599901</v>
      </c>
      <c r="AH5632">
        <v>8.0449171469287499</v>
      </c>
      <c r="AI5632">
        <v>97.730415718159904</v>
      </c>
      <c r="AJ5632">
        <v>100.714578894056</v>
      </c>
      <c r="AK5632">
        <v>8.2627573021602796</v>
      </c>
      <c r="AL5632">
        <v>65.147683352536205</v>
      </c>
      <c r="AM5632">
        <v>104.45483018027601</v>
      </c>
      <c r="AN5632">
        <v>1.0000000070256101</v>
      </c>
    </row>
    <row r="5633" spans="1:40" x14ac:dyDescent="0.25">
      <c r="A5633" t="str">
        <f>"20190304165000614"</f>
        <v>20190304165000614</v>
      </c>
      <c r="B5633" t="str">
        <f>"1551689400601394"</f>
        <v>1551689400601394</v>
      </c>
      <c r="C5633" t="s">
        <v>40</v>
      </c>
      <c r="D5633">
        <v>4.4773370000000003</v>
      </c>
      <c r="E5633">
        <v>0.53201259999999995</v>
      </c>
      <c r="F5633" t="s">
        <v>42</v>
      </c>
      <c r="G5633">
        <v>-421.2679</v>
      </c>
      <c r="H5633" s="1">
        <v>-3.7689999999999998E-6</v>
      </c>
      <c r="I5633">
        <v>57.588349999999998</v>
      </c>
      <c r="J5633">
        <v>-422.67619999999999</v>
      </c>
      <c r="K5633">
        <v>1.1114389999999901</v>
      </c>
      <c r="L5633">
        <v>65.865880000000004</v>
      </c>
      <c r="M5633">
        <v>-1.9863840000000001E-2</v>
      </c>
      <c r="N5633">
        <v>-1.4632869999999999E-2</v>
      </c>
      <c r="O5633">
        <v>-0.99969569999999996</v>
      </c>
      <c r="P5633">
        <v>0.2097097</v>
      </c>
      <c r="Q5633">
        <v>0.40762490000000001</v>
      </c>
      <c r="R5633">
        <v>-0.88874310000000001</v>
      </c>
      <c r="S5633">
        <v>0.56042479999999995</v>
      </c>
      <c r="T5633">
        <v>-0.44438149999999998</v>
      </c>
      <c r="U5633">
        <v>-3.4465330000000001</v>
      </c>
      <c r="V5633">
        <v>-0.22763050000000001</v>
      </c>
      <c r="W5633">
        <v>0.42035699999999998</v>
      </c>
      <c r="X5633">
        <v>0.87834190000000001</v>
      </c>
      <c r="Y5633">
        <v>-0.17888789999999999</v>
      </c>
      <c r="Z5633">
        <v>0.1114431</v>
      </c>
      <c r="AA5633">
        <v>0.97753749999999995</v>
      </c>
      <c r="AB5633">
        <v>35</v>
      </c>
      <c r="AC5633">
        <v>1.4082999999999899</v>
      </c>
      <c r="AD5633">
        <v>-1.1114427689999999</v>
      </c>
      <c r="AE5633">
        <v>-8.2775300000000005</v>
      </c>
      <c r="AF5633">
        <v>-1.54538518181462</v>
      </c>
      <c r="AG5633">
        <v>-1.1114427689999999</v>
      </c>
      <c r="AH5633">
        <v>8.1058889945848094</v>
      </c>
      <c r="AI5633">
        <v>97.670976032879807</v>
      </c>
      <c r="AJ5633">
        <v>100.793890027928</v>
      </c>
      <c r="AK5633">
        <v>8.3264011902781707</v>
      </c>
      <c r="AL5633">
        <v>65.142873487686202</v>
      </c>
      <c r="AM5633">
        <v>104.529090133544</v>
      </c>
      <c r="AN5633">
        <v>1.0000000726374201</v>
      </c>
    </row>
    <row r="5634" spans="1:40" x14ac:dyDescent="0.25">
      <c r="A5634" t="str">
        <f>"20190304165000637"</f>
        <v>20190304165000637</v>
      </c>
      <c r="B5634" t="str">
        <f>"1551689400631654"</f>
        <v>1551689400631654</v>
      </c>
      <c r="C5634" t="s">
        <v>40</v>
      </c>
      <c r="D5634">
        <v>4.529007</v>
      </c>
      <c r="E5634">
        <v>0.53205230000000003</v>
      </c>
      <c r="F5634" t="s">
        <v>42</v>
      </c>
      <c r="G5634">
        <v>-421.25839999999999</v>
      </c>
      <c r="H5634" s="1">
        <v>-3.6174810000000002E-6</v>
      </c>
      <c r="I5634">
        <v>57.241079999999997</v>
      </c>
      <c r="J5634">
        <v>-422.68299999999999</v>
      </c>
      <c r="K5634">
        <v>1.1114489999999999</v>
      </c>
      <c r="L5634">
        <v>65.504760000000005</v>
      </c>
      <c r="M5634">
        <v>-1.9506800000000001E-2</v>
      </c>
      <c r="N5634">
        <v>-1.4628810000000001E-2</v>
      </c>
      <c r="O5634">
        <v>-0.9997026</v>
      </c>
      <c r="P5634">
        <v>0.2115455</v>
      </c>
      <c r="Q5634">
        <v>0.40772409999999998</v>
      </c>
      <c r="R5634">
        <v>-0.888262199999999</v>
      </c>
      <c r="S5634">
        <v>0.56640630000000003</v>
      </c>
      <c r="T5634">
        <v>-0.44401089999999999</v>
      </c>
      <c r="U5634">
        <v>-3.4455260000000001</v>
      </c>
      <c r="V5634">
        <v>-0.22914680000000001</v>
      </c>
      <c r="W5634">
        <v>0.42044169999999997</v>
      </c>
      <c r="X5634">
        <v>0.87790689999999905</v>
      </c>
      <c r="Y5634">
        <v>-0.18023500000000001</v>
      </c>
      <c r="Z5634">
        <v>0.111348</v>
      </c>
      <c r="AA5634">
        <v>0.97730079999999997</v>
      </c>
      <c r="AB5634">
        <v>34</v>
      </c>
      <c r="AC5634">
        <v>1.42460000000005</v>
      </c>
      <c r="AD5634">
        <v>-1.111452617481</v>
      </c>
      <c r="AE5634">
        <v>-8.2636800000000008</v>
      </c>
      <c r="AF5634">
        <v>-1.55817054938581</v>
      </c>
      <c r="AG5634">
        <v>-1.111452617481</v>
      </c>
      <c r="AH5634">
        <v>8.0921540094913897</v>
      </c>
      <c r="AI5634">
        <v>97.681237467861806</v>
      </c>
      <c r="AJ5634">
        <v>100.89909406182301</v>
      </c>
      <c r="AK5634">
        <v>8.3154181431366503</v>
      </c>
      <c r="AL5634">
        <v>65.1375230603456</v>
      </c>
      <c r="AM5634">
        <v>104.628671324517</v>
      </c>
      <c r="AN5634">
        <v>1.0000000020583699</v>
      </c>
    </row>
    <row r="5635" spans="1:40" x14ac:dyDescent="0.25">
      <c r="A5635" t="str">
        <f>"20190304165000658"</f>
        <v>20190304165000658</v>
      </c>
      <c r="B5635" t="str">
        <f>"1551689400651170"</f>
        <v>1551689400651170</v>
      </c>
      <c r="C5635" t="s">
        <v>40</v>
      </c>
      <c r="D5635">
        <v>4.5010269999999997</v>
      </c>
      <c r="E5635">
        <v>0.53215239999999997</v>
      </c>
      <c r="F5635" t="s">
        <v>42</v>
      </c>
      <c r="G5635">
        <v>-421.23939999999999</v>
      </c>
      <c r="H5635" s="1">
        <v>-3.4378520000000001E-6</v>
      </c>
      <c r="I5635">
        <v>56.834110000000003</v>
      </c>
      <c r="J5635">
        <v>-422.6891</v>
      </c>
      <c r="K5635">
        <v>1.1114660000000001</v>
      </c>
      <c r="L5635">
        <v>65.167450000000002</v>
      </c>
      <c r="M5635">
        <v>-1.914074E-2</v>
      </c>
      <c r="N5635">
        <v>-1.4624959999999999E-2</v>
      </c>
      <c r="O5635">
        <v>-0.99970999999999999</v>
      </c>
      <c r="P5635">
        <v>0.2136777</v>
      </c>
      <c r="Q5635">
        <v>0.40802850000000002</v>
      </c>
      <c r="R5635">
        <v>-0.88761190000000001</v>
      </c>
      <c r="S5635">
        <v>0.57330319999999901</v>
      </c>
      <c r="T5635">
        <v>-0.44140079999999998</v>
      </c>
      <c r="U5635">
        <v>-3.443451</v>
      </c>
      <c r="V5635">
        <v>-0.2309601</v>
      </c>
      <c r="W5635">
        <v>0.42072290000000001</v>
      </c>
      <c r="X5635">
        <v>0.87729679999999999</v>
      </c>
      <c r="Y5635">
        <v>-0.1818862</v>
      </c>
      <c r="Z5635">
        <v>0.11065800000000001</v>
      </c>
      <c r="AA5635">
        <v>0.97707330000000003</v>
      </c>
      <c r="AB5635">
        <v>34</v>
      </c>
      <c r="AC5635">
        <v>1.4497</v>
      </c>
      <c r="AD5635">
        <v>-1.111469437852</v>
      </c>
      <c r="AE5635">
        <v>-8.3333399999999997</v>
      </c>
      <c r="AF5635">
        <v>-1.5816478944791199</v>
      </c>
      <c r="AG5635">
        <v>-1.111469437852</v>
      </c>
      <c r="AH5635">
        <v>8.1631119529997598</v>
      </c>
      <c r="AI5635">
        <v>97.613684397139295</v>
      </c>
      <c r="AJ5635">
        <v>100.96550079206401</v>
      </c>
      <c r="AK5635">
        <v>8.3888837833526395</v>
      </c>
      <c r="AL5635">
        <v>65.119764421789995</v>
      </c>
      <c r="AM5635">
        <v>104.74921383606301</v>
      </c>
      <c r="AN5635">
        <v>1.0000000008333301</v>
      </c>
    </row>
    <row r="5636" spans="1:40" x14ac:dyDescent="0.25">
      <c r="A5636" t="str">
        <f>"20190304165000680"</f>
        <v>20190304165000680</v>
      </c>
      <c r="B5636" t="str">
        <f>"1551689400671197"</f>
        <v>1551689400671197</v>
      </c>
      <c r="C5636" t="s">
        <v>40</v>
      </c>
      <c r="D5636">
        <v>4.7512299999999996</v>
      </c>
      <c r="E5636">
        <v>0.51157859999999999</v>
      </c>
      <c r="F5636" t="s">
        <v>42</v>
      </c>
      <c r="G5636">
        <v>-421.22519999999997</v>
      </c>
      <c r="H5636" s="1">
        <v>-3.2861639999999998E-6</v>
      </c>
      <c r="I5636">
        <v>56.489350000000002</v>
      </c>
      <c r="J5636">
        <v>-422.6952</v>
      </c>
      <c r="K5636">
        <v>1.1114900000000001</v>
      </c>
      <c r="L5636">
        <v>64.835419999999999</v>
      </c>
      <c r="M5636">
        <v>-1.8748089999999999E-2</v>
      </c>
      <c r="N5636">
        <v>-1.462129E-2</v>
      </c>
      <c r="O5636">
        <v>-0.99971750000000004</v>
      </c>
      <c r="P5636">
        <v>0.21576600000000001</v>
      </c>
      <c r="Q5636">
        <v>0.4089777</v>
      </c>
      <c r="R5636">
        <v>-0.88666939999999905</v>
      </c>
      <c r="S5636">
        <v>0.58077999999999996</v>
      </c>
      <c r="T5636">
        <v>-0.44093850000000001</v>
      </c>
      <c r="U5636">
        <v>-3.4427490000000001</v>
      </c>
      <c r="V5636">
        <v>-0.2327079</v>
      </c>
      <c r="W5636">
        <v>0.42164109999999999</v>
      </c>
      <c r="X5636">
        <v>0.87639359999999999</v>
      </c>
      <c r="Y5636">
        <v>-0.18359710000000001</v>
      </c>
      <c r="Z5636">
        <v>0.1105167</v>
      </c>
      <c r="AA5636">
        <v>0.97676929999999995</v>
      </c>
      <c r="AB5636">
        <v>34</v>
      </c>
      <c r="AC5636">
        <v>1.47000000000002</v>
      </c>
      <c r="AD5636">
        <v>-1.1114932861639999</v>
      </c>
      <c r="AE5636">
        <v>-8.3460699999999903</v>
      </c>
      <c r="AF5636">
        <v>-1.5987296278370799</v>
      </c>
      <c r="AG5636">
        <v>-1.1114932861639999</v>
      </c>
      <c r="AH5636">
        <v>8.1763890089456197</v>
      </c>
      <c r="AI5636">
        <v>97.599127184217593</v>
      </c>
      <c r="AJ5636">
        <v>101.063462377226</v>
      </c>
      <c r="AK5636">
        <v>8.4050396176174296</v>
      </c>
      <c r="AL5636">
        <v>65.061758593958899</v>
      </c>
      <c r="AM5636">
        <v>104.87054300597499</v>
      </c>
      <c r="AN5636">
        <v>0.99999996302628902</v>
      </c>
    </row>
    <row r="5637" spans="1:40" x14ac:dyDescent="0.25">
      <c r="A5637" t="str">
        <f>"20190304165000703"</f>
        <v>20190304165000703</v>
      </c>
      <c r="B5637" t="str">
        <f>"1551689400691693"</f>
        <v>1551689400691693</v>
      </c>
      <c r="C5637" t="s">
        <v>40</v>
      </c>
      <c r="D5637">
        <v>4.4464670000000002</v>
      </c>
      <c r="E5637">
        <v>0.4990656</v>
      </c>
      <c r="F5637" t="s">
        <v>42</v>
      </c>
      <c r="G5637">
        <v>-419.4683</v>
      </c>
      <c r="H5637" s="1">
        <v>-2.9157860000000002E-7</v>
      </c>
      <c r="I5637">
        <v>50.089149999999997</v>
      </c>
      <c r="J5637">
        <v>-422.70100000000002</v>
      </c>
      <c r="K5637">
        <v>1.1115269999999999</v>
      </c>
      <c r="L5637">
        <v>64.495540000000005</v>
      </c>
      <c r="M5637">
        <v>-1.8294939999999999E-2</v>
      </c>
      <c r="N5637">
        <v>-1.4617649999999999E-2</v>
      </c>
      <c r="O5637">
        <v>-0.99972589999999995</v>
      </c>
      <c r="P5637">
        <v>0.2178079</v>
      </c>
      <c r="Q5637">
        <v>0.40931299999999998</v>
      </c>
      <c r="R5637">
        <v>-0.88601509999999895</v>
      </c>
      <c r="S5637">
        <v>0.72695919999999903</v>
      </c>
      <c r="T5637">
        <v>-0.2503977</v>
      </c>
      <c r="U5637">
        <v>-3.3220519999999998</v>
      </c>
      <c r="V5637">
        <v>-0.2343741</v>
      </c>
      <c r="W5637">
        <v>0.42194330000000002</v>
      </c>
      <c r="X5637">
        <v>0.87580400000000003</v>
      </c>
      <c r="Y5637">
        <v>-0.23109199999999999</v>
      </c>
      <c r="Z5637">
        <v>5.8649369999999999E-2</v>
      </c>
      <c r="AA5637">
        <v>0.97116259999999999</v>
      </c>
      <c r="AB5637">
        <v>34</v>
      </c>
      <c r="AC5637">
        <v>3.2326999999999599</v>
      </c>
      <c r="AD5637">
        <v>-1.1115272915786001</v>
      </c>
      <c r="AE5637">
        <v>-14.40639</v>
      </c>
      <c r="AF5637">
        <v>-3.4760503418466402</v>
      </c>
      <c r="AG5637">
        <v>-1.1115272915786001</v>
      </c>
      <c r="AH5637">
        <v>14.263988197881799</v>
      </c>
      <c r="AI5637">
        <v>94.329590011239205</v>
      </c>
      <c r="AJ5637">
        <v>103.695695937769</v>
      </c>
      <c r="AK5637">
        <v>14.7234431505775</v>
      </c>
      <c r="AL5637">
        <v>65.042663115797197</v>
      </c>
      <c r="AM5637">
        <v>104.98187771352799</v>
      </c>
      <c r="AN5637">
        <v>1.0000000067908501</v>
      </c>
    </row>
    <row r="5638" spans="1:40" x14ac:dyDescent="0.25">
      <c r="A5638" t="str">
        <f>"20190304165000726"</f>
        <v>20190304165000726</v>
      </c>
      <c r="B5638" t="str">
        <f>"1551689400720977"</f>
        <v>1551689400720977</v>
      </c>
      <c r="C5638" t="s">
        <v>40</v>
      </c>
      <c r="D5638">
        <v>4.4295980000000004</v>
      </c>
      <c r="E5638">
        <v>0.4315676</v>
      </c>
      <c r="F5638" t="s">
        <v>42</v>
      </c>
      <c r="G5638">
        <v>-418.60820000000001</v>
      </c>
      <c r="H5638" s="1">
        <v>-3.9734430000000001E-6</v>
      </c>
      <c r="I5638">
        <v>48.319479999999999</v>
      </c>
      <c r="J5638">
        <v>-422.70699999999999</v>
      </c>
      <c r="K5638">
        <v>1.111583</v>
      </c>
      <c r="L5638">
        <v>64.141419999999997</v>
      </c>
      <c r="M5638">
        <v>-1.7743109999999999E-2</v>
      </c>
      <c r="N5638">
        <v>-1.461398E-2</v>
      </c>
      <c r="O5638">
        <v>-0.99973579999999995</v>
      </c>
      <c r="P5638">
        <v>0.21994340000000001</v>
      </c>
      <c r="Q5638">
        <v>0.40962179999999998</v>
      </c>
      <c r="R5638">
        <v>-0.88534460000000004</v>
      </c>
      <c r="S5638">
        <v>0.83139039999999997</v>
      </c>
      <c r="T5638">
        <v>-0.2257884</v>
      </c>
      <c r="U5638">
        <v>-3.2858890000000001</v>
      </c>
      <c r="V5638">
        <v>-0.2360641</v>
      </c>
      <c r="W5638">
        <v>0.4222088</v>
      </c>
      <c r="X5638">
        <v>0.87522199999999895</v>
      </c>
      <c r="Y5638">
        <v>-0.26197140000000002</v>
      </c>
      <c r="Z5638">
        <v>5.168006E-2</v>
      </c>
      <c r="AA5638">
        <v>0.96369090000000002</v>
      </c>
      <c r="AB5638">
        <v>34</v>
      </c>
      <c r="AC5638">
        <v>4.0987999999999802</v>
      </c>
      <c r="AD5638">
        <v>-1.1115869734429999</v>
      </c>
      <c r="AE5638">
        <v>-15.8219399999999</v>
      </c>
      <c r="AF5638">
        <v>-4.3587536451589104</v>
      </c>
      <c r="AG5638">
        <v>-1.1115869734429999</v>
      </c>
      <c r="AH5638">
        <v>15.674214597614499</v>
      </c>
      <c r="AI5638">
        <v>93.908690472852896</v>
      </c>
      <c r="AJ5638">
        <v>105.540416291534</v>
      </c>
      <c r="AK5638">
        <v>16.306911485342201</v>
      </c>
      <c r="AL5638">
        <v>65.025884054043203</v>
      </c>
      <c r="AM5638">
        <v>105.094573839528</v>
      </c>
      <c r="AN5638">
        <v>1.0000000396951201</v>
      </c>
    </row>
    <row r="5639" spans="1:40" x14ac:dyDescent="0.25">
      <c r="A5639" t="str">
        <f>"20190304165000749"</f>
        <v>20190304165000749</v>
      </c>
      <c r="B5639" t="str">
        <f>"1551689400741469"</f>
        <v>1551689400741469</v>
      </c>
      <c r="C5639" t="s">
        <v>40</v>
      </c>
      <c r="D5639">
        <v>4.4134469999999997</v>
      </c>
      <c r="E5639">
        <v>0.43074780000000001</v>
      </c>
      <c r="F5639" t="s">
        <v>49</v>
      </c>
      <c r="G5639">
        <v>-409.95780000000002</v>
      </c>
      <c r="H5639">
        <v>2.0509690000000001E-2</v>
      </c>
      <c r="I5639">
        <v>34.776800000000001</v>
      </c>
      <c r="J5639">
        <v>-422.71260000000001</v>
      </c>
      <c r="K5639">
        <v>1.1116600000000001</v>
      </c>
      <c r="L5639">
        <v>63.788330000000002</v>
      </c>
      <c r="M5639">
        <v>-1.7088800000000001E-2</v>
      </c>
      <c r="N5639">
        <v>-1.461059E-2</v>
      </c>
      <c r="O5639">
        <v>-0.99974750000000001</v>
      </c>
      <c r="P5639">
        <v>0.2222025</v>
      </c>
      <c r="Q5639">
        <v>0.4095164</v>
      </c>
      <c r="R5639">
        <v>-0.88482909999999904</v>
      </c>
      <c r="S5639">
        <v>1.3488770000000001</v>
      </c>
      <c r="T5639">
        <v>-0.11543680000000001</v>
      </c>
      <c r="U5639">
        <v>-3.1068120000000001</v>
      </c>
      <c r="V5639">
        <v>-0.23781099999999999</v>
      </c>
      <c r="W5639">
        <v>0.42205140000000002</v>
      </c>
      <c r="X5639">
        <v>0.87482490000000002</v>
      </c>
      <c r="Y5639">
        <v>-0.4136552</v>
      </c>
      <c r="Z5639">
        <v>1.9274670000000001E-2</v>
      </c>
      <c r="AA5639">
        <v>0.91022959999999997</v>
      </c>
      <c r="AB5639">
        <v>34</v>
      </c>
      <c r="AC5639">
        <v>12.7547999999999</v>
      </c>
      <c r="AD5639">
        <v>-1.09115031</v>
      </c>
      <c r="AE5639">
        <v>-29.01153</v>
      </c>
      <c r="AF5639">
        <v>-13.233074993684699</v>
      </c>
      <c r="AG5639">
        <v>-1.09115031</v>
      </c>
      <c r="AH5639">
        <v>28.755217469637799</v>
      </c>
      <c r="AI5639">
        <v>91.974269557451095</v>
      </c>
      <c r="AJ5639">
        <v>114.711762272095</v>
      </c>
      <c r="AK5639">
        <v>31.672818228153599</v>
      </c>
      <c r="AL5639">
        <v>65.035831974281095</v>
      </c>
      <c r="AM5639">
        <v>105.20770512300599</v>
      </c>
      <c r="AN5639">
        <v>1.00000003081148</v>
      </c>
    </row>
    <row r="5640" spans="1:40" x14ac:dyDescent="0.25">
      <c r="A5640" t="str">
        <f>"20190304165000771"</f>
        <v>20190304165000771</v>
      </c>
      <c r="B5640" t="str">
        <f>"1551689400760989"</f>
        <v>1551689400760989</v>
      </c>
      <c r="C5640" t="s">
        <v>40</v>
      </c>
      <c r="D5640">
        <v>4.4110310000000004</v>
      </c>
      <c r="E5640">
        <v>0.42998049999999999</v>
      </c>
      <c r="F5640" t="s">
        <v>49</v>
      </c>
      <c r="G5640">
        <v>-409.95780000000002</v>
      </c>
      <c r="H5640">
        <v>1.482521E-2</v>
      </c>
      <c r="I5640">
        <v>34.729129999999998</v>
      </c>
      <c r="J5640">
        <v>-422.71749999999997</v>
      </c>
      <c r="K5640">
        <v>1.1117440000000001</v>
      </c>
      <c r="L5640">
        <v>63.463169999999998</v>
      </c>
      <c r="M5640">
        <v>-1.6371799999999999E-2</v>
      </c>
      <c r="N5640">
        <v>-1.4607790000000001E-2</v>
      </c>
      <c r="O5640">
        <v>-0.99975939999999996</v>
      </c>
      <c r="P5640">
        <v>0.2240557</v>
      </c>
      <c r="Q5640">
        <v>0.40958480000000003</v>
      </c>
      <c r="R5640">
        <v>-0.88433030000000001</v>
      </c>
      <c r="S5640">
        <v>1.361847</v>
      </c>
      <c r="T5640">
        <v>-0.1171106</v>
      </c>
      <c r="U5640">
        <v>-3.1026919999999998</v>
      </c>
      <c r="V5640">
        <v>-0.23911199999999999</v>
      </c>
      <c r="W5640">
        <v>0.42206050000000001</v>
      </c>
      <c r="X5640">
        <v>0.87446579999999996</v>
      </c>
      <c r="Y5640">
        <v>-0.41663040000000001</v>
      </c>
      <c r="Z5640">
        <v>1.9761270000000001E-2</v>
      </c>
      <c r="AA5640">
        <v>0.90886120000000004</v>
      </c>
      <c r="AB5640">
        <v>34</v>
      </c>
      <c r="AC5640">
        <v>12.759699999999899</v>
      </c>
      <c r="AD5640">
        <v>-1.0969187899999999</v>
      </c>
      <c r="AE5640">
        <v>-28.73404</v>
      </c>
      <c r="AF5640">
        <v>-13.2123843529745</v>
      </c>
      <c r="AG5640">
        <v>-1.0969187899999999</v>
      </c>
      <c r="AH5640">
        <v>28.486590244509699</v>
      </c>
      <c r="AI5640">
        <v>92.000646873651604</v>
      </c>
      <c r="AJ5640">
        <v>114.882373160128</v>
      </c>
      <c r="AK5640">
        <v>31.420632630187001</v>
      </c>
      <c r="AL5640">
        <v>65.035256687888193</v>
      </c>
      <c r="AM5640">
        <v>105.29300340296101</v>
      </c>
      <c r="AN5640">
        <v>1.0000000247869401</v>
      </c>
    </row>
    <row r="5641" spans="1:40" x14ac:dyDescent="0.25">
      <c r="A5641" t="str">
        <f>"20190304165000792"</f>
        <v>20190304165000792</v>
      </c>
      <c r="B5641" t="str">
        <f>"1551689400781016"</f>
        <v>1551689400781016</v>
      </c>
      <c r="C5641" t="s">
        <v>40</v>
      </c>
      <c r="D5641">
        <v>4.4113179999999996</v>
      </c>
      <c r="E5641">
        <v>0.42866070000000001</v>
      </c>
      <c r="F5641" t="s">
        <v>49</v>
      </c>
      <c r="G5641">
        <v>-410.50080000000003</v>
      </c>
      <c r="H5641" s="1">
        <v>-4.5697079999999999E-6</v>
      </c>
      <c r="I5641">
        <v>35.902999999999999</v>
      </c>
      <c r="J5641">
        <v>-422.72210000000001</v>
      </c>
      <c r="K5641">
        <v>1.1118429999999999</v>
      </c>
      <c r="L5641">
        <v>63.13214</v>
      </c>
      <c r="M5641">
        <v>-1.5510110000000001E-2</v>
      </c>
      <c r="N5641">
        <v>-1.460532E-2</v>
      </c>
      <c r="O5641">
        <v>-0.99977320000000003</v>
      </c>
      <c r="P5641">
        <v>0.22609290000000001</v>
      </c>
      <c r="Q5641">
        <v>0.40959899999999999</v>
      </c>
      <c r="R5641">
        <v>-0.8838049</v>
      </c>
      <c r="S5641">
        <v>1.3750309999999999</v>
      </c>
      <c r="T5641">
        <v>-0.1251311</v>
      </c>
      <c r="U5641">
        <v>-3.1019899999999998</v>
      </c>
      <c r="V5641">
        <v>-0.2404896</v>
      </c>
      <c r="W5641">
        <v>0.4220043</v>
      </c>
      <c r="X5641">
        <v>0.87411499999999998</v>
      </c>
      <c r="Y5641">
        <v>-0.41912709999999997</v>
      </c>
      <c r="Z5641">
        <v>2.2076760000000001E-2</v>
      </c>
      <c r="AA5641">
        <v>0.90765910000000005</v>
      </c>
      <c r="AB5641">
        <v>34</v>
      </c>
      <c r="AC5641">
        <v>12.2212999999999</v>
      </c>
      <c r="AD5641">
        <v>-1.1118475697079999</v>
      </c>
      <c r="AE5641">
        <v>-27.229140000000001</v>
      </c>
      <c r="AF5641">
        <v>-12.624681403155099</v>
      </c>
      <c r="AG5641">
        <v>-1.1118475697079999</v>
      </c>
      <c r="AH5641">
        <v>26.9988219271515</v>
      </c>
      <c r="AI5641">
        <v>92.136397590932106</v>
      </c>
      <c r="AJ5641">
        <v>115.060846787827</v>
      </c>
      <c r="AK5641">
        <v>29.825411497638601</v>
      </c>
      <c r="AL5641">
        <v>65.038806660896796</v>
      </c>
      <c r="AM5641">
        <v>105.382830896935</v>
      </c>
      <c r="AN5641">
        <v>0.99999995507582395</v>
      </c>
    </row>
    <row r="5642" spans="1:40" x14ac:dyDescent="0.25">
      <c r="A5642" t="str">
        <f>"20190304165000817"</f>
        <v>20190304165000817</v>
      </c>
      <c r="B5642" t="str">
        <f>"1551689400811272"</f>
        <v>1551689400811272</v>
      </c>
      <c r="C5642" t="s">
        <v>40</v>
      </c>
      <c r="D5642">
        <v>4.4528349999999897</v>
      </c>
      <c r="E5642">
        <v>0.4274617</v>
      </c>
      <c r="F5642" t="s">
        <v>49</v>
      </c>
      <c r="G5642">
        <v>-411.51319999999998</v>
      </c>
      <c r="H5642" s="1">
        <v>-3.0910289999999999E-6</v>
      </c>
      <c r="I5642">
        <v>38.196159999999999</v>
      </c>
      <c r="J5642">
        <v>-422.72649999999999</v>
      </c>
      <c r="K5642">
        <v>1.111969</v>
      </c>
      <c r="L5642">
        <v>62.77655</v>
      </c>
      <c r="M5642">
        <v>-1.441866E-2</v>
      </c>
      <c r="N5642">
        <v>-1.460322E-2</v>
      </c>
      <c r="O5642">
        <v>-0.99978959999999995</v>
      </c>
      <c r="P5642">
        <v>0.22794690000000001</v>
      </c>
      <c r="Q5642">
        <v>0.40984999999999999</v>
      </c>
      <c r="R5642">
        <v>-0.88321209999999895</v>
      </c>
      <c r="S5642">
        <v>1.3942870000000001</v>
      </c>
      <c r="T5642">
        <v>-0.13830339999999999</v>
      </c>
      <c r="U5642">
        <v>-3.101807</v>
      </c>
      <c r="V5642">
        <v>-0.2415089</v>
      </c>
      <c r="W5642">
        <v>0.42216979999999998</v>
      </c>
      <c r="X5642">
        <v>0.87375400000000003</v>
      </c>
      <c r="Y5642">
        <v>-0.42280099999999998</v>
      </c>
      <c r="Z5642">
        <v>2.5860879999999999E-2</v>
      </c>
      <c r="AA5642">
        <v>0.90585349999999998</v>
      </c>
      <c r="AB5642">
        <v>34</v>
      </c>
      <c r="AC5642">
        <v>11.2133</v>
      </c>
      <c r="AD5642">
        <v>-1.1119720910290001</v>
      </c>
      <c r="AE5642">
        <v>-24.580389999999898</v>
      </c>
      <c r="AF5642">
        <v>-11.5470278350149</v>
      </c>
      <c r="AG5642">
        <v>-1.1119720910290001</v>
      </c>
      <c r="AH5642">
        <v>24.3748461177737</v>
      </c>
      <c r="AI5642">
        <v>92.360826119436496</v>
      </c>
      <c r="AJ5642">
        <v>115.348188086205</v>
      </c>
      <c r="AK5642">
        <v>26.994507904738398</v>
      </c>
      <c r="AL5642">
        <v>65.028347205276205</v>
      </c>
      <c r="AM5642">
        <v>105.450999621104</v>
      </c>
      <c r="AN5642">
        <v>0.999999970663624</v>
      </c>
    </row>
    <row r="5643" spans="1:40" x14ac:dyDescent="0.25">
      <c r="A5643" t="str">
        <f>"20190304165000838"</f>
        <v>20190304165000838</v>
      </c>
      <c r="B5643" t="str">
        <f>"1551689400831767"</f>
        <v>1551689400831767</v>
      </c>
      <c r="C5643" t="s">
        <v>40</v>
      </c>
      <c r="D5643">
        <v>4.4462479999999998</v>
      </c>
      <c r="E5643">
        <v>0.42688189999999998</v>
      </c>
      <c r="F5643" t="s">
        <v>41</v>
      </c>
      <c r="G5643">
        <v>-422.26130000000001</v>
      </c>
      <c r="H5643">
        <v>1.0622419999999999</v>
      </c>
      <c r="I5643">
        <v>61.754170000000002</v>
      </c>
      <c r="J5643">
        <v>-422.7303</v>
      </c>
      <c r="K5643">
        <v>1.1121099999999999</v>
      </c>
      <c r="L5643">
        <v>62.42615</v>
      </c>
      <c r="M5643">
        <v>-1.314569E-2</v>
      </c>
      <c r="N5643">
        <v>-1.460176E-2</v>
      </c>
      <c r="O5643">
        <v>-0.999807</v>
      </c>
      <c r="P5643">
        <v>0.2304986</v>
      </c>
      <c r="Q5643">
        <v>0.40974739999999998</v>
      </c>
      <c r="R5643">
        <v>-0.88259709999999902</v>
      </c>
      <c r="S5643">
        <v>1.4117740000000001</v>
      </c>
      <c r="T5643">
        <v>-0.1508919</v>
      </c>
      <c r="U5643">
        <v>-3.1023559999999999</v>
      </c>
      <c r="V5643">
        <v>-0.2430756</v>
      </c>
      <c r="W5643">
        <v>0.4219753</v>
      </c>
      <c r="X5643">
        <v>0.87341349999999995</v>
      </c>
      <c r="Y5643">
        <v>-0.4257707</v>
      </c>
      <c r="Z5643">
        <v>2.9459900000000001E-2</v>
      </c>
      <c r="AA5643">
        <v>0.90435140000000003</v>
      </c>
      <c r="AB5643">
        <v>34</v>
      </c>
      <c r="AC5643">
        <v>0.46899999999999398</v>
      </c>
      <c r="AD5643">
        <v>-4.9868000000000003E-2</v>
      </c>
      <c r="AE5643">
        <v>-0.67198000000000402</v>
      </c>
      <c r="AF5643">
        <v>-0.476031173074837</v>
      </c>
      <c r="AG5643">
        <v>-4.9868000000000003E-2</v>
      </c>
      <c r="AH5643">
        <v>0.66329955536055396</v>
      </c>
      <c r="AI5643">
        <v>93.495278985778697</v>
      </c>
      <c r="AJ5643">
        <v>125.66592507127299</v>
      </c>
      <c r="AK5643">
        <v>0.817960142858144</v>
      </c>
      <c r="AL5643">
        <v>65.040641189784907</v>
      </c>
      <c r="AM5643">
        <v>105.55216650081</v>
      </c>
      <c r="AN5643">
        <v>1.00000002155384</v>
      </c>
    </row>
    <row r="5644" spans="1:40" x14ac:dyDescent="0.25">
      <c r="A5644" t="str">
        <f>"20190304165000860"</f>
        <v>20190304165000860</v>
      </c>
      <c r="B5644" t="str">
        <f>"1551689400851288"</f>
        <v>1551689400851288</v>
      </c>
      <c r="C5644" t="s">
        <v>40</v>
      </c>
      <c r="D5644">
        <v>4.4452069999999999</v>
      </c>
      <c r="E5644">
        <v>0.42634529999999898</v>
      </c>
      <c r="F5644" t="s">
        <v>41</v>
      </c>
      <c r="G5644">
        <v>-422.28050000000002</v>
      </c>
      <c r="H5644">
        <v>1.0627789999999999</v>
      </c>
      <c r="I5644">
        <v>61.447000000000003</v>
      </c>
      <c r="J5644">
        <v>-422.73320000000001</v>
      </c>
      <c r="K5644">
        <v>1.112228</v>
      </c>
      <c r="L5644">
        <v>62.10718</v>
      </c>
      <c r="M5644">
        <v>-1.1853860000000001E-2</v>
      </c>
      <c r="N5644">
        <v>-1.460065E-2</v>
      </c>
      <c r="O5644">
        <v>-0.99982349999999998</v>
      </c>
      <c r="P5644">
        <v>0.2328085</v>
      </c>
      <c r="Q5644">
        <v>0.4096707</v>
      </c>
      <c r="R5644">
        <v>-0.88202659999999999</v>
      </c>
      <c r="S5644">
        <v>1.4245300000000001</v>
      </c>
      <c r="T5644">
        <v>-0.15615479999999901</v>
      </c>
      <c r="U5644">
        <v>-3.0995180000000002</v>
      </c>
      <c r="V5644">
        <v>-0.2443678</v>
      </c>
      <c r="W5644">
        <v>0.42181800000000003</v>
      </c>
      <c r="X5644">
        <v>0.87312880000000004</v>
      </c>
      <c r="Y5644">
        <v>-0.4279656</v>
      </c>
      <c r="Z5644">
        <v>3.0977279999999999E-2</v>
      </c>
      <c r="AA5644">
        <v>0.90326399999999996</v>
      </c>
      <c r="AB5644">
        <v>34</v>
      </c>
      <c r="AC5644">
        <v>0.452699999999993</v>
      </c>
      <c r="AD5644">
        <v>-4.9448999999999799E-2</v>
      </c>
      <c r="AE5644">
        <v>-0.66018000000001098</v>
      </c>
      <c r="AF5644">
        <v>-0.45874412726850999</v>
      </c>
      <c r="AG5644">
        <v>-4.9448999999999799E-2</v>
      </c>
      <c r="AH5644">
        <v>0.652277695394055</v>
      </c>
      <c r="AI5644">
        <v>93.548344580349806</v>
      </c>
      <c r="AJ5644">
        <v>125.118557116723</v>
      </c>
      <c r="AK5644">
        <v>0.79897282169854</v>
      </c>
      <c r="AL5644">
        <v>65.050580570221001</v>
      </c>
      <c r="AM5644">
        <v>105.63565832222601</v>
      </c>
      <c r="AN5644">
        <v>0.99999997409513897</v>
      </c>
    </row>
    <row r="5645" spans="1:40" x14ac:dyDescent="0.25">
      <c r="A5645" t="str">
        <f>"20190304165000882"</f>
        <v>20190304165000882</v>
      </c>
      <c r="B5645" t="str">
        <f>"1551689400871783"</f>
        <v>1551689400871783</v>
      </c>
      <c r="C5645" t="s">
        <v>40</v>
      </c>
      <c r="D5645">
        <v>4.4679640000000003</v>
      </c>
      <c r="E5645">
        <v>0.4258015</v>
      </c>
      <c r="F5645" t="s">
        <v>41</v>
      </c>
      <c r="G5645">
        <v>-422.28699999999998</v>
      </c>
      <c r="H5645">
        <v>1.062303</v>
      </c>
      <c r="I5645">
        <v>61.144739999999999</v>
      </c>
      <c r="J5645">
        <v>-422.73570000000001</v>
      </c>
      <c r="K5645">
        <v>1.1123620000000001</v>
      </c>
      <c r="L5645">
        <v>61.767609999999998</v>
      </c>
      <c r="M5645">
        <v>-1.032311E-2</v>
      </c>
      <c r="N5645">
        <v>-1.459937E-2</v>
      </c>
      <c r="O5645">
        <v>-0.99984010000000001</v>
      </c>
      <c r="P5645">
        <v>0.23512240000000001</v>
      </c>
      <c r="Q5645">
        <v>0.40966269999999999</v>
      </c>
      <c r="R5645">
        <v>-0.88141599999999998</v>
      </c>
      <c r="S5645">
        <v>1.436523</v>
      </c>
      <c r="T5645">
        <v>-0.16063620000000001</v>
      </c>
      <c r="U5645">
        <v>-3.0967099999999999</v>
      </c>
      <c r="V5645">
        <v>-0.2454587</v>
      </c>
      <c r="W5645">
        <v>0.42172670000000001</v>
      </c>
      <c r="X5645">
        <v>0.8728669</v>
      </c>
      <c r="Y5645">
        <v>-0.4297531</v>
      </c>
      <c r="Z5645">
        <v>3.2272370000000002E-2</v>
      </c>
      <c r="AA5645">
        <v>0.90236950000000005</v>
      </c>
      <c r="AB5645">
        <v>34</v>
      </c>
      <c r="AC5645">
        <v>0.44870000000003002</v>
      </c>
      <c r="AD5645">
        <v>-5.0058999999999999E-2</v>
      </c>
      <c r="AE5645">
        <v>-0.62286999999999104</v>
      </c>
      <c r="AF5645">
        <v>-0.453179649397699</v>
      </c>
      <c r="AG5645">
        <v>-5.0058999999999999E-2</v>
      </c>
      <c r="AH5645">
        <v>0.61558664129464402</v>
      </c>
      <c r="AI5645">
        <v>93.7467974878208</v>
      </c>
      <c r="AJ5645">
        <v>126.359580750389</v>
      </c>
      <c r="AK5645">
        <v>0.76604478397130504</v>
      </c>
      <c r="AL5645">
        <v>65.056350744945604</v>
      </c>
      <c r="AM5645">
        <v>105.70650175035099</v>
      </c>
      <c r="AN5645">
        <v>1.00000000400709</v>
      </c>
    </row>
    <row r="5646" spans="1:40" x14ac:dyDescent="0.25">
      <c r="A5646" t="str">
        <f>"20190304165000904"</f>
        <v>20190304165000904</v>
      </c>
      <c r="B5646" t="str">
        <f>"1551689400901064"</f>
        <v>1551689400901064</v>
      </c>
      <c r="C5646" t="s">
        <v>40</v>
      </c>
      <c r="D5646">
        <v>4.4823370000000002</v>
      </c>
      <c r="E5646">
        <v>0.42489939999999998</v>
      </c>
      <c r="F5646" t="s">
        <v>41</v>
      </c>
      <c r="G5646">
        <v>-422.3014</v>
      </c>
      <c r="H5646">
        <v>1.0629630000000001</v>
      </c>
      <c r="I5646">
        <v>60.839149999999997</v>
      </c>
      <c r="J5646">
        <v>-422.73750000000001</v>
      </c>
      <c r="K5646">
        <v>1.1124909999999999</v>
      </c>
      <c r="L5646">
        <v>61.435270000000003</v>
      </c>
      <c r="M5646">
        <v>-8.6643399999999995E-3</v>
      </c>
      <c r="N5646">
        <v>-1.459828E-2</v>
      </c>
      <c r="O5646">
        <v>-0.99985610000000003</v>
      </c>
      <c r="P5646">
        <v>0.237258</v>
      </c>
      <c r="Q5646">
        <v>0.40939609999999999</v>
      </c>
      <c r="R5646">
        <v>-0.88096770000000002</v>
      </c>
      <c r="S5646">
        <v>1.448547</v>
      </c>
      <c r="T5646">
        <v>-0.16459789999999999</v>
      </c>
      <c r="U5646">
        <v>-3.0936889999999999</v>
      </c>
      <c r="V5646">
        <v>-0.24626020000000001</v>
      </c>
      <c r="W5646">
        <v>0.4213808</v>
      </c>
      <c r="X5646">
        <v>0.87280820000000003</v>
      </c>
      <c r="Y5646">
        <v>-0.43145169999999999</v>
      </c>
      <c r="Z5646">
        <v>3.3418679999999999E-2</v>
      </c>
      <c r="AA5646">
        <v>0.90151689999999995</v>
      </c>
      <c r="AB5646">
        <v>34</v>
      </c>
      <c r="AC5646">
        <v>0.43610000000000998</v>
      </c>
      <c r="AD5646">
        <v>-4.9528000000000003E-2</v>
      </c>
      <c r="AE5646">
        <v>-0.59611999999999898</v>
      </c>
      <c r="AF5646">
        <v>-0.439273973816244</v>
      </c>
      <c r="AG5646">
        <v>-4.9528000000000003E-2</v>
      </c>
      <c r="AH5646">
        <v>0.589667268403956</v>
      </c>
      <c r="AI5646">
        <v>93.853471326204698</v>
      </c>
      <c r="AJ5646">
        <v>126.68435224194801</v>
      </c>
      <c r="AK5646">
        <v>0.73696820439100197</v>
      </c>
      <c r="AL5646">
        <v>65.0782063520832</v>
      </c>
      <c r="AM5646">
        <v>105.756252709677</v>
      </c>
      <c r="AN5646">
        <v>1.0000000093499599</v>
      </c>
    </row>
    <row r="5647" spans="1:40" x14ac:dyDescent="0.25">
      <c r="A5647" t="str">
        <f>"20190304165000928"</f>
        <v>20190304165000928</v>
      </c>
      <c r="B5647" t="str">
        <f>"1551689400921563"</f>
        <v>1551689400921563</v>
      </c>
      <c r="C5647" t="s">
        <v>40</v>
      </c>
      <c r="D5647">
        <v>4.4562089999999897</v>
      </c>
      <c r="E5647">
        <v>0.42433579999999999</v>
      </c>
      <c r="F5647" t="s">
        <v>41</v>
      </c>
      <c r="G5647">
        <v>-422.31240000000003</v>
      </c>
      <c r="H5647">
        <v>1.062532</v>
      </c>
      <c r="I5647">
        <v>60.536580000000001</v>
      </c>
      <c r="J5647">
        <v>-422.73860000000002</v>
      </c>
      <c r="K5647">
        <v>1.112635</v>
      </c>
      <c r="L5647">
        <v>61.08173</v>
      </c>
      <c r="M5647">
        <v>-6.7217010000000001E-3</v>
      </c>
      <c r="N5647">
        <v>-1.459766E-2</v>
      </c>
      <c r="O5647">
        <v>-0.99987099999999995</v>
      </c>
      <c r="P5647">
        <v>0.24012839999999999</v>
      </c>
      <c r="Q5647">
        <v>0.40934130000000002</v>
      </c>
      <c r="R5647">
        <v>-0.88021499999999997</v>
      </c>
      <c r="S5647">
        <v>1.4623109999999999</v>
      </c>
      <c r="T5647">
        <v>-0.17185139999999999</v>
      </c>
      <c r="U5647">
        <v>-3.09137</v>
      </c>
      <c r="V5647">
        <v>-0.24756359999999999</v>
      </c>
      <c r="W5647">
        <v>0.42123159999999998</v>
      </c>
      <c r="X5647">
        <v>0.87251139999999905</v>
      </c>
      <c r="Y5647">
        <v>-0.43320579999999997</v>
      </c>
      <c r="Z5647">
        <v>3.5505729999999999E-2</v>
      </c>
      <c r="AA5647">
        <v>0.90059539999999905</v>
      </c>
      <c r="AB5647">
        <v>34</v>
      </c>
      <c r="AC5647">
        <v>0.42619999999999397</v>
      </c>
      <c r="AD5647">
        <v>-5.0103000000000002E-2</v>
      </c>
      <c r="AE5647">
        <v>-0.54514999999999902</v>
      </c>
      <c r="AF5647">
        <v>-0.42761331579928402</v>
      </c>
      <c r="AG5647">
        <v>-5.0103000000000002E-2</v>
      </c>
      <c r="AH5647">
        <v>0.53944452954215505</v>
      </c>
      <c r="AI5647">
        <v>94.162930266001794</v>
      </c>
      <c r="AJ5647">
        <v>128.40357787416099</v>
      </c>
      <c r="AK5647">
        <v>0.69019117562514198</v>
      </c>
      <c r="AL5647">
        <v>65.087631213448901</v>
      </c>
      <c r="AM5647">
        <v>105.84059119963</v>
      </c>
      <c r="AN5647">
        <v>0.99999997000673901</v>
      </c>
    </row>
    <row r="5648" spans="1:40" x14ac:dyDescent="0.25">
      <c r="A5648" t="str">
        <f>"20190304165000949"</f>
        <v>20190304165000949</v>
      </c>
      <c r="B5648" t="str">
        <f>"1551689400941079"</f>
        <v>1551689400941079</v>
      </c>
      <c r="C5648" t="s">
        <v>40</v>
      </c>
      <c r="D5648">
        <v>4.4630890000000001</v>
      </c>
      <c r="E5648">
        <v>0.42382799999999998</v>
      </c>
      <c r="F5648" t="s">
        <v>41</v>
      </c>
      <c r="G5648">
        <v>-422.31560000000002</v>
      </c>
      <c r="H5648">
        <v>1.0620799999999999</v>
      </c>
      <c r="I5648">
        <v>60.194969999999998</v>
      </c>
      <c r="J5648">
        <v>-422.7389</v>
      </c>
      <c r="K5648">
        <v>1.112784</v>
      </c>
      <c r="L5648">
        <v>60.753269999999901</v>
      </c>
      <c r="M5648">
        <v>-4.7502999999999998E-3</v>
      </c>
      <c r="N5648">
        <v>-1.4597509999999999E-2</v>
      </c>
      <c r="O5648">
        <v>-0.9998821</v>
      </c>
      <c r="P5648">
        <v>0.2432909</v>
      </c>
      <c r="Q5648">
        <v>0.40907959999999999</v>
      </c>
      <c r="R5648">
        <v>-0.87946769999999996</v>
      </c>
      <c r="S5648">
        <v>1.473938</v>
      </c>
      <c r="T5648">
        <v>-0.17605170000000001</v>
      </c>
      <c r="U5648">
        <v>-3.0880429999999999</v>
      </c>
      <c r="V5648">
        <v>-0.2491331</v>
      </c>
      <c r="W5648">
        <v>0.42087479999999999</v>
      </c>
      <c r="X5648">
        <v>0.87223680000000003</v>
      </c>
      <c r="Y5648">
        <v>-0.43454609999999999</v>
      </c>
      <c r="Z5648">
        <v>3.6728400000000001E-2</v>
      </c>
      <c r="AA5648">
        <v>0.89990040000000004</v>
      </c>
      <c r="AB5648">
        <v>34</v>
      </c>
      <c r="AC5648">
        <v>0.42329999999998302</v>
      </c>
      <c r="AD5648">
        <v>-5.0703999999999999E-2</v>
      </c>
      <c r="AE5648">
        <v>-0.55829999999999502</v>
      </c>
      <c r="AF5648">
        <v>-0.42372840509257398</v>
      </c>
      <c r="AG5648">
        <v>-5.0703999999999999E-2</v>
      </c>
      <c r="AH5648">
        <v>0.55338444223820205</v>
      </c>
      <c r="AI5648">
        <v>94.160836066335605</v>
      </c>
      <c r="AJ5648">
        <v>127.44140708221001</v>
      </c>
      <c r="AK5648">
        <v>0.69882114865649503</v>
      </c>
      <c r="AL5648">
        <v>65.110169530174701</v>
      </c>
      <c r="AM5648">
        <v>105.940694365322</v>
      </c>
      <c r="AN5648">
        <v>0.99999996703244398</v>
      </c>
    </row>
    <row r="5649" spans="1:40" x14ac:dyDescent="0.25">
      <c r="A5649" t="str">
        <f>"20190304165000972"</f>
        <v>20190304165000972</v>
      </c>
      <c r="B5649" t="str">
        <f>"1551689400961576"</f>
        <v>1551689400961576</v>
      </c>
      <c r="C5649" t="s">
        <v>40</v>
      </c>
      <c r="D5649">
        <v>4.4512989999999997</v>
      </c>
      <c r="E5649">
        <v>0.4233441</v>
      </c>
      <c r="F5649" t="s">
        <v>41</v>
      </c>
      <c r="G5649">
        <v>-422.30579999999998</v>
      </c>
      <c r="H5649">
        <v>1.0601959999999999</v>
      </c>
      <c r="I5649">
        <v>59.854550000000003</v>
      </c>
      <c r="J5649">
        <v>-422.73829999999998</v>
      </c>
      <c r="K5649">
        <v>1.1129389999999999</v>
      </c>
      <c r="L5649">
        <v>60.415039999999998</v>
      </c>
      <c r="M5649">
        <v>-2.5495040000000002E-3</v>
      </c>
      <c r="N5649">
        <v>-1.459796E-2</v>
      </c>
      <c r="O5649">
        <v>-0.99989050000000002</v>
      </c>
      <c r="P5649">
        <v>0.24650820000000001</v>
      </c>
      <c r="Q5649">
        <v>0.40939330000000002</v>
      </c>
      <c r="R5649">
        <v>-0.87842520000000002</v>
      </c>
      <c r="S5649">
        <v>1.486145</v>
      </c>
      <c r="T5649">
        <v>-0.1804579</v>
      </c>
      <c r="U5649">
        <v>-3.0839840000000001</v>
      </c>
      <c r="V5649">
        <v>-0.25057309999999999</v>
      </c>
      <c r="W5649">
        <v>0.42108289999999998</v>
      </c>
      <c r="X5649">
        <v>0.87172380000000005</v>
      </c>
      <c r="Y5649">
        <v>-0.4358938</v>
      </c>
      <c r="Z5649">
        <v>3.8019129999999998E-2</v>
      </c>
      <c r="AA5649">
        <v>0.89919470000000001</v>
      </c>
      <c r="AB5649">
        <v>34</v>
      </c>
      <c r="AC5649">
        <v>0.43250000000000399</v>
      </c>
      <c r="AD5649">
        <v>-5.2742999999999901E-2</v>
      </c>
      <c r="AE5649">
        <v>-0.56049000000000104</v>
      </c>
      <c r="AF5649">
        <v>-0.43153259555006301</v>
      </c>
      <c r="AG5649">
        <v>-5.2742999999999901E-2</v>
      </c>
      <c r="AH5649">
        <v>0.55629779810243596</v>
      </c>
      <c r="AI5649">
        <v>94.284231852368606</v>
      </c>
      <c r="AJ5649">
        <v>127.801529864912</v>
      </c>
      <c r="AK5649">
        <v>0.70602368603665999</v>
      </c>
      <c r="AL5649">
        <v>65.097026554311398</v>
      </c>
      <c r="AM5649">
        <v>106.037060041741</v>
      </c>
      <c r="AN5649">
        <v>1.0000000353012199</v>
      </c>
    </row>
    <row r="5650" spans="1:40" x14ac:dyDescent="0.25">
      <c r="A5650" t="str">
        <f>"20190304165000993"</f>
        <v>20190304165000993</v>
      </c>
      <c r="B5650" t="str">
        <f>"1551689400981096"</f>
        <v>1551689400981096</v>
      </c>
      <c r="C5650" t="s">
        <v>40</v>
      </c>
      <c r="D5650">
        <v>4.4325710000000003</v>
      </c>
      <c r="E5650">
        <v>0.42287580000000002</v>
      </c>
      <c r="F5650" t="s">
        <v>42</v>
      </c>
      <c r="G5650">
        <v>-413.5256</v>
      </c>
      <c r="H5650" s="1">
        <v>-2.3534409999999999E-6</v>
      </c>
      <c r="I5650">
        <v>41.501629999999999</v>
      </c>
      <c r="J5650">
        <v>-422.73700000000002</v>
      </c>
      <c r="K5650">
        <v>1.113086</v>
      </c>
      <c r="L5650">
        <v>60.093200000000003</v>
      </c>
      <c r="M5650">
        <v>-2.8751340000000001E-4</v>
      </c>
      <c r="N5650">
        <v>-1.459911E-2</v>
      </c>
      <c r="O5650">
        <v>-0.99989349999999999</v>
      </c>
      <c r="P5650">
        <v>0.24934999999999999</v>
      </c>
      <c r="Q5650">
        <v>0.40950920000000002</v>
      </c>
      <c r="R5650">
        <v>-0.87756869999999998</v>
      </c>
      <c r="S5650">
        <v>1.4996640000000001</v>
      </c>
      <c r="T5650">
        <v>-0.18116689999999999</v>
      </c>
      <c r="U5650">
        <v>-3.0787659999999999</v>
      </c>
      <c r="V5650">
        <v>-0.25158150000000001</v>
      </c>
      <c r="W5650">
        <v>0.42110019999999998</v>
      </c>
      <c r="X5650">
        <v>0.87142489999999995</v>
      </c>
      <c r="Y5650">
        <v>-0.43764500000000001</v>
      </c>
      <c r="Z5650">
        <v>3.8240910000000003E-2</v>
      </c>
      <c r="AA5650">
        <v>0.89833430000000003</v>
      </c>
      <c r="AB5650">
        <v>34</v>
      </c>
      <c r="AC5650">
        <v>9.2113999999999692</v>
      </c>
      <c r="AD5650">
        <v>-1.1130883534409901</v>
      </c>
      <c r="AE5650">
        <v>-18.591570000000001</v>
      </c>
      <c r="AF5650">
        <v>-9.1902959031727693</v>
      </c>
      <c r="AG5650">
        <v>-1.1130883534409901</v>
      </c>
      <c r="AH5650">
        <v>18.535575285797101</v>
      </c>
      <c r="AI5650">
        <v>93.079619912157199</v>
      </c>
      <c r="AJ5650">
        <v>116.373101579254</v>
      </c>
      <c r="AK5650">
        <v>20.718785090972201</v>
      </c>
      <c r="AL5650">
        <v>65.095932597692496</v>
      </c>
      <c r="AM5650">
        <v>106.10349749909599</v>
      </c>
      <c r="AN5650">
        <v>0.99999999296114905</v>
      </c>
    </row>
    <row r="5651" spans="1:40" x14ac:dyDescent="0.25">
      <c r="A5651" t="str">
        <f>"20190304165001019"</f>
        <v>20190304165001019</v>
      </c>
      <c r="B5651" t="str">
        <f>"1551689401011351"</f>
        <v>1551689401011351</v>
      </c>
      <c r="C5651" t="s">
        <v>40</v>
      </c>
      <c r="D5651">
        <v>4.379575</v>
      </c>
      <c r="E5651">
        <v>0.41497339999999999</v>
      </c>
      <c r="F5651" t="s">
        <v>42</v>
      </c>
      <c r="G5651">
        <v>-413.47140000000002</v>
      </c>
      <c r="H5651" s="1">
        <v>-2.292128E-6</v>
      </c>
      <c r="I5651">
        <v>41.279069999999997</v>
      </c>
      <c r="J5651">
        <v>-422.73419999999999</v>
      </c>
      <c r="K5651">
        <v>1.113245</v>
      </c>
      <c r="L5651">
        <v>59.727110000000003</v>
      </c>
      <c r="M5651">
        <v>2.4918940000000001E-3</v>
      </c>
      <c r="N5651">
        <v>-1.460097E-2</v>
      </c>
      <c r="O5651">
        <v>-0.99989039999999996</v>
      </c>
      <c r="P5651">
        <v>0.25336340000000002</v>
      </c>
      <c r="Q5651">
        <v>0.4100375</v>
      </c>
      <c r="R5651">
        <v>-0.87617129999999999</v>
      </c>
      <c r="S5651">
        <v>1.51355</v>
      </c>
      <c r="T5651">
        <v>-0.1818256</v>
      </c>
      <c r="U5651">
        <v>-3.073334</v>
      </c>
      <c r="V5651">
        <v>-0.25333349999999999</v>
      </c>
      <c r="W5651">
        <v>0.42150880000000002</v>
      </c>
      <c r="X5651">
        <v>0.87071949999999998</v>
      </c>
      <c r="Y5651">
        <v>-0.43903809999999899</v>
      </c>
      <c r="Z5651">
        <v>3.8455089999999997E-2</v>
      </c>
      <c r="AA5651">
        <v>0.89764509999999897</v>
      </c>
      <c r="AB5651">
        <v>34</v>
      </c>
      <c r="AC5651">
        <v>9.2627999999999702</v>
      </c>
      <c r="AD5651">
        <v>-1.1132472921279899</v>
      </c>
      <c r="AE5651">
        <v>-18.448039999999899</v>
      </c>
      <c r="AF5651">
        <v>-9.1900681591245696</v>
      </c>
      <c r="AG5651">
        <v>-1.1132472921279899</v>
      </c>
      <c r="AH5651">
        <v>18.4175031712909</v>
      </c>
      <c r="AI5651">
        <v>93.095862760810206</v>
      </c>
      <c r="AJ5651">
        <v>116.51853387046199</v>
      </c>
      <c r="AK5651">
        <v>20.613129198821198</v>
      </c>
      <c r="AL5651">
        <v>65.070118670783501</v>
      </c>
      <c r="AM5651">
        <v>106.222212834064</v>
      </c>
      <c r="AN5651">
        <v>0.99999998918996902</v>
      </c>
    </row>
    <row r="5652" spans="1:40" x14ac:dyDescent="0.25">
      <c r="A5652" t="str">
        <f>"20190304165001039"</f>
        <v>20190304165001039</v>
      </c>
      <c r="B5652" t="str">
        <f>"1551689401031847"</f>
        <v>1551689401031847</v>
      </c>
      <c r="C5652" t="s">
        <v>40</v>
      </c>
      <c r="D5652">
        <v>4.3774519999999999</v>
      </c>
      <c r="E5652">
        <v>0.41470760000000001</v>
      </c>
      <c r="F5652" t="s">
        <v>41</v>
      </c>
      <c r="G5652">
        <v>-422.22719999999998</v>
      </c>
      <c r="H5652">
        <v>1.0541320000000001</v>
      </c>
      <c r="I5652">
        <v>58.753500000000003</v>
      </c>
      <c r="J5652">
        <v>-422.73090000000002</v>
      </c>
      <c r="K5652">
        <v>1.1133839999999999</v>
      </c>
      <c r="L5652">
        <v>59.410519999999998</v>
      </c>
      <c r="M5652">
        <v>5.0639120000000003E-3</v>
      </c>
      <c r="N5652">
        <v>-1.460289E-2</v>
      </c>
      <c r="O5652">
        <v>-0.99988069999999896</v>
      </c>
      <c r="P5652">
        <v>0.25723689999999999</v>
      </c>
      <c r="Q5652">
        <v>0.40985199999999999</v>
      </c>
      <c r="R5652">
        <v>-0.87512889999999999</v>
      </c>
      <c r="S5652">
        <v>1.5888979999999999</v>
      </c>
      <c r="T5652">
        <v>-0.1852578</v>
      </c>
      <c r="U5652">
        <v>-3.0512079999999999</v>
      </c>
      <c r="V5652">
        <v>-0.25509989999999999</v>
      </c>
      <c r="W5652">
        <v>0.42122340000000003</v>
      </c>
      <c r="X5652">
        <v>0.87034179999999906</v>
      </c>
      <c r="Y5652">
        <v>-0.45680340000000003</v>
      </c>
      <c r="Z5652">
        <v>3.927187E-2</v>
      </c>
      <c r="AA5652">
        <v>0.88870039999999995</v>
      </c>
      <c r="AB5652">
        <v>34</v>
      </c>
      <c r="AC5652">
        <v>0.50370000000003701</v>
      </c>
      <c r="AD5652">
        <v>-5.9251999999999798E-2</v>
      </c>
      <c r="AE5652">
        <v>-0.65701999999999505</v>
      </c>
      <c r="AF5652">
        <v>-0.49781610819439798</v>
      </c>
      <c r="AG5652">
        <v>-5.9251999999999798E-2</v>
      </c>
      <c r="AH5652">
        <v>0.65620124830561</v>
      </c>
      <c r="AI5652">
        <v>94.1146087204786</v>
      </c>
      <c r="AJ5652">
        <v>127.185164476612</v>
      </c>
      <c r="AK5652">
        <v>0.82579159317569795</v>
      </c>
      <c r="AL5652">
        <v>65.088149511264604</v>
      </c>
      <c r="AM5652">
        <v>106.33602574797401</v>
      </c>
      <c r="AN5652">
        <v>0.999999980257404</v>
      </c>
    </row>
    <row r="5653" spans="1:40" x14ac:dyDescent="0.25">
      <c r="A5653" t="str">
        <f>"20190304165001061"</f>
        <v>20190304165001061</v>
      </c>
      <c r="B5653" t="str">
        <f>"1551689401051368"</f>
        <v>1551689401051368</v>
      </c>
      <c r="C5653" t="s">
        <v>40</v>
      </c>
      <c r="D5653">
        <v>4.3470069999999996</v>
      </c>
      <c r="E5653">
        <v>0.41499530000000001</v>
      </c>
      <c r="F5653" t="s">
        <v>41</v>
      </c>
      <c r="G5653">
        <v>-422.22730000000001</v>
      </c>
      <c r="H5653">
        <v>1.0566500000000001</v>
      </c>
      <c r="I5653">
        <v>58.45431</v>
      </c>
      <c r="J5653">
        <v>-422.72649999999999</v>
      </c>
      <c r="K5653">
        <v>1.1135060000000001</v>
      </c>
      <c r="L5653">
        <v>59.087400000000002</v>
      </c>
      <c r="M5653">
        <v>7.8237879999999999E-3</v>
      </c>
      <c r="N5653">
        <v>-1.460491E-2</v>
      </c>
      <c r="O5653">
        <v>-0.99986269999999999</v>
      </c>
      <c r="P5653">
        <v>0.26096589999999997</v>
      </c>
      <c r="Q5653">
        <v>0.40869080000000002</v>
      </c>
      <c r="R5653">
        <v>-0.87456730000000005</v>
      </c>
      <c r="S5653">
        <v>1.6027530000000001</v>
      </c>
      <c r="T5653">
        <v>-0.18045130000000001</v>
      </c>
      <c r="U5653">
        <v>-3.0414729999999999</v>
      </c>
      <c r="V5653">
        <v>-0.25654080000000001</v>
      </c>
      <c r="W5653">
        <v>0.4199775</v>
      </c>
      <c r="X5653">
        <v>0.87052039999999997</v>
      </c>
      <c r="Y5653">
        <v>-0.4587137</v>
      </c>
      <c r="Z5653">
        <v>3.7953939999999999E-2</v>
      </c>
      <c r="AA5653">
        <v>0.88777320000000004</v>
      </c>
      <c r="AB5653">
        <v>34</v>
      </c>
      <c r="AC5653">
        <v>0.499199999999973</v>
      </c>
      <c r="AD5653">
        <v>-5.6855999999999803E-2</v>
      </c>
      <c r="AE5653">
        <v>-0.63309000000000204</v>
      </c>
      <c r="AF5653">
        <v>-0.49178527587098098</v>
      </c>
      <c r="AG5653">
        <v>-5.6855999999999803E-2</v>
      </c>
      <c r="AH5653">
        <v>0.63382452816803203</v>
      </c>
      <c r="AI5653">
        <v>94.053871664922795</v>
      </c>
      <c r="AJ5653">
        <v>127.80793308327701</v>
      </c>
      <c r="AK5653">
        <v>0.804250517442746</v>
      </c>
      <c r="AL5653">
        <v>65.166833675674695</v>
      </c>
      <c r="AM5653">
        <v>106.42015071350301</v>
      </c>
      <c r="AN5653">
        <v>1.0000000246935199</v>
      </c>
    </row>
    <row r="5654" spans="1:40" x14ac:dyDescent="0.25">
      <c r="A5654" t="str">
        <f>"20190304165001083"</f>
        <v>20190304165001083</v>
      </c>
      <c r="B5654" t="str">
        <f>"1551689401071864"</f>
        <v>1551689401071864</v>
      </c>
      <c r="C5654" t="s">
        <v>40</v>
      </c>
      <c r="D5654">
        <v>4.332128</v>
      </c>
      <c r="E5654">
        <v>0.41463489999999997</v>
      </c>
      <c r="F5654" t="s">
        <v>41</v>
      </c>
      <c r="G5654">
        <v>-422.23099999999999</v>
      </c>
      <c r="H5654">
        <v>1.0577669999999999</v>
      </c>
      <c r="I5654">
        <v>58.15455</v>
      </c>
      <c r="J5654">
        <v>-422.7208</v>
      </c>
      <c r="K5654">
        <v>1.113637</v>
      </c>
      <c r="L5654">
        <v>58.749180000000003</v>
      </c>
      <c r="M5654">
        <v>1.086198E-2</v>
      </c>
      <c r="N5654">
        <v>-1.460669E-2</v>
      </c>
      <c r="O5654">
        <v>-0.99983440000000001</v>
      </c>
      <c r="P5654">
        <v>0.26452959999999998</v>
      </c>
      <c r="Q5654">
        <v>0.40790710000000002</v>
      </c>
      <c r="R5654">
        <v>-0.87386269999999999</v>
      </c>
      <c r="S5654">
        <v>1.61145</v>
      </c>
      <c r="T5654">
        <v>-0.18128920000000001</v>
      </c>
      <c r="U5654">
        <v>-3.034119</v>
      </c>
      <c r="V5654">
        <v>-0.25757409999999997</v>
      </c>
      <c r="W5654">
        <v>0.41911090000000001</v>
      </c>
      <c r="X5654">
        <v>0.87063289999999904</v>
      </c>
      <c r="Y5654">
        <v>-0.45888200000000001</v>
      </c>
      <c r="Z5654">
        <v>3.8281490000000001E-2</v>
      </c>
      <c r="AA5654">
        <v>0.88767209999999996</v>
      </c>
      <c r="AB5654">
        <v>34</v>
      </c>
      <c r="AC5654">
        <v>0.48980000000000201</v>
      </c>
      <c r="AD5654">
        <v>-5.5870000000000003E-2</v>
      </c>
      <c r="AE5654">
        <v>-0.59463000000000199</v>
      </c>
      <c r="AF5654">
        <v>-0.48078287202686298</v>
      </c>
      <c r="AG5654">
        <v>-5.5870000000000003E-2</v>
      </c>
      <c r="AH5654">
        <v>0.59677692806947102</v>
      </c>
      <c r="AI5654">
        <v>94.169707055218694</v>
      </c>
      <c r="AJ5654">
        <v>128.85604690490399</v>
      </c>
      <c r="AK5654">
        <v>0.76838553396744402</v>
      </c>
      <c r="AL5654">
        <v>65.221532521654396</v>
      </c>
      <c r="AM5654">
        <v>106.48069139642</v>
      </c>
      <c r="AN5654">
        <v>1.0000000050260101</v>
      </c>
    </row>
    <row r="5655" spans="1:40" x14ac:dyDescent="0.25">
      <c r="A5655" t="str">
        <f>"20190304165001106"</f>
        <v>20190304165001106</v>
      </c>
      <c r="B5655" t="str">
        <f>"1551689401101143"</f>
        <v>1551689401101143</v>
      </c>
      <c r="C5655" t="s">
        <v>40</v>
      </c>
      <c r="D5655">
        <v>4.3247999999999998</v>
      </c>
      <c r="E5655">
        <v>0.41411480000000001</v>
      </c>
      <c r="F5655" t="s">
        <v>41</v>
      </c>
      <c r="G5655">
        <v>-422.24</v>
      </c>
      <c r="H5655">
        <v>1.0601039999999999</v>
      </c>
      <c r="I5655">
        <v>57.853810000000003</v>
      </c>
      <c r="J5655">
        <v>-422.714</v>
      </c>
      <c r="K5655">
        <v>1.1137699999999999</v>
      </c>
      <c r="L5655">
        <v>58.413699999999999</v>
      </c>
      <c r="M5655">
        <v>1.4032319999999999E-2</v>
      </c>
      <c r="N5655">
        <v>-1.4608700000000001E-2</v>
      </c>
      <c r="O5655">
        <v>-0.99979470000000004</v>
      </c>
      <c r="P5655">
        <v>0.26753660000000001</v>
      </c>
      <c r="Q5655">
        <v>0.4080223</v>
      </c>
      <c r="R5655">
        <v>-0.87289259999999902</v>
      </c>
      <c r="S5655">
        <v>1.6250610000000001</v>
      </c>
      <c r="T5655">
        <v>-0.18089279999999999</v>
      </c>
      <c r="U5655">
        <v>-3.0255429999999999</v>
      </c>
      <c r="V5655">
        <v>-0.25794549999999999</v>
      </c>
      <c r="W5655">
        <v>0.4191434</v>
      </c>
      <c r="X5655">
        <v>0.87050729999999998</v>
      </c>
      <c r="Y5655">
        <v>-0.46021210000000001</v>
      </c>
      <c r="Z5655">
        <v>3.8232889999999999E-2</v>
      </c>
      <c r="AA5655">
        <v>0.88698539999999904</v>
      </c>
      <c r="AB5655">
        <v>34</v>
      </c>
      <c r="AC5655">
        <v>0.47399999999998899</v>
      </c>
      <c r="AD5655">
        <v>-5.3665999999999901E-2</v>
      </c>
      <c r="AE5655">
        <v>-0.559890000000002</v>
      </c>
      <c r="AF5655">
        <v>-0.46361479249681198</v>
      </c>
      <c r="AG5655">
        <v>-5.3665999999999901E-2</v>
      </c>
      <c r="AH5655">
        <v>0.56347135583826402</v>
      </c>
      <c r="AI5655">
        <v>94.206354287244594</v>
      </c>
      <c r="AJ5655">
        <v>129.446975606298</v>
      </c>
      <c r="AK5655">
        <v>0.73165475753805798</v>
      </c>
      <c r="AL5655">
        <v>65.219481837926594</v>
      </c>
      <c r="AM5655">
        <v>106.505414867532</v>
      </c>
      <c r="AN5655">
        <v>1.00000001504355</v>
      </c>
    </row>
    <row r="5656" spans="1:40" x14ac:dyDescent="0.25">
      <c r="A5656" t="str">
        <f>"20190304165001128"</f>
        <v>20190304165001128</v>
      </c>
      <c r="B5656" t="str">
        <f>"1551689401121643"</f>
        <v>1551689401121643</v>
      </c>
      <c r="C5656" t="s">
        <v>40</v>
      </c>
      <c r="D5656">
        <v>4.3149600000000001</v>
      </c>
      <c r="E5656">
        <v>0.41396230000000001</v>
      </c>
      <c r="F5656" t="s">
        <v>41</v>
      </c>
      <c r="G5656">
        <v>-422.24740000000003</v>
      </c>
      <c r="H5656">
        <v>1.0625309999999999</v>
      </c>
      <c r="I5656">
        <v>57.553569999999901</v>
      </c>
      <c r="J5656">
        <v>-422.70589999999999</v>
      </c>
      <c r="K5656">
        <v>1.1139139999999901</v>
      </c>
      <c r="L5656">
        <v>58.075780000000002</v>
      </c>
      <c r="M5656">
        <v>1.7390619999999999E-2</v>
      </c>
      <c r="N5656">
        <v>-1.461143E-2</v>
      </c>
      <c r="O5656">
        <v>-0.99974220000000003</v>
      </c>
      <c r="P5656">
        <v>0.27102389999999998</v>
      </c>
      <c r="Q5656">
        <v>0.40899740000000001</v>
      </c>
      <c r="R5656">
        <v>-0.87135980000000002</v>
      </c>
      <c r="S5656">
        <v>1.6380920000000001</v>
      </c>
      <c r="T5656">
        <v>-0.17983629999999901</v>
      </c>
      <c r="U5656">
        <v>-3.0188600000000001</v>
      </c>
      <c r="V5656">
        <v>-0.25866040000000001</v>
      </c>
      <c r="W5656">
        <v>0.42002080000000003</v>
      </c>
      <c r="X5656">
        <v>0.86987199999999998</v>
      </c>
      <c r="Y5656">
        <v>-0.46101730000000002</v>
      </c>
      <c r="Z5656">
        <v>3.797122E-2</v>
      </c>
      <c r="AA5656">
        <v>0.88657839999999999</v>
      </c>
      <c r="AB5656">
        <v>33</v>
      </c>
      <c r="AC5656">
        <v>0.458499999999958</v>
      </c>
      <c r="AD5656">
        <v>-5.1382999999999901E-2</v>
      </c>
      <c r="AE5656">
        <v>-0.52221000000000795</v>
      </c>
      <c r="AF5656">
        <v>-0.44690484042394202</v>
      </c>
      <c r="AG5656">
        <v>-5.1382999999999901E-2</v>
      </c>
      <c r="AH5656">
        <v>0.52722306655308704</v>
      </c>
      <c r="AI5656">
        <v>94.251788611862693</v>
      </c>
      <c r="AJ5656">
        <v>130.28654356791699</v>
      </c>
      <c r="AK5656">
        <v>0.69305722057344599</v>
      </c>
      <c r="AL5656">
        <v>65.164098932695097</v>
      </c>
      <c r="AM5656">
        <v>106.56008545127899</v>
      </c>
      <c r="AN5656">
        <v>0.99999998567239901</v>
      </c>
    </row>
    <row r="5657" spans="1:40" x14ac:dyDescent="0.25">
      <c r="A5657" t="str">
        <f>"20190304165001150"</f>
        <v>20190304165001150</v>
      </c>
      <c r="B5657" t="str">
        <f>"1551689401141160"</f>
        <v>1551689401141160</v>
      </c>
      <c r="C5657" t="s">
        <v>40</v>
      </c>
      <c r="D5657">
        <v>4.3170630000000001</v>
      </c>
      <c r="E5657">
        <v>0.41374630000000001</v>
      </c>
      <c r="F5657" t="s">
        <v>41</v>
      </c>
      <c r="G5657">
        <v>-422.25630000000001</v>
      </c>
      <c r="H5657">
        <v>1.0658510000000001</v>
      </c>
      <c r="I5657">
        <v>57.253140000000002</v>
      </c>
      <c r="J5657">
        <v>-422.69690000000003</v>
      </c>
      <c r="K5657">
        <v>1.114058</v>
      </c>
      <c r="L5657">
        <v>57.751130000000003</v>
      </c>
      <c r="M5657">
        <v>2.078031E-2</v>
      </c>
      <c r="N5657">
        <v>-1.461495E-2</v>
      </c>
      <c r="O5657">
        <v>-0.99967729999999999</v>
      </c>
      <c r="P5657">
        <v>0.27447630000000001</v>
      </c>
      <c r="Q5657">
        <v>0.40916669999999999</v>
      </c>
      <c r="R5657">
        <v>-0.87019859999999905</v>
      </c>
      <c r="S5657">
        <v>1.6482239999999999</v>
      </c>
      <c r="T5657">
        <v>-0.17601989999999901</v>
      </c>
      <c r="U5657">
        <v>-3.012848</v>
      </c>
      <c r="V5657">
        <v>-0.25931179999999998</v>
      </c>
      <c r="W5657">
        <v>0.42009679999999999</v>
      </c>
      <c r="X5657">
        <v>0.86964129999999995</v>
      </c>
      <c r="Y5657">
        <v>-0.46107100000000001</v>
      </c>
      <c r="Z5657">
        <v>3.6914349999999999E-2</v>
      </c>
      <c r="AA5657">
        <v>0.88659509999999897</v>
      </c>
      <c r="AB5657">
        <v>33</v>
      </c>
      <c r="AC5657">
        <v>0.44060000000001698</v>
      </c>
      <c r="AD5657">
        <v>-4.8206999999999799E-2</v>
      </c>
      <c r="AE5657">
        <v>-0.49799000000000099</v>
      </c>
      <c r="AF5657">
        <v>-0.42790615743541999</v>
      </c>
      <c r="AG5657">
        <v>-4.8206999999999799E-2</v>
      </c>
      <c r="AH5657">
        <v>0.50438802628299695</v>
      </c>
      <c r="AI5657">
        <v>94.168416342875204</v>
      </c>
      <c r="AJ5657">
        <v>130.31017410380099</v>
      </c>
      <c r="AK5657">
        <v>0.66320047909949797</v>
      </c>
      <c r="AL5657">
        <v>65.159299932950105</v>
      </c>
      <c r="AM5657">
        <v>106.6036587137</v>
      </c>
      <c r="AN5657">
        <v>0.99999996082758402</v>
      </c>
    </row>
    <row r="5658" spans="1:40" x14ac:dyDescent="0.25">
      <c r="A5658" t="str">
        <f>"20190304165001173"</f>
        <v>20190304165001173</v>
      </c>
      <c r="B5658" t="str">
        <f>"1551689401161656"</f>
        <v>1551689401161656</v>
      </c>
      <c r="C5658" t="s">
        <v>40</v>
      </c>
      <c r="D5658">
        <v>4.3164819999999997</v>
      </c>
      <c r="E5658">
        <v>0.41355809999999998</v>
      </c>
      <c r="F5658" t="s">
        <v>41</v>
      </c>
      <c r="G5658">
        <v>-422.25689999999997</v>
      </c>
      <c r="H5658">
        <v>1.067526</v>
      </c>
      <c r="I5658">
        <v>56.953760000000003</v>
      </c>
      <c r="J5658">
        <v>-422.68630000000002</v>
      </c>
      <c r="K5658">
        <v>1.114217</v>
      </c>
      <c r="L5658">
        <v>57.415680000000002</v>
      </c>
      <c r="M5658">
        <v>2.445114E-2</v>
      </c>
      <c r="N5658">
        <v>-1.4619450000000001E-2</v>
      </c>
      <c r="O5658">
        <v>-0.99959419999999999</v>
      </c>
      <c r="P5658">
        <v>0.27771790000000002</v>
      </c>
      <c r="Q5658">
        <v>0.40984730000000003</v>
      </c>
      <c r="R5658">
        <v>-0.86884889999999904</v>
      </c>
      <c r="S5658">
        <v>1.659546</v>
      </c>
      <c r="T5658">
        <v>-0.17545549999999999</v>
      </c>
      <c r="U5658">
        <v>-3.006561</v>
      </c>
      <c r="V5658">
        <v>-0.25952910000000001</v>
      </c>
      <c r="W5658">
        <v>0.42067969999999999</v>
      </c>
      <c r="X5658">
        <v>0.86929469999999998</v>
      </c>
      <c r="Y5658">
        <v>-0.46115919999999999</v>
      </c>
      <c r="Z5658">
        <v>3.6802040000000001E-2</v>
      </c>
      <c r="AA5658">
        <v>0.88655390000000001</v>
      </c>
      <c r="AB5658">
        <v>33</v>
      </c>
      <c r="AC5658">
        <v>0.42940000000004303</v>
      </c>
      <c r="AD5658">
        <v>-4.6691000000000003E-2</v>
      </c>
      <c r="AE5658">
        <v>-0.46192000000000599</v>
      </c>
      <c r="AF5658">
        <v>-0.41569752275343902</v>
      </c>
      <c r="AG5658">
        <v>-4.6691000000000003E-2</v>
      </c>
      <c r="AH5658">
        <v>0.46970789081491798</v>
      </c>
      <c r="AI5658">
        <v>94.257178558389299</v>
      </c>
      <c r="AJ5658">
        <v>131.509241692697</v>
      </c>
      <c r="AK5658">
        <v>0.62897534339443395</v>
      </c>
      <c r="AL5658">
        <v>65.122493293029805</v>
      </c>
      <c r="AM5658">
        <v>106.623065334887</v>
      </c>
      <c r="AN5658">
        <v>1.0000000195934899</v>
      </c>
    </row>
    <row r="5659" spans="1:40" x14ac:dyDescent="0.25">
      <c r="A5659" t="str">
        <f>"20190304165001195"</f>
        <v>20190304165001195</v>
      </c>
      <c r="B5659" t="str">
        <f>"1551689401190935"</f>
        <v>1551689401190935</v>
      </c>
      <c r="C5659" t="s">
        <v>40</v>
      </c>
      <c r="D5659">
        <v>4.4429530000000002</v>
      </c>
      <c r="E5659">
        <v>0.41329680000000002</v>
      </c>
      <c r="F5659" t="s">
        <v>41</v>
      </c>
      <c r="G5659">
        <v>-422.23450000000003</v>
      </c>
      <c r="H5659">
        <v>1.0678319999999999</v>
      </c>
      <c r="I5659">
        <v>56.604889999999997</v>
      </c>
      <c r="J5659">
        <v>-422.6746</v>
      </c>
      <c r="K5659">
        <v>1.114368</v>
      </c>
      <c r="L5659">
        <v>57.08746</v>
      </c>
      <c r="M5659">
        <v>2.820891E-2</v>
      </c>
      <c r="N5659">
        <v>-1.462425E-2</v>
      </c>
      <c r="O5659">
        <v>-0.99949529999999998</v>
      </c>
      <c r="P5659">
        <v>0.281514599999999</v>
      </c>
      <c r="Q5659">
        <v>0.40979260000000001</v>
      </c>
      <c r="R5659">
        <v>-0.86765210000000004</v>
      </c>
      <c r="S5659">
        <v>1.6725460000000001</v>
      </c>
      <c r="T5659">
        <v>-0.1715776</v>
      </c>
      <c r="U5659">
        <v>-2.9991759999999998</v>
      </c>
      <c r="V5659">
        <v>-0.26021640000000001</v>
      </c>
      <c r="W5659">
        <v>0.42052879999999998</v>
      </c>
      <c r="X5659">
        <v>0.86916229999999906</v>
      </c>
      <c r="Y5659">
        <v>-0.46170630000000001</v>
      </c>
      <c r="Z5659">
        <v>3.57238E-2</v>
      </c>
      <c r="AA5659">
        <v>0.88631329999999997</v>
      </c>
      <c r="AB5659">
        <v>33</v>
      </c>
      <c r="AC5659">
        <v>0.44009999999997201</v>
      </c>
      <c r="AD5659">
        <v>-4.6536000000000098E-2</v>
      </c>
      <c r="AE5659">
        <v>-0.482569999999995</v>
      </c>
      <c r="AF5659">
        <v>-0.42415720675852803</v>
      </c>
      <c r="AG5659">
        <v>-4.6536000000000098E-2</v>
      </c>
      <c r="AH5659">
        <v>0.49229466969053098</v>
      </c>
      <c r="AI5659">
        <v>94.096181440189397</v>
      </c>
      <c r="AJ5659">
        <v>130.747928044052</v>
      </c>
      <c r="AK5659">
        <v>0.65148213877811401</v>
      </c>
      <c r="AL5659">
        <v>65.132024652004105</v>
      </c>
      <c r="AM5659">
        <v>106.66704713637699</v>
      </c>
      <c r="AN5659">
        <v>1.0000000750998399</v>
      </c>
    </row>
    <row r="5660" spans="1:40" x14ac:dyDescent="0.25">
      <c r="A5660" t="str">
        <f>"20190304165001219"</f>
        <v>20190304165001219</v>
      </c>
      <c r="B5660" t="str">
        <f>"1551689401211432"</f>
        <v>1551689401211432</v>
      </c>
      <c r="C5660" t="s">
        <v>40</v>
      </c>
      <c r="D5660">
        <v>4.8285499999999999</v>
      </c>
      <c r="E5660">
        <v>0.4524976</v>
      </c>
      <c r="F5660" t="s">
        <v>49</v>
      </c>
      <c r="G5660">
        <v>-411.6644</v>
      </c>
      <c r="H5660" s="1">
        <v>-3.3941709999999999E-6</v>
      </c>
      <c r="I5660">
        <v>37.580570000000002</v>
      </c>
      <c r="J5660">
        <v>-422.66059999999999</v>
      </c>
      <c r="K5660">
        <v>1.1145099999999999</v>
      </c>
      <c r="L5660">
        <v>56.740110000000001</v>
      </c>
      <c r="M5660">
        <v>3.2369229999999999E-2</v>
      </c>
      <c r="N5660">
        <v>-1.4629430000000001E-2</v>
      </c>
      <c r="O5660">
        <v>-0.99936910000000001</v>
      </c>
      <c r="P5660">
        <v>0.286697599999999</v>
      </c>
      <c r="Q5660">
        <v>0.40990199999999999</v>
      </c>
      <c r="R5660">
        <v>-0.86590119999999904</v>
      </c>
      <c r="S5660">
        <v>1.687988</v>
      </c>
      <c r="T5660">
        <v>-0.170846</v>
      </c>
      <c r="U5660">
        <v>-2.990631</v>
      </c>
      <c r="V5660">
        <v>-0.26195619999999997</v>
      </c>
      <c r="W5660">
        <v>0.4205313</v>
      </c>
      <c r="X5660">
        <v>0.86863819999999903</v>
      </c>
      <c r="Y5660">
        <v>-0.4625725</v>
      </c>
      <c r="Z5660">
        <v>3.556554E-2</v>
      </c>
      <c r="AA5660">
        <v>0.88586779999999998</v>
      </c>
      <c r="AB5660">
        <v>33</v>
      </c>
      <c r="AC5660">
        <v>10.9961999999999</v>
      </c>
      <c r="AD5660">
        <v>-1.1145133941709999</v>
      </c>
      <c r="AE5660">
        <v>-19.15954</v>
      </c>
      <c r="AF5660">
        <v>-10.34386200734</v>
      </c>
      <c r="AG5660">
        <v>-1.1145133941709999</v>
      </c>
      <c r="AH5660">
        <v>19.4559522757107</v>
      </c>
      <c r="AI5660">
        <v>92.895543820109694</v>
      </c>
      <c r="AJ5660">
        <v>117.99758629334799</v>
      </c>
      <c r="AK5660">
        <v>22.062903260618501</v>
      </c>
      <c r="AL5660">
        <v>65.131864082298094</v>
      </c>
      <c r="AM5660">
        <v>106.781794613337</v>
      </c>
      <c r="AN5660">
        <v>0.99999997374868399</v>
      </c>
    </row>
    <row r="5661" spans="1:40" x14ac:dyDescent="0.25">
      <c r="A5661" t="str">
        <f>"20190304165001239"</f>
        <v>20190304165001239</v>
      </c>
      <c r="B5661" t="str">
        <f>"1551689401230952"</f>
        <v>1551689401230952</v>
      </c>
      <c r="C5661" t="s">
        <v>40</v>
      </c>
      <c r="D5661">
        <v>4.4527890000000001</v>
      </c>
      <c r="E5661">
        <v>0.52529919999999997</v>
      </c>
      <c r="F5661" t="s">
        <v>41</v>
      </c>
      <c r="G5661">
        <v>-422.18020000000001</v>
      </c>
      <c r="H5661">
        <v>1.021317</v>
      </c>
      <c r="I5661">
        <v>55.682119999999998</v>
      </c>
      <c r="J5661">
        <v>-422.64690000000002</v>
      </c>
      <c r="K5661">
        <v>1.1146210000000001</v>
      </c>
      <c r="L5661">
        <v>56.43365</v>
      </c>
      <c r="M5661">
        <v>3.6158309999999999E-2</v>
      </c>
      <c r="N5661">
        <v>-1.4633510000000001E-2</v>
      </c>
      <c r="O5661">
        <v>-0.99923910000000005</v>
      </c>
      <c r="P5661">
        <v>0.29174809999999901</v>
      </c>
      <c r="Q5661">
        <v>0.41037829999999897</v>
      </c>
      <c r="R5661">
        <v>-0.86398660000000005</v>
      </c>
      <c r="S5661">
        <v>1.419403</v>
      </c>
      <c r="T5661">
        <v>-0.27526460000000003</v>
      </c>
      <c r="U5661">
        <v>-3.1249389999999999</v>
      </c>
      <c r="V5661">
        <v>-0.26387270000000002</v>
      </c>
      <c r="W5661">
        <v>0.42091279999999998</v>
      </c>
      <c r="X5661">
        <v>0.86787300000000001</v>
      </c>
      <c r="Y5661">
        <v>-0.37921120000000003</v>
      </c>
      <c r="Z5661">
        <v>6.5983029999999998E-2</v>
      </c>
      <c r="AA5661">
        <v>0.92295459999999996</v>
      </c>
      <c r="AB5661">
        <v>33</v>
      </c>
      <c r="AC5661">
        <v>0.466700000000003</v>
      </c>
      <c r="AD5661">
        <v>-9.3303999999999804E-2</v>
      </c>
      <c r="AE5661">
        <v>-0.75153000000000203</v>
      </c>
      <c r="AF5661">
        <v>-0.43438572264539199</v>
      </c>
      <c r="AG5661">
        <v>-9.3303999999999804E-2</v>
      </c>
      <c r="AH5661">
        <v>0.759467098798289</v>
      </c>
      <c r="AI5661">
        <v>96.087196249010901</v>
      </c>
      <c r="AJ5661">
        <v>119.76788195749199</v>
      </c>
      <c r="AK5661">
        <v>0.87987889315021695</v>
      </c>
      <c r="AL5661">
        <v>65.107769297358203</v>
      </c>
      <c r="AM5661">
        <v>106.91164730420201</v>
      </c>
      <c r="AN5661">
        <v>0.99999996556906401</v>
      </c>
    </row>
    <row r="5662" spans="1:40" x14ac:dyDescent="0.25">
      <c r="A5662" t="str">
        <f>"20190304165001261"</f>
        <v>20190304165001261</v>
      </c>
      <c r="B5662" t="str">
        <f>"1551689401251448"</f>
        <v>1551689401251448</v>
      </c>
      <c r="C5662" t="s">
        <v>40</v>
      </c>
      <c r="D5662">
        <v>4.4424000000000001</v>
      </c>
      <c r="E5662">
        <v>0.53106529999999996</v>
      </c>
      <c r="F5662" t="s">
        <v>42</v>
      </c>
      <c r="G5662">
        <v>-420.58429999999998</v>
      </c>
      <c r="H5662" s="1">
        <v>-4.0839279999999999E-6</v>
      </c>
      <c r="I5662">
        <v>48.746450000000003</v>
      </c>
      <c r="J5662">
        <v>-422.6309</v>
      </c>
      <c r="K5662">
        <v>1.1147069999999999</v>
      </c>
      <c r="L5662">
        <v>56.106720000000003</v>
      </c>
      <c r="M5662">
        <v>4.0301080000000003E-2</v>
      </c>
      <c r="N5662">
        <v>-1.4637020000000001E-2</v>
      </c>
      <c r="O5662">
        <v>-0.99908030000000003</v>
      </c>
      <c r="P5662">
        <v>0.2965547</v>
      </c>
      <c r="Q5662">
        <v>0.41017779999999998</v>
      </c>
      <c r="R5662">
        <v>-0.86244390000000004</v>
      </c>
      <c r="S5662">
        <v>0.91186520000000004</v>
      </c>
      <c r="T5662">
        <v>-0.4927648</v>
      </c>
      <c r="U5662">
        <v>-3.3984380000000001</v>
      </c>
      <c r="V5662">
        <v>-0.26520860000000002</v>
      </c>
      <c r="W5662">
        <v>0.42063899999999999</v>
      </c>
      <c r="X5662">
        <v>0.86759850000000005</v>
      </c>
      <c r="Y5662">
        <v>-0.21774769999999999</v>
      </c>
      <c r="Z5662">
        <v>0.1247655</v>
      </c>
      <c r="AA5662">
        <v>0.96799769999999896</v>
      </c>
      <c r="AB5662">
        <v>33</v>
      </c>
      <c r="AC5662">
        <v>2.04660000000001</v>
      </c>
      <c r="AD5662">
        <v>-1.1147110839279999</v>
      </c>
      <c r="AE5662">
        <v>-7.3602699999999901</v>
      </c>
      <c r="AF5662">
        <v>-1.71183192817033</v>
      </c>
      <c r="AG5662">
        <v>-1.1147110839279999</v>
      </c>
      <c r="AH5662">
        <v>7.2817434842337896</v>
      </c>
      <c r="AI5662">
        <v>98.475873883407701</v>
      </c>
      <c r="AJ5662">
        <v>103.229190684641</v>
      </c>
      <c r="AK5662">
        <v>7.5628524725209703</v>
      </c>
      <c r="AL5662">
        <v>65.125062229071006</v>
      </c>
      <c r="AM5662">
        <v>106.997410215031</v>
      </c>
      <c r="AN5662">
        <v>0.99999996351860398</v>
      </c>
    </row>
    <row r="5663" spans="1:40" x14ac:dyDescent="0.25">
      <c r="A5663" t="str">
        <f>"20190304165001284"</f>
        <v>20190304165001284</v>
      </c>
      <c r="B5663" t="str">
        <f>"1551689401281703"</f>
        <v>1551689401281703</v>
      </c>
      <c r="C5663" t="s">
        <v>40</v>
      </c>
      <c r="D5663">
        <v>4.5683290000000003</v>
      </c>
      <c r="E5663">
        <v>0.53379569999999998</v>
      </c>
      <c r="F5663" t="s">
        <v>42</v>
      </c>
      <c r="G5663">
        <v>-420.7133</v>
      </c>
      <c r="H5663" s="1">
        <v>-4.1056210000000001E-6</v>
      </c>
      <c r="I5663">
        <v>48.717010000000002</v>
      </c>
      <c r="J5663">
        <v>-422.61329999999998</v>
      </c>
      <c r="K5663">
        <v>1.114778</v>
      </c>
      <c r="L5663">
        <v>55.776060000000001</v>
      </c>
      <c r="M5663">
        <v>4.4566620000000001E-2</v>
      </c>
      <c r="N5663">
        <v>-1.463938E-2</v>
      </c>
      <c r="O5663">
        <v>-0.99889919999999999</v>
      </c>
      <c r="P5663">
        <v>0.30122199999999999</v>
      </c>
      <c r="Q5663">
        <v>0.4095647</v>
      </c>
      <c r="R5663">
        <v>-0.86111649999999995</v>
      </c>
      <c r="S5663">
        <v>0.88714599999999899</v>
      </c>
      <c r="T5663">
        <v>-0.51570320000000003</v>
      </c>
      <c r="U5663">
        <v>-3.4187319999999999</v>
      </c>
      <c r="V5663">
        <v>-0.26626759999999999</v>
      </c>
      <c r="W5663">
        <v>0.41997190000000001</v>
      </c>
      <c r="X5663">
        <v>0.86759730000000002</v>
      </c>
      <c r="Y5663">
        <v>-0.2053971</v>
      </c>
      <c r="Z5663">
        <v>0.13059029999999999</v>
      </c>
      <c r="AA5663">
        <v>0.96992690000000004</v>
      </c>
      <c r="AB5663">
        <v>33</v>
      </c>
      <c r="AC5663">
        <v>1.8999999999999699</v>
      </c>
      <c r="AD5663">
        <v>-1.1147821056209899</v>
      </c>
      <c r="AE5663">
        <v>-7.05905</v>
      </c>
      <c r="AF5663">
        <v>-1.54749348277716</v>
      </c>
      <c r="AG5663">
        <v>-1.1147821056209899</v>
      </c>
      <c r="AH5663">
        <v>6.9745293154872803</v>
      </c>
      <c r="AI5663">
        <v>98.868990583728504</v>
      </c>
      <c r="AJ5663">
        <v>102.510003107494</v>
      </c>
      <c r="AK5663">
        <v>7.2305970980854699</v>
      </c>
      <c r="AL5663">
        <v>65.167185329061098</v>
      </c>
      <c r="AM5663">
        <v>107.061370006242</v>
      </c>
      <c r="AN5663">
        <v>0.99999995328332802</v>
      </c>
    </row>
    <row r="5664" spans="1:40" x14ac:dyDescent="0.25">
      <c r="A5664" t="str">
        <f>"20190304165001308"</f>
        <v>20190304165001308</v>
      </c>
      <c r="B5664" t="str">
        <f>"1551689401301224"</f>
        <v>1551689401301224</v>
      </c>
      <c r="C5664" t="s">
        <v>40</v>
      </c>
      <c r="D5664">
        <v>4.4266750000000004</v>
      </c>
      <c r="E5664">
        <v>0.53490919999999997</v>
      </c>
      <c r="F5664" t="s">
        <v>42</v>
      </c>
      <c r="G5664">
        <v>-420.7792</v>
      </c>
      <c r="H5664" s="1">
        <v>-4.1059040000000001E-6</v>
      </c>
      <c r="I5664">
        <v>48.676789999999997</v>
      </c>
      <c r="J5664">
        <v>-422.5933</v>
      </c>
      <c r="K5664">
        <v>1.1148279999999999</v>
      </c>
      <c r="L5664">
        <v>55.429810000000003</v>
      </c>
      <c r="M5664">
        <v>4.9087359999999997E-2</v>
      </c>
      <c r="N5664">
        <v>-1.464067E-2</v>
      </c>
      <c r="O5664">
        <v>-0.9986872</v>
      </c>
      <c r="P5664">
        <v>0.3062589</v>
      </c>
      <c r="Q5664">
        <v>0.40852110000000003</v>
      </c>
      <c r="R5664">
        <v>-0.85983480000000001</v>
      </c>
      <c r="S5664">
        <v>0.88613889999999995</v>
      </c>
      <c r="T5664">
        <v>-0.53861809999999999</v>
      </c>
      <c r="U5664">
        <v>-3.4300839999999901</v>
      </c>
      <c r="V5664">
        <v>-0.26745150000000001</v>
      </c>
      <c r="W5664">
        <v>0.41888579999999997</v>
      </c>
      <c r="X5664">
        <v>0.86775829999999998</v>
      </c>
      <c r="Y5664">
        <v>-0.19971810000000001</v>
      </c>
      <c r="Z5664">
        <v>0.13647870000000001</v>
      </c>
      <c r="AA5664">
        <v>0.9703022</v>
      </c>
      <c r="AB5664">
        <v>33</v>
      </c>
      <c r="AC5664">
        <v>1.8140999999999901</v>
      </c>
      <c r="AD5664">
        <v>-1.1148321059040001</v>
      </c>
      <c r="AE5664">
        <v>-6.7530199999999896</v>
      </c>
      <c r="AF5664">
        <v>-1.44369172759484</v>
      </c>
      <c r="AG5664">
        <v>-1.1148321059040001</v>
      </c>
      <c r="AH5664">
        <v>6.66452957047313</v>
      </c>
      <c r="AI5664">
        <v>99.284949126234494</v>
      </c>
      <c r="AJ5664">
        <v>102.222743914094</v>
      </c>
      <c r="AK5664">
        <v>6.9096346375471196</v>
      </c>
      <c r="AL5664">
        <v>65.235737775154504</v>
      </c>
      <c r="AM5664">
        <v>107.129804058763</v>
      </c>
      <c r="AN5664">
        <v>1.00000004275638</v>
      </c>
    </row>
    <row r="5665" spans="1:40" x14ac:dyDescent="0.25">
      <c r="A5665" t="str">
        <f>"20190304165001329"</f>
        <v>20190304165001329</v>
      </c>
      <c r="B5665" t="str">
        <f>"1551689401321723"</f>
        <v>1551689401321723</v>
      </c>
      <c r="C5665" t="s">
        <v>40</v>
      </c>
      <c r="D5665">
        <v>4.4052619999999996</v>
      </c>
      <c r="E5665">
        <v>0.53559730000000005</v>
      </c>
      <c r="F5665" t="s">
        <v>42</v>
      </c>
      <c r="G5665">
        <v>-420.77480000000003</v>
      </c>
      <c r="H5665" s="1">
        <v>-4.0136349999999999E-6</v>
      </c>
      <c r="I5665">
        <v>48.464419999999997</v>
      </c>
      <c r="J5665">
        <v>-422.57369999999997</v>
      </c>
      <c r="K5665">
        <v>1.114862</v>
      </c>
      <c r="L5665">
        <v>55.115749999999998</v>
      </c>
      <c r="M5665">
        <v>5.3214369999999997E-2</v>
      </c>
      <c r="N5665">
        <v>-1.464097E-2</v>
      </c>
      <c r="O5665">
        <v>-0.99847580000000002</v>
      </c>
      <c r="P5665">
        <v>0.3108688</v>
      </c>
      <c r="Q5665">
        <v>0.40790789999999999</v>
      </c>
      <c r="R5665">
        <v>-0.85847030000000002</v>
      </c>
      <c r="S5665">
        <v>0.89569089999999996</v>
      </c>
      <c r="T5665">
        <v>-0.54912260000000002</v>
      </c>
      <c r="U5665">
        <v>-3.4308779999999999</v>
      </c>
      <c r="V5665">
        <v>-0.26854309999999998</v>
      </c>
      <c r="W5665">
        <v>0.41824050000000002</v>
      </c>
      <c r="X5665">
        <v>0.86773239999999996</v>
      </c>
      <c r="Y5665">
        <v>-0.1980468</v>
      </c>
      <c r="Z5665">
        <v>0.13925779999999999</v>
      </c>
      <c r="AA5665">
        <v>0.97024980000000005</v>
      </c>
      <c r="AB5665">
        <v>33</v>
      </c>
      <c r="AC5665">
        <v>1.79889999999994</v>
      </c>
      <c r="AD5665">
        <v>-1.1148660136349999</v>
      </c>
      <c r="AE5665">
        <v>-6.65132999999999</v>
      </c>
      <c r="AF5665">
        <v>-1.4055686034585799</v>
      </c>
      <c r="AG5665">
        <v>-1.1148660136349999</v>
      </c>
      <c r="AH5665">
        <v>6.5657502451638896</v>
      </c>
      <c r="AI5665">
        <v>99.427284861764093</v>
      </c>
      <c r="AJ5665">
        <v>102.083260466816</v>
      </c>
      <c r="AK5665">
        <v>6.8064400099653097</v>
      </c>
      <c r="AL5665">
        <v>65.276447758269001</v>
      </c>
      <c r="AM5665">
        <v>107.19608645449399</v>
      </c>
      <c r="AN5665">
        <v>1.00000001520381</v>
      </c>
    </row>
    <row r="5666" spans="1:40" x14ac:dyDescent="0.25">
      <c r="A5666" t="str">
        <f>"20190304165001351"</f>
        <v>20190304165001351</v>
      </c>
      <c r="B5666" t="str">
        <f>"1551689401341240"</f>
        <v>1551689401341240</v>
      </c>
      <c r="C5666" t="s">
        <v>40</v>
      </c>
      <c r="D5666">
        <v>4.6659100000000002</v>
      </c>
      <c r="E5666">
        <v>0.53588179999999996</v>
      </c>
      <c r="F5666" t="s">
        <v>42</v>
      </c>
      <c r="G5666">
        <v>-420.75229999999999</v>
      </c>
      <c r="H5666" s="1">
        <v>-3.9111539999999999E-6</v>
      </c>
      <c r="I5666">
        <v>48.239519999999999</v>
      </c>
      <c r="J5666">
        <v>-422.55189999999999</v>
      </c>
      <c r="K5666">
        <v>1.114881</v>
      </c>
      <c r="L5666">
        <v>54.787379999999999</v>
      </c>
      <c r="M5666">
        <v>5.7542129999999997E-2</v>
      </c>
      <c r="N5666">
        <v>-1.464059E-2</v>
      </c>
      <c r="O5666">
        <v>-0.99823580000000001</v>
      </c>
      <c r="P5666">
        <v>0.31470419999999999</v>
      </c>
      <c r="Q5666">
        <v>0.40738649999999998</v>
      </c>
      <c r="R5666">
        <v>-0.85731990000000002</v>
      </c>
      <c r="S5666">
        <v>0.90853879999999998</v>
      </c>
      <c r="T5666">
        <v>-0.55609129999999996</v>
      </c>
      <c r="U5666">
        <v>-3.42984</v>
      </c>
      <c r="V5666">
        <v>-0.26866810000000002</v>
      </c>
      <c r="W5666">
        <v>0.41770469999999998</v>
      </c>
      <c r="X5666">
        <v>0.86795180000000005</v>
      </c>
      <c r="Y5666">
        <v>-0.1972024</v>
      </c>
      <c r="Z5666">
        <v>0.14110490000000001</v>
      </c>
      <c r="AA5666">
        <v>0.97015490000000004</v>
      </c>
      <c r="AB5666">
        <v>33</v>
      </c>
      <c r="AC5666">
        <v>1.7995999999999901</v>
      </c>
      <c r="AD5666">
        <v>-1.114884911154</v>
      </c>
      <c r="AE5666">
        <v>-6.54786</v>
      </c>
      <c r="AF5666">
        <v>-1.38253345834612</v>
      </c>
      <c r="AG5666">
        <v>-1.114884911154</v>
      </c>
      <c r="AH5666">
        <v>6.4662750271395701</v>
      </c>
      <c r="AI5666">
        <v>99.570325223835994</v>
      </c>
      <c r="AJ5666">
        <v>102.068518451261</v>
      </c>
      <c r="AK5666">
        <v>6.7057497608525596</v>
      </c>
      <c r="AL5666">
        <v>65.310241014946399</v>
      </c>
      <c r="AM5666">
        <v>107.199526302184</v>
      </c>
      <c r="AN5666">
        <v>1.00000004574146</v>
      </c>
    </row>
    <row r="5667" spans="1:40" x14ac:dyDescent="0.25">
      <c r="A5667" t="str">
        <f>"20190304165001374"</f>
        <v>20190304165001374</v>
      </c>
      <c r="B5667" t="str">
        <f>"1551689401361738"</f>
        <v>1551689401361738</v>
      </c>
      <c r="C5667" t="s">
        <v>40</v>
      </c>
      <c r="D5667">
        <v>4.4844850000000003</v>
      </c>
      <c r="E5667">
        <v>0.53633509999999995</v>
      </c>
      <c r="F5667" t="s">
        <v>42</v>
      </c>
      <c r="G5667">
        <v>-420.65039999999999</v>
      </c>
      <c r="H5667" s="1">
        <v>-3.6665E-6</v>
      </c>
      <c r="I5667">
        <v>47.732430000000001</v>
      </c>
      <c r="J5667">
        <v>-422.52879999999999</v>
      </c>
      <c r="K5667">
        <v>1.1148979999999999</v>
      </c>
      <c r="L5667">
        <v>54.460999999999999</v>
      </c>
      <c r="M5667">
        <v>6.1846440000000003E-2</v>
      </c>
      <c r="N5667">
        <v>-1.46397E-2</v>
      </c>
      <c r="O5667">
        <v>-0.99797840000000004</v>
      </c>
      <c r="P5667">
        <v>0.31808550000000002</v>
      </c>
      <c r="Q5667">
        <v>0.40728969999999998</v>
      </c>
      <c r="R5667">
        <v>-0.85611719999999902</v>
      </c>
      <c r="S5667">
        <v>0.92120360000000001</v>
      </c>
      <c r="T5667">
        <v>-0.54010800000000003</v>
      </c>
      <c r="U5667">
        <v>-3.417786</v>
      </c>
      <c r="V5667">
        <v>-0.2683604</v>
      </c>
      <c r="W5667">
        <v>0.41760239999999998</v>
      </c>
      <c r="X5667">
        <v>0.86809609999999904</v>
      </c>
      <c r="Y5667">
        <v>-0.19732959999999999</v>
      </c>
      <c r="Z5667">
        <v>0.13711719999999999</v>
      </c>
      <c r="AA5667">
        <v>0.97070069999999997</v>
      </c>
      <c r="AB5667">
        <v>33</v>
      </c>
      <c r="AC5667">
        <v>1.8783999999999901</v>
      </c>
      <c r="AD5667">
        <v>-1.1149016665</v>
      </c>
      <c r="AE5667">
        <v>-6.7285700000000004</v>
      </c>
      <c r="AF5667">
        <v>-1.42239186405519</v>
      </c>
      <c r="AG5667">
        <v>-1.1149016665</v>
      </c>
      <c r="AH5667">
        <v>6.6621831452593101</v>
      </c>
      <c r="AI5667">
        <v>99.294588420058602</v>
      </c>
      <c r="AJ5667">
        <v>102.051838098212</v>
      </c>
      <c r="AK5667">
        <v>6.9029623062763497</v>
      </c>
      <c r="AL5667">
        <v>65.316689526091693</v>
      </c>
      <c r="AM5667">
        <v>107.17830060593801</v>
      </c>
      <c r="AN5667">
        <v>0.99999995380456297</v>
      </c>
    </row>
    <row r="5668" spans="1:40" x14ac:dyDescent="0.25">
      <c r="A5668" t="str">
        <f>"20190304165001397"</f>
        <v>20190304165001397</v>
      </c>
      <c r="B5668" t="str">
        <f>"1551689401391020"</f>
        <v>1551689401391020</v>
      </c>
      <c r="C5668" t="s">
        <v>40</v>
      </c>
      <c r="D5668">
        <v>4.4049680000000002</v>
      </c>
      <c r="E5668">
        <v>0.53692910000000005</v>
      </c>
      <c r="F5668" t="s">
        <v>42</v>
      </c>
      <c r="G5668">
        <v>-420.60109999999997</v>
      </c>
      <c r="H5668" s="1">
        <v>-3.5140589999999999E-6</v>
      </c>
      <c r="I5668">
        <v>47.407620000000001</v>
      </c>
      <c r="J5668">
        <v>-422.50389999999999</v>
      </c>
      <c r="K5668">
        <v>1.1149129999999901</v>
      </c>
      <c r="L5668">
        <v>54.129730000000002</v>
      </c>
      <c r="M5668">
        <v>6.6205299999999995E-2</v>
      </c>
      <c r="N5668">
        <v>-1.463832E-2</v>
      </c>
      <c r="O5668">
        <v>-0.9976988</v>
      </c>
      <c r="P5668">
        <v>0.3211811</v>
      </c>
      <c r="Q5668">
        <v>0.40811239999999999</v>
      </c>
      <c r="R5668">
        <v>-0.85456840000000001</v>
      </c>
      <c r="S5668">
        <v>0.93310550000000003</v>
      </c>
      <c r="T5668">
        <v>-0.53967739999999997</v>
      </c>
      <c r="U5668">
        <v>-3.4142459999999999</v>
      </c>
      <c r="V5668">
        <v>-0.2677445</v>
      </c>
      <c r="W5668">
        <v>0.41842279999999998</v>
      </c>
      <c r="X5668">
        <v>0.86789130000000003</v>
      </c>
      <c r="Y5668">
        <v>-0.19645750000000001</v>
      </c>
      <c r="Z5668">
        <v>0.13704229999999901</v>
      </c>
      <c r="AA5668">
        <v>0.97088819999999998</v>
      </c>
      <c r="AB5668">
        <v>33</v>
      </c>
      <c r="AC5668">
        <v>1.90280000000001</v>
      </c>
      <c r="AD5668">
        <v>-1.1149165140589901</v>
      </c>
      <c r="AE5668">
        <v>-6.7221099999999998</v>
      </c>
      <c r="AF5668">
        <v>-1.4174378308031399</v>
      </c>
      <c r="AG5668">
        <v>-1.1149165140589901</v>
      </c>
      <c r="AH5668">
        <v>6.6636365134540601</v>
      </c>
      <c r="AI5668">
        <v>99.294188722737402</v>
      </c>
      <c r="AJ5668">
        <v>102.008540294762</v>
      </c>
      <c r="AK5668">
        <v>6.9033484933727296</v>
      </c>
      <c r="AL5668">
        <v>65.264948622251495</v>
      </c>
      <c r="AM5668">
        <v>107.14499640658499</v>
      </c>
      <c r="AN5668">
        <v>1.00000003272788</v>
      </c>
    </row>
    <row r="5669" spans="1:40" x14ac:dyDescent="0.25">
      <c r="A5669" t="str">
        <f>"20190304165001419"</f>
        <v>20190304165001419</v>
      </c>
      <c r="B5669" t="str">
        <f>"1551689401411515"</f>
        <v>1551689401411515</v>
      </c>
      <c r="C5669" t="s">
        <v>40</v>
      </c>
      <c r="D5669">
        <v>4.3917109999999999</v>
      </c>
      <c r="E5669">
        <v>0.53730919999999904</v>
      </c>
      <c r="F5669" t="s">
        <v>42</v>
      </c>
      <c r="G5669">
        <v>-420.5566</v>
      </c>
      <c r="H5669" s="1">
        <v>-3.362916E-6</v>
      </c>
      <c r="I5669">
        <v>47.082929999999998</v>
      </c>
      <c r="J5669">
        <v>-422.47789999999998</v>
      </c>
      <c r="K5669">
        <v>1.114911</v>
      </c>
      <c r="L5669">
        <v>53.804780000000001</v>
      </c>
      <c r="M5669">
        <v>7.0460919999999996E-2</v>
      </c>
      <c r="N5669">
        <v>-1.4636400000000001E-2</v>
      </c>
      <c r="O5669">
        <v>-0.9974073</v>
      </c>
      <c r="P5669">
        <v>0.32419320000000001</v>
      </c>
      <c r="Q5669">
        <v>0.40918539999999998</v>
      </c>
      <c r="R5669">
        <v>-0.85291669999999997</v>
      </c>
      <c r="S5669">
        <v>0.9433899</v>
      </c>
      <c r="T5669">
        <v>-0.54013979999999995</v>
      </c>
      <c r="U5669">
        <v>-3.4139400000000002</v>
      </c>
      <c r="V5669">
        <v>-0.26713989999999999</v>
      </c>
      <c r="W5669">
        <v>0.41949750000000002</v>
      </c>
      <c r="X5669">
        <v>0.86755869999999902</v>
      </c>
      <c r="Y5669">
        <v>-0.19501750000000001</v>
      </c>
      <c r="Z5669">
        <v>0.13709150000000001</v>
      </c>
      <c r="AA5669">
        <v>0.97117149999999997</v>
      </c>
      <c r="AB5669">
        <v>33</v>
      </c>
      <c r="AC5669">
        <v>1.92129999999997</v>
      </c>
      <c r="AD5669">
        <v>-1.1149143629160001</v>
      </c>
      <c r="AE5669">
        <v>-6.7218500000000097</v>
      </c>
      <c r="AF5669">
        <v>-1.4070593785869101</v>
      </c>
      <c r="AG5669">
        <v>-1.1149143629160001</v>
      </c>
      <c r="AH5669">
        <v>6.6708697027265504</v>
      </c>
      <c r="AI5669">
        <v>99.287573384091601</v>
      </c>
      <c r="AJ5669">
        <v>101.91058061501199</v>
      </c>
      <c r="AK5669">
        <v>6.9082090821182298</v>
      </c>
      <c r="AL5669">
        <v>65.197133058237796</v>
      </c>
      <c r="AM5669">
        <v>107.114719629817</v>
      </c>
      <c r="AN5669">
        <v>0.99999998831197401</v>
      </c>
    </row>
    <row r="5670" spans="1:40" x14ac:dyDescent="0.25">
      <c r="A5670" t="str">
        <f>"20190304165001440"</f>
        <v>20190304165001440</v>
      </c>
      <c r="B5670" t="str">
        <f>"1551689401431032"</f>
        <v>1551689401431032</v>
      </c>
      <c r="C5670" t="s">
        <v>40</v>
      </c>
      <c r="D5670">
        <v>4.3934850000000001</v>
      </c>
      <c r="E5670">
        <v>0.53764489999999998</v>
      </c>
      <c r="F5670" t="s">
        <v>42</v>
      </c>
      <c r="G5670">
        <v>-420.51170000000002</v>
      </c>
      <c r="H5670" s="1">
        <v>-3.2145069999999999E-6</v>
      </c>
      <c r="I5670">
        <v>46.764870000000002</v>
      </c>
      <c r="J5670">
        <v>-422.45159999999998</v>
      </c>
      <c r="K5670">
        <v>1.114903</v>
      </c>
      <c r="L5670">
        <v>53.49136</v>
      </c>
      <c r="M5670">
        <v>7.4545819999999999E-2</v>
      </c>
      <c r="N5670">
        <v>-1.4634039999999999E-2</v>
      </c>
      <c r="O5670">
        <v>-0.99711039999999995</v>
      </c>
      <c r="P5670">
        <v>0.32734750000000001</v>
      </c>
      <c r="Q5670">
        <v>0.40992889999999998</v>
      </c>
      <c r="R5670">
        <v>-0.85135319999999903</v>
      </c>
      <c r="S5670">
        <v>0.9536133</v>
      </c>
      <c r="T5670">
        <v>-0.54072049999999905</v>
      </c>
      <c r="U5670">
        <v>-3.4142760000000001</v>
      </c>
      <c r="V5670">
        <v>-0.266816</v>
      </c>
      <c r="W5670">
        <v>0.4202457</v>
      </c>
      <c r="X5670">
        <v>0.86729619999999996</v>
      </c>
      <c r="Y5670">
        <v>-0.1936764</v>
      </c>
      <c r="Z5670">
        <v>0.1371433</v>
      </c>
      <c r="AA5670">
        <v>0.97143259999999998</v>
      </c>
      <c r="AB5670">
        <v>33</v>
      </c>
      <c r="AC5670">
        <v>1.93989999999996</v>
      </c>
      <c r="AD5670">
        <v>-1.1149062145069999</v>
      </c>
      <c r="AE5670">
        <v>-6.7264899999999903</v>
      </c>
      <c r="AF5670">
        <v>-1.3975692753189599</v>
      </c>
      <c r="AG5670">
        <v>-1.1149062145069999</v>
      </c>
      <c r="AH5670">
        <v>6.6828981870022703</v>
      </c>
      <c r="AI5670">
        <v>99.274379273131203</v>
      </c>
      <c r="AJ5670">
        <v>101.81182168249499</v>
      </c>
      <c r="AK5670">
        <v>6.9179002540004904</v>
      </c>
      <c r="AL5670">
        <v>65.149898474773394</v>
      </c>
      <c r="AM5670">
        <v>107.100051291306</v>
      </c>
      <c r="AN5670">
        <v>0.99999996237946398</v>
      </c>
    </row>
    <row r="5671" spans="1:40" x14ac:dyDescent="0.25">
      <c r="A5671" t="str">
        <f>"20190304165001463"</f>
        <v>20190304165001463</v>
      </c>
      <c r="B5671" t="str">
        <f>"1551689401451528"</f>
        <v>1551689401451528</v>
      </c>
      <c r="C5671" t="s">
        <v>40</v>
      </c>
      <c r="D5671">
        <v>4.371956</v>
      </c>
      <c r="E5671">
        <v>0.53794010000000003</v>
      </c>
      <c r="F5671" t="s">
        <v>42</v>
      </c>
      <c r="G5671">
        <v>-420.47059999999999</v>
      </c>
      <c r="H5671" s="1">
        <v>-3.0792690000000001E-6</v>
      </c>
      <c r="I5671">
        <v>46.475070000000002</v>
      </c>
      <c r="J5671">
        <v>-422.423</v>
      </c>
      <c r="K5671">
        <v>1.1148769999999999</v>
      </c>
      <c r="L5671">
        <v>53.166080000000001</v>
      </c>
      <c r="M5671">
        <v>7.8747709999999999E-2</v>
      </c>
      <c r="N5671">
        <v>-1.4631069999999999E-2</v>
      </c>
      <c r="O5671">
        <v>-0.99678730000000004</v>
      </c>
      <c r="P5671">
        <v>0.33032640000000002</v>
      </c>
      <c r="Q5671">
        <v>0.41019460000000002</v>
      </c>
      <c r="R5671">
        <v>-0.85007350000000004</v>
      </c>
      <c r="S5671">
        <v>0.96401979999999998</v>
      </c>
      <c r="T5671">
        <v>-0.54255569999999997</v>
      </c>
      <c r="U5671">
        <v>-3.4143979999999998</v>
      </c>
      <c r="V5671">
        <v>-0.26618039999999998</v>
      </c>
      <c r="W5671">
        <v>0.42053089999999999</v>
      </c>
      <c r="X5671">
        <v>0.86735329999999999</v>
      </c>
      <c r="Y5671">
        <v>-0.1922645</v>
      </c>
      <c r="Z5671">
        <v>0.137542</v>
      </c>
      <c r="AA5671">
        <v>0.97165659999999998</v>
      </c>
      <c r="AB5671">
        <v>33</v>
      </c>
      <c r="AC5671">
        <v>1.9524000000000099</v>
      </c>
      <c r="AD5671">
        <v>-1.1148800792689999</v>
      </c>
      <c r="AE5671">
        <v>-6.6910100000000003</v>
      </c>
      <c r="AF5671">
        <v>-1.3839687512730601</v>
      </c>
      <c r="AG5671">
        <v>-1.1148800792689999</v>
      </c>
      <c r="AH5671">
        <v>6.6537542479360798</v>
      </c>
      <c r="AI5671">
        <v>99.316140196460694</v>
      </c>
      <c r="AJ5671">
        <v>101.749883432403</v>
      </c>
      <c r="AK5671">
        <v>6.8870002677202402</v>
      </c>
      <c r="AL5671">
        <v>65.131889910105002</v>
      </c>
      <c r="AM5671">
        <v>107.0606264736</v>
      </c>
      <c r="AN5671">
        <v>0.99999999510992998</v>
      </c>
    </row>
    <row r="5672" spans="1:40" x14ac:dyDescent="0.25">
      <c r="A5672" t="str">
        <f>"20190304165001486"</f>
        <v>20190304165001486</v>
      </c>
      <c r="B5672" t="str">
        <f>"1551689401481784"</f>
        <v>1551689401481784</v>
      </c>
      <c r="C5672" t="s">
        <v>40</v>
      </c>
      <c r="D5672">
        <v>4.2445490000000001</v>
      </c>
      <c r="E5672">
        <v>0.53812280000000001</v>
      </c>
      <c r="F5672" t="s">
        <v>42</v>
      </c>
      <c r="G5672">
        <v>-420.43770000000001</v>
      </c>
      <c r="H5672" s="1">
        <v>-2.951921E-6</v>
      </c>
      <c r="I5672">
        <v>46.198599999999999</v>
      </c>
      <c r="J5672">
        <v>-422.39229999999998</v>
      </c>
      <c r="K5672">
        <v>1.114843</v>
      </c>
      <c r="L5672">
        <v>52.833889999999997</v>
      </c>
      <c r="M5672">
        <v>8.2972420000000005E-2</v>
      </c>
      <c r="N5672">
        <v>-1.4627080000000001E-2</v>
      </c>
      <c r="O5672">
        <v>-0.99644460000000001</v>
      </c>
      <c r="P5672">
        <v>0.33307189999999998</v>
      </c>
      <c r="Q5672">
        <v>0.41023019999999999</v>
      </c>
      <c r="R5672">
        <v>-0.84898449999999903</v>
      </c>
      <c r="S5672">
        <v>0.97293090000000004</v>
      </c>
      <c r="T5672">
        <v>-0.54638850000000005</v>
      </c>
      <c r="U5672">
        <v>-3.4146730000000001</v>
      </c>
      <c r="V5672">
        <v>-0.26525690000000002</v>
      </c>
      <c r="W5672">
        <v>0.42060310000000001</v>
      </c>
      <c r="X5672">
        <v>0.86760119999999896</v>
      </c>
      <c r="Y5672">
        <v>-0.19039700000000001</v>
      </c>
      <c r="Z5672">
        <v>0.13849129999999901</v>
      </c>
      <c r="AA5672">
        <v>0.97188940000000001</v>
      </c>
      <c r="AB5672">
        <v>33</v>
      </c>
      <c r="AC5672">
        <v>1.9545999999999699</v>
      </c>
      <c r="AD5672">
        <v>-1.1148459519209999</v>
      </c>
      <c r="AE5672">
        <v>-6.6352900000000004</v>
      </c>
      <c r="AF5672">
        <v>-1.3618779085741399</v>
      </c>
      <c r="AG5672">
        <v>-1.1148459519209999</v>
      </c>
      <c r="AH5672">
        <v>6.60308004027757</v>
      </c>
      <c r="AI5672">
        <v>99.389288839470495</v>
      </c>
      <c r="AJ5672">
        <v>101.65377941345101</v>
      </c>
      <c r="AK5672">
        <v>6.8336124379927297</v>
      </c>
      <c r="AL5672">
        <v>65.127330871417399</v>
      </c>
      <c r="AM5672">
        <v>107.00027744380699</v>
      </c>
      <c r="AN5672">
        <v>1.0000000164843199</v>
      </c>
    </row>
    <row r="5673" spans="1:40" x14ac:dyDescent="0.25">
      <c r="A5673" t="str">
        <f>"20190304165001509"</f>
        <v>20190304165001509</v>
      </c>
      <c r="B5673" t="str">
        <f>"1551689401501304"</f>
        <v>1551689401501304</v>
      </c>
      <c r="C5673" t="s">
        <v>40</v>
      </c>
      <c r="D5673">
        <v>4.2422700000000004</v>
      </c>
      <c r="E5673">
        <v>0.53834340000000003</v>
      </c>
      <c r="F5673" t="s">
        <v>42</v>
      </c>
      <c r="G5673">
        <v>-420.36020000000002</v>
      </c>
      <c r="H5673" s="1">
        <v>-2.7508509999999999E-6</v>
      </c>
      <c r="I5673">
        <v>45.777990000000003</v>
      </c>
      <c r="J5673">
        <v>-422.3603</v>
      </c>
      <c r="K5673">
        <v>1.114778</v>
      </c>
      <c r="L5673">
        <v>52.50076</v>
      </c>
      <c r="M5673">
        <v>8.71112E-2</v>
      </c>
      <c r="N5673">
        <v>-1.462169E-2</v>
      </c>
      <c r="O5673">
        <v>-0.99609119999999995</v>
      </c>
      <c r="P5673">
        <v>0.33631230000000001</v>
      </c>
      <c r="Q5673">
        <v>0.41119860000000003</v>
      </c>
      <c r="R5673">
        <v>-0.84723609999999905</v>
      </c>
      <c r="S5673">
        <v>0.98172000000000004</v>
      </c>
      <c r="T5673">
        <v>-0.53858439999999996</v>
      </c>
      <c r="U5673">
        <v>-3.408722</v>
      </c>
      <c r="V5673">
        <v>-0.2649417</v>
      </c>
      <c r="W5673">
        <v>0.42160959999999997</v>
      </c>
      <c r="X5673">
        <v>0.86720889999999995</v>
      </c>
      <c r="Y5673">
        <v>-0.18916369999999999</v>
      </c>
      <c r="Z5673">
        <v>0.1365053</v>
      </c>
      <c r="AA5673">
        <v>0.97241120000000003</v>
      </c>
      <c r="AB5673">
        <v>33</v>
      </c>
      <c r="AC5673">
        <v>2.00009999999997</v>
      </c>
      <c r="AD5673">
        <v>-1.1147807508509999</v>
      </c>
      <c r="AE5673">
        <v>-6.7227699999999899</v>
      </c>
      <c r="AF5673">
        <v>-1.3721424040528201</v>
      </c>
      <c r="AG5673">
        <v>-1.1147807508509999</v>
      </c>
      <c r="AH5673">
        <v>6.7021558131393997</v>
      </c>
      <c r="AI5673">
        <v>99.255097082789206</v>
      </c>
      <c r="AJ5673">
        <v>101.57036189156101</v>
      </c>
      <c r="AK5673">
        <v>6.9314070319860797</v>
      </c>
      <c r="AL5673">
        <v>65.063750431140406</v>
      </c>
      <c r="AM5673">
        <v>106.988478846604</v>
      </c>
      <c r="AN5673">
        <v>1.00000001772512</v>
      </c>
    </row>
    <row r="5674" spans="1:40" x14ac:dyDescent="0.25">
      <c r="A5674" t="str">
        <f>"20190304165001541"</f>
        <v>20190304165001541</v>
      </c>
      <c r="B5674" t="str">
        <f>"1551689401531560"</f>
        <v>1551689401531560</v>
      </c>
      <c r="C5674" t="s">
        <v>40</v>
      </c>
      <c r="D5674">
        <v>4.2648580000000003</v>
      </c>
      <c r="E5674">
        <v>0.53859360000000001</v>
      </c>
      <c r="F5674" t="s">
        <v>42</v>
      </c>
      <c r="G5674">
        <v>-420.27949999999998</v>
      </c>
      <c r="H5674" s="1">
        <v>-2.5454070000000002E-6</v>
      </c>
      <c r="I5674">
        <v>45.349159999999998</v>
      </c>
      <c r="J5674">
        <v>-422.31310000000002</v>
      </c>
      <c r="K5674">
        <v>1.1145969999999901</v>
      </c>
      <c r="L5674">
        <v>52.031590000000001</v>
      </c>
      <c r="M5674">
        <v>9.2680709999999999E-2</v>
      </c>
      <c r="N5674">
        <v>-1.461109E-2</v>
      </c>
      <c r="O5674">
        <v>-0.99558869999999999</v>
      </c>
      <c r="P5674">
        <v>0.34440530000000003</v>
      </c>
      <c r="Q5674">
        <v>0.41131689999999999</v>
      </c>
      <c r="R5674">
        <v>-0.84392140000000004</v>
      </c>
      <c r="S5674">
        <v>0.99078370000000004</v>
      </c>
      <c r="T5674">
        <v>-0.53080340000000004</v>
      </c>
      <c r="U5674">
        <v>-3.405243</v>
      </c>
      <c r="V5674">
        <v>-0.26825680000000002</v>
      </c>
      <c r="W5674">
        <v>0.42177510000000001</v>
      </c>
      <c r="X5674">
        <v>0.86610849999999995</v>
      </c>
      <c r="Y5674">
        <v>-0.18641160000000001</v>
      </c>
      <c r="Z5674">
        <v>0.134413</v>
      </c>
      <c r="AA5674">
        <v>0.97323369999999998</v>
      </c>
      <c r="AB5674">
        <v>33</v>
      </c>
      <c r="AC5674">
        <v>2.0336000000000301</v>
      </c>
      <c r="AD5674">
        <v>-1.1145995454069999</v>
      </c>
      <c r="AE5674">
        <v>-6.6824300000000001</v>
      </c>
      <c r="AF5674">
        <v>-1.37054902142358</v>
      </c>
      <c r="AG5674">
        <v>-1.1145995454069999</v>
      </c>
      <c r="AH5674">
        <v>6.67226405066691</v>
      </c>
      <c r="AI5674">
        <v>99.293133973611702</v>
      </c>
      <c r="AJ5674">
        <v>101.607662194811</v>
      </c>
      <c r="AK5674">
        <v>6.9021622936996003</v>
      </c>
      <c r="AL5674">
        <v>65.053290600839006</v>
      </c>
      <c r="AM5674">
        <v>107.20914134066101</v>
      </c>
      <c r="AN5674">
        <v>0.99999993974924795</v>
      </c>
    </row>
    <row r="5675" spans="1:40" x14ac:dyDescent="0.25">
      <c r="A5675" t="str">
        <f>"20190304165001563"</f>
        <v>20190304165001563</v>
      </c>
      <c r="B5675" t="str">
        <f>"1551689401551080"</f>
        <v>1551689401551080</v>
      </c>
      <c r="C5675" t="s">
        <v>40</v>
      </c>
      <c r="D5675">
        <v>4.5932009999999996</v>
      </c>
      <c r="E5675">
        <v>0.53830339999999999</v>
      </c>
      <c r="F5675" t="s">
        <v>42</v>
      </c>
      <c r="G5675">
        <v>-420.2054</v>
      </c>
      <c r="H5675" s="1">
        <v>-2.3605760000000001E-6</v>
      </c>
      <c r="I5675">
        <v>44.964260000000003</v>
      </c>
      <c r="J5675">
        <v>-422.27969999999999</v>
      </c>
      <c r="K5675">
        <v>1.114444</v>
      </c>
      <c r="L5675">
        <v>51.712980000000002</v>
      </c>
      <c r="M5675">
        <v>9.6239409999999997E-2</v>
      </c>
      <c r="N5675">
        <v>-1.4601940000000001E-2</v>
      </c>
      <c r="O5675">
        <v>-0.9952512</v>
      </c>
      <c r="P5675">
        <v>0.34933209999999998</v>
      </c>
      <c r="Q5675">
        <v>0.40959479999999998</v>
      </c>
      <c r="R5675">
        <v>-0.84273330000000002</v>
      </c>
      <c r="S5675">
        <v>1.014648</v>
      </c>
      <c r="T5675">
        <v>-0.53657949999999999</v>
      </c>
      <c r="U5675">
        <v>-3.4022830000000002</v>
      </c>
      <c r="V5675">
        <v>-0.26999069999999997</v>
      </c>
      <c r="W5675">
        <v>0.42012939999999999</v>
      </c>
      <c r="X5675">
        <v>0.86636959999999996</v>
      </c>
      <c r="Y5675">
        <v>-0.1893454</v>
      </c>
      <c r="Z5675">
        <v>0.13587949999999999</v>
      </c>
      <c r="AA5675">
        <v>0.97246339999999998</v>
      </c>
      <c r="AB5675">
        <v>33</v>
      </c>
      <c r="AC5675">
        <v>2.0742999999999898</v>
      </c>
      <c r="AD5675">
        <v>-1.114446360576</v>
      </c>
      <c r="AE5675">
        <v>-6.7487199999999996</v>
      </c>
      <c r="AF5675">
        <v>-1.38070635958224</v>
      </c>
      <c r="AG5675">
        <v>-1.114446360576</v>
      </c>
      <c r="AH5675">
        <v>6.7488854405728498</v>
      </c>
      <c r="AI5675">
        <v>99.189665469721504</v>
      </c>
      <c r="AJ5675">
        <v>101.56218849252799</v>
      </c>
      <c r="AK5675">
        <v>6.9782372725472799</v>
      </c>
      <c r="AL5675">
        <v>65.157242342911701</v>
      </c>
      <c r="AM5675">
        <v>107.30883847596699</v>
      </c>
      <c r="AN5675">
        <v>0.99999998731750395</v>
      </c>
    </row>
    <row r="5676" spans="1:40" x14ac:dyDescent="0.25">
      <c r="A5676" t="str">
        <f>"20190304165001588"</f>
        <v>20190304165001588</v>
      </c>
      <c r="B5676" t="str">
        <f>"1551689401581336"</f>
        <v>1551689401581336</v>
      </c>
      <c r="C5676" t="s">
        <v>40</v>
      </c>
      <c r="D5676">
        <v>4.3029089999999997</v>
      </c>
      <c r="E5676">
        <v>0.49501869999999998</v>
      </c>
      <c r="F5676" t="s">
        <v>42</v>
      </c>
      <c r="G5676">
        <v>-420.16550000000001</v>
      </c>
      <c r="H5676" s="1">
        <v>-2.2718020000000001E-6</v>
      </c>
      <c r="I5676">
        <v>44.782060000000001</v>
      </c>
      <c r="J5676">
        <v>-422.24299999999999</v>
      </c>
      <c r="K5676">
        <v>1.114268</v>
      </c>
      <c r="L5676">
        <v>51.373600000000003</v>
      </c>
      <c r="M5676">
        <v>9.98169E-2</v>
      </c>
      <c r="N5676">
        <v>-1.459131E-2</v>
      </c>
      <c r="O5676">
        <v>-0.99489890000000003</v>
      </c>
      <c r="P5676">
        <v>0.35482789999999997</v>
      </c>
      <c r="Q5676">
        <v>0.40812850000000001</v>
      </c>
      <c r="R5676">
        <v>-0.84114709999999904</v>
      </c>
      <c r="S5676">
        <v>1.035828</v>
      </c>
      <c r="T5676">
        <v>-0.54602910000000004</v>
      </c>
      <c r="U5676">
        <v>-3.3958439999999999</v>
      </c>
      <c r="V5676">
        <v>-0.27228799999999997</v>
      </c>
      <c r="W5676">
        <v>0.41874939999999999</v>
      </c>
      <c r="X5676">
        <v>0.86631879999999994</v>
      </c>
      <c r="Y5676">
        <v>-0.19176650000000001</v>
      </c>
      <c r="Z5676">
        <v>0.13851150000000001</v>
      </c>
      <c r="AA5676">
        <v>0.97161730000000002</v>
      </c>
      <c r="AB5676">
        <v>33</v>
      </c>
      <c r="AC5676">
        <v>2.0775000000000401</v>
      </c>
      <c r="AD5676">
        <v>-1.1142702718019999</v>
      </c>
      <c r="AE5676">
        <v>-6.5915400000000002</v>
      </c>
      <c r="AF5676">
        <v>-1.37340471056668</v>
      </c>
      <c r="AG5676">
        <v>-1.1142702718019999</v>
      </c>
      <c r="AH5676">
        <v>6.59458428638853</v>
      </c>
      <c r="AI5676">
        <v>99.392709050461903</v>
      </c>
      <c r="AJ5676">
        <v>101.76440008462301</v>
      </c>
      <c r="AK5676">
        <v>6.8276189588985501</v>
      </c>
      <c r="AL5676">
        <v>65.244343997867404</v>
      </c>
      <c r="AM5676">
        <v>107.448174184461</v>
      </c>
      <c r="AN5676">
        <v>1.0000000390888899</v>
      </c>
    </row>
    <row r="5677" spans="1:40" x14ac:dyDescent="0.25">
      <c r="A5677" t="str">
        <f>"20190304165001608"</f>
        <v>20190304165001608</v>
      </c>
      <c r="B5677" t="str">
        <f>"1551689401601836"</f>
        <v>1551689401601836</v>
      </c>
      <c r="C5677" t="s">
        <v>40</v>
      </c>
      <c r="D5677">
        <v>4.2642340000000001</v>
      </c>
      <c r="E5677">
        <v>0.49283549999999998</v>
      </c>
      <c r="F5677" t="s">
        <v>42</v>
      </c>
      <c r="G5677">
        <v>-418.02949999999998</v>
      </c>
      <c r="H5677" s="1">
        <v>-1.13076E-6</v>
      </c>
      <c r="I5677">
        <v>41.430149999999998</v>
      </c>
      <c r="J5677">
        <v>-422.20819999999998</v>
      </c>
      <c r="K5677">
        <v>1.1140749999999999</v>
      </c>
      <c r="L5677">
        <v>51.058169999999997</v>
      </c>
      <c r="M5677">
        <v>0.1028829</v>
      </c>
      <c r="N5677">
        <v>-1.458077E-2</v>
      </c>
      <c r="O5677">
        <v>-0.99458659999999999</v>
      </c>
      <c r="P5677">
        <v>0.35948530000000001</v>
      </c>
      <c r="Q5677">
        <v>0.40781139999999999</v>
      </c>
      <c r="R5677">
        <v>-0.8393214</v>
      </c>
      <c r="S5677">
        <v>1.344147</v>
      </c>
      <c r="T5677">
        <v>-0.35545599999999999</v>
      </c>
      <c r="U5677">
        <v>-3.1719970000000002</v>
      </c>
      <c r="V5677">
        <v>-0.27422049999999998</v>
      </c>
      <c r="W5677">
        <v>0.4185277</v>
      </c>
      <c r="X5677">
        <v>0.86581620000000004</v>
      </c>
      <c r="Y5677">
        <v>-0.29155619999999999</v>
      </c>
      <c r="Z5677">
        <v>8.9456729999999998E-2</v>
      </c>
      <c r="AA5677">
        <v>0.95236149999999997</v>
      </c>
      <c r="AB5677">
        <v>33</v>
      </c>
      <c r="AC5677">
        <v>4.1786999999999903</v>
      </c>
      <c r="AD5677">
        <v>-1.11407613076</v>
      </c>
      <c r="AE5677">
        <v>-9.6280199999999994</v>
      </c>
      <c r="AF5677">
        <v>-3.1305849592058399</v>
      </c>
      <c r="AG5677">
        <v>-1.11407613076</v>
      </c>
      <c r="AH5677">
        <v>9.8953898450303601</v>
      </c>
      <c r="AI5677">
        <v>96.126761766080705</v>
      </c>
      <c r="AJ5677">
        <v>107.555706090188</v>
      </c>
      <c r="AK5677">
        <v>10.438413097643901</v>
      </c>
      <c r="AL5677">
        <v>65.258330256597503</v>
      </c>
      <c r="AM5677">
        <v>107.573987484741</v>
      </c>
      <c r="AN5677">
        <v>1.00000000523498</v>
      </c>
    </row>
    <row r="5678" spans="1:40" x14ac:dyDescent="0.25">
      <c r="A5678" t="str">
        <f>"20190304165001630"</f>
        <v>20190304165001630</v>
      </c>
      <c r="B5678" t="str">
        <f>"1551689401621352"</f>
        <v>1551689401621352</v>
      </c>
      <c r="C5678" t="s">
        <v>40</v>
      </c>
      <c r="D5678">
        <v>4.2349329999999998</v>
      </c>
      <c r="E5678">
        <v>0.49243219999999999</v>
      </c>
      <c r="F5678" t="s">
        <v>42</v>
      </c>
      <c r="G5678">
        <v>-417.87119999999999</v>
      </c>
      <c r="H5678" s="1">
        <v>-1.0584059999999899E-6</v>
      </c>
      <c r="I5678">
        <v>41.093820000000001</v>
      </c>
      <c r="J5678">
        <v>-422.17309999999998</v>
      </c>
      <c r="K5678">
        <v>1.113874</v>
      </c>
      <c r="L5678">
        <v>50.748289999999997</v>
      </c>
      <c r="M5678">
        <v>0.10562489999999999</v>
      </c>
      <c r="N5678">
        <v>-1.45693E-2</v>
      </c>
      <c r="O5678">
        <v>-0.99429940000000006</v>
      </c>
      <c r="P5678">
        <v>0.36332449999999999</v>
      </c>
      <c r="Q5678">
        <v>0.40756199999999998</v>
      </c>
      <c r="R5678">
        <v>-0.83778819999999998</v>
      </c>
      <c r="S5678">
        <v>1.3741760000000001</v>
      </c>
      <c r="T5678">
        <v>-0.35300100000000001</v>
      </c>
      <c r="U5678">
        <v>-3.157257</v>
      </c>
      <c r="V5678">
        <v>-0.27557510000000002</v>
      </c>
      <c r="W5678">
        <v>0.41839510000000002</v>
      </c>
      <c r="X5678">
        <v>0.8654501</v>
      </c>
      <c r="Y5678">
        <v>-0.29816819999999999</v>
      </c>
      <c r="Z5678">
        <v>8.8874939999999999E-2</v>
      </c>
      <c r="AA5678">
        <v>0.95036670000000001</v>
      </c>
      <c r="AB5678">
        <v>33</v>
      </c>
      <c r="AC5678">
        <v>4.3018999999999803</v>
      </c>
      <c r="AD5678">
        <v>-1.113875058406</v>
      </c>
      <c r="AE5678">
        <v>-9.6544699999999999</v>
      </c>
      <c r="AF5678">
        <v>-3.2221838164778598</v>
      </c>
      <c r="AG5678">
        <v>-1.113875058406</v>
      </c>
      <c r="AH5678">
        <v>9.9444439530461608</v>
      </c>
      <c r="AI5678">
        <v>96.082248773010093</v>
      </c>
      <c r="AJ5678">
        <v>107.953283593732</v>
      </c>
      <c r="AK5678">
        <v>10.5126186903257</v>
      </c>
      <c r="AL5678">
        <v>65.266694778059801</v>
      </c>
      <c r="AM5678">
        <v>107.662424178647</v>
      </c>
      <c r="AN5678">
        <v>0.99999998551701497</v>
      </c>
    </row>
    <row r="5679" spans="1:40" x14ac:dyDescent="0.25">
      <c r="A5679" t="str">
        <f>"20190304165001652"</f>
        <v>20190304165001652</v>
      </c>
      <c r="B5679" t="str">
        <f>"1551689401641848"</f>
        <v>1551689401641848</v>
      </c>
      <c r="C5679" t="s">
        <v>40</v>
      </c>
      <c r="D5679">
        <v>4.2298210000000003</v>
      </c>
      <c r="E5679">
        <v>0.49256630000000001</v>
      </c>
      <c r="F5679" t="s">
        <v>42</v>
      </c>
      <c r="G5679">
        <v>-417.7912</v>
      </c>
      <c r="H5679" s="1">
        <v>-9.9032310000000001E-7</v>
      </c>
      <c r="I5679">
        <v>40.831209999999999</v>
      </c>
      <c r="J5679">
        <v>-422.13619999999997</v>
      </c>
      <c r="K5679">
        <v>1.113637</v>
      </c>
      <c r="L5679">
        <v>50.426209999999998</v>
      </c>
      <c r="M5679">
        <v>0.1081975</v>
      </c>
      <c r="N5679">
        <v>-1.455711E-2</v>
      </c>
      <c r="O5679">
        <v>-0.99402290000000004</v>
      </c>
      <c r="P5679">
        <v>0.36622260000000001</v>
      </c>
      <c r="Q5679">
        <v>0.40784730000000002</v>
      </c>
      <c r="R5679">
        <v>-0.83638619999999997</v>
      </c>
      <c r="S5679">
        <v>1.391602</v>
      </c>
      <c r="T5679">
        <v>-0.35374509999999998</v>
      </c>
      <c r="U5679">
        <v>-3.1494749999999998</v>
      </c>
      <c r="V5679">
        <v>-0.27611210000000003</v>
      </c>
      <c r="W5679">
        <v>0.41881829999999998</v>
      </c>
      <c r="X5679">
        <v>0.86507420000000002</v>
      </c>
      <c r="Y5679">
        <v>-0.30095319999999998</v>
      </c>
      <c r="Z5679">
        <v>8.9146669999999997E-2</v>
      </c>
      <c r="AA5679">
        <v>0.94946299999999995</v>
      </c>
      <c r="AB5679">
        <v>32</v>
      </c>
      <c r="AC5679">
        <v>4.3449999999999704</v>
      </c>
      <c r="AD5679">
        <v>-1.1136379903231</v>
      </c>
      <c r="AE5679">
        <v>-9.5950000000000006</v>
      </c>
      <c r="AF5679">
        <v>-3.24494792570054</v>
      </c>
      <c r="AG5679">
        <v>-1.1136379903231</v>
      </c>
      <c r="AH5679">
        <v>9.8981797952688808</v>
      </c>
      <c r="AI5679">
        <v>96.102362208990399</v>
      </c>
      <c r="AJ5679">
        <v>108.15084033960299</v>
      </c>
      <c r="AK5679">
        <v>10.4758694089544</v>
      </c>
      <c r="AL5679">
        <v>65.239996130955106</v>
      </c>
      <c r="AM5679">
        <v>107.701905835156</v>
      </c>
      <c r="AN5679">
        <v>1.0000000158434601</v>
      </c>
    </row>
    <row r="5680" spans="1:40" x14ac:dyDescent="0.25">
      <c r="A5680" t="str">
        <f>"20190304165001676"</f>
        <v>20190304165001676</v>
      </c>
      <c r="B5680" t="str">
        <f>"1551689401671128"</f>
        <v>1551689401671128</v>
      </c>
      <c r="C5680" t="s">
        <v>40</v>
      </c>
      <c r="D5680">
        <v>4.2408700000000001</v>
      </c>
      <c r="E5680">
        <v>0.49329099999999998</v>
      </c>
      <c r="F5680" t="s">
        <v>42</v>
      </c>
      <c r="G5680">
        <v>-417.72500000000002</v>
      </c>
      <c r="H5680" s="1">
        <v>-9.0746429999999998E-7</v>
      </c>
      <c r="I5680">
        <v>40.535939999999997</v>
      </c>
      <c r="J5680">
        <v>-422.09719999999999</v>
      </c>
      <c r="K5680">
        <v>1.113407</v>
      </c>
      <c r="L5680">
        <v>50.09216</v>
      </c>
      <c r="M5680">
        <v>0.11058750000000001</v>
      </c>
      <c r="N5680">
        <v>-1.454514E-2</v>
      </c>
      <c r="O5680">
        <v>-0.99376019999999998</v>
      </c>
      <c r="P5680">
        <v>0.36895060000000002</v>
      </c>
      <c r="Q5680">
        <v>0.4084527</v>
      </c>
      <c r="R5680">
        <v>-0.83489059999999904</v>
      </c>
      <c r="S5680">
        <v>1.4028320000000001</v>
      </c>
      <c r="T5680">
        <v>-0.35415799999999997</v>
      </c>
      <c r="U5680">
        <v>-3.1452939999999998</v>
      </c>
      <c r="V5680">
        <v>-0.27665469999999998</v>
      </c>
      <c r="W5680">
        <v>0.41956070000000001</v>
      </c>
      <c r="X5680">
        <v>0.86454089999999995</v>
      </c>
      <c r="Y5680">
        <v>-0.30195319999999998</v>
      </c>
      <c r="Z5680">
        <v>8.9283029999999999E-2</v>
      </c>
      <c r="AA5680">
        <v>0.94913270000000005</v>
      </c>
      <c r="AB5680">
        <v>32</v>
      </c>
      <c r="AC5680">
        <v>4.3721999999999603</v>
      </c>
      <c r="AD5680">
        <v>-1.1134079074643</v>
      </c>
      <c r="AE5680">
        <v>-9.5562199999999908</v>
      </c>
      <c r="AF5680">
        <v>-3.2519631602724202</v>
      </c>
      <c r="AG5680">
        <v>-1.1134079074643</v>
      </c>
      <c r="AH5680">
        <v>9.8703589253136599</v>
      </c>
      <c r="AI5680">
        <v>96.1152339820853</v>
      </c>
      <c r="AJ5680">
        <v>108.23537539511899</v>
      </c>
      <c r="AK5680">
        <v>10.451742767533601</v>
      </c>
      <c r="AL5680">
        <v>65.193143872018794</v>
      </c>
      <c r="AM5680">
        <v>107.744768533738</v>
      </c>
      <c r="AN5680">
        <v>0.99999998589469397</v>
      </c>
    </row>
    <row r="5681" spans="1:40" x14ac:dyDescent="0.25">
      <c r="A5681" t="str">
        <f>"20190304165001698"</f>
        <v>20190304165001698</v>
      </c>
      <c r="B5681" t="str">
        <f>"1551689401691624"</f>
        <v>1551689401691624</v>
      </c>
      <c r="C5681" t="s">
        <v>40</v>
      </c>
      <c r="D5681">
        <v>4.2433779999999999</v>
      </c>
      <c r="E5681">
        <v>0.49348009999999898</v>
      </c>
      <c r="F5681" t="s">
        <v>42</v>
      </c>
      <c r="G5681">
        <v>-417.65159999999997</v>
      </c>
      <c r="H5681" s="1">
        <v>-8.0686769999999999E-7</v>
      </c>
      <c r="I5681">
        <v>40.182929999999999</v>
      </c>
      <c r="J5681">
        <v>-422.05930000000001</v>
      </c>
      <c r="K5681">
        <v>1.113224</v>
      </c>
      <c r="L5681">
        <v>49.771389999999997</v>
      </c>
      <c r="M5681">
        <v>0.1126548</v>
      </c>
      <c r="N5681">
        <v>-1.4534500000000001E-2</v>
      </c>
      <c r="O5681">
        <v>-0.99352779999999996</v>
      </c>
      <c r="P5681">
        <v>0.3716045</v>
      </c>
      <c r="Q5681">
        <v>0.41059859999999998</v>
      </c>
      <c r="R5681">
        <v>-0.832657599999999</v>
      </c>
      <c r="S5681">
        <v>1.410034</v>
      </c>
      <c r="T5681">
        <v>-0.35314319999999999</v>
      </c>
      <c r="U5681">
        <v>-3.142944</v>
      </c>
      <c r="V5681">
        <v>-0.27754450000000003</v>
      </c>
      <c r="W5681">
        <v>0.42180240000000002</v>
      </c>
      <c r="X5681">
        <v>0.86316380000000004</v>
      </c>
      <c r="Y5681">
        <v>-0.3020583</v>
      </c>
      <c r="Z5681">
        <v>8.8993879999999997E-2</v>
      </c>
      <c r="AA5681">
        <v>0.94912640000000004</v>
      </c>
      <c r="AB5681">
        <v>32</v>
      </c>
      <c r="AC5681">
        <v>4.4077000000000304</v>
      </c>
      <c r="AD5681">
        <v>-1.1132248068677</v>
      </c>
      <c r="AE5681">
        <v>-9.5884599999999995</v>
      </c>
      <c r="AF5681">
        <v>-3.2630247291349299</v>
      </c>
      <c r="AG5681">
        <v>-1.1132248068677</v>
      </c>
      <c r="AH5681">
        <v>9.9136915919972406</v>
      </c>
      <c r="AI5681">
        <v>96.088293961242201</v>
      </c>
      <c r="AJ5681">
        <v>108.218611534131</v>
      </c>
      <c r="AK5681">
        <v>10.4960888351237</v>
      </c>
      <c r="AL5681">
        <v>65.051566529826403</v>
      </c>
      <c r="AM5681">
        <v>107.82484442121</v>
      </c>
      <c r="AN5681">
        <v>0.99999997987822398</v>
      </c>
    </row>
    <row r="5682" spans="1:40" x14ac:dyDescent="0.25">
      <c r="A5682" t="str">
        <f>"20190304165001719"</f>
        <v>20190304165001719</v>
      </c>
      <c r="B5682" t="str">
        <f>"1551689401711149"</f>
        <v>1551689401711149</v>
      </c>
      <c r="C5682" t="s">
        <v>40</v>
      </c>
      <c r="D5682">
        <v>4.238823</v>
      </c>
      <c r="E5682">
        <v>0.49370160000000002</v>
      </c>
      <c r="F5682" t="s">
        <v>42</v>
      </c>
      <c r="G5682">
        <v>-417.49880000000002</v>
      </c>
      <c r="H5682" s="1">
        <v>-6.8784540000000005E-7</v>
      </c>
      <c r="I5682">
        <v>39.713700000000003</v>
      </c>
      <c r="J5682">
        <v>-422.02280000000002</v>
      </c>
      <c r="K5682">
        <v>1.113094</v>
      </c>
      <c r="L5682">
        <v>49.467379999999999</v>
      </c>
      <c r="M5682">
        <v>0.1144776</v>
      </c>
      <c r="N5682">
        <v>-1.4525069999999999E-2</v>
      </c>
      <c r="O5682">
        <v>-0.99331959999999997</v>
      </c>
      <c r="P5682">
        <v>0.37369390000000002</v>
      </c>
      <c r="Q5682">
        <v>0.4129196</v>
      </c>
      <c r="R5682">
        <v>-0.83057219999999998</v>
      </c>
      <c r="S5682">
        <v>1.42334</v>
      </c>
      <c r="T5682">
        <v>-0.34744079999999999</v>
      </c>
      <c r="U5682">
        <v>-3.1390380000000002</v>
      </c>
      <c r="V5682">
        <v>-0.27812979999999998</v>
      </c>
      <c r="W5682">
        <v>0.4241875</v>
      </c>
      <c r="X5682">
        <v>0.86180559999999995</v>
      </c>
      <c r="Y5682">
        <v>-0.30415589999999998</v>
      </c>
      <c r="Z5682">
        <v>8.7326150000000005E-2</v>
      </c>
      <c r="AA5682">
        <v>0.94861130000000005</v>
      </c>
      <c r="AB5682">
        <v>32</v>
      </c>
      <c r="AC5682">
        <v>4.524</v>
      </c>
      <c r="AD5682">
        <v>-1.1130946878454</v>
      </c>
      <c r="AE5682">
        <v>-9.7536799999999904</v>
      </c>
      <c r="AF5682">
        <v>-3.34174052634082</v>
      </c>
      <c r="AG5682">
        <v>-1.1130946878454</v>
      </c>
      <c r="AH5682">
        <v>10.0992542130641</v>
      </c>
      <c r="AI5682">
        <v>95.973468797898207</v>
      </c>
      <c r="AJ5682">
        <v>108.30885449246</v>
      </c>
      <c r="AK5682">
        <v>10.695847100140799</v>
      </c>
      <c r="AL5682">
        <v>64.900755871898895</v>
      </c>
      <c r="AM5682">
        <v>107.886403688065</v>
      </c>
      <c r="AN5682">
        <v>1.00000005649782</v>
      </c>
    </row>
    <row r="5683" spans="1:40" x14ac:dyDescent="0.25">
      <c r="A5683" t="str">
        <f>"20190304165001742"</f>
        <v>20190304165001742</v>
      </c>
      <c r="B5683" t="str">
        <f>"1551689401731641"</f>
        <v>1551689401731641</v>
      </c>
      <c r="C5683" t="s">
        <v>40</v>
      </c>
      <c r="D5683">
        <v>4.3078010000000004</v>
      </c>
      <c r="E5683">
        <v>0.49393609999999999</v>
      </c>
      <c r="F5683" t="s">
        <v>49</v>
      </c>
      <c r="G5683">
        <v>-417.34969999999998</v>
      </c>
      <c r="H5683" s="1">
        <v>-9.3325759999999996E-7</v>
      </c>
      <c r="I5683">
        <v>39.237349999999999</v>
      </c>
      <c r="J5683">
        <v>-421.98439999999999</v>
      </c>
      <c r="K5683">
        <v>1.113003</v>
      </c>
      <c r="L5683">
        <v>49.151060000000001</v>
      </c>
      <c r="M5683">
        <v>0.1162825</v>
      </c>
      <c r="N5683">
        <v>-1.451591E-2</v>
      </c>
      <c r="O5683">
        <v>-0.99311039999999995</v>
      </c>
      <c r="P5683">
        <v>0.375365</v>
      </c>
      <c r="Q5683">
        <v>0.4155179</v>
      </c>
      <c r="R5683">
        <v>-0.82852060000000005</v>
      </c>
      <c r="S5683">
        <v>1.4329829999999999</v>
      </c>
      <c r="T5683">
        <v>-0.34132230000000002</v>
      </c>
      <c r="U5683">
        <v>-3.1369630000000002</v>
      </c>
      <c r="V5683">
        <v>-0.27835690000000002</v>
      </c>
      <c r="W5683">
        <v>0.42682579999999998</v>
      </c>
      <c r="X5683">
        <v>0.86042850000000004</v>
      </c>
      <c r="Y5683">
        <v>-0.30514540000000001</v>
      </c>
      <c r="Z5683">
        <v>8.5524600000000006E-2</v>
      </c>
      <c r="AA5683">
        <v>0.94845760000000001</v>
      </c>
      <c r="AB5683">
        <v>32</v>
      </c>
      <c r="AC5683">
        <v>4.6346999999999996</v>
      </c>
      <c r="AD5683">
        <v>-1.1130039332576001</v>
      </c>
      <c r="AE5683">
        <v>-9.91371</v>
      </c>
      <c r="AF5683">
        <v>-3.4150165353114201</v>
      </c>
      <c r="AG5683">
        <v>-1.1130039332576001</v>
      </c>
      <c r="AH5683">
        <v>10.279110549734501</v>
      </c>
      <c r="AI5683">
        <v>95.866879667472404</v>
      </c>
      <c r="AJ5683">
        <v>108.377973234789</v>
      </c>
      <c r="AK5683">
        <v>10.8885825241654</v>
      </c>
      <c r="AL5683">
        <v>64.733714982496593</v>
      </c>
      <c r="AM5683">
        <v>107.92689339677599</v>
      </c>
      <c r="AN5683">
        <v>1.00000001546774</v>
      </c>
    </row>
    <row r="5684" spans="1:40" x14ac:dyDescent="0.25">
      <c r="A5684" t="str">
        <f>"20190304165001765"</f>
        <v>20190304165001765</v>
      </c>
      <c r="B5684" t="str">
        <f>"1551689401761896"</f>
        <v>1551689401761896</v>
      </c>
      <c r="C5684" t="s">
        <v>40</v>
      </c>
      <c r="D5684">
        <v>4.3039449999999997</v>
      </c>
      <c r="E5684">
        <v>0.44308619999999999</v>
      </c>
      <c r="F5684" t="s">
        <v>49</v>
      </c>
      <c r="G5684">
        <v>-417.18079999999998</v>
      </c>
      <c r="H5684" s="1">
        <v>-1.3132429999999999E-6</v>
      </c>
      <c r="I5684">
        <v>38.71022</v>
      </c>
      <c r="J5684">
        <v>-421.94459999999998</v>
      </c>
      <c r="K5684">
        <v>1.112948</v>
      </c>
      <c r="L5684">
        <v>48.828949999999999</v>
      </c>
      <c r="M5684">
        <v>0.1180964</v>
      </c>
      <c r="N5684">
        <v>-1.450751E-2</v>
      </c>
      <c r="O5684">
        <v>-0.99289609999999995</v>
      </c>
      <c r="P5684">
        <v>0.3779209</v>
      </c>
      <c r="Q5684">
        <v>0.4177091</v>
      </c>
      <c r="R5684">
        <v>-0.82625349999999997</v>
      </c>
      <c r="S5684">
        <v>1.4423520000000001</v>
      </c>
      <c r="T5684">
        <v>-0.33419840000000001</v>
      </c>
      <c r="U5684">
        <v>-3.13504</v>
      </c>
      <c r="V5684">
        <v>-0.27952890000000002</v>
      </c>
      <c r="W5684">
        <v>0.4290216</v>
      </c>
      <c r="X5684">
        <v>0.85895519999999903</v>
      </c>
      <c r="Y5684">
        <v>-0.3060464</v>
      </c>
      <c r="Z5684">
        <v>8.3430050000000006E-2</v>
      </c>
      <c r="AA5684">
        <v>0.94835380000000002</v>
      </c>
      <c r="AB5684">
        <v>32</v>
      </c>
      <c r="AC5684">
        <v>4.7637999999999998</v>
      </c>
      <c r="AD5684">
        <v>-1.1129493132429999</v>
      </c>
      <c r="AE5684">
        <v>-10.118729999999999</v>
      </c>
      <c r="AF5684">
        <v>-3.5006788788224501</v>
      </c>
      <c r="AG5684">
        <v>-1.1129493132429999</v>
      </c>
      <c r="AH5684">
        <v>10.506509436670701</v>
      </c>
      <c r="AI5684">
        <v>95.7388327161446</v>
      </c>
      <c r="AJ5684">
        <v>108.427630974358</v>
      </c>
      <c r="AK5684">
        <v>11.130145970710901</v>
      </c>
      <c r="AL5684">
        <v>64.594515222272307</v>
      </c>
      <c r="AM5684">
        <v>108.02638855406001</v>
      </c>
      <c r="AN5684">
        <v>0.99999998740440399</v>
      </c>
    </row>
    <row r="5685" spans="1:40" x14ac:dyDescent="0.25">
      <c r="A5685" t="str">
        <f>"20190304165001789"</f>
        <v>20190304165001789</v>
      </c>
      <c r="B5685" t="str">
        <f>"1551689401781416"</f>
        <v>1551689401781416</v>
      </c>
      <c r="C5685" t="s">
        <v>40</v>
      </c>
      <c r="D5685">
        <v>4.3240689999999997</v>
      </c>
      <c r="E5685">
        <v>0.43050749999999999</v>
      </c>
      <c r="F5685" t="s">
        <v>41</v>
      </c>
      <c r="G5685">
        <v>-421.40980000000002</v>
      </c>
      <c r="H5685">
        <v>1.0383770000000001</v>
      </c>
      <c r="I5685">
        <v>47.962859999999999</v>
      </c>
      <c r="J5685">
        <v>-421.90249999999997</v>
      </c>
      <c r="K5685">
        <v>1.112951</v>
      </c>
      <c r="L5685">
        <v>48.49277</v>
      </c>
      <c r="M5685">
        <v>0.12005059999999999</v>
      </c>
      <c r="N5685">
        <v>-1.450008E-2</v>
      </c>
      <c r="O5685">
        <v>-0.99266180000000004</v>
      </c>
      <c r="P5685">
        <v>0.38050590000000001</v>
      </c>
      <c r="Q5685">
        <v>0.41943019999999998</v>
      </c>
      <c r="R5685">
        <v>-0.82419259999999905</v>
      </c>
      <c r="S5685">
        <v>1.810181</v>
      </c>
      <c r="T5685">
        <v>-0.25231910000000002</v>
      </c>
      <c r="U5685">
        <v>-2.93045</v>
      </c>
      <c r="V5685">
        <v>-0.28064050000000001</v>
      </c>
      <c r="W5685">
        <v>0.4307183</v>
      </c>
      <c r="X5685">
        <v>0.85774280000000003</v>
      </c>
      <c r="Y5685">
        <v>-0.41838389999999998</v>
      </c>
      <c r="Z5685">
        <v>6.047545E-2</v>
      </c>
      <c r="AA5685">
        <v>0.90625469999999997</v>
      </c>
      <c r="AB5685">
        <v>32</v>
      </c>
      <c r="AC5685">
        <v>0.49269999999995601</v>
      </c>
      <c r="AD5685">
        <v>-7.4573999999999904E-2</v>
      </c>
      <c r="AE5685">
        <v>-0.52991000000000099</v>
      </c>
      <c r="AF5685">
        <v>-0.42104088657581201</v>
      </c>
      <c r="AG5685">
        <v>-7.4573999999999904E-2</v>
      </c>
      <c r="AH5685">
        <v>0.57908086427083705</v>
      </c>
      <c r="AI5685">
        <v>95.946388638388697</v>
      </c>
      <c r="AJ5685">
        <v>126.02032976275601</v>
      </c>
      <c r="AK5685">
        <v>0.71984120263375095</v>
      </c>
      <c r="AL5685">
        <v>64.4868468518208</v>
      </c>
      <c r="AM5685">
        <v>108.117315300963</v>
      </c>
      <c r="AN5685">
        <v>1.0000000275734799</v>
      </c>
    </row>
    <row r="5686" spans="1:40" x14ac:dyDescent="0.25">
      <c r="A5686" t="str">
        <f>"20190304165001809"</f>
        <v>20190304165001809</v>
      </c>
      <c r="B5686" t="str">
        <f>"1551689401801912"</f>
        <v>1551689401801912</v>
      </c>
      <c r="C5686" t="s">
        <v>40</v>
      </c>
      <c r="D5686">
        <v>4.3233329999999999</v>
      </c>
      <c r="E5686">
        <v>0.42504979999999998</v>
      </c>
      <c r="F5686" t="s">
        <v>41</v>
      </c>
      <c r="G5686">
        <v>-421.38369999999998</v>
      </c>
      <c r="H5686">
        <v>1.0448599999999999</v>
      </c>
      <c r="I5686">
        <v>47.711320000000001</v>
      </c>
      <c r="J5686">
        <v>-421.86349999999999</v>
      </c>
      <c r="K5686">
        <v>1.113003</v>
      </c>
      <c r="L5686">
        <v>48.186680000000003</v>
      </c>
      <c r="M5686">
        <v>0.12196079999999999</v>
      </c>
      <c r="N5686">
        <v>-1.4494899999999899E-2</v>
      </c>
      <c r="O5686">
        <v>-0.99242909999999995</v>
      </c>
      <c r="P5686">
        <v>0.3827816</v>
      </c>
      <c r="Q5686">
        <v>0.42058800000000002</v>
      </c>
      <c r="R5686">
        <v>-0.82254740000000004</v>
      </c>
      <c r="S5686">
        <v>1.9139710000000001</v>
      </c>
      <c r="T5686">
        <v>-0.25129659999999998</v>
      </c>
      <c r="U5686">
        <v>-2.8841549999999998</v>
      </c>
      <c r="V5686">
        <v>-0.28149039999999997</v>
      </c>
      <c r="W5686">
        <v>0.43182480000000001</v>
      </c>
      <c r="X5686">
        <v>0.85690750000000004</v>
      </c>
      <c r="Y5686">
        <v>-0.4459323</v>
      </c>
      <c r="Z5686">
        <v>6.001136E-2</v>
      </c>
      <c r="AA5686">
        <v>0.89305259999999997</v>
      </c>
      <c r="AB5686">
        <v>32</v>
      </c>
      <c r="AC5686">
        <v>0.479800000000011</v>
      </c>
      <c r="AD5686">
        <v>-6.8142999999999801E-2</v>
      </c>
      <c r="AE5686">
        <v>-0.47535999999999401</v>
      </c>
      <c r="AF5686">
        <v>-0.41402173973400302</v>
      </c>
      <c r="AG5686">
        <v>-6.8142999999999801E-2</v>
      </c>
      <c r="AH5686">
        <v>0.52498964834047201</v>
      </c>
      <c r="AI5686">
        <v>95.819416587343795</v>
      </c>
      <c r="AJ5686">
        <v>128.26031486305101</v>
      </c>
      <c r="AK5686">
        <v>0.67206517562363199</v>
      </c>
      <c r="AL5686">
        <v>64.416577155065895</v>
      </c>
      <c r="AM5686">
        <v>108.185127714807</v>
      </c>
      <c r="AN5686">
        <v>0.99999998337172402</v>
      </c>
    </row>
    <row r="5687" spans="1:40" x14ac:dyDescent="0.25">
      <c r="A5687" t="str">
        <f>"20190304165001832"</f>
        <v>20190304165001832</v>
      </c>
      <c r="B5687" t="str">
        <f>"1551689401821433"</f>
        <v>1551689401821433</v>
      </c>
      <c r="C5687" t="s">
        <v>40</v>
      </c>
      <c r="D5687">
        <v>4.3100500000000004</v>
      </c>
      <c r="E5687">
        <v>0.42231649999999998</v>
      </c>
      <c r="F5687" t="s">
        <v>41</v>
      </c>
      <c r="G5687">
        <v>-421.3442</v>
      </c>
      <c r="H5687">
        <v>1.046392</v>
      </c>
      <c r="I5687">
        <v>47.430430000000001</v>
      </c>
      <c r="J5687">
        <v>-421.82170000000002</v>
      </c>
      <c r="K5687">
        <v>1.1131169999999999</v>
      </c>
      <c r="L5687">
        <v>47.86627</v>
      </c>
      <c r="M5687">
        <v>0.12416480000000001</v>
      </c>
      <c r="N5687">
        <v>-1.449166E-2</v>
      </c>
      <c r="O5687">
        <v>-0.99215600000000004</v>
      </c>
      <c r="P5687">
        <v>0.38514429999999999</v>
      </c>
      <c r="Q5687">
        <v>0.42108950000000001</v>
      </c>
      <c r="R5687">
        <v>-0.82118670000000005</v>
      </c>
      <c r="S5687">
        <v>1.9651179999999999</v>
      </c>
      <c r="T5687">
        <v>-0.25205719999999998</v>
      </c>
      <c r="U5687">
        <v>-2.8616030000000001</v>
      </c>
      <c r="V5687">
        <v>-0.28220050000000002</v>
      </c>
      <c r="W5687">
        <v>0.43224109999999999</v>
      </c>
      <c r="X5687">
        <v>0.856463999999999</v>
      </c>
      <c r="Y5687">
        <v>-0.45806540000000001</v>
      </c>
      <c r="Z5687">
        <v>6.0133319999999997E-2</v>
      </c>
      <c r="AA5687">
        <v>0.88688219999999995</v>
      </c>
      <c r="AB5687">
        <v>32</v>
      </c>
      <c r="AC5687">
        <v>0.47750000000002002</v>
      </c>
      <c r="AD5687">
        <v>-6.6724999999999896E-2</v>
      </c>
      <c r="AE5687">
        <v>-0.43583999999999801</v>
      </c>
      <c r="AF5687">
        <v>-0.41525905788443301</v>
      </c>
      <c r="AG5687">
        <v>-6.6724999999999896E-2</v>
      </c>
      <c r="AH5687">
        <v>0.48657836272949001</v>
      </c>
      <c r="AI5687">
        <v>95.954926919086503</v>
      </c>
      <c r="AJ5687">
        <v>130.47833308386299</v>
      </c>
      <c r="AK5687">
        <v>0.64315691231345595</v>
      </c>
      <c r="AL5687">
        <v>64.3901307411289</v>
      </c>
      <c r="AM5687">
        <v>108.236786788084</v>
      </c>
      <c r="AN5687">
        <v>1.00000003701272</v>
      </c>
    </row>
    <row r="5688" spans="1:40" x14ac:dyDescent="0.25">
      <c r="A5688" t="str">
        <f>"20190304165001854"</f>
        <v>20190304165001854</v>
      </c>
      <c r="B5688" t="str">
        <f>"1551689401841928"</f>
        <v>1551689401841928</v>
      </c>
      <c r="C5688" t="s">
        <v>40</v>
      </c>
      <c r="D5688">
        <v>4.3220239999999999</v>
      </c>
      <c r="E5688">
        <v>0.42070740000000001</v>
      </c>
      <c r="F5688" t="s">
        <v>41</v>
      </c>
      <c r="G5688">
        <v>-421.2989</v>
      </c>
      <c r="H5688">
        <v>1.0463169999999999</v>
      </c>
      <c r="I5688">
        <v>47.120829999999998</v>
      </c>
      <c r="J5688">
        <v>-421.78109999999998</v>
      </c>
      <c r="K5688">
        <v>1.113275</v>
      </c>
      <c r="L5688">
        <v>47.561279999999996</v>
      </c>
      <c r="M5688">
        <v>0.12652430000000001</v>
      </c>
      <c r="N5688">
        <v>-1.449128E-2</v>
      </c>
      <c r="O5688">
        <v>-0.99185780000000001</v>
      </c>
      <c r="P5688">
        <v>0.3884917</v>
      </c>
      <c r="Q5688">
        <v>0.42217189999999999</v>
      </c>
      <c r="R5688">
        <v>-0.81905159999999999</v>
      </c>
      <c r="S5688">
        <v>1.9970399999999999</v>
      </c>
      <c r="T5688">
        <v>-0.2551639</v>
      </c>
      <c r="U5688">
        <v>-2.8474729999999999</v>
      </c>
      <c r="V5688">
        <v>-0.2839102</v>
      </c>
      <c r="W5688">
        <v>0.43319150000000001</v>
      </c>
      <c r="X5688">
        <v>0.85541809999999996</v>
      </c>
      <c r="Y5688">
        <v>-0.46465430000000002</v>
      </c>
      <c r="Z5688">
        <v>6.0977530000000002E-2</v>
      </c>
      <c r="AA5688">
        <v>0.88339009999999996</v>
      </c>
      <c r="AB5688">
        <v>32</v>
      </c>
      <c r="AC5688">
        <v>0.48219999999997698</v>
      </c>
      <c r="AD5688">
        <v>-6.6958000000000004E-2</v>
      </c>
      <c r="AE5688">
        <v>-0.44044999999999801</v>
      </c>
      <c r="AF5688">
        <v>-0.41819458277337901</v>
      </c>
      <c r="AG5688">
        <v>-6.6958000000000004E-2</v>
      </c>
      <c r="AH5688">
        <v>0.492746398853738</v>
      </c>
      <c r="AI5688">
        <v>95.914984180465595</v>
      </c>
      <c r="AJ5688">
        <v>130.32131499088399</v>
      </c>
      <c r="AK5688">
        <v>0.64974540891669896</v>
      </c>
      <c r="AL5688">
        <v>64.329728112604201</v>
      </c>
      <c r="AM5688">
        <v>108.36082044574501</v>
      </c>
      <c r="AN5688">
        <v>1.0000000015719499</v>
      </c>
    </row>
    <row r="5689" spans="1:40" x14ac:dyDescent="0.25">
      <c r="A5689" t="str">
        <f>"20190304165001878"</f>
        <v>20190304165001878</v>
      </c>
      <c r="B5689" t="str">
        <f>"1551689401871208"</f>
        <v>1551689401871208</v>
      </c>
      <c r="C5689" t="s">
        <v>40</v>
      </c>
      <c r="D5689">
        <v>4.3275169999999896</v>
      </c>
      <c r="E5689">
        <v>0.41905019999999998</v>
      </c>
      <c r="F5689" t="s">
        <v>41</v>
      </c>
      <c r="G5689">
        <v>-421.25360000000001</v>
      </c>
      <c r="H5689">
        <v>1.0464929999999999</v>
      </c>
      <c r="I5689">
        <v>46.821919999999999</v>
      </c>
      <c r="J5689">
        <v>-421.7353</v>
      </c>
      <c r="K5689">
        <v>1.1135090000000001</v>
      </c>
      <c r="L5689">
        <v>47.22607</v>
      </c>
      <c r="M5689">
        <v>0.1294864</v>
      </c>
      <c r="N5689">
        <v>-1.4494450000000001E-2</v>
      </c>
      <c r="O5689">
        <v>-0.99147549999999995</v>
      </c>
      <c r="P5689">
        <v>0.39232810000000001</v>
      </c>
      <c r="Q5689">
        <v>0.42331780000000002</v>
      </c>
      <c r="R5689">
        <v>-0.81662789999999996</v>
      </c>
      <c r="S5689">
        <v>2.0234679999999998</v>
      </c>
      <c r="T5689">
        <v>-0.2560769</v>
      </c>
      <c r="U5689">
        <v>-2.834991</v>
      </c>
      <c r="V5689">
        <v>-0.28570440000000003</v>
      </c>
      <c r="W5689">
        <v>0.43415530000000002</v>
      </c>
      <c r="X5689">
        <v>0.85433139999999996</v>
      </c>
      <c r="Y5689">
        <v>-0.46929929999999997</v>
      </c>
      <c r="Z5689">
        <v>6.1205780000000001E-2</v>
      </c>
      <c r="AA5689">
        <v>0.88091549999999996</v>
      </c>
      <c r="AB5689">
        <v>32</v>
      </c>
      <c r="AC5689">
        <v>0.48169999999998903</v>
      </c>
      <c r="AD5689">
        <v>-6.7015999999999895E-2</v>
      </c>
      <c r="AE5689">
        <v>-0.40415000000000101</v>
      </c>
      <c r="AF5689">
        <v>-0.420529481361057</v>
      </c>
      <c r="AG5689">
        <v>-6.7015999999999895E-2</v>
      </c>
      <c r="AH5689">
        <v>0.45792525841030002</v>
      </c>
      <c r="AI5689">
        <v>96.152193643584098</v>
      </c>
      <c r="AJ5689">
        <v>132.56239312170999</v>
      </c>
      <c r="AK5689">
        <v>0.62532530033570499</v>
      </c>
      <c r="AL5689">
        <v>64.268443102160006</v>
      </c>
      <c r="AM5689">
        <v>108.490899055349</v>
      </c>
      <c r="AN5689">
        <v>0.99999998486170405</v>
      </c>
    </row>
    <row r="5690" spans="1:40" x14ac:dyDescent="0.25">
      <c r="A5690" t="str">
        <f>"20190304165001899"</f>
        <v>20190304165001899</v>
      </c>
      <c r="B5690" t="str">
        <f>"1551689401891708"</f>
        <v>1551689401891708</v>
      </c>
      <c r="C5690" t="s">
        <v>40</v>
      </c>
      <c r="D5690">
        <v>4.3105630000000001</v>
      </c>
      <c r="E5690">
        <v>0.41814190000000001</v>
      </c>
      <c r="F5690" t="s">
        <v>41</v>
      </c>
      <c r="G5690">
        <v>-421.09109999999998</v>
      </c>
      <c r="H5690">
        <v>1.03183799999999</v>
      </c>
      <c r="I5690">
        <v>46.339190000000002</v>
      </c>
      <c r="J5690">
        <v>-421.69240000000002</v>
      </c>
      <c r="K5690">
        <v>1.1137649999999999</v>
      </c>
      <c r="L5690">
        <v>46.921570000000003</v>
      </c>
      <c r="M5690">
        <v>0.13253860000000001</v>
      </c>
      <c r="N5690">
        <v>-1.4500620000000001E-2</v>
      </c>
      <c r="O5690">
        <v>-0.99107179999999995</v>
      </c>
      <c r="P5690">
        <v>0.39545940000000002</v>
      </c>
      <c r="Q5690">
        <v>0.42473470000000002</v>
      </c>
      <c r="R5690">
        <v>-0.8143783</v>
      </c>
      <c r="S5690">
        <v>2.0516359999999998</v>
      </c>
      <c r="T5690">
        <v>-0.25995049999999997</v>
      </c>
      <c r="U5690">
        <v>-2.8227229999999999</v>
      </c>
      <c r="V5690">
        <v>-0.28672589999999998</v>
      </c>
      <c r="W5690">
        <v>0.43538640000000001</v>
      </c>
      <c r="X5690">
        <v>0.85336209999999901</v>
      </c>
      <c r="Y5690">
        <v>-0.47411779999999998</v>
      </c>
      <c r="Z5690">
        <v>6.2266929999999998E-2</v>
      </c>
      <c r="AA5690">
        <v>0.87825689999999901</v>
      </c>
      <c r="AB5690">
        <v>32</v>
      </c>
      <c r="AC5690">
        <v>0.60130000000003703</v>
      </c>
      <c r="AD5690">
        <v>-8.1927E-2</v>
      </c>
      <c r="AE5690">
        <v>-0.58238000000000001</v>
      </c>
      <c r="AF5690">
        <v>-0.51387593343351201</v>
      </c>
      <c r="AG5690">
        <v>-8.1927E-2</v>
      </c>
      <c r="AH5690">
        <v>0.65071196036573298</v>
      </c>
      <c r="AI5690">
        <v>95.642968950589406</v>
      </c>
      <c r="AJ5690">
        <v>128.29862219533101</v>
      </c>
      <c r="AK5690">
        <v>0.83319059263423001</v>
      </c>
      <c r="AL5690">
        <v>64.190115411654006</v>
      </c>
      <c r="AM5690">
        <v>108.572121330737</v>
      </c>
      <c r="AN5690">
        <v>0.99999996637608901</v>
      </c>
    </row>
    <row r="5691" spans="1:40" x14ac:dyDescent="0.25">
      <c r="A5691" t="str">
        <f>"20190304165001920"</f>
        <v>20190304165001920</v>
      </c>
      <c r="B5691" t="str">
        <f>"1551689401911224"</f>
        <v>1551689401911224</v>
      </c>
      <c r="C5691" t="s">
        <v>40</v>
      </c>
      <c r="D5691">
        <v>4.326702</v>
      </c>
      <c r="E5691">
        <v>0.41859279999999999</v>
      </c>
      <c r="F5691" t="s">
        <v>41</v>
      </c>
      <c r="G5691">
        <v>-421.05549999999999</v>
      </c>
      <c r="H5691">
        <v>1.034</v>
      </c>
      <c r="I5691">
        <v>46.057299999999998</v>
      </c>
      <c r="J5691">
        <v>-421.64839999999998</v>
      </c>
      <c r="K5691">
        <v>1.1140239999999999</v>
      </c>
      <c r="L5691">
        <v>46.618929999999999</v>
      </c>
      <c r="M5691">
        <v>0.13587439999999901</v>
      </c>
      <c r="N5691">
        <v>-1.450884E-2</v>
      </c>
      <c r="O5691">
        <v>-0.99061980000000005</v>
      </c>
      <c r="P5691">
        <v>0.39806180000000002</v>
      </c>
      <c r="Q5691">
        <v>0.42570609999999998</v>
      </c>
      <c r="R5691">
        <v>-0.81260109999999997</v>
      </c>
      <c r="S5691">
        <v>2.0720830000000001</v>
      </c>
      <c r="T5691">
        <v>-0.25961240000000002</v>
      </c>
      <c r="U5691">
        <v>-2.8129879999999998</v>
      </c>
      <c r="V5691">
        <v>-0.28691499999999998</v>
      </c>
      <c r="W5691">
        <v>0.43618849999999998</v>
      </c>
      <c r="X5691">
        <v>0.8528888</v>
      </c>
      <c r="Y5691">
        <v>-0.47675420000000002</v>
      </c>
      <c r="Z5691">
        <v>6.2136160000000003E-2</v>
      </c>
      <c r="AA5691">
        <v>0.8768378</v>
      </c>
      <c r="AB5691">
        <v>32</v>
      </c>
      <c r="AC5691">
        <v>0.59289999999998599</v>
      </c>
      <c r="AD5691">
        <v>-8.0023999999999804E-2</v>
      </c>
      <c r="AE5691">
        <v>-0.56163000000000096</v>
      </c>
      <c r="AF5691">
        <v>-0.50622064387185295</v>
      </c>
      <c r="AG5691">
        <v>-8.0023999999999804E-2</v>
      </c>
      <c r="AH5691">
        <v>0.63093087774993895</v>
      </c>
      <c r="AI5691">
        <v>95.649794146621005</v>
      </c>
      <c r="AJ5691">
        <v>128.741442164581</v>
      </c>
      <c r="AK5691">
        <v>0.81285727735952595</v>
      </c>
      <c r="AL5691">
        <v>64.139054909924894</v>
      </c>
      <c r="AM5691">
        <v>108.593133002561</v>
      </c>
      <c r="AN5691">
        <v>0.99999996496134402</v>
      </c>
    </row>
    <row r="5692" spans="1:40" x14ac:dyDescent="0.25">
      <c r="A5692" t="str">
        <f>"20190304165001943"</f>
        <v>20190304165001943</v>
      </c>
      <c r="B5692" t="str">
        <f>"1551689401931720"</f>
        <v>1551689401931720</v>
      </c>
      <c r="C5692" t="s">
        <v>40</v>
      </c>
      <c r="D5692">
        <v>4.2661059999999997</v>
      </c>
      <c r="E5692">
        <v>0.41984329999999997</v>
      </c>
      <c r="F5692" t="s">
        <v>41</v>
      </c>
      <c r="G5692">
        <v>-421.02289999999999</v>
      </c>
      <c r="H5692">
        <v>1.0373319999999999</v>
      </c>
      <c r="I5692">
        <v>45.774650000000001</v>
      </c>
      <c r="J5692">
        <v>-421.60169999999999</v>
      </c>
      <c r="K5692">
        <v>1.1142799999999999</v>
      </c>
      <c r="L5692">
        <v>46.306980000000003</v>
      </c>
      <c r="M5692">
        <v>0.1396519</v>
      </c>
      <c r="N5692">
        <v>-1.451735E-2</v>
      </c>
      <c r="O5692">
        <v>-0.99009420000000004</v>
      </c>
      <c r="P5692">
        <v>0.4011074</v>
      </c>
      <c r="Q5692">
        <v>0.42662280000000002</v>
      </c>
      <c r="R5692">
        <v>-0.81062049999999997</v>
      </c>
      <c r="S5692">
        <v>2.0801090000000002</v>
      </c>
      <c r="T5692">
        <v>-0.25493680000000002</v>
      </c>
      <c r="U5692">
        <v>-2.8064580000000001</v>
      </c>
      <c r="V5692">
        <v>-0.28720099999999998</v>
      </c>
      <c r="W5692">
        <v>0.43693070000000001</v>
      </c>
      <c r="X5692">
        <v>0.85241259999999996</v>
      </c>
      <c r="Y5692">
        <v>-0.47605019999999998</v>
      </c>
      <c r="Z5692">
        <v>6.0823729999999999E-2</v>
      </c>
      <c r="AA5692">
        <v>0.87731219999999999</v>
      </c>
      <c r="AB5692">
        <v>32</v>
      </c>
      <c r="AC5692">
        <v>0.57880000000000098</v>
      </c>
      <c r="AD5692">
        <v>-7.6948000000000003E-2</v>
      </c>
      <c r="AE5692">
        <v>-0.53232999999999397</v>
      </c>
      <c r="AF5692">
        <v>-0.49404773024450699</v>
      </c>
      <c r="AG5692">
        <v>-7.6948000000000003E-2</v>
      </c>
      <c r="AH5692">
        <v>0.60218556405657098</v>
      </c>
      <c r="AI5692">
        <v>95.641860278098605</v>
      </c>
      <c r="AJ5692">
        <v>129.36628939083201</v>
      </c>
      <c r="AK5692">
        <v>0.782707868889716</v>
      </c>
      <c r="AL5692">
        <v>64.091790185711105</v>
      </c>
      <c r="AM5692">
        <v>108.620071209695</v>
      </c>
      <c r="AN5692">
        <v>1.00000004582112</v>
      </c>
    </row>
    <row r="5693" spans="1:40" x14ac:dyDescent="0.25">
      <c r="A5693" t="str">
        <f>"20190304165001965"</f>
        <v>20190304165001965</v>
      </c>
      <c r="B5693" t="str">
        <f>"1551689401961004"</f>
        <v>1551689401961004</v>
      </c>
      <c r="C5693" t="s">
        <v>40</v>
      </c>
      <c r="D5693">
        <v>4.261692</v>
      </c>
      <c r="E5693">
        <v>0.42188940000000003</v>
      </c>
      <c r="F5693" t="s">
        <v>41</v>
      </c>
      <c r="G5693">
        <v>-420.99459999999999</v>
      </c>
      <c r="H5693">
        <v>1.042286</v>
      </c>
      <c r="I5693">
        <v>45.490600000000001</v>
      </c>
      <c r="J5693">
        <v>-421.55290000000002</v>
      </c>
      <c r="K5693">
        <v>1.114547</v>
      </c>
      <c r="L5693">
        <v>45.991120000000002</v>
      </c>
      <c r="M5693">
        <v>0.14384029999999901</v>
      </c>
      <c r="N5693">
        <v>-1.4527160000000001E-2</v>
      </c>
      <c r="O5693">
        <v>-0.9894944</v>
      </c>
      <c r="P5693">
        <v>0.40520830000000002</v>
      </c>
      <c r="Q5693">
        <v>0.42704130000000001</v>
      </c>
      <c r="R5693">
        <v>-0.80835760000000001</v>
      </c>
      <c r="S5693">
        <v>2.0824889999999998</v>
      </c>
      <c r="T5693">
        <v>-0.24696409999999999</v>
      </c>
      <c r="U5693">
        <v>-2.8003849999999999</v>
      </c>
      <c r="V5693">
        <v>-0.28822829999999999</v>
      </c>
      <c r="W5693">
        <v>0.43716270000000002</v>
      </c>
      <c r="X5693">
        <v>0.85194669999999895</v>
      </c>
      <c r="Y5693">
        <v>-0.47380660000000002</v>
      </c>
      <c r="Z5693">
        <v>5.8600550000000001E-2</v>
      </c>
      <c r="AA5693">
        <v>0.87867700000000004</v>
      </c>
      <c r="AB5693">
        <v>32</v>
      </c>
      <c r="AC5693">
        <v>0.55830000000003099</v>
      </c>
      <c r="AD5693">
        <v>-7.2260999999999895E-2</v>
      </c>
      <c r="AE5693">
        <v>-0.50052000000000096</v>
      </c>
      <c r="AF5693">
        <v>-0.47606889786276801</v>
      </c>
      <c r="AG5693">
        <v>-7.2260999999999895E-2</v>
      </c>
      <c r="AH5693">
        <v>0.57033145548534003</v>
      </c>
      <c r="AI5693">
        <v>95.5555195874297</v>
      </c>
      <c r="AJ5693">
        <v>129.85253581216301</v>
      </c>
      <c r="AK5693">
        <v>0.74641892845057001</v>
      </c>
      <c r="AL5693">
        <v>64.077009543255997</v>
      </c>
      <c r="AM5693">
        <v>108.691567200441</v>
      </c>
      <c r="AN5693">
        <v>0.99999997941653396</v>
      </c>
    </row>
    <row r="5694" spans="1:40" x14ac:dyDescent="0.25">
      <c r="A5694" t="str">
        <f>"20190304165001990"</f>
        <v>20190304165001990</v>
      </c>
      <c r="B5694" t="str">
        <f>"1551689401981496"</f>
        <v>1551689401981496</v>
      </c>
      <c r="C5694" t="s">
        <v>40</v>
      </c>
      <c r="D5694">
        <v>4.2465409999999997</v>
      </c>
      <c r="E5694">
        <v>0.42262840000000002</v>
      </c>
      <c r="F5694" t="s">
        <v>41</v>
      </c>
      <c r="G5694">
        <v>-420.9683</v>
      </c>
      <c r="H5694">
        <v>1.0467200000000001</v>
      </c>
      <c r="I5694">
        <v>45.206029999999998</v>
      </c>
      <c r="J5694">
        <v>-421.4984</v>
      </c>
      <c r="K5694">
        <v>1.1148400000000001</v>
      </c>
      <c r="L5694">
        <v>45.651119999999999</v>
      </c>
      <c r="M5694">
        <v>0.1487473</v>
      </c>
      <c r="N5694">
        <v>-1.454049E-2</v>
      </c>
      <c r="O5694">
        <v>-0.98876830000000004</v>
      </c>
      <c r="P5694">
        <v>0.41090409999999999</v>
      </c>
      <c r="Q5694">
        <v>0.42511589999999999</v>
      </c>
      <c r="R5694">
        <v>-0.80649510000000002</v>
      </c>
      <c r="S5694">
        <v>2.0819399999999999</v>
      </c>
      <c r="T5694">
        <v>-0.24149860000000001</v>
      </c>
      <c r="U5694">
        <v>-2.7951969999999999</v>
      </c>
      <c r="V5694">
        <v>-0.29017080000000001</v>
      </c>
      <c r="W5694">
        <v>0.43503520000000001</v>
      </c>
      <c r="X5694">
        <v>0.85237619999999903</v>
      </c>
      <c r="Y5694">
        <v>-0.4701632</v>
      </c>
      <c r="Z5694">
        <v>5.7118620000000002E-2</v>
      </c>
      <c r="AA5694">
        <v>0.88072929999999905</v>
      </c>
      <c r="AB5694">
        <v>32</v>
      </c>
      <c r="AC5694">
        <v>0.53010000000000401</v>
      </c>
      <c r="AD5694">
        <v>-6.8119999999999903E-2</v>
      </c>
      <c r="AE5694">
        <v>-0.44508999999999999</v>
      </c>
      <c r="AF5694">
        <v>-0.45359536584516902</v>
      </c>
      <c r="AG5694">
        <v>-6.8119999999999903E-2</v>
      </c>
      <c r="AH5694">
        <v>0.51401828970552799</v>
      </c>
      <c r="AI5694">
        <v>95.674686551305399</v>
      </c>
      <c r="AJ5694">
        <v>131.42678758742201</v>
      </c>
      <c r="AK5694">
        <v>0.68891501106305497</v>
      </c>
      <c r="AL5694">
        <v>64.212464951663605</v>
      </c>
      <c r="AM5694">
        <v>108.79989592458099</v>
      </c>
      <c r="AN5694">
        <v>0.99999995236905803</v>
      </c>
    </row>
    <row r="5695" spans="1:40" x14ac:dyDescent="0.25">
      <c r="A5695" t="str">
        <f>"20190304165002010"</f>
        <v>20190304165002010</v>
      </c>
      <c r="B5695" t="str">
        <f>"1551689402001992"</f>
        <v>1551689402001992</v>
      </c>
      <c r="C5695" t="s">
        <v>40</v>
      </c>
      <c r="D5695">
        <v>4.2478629999999997</v>
      </c>
      <c r="E5695">
        <v>0.4232802</v>
      </c>
      <c r="F5695" t="s">
        <v>41</v>
      </c>
      <c r="G5695">
        <v>-420.94830000000002</v>
      </c>
      <c r="H5695">
        <v>1.0497609999999999</v>
      </c>
      <c r="I5695">
        <v>44.919229999999999</v>
      </c>
      <c r="J5695">
        <v>-421.45100000000002</v>
      </c>
      <c r="K5695">
        <v>1.1150929999999999</v>
      </c>
      <c r="L5695">
        <v>45.365749999999998</v>
      </c>
      <c r="M5695">
        <v>0.153196</v>
      </c>
      <c r="N5695">
        <v>-1.4553989999999999E-2</v>
      </c>
      <c r="O5695">
        <v>-0.98808879999999999</v>
      </c>
      <c r="P5695">
        <v>0.41596939999999999</v>
      </c>
      <c r="Q5695">
        <v>0.42519030000000002</v>
      </c>
      <c r="R5695">
        <v>-0.80385509999999905</v>
      </c>
      <c r="S5695">
        <v>2.0927120000000001</v>
      </c>
      <c r="T5695">
        <v>-0.24755920000000001</v>
      </c>
      <c r="U5695">
        <v>-2.7840579999999999</v>
      </c>
      <c r="V5695">
        <v>-0.29198600000000002</v>
      </c>
      <c r="W5695">
        <v>0.43491669999999999</v>
      </c>
      <c r="X5695">
        <v>0.85181669999999998</v>
      </c>
      <c r="Y5695">
        <v>-0.46999010000000002</v>
      </c>
      <c r="Z5695">
        <v>5.8985580000000003E-2</v>
      </c>
      <c r="AA5695">
        <v>0.880698599999999</v>
      </c>
      <c r="AB5695">
        <v>32</v>
      </c>
      <c r="AC5695">
        <v>0.50269999999994697</v>
      </c>
      <c r="AD5695">
        <v>-6.5331999999999904E-2</v>
      </c>
      <c r="AE5695">
        <v>-0.44651999999999897</v>
      </c>
      <c r="AF5695">
        <v>-0.424346106683197</v>
      </c>
      <c r="AG5695">
        <v>-6.5331999999999904E-2</v>
      </c>
      <c r="AH5695">
        <v>0.51342052065269705</v>
      </c>
      <c r="AI5695">
        <v>95.601850485118803</v>
      </c>
      <c r="AJ5695">
        <v>129.57399984080399</v>
      </c>
      <c r="AK5695">
        <v>0.66928209262498195</v>
      </c>
      <c r="AL5695">
        <v>64.220007210044102</v>
      </c>
      <c r="AM5695">
        <v>108.92070562766401</v>
      </c>
      <c r="AN5695">
        <v>1.0000000252668799</v>
      </c>
    </row>
    <row r="5696" spans="1:40" x14ac:dyDescent="0.25">
      <c r="A5696" t="str">
        <f>"20190304165002033"</f>
        <v>20190304165002033</v>
      </c>
      <c r="B5696" t="str">
        <f>"1551689402021513"</f>
        <v>1551689402021513</v>
      </c>
      <c r="C5696" t="s">
        <v>40</v>
      </c>
      <c r="D5696">
        <v>4.2855379999999998</v>
      </c>
      <c r="E5696">
        <v>0.42374220000000001</v>
      </c>
      <c r="F5696" t="s">
        <v>41</v>
      </c>
      <c r="G5696">
        <v>-420.90249999999997</v>
      </c>
      <c r="H5696">
        <v>1.050883</v>
      </c>
      <c r="I5696">
        <v>44.642310000000002</v>
      </c>
      <c r="J5696">
        <v>-421.39760000000001</v>
      </c>
      <c r="K5696">
        <v>1.11538</v>
      </c>
      <c r="L5696">
        <v>45.05545</v>
      </c>
      <c r="M5696">
        <v>0.1583687</v>
      </c>
      <c r="N5696">
        <v>-1.45708E-2</v>
      </c>
      <c r="O5696">
        <v>-0.98727259999999994</v>
      </c>
      <c r="P5696">
        <v>0.42100979999999999</v>
      </c>
      <c r="Q5696">
        <v>0.42575459999999898</v>
      </c>
      <c r="R5696">
        <v>-0.8009271</v>
      </c>
      <c r="S5696">
        <v>2.1038510000000001</v>
      </c>
      <c r="T5696">
        <v>-0.2461816</v>
      </c>
      <c r="U5696">
        <v>-2.7735599999999998</v>
      </c>
      <c r="V5696">
        <v>-0.29324139999999999</v>
      </c>
      <c r="W5696">
        <v>0.43527130000000003</v>
      </c>
      <c r="X5696">
        <v>0.85120399999999996</v>
      </c>
      <c r="Y5696">
        <v>-0.46923130000000002</v>
      </c>
      <c r="Z5696">
        <v>5.8658979999999999E-2</v>
      </c>
      <c r="AA5696">
        <v>0.88112489999999999</v>
      </c>
      <c r="AB5696">
        <v>32</v>
      </c>
      <c r="AC5696">
        <v>0.49510000000003601</v>
      </c>
      <c r="AD5696">
        <v>-6.4496999999999999E-2</v>
      </c>
      <c r="AE5696">
        <v>-0.413140000000005</v>
      </c>
      <c r="AF5696">
        <v>-0.41922113726460097</v>
      </c>
      <c r="AG5696">
        <v>-6.4496999999999999E-2</v>
      </c>
      <c r="AH5696">
        <v>0.48152443973979497</v>
      </c>
      <c r="AI5696">
        <v>95.7685636779253</v>
      </c>
      <c r="AJ5696">
        <v>131.043233737359</v>
      </c>
      <c r="AK5696">
        <v>0.64169464000032705</v>
      </c>
      <c r="AL5696">
        <v>64.197439866596895</v>
      </c>
      <c r="AM5696">
        <v>109.008927246505</v>
      </c>
      <c r="AN5696">
        <v>0.99999993644682295</v>
      </c>
    </row>
    <row r="5697" spans="1:40" x14ac:dyDescent="0.25">
      <c r="A5697" t="str">
        <f>"20190304165002056"</f>
        <v>20190304165002056</v>
      </c>
      <c r="B5697" t="str">
        <f>"1551689402051769"</f>
        <v>1551689402051769</v>
      </c>
      <c r="C5697" t="s">
        <v>40</v>
      </c>
      <c r="D5697">
        <v>4.2605930000000001</v>
      </c>
      <c r="E5697">
        <v>0.4241916</v>
      </c>
      <c r="F5697" t="s">
        <v>41</v>
      </c>
      <c r="G5697">
        <v>-420.85379999999998</v>
      </c>
      <c r="H5697">
        <v>1.053042</v>
      </c>
      <c r="I5697">
        <v>44.346469999999997</v>
      </c>
      <c r="J5697">
        <v>-421.34210000000002</v>
      </c>
      <c r="K5697">
        <v>1.115672</v>
      </c>
      <c r="L5697">
        <v>44.744230000000002</v>
      </c>
      <c r="M5697">
        <v>0.16391249999999999</v>
      </c>
      <c r="N5697">
        <v>-1.458981E-2</v>
      </c>
      <c r="O5697">
        <v>-0.9863672</v>
      </c>
      <c r="P5697">
        <v>0.42654429999999999</v>
      </c>
      <c r="Q5697">
        <v>0.42594520000000002</v>
      </c>
      <c r="R5697">
        <v>-0.79789169999999998</v>
      </c>
      <c r="S5697">
        <v>2.118134</v>
      </c>
      <c r="T5697">
        <v>-0.24279120000000001</v>
      </c>
      <c r="U5697">
        <v>-2.7613219999999998</v>
      </c>
      <c r="V5697">
        <v>-0.29469129999999999</v>
      </c>
      <c r="W5697">
        <v>0.43524770000000002</v>
      </c>
      <c r="X5697">
        <v>0.85071529999999995</v>
      </c>
      <c r="Y5697">
        <v>-0.46906249999999999</v>
      </c>
      <c r="Z5697">
        <v>5.7734260000000003E-2</v>
      </c>
      <c r="AA5697">
        <v>0.88127579999999905</v>
      </c>
      <c r="AB5697">
        <v>32</v>
      </c>
      <c r="AC5697">
        <v>0.48830000000003698</v>
      </c>
      <c r="AD5697">
        <v>-6.2629999999999894E-2</v>
      </c>
      <c r="AE5697">
        <v>-0.397759999999998</v>
      </c>
      <c r="AF5697">
        <v>-0.41241112800475699</v>
      </c>
      <c r="AG5697">
        <v>-6.2629999999999894E-2</v>
      </c>
      <c r="AH5697">
        <v>0.46779994689091597</v>
      </c>
      <c r="AI5697">
        <v>95.734840562069394</v>
      </c>
      <c r="AJ5697">
        <v>131.39931065817501</v>
      </c>
      <c r="AK5697">
        <v>0.62677128660564896</v>
      </c>
      <c r="AL5697">
        <v>64.198944154303305</v>
      </c>
      <c r="AM5697">
        <v>109.106297194907</v>
      </c>
      <c r="AN5697">
        <v>1.00000002215253</v>
      </c>
    </row>
    <row r="5698" spans="1:40" x14ac:dyDescent="0.25">
      <c r="A5698" t="str">
        <f>"20190304165002070"</f>
        <v>20190304165002070</v>
      </c>
      <c r="B5698" t="str">
        <f>"1551689402061529"</f>
        <v>1551689402061529</v>
      </c>
      <c r="C5698" t="s">
        <v>40</v>
      </c>
      <c r="D5698">
        <v>4.2805150000000003</v>
      </c>
      <c r="E5698">
        <v>0.4243306</v>
      </c>
      <c r="F5698" t="s">
        <v>41</v>
      </c>
      <c r="G5698">
        <v>-420.65379999999999</v>
      </c>
      <c r="H5698">
        <v>1.038038</v>
      </c>
      <c r="I5698">
        <v>43.857430000000001</v>
      </c>
      <c r="J5698">
        <v>-421.3032</v>
      </c>
      <c r="K5698">
        <v>1.115866</v>
      </c>
      <c r="L5698">
        <v>44.534550000000003</v>
      </c>
      <c r="M5698">
        <v>0.16788789999999901</v>
      </c>
      <c r="N5698">
        <v>-1.460433E-2</v>
      </c>
      <c r="O5698">
        <v>-0.98569810000000002</v>
      </c>
      <c r="P5698">
        <v>0.43038910000000002</v>
      </c>
      <c r="Q5698">
        <v>0.4253228</v>
      </c>
      <c r="R5698">
        <v>-0.79615709999999995</v>
      </c>
      <c r="S5698">
        <v>2.1334230000000001</v>
      </c>
      <c r="T5698">
        <v>-0.2405542</v>
      </c>
      <c r="U5698">
        <v>-2.747833</v>
      </c>
      <c r="V5698">
        <v>-0.29551880000000003</v>
      </c>
      <c r="W5698">
        <v>0.43448979999999998</v>
      </c>
      <c r="X5698">
        <v>0.85081569999999995</v>
      </c>
      <c r="Y5698">
        <v>-0.47067759999999997</v>
      </c>
      <c r="Z5698">
        <v>5.715158E-2</v>
      </c>
      <c r="AA5698">
        <v>0.88045229999999997</v>
      </c>
      <c r="AB5698">
        <v>32</v>
      </c>
      <c r="AC5698">
        <v>0.64940000000001397</v>
      </c>
      <c r="AD5698">
        <v>-7.7827999999999994E-2</v>
      </c>
      <c r="AE5698">
        <v>-0.67712000000000205</v>
      </c>
      <c r="AF5698">
        <v>-0.52288986292653605</v>
      </c>
      <c r="AG5698">
        <v>-7.7827999999999994E-2</v>
      </c>
      <c r="AH5698">
        <v>0.77123768134659398</v>
      </c>
      <c r="AI5698">
        <v>94.774592890464305</v>
      </c>
      <c r="AJ5698">
        <v>124.136798116717</v>
      </c>
      <c r="AK5698">
        <v>0.93502864526398399</v>
      </c>
      <c r="AL5698">
        <v>64.247167915777297</v>
      </c>
      <c r="AM5698">
        <v>109.153947520871</v>
      </c>
      <c r="AN5698">
        <v>1.00000005141198</v>
      </c>
    </row>
    <row r="5699" spans="1:40" x14ac:dyDescent="0.25">
      <c r="A5699" t="str">
        <f>"20190304165002089"</f>
        <v>20190304165002089</v>
      </c>
      <c r="B5699" t="str">
        <f>"1551689402081396"</f>
        <v>1551689402081396</v>
      </c>
      <c r="C5699" t="s">
        <v>40</v>
      </c>
      <c r="D5699">
        <v>4.2722379999999998</v>
      </c>
      <c r="E5699">
        <v>0.424703</v>
      </c>
      <c r="F5699" t="s">
        <v>41</v>
      </c>
      <c r="G5699">
        <v>-420.74430000000001</v>
      </c>
      <c r="H5699">
        <v>1.0526580000000001</v>
      </c>
      <c r="I5699">
        <v>43.821089999999998</v>
      </c>
      <c r="J5699">
        <v>-421.25439999999998</v>
      </c>
      <c r="K5699">
        <v>1.116077</v>
      </c>
      <c r="L5699">
        <v>44.277830000000002</v>
      </c>
      <c r="M5699">
        <v>0.17292199999999999</v>
      </c>
      <c r="N5699">
        <v>-1.462247E-2</v>
      </c>
      <c r="O5699">
        <v>-0.98482700000000001</v>
      </c>
      <c r="P5699">
        <v>0.43575360000000002</v>
      </c>
      <c r="Q5699">
        <v>0.42341869999999998</v>
      </c>
      <c r="R5699">
        <v>-0.79425140000000005</v>
      </c>
      <c r="S5699">
        <v>2.1452939999999998</v>
      </c>
      <c r="T5699">
        <v>-0.24255989999999999</v>
      </c>
      <c r="U5699">
        <v>-2.737946</v>
      </c>
      <c r="V5699">
        <v>-0.2969659</v>
      </c>
      <c r="W5699">
        <v>0.43243150000000002</v>
      </c>
      <c r="X5699">
        <v>0.85136019999999901</v>
      </c>
      <c r="Y5699">
        <v>-0.47005629999999998</v>
      </c>
      <c r="Z5699">
        <v>5.7786499999999998E-2</v>
      </c>
      <c r="AA5699">
        <v>0.88074269999999999</v>
      </c>
      <c r="AB5699">
        <v>32</v>
      </c>
      <c r="AC5699">
        <v>0.51009999999996503</v>
      </c>
      <c r="AD5699">
        <v>-6.3418999999999795E-2</v>
      </c>
      <c r="AE5699">
        <v>-0.45673999999999598</v>
      </c>
      <c r="AF5699">
        <v>-0.41982343460440502</v>
      </c>
      <c r="AG5699">
        <v>-6.3418999999999795E-2</v>
      </c>
      <c r="AH5699">
        <v>0.53349800811060499</v>
      </c>
      <c r="AI5699">
        <v>95.336952571011096</v>
      </c>
      <c r="AJ5699">
        <v>128.20012599605701</v>
      </c>
      <c r="AK5699">
        <v>0.68183121845660799</v>
      </c>
      <c r="AL5699">
        <v>64.378030653059895</v>
      </c>
      <c r="AM5699">
        <v>109.229459428509</v>
      </c>
      <c r="AN5699">
        <v>0.99999996904954902</v>
      </c>
    </row>
    <row r="5700" spans="1:40" x14ac:dyDescent="0.25">
      <c r="A5700" t="str">
        <f>"20190304165002110"</f>
        <v>20190304165002110</v>
      </c>
      <c r="B5700" t="str">
        <f>"1551689402101892"</f>
        <v>1551689402101892</v>
      </c>
      <c r="C5700" t="s">
        <v>40</v>
      </c>
      <c r="D5700">
        <v>4.2872309999999896</v>
      </c>
      <c r="E5700">
        <v>0.42491410000000002</v>
      </c>
      <c r="F5700" t="s">
        <v>41</v>
      </c>
      <c r="G5700">
        <v>-420.68</v>
      </c>
      <c r="H5700">
        <v>1.049706</v>
      </c>
      <c r="I5700">
        <v>43.552529999999997</v>
      </c>
      <c r="J5700">
        <v>-421.19619999999998</v>
      </c>
      <c r="K5700">
        <v>1.1163259999999999</v>
      </c>
      <c r="L5700">
        <v>43.982149999999997</v>
      </c>
      <c r="M5700">
        <v>0.17900139999999901</v>
      </c>
      <c r="N5700">
        <v>-1.4642779999999999E-2</v>
      </c>
      <c r="O5700">
        <v>-0.98373999999999995</v>
      </c>
      <c r="P5700">
        <v>0.44179079999999898</v>
      </c>
      <c r="Q5700">
        <v>0.42255700000000002</v>
      </c>
      <c r="R5700">
        <v>-0.79137000000000002</v>
      </c>
      <c r="S5700">
        <v>2.1595460000000002</v>
      </c>
      <c r="T5700">
        <v>-0.24940010000000001</v>
      </c>
      <c r="U5700">
        <v>-2.725311</v>
      </c>
      <c r="V5700">
        <v>-0.29837649999999999</v>
      </c>
      <c r="W5700">
        <v>0.43138949999999998</v>
      </c>
      <c r="X5700">
        <v>0.85139569999999998</v>
      </c>
      <c r="Y5700">
        <v>-0.46934140000000002</v>
      </c>
      <c r="Z5700">
        <v>5.9862409999999998E-2</v>
      </c>
      <c r="AA5700">
        <v>0.88098529999999997</v>
      </c>
      <c r="AB5700">
        <v>32</v>
      </c>
      <c r="AC5700">
        <v>0.51619999999996902</v>
      </c>
      <c r="AD5700">
        <v>-6.6619999999999902E-2</v>
      </c>
      <c r="AE5700">
        <v>-0.429619999999999</v>
      </c>
      <c r="AF5700">
        <v>-0.42675088537220401</v>
      </c>
      <c r="AG5700">
        <v>-6.6619999999999902E-2</v>
      </c>
      <c r="AH5700">
        <v>0.51007091341088895</v>
      </c>
      <c r="AI5700">
        <v>95.720420715624797</v>
      </c>
      <c r="AJ5700">
        <v>129.91754143746701</v>
      </c>
      <c r="AK5700">
        <v>0.66837630065239295</v>
      </c>
      <c r="AL5700">
        <v>64.4442273537245</v>
      </c>
      <c r="AM5700">
        <v>109.31330465053701</v>
      </c>
      <c r="AN5700">
        <v>1.00000003722049</v>
      </c>
    </row>
    <row r="5701" spans="1:40" x14ac:dyDescent="0.25">
      <c r="A5701" t="str">
        <f>"20190304165002133"</f>
        <v>20190304165002133</v>
      </c>
      <c r="B5701" t="str">
        <f>"1551689402121412"</f>
        <v>1551689402121412</v>
      </c>
      <c r="C5701" t="s">
        <v>40</v>
      </c>
      <c r="D5701">
        <v>4.2939939999999996</v>
      </c>
      <c r="E5701">
        <v>0.42509960000000002</v>
      </c>
      <c r="F5701" t="s">
        <v>41</v>
      </c>
      <c r="G5701">
        <v>-420.63080000000002</v>
      </c>
      <c r="H5701">
        <v>1.050673</v>
      </c>
      <c r="I5701">
        <v>43.278039999999997</v>
      </c>
      <c r="J5701">
        <v>-421.13369999999998</v>
      </c>
      <c r="K5701">
        <v>1.1166</v>
      </c>
      <c r="L5701">
        <v>43.676029999999997</v>
      </c>
      <c r="M5701">
        <v>0.1856448</v>
      </c>
      <c r="N5701">
        <v>-1.4665330000000001E-2</v>
      </c>
      <c r="O5701">
        <v>-0.98250749999999998</v>
      </c>
      <c r="P5701">
        <v>0.4476562</v>
      </c>
      <c r="Q5701">
        <v>0.42389949999999998</v>
      </c>
      <c r="R5701">
        <v>-0.78734569999999904</v>
      </c>
      <c r="S5701">
        <v>2.1769099999999999</v>
      </c>
      <c r="T5701">
        <v>-0.25273899999999999</v>
      </c>
      <c r="U5701">
        <v>-2.7105709999999998</v>
      </c>
      <c r="V5701">
        <v>-0.29938710000000002</v>
      </c>
      <c r="W5701">
        <v>0.43253079999999999</v>
      </c>
      <c r="X5701">
        <v>0.85046139999999903</v>
      </c>
      <c r="Y5701">
        <v>-0.46910429999999997</v>
      </c>
      <c r="Z5701">
        <v>6.0908240000000002E-2</v>
      </c>
      <c r="AA5701">
        <v>0.88103989999999999</v>
      </c>
      <c r="AB5701">
        <v>32</v>
      </c>
      <c r="AC5701">
        <v>0.50289999999995405</v>
      </c>
      <c r="AD5701">
        <v>-6.5926999999999999E-2</v>
      </c>
      <c r="AE5701">
        <v>-0.39798999999999202</v>
      </c>
      <c r="AF5701">
        <v>-0.41586883047598799</v>
      </c>
      <c r="AG5701">
        <v>-6.5926999999999999E-2</v>
      </c>
      <c r="AH5701">
        <v>0.479375321766141</v>
      </c>
      <c r="AI5701">
        <v>95.9308161313471</v>
      </c>
      <c r="AJ5701">
        <v>130.94237073469299</v>
      </c>
      <c r="AK5701">
        <v>0.638039146611599</v>
      </c>
      <c r="AL5701">
        <v>64.371723058068397</v>
      </c>
      <c r="AM5701">
        <v>109.39354832329499</v>
      </c>
      <c r="AN5701">
        <v>1.0000000607424999</v>
      </c>
    </row>
    <row r="5702" spans="1:40" x14ac:dyDescent="0.25">
      <c r="A5702" t="str">
        <f>"20190304165002148"</f>
        <v>20190304165002148</v>
      </c>
      <c r="B5702" t="str">
        <f>"1551689402141908"</f>
        <v>1551689402141908</v>
      </c>
      <c r="C5702" t="s">
        <v>40</v>
      </c>
      <c r="D5702">
        <v>4.3163830000000001</v>
      </c>
      <c r="E5702">
        <v>0.42526170000000002</v>
      </c>
      <c r="F5702" t="s">
        <v>41</v>
      </c>
      <c r="G5702">
        <v>-420.56810000000002</v>
      </c>
      <c r="H5702">
        <v>1.0524169999999999</v>
      </c>
      <c r="I5702">
        <v>42.98</v>
      </c>
      <c r="J5702">
        <v>-421.08839999999998</v>
      </c>
      <c r="K5702">
        <v>1.1168020000000001</v>
      </c>
      <c r="L5702">
        <v>43.462339999999998</v>
      </c>
      <c r="M5702">
        <v>0.19052379999999999</v>
      </c>
      <c r="N5702">
        <v>-1.468438E-2</v>
      </c>
      <c r="O5702">
        <v>-0.98157280000000002</v>
      </c>
      <c r="P5702">
        <v>0.45141130000000002</v>
      </c>
      <c r="Q5702">
        <v>0.42515530000000001</v>
      </c>
      <c r="R5702">
        <v>-0.78451969999999904</v>
      </c>
      <c r="S5702">
        <v>2.1934809999999998</v>
      </c>
      <c r="T5702">
        <v>-0.24870970000000001</v>
      </c>
      <c r="U5702">
        <v>-2.6970209999999999</v>
      </c>
      <c r="V5702">
        <v>-0.2995777</v>
      </c>
      <c r="W5702">
        <v>0.43364960000000002</v>
      </c>
      <c r="X5702">
        <v>0.84982420000000003</v>
      </c>
      <c r="Y5702">
        <v>-0.47019</v>
      </c>
      <c r="Z5702">
        <v>5.9770869999999997E-2</v>
      </c>
      <c r="AA5702">
        <v>0.88053890000000001</v>
      </c>
      <c r="AB5702">
        <v>32</v>
      </c>
      <c r="AC5702">
        <v>0.52029999999996301</v>
      </c>
      <c r="AD5702">
        <v>-6.4385000000000095E-2</v>
      </c>
      <c r="AE5702">
        <v>-0.48234000000000699</v>
      </c>
      <c r="AF5702">
        <v>-0.415438891177138</v>
      </c>
      <c r="AG5702">
        <v>-6.4385000000000095E-2</v>
      </c>
      <c r="AH5702">
        <v>0.56796561699036896</v>
      </c>
      <c r="AI5702">
        <v>95.227820739645495</v>
      </c>
      <c r="AJ5702">
        <v>126.183632881116</v>
      </c>
      <c r="AK5702">
        <v>0.70662567361421302</v>
      </c>
      <c r="AL5702">
        <v>64.300602323641698</v>
      </c>
      <c r="AM5702">
        <v>109.418433854941</v>
      </c>
      <c r="AN5702">
        <v>0.99999997241154404</v>
      </c>
    </row>
    <row r="5703" spans="1:40" x14ac:dyDescent="0.25">
      <c r="A5703" t="str">
        <f>"20190304165002168"</f>
        <v>20190304165002168</v>
      </c>
      <c r="B5703" t="str">
        <f>"1551689402161428"</f>
        <v>1551689402161428</v>
      </c>
      <c r="C5703" t="s">
        <v>40</v>
      </c>
      <c r="D5703">
        <v>4.3273979999999996</v>
      </c>
      <c r="E5703">
        <v>0.4257283</v>
      </c>
      <c r="F5703" t="s">
        <v>41</v>
      </c>
      <c r="G5703">
        <v>-420.49860000000001</v>
      </c>
      <c r="H5703">
        <v>1.051526</v>
      </c>
      <c r="I5703">
        <v>42.743690000000001</v>
      </c>
      <c r="J5703">
        <v>-421.0308</v>
      </c>
      <c r="K5703">
        <v>1.117075</v>
      </c>
      <c r="L5703">
        <v>43.198149999999998</v>
      </c>
      <c r="M5703">
        <v>0.19678680000000001</v>
      </c>
      <c r="N5703">
        <v>-1.471019E-2</v>
      </c>
      <c r="O5703">
        <v>-0.98033599999999999</v>
      </c>
      <c r="P5703">
        <v>0.45572439999999997</v>
      </c>
      <c r="Q5703">
        <v>0.42733749999999998</v>
      </c>
      <c r="R5703">
        <v>-0.78083159999999996</v>
      </c>
      <c r="S5703">
        <v>2.205505</v>
      </c>
      <c r="T5703">
        <v>-0.24408959999999999</v>
      </c>
      <c r="U5703">
        <v>-2.6872859999999998</v>
      </c>
      <c r="V5703">
        <v>-0.29935929999999999</v>
      </c>
      <c r="W5703">
        <v>0.43566199999999999</v>
      </c>
      <c r="X5703">
        <v>0.84887139999999905</v>
      </c>
      <c r="Y5703">
        <v>-0.46853109999999998</v>
      </c>
      <c r="Z5703">
        <v>5.8433779999999998E-2</v>
      </c>
      <c r="AA5703">
        <v>0.88151239999999997</v>
      </c>
      <c r="AB5703">
        <v>31</v>
      </c>
      <c r="AC5703">
        <v>0.53219999999998802</v>
      </c>
      <c r="AD5703">
        <v>-6.5548999999999996E-2</v>
      </c>
      <c r="AE5703">
        <v>-0.45445999999999698</v>
      </c>
      <c r="AF5703">
        <v>-0.42858990454099299</v>
      </c>
      <c r="AG5703">
        <v>-6.5548999999999996E-2</v>
      </c>
      <c r="AH5703">
        <v>0.54552713584910095</v>
      </c>
      <c r="AI5703">
        <v>95.397569680559002</v>
      </c>
      <c r="AJ5703">
        <v>128.154722510868</v>
      </c>
      <c r="AK5703">
        <v>0.69683989095285104</v>
      </c>
      <c r="AL5703">
        <v>64.172574864331594</v>
      </c>
      <c r="AM5703">
        <v>109.425486468188</v>
      </c>
      <c r="AN5703">
        <v>1.00000001123922</v>
      </c>
    </row>
    <row r="5704" spans="1:40" x14ac:dyDescent="0.25">
      <c r="A5704" t="str">
        <f>"20190304165002190"</f>
        <v>20190304165002190</v>
      </c>
      <c r="B5704" t="str">
        <f>"1551689402181454"</f>
        <v>1551689402181454</v>
      </c>
      <c r="C5704" t="s">
        <v>40</v>
      </c>
      <c r="D5704">
        <v>4.6195050000000002</v>
      </c>
      <c r="E5704">
        <v>0.45278309999999999</v>
      </c>
      <c r="F5704" t="s">
        <v>41</v>
      </c>
      <c r="G5704">
        <v>-420.43299999999999</v>
      </c>
      <c r="H5704">
        <v>1.0531410000000001</v>
      </c>
      <c r="I5704">
        <v>42.476730000000003</v>
      </c>
      <c r="J5704">
        <v>-420.96440000000001</v>
      </c>
      <c r="K5704">
        <v>1.1173729999999999</v>
      </c>
      <c r="L5704">
        <v>42.905000000000001</v>
      </c>
      <c r="M5704">
        <v>0.20405239999999999</v>
      </c>
      <c r="N5704">
        <v>-1.474161E-2</v>
      </c>
      <c r="O5704">
        <v>-0.97884919999999997</v>
      </c>
      <c r="P5704">
        <v>0.46082200000000001</v>
      </c>
      <c r="Q5704">
        <v>0.42949720000000002</v>
      </c>
      <c r="R5704">
        <v>-0.77664390000000005</v>
      </c>
      <c r="S5704">
        <v>2.2189640000000002</v>
      </c>
      <c r="T5704">
        <v>-0.2372264</v>
      </c>
      <c r="U5704">
        <v>-2.6767880000000002</v>
      </c>
      <c r="V5704">
        <v>-0.29918919999999999</v>
      </c>
      <c r="W5704">
        <v>0.43763269999999999</v>
      </c>
      <c r="X5704">
        <v>0.84791709999999998</v>
      </c>
      <c r="Y5704">
        <v>-0.46638780000000002</v>
      </c>
      <c r="Z5704">
        <v>5.6423920000000002E-2</v>
      </c>
      <c r="AA5704">
        <v>0.88277899999999998</v>
      </c>
      <c r="AB5704">
        <v>31</v>
      </c>
      <c r="AC5704">
        <v>0.53139999999996201</v>
      </c>
      <c r="AD5704">
        <v>-6.4231999999999997E-2</v>
      </c>
      <c r="AE5704">
        <v>-0.42827000000000398</v>
      </c>
      <c r="AF5704">
        <v>-0.42901792785723403</v>
      </c>
      <c r="AG5704">
        <v>-6.4231999999999997E-2</v>
      </c>
      <c r="AH5704">
        <v>0.52306942137309398</v>
      </c>
      <c r="AI5704">
        <v>95.423798842927397</v>
      </c>
      <c r="AJ5704">
        <v>129.35836737606601</v>
      </c>
      <c r="AK5704">
        <v>0.67954672526802595</v>
      </c>
      <c r="AL5704">
        <v>64.047064162432704</v>
      </c>
      <c r="AM5704">
        <v>109.435488555653</v>
      </c>
      <c r="AN5704">
        <v>0.99999998298916903</v>
      </c>
    </row>
    <row r="5705" spans="1:40" x14ac:dyDescent="0.25">
      <c r="A5705" t="str">
        <f>"20190304165002211"</f>
        <v>20190304165002211</v>
      </c>
      <c r="B5705" t="str">
        <f>"1551689402201951"</f>
        <v>1551689402201951</v>
      </c>
      <c r="C5705" t="s">
        <v>40</v>
      </c>
      <c r="D5705">
        <v>4.4169519999999904</v>
      </c>
      <c r="E5705">
        <v>0.51125619999999905</v>
      </c>
      <c r="F5705" t="s">
        <v>49</v>
      </c>
      <c r="G5705">
        <v>-413.47699999999998</v>
      </c>
      <c r="H5705" s="1">
        <v>-5.5450299999999998E-6</v>
      </c>
      <c r="I5705">
        <v>32.764479999999999</v>
      </c>
      <c r="J5705">
        <v>-420.89670000000001</v>
      </c>
      <c r="K5705">
        <v>1.117651</v>
      </c>
      <c r="L5705">
        <v>42.616880000000002</v>
      </c>
      <c r="M5705">
        <v>0.2115194</v>
      </c>
      <c r="N5705">
        <v>-1.477408E-2</v>
      </c>
      <c r="O5705">
        <v>-0.97726230000000003</v>
      </c>
      <c r="P5705">
        <v>0.46715059999999903</v>
      </c>
      <c r="Q5705">
        <v>0.43021100000000001</v>
      </c>
      <c r="R5705">
        <v>-0.77245640000000004</v>
      </c>
      <c r="S5705">
        <v>2.0710139999999999</v>
      </c>
      <c r="T5705">
        <v>-0.3090639</v>
      </c>
      <c r="U5705">
        <v>-2.80484</v>
      </c>
      <c r="V5705">
        <v>-0.30003819999999998</v>
      </c>
      <c r="W5705">
        <v>0.43815399999999999</v>
      </c>
      <c r="X5705">
        <v>0.84734769999999904</v>
      </c>
      <c r="Y5705">
        <v>-0.40833950000000002</v>
      </c>
      <c r="Z5705">
        <v>7.6577690000000004E-2</v>
      </c>
      <c r="AA5705">
        <v>0.90961239999999999</v>
      </c>
      <c r="AB5705">
        <v>31</v>
      </c>
      <c r="AC5705">
        <v>7.4197000000000299</v>
      </c>
      <c r="AD5705">
        <v>-1.11765654503</v>
      </c>
      <c r="AE5705">
        <v>-9.8523999999999994</v>
      </c>
      <c r="AF5705">
        <v>-5.1254942107014596</v>
      </c>
      <c r="AG5705">
        <v>-1.11765654503</v>
      </c>
      <c r="AH5705">
        <v>11.107797697660599</v>
      </c>
      <c r="AI5705">
        <v>95.220150649484495</v>
      </c>
      <c r="AJ5705">
        <v>114.770115594328</v>
      </c>
      <c r="AK5705">
        <v>12.2842589010789</v>
      </c>
      <c r="AL5705">
        <v>64.0138413620287</v>
      </c>
      <c r="AM5705">
        <v>109.498596563459</v>
      </c>
      <c r="AN5705">
        <v>0.99999998693526404</v>
      </c>
    </row>
    <row r="5706" spans="1:40" x14ac:dyDescent="0.25">
      <c r="A5706" t="str">
        <f>"20190304165002234"</f>
        <v>20190304165002234</v>
      </c>
      <c r="B5706" t="str">
        <f>"1551689402231231"</f>
        <v>1551689402231231</v>
      </c>
      <c r="C5706" t="s">
        <v>40</v>
      </c>
      <c r="D5706">
        <v>4.4039390000000003</v>
      </c>
      <c r="E5706">
        <v>0.51930270000000001</v>
      </c>
      <c r="F5706" t="s">
        <v>49</v>
      </c>
      <c r="G5706">
        <v>-415.97019999999998</v>
      </c>
      <c r="H5706" s="1">
        <v>-4.47922E-6</v>
      </c>
      <c r="I5706">
        <v>33.794969999999999</v>
      </c>
      <c r="J5706">
        <v>-420.82260000000002</v>
      </c>
      <c r="K5706">
        <v>1.117936</v>
      </c>
      <c r="L5706">
        <v>42.313999999999901</v>
      </c>
      <c r="M5706">
        <v>0.21972530000000001</v>
      </c>
      <c r="N5706">
        <v>-1.480938E-2</v>
      </c>
      <c r="O5706">
        <v>-0.97544940000000002</v>
      </c>
      <c r="P5706">
        <v>0.47466140000000001</v>
      </c>
      <c r="Q5706">
        <v>0.4297397</v>
      </c>
      <c r="R5706">
        <v>-0.76812769999999997</v>
      </c>
      <c r="S5706">
        <v>1.7115479999999901</v>
      </c>
      <c r="T5706">
        <v>-0.38829609999999998</v>
      </c>
      <c r="U5706">
        <v>-3.0649109999999999</v>
      </c>
      <c r="V5706">
        <v>-0.30143320000000001</v>
      </c>
      <c r="W5706">
        <v>0.43747999999999998</v>
      </c>
      <c r="X5706">
        <v>0.84720090000000003</v>
      </c>
      <c r="Y5706">
        <v>-0.28121190000000001</v>
      </c>
      <c r="Z5706">
        <v>9.6841250000000004E-2</v>
      </c>
      <c r="AA5706">
        <v>0.95474689999999995</v>
      </c>
      <c r="AB5706">
        <v>31</v>
      </c>
      <c r="AC5706">
        <v>4.8524000000000402</v>
      </c>
      <c r="AD5706">
        <v>-1.1179404792200001</v>
      </c>
      <c r="AE5706">
        <v>-8.5190299999999901</v>
      </c>
      <c r="AF5706">
        <v>-2.8250060010320799</v>
      </c>
      <c r="AG5706">
        <v>-1.1179404792200001</v>
      </c>
      <c r="AH5706">
        <v>9.2567454615566493</v>
      </c>
      <c r="AI5706">
        <v>96.589086580227502</v>
      </c>
      <c r="AJ5706">
        <v>106.971324491922</v>
      </c>
      <c r="AK5706">
        <v>9.7425759612638192</v>
      </c>
      <c r="AL5706">
        <v>64.056795813286101</v>
      </c>
      <c r="AM5706">
        <v>109.5855057931</v>
      </c>
      <c r="AN5706">
        <v>1.00000004471152</v>
      </c>
    </row>
    <row r="5707" spans="1:40" x14ac:dyDescent="0.25">
      <c r="A5707" t="str">
        <f>"20190304165002248"</f>
        <v>20190304165002248</v>
      </c>
      <c r="B5707" t="str">
        <f>"1551689402241967"</f>
        <v>1551689402241967</v>
      </c>
      <c r="C5707" t="s">
        <v>40</v>
      </c>
      <c r="D5707">
        <v>4.6748250000000002</v>
      </c>
      <c r="E5707">
        <v>0.52029689999999995</v>
      </c>
      <c r="F5707" t="s">
        <v>49</v>
      </c>
      <c r="G5707">
        <v>-416.61419999999998</v>
      </c>
      <c r="H5707" s="1">
        <v>-3.9264129999999999E-6</v>
      </c>
      <c r="I5707">
        <v>34.599649999999997</v>
      </c>
      <c r="J5707">
        <v>-420.7706</v>
      </c>
      <c r="K5707">
        <v>1.118131</v>
      </c>
      <c r="L5707">
        <v>42.109499999999997</v>
      </c>
      <c r="M5707">
        <v>0.22551209999999999</v>
      </c>
      <c r="N5707">
        <v>-1.483518E-2</v>
      </c>
      <c r="O5707">
        <v>-0.97412759999999998</v>
      </c>
      <c r="P5707">
        <v>0.47960350000000002</v>
      </c>
      <c r="Q5707">
        <v>0.42989189999999999</v>
      </c>
      <c r="R5707">
        <v>-0.76496640000000005</v>
      </c>
      <c r="S5707">
        <v>1.6962889999999999</v>
      </c>
      <c r="T5707">
        <v>-0.45061449999999997</v>
      </c>
      <c r="U5707">
        <v>-3.109467</v>
      </c>
      <c r="V5707">
        <v>-0.30209930000000002</v>
      </c>
      <c r="W5707">
        <v>0.43749929999999898</v>
      </c>
      <c r="X5707">
        <v>0.84695359999999997</v>
      </c>
      <c r="Y5707">
        <v>-0.26518799999999998</v>
      </c>
      <c r="Z5707">
        <v>0.1129309</v>
      </c>
      <c r="AA5707">
        <v>0.95756039999999998</v>
      </c>
      <c r="AB5707">
        <v>31</v>
      </c>
      <c r="AC5707">
        <v>4.1564000000000103</v>
      </c>
      <c r="AD5707">
        <v>-1.1181349264129901</v>
      </c>
      <c r="AE5707">
        <v>-7.5098500000000001</v>
      </c>
      <c r="AF5707">
        <v>-2.3162542946286999</v>
      </c>
      <c r="AG5707">
        <v>-1.1181349264129901</v>
      </c>
      <c r="AH5707">
        <v>8.1160495745240695</v>
      </c>
      <c r="AI5707">
        <v>97.546535755750895</v>
      </c>
      <c r="AJ5707">
        <v>105.92831381475099</v>
      </c>
      <c r="AK5707">
        <v>8.5138428671888704</v>
      </c>
      <c r="AL5707">
        <v>64.055565179780999</v>
      </c>
      <c r="AM5707">
        <v>109.63077433069201</v>
      </c>
      <c r="AN5707">
        <v>1.0000000125569699</v>
      </c>
    </row>
    <row r="5708" spans="1:40" x14ac:dyDescent="0.25">
      <c r="A5708" t="str">
        <f>"20190304165002269"</f>
        <v>20190304165002269</v>
      </c>
      <c r="B5708" t="str">
        <f>"1551689402261486"</f>
        <v>1551689402261486</v>
      </c>
      <c r="C5708" t="s">
        <v>40</v>
      </c>
      <c r="D5708">
        <v>4.3917199999999896</v>
      </c>
      <c r="E5708">
        <v>0.52121509999999904</v>
      </c>
      <c r="F5708" t="s">
        <v>49</v>
      </c>
      <c r="G5708">
        <v>-416.4742</v>
      </c>
      <c r="H5708" s="1">
        <v>-4.1068600000000002E-6</v>
      </c>
      <c r="I5708">
        <v>34.306459999999902</v>
      </c>
      <c r="J5708">
        <v>-420.70260000000002</v>
      </c>
      <c r="K5708">
        <v>1.118377</v>
      </c>
      <c r="L5708">
        <v>41.849490000000003</v>
      </c>
      <c r="M5708">
        <v>0.2330952</v>
      </c>
      <c r="N5708">
        <v>-1.486934E-2</v>
      </c>
      <c r="O5708">
        <v>-0.97234039999999999</v>
      </c>
      <c r="P5708">
        <v>0.48571300000000001</v>
      </c>
      <c r="Q5708">
        <v>0.43074560000000001</v>
      </c>
      <c r="R5708">
        <v>-0.76061899999999905</v>
      </c>
      <c r="S5708">
        <v>1.7074279999999999</v>
      </c>
      <c r="T5708">
        <v>-0.4443549</v>
      </c>
      <c r="U5708">
        <v>-3.1009829999999998</v>
      </c>
      <c r="V5708">
        <v>-0.3026761</v>
      </c>
      <c r="W5708">
        <v>0.4381852</v>
      </c>
      <c r="X5708">
        <v>0.8463929</v>
      </c>
      <c r="Y5708">
        <v>-0.26152550000000002</v>
      </c>
      <c r="Z5708">
        <v>0.1111186</v>
      </c>
      <c r="AA5708">
        <v>0.95877900000000005</v>
      </c>
      <c r="AB5708">
        <v>31</v>
      </c>
      <c r="AC5708">
        <v>4.2284000000000201</v>
      </c>
      <c r="AD5708">
        <v>-1.11838110686</v>
      </c>
      <c r="AE5708">
        <v>-7.5430299999999999</v>
      </c>
      <c r="AF5708">
        <v>-2.31474158767442</v>
      </c>
      <c r="AG5708">
        <v>-1.11838110686</v>
      </c>
      <c r="AH5708">
        <v>8.1840381453106694</v>
      </c>
      <c r="AI5708">
        <v>97.491160473657501</v>
      </c>
      <c r="AJ5708">
        <v>105.792819258845</v>
      </c>
      <c r="AK5708">
        <v>8.5783031703123598</v>
      </c>
      <c r="AL5708">
        <v>64.011853475010895</v>
      </c>
      <c r="AM5708">
        <v>109.677410164474</v>
      </c>
      <c r="AN5708">
        <v>1.00000001609032</v>
      </c>
    </row>
    <row r="5709" spans="1:40" x14ac:dyDescent="0.25">
      <c r="A5709" t="str">
        <f>"20190304165002289"</f>
        <v>20190304165002289</v>
      </c>
      <c r="B5709" t="str">
        <f>"1551689402281986"</f>
        <v>1551689402281986</v>
      </c>
      <c r="C5709" t="s">
        <v>40</v>
      </c>
      <c r="D5709">
        <v>4.4310049999999999</v>
      </c>
      <c r="E5709">
        <v>0.52170919999999998</v>
      </c>
      <c r="F5709" t="s">
        <v>49</v>
      </c>
      <c r="G5709">
        <v>-416.27589999999998</v>
      </c>
      <c r="H5709" s="1">
        <v>-4.3435279999999999E-6</v>
      </c>
      <c r="I5709">
        <v>33.928249999999998</v>
      </c>
      <c r="J5709">
        <v>-420.62599999999998</v>
      </c>
      <c r="K5709">
        <v>1.1186449999999999</v>
      </c>
      <c r="L5709">
        <v>41.567349999999998</v>
      </c>
      <c r="M5709">
        <v>0.2416249</v>
      </c>
      <c r="N5709">
        <v>-1.490856E-2</v>
      </c>
      <c r="O5709">
        <v>-0.97025530000000004</v>
      </c>
      <c r="P5709">
        <v>0.49248989999999998</v>
      </c>
      <c r="Q5709">
        <v>0.4318708</v>
      </c>
      <c r="R5709">
        <v>-0.75560680000000002</v>
      </c>
      <c r="S5709">
        <v>1.7261660000000001</v>
      </c>
      <c r="T5709">
        <v>-0.43611040000000001</v>
      </c>
      <c r="U5709">
        <v>-3.088867</v>
      </c>
      <c r="V5709">
        <v>-0.30326579999999997</v>
      </c>
      <c r="W5709">
        <v>0.43913269999999999</v>
      </c>
      <c r="X5709">
        <v>0.84569050000000001</v>
      </c>
      <c r="Y5709">
        <v>-0.25921830000000001</v>
      </c>
      <c r="Z5709">
        <v>0.10873679999999999</v>
      </c>
      <c r="AA5709">
        <v>0.95967820000000004</v>
      </c>
      <c r="AB5709">
        <v>31</v>
      </c>
      <c r="AC5709">
        <v>4.3500999999999896</v>
      </c>
      <c r="AD5709">
        <v>-1.1186493435280001</v>
      </c>
      <c r="AE5709">
        <v>-7.6390999999999902</v>
      </c>
      <c r="AF5709">
        <v>-2.33732639410835</v>
      </c>
      <c r="AG5709">
        <v>-1.1186493435280001</v>
      </c>
      <c r="AH5709">
        <v>8.3290380789814495</v>
      </c>
      <c r="AI5709">
        <v>97.368143461295205</v>
      </c>
      <c r="AJ5709">
        <v>105.6753843022</v>
      </c>
      <c r="AK5709">
        <v>8.7228061051185897</v>
      </c>
      <c r="AL5709">
        <v>63.951444261627998</v>
      </c>
      <c r="AM5709">
        <v>109.727904873615</v>
      </c>
      <c r="AN5709">
        <v>1.0000000477245801</v>
      </c>
    </row>
    <row r="5710" spans="1:40" x14ac:dyDescent="0.25">
      <c r="A5710" t="str">
        <f>"20190304165002305"</f>
        <v>20190304165002305</v>
      </c>
      <c r="B5710" t="str">
        <f>"1551689402301503"</f>
        <v>1551689402301503</v>
      </c>
      <c r="C5710" t="s">
        <v>40</v>
      </c>
      <c r="D5710">
        <v>4.3679489999999896</v>
      </c>
      <c r="E5710">
        <v>0.52141919999999997</v>
      </c>
      <c r="F5710" t="s">
        <v>49</v>
      </c>
      <c r="G5710">
        <v>-416.11559999999997</v>
      </c>
      <c r="H5710" s="1">
        <v>-4.5202880000000002E-6</v>
      </c>
      <c r="I5710">
        <v>33.6511</v>
      </c>
      <c r="J5710">
        <v>-420.57089999999999</v>
      </c>
      <c r="K5710">
        <v>1.1188199999999999</v>
      </c>
      <c r="L5710">
        <v>41.370939999999997</v>
      </c>
      <c r="M5710">
        <v>0.2477509</v>
      </c>
      <c r="N5710">
        <v>-1.4936720000000001E-2</v>
      </c>
      <c r="O5710">
        <v>-0.96870889999999998</v>
      </c>
      <c r="P5710">
        <v>0.49751069999999997</v>
      </c>
      <c r="Q5710">
        <v>0.4323477</v>
      </c>
      <c r="R5710">
        <v>-0.75203659999999894</v>
      </c>
      <c r="S5710">
        <v>1.7528079999999999</v>
      </c>
      <c r="T5710">
        <v>-0.43472159999999899</v>
      </c>
      <c r="U5710">
        <v>-3.076355</v>
      </c>
      <c r="V5710">
        <v>-0.3038228</v>
      </c>
      <c r="W5710">
        <v>0.43948989999999999</v>
      </c>
      <c r="X5710">
        <v>0.84530490000000003</v>
      </c>
      <c r="Y5710">
        <v>-0.26110129999999998</v>
      </c>
      <c r="Z5710">
        <v>0.1082303</v>
      </c>
      <c r="AA5710">
        <v>0.95922490000000005</v>
      </c>
      <c r="AB5710">
        <v>31</v>
      </c>
      <c r="AC5710">
        <v>4.4553000000000198</v>
      </c>
      <c r="AD5710">
        <v>-1.1188245202880001</v>
      </c>
      <c r="AE5710">
        <v>-7.7198399999999996</v>
      </c>
      <c r="AF5710">
        <v>-2.3662752182669702</v>
      </c>
      <c r="AG5710">
        <v>-1.1188245202880001</v>
      </c>
      <c r="AH5710">
        <v>8.44989842144075</v>
      </c>
      <c r="AI5710">
        <v>97.266112902536804</v>
      </c>
      <c r="AJ5710">
        <v>105.644155761625</v>
      </c>
      <c r="AK5710">
        <v>8.8460053158727501</v>
      </c>
      <c r="AL5710">
        <v>63.928661276986801</v>
      </c>
      <c r="AM5710">
        <v>109.76965091021501</v>
      </c>
      <c r="AN5710">
        <v>1.00000001998293</v>
      </c>
    </row>
    <row r="5711" spans="1:40" x14ac:dyDescent="0.25">
      <c r="A5711" t="str">
        <f>"20190304165002322"</f>
        <v>20190304165002322</v>
      </c>
      <c r="B5711" t="str">
        <f>"1551689402311262"</f>
        <v>1551689402311262</v>
      </c>
      <c r="C5711" t="s">
        <v>40</v>
      </c>
      <c r="D5711">
        <v>4.6216989999999996</v>
      </c>
      <c r="E5711">
        <v>0.52146579999999998</v>
      </c>
      <c r="F5711" t="s">
        <v>49</v>
      </c>
      <c r="G5711">
        <v>-415.95519999999999</v>
      </c>
      <c r="H5711" s="1">
        <v>-4.6771709999999997E-6</v>
      </c>
      <c r="I5711">
        <v>33.413020000000003</v>
      </c>
      <c r="J5711">
        <v>-420.50130000000001</v>
      </c>
      <c r="K5711">
        <v>1.11903</v>
      </c>
      <c r="L5711">
        <v>41.130130000000001</v>
      </c>
      <c r="M5711">
        <v>0.255441799999999</v>
      </c>
      <c r="N5711">
        <v>-1.497091E-2</v>
      </c>
      <c r="O5711">
        <v>-0.96670860000000003</v>
      </c>
      <c r="P5711">
        <v>0.50387009999999999</v>
      </c>
      <c r="Q5711">
        <v>0.43261129999999998</v>
      </c>
      <c r="R5711">
        <v>-0.74763819999999903</v>
      </c>
      <c r="S5711">
        <v>1.775909</v>
      </c>
      <c r="T5711">
        <v>-0.43047069999999998</v>
      </c>
      <c r="U5711">
        <v>-3.0618289999999999</v>
      </c>
      <c r="V5711">
        <v>-0.30454399999999998</v>
      </c>
      <c r="W5711">
        <v>0.43961420000000001</v>
      </c>
      <c r="X5711">
        <v>0.84498069999999903</v>
      </c>
      <c r="Y5711">
        <v>-0.26089079999999998</v>
      </c>
      <c r="Z5711">
        <v>0.10698050000000001</v>
      </c>
      <c r="AA5711">
        <v>0.95942229999999995</v>
      </c>
      <c r="AB5711">
        <v>31</v>
      </c>
      <c r="AC5711">
        <v>4.5461000000000196</v>
      </c>
      <c r="AD5711">
        <v>-1.119034677171</v>
      </c>
      <c r="AE5711">
        <v>-7.7171099999999901</v>
      </c>
      <c r="AF5711">
        <v>-2.3864999180131798</v>
      </c>
      <c r="AG5711">
        <v>-1.119034677171</v>
      </c>
      <c r="AH5711">
        <v>8.4898997452182794</v>
      </c>
      <c r="AI5711">
        <v>97.231606973618597</v>
      </c>
      <c r="AJ5711">
        <v>105.70060496884599</v>
      </c>
      <c r="AK5711">
        <v>8.8896579321842104</v>
      </c>
      <c r="AL5711">
        <v>63.920732893810303</v>
      </c>
      <c r="AM5711">
        <v>109.819940140328</v>
      </c>
      <c r="AN5711">
        <v>1.00000003807506</v>
      </c>
    </row>
    <row r="5712" spans="1:40" x14ac:dyDescent="0.25">
      <c r="A5712" t="str">
        <f>"20190304165002337"</f>
        <v>20190304165002337</v>
      </c>
      <c r="B5712" t="str">
        <f>"1551689402331759"</f>
        <v>1551689402331759</v>
      </c>
      <c r="C5712" t="s">
        <v>40</v>
      </c>
      <c r="D5712">
        <v>4.4666680000000003</v>
      </c>
      <c r="E5712">
        <v>0.52211809999999903</v>
      </c>
      <c r="F5712" t="s">
        <v>49</v>
      </c>
      <c r="G5712">
        <v>-415.88249999999999</v>
      </c>
      <c r="H5712" s="1">
        <v>-4.7398379999999997E-6</v>
      </c>
      <c r="I5712">
        <v>33.321669999999997</v>
      </c>
      <c r="J5712">
        <v>-420.44389999999999</v>
      </c>
      <c r="K5712">
        <v>1.119189</v>
      </c>
      <c r="L5712">
        <v>40.936369999999997</v>
      </c>
      <c r="M5712">
        <v>0.2617621</v>
      </c>
      <c r="N5712">
        <v>-1.4997730000000001E-2</v>
      </c>
      <c r="O5712">
        <v>-0.96501610000000004</v>
      </c>
      <c r="P5712">
        <v>0.50885659999999999</v>
      </c>
      <c r="Q5712">
        <v>0.43263420000000002</v>
      </c>
      <c r="R5712">
        <v>-0.74423989999999995</v>
      </c>
      <c r="S5712">
        <v>1.8039860000000001</v>
      </c>
      <c r="T5712">
        <v>-0.43706080000000003</v>
      </c>
      <c r="U5712">
        <v>-3.049744</v>
      </c>
      <c r="V5712">
        <v>-0.30484</v>
      </c>
      <c r="W5712">
        <v>0.43953750000000003</v>
      </c>
      <c r="X5712">
        <v>0.84491380000000005</v>
      </c>
      <c r="Y5712">
        <v>-0.26269399999999998</v>
      </c>
      <c r="Z5712">
        <v>0.10862330000000001</v>
      </c>
      <c r="AA5712">
        <v>0.95874550000000003</v>
      </c>
      <c r="AB5712">
        <v>31</v>
      </c>
      <c r="AC5712">
        <v>4.5613999999999901</v>
      </c>
      <c r="AD5712">
        <v>-1.1191937398379901</v>
      </c>
      <c r="AE5712">
        <v>-7.6146999999999903</v>
      </c>
      <c r="AF5712">
        <v>-2.3711586180202899</v>
      </c>
      <c r="AG5712">
        <v>-1.1191937398379901</v>
      </c>
      <c r="AH5712">
        <v>8.4095744702012603</v>
      </c>
      <c r="AI5712">
        <v>97.299344231081704</v>
      </c>
      <c r="AJ5712">
        <v>105.746297324765</v>
      </c>
      <c r="AK5712">
        <v>8.8088552371443392</v>
      </c>
      <c r="AL5712">
        <v>63.925624019761202</v>
      </c>
      <c r="AM5712">
        <v>109.83914980080399</v>
      </c>
      <c r="AN5712">
        <v>0.99999998446834404</v>
      </c>
    </row>
    <row r="5713" spans="1:40" x14ac:dyDescent="0.25">
      <c r="A5713" t="str">
        <f>"20190304165002352"</f>
        <v>20190304165002352</v>
      </c>
      <c r="B5713" t="str">
        <f>"1551689402341519"</f>
        <v>1551689402341519</v>
      </c>
      <c r="C5713" t="s">
        <v>40</v>
      </c>
      <c r="D5713">
        <v>4.4391339999999904</v>
      </c>
      <c r="E5713">
        <v>0.52240600000000004</v>
      </c>
      <c r="F5713" t="s">
        <v>49</v>
      </c>
      <c r="G5713">
        <v>-415.88940000000002</v>
      </c>
      <c r="H5713" s="1">
        <v>-4.7316529999999997E-6</v>
      </c>
      <c r="I5713">
        <v>33.33473</v>
      </c>
      <c r="J5713">
        <v>-420.38560000000001</v>
      </c>
      <c r="K5713">
        <v>1.1193280000000001</v>
      </c>
      <c r="L5713">
        <v>40.745179999999998</v>
      </c>
      <c r="M5713">
        <v>0.2681327</v>
      </c>
      <c r="N5713">
        <v>-1.5024020000000001E-2</v>
      </c>
      <c r="O5713">
        <v>-0.96326500000000004</v>
      </c>
      <c r="P5713">
        <v>0.51392789999999999</v>
      </c>
      <c r="Q5713">
        <v>0.43271300000000001</v>
      </c>
      <c r="R5713">
        <v>-0.74070080000000005</v>
      </c>
      <c r="S5713">
        <v>1.824036</v>
      </c>
      <c r="T5713">
        <v>-0.44822469999999998</v>
      </c>
      <c r="U5713">
        <v>-3.0443730000000002</v>
      </c>
      <c r="V5713">
        <v>-0.30520069999999999</v>
      </c>
      <c r="W5713">
        <v>0.43952419999999998</v>
      </c>
      <c r="X5713">
        <v>0.8447905</v>
      </c>
      <c r="Y5713">
        <v>-0.26155289999999998</v>
      </c>
      <c r="Z5713">
        <v>0.1113948</v>
      </c>
      <c r="AA5713">
        <v>0.95873949999999997</v>
      </c>
      <c r="AB5713">
        <v>31</v>
      </c>
      <c r="AC5713">
        <v>4.4961999999999804</v>
      </c>
      <c r="AD5713">
        <v>-1.119332731653</v>
      </c>
      <c r="AE5713">
        <v>-7.4104499999999902</v>
      </c>
      <c r="AF5713">
        <v>-2.3058589710697799</v>
      </c>
      <c r="AG5713">
        <v>-1.119332731653</v>
      </c>
      <c r="AH5713">
        <v>8.2078683615658701</v>
      </c>
      <c r="AI5713">
        <v>97.479615762460099</v>
      </c>
      <c r="AJ5713">
        <v>105.691791404296</v>
      </c>
      <c r="AK5713">
        <v>8.5987786574261094</v>
      </c>
      <c r="AL5713">
        <v>63.9264725297569</v>
      </c>
      <c r="AM5713">
        <v>109.86346157899899</v>
      </c>
      <c r="AN5713">
        <v>0.99999998927819</v>
      </c>
    </row>
    <row r="5714" spans="1:40" x14ac:dyDescent="0.25">
      <c r="A5714" t="str">
        <f>"20190304165002366"</f>
        <v>20190304165002366</v>
      </c>
      <c r="B5714" t="str">
        <f>"1551689402362016"</f>
        <v>1551689402362016</v>
      </c>
      <c r="C5714" t="s">
        <v>40</v>
      </c>
      <c r="D5714">
        <v>4.4831370000000001</v>
      </c>
      <c r="E5714">
        <v>0.52300879999999905</v>
      </c>
      <c r="F5714" t="s">
        <v>49</v>
      </c>
      <c r="G5714">
        <v>-415.81920000000002</v>
      </c>
      <c r="H5714" s="1">
        <v>-4.803359E-6</v>
      </c>
      <c r="I5714">
        <v>33.224550000000001</v>
      </c>
      <c r="J5714">
        <v>-420.32850000000002</v>
      </c>
      <c r="K5714">
        <v>1.1194539999999999</v>
      </c>
      <c r="L5714">
        <v>40.563139999999997</v>
      </c>
      <c r="M5714">
        <v>0.27431040000000001</v>
      </c>
      <c r="N5714">
        <v>-1.504842E-2</v>
      </c>
      <c r="O5714">
        <v>-0.96152349999999998</v>
      </c>
      <c r="P5714">
        <v>0.51912579999999997</v>
      </c>
      <c r="Q5714">
        <v>0.43250470000000002</v>
      </c>
      <c r="R5714">
        <v>-0.73718950000000005</v>
      </c>
      <c r="S5714">
        <v>1.843018</v>
      </c>
      <c r="T5714">
        <v>-0.45176949999999999</v>
      </c>
      <c r="U5714">
        <v>-3.0353699999999999</v>
      </c>
      <c r="V5714">
        <v>-0.30582490000000001</v>
      </c>
      <c r="W5714">
        <v>0.43922990000000001</v>
      </c>
      <c r="X5714">
        <v>0.84471779999999996</v>
      </c>
      <c r="Y5714">
        <v>-0.26095390000000002</v>
      </c>
      <c r="Z5714">
        <v>0.11218789999999999</v>
      </c>
      <c r="AA5714">
        <v>0.95881019999999995</v>
      </c>
      <c r="AB5714">
        <v>31</v>
      </c>
      <c r="AC5714">
        <v>4.5092999999999899</v>
      </c>
      <c r="AD5714">
        <v>-1.1194588033590001</v>
      </c>
      <c r="AE5714">
        <v>-7.3385899999999999</v>
      </c>
      <c r="AF5714">
        <v>-2.2844210821334201</v>
      </c>
      <c r="AG5714">
        <v>-1.1194588033590001</v>
      </c>
      <c r="AH5714">
        <v>8.1563373788295195</v>
      </c>
      <c r="AI5714">
        <v>97.528820793364901</v>
      </c>
      <c r="AJ5714">
        <v>105.646458425753</v>
      </c>
      <c r="AK5714">
        <v>8.5438637120570409</v>
      </c>
      <c r="AL5714">
        <v>63.945243055568298</v>
      </c>
      <c r="AM5714">
        <v>109.902478226724</v>
      </c>
      <c r="AN5714">
        <v>0.99999996807542901</v>
      </c>
    </row>
    <row r="5715" spans="1:40" x14ac:dyDescent="0.25">
      <c r="A5715" t="str">
        <f>"20190304165002381"</f>
        <v>20190304165002381</v>
      </c>
      <c r="B5715" t="str">
        <f>"1551689402371775"</f>
        <v>1551689402371775</v>
      </c>
      <c r="C5715" t="s">
        <v>40</v>
      </c>
      <c r="D5715">
        <v>4.4472579999999997</v>
      </c>
      <c r="E5715">
        <v>0.52327319999999999</v>
      </c>
      <c r="F5715" t="s">
        <v>49</v>
      </c>
      <c r="G5715">
        <v>-415.8186</v>
      </c>
      <c r="H5715" s="1">
        <v>-4.8038209999999996E-6</v>
      </c>
      <c r="I5715">
        <v>33.223880000000001</v>
      </c>
      <c r="J5715">
        <v>-420.26620000000003</v>
      </c>
      <c r="K5715">
        <v>1.119586</v>
      </c>
      <c r="L5715">
        <v>40.368740000000003</v>
      </c>
      <c r="M5715">
        <v>0.28099049999999998</v>
      </c>
      <c r="N5715">
        <v>-1.5073319999999999E-2</v>
      </c>
      <c r="O5715">
        <v>-0.95959240000000001</v>
      </c>
      <c r="P5715">
        <v>0.52510579999999996</v>
      </c>
      <c r="Q5715">
        <v>0.43252780000000002</v>
      </c>
      <c r="R5715">
        <v>-0.73292800000000002</v>
      </c>
      <c r="S5715">
        <v>1.861664</v>
      </c>
      <c r="T5715">
        <v>-0.46211079999999999</v>
      </c>
      <c r="U5715">
        <v>-3.029633</v>
      </c>
      <c r="V5715">
        <v>-0.30697219999999997</v>
      </c>
      <c r="W5715">
        <v>0.4391524</v>
      </c>
      <c r="X5715">
        <v>0.84434189999999998</v>
      </c>
      <c r="Y5715">
        <v>-0.25918160000000001</v>
      </c>
      <c r="Z5715">
        <v>0.11470900000000001</v>
      </c>
      <c r="AA5715">
        <v>0.95899259999999997</v>
      </c>
      <c r="AB5715">
        <v>31</v>
      </c>
      <c r="AC5715">
        <v>4.44760000000002</v>
      </c>
      <c r="AD5715">
        <v>-1.1195908038210001</v>
      </c>
      <c r="AE5715">
        <v>-7.1448600000000004</v>
      </c>
      <c r="AF5715">
        <v>-2.22119317031007</v>
      </c>
      <c r="AG5715">
        <v>-1.1195908038210001</v>
      </c>
      <c r="AH5715">
        <v>7.9658343238102702</v>
      </c>
      <c r="AI5715">
        <v>97.710078039300598</v>
      </c>
      <c r="AJ5715">
        <v>105.58059621193</v>
      </c>
      <c r="AK5715">
        <v>8.3451602226815602</v>
      </c>
      <c r="AL5715">
        <v>63.950186660256499</v>
      </c>
      <c r="AM5715">
        <v>109.979437421181</v>
      </c>
      <c r="AN5715">
        <v>1.0000000030470999</v>
      </c>
    </row>
    <row r="5716" spans="1:40" x14ac:dyDescent="0.25">
      <c r="A5716" t="str">
        <f>"20190304165002402"</f>
        <v>20190304165002402</v>
      </c>
      <c r="B5716" t="str">
        <f>"1551689402391294"</f>
        <v>1551689402391294</v>
      </c>
      <c r="C5716" t="s">
        <v>40</v>
      </c>
      <c r="D5716">
        <v>4.4691489999999998</v>
      </c>
      <c r="E5716">
        <v>0.52376829999999996</v>
      </c>
      <c r="F5716" t="s">
        <v>49</v>
      </c>
      <c r="G5716">
        <v>-415.7457</v>
      </c>
      <c r="H5716" s="1">
        <v>-4.8776950000000004E-6</v>
      </c>
      <c r="I5716">
        <v>33.11065</v>
      </c>
      <c r="J5716">
        <v>-420.178</v>
      </c>
      <c r="K5716">
        <v>1.1197459999999999</v>
      </c>
      <c r="L5716">
        <v>40.10172</v>
      </c>
      <c r="M5716">
        <v>0.29032859999999899</v>
      </c>
      <c r="N5716">
        <v>-1.510595E-2</v>
      </c>
      <c r="O5716">
        <v>-0.95680790000000004</v>
      </c>
      <c r="P5716">
        <v>0.5324972</v>
      </c>
      <c r="Q5716">
        <v>0.43246109999999999</v>
      </c>
      <c r="R5716">
        <v>-0.72761540000000002</v>
      </c>
      <c r="S5716">
        <v>1.881165</v>
      </c>
      <c r="T5716">
        <v>-0.46590239999999999</v>
      </c>
      <c r="U5716">
        <v>-3.0203549999999999</v>
      </c>
      <c r="V5716">
        <v>-0.30745050000000002</v>
      </c>
      <c r="W5716">
        <v>0.43898619999999999</v>
      </c>
      <c r="X5716">
        <v>0.84425430000000001</v>
      </c>
      <c r="Y5716">
        <v>-0.25551049999999997</v>
      </c>
      <c r="Z5716">
        <v>0.11541369999999999</v>
      </c>
      <c r="AA5716">
        <v>0.95989270000000004</v>
      </c>
      <c r="AB5716">
        <v>31</v>
      </c>
      <c r="AC5716">
        <v>4.4323000000000503</v>
      </c>
      <c r="AD5716">
        <v>-1.11975087769499</v>
      </c>
      <c r="AE5716">
        <v>-6.9910699999999997</v>
      </c>
      <c r="AF5716">
        <v>-2.1716652148442002</v>
      </c>
      <c r="AG5716">
        <v>-1.11975087769499</v>
      </c>
      <c r="AH5716">
        <v>7.8334997862481703</v>
      </c>
      <c r="AI5716">
        <v>97.843050085589795</v>
      </c>
      <c r="AJ5716">
        <v>105.494861557033</v>
      </c>
      <c r="AK5716">
        <v>8.2057108610170495</v>
      </c>
      <c r="AL5716">
        <v>63.9607856467197</v>
      </c>
      <c r="AM5716">
        <v>110.010011010613</v>
      </c>
      <c r="AN5716">
        <v>1.0000000084045899</v>
      </c>
    </row>
    <row r="5717" spans="1:40" x14ac:dyDescent="0.25">
      <c r="A5717" t="str">
        <f>"20190304165002424"</f>
        <v>20190304165002424</v>
      </c>
      <c r="B5717" t="str">
        <f>"1551689402411791"</f>
        <v>1551689402411791</v>
      </c>
      <c r="C5717" t="s">
        <v>40</v>
      </c>
      <c r="D5717">
        <v>4.5083820000000001</v>
      </c>
      <c r="E5717">
        <v>0.52391549999999998</v>
      </c>
      <c r="F5717" t="s">
        <v>49</v>
      </c>
      <c r="G5717">
        <v>-415.68220000000002</v>
      </c>
      <c r="H5717" s="1">
        <v>-4.9400740000000001E-6</v>
      </c>
      <c r="I5717">
        <v>33.015860000000004</v>
      </c>
      <c r="J5717">
        <v>-420.08240000000001</v>
      </c>
      <c r="K5717">
        <v>1.1198760000000001</v>
      </c>
      <c r="L5717">
        <v>39.822240000000001</v>
      </c>
      <c r="M5717">
        <v>0.30026619999999998</v>
      </c>
      <c r="N5717">
        <v>-1.5137919999999999E-2</v>
      </c>
      <c r="O5717">
        <v>-0.95373549999999996</v>
      </c>
      <c r="P5717">
        <v>0.53994119999999901</v>
      </c>
      <c r="Q5717">
        <v>0.43145539999999999</v>
      </c>
      <c r="R5717">
        <v>-0.72270990000000002</v>
      </c>
      <c r="S5717">
        <v>1.9089050000000001</v>
      </c>
      <c r="T5717">
        <v>-0.47543849999999999</v>
      </c>
      <c r="U5717">
        <v>-3.0086059999999999</v>
      </c>
      <c r="V5717">
        <v>-0.30728919999999998</v>
      </c>
      <c r="W5717">
        <v>0.43791609999999997</v>
      </c>
      <c r="X5717">
        <v>0.84486849999999902</v>
      </c>
      <c r="Y5717">
        <v>-0.25332329999999997</v>
      </c>
      <c r="Z5717">
        <v>0.1175972</v>
      </c>
      <c r="AA5717">
        <v>0.96020729999999999</v>
      </c>
      <c r="AB5717">
        <v>31</v>
      </c>
      <c r="AC5717">
        <v>4.4001999999999803</v>
      </c>
      <c r="AD5717">
        <v>-1.119880940074</v>
      </c>
      <c r="AE5717">
        <v>-6.8063799999999999</v>
      </c>
      <c r="AF5717">
        <v>-2.1128094401730002</v>
      </c>
      <c r="AG5717">
        <v>-1.119880940074</v>
      </c>
      <c r="AH5717">
        <v>7.6672279616477699</v>
      </c>
      <c r="AI5717">
        <v>98.015248339535901</v>
      </c>
      <c r="AJ5717">
        <v>105.406271924357</v>
      </c>
      <c r="AK5717">
        <v>8.03146821361441</v>
      </c>
      <c r="AL5717">
        <v>64.029003705868007</v>
      </c>
      <c r="AM5717">
        <v>109.98695720048499</v>
      </c>
      <c r="AN5717">
        <v>0.99999997268404905</v>
      </c>
    </row>
    <row r="5718" spans="1:40" x14ac:dyDescent="0.25">
      <c r="A5718" t="str">
        <f>"20190304165002438"</f>
        <v>20190304165002438</v>
      </c>
      <c r="B5718" t="str">
        <f>"1551689402431311"</f>
        <v>1551689402431311</v>
      </c>
      <c r="C5718" t="s">
        <v>40</v>
      </c>
      <c r="D5718">
        <v>4.4491899999999998</v>
      </c>
      <c r="E5718">
        <v>0.52459960000000005</v>
      </c>
      <c r="F5718" t="s">
        <v>49</v>
      </c>
      <c r="G5718">
        <v>-415.59750000000003</v>
      </c>
      <c r="H5718" s="1">
        <v>-5.0122720000000003E-6</v>
      </c>
      <c r="I5718">
        <v>32.911009999999997</v>
      </c>
      <c r="J5718">
        <v>-420.01600000000002</v>
      </c>
      <c r="K5718">
        <v>1.11995</v>
      </c>
      <c r="L5718">
        <v>39.633240000000001</v>
      </c>
      <c r="M5718">
        <v>0.3070562</v>
      </c>
      <c r="N5718">
        <v>-1.5157810000000001E-2</v>
      </c>
      <c r="O5718">
        <v>-0.95157069999999999</v>
      </c>
      <c r="P5718">
        <v>0.54501709999999903</v>
      </c>
      <c r="Q5718">
        <v>0.43098229999999998</v>
      </c>
      <c r="R5718">
        <v>-0.71917339999999996</v>
      </c>
      <c r="S5718">
        <v>1.9406129999999999</v>
      </c>
      <c r="T5718">
        <v>-0.48457119999999998</v>
      </c>
      <c r="U5718">
        <v>-2.9904790000000001</v>
      </c>
      <c r="V5718">
        <v>-0.30720900000000001</v>
      </c>
      <c r="W5718">
        <v>0.43740499999999999</v>
      </c>
      <c r="X5718">
        <v>0.84516239999999998</v>
      </c>
      <c r="Y5718">
        <v>-0.25608890000000001</v>
      </c>
      <c r="Z5718">
        <v>0.119937</v>
      </c>
      <c r="AA5718">
        <v>0.95918380000000003</v>
      </c>
      <c r="AB5718">
        <v>31</v>
      </c>
      <c r="AC5718">
        <v>4.4184999999999297</v>
      </c>
      <c r="AD5718">
        <v>-1.1199550122719999</v>
      </c>
      <c r="AE5718">
        <v>-6.7222299999999997</v>
      </c>
      <c r="AF5718">
        <v>-2.09995530033365</v>
      </c>
      <c r="AG5718">
        <v>-1.1199550122719999</v>
      </c>
      <c r="AH5718">
        <v>7.6068523967075201</v>
      </c>
      <c r="AI5718">
        <v>98.077539983672906</v>
      </c>
      <c r="AJ5718">
        <v>105.432752793131</v>
      </c>
      <c r="AK5718">
        <v>7.9704651607172501</v>
      </c>
      <c r="AL5718">
        <v>64.061573022695896</v>
      </c>
      <c r="AM5718">
        <v>109.975754588071</v>
      </c>
      <c r="AN5718">
        <v>0.99999999303987996</v>
      </c>
    </row>
    <row r="5719" spans="1:40" x14ac:dyDescent="0.25">
      <c r="A5719" t="str">
        <f>"20190304165002458"</f>
        <v>20190304165002458</v>
      </c>
      <c r="B5719" t="str">
        <f>"1551689402451810"</f>
        <v>1551689402451810</v>
      </c>
      <c r="C5719" t="s">
        <v>40</v>
      </c>
      <c r="D5719">
        <v>4.4782699999999904</v>
      </c>
      <c r="E5719">
        <v>0.52507199999999998</v>
      </c>
      <c r="F5719" t="s">
        <v>49</v>
      </c>
      <c r="G5719">
        <v>-415.6123</v>
      </c>
      <c r="H5719" s="1">
        <v>-5.0003369999999998E-6</v>
      </c>
      <c r="I5719">
        <v>32.927999999999997</v>
      </c>
      <c r="J5719">
        <v>-419.92219999999998</v>
      </c>
      <c r="K5719">
        <v>1.1200330000000001</v>
      </c>
      <c r="L5719">
        <v>39.374450000000003</v>
      </c>
      <c r="M5719">
        <v>0.3164479</v>
      </c>
      <c r="N5719">
        <v>-1.518219E-2</v>
      </c>
      <c r="O5719">
        <v>-0.94848849999999996</v>
      </c>
      <c r="P5719">
        <v>0.55318040000000002</v>
      </c>
      <c r="Q5719">
        <v>0.43038929999999997</v>
      </c>
      <c r="R5719">
        <v>-0.71327169999999995</v>
      </c>
      <c r="S5719">
        <v>1.960205</v>
      </c>
      <c r="T5719">
        <v>-0.4985213</v>
      </c>
      <c r="U5719">
        <v>-2.98468</v>
      </c>
      <c r="V5719">
        <v>-0.30847150000000001</v>
      </c>
      <c r="W5719">
        <v>0.43673640000000002</v>
      </c>
      <c r="X5719">
        <v>0.84504829999999997</v>
      </c>
      <c r="Y5719">
        <v>-0.25156099999999998</v>
      </c>
      <c r="Z5719">
        <v>0.1231752</v>
      </c>
      <c r="AA5719">
        <v>0.95997129999999997</v>
      </c>
      <c r="AB5719">
        <v>31</v>
      </c>
      <c r="AC5719">
        <v>4.3098999999999696</v>
      </c>
      <c r="AD5719">
        <v>-1.1200380003370001</v>
      </c>
      <c r="AE5719">
        <v>-6.4464499999999898</v>
      </c>
      <c r="AF5719">
        <v>-2.0063049296208102</v>
      </c>
      <c r="AG5719">
        <v>-1.1200380003370001</v>
      </c>
      <c r="AH5719">
        <v>7.3262617661333502</v>
      </c>
      <c r="AI5719">
        <v>98.387869687535698</v>
      </c>
      <c r="AJ5719">
        <v>105.31503496639201</v>
      </c>
      <c r="AK5719">
        <v>7.6781414456056396</v>
      </c>
      <c r="AL5719">
        <v>64.104164429860106</v>
      </c>
      <c r="AM5719">
        <v>110.05380947277099</v>
      </c>
      <c r="AN5719">
        <v>0.99999998936504897</v>
      </c>
    </row>
    <row r="5720" spans="1:40" x14ac:dyDescent="0.25">
      <c r="A5720" t="str">
        <f>"20190304165002473"</f>
        <v>20190304165002473</v>
      </c>
      <c r="B5720" t="str">
        <f>"1551689402461567"</f>
        <v>1551689402461567</v>
      </c>
      <c r="C5720" t="s">
        <v>40</v>
      </c>
      <c r="D5720">
        <v>4.4533990000000001</v>
      </c>
      <c r="E5720">
        <v>0.52529510000000001</v>
      </c>
      <c r="F5720" t="s">
        <v>49</v>
      </c>
      <c r="G5720">
        <v>-415.53660000000002</v>
      </c>
      <c r="H5720" s="1">
        <v>-5.0666909999999997E-6</v>
      </c>
      <c r="I5720">
        <v>32.8307</v>
      </c>
      <c r="J5720">
        <v>-419.8537</v>
      </c>
      <c r="K5720">
        <v>1.1200840000000001</v>
      </c>
      <c r="L5720">
        <v>39.189880000000002</v>
      </c>
      <c r="M5720">
        <v>0.32318760000000002</v>
      </c>
      <c r="N5720">
        <v>-1.519743E-2</v>
      </c>
      <c r="O5720">
        <v>-0.94621319999999998</v>
      </c>
      <c r="P5720">
        <v>0.55848830000000005</v>
      </c>
      <c r="Q5720">
        <v>0.43076940000000002</v>
      </c>
      <c r="R5720">
        <v>-0.70889269999999904</v>
      </c>
      <c r="S5720">
        <v>1.990021</v>
      </c>
      <c r="T5720">
        <v>-0.50822929999999999</v>
      </c>
      <c r="U5720">
        <v>-2.9692989999999999</v>
      </c>
      <c r="V5720">
        <v>-0.30890800000000002</v>
      </c>
      <c r="W5720">
        <v>0.43707610000000002</v>
      </c>
      <c r="X5720">
        <v>0.84471319999999905</v>
      </c>
      <c r="Y5720">
        <v>-0.2534556</v>
      </c>
      <c r="Z5720">
        <v>0.12554369999999901</v>
      </c>
      <c r="AA5720">
        <v>0.95916579999999996</v>
      </c>
      <c r="AB5720">
        <v>31</v>
      </c>
      <c r="AC5720">
        <v>4.3170999999999804</v>
      </c>
      <c r="AD5720">
        <v>-1.1200890666909999</v>
      </c>
      <c r="AE5720">
        <v>-6.3591800000000003</v>
      </c>
      <c r="AF5720">
        <v>-1.9877099909065401</v>
      </c>
      <c r="AG5720">
        <v>-1.1200890666909999</v>
      </c>
      <c r="AH5720">
        <v>7.2590673748486498</v>
      </c>
      <c r="AI5720">
        <v>98.464830266868404</v>
      </c>
      <c r="AJ5720">
        <v>105.31361288902799</v>
      </c>
      <c r="AK5720">
        <v>7.6091819322357201</v>
      </c>
      <c r="AL5720">
        <v>64.082527734249297</v>
      </c>
      <c r="AM5720">
        <v>110.087249705676</v>
      </c>
      <c r="AN5720">
        <v>1.00000002995472</v>
      </c>
    </row>
    <row r="5721" spans="1:40" x14ac:dyDescent="0.25">
      <c r="A5721" t="str">
        <f>"20190304165002490"</f>
        <v>20190304165002490</v>
      </c>
      <c r="B5721" t="str">
        <f>"1551689402481087"</f>
        <v>1551689402481087</v>
      </c>
      <c r="C5721" t="s">
        <v>40</v>
      </c>
      <c r="D5721">
        <v>4.4482749999999998</v>
      </c>
      <c r="E5721">
        <v>0.52575859999999996</v>
      </c>
      <c r="F5721" t="s">
        <v>49</v>
      </c>
      <c r="G5721">
        <v>-415.43169999999998</v>
      </c>
      <c r="H5721" s="1">
        <v>-5.1610430000000004E-6</v>
      </c>
      <c r="I5721">
        <v>32.691189999999999</v>
      </c>
      <c r="J5721">
        <v>-419.76960000000003</v>
      </c>
      <c r="K5721">
        <v>1.120131</v>
      </c>
      <c r="L5721">
        <v>38.969569999999997</v>
      </c>
      <c r="M5721">
        <v>0.33127830000000003</v>
      </c>
      <c r="N5721">
        <v>-1.5213229999999999E-2</v>
      </c>
      <c r="O5721">
        <v>-0.94341050000000004</v>
      </c>
      <c r="P5721">
        <v>0.56550649999999902</v>
      </c>
      <c r="Q5721">
        <v>0.4314885</v>
      </c>
      <c r="R5721">
        <v>-0.70286569999999904</v>
      </c>
      <c r="S5721">
        <v>2.011841</v>
      </c>
      <c r="T5721">
        <v>-0.50959929999999998</v>
      </c>
      <c r="U5721">
        <v>-2.9566650000000001</v>
      </c>
      <c r="V5721">
        <v>-0.31029190000000001</v>
      </c>
      <c r="W5721">
        <v>0.43773079999999998</v>
      </c>
      <c r="X5721">
        <v>0.84386649999999996</v>
      </c>
      <c r="Y5721">
        <v>-0.25191380000000002</v>
      </c>
      <c r="Z5721">
        <v>0.12560299999999999</v>
      </c>
      <c r="AA5721">
        <v>0.95956410000000003</v>
      </c>
      <c r="AB5721">
        <v>31</v>
      </c>
      <c r="AC5721">
        <v>4.3379000000000403</v>
      </c>
      <c r="AD5721">
        <v>-1.1201361610430001</v>
      </c>
      <c r="AE5721">
        <v>-6.2783800000000003</v>
      </c>
      <c r="AF5721">
        <v>-1.97031104331412</v>
      </c>
      <c r="AG5721">
        <v>-1.1201361610430001</v>
      </c>
      <c r="AH5721">
        <v>7.2057426346936602</v>
      </c>
      <c r="AI5721">
        <v>98.527738736604306</v>
      </c>
      <c r="AJ5721">
        <v>105.29291956019399</v>
      </c>
      <c r="AK5721">
        <v>7.5537777002056199</v>
      </c>
      <c r="AL5721">
        <v>64.040813162529503</v>
      </c>
      <c r="AM5721">
        <v>110.188605954585</v>
      </c>
      <c r="AN5721">
        <v>0.99999999314825005</v>
      </c>
    </row>
    <row r="5722" spans="1:40" x14ac:dyDescent="0.25">
      <c r="A5722" t="str">
        <f>"20190304165002505"</f>
        <v>20190304165002505</v>
      </c>
      <c r="B5722" t="str">
        <f>"1551689402501582"</f>
        <v>1551689402501582</v>
      </c>
      <c r="C5722" t="s">
        <v>40</v>
      </c>
      <c r="D5722">
        <v>4.4104539999999997</v>
      </c>
      <c r="E5722">
        <v>0.52615599999999996</v>
      </c>
      <c r="F5722" t="s">
        <v>49</v>
      </c>
      <c r="G5722">
        <v>-415.30689999999998</v>
      </c>
      <c r="H5722" s="1">
        <v>-5.2704189999999999E-6</v>
      </c>
      <c r="I5722">
        <v>32.530839999999998</v>
      </c>
      <c r="J5722">
        <v>-419.69729999999998</v>
      </c>
      <c r="K5722">
        <v>1.1201570000000001</v>
      </c>
      <c r="L5722">
        <v>38.784730000000003</v>
      </c>
      <c r="M5722">
        <v>0.33809270000000002</v>
      </c>
      <c r="N5722">
        <v>-1.5221739999999999E-2</v>
      </c>
      <c r="O5722">
        <v>-0.94098979999999999</v>
      </c>
      <c r="P5722">
        <v>0.57060909999999998</v>
      </c>
      <c r="Q5722">
        <v>0.43230020000000002</v>
      </c>
      <c r="R5722">
        <v>-0.69822759999999995</v>
      </c>
      <c r="S5722">
        <v>2.0390320000000002</v>
      </c>
      <c r="T5722">
        <v>-0.51179620000000003</v>
      </c>
      <c r="U5722">
        <v>-2.9418950000000001</v>
      </c>
      <c r="V5722">
        <v>-0.31055349999999998</v>
      </c>
      <c r="W5722">
        <v>0.43851440000000003</v>
      </c>
      <c r="X5722">
        <v>0.84336329999999904</v>
      </c>
      <c r="Y5722">
        <v>-0.25314029999999998</v>
      </c>
      <c r="Z5722">
        <v>0.1259303</v>
      </c>
      <c r="AA5722">
        <v>0.95919840000000001</v>
      </c>
      <c r="AB5722">
        <v>31</v>
      </c>
      <c r="AC5722">
        <v>4.3903999999999996</v>
      </c>
      <c r="AD5722">
        <v>-1.120162270419</v>
      </c>
      <c r="AE5722">
        <v>-6.2538899999999904</v>
      </c>
      <c r="AF5722">
        <v>-1.9747227047140301</v>
      </c>
      <c r="AG5722">
        <v>-1.120162270419</v>
      </c>
      <c r="AH5722">
        <v>7.2150076140780799</v>
      </c>
      <c r="AI5722">
        <v>98.516588318977597</v>
      </c>
      <c r="AJ5722">
        <v>105.306796798015</v>
      </c>
      <c r="AK5722">
        <v>7.5637707622447197</v>
      </c>
      <c r="AL5722">
        <v>63.990867781845999</v>
      </c>
      <c r="AM5722">
        <v>110.215330168183</v>
      </c>
      <c r="AN5722">
        <v>1.0000000055782401</v>
      </c>
    </row>
    <row r="5723" spans="1:40" x14ac:dyDescent="0.25">
      <c r="A5723" t="str">
        <f>"20190304165002524"</f>
        <v>20190304165002524</v>
      </c>
      <c r="B5723" t="str">
        <f>"1551689402521103"</f>
        <v>1551689402521103</v>
      </c>
      <c r="C5723" t="s">
        <v>40</v>
      </c>
      <c r="D5723">
        <v>4.3839169999999896</v>
      </c>
      <c r="E5723">
        <v>0.52662359999999997</v>
      </c>
      <c r="F5723" t="s">
        <v>49</v>
      </c>
      <c r="G5723">
        <v>-415.18869999999998</v>
      </c>
      <c r="H5723" s="1">
        <v>-5.3737059999999996E-6</v>
      </c>
      <c r="I5723">
        <v>32.379570000000001</v>
      </c>
      <c r="J5723">
        <v>-419.60309999999998</v>
      </c>
      <c r="K5723">
        <v>1.12019</v>
      </c>
      <c r="L5723">
        <v>38.549010000000003</v>
      </c>
      <c r="M5723">
        <v>0.34680620000000001</v>
      </c>
      <c r="N5723">
        <v>-1.5222940000000001E-2</v>
      </c>
      <c r="O5723">
        <v>-0.93781329999999996</v>
      </c>
      <c r="P5723">
        <v>0.57746189999999997</v>
      </c>
      <c r="Q5723">
        <v>0.43354939999999997</v>
      </c>
      <c r="R5723">
        <v>-0.69178969999999995</v>
      </c>
      <c r="S5723">
        <v>2.0616759999999998</v>
      </c>
      <c r="T5723">
        <v>-0.51221799999999995</v>
      </c>
      <c r="U5723">
        <v>-2.9288940000000001</v>
      </c>
      <c r="V5723">
        <v>-0.31137609999999999</v>
      </c>
      <c r="W5723">
        <v>0.43971009999999999</v>
      </c>
      <c r="X5723">
        <v>0.84243690000000004</v>
      </c>
      <c r="Y5723">
        <v>-0.25115219999999999</v>
      </c>
      <c r="Z5723">
        <v>0.1256748</v>
      </c>
      <c r="AA5723">
        <v>0.95975429999999995</v>
      </c>
      <c r="AB5723">
        <v>31</v>
      </c>
      <c r="AC5723">
        <v>4.4143999999999997</v>
      </c>
      <c r="AD5723">
        <v>-1.120195373706</v>
      </c>
      <c r="AE5723">
        <v>-6.16943999999999</v>
      </c>
      <c r="AF5723">
        <v>-1.95782492373557</v>
      </c>
      <c r="AG5723">
        <v>-1.120195373706</v>
      </c>
      <c r="AH5723">
        <v>7.16141917339574</v>
      </c>
      <c r="AI5723">
        <v>98.580292339187693</v>
      </c>
      <c r="AJ5723">
        <v>105.290191432287</v>
      </c>
      <c r="AK5723">
        <v>7.5082515064662498</v>
      </c>
      <c r="AL5723">
        <v>63.914613851079302</v>
      </c>
      <c r="AM5723">
        <v>110.28499593729801</v>
      </c>
      <c r="AN5723">
        <v>0.99999998908741405</v>
      </c>
    </row>
    <row r="5724" spans="1:40" x14ac:dyDescent="0.25">
      <c r="A5724" t="str">
        <f>"20190304165002538"</f>
        <v>20190304165002538</v>
      </c>
      <c r="B5724" t="str">
        <f>"1551689402531839"</f>
        <v>1551689402531839</v>
      </c>
      <c r="C5724" t="s">
        <v>40</v>
      </c>
      <c r="D5724">
        <v>4.428032</v>
      </c>
      <c r="E5724">
        <v>0.52662359999999997</v>
      </c>
      <c r="F5724" t="s">
        <v>49</v>
      </c>
      <c r="G5724">
        <v>-415.01679999999999</v>
      </c>
      <c r="H5724" s="1">
        <v>-5.5165249999999997E-6</v>
      </c>
      <c r="I5724">
        <v>32.174059999999997</v>
      </c>
      <c r="J5724">
        <v>-419.53070000000002</v>
      </c>
      <c r="K5724">
        <v>1.120204</v>
      </c>
      <c r="L5724">
        <v>38.371949999999998</v>
      </c>
      <c r="M5724">
        <v>0.3533655</v>
      </c>
      <c r="N5724">
        <v>-1.5214989999999999E-2</v>
      </c>
      <c r="O5724">
        <v>-0.93536160000000002</v>
      </c>
      <c r="P5724">
        <v>0.58265469999999997</v>
      </c>
      <c r="Q5724">
        <v>0.43427969999999999</v>
      </c>
      <c r="R5724">
        <v>-0.68696059999999903</v>
      </c>
      <c r="S5724">
        <v>2.0932620000000002</v>
      </c>
      <c r="T5724">
        <v>-0.51128180000000001</v>
      </c>
      <c r="U5724">
        <v>-2.9096679999999999</v>
      </c>
      <c r="V5724">
        <v>-0.31202190000000002</v>
      </c>
      <c r="W5724">
        <v>0.44039689999999998</v>
      </c>
      <c r="X5724">
        <v>0.841838999999999</v>
      </c>
      <c r="Y5724">
        <v>-0.25428129999999999</v>
      </c>
      <c r="Z5724">
        <v>0.1252472</v>
      </c>
      <c r="AA5724">
        <v>0.95898600000000001</v>
      </c>
      <c r="AB5724">
        <v>31</v>
      </c>
      <c r="AC5724">
        <v>4.5139000000000298</v>
      </c>
      <c r="AD5724">
        <v>-1.1202095165249999</v>
      </c>
      <c r="AE5724">
        <v>-6.1978900000000001</v>
      </c>
      <c r="AF5724">
        <v>-1.9897712878295599</v>
      </c>
      <c r="AG5724">
        <v>-1.1202095165249999</v>
      </c>
      <c r="AH5724">
        <v>7.2386693681893899</v>
      </c>
      <c r="AI5724">
        <v>98.486981489163</v>
      </c>
      <c r="AJ5724">
        <v>105.369902026335</v>
      </c>
      <c r="AK5724">
        <v>7.5902828248193401</v>
      </c>
      <c r="AL5724">
        <v>63.870792307952897</v>
      </c>
      <c r="AM5724">
        <v>110.33688190007</v>
      </c>
      <c r="AN5724">
        <v>0.99999999876510903</v>
      </c>
    </row>
    <row r="5725" spans="1:40" x14ac:dyDescent="0.25">
      <c r="A5725" t="str">
        <f>"20190304165002551"</f>
        <v>20190304165002551</v>
      </c>
      <c r="B5725" t="str">
        <f>"1551689402541599"</f>
        <v>1551689402541599</v>
      </c>
      <c r="C5725" t="s">
        <v>40</v>
      </c>
      <c r="D5725">
        <v>4.4562290000000004</v>
      </c>
      <c r="E5725">
        <v>0.53656719999999902</v>
      </c>
      <c r="F5725" t="s">
        <v>49</v>
      </c>
      <c r="G5725">
        <v>-414.86669999999998</v>
      </c>
      <c r="H5725" s="1">
        <v>-5.6179559999999999E-6</v>
      </c>
      <c r="I5725">
        <v>31.998249999999999</v>
      </c>
      <c r="J5725">
        <v>-419.46039999999999</v>
      </c>
      <c r="K5725">
        <v>1.1202099999999999</v>
      </c>
      <c r="L5725">
        <v>38.203670000000002</v>
      </c>
      <c r="M5725">
        <v>0.35961290000000001</v>
      </c>
      <c r="N5725">
        <v>-1.5197540000000001E-2</v>
      </c>
      <c r="O5725">
        <v>-0.93297790000000003</v>
      </c>
      <c r="P5725">
        <v>0.58755480000000004</v>
      </c>
      <c r="Q5725">
        <v>0.43495980000000001</v>
      </c>
      <c r="R5725">
        <v>-0.68234130000000004</v>
      </c>
      <c r="S5725">
        <v>2.1169739999999999</v>
      </c>
      <c r="T5725">
        <v>-0.50845499999999999</v>
      </c>
      <c r="U5725">
        <v>-2.8929749999999999</v>
      </c>
      <c r="V5725">
        <v>-0.31260280000000001</v>
      </c>
      <c r="W5725">
        <v>0.44103170000000003</v>
      </c>
      <c r="X5725">
        <v>0.84129100000000001</v>
      </c>
      <c r="Y5725">
        <v>-0.25563900000000001</v>
      </c>
      <c r="Z5725">
        <v>0.1243628</v>
      </c>
      <c r="AA5725">
        <v>0.95874009999999998</v>
      </c>
      <c r="AB5725">
        <v>31</v>
      </c>
      <c r="AC5725">
        <v>4.5937000000000099</v>
      </c>
      <c r="AD5725">
        <v>-1.1202156179560001</v>
      </c>
      <c r="AE5725">
        <v>-6.2054200000000002</v>
      </c>
      <c r="AF5725">
        <v>-2.0121492511288501</v>
      </c>
      <c r="AG5725">
        <v>-1.1202156179560001</v>
      </c>
      <c r="AH5725">
        <v>7.2888882252399103</v>
      </c>
      <c r="AI5725">
        <v>98.426894347153507</v>
      </c>
      <c r="AJ5725">
        <v>105.43254432627199</v>
      </c>
      <c r="AK5725">
        <v>7.6440512295229999</v>
      </c>
      <c r="AL5725">
        <v>63.830274052402601</v>
      </c>
      <c r="AM5725">
        <v>110.38381326538401</v>
      </c>
      <c r="AN5725">
        <v>1.0000000088268599</v>
      </c>
    </row>
    <row r="5726" spans="1:40" x14ac:dyDescent="0.25">
      <c r="A5726" t="str">
        <f>"20190304165002566"</f>
        <v>20190304165002566</v>
      </c>
      <c r="B5726" t="str">
        <f>"1551689402561398"</f>
        <v>1551689402561398</v>
      </c>
      <c r="C5726" t="s">
        <v>40</v>
      </c>
      <c r="D5726">
        <v>4.4269470000000002</v>
      </c>
      <c r="E5726">
        <v>0.53671740000000001</v>
      </c>
      <c r="F5726" t="s">
        <v>49</v>
      </c>
      <c r="G5726">
        <v>-415.70940000000002</v>
      </c>
      <c r="H5726" s="1">
        <v>-4.981972E-6</v>
      </c>
      <c r="I5726">
        <v>32.921779999999998</v>
      </c>
      <c r="J5726">
        <v>-419.38600000000002</v>
      </c>
      <c r="K5726">
        <v>1.120212</v>
      </c>
      <c r="L5726">
        <v>38.029170000000001</v>
      </c>
      <c r="M5726">
        <v>0.36610140000000002</v>
      </c>
      <c r="N5726">
        <v>-1.5166819999999999E-2</v>
      </c>
      <c r="O5726">
        <v>-0.93045129999999998</v>
      </c>
      <c r="P5726">
        <v>0.59272369999999996</v>
      </c>
      <c r="Q5726">
        <v>0.43568190000000001</v>
      </c>
      <c r="R5726">
        <v>-0.67739189999999905</v>
      </c>
      <c r="S5726">
        <v>2.1149290000000001</v>
      </c>
      <c r="T5726">
        <v>-0.63161639999999997</v>
      </c>
      <c r="U5726">
        <v>-2.978119</v>
      </c>
      <c r="V5726">
        <v>-0.3133399</v>
      </c>
      <c r="W5726">
        <v>0.44169360000000002</v>
      </c>
      <c r="X5726">
        <v>0.84066929999999995</v>
      </c>
      <c r="Y5726">
        <v>-0.2327195</v>
      </c>
      <c r="Z5726">
        <v>0.15284690000000001</v>
      </c>
      <c r="AA5726">
        <v>0.96045800000000003</v>
      </c>
      <c r="AB5726">
        <v>31</v>
      </c>
      <c r="AC5726">
        <v>3.6765999999999499</v>
      </c>
      <c r="AD5726">
        <v>-1.120216981972</v>
      </c>
      <c r="AE5726">
        <v>-5.1073899999999997</v>
      </c>
      <c r="AF5726">
        <v>-1.5036086114640701</v>
      </c>
      <c r="AG5726">
        <v>-1.120216981972</v>
      </c>
      <c r="AH5726">
        <v>5.9115692907851098</v>
      </c>
      <c r="AI5726">
        <v>100.40631745912999</v>
      </c>
      <c r="AJ5726">
        <v>104.270586734239</v>
      </c>
      <c r="AK5726">
        <v>6.2018042876989403</v>
      </c>
      <c r="AL5726">
        <v>63.788010519537004</v>
      </c>
      <c r="AM5726">
        <v>110.441768106523</v>
      </c>
      <c r="AN5726">
        <v>1.0000000005877301</v>
      </c>
    </row>
    <row r="5727" spans="1:40" x14ac:dyDescent="0.25">
      <c r="A5727" t="str">
        <f>"20190304165002581"</f>
        <v>20190304165002581</v>
      </c>
      <c r="B5727" t="str">
        <f>"1551689402571158"</f>
        <v>1551689402571158</v>
      </c>
      <c r="C5727" t="s">
        <v>40</v>
      </c>
      <c r="D5727">
        <v>4.3927829999999997</v>
      </c>
      <c r="E5727">
        <v>0.53703120000000004</v>
      </c>
      <c r="F5727" t="s">
        <v>49</v>
      </c>
      <c r="G5727">
        <v>-415.58949999999999</v>
      </c>
      <c r="H5727" s="1">
        <v>-5.0886400000000001E-6</v>
      </c>
      <c r="I5727">
        <v>32.764600000000002</v>
      </c>
      <c r="J5727">
        <v>-419.30459999999999</v>
      </c>
      <c r="K5727">
        <v>1.120212</v>
      </c>
      <c r="L5727">
        <v>37.841799999999999</v>
      </c>
      <c r="M5727">
        <v>0.3730735</v>
      </c>
      <c r="N5727">
        <v>-1.512058E-2</v>
      </c>
      <c r="O5727">
        <v>-0.92767880000000003</v>
      </c>
      <c r="P5727">
        <v>0.59801389999999999</v>
      </c>
      <c r="Q5727">
        <v>0.43689719999999999</v>
      </c>
      <c r="R5727">
        <v>-0.67193809999999998</v>
      </c>
      <c r="S5727">
        <v>2.1374819999999999</v>
      </c>
      <c r="T5727">
        <v>-0.63070930000000003</v>
      </c>
      <c r="U5727">
        <v>-2.9640810000000002</v>
      </c>
      <c r="V5727">
        <v>-0.31395260000000003</v>
      </c>
      <c r="W5727">
        <v>0.4428359</v>
      </c>
      <c r="X5727">
        <v>0.83983929999999996</v>
      </c>
      <c r="Y5727">
        <v>-0.2324389</v>
      </c>
      <c r="Z5727">
        <v>0.15229699999999999</v>
      </c>
      <c r="AA5727">
        <v>0.9606133</v>
      </c>
      <c r="AB5727">
        <v>31</v>
      </c>
      <c r="AC5727">
        <v>3.7151000000000001</v>
      </c>
      <c r="AD5727">
        <v>-1.12021708864</v>
      </c>
      <c r="AE5727">
        <v>-5.0771999999999897</v>
      </c>
      <c r="AF5727">
        <v>-1.50472053983174</v>
      </c>
      <c r="AG5727">
        <v>-1.12021708864</v>
      </c>
      <c r="AH5727">
        <v>5.9093550552642897</v>
      </c>
      <c r="AI5727">
        <v>100.409442572027</v>
      </c>
      <c r="AJ5727">
        <v>104.28584039636</v>
      </c>
      <c r="AK5727">
        <v>6.1999634997191899</v>
      </c>
      <c r="AL5727">
        <v>63.7150356678222</v>
      </c>
      <c r="AM5727">
        <v>110.496980396708</v>
      </c>
      <c r="AN5727">
        <v>0.99999995960002896</v>
      </c>
    </row>
    <row r="5728" spans="1:40" x14ac:dyDescent="0.25">
      <c r="A5728" t="str">
        <f>"20190304165002603"</f>
        <v>20190304165002603</v>
      </c>
      <c r="B5728" t="str">
        <f>"1551689402591654"</f>
        <v>1551689402591654</v>
      </c>
      <c r="C5728" t="s">
        <v>40</v>
      </c>
      <c r="D5728">
        <v>4.4547660000000002</v>
      </c>
      <c r="E5728">
        <v>0.53767140000000002</v>
      </c>
      <c r="F5728" t="s">
        <v>49</v>
      </c>
      <c r="G5728">
        <v>-415.43520000000001</v>
      </c>
      <c r="H5728" s="1">
        <v>-5.2287560000000003E-6</v>
      </c>
      <c r="I5728">
        <v>32.556789999999999</v>
      </c>
      <c r="J5728">
        <v>-419.185</v>
      </c>
      <c r="K5728">
        <v>1.1201989999999999</v>
      </c>
      <c r="L5728">
        <v>37.573210000000003</v>
      </c>
      <c r="M5728">
        <v>0.38308170000000002</v>
      </c>
      <c r="N5728">
        <v>-1.5024249999999999E-2</v>
      </c>
      <c r="O5728">
        <v>-0.92359239999999998</v>
      </c>
      <c r="P5728">
        <v>0.60498149999999995</v>
      </c>
      <c r="Q5728">
        <v>0.43776670000000001</v>
      </c>
      <c r="R5728">
        <v>-0.66509980000000002</v>
      </c>
      <c r="S5728">
        <v>2.1593930000000001</v>
      </c>
      <c r="T5728">
        <v>-0.62514639999999999</v>
      </c>
      <c r="U5728">
        <v>-2.949341</v>
      </c>
      <c r="V5728">
        <v>-0.31386560000000002</v>
      </c>
      <c r="W5728">
        <v>0.4436138</v>
      </c>
      <c r="X5728">
        <v>0.83946129999999997</v>
      </c>
      <c r="Y5728">
        <v>-0.2290402</v>
      </c>
      <c r="Z5728">
        <v>0.15038560000000001</v>
      </c>
      <c r="AA5728">
        <v>0.96173010000000003</v>
      </c>
      <c r="AB5728">
        <v>31</v>
      </c>
      <c r="AC5728">
        <v>3.7497999999999898</v>
      </c>
      <c r="AD5728">
        <v>-1.1202042287559999</v>
      </c>
      <c r="AE5728">
        <v>-5.0164199999999903</v>
      </c>
      <c r="AF5728">
        <v>-1.4939685389049999</v>
      </c>
      <c r="AG5728">
        <v>-1.1202042287559999</v>
      </c>
      <c r="AH5728">
        <v>5.8821174326960897</v>
      </c>
      <c r="AI5728">
        <v>100.45805099278201</v>
      </c>
      <c r="AJ5728">
        <v>104.25092436064099</v>
      </c>
      <c r="AK5728">
        <v>6.1713940889711498</v>
      </c>
      <c r="AL5728">
        <v>63.665317164184103</v>
      </c>
      <c r="AM5728">
        <v>110.500232396762</v>
      </c>
      <c r="AN5728">
        <v>1.0000000463057399</v>
      </c>
    </row>
    <row r="5729" spans="1:40" x14ac:dyDescent="0.25">
      <c r="A5729" t="str">
        <f>"20190304165002625"</f>
        <v>20190304165002625</v>
      </c>
      <c r="B5729" t="str">
        <f>"1551689402621910"</f>
        <v>1551689402621910</v>
      </c>
      <c r="C5729" t="s">
        <v>40</v>
      </c>
      <c r="D5729">
        <v>4.4564820000000003</v>
      </c>
      <c r="E5729">
        <v>0.53823889999999996</v>
      </c>
      <c r="F5729" t="s">
        <v>49</v>
      </c>
      <c r="G5729">
        <v>-415.2559</v>
      </c>
      <c r="H5729" s="1">
        <v>-5.3940990000000003E-6</v>
      </c>
      <c r="I5729">
        <v>32.310290000000002</v>
      </c>
      <c r="J5729">
        <v>-419.05930000000001</v>
      </c>
      <c r="K5729">
        <v>1.1201680000000001</v>
      </c>
      <c r="L5729">
        <v>37.299100000000003</v>
      </c>
      <c r="M5729">
        <v>0.39329459999999999</v>
      </c>
      <c r="N5729">
        <v>-1.490054E-2</v>
      </c>
      <c r="O5729">
        <v>-0.91929170000000004</v>
      </c>
      <c r="P5729">
        <v>0.61235280000000003</v>
      </c>
      <c r="Q5729">
        <v>0.43805660000000002</v>
      </c>
      <c r="R5729">
        <v>-0.65812660000000001</v>
      </c>
      <c r="S5729">
        <v>2.1880799999999998</v>
      </c>
      <c r="T5729">
        <v>-0.62383909999999998</v>
      </c>
      <c r="U5729">
        <v>-2.9309080000000001</v>
      </c>
      <c r="V5729">
        <v>-0.31399310000000002</v>
      </c>
      <c r="W5729">
        <v>0.44379459999999998</v>
      </c>
      <c r="X5729">
        <v>0.83931800000000001</v>
      </c>
      <c r="Y5729">
        <v>-0.22727410000000001</v>
      </c>
      <c r="Z5729">
        <v>0.14956140000000001</v>
      </c>
      <c r="AA5729">
        <v>0.96227739999999995</v>
      </c>
      <c r="AB5729">
        <v>31</v>
      </c>
      <c r="AC5729">
        <v>3.8034000000000101</v>
      </c>
      <c r="AD5729">
        <v>-1.120173394099</v>
      </c>
      <c r="AE5729">
        <v>-4.98881</v>
      </c>
      <c r="AF5729">
        <v>-1.4871163697638801</v>
      </c>
      <c r="AG5729">
        <v>-1.120173394099</v>
      </c>
      <c r="AH5729">
        <v>5.8947521831767897</v>
      </c>
      <c r="AI5729">
        <v>100.439992334728</v>
      </c>
      <c r="AJ5729">
        <v>104.159020340477</v>
      </c>
      <c r="AK5729">
        <v>6.1817802315461297</v>
      </c>
      <c r="AL5729">
        <v>63.653756885832202</v>
      </c>
      <c r="AM5729">
        <v>110.511076803232</v>
      </c>
      <c r="AN5729">
        <v>1.00000000948038</v>
      </c>
    </row>
    <row r="5730" spans="1:40" x14ac:dyDescent="0.25">
      <c r="A5730" t="str">
        <f>"20190304165002639"</f>
        <v>20190304165002639</v>
      </c>
      <c r="B5730" t="str">
        <f>"1551689402631670"</f>
        <v>1551689402631670</v>
      </c>
      <c r="C5730" t="s">
        <v>40</v>
      </c>
      <c r="D5730">
        <v>4.463273</v>
      </c>
      <c r="E5730">
        <v>0.53845430000000005</v>
      </c>
      <c r="F5730" t="s">
        <v>49</v>
      </c>
      <c r="G5730">
        <v>-415.12189999999998</v>
      </c>
      <c r="H5730" s="1">
        <v>-5.5126219999999997E-6</v>
      </c>
      <c r="I5730">
        <v>32.13597</v>
      </c>
      <c r="J5730">
        <v>-418.97980000000001</v>
      </c>
      <c r="K5730">
        <v>1.120144</v>
      </c>
      <c r="L5730">
        <v>37.129460000000002</v>
      </c>
      <c r="M5730">
        <v>0.39960770000000001</v>
      </c>
      <c r="N5730">
        <v>-1.481535E-2</v>
      </c>
      <c r="O5730">
        <v>-0.91656649999999995</v>
      </c>
      <c r="P5730">
        <v>0.61696419999999996</v>
      </c>
      <c r="Q5730">
        <v>0.43830669999999999</v>
      </c>
      <c r="R5730">
        <v>-0.65363760000000004</v>
      </c>
      <c r="S5730">
        <v>2.2210079999999999</v>
      </c>
      <c r="T5730">
        <v>-0.63188029999999995</v>
      </c>
      <c r="U5730">
        <v>-2.9124759999999998</v>
      </c>
      <c r="V5730">
        <v>-0.31418649999999998</v>
      </c>
      <c r="W5730">
        <v>0.44397110000000001</v>
      </c>
      <c r="X5730">
        <v>0.83915229999999996</v>
      </c>
      <c r="Y5730">
        <v>-0.2302225</v>
      </c>
      <c r="Z5730">
        <v>0.15128539999999999</v>
      </c>
      <c r="AA5730">
        <v>0.96130660000000001</v>
      </c>
      <c r="AB5730">
        <v>31</v>
      </c>
      <c r="AC5730">
        <v>3.8579000000000199</v>
      </c>
      <c r="AD5730">
        <v>-1.120149512622</v>
      </c>
      <c r="AE5730">
        <v>-4.9934899999999898</v>
      </c>
      <c r="AF5730">
        <v>-1.49368572418935</v>
      </c>
      <c r="AG5730">
        <v>-1.120149512622</v>
      </c>
      <c r="AH5730">
        <v>5.9322499141823899</v>
      </c>
      <c r="AI5730">
        <v>100.376394472811</v>
      </c>
      <c r="AJ5730">
        <v>104.132770313514</v>
      </c>
      <c r="AK5730">
        <v>6.21911738252233</v>
      </c>
      <c r="AL5730">
        <v>63.642472277155001</v>
      </c>
      <c r="AM5730">
        <v>110.52637194289601</v>
      </c>
      <c r="AN5730">
        <v>1.0000000385063701</v>
      </c>
    </row>
    <row r="5731" spans="1:40" x14ac:dyDescent="0.25">
      <c r="A5731" t="str">
        <f>"20190304165002652"</f>
        <v>20190304165002652</v>
      </c>
      <c r="B5731" t="str">
        <f>"1551689402641431"</f>
        <v>1551689402641431</v>
      </c>
      <c r="C5731" t="s">
        <v>40</v>
      </c>
      <c r="D5731">
        <v>4.4688819999999998</v>
      </c>
      <c r="E5731">
        <v>0.53864380000000001</v>
      </c>
      <c r="F5731" t="s">
        <v>49</v>
      </c>
      <c r="G5731">
        <v>-415.01740000000001</v>
      </c>
      <c r="H5731" s="1">
        <v>-5.5922170000000003E-6</v>
      </c>
      <c r="I5731">
        <v>32.004040000000003</v>
      </c>
      <c r="J5731">
        <v>-418.90269999999998</v>
      </c>
      <c r="K5731">
        <v>1.1201179999999999</v>
      </c>
      <c r="L5731">
        <v>36.96808</v>
      </c>
      <c r="M5731">
        <v>0.40561049999999998</v>
      </c>
      <c r="N5731">
        <v>-1.4726639999999999E-2</v>
      </c>
      <c r="O5731">
        <v>-0.91392770000000001</v>
      </c>
      <c r="P5731">
        <v>0.62168089999999998</v>
      </c>
      <c r="Q5731">
        <v>0.43839790000000001</v>
      </c>
      <c r="R5731">
        <v>-0.64909209999999995</v>
      </c>
      <c r="S5731">
        <v>2.2412109999999998</v>
      </c>
      <c r="T5731">
        <v>-0.63358809999999999</v>
      </c>
      <c r="U5731">
        <v>-2.8990779999999998</v>
      </c>
      <c r="V5731">
        <v>-0.31477650000000001</v>
      </c>
      <c r="W5731">
        <v>0.44397920000000002</v>
      </c>
      <c r="X5731">
        <v>0.83892690000000003</v>
      </c>
      <c r="Y5731">
        <v>-0.23016349999999999</v>
      </c>
      <c r="Z5731">
        <v>0.1514424</v>
      </c>
      <c r="AA5731">
        <v>0.96129600000000004</v>
      </c>
      <c r="AB5731">
        <v>31</v>
      </c>
      <c r="AC5731">
        <v>3.8852999999999698</v>
      </c>
      <c r="AD5731">
        <v>-1.1201235922170001</v>
      </c>
      <c r="AE5731">
        <v>-4.96403999999999</v>
      </c>
      <c r="AF5731">
        <v>-1.4905206458964699</v>
      </c>
      <c r="AG5731">
        <v>-1.1201235922170001</v>
      </c>
      <c r="AH5731">
        <v>5.9262363550412198</v>
      </c>
      <c r="AI5731">
        <v>100.387129474166</v>
      </c>
      <c r="AJ5731">
        <v>104.117759571495</v>
      </c>
      <c r="AK5731">
        <v>6.2126166784614201</v>
      </c>
      <c r="AL5731">
        <v>63.641954925010602</v>
      </c>
      <c r="AM5731">
        <v>110.566757103466</v>
      </c>
      <c r="AN5731">
        <v>1.00000005926424</v>
      </c>
    </row>
    <row r="5732" spans="1:40" x14ac:dyDescent="0.25">
      <c r="A5732" t="str">
        <f>"20190304165002665"</f>
        <v>20190304165002665</v>
      </c>
      <c r="B5732" t="str">
        <f>"1551689402661926"</f>
        <v>1551689402661926</v>
      </c>
      <c r="C5732" t="s">
        <v>40</v>
      </c>
      <c r="D5732">
        <v>4.4248200000000004</v>
      </c>
      <c r="E5732">
        <v>0.53932389999999997</v>
      </c>
      <c r="F5732" t="s">
        <v>49</v>
      </c>
      <c r="G5732">
        <v>-414.92309999999998</v>
      </c>
      <c r="H5732" s="1">
        <v>-5.6506770000000004E-6</v>
      </c>
      <c r="I5732">
        <v>31.888490000000001</v>
      </c>
      <c r="J5732">
        <v>-418.82859999999999</v>
      </c>
      <c r="K5732">
        <v>1.1200829999999999</v>
      </c>
      <c r="L5732">
        <v>36.815730000000002</v>
      </c>
      <c r="M5732">
        <v>0.41126639999999998</v>
      </c>
      <c r="N5732">
        <v>-1.4634640000000001E-2</v>
      </c>
      <c r="O5732">
        <v>-0.91139780000000004</v>
      </c>
      <c r="P5732">
        <v>0.625911199999999</v>
      </c>
      <c r="Q5732">
        <v>0.43846560000000001</v>
      </c>
      <c r="R5732">
        <v>-0.64496750000000003</v>
      </c>
      <c r="S5732">
        <v>2.2611080000000001</v>
      </c>
      <c r="T5732">
        <v>-0.63642219999999905</v>
      </c>
      <c r="U5732">
        <v>-2.8860779999999999</v>
      </c>
      <c r="V5732">
        <v>-0.31506459999999997</v>
      </c>
      <c r="W5732">
        <v>0.44397409999999998</v>
      </c>
      <c r="X5732">
        <v>0.83882139999999905</v>
      </c>
      <c r="Y5732">
        <v>-0.23029230000000001</v>
      </c>
      <c r="Z5732">
        <v>0.1518882</v>
      </c>
      <c r="AA5732">
        <v>0.96119480000000002</v>
      </c>
      <c r="AB5732">
        <v>31</v>
      </c>
      <c r="AC5732">
        <v>3.9055000000000102</v>
      </c>
      <c r="AD5732">
        <v>-1.120088650677</v>
      </c>
      <c r="AE5732">
        <v>-4.9272400000000003</v>
      </c>
      <c r="AF5732">
        <v>-1.4860563721373701</v>
      </c>
      <c r="AG5732">
        <v>-1.120088650677</v>
      </c>
      <c r="AH5732">
        <v>5.9099623450100296</v>
      </c>
      <c r="AI5732">
        <v>100.414940503696</v>
      </c>
      <c r="AJ5732">
        <v>104.114375270225</v>
      </c>
      <c r="AK5732">
        <v>6.1960162238314096</v>
      </c>
      <c r="AL5732">
        <v>63.642279989186797</v>
      </c>
      <c r="AM5732">
        <v>110.586374893282</v>
      </c>
      <c r="AN5732">
        <v>1.00000002237096</v>
      </c>
    </row>
    <row r="5733" spans="1:40" x14ac:dyDescent="0.25">
      <c r="A5733" t="str">
        <f>"20190304165002680"</f>
        <v>20190304165002680</v>
      </c>
      <c r="B5733" t="str">
        <f>"1551689402671686"</f>
        <v>1551689402671686</v>
      </c>
      <c r="C5733" t="s">
        <v>40</v>
      </c>
      <c r="D5733">
        <v>4.339251</v>
      </c>
      <c r="E5733">
        <v>0.53962330000000003</v>
      </c>
      <c r="F5733" t="s">
        <v>49</v>
      </c>
      <c r="G5733">
        <v>-414.7946</v>
      </c>
      <c r="H5733" s="1">
        <v>-5.7367280000000004E-6</v>
      </c>
      <c r="I5733">
        <v>31.71415</v>
      </c>
      <c r="J5733">
        <v>-418.73660000000001</v>
      </c>
      <c r="K5733">
        <v>1.1200270000000001</v>
      </c>
      <c r="L5733">
        <v>36.629179999999998</v>
      </c>
      <c r="M5733">
        <v>0.41816940000000002</v>
      </c>
      <c r="N5733">
        <v>-1.451553E-2</v>
      </c>
      <c r="O5733">
        <v>-0.90825310000000004</v>
      </c>
      <c r="P5733">
        <v>0.63174490000000005</v>
      </c>
      <c r="Q5733">
        <v>0.43794040000000001</v>
      </c>
      <c r="R5733">
        <v>-0.63961420000000002</v>
      </c>
      <c r="S5733">
        <v>2.2730410000000001</v>
      </c>
      <c r="T5733">
        <v>-0.63113240000000004</v>
      </c>
      <c r="U5733">
        <v>-2.8745729999999998</v>
      </c>
      <c r="V5733">
        <v>-0.31613659999999999</v>
      </c>
      <c r="W5733">
        <v>0.44334449999999997</v>
      </c>
      <c r="X5733">
        <v>0.83875100000000002</v>
      </c>
      <c r="Y5733">
        <v>-0.2273955</v>
      </c>
      <c r="Z5733">
        <v>0.15027699999999999</v>
      </c>
      <c r="AA5733">
        <v>0.96213729999999997</v>
      </c>
      <c r="AB5733">
        <v>31</v>
      </c>
      <c r="AC5733">
        <v>3.9420000000000002</v>
      </c>
      <c r="AD5733">
        <v>-1.1200327367280001</v>
      </c>
      <c r="AE5733">
        <v>-4.91502999999999</v>
      </c>
      <c r="AF5733">
        <v>-1.4784580262753599</v>
      </c>
      <c r="AG5733">
        <v>-1.1200327367280001</v>
      </c>
      <c r="AH5733">
        <v>5.9258929884529996</v>
      </c>
      <c r="AI5733">
        <v>100.391735412195</v>
      </c>
      <c r="AJ5733">
        <v>104.008801769979</v>
      </c>
      <c r="AK5733">
        <v>6.2093895978104703</v>
      </c>
      <c r="AL5733">
        <v>63.682530174779203</v>
      </c>
      <c r="AM5733">
        <v>110.65210496452301</v>
      </c>
      <c r="AN5733">
        <v>0.99999996777040401</v>
      </c>
    </row>
    <row r="5734" spans="1:40" x14ac:dyDescent="0.25">
      <c r="A5734" t="str">
        <f>"20190304165002693"</f>
        <v>20190304165002693</v>
      </c>
      <c r="B5734" t="str">
        <f>"1551689402681446"</f>
        <v>1551689402681446</v>
      </c>
      <c r="C5734" t="s">
        <v>40</v>
      </c>
      <c r="D5734">
        <v>4.4330400000000001</v>
      </c>
      <c r="E5734">
        <v>0.53985099999999997</v>
      </c>
      <c r="F5734" t="s">
        <v>49</v>
      </c>
      <c r="G5734">
        <v>-414.6506</v>
      </c>
      <c r="H5734" s="1">
        <v>-5.8290649999999999E-6</v>
      </c>
      <c r="I5734">
        <v>31.529589999999999</v>
      </c>
      <c r="J5734">
        <v>-418.66079999999999</v>
      </c>
      <c r="K5734">
        <v>1.1199760000000001</v>
      </c>
      <c r="L5734">
        <v>36.47784</v>
      </c>
      <c r="M5734">
        <v>0.42374800000000001</v>
      </c>
      <c r="N5734">
        <v>-1.441308E-2</v>
      </c>
      <c r="O5734">
        <v>-0.90566550000000001</v>
      </c>
      <c r="P5734">
        <v>0.63613540000000002</v>
      </c>
      <c r="Q5734">
        <v>0.4372375</v>
      </c>
      <c r="R5734">
        <v>-0.63573210000000002</v>
      </c>
      <c r="S5734">
        <v>2.2901310000000001</v>
      </c>
      <c r="T5734">
        <v>-0.62775609999999904</v>
      </c>
      <c r="U5734">
        <v>-2.858215</v>
      </c>
      <c r="V5734">
        <v>-0.316505599999999</v>
      </c>
      <c r="W5734">
        <v>0.44257249999999998</v>
      </c>
      <c r="X5734">
        <v>0.83901949999999903</v>
      </c>
      <c r="Y5734">
        <v>-0.22768440000000001</v>
      </c>
      <c r="Z5734">
        <v>0.1493419</v>
      </c>
      <c r="AA5734">
        <v>0.96221449999999997</v>
      </c>
      <c r="AB5734">
        <v>31</v>
      </c>
      <c r="AC5734">
        <v>4.0101999999999904</v>
      </c>
      <c r="AD5734">
        <v>-1.1199818290649901</v>
      </c>
      <c r="AE5734">
        <v>-4.94824999999999</v>
      </c>
      <c r="AF5734">
        <v>-1.4892008997555499</v>
      </c>
      <c r="AG5734">
        <v>-1.1199818290649901</v>
      </c>
      <c r="AH5734">
        <v>5.99601393359473</v>
      </c>
      <c r="AI5734">
        <v>100.275007784786</v>
      </c>
      <c r="AJ5734">
        <v>103.94804960476</v>
      </c>
      <c r="AK5734">
        <v>6.2788742389962504</v>
      </c>
      <c r="AL5734">
        <v>63.731866759369098</v>
      </c>
      <c r="AM5734">
        <v>110.66811612992799</v>
      </c>
      <c r="AN5734">
        <v>0.99999996698392901</v>
      </c>
    </row>
    <row r="5735" spans="1:40" x14ac:dyDescent="0.25">
      <c r="A5735" t="str">
        <f>"20190304165002707"</f>
        <v>20190304165002707</v>
      </c>
      <c r="B5735" t="str">
        <f>"1551689402701942"</f>
        <v>1551689402701942</v>
      </c>
      <c r="C5735" t="s">
        <v>40</v>
      </c>
      <c r="D5735">
        <v>4.483225</v>
      </c>
      <c r="E5735">
        <v>0.54009739999999995</v>
      </c>
      <c r="F5735" t="s">
        <v>49</v>
      </c>
      <c r="G5735">
        <v>-414.58539999999999</v>
      </c>
      <c r="H5735" s="1">
        <v>-5.87023199999999E-6</v>
      </c>
      <c r="I5735">
        <v>31.44773</v>
      </c>
      <c r="J5735">
        <v>-418.57839999999999</v>
      </c>
      <c r="K5735">
        <v>1.119915</v>
      </c>
      <c r="L5735">
        <v>36.316650000000003</v>
      </c>
      <c r="M5735">
        <v>0.42965950000000003</v>
      </c>
      <c r="N5735">
        <v>-1.4299299999999999E-2</v>
      </c>
      <c r="O5735">
        <v>-0.90287790000000001</v>
      </c>
      <c r="P5735">
        <v>0.64080429999999999</v>
      </c>
      <c r="Q5735">
        <v>0.43638379999999999</v>
      </c>
      <c r="R5735">
        <v>-0.63161610000000001</v>
      </c>
      <c r="S5735">
        <v>2.3065799999999999</v>
      </c>
      <c r="T5735">
        <v>-0.63388239999999996</v>
      </c>
      <c r="U5735">
        <v>-2.846924</v>
      </c>
      <c r="V5735">
        <v>-0.316895599999999</v>
      </c>
      <c r="W5735">
        <v>0.44164690000000001</v>
      </c>
      <c r="X5735">
        <v>0.83935999999999999</v>
      </c>
      <c r="Y5735">
        <v>-0.226408</v>
      </c>
      <c r="Z5735">
        <v>0.15055360000000001</v>
      </c>
      <c r="AA5735">
        <v>0.96232689999999999</v>
      </c>
      <c r="AB5735">
        <v>31</v>
      </c>
      <c r="AC5735">
        <v>3.9929999999999901</v>
      </c>
      <c r="AD5735">
        <v>-1.119920870232</v>
      </c>
      <c r="AE5735">
        <v>-4.8689200000000001</v>
      </c>
      <c r="AF5735">
        <v>-1.4669651985213099</v>
      </c>
      <c r="AG5735">
        <v>-1.119920870232</v>
      </c>
      <c r="AH5735">
        <v>5.9248789618212703</v>
      </c>
      <c r="AI5735">
        <v>100.396975051113</v>
      </c>
      <c r="AJ5735">
        <v>103.906432121989</v>
      </c>
      <c r="AK5735">
        <v>6.2056748514151296</v>
      </c>
      <c r="AL5735">
        <v>63.790993084528097</v>
      </c>
      <c r="AM5735">
        <v>110.683744232392</v>
      </c>
      <c r="AN5735">
        <v>1.0000000075894799</v>
      </c>
    </row>
    <row r="5736" spans="1:40" x14ac:dyDescent="0.25">
      <c r="A5736" t="str">
        <f>"20190304165002727"</f>
        <v>20190304165002727</v>
      </c>
      <c r="B5736" t="str">
        <f>"1551689402721462"</f>
        <v>1551689402721462</v>
      </c>
      <c r="C5736" t="s">
        <v>40</v>
      </c>
      <c r="D5736">
        <v>4.6531219999999998</v>
      </c>
      <c r="E5736">
        <v>0.53960319999999995</v>
      </c>
      <c r="F5736" t="s">
        <v>49</v>
      </c>
      <c r="G5736">
        <v>-414.5419</v>
      </c>
      <c r="H5736" s="1">
        <v>-5.8976619999999997E-6</v>
      </c>
      <c r="I5736">
        <v>31.393219999999999</v>
      </c>
      <c r="J5736">
        <v>-418.45769999999999</v>
      </c>
      <c r="K5736">
        <v>1.11982</v>
      </c>
      <c r="L5736">
        <v>36.084229999999998</v>
      </c>
      <c r="M5736">
        <v>0.43812610000000002</v>
      </c>
      <c r="N5736">
        <v>-1.41304E-2</v>
      </c>
      <c r="O5736">
        <v>-0.89880260000000001</v>
      </c>
      <c r="P5736">
        <v>0.64718929999999997</v>
      </c>
      <c r="Q5736">
        <v>0.43414740000000002</v>
      </c>
      <c r="R5736">
        <v>-0.62662790000000002</v>
      </c>
      <c r="S5736">
        <v>2.325348</v>
      </c>
      <c r="T5736">
        <v>-0.64516039999999997</v>
      </c>
      <c r="U5736">
        <v>-2.8362729999999998</v>
      </c>
      <c r="V5736">
        <v>-0.31674010000000002</v>
      </c>
      <c r="W5736">
        <v>0.43933660000000002</v>
      </c>
      <c r="X5736">
        <v>0.84063019999999999</v>
      </c>
      <c r="Y5736">
        <v>-0.22258919999999999</v>
      </c>
      <c r="Z5736">
        <v>0.15273689999999901</v>
      </c>
      <c r="AA5736">
        <v>0.9628736</v>
      </c>
      <c r="AB5736">
        <v>31</v>
      </c>
      <c r="AC5736">
        <v>3.9157999999999902</v>
      </c>
      <c r="AD5736">
        <v>-1.1198258976619999</v>
      </c>
      <c r="AE5736">
        <v>-4.6910099999999897</v>
      </c>
      <c r="AF5736">
        <v>-1.4168396129771299</v>
      </c>
      <c r="AG5736">
        <v>-1.1198258976619999</v>
      </c>
      <c r="AH5736">
        <v>5.7397322288556198</v>
      </c>
      <c r="AI5736">
        <v>100.72562230734999</v>
      </c>
      <c r="AJ5736">
        <v>103.86612781489001</v>
      </c>
      <c r="AK5736">
        <v>6.0171397348690201</v>
      </c>
      <c r="AL5736">
        <v>63.938439741708599</v>
      </c>
      <c r="AM5736">
        <v>110.645850509776</v>
      </c>
      <c r="AN5736">
        <v>1.0000000360998</v>
      </c>
    </row>
    <row r="5737" spans="1:40" x14ac:dyDescent="0.25">
      <c r="A5737" t="str">
        <f>"20190304165002740"</f>
        <v>20190304165002740</v>
      </c>
      <c r="B5737" t="str">
        <f>"1551689402731222"</f>
        <v>1551689402731222</v>
      </c>
      <c r="C5737" t="s">
        <v>40</v>
      </c>
      <c r="D5737">
        <v>4.4520359999999997</v>
      </c>
      <c r="E5737">
        <v>0.53960319999999995</v>
      </c>
      <c r="F5737" t="s">
        <v>49</v>
      </c>
      <c r="G5737">
        <v>-414.42410000000001</v>
      </c>
      <c r="H5737" s="1">
        <v>-5.967284E-6</v>
      </c>
      <c r="I5737">
        <v>31.257860000000001</v>
      </c>
      <c r="J5737">
        <v>-418.3639</v>
      </c>
      <c r="K5737">
        <v>1.119742</v>
      </c>
      <c r="L5737">
        <v>35.90692</v>
      </c>
      <c r="M5737">
        <v>0.44453169999999997</v>
      </c>
      <c r="N5737">
        <v>-1.399948E-2</v>
      </c>
      <c r="O5737">
        <v>-0.89565380000000006</v>
      </c>
      <c r="P5737">
        <v>0.65163700000000002</v>
      </c>
      <c r="Q5737">
        <v>0.43313170000000001</v>
      </c>
      <c r="R5737">
        <v>-0.62270859999999995</v>
      </c>
      <c r="S5737">
        <v>2.35025</v>
      </c>
      <c r="T5737">
        <v>-0.65249199999999996</v>
      </c>
      <c r="U5737">
        <v>-2.812195</v>
      </c>
      <c r="V5737">
        <v>-0.31633060000000002</v>
      </c>
      <c r="W5737">
        <v>0.43826969999999998</v>
      </c>
      <c r="X5737">
        <v>0.84134100000000001</v>
      </c>
      <c r="Y5737">
        <v>-0.22448979999999999</v>
      </c>
      <c r="Z5737">
        <v>0.15450759999999999</v>
      </c>
      <c r="AA5737">
        <v>0.96214960000000005</v>
      </c>
      <c r="AB5737">
        <v>31</v>
      </c>
      <c r="AC5737">
        <v>3.9397999999999902</v>
      </c>
      <c r="AD5737">
        <v>-1.1197479672840001</v>
      </c>
      <c r="AE5737">
        <v>-4.6490600000000004</v>
      </c>
      <c r="AF5737">
        <v>-1.4144293367865699</v>
      </c>
      <c r="AG5737">
        <v>-1.1197479672840001</v>
      </c>
      <c r="AH5737">
        <v>5.7226757598368501</v>
      </c>
      <c r="AI5737">
        <v>100.755344883921</v>
      </c>
      <c r="AJ5737">
        <v>103.883113916032</v>
      </c>
      <c r="AK5737">
        <v>6.0002886356594098</v>
      </c>
      <c r="AL5737">
        <v>64.006467582831505</v>
      </c>
      <c r="AM5737">
        <v>110.60544820675401</v>
      </c>
      <c r="AN5737">
        <v>1.00000002835772</v>
      </c>
    </row>
    <row r="5738" spans="1:40" x14ac:dyDescent="0.25">
      <c r="A5738" t="str">
        <f>"20190304165002754"</f>
        <v>20190304165002754</v>
      </c>
      <c r="B5738" t="str">
        <f>"1551689402751717"</f>
        <v>1551689402751717</v>
      </c>
      <c r="C5738" t="s">
        <v>40</v>
      </c>
      <c r="D5738">
        <v>4.4324899999999996</v>
      </c>
      <c r="E5738">
        <v>0.48376720000000001</v>
      </c>
      <c r="F5738" t="s">
        <v>49</v>
      </c>
      <c r="G5738">
        <v>-414.32530000000003</v>
      </c>
      <c r="H5738" s="1">
        <v>-6.0274610000000003E-6</v>
      </c>
      <c r="I5738">
        <v>31.13964</v>
      </c>
      <c r="J5738">
        <v>-418.27550000000002</v>
      </c>
      <c r="K5738">
        <v>1.119669</v>
      </c>
      <c r="L5738">
        <v>35.742069999999998</v>
      </c>
      <c r="M5738">
        <v>0.45044719999999999</v>
      </c>
      <c r="N5738">
        <v>-1.387816E-2</v>
      </c>
      <c r="O5738">
        <v>-0.89269540000000003</v>
      </c>
      <c r="P5738">
        <v>0.65583480000000005</v>
      </c>
      <c r="Q5738">
        <v>0.43200830000000001</v>
      </c>
      <c r="R5738">
        <v>-0.6190715</v>
      </c>
      <c r="S5738">
        <v>2.3685</v>
      </c>
      <c r="T5738">
        <v>-0.65669789999999995</v>
      </c>
      <c r="U5738">
        <v>-2.795868</v>
      </c>
      <c r="V5738">
        <v>-0.3160211</v>
      </c>
      <c r="W5738">
        <v>0.43709969999999998</v>
      </c>
      <c r="X5738">
        <v>0.84206569999999903</v>
      </c>
      <c r="Y5738">
        <v>-0.2243647</v>
      </c>
      <c r="Z5738">
        <v>0.15533329999999901</v>
      </c>
      <c r="AA5738">
        <v>0.96204579999999995</v>
      </c>
      <c r="AB5738">
        <v>31</v>
      </c>
      <c r="AC5738">
        <v>3.9501999999999899</v>
      </c>
      <c r="AD5738">
        <v>-1.1196750274609999</v>
      </c>
      <c r="AE5738">
        <v>-4.6024299999999903</v>
      </c>
      <c r="AF5738">
        <v>-1.40541712156051</v>
      </c>
      <c r="AG5738">
        <v>-1.1196750274609999</v>
      </c>
      <c r="AH5738">
        <v>5.6944261271518997</v>
      </c>
      <c r="AI5738">
        <v>100.80763601389999</v>
      </c>
      <c r="AJ5738">
        <v>103.86386319224199</v>
      </c>
      <c r="AK5738">
        <v>5.9712107960015404</v>
      </c>
      <c r="AL5738">
        <v>64.081025267899307</v>
      </c>
      <c r="AM5738">
        <v>110.570746082239</v>
      </c>
      <c r="AN5738">
        <v>1.0000000632508901</v>
      </c>
    </row>
    <row r="5739" spans="1:40" x14ac:dyDescent="0.25">
      <c r="A5739" t="str">
        <f>"20190304165002770"</f>
        <v>20190304165002770</v>
      </c>
      <c r="B5739" t="str">
        <f>"1551689402761478"</f>
        <v>1551689402761478</v>
      </c>
      <c r="C5739" t="s">
        <v>40</v>
      </c>
      <c r="D5739">
        <v>4.42103</v>
      </c>
      <c r="E5739">
        <v>0.48368879999999997</v>
      </c>
      <c r="F5739" t="s">
        <v>49</v>
      </c>
      <c r="G5739">
        <v>-411.108</v>
      </c>
      <c r="H5739" s="1">
        <v>-1.0351110000000001E-5</v>
      </c>
      <c r="I5739">
        <v>29.241499999999998</v>
      </c>
      <c r="J5739">
        <v>-418.17739999999998</v>
      </c>
      <c r="K5739">
        <v>1.1195889999999999</v>
      </c>
      <c r="L5739">
        <v>35.563079999999999</v>
      </c>
      <c r="M5739">
        <v>0.45681460000000002</v>
      </c>
      <c r="N5739">
        <v>-1.3748959999999999E-2</v>
      </c>
      <c r="O5739">
        <v>-0.88945569999999896</v>
      </c>
      <c r="P5739">
        <v>0.65961919999999996</v>
      </c>
      <c r="Q5739">
        <v>0.4302224</v>
      </c>
      <c r="R5739">
        <v>-0.61628850000000002</v>
      </c>
      <c r="S5739">
        <v>2.6091609999999998</v>
      </c>
      <c r="T5739">
        <v>-0.4075956</v>
      </c>
      <c r="U5739">
        <v>-2.3663940000000001</v>
      </c>
      <c r="V5739">
        <v>-0.31448910000000002</v>
      </c>
      <c r="W5739">
        <v>0.43530099999999999</v>
      </c>
      <c r="X5739">
        <v>0.84356960000000003</v>
      </c>
      <c r="Y5739">
        <v>-0.34757690000000002</v>
      </c>
      <c r="Z5739">
        <v>0.1007393</v>
      </c>
      <c r="AA5739">
        <v>0.93222419999999995</v>
      </c>
      <c r="AB5739">
        <v>31</v>
      </c>
      <c r="AC5739">
        <v>7.0693999999999697</v>
      </c>
      <c r="AD5739">
        <v>-1.11959935111</v>
      </c>
      <c r="AE5739">
        <v>-6.32158</v>
      </c>
      <c r="AF5739">
        <v>-3.3537078208211599</v>
      </c>
      <c r="AG5739">
        <v>-1.11959935111</v>
      </c>
      <c r="AH5739">
        <v>8.7313161952999394</v>
      </c>
      <c r="AI5739">
        <v>96.825922452833296</v>
      </c>
      <c r="AJ5739">
        <v>111.01183556250901</v>
      </c>
      <c r="AK5739">
        <v>9.4200181187060394</v>
      </c>
      <c r="AL5739">
        <v>64.195551821574995</v>
      </c>
      <c r="AM5739">
        <v>110.445834006372</v>
      </c>
      <c r="AN5739">
        <v>1.0000000123319801</v>
      </c>
    </row>
    <row r="5740" spans="1:40" x14ac:dyDescent="0.25">
      <c r="A5740" t="str">
        <f>"20190304165002784"</f>
        <v>20190304165002784</v>
      </c>
      <c r="B5740" t="str">
        <f>"1551689402781974"</f>
        <v>1551689402781974</v>
      </c>
      <c r="C5740" t="s">
        <v>40</v>
      </c>
      <c r="D5740">
        <v>4.3068099999999996</v>
      </c>
      <c r="E5740">
        <v>0.48307309999999998</v>
      </c>
      <c r="F5740" t="s">
        <v>49</v>
      </c>
      <c r="G5740">
        <v>-411.10520000000002</v>
      </c>
      <c r="H5740" s="1">
        <v>-1.035035E-5</v>
      </c>
      <c r="I5740">
        <v>29.225899999999999</v>
      </c>
      <c r="J5740">
        <v>-418.08609999999999</v>
      </c>
      <c r="K5740">
        <v>1.119516</v>
      </c>
      <c r="L5740">
        <v>35.398679999999999</v>
      </c>
      <c r="M5740">
        <v>0.46261740000000001</v>
      </c>
      <c r="N5740">
        <v>-1.3631839999999999E-2</v>
      </c>
      <c r="O5740">
        <v>-0.88645309999999899</v>
      </c>
      <c r="P5740">
        <v>0.66319469999999903</v>
      </c>
      <c r="Q5740">
        <v>0.43000359999999999</v>
      </c>
      <c r="R5740">
        <v>-0.61259240000000004</v>
      </c>
      <c r="S5740">
        <v>2.6229550000000001</v>
      </c>
      <c r="T5740">
        <v>-0.41523900000000002</v>
      </c>
      <c r="U5740">
        <v>-2.3503419999999999</v>
      </c>
      <c r="V5740">
        <v>-0.31374669999999999</v>
      </c>
      <c r="W5740">
        <v>0.43504419999999999</v>
      </c>
      <c r="X5740">
        <v>0.84397840000000002</v>
      </c>
      <c r="Y5740">
        <v>-0.346879299999999</v>
      </c>
      <c r="Z5740">
        <v>0.1027279</v>
      </c>
      <c r="AA5740">
        <v>0.93226699999999996</v>
      </c>
      <c r="AB5740">
        <v>31</v>
      </c>
      <c r="AC5740">
        <v>6.9808999999999601</v>
      </c>
      <c r="AD5740">
        <v>-1.1195263503499999</v>
      </c>
      <c r="AE5740">
        <v>-6.1727800000000004</v>
      </c>
      <c r="AF5740">
        <v>-3.2854942820886501</v>
      </c>
      <c r="AG5740">
        <v>-1.1195263503499999</v>
      </c>
      <c r="AH5740">
        <v>8.5783605917307302</v>
      </c>
      <c r="AI5740">
        <v>96.948541431512794</v>
      </c>
      <c r="AJ5740">
        <v>110.95673602796499</v>
      </c>
      <c r="AK5740">
        <v>9.2539765705627399</v>
      </c>
      <c r="AL5740">
        <v>64.211893399450005</v>
      </c>
      <c r="AM5740">
        <v>110.392481906781</v>
      </c>
      <c r="AN5740">
        <v>0.99999999369054404</v>
      </c>
    </row>
    <row r="5741" spans="1:40" x14ac:dyDescent="0.25">
      <c r="A5741" t="str">
        <f>"20190304165002805"</f>
        <v>20190304165002805</v>
      </c>
      <c r="B5741" t="str">
        <f>"1551689402801493"</f>
        <v>1551689402801493</v>
      </c>
      <c r="C5741" t="s">
        <v>40</v>
      </c>
      <c r="D5741">
        <v>4.3540159999999997</v>
      </c>
      <c r="E5741">
        <v>0.48500949999999998</v>
      </c>
      <c r="F5741" t="s">
        <v>49</v>
      </c>
      <c r="G5741">
        <v>-410.6814</v>
      </c>
      <c r="H5741" s="1">
        <v>-1.045901E-5</v>
      </c>
      <c r="I5741">
        <v>28.86666</v>
      </c>
      <c r="J5741">
        <v>-417.95170000000002</v>
      </c>
      <c r="K5741">
        <v>1.1194170000000001</v>
      </c>
      <c r="L5741">
        <v>35.16095</v>
      </c>
      <c r="M5741">
        <v>0.47093049999999997</v>
      </c>
      <c r="N5741">
        <v>-1.3466840000000001E-2</v>
      </c>
      <c r="O5741">
        <v>-0.88206759999999995</v>
      </c>
      <c r="P5741">
        <v>0.66808970000000001</v>
      </c>
      <c r="Q5741">
        <v>0.42983199999999999</v>
      </c>
      <c r="R5741">
        <v>-0.60737189999999996</v>
      </c>
      <c r="S5741">
        <v>2.6348569999999998</v>
      </c>
      <c r="T5741">
        <v>-0.39837030000000001</v>
      </c>
      <c r="U5741">
        <v>-2.324341</v>
      </c>
      <c r="V5741">
        <v>-0.31243259999999901</v>
      </c>
      <c r="W5741">
        <v>0.43482569999999998</v>
      </c>
      <c r="X5741">
        <v>0.8445783</v>
      </c>
      <c r="Y5741">
        <v>-0.34569319999999998</v>
      </c>
      <c r="Z5741">
        <v>9.8262589999999997E-2</v>
      </c>
      <c r="AA5741">
        <v>0.93318840000000003</v>
      </c>
      <c r="AB5741">
        <v>31</v>
      </c>
      <c r="AC5741">
        <v>7.2703000000000104</v>
      </c>
      <c r="AD5741">
        <v>-1.11942745901</v>
      </c>
      <c r="AE5741">
        <v>-6.2942900000000002</v>
      </c>
      <c r="AF5741">
        <v>-3.4029230197023801</v>
      </c>
      <c r="AG5741">
        <v>-1.11942745901</v>
      </c>
      <c r="AH5741">
        <v>8.8565944490239996</v>
      </c>
      <c r="AI5741">
        <v>96.728960488040897</v>
      </c>
      <c r="AJ5741">
        <v>111.01801230673099</v>
      </c>
      <c r="AK5741">
        <v>9.5536520843334394</v>
      </c>
      <c r="AL5741">
        <v>64.225796909837499</v>
      </c>
      <c r="AM5741">
        <v>110.300811578611</v>
      </c>
      <c r="AN5741">
        <v>1.00000001187707</v>
      </c>
    </row>
    <row r="5742" spans="1:40" x14ac:dyDescent="0.25">
      <c r="A5742" t="str">
        <f>"20190304165002821"</f>
        <v>20190304165002821</v>
      </c>
      <c r="B5742" t="str">
        <f>"1551689402811254"</f>
        <v>1551689402811254</v>
      </c>
      <c r="C5742" t="s">
        <v>40</v>
      </c>
      <c r="D5742">
        <v>4.3546310000000004</v>
      </c>
      <c r="E5742">
        <v>0.4857399</v>
      </c>
      <c r="F5742" t="s">
        <v>49</v>
      </c>
      <c r="G5742">
        <v>-410.64339999999999</v>
      </c>
      <c r="H5742" s="1">
        <v>-1.046249E-5</v>
      </c>
      <c r="I5742">
        <v>28.763290000000001</v>
      </c>
      <c r="J5742">
        <v>-417.83929999999998</v>
      </c>
      <c r="K5742">
        <v>1.119351</v>
      </c>
      <c r="L5742">
        <v>34.965730000000001</v>
      </c>
      <c r="M5742">
        <v>0.47769060000000002</v>
      </c>
      <c r="N5742">
        <v>-1.33376E-2</v>
      </c>
      <c r="O5742">
        <v>-0.87842699999999996</v>
      </c>
      <c r="P5742">
        <v>0.67241450000000003</v>
      </c>
      <c r="Q5742">
        <v>0.4301606</v>
      </c>
      <c r="R5742">
        <v>-0.60234619999999905</v>
      </c>
      <c r="S5742">
        <v>2.6456599999999999</v>
      </c>
      <c r="T5742">
        <v>-0.40524270000000001</v>
      </c>
      <c r="U5742">
        <v>-2.3160099999999999</v>
      </c>
      <c r="V5742">
        <v>-0.31203360000000002</v>
      </c>
      <c r="W5742">
        <v>0.43509740000000002</v>
      </c>
      <c r="X5742">
        <v>0.84458580000000005</v>
      </c>
      <c r="Y5742">
        <v>-0.3419082</v>
      </c>
      <c r="Z5742">
        <v>9.9804859999999995E-2</v>
      </c>
      <c r="AA5742">
        <v>0.93441839999999998</v>
      </c>
      <c r="AB5742">
        <v>31</v>
      </c>
      <c r="AC5742">
        <v>7.1958999999999902</v>
      </c>
      <c r="AD5742">
        <v>-1.1193614624899999</v>
      </c>
      <c r="AE5742">
        <v>-6.2024399999999904</v>
      </c>
      <c r="AF5742">
        <v>-3.3125355990533798</v>
      </c>
      <c r="AG5742">
        <v>-1.1193614624899999</v>
      </c>
      <c r="AH5742">
        <v>8.7649097228503798</v>
      </c>
      <c r="AI5742">
        <v>96.812413185357499</v>
      </c>
      <c r="AJ5742">
        <v>110.703158661275</v>
      </c>
      <c r="AK5742">
        <v>9.4366045073649705</v>
      </c>
      <c r="AL5742">
        <v>64.208506704893495</v>
      </c>
      <c r="AM5742">
        <v>110.276832822175</v>
      </c>
      <c r="AN5742">
        <v>0.999999944288678</v>
      </c>
    </row>
    <row r="5743" spans="1:40" x14ac:dyDescent="0.25">
      <c r="A5743" t="str">
        <f>"20190304165002839"</f>
        <v>20190304165002839</v>
      </c>
      <c r="B5743" t="str">
        <f>"1551689402831750"</f>
        <v>1551689402831750</v>
      </c>
      <c r="C5743" t="s">
        <v>40</v>
      </c>
      <c r="D5743">
        <v>4.365221</v>
      </c>
      <c r="E5743">
        <v>0.48706890000000003</v>
      </c>
      <c r="F5743" t="s">
        <v>49</v>
      </c>
      <c r="G5743">
        <v>-410.49369999999999</v>
      </c>
      <c r="H5743" s="1">
        <v>-1.0501400000000001E-5</v>
      </c>
      <c r="I5743">
        <v>28.60765</v>
      </c>
      <c r="J5743">
        <v>-417.71460000000002</v>
      </c>
      <c r="K5743">
        <v>1.1192820000000001</v>
      </c>
      <c r="L5743">
        <v>34.752989999999997</v>
      </c>
      <c r="M5743">
        <v>0.48499199999999998</v>
      </c>
      <c r="N5743">
        <v>-1.320474E-2</v>
      </c>
      <c r="O5743">
        <v>-0.8744189</v>
      </c>
      <c r="P5743">
        <v>0.6764445</v>
      </c>
      <c r="Q5743">
        <v>0.431338</v>
      </c>
      <c r="R5743">
        <v>-0.59696780000000005</v>
      </c>
      <c r="S5743">
        <v>2.659027</v>
      </c>
      <c r="T5743">
        <v>-0.40519450000000001</v>
      </c>
      <c r="U5743">
        <v>-2.3015439999999998</v>
      </c>
      <c r="V5743">
        <v>-0.31102950000000001</v>
      </c>
      <c r="W5743">
        <v>0.4362258</v>
      </c>
      <c r="X5743">
        <v>0.84437410000000002</v>
      </c>
      <c r="Y5743">
        <v>-0.3393313</v>
      </c>
      <c r="Z5743">
        <v>9.9551290000000001E-2</v>
      </c>
      <c r="AA5743">
        <v>0.93538429999999995</v>
      </c>
      <c r="AB5743">
        <v>31</v>
      </c>
      <c r="AC5743">
        <v>7.2209000000000199</v>
      </c>
      <c r="AD5743">
        <v>-1.1192925013999999</v>
      </c>
      <c r="AE5743">
        <v>-6.14534</v>
      </c>
      <c r="AF5743">
        <v>-3.2881225530443401</v>
      </c>
      <c r="AG5743">
        <v>-1.1192925013999999</v>
      </c>
      <c r="AH5743">
        <v>8.7544637412929003</v>
      </c>
      <c r="AI5743">
        <v>96.825261620554002</v>
      </c>
      <c r="AJ5743">
        <v>110.58586853787401</v>
      </c>
      <c r="AK5743">
        <v>9.4183438578733796</v>
      </c>
      <c r="AL5743">
        <v>64.136679763589697</v>
      </c>
      <c r="AM5743">
        <v>110.221531805064</v>
      </c>
      <c r="AN5743">
        <v>0.99999995960334898</v>
      </c>
    </row>
    <row r="5744" spans="1:40" x14ac:dyDescent="0.25">
      <c r="A5744" t="str">
        <f>"20190304165002860"</f>
        <v>20190304165002860</v>
      </c>
      <c r="B5744" t="str">
        <f>"1551689402851270"</f>
        <v>1551689402851270</v>
      </c>
      <c r="C5744" t="s">
        <v>40</v>
      </c>
      <c r="D5744">
        <v>4.3415470000000003</v>
      </c>
      <c r="E5744">
        <v>0.48816369999999998</v>
      </c>
      <c r="F5744" t="s">
        <v>49</v>
      </c>
      <c r="G5744">
        <v>-410.31290000000001</v>
      </c>
      <c r="H5744" s="1">
        <v>-1.054675E-5</v>
      </c>
      <c r="I5744">
        <v>28.4038</v>
      </c>
      <c r="J5744">
        <v>-417.5684</v>
      </c>
      <c r="K5744">
        <v>1.1192169999999999</v>
      </c>
      <c r="L5744">
        <v>34.508759999999903</v>
      </c>
      <c r="M5744">
        <v>0.49329869999999998</v>
      </c>
      <c r="N5744">
        <v>-1.3059670000000001E-2</v>
      </c>
      <c r="O5744">
        <v>-0.86976180000000003</v>
      </c>
      <c r="P5744">
        <v>0.68120950000000002</v>
      </c>
      <c r="Q5744">
        <v>0.432145</v>
      </c>
      <c r="R5744">
        <v>-0.59093519999999999</v>
      </c>
      <c r="S5744">
        <v>2.670715</v>
      </c>
      <c r="T5744">
        <v>-0.40387020000000001</v>
      </c>
      <c r="U5744">
        <v>-2.2909549999999999</v>
      </c>
      <c r="V5744">
        <v>-0.30998720000000002</v>
      </c>
      <c r="W5744">
        <v>0.43697740000000002</v>
      </c>
      <c r="X5744">
        <v>0.84436880000000003</v>
      </c>
      <c r="Y5744">
        <v>-0.33459299999999997</v>
      </c>
      <c r="Z5744">
        <v>9.880295E-2</v>
      </c>
      <c r="AA5744">
        <v>0.93716889999999997</v>
      </c>
      <c r="AB5744">
        <v>31</v>
      </c>
      <c r="AC5744">
        <v>7.2554999999999801</v>
      </c>
      <c r="AD5744">
        <v>-1.1192275467499999</v>
      </c>
      <c r="AE5744">
        <v>-6.1049599999999904</v>
      </c>
      <c r="AF5744">
        <v>-3.25393567386589</v>
      </c>
      <c r="AG5744">
        <v>-1.1192275467499999</v>
      </c>
      <c r="AH5744">
        <v>8.7675982896322697</v>
      </c>
      <c r="AI5744">
        <v>96.824618363214299</v>
      </c>
      <c r="AJ5744">
        <v>110.36149798852099</v>
      </c>
      <c r="AK5744">
        <v>9.4186807695889101</v>
      </c>
      <c r="AL5744">
        <v>64.088813949090806</v>
      </c>
      <c r="AM5744">
        <v>110.159346993488</v>
      </c>
      <c r="AN5744">
        <v>0.99999999134401996</v>
      </c>
    </row>
    <row r="5745" spans="1:40" x14ac:dyDescent="0.25">
      <c r="A5745" t="str">
        <f>"20190304165002874"</f>
        <v>20190304165002874</v>
      </c>
      <c r="B5745" t="str">
        <f>"1551689402862007"</f>
        <v>1551689402862007</v>
      </c>
      <c r="C5745" t="s">
        <v>40</v>
      </c>
      <c r="D5745">
        <v>4.3559080000000003</v>
      </c>
      <c r="E5745">
        <v>0.4887649</v>
      </c>
      <c r="F5745" t="s">
        <v>49</v>
      </c>
      <c r="G5745">
        <v>-410.12450000000001</v>
      </c>
      <c r="H5745" s="1">
        <v>-1.059557E-5</v>
      </c>
      <c r="I5745">
        <v>28.20673</v>
      </c>
      <c r="J5745">
        <v>-417.46980000000002</v>
      </c>
      <c r="K5745">
        <v>1.119173</v>
      </c>
      <c r="L5745">
        <v>34.34637</v>
      </c>
      <c r="M5745">
        <v>0.49878339999999999</v>
      </c>
      <c r="N5745">
        <v>-1.2965519999999999E-2</v>
      </c>
      <c r="O5745">
        <v>-0.86662989999999995</v>
      </c>
      <c r="P5745">
        <v>0.68471499999999996</v>
      </c>
      <c r="Q5745">
        <v>0.432338</v>
      </c>
      <c r="R5745">
        <v>-0.58672789999999997</v>
      </c>
      <c r="S5745">
        <v>2.6869200000000002</v>
      </c>
      <c r="T5745">
        <v>-0.40399099999999999</v>
      </c>
      <c r="U5745">
        <v>-2.27475</v>
      </c>
      <c r="V5745">
        <v>-0.30970979999999998</v>
      </c>
      <c r="W5745">
        <v>0.43712410000000002</v>
      </c>
      <c r="X5745">
        <v>0.84439470000000005</v>
      </c>
      <c r="Y5745">
        <v>-0.33473370000000002</v>
      </c>
      <c r="Z5745">
        <v>9.8662760000000002E-2</v>
      </c>
      <c r="AA5745">
        <v>0.93713340000000001</v>
      </c>
      <c r="AB5745">
        <v>31</v>
      </c>
      <c r="AC5745">
        <v>7.3452999999999999</v>
      </c>
      <c r="AD5745">
        <v>-1.11918359557</v>
      </c>
      <c r="AE5745">
        <v>-6.13964</v>
      </c>
      <c r="AF5745">
        <v>-3.2590414796487499</v>
      </c>
      <c r="AG5745">
        <v>-1.11918359557</v>
      </c>
      <c r="AH5745">
        <v>8.8641160414712505</v>
      </c>
      <c r="AI5745">
        <v>96.758272176715096</v>
      </c>
      <c r="AJ5745">
        <v>110.186801117809</v>
      </c>
      <c r="AK5745">
        <v>9.5103352455805794</v>
      </c>
      <c r="AL5745">
        <v>64.079469804470705</v>
      </c>
      <c r="AM5745">
        <v>110.142189381009</v>
      </c>
      <c r="AN5745">
        <v>1.00000002420246</v>
      </c>
    </row>
    <row r="5746" spans="1:40" x14ac:dyDescent="0.25">
      <c r="A5746" t="str">
        <f>"20190304165002888"</f>
        <v>20190304165002888</v>
      </c>
      <c r="B5746" t="str">
        <f>"1551689402881526"</f>
        <v>1551689402881526</v>
      </c>
      <c r="C5746" t="s">
        <v>40</v>
      </c>
      <c r="D5746">
        <v>4.3198970000000001</v>
      </c>
      <c r="E5746">
        <v>0.4896991</v>
      </c>
      <c r="F5746" t="s">
        <v>49</v>
      </c>
      <c r="G5746">
        <v>-410.0222</v>
      </c>
      <c r="H5746" s="1">
        <v>-1.062267E-5</v>
      </c>
      <c r="I5746">
        <v>28.105540000000001</v>
      </c>
      <c r="J5746">
        <v>-417.37290000000002</v>
      </c>
      <c r="K5746">
        <v>1.119138</v>
      </c>
      <c r="L5746">
        <v>34.189819999999997</v>
      </c>
      <c r="M5746">
        <v>0.50404269999999995</v>
      </c>
      <c r="N5746">
        <v>-1.287629E-2</v>
      </c>
      <c r="O5746">
        <v>-0.86358259999999898</v>
      </c>
      <c r="P5746">
        <v>0.68810139999999997</v>
      </c>
      <c r="Q5746">
        <v>0.43227510000000002</v>
      </c>
      <c r="R5746">
        <v>-0.58279910000000001</v>
      </c>
      <c r="S5746">
        <v>2.6992799999999999</v>
      </c>
      <c r="T5746">
        <v>-0.40563189999999999</v>
      </c>
      <c r="U5746">
        <v>-2.2619020000000001</v>
      </c>
      <c r="V5746">
        <v>-0.30940459999999997</v>
      </c>
      <c r="W5746">
        <v>0.43701770000000001</v>
      </c>
      <c r="X5746">
        <v>0.84456160000000002</v>
      </c>
      <c r="Y5746">
        <v>-0.33371630000000002</v>
      </c>
      <c r="Z5746">
        <v>9.8904939999999997E-2</v>
      </c>
      <c r="AA5746">
        <v>0.93747069999999999</v>
      </c>
      <c r="AB5746">
        <v>31</v>
      </c>
      <c r="AC5746">
        <v>7.3507000000000096</v>
      </c>
      <c r="AD5746">
        <v>-1.11914862267</v>
      </c>
      <c r="AE5746">
        <v>-6.0842799999999997</v>
      </c>
      <c r="AF5746">
        <v>-3.2369450016794898</v>
      </c>
      <c r="AG5746">
        <v>-1.11914862267</v>
      </c>
      <c r="AH5746">
        <v>8.8385071708647001</v>
      </c>
      <c r="AI5746">
        <v>96.780578186828293</v>
      </c>
      <c r="AJ5746">
        <v>110.11435207195299</v>
      </c>
      <c r="AK5746">
        <v>9.4788984377378398</v>
      </c>
      <c r="AL5746">
        <v>64.086246701295906</v>
      </c>
      <c r="AM5746">
        <v>110.120275928208</v>
      </c>
      <c r="AN5746">
        <v>0.99999998640450405</v>
      </c>
    </row>
    <row r="5747" spans="1:40" x14ac:dyDescent="0.25">
      <c r="A5747" t="str">
        <f>"20190304165002904"</f>
        <v>20190304165002904</v>
      </c>
      <c r="B5747" t="str">
        <f>"1551689402902022"</f>
        <v>1551689402902022</v>
      </c>
      <c r="C5747" t="s">
        <v>40</v>
      </c>
      <c r="D5747">
        <v>4.3042579999999999</v>
      </c>
      <c r="E5747">
        <v>0.49046669999999998</v>
      </c>
      <c r="F5747" t="s">
        <v>49</v>
      </c>
      <c r="G5747">
        <v>-409.94490000000002</v>
      </c>
      <c r="H5747" s="1">
        <v>-2.7483E-6</v>
      </c>
      <c r="I5747">
        <v>28.014800000000001</v>
      </c>
      <c r="J5747">
        <v>-417.25510000000003</v>
      </c>
      <c r="K5747">
        <v>1.1190910000000001</v>
      </c>
      <c r="L5747">
        <v>34.00168</v>
      </c>
      <c r="M5747">
        <v>0.5103316</v>
      </c>
      <c r="N5747">
        <v>-1.277034E-2</v>
      </c>
      <c r="O5747">
        <v>-0.85988310000000001</v>
      </c>
      <c r="P5747">
        <v>0.69209350000000003</v>
      </c>
      <c r="Q5747">
        <v>0.4322532</v>
      </c>
      <c r="R5747">
        <v>-0.57806939999999996</v>
      </c>
      <c r="S5747">
        <v>2.708923</v>
      </c>
      <c r="T5747">
        <v>-0.40814279999999997</v>
      </c>
      <c r="U5747">
        <v>-2.2519840000000002</v>
      </c>
      <c r="V5747">
        <v>-0.30899860000000001</v>
      </c>
      <c r="W5747">
        <v>0.43694319999999998</v>
      </c>
      <c r="X5747">
        <v>0.84474879999999997</v>
      </c>
      <c r="Y5747">
        <v>-0.33047169999999998</v>
      </c>
      <c r="Z5747">
        <v>9.9267040000000001E-2</v>
      </c>
      <c r="AA5747">
        <v>0.93858109999999995</v>
      </c>
      <c r="AB5747">
        <v>31</v>
      </c>
      <c r="AC5747">
        <v>7.3102</v>
      </c>
      <c r="AD5747">
        <v>-1.1190937483000001</v>
      </c>
      <c r="AE5747">
        <v>-5.9868799999999904</v>
      </c>
      <c r="AF5747">
        <v>-3.1861929652117502</v>
      </c>
      <c r="AG5747">
        <v>-1.1190937483000001</v>
      </c>
      <c r="AH5747">
        <v>8.7565359545952397</v>
      </c>
      <c r="AI5747">
        <v>96.848291854979607</v>
      </c>
      <c r="AJ5747">
        <v>109.994652601301</v>
      </c>
      <c r="AK5747">
        <v>9.3851541464788006</v>
      </c>
      <c r="AL5747">
        <v>64.090993102929204</v>
      </c>
      <c r="AM5747">
        <v>110.091890880546</v>
      </c>
      <c r="AN5747">
        <v>1.0000000149648101</v>
      </c>
    </row>
    <row r="5748" spans="1:40" x14ac:dyDescent="0.25">
      <c r="A5748" t="str">
        <f>"20190304165002917"</f>
        <v>20190304165002917</v>
      </c>
      <c r="B5748" t="str">
        <f>"1551689402911783"</f>
        <v>1551689402911783</v>
      </c>
      <c r="C5748" t="s">
        <v>40</v>
      </c>
      <c r="D5748">
        <v>4.3395960000000002</v>
      </c>
      <c r="E5748">
        <v>0.49090780000000001</v>
      </c>
      <c r="F5748" t="s">
        <v>49</v>
      </c>
      <c r="G5748">
        <v>-409.84640000000002</v>
      </c>
      <c r="H5748" s="1">
        <v>-2.7843979999999999E-6</v>
      </c>
      <c r="I5748">
        <v>27.914860000000001</v>
      </c>
      <c r="J5748">
        <v>-417.15809999999999</v>
      </c>
      <c r="K5748">
        <v>1.119059</v>
      </c>
      <c r="L5748">
        <v>33.848599999999998</v>
      </c>
      <c r="M5748">
        <v>0.5154244</v>
      </c>
      <c r="N5748">
        <v>-1.2685129999999999E-2</v>
      </c>
      <c r="O5748">
        <v>-0.85684110000000002</v>
      </c>
      <c r="P5748">
        <v>0.69541649999999999</v>
      </c>
      <c r="Q5748">
        <v>0.43250840000000002</v>
      </c>
      <c r="R5748">
        <v>-0.57387480000000002</v>
      </c>
      <c r="S5748">
        <v>2.7229920000000001</v>
      </c>
      <c r="T5748">
        <v>-0.41131200000000001</v>
      </c>
      <c r="U5748">
        <v>-2.237152</v>
      </c>
      <c r="V5748">
        <v>-0.3089324</v>
      </c>
      <c r="W5748">
        <v>0.4371468</v>
      </c>
      <c r="X5748">
        <v>0.84466759999999996</v>
      </c>
      <c r="Y5748">
        <v>-0.33024350000000002</v>
      </c>
      <c r="Z5748">
        <v>9.9918660000000006E-2</v>
      </c>
      <c r="AA5748">
        <v>0.93859230000000005</v>
      </c>
      <c r="AB5748">
        <v>31</v>
      </c>
      <c r="AC5748">
        <v>7.3116999999999699</v>
      </c>
      <c r="AD5748">
        <v>-1.119061784398</v>
      </c>
      <c r="AE5748">
        <v>-5.9337400000000002</v>
      </c>
      <c r="AF5748">
        <v>-3.1621692190812598</v>
      </c>
      <c r="AG5748">
        <v>-1.119061784398</v>
      </c>
      <c r="AH5748">
        <v>8.7303145320980402</v>
      </c>
      <c r="AI5748">
        <v>96.872090910979793</v>
      </c>
      <c r="AJ5748">
        <v>109.910672834709</v>
      </c>
      <c r="AK5748">
        <v>9.35254004411461</v>
      </c>
      <c r="AL5748">
        <v>64.078021737810403</v>
      </c>
      <c r="AM5748">
        <v>110.089707266605</v>
      </c>
      <c r="AN5748">
        <v>0.99999995350487803</v>
      </c>
    </row>
    <row r="5749" spans="1:40" x14ac:dyDescent="0.25">
      <c r="A5749" t="str">
        <f>"20190304165002929"</f>
        <v>20190304165002929</v>
      </c>
      <c r="B5749" t="str">
        <f>"1551689402921542"</f>
        <v>1551689402921542</v>
      </c>
      <c r="C5749" t="s">
        <v>40</v>
      </c>
      <c r="D5749">
        <v>4.2973280000000003</v>
      </c>
      <c r="E5749">
        <v>0.49126199999999998</v>
      </c>
      <c r="F5749" t="s">
        <v>49</v>
      </c>
      <c r="G5749">
        <v>-409.72410000000002</v>
      </c>
      <c r="H5749" s="1">
        <v>-2.832638E-6</v>
      </c>
      <c r="I5749">
        <v>27.806270000000001</v>
      </c>
      <c r="J5749">
        <v>-417.06819999999999</v>
      </c>
      <c r="K5749">
        <v>1.119027</v>
      </c>
      <c r="L5749">
        <v>33.709049999999998</v>
      </c>
      <c r="M5749">
        <v>0.52005349999999995</v>
      </c>
      <c r="N5749">
        <v>-1.2608340000000001E-2</v>
      </c>
      <c r="O5749">
        <v>-0.85404059999999904</v>
      </c>
      <c r="P5749">
        <v>0.69864230000000005</v>
      </c>
      <c r="Q5749">
        <v>0.43240580000000001</v>
      </c>
      <c r="R5749">
        <v>-0.57002149999999996</v>
      </c>
      <c r="S5749">
        <v>2.7353519999999998</v>
      </c>
      <c r="T5749">
        <v>-0.41176220000000002</v>
      </c>
      <c r="U5749">
        <v>-2.2232970000000001</v>
      </c>
      <c r="V5749">
        <v>-0.30905909999999998</v>
      </c>
      <c r="W5749">
        <v>0.43699329999999997</v>
      </c>
      <c r="X5749">
        <v>0.84470080000000003</v>
      </c>
      <c r="Y5749">
        <v>-0.330076599999999</v>
      </c>
      <c r="Z5749">
        <v>9.9878270000000005E-2</v>
      </c>
      <c r="AA5749">
        <v>0.93865529999999997</v>
      </c>
      <c r="AB5749">
        <v>31</v>
      </c>
      <c r="AC5749">
        <v>7.3440999999999601</v>
      </c>
      <c r="AD5749">
        <v>-1.1190298326379999</v>
      </c>
      <c r="AE5749">
        <v>-5.9027799999999901</v>
      </c>
      <c r="AF5749">
        <v>-3.1581075120273598</v>
      </c>
      <c r="AG5749">
        <v>-1.1190298326379999</v>
      </c>
      <c r="AH5749">
        <v>8.7379933013779798</v>
      </c>
      <c r="AI5749">
        <v>96.867619396300597</v>
      </c>
      <c r="AJ5749">
        <v>109.87099667129</v>
      </c>
      <c r="AK5749">
        <v>9.3583330651769394</v>
      </c>
      <c r="AL5749">
        <v>64.087802940172395</v>
      </c>
      <c r="AM5749">
        <v>110.096560553253</v>
      </c>
      <c r="AN5749">
        <v>1.00000005652916</v>
      </c>
    </row>
    <row r="5750" spans="1:40" x14ac:dyDescent="0.25">
      <c r="A5750" t="str">
        <f>"20190304165002942"</f>
        <v>20190304165002942</v>
      </c>
      <c r="B5750" t="str">
        <f>"1551689402931303"</f>
        <v>1551689402931303</v>
      </c>
      <c r="C5750" t="s">
        <v>40</v>
      </c>
      <c r="D5750">
        <v>4.2908109999999997</v>
      </c>
      <c r="E5750">
        <v>0.49156889999999998</v>
      </c>
      <c r="F5750" t="s">
        <v>49</v>
      </c>
      <c r="G5750">
        <v>-409.6259</v>
      </c>
      <c r="H5750" s="1">
        <v>-2.8716219999999999E-6</v>
      </c>
      <c r="I5750">
        <v>27.720289999999999</v>
      </c>
      <c r="J5750">
        <v>-416.98160000000001</v>
      </c>
      <c r="K5750">
        <v>1.119003</v>
      </c>
      <c r="L5750">
        <v>33.575989999999997</v>
      </c>
      <c r="M5750">
        <v>0.52445469999999905</v>
      </c>
      <c r="N5750">
        <v>-1.253717E-2</v>
      </c>
      <c r="O5750">
        <v>-0.8513463</v>
      </c>
      <c r="P5750">
        <v>0.70186440000000005</v>
      </c>
      <c r="Q5750">
        <v>0.43228050000000001</v>
      </c>
      <c r="R5750">
        <v>-0.56614509999999996</v>
      </c>
      <c r="S5750">
        <v>2.746429</v>
      </c>
      <c r="T5750">
        <v>-0.41295969999999999</v>
      </c>
      <c r="U5750">
        <v>-2.2100520000000001</v>
      </c>
      <c r="V5750">
        <v>-0.30941819999999998</v>
      </c>
      <c r="W5750">
        <v>0.43681399999999998</v>
      </c>
      <c r="X5750">
        <v>0.84466200000000002</v>
      </c>
      <c r="Y5750">
        <v>-0.32978370000000001</v>
      </c>
      <c r="Z5750">
        <v>0.100046</v>
      </c>
      <c r="AA5750">
        <v>0.93874040000000003</v>
      </c>
      <c r="AB5750">
        <v>31</v>
      </c>
      <c r="AC5750">
        <v>7.3557000000000103</v>
      </c>
      <c r="AD5750">
        <v>-1.1190058716219999</v>
      </c>
      <c r="AE5750">
        <v>-5.8556999999999997</v>
      </c>
      <c r="AF5750">
        <v>-3.1468714652750598</v>
      </c>
      <c r="AG5750">
        <v>-1.1190058716219999</v>
      </c>
      <c r="AH5750">
        <v>8.7201274321646896</v>
      </c>
      <c r="AI5750">
        <v>96.882602487935202</v>
      </c>
      <c r="AJ5750">
        <v>109.843219596908</v>
      </c>
      <c r="AK5750">
        <v>9.3378582444197598</v>
      </c>
      <c r="AL5750">
        <v>64.099222022365396</v>
      </c>
      <c r="AM5750">
        <v>110.11888952223499</v>
      </c>
      <c r="AN5750">
        <v>0.99999999366561998</v>
      </c>
    </row>
    <row r="5751" spans="1:40" x14ac:dyDescent="0.25">
      <c r="A5751" t="str">
        <f>"20190304165002953"</f>
        <v>20190304165002953</v>
      </c>
      <c r="B5751" t="str">
        <f>"1551689402941063"</f>
        <v>1551689402941063</v>
      </c>
      <c r="C5751" t="s">
        <v>40</v>
      </c>
      <c r="D5751">
        <v>4.2951699999999997</v>
      </c>
      <c r="E5751">
        <v>0.49190729999999999</v>
      </c>
      <c r="F5751" t="s">
        <v>49</v>
      </c>
      <c r="G5751">
        <v>-409.53890000000001</v>
      </c>
      <c r="H5751" s="1">
        <v>-2.9067780000000001E-6</v>
      </c>
      <c r="I5751">
        <v>27.646799999999999</v>
      </c>
      <c r="J5751">
        <v>-416.89</v>
      </c>
      <c r="K5751">
        <v>1.1189789999999999</v>
      </c>
      <c r="L5751">
        <v>33.436459999999997</v>
      </c>
      <c r="M5751">
        <v>0.52905769999999996</v>
      </c>
      <c r="N5751">
        <v>-1.2464299999999999E-2</v>
      </c>
      <c r="O5751">
        <v>-0.84849459999999999</v>
      </c>
      <c r="P5751">
        <v>0.70506420000000003</v>
      </c>
      <c r="Q5751">
        <v>0.43226049999999999</v>
      </c>
      <c r="R5751">
        <v>-0.56217099999999998</v>
      </c>
      <c r="S5751">
        <v>2.7576290000000001</v>
      </c>
      <c r="T5751">
        <v>-0.41461100000000001</v>
      </c>
      <c r="U5751">
        <v>-2.196869</v>
      </c>
      <c r="V5751">
        <v>-0.30960569999999998</v>
      </c>
      <c r="W5751">
        <v>0.43674239999999998</v>
      </c>
      <c r="X5751">
        <v>0.8446304</v>
      </c>
      <c r="Y5751">
        <v>-0.32924819999999999</v>
      </c>
      <c r="Z5751">
        <v>0.1003042</v>
      </c>
      <c r="AA5751">
        <v>0.93890079999999998</v>
      </c>
      <c r="AB5751">
        <v>31</v>
      </c>
      <c r="AC5751">
        <v>7.3510999999999704</v>
      </c>
      <c r="AD5751">
        <v>-1.118981906778</v>
      </c>
      <c r="AE5751">
        <v>-5.7896599999999898</v>
      </c>
      <c r="AF5751">
        <v>-3.1297931861297399</v>
      </c>
      <c r="AG5751">
        <v>-1.118981906778</v>
      </c>
      <c r="AH5751">
        <v>8.6782313123819002</v>
      </c>
      <c r="AI5751">
        <v>96.915855644013504</v>
      </c>
      <c r="AJ5751">
        <v>109.831775046647</v>
      </c>
      <c r="AK5751">
        <v>9.2929771659488303</v>
      </c>
      <c r="AL5751">
        <v>64.103784331840103</v>
      </c>
      <c r="AM5751">
        <v>110.13079521815</v>
      </c>
      <c r="AN5751">
        <v>1.0000000630171999</v>
      </c>
    </row>
    <row r="5752" spans="1:40" x14ac:dyDescent="0.25">
      <c r="A5752" t="str">
        <f>"20190304165002967"</f>
        <v>20190304165002967</v>
      </c>
      <c r="B5752" t="str">
        <f>"1551689402961559"</f>
        <v>1551689402961559</v>
      </c>
      <c r="C5752" t="s">
        <v>40</v>
      </c>
      <c r="D5752">
        <v>4.2613339999999997</v>
      </c>
      <c r="E5752">
        <v>0.492506</v>
      </c>
      <c r="F5752" t="s">
        <v>49</v>
      </c>
      <c r="G5752">
        <v>-409.43740000000003</v>
      </c>
      <c r="H5752" s="1">
        <v>-2.9471379999999999E-6</v>
      </c>
      <c r="I5752">
        <v>27.5579</v>
      </c>
      <c r="J5752">
        <v>-416.79579999999999</v>
      </c>
      <c r="K5752">
        <v>1.118957</v>
      </c>
      <c r="L5752">
        <v>33.295290000000001</v>
      </c>
      <c r="M5752">
        <v>0.53371069999999998</v>
      </c>
      <c r="N5752">
        <v>-1.239577E-2</v>
      </c>
      <c r="O5752">
        <v>-0.84557649999999995</v>
      </c>
      <c r="P5752">
        <v>0.70832469999999903</v>
      </c>
      <c r="Q5752">
        <v>0.43213439999999997</v>
      </c>
      <c r="R5752">
        <v>-0.55815419999999905</v>
      </c>
      <c r="S5752">
        <v>2.7685550000000001</v>
      </c>
      <c r="T5752">
        <v>-0.41568660000000002</v>
      </c>
      <c r="U5752">
        <v>-2.1838069999999998</v>
      </c>
      <c r="V5752">
        <v>-0.30981229999999998</v>
      </c>
      <c r="W5752">
        <v>0.43656650000000002</v>
      </c>
      <c r="X5752">
        <v>0.84464549999999905</v>
      </c>
      <c r="Y5752">
        <v>-0.32858169999999998</v>
      </c>
      <c r="Z5752">
        <v>0.1003966</v>
      </c>
      <c r="AA5752">
        <v>0.93912430000000002</v>
      </c>
      <c r="AB5752">
        <v>31</v>
      </c>
      <c r="AC5752">
        <v>7.3583999999999596</v>
      </c>
      <c r="AD5752">
        <v>-1.1189599471380001</v>
      </c>
      <c r="AE5752">
        <v>-5.7373900000000004</v>
      </c>
      <c r="AF5752">
        <v>-3.1154226866346399</v>
      </c>
      <c r="AG5752">
        <v>-1.1189599471380001</v>
      </c>
      <c r="AH5752">
        <v>8.65486535514518</v>
      </c>
      <c r="AI5752">
        <v>96.935714392848794</v>
      </c>
      <c r="AJ5752">
        <v>109.79694914408699</v>
      </c>
      <c r="AK5752">
        <v>9.2663166466179696</v>
      </c>
      <c r="AL5752">
        <v>64.114985207370907</v>
      </c>
      <c r="AM5752">
        <v>110.14281782273299</v>
      </c>
      <c r="AN5752">
        <v>0.99999999541189399</v>
      </c>
    </row>
    <row r="5753" spans="1:40" x14ac:dyDescent="0.25">
      <c r="A5753" t="str">
        <f>"20190304165002984"</f>
        <v>20190304165002984</v>
      </c>
      <c r="B5753" t="str">
        <f>"1551689402971318"</f>
        <v>1551689402971318</v>
      </c>
      <c r="C5753" t="s">
        <v>40</v>
      </c>
      <c r="D5753">
        <v>4.2442060000000001</v>
      </c>
      <c r="E5753">
        <v>0.492506</v>
      </c>
      <c r="F5753" t="s">
        <v>49</v>
      </c>
      <c r="G5753">
        <v>-409.3682</v>
      </c>
      <c r="H5753" s="1">
        <v>-2.9728959999999998E-6</v>
      </c>
      <c r="I5753">
        <v>27.489629999999998</v>
      </c>
      <c r="J5753">
        <v>-416.67079999999999</v>
      </c>
      <c r="K5753">
        <v>1.1189249999999999</v>
      </c>
      <c r="L5753">
        <v>33.110050000000001</v>
      </c>
      <c r="M5753">
        <v>0.539803699999999</v>
      </c>
      <c r="N5753">
        <v>-1.230882E-2</v>
      </c>
      <c r="O5753">
        <v>-0.84170100000000003</v>
      </c>
      <c r="P5753">
        <v>0.71229919999999902</v>
      </c>
      <c r="Q5753">
        <v>0.43190079999999997</v>
      </c>
      <c r="R5753">
        <v>-0.55325539999999995</v>
      </c>
      <c r="S5753">
        <v>2.7790530000000002</v>
      </c>
      <c r="T5753">
        <v>-0.4186629</v>
      </c>
      <c r="U5753">
        <v>-2.1722109999999999</v>
      </c>
      <c r="V5753">
        <v>-0.30963049999999998</v>
      </c>
      <c r="W5753">
        <v>0.4362782</v>
      </c>
      <c r="X5753">
        <v>0.84486109999999903</v>
      </c>
      <c r="Y5753">
        <v>-0.3258683</v>
      </c>
      <c r="Z5753">
        <v>0.1008281</v>
      </c>
      <c r="AA5753">
        <v>0.94002319999999995</v>
      </c>
      <c r="AB5753">
        <v>31</v>
      </c>
      <c r="AC5753">
        <v>7.3025999999999804</v>
      </c>
      <c r="AD5753">
        <v>-1.118927972896</v>
      </c>
      <c r="AE5753">
        <v>-5.6204200000000002</v>
      </c>
      <c r="AF5753">
        <v>-3.0676884969170102</v>
      </c>
      <c r="AG5753">
        <v>-1.118927972896</v>
      </c>
      <c r="AH5753">
        <v>8.5473202908833201</v>
      </c>
      <c r="AI5753">
        <v>97.024253266013503</v>
      </c>
      <c r="AJ5753">
        <v>109.743390468201</v>
      </c>
      <c r="AK5753">
        <v>9.1498304179690599</v>
      </c>
      <c r="AL5753">
        <v>64.133344245015294</v>
      </c>
      <c r="AM5753">
        <v>110.127222157486</v>
      </c>
      <c r="AN5753">
        <v>0.99999999630934999</v>
      </c>
    </row>
    <row r="5754" spans="1:40" x14ac:dyDescent="0.25">
      <c r="A5754" t="str">
        <f>"20190304165002998"</f>
        <v>20190304165002998</v>
      </c>
      <c r="B5754" t="str">
        <f>"1551689402991815"</f>
        <v>1551689402991815</v>
      </c>
      <c r="C5754" t="s">
        <v>40</v>
      </c>
      <c r="D5754">
        <v>4.2229519999999896</v>
      </c>
      <c r="E5754">
        <v>0.50128200000000001</v>
      </c>
      <c r="F5754" t="s">
        <v>49</v>
      </c>
      <c r="G5754">
        <v>-409.21690000000001</v>
      </c>
      <c r="H5754" s="1">
        <v>-3.0364569999999999E-6</v>
      </c>
      <c r="I5754">
        <v>27.37265</v>
      </c>
      <c r="J5754">
        <v>-416.56</v>
      </c>
      <c r="K5754">
        <v>1.11890499999999</v>
      </c>
      <c r="L5754">
        <v>32.947940000000003</v>
      </c>
      <c r="M5754">
        <v>0.54512689999999997</v>
      </c>
      <c r="N5754">
        <v>-1.223554E-2</v>
      </c>
      <c r="O5754">
        <v>-0.83826449999999997</v>
      </c>
      <c r="P5754">
        <v>0.71564530000000004</v>
      </c>
      <c r="Q5754">
        <v>0.43180869999999999</v>
      </c>
      <c r="R5754">
        <v>-0.54899310000000001</v>
      </c>
      <c r="S5754">
        <v>2.7950439999999999</v>
      </c>
      <c r="T5754">
        <v>-0.41957309999999998</v>
      </c>
      <c r="U5754">
        <v>-2.1513979999999999</v>
      </c>
      <c r="V5754">
        <v>-0.309349599999999</v>
      </c>
      <c r="W5754">
        <v>0.43614039999999998</v>
      </c>
      <c r="X5754">
        <v>0.84503510000000004</v>
      </c>
      <c r="Y5754">
        <v>-0.3268585</v>
      </c>
      <c r="Z5754">
        <v>0.1009159</v>
      </c>
      <c r="AA5754">
        <v>0.93966989999999995</v>
      </c>
      <c r="AB5754">
        <v>31</v>
      </c>
      <c r="AC5754">
        <v>7.34309999999999</v>
      </c>
      <c r="AD5754">
        <v>-1.1189080364570001</v>
      </c>
      <c r="AE5754">
        <v>-5.5752899999999999</v>
      </c>
      <c r="AF5754">
        <v>-3.07121914891973</v>
      </c>
      <c r="AG5754">
        <v>-1.1189080364570001</v>
      </c>
      <c r="AH5754">
        <v>8.5511945714553104</v>
      </c>
      <c r="AI5754">
        <v>97.020425471748894</v>
      </c>
      <c r="AJ5754">
        <v>109.75609277768299</v>
      </c>
      <c r="AK5754">
        <v>9.1546311151037703</v>
      </c>
      <c r="AL5754">
        <v>64.142117696018104</v>
      </c>
      <c r="AM5754">
        <v>110.106617082467</v>
      </c>
      <c r="AN5754">
        <v>0.99999997188216405</v>
      </c>
    </row>
    <row r="5755" spans="1:40" x14ac:dyDescent="0.25">
      <c r="A5755" t="str">
        <f>"20190304165003013"</f>
        <v>20190304165003013</v>
      </c>
      <c r="B5755" t="str">
        <f>"1551689403001574"</f>
        <v>1551689403001574</v>
      </c>
      <c r="C5755" t="s">
        <v>40</v>
      </c>
      <c r="D5755">
        <v>4.3239669999999997</v>
      </c>
      <c r="E5755">
        <v>0.50066719999999998</v>
      </c>
      <c r="F5755" t="s">
        <v>49</v>
      </c>
      <c r="G5755">
        <v>-409.67270000000002</v>
      </c>
      <c r="H5755" s="1">
        <v>-2.7934720000000001E-6</v>
      </c>
      <c r="I5755">
        <v>27.49315</v>
      </c>
      <c r="J5755">
        <v>-416.43979999999999</v>
      </c>
      <c r="K5755">
        <v>1.1188880000000001</v>
      </c>
      <c r="L5755">
        <v>32.774900000000002</v>
      </c>
      <c r="M5755">
        <v>0.55080499999999999</v>
      </c>
      <c r="N5755">
        <v>-1.21615E-2</v>
      </c>
      <c r="O5755">
        <v>-0.8345456</v>
      </c>
      <c r="P5755">
        <v>0.71937949999999995</v>
      </c>
      <c r="Q5755">
        <v>0.43154049999999999</v>
      </c>
      <c r="R5755">
        <v>-0.54430330000000005</v>
      </c>
      <c r="S5755">
        <v>2.7769780000000002</v>
      </c>
      <c r="T5755">
        <v>-0.45114399999999899</v>
      </c>
      <c r="U5755">
        <v>-2.1993710000000002</v>
      </c>
      <c r="V5755">
        <v>-0.30925469999999999</v>
      </c>
      <c r="W5755">
        <v>0.43581989999999998</v>
      </c>
      <c r="X5755">
        <v>0.84523519999999897</v>
      </c>
      <c r="Y5755">
        <v>-0.3067087</v>
      </c>
      <c r="Z5755">
        <v>0.1075222</v>
      </c>
      <c r="AA5755">
        <v>0.94571070000000002</v>
      </c>
      <c r="AB5755">
        <v>31</v>
      </c>
      <c r="AC5755">
        <v>6.7670999999999699</v>
      </c>
      <c r="AD5755">
        <v>-1.1188907934719901</v>
      </c>
      <c r="AE5755">
        <v>-5.2817499999999997</v>
      </c>
      <c r="AF5755">
        <v>-2.6926954059408801</v>
      </c>
      <c r="AG5755">
        <v>-1.1188907934719901</v>
      </c>
      <c r="AH5755">
        <v>7.9999046436081098</v>
      </c>
      <c r="AI5755">
        <v>97.550856113270697</v>
      </c>
      <c r="AJ5755">
        <v>108.602766623557</v>
      </c>
      <c r="AK5755">
        <v>8.5147518732910896</v>
      </c>
      <c r="AL5755">
        <v>64.162523104527693</v>
      </c>
      <c r="AM5755">
        <v>110.096564962068</v>
      </c>
      <c r="AN5755">
        <v>0.99999999901356995</v>
      </c>
    </row>
    <row r="5756" spans="1:40" x14ac:dyDescent="0.25">
      <c r="A5756" t="str">
        <f>"20190304165003028"</f>
        <v>20190304165003028</v>
      </c>
      <c r="B5756" t="str">
        <f>"1551689403022070"</f>
        <v>1551689403022070</v>
      </c>
      <c r="C5756" t="s">
        <v>40</v>
      </c>
      <c r="D5756">
        <v>4.189044</v>
      </c>
      <c r="E5756">
        <v>0.50189329999999999</v>
      </c>
      <c r="F5756" t="s">
        <v>49</v>
      </c>
      <c r="G5756">
        <v>-409.59589999999997</v>
      </c>
      <c r="H5756" s="1">
        <v>-2.8275290000000002E-6</v>
      </c>
      <c r="I5756">
        <v>27.442070000000001</v>
      </c>
      <c r="J5756">
        <v>-416.31760000000003</v>
      </c>
      <c r="K5756">
        <v>1.1188750000000001</v>
      </c>
      <c r="L5756">
        <v>32.601559999999999</v>
      </c>
      <c r="M5756">
        <v>0.55649169999999903</v>
      </c>
      <c r="N5756">
        <v>-1.2092469999999999E-2</v>
      </c>
      <c r="O5756">
        <v>-0.83076519999999998</v>
      </c>
      <c r="P5756">
        <v>0.72332730000000001</v>
      </c>
      <c r="Q5756">
        <v>0.43031390000000003</v>
      </c>
      <c r="R5756">
        <v>-0.54002550000000005</v>
      </c>
      <c r="S5756">
        <v>2.7960210000000001</v>
      </c>
      <c r="T5756">
        <v>-0.45711239999999997</v>
      </c>
      <c r="U5756">
        <v>-2.1786799999999999</v>
      </c>
      <c r="V5756">
        <v>-0.30906899999999998</v>
      </c>
      <c r="W5756">
        <v>0.4345504</v>
      </c>
      <c r="X5756">
        <v>0.84595640000000005</v>
      </c>
      <c r="Y5756">
        <v>-0.30755519999999997</v>
      </c>
      <c r="Z5756">
        <v>0.10875029999999999</v>
      </c>
      <c r="AA5756">
        <v>0.94529529999999995</v>
      </c>
      <c r="AB5756">
        <v>31</v>
      </c>
      <c r="AC5756">
        <v>6.72170000000005</v>
      </c>
      <c r="AD5756">
        <v>-1.1188778275289999</v>
      </c>
      <c r="AE5756">
        <v>-5.1594899999999901</v>
      </c>
      <c r="AF5756">
        <v>-2.6666454188719202</v>
      </c>
      <c r="AG5756">
        <v>-1.1188778275289999</v>
      </c>
      <c r="AH5756">
        <v>7.8899180351623199</v>
      </c>
      <c r="AI5756">
        <v>97.651604423402802</v>
      </c>
      <c r="AJ5756">
        <v>108.674296008013</v>
      </c>
      <c r="AK5756">
        <v>8.4031953437074307</v>
      </c>
      <c r="AL5756">
        <v>64.243310414450804</v>
      </c>
      <c r="AM5756">
        <v>110.069706171852</v>
      </c>
      <c r="AN5756">
        <v>0.99999996380105904</v>
      </c>
    </row>
    <row r="5757" spans="1:40" x14ac:dyDescent="0.25">
      <c r="A5757" t="str">
        <f>"20190304165003040"</f>
        <v>20190304165003040</v>
      </c>
      <c r="B5757" t="str">
        <f>"1551689403031831"</f>
        <v>1551689403031831</v>
      </c>
      <c r="C5757" t="s">
        <v>40</v>
      </c>
      <c r="D5757">
        <v>4.198887</v>
      </c>
      <c r="E5757">
        <v>0.50226249999999995</v>
      </c>
      <c r="F5757" t="s">
        <v>49</v>
      </c>
      <c r="G5757">
        <v>-409.5498</v>
      </c>
      <c r="H5757" s="1">
        <v>-2.8377969999999999E-6</v>
      </c>
      <c r="I5757">
        <v>27.36543</v>
      </c>
      <c r="J5757">
        <v>-416.22239999999999</v>
      </c>
      <c r="K5757">
        <v>1.1188659999999999</v>
      </c>
      <c r="L5757">
        <v>32.467959999999998</v>
      </c>
      <c r="M5757">
        <v>0.56086969999999903</v>
      </c>
      <c r="N5757">
        <v>-1.2042189999999999E-2</v>
      </c>
      <c r="O5757">
        <v>-0.82781669999999996</v>
      </c>
      <c r="P5757">
        <v>0.72628400000000004</v>
      </c>
      <c r="Q5757">
        <v>0.42990800000000001</v>
      </c>
      <c r="R5757">
        <v>-0.53636839999999997</v>
      </c>
      <c r="S5757">
        <v>2.8037719999999999</v>
      </c>
      <c r="T5757">
        <v>-0.46352739999999998</v>
      </c>
      <c r="U5757">
        <v>-2.1692200000000001</v>
      </c>
      <c r="V5757">
        <v>-0.30905899999999997</v>
      </c>
      <c r="W5757">
        <v>0.43410670000000001</v>
      </c>
      <c r="X5757">
        <v>0.84618789999999999</v>
      </c>
      <c r="Y5757">
        <v>-0.3056449</v>
      </c>
      <c r="Z5757">
        <v>0.1100786</v>
      </c>
      <c r="AA5757">
        <v>0.94576099999999996</v>
      </c>
      <c r="AB5757">
        <v>31</v>
      </c>
      <c r="AC5757">
        <v>6.6725999999999797</v>
      </c>
      <c r="AD5757">
        <v>-1.118868837797</v>
      </c>
      <c r="AE5757">
        <v>-5.10252999999999</v>
      </c>
      <c r="AF5757">
        <v>-2.6156213855680601</v>
      </c>
      <c r="AG5757">
        <v>-1.118868837797</v>
      </c>
      <c r="AH5757">
        <v>7.8281085191284596</v>
      </c>
      <c r="AI5757">
        <v>97.720095181143293</v>
      </c>
      <c r="AJ5757">
        <v>108.476122036512</v>
      </c>
      <c r="AK5757">
        <v>8.3290230937419008</v>
      </c>
      <c r="AL5757">
        <v>64.271535327161601</v>
      </c>
      <c r="AM5757">
        <v>110.064056167019</v>
      </c>
      <c r="AN5757">
        <v>1.00000002728614</v>
      </c>
    </row>
    <row r="5758" spans="1:40" x14ac:dyDescent="0.25">
      <c r="A5758" t="str">
        <f>"20190304165003052"</f>
        <v>20190304165003052</v>
      </c>
      <c r="B5758" t="str">
        <f>"1551689403041590"</f>
        <v>1551689403041590</v>
      </c>
      <c r="C5758" t="s">
        <v>40</v>
      </c>
      <c r="D5758">
        <v>4.2201069999999996</v>
      </c>
      <c r="E5758">
        <v>0.50273999999999996</v>
      </c>
      <c r="F5758" t="s">
        <v>49</v>
      </c>
      <c r="G5758">
        <v>-409.47879999999998</v>
      </c>
      <c r="H5758" s="1">
        <v>-2.8642410000000001E-6</v>
      </c>
      <c r="I5758">
        <v>27.29524</v>
      </c>
      <c r="J5758">
        <v>-416.12970000000001</v>
      </c>
      <c r="K5758">
        <v>1.1188640000000001</v>
      </c>
      <c r="L5758">
        <v>32.339390000000002</v>
      </c>
      <c r="M5758">
        <v>0.56508239999999998</v>
      </c>
      <c r="N5758">
        <v>-1.199651E-2</v>
      </c>
      <c r="O5758">
        <v>-0.82494730000000005</v>
      </c>
      <c r="P5758">
        <v>0.72909780000000002</v>
      </c>
      <c r="Q5758">
        <v>0.4296412</v>
      </c>
      <c r="R5758">
        <v>-0.53275229999999996</v>
      </c>
      <c r="S5758">
        <v>2.8132630000000001</v>
      </c>
      <c r="T5758">
        <v>-0.46676459999999997</v>
      </c>
      <c r="U5758">
        <v>-2.1579280000000001</v>
      </c>
      <c r="V5758">
        <v>-0.30907279999999998</v>
      </c>
      <c r="W5758">
        <v>0.43380299999999999</v>
      </c>
      <c r="X5758">
        <v>0.84633860000000005</v>
      </c>
      <c r="Y5758">
        <v>-0.3046565</v>
      </c>
      <c r="Z5758">
        <v>0.1106241</v>
      </c>
      <c r="AA5758">
        <v>0.94601630000000003</v>
      </c>
      <c r="AB5758">
        <v>31</v>
      </c>
      <c r="AC5758">
        <v>6.6509000000000302</v>
      </c>
      <c r="AD5758">
        <v>-1.11886686424099</v>
      </c>
      <c r="AE5758">
        <v>-5.0441499999999904</v>
      </c>
      <c r="AF5758">
        <v>-2.5899392754335899</v>
      </c>
      <c r="AG5758">
        <v>-1.11886686424099</v>
      </c>
      <c r="AH5758">
        <v>7.7802507759393702</v>
      </c>
      <c r="AI5758">
        <v>97.769860200327898</v>
      </c>
      <c r="AJ5758">
        <v>108.411896450889</v>
      </c>
      <c r="AK5758">
        <v>8.2759863851286699</v>
      </c>
      <c r="AL5758">
        <v>64.290849547120899</v>
      </c>
      <c r="AM5758">
        <v>110.06159277179</v>
      </c>
      <c r="AN5758">
        <v>1.00000003217939</v>
      </c>
    </row>
    <row r="5759" spans="1:40" x14ac:dyDescent="0.25">
      <c r="A5759" t="str">
        <f>"20190304165003064"</f>
        <v>20190304165003064</v>
      </c>
      <c r="B5759" t="str">
        <f>"1551689403061110"</f>
        <v>1551689403061110</v>
      </c>
      <c r="C5759" t="s">
        <v>40</v>
      </c>
      <c r="D5759">
        <v>4.1708309999999997</v>
      </c>
      <c r="E5759">
        <v>0.50324639999999998</v>
      </c>
      <c r="F5759" t="s">
        <v>49</v>
      </c>
      <c r="G5759">
        <v>-409.39589999999998</v>
      </c>
      <c r="H5759" s="1">
        <v>-2.8949360000000002E-6</v>
      </c>
      <c r="I5759">
        <v>27.212720000000001</v>
      </c>
      <c r="J5759">
        <v>-416.0378</v>
      </c>
      <c r="K5759">
        <v>1.11886</v>
      </c>
      <c r="L5759">
        <v>32.213410000000003</v>
      </c>
      <c r="M5759">
        <v>0.56921290000000002</v>
      </c>
      <c r="N5759">
        <v>-1.1955E-2</v>
      </c>
      <c r="O5759">
        <v>-0.82210329999999998</v>
      </c>
      <c r="P5759">
        <v>0.73183819999999999</v>
      </c>
      <c r="Q5759">
        <v>0.42937330000000001</v>
      </c>
      <c r="R5759">
        <v>-0.52919859999999996</v>
      </c>
      <c r="S5759">
        <v>2.8213810000000001</v>
      </c>
      <c r="T5759">
        <v>-0.46879090000000001</v>
      </c>
      <c r="U5759">
        <v>-2.1480100000000002</v>
      </c>
      <c r="V5759">
        <v>-0.30906860000000003</v>
      </c>
      <c r="W5759">
        <v>0.43350139999999998</v>
      </c>
      <c r="X5759">
        <v>0.84649459999999999</v>
      </c>
      <c r="Y5759">
        <v>-0.30326449999999999</v>
      </c>
      <c r="Z5759">
        <v>0.110846</v>
      </c>
      <c r="AA5759">
        <v>0.94643750000000004</v>
      </c>
      <c r="AB5759">
        <v>31</v>
      </c>
      <c r="AC5759">
        <v>6.6419000000000201</v>
      </c>
      <c r="AD5759">
        <v>-1.118862894936</v>
      </c>
      <c r="AE5759">
        <v>-5.0006899999999899</v>
      </c>
      <c r="AF5759">
        <v>-2.5675566890150598</v>
      </c>
      <c r="AG5759">
        <v>-1.118862894936</v>
      </c>
      <c r="AH5759">
        <v>7.75190884839947</v>
      </c>
      <c r="AI5759">
        <v>97.801739947197007</v>
      </c>
      <c r="AJ5759">
        <v>108.325699704001</v>
      </c>
      <c r="AK5759">
        <v>8.2423475007345193</v>
      </c>
      <c r="AL5759">
        <v>64.310025694098201</v>
      </c>
      <c r="AM5759">
        <v>110.05793957047</v>
      </c>
      <c r="AN5759">
        <v>0.99999998556853897</v>
      </c>
    </row>
    <row r="5760" spans="1:40" x14ac:dyDescent="0.25">
      <c r="A5760" t="str">
        <f>"20190304165003076"</f>
        <v>20190304165003076</v>
      </c>
      <c r="B5760" t="str">
        <f>"1551689403071847"</f>
        <v>1551689403071847</v>
      </c>
      <c r="C5760" t="s">
        <v>40</v>
      </c>
      <c r="D5760">
        <v>4.1671420000000001</v>
      </c>
      <c r="E5760">
        <v>0.50355989999999995</v>
      </c>
      <c r="F5760" t="s">
        <v>49</v>
      </c>
      <c r="G5760">
        <v>-409.28750000000002</v>
      </c>
      <c r="H5760" s="1">
        <v>-2.9366040000000001E-6</v>
      </c>
      <c r="I5760">
        <v>27.111529999999998</v>
      </c>
      <c r="J5760">
        <v>-415.93970000000002</v>
      </c>
      <c r="K5760">
        <v>1.118857</v>
      </c>
      <c r="L5760">
        <v>32.079859999999996</v>
      </c>
      <c r="M5760">
        <v>0.57358319999999996</v>
      </c>
      <c r="N5760">
        <v>-1.191246E-2</v>
      </c>
      <c r="O5760">
        <v>-0.81906089999999998</v>
      </c>
      <c r="P5760">
        <v>0.73470619999999998</v>
      </c>
      <c r="Q5760">
        <v>0.42930479999999999</v>
      </c>
      <c r="R5760">
        <v>-0.52526589999999995</v>
      </c>
      <c r="S5760">
        <v>2.8284910000000001</v>
      </c>
      <c r="T5760">
        <v>-0.46882509999999999</v>
      </c>
      <c r="U5760">
        <v>-2.1377869999999999</v>
      </c>
      <c r="V5760">
        <v>-0.30913239999999997</v>
      </c>
      <c r="W5760">
        <v>0.43339569999999999</v>
      </c>
      <c r="X5760">
        <v>0.84652549999999904</v>
      </c>
      <c r="Y5760">
        <v>-0.30153150000000001</v>
      </c>
      <c r="Z5760">
        <v>0.1105621</v>
      </c>
      <c r="AA5760">
        <v>0.94702419999999998</v>
      </c>
      <c r="AB5760">
        <v>31</v>
      </c>
      <c r="AC5760">
        <v>6.6521999999999899</v>
      </c>
      <c r="AD5760">
        <v>-1.118859936604</v>
      </c>
      <c r="AE5760">
        <v>-4.9683299999999901</v>
      </c>
      <c r="AF5760">
        <v>-2.5526355574158202</v>
      </c>
      <c r="AG5760">
        <v>-1.118859936604</v>
      </c>
      <c r="AH5760">
        <v>7.7448698354425103</v>
      </c>
      <c r="AI5760">
        <v>97.812458229058393</v>
      </c>
      <c r="AJ5760">
        <v>108.241729139179</v>
      </c>
      <c r="AK5760">
        <v>8.23108769329232</v>
      </c>
      <c r="AL5760">
        <v>64.316747682309696</v>
      </c>
      <c r="AM5760">
        <v>110.06107598070101</v>
      </c>
      <c r="AN5760">
        <v>1.0000000478292399</v>
      </c>
    </row>
    <row r="5761" spans="1:40" x14ac:dyDescent="0.25">
      <c r="A5761" t="str">
        <f>"20190304165003087"</f>
        <v>20190304165003087</v>
      </c>
      <c r="B5761" t="str">
        <f>"1551689403081607"</f>
        <v>1551689403081607</v>
      </c>
      <c r="C5761" t="s">
        <v>40</v>
      </c>
      <c r="D5761">
        <v>4.1870919999999998</v>
      </c>
      <c r="E5761">
        <v>0.50398189999999998</v>
      </c>
      <c r="F5761" t="s">
        <v>49</v>
      </c>
      <c r="G5761">
        <v>-409.16719999999998</v>
      </c>
      <c r="H5761" s="1">
        <v>-2.9846600000000002E-6</v>
      </c>
      <c r="I5761">
        <v>27.007580000000001</v>
      </c>
      <c r="J5761">
        <v>-415.84</v>
      </c>
      <c r="K5761">
        <v>1.1188579999999999</v>
      </c>
      <c r="L5761">
        <v>31.946470000000001</v>
      </c>
      <c r="M5761">
        <v>0.577959</v>
      </c>
      <c r="N5761">
        <v>-1.187414E-2</v>
      </c>
      <c r="O5761">
        <v>-0.81597929999999996</v>
      </c>
      <c r="P5761">
        <v>0.73741250000000003</v>
      </c>
      <c r="Q5761">
        <v>0.42966929999999998</v>
      </c>
      <c r="R5761">
        <v>-0.52115940000000005</v>
      </c>
      <c r="S5761">
        <v>2.8377080000000001</v>
      </c>
      <c r="T5761">
        <v>-0.46881279999999997</v>
      </c>
      <c r="U5761">
        <v>-2.1253359999999999</v>
      </c>
      <c r="V5761">
        <v>-0.30915979999999998</v>
      </c>
      <c r="W5761">
        <v>0.43372349999999998</v>
      </c>
      <c r="X5761">
        <v>0.84634750000000003</v>
      </c>
      <c r="Y5761">
        <v>-0.30058659999999998</v>
      </c>
      <c r="Z5761">
        <v>0.1102798</v>
      </c>
      <c r="AA5761">
        <v>0.94735740000000002</v>
      </c>
      <c r="AB5761">
        <v>31</v>
      </c>
      <c r="AC5761">
        <v>6.6727999999999899</v>
      </c>
      <c r="AD5761">
        <v>-1.1188609846599999</v>
      </c>
      <c r="AE5761">
        <v>-4.9388899999999998</v>
      </c>
      <c r="AF5761">
        <v>-2.5443576431478001</v>
      </c>
      <c r="AG5761">
        <v>-1.1188609846599999</v>
      </c>
      <c r="AH5761">
        <v>7.7464856185431099</v>
      </c>
      <c r="AI5761">
        <v>97.813461304193495</v>
      </c>
      <c r="AJ5761">
        <v>108.1829292266</v>
      </c>
      <c r="AK5761">
        <v>8.23004527068559</v>
      </c>
      <c r="AL5761">
        <v>64.295903289683693</v>
      </c>
      <c r="AM5761">
        <v>110.066595134693</v>
      </c>
      <c r="AN5761">
        <v>0.999999973572269</v>
      </c>
    </row>
    <row r="5762" spans="1:40" x14ac:dyDescent="0.25">
      <c r="A5762" t="str">
        <f>"20190304165003099"</f>
        <v>20190304165003099</v>
      </c>
      <c r="B5762" t="str">
        <f>"1551689403091367"</f>
        <v>1551689403091367</v>
      </c>
      <c r="C5762" t="s">
        <v>40</v>
      </c>
      <c r="D5762">
        <v>4.1834749999999996</v>
      </c>
      <c r="E5762">
        <v>0.50435790000000003</v>
      </c>
      <c r="F5762" t="s">
        <v>49</v>
      </c>
      <c r="G5762">
        <v>-409.0335</v>
      </c>
      <c r="H5762" s="1">
        <v>-3.038186E-6</v>
      </c>
      <c r="I5762">
        <v>26.89218</v>
      </c>
      <c r="J5762">
        <v>-415.74639999999999</v>
      </c>
      <c r="K5762">
        <v>1.1188579999999999</v>
      </c>
      <c r="L5762">
        <v>31.822019999999998</v>
      </c>
      <c r="M5762">
        <v>0.58203640000000001</v>
      </c>
      <c r="N5762">
        <v>-1.1839860000000001E-2</v>
      </c>
      <c r="O5762">
        <v>-0.81307669999999999</v>
      </c>
      <c r="P5762">
        <v>0.73998299999999995</v>
      </c>
      <c r="Q5762">
        <v>0.42993399999999998</v>
      </c>
      <c r="R5762">
        <v>-0.51728339999999995</v>
      </c>
      <c r="S5762">
        <v>2.8468930000000001</v>
      </c>
      <c r="T5762">
        <v>-0.467976</v>
      </c>
      <c r="U5762">
        <v>-2.1140140000000001</v>
      </c>
      <c r="V5762">
        <v>-0.30924629999999997</v>
      </c>
      <c r="W5762">
        <v>0.43395470000000003</v>
      </c>
      <c r="X5762">
        <v>0.84619739999999999</v>
      </c>
      <c r="Y5762">
        <v>-0.2997493</v>
      </c>
      <c r="Z5762">
        <v>0.1097836</v>
      </c>
      <c r="AA5762">
        <v>0.94768030000000003</v>
      </c>
      <c r="AB5762">
        <v>31</v>
      </c>
      <c r="AC5762">
        <v>6.7128999999999897</v>
      </c>
      <c r="AD5762">
        <v>-1.11886103818599</v>
      </c>
      <c r="AE5762">
        <v>-4.9298400000000004</v>
      </c>
      <c r="AF5762">
        <v>-2.5430432302672901</v>
      </c>
      <c r="AG5762">
        <v>-1.11886103818599</v>
      </c>
      <c r="AH5762">
        <v>7.7757161232429102</v>
      </c>
      <c r="AI5762">
        <v>97.787645154110606</v>
      </c>
      <c r="AJ5762">
        <v>108.110301284158</v>
      </c>
      <c r="AK5762">
        <v>8.2571593252788098</v>
      </c>
      <c r="AL5762">
        <v>64.281201485666998</v>
      </c>
      <c r="AM5762">
        <v>110.07503750078401</v>
      </c>
      <c r="AN5762">
        <v>0.99999999774126902</v>
      </c>
    </row>
    <row r="5763" spans="1:40" x14ac:dyDescent="0.25">
      <c r="A5763" t="str">
        <f>"20190304165003109"</f>
        <v>20190304165003109</v>
      </c>
      <c r="B5763" t="str">
        <f>"1551689403102102"</f>
        <v>1551689403102102</v>
      </c>
      <c r="C5763" t="s">
        <v>40</v>
      </c>
      <c r="D5763">
        <v>4.2103479999999998</v>
      </c>
      <c r="E5763">
        <v>0.50471509999999997</v>
      </c>
      <c r="F5763" t="s">
        <v>49</v>
      </c>
      <c r="G5763">
        <v>-408.92320000000001</v>
      </c>
      <c r="H5763" s="1">
        <v>-3.0829600000000001E-6</v>
      </c>
      <c r="I5763">
        <v>26.799910000000001</v>
      </c>
      <c r="J5763">
        <v>-415.65469999999999</v>
      </c>
      <c r="K5763">
        <v>1.118859</v>
      </c>
      <c r="L5763">
        <v>31.701509999999999</v>
      </c>
      <c r="M5763">
        <v>0.58598600000000001</v>
      </c>
      <c r="N5763">
        <v>-1.180904E-2</v>
      </c>
      <c r="O5763">
        <v>-0.81023519999999905</v>
      </c>
      <c r="P5763">
        <v>0.74235949999999995</v>
      </c>
      <c r="Q5763">
        <v>0.4301875</v>
      </c>
      <c r="R5763">
        <v>-0.51365490000000003</v>
      </c>
      <c r="S5763">
        <v>2.8565369999999999</v>
      </c>
      <c r="T5763">
        <v>-0.46841129999999997</v>
      </c>
      <c r="U5763">
        <v>-2.102509</v>
      </c>
      <c r="V5763">
        <v>-0.30915930000000003</v>
      </c>
      <c r="W5763">
        <v>0.43418060000000003</v>
      </c>
      <c r="X5763">
        <v>0.84611329999999996</v>
      </c>
      <c r="Y5763">
        <v>-0.29912119999999998</v>
      </c>
      <c r="Z5763">
        <v>0.1096056</v>
      </c>
      <c r="AA5763">
        <v>0.9478993</v>
      </c>
      <c r="AB5763">
        <v>31</v>
      </c>
      <c r="AC5763">
        <v>6.7314999999999801</v>
      </c>
      <c r="AD5763">
        <v>-1.11886208296</v>
      </c>
      <c r="AE5763">
        <v>-4.9016000000000002</v>
      </c>
      <c r="AF5763">
        <v>-2.5362198675180001</v>
      </c>
      <c r="AG5763">
        <v>-1.11886208296</v>
      </c>
      <c r="AH5763">
        <v>7.7761729742053198</v>
      </c>
      <c r="AI5763">
        <v>97.789236131245801</v>
      </c>
      <c r="AJ5763">
        <v>108.063877029206</v>
      </c>
      <c r="AK5763">
        <v>8.2554908819427499</v>
      </c>
      <c r="AL5763">
        <v>64.266834119792193</v>
      </c>
      <c r="AM5763">
        <v>110.071676250122</v>
      </c>
      <c r="AN5763">
        <v>0.99999999131486905</v>
      </c>
    </row>
    <row r="5764" spans="1:40" x14ac:dyDescent="0.25">
      <c r="A5764" t="str">
        <f>"20190304165003121"</f>
        <v>20190304165003121</v>
      </c>
      <c r="B5764" t="str">
        <f>"1551689403111863"</f>
        <v>1551689403111863</v>
      </c>
      <c r="C5764" t="s">
        <v>40</v>
      </c>
      <c r="D5764">
        <v>4.2290510000000001</v>
      </c>
      <c r="E5764">
        <v>0.50479419999999997</v>
      </c>
      <c r="F5764" t="s">
        <v>49</v>
      </c>
      <c r="G5764">
        <v>-408.8159</v>
      </c>
      <c r="H5764" s="1">
        <v>-3.126742E-6</v>
      </c>
      <c r="I5764">
        <v>26.711310000000001</v>
      </c>
      <c r="J5764">
        <v>-415.5625</v>
      </c>
      <c r="K5764">
        <v>1.1188560000000001</v>
      </c>
      <c r="L5764">
        <v>31.581569999999999</v>
      </c>
      <c r="M5764">
        <v>0.58991890000000002</v>
      </c>
      <c r="N5764">
        <v>-1.178032E-2</v>
      </c>
      <c r="O5764">
        <v>-0.8073766</v>
      </c>
      <c r="P5764">
        <v>0.74463749999999995</v>
      </c>
      <c r="Q5764">
        <v>0.43018729999999999</v>
      </c>
      <c r="R5764">
        <v>-0.51034709999999905</v>
      </c>
      <c r="S5764">
        <v>2.865936</v>
      </c>
      <c r="T5764">
        <v>-0.46888289999999999</v>
      </c>
      <c r="U5764">
        <v>-2.0912480000000002</v>
      </c>
      <c r="V5764">
        <v>-0.30881049999999999</v>
      </c>
      <c r="W5764">
        <v>0.4341621</v>
      </c>
      <c r="X5764">
        <v>0.84625019999999995</v>
      </c>
      <c r="Y5764">
        <v>-0.29840290000000003</v>
      </c>
      <c r="Z5764">
        <v>0.1094272</v>
      </c>
      <c r="AA5764">
        <v>0.9481463</v>
      </c>
      <c r="AB5764">
        <v>31</v>
      </c>
      <c r="AC5764">
        <v>6.7465999999999999</v>
      </c>
      <c r="AD5764">
        <v>-1.1188591267419901</v>
      </c>
      <c r="AE5764">
        <v>-4.87026</v>
      </c>
      <c r="AF5764">
        <v>-2.5284505871859602</v>
      </c>
      <c r="AG5764">
        <v>-1.1188591267419901</v>
      </c>
      <c r="AH5764">
        <v>7.7721034889069402</v>
      </c>
      <c r="AI5764">
        <v>97.795123263540802</v>
      </c>
      <c r="AJ5764">
        <v>108.02094230349</v>
      </c>
      <c r="AK5764">
        <v>8.2492727412550906</v>
      </c>
      <c r="AL5764">
        <v>64.268011779874399</v>
      </c>
      <c r="AM5764">
        <v>110.047850652127</v>
      </c>
      <c r="AN5764">
        <v>1.00000002749334</v>
      </c>
    </row>
    <row r="5765" spans="1:40" x14ac:dyDescent="0.25">
      <c r="A5765" t="str">
        <f>"20190304165003133"</f>
        <v>20190304165003133</v>
      </c>
      <c r="B5765" t="str">
        <f>"1551689403121623"</f>
        <v>1551689403121623</v>
      </c>
      <c r="C5765" t="s">
        <v>40</v>
      </c>
      <c r="D5765">
        <v>4.2124889999999997</v>
      </c>
      <c r="E5765">
        <v>0.50479419999999997</v>
      </c>
      <c r="F5765" t="s">
        <v>49</v>
      </c>
      <c r="G5765">
        <v>-408.6961</v>
      </c>
      <c r="H5765" s="1">
        <v>-3.176684E-6</v>
      </c>
      <c r="I5765">
        <v>26.616969999999998</v>
      </c>
      <c r="J5765">
        <v>-415.4624</v>
      </c>
      <c r="K5765">
        <v>1.1188549999999999</v>
      </c>
      <c r="L5765">
        <v>31.452480000000001</v>
      </c>
      <c r="M5765">
        <v>0.59414690000000003</v>
      </c>
      <c r="N5765">
        <v>-1.175094E-2</v>
      </c>
      <c r="O5765">
        <v>-0.80427069999999901</v>
      </c>
      <c r="P5765">
        <v>0.74723879999999998</v>
      </c>
      <c r="Q5765">
        <v>0.4298844</v>
      </c>
      <c r="R5765">
        <v>-0.50678749999999995</v>
      </c>
      <c r="S5765">
        <v>2.8748170000000002</v>
      </c>
      <c r="T5765">
        <v>-0.46844479999999999</v>
      </c>
      <c r="U5765">
        <v>-2.0785830000000001</v>
      </c>
      <c r="V5765">
        <v>-0.3085444</v>
      </c>
      <c r="W5765">
        <v>0.43384040000000001</v>
      </c>
      <c r="X5765">
        <v>0.84651219999999905</v>
      </c>
      <c r="Y5765">
        <v>-0.29756110000000002</v>
      </c>
      <c r="Z5765">
        <v>0.10903309999999999</v>
      </c>
      <c r="AA5765">
        <v>0.94845619999999997</v>
      </c>
      <c r="AB5765">
        <v>31</v>
      </c>
      <c r="AC5765">
        <v>6.7663000000000002</v>
      </c>
      <c r="AD5765">
        <v>-1.118858176684</v>
      </c>
      <c r="AE5765">
        <v>-4.8355099999999904</v>
      </c>
      <c r="AF5765">
        <v>-2.5234382807596401</v>
      </c>
      <c r="AG5765">
        <v>-1.118858176684</v>
      </c>
      <c r="AH5765">
        <v>7.7691642683661204</v>
      </c>
      <c r="AI5765">
        <v>97.7992117649314</v>
      </c>
      <c r="AJ5765">
        <v>107.993888150907</v>
      </c>
      <c r="AK5765">
        <v>8.2449680293614698</v>
      </c>
      <c r="AL5765">
        <v>64.288470950333604</v>
      </c>
      <c r="AM5765">
        <v>110.026242649653</v>
      </c>
      <c r="AN5765">
        <v>1.00000002209617</v>
      </c>
    </row>
    <row r="5766" spans="1:40" x14ac:dyDescent="0.25">
      <c r="A5766" t="str">
        <f>"20190304165003145"</f>
        <v>20190304165003145</v>
      </c>
      <c r="B5766" t="str">
        <f>"1551689403141142"</f>
        <v>1551689403141142</v>
      </c>
      <c r="C5766" t="s">
        <v>40</v>
      </c>
      <c r="D5766">
        <v>4.19998</v>
      </c>
      <c r="E5766">
        <v>0.49374119999999999</v>
      </c>
      <c r="F5766" t="s">
        <v>49</v>
      </c>
      <c r="G5766">
        <v>-408.5874</v>
      </c>
      <c r="H5766" s="1">
        <v>-3.223512E-6</v>
      </c>
      <c r="I5766">
        <v>26.538119999999999</v>
      </c>
      <c r="J5766">
        <v>-415.36779999999999</v>
      </c>
      <c r="K5766">
        <v>1.118852</v>
      </c>
      <c r="L5766">
        <v>31.332239999999999</v>
      </c>
      <c r="M5766">
        <v>0.59809469999999898</v>
      </c>
      <c r="N5766">
        <v>-1.1726220000000001E-2</v>
      </c>
      <c r="O5766">
        <v>-0.80133980000000005</v>
      </c>
      <c r="P5766">
        <v>0.74941239999999998</v>
      </c>
      <c r="Q5766">
        <v>0.42984919999999999</v>
      </c>
      <c r="R5766">
        <v>-0.50359809999999905</v>
      </c>
      <c r="S5766">
        <v>2.8858950000000001</v>
      </c>
      <c r="T5766">
        <v>-0.46965459999999898</v>
      </c>
      <c r="U5766">
        <v>-2.0628660000000001</v>
      </c>
      <c r="V5766">
        <v>-0.30800620000000001</v>
      </c>
      <c r="W5766">
        <v>0.43379440000000002</v>
      </c>
      <c r="X5766">
        <v>0.84673169999999898</v>
      </c>
      <c r="Y5766">
        <v>-0.29798819999999998</v>
      </c>
      <c r="Z5766">
        <v>0.1091128</v>
      </c>
      <c r="AA5766">
        <v>0.94831290000000001</v>
      </c>
      <c r="AB5766">
        <v>31</v>
      </c>
      <c r="AC5766">
        <v>6.7803999999999798</v>
      </c>
      <c r="AD5766">
        <v>-1.118855223512</v>
      </c>
      <c r="AE5766">
        <v>-4.7941200000000004</v>
      </c>
      <c r="AF5766">
        <v>-2.5204864054826901</v>
      </c>
      <c r="AG5766">
        <v>-1.118855223512</v>
      </c>
      <c r="AH5766">
        <v>7.7567678904999697</v>
      </c>
      <c r="AI5766">
        <v>97.811187807058204</v>
      </c>
      <c r="AJ5766">
        <v>108.001067240129</v>
      </c>
      <c r="AK5766">
        <v>8.2323834239237499</v>
      </c>
      <c r="AL5766">
        <v>64.291395159450602</v>
      </c>
      <c r="AM5766">
        <v>109.98930763575299</v>
      </c>
      <c r="AN5766">
        <v>0.99999998624734399</v>
      </c>
    </row>
    <row r="5767" spans="1:40" x14ac:dyDescent="0.25">
      <c r="A5767" t="str">
        <f>"20190304165003160"</f>
        <v>20190304165003160</v>
      </c>
      <c r="B5767" t="str">
        <f>"1551689403151882"</f>
        <v>1551689403151882</v>
      </c>
      <c r="C5767" t="s">
        <v>40</v>
      </c>
      <c r="D5767">
        <v>4.2223959999999998</v>
      </c>
      <c r="E5767">
        <v>0.49344559999999998</v>
      </c>
      <c r="F5767" t="s">
        <v>49</v>
      </c>
      <c r="G5767">
        <v>-407.39069999999998</v>
      </c>
      <c r="H5767" s="1">
        <v>-3.7423129999999999E-6</v>
      </c>
      <c r="I5767">
        <v>25.98555</v>
      </c>
      <c r="J5767">
        <v>-415.23140000000001</v>
      </c>
      <c r="K5767">
        <v>1.118846</v>
      </c>
      <c r="L5767">
        <v>31.16037</v>
      </c>
      <c r="M5767">
        <v>0.60373100000000002</v>
      </c>
      <c r="N5767">
        <v>-1.169182E-2</v>
      </c>
      <c r="O5767">
        <v>-0.79710230000000004</v>
      </c>
      <c r="P5767">
        <v>0.75215459999999901</v>
      </c>
      <c r="Q5767">
        <v>0.42940299999999998</v>
      </c>
      <c r="R5767">
        <v>-0.4998764</v>
      </c>
      <c r="S5767">
        <v>2.9221189999999999</v>
      </c>
      <c r="T5767">
        <v>-0.40984989999999999</v>
      </c>
      <c r="U5767">
        <v>-1.9585570000000001</v>
      </c>
      <c r="V5767">
        <v>-0.30642259999999999</v>
      </c>
      <c r="W5767">
        <v>0.43335430000000003</v>
      </c>
      <c r="X5767">
        <v>0.84753129999999999</v>
      </c>
      <c r="Y5767">
        <v>-0.32114510000000002</v>
      </c>
      <c r="Z5767">
        <v>9.5829159999999997E-2</v>
      </c>
      <c r="AA5767">
        <v>0.94216909999999998</v>
      </c>
      <c r="AB5767">
        <v>31</v>
      </c>
      <c r="AC5767">
        <v>7.8407000000000204</v>
      </c>
      <c r="AD5767">
        <v>-1.1188497423129999</v>
      </c>
      <c r="AE5767">
        <v>-5.1748199999999898</v>
      </c>
      <c r="AF5767">
        <v>-3.0821371522359402</v>
      </c>
      <c r="AG5767">
        <v>-1.1188497423129999</v>
      </c>
      <c r="AH5767">
        <v>8.7352388558207998</v>
      </c>
      <c r="AI5767">
        <v>96.887187754264204</v>
      </c>
      <c r="AJ5767">
        <v>109.43485340928299</v>
      </c>
      <c r="AK5767">
        <v>9.3303693409911901</v>
      </c>
      <c r="AL5767">
        <v>64.319379296944604</v>
      </c>
      <c r="AM5767">
        <v>109.877316879746</v>
      </c>
      <c r="AN5767">
        <v>1.00000003179946</v>
      </c>
    </row>
    <row r="5768" spans="1:40" x14ac:dyDescent="0.25">
      <c r="A5768" t="str">
        <f>"20190304165003172"</f>
        <v>20190304165003172</v>
      </c>
      <c r="B5768" t="str">
        <f>"1551689403161638"</f>
        <v>1551689403161638</v>
      </c>
      <c r="C5768" t="s">
        <v>40</v>
      </c>
      <c r="D5768">
        <v>4.4264989999999997</v>
      </c>
      <c r="E5768">
        <v>0.49344559999999998</v>
      </c>
      <c r="F5768" t="s">
        <v>49</v>
      </c>
      <c r="G5768">
        <v>-407.21800000000002</v>
      </c>
      <c r="H5768" s="1">
        <v>-3.8085250000000001E-6</v>
      </c>
      <c r="I5768">
        <v>25.869409999999998</v>
      </c>
      <c r="J5768">
        <v>-415.13350000000003</v>
      </c>
      <c r="K5768">
        <v>1.118846</v>
      </c>
      <c r="L5768">
        <v>31.03857</v>
      </c>
      <c r="M5768">
        <v>0.60772720000000002</v>
      </c>
      <c r="N5768">
        <v>-1.1667830000000001E-2</v>
      </c>
      <c r="O5768">
        <v>-0.79406019999999999</v>
      </c>
      <c r="P5768">
        <v>0.75420169999999997</v>
      </c>
      <c r="Q5768">
        <v>0.42944860000000001</v>
      </c>
      <c r="R5768">
        <v>-0.4967433</v>
      </c>
      <c r="S5768">
        <v>2.9346920000000001</v>
      </c>
      <c r="T5768">
        <v>-0.40975080000000003</v>
      </c>
      <c r="U5768">
        <v>-1.937683</v>
      </c>
      <c r="V5768">
        <v>-0.30567280000000002</v>
      </c>
      <c r="W5768">
        <v>0.43339339999999998</v>
      </c>
      <c r="X5768">
        <v>0.84778199999999904</v>
      </c>
      <c r="Y5768">
        <v>-0.32291510000000001</v>
      </c>
      <c r="Z5768">
        <v>9.5696290000000003E-2</v>
      </c>
      <c r="AA5768">
        <v>0.94157740000000001</v>
      </c>
      <c r="AB5768">
        <v>31</v>
      </c>
      <c r="AC5768">
        <v>7.9154999999999998</v>
      </c>
      <c r="AD5768">
        <v>-1.118849808525</v>
      </c>
      <c r="AE5768">
        <v>-5.16915999999999</v>
      </c>
      <c r="AF5768">
        <v>-3.1007282986934102</v>
      </c>
      <c r="AG5768">
        <v>-1.118849808525</v>
      </c>
      <c r="AH5768">
        <v>8.7925437028996392</v>
      </c>
      <c r="AI5768">
        <v>96.843122092673696</v>
      </c>
      <c r="AJ5768">
        <v>109.425417127299</v>
      </c>
      <c r="AK5768">
        <v>9.3901632383976601</v>
      </c>
      <c r="AL5768">
        <v>64.316892857853205</v>
      </c>
      <c r="AM5768">
        <v>109.827067699621</v>
      </c>
      <c r="AN5768">
        <v>1.0000000096736901</v>
      </c>
    </row>
    <row r="5769" spans="1:40" x14ac:dyDescent="0.25">
      <c r="A5769" t="str">
        <f>"20190304165003186"</f>
        <v>20190304165003186</v>
      </c>
      <c r="B5769" t="str">
        <f>"1551689403181159"</f>
        <v>1551689403181159</v>
      </c>
      <c r="C5769" t="s">
        <v>40</v>
      </c>
      <c r="D5769">
        <v>4.3897810000000002</v>
      </c>
      <c r="E5769">
        <v>0.49341069999999998</v>
      </c>
      <c r="F5769" t="s">
        <v>49</v>
      </c>
      <c r="G5769">
        <v>-407.09190000000001</v>
      </c>
      <c r="H5769" s="1">
        <v>-3.8563510000000002E-6</v>
      </c>
      <c r="I5769">
        <v>25.781700000000001</v>
      </c>
      <c r="J5769">
        <v>-415.02120000000002</v>
      </c>
      <c r="K5769">
        <v>1.118851</v>
      </c>
      <c r="L5769">
        <v>30.900759999999998</v>
      </c>
      <c r="M5769">
        <v>0.61225799999999997</v>
      </c>
      <c r="N5769">
        <v>-1.164156E-2</v>
      </c>
      <c r="O5769">
        <v>-0.79057259999999996</v>
      </c>
      <c r="P5769">
        <v>0.75663599999999998</v>
      </c>
      <c r="Q5769">
        <v>0.42931360000000002</v>
      </c>
      <c r="R5769">
        <v>-0.49314540000000001</v>
      </c>
      <c r="S5769">
        <v>2.9435419999999999</v>
      </c>
      <c r="T5769">
        <v>-0.40954410000000002</v>
      </c>
      <c r="U5769">
        <v>-1.9242250000000001</v>
      </c>
      <c r="V5769">
        <v>-0.30492449999999999</v>
      </c>
      <c r="W5769">
        <v>0.4332491</v>
      </c>
      <c r="X5769">
        <v>0.84812509999999997</v>
      </c>
      <c r="Y5769">
        <v>-0.32184109999999899</v>
      </c>
      <c r="Z5769">
        <v>9.5350809999999994E-2</v>
      </c>
      <c r="AA5769">
        <v>0.94198009999999999</v>
      </c>
      <c r="AB5769">
        <v>31</v>
      </c>
      <c r="AC5769">
        <v>7.9293000000000102</v>
      </c>
      <c r="AD5769">
        <v>-1.1188548563509999</v>
      </c>
      <c r="AE5769">
        <v>-5.1190599999999904</v>
      </c>
      <c r="AF5769">
        <v>-3.0912714870001698</v>
      </c>
      <c r="AG5769">
        <v>-1.1188548563509999</v>
      </c>
      <c r="AH5769">
        <v>8.7789946438788604</v>
      </c>
      <c r="AI5769">
        <v>96.854747815705494</v>
      </c>
      <c r="AJ5769">
        <v>109.39825484738699</v>
      </c>
      <c r="AK5769">
        <v>9.3743555806878902</v>
      </c>
      <c r="AL5769">
        <v>64.326065258999606</v>
      </c>
      <c r="AM5769">
        <v>109.774918664956</v>
      </c>
      <c r="AN5769">
        <v>0.99999995930053398</v>
      </c>
    </row>
    <row r="5770" spans="1:40" x14ac:dyDescent="0.25">
      <c r="A5770" t="str">
        <f>"20190304165003200"</f>
        <v>20190304165003200</v>
      </c>
      <c r="B5770" t="str">
        <f>"1551689403191895"</f>
        <v>1551689403191895</v>
      </c>
      <c r="C5770" t="s">
        <v>40</v>
      </c>
      <c r="D5770">
        <v>4.2336539999999996</v>
      </c>
      <c r="E5770">
        <v>0.49382549999999997</v>
      </c>
      <c r="F5770" t="s">
        <v>49</v>
      </c>
      <c r="G5770">
        <v>-407.05160000000001</v>
      </c>
      <c r="H5770" s="1">
        <v>-3.8706989999999998E-6</v>
      </c>
      <c r="I5770">
        <v>25.748180000000001</v>
      </c>
      <c r="J5770">
        <v>-414.892</v>
      </c>
      <c r="K5770">
        <v>1.118859</v>
      </c>
      <c r="L5770">
        <v>30.743590000000001</v>
      </c>
      <c r="M5770">
        <v>0.61742200000000003</v>
      </c>
      <c r="N5770">
        <v>-1.1611659999999999E-2</v>
      </c>
      <c r="O5770">
        <v>-0.78654659999999998</v>
      </c>
      <c r="P5770">
        <v>0.75971279999999997</v>
      </c>
      <c r="Q5770">
        <v>0.42912909999999999</v>
      </c>
      <c r="R5770">
        <v>-0.48855389999999999</v>
      </c>
      <c r="S5770">
        <v>2.9550779999999999</v>
      </c>
      <c r="T5770">
        <v>-0.41486020000000001</v>
      </c>
      <c r="U5770">
        <v>-1.9105220000000001</v>
      </c>
      <c r="V5770">
        <v>-0.30459350000000002</v>
      </c>
      <c r="W5770">
        <v>0.4330407</v>
      </c>
      <c r="X5770">
        <v>0.84835049999999901</v>
      </c>
      <c r="Y5770">
        <v>-0.3202969</v>
      </c>
      <c r="Z5770">
        <v>9.6254909999999999E-2</v>
      </c>
      <c r="AA5770">
        <v>0.94241439999999999</v>
      </c>
      <c r="AB5770">
        <v>31</v>
      </c>
      <c r="AC5770">
        <v>7.8403999999999803</v>
      </c>
      <c r="AD5770">
        <v>-1.118862870699</v>
      </c>
      <c r="AE5770">
        <v>-4.9954099999999997</v>
      </c>
      <c r="AF5770">
        <v>-3.0387558332837501</v>
      </c>
      <c r="AG5770">
        <v>-1.118862870699</v>
      </c>
      <c r="AH5770">
        <v>8.6453232588445896</v>
      </c>
      <c r="AI5770">
        <v>96.961111007561897</v>
      </c>
      <c r="AJ5770">
        <v>109.36613077784899</v>
      </c>
      <c r="AK5770">
        <v>9.2318744243877209</v>
      </c>
      <c r="AL5770">
        <v>64.339314303652699</v>
      </c>
      <c r="AM5770">
        <v>109.75027205313501</v>
      </c>
      <c r="AN5770">
        <v>1.0000000094744901</v>
      </c>
    </row>
    <row r="5771" spans="1:40" x14ac:dyDescent="0.25">
      <c r="A5771" t="str">
        <f>"20190304165003214"</f>
        <v>20190304165003214</v>
      </c>
      <c r="B5771" t="str">
        <f>"1551689403201655"</f>
        <v>1551689403201655</v>
      </c>
      <c r="C5771" t="s">
        <v>40</v>
      </c>
      <c r="D5771">
        <v>4.2562949999999997</v>
      </c>
      <c r="E5771">
        <v>0.49427140000000003</v>
      </c>
      <c r="F5771" t="s">
        <v>49</v>
      </c>
      <c r="G5771">
        <v>-406.96260000000001</v>
      </c>
      <c r="H5771" s="1">
        <v>-3.9027919999999999E-6</v>
      </c>
      <c r="I5771">
        <v>25.676870000000001</v>
      </c>
      <c r="J5771">
        <v>-414.77420000000001</v>
      </c>
      <c r="K5771">
        <v>1.1188659999999999</v>
      </c>
      <c r="L5771">
        <v>30.602139999999999</v>
      </c>
      <c r="M5771">
        <v>0.62207389999999996</v>
      </c>
      <c r="N5771">
        <v>-1.158436E-2</v>
      </c>
      <c r="O5771">
        <v>-0.78287280000000004</v>
      </c>
      <c r="P5771">
        <v>0.76224440000000004</v>
      </c>
      <c r="Q5771">
        <v>0.42921720000000002</v>
      </c>
      <c r="R5771">
        <v>-0.48451640000000001</v>
      </c>
      <c r="S5771">
        <v>2.96637</v>
      </c>
      <c r="T5771">
        <v>-0.41856369999999998</v>
      </c>
      <c r="U5771">
        <v>-1.8954470000000001</v>
      </c>
      <c r="V5771">
        <v>-0.304037</v>
      </c>
      <c r="W5771">
        <v>0.43310979999999999</v>
      </c>
      <c r="X5771">
        <v>0.84851489999999996</v>
      </c>
      <c r="Y5771">
        <v>-0.3196408</v>
      </c>
      <c r="Z5771">
        <v>9.6835249999999998E-2</v>
      </c>
      <c r="AA5771">
        <v>0.94257769999999996</v>
      </c>
      <c r="AB5771">
        <v>31</v>
      </c>
      <c r="AC5771">
        <v>7.8115999999999897</v>
      </c>
      <c r="AD5771">
        <v>-1.1188699027919999</v>
      </c>
      <c r="AE5771">
        <v>-4.9252700000000003</v>
      </c>
      <c r="AF5771">
        <v>-3.0076607431621598</v>
      </c>
      <c r="AG5771">
        <v>-1.1188699027919999</v>
      </c>
      <c r="AH5771">
        <v>8.5897431638362907</v>
      </c>
      <c r="AI5771">
        <v>97.008666682256504</v>
      </c>
      <c r="AJ5771">
        <v>109.297477561205</v>
      </c>
      <c r="AK5771">
        <v>9.1696008978583592</v>
      </c>
      <c r="AL5771">
        <v>64.334923440371</v>
      </c>
      <c r="AM5771">
        <v>109.713446413894</v>
      </c>
      <c r="AN5771">
        <v>1.00000006587352</v>
      </c>
    </row>
    <row r="5772" spans="1:40" x14ac:dyDescent="0.25">
      <c r="A5772" t="str">
        <f>"20190304165003229"</f>
        <v>20190304165003229</v>
      </c>
      <c r="B5772" t="str">
        <f>"1551689403221174"</f>
        <v>1551689403221174</v>
      </c>
      <c r="C5772" t="s">
        <v>40</v>
      </c>
      <c r="D5772">
        <v>4.3928609999999999</v>
      </c>
      <c r="E5772">
        <v>0.49470160000000002</v>
      </c>
      <c r="F5772" t="s">
        <v>49</v>
      </c>
      <c r="G5772">
        <v>-406.82010000000002</v>
      </c>
      <c r="H5772" s="1">
        <v>-3.9554810000000002E-6</v>
      </c>
      <c r="I5772">
        <v>25.570229999999999</v>
      </c>
      <c r="J5772">
        <v>-414.6293</v>
      </c>
      <c r="K5772">
        <v>1.118881</v>
      </c>
      <c r="L5772">
        <v>30.43085</v>
      </c>
      <c r="M5772">
        <v>0.62772450000000002</v>
      </c>
      <c r="N5772">
        <v>-1.1552140000000001E-2</v>
      </c>
      <c r="O5772">
        <v>-0.77834989999999904</v>
      </c>
      <c r="P5772">
        <v>0.76537460000000002</v>
      </c>
      <c r="Q5772">
        <v>0.42937310000000001</v>
      </c>
      <c r="R5772">
        <v>-0.47941669999999997</v>
      </c>
      <c r="S5772">
        <v>2.975098</v>
      </c>
      <c r="T5772">
        <v>-0.41849649999999999</v>
      </c>
      <c r="U5772">
        <v>-1.8821110000000001</v>
      </c>
      <c r="V5772">
        <v>-0.30351050000000002</v>
      </c>
      <c r="W5772">
        <v>0.43323790000000001</v>
      </c>
      <c r="X5772">
        <v>0.84863789999999995</v>
      </c>
      <c r="Y5772">
        <v>-0.31708350000000002</v>
      </c>
      <c r="Z5772">
        <v>9.6361089999999996E-2</v>
      </c>
      <c r="AA5772">
        <v>0.94348960000000004</v>
      </c>
      <c r="AB5772">
        <v>31</v>
      </c>
      <c r="AC5772">
        <v>7.8091999999999704</v>
      </c>
      <c r="AD5772">
        <v>-1.1188849554809901</v>
      </c>
      <c r="AE5772">
        <v>-4.8606199999999999</v>
      </c>
      <c r="AF5772">
        <v>-2.9832210565945898</v>
      </c>
      <c r="AG5772">
        <v>-1.1188849554809901</v>
      </c>
      <c r="AH5772">
        <v>8.5592237199530992</v>
      </c>
      <c r="AI5772">
        <v>97.036985520984004</v>
      </c>
      <c r="AJ5772">
        <v>109.215425187191</v>
      </c>
      <c r="AK5772">
        <v>9.1330072869958308</v>
      </c>
      <c r="AL5772">
        <v>64.326778203845905</v>
      </c>
      <c r="AM5772">
        <v>109.679300045253</v>
      </c>
      <c r="AN5772">
        <v>0.99999999346153501</v>
      </c>
    </row>
    <row r="5773" spans="1:40" x14ac:dyDescent="0.25">
      <c r="A5773" t="str">
        <f>"20190304165003243"</f>
        <v>20190304165003243</v>
      </c>
      <c r="B5773" t="str">
        <f>"1551689403231911"</f>
        <v>1551689403231911</v>
      </c>
      <c r="C5773" t="s">
        <v>40</v>
      </c>
      <c r="D5773">
        <v>4.2538019999999896</v>
      </c>
      <c r="E5773">
        <v>0.49515569999999998</v>
      </c>
      <c r="F5773" t="s">
        <v>49</v>
      </c>
      <c r="G5773">
        <v>-406.72879999999998</v>
      </c>
      <c r="H5773" s="1">
        <v>-3.988698E-6</v>
      </c>
      <c r="I5773">
        <v>25.49859</v>
      </c>
      <c r="J5773">
        <v>-414.5136</v>
      </c>
      <c r="K5773">
        <v>1.118892</v>
      </c>
      <c r="L5773">
        <v>30.295809999999999</v>
      </c>
      <c r="M5773">
        <v>0.63218699999999906</v>
      </c>
      <c r="N5773">
        <v>-1.152476E-2</v>
      </c>
      <c r="O5773">
        <v>-0.77473019999999904</v>
      </c>
      <c r="P5773">
        <v>0.76797890000000002</v>
      </c>
      <c r="Q5773">
        <v>0.4294444</v>
      </c>
      <c r="R5773">
        <v>-0.47516940000000002</v>
      </c>
      <c r="S5773">
        <v>2.988464</v>
      </c>
      <c r="T5773">
        <v>-0.42323290000000002</v>
      </c>
      <c r="U5773">
        <v>-1.8656919999999999</v>
      </c>
      <c r="V5773">
        <v>-0.30332140000000002</v>
      </c>
      <c r="W5773">
        <v>0.43327840000000001</v>
      </c>
      <c r="X5773">
        <v>0.84868480000000002</v>
      </c>
      <c r="Y5773">
        <v>-0.31716559999999999</v>
      </c>
      <c r="Z5773">
        <v>9.7180219999999998E-2</v>
      </c>
      <c r="AA5773">
        <v>0.94337800000000005</v>
      </c>
      <c r="AB5773">
        <v>31</v>
      </c>
      <c r="AC5773">
        <v>7.7848000000000104</v>
      </c>
      <c r="AD5773">
        <v>-1.1188959886980001</v>
      </c>
      <c r="AE5773">
        <v>-4.7972199999999896</v>
      </c>
      <c r="AF5773">
        <v>-2.95434525354815</v>
      </c>
      <c r="AG5773">
        <v>-1.1188959886980001</v>
      </c>
      <c r="AH5773">
        <v>8.5111426454657693</v>
      </c>
      <c r="AI5773">
        <v>97.079501071560998</v>
      </c>
      <c r="AJ5773">
        <v>109.142654716384</v>
      </c>
      <c r="AK5773">
        <v>9.0785259399394302</v>
      </c>
      <c r="AL5773">
        <v>64.324202788772595</v>
      </c>
      <c r="AM5773">
        <v>109.66697649439899</v>
      </c>
      <c r="AN5773">
        <v>0.99999996667777902</v>
      </c>
    </row>
    <row r="5774" spans="1:40" x14ac:dyDescent="0.25">
      <c r="A5774" t="str">
        <f>"20190304165003256"</f>
        <v>20190304165003256</v>
      </c>
      <c r="B5774" t="str">
        <f>"1551689403251431"</f>
        <v>1551689403251431</v>
      </c>
      <c r="C5774" t="s">
        <v>40</v>
      </c>
      <c r="D5774">
        <v>4.3151650000000004</v>
      </c>
      <c r="E5774">
        <v>0.49587520000000002</v>
      </c>
      <c r="F5774" t="s">
        <v>49</v>
      </c>
      <c r="G5774">
        <v>-406.62439999999998</v>
      </c>
      <c r="H5774" s="1">
        <v>-4.0272210000000001E-6</v>
      </c>
      <c r="I5774">
        <v>25.41977</v>
      </c>
      <c r="J5774">
        <v>-414.39800000000002</v>
      </c>
      <c r="K5774">
        <v>1.1189100000000001</v>
      </c>
      <c r="L5774">
        <v>30.161899999999999</v>
      </c>
      <c r="M5774">
        <v>0.6366115</v>
      </c>
      <c r="N5774">
        <v>-1.1496080000000001E-2</v>
      </c>
      <c r="O5774">
        <v>-0.77109899999999998</v>
      </c>
      <c r="P5774">
        <v>0.77054659999999997</v>
      </c>
      <c r="Q5774">
        <v>0.42976340000000002</v>
      </c>
      <c r="R5774">
        <v>-0.47070289999999998</v>
      </c>
      <c r="S5774">
        <v>2.9977420000000001</v>
      </c>
      <c r="T5774">
        <v>-0.42515530000000001</v>
      </c>
      <c r="U5774">
        <v>-1.8527830000000001</v>
      </c>
      <c r="V5774">
        <v>-0.30327700000000002</v>
      </c>
      <c r="W5774">
        <v>0.4335598</v>
      </c>
      <c r="X5774">
        <v>0.84855689999999995</v>
      </c>
      <c r="Y5774">
        <v>-0.31595970000000001</v>
      </c>
      <c r="Z5774">
        <v>9.7287310000000002E-2</v>
      </c>
      <c r="AA5774">
        <v>0.94377149999999999</v>
      </c>
      <c r="AB5774">
        <v>31</v>
      </c>
      <c r="AC5774">
        <v>7.77360000000004</v>
      </c>
      <c r="AD5774">
        <v>-1.1189140272210001</v>
      </c>
      <c r="AE5774">
        <v>-4.7421300000000004</v>
      </c>
      <c r="AF5774">
        <v>-2.9312578608606001</v>
      </c>
      <c r="AG5774">
        <v>-1.1189140272210001</v>
      </c>
      <c r="AH5774">
        <v>8.4779734829970899</v>
      </c>
      <c r="AI5774">
        <v>97.110000523727294</v>
      </c>
      <c r="AJ5774">
        <v>109.072817731683</v>
      </c>
      <c r="AK5774">
        <v>9.03992674890514</v>
      </c>
      <c r="AL5774">
        <v>64.306310883336707</v>
      </c>
      <c r="AM5774">
        <v>109.667055029091</v>
      </c>
      <c r="AN5774">
        <v>0.99999992572132201</v>
      </c>
    </row>
    <row r="5775" spans="1:40" x14ac:dyDescent="0.25">
      <c r="A5775" t="str">
        <f>"20190304165003268"</f>
        <v>20190304165003268</v>
      </c>
      <c r="B5775" t="str">
        <f>"1551689403261190"</f>
        <v>1551689403261190</v>
      </c>
      <c r="C5775" t="s">
        <v>40</v>
      </c>
      <c r="D5775">
        <v>4.2807139999999997</v>
      </c>
      <c r="E5775">
        <v>0.49622080000000002</v>
      </c>
      <c r="F5775" t="s">
        <v>49</v>
      </c>
      <c r="G5775">
        <v>-406.5215</v>
      </c>
      <c r="H5775" s="1">
        <v>-4.064331E-6</v>
      </c>
      <c r="I5775">
        <v>25.337409999999998</v>
      </c>
      <c r="J5775">
        <v>-414.28949999999998</v>
      </c>
      <c r="K5775">
        <v>1.118922</v>
      </c>
      <c r="L5775">
        <v>30.038540000000001</v>
      </c>
      <c r="M5775">
        <v>0.64071049999999996</v>
      </c>
      <c r="N5775">
        <v>-1.146836E-2</v>
      </c>
      <c r="O5775">
        <v>-0.76769699999999996</v>
      </c>
      <c r="P5775">
        <v>0.77286189999999999</v>
      </c>
      <c r="Q5775">
        <v>0.43016389999999999</v>
      </c>
      <c r="R5775">
        <v>-0.46652290000000002</v>
      </c>
      <c r="S5775">
        <v>3.0065919999999999</v>
      </c>
      <c r="T5775">
        <v>-0.42710759999999998</v>
      </c>
      <c r="U5775">
        <v>-1.841583</v>
      </c>
      <c r="V5775">
        <v>-0.30320930000000001</v>
      </c>
      <c r="W5775">
        <v>0.4339229</v>
      </c>
      <c r="X5775">
        <v>0.84839560000000003</v>
      </c>
      <c r="Y5775">
        <v>-0.31467779999999901</v>
      </c>
      <c r="Z5775">
        <v>9.7393229999999997E-2</v>
      </c>
      <c r="AA5775">
        <v>0.94418880000000005</v>
      </c>
      <c r="AB5775">
        <v>31</v>
      </c>
      <c r="AC5775">
        <v>7.7679999999999696</v>
      </c>
      <c r="AD5775">
        <v>-1.1189260643309999</v>
      </c>
      <c r="AE5775">
        <v>-4.7011299999999903</v>
      </c>
      <c r="AF5775">
        <v>-2.9074474650432198</v>
      </c>
      <c r="AG5775">
        <v>-1.1189260643309999</v>
      </c>
      <c r="AH5775">
        <v>8.4581978898133592</v>
      </c>
      <c r="AI5775">
        <v>97.130891557172603</v>
      </c>
      <c r="AJ5775">
        <v>108.970056074715</v>
      </c>
      <c r="AK5775">
        <v>9.0136761558571994</v>
      </c>
      <c r="AL5775">
        <v>64.283224665782896</v>
      </c>
      <c r="AM5775">
        <v>109.666453133749</v>
      </c>
      <c r="AN5775">
        <v>1.00000002842512</v>
      </c>
    </row>
    <row r="5776" spans="1:40" x14ac:dyDescent="0.25">
      <c r="A5776" t="str">
        <f>"20190304165003279"</f>
        <v>20190304165003279</v>
      </c>
      <c r="B5776" t="str">
        <f>"1551689403271927"</f>
        <v>1551689403271927</v>
      </c>
      <c r="C5776" t="s">
        <v>40</v>
      </c>
      <c r="D5776">
        <v>4.2804349999999998</v>
      </c>
      <c r="E5776">
        <v>0.4966063</v>
      </c>
      <c r="F5776" t="s">
        <v>49</v>
      </c>
      <c r="G5776">
        <v>-406.38889999999998</v>
      </c>
      <c r="H5776" s="1">
        <v>-4.1151510000000001E-6</v>
      </c>
      <c r="I5776">
        <v>25.248239999999999</v>
      </c>
      <c r="J5776">
        <v>-414.18490000000003</v>
      </c>
      <c r="K5776">
        <v>1.118935</v>
      </c>
      <c r="L5776">
        <v>29.920169999999999</v>
      </c>
      <c r="M5776">
        <v>0.64464030000000005</v>
      </c>
      <c r="N5776">
        <v>-1.144118E-2</v>
      </c>
      <c r="O5776">
        <v>-0.76440050000000004</v>
      </c>
      <c r="P5776">
        <v>0.77513330000000003</v>
      </c>
      <c r="Q5776">
        <v>0.4302647</v>
      </c>
      <c r="R5776">
        <v>-0.46264519999999998</v>
      </c>
      <c r="S5776">
        <v>3.0156559999999999</v>
      </c>
      <c r="T5776">
        <v>-0.42709469999999999</v>
      </c>
      <c r="U5776">
        <v>-1.8284609999999999</v>
      </c>
      <c r="V5776">
        <v>-0.30308479999999999</v>
      </c>
      <c r="W5776">
        <v>0.43398989999999998</v>
      </c>
      <c r="X5776">
        <v>0.84840579999999999</v>
      </c>
      <c r="Y5776">
        <v>-0.3140946</v>
      </c>
      <c r="Z5776">
        <v>9.7080369999999999E-2</v>
      </c>
      <c r="AA5776">
        <v>0.94441520000000001</v>
      </c>
      <c r="AB5776">
        <v>31</v>
      </c>
      <c r="AC5776">
        <v>7.7960000000000402</v>
      </c>
      <c r="AD5776">
        <v>-1.118939115151</v>
      </c>
      <c r="AE5776">
        <v>-4.6719299999999997</v>
      </c>
      <c r="AF5776">
        <v>-2.9037332199494599</v>
      </c>
      <c r="AG5776">
        <v>-1.118939115151</v>
      </c>
      <c r="AH5776">
        <v>8.4690395546073596</v>
      </c>
      <c r="AI5776">
        <v>97.123841159054393</v>
      </c>
      <c r="AJ5776">
        <v>108.925022865541</v>
      </c>
      <c r="AK5776">
        <v>9.0226560575895292</v>
      </c>
      <c r="AL5776">
        <v>64.278963374792497</v>
      </c>
      <c r="AM5776">
        <v>109.658778844167</v>
      </c>
      <c r="AN5776">
        <v>1.0000000153833399</v>
      </c>
    </row>
    <row r="5777" spans="1:40" x14ac:dyDescent="0.25">
      <c r="A5777" t="str">
        <f>"20190304165003290"</f>
        <v>20190304165003290</v>
      </c>
      <c r="B5777" t="str">
        <f>"1551689403281687"</f>
        <v>1551689403281687</v>
      </c>
      <c r="C5777" t="s">
        <v>40</v>
      </c>
      <c r="D5777">
        <v>4.3335369999999998</v>
      </c>
      <c r="E5777">
        <v>0.4966063</v>
      </c>
      <c r="F5777" t="s">
        <v>49</v>
      </c>
      <c r="G5777">
        <v>-406.27969999999999</v>
      </c>
      <c r="H5777" s="1">
        <v>-4.1569400000000002E-6</v>
      </c>
      <c r="I5777">
        <v>25.174109999999999</v>
      </c>
      <c r="J5777">
        <v>-414.0772</v>
      </c>
      <c r="K5777">
        <v>1.1189439999999999</v>
      </c>
      <c r="L5777">
        <v>29.799869999999999</v>
      </c>
      <c r="M5777">
        <v>0.64864599999999994</v>
      </c>
      <c r="N5777">
        <v>-1.141264E-2</v>
      </c>
      <c r="O5777">
        <v>-0.76100489999999998</v>
      </c>
      <c r="P5777">
        <v>0.77718540000000003</v>
      </c>
      <c r="Q5777">
        <v>0.43048829999999999</v>
      </c>
      <c r="R5777">
        <v>-0.4589801</v>
      </c>
      <c r="S5777">
        <v>3.0242</v>
      </c>
      <c r="T5777">
        <v>-0.42805929999999998</v>
      </c>
      <c r="U5777">
        <v>-1.8156429999999999</v>
      </c>
      <c r="V5777">
        <v>-0.30256379999999999</v>
      </c>
      <c r="W5777">
        <v>0.43418659999999998</v>
      </c>
      <c r="X5777">
        <v>0.84849110000000005</v>
      </c>
      <c r="Y5777">
        <v>-0.31322729999999999</v>
      </c>
      <c r="Z5777">
        <v>9.6988279999999996E-2</v>
      </c>
      <c r="AA5777">
        <v>0.94471260000000001</v>
      </c>
      <c r="AB5777">
        <v>31</v>
      </c>
      <c r="AC5777">
        <v>7.7975000000000101</v>
      </c>
      <c r="AD5777">
        <v>-1.1189481569399999</v>
      </c>
      <c r="AE5777">
        <v>-4.6257599999999996</v>
      </c>
      <c r="AF5777">
        <v>-2.8896308660452399</v>
      </c>
      <c r="AG5777">
        <v>-1.1189481569399999</v>
      </c>
      <c r="AH5777">
        <v>8.4498922073274603</v>
      </c>
      <c r="AI5777">
        <v>97.141806439883396</v>
      </c>
      <c r="AJ5777">
        <v>108.87927793996199</v>
      </c>
      <c r="AK5777">
        <v>9.0001494340579793</v>
      </c>
      <c r="AL5777">
        <v>64.266452785241796</v>
      </c>
      <c r="AM5777">
        <v>109.62574754640499</v>
      </c>
      <c r="AN5777">
        <v>1.0000000017346</v>
      </c>
    </row>
    <row r="5778" spans="1:40" x14ac:dyDescent="0.25">
      <c r="A5778" t="str">
        <f>"20190304165003308"</f>
        <v>20190304165003308</v>
      </c>
      <c r="B5778" t="str">
        <f>"1551689403301207"</f>
        <v>1551689403301207</v>
      </c>
      <c r="C5778" t="s">
        <v>40</v>
      </c>
      <c r="D5778">
        <v>4.3093440000000003</v>
      </c>
      <c r="E5778">
        <v>0.50309769999999998</v>
      </c>
      <c r="F5778" t="s">
        <v>49</v>
      </c>
      <c r="G5778">
        <v>-406.1309</v>
      </c>
      <c r="H5778" s="1">
        <v>-4.2158910000000001E-6</v>
      </c>
      <c r="I5778">
        <v>25.08473</v>
      </c>
      <c r="J5778">
        <v>-413.92529999999999</v>
      </c>
      <c r="K5778">
        <v>1.1189629999999999</v>
      </c>
      <c r="L5778">
        <v>29.632290000000001</v>
      </c>
      <c r="M5778">
        <v>0.65424189999999904</v>
      </c>
      <c r="N5778">
        <v>-1.136786E-2</v>
      </c>
      <c r="O5778">
        <v>-0.75619979999999998</v>
      </c>
      <c r="P5778">
        <v>0.77972540000000001</v>
      </c>
      <c r="Q5778">
        <v>0.43119350000000001</v>
      </c>
      <c r="R5778">
        <v>-0.45398290000000002</v>
      </c>
      <c r="S5778">
        <v>3.03363</v>
      </c>
      <c r="T5778">
        <v>-0.42717680000000002</v>
      </c>
      <c r="U5778">
        <v>-1.800079</v>
      </c>
      <c r="V5778">
        <v>-0.30149419999999999</v>
      </c>
      <c r="W5778">
        <v>0.43485570000000001</v>
      </c>
      <c r="X5778">
        <v>0.84852919999999998</v>
      </c>
      <c r="Y5778">
        <v>-0.3111525</v>
      </c>
      <c r="Z5778">
        <v>9.6300640000000007E-2</v>
      </c>
      <c r="AA5778">
        <v>0.94546830000000004</v>
      </c>
      <c r="AB5778">
        <v>31</v>
      </c>
      <c r="AC5778">
        <v>7.7943999999999898</v>
      </c>
      <c r="AD5778">
        <v>-1.118967215891</v>
      </c>
      <c r="AE5778">
        <v>-4.5475599999999998</v>
      </c>
      <c r="AF5778">
        <v>-2.87490467241811</v>
      </c>
      <c r="AG5778">
        <v>-1.118967215891</v>
      </c>
      <c r="AH5778">
        <v>8.4095371215681496</v>
      </c>
      <c r="AI5778">
        <v>97.176081909340297</v>
      </c>
      <c r="AJ5778">
        <v>108.873630126962</v>
      </c>
      <c r="AK5778">
        <v>8.9575375580994994</v>
      </c>
      <c r="AL5778">
        <v>64.223888292046595</v>
      </c>
      <c r="AM5778">
        <v>109.560831830876</v>
      </c>
      <c r="AN5778">
        <v>1.00000001785438</v>
      </c>
    </row>
    <row r="5779" spans="1:40" x14ac:dyDescent="0.25">
      <c r="A5779" t="str">
        <f>"20190304165003318"</f>
        <v>20190304165003318</v>
      </c>
      <c r="B5779" t="str">
        <f>"1551689403311943"</f>
        <v>1551689403311943</v>
      </c>
      <c r="C5779" t="s">
        <v>40</v>
      </c>
      <c r="D5779">
        <v>4.3047040000000001</v>
      </c>
      <c r="E5779">
        <v>0.50336990000000004</v>
      </c>
      <c r="F5779" t="s">
        <v>49</v>
      </c>
      <c r="G5779">
        <v>-406.40859999999998</v>
      </c>
      <c r="H5779" s="1">
        <v>-4.0791100000000003E-6</v>
      </c>
      <c r="I5779">
        <v>25.101469999999999</v>
      </c>
      <c r="J5779">
        <v>-413.81810000000002</v>
      </c>
      <c r="K5779">
        <v>1.118976</v>
      </c>
      <c r="L5779">
        <v>29.51538</v>
      </c>
      <c r="M5779">
        <v>0.65815259999999998</v>
      </c>
      <c r="N5779">
        <v>-1.1332979999999999E-2</v>
      </c>
      <c r="O5779">
        <v>-0.75279929999999995</v>
      </c>
      <c r="P5779">
        <v>0.781744199999999</v>
      </c>
      <c r="Q5779">
        <v>0.43147370000000002</v>
      </c>
      <c r="R5779">
        <v>-0.4502294</v>
      </c>
      <c r="S5779">
        <v>3.0328059999999999</v>
      </c>
      <c r="T5779">
        <v>-0.45148060000000001</v>
      </c>
      <c r="U5779">
        <v>-1.8280940000000001</v>
      </c>
      <c r="V5779">
        <v>-0.30108359999999901</v>
      </c>
      <c r="W5779">
        <v>0.43510090000000001</v>
      </c>
      <c r="X5779">
        <v>0.84854929999999995</v>
      </c>
      <c r="Y5779">
        <v>-0.29913410000000001</v>
      </c>
      <c r="Z5779">
        <v>0.1008463</v>
      </c>
      <c r="AA5779">
        <v>0.94886709999999996</v>
      </c>
      <c r="AB5779">
        <v>31</v>
      </c>
      <c r="AC5779">
        <v>7.4095000000000297</v>
      </c>
      <c r="AD5779">
        <v>-1.11898007911</v>
      </c>
      <c r="AE5779">
        <v>-4.4139099999999898</v>
      </c>
      <c r="AF5779">
        <v>-2.6287609156346199</v>
      </c>
      <c r="AG5779">
        <v>-1.11898007911</v>
      </c>
      <c r="AH5779">
        <v>8.0641500968646707</v>
      </c>
      <c r="AI5779">
        <v>97.515471857570802</v>
      </c>
      <c r="AJ5779">
        <v>108.054992116363</v>
      </c>
      <c r="AK5779">
        <v>8.5552917632174097</v>
      </c>
      <c r="AL5779">
        <v>64.208286105201097</v>
      </c>
      <c r="AM5779">
        <v>109.53578303168101</v>
      </c>
      <c r="AN5779">
        <v>1.0000000209501201</v>
      </c>
    </row>
    <row r="5780" spans="1:40" x14ac:dyDescent="0.25">
      <c r="A5780" t="str">
        <f>"20190304165003329"</f>
        <v>20190304165003329</v>
      </c>
      <c r="B5780" t="str">
        <f>"1551689403321703"</f>
        <v>1551689403321703</v>
      </c>
      <c r="C5780" t="s">
        <v>40</v>
      </c>
      <c r="D5780">
        <v>4.3242330000000004</v>
      </c>
      <c r="E5780">
        <v>0.50377519999999998</v>
      </c>
      <c r="F5780" t="s">
        <v>49</v>
      </c>
      <c r="G5780">
        <v>-406.33580000000001</v>
      </c>
      <c r="H5780" s="1">
        <v>-4.1073309999999901E-6</v>
      </c>
      <c r="I5780">
        <v>25.054020000000001</v>
      </c>
      <c r="J5780">
        <v>-413.71710000000002</v>
      </c>
      <c r="K5780">
        <v>1.118987</v>
      </c>
      <c r="L5780">
        <v>29.40652</v>
      </c>
      <c r="M5780">
        <v>0.66180469999999902</v>
      </c>
      <c r="N5780">
        <v>-1.129615E-2</v>
      </c>
      <c r="O5780">
        <v>-0.74959119999999901</v>
      </c>
      <c r="P5780">
        <v>0.78396060000000001</v>
      </c>
      <c r="Q5780">
        <v>0.43115589999999998</v>
      </c>
      <c r="R5780">
        <v>-0.44666610000000001</v>
      </c>
      <c r="S5780">
        <v>3.0436100000000001</v>
      </c>
      <c r="T5780">
        <v>-0.45517020000000002</v>
      </c>
      <c r="U5780">
        <v>-1.8147580000000001</v>
      </c>
      <c r="V5780">
        <v>-0.30096410000000001</v>
      </c>
      <c r="W5780">
        <v>0.4347432</v>
      </c>
      <c r="X5780">
        <v>0.84877499999999995</v>
      </c>
      <c r="Y5780">
        <v>-0.2989735</v>
      </c>
      <c r="Z5780">
        <v>0.10136969999999999</v>
      </c>
      <c r="AA5780">
        <v>0.94886199999999998</v>
      </c>
      <c r="AB5780">
        <v>31</v>
      </c>
      <c r="AC5780">
        <v>7.3813000000000004</v>
      </c>
      <c r="AD5780">
        <v>-1.1189911073309999</v>
      </c>
      <c r="AE5780">
        <v>-4.3524999999999903</v>
      </c>
      <c r="AF5780">
        <v>-2.60814591202565</v>
      </c>
      <c r="AG5780">
        <v>-1.1189911073309999</v>
      </c>
      <c r="AH5780">
        <v>8.0114773712258902</v>
      </c>
      <c r="AI5780">
        <v>97.565333728618</v>
      </c>
      <c r="AJ5780">
        <v>108.032720268501</v>
      </c>
      <c r="AK5780">
        <v>8.4993138467976692</v>
      </c>
      <c r="AL5780">
        <v>64.231046130760902</v>
      </c>
      <c r="AM5780">
        <v>109.523815981993</v>
      </c>
      <c r="AN5780">
        <v>1.0000000200300201</v>
      </c>
    </row>
    <row r="5781" spans="1:40" x14ac:dyDescent="0.25">
      <c r="A5781" t="str">
        <f>"20190304165003340"</f>
        <v>20190304165003340</v>
      </c>
      <c r="B5781" t="str">
        <f>"1551689403331463"</f>
        <v>1551689403331463</v>
      </c>
      <c r="C5781" t="s">
        <v>40</v>
      </c>
      <c r="D5781">
        <v>4.3230820000000003</v>
      </c>
      <c r="E5781">
        <v>0.50416660000000002</v>
      </c>
      <c r="F5781" t="s">
        <v>49</v>
      </c>
      <c r="G5781">
        <v>-406.26170000000002</v>
      </c>
      <c r="H5781" s="1">
        <v>-4.1355009999999999E-6</v>
      </c>
      <c r="I5781">
        <v>25.003019999999999</v>
      </c>
      <c r="J5781">
        <v>-413.6182</v>
      </c>
      <c r="K5781">
        <v>1.1189960000000001</v>
      </c>
      <c r="L5781">
        <v>29.300840000000001</v>
      </c>
      <c r="M5781">
        <v>0.66535469999999997</v>
      </c>
      <c r="N5781">
        <v>-1.12581E-2</v>
      </c>
      <c r="O5781">
        <v>-0.74644259999999996</v>
      </c>
      <c r="P5781">
        <v>0.78610979999999997</v>
      </c>
      <c r="Q5781">
        <v>0.43076039999999999</v>
      </c>
      <c r="R5781">
        <v>-0.44325740000000002</v>
      </c>
      <c r="S5781">
        <v>3.051666</v>
      </c>
      <c r="T5781">
        <v>-0.45802999999999999</v>
      </c>
      <c r="U5781">
        <v>-1.80246</v>
      </c>
      <c r="V5781">
        <v>-0.30079240000000002</v>
      </c>
      <c r="W5781">
        <v>0.43430859999999899</v>
      </c>
      <c r="X5781">
        <v>0.84905830000000004</v>
      </c>
      <c r="Y5781">
        <v>-0.29832259999999999</v>
      </c>
      <c r="Z5781">
        <v>0.1017257</v>
      </c>
      <c r="AA5781">
        <v>0.94902869999999995</v>
      </c>
      <c r="AB5781">
        <v>31</v>
      </c>
      <c r="AC5781">
        <v>7.3564999999999801</v>
      </c>
      <c r="AD5781">
        <v>-1.119000135501</v>
      </c>
      <c r="AE5781">
        <v>-4.29781999999999</v>
      </c>
      <c r="AF5781">
        <v>-2.5871683295148999</v>
      </c>
      <c r="AG5781">
        <v>-1.119000135501</v>
      </c>
      <c r="AH5781">
        <v>7.9658600685578103</v>
      </c>
      <c r="AI5781">
        <v>97.609912850796306</v>
      </c>
      <c r="AJ5781">
        <v>107.992866043201</v>
      </c>
      <c r="AK5781">
        <v>8.4498833069066794</v>
      </c>
      <c r="AL5781">
        <v>64.258693159807194</v>
      </c>
      <c r="AM5781">
        <v>109.50750014400001</v>
      </c>
      <c r="AN5781">
        <v>1.0000000123652999</v>
      </c>
    </row>
    <row r="5782" spans="1:40" x14ac:dyDescent="0.25">
      <c r="A5782" t="str">
        <f>"20190304165003351"</f>
        <v>20190304165003351</v>
      </c>
      <c r="B5782" t="str">
        <f>"1551689403341223"</f>
        <v>1551689403341223</v>
      </c>
      <c r="C5782" t="s">
        <v>40</v>
      </c>
      <c r="D5782">
        <v>4.3061350000000003</v>
      </c>
      <c r="E5782">
        <v>0.50431130000000002</v>
      </c>
      <c r="F5782" t="s">
        <v>49</v>
      </c>
      <c r="G5782">
        <v>-406.19310000000002</v>
      </c>
      <c r="H5782" s="1">
        <v>-4.1609320000000003E-6</v>
      </c>
      <c r="I5782">
        <v>24.951830000000001</v>
      </c>
      <c r="J5782">
        <v>-413.50760000000002</v>
      </c>
      <c r="K5782">
        <v>1.1190089999999999</v>
      </c>
      <c r="L5782">
        <v>29.183689999999999</v>
      </c>
      <c r="M5782">
        <v>0.6692941</v>
      </c>
      <c r="N5782">
        <v>-1.1213280000000001E-2</v>
      </c>
      <c r="O5782">
        <v>-0.74291319999999905</v>
      </c>
      <c r="P5782">
        <v>0.78851179999999998</v>
      </c>
      <c r="Q5782">
        <v>0.43062210000000001</v>
      </c>
      <c r="R5782">
        <v>-0.43910569999999999</v>
      </c>
      <c r="S5782">
        <v>3.0586549999999999</v>
      </c>
      <c r="T5782">
        <v>-0.46095350000000002</v>
      </c>
      <c r="U5782">
        <v>-1.791504</v>
      </c>
      <c r="V5782">
        <v>-0.30085289999999998</v>
      </c>
      <c r="W5782">
        <v>0.43411699999999998</v>
      </c>
      <c r="X5782">
        <v>0.84913490000000003</v>
      </c>
      <c r="Y5782">
        <v>-0.29670039999999998</v>
      </c>
      <c r="Z5782">
        <v>0.1020156</v>
      </c>
      <c r="AA5782">
        <v>0.94950599999999996</v>
      </c>
      <c r="AB5782">
        <v>31</v>
      </c>
      <c r="AC5782">
        <v>7.3144999999999998</v>
      </c>
      <c r="AD5782">
        <v>-1.119013160932</v>
      </c>
      <c r="AE5782">
        <v>-4.2318600000000002</v>
      </c>
      <c r="AF5782">
        <v>-2.5570054698150502</v>
      </c>
      <c r="AG5782">
        <v>-1.119013160932</v>
      </c>
      <c r="AH5782">
        <v>7.9014084957972299</v>
      </c>
      <c r="AI5782">
        <v>97.673936764039198</v>
      </c>
      <c r="AJ5782">
        <v>107.932300811084</v>
      </c>
      <c r="AK5782">
        <v>8.3798999781894601</v>
      </c>
      <c r="AL5782">
        <v>64.270881075525494</v>
      </c>
      <c r="AM5782">
        <v>109.50950028918599</v>
      </c>
      <c r="AN5782">
        <v>1.0000000577627</v>
      </c>
    </row>
    <row r="5783" spans="1:40" x14ac:dyDescent="0.25">
      <c r="A5783" t="str">
        <f>"20190304165003364"</f>
        <v>20190304165003364</v>
      </c>
      <c r="B5783" t="str">
        <f>"1551689403361718"</f>
        <v>1551689403361718</v>
      </c>
      <c r="C5783" t="s">
        <v>40</v>
      </c>
      <c r="D5783">
        <v>4.2846780000000004</v>
      </c>
      <c r="E5783">
        <v>0.50448760000000004</v>
      </c>
      <c r="F5783" t="s">
        <v>49</v>
      </c>
      <c r="G5783">
        <v>-406.10329999999999</v>
      </c>
      <c r="H5783" s="1">
        <v>-4.1964000000000002E-6</v>
      </c>
      <c r="I5783">
        <v>24.89733</v>
      </c>
      <c r="J5783">
        <v>-413.39580000000001</v>
      </c>
      <c r="K5783">
        <v>1.1190150000000001</v>
      </c>
      <c r="L5783">
        <v>29.066960000000002</v>
      </c>
      <c r="M5783">
        <v>0.67323509999999998</v>
      </c>
      <c r="N5783">
        <v>-1.116442E-2</v>
      </c>
      <c r="O5783">
        <v>-0.73934440000000001</v>
      </c>
      <c r="P5783">
        <v>0.79086449999999997</v>
      </c>
      <c r="Q5783">
        <v>0.43028329999999998</v>
      </c>
      <c r="R5783">
        <v>-0.4351894</v>
      </c>
      <c r="S5783">
        <v>3.0686040000000001</v>
      </c>
      <c r="T5783">
        <v>-0.46376129999999999</v>
      </c>
      <c r="U5783">
        <v>-1.7764279999999999</v>
      </c>
      <c r="V5783">
        <v>-0.30069659999999998</v>
      </c>
      <c r="W5783">
        <v>0.43372909999999998</v>
      </c>
      <c r="X5783">
        <v>0.84938840000000004</v>
      </c>
      <c r="Y5783">
        <v>-0.29640050000000001</v>
      </c>
      <c r="Z5783">
        <v>0.1023206</v>
      </c>
      <c r="AA5783">
        <v>0.94956680000000004</v>
      </c>
      <c r="AB5783">
        <v>31</v>
      </c>
      <c r="AC5783">
        <v>7.2925000000000102</v>
      </c>
      <c r="AD5783">
        <v>-1.11901919639999</v>
      </c>
      <c r="AE5783">
        <v>-4.16962999999999</v>
      </c>
      <c r="AF5783">
        <v>-2.5396227463738601</v>
      </c>
      <c r="AG5783">
        <v>-1.11901919639999</v>
      </c>
      <c r="AH5783">
        <v>7.8534958642119603</v>
      </c>
      <c r="AI5783">
        <v>97.720766149481193</v>
      </c>
      <c r="AJ5783">
        <v>107.91990078686101</v>
      </c>
      <c r="AK5783">
        <v>8.3294228458522692</v>
      </c>
      <c r="AL5783">
        <v>64.295548359100906</v>
      </c>
      <c r="AM5783">
        <v>109.494748710732</v>
      </c>
      <c r="AN5783">
        <v>1.0000000157464599</v>
      </c>
    </row>
    <row r="5784" spans="1:40" x14ac:dyDescent="0.25">
      <c r="A5784" t="str">
        <f>"20190304165003376"</f>
        <v>20190304165003376</v>
      </c>
      <c r="B5784" t="str">
        <f>"1551689403371479"</f>
        <v>1551689403371479</v>
      </c>
      <c r="C5784" t="s">
        <v>40</v>
      </c>
      <c r="D5784">
        <v>4.3324780000000001</v>
      </c>
      <c r="E5784">
        <v>0.50472950000000005</v>
      </c>
      <c r="F5784" t="s">
        <v>49</v>
      </c>
      <c r="G5784">
        <v>-406.01459999999997</v>
      </c>
      <c r="H5784" s="1">
        <v>-4.2306980000000004E-6</v>
      </c>
      <c r="I5784">
        <v>24.838979999999999</v>
      </c>
      <c r="J5784">
        <v>-413.28289999999998</v>
      </c>
      <c r="K5784">
        <v>1.119019</v>
      </c>
      <c r="L5784">
        <v>28.949549999999999</v>
      </c>
      <c r="M5784">
        <v>0.67718990000000001</v>
      </c>
      <c r="N5784">
        <v>-1.1113420000000001E-2</v>
      </c>
      <c r="O5784">
        <v>-0.7357243</v>
      </c>
      <c r="P5784">
        <v>0.79302530000000004</v>
      </c>
      <c r="Q5784">
        <v>0.4304288</v>
      </c>
      <c r="R5784">
        <v>-0.43109409999999998</v>
      </c>
      <c r="S5784">
        <v>3.0771790000000001</v>
      </c>
      <c r="T5784">
        <v>-0.46650819999999998</v>
      </c>
      <c r="U5784">
        <v>-1.7626040000000001</v>
      </c>
      <c r="V5784">
        <v>-0.30049819999999999</v>
      </c>
      <c r="W5784">
        <v>0.43382150000000003</v>
      </c>
      <c r="X5784">
        <v>0.84941139999999904</v>
      </c>
      <c r="Y5784">
        <v>-0.29558430000000002</v>
      </c>
      <c r="Z5784">
        <v>0.10258920000000001</v>
      </c>
      <c r="AA5784">
        <v>0.94979230000000003</v>
      </c>
      <c r="AB5784">
        <v>31</v>
      </c>
      <c r="AC5784">
        <v>7.2683000000000098</v>
      </c>
      <c r="AD5784">
        <v>-1.1190232306979999</v>
      </c>
      <c r="AE5784">
        <v>-4.1105699999999903</v>
      </c>
      <c r="AF5784">
        <v>-2.5187518261176201</v>
      </c>
      <c r="AG5784">
        <v>-1.1190232306979999</v>
      </c>
      <c r="AH5784">
        <v>7.8065562516746798</v>
      </c>
      <c r="AI5784">
        <v>97.768288906909504</v>
      </c>
      <c r="AJ5784">
        <v>107.882072723321</v>
      </c>
      <c r="AK5784">
        <v>8.2788069347565791</v>
      </c>
      <c r="AL5784">
        <v>64.289672065884304</v>
      </c>
      <c r="AM5784">
        <v>109.482367355693</v>
      </c>
      <c r="AN5784">
        <v>0.99999999425772401</v>
      </c>
    </row>
    <row r="5785" spans="1:40" x14ac:dyDescent="0.25">
      <c r="A5785" t="str">
        <f>"20190304165003388"</f>
        <v>20190304165003388</v>
      </c>
      <c r="B5785" t="str">
        <f>"1551689403381240"</f>
        <v>1551689403381240</v>
      </c>
      <c r="C5785" t="s">
        <v>40</v>
      </c>
      <c r="D5785">
        <v>4.3778499999999996</v>
      </c>
      <c r="E5785">
        <v>0.50472950000000005</v>
      </c>
      <c r="F5785" t="s">
        <v>49</v>
      </c>
      <c r="G5785">
        <v>-405.9085</v>
      </c>
      <c r="H5785" s="1">
        <v>-4.2715060000000003E-6</v>
      </c>
      <c r="I5785">
        <v>24.76848</v>
      </c>
      <c r="J5785">
        <v>-413.16410000000002</v>
      </c>
      <c r="K5785">
        <v>1.119032</v>
      </c>
      <c r="L5785">
        <v>28.828189999999999</v>
      </c>
      <c r="M5785">
        <v>0.68130279999999999</v>
      </c>
      <c r="N5785">
        <v>-1.105396E-2</v>
      </c>
      <c r="O5785">
        <v>-0.73191850000000003</v>
      </c>
      <c r="P5785">
        <v>0.79525729999999994</v>
      </c>
      <c r="Q5785">
        <v>0.4303168</v>
      </c>
      <c r="R5785">
        <v>-0.42707590000000001</v>
      </c>
      <c r="S5785">
        <v>3.0860289999999999</v>
      </c>
      <c r="T5785">
        <v>-0.46828839999999999</v>
      </c>
      <c r="U5785">
        <v>-1.749695</v>
      </c>
      <c r="V5785">
        <v>-0.30009550000000002</v>
      </c>
      <c r="W5785">
        <v>0.43365559999999997</v>
      </c>
      <c r="X5785">
        <v>0.84963849999999996</v>
      </c>
      <c r="Y5785">
        <v>-0.29439110000000002</v>
      </c>
      <c r="Z5785">
        <v>0.1025717</v>
      </c>
      <c r="AA5785">
        <v>0.95016469999999997</v>
      </c>
      <c r="AB5785">
        <v>31</v>
      </c>
      <c r="AC5785">
        <v>7.25560000000001</v>
      </c>
      <c r="AD5785">
        <v>-1.119036271506</v>
      </c>
      <c r="AE5785">
        <v>-4.0597099999999999</v>
      </c>
      <c r="AF5785">
        <v>-2.4994912184704998</v>
      </c>
      <c r="AG5785">
        <v>-1.119036271506</v>
      </c>
      <c r="AH5785">
        <v>7.7742835038148996</v>
      </c>
      <c r="AI5785">
        <v>97.802789408829199</v>
      </c>
      <c r="AJ5785">
        <v>107.822992730149</v>
      </c>
      <c r="AK5785">
        <v>8.2425228253154099</v>
      </c>
      <c r="AL5785">
        <v>64.300222524637903</v>
      </c>
      <c r="AM5785">
        <v>109.453411368522</v>
      </c>
      <c r="AN5785">
        <v>1.00000003460692</v>
      </c>
    </row>
    <row r="5786" spans="1:40" x14ac:dyDescent="0.25">
      <c r="A5786" t="str">
        <f>"20190304165003401"</f>
        <v>20190304165003401</v>
      </c>
      <c r="B5786" t="str">
        <f>"1551689403391975"</f>
        <v>1551689403391975</v>
      </c>
      <c r="C5786" t="s">
        <v>40</v>
      </c>
      <c r="D5786">
        <v>4.3204269999999996</v>
      </c>
      <c r="E5786">
        <v>0.49216709999999902</v>
      </c>
      <c r="F5786" t="s">
        <v>49</v>
      </c>
      <c r="G5786">
        <v>-405.77519999999998</v>
      </c>
      <c r="H5786" s="1">
        <v>-4.3244359999999998E-6</v>
      </c>
      <c r="I5786">
        <v>24.688859999999998</v>
      </c>
      <c r="J5786">
        <v>-413.03730000000002</v>
      </c>
      <c r="K5786">
        <v>1.1190389999999999</v>
      </c>
      <c r="L5786">
        <v>28.699829999999999</v>
      </c>
      <c r="M5786">
        <v>0.68564789999999998</v>
      </c>
      <c r="N5786">
        <v>-1.098878E-2</v>
      </c>
      <c r="O5786">
        <v>-0.72785049999999996</v>
      </c>
      <c r="P5786">
        <v>0.79764659999999998</v>
      </c>
      <c r="Q5786">
        <v>0.43015389999999998</v>
      </c>
      <c r="R5786">
        <v>-0.42276190000000002</v>
      </c>
      <c r="S5786">
        <v>3.09491</v>
      </c>
      <c r="T5786">
        <v>-0.4687191</v>
      </c>
      <c r="U5786">
        <v>-1.733795</v>
      </c>
      <c r="V5786">
        <v>-0.29971809999999899</v>
      </c>
      <c r="W5786">
        <v>0.43343350000000003</v>
      </c>
      <c r="X5786">
        <v>0.849885</v>
      </c>
      <c r="Y5786">
        <v>-0.29359600000000002</v>
      </c>
      <c r="Z5786">
        <v>0.1022787</v>
      </c>
      <c r="AA5786">
        <v>0.95044229999999996</v>
      </c>
      <c r="AB5786">
        <v>31</v>
      </c>
      <c r="AC5786">
        <v>7.2621000000000304</v>
      </c>
      <c r="AD5786">
        <v>-1.1190433244360001</v>
      </c>
      <c r="AE5786">
        <v>-4.0109699999999897</v>
      </c>
      <c r="AF5786">
        <v>-2.49045024651085</v>
      </c>
      <c r="AG5786">
        <v>-1.1190433244360001</v>
      </c>
      <c r="AH5786">
        <v>7.7579539783445899</v>
      </c>
      <c r="AI5786">
        <v>97.820157981911805</v>
      </c>
      <c r="AJ5786">
        <v>107.79761456878001</v>
      </c>
      <c r="AK5786">
        <v>8.2243814553085599</v>
      </c>
      <c r="AL5786">
        <v>64.314343842863195</v>
      </c>
      <c r="AM5786">
        <v>109.42556730659599</v>
      </c>
      <c r="AN5786">
        <v>1.00000002580742</v>
      </c>
    </row>
    <row r="5787" spans="1:40" x14ac:dyDescent="0.25">
      <c r="A5787" t="str">
        <f>"20190304165003421"</f>
        <v>20190304165003421</v>
      </c>
      <c r="B5787" t="str">
        <f>"1551689403411494"</f>
        <v>1551689403411494</v>
      </c>
      <c r="C5787" t="s">
        <v>40</v>
      </c>
      <c r="D5787">
        <v>4.3357390000000002</v>
      </c>
      <c r="E5787">
        <v>0.4913265</v>
      </c>
      <c r="F5787" t="s">
        <v>49</v>
      </c>
      <c r="G5787">
        <v>-405.03820000000002</v>
      </c>
      <c r="H5787" s="1">
        <v>-4.6742589999999998E-6</v>
      </c>
      <c r="I5787">
        <v>24.57076</v>
      </c>
      <c r="J5787">
        <v>-412.8442</v>
      </c>
      <c r="K5787">
        <v>1.1190439999999999</v>
      </c>
      <c r="L5787">
        <v>28.50714</v>
      </c>
      <c r="M5787">
        <v>0.69218169999999901</v>
      </c>
      <c r="N5787">
        <v>-1.0885489999999999E-2</v>
      </c>
      <c r="O5787">
        <v>-0.72164139999999999</v>
      </c>
      <c r="P5787">
        <v>0.80069509999999999</v>
      </c>
      <c r="Q5787">
        <v>0.4300099</v>
      </c>
      <c r="R5787">
        <v>-0.41710779999999997</v>
      </c>
      <c r="S5787">
        <v>3.1391300000000002</v>
      </c>
      <c r="T5787">
        <v>-0.43915270000000001</v>
      </c>
      <c r="U5787">
        <v>-1.6203920000000001</v>
      </c>
      <c r="V5787">
        <v>-0.29814259999999998</v>
      </c>
      <c r="W5787">
        <v>0.4332203</v>
      </c>
      <c r="X5787">
        <v>0.85054759999999996</v>
      </c>
      <c r="Y5787">
        <v>-0.31799769999999999</v>
      </c>
      <c r="Z5787">
        <v>9.6618540000000003E-2</v>
      </c>
      <c r="AA5787">
        <v>0.94315550000000004</v>
      </c>
      <c r="AB5787">
        <v>31</v>
      </c>
      <c r="AC5787">
        <v>7.8059999999999796</v>
      </c>
      <c r="AD5787">
        <v>-1.119048674259</v>
      </c>
      <c r="AE5787">
        <v>-3.9363800000000002</v>
      </c>
      <c r="AF5787">
        <v>-2.8617256250829901</v>
      </c>
      <c r="AG5787">
        <v>-1.119048674259</v>
      </c>
      <c r="AH5787">
        <v>8.1114084442718095</v>
      </c>
      <c r="AI5787">
        <v>97.412572444472403</v>
      </c>
      <c r="AJ5787">
        <v>109.432971880186</v>
      </c>
      <c r="AK5787">
        <v>8.6739086021482503</v>
      </c>
      <c r="AL5787">
        <v>64.327898039193698</v>
      </c>
      <c r="AM5787">
        <v>109.317103528085</v>
      </c>
      <c r="AN5787">
        <v>1.0000000290663</v>
      </c>
    </row>
    <row r="5788" spans="1:40" x14ac:dyDescent="0.25">
      <c r="A5788" t="str">
        <f>"20190304165003433"</f>
        <v>20190304165003433</v>
      </c>
      <c r="B5788" t="str">
        <f>"1551689403421255"</f>
        <v>1551689403421255</v>
      </c>
      <c r="C5788" t="s">
        <v>40</v>
      </c>
      <c r="D5788">
        <v>4.3293819999999998</v>
      </c>
      <c r="E5788">
        <v>0.49128519999999998</v>
      </c>
      <c r="F5788" t="s">
        <v>49</v>
      </c>
      <c r="G5788">
        <v>-404.71620000000001</v>
      </c>
      <c r="H5788" s="1">
        <v>-4.7989480000000004E-6</v>
      </c>
      <c r="I5788">
        <v>24.411799999999999</v>
      </c>
      <c r="J5788">
        <v>-412.71469999999999</v>
      </c>
      <c r="K5788">
        <v>1.119048</v>
      </c>
      <c r="L5788">
        <v>28.379670000000001</v>
      </c>
      <c r="M5788">
        <v>0.69650529999999999</v>
      </c>
      <c r="N5788">
        <v>-1.0815160000000001E-2</v>
      </c>
      <c r="O5788">
        <v>-0.71747019999999995</v>
      </c>
      <c r="P5788">
        <v>0.80273989999999995</v>
      </c>
      <c r="Q5788">
        <v>0.43006480000000002</v>
      </c>
      <c r="R5788">
        <v>-0.41310170000000002</v>
      </c>
      <c r="S5788">
        <v>3.152374</v>
      </c>
      <c r="T5788">
        <v>-0.43401430000000002</v>
      </c>
      <c r="U5788">
        <v>-1.5883480000000001</v>
      </c>
      <c r="V5788">
        <v>-0.29727700000000001</v>
      </c>
      <c r="W5788">
        <v>0.43322250000000001</v>
      </c>
      <c r="X5788">
        <v>0.85084939999999998</v>
      </c>
      <c r="Y5788">
        <v>-0.32166460000000002</v>
      </c>
      <c r="Z5788">
        <v>9.5360319999999998E-2</v>
      </c>
      <c r="AA5788">
        <v>0.94203939999999997</v>
      </c>
      <c r="AB5788">
        <v>31</v>
      </c>
      <c r="AC5788">
        <v>7.9984999999999697</v>
      </c>
      <c r="AD5788">
        <v>-1.1190527989479999</v>
      </c>
      <c r="AE5788">
        <v>-3.96787</v>
      </c>
      <c r="AF5788">
        <v>-2.9292034796780002</v>
      </c>
      <c r="AG5788">
        <v>-1.1190527989479999</v>
      </c>
      <c r="AH5788">
        <v>8.2881243468758292</v>
      </c>
      <c r="AI5788">
        <v>97.254858213758894</v>
      </c>
      <c r="AJ5788">
        <v>109.46451637950901</v>
      </c>
      <c r="AK5788">
        <v>8.8614624854742292</v>
      </c>
      <c r="AL5788">
        <v>64.327758080792606</v>
      </c>
      <c r="AM5788">
        <v>109.25882773335699</v>
      </c>
      <c r="AN5788">
        <v>1.0000000253578001</v>
      </c>
    </row>
    <row r="5789" spans="1:40" x14ac:dyDescent="0.25">
      <c r="A5789" t="str">
        <f>"20190304165003445"</f>
        <v>20190304165003445</v>
      </c>
      <c r="B5789" t="str">
        <f>"1551689403441751"</f>
        <v>1551689403441751</v>
      </c>
      <c r="C5789" t="s">
        <v>40</v>
      </c>
      <c r="D5789">
        <v>4.3738440000000001</v>
      </c>
      <c r="E5789">
        <v>0.49135220000000002</v>
      </c>
      <c r="F5789" t="s">
        <v>49</v>
      </c>
      <c r="G5789">
        <v>-404.5428</v>
      </c>
      <c r="H5789" s="1">
        <v>-4.8633589999999901E-6</v>
      </c>
      <c r="I5789">
        <v>24.319839999999999</v>
      </c>
      <c r="J5789">
        <v>-412.60210000000001</v>
      </c>
      <c r="K5789">
        <v>1.119051</v>
      </c>
      <c r="L5789">
        <v>28.270479999999999</v>
      </c>
      <c r="M5789">
        <v>0.70022019999999996</v>
      </c>
      <c r="N5789">
        <v>-1.075369E-2</v>
      </c>
      <c r="O5789">
        <v>-0.71384599999999998</v>
      </c>
      <c r="P5789">
        <v>0.80442599999999997</v>
      </c>
      <c r="Q5789">
        <v>0.43008160000000001</v>
      </c>
      <c r="R5789">
        <v>-0.40979110000000002</v>
      </c>
      <c r="S5789">
        <v>3.1609500000000001</v>
      </c>
      <c r="T5789">
        <v>-0.43285879999999999</v>
      </c>
      <c r="U5789">
        <v>-1.5703739999999999</v>
      </c>
      <c r="V5789">
        <v>-0.29637069999999999</v>
      </c>
      <c r="W5789">
        <v>0.43319800000000003</v>
      </c>
      <c r="X5789">
        <v>0.85117790000000004</v>
      </c>
      <c r="Y5789">
        <v>-0.32211119999999999</v>
      </c>
      <c r="Z5789">
        <v>9.4841969999999998E-2</v>
      </c>
      <c r="AA5789">
        <v>0.94193919999999998</v>
      </c>
      <c r="AB5789">
        <v>31</v>
      </c>
      <c r="AC5789">
        <v>8.0593000000000004</v>
      </c>
      <c r="AD5789">
        <v>-1.119055863359</v>
      </c>
      <c r="AE5789">
        <v>-3.9506399999999999</v>
      </c>
      <c r="AF5789">
        <v>-2.9412328903891898</v>
      </c>
      <c r="AG5789">
        <v>-1.119055863359</v>
      </c>
      <c r="AH5789">
        <v>8.3343663326759501</v>
      </c>
      <c r="AI5789">
        <v>97.216210888398606</v>
      </c>
      <c r="AJ5789">
        <v>109.43815093014101</v>
      </c>
      <c r="AK5789">
        <v>8.9086923343478208</v>
      </c>
      <c r="AL5789">
        <v>64.329313713340994</v>
      </c>
      <c r="AM5789">
        <v>109.197550267273</v>
      </c>
      <c r="AN5789">
        <v>0.99999995823544896</v>
      </c>
    </row>
    <row r="5790" spans="1:40" x14ac:dyDescent="0.25">
      <c r="A5790" t="str">
        <f>"20190304165003463"</f>
        <v>20190304165003463</v>
      </c>
      <c r="B5790" t="str">
        <f>"1551689403451510"</f>
        <v>1551689403451510</v>
      </c>
      <c r="C5790" t="s">
        <v>40</v>
      </c>
      <c r="D5790">
        <v>4.3705369999999997</v>
      </c>
      <c r="E5790">
        <v>0.49151040000000001</v>
      </c>
      <c r="F5790" t="s">
        <v>49</v>
      </c>
      <c r="G5790">
        <v>-404.34379999999999</v>
      </c>
      <c r="H5790" s="1">
        <v>-4.9368760000000003E-6</v>
      </c>
      <c r="I5790">
        <v>24.212109999999999</v>
      </c>
      <c r="J5790">
        <v>-412.4246</v>
      </c>
      <c r="K5790">
        <v>1.119065</v>
      </c>
      <c r="L5790">
        <v>28.100190000000001</v>
      </c>
      <c r="M5790">
        <v>0.70600819999999997</v>
      </c>
      <c r="N5790">
        <v>-1.0655299999999999E-2</v>
      </c>
      <c r="O5790">
        <v>-0.70812339999999996</v>
      </c>
      <c r="P5790">
        <v>0.80705729999999998</v>
      </c>
      <c r="Q5790">
        <v>0.43007420000000002</v>
      </c>
      <c r="R5790">
        <v>-0.4045919</v>
      </c>
      <c r="S5790">
        <v>3.1661380000000001</v>
      </c>
      <c r="T5790">
        <v>-0.42903540000000001</v>
      </c>
      <c r="U5790">
        <v>-1.555939</v>
      </c>
      <c r="V5790">
        <v>-0.29495310000000002</v>
      </c>
      <c r="W5790">
        <v>0.43312450000000002</v>
      </c>
      <c r="X5790">
        <v>0.85170759999999901</v>
      </c>
      <c r="Y5790">
        <v>-0.31861699999999998</v>
      </c>
      <c r="Z5790">
        <v>9.3384220000000004E-2</v>
      </c>
      <c r="AA5790">
        <v>0.94327229999999995</v>
      </c>
      <c r="AB5790">
        <v>31</v>
      </c>
      <c r="AC5790">
        <v>8.0808</v>
      </c>
      <c r="AD5790">
        <v>-1.119069936876</v>
      </c>
      <c r="AE5790">
        <v>-3.88808</v>
      </c>
      <c r="AF5790">
        <v>-2.93170136053218</v>
      </c>
      <c r="AG5790">
        <v>-1.119069936876</v>
      </c>
      <c r="AH5790">
        <v>8.3291237129392695</v>
      </c>
      <c r="AI5790">
        <v>97.222860866692301</v>
      </c>
      <c r="AJ5790">
        <v>109.39114927435099</v>
      </c>
      <c r="AK5790">
        <v>8.9006456067193902</v>
      </c>
      <c r="AL5790">
        <v>64.333987178989403</v>
      </c>
      <c r="AM5790">
        <v>109.101375578483</v>
      </c>
      <c r="AN5790">
        <v>0.99999999979881005</v>
      </c>
    </row>
    <row r="5791" spans="1:40" x14ac:dyDescent="0.25">
      <c r="A5791" t="str">
        <f>"20190304165003474"</f>
        <v>20190304165003474</v>
      </c>
      <c r="B5791" t="str">
        <f>"1551689403461271"</f>
        <v>1551689403461271</v>
      </c>
      <c r="C5791" t="s">
        <v>40</v>
      </c>
      <c r="D5791">
        <v>4.3780799999999997</v>
      </c>
      <c r="E5791">
        <v>0.4917377</v>
      </c>
      <c r="F5791" t="s">
        <v>49</v>
      </c>
      <c r="G5791">
        <v>-404.13630000000001</v>
      </c>
      <c r="H5791" s="1">
        <v>-5.013074E-6</v>
      </c>
      <c r="I5791">
        <v>24.097100000000001</v>
      </c>
      <c r="J5791">
        <v>-412.30459999999999</v>
      </c>
      <c r="K5791">
        <v>1.1190709999999999</v>
      </c>
      <c r="L5791">
        <v>27.986180000000001</v>
      </c>
      <c r="M5791">
        <v>0.70988019999999996</v>
      </c>
      <c r="N5791">
        <v>-1.058741E-2</v>
      </c>
      <c r="O5791">
        <v>-0.70424310000000001</v>
      </c>
      <c r="P5791">
        <v>0.80896769999999996</v>
      </c>
      <c r="Q5791">
        <v>0.4301893</v>
      </c>
      <c r="R5791">
        <v>-0.40063559999999998</v>
      </c>
      <c r="S5791">
        <v>3.1766049999999999</v>
      </c>
      <c r="T5791">
        <v>-0.42889880000000002</v>
      </c>
      <c r="U5791">
        <v>-1.534241</v>
      </c>
      <c r="V5791">
        <v>-0.29442740000000001</v>
      </c>
      <c r="W5791">
        <v>0.43318250000000003</v>
      </c>
      <c r="X5791">
        <v>0.85185999999999995</v>
      </c>
      <c r="Y5791">
        <v>-0.31987840000000001</v>
      </c>
      <c r="Z5791">
        <v>9.3116370000000004E-2</v>
      </c>
      <c r="AA5791">
        <v>0.94287169999999998</v>
      </c>
      <c r="AB5791">
        <v>31</v>
      </c>
      <c r="AC5791">
        <v>8.1682999999999808</v>
      </c>
      <c r="AD5791">
        <v>-1.1190760130739901</v>
      </c>
      <c r="AE5791">
        <v>-3.8890799999999901</v>
      </c>
      <c r="AF5791">
        <v>-2.9467665766418598</v>
      </c>
      <c r="AG5791">
        <v>-1.1190760130739901</v>
      </c>
      <c r="AH5791">
        <v>8.4091799733648092</v>
      </c>
      <c r="AI5791">
        <v>97.158305760709396</v>
      </c>
      <c r="AJ5791">
        <v>109.31161334244599</v>
      </c>
      <c r="AK5791">
        <v>8.9805385253163301</v>
      </c>
      <c r="AL5791">
        <v>64.330300635642999</v>
      </c>
      <c r="AM5791">
        <v>109.06662665623701</v>
      </c>
      <c r="AN5791">
        <v>1.0000000158885001</v>
      </c>
    </row>
    <row r="5792" spans="1:40" x14ac:dyDescent="0.25">
      <c r="A5792" t="str">
        <f>"20190304165003486"</f>
        <v>20190304165003486</v>
      </c>
      <c r="B5792" t="str">
        <f>"1551689403481767"</f>
        <v>1551689403481767</v>
      </c>
      <c r="C5792" t="s">
        <v>40</v>
      </c>
      <c r="D5792">
        <v>4.3468609999999996</v>
      </c>
      <c r="E5792">
        <v>0.4921798</v>
      </c>
      <c r="F5792" t="s">
        <v>49</v>
      </c>
      <c r="G5792">
        <v>-403.97269999999997</v>
      </c>
      <c r="H5792" s="1">
        <v>-5.0735249999999998E-6</v>
      </c>
      <c r="I5792">
        <v>24.008369999999999</v>
      </c>
      <c r="J5792">
        <v>-412.18630000000002</v>
      </c>
      <c r="K5792">
        <v>1.1190709999999999</v>
      </c>
      <c r="L5792">
        <v>27.875820000000001</v>
      </c>
      <c r="M5792">
        <v>0.71364059999999996</v>
      </c>
      <c r="N5792">
        <v>-1.051935E-2</v>
      </c>
      <c r="O5792">
        <v>-0.70043330000000004</v>
      </c>
      <c r="P5792">
        <v>0.81089789999999995</v>
      </c>
      <c r="Q5792">
        <v>0.43035030000000002</v>
      </c>
      <c r="R5792">
        <v>-0.39653929999999998</v>
      </c>
      <c r="S5792">
        <v>3.1831969999999998</v>
      </c>
      <c r="T5792">
        <v>-0.427541</v>
      </c>
      <c r="U5792">
        <v>-1.519714</v>
      </c>
      <c r="V5792">
        <v>-0.29413339999999999</v>
      </c>
      <c r="W5792">
        <v>0.43328050000000001</v>
      </c>
      <c r="X5792">
        <v>0.85191170000000005</v>
      </c>
      <c r="Y5792">
        <v>-0.31912780000000002</v>
      </c>
      <c r="Z5792">
        <v>9.2479370000000005E-2</v>
      </c>
      <c r="AA5792">
        <v>0.94318869999999999</v>
      </c>
      <c r="AB5792">
        <v>31</v>
      </c>
      <c r="AC5792">
        <v>8.2136000000000404</v>
      </c>
      <c r="AD5792">
        <v>-1.1190760735249901</v>
      </c>
      <c r="AE5792">
        <v>-3.8674499999999901</v>
      </c>
      <c r="AF5792">
        <v>-2.9484742791783298</v>
      </c>
      <c r="AG5792">
        <v>-1.1190760735249901</v>
      </c>
      <c r="AH5792">
        <v>8.44264069059526</v>
      </c>
      <c r="AI5792">
        <v>97.132838523807195</v>
      </c>
      <c r="AJ5792">
        <v>109.25104137328201</v>
      </c>
      <c r="AK5792">
        <v>9.0124366108065992</v>
      </c>
      <c r="AL5792">
        <v>64.324070110672096</v>
      </c>
      <c r="AM5792">
        <v>109.047887888158</v>
      </c>
      <c r="AN5792">
        <v>0.99999999663634997</v>
      </c>
    </row>
    <row r="5793" spans="1:40" x14ac:dyDescent="0.25">
      <c r="A5793" t="str">
        <f>"20190304165003498"</f>
        <v>20190304165003498</v>
      </c>
      <c r="B5793" t="str">
        <f>"1551689403491526"</f>
        <v>1551689403491526</v>
      </c>
      <c r="C5793" t="s">
        <v>40</v>
      </c>
      <c r="D5793">
        <v>4.3515639999999998</v>
      </c>
      <c r="E5793">
        <v>0.49253079999999999</v>
      </c>
      <c r="F5793" t="s">
        <v>49</v>
      </c>
      <c r="G5793">
        <v>-403.88440000000003</v>
      </c>
      <c r="H5793" s="1">
        <v>-5.1047429999999997E-6</v>
      </c>
      <c r="I5793">
        <v>23.952739999999999</v>
      </c>
      <c r="J5793">
        <v>-412.07209999999998</v>
      </c>
      <c r="K5793">
        <v>1.119076</v>
      </c>
      <c r="L5793">
        <v>27.769739999999999</v>
      </c>
      <c r="M5793">
        <v>0.71724519999999903</v>
      </c>
      <c r="N5793">
        <v>-1.0453489999999999E-2</v>
      </c>
      <c r="O5793">
        <v>-0.69674239999999998</v>
      </c>
      <c r="P5793">
        <v>0.81271260000000001</v>
      </c>
      <c r="Q5793">
        <v>0.43054599999999998</v>
      </c>
      <c r="R5793">
        <v>-0.39259169999999999</v>
      </c>
      <c r="S5793">
        <v>3.1905519999999998</v>
      </c>
      <c r="T5793">
        <v>-0.43007459999999997</v>
      </c>
      <c r="U5793">
        <v>-1.50769</v>
      </c>
      <c r="V5793">
        <v>-0.29382580000000003</v>
      </c>
      <c r="W5793">
        <v>0.43341580000000002</v>
      </c>
      <c r="X5793">
        <v>0.85194899999999996</v>
      </c>
      <c r="Y5793">
        <v>-0.31794679999999997</v>
      </c>
      <c r="Z5793">
        <v>9.2664930000000006E-2</v>
      </c>
      <c r="AA5793">
        <v>0.94356930000000006</v>
      </c>
      <c r="AB5793">
        <v>32</v>
      </c>
      <c r="AC5793">
        <v>8.1876999999999498</v>
      </c>
      <c r="AD5793">
        <v>-1.119081104743</v>
      </c>
      <c r="AE5793">
        <v>-3.8170000000000002</v>
      </c>
      <c r="AF5793">
        <v>-2.9223097421928901</v>
      </c>
      <c r="AG5793">
        <v>-1.119081104743</v>
      </c>
      <c r="AH5793">
        <v>8.4035610502044698</v>
      </c>
      <c r="AI5793">
        <v>97.168979555705405</v>
      </c>
      <c r="AJ5793">
        <v>109.17494493258199</v>
      </c>
      <c r="AK5793">
        <v>8.9672780191550903</v>
      </c>
      <c r="AL5793">
        <v>64.315467841489493</v>
      </c>
      <c r="AM5793">
        <v>109.02862826124399</v>
      </c>
      <c r="AN5793">
        <v>0.99999997751813896</v>
      </c>
    </row>
    <row r="5794" spans="1:40" x14ac:dyDescent="0.25">
      <c r="A5794" t="str">
        <f>"20190304165003509"</f>
        <v>20190304165003509</v>
      </c>
      <c r="B5794" t="str">
        <f>"1551689403501288"</f>
        <v>1551689403501288</v>
      </c>
      <c r="C5794" t="s">
        <v>40</v>
      </c>
      <c r="D5794">
        <v>4.3942449999999997</v>
      </c>
      <c r="E5794">
        <v>0.49253079999999999</v>
      </c>
      <c r="F5794" t="s">
        <v>49</v>
      </c>
      <c r="G5794">
        <v>-403.75639999999999</v>
      </c>
      <c r="H5794" s="1">
        <v>-5.1516580000000003E-6</v>
      </c>
      <c r="I5794">
        <v>23.881499999999999</v>
      </c>
      <c r="J5794">
        <v>-411.94920000000002</v>
      </c>
      <c r="K5794">
        <v>1.119083</v>
      </c>
      <c r="L5794">
        <v>27.657229999999998</v>
      </c>
      <c r="M5794">
        <v>0.72107549999999998</v>
      </c>
      <c r="N5794">
        <v>-1.038295E-2</v>
      </c>
      <c r="O5794">
        <v>-0.69277860000000002</v>
      </c>
      <c r="P5794">
        <v>0.81472469999999997</v>
      </c>
      <c r="Q5794">
        <v>0.43077339999999997</v>
      </c>
      <c r="R5794">
        <v>-0.38814710000000002</v>
      </c>
      <c r="S5794">
        <v>3.197174</v>
      </c>
      <c r="T5794">
        <v>-0.4302589</v>
      </c>
      <c r="U5794">
        <v>-1.494934</v>
      </c>
      <c r="V5794">
        <v>-0.29372019999999999</v>
      </c>
      <c r="W5794">
        <v>0.4335736</v>
      </c>
      <c r="X5794">
        <v>0.85190519999999903</v>
      </c>
      <c r="Y5794">
        <v>-0.3165847</v>
      </c>
      <c r="Z5794">
        <v>9.2305979999999996E-2</v>
      </c>
      <c r="AA5794">
        <v>0.94406239999999997</v>
      </c>
      <c r="AB5794">
        <v>32</v>
      </c>
      <c r="AC5794">
        <v>8.1928000000000303</v>
      </c>
      <c r="AD5794">
        <v>-1.119088151658</v>
      </c>
      <c r="AE5794">
        <v>-3.7757299999999998</v>
      </c>
      <c r="AF5794">
        <v>-2.90860784733901</v>
      </c>
      <c r="AG5794">
        <v>-1.119088151658</v>
      </c>
      <c r="AH5794">
        <v>8.3946439905201196</v>
      </c>
      <c r="AI5794">
        <v>97.179338843389701</v>
      </c>
      <c r="AJ5794">
        <v>109.11037054395</v>
      </c>
      <c r="AK5794">
        <v>8.95446288888167</v>
      </c>
      <c r="AL5794">
        <v>64.305436761194898</v>
      </c>
      <c r="AM5794">
        <v>109.023188801351</v>
      </c>
      <c r="AN5794">
        <v>1.0000000461460099</v>
      </c>
    </row>
    <row r="5795" spans="1:40" x14ac:dyDescent="0.25">
      <c r="A5795" t="str">
        <f>"20190304165003520"</f>
        <v>20190304165003520</v>
      </c>
      <c r="B5795" t="str">
        <f>"1551689403511047"</f>
        <v>1551689403511047</v>
      </c>
      <c r="C5795" t="s">
        <v>40</v>
      </c>
      <c r="D5795">
        <v>4.3811519999999904</v>
      </c>
      <c r="E5795">
        <v>0.49742690000000001</v>
      </c>
      <c r="F5795" t="s">
        <v>49</v>
      </c>
      <c r="G5795">
        <v>-403.5958</v>
      </c>
      <c r="H5795" s="1">
        <v>-5.2129490000000004E-6</v>
      </c>
      <c r="I5795">
        <v>23.805440000000001</v>
      </c>
      <c r="J5795">
        <v>-411.83510000000001</v>
      </c>
      <c r="K5795">
        <v>1.1190960000000001</v>
      </c>
      <c r="L5795">
        <v>27.55368</v>
      </c>
      <c r="M5795">
        <v>0.72459830000000003</v>
      </c>
      <c r="N5795">
        <v>-1.0318819999999999E-2</v>
      </c>
      <c r="O5795">
        <v>-0.68909430000000005</v>
      </c>
      <c r="P5795">
        <v>0.81650819999999902</v>
      </c>
      <c r="Q5795">
        <v>0.43095739999999999</v>
      </c>
      <c r="R5795">
        <v>-0.38417469999999998</v>
      </c>
      <c r="S5795">
        <v>3.2051699999999999</v>
      </c>
      <c r="T5795">
        <v>-0.42938690000000002</v>
      </c>
      <c r="U5795">
        <v>-1.477905</v>
      </c>
      <c r="V5795">
        <v>-0.2934774</v>
      </c>
      <c r="W5795">
        <v>0.43369730000000001</v>
      </c>
      <c r="X5795">
        <v>0.85192579999999996</v>
      </c>
      <c r="Y5795">
        <v>-0.31682290000000002</v>
      </c>
      <c r="Z5795">
        <v>9.18244E-2</v>
      </c>
      <c r="AA5795">
        <v>0.94402940000000002</v>
      </c>
      <c r="AB5795">
        <v>32</v>
      </c>
      <c r="AC5795">
        <v>8.2393000000000107</v>
      </c>
      <c r="AD5795">
        <v>-1.1191012129489999</v>
      </c>
      <c r="AE5795">
        <v>-3.7482399999999898</v>
      </c>
      <c r="AF5795">
        <v>-2.9172534213397898</v>
      </c>
      <c r="AG5795">
        <v>-1.1191012129489999</v>
      </c>
      <c r="AH5795">
        <v>8.4247554892818304</v>
      </c>
      <c r="AI5795">
        <v>97.154492247636497</v>
      </c>
      <c r="AJ5795">
        <v>109.099515803681</v>
      </c>
      <c r="AK5795">
        <v>8.9855027740982294</v>
      </c>
      <c r="AL5795">
        <v>64.297568649904306</v>
      </c>
      <c r="AM5795">
        <v>109.00816604316501</v>
      </c>
      <c r="AN5795">
        <v>0.99999995052184298</v>
      </c>
    </row>
    <row r="5796" spans="1:40" x14ac:dyDescent="0.25">
      <c r="A5796" t="str">
        <f>"20190304165003531"</f>
        <v>20190304165003531</v>
      </c>
      <c r="B5796" t="str">
        <f>"1551689403521783"</f>
        <v>1551689403521783</v>
      </c>
      <c r="C5796" t="s">
        <v>40</v>
      </c>
      <c r="D5796">
        <v>4.3948219999999996</v>
      </c>
      <c r="E5796">
        <v>0.49711440000000001</v>
      </c>
      <c r="F5796" t="s">
        <v>49</v>
      </c>
      <c r="G5796">
        <v>-403.81920000000002</v>
      </c>
      <c r="H5796" s="1">
        <v>-5.1075309999999996E-6</v>
      </c>
      <c r="I5796">
        <v>23.79786</v>
      </c>
      <c r="J5796">
        <v>-411.71839999999997</v>
      </c>
      <c r="K5796">
        <v>1.1191</v>
      </c>
      <c r="L5796">
        <v>27.44876</v>
      </c>
      <c r="M5796">
        <v>0.7281647</v>
      </c>
      <c r="N5796">
        <v>-1.0254849999999999E-2</v>
      </c>
      <c r="O5796">
        <v>-0.68532569999999904</v>
      </c>
      <c r="P5796">
        <v>0.81816319999999998</v>
      </c>
      <c r="Q5796">
        <v>0.43120760000000002</v>
      </c>
      <c r="R5796">
        <v>-0.38035419999999998</v>
      </c>
      <c r="S5796">
        <v>3.2039490000000002</v>
      </c>
      <c r="T5796">
        <v>-0.4473009</v>
      </c>
      <c r="U5796">
        <v>-1.50119</v>
      </c>
      <c r="V5796">
        <v>-0.29296680000000003</v>
      </c>
      <c r="W5796">
        <v>0.43389369999999999</v>
      </c>
      <c r="X5796">
        <v>0.85200159999999903</v>
      </c>
      <c r="Y5796">
        <v>-0.30572779999999999</v>
      </c>
      <c r="Z5796">
        <v>9.4698649999999995E-2</v>
      </c>
      <c r="AA5796">
        <v>0.94739779999999996</v>
      </c>
      <c r="AB5796">
        <v>32</v>
      </c>
      <c r="AC5796">
        <v>7.8991999999999498</v>
      </c>
      <c r="AD5796">
        <v>-1.1191051075309999</v>
      </c>
      <c r="AE5796">
        <v>-3.6508999999999898</v>
      </c>
      <c r="AF5796">
        <v>-2.7103871714182199</v>
      </c>
      <c r="AG5796">
        <v>-1.1191051075309999</v>
      </c>
      <c r="AH5796">
        <v>8.1201130474468002</v>
      </c>
      <c r="AI5796">
        <v>97.447965707135197</v>
      </c>
      <c r="AJ5796">
        <v>108.45833314130699</v>
      </c>
      <c r="AK5796">
        <v>8.6333557070241298</v>
      </c>
      <c r="AL5796">
        <v>64.285081046244102</v>
      </c>
      <c r="AM5796">
        <v>108.975895570444</v>
      </c>
      <c r="AN5796">
        <v>1.0000000076022399</v>
      </c>
    </row>
    <row r="5797" spans="1:40" x14ac:dyDescent="0.25">
      <c r="A5797" t="str">
        <f>"20190304165003542"</f>
        <v>20190304165003542</v>
      </c>
      <c r="B5797" t="str">
        <f>"1551689403531544"</f>
        <v>1551689403531544</v>
      </c>
      <c r="C5797" t="s">
        <v>40</v>
      </c>
      <c r="D5797">
        <v>4.4011389999999997</v>
      </c>
      <c r="E5797">
        <v>0.49726979999999998</v>
      </c>
      <c r="F5797" t="s">
        <v>49</v>
      </c>
      <c r="G5797">
        <v>-403.60149999999999</v>
      </c>
      <c r="H5797" s="1">
        <v>-5.1919030000000001E-6</v>
      </c>
      <c r="I5797">
        <v>23.70223</v>
      </c>
      <c r="J5797">
        <v>-411.60320000000002</v>
      </c>
      <c r="K5797">
        <v>1.119105</v>
      </c>
      <c r="L5797">
        <v>27.346530000000001</v>
      </c>
      <c r="M5797">
        <v>0.73164419999999897</v>
      </c>
      <c r="N5797">
        <v>-1.0193600000000001E-2</v>
      </c>
      <c r="O5797">
        <v>-0.68161079999999996</v>
      </c>
      <c r="P5797">
        <v>0.82001959999999996</v>
      </c>
      <c r="Q5797">
        <v>0.43119200000000002</v>
      </c>
      <c r="R5797">
        <v>-0.3763534</v>
      </c>
      <c r="S5797">
        <v>3.2110289999999999</v>
      </c>
      <c r="T5797">
        <v>-0.4427142</v>
      </c>
      <c r="U5797">
        <v>-1.4821169999999999</v>
      </c>
      <c r="V5797">
        <v>-0.29281160000000001</v>
      </c>
      <c r="W5797">
        <v>0.43381839999999999</v>
      </c>
      <c r="X5797">
        <v>0.85209330000000005</v>
      </c>
      <c r="Y5797">
        <v>-0.3064499</v>
      </c>
      <c r="Z5797">
        <v>9.3446829999999995E-2</v>
      </c>
      <c r="AA5797">
        <v>0.94728880000000004</v>
      </c>
      <c r="AB5797">
        <v>32</v>
      </c>
      <c r="AC5797">
        <v>8.0017000000000191</v>
      </c>
      <c r="AD5797">
        <v>-1.119110191903</v>
      </c>
      <c r="AE5797">
        <v>-3.6442999999999901</v>
      </c>
      <c r="AF5797">
        <v>-2.74341454739942</v>
      </c>
      <c r="AG5797">
        <v>-1.119110191903</v>
      </c>
      <c r="AH5797">
        <v>8.2058860521400891</v>
      </c>
      <c r="AI5797">
        <v>97.369834719493198</v>
      </c>
      <c r="AJ5797">
        <v>108.485955110426</v>
      </c>
      <c r="AK5797">
        <v>8.7244081117982599</v>
      </c>
      <c r="AL5797">
        <v>64.289869759949895</v>
      </c>
      <c r="AM5797">
        <v>108.964666374684</v>
      </c>
      <c r="AN5797">
        <v>1.000000014589</v>
      </c>
    </row>
    <row r="5798" spans="1:40" x14ac:dyDescent="0.25">
      <c r="A5798" t="str">
        <f>"20190304165003553"</f>
        <v>20190304165003553</v>
      </c>
      <c r="B5798" t="str">
        <f>"1551689403541303"</f>
        <v>1551689403541303</v>
      </c>
      <c r="C5798" t="s">
        <v>40</v>
      </c>
      <c r="D5798">
        <v>4.3879070000000002</v>
      </c>
      <c r="E5798">
        <v>0.4975522</v>
      </c>
      <c r="F5798" t="s">
        <v>49</v>
      </c>
      <c r="G5798">
        <v>-403.43639999999999</v>
      </c>
      <c r="H5798" s="1">
        <v>-5.2555919999999999E-6</v>
      </c>
      <c r="I5798">
        <v>23.627960000000002</v>
      </c>
      <c r="J5798">
        <v>-411.48419999999999</v>
      </c>
      <c r="K5798">
        <v>1.1191139999999999</v>
      </c>
      <c r="L5798">
        <v>27.24146</v>
      </c>
      <c r="M5798">
        <v>0.73521009999999998</v>
      </c>
      <c r="N5798">
        <v>-1.013114E-2</v>
      </c>
      <c r="O5798">
        <v>-0.67776359999999902</v>
      </c>
      <c r="P5798">
        <v>0.82177040000000001</v>
      </c>
      <c r="Q5798">
        <v>0.43111329999999998</v>
      </c>
      <c r="R5798">
        <v>-0.37260589999999999</v>
      </c>
      <c r="S5798">
        <v>3.2178650000000002</v>
      </c>
      <c r="T5798">
        <v>-0.4409478</v>
      </c>
      <c r="U5798">
        <v>-1.465179</v>
      </c>
      <c r="V5798">
        <v>-0.29227049999999999</v>
      </c>
      <c r="W5798">
        <v>0.43368960000000001</v>
      </c>
      <c r="X5798">
        <v>0.85234460000000001</v>
      </c>
      <c r="Y5798">
        <v>-0.3064113</v>
      </c>
      <c r="Z5798">
        <v>9.2749970000000001E-2</v>
      </c>
      <c r="AA5798">
        <v>0.94736980000000004</v>
      </c>
      <c r="AB5798">
        <v>32</v>
      </c>
      <c r="AC5798">
        <v>8.0477999999999899</v>
      </c>
      <c r="AD5798">
        <v>-1.119119255592</v>
      </c>
      <c r="AE5798">
        <v>-3.6134999999999899</v>
      </c>
      <c r="AF5798">
        <v>-2.7536532610370501</v>
      </c>
      <c r="AG5798">
        <v>-1.119119255592</v>
      </c>
      <c r="AH5798">
        <v>8.2338447318090502</v>
      </c>
      <c r="AI5798">
        <v>97.344905864446403</v>
      </c>
      <c r="AJ5798">
        <v>108.491534759486</v>
      </c>
      <c r="AK5798">
        <v>8.7539267336319693</v>
      </c>
      <c r="AL5798">
        <v>64.298060068581805</v>
      </c>
      <c r="AM5798">
        <v>108.926934060734</v>
      </c>
      <c r="AN5798">
        <v>1.0000000157337801</v>
      </c>
    </row>
    <row r="5799" spans="1:40" x14ac:dyDescent="0.25">
      <c r="A5799" t="str">
        <f>"20190304165003565"</f>
        <v>20190304165003565</v>
      </c>
      <c r="B5799" t="str">
        <f>"1551689403561799"</f>
        <v>1551689403561799</v>
      </c>
      <c r="C5799" t="s">
        <v>40</v>
      </c>
      <c r="D5799">
        <v>4.5849209999999996</v>
      </c>
      <c r="E5799">
        <v>0.497222</v>
      </c>
      <c r="F5799" t="s">
        <v>49</v>
      </c>
      <c r="G5799">
        <v>-403.36770000000001</v>
      </c>
      <c r="H5799" s="1">
        <v>-5.2809630000000004E-6</v>
      </c>
      <c r="I5799">
        <v>23.59076</v>
      </c>
      <c r="J5799">
        <v>-411.36900000000003</v>
      </c>
      <c r="K5799">
        <v>1.11912099999999</v>
      </c>
      <c r="L5799">
        <v>27.141480000000001</v>
      </c>
      <c r="M5799">
        <v>0.73861519999999903</v>
      </c>
      <c r="N5799">
        <v>-1.00742E-2</v>
      </c>
      <c r="O5799">
        <v>-0.67405199999999998</v>
      </c>
      <c r="P5799">
        <v>0.82343409999999995</v>
      </c>
      <c r="Q5799">
        <v>0.4309327</v>
      </c>
      <c r="R5799">
        <v>-0.36912519999999999</v>
      </c>
      <c r="S5799">
        <v>3.2260740000000001</v>
      </c>
      <c r="T5799">
        <v>-0.4448183</v>
      </c>
      <c r="U5799">
        <v>-1.45105</v>
      </c>
      <c r="V5799">
        <v>-0.29165590000000002</v>
      </c>
      <c r="W5799">
        <v>0.43346519999999999</v>
      </c>
      <c r="X5799">
        <v>0.85266919999999902</v>
      </c>
      <c r="Y5799">
        <v>-0.30589529999999998</v>
      </c>
      <c r="Z5799">
        <v>9.3210650000000006E-2</v>
      </c>
      <c r="AA5799">
        <v>0.94749130000000004</v>
      </c>
      <c r="AB5799">
        <v>32</v>
      </c>
      <c r="AC5799">
        <v>8.0013000000000094</v>
      </c>
      <c r="AD5799">
        <v>-1.11912628096299</v>
      </c>
      <c r="AE5799">
        <v>-3.5507199999999899</v>
      </c>
      <c r="AF5799">
        <v>-2.7262581215723101</v>
      </c>
      <c r="AG5799">
        <v>-1.11912628096299</v>
      </c>
      <c r="AH5799">
        <v>8.1701372900934199</v>
      </c>
      <c r="AI5799">
        <v>97.403231445123595</v>
      </c>
      <c r="AJ5799">
        <v>108.453118000975</v>
      </c>
      <c r="AK5799">
        <v>8.6853940795542499</v>
      </c>
      <c r="AL5799">
        <v>64.312327798456295</v>
      </c>
      <c r="AM5799">
        <v>108.88327679723101</v>
      </c>
      <c r="AN5799">
        <v>1.0000000041222401</v>
      </c>
    </row>
    <row r="5800" spans="1:40" x14ac:dyDescent="0.25">
      <c r="A5800" t="str">
        <f>"20190304165003577"</f>
        <v>20190304165003577</v>
      </c>
      <c r="B5800" t="str">
        <f>"1551689403571558"</f>
        <v>1551689403571558</v>
      </c>
      <c r="C5800" t="s">
        <v>40</v>
      </c>
      <c r="D5800">
        <v>4.3831920000000002</v>
      </c>
      <c r="E5800">
        <v>0.49751699999999999</v>
      </c>
      <c r="F5800" t="s">
        <v>49</v>
      </c>
      <c r="G5800">
        <v>-403.30770000000001</v>
      </c>
      <c r="H5800" s="1">
        <v>-5.3050799999999997E-6</v>
      </c>
      <c r="I5800">
        <v>23.569109999999998</v>
      </c>
      <c r="J5800">
        <v>-411.23480000000001</v>
      </c>
      <c r="K5800">
        <v>1.119129</v>
      </c>
      <c r="L5800">
        <v>27.025539999999999</v>
      </c>
      <c r="M5800">
        <v>0.7425503</v>
      </c>
      <c r="N5800">
        <v>-1.000887E-2</v>
      </c>
      <c r="O5800">
        <v>-0.66971579999999997</v>
      </c>
      <c r="P5800">
        <v>0.82541069999999905</v>
      </c>
      <c r="Q5800">
        <v>0.43098959999999997</v>
      </c>
      <c r="R5800">
        <v>-0.36461700000000002</v>
      </c>
      <c r="S5800">
        <v>3.2355649999999998</v>
      </c>
      <c r="T5800">
        <v>-0.44918200000000003</v>
      </c>
      <c r="U5800">
        <v>-1.4338379999999999</v>
      </c>
      <c r="V5800">
        <v>-0.291323</v>
      </c>
      <c r="W5800">
        <v>0.43346220000000002</v>
      </c>
      <c r="X5800">
        <v>0.85278449999999995</v>
      </c>
      <c r="Y5800">
        <v>-0.30547829999999998</v>
      </c>
      <c r="Z5800">
        <v>9.3719899999999995E-2</v>
      </c>
      <c r="AA5800">
        <v>0.94757559999999996</v>
      </c>
      <c r="AB5800">
        <v>32</v>
      </c>
      <c r="AC5800">
        <v>7.9270999999999896</v>
      </c>
      <c r="AD5800">
        <v>-1.11913430507999</v>
      </c>
      <c r="AE5800">
        <v>-3.4564300000000001</v>
      </c>
      <c r="AF5800">
        <v>-2.6972953857327799</v>
      </c>
      <c r="AG5800">
        <v>-1.11913430507999</v>
      </c>
      <c r="AH5800">
        <v>8.06641475390553</v>
      </c>
      <c r="AI5800">
        <v>97.495843924319502</v>
      </c>
      <c r="AJ5800">
        <v>108.489208719912</v>
      </c>
      <c r="AK5800">
        <v>8.5787476342836406</v>
      </c>
      <c r="AL5800">
        <v>64.312518045017399</v>
      </c>
      <c r="AM5800">
        <v>108.860877900201</v>
      </c>
      <c r="AN5800">
        <v>0.99999998629904396</v>
      </c>
    </row>
    <row r="5801" spans="1:40" x14ac:dyDescent="0.25">
      <c r="A5801" t="str">
        <f>"20190304165003589"</f>
        <v>20190304165003589</v>
      </c>
      <c r="B5801" t="str">
        <f>"1551689403581319"</f>
        <v>1551689403581319</v>
      </c>
      <c r="C5801" t="s">
        <v>40</v>
      </c>
      <c r="D5801">
        <v>4.4017390000000001</v>
      </c>
      <c r="E5801">
        <v>0.4978339</v>
      </c>
      <c r="F5801" t="s">
        <v>49</v>
      </c>
      <c r="G5801">
        <v>-403.17970000000003</v>
      </c>
      <c r="H5801" s="1">
        <v>-5.3532739999999998E-6</v>
      </c>
      <c r="I5801">
        <v>23.504899999999999</v>
      </c>
      <c r="J5801">
        <v>-411.10700000000003</v>
      </c>
      <c r="K5801">
        <v>1.1191329999999999</v>
      </c>
      <c r="L5801">
        <v>26.916869999999999</v>
      </c>
      <c r="M5801">
        <v>0.74624569999999901</v>
      </c>
      <c r="N5801">
        <v>-9.9495090000000005E-3</v>
      </c>
      <c r="O5801">
        <v>-0.66559650000000004</v>
      </c>
      <c r="P5801">
        <v>0.82717980000000002</v>
      </c>
      <c r="Q5801">
        <v>0.43100909999999898</v>
      </c>
      <c r="R5801">
        <v>-0.3605621</v>
      </c>
      <c r="S5801">
        <v>3.2436219999999998</v>
      </c>
      <c r="T5801">
        <v>-0.45065319999999998</v>
      </c>
      <c r="U5801">
        <v>-1.417694</v>
      </c>
      <c r="V5801">
        <v>-0.29079700000000003</v>
      </c>
      <c r="W5801">
        <v>0.43343179999999998</v>
      </c>
      <c r="X5801">
        <v>0.8529795</v>
      </c>
      <c r="Y5801">
        <v>-0.30502299999999999</v>
      </c>
      <c r="Z5801">
        <v>9.3625379999999994E-2</v>
      </c>
      <c r="AA5801">
        <v>0.94773160000000001</v>
      </c>
      <c r="AB5801">
        <v>32</v>
      </c>
      <c r="AC5801">
        <v>7.9272999999999403</v>
      </c>
      <c r="AD5801">
        <v>-1.119138353274</v>
      </c>
      <c r="AE5801">
        <v>-3.41196999999999</v>
      </c>
      <c r="AF5801">
        <v>-2.6851972577080199</v>
      </c>
      <c r="AG5801">
        <v>-1.119138353274</v>
      </c>
      <c r="AH5801">
        <v>8.0517199328487994</v>
      </c>
      <c r="AI5801">
        <v>97.511385460615102</v>
      </c>
      <c r="AJ5801">
        <v>108.443213992596</v>
      </c>
      <c r="AK5801">
        <v>8.5611301148625394</v>
      </c>
      <c r="AL5801">
        <v>64.314451874342694</v>
      </c>
      <c r="AM5801">
        <v>108.825223577497</v>
      </c>
      <c r="AN5801">
        <v>1.00000002394024</v>
      </c>
    </row>
    <row r="5802" spans="1:40" x14ac:dyDescent="0.25">
      <c r="A5802" t="str">
        <f>"20190304165003602"</f>
        <v>20190304165003602</v>
      </c>
      <c r="B5802" t="str">
        <f>"1551689403591079"</f>
        <v>1551689403591079</v>
      </c>
      <c r="C5802" t="s">
        <v>40</v>
      </c>
      <c r="D5802">
        <v>4.4006439999999998</v>
      </c>
      <c r="E5802">
        <v>0.49813289999999999</v>
      </c>
      <c r="F5802" t="s">
        <v>49</v>
      </c>
      <c r="G5802">
        <v>-403.07380000000001</v>
      </c>
      <c r="H5802" s="1">
        <v>-5.3923229999999996E-6</v>
      </c>
      <c r="I5802">
        <v>23.44706</v>
      </c>
      <c r="J5802">
        <v>-410.9742</v>
      </c>
      <c r="K5802">
        <v>1.119143</v>
      </c>
      <c r="L5802">
        <v>26.805050000000001</v>
      </c>
      <c r="M5802">
        <v>0.75004499999999996</v>
      </c>
      <c r="N5802">
        <v>-9.8900250000000002E-3</v>
      </c>
      <c r="O5802">
        <v>-0.66131319999999905</v>
      </c>
      <c r="P5802">
        <v>0.82908099999999996</v>
      </c>
      <c r="Q5802">
        <v>0.43087599999999998</v>
      </c>
      <c r="R5802">
        <v>-0.35632979999999997</v>
      </c>
      <c r="S5802">
        <v>3.2507630000000001</v>
      </c>
      <c r="T5802">
        <v>-0.45287699999999997</v>
      </c>
      <c r="U5802">
        <v>-1.4041140000000001</v>
      </c>
      <c r="V5802">
        <v>-0.29033140000000002</v>
      </c>
      <c r="W5802">
        <v>0.43324699999999999</v>
      </c>
      <c r="X5802">
        <v>0.85323199999999999</v>
      </c>
      <c r="Y5802">
        <v>-0.30364259999999998</v>
      </c>
      <c r="Z5802">
        <v>9.3614379999999997E-2</v>
      </c>
      <c r="AA5802">
        <v>0.94817589999999996</v>
      </c>
      <c r="AB5802">
        <v>32</v>
      </c>
      <c r="AC5802">
        <v>7.9003999999999897</v>
      </c>
      <c r="AD5802">
        <v>-1.1191483923229999</v>
      </c>
      <c r="AE5802">
        <v>-3.35799</v>
      </c>
      <c r="AF5802">
        <v>-2.6609016281019402</v>
      </c>
      <c r="AG5802">
        <v>-1.1191483923229999</v>
      </c>
      <c r="AH5802">
        <v>8.0105854434210801</v>
      </c>
      <c r="AI5802">
        <v>97.5525328742049</v>
      </c>
      <c r="AJ5802">
        <v>108.375103235819</v>
      </c>
      <c r="AK5802">
        <v>8.5148323380337008</v>
      </c>
      <c r="AL5802">
        <v>64.326201680357599</v>
      </c>
      <c r="AM5802">
        <v>108.7920281685</v>
      </c>
      <c r="AN5802">
        <v>1.0000000653294701</v>
      </c>
    </row>
    <row r="5803" spans="1:40" x14ac:dyDescent="0.25">
      <c r="A5803" t="str">
        <f>"20190304165003614"</f>
        <v>20190304165003614</v>
      </c>
      <c r="B5803" t="str">
        <f>"1551689403611574"</f>
        <v>1551689403611574</v>
      </c>
      <c r="C5803" t="s">
        <v>40</v>
      </c>
      <c r="D5803">
        <v>4.4051989999999996</v>
      </c>
      <c r="E5803">
        <v>0.49892979999999998</v>
      </c>
      <c r="F5803" t="s">
        <v>49</v>
      </c>
      <c r="G5803">
        <v>-402.92910000000001</v>
      </c>
      <c r="H5803" s="1">
        <v>-5.446534E-6</v>
      </c>
      <c r="I5803">
        <v>23.37304</v>
      </c>
      <c r="J5803">
        <v>-410.83440000000002</v>
      </c>
      <c r="K5803">
        <v>1.119154</v>
      </c>
      <c r="L5803">
        <v>26.688389999999998</v>
      </c>
      <c r="M5803">
        <v>0.75400180000000006</v>
      </c>
      <c r="N5803">
        <v>-9.8294920000000004E-3</v>
      </c>
      <c r="O5803">
        <v>-0.65679909999999997</v>
      </c>
      <c r="P5803">
        <v>0.83104840000000002</v>
      </c>
      <c r="Q5803">
        <v>0.43087120000000001</v>
      </c>
      <c r="R5803">
        <v>-0.35172209999999998</v>
      </c>
      <c r="S5803">
        <v>3.2568049999999999</v>
      </c>
      <c r="T5803">
        <v>-0.45305279999999998</v>
      </c>
      <c r="U5803">
        <v>-1.389343</v>
      </c>
      <c r="V5803">
        <v>-0.28996470000000002</v>
      </c>
      <c r="W5803">
        <v>0.43318630000000002</v>
      </c>
      <c r="X5803">
        <v>0.85338740000000002</v>
      </c>
      <c r="Y5803">
        <v>-0.3022263</v>
      </c>
      <c r="Z5803">
        <v>9.317011E-2</v>
      </c>
      <c r="AA5803">
        <v>0.94867199999999996</v>
      </c>
      <c r="AB5803">
        <v>32</v>
      </c>
      <c r="AC5803">
        <v>7.9053000000000102</v>
      </c>
      <c r="AD5803">
        <v>-1.119159446534</v>
      </c>
      <c r="AE5803">
        <v>-3.31535</v>
      </c>
      <c r="AF5803">
        <v>-2.6474197558396502</v>
      </c>
      <c r="AG5803">
        <v>-1.119159446534</v>
      </c>
      <c r="AH5803">
        <v>8.0021289042397505</v>
      </c>
      <c r="AI5803">
        <v>97.563473406689496</v>
      </c>
      <c r="AJ5803">
        <v>108.306251567611</v>
      </c>
      <c r="AK5803">
        <v>8.5026711232674206</v>
      </c>
      <c r="AL5803">
        <v>64.330057975257603</v>
      </c>
      <c r="AM5803">
        <v>108.76677744064</v>
      </c>
      <c r="AN5803">
        <v>0.99999997611626901</v>
      </c>
    </row>
    <row r="5804" spans="1:40" x14ac:dyDescent="0.25">
      <c r="A5804" t="str">
        <f>"20190304165003632"</f>
        <v>20190304165003632</v>
      </c>
      <c r="B5804" t="str">
        <f>"1551689403621335"</f>
        <v>1551689403621335</v>
      </c>
      <c r="C5804" t="s">
        <v>40</v>
      </c>
      <c r="D5804">
        <v>4.4239709999999999</v>
      </c>
      <c r="E5804">
        <v>0.49922749999999999</v>
      </c>
      <c r="F5804" t="s">
        <v>49</v>
      </c>
      <c r="G5804">
        <v>-402.83460000000002</v>
      </c>
      <c r="H5804" s="1">
        <v>-5.4796709999999899E-6</v>
      </c>
      <c r="I5804">
        <v>23.311990000000002</v>
      </c>
      <c r="J5804">
        <v>-410.64519999999999</v>
      </c>
      <c r="K5804">
        <v>1.1191690000000001</v>
      </c>
      <c r="L5804">
        <v>26.533329999999999</v>
      </c>
      <c r="M5804">
        <v>0.75927040000000001</v>
      </c>
      <c r="N5804">
        <v>-9.7551210000000003E-3</v>
      </c>
      <c r="O5804">
        <v>-0.65070249999999996</v>
      </c>
      <c r="P5804">
        <v>0.83339839999999998</v>
      </c>
      <c r="Q5804">
        <v>0.43082019999999999</v>
      </c>
      <c r="R5804">
        <v>-0.34618159999999998</v>
      </c>
      <c r="S5804">
        <v>3.263611</v>
      </c>
      <c r="T5804">
        <v>-0.45657490000000001</v>
      </c>
      <c r="U5804">
        <v>-1.3774409999999999</v>
      </c>
      <c r="V5804">
        <v>-0.28880689999999998</v>
      </c>
      <c r="W5804">
        <v>0.43308239999999998</v>
      </c>
      <c r="X5804">
        <v>0.853832699999999</v>
      </c>
      <c r="Y5804">
        <v>-0.29816150000000002</v>
      </c>
      <c r="Z5804">
        <v>9.3086749999999996E-2</v>
      </c>
      <c r="AA5804">
        <v>0.94996550000000002</v>
      </c>
      <c r="AB5804">
        <v>32</v>
      </c>
      <c r="AC5804">
        <v>7.81059999999996</v>
      </c>
      <c r="AD5804">
        <v>-1.1191744796709999</v>
      </c>
      <c r="AE5804">
        <v>-3.2213400000000001</v>
      </c>
      <c r="AF5804">
        <v>-2.5911664092431899</v>
      </c>
      <c r="AG5804">
        <v>-1.1191744796709999</v>
      </c>
      <c r="AH5804">
        <v>7.8884525461904103</v>
      </c>
      <c r="AI5804">
        <v>97.676608527904605</v>
      </c>
      <c r="AJ5804">
        <v>108.184104579571</v>
      </c>
      <c r="AK5804">
        <v>8.3782085465709901</v>
      </c>
      <c r="AL5804">
        <v>64.336664323903094</v>
      </c>
      <c r="AM5804">
        <v>108.68798650958</v>
      </c>
      <c r="AN5804">
        <v>1.00000003513332</v>
      </c>
    </row>
    <row r="5805" spans="1:40" x14ac:dyDescent="0.25">
      <c r="A5805" t="str">
        <f>"20190304165003643"</f>
        <v>20190304165003643</v>
      </c>
      <c r="B5805" t="str">
        <f>"1551689403631095"</f>
        <v>1551689403631095</v>
      </c>
      <c r="C5805" t="s">
        <v>40</v>
      </c>
      <c r="D5805">
        <v>4.4185280000000002</v>
      </c>
      <c r="E5805">
        <v>0.49958399999999997</v>
      </c>
      <c r="F5805" t="s">
        <v>49</v>
      </c>
      <c r="G5805">
        <v>-402.63799999999998</v>
      </c>
      <c r="H5805" s="1">
        <v>-5.5542460000000001E-6</v>
      </c>
      <c r="I5805">
        <v>23.216480000000001</v>
      </c>
      <c r="J5805">
        <v>-410.51909999999998</v>
      </c>
      <c r="K5805">
        <v>1.1191799999999901</v>
      </c>
      <c r="L5805">
        <v>26.4314</v>
      </c>
      <c r="M5805">
        <v>0.76273239999999998</v>
      </c>
      <c r="N5805">
        <v>-9.7079990000000001E-3</v>
      </c>
      <c r="O5805">
        <v>-0.64664119999999903</v>
      </c>
      <c r="P5805">
        <v>0.83499719999999999</v>
      </c>
      <c r="Q5805">
        <v>0.43081330000000001</v>
      </c>
      <c r="R5805">
        <v>-0.34231489999999998</v>
      </c>
      <c r="S5805">
        <v>3.2730410000000001</v>
      </c>
      <c r="T5805">
        <v>-0.457478</v>
      </c>
      <c r="U5805">
        <v>-1.355804</v>
      </c>
      <c r="V5805">
        <v>-0.28822500000000001</v>
      </c>
      <c r="W5805">
        <v>0.43303770000000003</v>
      </c>
      <c r="X5805">
        <v>0.85405189999999997</v>
      </c>
      <c r="Y5805">
        <v>-0.29938999999999999</v>
      </c>
      <c r="Z5805">
        <v>9.2956999999999998E-2</v>
      </c>
      <c r="AA5805">
        <v>0.94959179999999999</v>
      </c>
      <c r="AB5805">
        <v>32</v>
      </c>
      <c r="AC5805">
        <v>7.8810999999999396</v>
      </c>
      <c r="AD5805">
        <v>-1.1191855542460001</v>
      </c>
      <c r="AE5805">
        <v>-3.2149200000000002</v>
      </c>
      <c r="AF5805">
        <v>-2.59930464428145</v>
      </c>
      <c r="AG5805">
        <v>-1.1191855542460001</v>
      </c>
      <c r="AH5805">
        <v>7.9529499955748397</v>
      </c>
      <c r="AI5805">
        <v>97.618814294920398</v>
      </c>
      <c r="AJ5805">
        <v>108.099218288209</v>
      </c>
      <c r="AK5805">
        <v>8.4414675602486309</v>
      </c>
      <c r="AL5805">
        <v>64.339504023680306</v>
      </c>
      <c r="AM5805">
        <v>108.648483799956</v>
      </c>
      <c r="AN5805">
        <v>0.999999974069949</v>
      </c>
    </row>
    <row r="5806" spans="1:40" x14ac:dyDescent="0.25">
      <c r="A5806" t="str">
        <f>"20190304165003654"</f>
        <v>20190304165003654</v>
      </c>
      <c r="B5806" t="str">
        <f>"1551689403651591"</f>
        <v>1551689403651591</v>
      </c>
      <c r="C5806" t="s">
        <v>40</v>
      </c>
      <c r="D5806">
        <v>4.4258920000000002</v>
      </c>
      <c r="E5806">
        <v>0.50022509999999998</v>
      </c>
      <c r="F5806" t="s">
        <v>49</v>
      </c>
      <c r="G5806">
        <v>-402.52960000000002</v>
      </c>
      <c r="H5806" s="1">
        <v>-5.594838E-6</v>
      </c>
      <c r="I5806">
        <v>23.160789999999999</v>
      </c>
      <c r="J5806">
        <v>-410.39060000000001</v>
      </c>
      <c r="K5806">
        <v>1.119189</v>
      </c>
      <c r="L5806">
        <v>26.328060000000001</v>
      </c>
      <c r="M5806">
        <v>0.76623229999999998</v>
      </c>
      <c r="N5806">
        <v>-9.6607689999999996E-3</v>
      </c>
      <c r="O5806">
        <v>-0.64249119999999904</v>
      </c>
      <c r="P5806">
        <v>0.83677009999999996</v>
      </c>
      <c r="Q5806">
        <v>0.43063940000000001</v>
      </c>
      <c r="R5806">
        <v>-0.33817979999999997</v>
      </c>
      <c r="S5806">
        <v>3.27948</v>
      </c>
      <c r="T5806">
        <v>-0.45939679999999999</v>
      </c>
      <c r="U5806">
        <v>-1.3424990000000001</v>
      </c>
      <c r="V5806">
        <v>-0.28788330000000001</v>
      </c>
      <c r="W5806">
        <v>0.43282019999999999</v>
      </c>
      <c r="X5806">
        <v>0.85427739999999996</v>
      </c>
      <c r="Y5806">
        <v>-0.29814930000000001</v>
      </c>
      <c r="Z5806">
        <v>9.2874940000000003E-2</v>
      </c>
      <c r="AA5806">
        <v>0.94999020000000001</v>
      </c>
      <c r="AB5806">
        <v>32</v>
      </c>
      <c r="AC5806">
        <v>7.86099999999999</v>
      </c>
      <c r="AD5806">
        <v>-1.119194594838</v>
      </c>
      <c r="AE5806">
        <v>-3.16726999999999</v>
      </c>
      <c r="AF5806">
        <v>-2.5789071095265399</v>
      </c>
      <c r="AG5806">
        <v>-1.119194594838</v>
      </c>
      <c r="AH5806">
        <v>7.9205433216698404</v>
      </c>
      <c r="AI5806">
        <v>97.652438857005805</v>
      </c>
      <c r="AJ5806">
        <v>108.035106808264</v>
      </c>
      <c r="AK5806">
        <v>8.4046632848157508</v>
      </c>
      <c r="AL5806">
        <v>64.353329228192806</v>
      </c>
      <c r="AM5806">
        <v>108.623323551509</v>
      </c>
      <c r="AN5806">
        <v>0.99999999804884498</v>
      </c>
    </row>
    <row r="5807" spans="1:40" x14ac:dyDescent="0.25">
      <c r="A5807" t="str">
        <f>"20190304165003666"</f>
        <v>20190304165003666</v>
      </c>
      <c r="B5807" t="str">
        <f>"1551689403661351"</f>
        <v>1551689403661351</v>
      </c>
      <c r="C5807" t="s">
        <v>40</v>
      </c>
      <c r="D5807">
        <v>4.4195510000000002</v>
      </c>
      <c r="E5807">
        <v>0.50047759999999997</v>
      </c>
      <c r="F5807" t="s">
        <v>49</v>
      </c>
      <c r="G5807">
        <v>-402.46260000000001</v>
      </c>
      <c r="H5807" s="1">
        <v>-5.6182730000000004E-6</v>
      </c>
      <c r="I5807">
        <v>23.117039999999999</v>
      </c>
      <c r="J5807">
        <v>-410.27080000000001</v>
      </c>
      <c r="K5807">
        <v>1.1192</v>
      </c>
      <c r="L5807">
        <v>26.23358</v>
      </c>
      <c r="M5807">
        <v>0.76944760000000001</v>
      </c>
      <c r="N5807">
        <v>-9.6200009999999996E-3</v>
      </c>
      <c r="O5807">
        <v>-0.63863769999999997</v>
      </c>
      <c r="P5807">
        <v>0.83838590000000002</v>
      </c>
      <c r="Q5807">
        <v>0.4303457</v>
      </c>
      <c r="R5807">
        <v>-0.33453249999999901</v>
      </c>
      <c r="S5807">
        <v>3.2860719999999999</v>
      </c>
      <c r="T5807">
        <v>-0.46389399999999997</v>
      </c>
      <c r="U5807">
        <v>-1.3309329999999999</v>
      </c>
      <c r="V5807">
        <v>-0.28742040000000002</v>
      </c>
      <c r="W5807">
        <v>0.43249300000000002</v>
      </c>
      <c r="X5807">
        <v>0.85459889999999905</v>
      </c>
      <c r="Y5807">
        <v>-0.29681079999999999</v>
      </c>
      <c r="Z5807">
        <v>9.3325530000000004E-2</v>
      </c>
      <c r="AA5807">
        <v>0.95036500000000002</v>
      </c>
      <c r="AB5807">
        <v>32</v>
      </c>
      <c r="AC5807">
        <v>7.8081999999999896</v>
      </c>
      <c r="AD5807">
        <v>-1.1192056182729999</v>
      </c>
      <c r="AE5807">
        <v>-3.1165400000000001</v>
      </c>
      <c r="AF5807">
        <v>-2.54363719920191</v>
      </c>
      <c r="AG5807">
        <v>-1.1192056182729999</v>
      </c>
      <c r="AH5807">
        <v>7.8594232829262598</v>
      </c>
      <c r="AI5807">
        <v>97.715687405049195</v>
      </c>
      <c r="AJ5807">
        <v>107.93374417686201</v>
      </c>
      <c r="AK5807">
        <v>8.3362608978690798</v>
      </c>
      <c r="AL5807">
        <v>64.374122933264204</v>
      </c>
      <c r="AM5807">
        <v>108.588923907634</v>
      </c>
      <c r="AN5807">
        <v>0.99999998063318396</v>
      </c>
    </row>
    <row r="5808" spans="1:40" x14ac:dyDescent="0.25">
      <c r="A5808" t="str">
        <f>"20190304165003677"</f>
        <v>20190304165003677</v>
      </c>
      <c r="B5808" t="str">
        <f>"1551689403671111"</f>
        <v>1551689403671111</v>
      </c>
      <c r="C5808" t="s">
        <v>40</v>
      </c>
      <c r="D5808">
        <v>4.403575</v>
      </c>
      <c r="E5808">
        <v>0.50075829999999999</v>
      </c>
      <c r="F5808" t="s">
        <v>49</v>
      </c>
      <c r="G5808">
        <v>-402.36680000000001</v>
      </c>
      <c r="H5808" s="1">
        <v>-5.6546379999999998E-6</v>
      </c>
      <c r="I5808">
        <v>23.070620000000002</v>
      </c>
      <c r="J5808">
        <v>-410.13929999999999</v>
      </c>
      <c r="K5808">
        <v>1.1192120000000001</v>
      </c>
      <c r="L5808">
        <v>26.13025</v>
      </c>
      <c r="M5808">
        <v>0.77294839999999998</v>
      </c>
      <c r="N5808">
        <v>-9.5756769999999995E-3</v>
      </c>
      <c r="O5808">
        <v>-0.63439669999999904</v>
      </c>
      <c r="P5808">
        <v>0.84020139999999999</v>
      </c>
      <c r="Q5808">
        <v>0.43006260000000002</v>
      </c>
      <c r="R5808">
        <v>-0.33031440000000001</v>
      </c>
      <c r="S5808">
        <v>3.2919010000000002</v>
      </c>
      <c r="T5808">
        <v>-0.46613100000000002</v>
      </c>
      <c r="U5808">
        <v>-1.3173220000000001</v>
      </c>
      <c r="V5808">
        <v>-0.2871187</v>
      </c>
      <c r="W5808">
        <v>0.43216840000000001</v>
      </c>
      <c r="X5808">
        <v>0.85486450000000003</v>
      </c>
      <c r="Y5808">
        <v>-0.29550279999999901</v>
      </c>
      <c r="Z5808">
        <v>9.329527E-2</v>
      </c>
      <c r="AA5808">
        <v>0.9507755</v>
      </c>
      <c r="AB5808">
        <v>32</v>
      </c>
      <c r="AC5808">
        <v>7.7724999999999698</v>
      </c>
      <c r="AD5808">
        <v>-1.1192176546379999</v>
      </c>
      <c r="AE5808">
        <v>-3.0596299999999901</v>
      </c>
      <c r="AF5808">
        <v>-2.52077388073688</v>
      </c>
      <c r="AG5808">
        <v>-1.1192176546379999</v>
      </c>
      <c r="AH5808">
        <v>7.8089296455622099</v>
      </c>
      <c r="AI5808">
        <v>97.766928733410893</v>
      </c>
      <c r="AJ5808">
        <v>107.89042090417</v>
      </c>
      <c r="AK5808">
        <v>8.2816865024944608</v>
      </c>
      <c r="AL5808">
        <v>64.394748662267304</v>
      </c>
      <c r="AM5808">
        <v>108.565375953622</v>
      </c>
      <c r="AN5808">
        <v>0.99999999360424996</v>
      </c>
    </row>
    <row r="5809" spans="1:40" x14ac:dyDescent="0.25">
      <c r="A5809" t="str">
        <f>"20190304165003689"</f>
        <v>20190304165003689</v>
      </c>
      <c r="B5809" t="str">
        <f>"1551689403681847"</f>
        <v>1551689403681847</v>
      </c>
      <c r="C5809" t="s">
        <v>40</v>
      </c>
      <c r="D5809">
        <v>4.4382060000000001</v>
      </c>
      <c r="E5809">
        <v>0.50105880000000003</v>
      </c>
      <c r="F5809" t="s">
        <v>49</v>
      </c>
      <c r="G5809">
        <v>-402.2534</v>
      </c>
      <c r="H5809" s="1">
        <v>-5.6983110000000002E-6</v>
      </c>
      <c r="I5809">
        <v>23.01942</v>
      </c>
      <c r="J5809">
        <v>-410.00110000000001</v>
      </c>
      <c r="K5809">
        <v>1.119227</v>
      </c>
      <c r="L5809">
        <v>26.02328</v>
      </c>
      <c r="M5809">
        <v>0.7765803</v>
      </c>
      <c r="N5809">
        <v>-9.5312890000000001E-3</v>
      </c>
      <c r="O5809">
        <v>-0.62994609999999995</v>
      </c>
      <c r="P5809">
        <v>0.84197389999999905</v>
      </c>
      <c r="Q5809">
        <v>0.42998540000000002</v>
      </c>
      <c r="R5809">
        <v>-0.32587240000000001</v>
      </c>
      <c r="S5809">
        <v>3.2986149999999999</v>
      </c>
      <c r="T5809">
        <v>-0.46816160000000001</v>
      </c>
      <c r="U5809">
        <v>-1.301239</v>
      </c>
      <c r="V5809">
        <v>-0.2867634</v>
      </c>
      <c r="W5809">
        <v>0.43204920000000002</v>
      </c>
      <c r="X5809">
        <v>0.85504400000000003</v>
      </c>
      <c r="Y5809">
        <v>-0.29466750000000003</v>
      </c>
      <c r="Z5809">
        <v>9.3221689999999996E-2</v>
      </c>
      <c r="AA5809">
        <v>0.9510419</v>
      </c>
      <c r="AB5809">
        <v>32</v>
      </c>
      <c r="AC5809">
        <v>7.7477</v>
      </c>
      <c r="AD5809">
        <v>-1.1192326983109999</v>
      </c>
      <c r="AE5809">
        <v>-3.0038599999999902</v>
      </c>
      <c r="AF5809">
        <v>-2.50260929611692</v>
      </c>
      <c r="AG5809">
        <v>-1.1192326983109999</v>
      </c>
      <c r="AH5809">
        <v>7.7684089665323004</v>
      </c>
      <c r="AI5809">
        <v>97.808521259412103</v>
      </c>
      <c r="AJ5809">
        <v>107.856454425088</v>
      </c>
      <c r="AK5809">
        <v>8.2379556319076492</v>
      </c>
      <c r="AL5809">
        <v>64.402322028559098</v>
      </c>
      <c r="AM5809">
        <v>108.540347071198</v>
      </c>
      <c r="AN5809">
        <v>1.0000000003681</v>
      </c>
    </row>
    <row r="5810" spans="1:40" x14ac:dyDescent="0.25">
      <c r="A5810" t="str">
        <f>"20190304165003700"</f>
        <v>20190304165003700</v>
      </c>
      <c r="B5810" t="str">
        <f>"1551689403691606"</f>
        <v>1551689403691606</v>
      </c>
      <c r="C5810" t="s">
        <v>40</v>
      </c>
      <c r="D5810">
        <v>4.4303160000000004</v>
      </c>
      <c r="E5810">
        <v>0.50130010000000003</v>
      </c>
      <c r="F5810" t="s">
        <v>49</v>
      </c>
      <c r="G5810">
        <v>-402.11720000000003</v>
      </c>
      <c r="H5810" s="1">
        <v>-5.7507470000000001E-6</v>
      </c>
      <c r="I5810">
        <v>22.95749</v>
      </c>
      <c r="J5810">
        <v>-409.88139999999999</v>
      </c>
      <c r="K5810">
        <v>1.1192390000000001</v>
      </c>
      <c r="L5810">
        <v>25.931550000000001</v>
      </c>
      <c r="M5810">
        <v>0.77969279999999996</v>
      </c>
      <c r="N5810">
        <v>-9.4940370000000003E-3</v>
      </c>
      <c r="O5810">
        <v>-0.62609040000000005</v>
      </c>
      <c r="P5810">
        <v>0.84372159999999996</v>
      </c>
      <c r="Q5810">
        <v>0.42957970000000001</v>
      </c>
      <c r="R5810">
        <v>-0.32186229999999999</v>
      </c>
      <c r="S5810">
        <v>3.305237</v>
      </c>
      <c r="T5810">
        <v>-0.46922900000000001</v>
      </c>
      <c r="U5810">
        <v>-1.285309</v>
      </c>
      <c r="V5810">
        <v>-0.28673090000000001</v>
      </c>
      <c r="W5810">
        <v>0.43160369999999998</v>
      </c>
      <c r="X5810">
        <v>0.85527989999999998</v>
      </c>
      <c r="Y5810">
        <v>-0.29455679999999901</v>
      </c>
      <c r="Z5810">
        <v>9.3042949999999999E-2</v>
      </c>
      <c r="AA5810">
        <v>0.95109370000000004</v>
      </c>
      <c r="AB5810">
        <v>32</v>
      </c>
      <c r="AC5810">
        <v>7.7641999999999598</v>
      </c>
      <c r="AD5810">
        <v>-1.11924475074699</v>
      </c>
      <c r="AE5810">
        <v>-2.9740600000000001</v>
      </c>
      <c r="AF5810">
        <v>-2.4971007307827402</v>
      </c>
      <c r="AG5810">
        <v>-1.11924475074699</v>
      </c>
      <c r="AH5810">
        <v>7.7751784005171496</v>
      </c>
      <c r="AI5810">
        <v>97.804111276350696</v>
      </c>
      <c r="AJ5810">
        <v>107.80510400373799</v>
      </c>
      <c r="AK5810">
        <v>8.2426706856224001</v>
      </c>
      <c r="AL5810">
        <v>64.430622864613099</v>
      </c>
      <c r="AM5810">
        <v>108.533625583907</v>
      </c>
      <c r="AN5810">
        <v>1.0000000351062499</v>
      </c>
    </row>
    <row r="5811" spans="1:40" x14ac:dyDescent="0.25">
      <c r="A5811" t="str">
        <f>"20190304165003721"</f>
        <v>20190304165003721</v>
      </c>
      <c r="B5811" t="str">
        <f>"1551689403711128"</f>
        <v>1551689403711128</v>
      </c>
      <c r="C5811" t="s">
        <v>40</v>
      </c>
      <c r="D5811">
        <v>4.3719580000000002</v>
      </c>
      <c r="E5811">
        <v>0.50142949999999997</v>
      </c>
      <c r="F5811" t="s">
        <v>49</v>
      </c>
      <c r="G5811">
        <v>-402.03</v>
      </c>
      <c r="H5811" s="1">
        <v>-5.7847540000000001E-6</v>
      </c>
      <c r="I5811">
        <v>22.920269999999999</v>
      </c>
      <c r="J5811">
        <v>-409.63729999999998</v>
      </c>
      <c r="K5811">
        <v>1.1192629999999999</v>
      </c>
      <c r="L5811">
        <v>25.747340000000001</v>
      </c>
      <c r="M5811">
        <v>0.78594189999999997</v>
      </c>
      <c r="N5811">
        <v>-9.422794E-3</v>
      </c>
      <c r="O5811">
        <v>-0.61822869999999996</v>
      </c>
      <c r="P5811">
        <v>0.84683180000000002</v>
      </c>
      <c r="Q5811">
        <v>0.42946519999999999</v>
      </c>
      <c r="R5811">
        <v>-0.31374479999999999</v>
      </c>
      <c r="S5811">
        <v>3.3115230000000002</v>
      </c>
      <c r="T5811">
        <v>-0.47206870000000001</v>
      </c>
      <c r="U5811">
        <v>-1.270081</v>
      </c>
      <c r="V5811">
        <v>-0.28641990000000001</v>
      </c>
      <c r="W5811">
        <v>0.43141449999999998</v>
      </c>
      <c r="X5811">
        <v>0.85547949999999995</v>
      </c>
      <c r="Y5811">
        <v>-0.28938580000000003</v>
      </c>
      <c r="Z5811">
        <v>9.2515879999999995E-2</v>
      </c>
      <c r="AA5811">
        <v>0.95273110000000005</v>
      </c>
      <c r="AB5811">
        <v>32</v>
      </c>
      <c r="AC5811">
        <v>7.6073000000000004</v>
      </c>
      <c r="AD5811">
        <v>-1.1192687847539999</v>
      </c>
      <c r="AE5811">
        <v>-2.8270699999999902</v>
      </c>
      <c r="AF5811">
        <v>-2.4349343482233499</v>
      </c>
      <c r="AG5811">
        <v>-1.1192687847539999</v>
      </c>
      <c r="AH5811">
        <v>7.58278456879522</v>
      </c>
      <c r="AI5811">
        <v>97.999872245042496</v>
      </c>
      <c r="AJ5811">
        <v>107.80252460385699</v>
      </c>
      <c r="AK5811">
        <v>8.0424057165403902</v>
      </c>
      <c r="AL5811">
        <v>64.442638661182798</v>
      </c>
      <c r="AM5811">
        <v>108.51086895234501</v>
      </c>
      <c r="AN5811">
        <v>1.00000000242325</v>
      </c>
    </row>
    <row r="5812" spans="1:40" x14ac:dyDescent="0.25">
      <c r="A5812" t="str">
        <f>"20190304165003734"</f>
        <v>20190304165003734</v>
      </c>
      <c r="B5812" t="str">
        <f>"1551689403731623"</f>
        <v>1551689403731623</v>
      </c>
      <c r="C5812" t="s">
        <v>40</v>
      </c>
      <c r="D5812">
        <v>4.4544249999999996</v>
      </c>
      <c r="E5812">
        <v>0.50915140000000003</v>
      </c>
      <c r="F5812" t="s">
        <v>49</v>
      </c>
      <c r="G5812">
        <v>-401.77780000000001</v>
      </c>
      <c r="H5812" s="1">
        <v>-5.8846569999999996E-6</v>
      </c>
      <c r="I5812">
        <v>22.821429999999999</v>
      </c>
      <c r="J5812">
        <v>-409.49540000000002</v>
      </c>
      <c r="K5812">
        <v>1.1192759999999999</v>
      </c>
      <c r="L5812">
        <v>25.641660000000002</v>
      </c>
      <c r="M5812">
        <v>0.78951930000000003</v>
      </c>
      <c r="N5812">
        <v>-9.3840880000000005E-3</v>
      </c>
      <c r="O5812">
        <v>-0.61365400000000003</v>
      </c>
      <c r="P5812">
        <v>0.84849859999999899</v>
      </c>
      <c r="Q5812">
        <v>0.42931239999999998</v>
      </c>
      <c r="R5812">
        <v>-0.30942019999999998</v>
      </c>
      <c r="S5812">
        <v>3.3241879999999999</v>
      </c>
      <c r="T5812">
        <v>-0.47339589999999998</v>
      </c>
      <c r="U5812">
        <v>-1.2375179999999999</v>
      </c>
      <c r="V5812">
        <v>-0.28587669999999998</v>
      </c>
      <c r="W5812">
        <v>0.4312299</v>
      </c>
      <c r="X5812">
        <v>0.85575429999999997</v>
      </c>
      <c r="Y5812">
        <v>-0.29317840000000001</v>
      </c>
      <c r="Z5812">
        <v>9.2538029999999993E-2</v>
      </c>
      <c r="AA5812">
        <v>0.95156879999999999</v>
      </c>
      <c r="AB5812">
        <v>32</v>
      </c>
      <c r="AC5812">
        <v>7.7176</v>
      </c>
      <c r="AD5812">
        <v>-1.1192818846569901</v>
      </c>
      <c r="AE5812">
        <v>-2.82023</v>
      </c>
      <c r="AF5812">
        <v>-2.4637046922335601</v>
      </c>
      <c r="AG5812">
        <v>-1.1192818846569901</v>
      </c>
      <c r="AH5812">
        <v>7.6816453649335097</v>
      </c>
      <c r="AI5812">
        <v>97.899193743757493</v>
      </c>
      <c r="AJ5812">
        <v>107.782405355875</v>
      </c>
      <c r="AK5812">
        <v>8.1443421011435593</v>
      </c>
      <c r="AL5812">
        <v>64.454363830507205</v>
      </c>
      <c r="AM5812">
        <v>108.47261799541</v>
      </c>
      <c r="AN5812">
        <v>1.0000000681126899</v>
      </c>
    </row>
    <row r="5813" spans="1:40" x14ac:dyDescent="0.25">
      <c r="A5813" t="str">
        <f>"20190304165003745"</f>
        <v>20190304165003745</v>
      </c>
      <c r="B5813" t="str">
        <f>"1551689403741383"</f>
        <v>1551689403741383</v>
      </c>
      <c r="C5813" t="s">
        <v>40</v>
      </c>
      <c r="D5813">
        <v>4.4420190000000002</v>
      </c>
      <c r="E5813">
        <v>0.50888500000000003</v>
      </c>
      <c r="F5813" t="s">
        <v>49</v>
      </c>
      <c r="G5813">
        <v>-402.07499999999999</v>
      </c>
      <c r="H5813" s="1">
        <v>-5.738676E-6</v>
      </c>
      <c r="I5813">
        <v>22.779209999999999</v>
      </c>
      <c r="J5813">
        <v>-409.37459999999999</v>
      </c>
      <c r="K5813">
        <v>1.1192869999999999</v>
      </c>
      <c r="L5813">
        <v>25.55331</v>
      </c>
      <c r="M5813">
        <v>0.79252119999999904</v>
      </c>
      <c r="N5813">
        <v>-9.3546380000000002E-3</v>
      </c>
      <c r="O5813">
        <v>-0.6097728</v>
      </c>
      <c r="P5813">
        <v>0.84997019999999901</v>
      </c>
      <c r="Q5813">
        <v>0.42923810000000001</v>
      </c>
      <c r="R5813">
        <v>-0.30545919999999999</v>
      </c>
      <c r="S5813">
        <v>3.321869</v>
      </c>
      <c r="T5813">
        <v>-0.50106870000000003</v>
      </c>
      <c r="U5813">
        <v>-1.281433</v>
      </c>
      <c r="V5813">
        <v>-0.2857054</v>
      </c>
      <c r="W5813">
        <v>0.43112400000000001</v>
      </c>
      <c r="X5813">
        <v>0.85586479999999998</v>
      </c>
      <c r="Y5813">
        <v>-0.27664879999999997</v>
      </c>
      <c r="Z5813">
        <v>9.6301830000000005E-2</v>
      </c>
      <c r="AA5813">
        <v>0.95613360000000003</v>
      </c>
      <c r="AB5813">
        <v>32</v>
      </c>
      <c r="AC5813">
        <v>7.2995999999999901</v>
      </c>
      <c r="AD5813">
        <v>-1.1192927386759901</v>
      </c>
      <c r="AE5813">
        <v>-2.7740999999999998</v>
      </c>
      <c r="AF5813">
        <v>-2.20731400325612</v>
      </c>
      <c r="AG5813">
        <v>-1.1192927386759901</v>
      </c>
      <c r="AH5813">
        <v>7.32646420190206</v>
      </c>
      <c r="AI5813">
        <v>98.322161609640901</v>
      </c>
      <c r="AJ5813">
        <v>106.766481173695</v>
      </c>
      <c r="AK5813">
        <v>7.7331836293712701</v>
      </c>
      <c r="AL5813">
        <v>64.461087303540495</v>
      </c>
      <c r="AM5813">
        <v>108.46007759974501</v>
      </c>
      <c r="AN5813">
        <v>1.0000000174221</v>
      </c>
    </row>
    <row r="5814" spans="1:40" x14ac:dyDescent="0.25">
      <c r="A5814" t="str">
        <f>"20190304165003756"</f>
        <v>20190304165003756</v>
      </c>
      <c r="B5814" t="str">
        <f>"1551689403751143"</f>
        <v>1551689403751143</v>
      </c>
      <c r="C5814" t="s">
        <v>40</v>
      </c>
      <c r="D5814">
        <v>4.4144019999999999</v>
      </c>
      <c r="E5814">
        <v>0.50888500000000003</v>
      </c>
      <c r="F5814" t="s">
        <v>49</v>
      </c>
      <c r="G5814">
        <v>-401.9828</v>
      </c>
      <c r="H5814" s="1">
        <v>-5.7759229999999996E-6</v>
      </c>
      <c r="I5814">
        <v>22.747140000000002</v>
      </c>
      <c r="J5814">
        <v>-409.24610000000001</v>
      </c>
      <c r="K5814">
        <v>1.1192879999999901</v>
      </c>
      <c r="L5814">
        <v>25.459530000000001</v>
      </c>
      <c r="M5814">
        <v>0.79569279999999998</v>
      </c>
      <c r="N5814">
        <v>-9.3237119999999996E-3</v>
      </c>
      <c r="O5814">
        <v>-0.60562859999999996</v>
      </c>
      <c r="P5814">
        <v>0.85153539999999905</v>
      </c>
      <c r="Q5814">
        <v>0.42901549999999999</v>
      </c>
      <c r="R5814">
        <v>-0.30138599999999999</v>
      </c>
      <c r="S5814">
        <v>3.329895</v>
      </c>
      <c r="T5814">
        <v>-0.50422179999999905</v>
      </c>
      <c r="U5814">
        <v>-1.26413</v>
      </c>
      <c r="V5814">
        <v>-0.2854158</v>
      </c>
      <c r="W5814">
        <v>0.43087189999999997</v>
      </c>
      <c r="X5814">
        <v>0.85608830000000002</v>
      </c>
      <c r="Y5814">
        <v>-0.2766903</v>
      </c>
      <c r="Z5814">
        <v>9.6435510000000002E-2</v>
      </c>
      <c r="AA5814">
        <v>0.95610810000000002</v>
      </c>
      <c r="AB5814">
        <v>32</v>
      </c>
      <c r="AC5814">
        <v>7.2633000000000099</v>
      </c>
      <c r="AD5814">
        <v>-1.1192937759229999</v>
      </c>
      <c r="AE5814">
        <v>-2.7123899999999899</v>
      </c>
      <c r="AF5814">
        <v>-2.1949843413102501</v>
      </c>
      <c r="AG5814">
        <v>-1.1192937759229999</v>
      </c>
      <c r="AH5814">
        <v>7.2708460587054597</v>
      </c>
      <c r="AI5814">
        <v>98.383536609854204</v>
      </c>
      <c r="AJ5814">
        <v>106.798458057224</v>
      </c>
      <c r="AK5814">
        <v>7.6769770889856002</v>
      </c>
      <c r="AL5814">
        <v>64.477093485380607</v>
      </c>
      <c r="AM5814">
        <v>108.438143209214</v>
      </c>
      <c r="AN5814">
        <v>0.99999997524806905</v>
      </c>
    </row>
    <row r="5815" spans="1:40" x14ac:dyDescent="0.25">
      <c r="A5815" t="str">
        <f>"20190304165003768"</f>
        <v>20190304165003768</v>
      </c>
      <c r="B5815" t="str">
        <f>"1551689403761879"</f>
        <v>1551689403761879</v>
      </c>
      <c r="C5815" t="s">
        <v>40</v>
      </c>
      <c r="D5815">
        <v>4.4646720000000002</v>
      </c>
      <c r="E5815">
        <v>0.50937120000000002</v>
      </c>
      <c r="F5815" t="s">
        <v>49</v>
      </c>
      <c r="G5815">
        <v>-401.85270000000003</v>
      </c>
      <c r="H5815" s="1">
        <v>-5.8275599999999996E-6</v>
      </c>
      <c r="I5815">
        <v>22.69669</v>
      </c>
      <c r="J5815">
        <v>-409.1001</v>
      </c>
      <c r="K5815">
        <v>1.119302</v>
      </c>
      <c r="L5815">
        <v>25.35501</v>
      </c>
      <c r="M5815">
        <v>0.79924399999999995</v>
      </c>
      <c r="N5815">
        <v>-9.2928909999999993E-3</v>
      </c>
      <c r="O5815">
        <v>-0.60093479999999999</v>
      </c>
      <c r="P5815">
        <v>0.85322450000000005</v>
      </c>
      <c r="Q5815">
        <v>0.42874499999999999</v>
      </c>
      <c r="R5815">
        <v>-0.29696109999999998</v>
      </c>
      <c r="S5815">
        <v>3.3362729999999998</v>
      </c>
      <c r="T5815">
        <v>-0.50508140000000001</v>
      </c>
      <c r="U5815">
        <v>-1.2467349999999999</v>
      </c>
      <c r="V5815">
        <v>-0.28491369999999999</v>
      </c>
      <c r="W5815">
        <v>0.43057630000000002</v>
      </c>
      <c r="X5815">
        <v>0.85640430000000001</v>
      </c>
      <c r="Y5815">
        <v>-0.2760262</v>
      </c>
      <c r="Z5815">
        <v>9.604277E-2</v>
      </c>
      <c r="AA5815">
        <v>0.95633950000000001</v>
      </c>
      <c r="AB5815">
        <v>32</v>
      </c>
      <c r="AC5815">
        <v>7.2473999999999696</v>
      </c>
      <c r="AD5815">
        <v>-1.1193078275599999</v>
      </c>
      <c r="AE5815">
        <v>-2.6583199999999998</v>
      </c>
      <c r="AF5815">
        <v>-2.1847331310037599</v>
      </c>
      <c r="AG5815">
        <v>-1.1193078275599999</v>
      </c>
      <c r="AH5815">
        <v>7.2380642778881796</v>
      </c>
      <c r="AI5815">
        <v>98.421179844653494</v>
      </c>
      <c r="AJ5815">
        <v>106.795884264468</v>
      </c>
      <c r="AK5815">
        <v>7.6430022476369599</v>
      </c>
      <c r="AL5815">
        <v>64.495862106494499</v>
      </c>
      <c r="AM5815">
        <v>108.401560559871</v>
      </c>
      <c r="AN5815">
        <v>1.00000004581393</v>
      </c>
    </row>
    <row r="5816" spans="1:40" x14ac:dyDescent="0.25">
      <c r="A5816" t="str">
        <f>"20190304165003780"</f>
        <v>20190304165003780</v>
      </c>
      <c r="B5816" t="str">
        <f>"1551689403771639"</f>
        <v>1551689403771639</v>
      </c>
      <c r="C5816" t="s">
        <v>40</v>
      </c>
      <c r="D5816">
        <v>4.472645</v>
      </c>
      <c r="E5816">
        <v>0.50981129999999997</v>
      </c>
      <c r="F5816" t="s">
        <v>49</v>
      </c>
      <c r="G5816">
        <v>-401.75560000000002</v>
      </c>
      <c r="H5816" s="1">
        <v>-5.8640890000000002E-6</v>
      </c>
      <c r="I5816">
        <v>22.647950000000002</v>
      </c>
      <c r="J5816">
        <v>-408.96519999999998</v>
      </c>
      <c r="K5816">
        <v>1.119316</v>
      </c>
      <c r="L5816">
        <v>25.259219999999999</v>
      </c>
      <c r="M5816">
        <v>0.80248920000000001</v>
      </c>
      <c r="N5816">
        <v>-9.2659100000000005E-3</v>
      </c>
      <c r="O5816">
        <v>-0.59659499999999999</v>
      </c>
      <c r="P5816">
        <v>0.85477719999999902</v>
      </c>
      <c r="Q5816">
        <v>0.42860100000000001</v>
      </c>
      <c r="R5816">
        <v>-0.2926724</v>
      </c>
      <c r="S5816">
        <v>3.3432309999999998</v>
      </c>
      <c r="T5816">
        <v>-0.50951480000000005</v>
      </c>
      <c r="U5816">
        <v>-1.2322690000000001</v>
      </c>
      <c r="V5816">
        <v>-0.28462989999999999</v>
      </c>
      <c r="W5816">
        <v>0.43040489999999998</v>
      </c>
      <c r="X5816">
        <v>0.85658469999999998</v>
      </c>
      <c r="Y5816">
        <v>-0.27503</v>
      </c>
      <c r="Z5816">
        <v>9.6316680000000002E-2</v>
      </c>
      <c r="AA5816">
        <v>0.95659890000000003</v>
      </c>
      <c r="AB5816">
        <v>32</v>
      </c>
      <c r="AC5816">
        <v>7.20959999999996</v>
      </c>
      <c r="AD5816">
        <v>-1.1193218640889999</v>
      </c>
      <c r="AE5816">
        <v>-2.6112700000000002</v>
      </c>
      <c r="AF5816">
        <v>-2.1597680546395099</v>
      </c>
      <c r="AG5816">
        <v>-1.1193218640889999</v>
      </c>
      <c r="AH5816">
        <v>7.1905894877958696</v>
      </c>
      <c r="AI5816">
        <v>98.479490516396396</v>
      </c>
      <c r="AJ5816">
        <v>106.71818470947601</v>
      </c>
      <c r="AK5816">
        <v>7.5909193558665597</v>
      </c>
      <c r="AL5816">
        <v>64.5067398634814</v>
      </c>
      <c r="AM5816">
        <v>108.38085235941</v>
      </c>
      <c r="AN5816">
        <v>0.99999995309605305</v>
      </c>
    </row>
    <row r="5817" spans="1:40" x14ac:dyDescent="0.25">
      <c r="A5817" t="str">
        <f>"20190304165003790"</f>
        <v>20190304165003790</v>
      </c>
      <c r="B5817" t="str">
        <f>"1551689403781399"</f>
        <v>1551689403781399</v>
      </c>
      <c r="C5817" t="s">
        <v>40</v>
      </c>
      <c r="D5817">
        <v>4.4750209999999999</v>
      </c>
      <c r="E5817">
        <v>0.51015730000000004</v>
      </c>
      <c r="F5817" t="s">
        <v>49</v>
      </c>
      <c r="G5817">
        <v>-401.64490000000001</v>
      </c>
      <c r="H5817" s="1">
        <v>-5.9064629999999997E-6</v>
      </c>
      <c r="I5817">
        <v>22.596160000000001</v>
      </c>
      <c r="J5817">
        <v>-408.83260000000001</v>
      </c>
      <c r="K5817">
        <v>1.1193280000000001</v>
      </c>
      <c r="L5817">
        <v>25.166139999999999</v>
      </c>
      <c r="M5817">
        <v>0.80564360000000002</v>
      </c>
      <c r="N5817">
        <v>-9.241605E-3</v>
      </c>
      <c r="O5817">
        <v>-0.59232869999999904</v>
      </c>
      <c r="P5817">
        <v>0.85615719999999995</v>
      </c>
      <c r="Q5817">
        <v>0.42863210000000002</v>
      </c>
      <c r="R5817">
        <v>-0.2885644</v>
      </c>
      <c r="S5817">
        <v>3.349243</v>
      </c>
      <c r="T5817">
        <v>-0.51211770000000001</v>
      </c>
      <c r="U5817">
        <v>-1.2184140000000001</v>
      </c>
      <c r="V5817">
        <v>-0.28420529999999999</v>
      </c>
      <c r="W5817">
        <v>0.43041400000000002</v>
      </c>
      <c r="X5817">
        <v>0.85672119999999996</v>
      </c>
      <c r="Y5817">
        <v>-0.27394940000000001</v>
      </c>
      <c r="Z5817">
        <v>9.6241590000000002E-2</v>
      </c>
      <c r="AA5817">
        <v>0.95691660000000001</v>
      </c>
      <c r="AB5817">
        <v>32</v>
      </c>
      <c r="AC5817">
        <v>7.1877000000000004</v>
      </c>
      <c r="AD5817">
        <v>-1.1193339064629999</v>
      </c>
      <c r="AE5817">
        <v>-2.5699799999999899</v>
      </c>
      <c r="AF5817">
        <v>-2.14104807306789</v>
      </c>
      <c r="AG5817">
        <v>-1.1193339064629999</v>
      </c>
      <c r="AH5817">
        <v>7.1593638442988796</v>
      </c>
      <c r="AI5817">
        <v>98.519034392511401</v>
      </c>
      <c r="AJ5817">
        <v>106.649590652871</v>
      </c>
      <c r="AK5817">
        <v>7.5560231537760396</v>
      </c>
      <c r="AL5817">
        <v>64.506164583303203</v>
      </c>
      <c r="AM5817">
        <v>108.352543145979</v>
      </c>
      <c r="AN5817">
        <v>1.0000000392367601</v>
      </c>
    </row>
    <row r="5818" spans="1:40" x14ac:dyDescent="0.25">
      <c r="A5818" t="str">
        <f>"20190304165003803"</f>
        <v>20190304165003803</v>
      </c>
      <c r="B5818" t="str">
        <f>"1551689403791666"</f>
        <v>1551689403791666</v>
      </c>
      <c r="C5818" t="s">
        <v>40</v>
      </c>
      <c r="D5818">
        <v>4.4650230000000004</v>
      </c>
      <c r="E5818">
        <v>0.5102873</v>
      </c>
      <c r="F5818" t="s">
        <v>49</v>
      </c>
      <c r="G5818">
        <v>-401.53120000000001</v>
      </c>
      <c r="H5818" s="1">
        <v>-5.95009699999999E-6</v>
      </c>
      <c r="I5818">
        <v>22.54391</v>
      </c>
      <c r="J5818">
        <v>-408.69779999999997</v>
      </c>
      <c r="K5818">
        <v>1.1193439999999999</v>
      </c>
      <c r="L5818">
        <v>25.07263</v>
      </c>
      <c r="M5818">
        <v>0.80881409999999998</v>
      </c>
      <c r="N5818">
        <v>-9.2190410000000007E-3</v>
      </c>
      <c r="O5818">
        <v>-0.58799219999999996</v>
      </c>
      <c r="P5818">
        <v>0.85766290000000001</v>
      </c>
      <c r="Q5818">
        <v>0.42836269999999999</v>
      </c>
      <c r="R5818">
        <v>-0.28446470000000001</v>
      </c>
      <c r="S5818">
        <v>3.3553769999999998</v>
      </c>
      <c r="T5818">
        <v>-0.51439170000000001</v>
      </c>
      <c r="U5818">
        <v>-1.2050479999999999</v>
      </c>
      <c r="V5818">
        <v>-0.28379140000000003</v>
      </c>
      <c r="W5818">
        <v>0.43012509999999998</v>
      </c>
      <c r="X5818">
        <v>0.85700339999999997</v>
      </c>
      <c r="Y5818">
        <v>-0.27270420000000001</v>
      </c>
      <c r="Z5818">
        <v>9.6065929999999994E-2</v>
      </c>
      <c r="AA5818">
        <v>0.95728979999999997</v>
      </c>
      <c r="AB5818">
        <v>32</v>
      </c>
      <c r="AC5818">
        <v>7.1665999999999599</v>
      </c>
      <c r="AD5818">
        <v>-1.1193499500969999</v>
      </c>
      <c r="AE5818">
        <v>-2.5287199999999999</v>
      </c>
      <c r="AF5818">
        <v>-2.1226825216737102</v>
      </c>
      <c r="AG5818">
        <v>-1.1193499500969999</v>
      </c>
      <c r="AH5818">
        <v>7.1289662271811096</v>
      </c>
      <c r="AI5818">
        <v>98.557948782529294</v>
      </c>
      <c r="AJ5818">
        <v>106.581142361361</v>
      </c>
      <c r="AK5818">
        <v>7.5220266462496701</v>
      </c>
      <c r="AL5818">
        <v>64.524500272462106</v>
      </c>
      <c r="AM5818">
        <v>108.321971100048</v>
      </c>
      <c r="AN5818">
        <v>0.99999999398776496</v>
      </c>
    </row>
    <row r="5819" spans="1:40" x14ac:dyDescent="0.25">
      <c r="A5819" t="str">
        <f>"20190304165003818"</f>
        <v>20190304165003818</v>
      </c>
      <c r="B5819" t="str">
        <f>"1551689403811185"</f>
        <v>1551689403811185</v>
      </c>
      <c r="C5819" t="s">
        <v>40</v>
      </c>
      <c r="D5819">
        <v>4.4899849999999999</v>
      </c>
      <c r="E5819">
        <v>0.51060439999999996</v>
      </c>
      <c r="F5819" t="s">
        <v>49</v>
      </c>
      <c r="G5819">
        <v>-401.42270000000002</v>
      </c>
      <c r="H5819" s="1">
        <v>-5.9925469999999899E-6</v>
      </c>
      <c r="I5819">
        <v>22.498349999999999</v>
      </c>
      <c r="J5819">
        <v>-408.517</v>
      </c>
      <c r="K5819">
        <v>1.1193599999999999</v>
      </c>
      <c r="L5819">
        <v>24.948640000000001</v>
      </c>
      <c r="M5819">
        <v>0.81301029999999996</v>
      </c>
      <c r="N5819">
        <v>-9.1909620000000004E-3</v>
      </c>
      <c r="O5819">
        <v>-0.5821769</v>
      </c>
      <c r="P5819">
        <v>0.85949769999999903</v>
      </c>
      <c r="Q5819">
        <v>0.428616</v>
      </c>
      <c r="R5819">
        <v>-0.2784819</v>
      </c>
      <c r="S5819">
        <v>3.3616329999999999</v>
      </c>
      <c r="T5819">
        <v>-0.51722409999999996</v>
      </c>
      <c r="U5819">
        <v>-1.189514</v>
      </c>
      <c r="V5819">
        <v>-0.28357149999999998</v>
      </c>
      <c r="W5819">
        <v>0.43034329999999998</v>
      </c>
      <c r="X5819">
        <v>0.85696659999999902</v>
      </c>
      <c r="Y5819">
        <v>-0.27028859999999999</v>
      </c>
      <c r="Z5819">
        <v>9.5754240000000004E-2</v>
      </c>
      <c r="AA5819">
        <v>0.95800580000000002</v>
      </c>
      <c r="AB5819">
        <v>33</v>
      </c>
      <c r="AC5819">
        <v>7.0942999999999703</v>
      </c>
      <c r="AD5819">
        <v>-1.1193659925470001</v>
      </c>
      <c r="AE5819">
        <v>-2.4502899999999999</v>
      </c>
      <c r="AF5819">
        <v>-2.09159466623424</v>
      </c>
      <c r="AG5819">
        <v>-1.1193659925470001</v>
      </c>
      <c r="AH5819">
        <v>7.0380025779936997</v>
      </c>
      <c r="AI5819">
        <v>98.668337258694294</v>
      </c>
      <c r="AJ5819">
        <v>106.551203448683</v>
      </c>
      <c r="AK5819">
        <v>7.4270605733988901</v>
      </c>
      <c r="AL5819">
        <v>64.510649909351898</v>
      </c>
      <c r="AM5819">
        <v>108.309455051006</v>
      </c>
      <c r="AN5819">
        <v>0.99999995249134799</v>
      </c>
    </row>
    <row r="5820" spans="1:40" x14ac:dyDescent="0.25">
      <c r="A5820" t="str">
        <f>"20190304165003834"</f>
        <v>20190304165003834</v>
      </c>
      <c r="B5820" t="str">
        <f>"1551689403831682"</f>
        <v>1551689403831682</v>
      </c>
      <c r="C5820" t="s">
        <v>40</v>
      </c>
      <c r="D5820">
        <v>4.5033539999999999</v>
      </c>
      <c r="E5820">
        <v>0.51014629999999905</v>
      </c>
      <c r="F5820" t="s">
        <v>49</v>
      </c>
      <c r="G5820">
        <v>-401.20659999999998</v>
      </c>
      <c r="H5820" s="1">
        <v>-6.058395E-6</v>
      </c>
      <c r="I5820">
        <v>22.413070000000001</v>
      </c>
      <c r="J5820">
        <v>-408.315</v>
      </c>
      <c r="K5820">
        <v>1.11937999999999</v>
      </c>
      <c r="L5820">
        <v>24.812349999999999</v>
      </c>
      <c r="M5820">
        <v>0.81762060000000003</v>
      </c>
      <c r="N5820">
        <v>-9.1632789999999999E-3</v>
      </c>
      <c r="O5820">
        <v>-0.57568469999999905</v>
      </c>
      <c r="P5820">
        <v>0.86171769999999903</v>
      </c>
      <c r="Q5820">
        <v>0.4282881</v>
      </c>
      <c r="R5820">
        <v>-0.27205220000000002</v>
      </c>
      <c r="S5820">
        <v>3.3690799999999999</v>
      </c>
      <c r="T5820">
        <v>-0.51587470000000002</v>
      </c>
      <c r="U5820">
        <v>-1.1685490000000001</v>
      </c>
      <c r="V5820">
        <v>-0.28325939999999999</v>
      </c>
      <c r="W5820">
        <v>0.42998530000000001</v>
      </c>
      <c r="X5820">
        <v>0.85724959999999994</v>
      </c>
      <c r="Y5820">
        <v>-0.26871050000000002</v>
      </c>
      <c r="Z5820">
        <v>9.4628509999999999E-2</v>
      </c>
      <c r="AA5820">
        <v>0.95856149999999996</v>
      </c>
      <c r="AB5820">
        <v>33</v>
      </c>
      <c r="AC5820">
        <v>7.1084000000000103</v>
      </c>
      <c r="AD5820">
        <v>-1.1193860583949899</v>
      </c>
      <c r="AE5820">
        <v>-2.3992799999999899</v>
      </c>
      <c r="AF5820">
        <v>-2.0841877507727902</v>
      </c>
      <c r="AG5820">
        <v>-1.1193860583949899</v>
      </c>
      <c r="AH5820">
        <v>7.0368510970372</v>
      </c>
      <c r="AI5820">
        <v>98.672224933549899</v>
      </c>
      <c r="AJ5820">
        <v>106.49833442546399</v>
      </c>
      <c r="AK5820">
        <v>7.4238896200087696</v>
      </c>
      <c r="AL5820">
        <v>64.533374425481298</v>
      </c>
      <c r="AM5820">
        <v>108.285009250125</v>
      </c>
      <c r="AN5820">
        <v>1.0000000613022999</v>
      </c>
    </row>
    <row r="5821" spans="1:40" x14ac:dyDescent="0.25">
      <c r="A5821" t="str">
        <f>"20190304165003852"</f>
        <v>20190304165003852</v>
      </c>
      <c r="B5821" t="str">
        <f>"1551689403841442"</f>
        <v>1551689403841442</v>
      </c>
      <c r="C5821" t="s">
        <v>40</v>
      </c>
      <c r="D5821">
        <v>4.443899</v>
      </c>
      <c r="E5821">
        <v>0.49746770000000001</v>
      </c>
      <c r="F5821" t="s">
        <v>49</v>
      </c>
      <c r="G5821">
        <v>-400.99900000000002</v>
      </c>
      <c r="H5821" s="1">
        <v>-6.1202880000000002E-6</v>
      </c>
      <c r="I5821">
        <v>22.345310000000001</v>
      </c>
      <c r="J5821">
        <v>-408.11180000000002</v>
      </c>
      <c r="K5821">
        <v>1.1193949999999999</v>
      </c>
      <c r="L5821">
        <v>24.67801</v>
      </c>
      <c r="M5821">
        <v>0.8221676</v>
      </c>
      <c r="N5821">
        <v>-9.1391130000000008E-3</v>
      </c>
      <c r="O5821">
        <v>-0.56917229999999996</v>
      </c>
      <c r="P5821">
        <v>0.86379359999999905</v>
      </c>
      <c r="Q5821">
        <v>0.42822369999999998</v>
      </c>
      <c r="R5821">
        <v>-0.26549040000000002</v>
      </c>
      <c r="S5821">
        <v>3.3786320000000001</v>
      </c>
      <c r="T5821">
        <v>-0.5169475</v>
      </c>
      <c r="U5821">
        <v>-1.139313</v>
      </c>
      <c r="V5821">
        <v>-0.28300710000000001</v>
      </c>
      <c r="W5821">
        <v>0.42989270000000002</v>
      </c>
      <c r="X5821">
        <v>0.85737929999999996</v>
      </c>
      <c r="Y5821">
        <v>-0.26934720000000001</v>
      </c>
      <c r="Z5821">
        <v>9.4117019999999996E-2</v>
      </c>
      <c r="AA5821">
        <v>0.95843319999999999</v>
      </c>
      <c r="AB5821">
        <v>33</v>
      </c>
      <c r="AC5821">
        <v>7.1127999999999902</v>
      </c>
      <c r="AD5821">
        <v>-1.1194011202879901</v>
      </c>
      <c r="AE5821">
        <v>-2.3326999999999898</v>
      </c>
      <c r="AF5821">
        <v>-2.08402275697315</v>
      </c>
      <c r="AG5821">
        <v>-1.1194011202879901</v>
      </c>
      <c r="AH5821">
        <v>7.0189580119880697</v>
      </c>
      <c r="AI5821">
        <v>98.692403484183501</v>
      </c>
      <c r="AJ5821">
        <v>106.536860308633</v>
      </c>
      <c r="AK5821">
        <v>7.4068874227799304</v>
      </c>
      <c r="AL5821">
        <v>64.539249412635897</v>
      </c>
      <c r="AM5821">
        <v>108.26722467676301</v>
      </c>
      <c r="AN5821">
        <v>1.00000000811609</v>
      </c>
    </row>
    <row r="5822" spans="1:40" x14ac:dyDescent="0.25">
      <c r="A5822" t="str">
        <f>"20190304165003867"</f>
        <v>20190304165003867</v>
      </c>
      <c r="B5822" t="str">
        <f>"1551689403861938"</f>
        <v>1551689403861938</v>
      </c>
      <c r="C5822" t="s">
        <v>40</v>
      </c>
      <c r="D5822">
        <v>4.5087449999999896</v>
      </c>
      <c r="E5822">
        <v>0.49869019999999997</v>
      </c>
      <c r="F5822" t="s">
        <v>42</v>
      </c>
      <c r="G5822">
        <v>-399.86610000000002</v>
      </c>
      <c r="H5822" s="1">
        <v>-7.3756619999999898E-7</v>
      </c>
      <c r="I5822">
        <v>22.22392</v>
      </c>
      <c r="J5822">
        <v>-407.92619999999999</v>
      </c>
      <c r="K5822">
        <v>1.119407</v>
      </c>
      <c r="L5822">
        <v>24.557130000000001</v>
      </c>
      <c r="M5822">
        <v>0.82624909999999996</v>
      </c>
      <c r="N5822">
        <v>-9.1191180000000007E-3</v>
      </c>
      <c r="O5822">
        <v>-0.56323120000000004</v>
      </c>
      <c r="P5822">
        <v>0.86570290000000005</v>
      </c>
      <c r="Q5822">
        <v>0.42776720000000001</v>
      </c>
      <c r="R5822">
        <v>-0.25994970000000001</v>
      </c>
      <c r="S5822">
        <v>3.3910520000000002</v>
      </c>
      <c r="T5822">
        <v>-0.4603525</v>
      </c>
      <c r="U5822">
        <v>-1.009247</v>
      </c>
      <c r="V5822">
        <v>-0.28244930000000001</v>
      </c>
      <c r="W5822">
        <v>0.42942590000000003</v>
      </c>
      <c r="X5822">
        <v>0.85779699999999903</v>
      </c>
      <c r="Y5822">
        <v>-0.2980679</v>
      </c>
      <c r="Z5822">
        <v>8.5273299999999996E-2</v>
      </c>
      <c r="AA5822">
        <v>0.95072809999999996</v>
      </c>
      <c r="AB5822">
        <v>33</v>
      </c>
      <c r="AC5822">
        <v>8.0600999999999701</v>
      </c>
      <c r="AD5822">
        <v>-1.1194077375661999</v>
      </c>
      <c r="AE5822">
        <v>-2.33320999999999</v>
      </c>
      <c r="AF5822">
        <v>-2.5663226220539799</v>
      </c>
      <c r="AG5822">
        <v>-1.1194077375661999</v>
      </c>
      <c r="AH5822">
        <v>7.8346838985069498</v>
      </c>
      <c r="AI5822">
        <v>97.732322566801798</v>
      </c>
      <c r="AJ5822">
        <v>108.136683614701</v>
      </c>
      <c r="AK5822">
        <v>8.3199373358765794</v>
      </c>
      <c r="AL5822">
        <v>64.568866856989999</v>
      </c>
      <c r="AM5822">
        <v>108.22531292061301</v>
      </c>
      <c r="AN5822">
        <v>0.99999995193514801</v>
      </c>
    </row>
    <row r="5823" spans="1:40" x14ac:dyDescent="0.25">
      <c r="A5823" t="str">
        <f>"20190304165003880"</f>
        <v>20190304165003880</v>
      </c>
      <c r="B5823" t="str">
        <f>"1551689403871698"</f>
        <v>1551689403871698</v>
      </c>
      <c r="C5823" t="s">
        <v>40</v>
      </c>
      <c r="D5823">
        <v>4.5242440000000004</v>
      </c>
      <c r="E5823">
        <v>0.49897950000000002</v>
      </c>
      <c r="F5823" t="s">
        <v>42</v>
      </c>
      <c r="G5823">
        <v>-399.69209999999998</v>
      </c>
      <c r="H5823" s="1">
        <v>-7.9842200000000003E-7</v>
      </c>
      <c r="I5823">
        <v>22.143380000000001</v>
      </c>
      <c r="J5823">
        <v>-407.7679</v>
      </c>
      <c r="K5823">
        <v>1.11941</v>
      </c>
      <c r="L5823">
        <v>24.45532</v>
      </c>
      <c r="M5823">
        <v>0.82967449999999998</v>
      </c>
      <c r="N5823">
        <v>-9.1030380000000008E-3</v>
      </c>
      <c r="O5823">
        <v>-0.55817320000000004</v>
      </c>
      <c r="P5823">
        <v>0.86737160000000002</v>
      </c>
      <c r="Q5823">
        <v>0.42741960000000001</v>
      </c>
      <c r="R5823">
        <v>-0.25491019999999998</v>
      </c>
      <c r="S5823">
        <v>3.3945919999999998</v>
      </c>
      <c r="T5823">
        <v>-0.46148539999999999</v>
      </c>
      <c r="U5823">
        <v>-0.99508669999999999</v>
      </c>
      <c r="V5823">
        <v>-0.28229310000000002</v>
      </c>
      <c r="W5823">
        <v>0.42906470000000002</v>
      </c>
      <c r="X5823">
        <v>0.85802919999999905</v>
      </c>
      <c r="Y5823">
        <v>-0.29617389999999999</v>
      </c>
      <c r="Z5823">
        <v>8.4859760000000006E-2</v>
      </c>
      <c r="AA5823">
        <v>0.9513568</v>
      </c>
      <c r="AB5823">
        <v>33</v>
      </c>
      <c r="AC5823">
        <v>8.0758000000000099</v>
      </c>
      <c r="AD5823">
        <v>-1.1194107984219901</v>
      </c>
      <c r="AE5823">
        <v>-2.3119399999999999</v>
      </c>
      <c r="AF5823">
        <v>-2.54445986399192</v>
      </c>
      <c r="AG5823">
        <v>-1.1194107984219901</v>
      </c>
      <c r="AH5823">
        <v>7.8516486221369997</v>
      </c>
      <c r="AI5823">
        <v>97.723682903675694</v>
      </c>
      <c r="AJ5823">
        <v>107.95579604773</v>
      </c>
      <c r="AK5823">
        <v>8.3292102038906108</v>
      </c>
      <c r="AL5823">
        <v>64.591781969878397</v>
      </c>
      <c r="AM5823">
        <v>108.211295523743</v>
      </c>
      <c r="AN5823">
        <v>1.00000000957316</v>
      </c>
    </row>
    <row r="5824" spans="1:40" x14ac:dyDescent="0.25">
      <c r="A5824" t="str">
        <f>"20190304165003892"</f>
        <v>20190304165003892</v>
      </c>
      <c r="B5824" t="str">
        <f>"1551689403881458"</f>
        <v>1551689403881458</v>
      </c>
      <c r="C5824" t="s">
        <v>40</v>
      </c>
      <c r="D5824">
        <v>4.473789</v>
      </c>
      <c r="E5824">
        <v>0.49914510000000001</v>
      </c>
      <c r="F5824" t="s">
        <v>42</v>
      </c>
      <c r="G5824">
        <v>-399.55130000000003</v>
      </c>
      <c r="H5824" s="1">
        <v>-8.5167230000000003E-7</v>
      </c>
      <c r="I5824">
        <v>22.09346</v>
      </c>
      <c r="J5824">
        <v>-407.6096</v>
      </c>
      <c r="K5824">
        <v>1.1194090000000001</v>
      </c>
      <c r="L5824">
        <v>24.35483</v>
      </c>
      <c r="M5824">
        <v>0.83304639999999996</v>
      </c>
      <c r="N5824">
        <v>-9.0877930000000003E-3</v>
      </c>
      <c r="O5824">
        <v>-0.55312839999999996</v>
      </c>
      <c r="P5824">
        <v>0.86894709999999997</v>
      </c>
      <c r="Q5824">
        <v>0.42714849999999999</v>
      </c>
      <c r="R5824">
        <v>-0.2499499</v>
      </c>
      <c r="S5824">
        <v>3.39975</v>
      </c>
      <c r="T5824">
        <v>-0.46317609999999898</v>
      </c>
      <c r="U5824">
        <v>-0.97726440000000003</v>
      </c>
      <c r="V5824">
        <v>-0.28205920000000001</v>
      </c>
      <c r="W5824">
        <v>0.42878509999999997</v>
      </c>
      <c r="X5824">
        <v>0.85824579999999995</v>
      </c>
      <c r="Y5824">
        <v>-0.29536560000000001</v>
      </c>
      <c r="Z5824">
        <v>8.4600079999999994E-2</v>
      </c>
      <c r="AA5824">
        <v>0.95163120000000001</v>
      </c>
      <c r="AB5824">
        <v>33</v>
      </c>
      <c r="AC5824">
        <v>8.0582999999999707</v>
      </c>
      <c r="AD5824">
        <v>-1.1194098516722999</v>
      </c>
      <c r="AE5824">
        <v>-2.2613699999999901</v>
      </c>
      <c r="AF5824">
        <v>-2.5283272375356001</v>
      </c>
      <c r="AG5824">
        <v>-1.1194098516722999</v>
      </c>
      <c r="AH5824">
        <v>7.82413416395271</v>
      </c>
      <c r="AI5824">
        <v>97.752576815310604</v>
      </c>
      <c r="AJ5824">
        <v>107.907962085672</v>
      </c>
      <c r="AK5824">
        <v>8.2983487786195997</v>
      </c>
      <c r="AL5824">
        <v>64.609514524497598</v>
      </c>
      <c r="AM5824">
        <v>108.192911005719</v>
      </c>
      <c r="AN5824">
        <v>0.99999995375214301</v>
      </c>
    </row>
    <row r="5825" spans="1:40" x14ac:dyDescent="0.25">
      <c r="A5825" t="str">
        <f>"20190304165003905"</f>
        <v>20190304165003905</v>
      </c>
      <c r="B5825" t="str">
        <f>"1551689403901487"</f>
        <v>1551689403901487</v>
      </c>
      <c r="C5825" t="s">
        <v>40</v>
      </c>
      <c r="D5825">
        <v>4.5183229999999996</v>
      </c>
      <c r="E5825">
        <v>0.50023209999999996</v>
      </c>
      <c r="F5825" t="s">
        <v>42</v>
      </c>
      <c r="G5825">
        <v>-399.4083</v>
      </c>
      <c r="H5825" s="1">
        <v>-9.0688759999999997E-7</v>
      </c>
      <c r="I5825">
        <v>22.046859999999999</v>
      </c>
      <c r="J5825">
        <v>-407.45780000000002</v>
      </c>
      <c r="K5825">
        <v>1.1194059999999999</v>
      </c>
      <c r="L5825">
        <v>24.26004</v>
      </c>
      <c r="M5825">
        <v>0.83622199999999902</v>
      </c>
      <c r="N5825">
        <v>-9.0741699999999995E-3</v>
      </c>
      <c r="O5825">
        <v>-0.54831649999999998</v>
      </c>
      <c r="P5825">
        <v>0.87060700000000002</v>
      </c>
      <c r="Q5825">
        <v>0.4265873</v>
      </c>
      <c r="R5825">
        <v>-0.24508579999999999</v>
      </c>
      <c r="S5825">
        <v>3.405243</v>
      </c>
      <c r="T5825">
        <v>-0.46478560000000002</v>
      </c>
      <c r="U5825">
        <v>-0.95828250000000004</v>
      </c>
      <c r="V5825">
        <v>-0.2820474</v>
      </c>
      <c r="W5825">
        <v>0.42821550000000003</v>
      </c>
      <c r="X5825">
        <v>0.85853409999999997</v>
      </c>
      <c r="Y5825">
        <v>-0.29516789999999998</v>
      </c>
      <c r="Z5825">
        <v>8.4379079999999995E-2</v>
      </c>
      <c r="AA5825">
        <v>0.95171220000000001</v>
      </c>
      <c r="AB5825">
        <v>33</v>
      </c>
      <c r="AC5825">
        <v>8.0495000000000196</v>
      </c>
      <c r="AD5825">
        <v>-1.11940690688759</v>
      </c>
      <c r="AE5825">
        <v>-2.2131799999999902</v>
      </c>
      <c r="AF5825">
        <v>-2.5177987004417899</v>
      </c>
      <c r="AG5825">
        <v>-1.11940690688759</v>
      </c>
      <c r="AH5825">
        <v>7.8046888416942997</v>
      </c>
      <c r="AI5825">
        <v>97.772857250190697</v>
      </c>
      <c r="AJ5825">
        <v>107.879741449291</v>
      </c>
      <c r="AK5825">
        <v>8.2768079616964396</v>
      </c>
      <c r="AL5825">
        <v>64.645636203089893</v>
      </c>
      <c r="AM5825">
        <v>108.186493205769</v>
      </c>
      <c r="AN5825">
        <v>1.0000000255749</v>
      </c>
    </row>
    <row r="5826" spans="1:40" x14ac:dyDescent="0.25">
      <c r="A5826" t="str">
        <f>"20190304165003921"</f>
        <v>20190304165003921</v>
      </c>
      <c r="B5826" t="str">
        <f>"1551689403911246"</f>
        <v>1551689403911246</v>
      </c>
      <c r="C5826" t="s">
        <v>40</v>
      </c>
      <c r="D5826">
        <v>4.4880800000000001</v>
      </c>
      <c r="E5826">
        <v>0.50068159999999995</v>
      </c>
      <c r="F5826" t="s">
        <v>42</v>
      </c>
      <c r="G5826">
        <v>-399.30410000000001</v>
      </c>
      <c r="H5826" s="1">
        <v>-9.421872E-7</v>
      </c>
      <c r="I5826">
        <v>21.994489999999999</v>
      </c>
      <c r="J5826">
        <v>-407.25479999999999</v>
      </c>
      <c r="K5826">
        <v>1.119399</v>
      </c>
      <c r="L5826">
        <v>24.13477</v>
      </c>
      <c r="M5826">
        <v>0.84039540000000001</v>
      </c>
      <c r="N5826">
        <v>-9.0566740000000007E-3</v>
      </c>
      <c r="O5826">
        <v>-0.54189809999999905</v>
      </c>
      <c r="P5826">
        <v>0.87257129999999905</v>
      </c>
      <c r="Q5826">
        <v>0.42610409999999999</v>
      </c>
      <c r="R5826">
        <v>-0.2388615</v>
      </c>
      <c r="S5826">
        <v>3.4085390000000002</v>
      </c>
      <c r="T5826">
        <v>-0.46795249999999999</v>
      </c>
      <c r="U5826">
        <v>-0.94708250000000005</v>
      </c>
      <c r="V5826">
        <v>-0.28171279999999999</v>
      </c>
      <c r="W5826">
        <v>0.42773319999999998</v>
      </c>
      <c r="X5826">
        <v>0.85888430000000004</v>
      </c>
      <c r="Y5826">
        <v>-0.290987</v>
      </c>
      <c r="Z5826">
        <v>8.4016660000000007E-2</v>
      </c>
      <c r="AA5826">
        <v>0.95303079999999996</v>
      </c>
      <c r="AB5826">
        <v>33</v>
      </c>
      <c r="AC5826">
        <v>7.9506999999999799</v>
      </c>
      <c r="AD5826">
        <v>-1.1193999421871901</v>
      </c>
      <c r="AE5826">
        <v>-2.1402800000000002</v>
      </c>
      <c r="AF5826">
        <v>-2.4643418317770398</v>
      </c>
      <c r="AG5826">
        <v>-1.1193999421871901</v>
      </c>
      <c r="AH5826">
        <v>7.6995547663482702</v>
      </c>
      <c r="AI5826">
        <v>97.883372009128706</v>
      </c>
      <c r="AJ5826">
        <v>107.747940740251</v>
      </c>
      <c r="AK5826">
        <v>8.1614447553365999</v>
      </c>
      <c r="AL5826">
        <v>64.676211340057606</v>
      </c>
      <c r="AM5826">
        <v>108.159415155434</v>
      </c>
      <c r="AN5826">
        <v>1.0000000164262799</v>
      </c>
    </row>
    <row r="5827" spans="1:40" x14ac:dyDescent="0.25">
      <c r="A5827" t="str">
        <f>"20190304165003933"</f>
        <v>20190304165003933</v>
      </c>
      <c r="B5827" t="str">
        <f>"1551689403921981"</f>
        <v>1551689403921981</v>
      </c>
      <c r="C5827" t="s">
        <v>40</v>
      </c>
      <c r="D5827">
        <v>4.5090760000000003</v>
      </c>
      <c r="E5827">
        <v>0.50109420000000005</v>
      </c>
      <c r="F5827" t="s">
        <v>42</v>
      </c>
      <c r="G5827">
        <v>-399.11930000000001</v>
      </c>
      <c r="H5827" s="1">
        <v>-1.012452E-6</v>
      </c>
      <c r="I5827">
        <v>21.930199999999999</v>
      </c>
      <c r="J5827">
        <v>-407.10840000000002</v>
      </c>
      <c r="K5827">
        <v>1.119386</v>
      </c>
      <c r="L5827">
        <v>24.045529999999999</v>
      </c>
      <c r="M5827">
        <v>0.84335009999999999</v>
      </c>
      <c r="N5827">
        <v>-9.0445879999999992E-3</v>
      </c>
      <c r="O5827">
        <v>-0.53728849999999995</v>
      </c>
      <c r="P5827">
        <v>0.87393449999999995</v>
      </c>
      <c r="Q5827">
        <v>0.42607650000000002</v>
      </c>
      <c r="R5827">
        <v>-0.23387530000000001</v>
      </c>
      <c r="S5827">
        <v>3.4142760000000001</v>
      </c>
      <c r="T5827">
        <v>-0.46978449999999999</v>
      </c>
      <c r="U5827">
        <v>-0.92520139999999995</v>
      </c>
      <c r="V5827">
        <v>-0.28191050000000001</v>
      </c>
      <c r="W5827">
        <v>0.42769750000000001</v>
      </c>
      <c r="X5827">
        <v>0.85883719999999997</v>
      </c>
      <c r="Y5827">
        <v>-0.29182079999999999</v>
      </c>
      <c r="Z5827">
        <v>8.3917930000000002E-2</v>
      </c>
      <c r="AA5827">
        <v>0.95278450000000003</v>
      </c>
      <c r="AB5827">
        <v>33</v>
      </c>
      <c r="AC5827">
        <v>7.9890999999999996</v>
      </c>
      <c r="AD5827">
        <v>-1.119387012452</v>
      </c>
      <c r="AE5827">
        <v>-2.1153299999999899</v>
      </c>
      <c r="AF5827">
        <v>-2.4633971407681101</v>
      </c>
      <c r="AG5827">
        <v>-1.119387012452</v>
      </c>
      <c r="AH5827">
        <v>7.7326110873636704</v>
      </c>
      <c r="AI5827">
        <v>97.853351388409195</v>
      </c>
      <c r="AJ5827">
        <v>107.67044778411299</v>
      </c>
      <c r="AK5827">
        <v>8.1923517371515704</v>
      </c>
      <c r="AL5827">
        <v>64.678474026365194</v>
      </c>
      <c r="AM5827">
        <v>108.17225282855</v>
      </c>
      <c r="AN5827">
        <v>1.0000000088101699</v>
      </c>
    </row>
    <row r="5828" spans="1:40" x14ac:dyDescent="0.25">
      <c r="A5828" t="str">
        <f>"20190304165003944"</f>
        <v>20190304165003944</v>
      </c>
      <c r="B5828" t="str">
        <f>"1551689403941501"</f>
        <v>1551689403941501</v>
      </c>
      <c r="C5828" t="s">
        <v>40</v>
      </c>
      <c r="D5828">
        <v>5.0394610000000002</v>
      </c>
      <c r="E5828">
        <v>0.50154200000000004</v>
      </c>
      <c r="F5828" t="s">
        <v>42</v>
      </c>
      <c r="G5828">
        <v>-398.9769</v>
      </c>
      <c r="H5828" s="1">
        <v>-1.0672440000000001E-6</v>
      </c>
      <c r="I5828">
        <v>21.883150000000001</v>
      </c>
      <c r="J5828">
        <v>-406.97620000000001</v>
      </c>
      <c r="K5828">
        <v>1.119367</v>
      </c>
      <c r="L5828">
        <v>23.96631</v>
      </c>
      <c r="M5828">
        <v>0.84596610000000005</v>
      </c>
      <c r="N5828">
        <v>-9.0338899999999993E-3</v>
      </c>
      <c r="O5828">
        <v>-0.53316019999999997</v>
      </c>
      <c r="P5828">
        <v>0.87508889999999995</v>
      </c>
      <c r="Q5828">
        <v>0.42599890000000001</v>
      </c>
      <c r="R5828">
        <v>-0.2296608</v>
      </c>
      <c r="S5828">
        <v>3.4189150000000001</v>
      </c>
      <c r="T5828">
        <v>-0.47064830000000002</v>
      </c>
      <c r="U5828">
        <v>-0.90917969999999904</v>
      </c>
      <c r="V5828">
        <v>-0.28185359999999998</v>
      </c>
      <c r="W5828">
        <v>0.42762250000000002</v>
      </c>
      <c r="X5828">
        <v>0.85889319999999902</v>
      </c>
      <c r="Y5828">
        <v>-0.29164899999999999</v>
      </c>
      <c r="Z5828">
        <v>8.3610329999999997E-2</v>
      </c>
      <c r="AA5828">
        <v>0.95286420000000005</v>
      </c>
      <c r="AB5828">
        <v>33</v>
      </c>
      <c r="AC5828">
        <v>7.9992999999999999</v>
      </c>
      <c r="AD5828">
        <v>-1.1193680672440001</v>
      </c>
      <c r="AE5828">
        <v>-2.0831599999999901</v>
      </c>
      <c r="AF5828">
        <v>-2.4576598801072702</v>
      </c>
      <c r="AG5828">
        <v>-1.1193680672440001</v>
      </c>
      <c r="AH5828">
        <v>7.7362508528928302</v>
      </c>
      <c r="AI5828">
        <v>97.851568047007007</v>
      </c>
      <c r="AJ5828">
        <v>107.62406348091299</v>
      </c>
      <c r="AK5828">
        <v>8.1940621315157003</v>
      </c>
      <c r="AL5828">
        <v>64.683227400614598</v>
      </c>
      <c r="AM5828">
        <v>108.167719213084</v>
      </c>
      <c r="AN5828">
        <v>0.99999999167272402</v>
      </c>
    </row>
    <row r="5829" spans="1:40" x14ac:dyDescent="0.25">
      <c r="A5829" t="str">
        <f>"20190304165003957"</f>
        <v>20190304165003957</v>
      </c>
      <c r="B5829" t="str">
        <f>"1551689403951261"</f>
        <v>1551689403951261</v>
      </c>
      <c r="C5829" t="s">
        <v>40</v>
      </c>
      <c r="D5829">
        <v>4.4982030000000002</v>
      </c>
      <c r="E5829">
        <v>0.50177829999999901</v>
      </c>
      <c r="F5829" t="s">
        <v>42</v>
      </c>
      <c r="G5829">
        <v>-398.87119999999999</v>
      </c>
      <c r="H5829" s="1">
        <v>-1.106181E-6</v>
      </c>
      <c r="I5829">
        <v>21.841740000000001</v>
      </c>
      <c r="J5829">
        <v>-406.81920000000002</v>
      </c>
      <c r="K5829">
        <v>1.119348</v>
      </c>
      <c r="L5829">
        <v>23.87274</v>
      </c>
      <c r="M5829">
        <v>0.849031599999999</v>
      </c>
      <c r="N5829">
        <v>-9.0214070000000004E-3</v>
      </c>
      <c r="O5829">
        <v>-0.52826509999999904</v>
      </c>
      <c r="P5829">
        <v>0.87644200000000005</v>
      </c>
      <c r="Q5829">
        <v>0.42608889999999999</v>
      </c>
      <c r="R5829">
        <v>-0.22427169999999999</v>
      </c>
      <c r="S5829">
        <v>3.422882</v>
      </c>
      <c r="T5829">
        <v>-0.4727304</v>
      </c>
      <c r="U5829">
        <v>-0.89724729999999997</v>
      </c>
      <c r="V5829">
        <v>-0.28213670000000002</v>
      </c>
      <c r="W5829">
        <v>0.42770780000000003</v>
      </c>
      <c r="X5829">
        <v>0.85875780000000002</v>
      </c>
      <c r="Y5829">
        <v>-0.28950569999999998</v>
      </c>
      <c r="Z5829">
        <v>8.3299990000000004E-2</v>
      </c>
      <c r="AA5829">
        <v>0.95354470000000002</v>
      </c>
      <c r="AB5829">
        <v>33</v>
      </c>
      <c r="AC5829">
        <v>7.9480000000000297</v>
      </c>
      <c r="AD5829">
        <v>-1.1193491061809999</v>
      </c>
      <c r="AE5829">
        <v>-2.0310000000000001</v>
      </c>
      <c r="AF5829">
        <v>-2.4291415501466198</v>
      </c>
      <c r="AG5829">
        <v>-1.1193491061809999</v>
      </c>
      <c r="AH5829">
        <v>7.6783681427715997</v>
      </c>
      <c r="AI5829">
        <v>97.912846311761498</v>
      </c>
      <c r="AJ5829">
        <v>107.55537624370599</v>
      </c>
      <c r="AK5829">
        <v>8.1308676307074901</v>
      </c>
      <c r="AL5829">
        <v>64.6778214373998</v>
      </c>
      <c r="AM5829">
        <v>108.18744525576101</v>
      </c>
      <c r="AN5829">
        <v>1.00000001936428</v>
      </c>
    </row>
    <row r="5830" spans="1:40" x14ac:dyDescent="0.25">
      <c r="A5830" t="str">
        <f>"20190304165003968"</f>
        <v>20190304165003968</v>
      </c>
      <c r="B5830" t="str">
        <f>"1551689403961999"</f>
        <v>1551689403961999</v>
      </c>
      <c r="C5830" t="s">
        <v>40</v>
      </c>
      <c r="D5830">
        <v>4.5323729999999998</v>
      </c>
      <c r="E5830">
        <v>0.50220159999999903</v>
      </c>
      <c r="F5830" t="s">
        <v>42</v>
      </c>
      <c r="G5830">
        <v>-398.43220000000002</v>
      </c>
      <c r="H5830" s="1">
        <v>-1.281082E-6</v>
      </c>
      <c r="I5830">
        <v>21.719069999999999</v>
      </c>
      <c r="J5830">
        <v>-406.65690000000001</v>
      </c>
      <c r="K5830">
        <v>1.1193109999999999</v>
      </c>
      <c r="L5830">
        <v>23.777709999999999</v>
      </c>
      <c r="M5830">
        <v>0.85212410000000005</v>
      </c>
      <c r="N5830">
        <v>-9.0083400000000001E-3</v>
      </c>
      <c r="O5830">
        <v>-0.52326220000000001</v>
      </c>
      <c r="P5830">
        <v>0.87771639999999995</v>
      </c>
      <c r="Q5830">
        <v>0.42637219999999998</v>
      </c>
      <c r="R5830">
        <v>-0.21868000000000001</v>
      </c>
      <c r="S5830">
        <v>3.420105</v>
      </c>
      <c r="T5830">
        <v>-0.45645330000000001</v>
      </c>
      <c r="U5830">
        <v>-0.87823490000000004</v>
      </c>
      <c r="V5830">
        <v>-0.2824624</v>
      </c>
      <c r="W5830">
        <v>0.42799179999999998</v>
      </c>
      <c r="X5830">
        <v>0.85850919999999897</v>
      </c>
      <c r="Y5830">
        <v>-0.28910059999999999</v>
      </c>
      <c r="Z5830">
        <v>7.9956260000000001E-2</v>
      </c>
      <c r="AA5830">
        <v>0.95395379999999996</v>
      </c>
      <c r="AB5830">
        <v>33</v>
      </c>
      <c r="AC5830">
        <v>8.2246999999999808</v>
      </c>
      <c r="AD5830">
        <v>-1.119312281082</v>
      </c>
      <c r="AE5830">
        <v>-2.0586399999999898</v>
      </c>
      <c r="AF5830">
        <v>-2.5058862950732599</v>
      </c>
      <c r="AG5830">
        <v>-1.119312281082</v>
      </c>
      <c r="AH5830">
        <v>7.9474852034944403</v>
      </c>
      <c r="AI5830">
        <v>97.6501721205222</v>
      </c>
      <c r="AJ5830">
        <v>107.500353022231</v>
      </c>
      <c r="AK5830">
        <v>8.4080227857790693</v>
      </c>
      <c r="AL5830">
        <v>64.659818392172497</v>
      </c>
      <c r="AM5830">
        <v>108.211980777918</v>
      </c>
      <c r="AN5830">
        <v>1.0000000173828101</v>
      </c>
    </row>
    <row r="5831" spans="1:40" x14ac:dyDescent="0.25">
      <c r="A5831" t="str">
        <f>"20190304165003980"</f>
        <v>20190304165003980</v>
      </c>
      <c r="B5831" t="str">
        <f>"1551689403971758"</f>
        <v>1551689403971758</v>
      </c>
      <c r="C5831" t="s">
        <v>40</v>
      </c>
      <c r="D5831">
        <v>4.5399070000000004</v>
      </c>
      <c r="E5831">
        <v>0.50261979999999995</v>
      </c>
      <c r="F5831" t="s">
        <v>42</v>
      </c>
      <c r="G5831">
        <v>-398.1798</v>
      </c>
      <c r="H5831" s="1">
        <v>-1.3808219999999999E-6</v>
      </c>
      <c r="I5831">
        <v>21.64554</v>
      </c>
      <c r="J5831">
        <v>-406.51350000000002</v>
      </c>
      <c r="K5831">
        <v>1.1192789999999999</v>
      </c>
      <c r="L5831">
        <v>23.69455</v>
      </c>
      <c r="M5831">
        <v>0.8548074</v>
      </c>
      <c r="N5831">
        <v>-8.9968630000000008E-3</v>
      </c>
      <c r="O5831">
        <v>-0.51886739999999998</v>
      </c>
      <c r="P5831">
        <v>0.87872969999999895</v>
      </c>
      <c r="Q5831">
        <v>0.42664410000000003</v>
      </c>
      <c r="R5831">
        <v>-0.21403</v>
      </c>
      <c r="S5831">
        <v>3.4230040000000002</v>
      </c>
      <c r="T5831">
        <v>-0.45197369999999998</v>
      </c>
      <c r="U5831">
        <v>-0.86096189999999995</v>
      </c>
      <c r="V5831">
        <v>-0.2824912</v>
      </c>
      <c r="W5831">
        <v>0.42827280000000001</v>
      </c>
      <c r="X5831">
        <v>0.8583596</v>
      </c>
      <c r="Y5831">
        <v>-0.28903190000000001</v>
      </c>
      <c r="Z5831">
        <v>7.8712459999999998E-2</v>
      </c>
      <c r="AA5831">
        <v>0.95407799999999998</v>
      </c>
      <c r="AB5831">
        <v>33</v>
      </c>
      <c r="AC5831">
        <v>8.3337000000000199</v>
      </c>
      <c r="AD5831">
        <v>-1.119280380822</v>
      </c>
      <c r="AE5831">
        <v>-2.0490099999999898</v>
      </c>
      <c r="AF5831">
        <v>-2.5296504358307002</v>
      </c>
      <c r="AG5831">
        <v>-1.119280380822</v>
      </c>
      <c r="AH5831">
        <v>8.0502670898930209</v>
      </c>
      <c r="AI5831">
        <v>97.555716842498597</v>
      </c>
      <c r="AJ5831">
        <v>107.44438036652301</v>
      </c>
      <c r="AK5831">
        <v>8.5122687996212996</v>
      </c>
      <c r="AL5831">
        <v>64.642003444622006</v>
      </c>
      <c r="AM5831">
        <v>108.21667986064</v>
      </c>
      <c r="AN5831">
        <v>1.0000000361047101</v>
      </c>
    </row>
    <row r="5832" spans="1:40" x14ac:dyDescent="0.25">
      <c r="A5832" t="str">
        <f>"20190304165003991"</f>
        <v>20190304165003991</v>
      </c>
      <c r="B5832" t="str">
        <f>"1551689403981519"</f>
        <v>1551689403981519</v>
      </c>
      <c r="C5832" t="s">
        <v>40</v>
      </c>
      <c r="D5832">
        <v>4.4662410000000001</v>
      </c>
      <c r="E5832">
        <v>0.50250209999999995</v>
      </c>
      <c r="F5832" t="s">
        <v>42</v>
      </c>
      <c r="G5832">
        <v>-397.9556</v>
      </c>
      <c r="H5832" s="1">
        <v>-1.468984E-6</v>
      </c>
      <c r="I5832">
        <v>21.578620000000001</v>
      </c>
      <c r="J5832">
        <v>-406.36470000000003</v>
      </c>
      <c r="K5832">
        <v>1.119235</v>
      </c>
      <c r="L5832">
        <v>23.609220000000001</v>
      </c>
      <c r="M5832">
        <v>0.85754129999999995</v>
      </c>
      <c r="N5832">
        <v>-8.9850450000000005E-3</v>
      </c>
      <c r="O5832">
        <v>-0.51433689999999999</v>
      </c>
      <c r="P5832">
        <v>0.87970789999999999</v>
      </c>
      <c r="Q5832">
        <v>0.42703469999999999</v>
      </c>
      <c r="R5832">
        <v>-0.209178</v>
      </c>
      <c r="S5832">
        <v>3.425262</v>
      </c>
      <c r="T5832">
        <v>-0.44798870000000002</v>
      </c>
      <c r="U5832">
        <v>-0.84689329999999996</v>
      </c>
      <c r="V5832">
        <v>-0.2825589</v>
      </c>
      <c r="W5832">
        <v>0.42867480000000002</v>
      </c>
      <c r="X5832">
        <v>0.85813660000000003</v>
      </c>
      <c r="Y5832">
        <v>-0.28794330000000001</v>
      </c>
      <c r="Z5832">
        <v>7.7482519999999999E-2</v>
      </c>
      <c r="AA5832">
        <v>0.95450780000000002</v>
      </c>
      <c r="AB5832">
        <v>33</v>
      </c>
      <c r="AC5832">
        <v>8.40910000000002</v>
      </c>
      <c r="AD5832">
        <v>-1.119236468984</v>
      </c>
      <c r="AE5832">
        <v>-2.0306000000000002</v>
      </c>
      <c r="AF5832">
        <v>-2.5413511670037301</v>
      </c>
      <c r="AG5832">
        <v>-1.119236468984</v>
      </c>
      <c r="AH5832">
        <v>8.1199744021087099</v>
      </c>
      <c r="AI5832">
        <v>97.493960530759196</v>
      </c>
      <c r="AJ5832">
        <v>107.378829470539</v>
      </c>
      <c r="AK5832">
        <v>8.5816746802961301</v>
      </c>
      <c r="AL5832">
        <v>64.616511566661202</v>
      </c>
      <c r="AM5832">
        <v>108.225179130176</v>
      </c>
      <c r="AN5832">
        <v>1.0000000201918999</v>
      </c>
    </row>
    <row r="5833" spans="1:40" x14ac:dyDescent="0.25">
      <c r="A5833" t="str">
        <f>"20190304165004007"</f>
        <v>20190304165004007</v>
      </c>
      <c r="B5833" t="str">
        <f>"1551689404001548"</f>
        <v>1551689404001548</v>
      </c>
      <c r="C5833" t="s">
        <v>40</v>
      </c>
      <c r="D5833">
        <v>4.6873209999999998</v>
      </c>
      <c r="E5833">
        <v>0.50325659999999905</v>
      </c>
      <c r="F5833" t="s">
        <v>42</v>
      </c>
      <c r="G5833">
        <v>-397.63929999999999</v>
      </c>
      <c r="H5833" s="1">
        <v>-1.5981330000000001E-6</v>
      </c>
      <c r="I5833">
        <v>21.502040000000001</v>
      </c>
      <c r="J5833">
        <v>-406.18119999999999</v>
      </c>
      <c r="K5833">
        <v>1.119178</v>
      </c>
      <c r="L5833">
        <v>23.505680000000002</v>
      </c>
      <c r="M5833">
        <v>0.86082000000000003</v>
      </c>
      <c r="N5833">
        <v>-8.970067E-3</v>
      </c>
      <c r="O5833">
        <v>-0.50883049999999996</v>
      </c>
      <c r="P5833">
        <v>0.88116280000000002</v>
      </c>
      <c r="Q5833">
        <v>0.42679879999999998</v>
      </c>
      <c r="R5833">
        <v>-0.203457</v>
      </c>
      <c r="S5833">
        <v>3.4268190000000001</v>
      </c>
      <c r="T5833">
        <v>-0.43957079999999998</v>
      </c>
      <c r="U5833">
        <v>-0.82757569999999903</v>
      </c>
      <c r="V5833">
        <v>-0.2826283</v>
      </c>
      <c r="W5833">
        <v>0.42846329999999999</v>
      </c>
      <c r="X5833">
        <v>0.85821939999999997</v>
      </c>
      <c r="Y5833">
        <v>-0.287230599999999</v>
      </c>
      <c r="Z5833">
        <v>7.5436279999999994E-2</v>
      </c>
      <c r="AA5833">
        <v>0.95488640000000002</v>
      </c>
      <c r="AB5833">
        <v>33</v>
      </c>
      <c r="AC5833">
        <v>8.5418999999999894</v>
      </c>
      <c r="AD5833">
        <v>-1.1191795981329999</v>
      </c>
      <c r="AE5833">
        <v>-2.0036399999999901</v>
      </c>
      <c r="AF5833">
        <v>-2.57973499082228</v>
      </c>
      <c r="AG5833">
        <v>-1.1191795981329999</v>
      </c>
      <c r="AH5833">
        <v>8.2388296323424495</v>
      </c>
      <c r="AI5833">
        <v>97.386382811868103</v>
      </c>
      <c r="AJ5833">
        <v>107.386335350941</v>
      </c>
      <c r="AK5833">
        <v>8.7055102840967304</v>
      </c>
      <c r="AL5833">
        <v>64.629924508966297</v>
      </c>
      <c r="AM5833">
        <v>108.227717013524</v>
      </c>
      <c r="AN5833">
        <v>1.00000004697206</v>
      </c>
    </row>
    <row r="5834" spans="1:40" x14ac:dyDescent="0.25">
      <c r="A5834" t="str">
        <f>"20190304165004038"</f>
        <v>20190304165004038</v>
      </c>
      <c r="B5834" t="str">
        <f>"1551689404031803"</f>
        <v>1551689404031803</v>
      </c>
      <c r="C5834" t="s">
        <v>40</v>
      </c>
      <c r="D5834">
        <v>4.4938840000000004</v>
      </c>
      <c r="E5834">
        <v>0.50378940000000005</v>
      </c>
      <c r="F5834" t="s">
        <v>42</v>
      </c>
      <c r="G5834">
        <v>-397.42320000000001</v>
      </c>
      <c r="H5834" s="1">
        <v>-1.6825899999999999E-6</v>
      </c>
      <c r="I5834">
        <v>21.435490000000001</v>
      </c>
      <c r="J5834">
        <v>-405.78500000000003</v>
      </c>
      <c r="K5834">
        <v>1.1190020000000001</v>
      </c>
      <c r="L5834">
        <v>23.28632</v>
      </c>
      <c r="M5834">
        <v>0.86761160000000004</v>
      </c>
      <c r="N5834">
        <v>-8.9361349999999996E-3</v>
      </c>
      <c r="O5834">
        <v>-0.4971622</v>
      </c>
      <c r="P5834">
        <v>0.88447330000000002</v>
      </c>
      <c r="Q5834">
        <v>0.42533199999999999</v>
      </c>
      <c r="R5834">
        <v>-0.1918338</v>
      </c>
      <c r="S5834">
        <v>3.4297179999999998</v>
      </c>
      <c r="T5834">
        <v>-0.43827820000000001</v>
      </c>
      <c r="U5834">
        <v>-0.81069950000000002</v>
      </c>
      <c r="V5834">
        <v>-0.2824969</v>
      </c>
      <c r="W5834">
        <v>0.42708230000000003</v>
      </c>
      <c r="X5834">
        <v>0.85895069999999996</v>
      </c>
      <c r="Y5834">
        <v>-0.279084</v>
      </c>
      <c r="Z5834">
        <v>7.3537190000000002E-2</v>
      </c>
      <c r="AA5834">
        <v>0.95744680000000004</v>
      </c>
      <c r="AB5834">
        <v>33</v>
      </c>
      <c r="AC5834">
        <v>8.3618000000000094</v>
      </c>
      <c r="AD5834">
        <v>-1.11900368259</v>
      </c>
      <c r="AE5834">
        <v>-1.85083</v>
      </c>
      <c r="AF5834">
        <v>-2.5086429912579602</v>
      </c>
      <c r="AG5834">
        <v>-1.11900368259</v>
      </c>
      <c r="AH5834">
        <v>8.0380560795871592</v>
      </c>
      <c r="AI5834">
        <v>97.569769988735104</v>
      </c>
      <c r="AJ5834">
        <v>107.332920078909</v>
      </c>
      <c r="AK5834">
        <v>8.4944572774148401</v>
      </c>
      <c r="AL5834">
        <v>64.717463713130201</v>
      </c>
      <c r="AM5834">
        <v>108.205313994336</v>
      </c>
      <c r="AN5834">
        <v>1.0000000472566899</v>
      </c>
    </row>
    <row r="5835" spans="1:40" x14ac:dyDescent="0.25">
      <c r="A5835" t="str">
        <f>"20190304165004058"</f>
        <v>20190304165004058</v>
      </c>
      <c r="B5835" t="str">
        <f>"1551689404051323"</f>
        <v>1551689404051323</v>
      </c>
      <c r="C5835" t="s">
        <v>40</v>
      </c>
      <c r="D5835">
        <v>4.5853349999999997</v>
      </c>
      <c r="E5835">
        <v>0.50468829999999998</v>
      </c>
      <c r="F5835" t="s">
        <v>42</v>
      </c>
      <c r="G5835">
        <v>-397.10210000000001</v>
      </c>
      <c r="H5835" s="1">
        <v>-1.809256E-6</v>
      </c>
      <c r="I5835">
        <v>21.34121</v>
      </c>
      <c r="J5835">
        <v>-405.52550000000002</v>
      </c>
      <c r="K5835">
        <v>1.1188530000000001</v>
      </c>
      <c r="L5835">
        <v>23.146270000000001</v>
      </c>
      <c r="M5835">
        <v>0.87182150000000003</v>
      </c>
      <c r="N5835">
        <v>-8.912161E-3</v>
      </c>
      <c r="O5835">
        <v>-0.48974269999999998</v>
      </c>
      <c r="P5835">
        <v>0.88672419999999996</v>
      </c>
      <c r="Q5835">
        <v>0.42389480000000002</v>
      </c>
      <c r="R5835">
        <v>-0.1844818</v>
      </c>
      <c r="S5835">
        <v>3.4378660000000001</v>
      </c>
      <c r="T5835">
        <v>-0.44305539999999999</v>
      </c>
      <c r="U5835">
        <v>-0.77014159999999998</v>
      </c>
      <c r="V5835">
        <v>-0.2824738</v>
      </c>
      <c r="W5835">
        <v>0.42571680000000001</v>
      </c>
      <c r="X5835">
        <v>0.85963590000000001</v>
      </c>
      <c r="Y5835">
        <v>-0.28203600000000001</v>
      </c>
      <c r="Z5835">
        <v>7.3805759999999998E-2</v>
      </c>
      <c r="AA5835">
        <v>0.95656070000000004</v>
      </c>
      <c r="AB5835">
        <v>33</v>
      </c>
      <c r="AC5835">
        <v>8.4234000000000098</v>
      </c>
      <c r="AD5835">
        <v>-1.118854809256</v>
      </c>
      <c r="AE5835">
        <v>-1.8050600000000001</v>
      </c>
      <c r="AF5835">
        <v>-2.5093805639076399</v>
      </c>
      <c r="AG5835">
        <v>-1.118854809256</v>
      </c>
      <c r="AH5835">
        <v>8.09155116365047</v>
      </c>
      <c r="AI5835">
        <v>97.523469563774498</v>
      </c>
      <c r="AJ5835">
        <v>107.22989416919</v>
      </c>
      <c r="AK5835">
        <v>8.5452926885324398</v>
      </c>
      <c r="AL5835">
        <v>64.803958693871607</v>
      </c>
      <c r="AM5835">
        <v>108.190369395799</v>
      </c>
      <c r="AN5835">
        <v>1.0000000610287401</v>
      </c>
    </row>
    <row r="5836" spans="1:40" x14ac:dyDescent="0.25">
      <c r="A5836" t="str">
        <f>"20190304165004070"</f>
        <v>20190304165004070</v>
      </c>
      <c r="B5836" t="str">
        <f>"1551689404062059"</f>
        <v>1551689404062059</v>
      </c>
      <c r="C5836" t="s">
        <v>40</v>
      </c>
      <c r="D5836">
        <v>4.4462539999999997</v>
      </c>
      <c r="E5836">
        <v>0.50482150000000003</v>
      </c>
      <c r="F5836" t="s">
        <v>42</v>
      </c>
      <c r="G5836">
        <v>-397.09699999999998</v>
      </c>
      <c r="H5836" s="1">
        <v>-1.802833E-6</v>
      </c>
      <c r="I5836">
        <v>21.307950000000002</v>
      </c>
      <c r="J5836">
        <v>-405.34930000000003</v>
      </c>
      <c r="K5836">
        <v>1.1187510000000001</v>
      </c>
      <c r="L5836">
        <v>23.05273</v>
      </c>
      <c r="M5836">
        <v>0.87457450000000003</v>
      </c>
      <c r="N5836">
        <v>-8.8957859999999993E-3</v>
      </c>
      <c r="O5836">
        <v>-0.48480980000000001</v>
      </c>
      <c r="P5836">
        <v>0.88817669999999904</v>
      </c>
      <c r="Q5836">
        <v>0.42298019999999997</v>
      </c>
      <c r="R5836">
        <v>-0.17952779999999999</v>
      </c>
      <c r="S5836">
        <v>3.4455260000000001</v>
      </c>
      <c r="T5836">
        <v>-0.45738040000000002</v>
      </c>
      <c r="U5836">
        <v>-0.75149540000000004</v>
      </c>
      <c r="V5836">
        <v>-0.28250960000000003</v>
      </c>
      <c r="W5836">
        <v>0.42485450000000002</v>
      </c>
      <c r="X5836">
        <v>0.860050599999999</v>
      </c>
      <c r="Y5836">
        <v>-0.28169820000000001</v>
      </c>
      <c r="Z5836">
        <v>7.5644939999999994E-2</v>
      </c>
      <c r="AA5836">
        <v>0.95651660000000005</v>
      </c>
      <c r="AB5836">
        <v>33</v>
      </c>
      <c r="AC5836">
        <v>8.2523000000000408</v>
      </c>
      <c r="AD5836">
        <v>-1.118752802833</v>
      </c>
      <c r="AE5836">
        <v>-1.74477999999999</v>
      </c>
      <c r="AF5836">
        <v>-2.4321657699161099</v>
      </c>
      <c r="AG5836">
        <v>-1.118752802833</v>
      </c>
      <c r="AH5836">
        <v>7.92405242857759</v>
      </c>
      <c r="AI5836">
        <v>97.686749832939597</v>
      </c>
      <c r="AJ5836">
        <v>107.06306113920699</v>
      </c>
      <c r="AK5836">
        <v>8.3640686903590602</v>
      </c>
      <c r="AL5836">
        <v>64.858546651378504</v>
      </c>
      <c r="AM5836">
        <v>108.18432829329301</v>
      </c>
      <c r="AN5836">
        <v>1.0000000274113801</v>
      </c>
    </row>
    <row r="5837" spans="1:40" x14ac:dyDescent="0.25">
      <c r="A5837" t="str">
        <f>"20190304165004083"</f>
        <v>20190304165004083</v>
      </c>
      <c r="B5837" t="str">
        <f>"1551689404071819"</f>
        <v>1551689404071819</v>
      </c>
      <c r="C5837" t="s">
        <v>40</v>
      </c>
      <c r="D5837">
        <v>4.436534</v>
      </c>
      <c r="E5837">
        <v>0.50499780000000005</v>
      </c>
      <c r="F5837" t="s">
        <v>42</v>
      </c>
      <c r="G5837">
        <v>-396.98070000000001</v>
      </c>
      <c r="H5837" s="1">
        <v>-1.8477290000000001E-6</v>
      </c>
      <c r="I5837">
        <v>21.270009999999999</v>
      </c>
      <c r="J5837">
        <v>-405.19439999999997</v>
      </c>
      <c r="K5837">
        <v>1.1186590000000001</v>
      </c>
      <c r="L5837">
        <v>22.971440000000001</v>
      </c>
      <c r="M5837">
        <v>0.87692739999999902</v>
      </c>
      <c r="N5837">
        <v>-8.8818279999999996E-3</v>
      </c>
      <c r="O5837">
        <v>-0.48054079999999899</v>
      </c>
      <c r="P5837">
        <v>0.88952969999999898</v>
      </c>
      <c r="Q5837">
        <v>0.42187959999999902</v>
      </c>
      <c r="R5837">
        <v>-0.17536979999999999</v>
      </c>
      <c r="S5837">
        <v>3.4487920000000001</v>
      </c>
      <c r="T5837">
        <v>-0.46104909999999999</v>
      </c>
      <c r="U5837">
        <v>-0.73468020000000001</v>
      </c>
      <c r="V5837">
        <v>-0.28247929999999999</v>
      </c>
      <c r="W5837">
        <v>0.42380479999999998</v>
      </c>
      <c r="X5837">
        <v>0.86057819999999996</v>
      </c>
      <c r="Y5837">
        <v>-0.28160540000000001</v>
      </c>
      <c r="Z5837">
        <v>7.5808920000000002E-2</v>
      </c>
      <c r="AA5837">
        <v>0.95653089999999996</v>
      </c>
      <c r="AB5837">
        <v>33</v>
      </c>
      <c r="AC5837">
        <v>8.2136999999999603</v>
      </c>
      <c r="AD5837">
        <v>-1.1186608477290001</v>
      </c>
      <c r="AE5837">
        <v>-1.70143</v>
      </c>
      <c r="AF5837">
        <v>-2.4121816948755201</v>
      </c>
      <c r="AG5837">
        <v>-1.1186608477290001</v>
      </c>
      <c r="AH5837">
        <v>7.8805792617205599</v>
      </c>
      <c r="AI5837">
        <v>97.729817820572706</v>
      </c>
      <c r="AJ5837">
        <v>107.018926674122</v>
      </c>
      <c r="AK5837">
        <v>8.3170639123187193</v>
      </c>
      <c r="AL5837">
        <v>64.924964109448496</v>
      </c>
      <c r="AM5837">
        <v>108.17209190099</v>
      </c>
      <c r="AN5837">
        <v>0.999999950873383</v>
      </c>
    </row>
    <row r="5838" spans="1:40" x14ac:dyDescent="0.25">
      <c r="A5838" t="str">
        <f>"20190304165004094"</f>
        <v>20190304165004094</v>
      </c>
      <c r="B5838" t="str">
        <f>"1551689404081580"</f>
        <v>1551689404081580</v>
      </c>
      <c r="C5838" t="s">
        <v>40</v>
      </c>
      <c r="D5838">
        <v>4.5114049999999999</v>
      </c>
      <c r="E5838">
        <v>0.50548700000000002</v>
      </c>
      <c r="F5838" t="s">
        <v>42</v>
      </c>
      <c r="G5838">
        <v>-396.89</v>
      </c>
      <c r="H5838" s="1">
        <v>-1.882132E-6</v>
      </c>
      <c r="I5838">
        <v>21.238219999999998</v>
      </c>
      <c r="J5838">
        <v>-405.04270000000002</v>
      </c>
      <c r="K5838">
        <v>1.1185670000000001</v>
      </c>
      <c r="L5838">
        <v>22.89246</v>
      </c>
      <c r="M5838">
        <v>0.87918490000000005</v>
      </c>
      <c r="N5838">
        <v>-8.8688269999999993E-3</v>
      </c>
      <c r="O5838">
        <v>-0.4763983</v>
      </c>
      <c r="P5838">
        <v>0.8908007</v>
      </c>
      <c r="Q5838">
        <v>0.42076190000000002</v>
      </c>
      <c r="R5838">
        <v>-0.17156179999999999</v>
      </c>
      <c r="S5838">
        <v>3.45105</v>
      </c>
      <c r="T5838">
        <v>-0.46488309999999999</v>
      </c>
      <c r="U5838">
        <v>-0.72027589999999997</v>
      </c>
      <c r="V5838">
        <v>-0.2822402</v>
      </c>
      <c r="W5838">
        <v>0.4227438</v>
      </c>
      <c r="X5838">
        <v>0.86117840000000001</v>
      </c>
      <c r="Y5838">
        <v>-0.28096589999999999</v>
      </c>
      <c r="Z5838">
        <v>7.5978740000000003E-2</v>
      </c>
      <c r="AA5838">
        <v>0.95670549999999999</v>
      </c>
      <c r="AB5838">
        <v>33</v>
      </c>
      <c r="AC5838">
        <v>8.1527000000000296</v>
      </c>
      <c r="AD5838">
        <v>-1.1185688821319999</v>
      </c>
      <c r="AE5838">
        <v>-1.6542399999999899</v>
      </c>
      <c r="AF5838">
        <v>-2.3864969845958299</v>
      </c>
      <c r="AG5838">
        <v>-1.1185688821319999</v>
      </c>
      <c r="AH5838">
        <v>7.8148277072158097</v>
      </c>
      <c r="AI5838">
        <v>97.794956221745693</v>
      </c>
      <c r="AJ5838">
        <v>106.981656024782</v>
      </c>
      <c r="AK5838">
        <v>8.2473084273008102</v>
      </c>
      <c r="AL5838">
        <v>64.992064523369706</v>
      </c>
      <c r="AM5838">
        <v>108.145894805192</v>
      </c>
      <c r="AN5838">
        <v>1.0000000437805101</v>
      </c>
    </row>
    <row r="5839" spans="1:40" x14ac:dyDescent="0.25">
      <c r="A5839" t="str">
        <f>"20190304165004111"</f>
        <v>20190304165004111</v>
      </c>
      <c r="B5839" t="str">
        <f>"1551689404102076"</f>
        <v>1551689404102076</v>
      </c>
      <c r="C5839" t="s">
        <v>40</v>
      </c>
      <c r="D5839">
        <v>4.529477</v>
      </c>
      <c r="E5839">
        <v>0.50657359999999996</v>
      </c>
      <c r="F5839" t="s">
        <v>42</v>
      </c>
      <c r="G5839">
        <v>-396.86329999999998</v>
      </c>
      <c r="H5839" s="1">
        <v>-1.887711E-6</v>
      </c>
      <c r="I5839">
        <v>21.21181</v>
      </c>
      <c r="J5839">
        <v>-404.81459999999998</v>
      </c>
      <c r="K5839">
        <v>1.1184130000000001</v>
      </c>
      <c r="L5839">
        <v>22.775670000000002</v>
      </c>
      <c r="M5839">
        <v>0.882436199999999</v>
      </c>
      <c r="N5839">
        <v>-8.8486650000000003E-3</v>
      </c>
      <c r="O5839">
        <v>-0.47034900000000002</v>
      </c>
      <c r="P5839">
        <v>0.89291939999999903</v>
      </c>
      <c r="Q5839">
        <v>0.41839779999999999</v>
      </c>
      <c r="R5839">
        <v>-0.1662476</v>
      </c>
      <c r="S5839">
        <v>3.4541930000000001</v>
      </c>
      <c r="T5839">
        <v>-0.4723773</v>
      </c>
      <c r="U5839">
        <v>-0.70974729999999997</v>
      </c>
      <c r="V5839">
        <v>-0.28178379999999997</v>
      </c>
      <c r="W5839">
        <v>0.4204772</v>
      </c>
      <c r="X5839">
        <v>0.86243649999999905</v>
      </c>
      <c r="Y5839">
        <v>-0.27723429999999999</v>
      </c>
      <c r="Z5839">
        <v>7.6292879999999993E-2</v>
      </c>
      <c r="AA5839">
        <v>0.95776850000000002</v>
      </c>
      <c r="AB5839">
        <v>33</v>
      </c>
      <c r="AC5839">
        <v>7.9512999999999998</v>
      </c>
      <c r="AD5839">
        <v>-1.1184148877109901</v>
      </c>
      <c r="AE5839">
        <v>-1.56386</v>
      </c>
      <c r="AF5839">
        <v>-2.3158593638638001</v>
      </c>
      <c r="AG5839">
        <v>-1.1184148877109901</v>
      </c>
      <c r="AH5839">
        <v>7.6074717618539802</v>
      </c>
      <c r="AI5839">
        <v>98.005735963430297</v>
      </c>
      <c r="AJ5839">
        <v>106.93124812351699</v>
      </c>
      <c r="AK5839">
        <v>8.0304223464058797</v>
      </c>
      <c r="AL5839">
        <v>65.135279918611303</v>
      </c>
      <c r="AM5839">
        <v>108.093763490269</v>
      </c>
      <c r="AN5839">
        <v>0.99999995109726303</v>
      </c>
    </row>
    <row r="5840" spans="1:40" x14ac:dyDescent="0.25">
      <c r="A5840" t="str">
        <f>"20190304165004124"</f>
        <v>20190304165004124</v>
      </c>
      <c r="B5840" t="str">
        <f>"1551689404111835"</f>
        <v>1551689404111835</v>
      </c>
      <c r="C5840" t="s">
        <v>40</v>
      </c>
      <c r="D5840">
        <v>4.6359149999999998</v>
      </c>
      <c r="E5840">
        <v>0.50657359999999996</v>
      </c>
      <c r="F5840" t="s">
        <v>42</v>
      </c>
      <c r="G5840">
        <v>-396.88889999999998</v>
      </c>
      <c r="H5840" s="1">
        <v>-1.866067E-6</v>
      </c>
      <c r="I5840">
        <v>21.175940000000001</v>
      </c>
      <c r="J5840">
        <v>-404.65460000000002</v>
      </c>
      <c r="K5840">
        <v>1.11829</v>
      </c>
      <c r="L5840">
        <v>22.69482</v>
      </c>
      <c r="M5840">
        <v>0.88463049999999999</v>
      </c>
      <c r="N5840">
        <v>-8.8340290000000002E-3</v>
      </c>
      <c r="O5840">
        <v>-0.46620899999999998</v>
      </c>
      <c r="P5840">
        <v>0.89412219999999998</v>
      </c>
      <c r="Q5840">
        <v>0.41730349999999999</v>
      </c>
      <c r="R5840">
        <v>-0.1624911</v>
      </c>
      <c r="S5840">
        <v>3.458466</v>
      </c>
      <c r="T5840">
        <v>-0.48803279999999899</v>
      </c>
      <c r="U5840">
        <v>-0.69805909999999904</v>
      </c>
      <c r="V5840">
        <v>-0.28147329999999998</v>
      </c>
      <c r="W5840">
        <v>0.41945379999999899</v>
      </c>
      <c r="X5840">
        <v>0.86303609999999897</v>
      </c>
      <c r="Y5840">
        <v>-0.27572210000000003</v>
      </c>
      <c r="Z5840">
        <v>7.8268160000000003E-2</v>
      </c>
      <c r="AA5840">
        <v>0.95804560000000005</v>
      </c>
      <c r="AB5840">
        <v>34</v>
      </c>
      <c r="AC5840">
        <v>7.76570000000003</v>
      </c>
      <c r="AD5840">
        <v>-1.118291866067</v>
      </c>
      <c r="AE5840">
        <v>-1.51887999999999</v>
      </c>
      <c r="AF5840">
        <v>-2.23229469657656</v>
      </c>
      <c r="AG5840">
        <v>-1.118291866067</v>
      </c>
      <c r="AH5840">
        <v>7.4297904868360298</v>
      </c>
      <c r="AI5840">
        <v>98.202620572371998</v>
      </c>
      <c r="AJ5840">
        <v>106.72299557233001</v>
      </c>
      <c r="AK5840">
        <v>7.83808031270123</v>
      </c>
      <c r="AL5840">
        <v>65.199891843415998</v>
      </c>
      <c r="AM5840">
        <v>108.063381354597</v>
      </c>
      <c r="AN5840">
        <v>1.0000000094252599</v>
      </c>
    </row>
    <row r="5841" spans="1:40" x14ac:dyDescent="0.25">
      <c r="A5841" t="str">
        <f>"20190304165004137"</f>
        <v>20190304165004137</v>
      </c>
      <c r="B5841" t="str">
        <f>"1551689404131356"</f>
        <v>1551689404131356</v>
      </c>
      <c r="C5841" t="s">
        <v>40</v>
      </c>
      <c r="D5841">
        <v>4.8953899999999999</v>
      </c>
      <c r="E5841">
        <v>0.5321418</v>
      </c>
      <c r="F5841" t="s">
        <v>42</v>
      </c>
      <c r="G5841">
        <v>-396.7919</v>
      </c>
      <c r="H5841" s="1">
        <v>-1.902853E-6</v>
      </c>
      <c r="I5841">
        <v>21.14179</v>
      </c>
      <c r="J5841">
        <v>-404.48439999999999</v>
      </c>
      <c r="K5841">
        <v>1.1181620000000001</v>
      </c>
      <c r="L5841">
        <v>22.609439999999999</v>
      </c>
      <c r="M5841">
        <v>0.88690859999999905</v>
      </c>
      <c r="N5841">
        <v>-8.8187549999999993E-3</v>
      </c>
      <c r="O5841">
        <v>-0.46186120000000003</v>
      </c>
      <c r="P5841">
        <v>0.89520119999999903</v>
      </c>
      <c r="Q5841">
        <v>0.41645080000000001</v>
      </c>
      <c r="R5841">
        <v>-0.15869449999999999</v>
      </c>
      <c r="S5841">
        <v>3.4607540000000001</v>
      </c>
      <c r="T5841">
        <v>-0.49221409999999999</v>
      </c>
      <c r="U5841">
        <v>-0.68356319999999904</v>
      </c>
      <c r="V5841">
        <v>-0.28094259999999999</v>
      </c>
      <c r="W5841">
        <v>0.41868270000000002</v>
      </c>
      <c r="X5841">
        <v>0.86358330000000005</v>
      </c>
      <c r="Y5841">
        <v>-0.27491880000000002</v>
      </c>
      <c r="Z5841">
        <v>7.8403819999999999E-2</v>
      </c>
      <c r="AA5841">
        <v>0.95826540000000004</v>
      </c>
      <c r="AB5841">
        <v>34</v>
      </c>
      <c r="AC5841">
        <v>7.6924999999999901</v>
      </c>
      <c r="AD5841">
        <v>-1.1181639028529999</v>
      </c>
      <c r="AE5841">
        <v>-1.4676499999999899</v>
      </c>
      <c r="AF5841">
        <v>-2.2063035810328899</v>
      </c>
      <c r="AG5841">
        <v>-1.1181639028529999</v>
      </c>
      <c r="AH5841">
        <v>7.3508256334811897</v>
      </c>
      <c r="AI5841">
        <v>98.289276238026403</v>
      </c>
      <c r="AJ5841">
        <v>106.70679449430099</v>
      </c>
      <c r="AK5841">
        <v>7.7558173972293902</v>
      </c>
      <c r="AL5841">
        <v>65.2485521066573</v>
      </c>
      <c r="AM5841">
        <v>108.020843954467</v>
      </c>
      <c r="AN5841">
        <v>1.0000000319064599</v>
      </c>
    </row>
    <row r="5842" spans="1:40" x14ac:dyDescent="0.25">
      <c r="A5842" t="str">
        <f>"20190304165004147"</f>
        <v>20190304165004147</v>
      </c>
      <c r="B5842" t="str">
        <f>"1551689404142091"</f>
        <v>1551689404142091</v>
      </c>
      <c r="C5842" t="s">
        <v>40</v>
      </c>
      <c r="D5842">
        <v>4.6261060000000001</v>
      </c>
      <c r="E5842">
        <v>0.5329933</v>
      </c>
      <c r="F5842" t="s">
        <v>42</v>
      </c>
      <c r="G5842">
        <v>-396.87979999999999</v>
      </c>
      <c r="H5842" s="1">
        <v>-1.7386059999999999E-6</v>
      </c>
      <c r="I5842">
        <v>20.680589999999999</v>
      </c>
      <c r="J5842">
        <v>-404.32870000000003</v>
      </c>
      <c r="K5842">
        <v>1.118044</v>
      </c>
      <c r="L5842">
        <v>22.532530000000001</v>
      </c>
      <c r="M5842">
        <v>0.88890590000000003</v>
      </c>
      <c r="N5842">
        <v>-8.8039209999999993E-3</v>
      </c>
      <c r="O5842">
        <v>-0.458005</v>
      </c>
      <c r="P5842">
        <v>0.89619020000000005</v>
      </c>
      <c r="Q5842">
        <v>0.41561920000000002</v>
      </c>
      <c r="R5842">
        <v>-0.1552547</v>
      </c>
      <c r="S5842">
        <v>3.43161</v>
      </c>
      <c r="T5842">
        <v>-0.50457159999999901</v>
      </c>
      <c r="U5842">
        <v>-0.87039179999999905</v>
      </c>
      <c r="V5842">
        <v>-0.28055289999999999</v>
      </c>
      <c r="W5842">
        <v>0.41792479999999999</v>
      </c>
      <c r="X5842">
        <v>0.86407699999999998</v>
      </c>
      <c r="Y5842">
        <v>-0.21943280000000001</v>
      </c>
      <c r="Z5842">
        <v>7.5759590000000002E-2</v>
      </c>
      <c r="AA5842">
        <v>0.97268169999999998</v>
      </c>
      <c r="AB5842">
        <v>34</v>
      </c>
      <c r="AC5842">
        <v>7.4489000000000303</v>
      </c>
      <c r="AD5842">
        <v>-1.1180457386059901</v>
      </c>
      <c r="AE5842">
        <v>-1.8519399999999899</v>
      </c>
      <c r="AF5842">
        <v>-1.7288209766018301</v>
      </c>
      <c r="AG5842">
        <v>-1.1180457386059901</v>
      </c>
      <c r="AH5842">
        <v>7.3146627970551004</v>
      </c>
      <c r="AI5842">
        <v>98.460801979824296</v>
      </c>
      <c r="AJ5842">
        <v>103.29783351171599</v>
      </c>
      <c r="AK5842">
        <v>7.5988907136091601</v>
      </c>
      <c r="AL5842">
        <v>65.296361113193498</v>
      </c>
      <c r="AM5842">
        <v>107.987839696105</v>
      </c>
      <c r="AN5842">
        <v>1.00000006504122</v>
      </c>
    </row>
    <row r="5843" spans="1:40" x14ac:dyDescent="0.25">
      <c r="A5843" t="str">
        <f>"20190304165004158"</f>
        <v>20190304165004158</v>
      </c>
      <c r="B5843" t="str">
        <f>"1551689404151851"</f>
        <v>1551689404151851</v>
      </c>
      <c r="C5843" t="s">
        <v>40</v>
      </c>
      <c r="D5843">
        <v>4.9934079999999996</v>
      </c>
      <c r="E5843">
        <v>0.53348229999999996</v>
      </c>
      <c r="F5843" t="s">
        <v>42</v>
      </c>
      <c r="G5843">
        <v>-396.80149999999998</v>
      </c>
      <c r="H5843" s="1">
        <v>-1.76446E-6</v>
      </c>
      <c r="I5843">
        <v>20.638649999999998</v>
      </c>
      <c r="J5843">
        <v>-404.185</v>
      </c>
      <c r="K5843">
        <v>1.1179319999999999</v>
      </c>
      <c r="L5843">
        <v>22.461980000000001</v>
      </c>
      <c r="M5843">
        <v>0.89071350000000005</v>
      </c>
      <c r="N5843">
        <v>-8.7910579999999992E-3</v>
      </c>
      <c r="O5843">
        <v>-0.45447989999999999</v>
      </c>
      <c r="P5843">
        <v>0.89698429999999996</v>
      </c>
      <c r="Q5843">
        <v>0.41503689999999999</v>
      </c>
      <c r="R5843">
        <v>-0.15219530000000001</v>
      </c>
      <c r="S5843">
        <v>3.4343870000000001</v>
      </c>
      <c r="T5843">
        <v>-0.51012040000000003</v>
      </c>
      <c r="U5843">
        <v>-0.86410520000000002</v>
      </c>
      <c r="V5843">
        <v>-0.280082</v>
      </c>
      <c r="W5843">
        <v>0.41741220000000001</v>
      </c>
      <c r="X5843">
        <v>0.86447739999999995</v>
      </c>
      <c r="Y5843">
        <v>-0.2173485</v>
      </c>
      <c r="Z5843">
        <v>7.6007630000000007E-2</v>
      </c>
      <c r="AA5843">
        <v>0.97313019999999995</v>
      </c>
      <c r="AB5843">
        <v>34</v>
      </c>
      <c r="AC5843">
        <v>7.3835000000000202</v>
      </c>
      <c r="AD5843">
        <v>-1.11793376446</v>
      </c>
      <c r="AE5843">
        <v>-1.8233299999999999</v>
      </c>
      <c r="AF5843">
        <v>-1.69502986318672</v>
      </c>
      <c r="AG5843">
        <v>-1.11793376446</v>
      </c>
      <c r="AH5843">
        <v>7.2489079608218798</v>
      </c>
      <c r="AI5843">
        <v>98.540299909429606</v>
      </c>
      <c r="AJ5843">
        <v>103.161139677851</v>
      </c>
      <c r="AK5843">
        <v>7.5279192851199799</v>
      </c>
      <c r="AL5843">
        <v>65.328684283699502</v>
      </c>
      <c r="AM5843">
        <v>107.951803813777</v>
      </c>
      <c r="AN5843">
        <v>1.0000000232717901</v>
      </c>
    </row>
    <row r="5844" spans="1:40" x14ac:dyDescent="0.25">
      <c r="A5844" t="str">
        <f>"20190304165004170"</f>
        <v>20190304165004170</v>
      </c>
      <c r="B5844" t="str">
        <f>"1551689404161611"</f>
        <v>1551689404161611</v>
      </c>
      <c r="C5844" t="s">
        <v>40</v>
      </c>
      <c r="D5844">
        <v>4.578157</v>
      </c>
      <c r="E5844">
        <v>0.53399589999999997</v>
      </c>
      <c r="F5844" t="s">
        <v>42</v>
      </c>
      <c r="G5844">
        <v>-396.68619999999999</v>
      </c>
      <c r="H5844" s="1">
        <v>-1.80677E-6</v>
      </c>
      <c r="I5844">
        <v>20.592960000000001</v>
      </c>
      <c r="J5844">
        <v>-404.02879999999999</v>
      </c>
      <c r="K5844">
        <v>1.11782</v>
      </c>
      <c r="L5844">
        <v>22.38617</v>
      </c>
      <c r="M5844">
        <v>0.89261809999999997</v>
      </c>
      <c r="N5844">
        <v>-8.7776460000000001E-3</v>
      </c>
      <c r="O5844">
        <v>-0.45072810000000002</v>
      </c>
      <c r="P5844">
        <v>0.89759580000000005</v>
      </c>
      <c r="Q5844">
        <v>0.4148347</v>
      </c>
      <c r="R5844">
        <v>-0.14911050000000001</v>
      </c>
      <c r="S5844">
        <v>3.4363100000000002</v>
      </c>
      <c r="T5844">
        <v>-0.51229389999999997</v>
      </c>
      <c r="U5844">
        <v>-0.85647580000000001</v>
      </c>
      <c r="V5844">
        <v>-0.27934150000000002</v>
      </c>
      <c r="W5844">
        <v>0.41728739999999998</v>
      </c>
      <c r="X5844">
        <v>0.86477709999999997</v>
      </c>
      <c r="Y5844">
        <v>-0.2154027</v>
      </c>
      <c r="Z5844">
        <v>7.5734190000000007E-2</v>
      </c>
      <c r="AA5844">
        <v>0.97358409999999995</v>
      </c>
      <c r="AB5844">
        <v>34</v>
      </c>
      <c r="AC5844">
        <v>7.3426</v>
      </c>
      <c r="AD5844">
        <v>-1.1178218067700001</v>
      </c>
      <c r="AE5844">
        <v>-1.79320999999999</v>
      </c>
      <c r="AF5844">
        <v>-1.6723528671808701</v>
      </c>
      <c r="AG5844">
        <v>-1.1178218067700001</v>
      </c>
      <c r="AH5844">
        <v>7.2050831097649803</v>
      </c>
      <c r="AI5844">
        <v>98.593852229168405</v>
      </c>
      <c r="AJ5844">
        <v>103.067388406362</v>
      </c>
      <c r="AK5844">
        <v>7.4806090876799098</v>
      </c>
      <c r="AL5844">
        <v>65.336550649996497</v>
      </c>
      <c r="AM5844">
        <v>107.901566319681</v>
      </c>
      <c r="AN5844">
        <v>0.999999940252708</v>
      </c>
    </row>
    <row r="5845" spans="1:40" x14ac:dyDescent="0.25">
      <c r="A5845" t="str">
        <f>"20190304165004181"</f>
        <v>20190304165004181</v>
      </c>
      <c r="B5845" t="str">
        <f>"1551689404171371"</f>
        <v>1551689404171371</v>
      </c>
      <c r="C5845" t="s">
        <v>40</v>
      </c>
      <c r="D5845">
        <v>4.5651650000000004</v>
      </c>
      <c r="E5845">
        <v>0.53458729999999999</v>
      </c>
      <c r="F5845" t="s">
        <v>42</v>
      </c>
      <c r="G5845">
        <v>-396.65030000000002</v>
      </c>
      <c r="H5845" s="1">
        <v>-1.8169510000000001E-6</v>
      </c>
      <c r="I5845">
        <v>20.567360000000001</v>
      </c>
      <c r="J5845">
        <v>-403.88159999999999</v>
      </c>
      <c r="K5845">
        <v>1.117718</v>
      </c>
      <c r="L5845">
        <v>22.315339999999999</v>
      </c>
      <c r="M5845">
        <v>0.89436659999999901</v>
      </c>
      <c r="N5845">
        <v>-8.7661100000000006E-3</v>
      </c>
      <c r="O5845">
        <v>-0.44724900000000001</v>
      </c>
      <c r="P5845">
        <v>0.89806409999999903</v>
      </c>
      <c r="Q5845">
        <v>0.41477380000000003</v>
      </c>
      <c r="R5845">
        <v>-0.1464357</v>
      </c>
      <c r="S5845">
        <v>3.4423520000000001</v>
      </c>
      <c r="T5845">
        <v>-0.52150540000000001</v>
      </c>
      <c r="U5845">
        <v>-0.84854130000000005</v>
      </c>
      <c r="V5845">
        <v>-0.27845730000000002</v>
      </c>
      <c r="W5845">
        <v>0.41730129999999999</v>
      </c>
      <c r="X5845">
        <v>0.86505560000000004</v>
      </c>
      <c r="Y5845">
        <v>-0.2139509</v>
      </c>
      <c r="Z5845">
        <v>7.6498750000000004E-2</v>
      </c>
      <c r="AA5845">
        <v>0.97384440000000005</v>
      </c>
      <c r="AB5845">
        <v>34</v>
      </c>
      <c r="AC5845">
        <v>7.2312999999999699</v>
      </c>
      <c r="AD5845">
        <v>-1.1177198169509901</v>
      </c>
      <c r="AE5845">
        <v>-1.7479799999999901</v>
      </c>
      <c r="AF5845">
        <v>-1.6340373076288801</v>
      </c>
      <c r="AG5845">
        <v>-1.1177198169509901</v>
      </c>
      <c r="AH5845">
        <v>7.0894698062887302</v>
      </c>
      <c r="AI5845">
        <v>98.734128178192194</v>
      </c>
      <c r="AJ5845">
        <v>102.979314093293</v>
      </c>
      <c r="AK5845">
        <v>7.3607036108111004</v>
      </c>
      <c r="AL5845">
        <v>65.335676308607503</v>
      </c>
      <c r="AM5845">
        <v>107.843121157453</v>
      </c>
      <c r="AN5845">
        <v>1.00000001699817</v>
      </c>
    </row>
    <row r="5846" spans="1:40" x14ac:dyDescent="0.25">
      <c r="A5846" t="str">
        <f>"20190304165004191"</f>
        <v>20190304165004191</v>
      </c>
      <c r="B5846" t="str">
        <f>"1551689404182108"</f>
        <v>1551689404182108</v>
      </c>
      <c r="C5846" t="s">
        <v>40</v>
      </c>
      <c r="D5846">
        <v>4.574573</v>
      </c>
      <c r="E5846">
        <v>0.53505190000000002</v>
      </c>
      <c r="F5846" t="s">
        <v>42</v>
      </c>
      <c r="G5846">
        <v>-396.60180000000003</v>
      </c>
      <c r="H5846" s="1">
        <v>-1.8320030000000001E-6</v>
      </c>
      <c r="I5846">
        <v>20.537769999999998</v>
      </c>
      <c r="J5846">
        <v>-403.73039999999997</v>
      </c>
      <c r="K5846">
        <v>1.1176280000000001</v>
      </c>
      <c r="L5846">
        <v>22.24316</v>
      </c>
      <c r="M5846">
        <v>0.89612199999999997</v>
      </c>
      <c r="N5846">
        <v>-8.7552979999999999E-3</v>
      </c>
      <c r="O5846">
        <v>-0.44372149999999999</v>
      </c>
      <c r="P5846">
        <v>0.89859599999999995</v>
      </c>
      <c r="Q5846">
        <v>0.41447410000000001</v>
      </c>
      <c r="R5846">
        <v>-0.1440012</v>
      </c>
      <c r="S5846">
        <v>3.4477229999999999</v>
      </c>
      <c r="T5846">
        <v>-0.52935359999999998</v>
      </c>
      <c r="U5846">
        <v>-0.84185789999999905</v>
      </c>
      <c r="V5846">
        <v>-0.27734399999999998</v>
      </c>
      <c r="W5846">
        <v>0.41708109999999998</v>
      </c>
      <c r="X5846">
        <v>0.86551929999999999</v>
      </c>
      <c r="Y5846">
        <v>-0.2121072</v>
      </c>
      <c r="Z5846">
        <v>7.7008489999999999E-2</v>
      </c>
      <c r="AA5846">
        <v>0.9742075</v>
      </c>
      <c r="AB5846">
        <v>34</v>
      </c>
      <c r="AC5846">
        <v>7.1285999999999401</v>
      </c>
      <c r="AD5846">
        <v>-1.117629832003</v>
      </c>
      <c r="AE5846">
        <v>-1.70538999999999</v>
      </c>
      <c r="AF5846">
        <v>-1.5977900748207201</v>
      </c>
      <c r="AG5846">
        <v>-1.117629832003</v>
      </c>
      <c r="AH5846">
        <v>6.98274057195946</v>
      </c>
      <c r="AI5846">
        <v>98.867994423446703</v>
      </c>
      <c r="AJ5846">
        <v>102.888530933216</v>
      </c>
      <c r="AK5846">
        <v>7.2498755478882098</v>
      </c>
      <c r="AL5846">
        <v>65.349558161703001</v>
      </c>
      <c r="AM5846">
        <v>107.767356749321</v>
      </c>
      <c r="AN5846">
        <v>0.99999999849285004</v>
      </c>
    </row>
    <row r="5847" spans="1:40" x14ac:dyDescent="0.25">
      <c r="A5847" t="str">
        <f>"20190304165004203"</f>
        <v>20190304165004203</v>
      </c>
      <c r="B5847" t="str">
        <f>"1551689404191867"</f>
        <v>1551689404191867</v>
      </c>
      <c r="C5847" t="s">
        <v>40</v>
      </c>
      <c r="D5847">
        <v>4.5828439999999997</v>
      </c>
      <c r="E5847">
        <v>0.53541700000000003</v>
      </c>
      <c r="F5847" t="s">
        <v>42</v>
      </c>
      <c r="G5847">
        <v>-396.49439999999998</v>
      </c>
      <c r="H5847" s="1">
        <v>-1.8708909999999999E-6</v>
      </c>
      <c r="I5847">
        <v>20.49316</v>
      </c>
      <c r="J5847">
        <v>-403.58839999999998</v>
      </c>
      <c r="K5847">
        <v>1.117545</v>
      </c>
      <c r="L5847">
        <v>22.17624</v>
      </c>
      <c r="M5847">
        <v>0.89772079999999999</v>
      </c>
      <c r="N5847">
        <v>-8.7460449999999992E-3</v>
      </c>
      <c r="O5847">
        <v>-0.44047799999999998</v>
      </c>
      <c r="P5847">
        <v>0.8990245</v>
      </c>
      <c r="Q5847">
        <v>0.41431040000000002</v>
      </c>
      <c r="R5847">
        <v>-0.141780399999999</v>
      </c>
      <c r="S5847">
        <v>3.450653</v>
      </c>
      <c r="T5847">
        <v>-0.53297030000000001</v>
      </c>
      <c r="U5847">
        <v>-0.83453369999999905</v>
      </c>
      <c r="V5847">
        <v>-0.27629209999999998</v>
      </c>
      <c r="W5847">
        <v>0.41698800000000003</v>
      </c>
      <c r="X5847">
        <v>0.86590049999999996</v>
      </c>
      <c r="Y5847">
        <v>-0.2106777</v>
      </c>
      <c r="Z5847">
        <v>7.699433E-2</v>
      </c>
      <c r="AA5847">
        <v>0.97451880000000002</v>
      </c>
      <c r="AB5847">
        <v>34</v>
      </c>
      <c r="AC5847">
        <v>7.0939999999999896</v>
      </c>
      <c r="AD5847">
        <v>-1.1175468708909999</v>
      </c>
      <c r="AE5847">
        <v>-1.6830799999999999</v>
      </c>
      <c r="AF5847">
        <v>-1.5768299096568299</v>
      </c>
      <c r="AG5847">
        <v>-1.1175468708909999</v>
      </c>
      <c r="AH5847">
        <v>6.9468502594288797</v>
      </c>
      <c r="AI5847">
        <v>98.915912441836497</v>
      </c>
      <c r="AJ5847">
        <v>102.78858220412199</v>
      </c>
      <c r="AK5847">
        <v>7.2106887396110597</v>
      </c>
      <c r="AL5847">
        <v>65.355427057365802</v>
      </c>
      <c r="AM5847">
        <v>107.69687722091</v>
      </c>
      <c r="AN5847">
        <v>0.99999999628332903</v>
      </c>
    </row>
    <row r="5848" spans="1:40" x14ac:dyDescent="0.25">
      <c r="A5848" t="str">
        <f>"20190304165004215"</f>
        <v>20190304165004215</v>
      </c>
      <c r="B5848" t="str">
        <f>"1551689404211387"</f>
        <v>1551689404211387</v>
      </c>
      <c r="C5848" t="s">
        <v>40</v>
      </c>
      <c r="D5848">
        <v>4.5696219999999999</v>
      </c>
      <c r="E5848">
        <v>0.53608080000000002</v>
      </c>
      <c r="F5848" t="s">
        <v>42</v>
      </c>
      <c r="G5848">
        <v>-396.43509999999998</v>
      </c>
      <c r="H5848" s="1">
        <v>-1.891846E-6</v>
      </c>
      <c r="I5848">
        <v>20.46659</v>
      </c>
      <c r="J5848">
        <v>-403.42270000000002</v>
      </c>
      <c r="K5848">
        <v>1.117451</v>
      </c>
      <c r="L5848">
        <v>22.098479999999999</v>
      </c>
      <c r="M5848">
        <v>0.89955689999999999</v>
      </c>
      <c r="N5848">
        <v>-8.7362020000000002E-3</v>
      </c>
      <c r="O5848">
        <v>-0.4367162</v>
      </c>
      <c r="P5848">
        <v>0.89939210000000003</v>
      </c>
      <c r="Q5848">
        <v>0.41436149999999999</v>
      </c>
      <c r="R5848">
        <v>-0.13927729999999999</v>
      </c>
      <c r="S5848">
        <v>3.4554749999999999</v>
      </c>
      <c r="T5848">
        <v>-0.53984370000000004</v>
      </c>
      <c r="U5848">
        <v>-0.82586669999999995</v>
      </c>
      <c r="V5848">
        <v>-0.27496399999999999</v>
      </c>
      <c r="W5848">
        <v>0.41712100000000002</v>
      </c>
      <c r="X5848">
        <v>0.86625919999999901</v>
      </c>
      <c r="Y5848">
        <v>-0.20910090000000001</v>
      </c>
      <c r="Z5848">
        <v>7.7336710000000003E-2</v>
      </c>
      <c r="AA5848">
        <v>0.97483120000000001</v>
      </c>
      <c r="AB5848">
        <v>34</v>
      </c>
      <c r="AC5848">
        <v>6.9876000000000396</v>
      </c>
      <c r="AD5848">
        <v>-1.1174528918460001</v>
      </c>
      <c r="AE5848">
        <v>-1.6318899999999901</v>
      </c>
      <c r="AF5848">
        <v>-1.5461833826225699</v>
      </c>
      <c r="AG5848">
        <v>-1.1174528918460001</v>
      </c>
      <c r="AH5848">
        <v>6.8329738260154897</v>
      </c>
      <c r="AI5848">
        <v>99.062656128019597</v>
      </c>
      <c r="AJ5848">
        <v>102.75031316288801</v>
      </c>
      <c r="AK5848">
        <v>7.0942875135707597</v>
      </c>
      <c r="AL5848">
        <v>65.347044580250596</v>
      </c>
      <c r="AM5848">
        <v>107.61023922448101</v>
      </c>
      <c r="AN5848">
        <v>1.0000000657608099</v>
      </c>
    </row>
    <row r="5849" spans="1:40" x14ac:dyDescent="0.25">
      <c r="A5849" t="str">
        <f>"20190304165004229"</f>
        <v>20190304165004229</v>
      </c>
      <c r="B5849" t="str">
        <f>"1551689404222123"</f>
        <v>1551689404222123</v>
      </c>
      <c r="C5849" t="s">
        <v>40</v>
      </c>
      <c r="D5849">
        <v>4.5429209999999998</v>
      </c>
      <c r="E5849">
        <v>0.53634999999999999</v>
      </c>
      <c r="F5849" t="s">
        <v>42</v>
      </c>
      <c r="G5849">
        <v>-396.33659999999998</v>
      </c>
      <c r="H5849" s="1">
        <v>-1.9268759999999999E-6</v>
      </c>
      <c r="I5849">
        <v>20.423279999999998</v>
      </c>
      <c r="J5849">
        <v>-403.23739999999998</v>
      </c>
      <c r="K5849">
        <v>1.117362</v>
      </c>
      <c r="L5849">
        <v>22.012969999999999</v>
      </c>
      <c r="M5849">
        <v>0.90153890000000003</v>
      </c>
      <c r="N5849">
        <v>-8.7265539999999992E-3</v>
      </c>
      <c r="O5849">
        <v>-0.4326101</v>
      </c>
      <c r="P5849">
        <v>0.89986559999999904</v>
      </c>
      <c r="Q5849">
        <v>0.4143927</v>
      </c>
      <c r="R5849">
        <v>-0.1360895</v>
      </c>
      <c r="S5849">
        <v>3.4603269999999902</v>
      </c>
      <c r="T5849">
        <v>-0.54568719999999904</v>
      </c>
      <c r="U5849">
        <v>-0.81805419999999995</v>
      </c>
      <c r="V5849">
        <v>-0.27398099999999997</v>
      </c>
      <c r="W5849">
        <v>0.41722330000000002</v>
      </c>
      <c r="X5849">
        <v>0.86652129999999905</v>
      </c>
      <c r="Y5849">
        <v>-0.20696539999999999</v>
      </c>
      <c r="Z5849">
        <v>7.7416780000000004E-2</v>
      </c>
      <c r="AA5849">
        <v>0.97528049999999999</v>
      </c>
      <c r="AB5849">
        <v>34</v>
      </c>
      <c r="AC5849">
        <v>6.9008000000000003</v>
      </c>
      <c r="AD5849">
        <v>-1.1173639268760001</v>
      </c>
      <c r="AE5849">
        <v>-1.58969</v>
      </c>
      <c r="AF5849">
        <v>-1.5145410513351001</v>
      </c>
      <c r="AG5849">
        <v>-1.1173639268760001</v>
      </c>
      <c r="AH5849">
        <v>6.7414807961496201</v>
      </c>
      <c r="AI5849">
        <v>99.185993703602193</v>
      </c>
      <c r="AJ5849">
        <v>102.66184006319</v>
      </c>
      <c r="AK5849">
        <v>6.9992785389722298</v>
      </c>
      <c r="AL5849">
        <v>65.340593932352505</v>
      </c>
      <c r="AM5849">
        <v>107.546170791194</v>
      </c>
      <c r="AN5849">
        <v>1.0000000168887799</v>
      </c>
    </row>
    <row r="5850" spans="1:40" x14ac:dyDescent="0.25">
      <c r="A5850" t="str">
        <f>"20190304165004248"</f>
        <v>20190304165004248</v>
      </c>
      <c r="B5850" t="str">
        <f>"1551689404241643"</f>
        <v>1551689404241643</v>
      </c>
      <c r="C5850" t="s">
        <v>40</v>
      </c>
      <c r="D5850">
        <v>4.5172160000000003</v>
      </c>
      <c r="E5850">
        <v>0.53686730000000005</v>
      </c>
      <c r="F5850" t="s">
        <v>42</v>
      </c>
      <c r="G5850">
        <v>-396.18340000000001</v>
      </c>
      <c r="H5850" s="1">
        <v>-1.9868810000000001E-6</v>
      </c>
      <c r="I5850">
        <v>20.3766</v>
      </c>
      <c r="J5850">
        <v>-402.98169999999999</v>
      </c>
      <c r="K5850">
        <v>1.1172679999999999</v>
      </c>
      <c r="L5850">
        <v>21.896239999999999</v>
      </c>
      <c r="M5850">
        <v>0.90420719999999999</v>
      </c>
      <c r="N5850">
        <v>-8.7155169999999903E-3</v>
      </c>
      <c r="O5850">
        <v>-0.42700539999999998</v>
      </c>
      <c r="P5850">
        <v>0.90026629999999996</v>
      </c>
      <c r="Q5850">
        <v>0.41459849999999998</v>
      </c>
      <c r="R5850">
        <v>-0.13277420000000001</v>
      </c>
      <c r="S5850">
        <v>3.4649960000000002</v>
      </c>
      <c r="T5850">
        <v>-0.54886099999999904</v>
      </c>
      <c r="U5850">
        <v>-0.80380249999999998</v>
      </c>
      <c r="V5850">
        <v>-0.27163569999999998</v>
      </c>
      <c r="W5850">
        <v>0.41753610000000002</v>
      </c>
      <c r="X5850">
        <v>0.86710880000000001</v>
      </c>
      <c r="Y5850">
        <v>-0.20499580000000001</v>
      </c>
      <c r="Z5850">
        <v>7.6940069999999999E-2</v>
      </c>
      <c r="AA5850">
        <v>0.97573410000000005</v>
      </c>
      <c r="AB5850">
        <v>34</v>
      </c>
      <c r="AC5850">
        <v>6.7982999999999798</v>
      </c>
      <c r="AD5850">
        <v>-1.1172699868810001</v>
      </c>
      <c r="AE5850">
        <v>-1.5196399999999901</v>
      </c>
      <c r="AF5850">
        <v>-1.4905560686329999</v>
      </c>
      <c r="AG5850">
        <v>-1.1172699868810001</v>
      </c>
      <c r="AH5850">
        <v>6.6257814084788702</v>
      </c>
      <c r="AI5850">
        <v>99.342227410424996</v>
      </c>
      <c r="AJ5850">
        <v>102.678369021504</v>
      </c>
      <c r="AK5850">
        <v>6.8826614685213103</v>
      </c>
      <c r="AL5850">
        <v>65.320871628672606</v>
      </c>
      <c r="AM5850">
        <v>107.39399948101</v>
      </c>
      <c r="AN5850">
        <v>1.0000000096775701</v>
      </c>
    </row>
    <row r="5851" spans="1:40" x14ac:dyDescent="0.25">
      <c r="A5851" t="str">
        <f>"20190304165004260"</f>
        <v>20190304165004260</v>
      </c>
      <c r="B5851" t="str">
        <f>"1551689404251403"</f>
        <v>1551689404251403</v>
      </c>
      <c r="C5851" t="s">
        <v>40</v>
      </c>
      <c r="D5851">
        <v>4.5330690000000002</v>
      </c>
      <c r="E5851">
        <v>0.53722329999999996</v>
      </c>
      <c r="F5851" t="s">
        <v>42</v>
      </c>
      <c r="G5851">
        <v>-395.97379999999998</v>
      </c>
      <c r="H5851" s="1">
        <v>-2.0674369999999999E-6</v>
      </c>
      <c r="I5851">
        <v>20.306930000000001</v>
      </c>
      <c r="J5851">
        <v>-402.8109</v>
      </c>
      <c r="K5851">
        <v>1.1172150000000001</v>
      </c>
      <c r="L5851">
        <v>21.819269999999999</v>
      </c>
      <c r="M5851">
        <v>0.90594629999999998</v>
      </c>
      <c r="N5851">
        <v>-8.709629E-3</v>
      </c>
      <c r="O5851">
        <v>-0.42330299999999998</v>
      </c>
      <c r="P5851">
        <v>0.90051320000000001</v>
      </c>
      <c r="Q5851">
        <v>0.41492960000000001</v>
      </c>
      <c r="R5851">
        <v>-0.1300357</v>
      </c>
      <c r="S5851">
        <v>3.471069</v>
      </c>
      <c r="T5851">
        <v>-0.55339359999999904</v>
      </c>
      <c r="U5851">
        <v>-0.78720089999999998</v>
      </c>
      <c r="V5851">
        <v>-0.27060040000000002</v>
      </c>
      <c r="W5851">
        <v>0.41792040000000003</v>
      </c>
      <c r="X5851">
        <v>0.86724729999999906</v>
      </c>
      <c r="Y5851">
        <v>-0.20572879999999999</v>
      </c>
      <c r="Z5851">
        <v>7.7090809999999996E-2</v>
      </c>
      <c r="AA5851">
        <v>0.97556790000000004</v>
      </c>
      <c r="AB5851">
        <v>34</v>
      </c>
      <c r="AC5851">
        <v>6.8371000000000199</v>
      </c>
      <c r="AD5851">
        <v>-1.1172170674369899</v>
      </c>
      <c r="AE5851">
        <v>-1.51234</v>
      </c>
      <c r="AF5851">
        <v>-1.4862893416882501</v>
      </c>
      <c r="AG5851">
        <v>-1.1172170674369899</v>
      </c>
      <c r="AH5851">
        <v>6.66482474990433</v>
      </c>
      <c r="AI5851">
        <v>99.2918358317214</v>
      </c>
      <c r="AJ5851">
        <v>102.571540704233</v>
      </c>
      <c r="AK5851">
        <v>6.9193293699552996</v>
      </c>
      <c r="AL5851">
        <v>65.296635796671595</v>
      </c>
      <c r="AM5851">
        <v>107.329080270153</v>
      </c>
      <c r="AN5851">
        <v>0.99999995828680399</v>
      </c>
    </row>
    <row r="5852" spans="1:40" x14ac:dyDescent="0.25">
      <c r="A5852" t="str">
        <f>"20190304165004270"</f>
        <v>20190304165004270</v>
      </c>
      <c r="B5852" t="str">
        <f>"1551689404261163"</f>
        <v>1551689404261163</v>
      </c>
      <c r="C5852" t="s">
        <v>40</v>
      </c>
      <c r="D5852">
        <v>4.5885910000000001</v>
      </c>
      <c r="E5852">
        <v>0.53747210000000001</v>
      </c>
      <c r="F5852" t="s">
        <v>42</v>
      </c>
      <c r="G5852">
        <v>-395.80459999999999</v>
      </c>
      <c r="H5852" s="1">
        <v>-2.1334019999999998E-6</v>
      </c>
      <c r="I5852">
        <v>20.25432</v>
      </c>
      <c r="J5852">
        <v>-402.65300000000002</v>
      </c>
      <c r="K5852">
        <v>1.1171709999999999</v>
      </c>
      <c r="L5852">
        <v>21.748840000000001</v>
      </c>
      <c r="M5852">
        <v>0.90752549999999998</v>
      </c>
      <c r="N5852">
        <v>-8.7052929999999994E-3</v>
      </c>
      <c r="O5852">
        <v>-0.41990690000000003</v>
      </c>
      <c r="P5852">
        <v>0.90073000000000003</v>
      </c>
      <c r="Q5852">
        <v>0.41527579999999997</v>
      </c>
      <c r="R5852">
        <v>-0.12740219999999999</v>
      </c>
      <c r="S5852">
        <v>3.474701</v>
      </c>
      <c r="T5852">
        <v>-0.55407150000000005</v>
      </c>
      <c r="U5852">
        <v>-0.77612300000000001</v>
      </c>
      <c r="V5852">
        <v>-0.26977519999999999</v>
      </c>
      <c r="W5852">
        <v>0.41830810000000002</v>
      </c>
      <c r="X5852">
        <v>0.86731749999999996</v>
      </c>
      <c r="Y5852">
        <v>-0.20527309999999999</v>
      </c>
      <c r="Z5852">
        <v>7.6661720000000003E-2</v>
      </c>
      <c r="AA5852">
        <v>0.97569760000000005</v>
      </c>
      <c r="AB5852">
        <v>34</v>
      </c>
      <c r="AC5852">
        <v>6.8484000000000202</v>
      </c>
      <c r="AD5852">
        <v>-1.1171731334020001</v>
      </c>
      <c r="AE5852">
        <v>-1.4945199999999901</v>
      </c>
      <c r="AF5852">
        <v>-1.48179329147841</v>
      </c>
      <c r="AG5852">
        <v>-1.1171731334020001</v>
      </c>
      <c r="AH5852">
        <v>6.6734021475541896</v>
      </c>
      <c r="AI5852">
        <v>99.281599108581204</v>
      </c>
      <c r="AJ5852">
        <v>102.519112375913</v>
      </c>
      <c r="AK5852">
        <v>6.9266213547188098</v>
      </c>
      <c r="AL5852">
        <v>65.272182846239502</v>
      </c>
      <c r="AM5852">
        <v>107.278070487636</v>
      </c>
      <c r="AN5852">
        <v>0.99999998543344903</v>
      </c>
    </row>
    <row r="5853" spans="1:40" x14ac:dyDescent="0.25">
      <c r="A5853" t="str">
        <f>"20190304165004281"</f>
        <v>20190304165004281</v>
      </c>
      <c r="B5853" t="str">
        <f>"1551689404271899"</f>
        <v>1551689404271899</v>
      </c>
      <c r="C5853" t="s">
        <v>40</v>
      </c>
      <c r="D5853">
        <v>4.5227779999999997</v>
      </c>
      <c r="E5853">
        <v>0.53768839999999996</v>
      </c>
      <c r="F5853" t="s">
        <v>42</v>
      </c>
      <c r="G5853">
        <v>-395.65879999999999</v>
      </c>
      <c r="H5853" s="1">
        <v>-2.190758E-6</v>
      </c>
      <c r="I5853">
        <v>20.210809999999999</v>
      </c>
      <c r="J5853">
        <v>-402.51690000000002</v>
      </c>
      <c r="K5853">
        <v>1.11713</v>
      </c>
      <c r="L5853">
        <v>21.688749999999999</v>
      </c>
      <c r="M5853">
        <v>0.90886639999999996</v>
      </c>
      <c r="N5853">
        <v>-8.7023769999999903E-3</v>
      </c>
      <c r="O5853">
        <v>-0.4169967</v>
      </c>
      <c r="P5853">
        <v>0.90102890000000002</v>
      </c>
      <c r="Q5853">
        <v>0.4152248</v>
      </c>
      <c r="R5853">
        <v>-0.12544069999999999</v>
      </c>
      <c r="S5853">
        <v>3.4786069999999998</v>
      </c>
      <c r="T5853">
        <v>-0.55563509999999905</v>
      </c>
      <c r="U5853">
        <v>-0.76495360000000001</v>
      </c>
      <c r="V5853">
        <v>-0.26885510000000001</v>
      </c>
      <c r="W5853">
        <v>0.41829509999999998</v>
      </c>
      <c r="X5853">
        <v>0.86760939999999998</v>
      </c>
      <c r="Y5853">
        <v>-0.2053538</v>
      </c>
      <c r="Z5853">
        <v>7.6457510000000006E-2</v>
      </c>
      <c r="AA5853">
        <v>0.97569669999999997</v>
      </c>
      <c r="AB5853">
        <v>34</v>
      </c>
      <c r="AC5853">
        <v>6.8581000000000296</v>
      </c>
      <c r="AD5853">
        <v>-1.1171321907580001</v>
      </c>
      <c r="AE5853">
        <v>-1.47793999999999</v>
      </c>
      <c r="AF5853">
        <v>-1.4791076484885901</v>
      </c>
      <c r="AG5853">
        <v>-1.1171321907580001</v>
      </c>
      <c r="AH5853">
        <v>6.6802646866781199</v>
      </c>
      <c r="AI5853">
        <v>99.273109413828195</v>
      </c>
      <c r="AJ5853">
        <v>102.484700434009</v>
      </c>
      <c r="AK5853">
        <v>6.9326531754822396</v>
      </c>
      <c r="AL5853">
        <v>65.273002295932898</v>
      </c>
      <c r="AM5853">
        <v>107.217181313374</v>
      </c>
      <c r="AN5853">
        <v>0.99999996322418905</v>
      </c>
    </row>
    <row r="5854" spans="1:40" x14ac:dyDescent="0.25">
      <c r="A5854" t="str">
        <f>"20190304165004291"</f>
        <v>20190304165004291</v>
      </c>
      <c r="B5854" t="str">
        <f>"1551689404281660"</f>
        <v>1551689404281660</v>
      </c>
      <c r="C5854" t="s">
        <v>40</v>
      </c>
      <c r="D5854">
        <v>4.6497760000000001</v>
      </c>
      <c r="E5854">
        <v>0.53791619999999996</v>
      </c>
      <c r="F5854" t="s">
        <v>42</v>
      </c>
      <c r="G5854">
        <v>-395.54520000000002</v>
      </c>
      <c r="H5854" s="1">
        <v>-2.23504E-6</v>
      </c>
      <c r="I5854">
        <v>20.175370000000001</v>
      </c>
      <c r="J5854">
        <v>-402.36130000000003</v>
      </c>
      <c r="K5854">
        <v>1.1170960000000001</v>
      </c>
      <c r="L5854">
        <v>21.620539999999998</v>
      </c>
      <c r="M5854">
        <v>0.91038070000000004</v>
      </c>
      <c r="N5854">
        <v>-8.6997369999999904E-3</v>
      </c>
      <c r="O5854">
        <v>-0.4136804</v>
      </c>
      <c r="P5854">
        <v>0.90136859999999996</v>
      </c>
      <c r="Q5854">
        <v>0.41511039999999999</v>
      </c>
      <c r="R5854">
        <v>-0.1233612</v>
      </c>
      <c r="S5854">
        <v>3.4813230000000002</v>
      </c>
      <c r="T5854">
        <v>-0.55783939999999999</v>
      </c>
      <c r="U5854">
        <v>-0.75570680000000001</v>
      </c>
      <c r="V5854">
        <v>-0.26767340000000001</v>
      </c>
      <c r="W5854">
        <v>0.41822359999999997</v>
      </c>
      <c r="X5854">
        <v>0.86800919999999904</v>
      </c>
      <c r="Y5854">
        <v>-0.20441409999999999</v>
      </c>
      <c r="Z5854">
        <v>7.6220860000000001E-2</v>
      </c>
      <c r="AA5854">
        <v>0.97591249999999996</v>
      </c>
      <c r="AB5854">
        <v>34</v>
      </c>
      <c r="AC5854">
        <v>6.8160999999999996</v>
      </c>
      <c r="AD5854">
        <v>-1.1170982350399901</v>
      </c>
      <c r="AE5854">
        <v>-1.4451699999999901</v>
      </c>
      <c r="AF5854">
        <v>-1.4663955220931799</v>
      </c>
      <c r="AG5854">
        <v>-1.1170982350399901</v>
      </c>
      <c r="AH5854">
        <v>6.6328454705362399</v>
      </c>
      <c r="AI5854">
        <v>99.338607206678105</v>
      </c>
      <c r="AJ5854">
        <v>102.46647766278799</v>
      </c>
      <c r="AK5854">
        <v>6.8842474773904998</v>
      </c>
      <c r="AL5854">
        <v>65.277513365305097</v>
      </c>
      <c r="AM5854">
        <v>107.138518615091</v>
      </c>
      <c r="AN5854">
        <v>0.99999999997458</v>
      </c>
    </row>
    <row r="5855" spans="1:40" x14ac:dyDescent="0.25">
      <c r="A5855" t="str">
        <f>"20190304165004303"</f>
        <v>20190304165004303</v>
      </c>
      <c r="B5855" t="str">
        <f>"1551689404291419"</f>
        <v>1551689404291419</v>
      </c>
      <c r="C5855" t="s">
        <v>40</v>
      </c>
      <c r="D5855">
        <v>4.5779239999999897</v>
      </c>
      <c r="E5855">
        <v>0.53827969999999903</v>
      </c>
      <c r="F5855" t="s">
        <v>42</v>
      </c>
      <c r="G5855">
        <v>-395.39109999999999</v>
      </c>
      <c r="H5855" s="1">
        <v>-2.2952200000000002E-6</v>
      </c>
      <c r="I5855">
        <v>20.127749999999999</v>
      </c>
      <c r="J5855">
        <v>-402.20839999999998</v>
      </c>
      <c r="K5855">
        <v>1.1170690000000001</v>
      </c>
      <c r="L5855">
        <v>21.554349999999999</v>
      </c>
      <c r="M5855">
        <v>0.9118482</v>
      </c>
      <c r="N5855">
        <v>-8.6978139999999999E-3</v>
      </c>
      <c r="O5855">
        <v>-0.41043560000000001</v>
      </c>
      <c r="P5855">
        <v>0.90160320000000005</v>
      </c>
      <c r="Q5855">
        <v>0.41512510000000002</v>
      </c>
      <c r="R5855">
        <v>-0.1215849</v>
      </c>
      <c r="S5855">
        <v>3.483276</v>
      </c>
      <c r="T5855">
        <v>-0.55825259999999999</v>
      </c>
      <c r="U5855">
        <v>-0.74600219999999995</v>
      </c>
      <c r="V5855">
        <v>-0.26625549999999998</v>
      </c>
      <c r="W5855">
        <v>0.41828169999999998</v>
      </c>
      <c r="X5855">
        <v>0.868417199999999</v>
      </c>
      <c r="Y5855">
        <v>-0.2036731</v>
      </c>
      <c r="Z5855">
        <v>7.5773709999999994E-2</v>
      </c>
      <c r="AA5855">
        <v>0.97610220000000003</v>
      </c>
      <c r="AB5855">
        <v>34</v>
      </c>
      <c r="AC5855">
        <v>6.8172999999999799</v>
      </c>
      <c r="AD5855">
        <v>-1.1170712952199999</v>
      </c>
      <c r="AE5855">
        <v>-1.4266000000000001</v>
      </c>
      <c r="AF5855">
        <v>-1.4597277292539099</v>
      </c>
      <c r="AG5855">
        <v>-1.1170712952199999</v>
      </c>
      <c r="AH5855">
        <v>6.63154289853557</v>
      </c>
      <c r="AI5855">
        <v>99.342045008363201</v>
      </c>
      <c r="AJ5855">
        <v>102.41391469300299</v>
      </c>
      <c r="AK5855">
        <v>6.8815706446475398</v>
      </c>
      <c r="AL5855">
        <v>65.273848595354494</v>
      </c>
      <c r="AM5855">
        <v>107.04546634750299</v>
      </c>
      <c r="AN5855">
        <v>1.00000000254548</v>
      </c>
    </row>
    <row r="5856" spans="1:40" x14ac:dyDescent="0.25">
      <c r="A5856" t="str">
        <f>"20190304165004313"</f>
        <v>20190304165004313</v>
      </c>
      <c r="B5856" t="str">
        <f>"1551689404301179"</f>
        <v>1551689404301179</v>
      </c>
      <c r="C5856" t="s">
        <v>40</v>
      </c>
      <c r="D5856">
        <v>4.69468</v>
      </c>
      <c r="E5856">
        <v>0.53854969999999902</v>
      </c>
      <c r="F5856" t="s">
        <v>42</v>
      </c>
      <c r="G5856">
        <v>-395.25259999999997</v>
      </c>
      <c r="H5856" s="1">
        <v>-2.3481910000000002E-6</v>
      </c>
      <c r="I5856">
        <v>20.080739999999999</v>
      </c>
      <c r="J5856">
        <v>-402.05990000000003</v>
      </c>
      <c r="K5856">
        <v>1.117048</v>
      </c>
      <c r="L5856">
        <v>21.49042</v>
      </c>
      <c r="M5856">
        <v>0.91325829999999997</v>
      </c>
      <c r="N5856">
        <v>-8.6963059999999991E-3</v>
      </c>
      <c r="O5856">
        <v>-0.4072885</v>
      </c>
      <c r="P5856">
        <v>0.90175110000000003</v>
      </c>
      <c r="Q5856">
        <v>0.41529189999999999</v>
      </c>
      <c r="R5856">
        <v>-0.1199061</v>
      </c>
      <c r="S5856">
        <v>3.4855960000000001</v>
      </c>
      <c r="T5856">
        <v>-0.55976999999999999</v>
      </c>
      <c r="U5856">
        <v>-0.73843380000000003</v>
      </c>
      <c r="V5856">
        <v>-0.26481850000000001</v>
      </c>
      <c r="W5856">
        <v>0.41848950000000001</v>
      </c>
      <c r="X5856">
        <v>0.86875639999999998</v>
      </c>
      <c r="Y5856">
        <v>-0.20247129999999999</v>
      </c>
      <c r="Z5856">
        <v>7.5437270000000001E-2</v>
      </c>
      <c r="AA5856">
        <v>0.97637830000000003</v>
      </c>
      <c r="AB5856">
        <v>34</v>
      </c>
      <c r="AC5856">
        <v>6.8073000000000503</v>
      </c>
      <c r="AD5856">
        <v>-1.1170503481909999</v>
      </c>
      <c r="AE5856">
        <v>-1.40968</v>
      </c>
      <c r="AF5856">
        <v>-1.4478063325719199</v>
      </c>
      <c r="AG5856">
        <v>-1.1170503481909999</v>
      </c>
      <c r="AH5856">
        <v>6.6202882852352296</v>
      </c>
      <c r="AI5856">
        <v>99.360218842004201</v>
      </c>
      <c r="AJ5856">
        <v>102.335934399469</v>
      </c>
      <c r="AK5856">
        <v>6.8681993008831599</v>
      </c>
      <c r="AL5856">
        <v>65.260739778334894</v>
      </c>
      <c r="AM5856">
        <v>106.95252179703</v>
      </c>
      <c r="AN5856">
        <v>0.99999999104672999</v>
      </c>
    </row>
    <row r="5857" spans="1:40" x14ac:dyDescent="0.25">
      <c r="A5857" t="str">
        <f>"20190304165004327"</f>
        <v>20190304165004327</v>
      </c>
      <c r="B5857" t="str">
        <f>"1551689404321675"</f>
        <v>1551689404321675</v>
      </c>
      <c r="C5857" t="s">
        <v>40</v>
      </c>
      <c r="D5857">
        <v>4.6388249999999998</v>
      </c>
      <c r="E5857">
        <v>0.53879480000000002</v>
      </c>
      <c r="F5857" t="s">
        <v>42</v>
      </c>
      <c r="G5857">
        <v>-395.10669999999999</v>
      </c>
      <c r="H5857" s="1">
        <v>-2.4045969999999999E-6</v>
      </c>
      <c r="I5857">
        <v>20.03359</v>
      </c>
      <c r="J5857">
        <v>-401.86849999999998</v>
      </c>
      <c r="K5857">
        <v>1.117022</v>
      </c>
      <c r="L5857">
        <v>21.409330000000001</v>
      </c>
      <c r="M5857">
        <v>0.91504929999999995</v>
      </c>
      <c r="N5857">
        <v>-8.6951609999999999E-3</v>
      </c>
      <c r="O5857">
        <v>-0.4032483</v>
      </c>
      <c r="P5857">
        <v>0.90190840000000005</v>
      </c>
      <c r="Q5857">
        <v>0.41562559999999898</v>
      </c>
      <c r="R5857">
        <v>-0.1175455</v>
      </c>
      <c r="S5857">
        <v>3.4877319999999998</v>
      </c>
      <c r="T5857">
        <v>-0.56031229999999999</v>
      </c>
      <c r="U5857">
        <v>-0.73074340000000004</v>
      </c>
      <c r="V5857">
        <v>-0.26316469999999997</v>
      </c>
      <c r="W5857">
        <v>0.41886849999999998</v>
      </c>
      <c r="X5857">
        <v>0.86907630000000002</v>
      </c>
      <c r="Y5857">
        <v>-0.2003836</v>
      </c>
      <c r="Z5857">
        <v>7.477396E-2</v>
      </c>
      <c r="AA5857">
        <v>0.9768599</v>
      </c>
      <c r="AB5857">
        <v>34</v>
      </c>
      <c r="AC5857">
        <v>6.7617999999999903</v>
      </c>
      <c r="AD5857">
        <v>-1.1170244045969999</v>
      </c>
      <c r="AE5857">
        <v>-1.37573999999999</v>
      </c>
      <c r="AF5857">
        <v>-1.4303865406252601</v>
      </c>
      <c r="AG5857">
        <v>-1.1170244045969999</v>
      </c>
      <c r="AH5857">
        <v>6.57022679909256</v>
      </c>
      <c r="AI5857">
        <v>99.431947199137298</v>
      </c>
      <c r="AJ5857">
        <v>102.282062485081</v>
      </c>
      <c r="AK5857">
        <v>6.8162767965790003</v>
      </c>
      <c r="AL5857">
        <v>65.236829495427799</v>
      </c>
      <c r="AM5857">
        <v>106.84681944900601</v>
      </c>
      <c r="AN5857">
        <v>1.0000000474200099</v>
      </c>
    </row>
    <row r="5858" spans="1:40" x14ac:dyDescent="0.25">
      <c r="A5858" t="str">
        <f>"20190304165004339"</f>
        <v>20190304165004339</v>
      </c>
      <c r="B5858" t="str">
        <f>"1551689404331436"</f>
        <v>1551689404331436</v>
      </c>
      <c r="C5858" t="s">
        <v>40</v>
      </c>
      <c r="D5858">
        <v>4.7473679999999998</v>
      </c>
      <c r="E5858">
        <v>0.53879480000000002</v>
      </c>
      <c r="F5858" t="s">
        <v>42</v>
      </c>
      <c r="G5858">
        <v>-394.91269999999997</v>
      </c>
      <c r="H5858" s="1">
        <v>-2.480368E-6</v>
      </c>
      <c r="I5858">
        <v>19.973680000000002</v>
      </c>
      <c r="J5858">
        <v>-401.70339999999999</v>
      </c>
      <c r="K5858">
        <v>1.1170040000000001</v>
      </c>
      <c r="L5858">
        <v>21.339870000000001</v>
      </c>
      <c r="M5858">
        <v>0.91657770000000005</v>
      </c>
      <c r="N5858">
        <v>-8.6945289999999995E-3</v>
      </c>
      <c r="O5858">
        <v>-0.39976200000000001</v>
      </c>
      <c r="P5858">
        <v>0.90198420000000001</v>
      </c>
      <c r="Q5858">
        <v>0.4159042</v>
      </c>
      <c r="R5858">
        <v>-0.1159665</v>
      </c>
      <c r="S5858">
        <v>3.4906920000000001</v>
      </c>
      <c r="T5858">
        <v>-0.56056209999999995</v>
      </c>
      <c r="U5858">
        <v>-0.72045899999999996</v>
      </c>
      <c r="V5858">
        <v>-0.26130300000000001</v>
      </c>
      <c r="W5858">
        <v>0.41919279999999998</v>
      </c>
      <c r="X5858">
        <v>0.86948159999999897</v>
      </c>
      <c r="Y5858">
        <v>-0.19962389999999999</v>
      </c>
      <c r="Z5858">
        <v>7.4243829999999997E-2</v>
      </c>
      <c r="AA5858">
        <v>0.97705580000000003</v>
      </c>
      <c r="AB5858">
        <v>34</v>
      </c>
      <c r="AC5858">
        <v>6.79070000000001</v>
      </c>
      <c r="AD5858">
        <v>-1.117006480368</v>
      </c>
      <c r="AE5858">
        <v>-1.36619</v>
      </c>
      <c r="AF5858">
        <v>-1.42543204580538</v>
      </c>
      <c r="AG5858">
        <v>-1.117006480368</v>
      </c>
      <c r="AH5858">
        <v>6.5990065669683702</v>
      </c>
      <c r="AI5858">
        <v>99.394647563759406</v>
      </c>
      <c r="AJ5858">
        <v>102.189019996274</v>
      </c>
      <c r="AK5858">
        <v>6.84298528898643</v>
      </c>
      <c r="AL5858">
        <v>65.216365442545495</v>
      </c>
      <c r="AM5858">
        <v>106.726960259907</v>
      </c>
      <c r="AN5858">
        <v>1.0000000570596901</v>
      </c>
    </row>
    <row r="5859" spans="1:40" x14ac:dyDescent="0.25">
      <c r="A5859" t="str">
        <f>"20190304165004350"</f>
        <v>20190304165004350</v>
      </c>
      <c r="B5859" t="str">
        <f>"1551689404341196"</f>
        <v>1551689404341196</v>
      </c>
      <c r="C5859" t="s">
        <v>40</v>
      </c>
      <c r="D5859">
        <v>4.5658240000000001</v>
      </c>
      <c r="E5859">
        <v>0.51777629999999997</v>
      </c>
      <c r="F5859" t="s">
        <v>42</v>
      </c>
      <c r="G5859">
        <v>-394.73520000000002</v>
      </c>
      <c r="H5859" s="1">
        <v>-2.5502939999999998E-6</v>
      </c>
      <c r="I5859">
        <v>19.921150000000001</v>
      </c>
      <c r="J5859">
        <v>-401.52730000000003</v>
      </c>
      <c r="K5859">
        <v>1.1169819999999999</v>
      </c>
      <c r="L5859">
        <v>21.266719999999999</v>
      </c>
      <c r="M5859">
        <v>0.91818770000000005</v>
      </c>
      <c r="N5859">
        <v>-8.6942349999999998E-3</v>
      </c>
      <c r="O5859">
        <v>-0.39605020000000002</v>
      </c>
      <c r="P5859">
        <v>0.902335</v>
      </c>
      <c r="Q5859">
        <v>0.41562909999999997</v>
      </c>
      <c r="R5859">
        <v>-0.1142108</v>
      </c>
      <c r="S5859">
        <v>3.492737</v>
      </c>
      <c r="T5859">
        <v>-0.55988870000000002</v>
      </c>
      <c r="U5859">
        <v>-0.71112059999999999</v>
      </c>
      <c r="V5859">
        <v>-0.25949759999999999</v>
      </c>
      <c r="W5859">
        <v>0.4189638</v>
      </c>
      <c r="X5859">
        <v>0.87013240000000003</v>
      </c>
      <c r="Y5859">
        <v>-0.1983521</v>
      </c>
      <c r="Z5859">
        <v>7.3531429999999995E-2</v>
      </c>
      <c r="AA5859">
        <v>0.97736869999999998</v>
      </c>
      <c r="AB5859">
        <v>34</v>
      </c>
      <c r="AC5859">
        <v>6.7920999999999996</v>
      </c>
      <c r="AD5859">
        <v>-1.1169845502939999</v>
      </c>
      <c r="AE5859">
        <v>-1.3455699999999899</v>
      </c>
      <c r="AF5859">
        <v>-1.41768835044074</v>
      </c>
      <c r="AG5859">
        <v>-1.1169845502939999</v>
      </c>
      <c r="AH5859">
        <v>6.5978908779602596</v>
      </c>
      <c r="AI5859">
        <v>99.398187442408002</v>
      </c>
      <c r="AJ5859">
        <v>102.12675678236501</v>
      </c>
      <c r="AK5859">
        <v>6.8402966881592304</v>
      </c>
      <c r="AL5859">
        <v>65.230815715675703</v>
      </c>
      <c r="AM5859">
        <v>106.60603896280701</v>
      </c>
      <c r="AN5859">
        <v>1.00000003182297</v>
      </c>
    </row>
    <row r="5860" spans="1:40" x14ac:dyDescent="0.25">
      <c r="A5860" t="str">
        <f>"20190304165004371"</f>
        <v>20190304165004371</v>
      </c>
      <c r="B5860" t="str">
        <f>"1551689404361694"</f>
        <v>1551689404361694</v>
      </c>
      <c r="C5860" t="s">
        <v>40</v>
      </c>
      <c r="D5860">
        <v>4.5446540000000004</v>
      </c>
      <c r="E5860">
        <v>0.5145516</v>
      </c>
      <c r="F5860" t="s">
        <v>42</v>
      </c>
      <c r="G5860">
        <v>-393.07369999999997</v>
      </c>
      <c r="H5860" s="1">
        <v>-3.348945E-6</v>
      </c>
      <c r="I5860">
        <v>19.9709</v>
      </c>
      <c r="J5860">
        <v>-401.25650000000002</v>
      </c>
      <c r="K5860">
        <v>1.1169579999999999</v>
      </c>
      <c r="L5860">
        <v>21.15588</v>
      </c>
      <c r="M5860">
        <v>0.92062659999999996</v>
      </c>
      <c r="N5860">
        <v>-8.6944409999999903E-3</v>
      </c>
      <c r="O5860">
        <v>-0.39034720000000001</v>
      </c>
      <c r="P5860">
        <v>0.90270349999999999</v>
      </c>
      <c r="Q5860">
        <v>0.41523739999999998</v>
      </c>
      <c r="R5860">
        <v>-0.11271249999999999</v>
      </c>
      <c r="S5860">
        <v>3.4685060000000001</v>
      </c>
      <c r="T5860">
        <v>-0.45829839999999999</v>
      </c>
      <c r="U5860">
        <v>-0.53167719999999996</v>
      </c>
      <c r="V5860">
        <v>-0.25556800000000002</v>
      </c>
      <c r="W5860">
        <v>0.41866189999999998</v>
      </c>
      <c r="X5860">
        <v>0.87143979999999999</v>
      </c>
      <c r="Y5860">
        <v>-0.24149660000000001</v>
      </c>
      <c r="Z5860">
        <v>6.3028420000000002E-2</v>
      </c>
      <c r="AA5860">
        <v>0.96835260000000001</v>
      </c>
      <c r="AB5860">
        <v>34</v>
      </c>
      <c r="AC5860">
        <v>8.1828000000000394</v>
      </c>
      <c r="AD5860">
        <v>-1.1169613489450001</v>
      </c>
      <c r="AE5860">
        <v>-1.1849799999999899</v>
      </c>
      <c r="AF5860">
        <v>-2.065591880201</v>
      </c>
      <c r="AG5860">
        <v>-1.1169613489450001</v>
      </c>
      <c r="AH5860">
        <v>7.8528465520656399</v>
      </c>
      <c r="AI5860">
        <v>97.832302579445596</v>
      </c>
      <c r="AJ5860">
        <v>104.737102809704</v>
      </c>
      <c r="AK5860">
        <v>8.1964304084691992</v>
      </c>
      <c r="AL5860">
        <v>65.249865075416295</v>
      </c>
      <c r="AM5860">
        <v>106.34488170378501</v>
      </c>
      <c r="AN5860">
        <v>1.00000005707982</v>
      </c>
    </row>
    <row r="5861" spans="1:40" x14ac:dyDescent="0.25">
      <c r="A5861" t="str">
        <f>"20190304165004391"</f>
        <v>20190304165004391</v>
      </c>
      <c r="B5861" t="str">
        <f>"1551689404381211"</f>
        <v>1551689404381211</v>
      </c>
      <c r="C5861" t="s">
        <v>40</v>
      </c>
      <c r="D5861">
        <v>4.5369519999999897</v>
      </c>
      <c r="E5861">
        <v>0.51344599999999996</v>
      </c>
      <c r="F5861" t="s">
        <v>42</v>
      </c>
      <c r="G5861">
        <v>-392.4862</v>
      </c>
      <c r="H5861" s="1">
        <v>-3.6095220000000001E-6</v>
      </c>
      <c r="I5861">
        <v>19.906580000000002</v>
      </c>
      <c r="J5861">
        <v>-400.96480000000003</v>
      </c>
      <c r="K5861">
        <v>1.1169469999999999</v>
      </c>
      <c r="L5861">
        <v>21.03857</v>
      </c>
      <c r="M5861">
        <v>0.92320749999999996</v>
      </c>
      <c r="N5861">
        <v>-8.6927059999999997E-3</v>
      </c>
      <c r="O5861">
        <v>-0.38420379999999998</v>
      </c>
      <c r="P5861">
        <v>0.90321580000000001</v>
      </c>
      <c r="Q5861">
        <v>0.41472189999999998</v>
      </c>
      <c r="R5861">
        <v>-0.1104878</v>
      </c>
      <c r="S5861">
        <v>3.464661</v>
      </c>
      <c r="T5861">
        <v>-0.44124869999999999</v>
      </c>
      <c r="U5861">
        <v>-0.49353029999999998</v>
      </c>
      <c r="V5861">
        <v>-0.2519555</v>
      </c>
      <c r="W5861">
        <v>0.4182263</v>
      </c>
      <c r="X5861">
        <v>0.87270000000000003</v>
      </c>
      <c r="Y5861">
        <v>-0.24565119999999999</v>
      </c>
      <c r="Z5861">
        <v>6.0377449999999999E-2</v>
      </c>
      <c r="AA5861">
        <v>0.96747609999999995</v>
      </c>
      <c r="AB5861">
        <v>34</v>
      </c>
      <c r="AC5861">
        <v>8.4786000000000197</v>
      </c>
      <c r="AD5861">
        <v>-1.1169506095220001</v>
      </c>
      <c r="AE5861">
        <v>-1.1319900000000001</v>
      </c>
      <c r="AF5861">
        <v>-2.1754389273468799</v>
      </c>
      <c r="AG5861">
        <v>-1.1169506095220001</v>
      </c>
      <c r="AH5861">
        <v>8.1242085034622402</v>
      </c>
      <c r="AI5861">
        <v>97.564923737255697</v>
      </c>
      <c r="AJ5861">
        <v>104.990549445688</v>
      </c>
      <c r="AK5861">
        <v>8.4842723317003408</v>
      </c>
      <c r="AL5861">
        <v>65.277344402791698</v>
      </c>
      <c r="AM5861">
        <v>106.103853656949</v>
      </c>
      <c r="AN5861">
        <v>1.0000000509959599</v>
      </c>
    </row>
    <row r="5862" spans="1:40" x14ac:dyDescent="0.25">
      <c r="A5862" t="str">
        <f>"20190304165004402"</f>
        <v>20190304165004402</v>
      </c>
      <c r="B5862" t="str">
        <f>"1551689404391948"</f>
        <v>1551689404391948</v>
      </c>
      <c r="C5862" t="s">
        <v>40</v>
      </c>
      <c r="D5862">
        <v>4.5262070000000003</v>
      </c>
      <c r="E5862">
        <v>0.51338379999999995</v>
      </c>
      <c r="F5862" t="s">
        <v>42</v>
      </c>
      <c r="G5862">
        <v>-392.10489999999999</v>
      </c>
      <c r="H5862" s="1">
        <v>-3.7705359999999999E-6</v>
      </c>
      <c r="I5862">
        <v>19.834399999999999</v>
      </c>
      <c r="J5862">
        <v>-400.81099999999998</v>
      </c>
      <c r="K5862">
        <v>1.1169359999999999</v>
      </c>
      <c r="L5862">
        <v>20.97775</v>
      </c>
      <c r="M5862">
        <v>0.92454789999999998</v>
      </c>
      <c r="N5862">
        <v>-8.6905679999999992E-3</v>
      </c>
      <c r="O5862">
        <v>-0.38096679999999999</v>
      </c>
      <c r="P5862">
        <v>0.90345880000000001</v>
      </c>
      <c r="Q5862">
        <v>0.41454239999999998</v>
      </c>
      <c r="R5862">
        <v>-0.1091645</v>
      </c>
      <c r="S5862">
        <v>3.4643549999999999</v>
      </c>
      <c r="T5862">
        <v>-0.43674849999999998</v>
      </c>
      <c r="U5862">
        <v>-0.47085569999999999</v>
      </c>
      <c r="V5862">
        <v>-0.25018960000000001</v>
      </c>
      <c r="W5862">
        <v>0.41808329999999999</v>
      </c>
      <c r="X5862">
        <v>0.87327639999999995</v>
      </c>
      <c r="Y5862">
        <v>-0.24853919999999999</v>
      </c>
      <c r="Z5862">
        <v>5.9638679999999999E-2</v>
      </c>
      <c r="AA5862">
        <v>0.96678410000000004</v>
      </c>
      <c r="AB5862">
        <v>34</v>
      </c>
      <c r="AC5862">
        <v>8.7060999999999904</v>
      </c>
      <c r="AD5862">
        <v>-1.116939770536</v>
      </c>
      <c r="AE5862">
        <v>-1.1433500000000001</v>
      </c>
      <c r="AF5862">
        <v>-2.22375749551628</v>
      </c>
      <c r="AG5862">
        <v>-1.116939770536</v>
      </c>
      <c r="AH5862">
        <v>8.3499998155236401</v>
      </c>
      <c r="AI5862">
        <v>97.365205960028703</v>
      </c>
      <c r="AJ5862">
        <v>104.912779095781</v>
      </c>
      <c r="AK5862">
        <v>8.7129299761397601</v>
      </c>
      <c r="AL5862">
        <v>65.286364789356895</v>
      </c>
      <c r="AM5862">
        <v>105.986759870966</v>
      </c>
      <c r="AN5862">
        <v>1.000000076242</v>
      </c>
    </row>
    <row r="5863" spans="1:40" x14ac:dyDescent="0.25">
      <c r="A5863" t="str">
        <f>"20190304165004414"</f>
        <v>20190304165004414</v>
      </c>
      <c r="B5863" t="str">
        <f>"1551689404411467"</f>
        <v>1551689404411467</v>
      </c>
      <c r="C5863" t="s">
        <v>40</v>
      </c>
      <c r="D5863">
        <v>4.5543239999999896</v>
      </c>
      <c r="E5863">
        <v>0.51378380000000001</v>
      </c>
      <c r="F5863" t="s">
        <v>42</v>
      </c>
      <c r="G5863">
        <v>-391.9504</v>
      </c>
      <c r="H5863" s="1">
        <v>-3.833023E-6</v>
      </c>
      <c r="I5863">
        <v>19.794730000000001</v>
      </c>
      <c r="J5863">
        <v>-400.63929999999999</v>
      </c>
      <c r="K5863">
        <v>1.1169290000000001</v>
      </c>
      <c r="L5863">
        <v>20.910250000000001</v>
      </c>
      <c r="M5863">
        <v>0.92603040000000003</v>
      </c>
      <c r="N5863">
        <v>-8.6876790000000002E-3</v>
      </c>
      <c r="O5863">
        <v>-0.37734909999999999</v>
      </c>
      <c r="P5863">
        <v>0.90381849999999997</v>
      </c>
      <c r="Q5863">
        <v>0.41419790000000001</v>
      </c>
      <c r="R5863">
        <v>-0.10748149999999999</v>
      </c>
      <c r="S5863">
        <v>3.4651179999999999</v>
      </c>
      <c r="T5863">
        <v>-0.43680239999999998</v>
      </c>
      <c r="U5863">
        <v>-0.46264650000000002</v>
      </c>
      <c r="V5863">
        <v>-0.24844060000000001</v>
      </c>
      <c r="W5863">
        <v>0.4177749</v>
      </c>
      <c r="X5863">
        <v>0.87392300000000001</v>
      </c>
      <c r="Y5863">
        <v>-0.2470649</v>
      </c>
      <c r="Z5863">
        <v>5.9164120000000001E-2</v>
      </c>
      <c r="AA5863">
        <v>0.96719100000000002</v>
      </c>
      <c r="AB5863">
        <v>34</v>
      </c>
      <c r="AC5863">
        <v>8.6888999999999896</v>
      </c>
      <c r="AD5863">
        <v>-1.1169328330229999</v>
      </c>
      <c r="AE5863">
        <v>-1.1155200000000001</v>
      </c>
      <c r="AF5863">
        <v>-2.2099027030286198</v>
      </c>
      <c r="AG5863">
        <v>-1.1169328330229999</v>
      </c>
      <c r="AH5863">
        <v>8.3319967146994909</v>
      </c>
      <c r="AI5863">
        <v>97.382870128196203</v>
      </c>
      <c r="AJ5863">
        <v>104.85458603233999</v>
      </c>
      <c r="AK5863">
        <v>8.69214462397521</v>
      </c>
      <c r="AL5863">
        <v>65.305812992281602</v>
      </c>
      <c r="AM5863">
        <v>105.86949812422399</v>
      </c>
      <c r="AN5863">
        <v>1.0000000043636801</v>
      </c>
    </row>
    <row r="5864" spans="1:40" x14ac:dyDescent="0.25">
      <c r="A5864" t="str">
        <f>"20190304165004428"</f>
        <v>20190304165004428</v>
      </c>
      <c r="B5864" t="str">
        <f>"1551689404421555"</f>
        <v>1551689404421555</v>
      </c>
      <c r="C5864" t="s">
        <v>40</v>
      </c>
      <c r="D5864">
        <v>4.509798</v>
      </c>
      <c r="E5864">
        <v>0.51383639999999997</v>
      </c>
      <c r="F5864" t="s">
        <v>42</v>
      </c>
      <c r="G5864">
        <v>-391.84699999999998</v>
      </c>
      <c r="H5864" s="1">
        <v>-3.8698949999999996E-6</v>
      </c>
      <c r="I5864">
        <v>19.749639999999999</v>
      </c>
      <c r="J5864">
        <v>-400.46089999999998</v>
      </c>
      <c r="K5864">
        <v>1.116924</v>
      </c>
      <c r="L5864">
        <v>20.841339999999999</v>
      </c>
      <c r="M5864">
        <v>0.92755109999999996</v>
      </c>
      <c r="N5864">
        <v>-8.6845550000000001E-3</v>
      </c>
      <c r="O5864">
        <v>-0.37359550000000002</v>
      </c>
      <c r="P5864">
        <v>0.90414260000000002</v>
      </c>
      <c r="Q5864">
        <v>0.41402509999999998</v>
      </c>
      <c r="R5864">
        <v>-0.1054032</v>
      </c>
      <c r="S5864">
        <v>3.4666440000000001</v>
      </c>
      <c r="T5864">
        <v>-0.44039010000000001</v>
      </c>
      <c r="U5864">
        <v>-0.45761109999999999</v>
      </c>
      <c r="V5864">
        <v>-0.2469268</v>
      </c>
      <c r="W5864">
        <v>0.41763060000000002</v>
      </c>
      <c r="X5864">
        <v>0.8744208</v>
      </c>
      <c r="Y5864">
        <v>-0.24455060000000001</v>
      </c>
      <c r="Z5864">
        <v>5.907424E-2</v>
      </c>
      <c r="AA5864">
        <v>0.96783540000000001</v>
      </c>
      <c r="AB5864">
        <v>34</v>
      </c>
      <c r="AC5864">
        <v>8.6138999999999992</v>
      </c>
      <c r="AD5864">
        <v>-1.116927869895</v>
      </c>
      <c r="AE5864">
        <v>-1.0916999999999899</v>
      </c>
      <c r="AF5864">
        <v>-2.1696871257816102</v>
      </c>
      <c r="AG5864">
        <v>-1.116927869895</v>
      </c>
      <c r="AH5864">
        <v>8.2612998721944706</v>
      </c>
      <c r="AI5864">
        <v>97.450032168369205</v>
      </c>
      <c r="AJ5864">
        <v>104.715414317213</v>
      </c>
      <c r="AK5864">
        <v>8.6141828207120792</v>
      </c>
      <c r="AL5864">
        <v>65.314911171033501</v>
      </c>
      <c r="AM5864">
        <v>105.769095066932</v>
      </c>
      <c r="AN5864">
        <v>0.999999949043618</v>
      </c>
    </row>
    <row r="5865" spans="1:40" x14ac:dyDescent="0.25">
      <c r="A5865" t="str">
        <f>"20190304165004443"</f>
        <v>20190304165004443</v>
      </c>
      <c r="B5865" t="str">
        <f>"1551689404431295"</f>
        <v>1551689404431295</v>
      </c>
      <c r="C5865" t="s">
        <v>40</v>
      </c>
      <c r="D5865">
        <v>4.5067409999999999</v>
      </c>
      <c r="E5865">
        <v>0.51382090000000002</v>
      </c>
      <c r="F5865" t="s">
        <v>42</v>
      </c>
      <c r="G5865">
        <v>-391.68349999999998</v>
      </c>
      <c r="H5865" s="1">
        <v>-3.9357409999999999E-6</v>
      </c>
      <c r="I5865">
        <v>19.706569999999999</v>
      </c>
      <c r="J5865">
        <v>-400.24790000000002</v>
      </c>
      <c r="K5865">
        <v>1.1169180000000001</v>
      </c>
      <c r="L5865">
        <v>20.75986</v>
      </c>
      <c r="M5865">
        <v>0.92934360000000005</v>
      </c>
      <c r="N5865">
        <v>-8.68091E-3</v>
      </c>
      <c r="O5865">
        <v>-0.36911450000000001</v>
      </c>
      <c r="P5865">
        <v>0.90456530000000002</v>
      </c>
      <c r="Q5865">
        <v>0.4138095</v>
      </c>
      <c r="R5865">
        <v>-0.1025843</v>
      </c>
      <c r="S5865">
        <v>3.4678339999999999</v>
      </c>
      <c r="T5865">
        <v>-0.4412855</v>
      </c>
      <c r="U5865">
        <v>-0.4483337</v>
      </c>
      <c r="V5865">
        <v>-0.2454558</v>
      </c>
      <c r="W5865">
        <v>0.41744249999999999</v>
      </c>
      <c r="X5865">
        <v>0.874924699999999</v>
      </c>
      <c r="Y5865">
        <v>-0.24248929999999999</v>
      </c>
      <c r="Z5865">
        <v>5.8570410000000003E-2</v>
      </c>
      <c r="AA5865">
        <v>0.96838440000000003</v>
      </c>
      <c r="AB5865">
        <v>35</v>
      </c>
      <c r="AC5865">
        <v>8.5644000000000293</v>
      </c>
      <c r="AD5865">
        <v>-1.1169219357410001</v>
      </c>
      <c r="AE5865">
        <v>-1.0532899999999901</v>
      </c>
      <c r="AF5865">
        <v>-2.1464942103928899</v>
      </c>
      <c r="AG5865">
        <v>-1.1169219357410001</v>
      </c>
      <c r="AH5865">
        <v>8.2107997839509004</v>
      </c>
      <c r="AI5865">
        <v>97.497492036782504</v>
      </c>
      <c r="AJ5865">
        <v>104.65057403666</v>
      </c>
      <c r="AK5865">
        <v>8.5599173534513699</v>
      </c>
      <c r="AL5865">
        <v>65.326773482428294</v>
      </c>
      <c r="AM5865">
        <v>105.671201441471</v>
      </c>
      <c r="AN5865">
        <v>1.00000001061498</v>
      </c>
    </row>
    <row r="5866" spans="1:40" x14ac:dyDescent="0.25">
      <c r="A5866" t="str">
        <f>"20190304165004460"</f>
        <v>20190304165004460</v>
      </c>
      <c r="B5866" t="str">
        <f>"1551689404451791"</f>
        <v>1551689404451791</v>
      </c>
      <c r="C5866" t="s">
        <v>40</v>
      </c>
      <c r="D5866">
        <v>4.559812</v>
      </c>
      <c r="E5866">
        <v>0.51405639999999997</v>
      </c>
      <c r="F5866" t="s">
        <v>42</v>
      </c>
      <c r="G5866">
        <v>-391.44499999999999</v>
      </c>
      <c r="H5866" s="1">
        <v>-4.034312E-6</v>
      </c>
      <c r="I5866">
        <v>19.65326</v>
      </c>
      <c r="J5866">
        <v>-399.98570000000001</v>
      </c>
      <c r="K5866">
        <v>1.1169150000000001</v>
      </c>
      <c r="L5866">
        <v>20.661159999999999</v>
      </c>
      <c r="M5866">
        <v>0.93151450000000002</v>
      </c>
      <c r="N5866">
        <v>-8.6766699999999992E-3</v>
      </c>
      <c r="O5866">
        <v>-0.3636006</v>
      </c>
      <c r="P5866">
        <v>0.90506770000000003</v>
      </c>
      <c r="Q5866">
        <v>0.41337049999999997</v>
      </c>
      <c r="R5866">
        <v>-9.988619E-2</v>
      </c>
      <c r="S5866">
        <v>3.4684140000000001</v>
      </c>
      <c r="T5866">
        <v>-0.44007479999999899</v>
      </c>
      <c r="U5866">
        <v>-0.43600460000000002</v>
      </c>
      <c r="V5866">
        <v>-0.24293400000000001</v>
      </c>
      <c r="W5866">
        <v>0.41704910000000001</v>
      </c>
      <c r="X5866">
        <v>0.87581569999999997</v>
      </c>
      <c r="Y5866">
        <v>-0.2402272</v>
      </c>
      <c r="Z5866">
        <v>5.7667980000000001E-2</v>
      </c>
      <c r="AA5866">
        <v>0.96900220000000004</v>
      </c>
      <c r="AB5866">
        <v>35</v>
      </c>
      <c r="AC5866">
        <v>8.54070000000001</v>
      </c>
      <c r="AD5866">
        <v>-1.1169190343119999</v>
      </c>
      <c r="AE5866">
        <v>-1.00789999999999</v>
      </c>
      <c r="AF5866">
        <v>-2.1306727433916599</v>
      </c>
      <c r="AG5866">
        <v>-1.1169190343119999</v>
      </c>
      <c r="AH5866">
        <v>8.1845203176822796</v>
      </c>
      <c r="AI5866">
        <v>97.523257536291297</v>
      </c>
      <c r="AJ5866">
        <v>104.591902665779</v>
      </c>
      <c r="AK5866">
        <v>8.5307471712151095</v>
      </c>
      <c r="AL5866">
        <v>65.351575758207204</v>
      </c>
      <c r="AM5866">
        <v>105.502965079446</v>
      </c>
      <c r="AN5866">
        <v>1.00000001026665</v>
      </c>
    </row>
    <row r="5867" spans="1:40" x14ac:dyDescent="0.25">
      <c r="A5867" t="str">
        <f>"20190304165004471"</f>
        <v>20190304165004471</v>
      </c>
      <c r="B5867" t="str">
        <f>"1551689404461550"</f>
        <v>1551689404461550</v>
      </c>
      <c r="C5867" t="s">
        <v>40</v>
      </c>
      <c r="D5867">
        <v>4.5419119999999999</v>
      </c>
      <c r="E5867">
        <v>0.51402890000000001</v>
      </c>
      <c r="F5867" t="s">
        <v>42</v>
      </c>
      <c r="G5867">
        <v>-391.21850000000001</v>
      </c>
      <c r="H5867" s="1">
        <v>-4.1365119999999996E-6</v>
      </c>
      <c r="I5867">
        <v>19.588239999999999</v>
      </c>
      <c r="J5867">
        <v>-399.81540000000001</v>
      </c>
      <c r="K5867">
        <v>1.116916</v>
      </c>
      <c r="L5867">
        <v>20.59796</v>
      </c>
      <c r="M5867">
        <v>0.93290479999999998</v>
      </c>
      <c r="N5867">
        <v>-8.6741630000000004E-3</v>
      </c>
      <c r="O5867">
        <v>-0.36001880000000003</v>
      </c>
      <c r="P5867">
        <v>0.90539999999999998</v>
      </c>
      <c r="Q5867">
        <v>0.41321829999999998</v>
      </c>
      <c r="R5867">
        <v>-9.7475909999999999E-2</v>
      </c>
      <c r="S5867">
        <v>3.4697269999999998</v>
      </c>
      <c r="T5867">
        <v>-0.44203409999999899</v>
      </c>
      <c r="U5867">
        <v>-0.42462159999999899</v>
      </c>
      <c r="V5867">
        <v>-0.24192089999999999</v>
      </c>
      <c r="W5867">
        <v>0.41691339999999999</v>
      </c>
      <c r="X5867">
        <v>0.87616059999999996</v>
      </c>
      <c r="Y5867">
        <v>-0.23966390000000001</v>
      </c>
      <c r="Z5867">
        <v>5.7500790000000003E-2</v>
      </c>
      <c r="AA5867">
        <v>0.9691516</v>
      </c>
      <c r="AB5867">
        <v>35</v>
      </c>
      <c r="AC5867">
        <v>8.5968999999999998</v>
      </c>
      <c r="AD5867">
        <v>-1.1169201365120001</v>
      </c>
      <c r="AE5867">
        <v>-1.00972</v>
      </c>
      <c r="AF5867">
        <v>-2.1178912597010999</v>
      </c>
      <c r="AG5867">
        <v>-1.1169201365120001</v>
      </c>
      <c r="AH5867">
        <v>8.2466173076511904</v>
      </c>
      <c r="AI5867">
        <v>97.473540147967995</v>
      </c>
      <c r="AJ5867">
        <v>104.403388147963</v>
      </c>
      <c r="AK5867">
        <v>8.5871806198609999</v>
      </c>
      <c r="AL5867">
        <v>65.360128395311705</v>
      </c>
      <c r="AM5867">
        <v>105.435616301595</v>
      </c>
      <c r="AN5867">
        <v>0.99999995097436301</v>
      </c>
    </row>
    <row r="5868" spans="1:40" x14ac:dyDescent="0.25">
      <c r="A5868" t="str">
        <f>"20190304165004483"</f>
        <v>20190304165004483</v>
      </c>
      <c r="B5868" t="str">
        <f>"1551689404471311"</f>
        <v>1551689404471311</v>
      </c>
      <c r="C5868" t="s">
        <v>40</v>
      </c>
      <c r="D5868">
        <v>4.5183669999999996</v>
      </c>
      <c r="E5868">
        <v>0.51423569999999996</v>
      </c>
      <c r="F5868" t="s">
        <v>42</v>
      </c>
      <c r="G5868">
        <v>-391.01530000000002</v>
      </c>
      <c r="H5868" s="1">
        <v>-4.2399069999999998E-6</v>
      </c>
      <c r="I5868">
        <v>19.547049999999999</v>
      </c>
      <c r="J5868">
        <v>-399.65449999999998</v>
      </c>
      <c r="K5868">
        <v>1.1169129999999901</v>
      </c>
      <c r="L5868">
        <v>20.539090000000002</v>
      </c>
      <c r="M5868">
        <v>0.93420239999999999</v>
      </c>
      <c r="N5868">
        <v>-8.6707590000000001E-3</v>
      </c>
      <c r="O5868">
        <v>-0.35663810000000001</v>
      </c>
      <c r="P5868">
        <v>0.90558450000000001</v>
      </c>
      <c r="Q5868">
        <v>0.41331950000000001</v>
      </c>
      <c r="R5868">
        <v>-9.5308649999999995E-2</v>
      </c>
      <c r="S5868">
        <v>3.469849</v>
      </c>
      <c r="T5868">
        <v>-0.44039489999999998</v>
      </c>
      <c r="U5868">
        <v>-0.41436770000000001</v>
      </c>
      <c r="V5868">
        <v>-0.24082909999999999</v>
      </c>
      <c r="W5868">
        <v>0.41703000000000001</v>
      </c>
      <c r="X5868">
        <v>0.87640589999999996</v>
      </c>
      <c r="Y5868">
        <v>-0.23903450000000001</v>
      </c>
      <c r="Z5868">
        <v>5.6886180000000001E-2</v>
      </c>
      <c r="AA5868">
        <v>0.96934330000000002</v>
      </c>
      <c r="AB5868">
        <v>35</v>
      </c>
      <c r="AC5868">
        <v>8.6391999999999598</v>
      </c>
      <c r="AD5868">
        <v>-1.11691723990699</v>
      </c>
      <c r="AE5868">
        <v>-0.99203999999999903</v>
      </c>
      <c r="AF5868">
        <v>-2.1194185554893399</v>
      </c>
      <c r="AG5868">
        <v>-1.11691723990699</v>
      </c>
      <c r="AH5868">
        <v>8.2881473505597505</v>
      </c>
      <c r="AI5868">
        <v>97.438442968653604</v>
      </c>
      <c r="AJ5868">
        <v>104.344107577656</v>
      </c>
      <c r="AK5868">
        <v>8.6274460669855593</v>
      </c>
      <c r="AL5868">
        <v>65.352779249912601</v>
      </c>
      <c r="AM5868">
        <v>105.36515704909699</v>
      </c>
      <c r="AN5868">
        <v>0.99999998893080999</v>
      </c>
    </row>
    <row r="5869" spans="1:40" x14ac:dyDescent="0.25">
      <c r="A5869" t="str">
        <f>"20190304165004494"</f>
        <v>20190304165004494</v>
      </c>
      <c r="B5869" t="str">
        <f>"1551689404491807"</f>
        <v>1551689404491807</v>
      </c>
      <c r="C5869" t="s">
        <v>40</v>
      </c>
      <c r="D5869">
        <v>4.556317</v>
      </c>
      <c r="E5869">
        <v>0.51456109999999999</v>
      </c>
      <c r="F5869" t="s">
        <v>42</v>
      </c>
      <c r="G5869">
        <v>-390.85890000000001</v>
      </c>
      <c r="H5869" s="1">
        <v>-4.3209509999999999E-6</v>
      </c>
      <c r="I5869">
        <v>19.506879999999999</v>
      </c>
      <c r="J5869">
        <v>-399.48050000000001</v>
      </c>
      <c r="K5869">
        <v>1.1169169999999999</v>
      </c>
      <c r="L5869">
        <v>20.4758</v>
      </c>
      <c r="M5869">
        <v>0.93559130000000001</v>
      </c>
      <c r="N5869">
        <v>-8.6665409999999998E-3</v>
      </c>
      <c r="O5869">
        <v>-0.35297869999999998</v>
      </c>
      <c r="P5869">
        <v>0.90585300000000002</v>
      </c>
      <c r="Q5869">
        <v>0.41335670000000002</v>
      </c>
      <c r="R5869">
        <v>-9.2556159999999998E-2</v>
      </c>
      <c r="S5869">
        <v>3.471069</v>
      </c>
      <c r="T5869">
        <v>-0.44077470000000002</v>
      </c>
      <c r="U5869">
        <v>-0.40734860000000001</v>
      </c>
      <c r="V5869">
        <v>-0.24005750000000001</v>
      </c>
      <c r="W5869">
        <v>0.41707549999999999</v>
      </c>
      <c r="X5869">
        <v>0.87659599999999904</v>
      </c>
      <c r="Y5869">
        <v>-0.2372407</v>
      </c>
      <c r="Z5869">
        <v>5.6408350000000003E-2</v>
      </c>
      <c r="AA5869">
        <v>0.9698118</v>
      </c>
      <c r="AB5869">
        <v>35</v>
      </c>
      <c r="AC5869">
        <v>8.6216000000000008</v>
      </c>
      <c r="AD5869">
        <v>-1.1169213209509901</v>
      </c>
      <c r="AE5869">
        <v>-0.96892</v>
      </c>
      <c r="AF5869">
        <v>-2.1019707545264898</v>
      </c>
      <c r="AG5869">
        <v>-1.1169213209509901</v>
      </c>
      <c r="AH5869">
        <v>8.2715276556343404</v>
      </c>
      <c r="AI5869">
        <v>97.456062921879493</v>
      </c>
      <c r="AJ5869">
        <v>104.258266021407</v>
      </c>
      <c r="AK5869">
        <v>8.6072041946269309</v>
      </c>
      <c r="AL5869">
        <v>65.349912848825298</v>
      </c>
      <c r="AM5869">
        <v>105.315078187098</v>
      </c>
      <c r="AN5869">
        <v>1.0000000616112401</v>
      </c>
    </row>
    <row r="5870" spans="1:40" x14ac:dyDescent="0.25">
      <c r="A5870" t="str">
        <f>"20190304165004514"</f>
        <v>20190304165004514</v>
      </c>
      <c r="B5870" t="str">
        <f>"1551689404501567"</f>
        <v>1551689404501567</v>
      </c>
      <c r="C5870" t="s">
        <v>40</v>
      </c>
      <c r="D5870">
        <v>4.5558829999999997</v>
      </c>
      <c r="E5870">
        <v>0.51478990000000002</v>
      </c>
      <c r="F5870" t="s">
        <v>42</v>
      </c>
      <c r="G5870">
        <v>-390.70010000000002</v>
      </c>
      <c r="H5870" s="1">
        <v>-4.4030589999999997E-6</v>
      </c>
      <c r="I5870">
        <v>19.467140000000001</v>
      </c>
      <c r="J5870">
        <v>-399.20769999999999</v>
      </c>
      <c r="K5870">
        <v>1.1169290000000001</v>
      </c>
      <c r="L5870">
        <v>20.378540000000001</v>
      </c>
      <c r="M5870">
        <v>0.93773309999999999</v>
      </c>
      <c r="N5870">
        <v>-8.6579799999999991E-3</v>
      </c>
      <c r="O5870">
        <v>-0.34724899999999997</v>
      </c>
      <c r="P5870">
        <v>0.90636320000000004</v>
      </c>
      <c r="Q5870">
        <v>0.41311379999999998</v>
      </c>
      <c r="R5870">
        <v>-8.8562160000000001E-2</v>
      </c>
      <c r="S5870">
        <v>3.4726560000000002</v>
      </c>
      <c r="T5870">
        <v>-0.44174249999999998</v>
      </c>
      <c r="U5870">
        <v>-0.3989258</v>
      </c>
      <c r="V5870">
        <v>-0.23859730000000001</v>
      </c>
      <c r="W5870">
        <v>0.41684789999999999</v>
      </c>
      <c r="X5870">
        <v>0.87710270000000001</v>
      </c>
      <c r="Y5870">
        <v>-0.23372119999999999</v>
      </c>
      <c r="Z5870">
        <v>5.5659409999999999E-2</v>
      </c>
      <c r="AA5870">
        <v>0.9707093</v>
      </c>
      <c r="AB5870">
        <v>35</v>
      </c>
      <c r="AC5870">
        <v>8.5075999999999592</v>
      </c>
      <c r="AD5870">
        <v>-1.1169334030589999</v>
      </c>
      <c r="AE5870">
        <v>-0.91139999999999999</v>
      </c>
      <c r="AF5870">
        <v>-2.0645037700477999</v>
      </c>
      <c r="AG5870">
        <v>-1.1169334030589999</v>
      </c>
      <c r="AH5870">
        <v>8.1556734314136001</v>
      </c>
      <c r="AI5870">
        <v>97.5625956727568</v>
      </c>
      <c r="AJ5870">
        <v>104.20528933937899</v>
      </c>
      <c r="AK5870">
        <v>8.4867381933977608</v>
      </c>
      <c r="AL5870">
        <v>65.364258297586403</v>
      </c>
      <c r="AM5870">
        <v>105.217869535829</v>
      </c>
      <c r="AN5870">
        <v>0.99999999482449498</v>
      </c>
    </row>
    <row r="5871" spans="1:40" x14ac:dyDescent="0.25">
      <c r="A5871" t="str">
        <f>"20190304165004526"</f>
        <v>20190304165004526</v>
      </c>
      <c r="B5871" t="str">
        <f>"1551689404522063"</f>
        <v>1551689404522063</v>
      </c>
      <c r="C5871" t="s">
        <v>40</v>
      </c>
      <c r="D5871">
        <v>4.4826489999999897</v>
      </c>
      <c r="E5871">
        <v>0.51111309999999999</v>
      </c>
      <c r="F5871" t="s">
        <v>42</v>
      </c>
      <c r="G5871">
        <v>-390.46589999999998</v>
      </c>
      <c r="H5871" s="1">
        <v>-4.5242739999999997E-6</v>
      </c>
      <c r="I5871">
        <v>19.407820000000001</v>
      </c>
      <c r="J5871">
        <v>-399.01900000000001</v>
      </c>
      <c r="K5871">
        <v>1.116935</v>
      </c>
      <c r="L5871">
        <v>20.312470000000001</v>
      </c>
      <c r="M5871">
        <v>0.93919050000000004</v>
      </c>
      <c r="N5871">
        <v>-8.6520629999999998E-3</v>
      </c>
      <c r="O5871">
        <v>-0.34328819999999999</v>
      </c>
      <c r="P5871">
        <v>0.90675459999999997</v>
      </c>
      <c r="Q5871">
        <v>0.41297469999999997</v>
      </c>
      <c r="R5871">
        <v>-8.513503E-2</v>
      </c>
      <c r="S5871">
        <v>3.4746090000000001</v>
      </c>
      <c r="T5871">
        <v>-0.44394909999999999</v>
      </c>
      <c r="U5871">
        <v>-0.3858337</v>
      </c>
      <c r="V5871">
        <v>-0.23823659999999999</v>
      </c>
      <c r="W5871">
        <v>0.41670669999999999</v>
      </c>
      <c r="X5871">
        <v>0.87726780000000004</v>
      </c>
      <c r="Y5871">
        <v>-0.23328070000000001</v>
      </c>
      <c r="Z5871">
        <v>5.5466889999999998E-2</v>
      </c>
      <c r="AA5871">
        <v>0.97082619999999997</v>
      </c>
      <c r="AB5871">
        <v>35</v>
      </c>
      <c r="AC5871">
        <v>8.5531000000000201</v>
      </c>
      <c r="AD5871">
        <v>-1.1169395242739999</v>
      </c>
      <c r="AE5871">
        <v>-0.90464999999999995</v>
      </c>
      <c r="AF5871">
        <v>-2.0520105474247998</v>
      </c>
      <c r="AG5871">
        <v>-1.1169395242739999</v>
      </c>
      <c r="AH5871">
        <v>8.2054728884912507</v>
      </c>
      <c r="AI5871">
        <v>97.522645774180702</v>
      </c>
      <c r="AJ5871">
        <v>104.040464679387</v>
      </c>
      <c r="AK5871">
        <v>8.5315934333155496</v>
      </c>
      <c r="AL5871">
        <v>65.373157688425096</v>
      </c>
      <c r="AM5871">
        <v>105.19320074436099</v>
      </c>
      <c r="AN5871">
        <v>0.99999997216064396</v>
      </c>
    </row>
    <row r="5872" spans="1:40" x14ac:dyDescent="0.25">
      <c r="A5872" t="str">
        <f>"20190304165004538"</f>
        <v>20190304165004538</v>
      </c>
      <c r="B5872" t="str">
        <f>"1551689404531824"</f>
        <v>1551689404531824</v>
      </c>
      <c r="C5872" t="s">
        <v>40</v>
      </c>
      <c r="D5872">
        <v>4.4615839999999896</v>
      </c>
      <c r="E5872">
        <v>0.51132879999999903</v>
      </c>
      <c r="F5872" t="s">
        <v>50</v>
      </c>
      <c r="G5872">
        <v>-387.96210000000002</v>
      </c>
      <c r="H5872" s="1">
        <v>-1.0362469999999999E-6</v>
      </c>
      <c r="I5872">
        <v>19.207709999999999</v>
      </c>
      <c r="J5872">
        <v>-398.83850000000001</v>
      </c>
      <c r="K5872">
        <v>1.116941</v>
      </c>
      <c r="L5872">
        <v>20.24982</v>
      </c>
      <c r="M5872">
        <v>0.94056770000000001</v>
      </c>
      <c r="N5872">
        <v>-8.6465550000000002E-3</v>
      </c>
      <c r="O5872">
        <v>-0.33949649999999998</v>
      </c>
      <c r="P5872">
        <v>0.90710460000000004</v>
      </c>
      <c r="Q5872">
        <v>0.41281269999999998</v>
      </c>
      <c r="R5872">
        <v>-8.2141149999999996E-2</v>
      </c>
      <c r="S5872">
        <v>3.4342959999999998</v>
      </c>
      <c r="T5872">
        <v>-0.34692119999999999</v>
      </c>
      <c r="U5872">
        <v>-0.34313959999999999</v>
      </c>
      <c r="V5872">
        <v>-0.23762240000000001</v>
      </c>
      <c r="W5872">
        <v>0.41654669999999999</v>
      </c>
      <c r="X5872">
        <v>0.87751039999999902</v>
      </c>
      <c r="Y5872">
        <v>-0.24163789999999999</v>
      </c>
      <c r="Z5872">
        <v>4.3672509999999998E-2</v>
      </c>
      <c r="AA5872">
        <v>0.9693832</v>
      </c>
      <c r="AB5872">
        <v>35</v>
      </c>
      <c r="AC5872">
        <v>10.876399999999901</v>
      </c>
      <c r="AD5872">
        <v>-1.1169420362469999</v>
      </c>
      <c r="AE5872">
        <v>-1.0421099999999901</v>
      </c>
      <c r="AF5872">
        <v>-2.6843737198510098</v>
      </c>
      <c r="AG5872">
        <v>-1.1169420362469999</v>
      </c>
      <c r="AH5872">
        <v>10.474715390343899</v>
      </c>
      <c r="AI5872">
        <v>95.897407032055</v>
      </c>
      <c r="AJ5872">
        <v>104.37394846443701</v>
      </c>
      <c r="AK5872">
        <v>10.8707444220195</v>
      </c>
      <c r="AL5872">
        <v>65.383243416226904</v>
      </c>
      <c r="AM5872">
        <v>105.15183753747201</v>
      </c>
      <c r="AN5872">
        <v>1.0000000301854</v>
      </c>
    </row>
    <row r="5873" spans="1:40" x14ac:dyDescent="0.25">
      <c r="A5873" t="str">
        <f>"20190304165004550"</f>
        <v>20190304165004550</v>
      </c>
      <c r="B5873" t="str">
        <f>"1551689404541583"</f>
        <v>1551689404541583</v>
      </c>
      <c r="C5873" t="s">
        <v>40</v>
      </c>
      <c r="D5873">
        <v>4.5708989999999998</v>
      </c>
      <c r="E5873">
        <v>0.51364140000000003</v>
      </c>
      <c r="F5873" t="s">
        <v>50</v>
      </c>
      <c r="G5873">
        <v>-387.98480000000001</v>
      </c>
      <c r="H5873" s="1">
        <v>-1.027183E-6</v>
      </c>
      <c r="I5873">
        <v>19.198340000000002</v>
      </c>
      <c r="J5873">
        <v>-398.66840000000002</v>
      </c>
      <c r="K5873">
        <v>1.116949</v>
      </c>
      <c r="L5873">
        <v>20.191649999999999</v>
      </c>
      <c r="M5873">
        <v>0.94184840000000003</v>
      </c>
      <c r="N5873">
        <v>-8.6417850000000008E-3</v>
      </c>
      <c r="O5873">
        <v>-0.33592709999999998</v>
      </c>
      <c r="P5873">
        <v>0.90743960000000001</v>
      </c>
      <c r="Q5873">
        <v>0.41266989999999998</v>
      </c>
      <c r="R5873">
        <v>-7.909977E-2</v>
      </c>
      <c r="S5873">
        <v>3.4380489999999999</v>
      </c>
      <c r="T5873">
        <v>-0.35380630000000002</v>
      </c>
      <c r="U5873">
        <v>-0.3330688</v>
      </c>
      <c r="V5873">
        <v>-0.23726349999999999</v>
      </c>
      <c r="W5873">
        <v>0.4164023</v>
      </c>
      <c r="X5873">
        <v>0.87767600000000001</v>
      </c>
      <c r="Y5873">
        <v>-0.24079020000000001</v>
      </c>
      <c r="Z5873">
        <v>4.41748E-2</v>
      </c>
      <c r="AA5873">
        <v>0.96957139999999997</v>
      </c>
      <c r="AB5873">
        <v>35</v>
      </c>
      <c r="AC5873">
        <v>10.6836</v>
      </c>
      <c r="AD5873">
        <v>-1.116950027183</v>
      </c>
      <c r="AE5873">
        <v>-0.99331000000000103</v>
      </c>
      <c r="AF5873">
        <v>-2.6250159523818501</v>
      </c>
      <c r="AG5873">
        <v>-1.116950027183</v>
      </c>
      <c r="AH5873">
        <v>10.284944853854901</v>
      </c>
      <c r="AI5873">
        <v>96.006968852941597</v>
      </c>
      <c r="AJ5873">
        <v>104.317869576036</v>
      </c>
      <c r="AK5873">
        <v>10.6732552091815</v>
      </c>
      <c r="AL5873">
        <v>65.392342983634904</v>
      </c>
      <c r="AM5873">
        <v>105.127278496876</v>
      </c>
      <c r="AN5873">
        <v>1.0000000024267699</v>
      </c>
    </row>
    <row r="5874" spans="1:40" x14ac:dyDescent="0.25">
      <c r="A5874" t="str">
        <f>"20190304165004562"</f>
        <v>20190304165004562</v>
      </c>
      <c r="B5874" t="str">
        <f>"1551689404551344"</f>
        <v>1551689404551344</v>
      </c>
      <c r="C5874" t="s">
        <v>40</v>
      </c>
      <c r="D5874">
        <v>4.5233299999999996</v>
      </c>
      <c r="E5874">
        <v>0.51499490000000003</v>
      </c>
      <c r="F5874" t="s">
        <v>50</v>
      </c>
      <c r="G5874">
        <v>-388.55509999999998</v>
      </c>
      <c r="H5874" s="1">
        <v>-7.5800889999999998E-7</v>
      </c>
      <c r="I5874">
        <v>19.19614</v>
      </c>
      <c r="J5874">
        <v>-398.50279999999998</v>
      </c>
      <c r="K5874">
        <v>1.1169560000000001</v>
      </c>
      <c r="L5874">
        <v>20.135770000000001</v>
      </c>
      <c r="M5874">
        <v>0.94307960000000002</v>
      </c>
      <c r="N5874">
        <v>-8.6375529999999992E-3</v>
      </c>
      <c r="O5874">
        <v>-0.33245520000000001</v>
      </c>
      <c r="P5874">
        <v>0.90766349999999996</v>
      </c>
      <c r="Q5874">
        <v>0.41274559999999999</v>
      </c>
      <c r="R5874">
        <v>-7.6081389999999999E-2</v>
      </c>
      <c r="S5874">
        <v>3.4496769999999999</v>
      </c>
      <c r="T5874">
        <v>-0.38099280000000002</v>
      </c>
      <c r="U5874">
        <v>-0.33956910000000001</v>
      </c>
      <c r="V5874">
        <v>-0.2369463</v>
      </c>
      <c r="W5874">
        <v>0.41647479999999998</v>
      </c>
      <c r="X5874">
        <v>0.87772729999999999</v>
      </c>
      <c r="Y5874">
        <v>-0.23533799999999999</v>
      </c>
      <c r="Z5874">
        <v>4.6872379999999998E-2</v>
      </c>
      <c r="AA5874">
        <v>0.9707827</v>
      </c>
      <c r="AB5874">
        <v>35</v>
      </c>
      <c r="AC5874">
        <v>9.9476999999999904</v>
      </c>
      <c r="AD5874">
        <v>-1.1169567580088999</v>
      </c>
      <c r="AE5874">
        <v>-0.93963000000000096</v>
      </c>
      <c r="AF5874">
        <v>-2.39122808854906</v>
      </c>
      <c r="AG5874">
        <v>-1.1169567580088999</v>
      </c>
      <c r="AH5874">
        <v>9.5745749571859502</v>
      </c>
      <c r="AI5874">
        <v>96.457382849466299</v>
      </c>
      <c r="AJ5874">
        <v>104.02263735381401</v>
      </c>
      <c r="AK5874">
        <v>9.9316690330225992</v>
      </c>
      <c r="AL5874">
        <v>65.387774227522897</v>
      </c>
      <c r="AM5874">
        <v>105.107137092871</v>
      </c>
      <c r="AN5874">
        <v>1.0000000106420099</v>
      </c>
    </row>
    <row r="5875" spans="1:40" x14ac:dyDescent="0.25">
      <c r="A5875" t="str">
        <f>"20190304165004574"</f>
        <v>20190304165004574</v>
      </c>
      <c r="B5875" t="str">
        <f>"1551689404562079"</f>
        <v>1551689404562079</v>
      </c>
      <c r="C5875" t="s">
        <v>40</v>
      </c>
      <c r="D5875">
        <v>4.5529489999999999</v>
      </c>
      <c r="E5875">
        <v>0.51613750000000003</v>
      </c>
      <c r="F5875" t="s">
        <v>50</v>
      </c>
      <c r="G5875">
        <v>-388.80669999999998</v>
      </c>
      <c r="H5875" s="1">
        <v>-6.4079359999999899E-7</v>
      </c>
      <c r="I5875">
        <v>19.18627</v>
      </c>
      <c r="J5875">
        <v>-398.31830000000002</v>
      </c>
      <c r="K5875">
        <v>1.1169639999999901</v>
      </c>
      <c r="L5875">
        <v>20.073969999999999</v>
      </c>
      <c r="M5875">
        <v>0.94443630000000001</v>
      </c>
      <c r="N5875">
        <v>-8.6331329999999994E-3</v>
      </c>
      <c r="O5875">
        <v>-0.32858150000000003</v>
      </c>
      <c r="P5875">
        <v>0.9078965</v>
      </c>
      <c r="Q5875">
        <v>0.41278379999999998</v>
      </c>
      <c r="R5875">
        <v>-7.3034150000000006E-2</v>
      </c>
      <c r="S5875">
        <v>3.4579469999999999</v>
      </c>
      <c r="T5875">
        <v>-0.39834249999999999</v>
      </c>
      <c r="U5875">
        <v>-0.33862300000000001</v>
      </c>
      <c r="V5875">
        <v>-0.23629310000000001</v>
      </c>
      <c r="W5875">
        <v>0.41651549999999998</v>
      </c>
      <c r="X5875">
        <v>0.877884</v>
      </c>
      <c r="Y5875">
        <v>-0.2316008</v>
      </c>
      <c r="Z5875">
        <v>4.8346050000000002E-2</v>
      </c>
      <c r="AA5875">
        <v>0.97160880000000005</v>
      </c>
      <c r="AB5875">
        <v>35</v>
      </c>
      <c r="AC5875">
        <v>9.5116000000000405</v>
      </c>
      <c r="AD5875">
        <v>-1.11696464079359</v>
      </c>
      <c r="AE5875">
        <v>-0.88770000000000204</v>
      </c>
      <c r="AF5875">
        <v>-2.2561997627405499</v>
      </c>
      <c r="AG5875">
        <v>-1.11696464079359</v>
      </c>
      <c r="AH5875">
        <v>9.1500349862606196</v>
      </c>
      <c r="AI5875">
        <v>96.759289731314198</v>
      </c>
      <c r="AJ5875">
        <v>103.851576931046</v>
      </c>
      <c r="AK5875">
        <v>9.4900573037241003</v>
      </c>
      <c r="AL5875">
        <v>65.385207745336601</v>
      </c>
      <c r="AM5875">
        <v>105.064819493545</v>
      </c>
      <c r="AN5875">
        <v>0.99999995415192799</v>
      </c>
    </row>
    <row r="5876" spans="1:40" x14ac:dyDescent="0.25">
      <c r="A5876" t="str">
        <f>"20190304165004592"</f>
        <v>20190304165004592</v>
      </c>
      <c r="B5876" t="str">
        <f>"1551689404581598"</f>
        <v>1551689404581598</v>
      </c>
      <c r="C5876" t="s">
        <v>40</v>
      </c>
      <c r="D5876">
        <v>4.500604</v>
      </c>
      <c r="E5876">
        <v>0.51676089999999997</v>
      </c>
      <c r="F5876" t="s">
        <v>50</v>
      </c>
      <c r="G5876">
        <v>-388.84960000000001</v>
      </c>
      <c r="H5876" s="1">
        <v>-6.2570229999999998E-7</v>
      </c>
      <c r="I5876">
        <v>19.157050000000002</v>
      </c>
      <c r="J5876">
        <v>-398.05200000000002</v>
      </c>
      <c r="K5876">
        <v>1.116981</v>
      </c>
      <c r="L5876">
        <v>19.986660000000001</v>
      </c>
      <c r="M5876">
        <v>0.94636019999999998</v>
      </c>
      <c r="N5876">
        <v>-8.6282700000000004E-3</v>
      </c>
      <c r="O5876">
        <v>-0.32299809999999901</v>
      </c>
      <c r="P5876">
        <v>0.90817179999999997</v>
      </c>
      <c r="Q5876">
        <v>0.4128771</v>
      </c>
      <c r="R5876">
        <v>-6.8964120000000004E-2</v>
      </c>
      <c r="S5876">
        <v>3.463104</v>
      </c>
      <c r="T5876">
        <v>-0.40852280000000002</v>
      </c>
      <c r="U5876">
        <v>-0.33535769999999998</v>
      </c>
      <c r="V5876">
        <v>-0.23504340000000001</v>
      </c>
      <c r="W5876">
        <v>0.41661779999999998</v>
      </c>
      <c r="X5876">
        <v>0.87817099999999904</v>
      </c>
      <c r="Y5876">
        <v>-0.22680020000000001</v>
      </c>
      <c r="Z5876">
        <v>4.86773E-2</v>
      </c>
      <c r="AA5876">
        <v>0.97272409999999998</v>
      </c>
      <c r="AB5876">
        <v>35</v>
      </c>
      <c r="AC5876">
        <v>9.2023999999999493</v>
      </c>
      <c r="AD5876">
        <v>-1.1169816257023</v>
      </c>
      <c r="AE5876">
        <v>-0.82960999999999796</v>
      </c>
      <c r="AF5876">
        <v>-2.1558238191282002</v>
      </c>
      <c r="AG5876">
        <v>-1.1169816257023</v>
      </c>
      <c r="AH5876">
        <v>8.8477793597990608</v>
      </c>
      <c r="AI5876">
        <v>96.992733200287901</v>
      </c>
      <c r="AJ5876">
        <v>103.693689937347</v>
      </c>
      <c r="AK5876">
        <v>9.1748800477697401</v>
      </c>
      <c r="AL5876">
        <v>65.378762821616505</v>
      </c>
      <c r="AM5876">
        <v>104.98406140155301</v>
      </c>
      <c r="AN5876">
        <v>1.0000000482006901</v>
      </c>
    </row>
    <row r="5877" spans="1:40" x14ac:dyDescent="0.25">
      <c r="A5877" t="str">
        <f>"20190304165004605"</f>
        <v>20190304165004605</v>
      </c>
      <c r="B5877" t="str">
        <f>"1551689404602095"</f>
        <v>1551689404602095</v>
      </c>
      <c r="C5877" t="s">
        <v>40</v>
      </c>
      <c r="D5877">
        <v>4.6042399999999999</v>
      </c>
      <c r="E5877">
        <v>0.51712000000000002</v>
      </c>
      <c r="F5877" t="s">
        <v>50</v>
      </c>
      <c r="G5877">
        <v>-388.6585</v>
      </c>
      <c r="H5877" s="1">
        <v>-7.2371140000000001E-7</v>
      </c>
      <c r="I5877">
        <v>19.113659999999999</v>
      </c>
      <c r="J5877">
        <v>-397.87060000000002</v>
      </c>
      <c r="K5877">
        <v>1.116994</v>
      </c>
      <c r="L5877">
        <v>19.92822</v>
      </c>
      <c r="M5877">
        <v>0.94765100000000002</v>
      </c>
      <c r="N5877">
        <v>-8.6258280000000003E-3</v>
      </c>
      <c r="O5877">
        <v>-0.31919150000000002</v>
      </c>
      <c r="P5877">
        <v>0.90827979999999997</v>
      </c>
      <c r="Q5877">
        <v>0.41311429999999999</v>
      </c>
      <c r="R5877">
        <v>-6.6061590000000003E-2</v>
      </c>
      <c r="S5877">
        <v>3.4662169999999999</v>
      </c>
      <c r="T5877">
        <v>-0.41217029999999899</v>
      </c>
      <c r="U5877">
        <v>-0.32214359999999997</v>
      </c>
      <c r="V5877">
        <v>-0.23430090000000001</v>
      </c>
      <c r="W5877">
        <v>0.41685879999999997</v>
      </c>
      <c r="X5877">
        <v>0.87825499999999901</v>
      </c>
      <c r="Y5877">
        <v>-0.22660930000000001</v>
      </c>
      <c r="Z5877">
        <v>4.8689789999999997E-2</v>
      </c>
      <c r="AA5877">
        <v>0.97276799999999997</v>
      </c>
      <c r="AB5877">
        <v>35</v>
      </c>
      <c r="AC5877">
        <v>9.2121000000000102</v>
      </c>
      <c r="AD5877">
        <v>-1.1169947237114</v>
      </c>
      <c r="AE5877">
        <v>-0.81455999999999995</v>
      </c>
      <c r="AF5877">
        <v>-2.1374051011701898</v>
      </c>
      <c r="AG5877">
        <v>-1.1169947237114</v>
      </c>
      <c r="AH5877">
        <v>8.8609254903569195</v>
      </c>
      <c r="AI5877">
        <v>96.986406237448094</v>
      </c>
      <c r="AJ5877">
        <v>103.561641706616</v>
      </c>
      <c r="AK5877">
        <v>9.1832553228669607</v>
      </c>
      <c r="AL5877">
        <v>65.363571577573097</v>
      </c>
      <c r="AM5877">
        <v>104.93748131767001</v>
      </c>
      <c r="AN5877">
        <v>1.00000000795162</v>
      </c>
    </row>
    <row r="5878" spans="1:40" x14ac:dyDescent="0.25">
      <c r="A5878" t="str">
        <f>"20190304165004617"</f>
        <v>20190304165004617</v>
      </c>
      <c r="B5878" t="str">
        <f>"1551689404611855"</f>
        <v>1551689404611855</v>
      </c>
      <c r="C5878" t="s">
        <v>40</v>
      </c>
      <c r="D5878">
        <v>4.526643</v>
      </c>
      <c r="E5878">
        <v>0.51764849999999996</v>
      </c>
      <c r="F5878" t="s">
        <v>50</v>
      </c>
      <c r="G5878">
        <v>-388.46370000000002</v>
      </c>
      <c r="H5878" s="1">
        <v>-8.2157309999999898E-7</v>
      </c>
      <c r="I5878">
        <v>19.08136</v>
      </c>
      <c r="J5878">
        <v>-397.6925</v>
      </c>
      <c r="K5878">
        <v>1.117003</v>
      </c>
      <c r="L5878">
        <v>19.871310000000001</v>
      </c>
      <c r="M5878">
        <v>0.94890280000000005</v>
      </c>
      <c r="N5878">
        <v>-8.6237180000000007E-3</v>
      </c>
      <c r="O5878">
        <v>-0.31545109999999998</v>
      </c>
      <c r="P5878">
        <v>0.90844530000000001</v>
      </c>
      <c r="Q5878">
        <v>0.41318300000000002</v>
      </c>
      <c r="R5878">
        <v>-6.3301140000000006E-2</v>
      </c>
      <c r="S5878">
        <v>3.4675289999999999</v>
      </c>
      <c r="T5878">
        <v>-0.4117403</v>
      </c>
      <c r="U5878">
        <v>-0.31216430000000001</v>
      </c>
      <c r="V5878">
        <v>-0.2335081</v>
      </c>
      <c r="W5878">
        <v>0.41693210000000003</v>
      </c>
      <c r="X5878">
        <v>0.87843130000000003</v>
      </c>
      <c r="Y5878">
        <v>-0.2256165</v>
      </c>
      <c r="Z5878">
        <v>4.8180019999999997E-2</v>
      </c>
      <c r="AA5878">
        <v>0.97302409999999995</v>
      </c>
      <c r="AB5878">
        <v>35</v>
      </c>
      <c r="AC5878">
        <v>9.2287999999999695</v>
      </c>
      <c r="AD5878">
        <v>-1.1170038215731</v>
      </c>
      <c r="AE5878">
        <v>-0.78995000000000104</v>
      </c>
      <c r="AF5878">
        <v>-2.1307424219765401</v>
      </c>
      <c r="AG5878">
        <v>-1.1170038215731</v>
      </c>
      <c r="AH5878">
        <v>8.8776523103745308</v>
      </c>
      <c r="AI5878">
        <v>96.975321416254303</v>
      </c>
      <c r="AJ5878">
        <v>103.496379328348</v>
      </c>
      <c r="AK5878">
        <v>9.1978514529273401</v>
      </c>
      <c r="AL5878">
        <v>65.358950359125501</v>
      </c>
      <c r="AM5878">
        <v>104.88633054548799</v>
      </c>
      <c r="AN5878">
        <v>0.99999997879785396</v>
      </c>
    </row>
    <row r="5879" spans="1:40" x14ac:dyDescent="0.25">
      <c r="A5879" t="str">
        <f>"20190304165004640"</f>
        <v>20190304165004640</v>
      </c>
      <c r="B5879" t="str">
        <f>"1551689404631377"</f>
        <v>1551689404631377</v>
      </c>
      <c r="C5879" t="s">
        <v>40</v>
      </c>
      <c r="D5879">
        <v>4.5769659999999996</v>
      </c>
      <c r="E5879">
        <v>0.51858349999999998</v>
      </c>
      <c r="F5879" t="s">
        <v>50</v>
      </c>
      <c r="G5879">
        <v>-388.39859999999999</v>
      </c>
      <c r="H5879" s="1">
        <v>-8.5698059999999899E-7</v>
      </c>
      <c r="I5879">
        <v>19.055109999999999</v>
      </c>
      <c r="J5879">
        <v>-397.3426</v>
      </c>
      <c r="K5879">
        <v>1.1170340000000001</v>
      </c>
      <c r="L5879">
        <v>19.762270000000001</v>
      </c>
      <c r="M5879">
        <v>0.95131770000000004</v>
      </c>
      <c r="N5879">
        <v>-8.6219609999999992E-3</v>
      </c>
      <c r="O5879">
        <v>-0.30809180000000003</v>
      </c>
      <c r="P5879">
        <v>0.90869429999999995</v>
      </c>
      <c r="Q5879">
        <v>0.41347590000000001</v>
      </c>
      <c r="R5879">
        <v>-5.755321E-2</v>
      </c>
      <c r="S5879">
        <v>3.4707949999999999</v>
      </c>
      <c r="T5879">
        <v>-0.41714440000000003</v>
      </c>
      <c r="U5879">
        <v>-0.30480960000000001</v>
      </c>
      <c r="V5879">
        <v>-0.2322562</v>
      </c>
      <c r="W5879">
        <v>0.41722589999999998</v>
      </c>
      <c r="X5879">
        <v>0.87862369999999901</v>
      </c>
      <c r="Y5879">
        <v>-0.22019340000000001</v>
      </c>
      <c r="Z5879">
        <v>4.767209E-2</v>
      </c>
      <c r="AA5879">
        <v>0.97429060000000001</v>
      </c>
      <c r="AB5879">
        <v>35</v>
      </c>
      <c r="AC5879">
        <v>8.9440000000000097</v>
      </c>
      <c r="AD5879">
        <v>-1.1170348569805999</v>
      </c>
      <c r="AE5879">
        <v>-0.70716000000000101</v>
      </c>
      <c r="AF5879">
        <v>-2.0511216761597</v>
      </c>
      <c r="AG5879">
        <v>-1.1170348569805999</v>
      </c>
      <c r="AH5879">
        <v>8.5935688931730798</v>
      </c>
      <c r="AI5879">
        <v>97.205871189240995</v>
      </c>
      <c r="AJ5879">
        <v>103.424255097648</v>
      </c>
      <c r="AK5879">
        <v>8.9052958021524393</v>
      </c>
      <c r="AL5879">
        <v>65.340429573905297</v>
      </c>
      <c r="AM5879">
        <v>104.806936835679</v>
      </c>
      <c r="AN5879">
        <v>1.0000000001354601</v>
      </c>
    </row>
    <row r="5880" spans="1:40" x14ac:dyDescent="0.25">
      <c r="A5880" t="str">
        <f>"20190304165004660"</f>
        <v>20190304165004660</v>
      </c>
      <c r="B5880" t="str">
        <f>"1551689404651870"</f>
        <v>1551689404651870</v>
      </c>
      <c r="C5880" t="s">
        <v>40</v>
      </c>
      <c r="D5880">
        <v>4.4373180000000003</v>
      </c>
      <c r="E5880">
        <v>0.518733</v>
      </c>
      <c r="F5880" t="s">
        <v>50</v>
      </c>
      <c r="G5880">
        <v>-388.2054</v>
      </c>
      <c r="H5880" s="1">
        <v>-9.5762950000000002E-7</v>
      </c>
      <c r="I5880">
        <v>19.00254</v>
      </c>
      <c r="J5880">
        <v>-397.02710000000002</v>
      </c>
      <c r="K5880">
        <v>1.1170789999999999</v>
      </c>
      <c r="L5880">
        <v>19.666409999999999</v>
      </c>
      <c r="M5880">
        <v>0.95344720000000005</v>
      </c>
      <c r="N5880">
        <v>-8.6225829999999996E-3</v>
      </c>
      <c r="O5880">
        <v>-0.30143700000000001</v>
      </c>
      <c r="P5880">
        <v>0.9087459</v>
      </c>
      <c r="Q5880">
        <v>0.41394500000000001</v>
      </c>
      <c r="R5880">
        <v>-5.3205929999999999E-2</v>
      </c>
      <c r="S5880">
        <v>3.4765320000000002</v>
      </c>
      <c r="T5880">
        <v>-0.42501100000000003</v>
      </c>
      <c r="U5880">
        <v>-0.2890625</v>
      </c>
      <c r="V5880">
        <v>-0.23029469999999999</v>
      </c>
      <c r="W5880">
        <v>0.41771079999999999</v>
      </c>
      <c r="X5880">
        <v>0.87890959999999996</v>
      </c>
      <c r="Y5880">
        <v>-0.21783350000000001</v>
      </c>
      <c r="Z5880">
        <v>4.766343E-2</v>
      </c>
      <c r="AA5880">
        <v>0.97482139999999995</v>
      </c>
      <c r="AB5880">
        <v>35</v>
      </c>
      <c r="AC5880">
        <v>8.8217000000000194</v>
      </c>
      <c r="AD5880">
        <v>-1.1170799576295001</v>
      </c>
      <c r="AE5880">
        <v>-0.66386999999999896</v>
      </c>
      <c r="AF5880">
        <v>-1.9944956667217599</v>
      </c>
      <c r="AG5880">
        <v>-1.1170799576295001</v>
      </c>
      <c r="AH5880">
        <v>8.4763088563930093</v>
      </c>
      <c r="AI5880">
        <v>97.310258635835396</v>
      </c>
      <c r="AJ5880">
        <v>103.24096860127899</v>
      </c>
      <c r="AK5880">
        <v>8.7791623988439795</v>
      </c>
      <c r="AL5880">
        <v>65.309855749058798</v>
      </c>
      <c r="AM5880">
        <v>104.682742995811</v>
      </c>
      <c r="AN5880">
        <v>1.0000000231284401</v>
      </c>
    </row>
    <row r="5881" spans="1:40" x14ac:dyDescent="0.25">
      <c r="A5881" t="str">
        <f>"20190304165004673"</f>
        <v>20190304165004673</v>
      </c>
      <c r="B5881" t="str">
        <f>"1551689404661631"</f>
        <v>1551689404661631</v>
      </c>
      <c r="C5881" t="s">
        <v>40</v>
      </c>
      <c r="D5881">
        <v>4.4677749999999996</v>
      </c>
      <c r="E5881">
        <v>0.51860280000000003</v>
      </c>
      <c r="F5881" t="s">
        <v>50</v>
      </c>
      <c r="G5881">
        <v>-387.78680000000003</v>
      </c>
      <c r="H5881" s="1">
        <v>-1.165366E-6</v>
      </c>
      <c r="I5881">
        <v>18.946850000000001</v>
      </c>
      <c r="J5881">
        <v>-396.8424</v>
      </c>
      <c r="K5881">
        <v>1.117105</v>
      </c>
      <c r="L5881">
        <v>19.611239999999999</v>
      </c>
      <c r="M5881">
        <v>0.9546732</v>
      </c>
      <c r="N5881">
        <v>-8.6236939999999995E-3</v>
      </c>
      <c r="O5881">
        <v>-0.2975313</v>
      </c>
      <c r="P5881">
        <v>0.90859420000000002</v>
      </c>
      <c r="Q5881">
        <v>0.41459259999999898</v>
      </c>
      <c r="R5881">
        <v>-5.0693910000000002E-2</v>
      </c>
      <c r="S5881">
        <v>3.4768680000000001</v>
      </c>
      <c r="T5881">
        <v>-0.42032789999999998</v>
      </c>
      <c r="U5881">
        <v>-0.27075199999999999</v>
      </c>
      <c r="V5881">
        <v>-0.22906879999999999</v>
      </c>
      <c r="W5881">
        <v>0.41836659999999998</v>
      </c>
      <c r="X5881">
        <v>0.87891810000000004</v>
      </c>
      <c r="Y5881">
        <v>-0.2190404</v>
      </c>
      <c r="Z5881">
        <v>4.6798359999999997E-2</v>
      </c>
      <c r="AA5881">
        <v>0.97459289999999998</v>
      </c>
      <c r="AB5881">
        <v>35</v>
      </c>
      <c r="AC5881">
        <v>9.0555999999999699</v>
      </c>
      <c r="AD5881">
        <v>-1.1171061653659999</v>
      </c>
      <c r="AE5881">
        <v>-0.66438999999999704</v>
      </c>
      <c r="AF5881">
        <v>-2.02940760054764</v>
      </c>
      <c r="AG5881">
        <v>-1.1171061653659999</v>
      </c>
      <c r="AH5881">
        <v>8.7112859457958507</v>
      </c>
      <c r="AI5881">
        <v>97.118944108887206</v>
      </c>
      <c r="AJ5881">
        <v>103.113899530458</v>
      </c>
      <c r="AK5881">
        <v>9.0140403939232208</v>
      </c>
      <c r="AL5881">
        <v>65.268495030446601</v>
      </c>
      <c r="AM5881">
        <v>104.607800499958</v>
      </c>
      <c r="AN5881">
        <v>1.0000000768182999</v>
      </c>
    </row>
    <row r="5882" spans="1:40" x14ac:dyDescent="0.25">
      <c r="A5882" t="str">
        <f>"20190304165004685"</f>
        <v>20190304165004685</v>
      </c>
      <c r="B5882" t="str">
        <f>"1551689404681151"</f>
        <v>1551689404681151</v>
      </c>
      <c r="C5882" t="s">
        <v>40</v>
      </c>
      <c r="D5882">
        <v>4.5012040000000004</v>
      </c>
      <c r="E5882">
        <v>0.51933269999999998</v>
      </c>
      <c r="F5882" t="s">
        <v>50</v>
      </c>
      <c r="G5882">
        <v>-387.39400000000001</v>
      </c>
      <c r="H5882" s="1">
        <v>-1.357701E-6</v>
      </c>
      <c r="I5882">
        <v>18.909490000000002</v>
      </c>
      <c r="J5882">
        <v>-396.66849999999999</v>
      </c>
      <c r="K5882">
        <v>1.1171329999999999</v>
      </c>
      <c r="L5882">
        <v>19.560390000000002</v>
      </c>
      <c r="M5882">
        <v>0.95581400000000005</v>
      </c>
      <c r="N5882">
        <v>-8.6256809999999996E-3</v>
      </c>
      <c r="O5882">
        <v>-0.29384589999999999</v>
      </c>
      <c r="P5882">
        <v>0.90855070000000004</v>
      </c>
      <c r="Q5882">
        <v>0.41496630000000001</v>
      </c>
      <c r="R5882">
        <v>-4.8358680000000001E-2</v>
      </c>
      <c r="S5882">
        <v>3.4749150000000002</v>
      </c>
      <c r="T5882">
        <v>-0.41084710000000002</v>
      </c>
      <c r="U5882">
        <v>-0.25808720000000002</v>
      </c>
      <c r="V5882">
        <v>-0.22791359999999999</v>
      </c>
      <c r="W5882">
        <v>0.41874980000000001</v>
      </c>
      <c r="X5882">
        <v>0.87903580000000003</v>
      </c>
      <c r="Y5882">
        <v>-0.218942</v>
      </c>
      <c r="Z5882">
        <v>4.5360619999999997E-2</v>
      </c>
      <c r="AA5882">
        <v>0.97468290000000002</v>
      </c>
      <c r="AB5882">
        <v>35</v>
      </c>
      <c r="AC5882">
        <v>9.2744999999999802</v>
      </c>
      <c r="AD5882">
        <v>-1.117134357701</v>
      </c>
      <c r="AE5882">
        <v>-0.65090000000000003</v>
      </c>
      <c r="AF5882">
        <v>-2.0732792395244499</v>
      </c>
      <c r="AG5882">
        <v>-1.117134357701</v>
      </c>
      <c r="AH5882">
        <v>8.9274065574267105</v>
      </c>
      <c r="AI5882">
        <v>96.949584431521998</v>
      </c>
      <c r="AJ5882">
        <v>103.074467154579</v>
      </c>
      <c r="AK5882">
        <v>9.2328253432946799</v>
      </c>
      <c r="AL5882">
        <v>65.244316957967996</v>
      </c>
      <c r="AM5882">
        <v>104.535397442291</v>
      </c>
      <c r="AN5882">
        <v>0.99999997087331904</v>
      </c>
    </row>
    <row r="5883" spans="1:40" x14ac:dyDescent="0.25">
      <c r="A5883" t="str">
        <f>"20190304165004704"</f>
        <v>20190304165004704</v>
      </c>
      <c r="B5883" t="str">
        <f>"1551689404701647"</f>
        <v>1551689404701647</v>
      </c>
      <c r="C5883" t="s">
        <v>40</v>
      </c>
      <c r="D5883">
        <v>4.543577</v>
      </c>
      <c r="E5883">
        <v>0.52005349999999995</v>
      </c>
      <c r="F5883" t="s">
        <v>50</v>
      </c>
      <c r="G5883">
        <v>-387.30790000000002</v>
      </c>
      <c r="H5883" s="1">
        <v>-1.403484E-6</v>
      </c>
      <c r="I5883">
        <v>18.880759999999999</v>
      </c>
      <c r="J5883">
        <v>-396.37630000000001</v>
      </c>
      <c r="K5883">
        <v>1.117183</v>
      </c>
      <c r="L5883">
        <v>19.476289999999999</v>
      </c>
      <c r="M5883">
        <v>0.95770259999999996</v>
      </c>
      <c r="N5883">
        <v>-8.6299240000000006E-3</v>
      </c>
      <c r="O5883">
        <v>-0.28763060000000001</v>
      </c>
      <c r="P5883">
        <v>0.90838149999999995</v>
      </c>
      <c r="Q5883">
        <v>0.41570279999999998</v>
      </c>
      <c r="R5883">
        <v>-4.5100849999999998E-2</v>
      </c>
      <c r="S5883">
        <v>3.478119</v>
      </c>
      <c r="T5883">
        <v>-0.41509289999999999</v>
      </c>
      <c r="U5883">
        <v>-0.25253300000000001</v>
      </c>
      <c r="V5883">
        <v>-0.2253066</v>
      </c>
      <c r="W5883">
        <v>0.4195122</v>
      </c>
      <c r="X5883">
        <v>0.87934429999999997</v>
      </c>
      <c r="Y5883">
        <v>-0.2142252</v>
      </c>
      <c r="Z5883">
        <v>4.4849409999999999E-2</v>
      </c>
      <c r="AA5883">
        <v>0.97575409999999996</v>
      </c>
      <c r="AB5883">
        <v>35</v>
      </c>
      <c r="AC5883">
        <v>9.0683999999999898</v>
      </c>
      <c r="AD5883">
        <v>-1.1171844034839999</v>
      </c>
      <c r="AE5883">
        <v>-0.59552999999999601</v>
      </c>
      <c r="AF5883">
        <v>-2.0077436414077399</v>
      </c>
      <c r="AG5883">
        <v>-1.1171844034839999</v>
      </c>
      <c r="AH5883">
        <v>8.7246067331494093</v>
      </c>
      <c r="AI5883">
        <v>97.113069593804497</v>
      </c>
      <c r="AJ5883">
        <v>102.959526032957</v>
      </c>
      <c r="AK5883">
        <v>9.0220783730311904</v>
      </c>
      <c r="AL5883">
        <v>65.196204839709097</v>
      </c>
      <c r="AM5883">
        <v>104.37122706751801</v>
      </c>
      <c r="AN5883">
        <v>0.999999973947444</v>
      </c>
    </row>
    <row r="5884" spans="1:40" x14ac:dyDescent="0.25">
      <c r="A5884" t="str">
        <f>"20190304165004716"</f>
        <v>20190304165004716</v>
      </c>
      <c r="B5884" t="str">
        <f>"1551689404711407"</f>
        <v>1551689404711407</v>
      </c>
      <c r="C5884" t="s">
        <v>40</v>
      </c>
      <c r="D5884">
        <v>4.5102640000000003</v>
      </c>
      <c r="E5884">
        <v>0.52041689999999996</v>
      </c>
      <c r="F5884" t="s">
        <v>50</v>
      </c>
      <c r="G5884">
        <v>-387.0908</v>
      </c>
      <c r="H5884" s="1">
        <v>-1.51531E-6</v>
      </c>
      <c r="I5884">
        <v>18.828859999999999</v>
      </c>
      <c r="J5884">
        <v>-396.19889999999998</v>
      </c>
      <c r="K5884">
        <v>1.11721</v>
      </c>
      <c r="L5884">
        <v>19.425930000000001</v>
      </c>
      <c r="M5884">
        <v>0.95883180000000001</v>
      </c>
      <c r="N5884">
        <v>-8.6329349999999996E-3</v>
      </c>
      <c r="O5884">
        <v>-0.28384399999999999</v>
      </c>
      <c r="P5884">
        <v>0.90830319999999998</v>
      </c>
      <c r="Q5884">
        <v>0.416159</v>
      </c>
      <c r="R5884">
        <v>-4.2394420000000002E-2</v>
      </c>
      <c r="S5884">
        <v>3.4822690000000001</v>
      </c>
      <c r="T5884">
        <v>-0.4189678</v>
      </c>
      <c r="U5884">
        <v>-0.24279790000000001</v>
      </c>
      <c r="V5884">
        <v>-0.22442719999999999</v>
      </c>
      <c r="W5884">
        <v>0.41997060000000003</v>
      </c>
      <c r="X5884">
        <v>0.87935039999999998</v>
      </c>
      <c r="Y5884">
        <v>-0.21313950000000001</v>
      </c>
      <c r="Z5884">
        <v>4.4759859999999999E-2</v>
      </c>
      <c r="AA5884">
        <v>0.97599599999999997</v>
      </c>
      <c r="AB5884">
        <v>35</v>
      </c>
      <c r="AC5884">
        <v>9.1080999999999808</v>
      </c>
      <c r="AD5884">
        <v>-1.11721151531</v>
      </c>
      <c r="AE5884">
        <v>-0.59706999999999799</v>
      </c>
      <c r="AF5884">
        <v>-1.98315401482082</v>
      </c>
      <c r="AG5884">
        <v>-1.11721151531</v>
      </c>
      <c r="AH5884">
        <v>8.7715308213904102</v>
      </c>
      <c r="AI5884">
        <v>97.081703536876702</v>
      </c>
      <c r="AJ5884">
        <v>102.739804061699</v>
      </c>
      <c r="AK5884">
        <v>9.0620535402878293</v>
      </c>
      <c r="AL5884">
        <v>65.167268626937002</v>
      </c>
      <c r="AM5884">
        <v>104.317349433763</v>
      </c>
      <c r="AN5884">
        <v>0.99999999947217999</v>
      </c>
    </row>
    <row r="5885" spans="1:40" x14ac:dyDescent="0.25">
      <c r="A5885" t="str">
        <f>"20190304165004728"</f>
        <v>20190304165004728</v>
      </c>
      <c r="B5885" t="str">
        <f>"1551689404721167"</f>
        <v>1551689404721167</v>
      </c>
      <c r="C5885" t="s">
        <v>40</v>
      </c>
      <c r="D5885">
        <v>4.5440230000000001</v>
      </c>
      <c r="E5885">
        <v>0.5207503</v>
      </c>
      <c r="F5885" t="s">
        <v>50</v>
      </c>
      <c r="G5885">
        <v>-386.94819999999999</v>
      </c>
      <c r="H5885" s="1">
        <v>-1.5877029999999999E-6</v>
      </c>
      <c r="I5885">
        <v>18.800740000000001</v>
      </c>
      <c r="J5885">
        <v>-395.98939999999999</v>
      </c>
      <c r="K5885">
        <v>1.1172489999999999</v>
      </c>
      <c r="L5885">
        <v>19.367979999999999</v>
      </c>
      <c r="M5885">
        <v>0.96015019999999995</v>
      </c>
      <c r="N5885">
        <v>-8.6378400000000008E-3</v>
      </c>
      <c r="O5885">
        <v>-0.27935070000000001</v>
      </c>
      <c r="P5885">
        <v>0.90823500000000001</v>
      </c>
      <c r="Q5885">
        <v>0.41662979999999999</v>
      </c>
      <c r="R5885">
        <v>-3.909878E-2</v>
      </c>
      <c r="S5885">
        <v>3.48468</v>
      </c>
      <c r="T5885">
        <v>-0.42084529999999998</v>
      </c>
      <c r="U5885">
        <v>-0.2355042</v>
      </c>
      <c r="V5885">
        <v>-0.22348180000000001</v>
      </c>
      <c r="W5885">
        <v>0.4204426</v>
      </c>
      <c r="X5885">
        <v>0.87936559999999897</v>
      </c>
      <c r="Y5885">
        <v>-0.21066499999999999</v>
      </c>
      <c r="Z5885">
        <v>4.4299320000000003E-2</v>
      </c>
      <c r="AA5885">
        <v>0.97655400000000003</v>
      </c>
      <c r="AB5885">
        <v>36</v>
      </c>
      <c r="AC5885">
        <v>9.0411999999999999</v>
      </c>
      <c r="AD5885">
        <v>-1.1172505877029999</v>
      </c>
      <c r="AE5885">
        <v>-0.56723999999999797</v>
      </c>
      <c r="AF5885">
        <v>-1.9514219607730501</v>
      </c>
      <c r="AG5885">
        <v>-1.1172505877029999</v>
      </c>
      <c r="AH5885">
        <v>8.7072578361319302</v>
      </c>
      <c r="AI5885">
        <v>97.136676440730497</v>
      </c>
      <c r="AJ5885">
        <v>102.632078788367</v>
      </c>
      <c r="AK5885">
        <v>8.9929214146233392</v>
      </c>
      <c r="AL5885">
        <v>65.137465552030505</v>
      </c>
      <c r="AM5885">
        <v>104.259265775842</v>
      </c>
      <c r="AN5885">
        <v>0.99999997664467899</v>
      </c>
    </row>
    <row r="5886" spans="1:40" x14ac:dyDescent="0.25">
      <c r="A5886" t="str">
        <f>"20190304165004740"</f>
        <v>20190304165004740</v>
      </c>
      <c r="B5886" t="str">
        <f>"1551689404731903"</f>
        <v>1551689404731903</v>
      </c>
      <c r="C5886" t="s">
        <v>40</v>
      </c>
      <c r="D5886">
        <v>4.5272560000000004</v>
      </c>
      <c r="E5886">
        <v>0.5210882</v>
      </c>
      <c r="F5886" t="s">
        <v>50</v>
      </c>
      <c r="G5886">
        <v>-386.75099999999998</v>
      </c>
      <c r="H5886" s="1">
        <v>-1.6863059999999901E-6</v>
      </c>
      <c r="I5886">
        <v>18.77045</v>
      </c>
      <c r="J5886">
        <v>-395.81270000000001</v>
      </c>
      <c r="K5886">
        <v>1.1172799999999901</v>
      </c>
      <c r="L5886">
        <v>19.319790000000001</v>
      </c>
      <c r="M5886">
        <v>0.96124759999999998</v>
      </c>
      <c r="N5886">
        <v>-8.6421610000000006E-3</v>
      </c>
      <c r="O5886">
        <v>-0.27555180000000001</v>
      </c>
      <c r="P5886">
        <v>0.9081129</v>
      </c>
      <c r="Q5886">
        <v>0.41713099999999997</v>
      </c>
      <c r="R5886">
        <v>-3.6512349999999999E-2</v>
      </c>
      <c r="S5886">
        <v>3.486847</v>
      </c>
      <c r="T5886">
        <v>-0.42168270000000002</v>
      </c>
      <c r="U5886">
        <v>-0.2255249</v>
      </c>
      <c r="V5886">
        <v>-0.22248280000000001</v>
      </c>
      <c r="W5886">
        <v>0.4209484</v>
      </c>
      <c r="X5886">
        <v>0.87937699999999996</v>
      </c>
      <c r="Y5886">
        <v>-0.2096449</v>
      </c>
      <c r="Z5886">
        <v>4.3895320000000002E-2</v>
      </c>
      <c r="AA5886">
        <v>0.97679179999999999</v>
      </c>
      <c r="AB5886">
        <v>36</v>
      </c>
      <c r="AC5886">
        <v>9.0617000000000303</v>
      </c>
      <c r="AD5886">
        <v>-1.11728168630599</v>
      </c>
      <c r="AE5886">
        <v>-0.54934000000000005</v>
      </c>
      <c r="AF5886">
        <v>-1.9396107428924101</v>
      </c>
      <c r="AG5886">
        <v>-1.11728168630599</v>
      </c>
      <c r="AH5886">
        <v>8.73000879474219</v>
      </c>
      <c r="AI5886">
        <v>97.121366354455802</v>
      </c>
      <c r="AJ5886">
        <v>102.526360958163</v>
      </c>
      <c r="AK5886">
        <v>9.0124059915637602</v>
      </c>
      <c r="AL5886">
        <v>65.105522363972398</v>
      </c>
      <c r="AM5886">
        <v>104.197930900665</v>
      </c>
      <c r="AN5886">
        <v>1.00000002994369</v>
      </c>
    </row>
    <row r="5887" spans="1:40" x14ac:dyDescent="0.25">
      <c r="A5887" t="str">
        <f>"20190304165004754"</f>
        <v>20190304165004754</v>
      </c>
      <c r="B5887" t="str">
        <f>"1551689404741664"</f>
        <v>1551689404741664</v>
      </c>
      <c r="C5887" t="s">
        <v>40</v>
      </c>
      <c r="D5887">
        <v>4.4644320000000004</v>
      </c>
      <c r="E5887">
        <v>0.52115149999999999</v>
      </c>
      <c r="F5887" t="s">
        <v>50</v>
      </c>
      <c r="G5887">
        <v>-386.6035</v>
      </c>
      <c r="H5887" s="1">
        <v>-1.760941E-6</v>
      </c>
      <c r="I5887">
        <v>18.742599999999999</v>
      </c>
      <c r="J5887">
        <v>-395.61520000000002</v>
      </c>
      <c r="K5887">
        <v>1.117319</v>
      </c>
      <c r="L5887">
        <v>19.266570000000002</v>
      </c>
      <c r="M5887">
        <v>0.96245820000000004</v>
      </c>
      <c r="N5887">
        <v>-8.6471859999999994E-3</v>
      </c>
      <c r="O5887">
        <v>-0.27129229999999999</v>
      </c>
      <c r="P5887">
        <v>0.90796869999999996</v>
      </c>
      <c r="Q5887">
        <v>0.41771580000000003</v>
      </c>
      <c r="R5887">
        <v>-3.3263910000000001E-2</v>
      </c>
      <c r="S5887">
        <v>3.489166</v>
      </c>
      <c r="T5887">
        <v>-0.42331600000000003</v>
      </c>
      <c r="U5887">
        <v>-0.21868899999999999</v>
      </c>
      <c r="V5887">
        <v>-0.22170580000000001</v>
      </c>
      <c r="W5887">
        <v>0.42153180000000001</v>
      </c>
      <c r="X5887">
        <v>0.87929380000000001</v>
      </c>
      <c r="Y5887">
        <v>-0.207286</v>
      </c>
      <c r="Z5887">
        <v>4.3432529999999997E-2</v>
      </c>
      <c r="AA5887">
        <v>0.97731579999999996</v>
      </c>
      <c r="AB5887">
        <v>36</v>
      </c>
      <c r="AC5887">
        <v>9.01170000000001</v>
      </c>
      <c r="AD5887">
        <v>-1.1173207609410001</v>
      </c>
      <c r="AE5887">
        <v>-0.52397000000000205</v>
      </c>
      <c r="AF5887">
        <v>-1.91129582764621</v>
      </c>
      <c r="AG5887">
        <v>-1.1173207609410001</v>
      </c>
      <c r="AH5887">
        <v>8.6828363655926104</v>
      </c>
      <c r="AI5887">
        <v>97.1629720411851</v>
      </c>
      <c r="AJ5887">
        <v>102.414164545972</v>
      </c>
      <c r="AK5887">
        <v>8.9606419845491594</v>
      </c>
      <c r="AL5887">
        <v>65.068667167032004</v>
      </c>
      <c r="AM5887">
        <v>104.151626187807</v>
      </c>
      <c r="AN5887">
        <v>1.00000005344165</v>
      </c>
    </row>
    <row r="5888" spans="1:40" x14ac:dyDescent="0.25">
      <c r="A5888" t="str">
        <f>"20190304165004771"</f>
        <v>20190304165004771</v>
      </c>
      <c r="B5888" t="str">
        <f>"1551689404762159"</f>
        <v>1551689404762159</v>
      </c>
      <c r="C5888" t="s">
        <v>40</v>
      </c>
      <c r="D5888">
        <v>4.5100410000000002</v>
      </c>
      <c r="E5888">
        <v>0.52141949999999904</v>
      </c>
      <c r="F5888" t="s">
        <v>50</v>
      </c>
      <c r="G5888">
        <v>-386.33089999999999</v>
      </c>
      <c r="H5888" s="1">
        <v>-1.8948489999999999E-6</v>
      </c>
      <c r="I5888">
        <v>18.714220000000001</v>
      </c>
      <c r="J5888">
        <v>-395.35059999999999</v>
      </c>
      <c r="K5888">
        <v>1.1173649999999999</v>
      </c>
      <c r="L5888">
        <v>19.19717</v>
      </c>
      <c r="M5888">
        <v>0.96405419999999997</v>
      </c>
      <c r="N5888">
        <v>-8.6545110000000001E-3</v>
      </c>
      <c r="O5888">
        <v>-0.2655653</v>
      </c>
      <c r="P5888">
        <v>0.9077539</v>
      </c>
      <c r="Q5888">
        <v>0.4184351</v>
      </c>
      <c r="R5888">
        <v>-2.9919870000000001E-2</v>
      </c>
      <c r="S5888">
        <v>3.4896240000000001</v>
      </c>
      <c r="T5888">
        <v>-0.4199619</v>
      </c>
      <c r="U5888">
        <v>-0.20761109999999999</v>
      </c>
      <c r="V5888">
        <v>-0.2196803</v>
      </c>
      <c r="W5888">
        <v>0.42226960000000002</v>
      </c>
      <c r="X5888">
        <v>0.87944809999999995</v>
      </c>
      <c r="Y5888">
        <v>-0.2046772</v>
      </c>
      <c r="Z5888">
        <v>4.229952E-2</v>
      </c>
      <c r="AA5888">
        <v>0.97791510000000004</v>
      </c>
      <c r="AB5888">
        <v>36</v>
      </c>
      <c r="AC5888">
        <v>9.0197000000000003</v>
      </c>
      <c r="AD5888">
        <v>-1.1173668948490001</v>
      </c>
      <c r="AE5888">
        <v>-0.48294999999999799</v>
      </c>
      <c r="AF5888">
        <v>-1.90071550209297</v>
      </c>
      <c r="AG5888">
        <v>-1.1173668948490001</v>
      </c>
      <c r="AH5888">
        <v>8.6910678561397798</v>
      </c>
      <c r="AI5888">
        <v>97.158664872417404</v>
      </c>
      <c r="AJ5888">
        <v>102.33622092296299</v>
      </c>
      <c r="AK5888">
        <v>8.9663754481745404</v>
      </c>
      <c r="AL5888">
        <v>65.022040166766004</v>
      </c>
      <c r="AM5888">
        <v>104.02510002824199</v>
      </c>
      <c r="AN5888">
        <v>1.0000000049429201</v>
      </c>
    </row>
    <row r="5889" spans="1:40" x14ac:dyDescent="0.25">
      <c r="A5889" t="str">
        <f>"20190304165004783"</f>
        <v>20190304165004783</v>
      </c>
      <c r="B5889" t="str">
        <f>"1551689404771919"</f>
        <v>1551689404771919</v>
      </c>
      <c r="C5889" t="s">
        <v>40</v>
      </c>
      <c r="D5889">
        <v>4.531854</v>
      </c>
      <c r="E5889">
        <v>0.52166040000000002</v>
      </c>
      <c r="F5889" t="s">
        <v>50</v>
      </c>
      <c r="G5889">
        <v>-386.05329999999998</v>
      </c>
      <c r="H5889" s="1">
        <v>-2.033374E-6</v>
      </c>
      <c r="I5889">
        <v>18.673159999999999</v>
      </c>
      <c r="J5889">
        <v>-395.17290000000003</v>
      </c>
      <c r="K5889">
        <v>1.117397</v>
      </c>
      <c r="L5889">
        <v>19.151489999999999</v>
      </c>
      <c r="M5889">
        <v>0.96510850000000004</v>
      </c>
      <c r="N5889">
        <v>-8.6594069999999992E-3</v>
      </c>
      <c r="O5889">
        <v>-0.26170729999999998</v>
      </c>
      <c r="P5889">
        <v>0.90763839999999996</v>
      </c>
      <c r="Q5889">
        <v>0.41888399999999998</v>
      </c>
      <c r="R5889">
        <v>-2.6996650000000001E-2</v>
      </c>
      <c r="S5889">
        <v>3.4918520000000002</v>
      </c>
      <c r="T5889">
        <v>-0.41965590000000003</v>
      </c>
      <c r="U5889">
        <v>-0.19680790000000001</v>
      </c>
      <c r="V5889">
        <v>-0.2189758</v>
      </c>
      <c r="W5889">
        <v>0.42271999999999998</v>
      </c>
      <c r="X5889">
        <v>0.87940739999999995</v>
      </c>
      <c r="Y5889">
        <v>-0.20385339999999999</v>
      </c>
      <c r="Z5889">
        <v>4.1780829999999998E-2</v>
      </c>
      <c r="AA5889">
        <v>0.97810949999999997</v>
      </c>
      <c r="AB5889">
        <v>36</v>
      </c>
      <c r="AC5889">
        <v>9.1196000000000392</v>
      </c>
      <c r="AD5889">
        <v>-1.117399033374</v>
      </c>
      <c r="AE5889">
        <v>-0.47832999999999898</v>
      </c>
      <c r="AF5889">
        <v>-1.8967007307448001</v>
      </c>
      <c r="AG5889">
        <v>-1.117399033374</v>
      </c>
      <c r="AH5889">
        <v>8.7952402012113708</v>
      </c>
      <c r="AI5889">
        <v>97.079368634357294</v>
      </c>
      <c r="AJ5889">
        <v>102.16951691000401</v>
      </c>
      <c r="AK5889">
        <v>9.0665486519842595</v>
      </c>
      <c r="AL5889">
        <v>64.993567711065396</v>
      </c>
      <c r="AM5889">
        <v>103.98251132599</v>
      </c>
      <c r="AN5889">
        <v>0.99999998728019901</v>
      </c>
    </row>
    <row r="5890" spans="1:40" x14ac:dyDescent="0.25">
      <c r="A5890" t="str">
        <f>"20190304165004794"</f>
        <v>20190304165004794</v>
      </c>
      <c r="B5890" t="str">
        <f>"1551689404791439"</f>
        <v>1551689404791439</v>
      </c>
      <c r="C5890" t="s">
        <v>40</v>
      </c>
      <c r="D5890">
        <v>4.5545540000000004</v>
      </c>
      <c r="E5890">
        <v>0.52209810000000001</v>
      </c>
      <c r="F5890" t="s">
        <v>50</v>
      </c>
      <c r="G5890">
        <v>-385.90379999999999</v>
      </c>
      <c r="H5890" s="1">
        <v>-2.1073909999999999E-6</v>
      </c>
      <c r="I5890">
        <v>18.65418</v>
      </c>
      <c r="J5890">
        <v>-394.9905</v>
      </c>
      <c r="K5890">
        <v>1.117426</v>
      </c>
      <c r="L5890">
        <v>19.105070000000001</v>
      </c>
      <c r="M5890">
        <v>0.96617509999999995</v>
      </c>
      <c r="N5890">
        <v>-8.6642969999999996E-3</v>
      </c>
      <c r="O5890">
        <v>-0.25774160000000002</v>
      </c>
      <c r="P5890">
        <v>0.90767750000000003</v>
      </c>
      <c r="Q5890">
        <v>0.4189813</v>
      </c>
      <c r="R5890">
        <v>-2.4008060000000001E-2</v>
      </c>
      <c r="S5890">
        <v>3.49411</v>
      </c>
      <c r="T5890">
        <v>-0.4212205</v>
      </c>
      <c r="U5890">
        <v>-0.18746950000000001</v>
      </c>
      <c r="V5890">
        <v>-0.218278</v>
      </c>
      <c r="W5890">
        <v>0.42282029999999898</v>
      </c>
      <c r="X5890">
        <v>0.87953269999999995</v>
      </c>
      <c r="Y5890">
        <v>-0.2024898</v>
      </c>
      <c r="Z5890">
        <v>4.1403950000000002E-2</v>
      </c>
      <c r="AA5890">
        <v>0.97840870000000002</v>
      </c>
      <c r="AB5890">
        <v>36</v>
      </c>
      <c r="AC5890">
        <v>9.0867000000000004</v>
      </c>
      <c r="AD5890">
        <v>-1.117428107391</v>
      </c>
      <c r="AE5890">
        <v>-0.45089000000000101</v>
      </c>
      <c r="AF5890">
        <v>-1.87812101148774</v>
      </c>
      <c r="AG5890">
        <v>-1.117428107391</v>
      </c>
      <c r="AH5890">
        <v>8.7636854481446207</v>
      </c>
      <c r="AI5890">
        <v>97.106723486560199</v>
      </c>
      <c r="AJ5890">
        <v>102.095934825827</v>
      </c>
      <c r="AK5890">
        <v>9.0320632605734694</v>
      </c>
      <c r="AL5890">
        <v>64.987227525178596</v>
      </c>
      <c r="AM5890">
        <v>103.937785652119</v>
      </c>
      <c r="AN5890">
        <v>1.00000003087268</v>
      </c>
    </row>
    <row r="5891" spans="1:40" x14ac:dyDescent="0.25">
      <c r="A5891" t="str">
        <f>"20190304165004806"</f>
        <v>20190304165004806</v>
      </c>
      <c r="B5891" t="str">
        <f>"1551689404801199"</f>
        <v>1551689404801199</v>
      </c>
      <c r="C5891" t="s">
        <v>40</v>
      </c>
      <c r="D5891">
        <v>4.5599629999999998</v>
      </c>
      <c r="E5891">
        <v>0.52225390000000005</v>
      </c>
      <c r="F5891" t="s">
        <v>50</v>
      </c>
      <c r="G5891">
        <v>-385.76929999999999</v>
      </c>
      <c r="H5891" s="1">
        <v>-2.175193E-6</v>
      </c>
      <c r="I5891">
        <v>18.630469999999999</v>
      </c>
      <c r="J5891">
        <v>-394.8272</v>
      </c>
      <c r="K5891">
        <v>1.117451</v>
      </c>
      <c r="L5891">
        <v>19.06467</v>
      </c>
      <c r="M5891">
        <v>0.96711689999999995</v>
      </c>
      <c r="N5891">
        <v>-8.6688890000000008E-3</v>
      </c>
      <c r="O5891">
        <v>-0.25418469999999999</v>
      </c>
      <c r="P5891">
        <v>0.90769319999999998</v>
      </c>
      <c r="Q5891">
        <v>0.41910009999999998</v>
      </c>
      <c r="R5891">
        <v>-2.117171E-2</v>
      </c>
      <c r="S5891">
        <v>3.4959410000000002</v>
      </c>
      <c r="T5891">
        <v>-0.42364000000000002</v>
      </c>
      <c r="U5891">
        <v>-0.1799316</v>
      </c>
      <c r="V5891">
        <v>-0.21780079999999999</v>
      </c>
      <c r="W5891">
        <v>0.42293910000000001</v>
      </c>
      <c r="X5891">
        <v>0.87959379999999998</v>
      </c>
      <c r="Y5891">
        <v>-0.20101810000000001</v>
      </c>
      <c r="Z5891">
        <v>4.1149270000000002E-2</v>
      </c>
      <c r="AA5891">
        <v>0.97872289999999995</v>
      </c>
      <c r="AB5891">
        <v>36</v>
      </c>
      <c r="AC5891">
        <v>9.0579000000000107</v>
      </c>
      <c r="AD5891">
        <v>-1.1174531751929999</v>
      </c>
      <c r="AE5891">
        <v>-0.43419999999999698</v>
      </c>
      <c r="AF5891">
        <v>-1.8543699790466099</v>
      </c>
      <c r="AG5891">
        <v>-1.1174531751929999</v>
      </c>
      <c r="AH5891">
        <v>8.7380629533706404</v>
      </c>
      <c r="AI5891">
        <v>97.130514266250998</v>
      </c>
      <c r="AJ5891">
        <v>101.981412337934</v>
      </c>
      <c r="AK5891">
        <v>9.00228492078576</v>
      </c>
      <c r="AL5891">
        <v>64.979714264965594</v>
      </c>
      <c r="AM5891">
        <v>103.90757041843</v>
      </c>
      <c r="AN5891">
        <v>0.99999996189394402</v>
      </c>
    </row>
    <row r="5892" spans="1:40" x14ac:dyDescent="0.25">
      <c r="A5892" t="str">
        <f>"20190304165004819"</f>
        <v>20190304165004819</v>
      </c>
      <c r="B5892" t="str">
        <f>"1551689404811935"</f>
        <v>1551689404811935</v>
      </c>
      <c r="C5892" t="s">
        <v>40</v>
      </c>
      <c r="D5892">
        <v>4.5264559999999996</v>
      </c>
      <c r="E5892">
        <v>0.52250209999999997</v>
      </c>
      <c r="F5892" t="s">
        <v>50</v>
      </c>
      <c r="G5892">
        <v>-385.59010000000001</v>
      </c>
      <c r="H5892" s="1">
        <v>-2.2630659999999999E-6</v>
      </c>
      <c r="I5892">
        <v>18.6126</v>
      </c>
      <c r="J5892">
        <v>-394.61360000000002</v>
      </c>
      <c r="K5892">
        <v>1.1174789999999999</v>
      </c>
      <c r="L5892">
        <v>19.0123</v>
      </c>
      <c r="M5892">
        <v>0.96832969999999896</v>
      </c>
      <c r="N5892">
        <v>-8.6746810000000001E-3</v>
      </c>
      <c r="O5892">
        <v>-0.24952469999999999</v>
      </c>
      <c r="P5892">
        <v>0.90775879999999998</v>
      </c>
      <c r="Q5892">
        <v>0.41913319999999998</v>
      </c>
      <c r="R5892">
        <v>-1.7358370000000001E-2</v>
      </c>
      <c r="S5892">
        <v>3.4963679999999999</v>
      </c>
      <c r="T5892">
        <v>-0.42297230000000002</v>
      </c>
      <c r="U5892">
        <v>-0.17111209999999999</v>
      </c>
      <c r="V5892">
        <v>-0.2172857</v>
      </c>
      <c r="W5892">
        <v>0.42297279999999998</v>
      </c>
      <c r="X5892">
        <v>0.87970499999999996</v>
      </c>
      <c r="Y5892">
        <v>-0.1988267</v>
      </c>
      <c r="Z5892">
        <v>4.0436140000000002E-2</v>
      </c>
      <c r="AA5892">
        <v>0.97920010000000002</v>
      </c>
      <c r="AB5892">
        <v>36</v>
      </c>
      <c r="AC5892">
        <v>9.0235000000000092</v>
      </c>
      <c r="AD5892">
        <v>-1.117481263066</v>
      </c>
      <c r="AE5892">
        <v>-0.399699999999999</v>
      </c>
      <c r="AF5892">
        <v>-1.83650402823808</v>
      </c>
      <c r="AG5892">
        <v>-1.117481263066</v>
      </c>
      <c r="AH5892">
        <v>8.7045523318776592</v>
      </c>
      <c r="AI5892">
        <v>97.159631775426604</v>
      </c>
      <c r="AJ5892">
        <v>101.91365751833401</v>
      </c>
      <c r="AK5892">
        <v>8.9660884848095801</v>
      </c>
      <c r="AL5892">
        <v>64.9775837947209</v>
      </c>
      <c r="AM5892">
        <v>103.874265216038</v>
      </c>
      <c r="AN5892">
        <v>0.99999997599466395</v>
      </c>
    </row>
    <row r="5893" spans="1:40" x14ac:dyDescent="0.25">
      <c r="A5893" t="str">
        <f>"20190304165004834"</f>
        <v>20190304165004834</v>
      </c>
      <c r="B5893" t="str">
        <f>"1551689404821695"</f>
        <v>1551689404821695</v>
      </c>
      <c r="C5893" t="s">
        <v>40</v>
      </c>
      <c r="D5893">
        <v>4.5276769999999997</v>
      </c>
      <c r="E5893">
        <v>0.52268490000000001</v>
      </c>
      <c r="F5893" t="s">
        <v>50</v>
      </c>
      <c r="G5893">
        <v>-385.4357</v>
      </c>
      <c r="H5893" s="1">
        <v>-2.3392559999999998E-6</v>
      </c>
      <c r="I5893">
        <v>18.594550000000002</v>
      </c>
      <c r="J5893">
        <v>-394.38470000000001</v>
      </c>
      <c r="K5893">
        <v>1.1175079999999999</v>
      </c>
      <c r="L5893">
        <v>18.957460000000001</v>
      </c>
      <c r="M5893">
        <v>0.96960400000000002</v>
      </c>
      <c r="N5893">
        <v>-8.6807440000000007E-3</v>
      </c>
      <c r="O5893">
        <v>-0.24452599999999999</v>
      </c>
      <c r="P5893">
        <v>0.90795099999999995</v>
      </c>
      <c r="Q5893">
        <v>0.41887089999999999</v>
      </c>
      <c r="R5893">
        <v>-1.312603E-2</v>
      </c>
      <c r="S5893">
        <v>3.4984739999999999</v>
      </c>
      <c r="T5893">
        <v>-0.42596889999999998</v>
      </c>
      <c r="U5893">
        <v>-0.15924070000000001</v>
      </c>
      <c r="V5893">
        <v>-0.2169027</v>
      </c>
      <c r="W5893">
        <v>0.42270920000000001</v>
      </c>
      <c r="X5893">
        <v>0.87992619999999899</v>
      </c>
      <c r="Y5893">
        <v>-0.1971195</v>
      </c>
      <c r="Z5893">
        <v>4.0054100000000002E-2</v>
      </c>
      <c r="AA5893">
        <v>0.97956089999999996</v>
      </c>
      <c r="AB5893">
        <v>36</v>
      </c>
      <c r="AC5893">
        <v>8.9490000000000105</v>
      </c>
      <c r="AD5893">
        <v>-1.117510339256</v>
      </c>
      <c r="AE5893">
        <v>-0.36290999999999901</v>
      </c>
      <c r="AF5893">
        <v>-1.80830103859503</v>
      </c>
      <c r="AG5893">
        <v>-1.117510339256</v>
      </c>
      <c r="AH5893">
        <v>8.6316760865814199</v>
      </c>
      <c r="AI5893">
        <v>97.221768112690398</v>
      </c>
      <c r="AJ5893">
        <v>101.83211528160599</v>
      </c>
      <c r="AK5893">
        <v>8.8895789589940399</v>
      </c>
      <c r="AL5893">
        <v>64.994250401029205</v>
      </c>
      <c r="AM5893">
        <v>103.847404290136</v>
      </c>
      <c r="AN5893">
        <v>0.99999998323918404</v>
      </c>
    </row>
    <row r="5894" spans="1:40" x14ac:dyDescent="0.25">
      <c r="A5894" t="str">
        <f>"20190304165004853"</f>
        <v>20190304165004853</v>
      </c>
      <c r="B5894" t="str">
        <f>"1551689404841214"</f>
        <v>1551689404841214</v>
      </c>
      <c r="C5894" t="s">
        <v>40</v>
      </c>
      <c r="D5894">
        <v>4.538011</v>
      </c>
      <c r="E5894">
        <v>0.52284940000000002</v>
      </c>
      <c r="F5894" t="s">
        <v>50</v>
      </c>
      <c r="G5894">
        <v>-385.28230000000002</v>
      </c>
      <c r="H5894" s="1">
        <v>-2.4141470000000001E-6</v>
      </c>
      <c r="I5894">
        <v>18.581289999999999</v>
      </c>
      <c r="J5894">
        <v>-394.09539999999998</v>
      </c>
      <c r="K5894">
        <v>1.117537</v>
      </c>
      <c r="L5894">
        <v>18.890080000000001</v>
      </c>
      <c r="M5894">
        <v>0.97117750000000003</v>
      </c>
      <c r="N5894">
        <v>-8.6886180000000004E-3</v>
      </c>
      <c r="O5894">
        <v>-0.23819940000000001</v>
      </c>
      <c r="P5894">
        <v>0.90816090000000005</v>
      </c>
      <c r="Q5894">
        <v>0.41854400000000003</v>
      </c>
      <c r="R5894">
        <v>-8.0577919999999994E-3</v>
      </c>
      <c r="S5894">
        <v>3.500305</v>
      </c>
      <c r="T5894">
        <v>-0.42973169999999999</v>
      </c>
      <c r="U5894">
        <v>-0.14465329999999901</v>
      </c>
      <c r="V5894">
        <v>-0.21613950000000001</v>
      </c>
      <c r="W5894">
        <v>0.4223886</v>
      </c>
      <c r="X5894">
        <v>0.88026789999999999</v>
      </c>
      <c r="Y5894">
        <v>-0.19483249999999999</v>
      </c>
      <c r="Z5894">
        <v>3.9553989999999997E-2</v>
      </c>
      <c r="AA5894">
        <v>0.98003859999999998</v>
      </c>
      <c r="AB5894">
        <v>36</v>
      </c>
      <c r="AC5894">
        <v>8.8130999999999595</v>
      </c>
      <c r="AD5894">
        <v>-1.1175394141470001</v>
      </c>
      <c r="AE5894">
        <v>-0.30878999999999801</v>
      </c>
      <c r="AF5894">
        <v>-1.7710112102243001</v>
      </c>
      <c r="AG5894">
        <v>-1.1175394141470001</v>
      </c>
      <c r="AH5894">
        <v>8.4965122712345398</v>
      </c>
      <c r="AI5894">
        <v>97.337134723884404</v>
      </c>
      <c r="AJ5894">
        <v>101.77413445101099</v>
      </c>
      <c r="AK5894">
        <v>8.7507768697499895</v>
      </c>
      <c r="AL5894">
        <v>65.014517952951806</v>
      </c>
      <c r="AM5894">
        <v>103.795393903717</v>
      </c>
      <c r="AN5894">
        <v>0.99999999432030995</v>
      </c>
    </row>
    <row r="5895" spans="1:40" x14ac:dyDescent="0.25">
      <c r="A5895" t="str">
        <f>"20190304165004875"</f>
        <v>20190304165004875</v>
      </c>
      <c r="B5895" t="str">
        <f>"1551689404871471"</f>
        <v>1551689404871471</v>
      </c>
      <c r="C5895" t="s">
        <v>40</v>
      </c>
      <c r="D5895">
        <v>4.4979979999999999</v>
      </c>
      <c r="E5895">
        <v>0.52262600000000003</v>
      </c>
      <c r="F5895" t="s">
        <v>50</v>
      </c>
      <c r="G5895">
        <v>-385.0727</v>
      </c>
      <c r="H5895" s="1">
        <v>-2.516624E-6</v>
      </c>
      <c r="I5895">
        <v>18.561900000000001</v>
      </c>
      <c r="J5895">
        <v>-393.7543</v>
      </c>
      <c r="K5895">
        <v>1.117569</v>
      </c>
      <c r="L5895">
        <v>18.81296</v>
      </c>
      <c r="M5895">
        <v>0.97297820000000002</v>
      </c>
      <c r="N5895">
        <v>-8.7045769999999998E-3</v>
      </c>
      <c r="O5895">
        <v>-0.2307332</v>
      </c>
      <c r="P5895">
        <v>0.90839829999999999</v>
      </c>
      <c r="Q5895">
        <v>0.41810120000000001</v>
      </c>
      <c r="R5895">
        <v>-2.0379949999999999E-3</v>
      </c>
      <c r="S5895">
        <v>3.502167</v>
      </c>
      <c r="T5895">
        <v>-0.4337741</v>
      </c>
      <c r="U5895">
        <v>-0.12738039999999901</v>
      </c>
      <c r="V5895">
        <v>-0.21528720000000001</v>
      </c>
      <c r="W5895">
        <v>0.42195969999999999</v>
      </c>
      <c r="X5895">
        <v>0.88068230000000003</v>
      </c>
      <c r="Y5895">
        <v>-0.19216250000000001</v>
      </c>
      <c r="Z5895">
        <v>3.8910100000000003E-2</v>
      </c>
      <c r="AA5895">
        <v>0.98059149999999995</v>
      </c>
      <c r="AB5895">
        <v>36</v>
      </c>
      <c r="AC5895">
        <v>8.6815999999999995</v>
      </c>
      <c r="AD5895">
        <v>-1.1175715166239999</v>
      </c>
      <c r="AE5895">
        <v>-0.25105999999999801</v>
      </c>
      <c r="AF5895">
        <v>-1.73027535002565</v>
      </c>
      <c r="AG5895">
        <v>-1.1175715166239999</v>
      </c>
      <c r="AH5895">
        <v>8.3667270323081393</v>
      </c>
      <c r="AI5895">
        <v>97.452289908011494</v>
      </c>
      <c r="AJ5895">
        <v>101.684301881691</v>
      </c>
      <c r="AK5895">
        <v>8.6165503604883202</v>
      </c>
      <c r="AL5895">
        <v>65.041624905879502</v>
      </c>
      <c r="AM5895">
        <v>103.736839505444</v>
      </c>
      <c r="AN5895">
        <v>0.99999994022060801</v>
      </c>
    </row>
    <row r="5896" spans="1:40" x14ac:dyDescent="0.25">
      <c r="A5896" t="str">
        <f>"20190304165004894"</f>
        <v>20190304165004894</v>
      </c>
      <c r="B5896" t="str">
        <f>"1551689404881231"</f>
        <v>1551689404881231</v>
      </c>
      <c r="C5896" t="s">
        <v>40</v>
      </c>
      <c r="D5896">
        <v>4.5098379999999896</v>
      </c>
      <c r="E5896">
        <v>0.5226092</v>
      </c>
      <c r="F5896" t="s">
        <v>50</v>
      </c>
      <c r="G5896">
        <v>-384.6968</v>
      </c>
      <c r="H5896" s="1">
        <v>-2.6964180000000002E-6</v>
      </c>
      <c r="I5896">
        <v>18.55021</v>
      </c>
      <c r="J5896">
        <v>-393.4486</v>
      </c>
      <c r="K5896">
        <v>1.117597</v>
      </c>
      <c r="L5896">
        <v>18.746310000000001</v>
      </c>
      <c r="M5896">
        <v>0.97454030000000003</v>
      </c>
      <c r="N5896">
        <v>-8.7257150000000002E-3</v>
      </c>
      <c r="O5896">
        <v>-0.2240433</v>
      </c>
      <c r="P5896">
        <v>0.90844939999999996</v>
      </c>
      <c r="Q5896">
        <v>0.41798459999999898</v>
      </c>
      <c r="R5896">
        <v>2.954468E-3</v>
      </c>
      <c r="S5896">
        <v>3.501099</v>
      </c>
      <c r="T5896">
        <v>-0.43198809999999899</v>
      </c>
      <c r="U5896">
        <v>-0.1015625</v>
      </c>
      <c r="V5896">
        <v>-0.21411520000000001</v>
      </c>
      <c r="W5896">
        <v>0.42186980000000002</v>
      </c>
      <c r="X5896">
        <v>0.88101109999999905</v>
      </c>
      <c r="Y5896">
        <v>-0.19269649999999999</v>
      </c>
      <c r="Z5896">
        <v>3.8056760000000002E-2</v>
      </c>
      <c r="AA5896">
        <v>0.98052010000000001</v>
      </c>
      <c r="AB5896">
        <v>36</v>
      </c>
      <c r="AC5896">
        <v>8.7517999999999994</v>
      </c>
      <c r="AD5896">
        <v>-1.1175996964179999</v>
      </c>
      <c r="AE5896">
        <v>-0.196100000000001</v>
      </c>
      <c r="AF5896">
        <v>-1.7413595348736599</v>
      </c>
      <c r="AG5896">
        <v>-1.1175996964179999</v>
      </c>
      <c r="AH5896">
        <v>8.4357477523922295</v>
      </c>
      <c r="AI5896">
        <v>97.3927249305098</v>
      </c>
      <c r="AJ5896">
        <v>101.663525020748</v>
      </c>
      <c r="AK5896">
        <v>8.6858046405108293</v>
      </c>
      <c r="AL5896">
        <v>65.047307895836099</v>
      </c>
      <c r="AM5896">
        <v>103.65995981411599</v>
      </c>
      <c r="AN5896">
        <v>1.0000000026731399</v>
      </c>
    </row>
    <row r="5897" spans="1:40" x14ac:dyDescent="0.25">
      <c r="A5897" t="str">
        <f>"20190304165004905"</f>
        <v>20190304165004905</v>
      </c>
      <c r="B5897" t="str">
        <f>"1551689404901727"</f>
        <v>1551689404901727</v>
      </c>
      <c r="C5897" t="s">
        <v>40</v>
      </c>
      <c r="D5897">
        <v>4.5256809999999996</v>
      </c>
      <c r="E5897">
        <v>0.52260139999999999</v>
      </c>
      <c r="F5897" t="s">
        <v>50</v>
      </c>
      <c r="G5897">
        <v>-384.37869999999998</v>
      </c>
      <c r="H5897" s="1">
        <v>-2.849484E-6</v>
      </c>
      <c r="I5897">
        <v>18.5349</v>
      </c>
      <c r="J5897">
        <v>-393.27690000000001</v>
      </c>
      <c r="K5897">
        <v>1.117615</v>
      </c>
      <c r="L5897">
        <v>18.709990000000001</v>
      </c>
      <c r="M5897">
        <v>0.97539659999999995</v>
      </c>
      <c r="N5897">
        <v>-8.7390260000000004E-3</v>
      </c>
      <c r="O5897">
        <v>-0.2202847</v>
      </c>
      <c r="P5897">
        <v>0.90851470000000001</v>
      </c>
      <c r="Q5897">
        <v>0.41781239999999997</v>
      </c>
      <c r="R5897">
        <v>5.8169140000000003E-3</v>
      </c>
      <c r="S5897">
        <v>3.5010680000000001</v>
      </c>
      <c r="T5897">
        <v>-0.43140450000000002</v>
      </c>
      <c r="U5897">
        <v>-8.1603999999999996E-2</v>
      </c>
      <c r="V5897">
        <v>-0.21352479999999999</v>
      </c>
      <c r="W5897">
        <v>0.42171330000000001</v>
      </c>
      <c r="X5897">
        <v>0.88122929999999999</v>
      </c>
      <c r="Y5897">
        <v>-0.194517</v>
      </c>
      <c r="Z5897">
        <v>3.771149E-2</v>
      </c>
      <c r="AA5897">
        <v>0.98017390000000004</v>
      </c>
      <c r="AB5897">
        <v>36</v>
      </c>
      <c r="AC5897">
        <v>8.8982000000000294</v>
      </c>
      <c r="AD5897">
        <v>-1.1176178494839999</v>
      </c>
      <c r="AE5897">
        <v>-0.175089999999997</v>
      </c>
      <c r="AF5897">
        <v>-1.7616432411124601</v>
      </c>
      <c r="AG5897">
        <v>-1.1176178494839999</v>
      </c>
      <c r="AH5897">
        <v>8.5828297331203505</v>
      </c>
      <c r="AI5897">
        <v>97.269187610903998</v>
      </c>
      <c r="AJ5897">
        <v>101.598983513156</v>
      </c>
      <c r="AK5897">
        <v>8.8327471827386308</v>
      </c>
      <c r="AL5897">
        <v>65.057197737516304</v>
      </c>
      <c r="AM5897">
        <v>103.620451825186</v>
      </c>
      <c r="AN5897">
        <v>1.0000000133952001</v>
      </c>
    </row>
    <row r="5898" spans="1:40" x14ac:dyDescent="0.25">
      <c r="A5898" t="str">
        <f>"20190304165004918"</f>
        <v>20190304165004918</v>
      </c>
      <c r="B5898" t="str">
        <f>"1551689404911487"</f>
        <v>1551689404911487</v>
      </c>
      <c r="C5898" t="s">
        <v>40</v>
      </c>
      <c r="D5898">
        <v>4.5103439999999999</v>
      </c>
      <c r="E5898">
        <v>0.52263539999999997</v>
      </c>
      <c r="F5898" t="s">
        <v>50</v>
      </c>
      <c r="G5898">
        <v>-384.19260000000003</v>
      </c>
      <c r="H5898" s="1">
        <v>-2.938649E-6</v>
      </c>
      <c r="I5898">
        <v>18.528320000000001</v>
      </c>
      <c r="J5898">
        <v>-393.08730000000003</v>
      </c>
      <c r="K5898">
        <v>1.1176349999999999</v>
      </c>
      <c r="L5898">
        <v>18.67032</v>
      </c>
      <c r="M5898">
        <v>0.97632439999999998</v>
      </c>
      <c r="N5898">
        <v>-8.7538200000000007E-3</v>
      </c>
      <c r="O5898">
        <v>-0.2161344</v>
      </c>
      <c r="P5898">
        <v>0.90865180000000001</v>
      </c>
      <c r="Q5898">
        <v>0.4174619</v>
      </c>
      <c r="R5898">
        <v>8.8057220000000002E-3</v>
      </c>
      <c r="S5898">
        <v>3.50061</v>
      </c>
      <c r="T5898">
        <v>-0.43066969999999999</v>
      </c>
      <c r="U5898">
        <v>-7.0007319999999998E-2</v>
      </c>
      <c r="V5898">
        <v>-0.21272099999999999</v>
      </c>
      <c r="W5898">
        <v>0.42138419999999999</v>
      </c>
      <c r="X5898">
        <v>0.88158099999999995</v>
      </c>
      <c r="Y5898">
        <v>-0.19363240000000001</v>
      </c>
      <c r="Z5898">
        <v>3.7133220000000002E-2</v>
      </c>
      <c r="AA5898">
        <v>0.9803712</v>
      </c>
      <c r="AB5898">
        <v>36</v>
      </c>
      <c r="AC5898">
        <v>8.8947000000000003</v>
      </c>
      <c r="AD5898">
        <v>-1.1176379386490001</v>
      </c>
      <c r="AE5898">
        <v>-0.14199999999999899</v>
      </c>
      <c r="AF5898">
        <v>-1.75616089124769</v>
      </c>
      <c r="AG5898">
        <v>-1.1176379386490001</v>
      </c>
      <c r="AH5898">
        <v>8.5797115820755696</v>
      </c>
      <c r="AI5898">
        <v>97.272729239950493</v>
      </c>
      <c r="AJ5898">
        <v>101.56794988862499</v>
      </c>
      <c r="AK5898">
        <v>8.8286276662603207</v>
      </c>
      <c r="AL5898">
        <v>65.077990329003498</v>
      </c>
      <c r="AM5898">
        <v>103.565864258855</v>
      </c>
      <c r="AN5898">
        <v>0.99999996370581901</v>
      </c>
    </row>
    <row r="5899" spans="1:40" x14ac:dyDescent="0.25">
      <c r="A5899" t="str">
        <f>"20190304165004929"</f>
        <v>20190304165004929</v>
      </c>
      <c r="B5899" t="str">
        <f>"1551689404921247"</f>
        <v>1551689404921247</v>
      </c>
      <c r="C5899" t="s">
        <v>40</v>
      </c>
      <c r="D5899">
        <v>4.5432290000000002</v>
      </c>
      <c r="E5899">
        <v>0.52270269999999996</v>
      </c>
      <c r="F5899" t="s">
        <v>50</v>
      </c>
      <c r="G5899">
        <v>-384.02679999999998</v>
      </c>
      <c r="H5899" s="1">
        <v>-3.0185169999999998E-6</v>
      </c>
      <c r="I5899">
        <v>18.519690000000001</v>
      </c>
      <c r="J5899">
        <v>-392.89109999999999</v>
      </c>
      <c r="K5899">
        <v>1.1176549999999901</v>
      </c>
      <c r="L5899">
        <v>18.630459999999999</v>
      </c>
      <c r="M5899">
        <v>0.97726489999999999</v>
      </c>
      <c r="N5899">
        <v>-8.7695120000000001E-3</v>
      </c>
      <c r="O5899">
        <v>-0.2118408</v>
      </c>
      <c r="P5899">
        <v>0.90867739999999997</v>
      </c>
      <c r="Q5899">
        <v>0.41732669999999999</v>
      </c>
      <c r="R5899">
        <v>1.2001990000000001E-2</v>
      </c>
      <c r="S5899">
        <v>3.5005489999999999</v>
      </c>
      <c r="T5899">
        <v>-0.43180390000000002</v>
      </c>
      <c r="U5899">
        <v>-5.8197020000000002E-2</v>
      </c>
      <c r="V5899">
        <v>-0.21197469999999999</v>
      </c>
      <c r="W5899">
        <v>0.4212688</v>
      </c>
      <c r="X5899">
        <v>0.88181589999999999</v>
      </c>
      <c r="Y5899">
        <v>-0.19264719999999999</v>
      </c>
      <c r="Z5899">
        <v>3.66912E-2</v>
      </c>
      <c r="AA5899">
        <v>0.98058190000000001</v>
      </c>
      <c r="AB5899">
        <v>36</v>
      </c>
      <c r="AC5899">
        <v>8.8643000000000107</v>
      </c>
      <c r="AD5899">
        <v>-1.11765801851699</v>
      </c>
      <c r="AE5899">
        <v>-0.110769999999998</v>
      </c>
      <c r="AF5899">
        <v>-1.7419484067897499</v>
      </c>
      <c r="AG5899">
        <v>-1.11765801851699</v>
      </c>
      <c r="AH5899">
        <v>8.5506555186030599</v>
      </c>
      <c r="AI5899">
        <v>97.298674459474995</v>
      </c>
      <c r="AJ5899">
        <v>101.514784721933</v>
      </c>
      <c r="AK5899">
        <v>8.7975708861076907</v>
      </c>
      <c r="AL5899">
        <v>65.085281344492998</v>
      </c>
      <c r="AM5899">
        <v>103.51655115776499</v>
      </c>
      <c r="AN5899">
        <v>0.99999997839316901</v>
      </c>
    </row>
    <row r="5900" spans="1:40" x14ac:dyDescent="0.25">
      <c r="A5900" t="str">
        <f>"20190304165004951"</f>
        <v>20190304165004951</v>
      </c>
      <c r="B5900" t="str">
        <f>"1551689404941746"</f>
        <v>1551689404941746</v>
      </c>
      <c r="C5900" t="s">
        <v>40</v>
      </c>
      <c r="D5900">
        <v>4.5909709999999997</v>
      </c>
      <c r="E5900">
        <v>0.52284209999999998</v>
      </c>
      <c r="F5900" t="s">
        <v>50</v>
      </c>
      <c r="G5900">
        <v>-383.83420000000001</v>
      </c>
      <c r="H5900" s="1">
        <v>-3.1112989999999999E-6</v>
      </c>
      <c r="I5900">
        <v>18.509969999999999</v>
      </c>
      <c r="J5900">
        <v>-392.55110000000002</v>
      </c>
      <c r="K5900">
        <v>1.1176870000000001</v>
      </c>
      <c r="L5900">
        <v>18.56317</v>
      </c>
      <c r="M5900">
        <v>0.97884859999999896</v>
      </c>
      <c r="N5900">
        <v>-8.7960119999999902E-3</v>
      </c>
      <c r="O5900">
        <v>-0.2043972</v>
      </c>
      <c r="P5900">
        <v>0.90865300000000004</v>
      </c>
      <c r="Q5900">
        <v>0.41719879999999998</v>
      </c>
      <c r="R5900">
        <v>1.7178200000000001E-2</v>
      </c>
      <c r="S5900">
        <v>3.5005190000000002</v>
      </c>
      <c r="T5900">
        <v>-0.43197639999999998</v>
      </c>
      <c r="U5900">
        <v>-4.6569819999999998E-2</v>
      </c>
      <c r="V5900">
        <v>-0.21032410000000001</v>
      </c>
      <c r="W5900">
        <v>0.4211818</v>
      </c>
      <c r="X5900">
        <v>0.88225259999999905</v>
      </c>
      <c r="Y5900">
        <v>-0.18851560000000001</v>
      </c>
      <c r="Z5900">
        <v>3.5601969999999997E-2</v>
      </c>
      <c r="AA5900">
        <v>0.98142459999999998</v>
      </c>
      <c r="AB5900">
        <v>36</v>
      </c>
      <c r="AC5900">
        <v>8.7169000000000096</v>
      </c>
      <c r="AD5900">
        <v>-1.1176901112989901</v>
      </c>
      <c r="AE5900">
        <v>-5.3199999999996798E-2</v>
      </c>
      <c r="AF5900">
        <v>-1.7017255640867901</v>
      </c>
      <c r="AG5900">
        <v>-1.1176901112989901</v>
      </c>
      <c r="AH5900">
        <v>8.4055417696520003</v>
      </c>
      <c r="AI5900">
        <v>97.4253123272088</v>
      </c>
      <c r="AJ5900">
        <v>101.44499904359699</v>
      </c>
      <c r="AK5900">
        <v>8.64859719964611</v>
      </c>
      <c r="AL5900">
        <v>65.090777844907805</v>
      </c>
      <c r="AM5900">
        <v>103.40871908486599</v>
      </c>
      <c r="AN5900">
        <v>0.999999992949404</v>
      </c>
    </row>
    <row r="5901" spans="1:40" x14ac:dyDescent="0.25">
      <c r="A5901" t="str">
        <f>"20190304165004964"</f>
        <v>20190304165004964</v>
      </c>
      <c r="B5901" t="str">
        <f>"1551689404951504"</f>
        <v>1551689404951504</v>
      </c>
      <c r="C5901" t="s">
        <v>40</v>
      </c>
      <c r="D5901">
        <v>4.5521570000000002</v>
      </c>
      <c r="E5901">
        <v>0.52293179999999995</v>
      </c>
      <c r="F5901" t="s">
        <v>50</v>
      </c>
      <c r="G5901">
        <v>-383.4803</v>
      </c>
      <c r="H5901" s="1">
        <v>-3.2830129999999999E-6</v>
      </c>
      <c r="I5901">
        <v>18.484950000000001</v>
      </c>
      <c r="J5901">
        <v>-392.36110000000002</v>
      </c>
      <c r="K5901">
        <v>1.1177060000000001</v>
      </c>
      <c r="L5901">
        <v>18.526890000000002</v>
      </c>
      <c r="M5901">
        <v>0.97970740000000001</v>
      </c>
      <c r="N5901">
        <v>-8.8105660000000006E-3</v>
      </c>
      <c r="O5901">
        <v>-0.2002399</v>
      </c>
      <c r="P5901">
        <v>0.90864460000000002</v>
      </c>
      <c r="Q5901">
        <v>0.41709629999999998</v>
      </c>
      <c r="R5901">
        <v>1.989227E-2</v>
      </c>
      <c r="S5901">
        <v>3.5001829999999998</v>
      </c>
      <c r="T5901">
        <v>-0.43128810000000001</v>
      </c>
      <c r="U5901">
        <v>-3.0181880000000001E-2</v>
      </c>
      <c r="V5901">
        <v>-0.20923530000000001</v>
      </c>
      <c r="W5901">
        <v>0.42110619999999999</v>
      </c>
      <c r="X5901">
        <v>0.88254750000000004</v>
      </c>
      <c r="Y5901">
        <v>-0.18897269999999999</v>
      </c>
      <c r="Z5901">
        <v>3.5115260000000002E-2</v>
      </c>
      <c r="AA5901">
        <v>0.98135430000000001</v>
      </c>
      <c r="AB5901">
        <v>36</v>
      </c>
      <c r="AC5901">
        <v>8.8808000000000202</v>
      </c>
      <c r="AD5901">
        <v>-1.11770928301299</v>
      </c>
      <c r="AE5901">
        <v>-4.1939999999996702E-2</v>
      </c>
      <c r="AF5901">
        <v>-1.7101802541945901</v>
      </c>
      <c r="AG5901">
        <v>-1.11770928301299</v>
      </c>
      <c r="AH5901">
        <v>8.5735195572946594</v>
      </c>
      <c r="AI5901">
        <v>97.285679352571407</v>
      </c>
      <c r="AJ5901">
        <v>101.280861212692</v>
      </c>
      <c r="AK5901">
        <v>8.8135820267632692</v>
      </c>
      <c r="AL5901">
        <v>65.095552864580696</v>
      </c>
      <c r="AM5901">
        <v>103.337494662276</v>
      </c>
      <c r="AN5901">
        <v>0.99999996610038899</v>
      </c>
    </row>
    <row r="5902" spans="1:40" x14ac:dyDescent="0.25">
      <c r="A5902" t="str">
        <f>"20190304165004974"</f>
        <v>20190304165004974</v>
      </c>
      <c r="B5902" t="str">
        <f>"1551689404971999"</f>
        <v>1551689404971999</v>
      </c>
      <c r="C5902" t="s">
        <v>40</v>
      </c>
      <c r="D5902">
        <v>4.5485530000000001</v>
      </c>
      <c r="E5902">
        <v>0.52311560000000001</v>
      </c>
      <c r="F5902" t="s">
        <v>50</v>
      </c>
      <c r="G5902">
        <v>-383.29129999999998</v>
      </c>
      <c r="H5902" s="1">
        <v>-3.374781E-6</v>
      </c>
      <c r="I5902">
        <v>18.471450000000001</v>
      </c>
      <c r="J5902">
        <v>-392.1789</v>
      </c>
      <c r="K5902">
        <v>1.1177239999999999</v>
      </c>
      <c r="L5902">
        <v>18.492460000000001</v>
      </c>
      <c r="M5902">
        <v>0.980514</v>
      </c>
      <c r="N5902">
        <v>-8.8243780000000008E-3</v>
      </c>
      <c r="O5902">
        <v>-0.19625129999999999</v>
      </c>
      <c r="P5902">
        <v>0.90859990000000002</v>
      </c>
      <c r="Q5902">
        <v>0.41706510000000002</v>
      </c>
      <c r="R5902">
        <v>2.2427099999999998E-2</v>
      </c>
      <c r="S5902">
        <v>3.5001220000000002</v>
      </c>
      <c r="T5902">
        <v>-0.43133090000000002</v>
      </c>
      <c r="U5902">
        <v>-2.139282E-2</v>
      </c>
      <c r="V5902">
        <v>-0.20812120000000001</v>
      </c>
      <c r="W5902">
        <v>0.42110180000000003</v>
      </c>
      <c r="X5902">
        <v>0.88281299999999996</v>
      </c>
      <c r="Y5902">
        <v>-0.1874788</v>
      </c>
      <c r="Z5902">
        <v>3.4575189999999999E-2</v>
      </c>
      <c r="AA5902">
        <v>0.98165990000000003</v>
      </c>
      <c r="AB5902">
        <v>36</v>
      </c>
      <c r="AC5902">
        <v>8.8876000000000097</v>
      </c>
      <c r="AD5902">
        <v>-1.1177273747809999</v>
      </c>
      <c r="AE5902">
        <v>-2.10100000000004E-2</v>
      </c>
      <c r="AF5902">
        <v>-1.6968321156234401</v>
      </c>
      <c r="AG5902">
        <v>-1.1177273747809999</v>
      </c>
      <c r="AH5902">
        <v>8.58312642043221</v>
      </c>
      <c r="AI5902">
        <v>97.280175314991894</v>
      </c>
      <c r="AJ5902">
        <v>101.18283086959801</v>
      </c>
      <c r="AK5902">
        <v>8.8203521960331894</v>
      </c>
      <c r="AL5902">
        <v>65.095831085931394</v>
      </c>
      <c r="AM5902">
        <v>103.265146495389</v>
      </c>
      <c r="AN5902">
        <v>0.99999997641083904</v>
      </c>
    </row>
    <row r="5903" spans="1:40" x14ac:dyDescent="0.25">
      <c r="A5903" t="str">
        <f>"20190304165004987"</f>
        <v>20190304165004987</v>
      </c>
      <c r="B5903" t="str">
        <f>"1551689404981759"</f>
        <v>1551689404981759</v>
      </c>
      <c r="C5903" t="s">
        <v>40</v>
      </c>
      <c r="D5903">
        <v>4.5443939999999996</v>
      </c>
      <c r="E5903">
        <v>0.52322950000000001</v>
      </c>
      <c r="F5903" t="s">
        <v>50</v>
      </c>
      <c r="G5903">
        <v>-383.09230000000002</v>
      </c>
      <c r="H5903" s="1">
        <v>-3.4715449999999999E-6</v>
      </c>
      <c r="I5903">
        <v>18.456330000000001</v>
      </c>
      <c r="J5903">
        <v>-391.98379999999997</v>
      </c>
      <c r="K5903">
        <v>1.1177440000000001</v>
      </c>
      <c r="L5903">
        <v>18.45703</v>
      </c>
      <c r="M5903">
        <v>0.98135790000000001</v>
      </c>
      <c r="N5903">
        <v>-8.8407409999999992E-3</v>
      </c>
      <c r="O5903">
        <v>-0.1919855</v>
      </c>
      <c r="P5903">
        <v>0.90852739999999998</v>
      </c>
      <c r="Q5903">
        <v>0.41708089999999998</v>
      </c>
      <c r="R5903">
        <v>2.4923750000000001E-2</v>
      </c>
      <c r="S5903">
        <v>3.4997250000000002</v>
      </c>
      <c r="T5903">
        <v>-0.43049169999999998</v>
      </c>
      <c r="U5903">
        <v>-1.3916019999999999E-2</v>
      </c>
      <c r="V5903">
        <v>-0.2067184</v>
      </c>
      <c r="W5903">
        <v>0.4211529</v>
      </c>
      <c r="X5903">
        <v>0.88311819999999897</v>
      </c>
      <c r="Y5903">
        <v>-0.18535969999999999</v>
      </c>
      <c r="Z5903">
        <v>3.3894359999999998E-2</v>
      </c>
      <c r="AA5903">
        <v>0.98208600000000001</v>
      </c>
      <c r="AB5903">
        <v>36</v>
      </c>
      <c r="AC5903">
        <v>8.8914999999999402</v>
      </c>
      <c r="AD5903">
        <v>-1.117747471545</v>
      </c>
      <c r="AE5903">
        <v>-7.0000000000192098E-4</v>
      </c>
      <c r="AF5903">
        <v>-1.67987199733916</v>
      </c>
      <c r="AG5903">
        <v>-1.117747471545</v>
      </c>
      <c r="AH5903">
        <v>8.5904651063156106</v>
      </c>
      <c r="AI5903">
        <v>97.277072188493193</v>
      </c>
      <c r="AJ5903">
        <v>101.06460621876499</v>
      </c>
      <c r="AK5903">
        <v>8.8242518142002009</v>
      </c>
      <c r="AL5903">
        <v>65.092603928058196</v>
      </c>
      <c r="AM5903">
        <v>103.174470155194</v>
      </c>
      <c r="AN5903">
        <v>1.0000000086241001</v>
      </c>
    </row>
    <row r="5904" spans="1:40" x14ac:dyDescent="0.25">
      <c r="A5904" t="str">
        <f>"20190304165004999"</f>
        <v>20190304165004999</v>
      </c>
      <c r="B5904" t="str">
        <f>"1551689404991519"</f>
        <v>1551689404991519</v>
      </c>
      <c r="C5904" t="s">
        <v>40</v>
      </c>
      <c r="D5904">
        <v>4.6687180000000001</v>
      </c>
      <c r="E5904">
        <v>0.52327920000000006</v>
      </c>
      <c r="F5904" t="s">
        <v>50</v>
      </c>
      <c r="G5904">
        <v>-382.89150000000001</v>
      </c>
      <c r="H5904" s="1">
        <v>-3.5687409999999999E-6</v>
      </c>
      <c r="I5904">
        <v>18.44332</v>
      </c>
      <c r="J5904">
        <v>-391.78750000000002</v>
      </c>
      <c r="K5904">
        <v>1.1177619999999999</v>
      </c>
      <c r="L5904">
        <v>18.42191</v>
      </c>
      <c r="M5904">
        <v>0.98218830000000001</v>
      </c>
      <c r="N5904">
        <v>-8.85763E-3</v>
      </c>
      <c r="O5904">
        <v>-0.18769079999999999</v>
      </c>
      <c r="P5904">
        <v>0.90833810000000004</v>
      </c>
      <c r="Q5904">
        <v>0.41735169999999999</v>
      </c>
      <c r="R5904">
        <v>2.719674E-2</v>
      </c>
      <c r="S5904">
        <v>3.4997250000000002</v>
      </c>
      <c r="T5904">
        <v>-0.43023250000000002</v>
      </c>
      <c r="U5904">
        <v>-5.2795409999999996E-3</v>
      </c>
      <c r="V5904">
        <v>-0.20505699999999999</v>
      </c>
      <c r="W5904">
        <v>0.42146299999999998</v>
      </c>
      <c r="X5904">
        <v>0.88335759999999997</v>
      </c>
      <c r="Y5904">
        <v>-0.18353149999999999</v>
      </c>
      <c r="Z5904">
        <v>3.3273259999999999E-2</v>
      </c>
      <c r="AA5904">
        <v>0.9824505</v>
      </c>
      <c r="AB5904">
        <v>36</v>
      </c>
      <c r="AC5904">
        <v>8.8960000000000097</v>
      </c>
      <c r="AD5904">
        <v>-1.117765568741</v>
      </c>
      <c r="AE5904">
        <v>2.1409999999999402E-2</v>
      </c>
      <c r="AF5904">
        <v>-1.6645139365627299</v>
      </c>
      <c r="AG5904">
        <v>-1.117765568741</v>
      </c>
      <c r="AH5904">
        <v>8.5981289062667408</v>
      </c>
      <c r="AI5904">
        <v>97.273415980875896</v>
      </c>
      <c r="AJ5904">
        <v>100.956374662255</v>
      </c>
      <c r="AK5904">
        <v>8.8288066691061999</v>
      </c>
      <c r="AL5904">
        <v>65.073013807376995</v>
      </c>
      <c r="AM5904">
        <v>103.068815866335</v>
      </c>
      <c r="AN5904">
        <v>1.00000004154787</v>
      </c>
    </row>
    <row r="5905" spans="1:40" x14ac:dyDescent="0.25">
      <c r="A5905" t="str">
        <f>"20190304165005019"</f>
        <v>20190304165005019</v>
      </c>
      <c r="B5905" t="str">
        <f>"1551689405012015"</f>
        <v>1551689405012015</v>
      </c>
      <c r="C5905" t="s">
        <v>40</v>
      </c>
      <c r="D5905">
        <v>4.5960559999999999</v>
      </c>
      <c r="E5905">
        <v>0.52342089999999997</v>
      </c>
      <c r="F5905" t="s">
        <v>50</v>
      </c>
      <c r="G5905">
        <v>-382.67039999999997</v>
      </c>
      <c r="H5905" s="1">
        <v>-3.6755799999999999E-6</v>
      </c>
      <c r="I5905">
        <v>18.430330000000001</v>
      </c>
      <c r="J5905">
        <v>-391.47239999999999</v>
      </c>
      <c r="K5905">
        <v>1.1177900000000001</v>
      </c>
      <c r="L5905">
        <v>18.367460000000001</v>
      </c>
      <c r="M5905">
        <v>0.98347969999999896</v>
      </c>
      <c r="N5905">
        <v>-8.8861210000000003E-3</v>
      </c>
      <c r="O5905">
        <v>-0.1808004</v>
      </c>
      <c r="P5905">
        <v>0.90825520000000004</v>
      </c>
      <c r="Q5905">
        <v>0.41732160000000001</v>
      </c>
      <c r="R5905">
        <v>3.0251529999999999E-2</v>
      </c>
      <c r="S5905">
        <v>3.4997859999999998</v>
      </c>
      <c r="T5905">
        <v>-0.42907699999999999</v>
      </c>
      <c r="U5905">
        <v>3.2348630000000001E-3</v>
      </c>
      <c r="V5905">
        <v>-0.2018498</v>
      </c>
      <c r="W5905">
        <v>0.42151139999999998</v>
      </c>
      <c r="X5905">
        <v>0.88407279999999999</v>
      </c>
      <c r="Y5905">
        <v>-0.179124799999999</v>
      </c>
      <c r="Z5905">
        <v>3.21228E-2</v>
      </c>
      <c r="AA5905">
        <v>0.9833018</v>
      </c>
      <c r="AB5905">
        <v>36</v>
      </c>
      <c r="AC5905">
        <v>8.8020000000000191</v>
      </c>
      <c r="AD5905">
        <v>-1.11779367558</v>
      </c>
      <c r="AE5905">
        <v>6.2869999999996595E-2</v>
      </c>
      <c r="AF5905">
        <v>-1.6270629815964901</v>
      </c>
      <c r="AG5905">
        <v>-1.11779367558</v>
      </c>
      <c r="AH5905">
        <v>8.5083530358830401</v>
      </c>
      <c r="AI5905">
        <v>97.352691792614195</v>
      </c>
      <c r="AJ5905">
        <v>100.826039125609</v>
      </c>
      <c r="AK5905">
        <v>8.73434989169019</v>
      </c>
      <c r="AL5905">
        <v>65.069953588333107</v>
      </c>
      <c r="AM5905">
        <v>102.86120545596999</v>
      </c>
      <c r="AN5905">
        <v>0.99999995889491899</v>
      </c>
    </row>
    <row r="5906" spans="1:40" x14ac:dyDescent="0.25">
      <c r="A5906" t="str">
        <f>"20190304165005031"</f>
        <v>20190304165005031</v>
      </c>
      <c r="B5906" t="str">
        <f>"1551689405021774"</f>
        <v>1551689405021774</v>
      </c>
      <c r="C5906" t="s">
        <v>40</v>
      </c>
      <c r="D5906">
        <v>4.5905690000000003</v>
      </c>
      <c r="E5906">
        <v>0.52349369999999995</v>
      </c>
      <c r="F5906" t="s">
        <v>50</v>
      </c>
      <c r="G5906">
        <v>-382.33580000000001</v>
      </c>
      <c r="H5906" s="1">
        <v>-3.8384920000000004E-6</v>
      </c>
      <c r="I5906">
        <v>18.403639999999999</v>
      </c>
      <c r="J5906">
        <v>-391.27289999999999</v>
      </c>
      <c r="K5906">
        <v>1.1178049999999999</v>
      </c>
      <c r="L5906">
        <v>18.33417</v>
      </c>
      <c r="M5906">
        <v>0.98427129999999996</v>
      </c>
      <c r="N5906">
        <v>-8.9042240000000005E-3</v>
      </c>
      <c r="O5906">
        <v>-0.176440299999999</v>
      </c>
      <c r="P5906">
        <v>0.90807090000000001</v>
      </c>
      <c r="Q5906">
        <v>0.41750890000000002</v>
      </c>
      <c r="R5906">
        <v>3.3076660000000001E-2</v>
      </c>
      <c r="S5906">
        <v>3.499298</v>
      </c>
      <c r="T5906">
        <v>-0.42811110000000002</v>
      </c>
      <c r="U5906">
        <v>1.3854979999999999E-2</v>
      </c>
      <c r="V5906">
        <v>-0.20068259999999999</v>
      </c>
      <c r="W5906">
        <v>0.42173110000000003</v>
      </c>
      <c r="X5906">
        <v>0.88423379999999996</v>
      </c>
      <c r="Y5906">
        <v>-0.17780000000000001</v>
      </c>
      <c r="Z5906">
        <v>3.1481099999999998E-2</v>
      </c>
      <c r="AA5906">
        <v>0.98356290000000002</v>
      </c>
      <c r="AB5906">
        <v>36</v>
      </c>
      <c r="AC5906">
        <v>8.9370999999999796</v>
      </c>
      <c r="AD5906">
        <v>-1.117808838492</v>
      </c>
      <c r="AE5906">
        <v>6.9469999999999005E-2</v>
      </c>
      <c r="AF5906">
        <v>-1.6199659145760901</v>
      </c>
      <c r="AG5906">
        <v>-1.117808838492</v>
      </c>
      <c r="AH5906">
        <v>8.6493200442274194</v>
      </c>
      <c r="AI5906">
        <v>97.239385179963605</v>
      </c>
      <c r="AJ5906">
        <v>100.608253838237</v>
      </c>
      <c r="AK5906">
        <v>8.8704297185239795</v>
      </c>
      <c r="AL5906">
        <v>65.056073131225702</v>
      </c>
      <c r="AM5906">
        <v>102.787035786864</v>
      </c>
      <c r="AN5906">
        <v>1.0000000198562</v>
      </c>
    </row>
    <row r="5907" spans="1:40" x14ac:dyDescent="0.25">
      <c r="A5907" t="str">
        <f>"20190304165005045"</f>
        <v>20190304165005045</v>
      </c>
      <c r="B5907" t="str">
        <f>"1551689405041295"</f>
        <v>1551689405041295</v>
      </c>
      <c r="C5907" t="s">
        <v>40</v>
      </c>
      <c r="D5907">
        <v>4.5977489999999896</v>
      </c>
      <c r="E5907">
        <v>0.52372149999999995</v>
      </c>
      <c r="F5907" t="s">
        <v>50</v>
      </c>
      <c r="G5907">
        <v>-382.10649999999998</v>
      </c>
      <c r="H5907" s="1">
        <v>-3.94824E-6</v>
      </c>
      <c r="I5907">
        <v>18.39573</v>
      </c>
      <c r="J5907">
        <v>-391.06639999999999</v>
      </c>
      <c r="K5907">
        <v>1.11782</v>
      </c>
      <c r="L5907">
        <v>18.300809999999998</v>
      </c>
      <c r="M5907">
        <v>0.98506930000000004</v>
      </c>
      <c r="N5907">
        <v>-8.9242160000000004E-3</v>
      </c>
      <c r="O5907">
        <v>-0.1719271</v>
      </c>
      <c r="P5907">
        <v>0.90812780000000004</v>
      </c>
      <c r="Q5907">
        <v>0.4171531</v>
      </c>
      <c r="R5907">
        <v>3.5883760000000001E-2</v>
      </c>
      <c r="S5907">
        <v>3.4990230000000002</v>
      </c>
      <c r="T5907">
        <v>-0.42669299999999999</v>
      </c>
      <c r="U5907">
        <v>2.3498539999999998E-2</v>
      </c>
      <c r="V5907">
        <v>-0.19939599999999999</v>
      </c>
      <c r="W5907">
        <v>0.42141319999999999</v>
      </c>
      <c r="X5907">
        <v>0.88467629999999997</v>
      </c>
      <c r="Y5907">
        <v>-0.17606089999999999</v>
      </c>
      <c r="Z5907">
        <v>3.0762020000000001E-2</v>
      </c>
      <c r="AA5907">
        <v>0.98389850000000001</v>
      </c>
      <c r="AB5907">
        <v>36</v>
      </c>
      <c r="AC5907">
        <v>8.9598999999999993</v>
      </c>
      <c r="AD5907">
        <v>-1.1178239482400001</v>
      </c>
      <c r="AE5907">
        <v>9.4919999999998297E-2</v>
      </c>
      <c r="AF5907">
        <v>-1.60897697408667</v>
      </c>
      <c r="AG5907">
        <v>-1.1178239482400001</v>
      </c>
      <c r="AH5907">
        <v>8.6751427547801203</v>
      </c>
      <c r="AI5907">
        <v>97.220507492387995</v>
      </c>
      <c r="AJ5907">
        <v>100.507242633168</v>
      </c>
      <c r="AK5907">
        <v>8.8936178857770791</v>
      </c>
      <c r="AL5907">
        <v>65.076159171165401</v>
      </c>
      <c r="AM5907">
        <v>102.701576922692</v>
      </c>
      <c r="AN5907">
        <v>1.0000000028659599</v>
      </c>
    </row>
    <row r="5908" spans="1:40" x14ac:dyDescent="0.25">
      <c r="A5908" t="str">
        <f>"20190304165005063"</f>
        <v>20190304165005063</v>
      </c>
      <c r="B5908" t="str">
        <f>"1551689405052031"</f>
        <v>1551689405052031</v>
      </c>
      <c r="C5908" t="s">
        <v>40</v>
      </c>
      <c r="D5908">
        <v>4.5577100000000002</v>
      </c>
      <c r="E5908">
        <v>0.52379379999999998</v>
      </c>
      <c r="F5908" t="s">
        <v>50</v>
      </c>
      <c r="G5908">
        <v>-381.92809999999997</v>
      </c>
      <c r="H5908" s="1">
        <v>-4.0347060000000003E-6</v>
      </c>
      <c r="I5908">
        <v>18.383790000000001</v>
      </c>
      <c r="J5908">
        <v>-390.76740000000001</v>
      </c>
      <c r="K5908">
        <v>1.1178410000000001</v>
      </c>
      <c r="L5908">
        <v>18.254000000000001</v>
      </c>
      <c r="M5908">
        <v>0.98618729999999999</v>
      </c>
      <c r="N5908">
        <v>-8.9544719999999998E-3</v>
      </c>
      <c r="O5908">
        <v>-0.16539219999999999</v>
      </c>
      <c r="P5908">
        <v>0.90828819999999999</v>
      </c>
      <c r="Q5908">
        <v>0.41647479999999998</v>
      </c>
      <c r="R5908">
        <v>3.9513909999999999E-2</v>
      </c>
      <c r="S5908">
        <v>3.49884</v>
      </c>
      <c r="T5908">
        <v>-0.42798730000000001</v>
      </c>
      <c r="U5908">
        <v>3.17688E-2</v>
      </c>
      <c r="V5908">
        <v>-0.19711870000000001</v>
      </c>
      <c r="W5908">
        <v>0.42080119999999999</v>
      </c>
      <c r="X5908">
        <v>0.88547759999999998</v>
      </c>
      <c r="Y5908">
        <v>-0.17192009999999999</v>
      </c>
      <c r="Z5908">
        <v>2.9856980000000002E-2</v>
      </c>
      <c r="AA5908">
        <v>0.98465840000000004</v>
      </c>
      <c r="AB5908">
        <v>36</v>
      </c>
      <c r="AC5908">
        <v>8.8393000000000299</v>
      </c>
      <c r="AD5908">
        <v>-1.1178450347060001</v>
      </c>
      <c r="AE5908">
        <v>0.12978999999999899</v>
      </c>
      <c r="AF5908">
        <v>-1.56498882010656</v>
      </c>
      <c r="AG5908">
        <v>-1.1178450347060001</v>
      </c>
      <c r="AH5908">
        <v>8.55922965433348</v>
      </c>
      <c r="AI5908">
        <v>97.320762952878894</v>
      </c>
      <c r="AJ5908">
        <v>100.36163348346</v>
      </c>
      <c r="AK5908">
        <v>8.7726381325287193</v>
      </c>
      <c r="AL5908">
        <v>65.114819228645203</v>
      </c>
      <c r="AM5908">
        <v>102.550134512459</v>
      </c>
      <c r="AN5908">
        <v>1.00000000595644</v>
      </c>
    </row>
    <row r="5909" spans="1:40" x14ac:dyDescent="0.25">
      <c r="A5909" t="str">
        <f>"20190304165005085"</f>
        <v>20190304165005085</v>
      </c>
      <c r="B5909" t="str">
        <f>"1551689405081311"</f>
        <v>1551689405081311</v>
      </c>
      <c r="C5909" t="s">
        <v>40</v>
      </c>
      <c r="D5909">
        <v>4.5657170000000002</v>
      </c>
      <c r="E5909">
        <v>0.5239781</v>
      </c>
      <c r="F5909" t="s">
        <v>50</v>
      </c>
      <c r="G5909">
        <v>-381.67559999999997</v>
      </c>
      <c r="H5909" s="1">
        <v>-4.1566059999999999E-6</v>
      </c>
      <c r="I5909">
        <v>18.369399999999999</v>
      </c>
      <c r="J5909">
        <v>-390.42450000000002</v>
      </c>
      <c r="K5909">
        <v>1.117864</v>
      </c>
      <c r="L5909">
        <v>18.202850000000002</v>
      </c>
      <c r="M5909">
        <v>0.98741350000000006</v>
      </c>
      <c r="N5909">
        <v>-8.9899490000000006E-3</v>
      </c>
      <c r="O5909">
        <v>-0.15790460000000001</v>
      </c>
      <c r="P5909">
        <v>0.90852739999999998</v>
      </c>
      <c r="Q5909">
        <v>0.41554099999999999</v>
      </c>
      <c r="R5909">
        <v>4.3630349999999998E-2</v>
      </c>
      <c r="S5909">
        <v>3.4981990000000001</v>
      </c>
      <c r="T5909">
        <v>-0.43010900000000002</v>
      </c>
      <c r="U5909">
        <v>4.4403079999999998E-2</v>
      </c>
      <c r="V5909">
        <v>-0.19447619999999999</v>
      </c>
      <c r="W5909">
        <v>0.41994720000000002</v>
      </c>
      <c r="X5909">
        <v>0.8864668</v>
      </c>
      <c r="Y5909">
        <v>-0.16805809999999999</v>
      </c>
      <c r="Z5909">
        <v>2.89167E-2</v>
      </c>
      <c r="AA5909">
        <v>0.98535289999999998</v>
      </c>
      <c r="AB5909">
        <v>37</v>
      </c>
      <c r="AC5909">
        <v>8.7489000000000399</v>
      </c>
      <c r="AD5909">
        <v>-1.117868156606</v>
      </c>
      <c r="AE5909">
        <v>0.16654999999999701</v>
      </c>
      <c r="AF5909">
        <v>-1.5211821621456301</v>
      </c>
      <c r="AG5909">
        <v>-1.117868156606</v>
      </c>
      <c r="AH5909">
        <v>8.4745273165639095</v>
      </c>
      <c r="AI5909">
        <v>97.397566246599894</v>
      </c>
      <c r="AJ5909">
        <v>100.176252009275</v>
      </c>
      <c r="AK5909">
        <v>8.6822369021566992</v>
      </c>
      <c r="AL5909">
        <v>65.168746355895394</v>
      </c>
      <c r="AM5909">
        <v>102.373722688809</v>
      </c>
      <c r="AN5909">
        <v>1.00000001532825</v>
      </c>
    </row>
    <row r="5910" spans="1:40" x14ac:dyDescent="0.25">
      <c r="A5910" t="str">
        <f>"20190304165005097"</f>
        <v>20190304165005097</v>
      </c>
      <c r="B5910" t="str">
        <f>"1551689405092047"</f>
        <v>1551689405092047</v>
      </c>
      <c r="C5910" t="s">
        <v>40</v>
      </c>
      <c r="D5910">
        <v>4.5889040000000003</v>
      </c>
      <c r="E5910">
        <v>0.52407899999999996</v>
      </c>
      <c r="F5910" t="s">
        <v>50</v>
      </c>
      <c r="G5910">
        <v>-381.35789999999997</v>
      </c>
      <c r="H5910" s="1">
        <v>-4.3087839999999997E-6</v>
      </c>
      <c r="I5910">
        <v>18.35819</v>
      </c>
      <c r="J5910">
        <v>-390.22789999999998</v>
      </c>
      <c r="K5910">
        <v>1.117875</v>
      </c>
      <c r="L5910">
        <v>18.174499999999998</v>
      </c>
      <c r="M5910">
        <v>0.98808980000000002</v>
      </c>
      <c r="N5910">
        <v>-9.0099180000000004E-3</v>
      </c>
      <c r="O5910">
        <v>-0.15361529999999901</v>
      </c>
      <c r="P5910">
        <v>0.90850969999999998</v>
      </c>
      <c r="Q5910">
        <v>0.41530850000000002</v>
      </c>
      <c r="R5910">
        <v>4.6141439999999999E-2</v>
      </c>
      <c r="S5910">
        <v>3.4963989999999998</v>
      </c>
      <c r="T5910">
        <v>-0.43109130000000001</v>
      </c>
      <c r="U5910">
        <v>5.9906010000000003E-2</v>
      </c>
      <c r="V5910">
        <v>-0.19309570000000001</v>
      </c>
      <c r="W5910">
        <v>0.41975590000000002</v>
      </c>
      <c r="X5910">
        <v>0.88685910000000001</v>
      </c>
      <c r="Y5910">
        <v>-0.16816679999999901</v>
      </c>
      <c r="Z5910">
        <v>2.852213E-2</v>
      </c>
      <c r="AA5910">
        <v>0.98534580000000005</v>
      </c>
      <c r="AB5910">
        <v>37</v>
      </c>
      <c r="AC5910">
        <v>8.8699999999999992</v>
      </c>
      <c r="AD5910">
        <v>-1.117879308784</v>
      </c>
      <c r="AE5910">
        <v>0.18369000000000199</v>
      </c>
      <c r="AF5910">
        <v>-1.5200000077954401</v>
      </c>
      <c r="AG5910">
        <v>-1.117879308784</v>
      </c>
      <c r="AH5910">
        <v>8.5999545858224398</v>
      </c>
      <c r="AI5910">
        <v>97.2943484983617</v>
      </c>
      <c r="AJ5910">
        <v>100.02323355984799</v>
      </c>
      <c r="AK5910">
        <v>8.80450299851808</v>
      </c>
      <c r="AL5910">
        <v>65.180822975456906</v>
      </c>
      <c r="AM5910">
        <v>102.28329440930401</v>
      </c>
      <c r="AN5910">
        <v>1.0000000140980501</v>
      </c>
    </row>
    <row r="5911" spans="1:40" x14ac:dyDescent="0.25">
      <c r="A5911" t="str">
        <f>"20190304165005108"</f>
        <v>20190304165005108</v>
      </c>
      <c r="B5911" t="str">
        <f>"1551689405101807"</f>
        <v>1551689405101807</v>
      </c>
      <c r="C5911" t="s">
        <v>40</v>
      </c>
      <c r="D5911">
        <v>4.6191170000000001</v>
      </c>
      <c r="E5911">
        <v>0.52419249999999995</v>
      </c>
      <c r="F5911" t="s">
        <v>50</v>
      </c>
      <c r="G5911">
        <v>-381.17680000000001</v>
      </c>
      <c r="H5911" s="1">
        <v>-4.3952449999999996E-6</v>
      </c>
      <c r="I5911">
        <v>18.353300000000001</v>
      </c>
      <c r="J5911">
        <v>-390.03</v>
      </c>
      <c r="K5911">
        <v>1.117885</v>
      </c>
      <c r="L5911">
        <v>18.14716</v>
      </c>
      <c r="M5911">
        <v>0.98875009999999997</v>
      </c>
      <c r="N5911">
        <v>-9.0290979999999993E-3</v>
      </c>
      <c r="O5911">
        <v>-0.1493043</v>
      </c>
      <c r="P5911">
        <v>0.90858850000000002</v>
      </c>
      <c r="Q5911">
        <v>0.4148654</v>
      </c>
      <c r="R5911">
        <v>4.8518199999999997E-2</v>
      </c>
      <c r="S5911">
        <v>3.4959720000000001</v>
      </c>
      <c r="T5911">
        <v>-0.43178250000000001</v>
      </c>
      <c r="U5911">
        <v>6.9061280000000003E-2</v>
      </c>
      <c r="V5911">
        <v>-0.19157360000000001</v>
      </c>
      <c r="W5911">
        <v>0.41935899999999998</v>
      </c>
      <c r="X5911">
        <v>0.88737679999999997</v>
      </c>
      <c r="Y5911">
        <v>-0.16648370000000001</v>
      </c>
      <c r="Z5911">
        <v>2.797295E-2</v>
      </c>
      <c r="AA5911">
        <v>0.9856473</v>
      </c>
      <c r="AB5911">
        <v>37</v>
      </c>
      <c r="AC5911">
        <v>8.8531999999999496</v>
      </c>
      <c r="AD5911">
        <v>-1.117889395245</v>
      </c>
      <c r="AE5911">
        <v>0.20614000000000099</v>
      </c>
      <c r="AF5911">
        <v>-1.50177264244804</v>
      </c>
      <c r="AG5911">
        <v>-1.117889395245</v>
      </c>
      <c r="AH5911">
        <v>8.5863535365331298</v>
      </c>
      <c r="AI5911">
        <v>97.308115217675194</v>
      </c>
      <c r="AJ5911">
        <v>99.920811757815201</v>
      </c>
      <c r="AK5911">
        <v>8.7880865280185798</v>
      </c>
      <c r="AL5911">
        <v>65.205874907043807</v>
      </c>
      <c r="AM5911">
        <v>102.18247714720199</v>
      </c>
      <c r="AN5911">
        <v>1.0000000001381</v>
      </c>
    </row>
    <row r="5912" spans="1:40" x14ac:dyDescent="0.25">
      <c r="A5912" t="str">
        <f>"20190304165005121"</f>
        <v>20190304165005121</v>
      </c>
      <c r="B5912" t="str">
        <f>"1551689405111567"</f>
        <v>1551689405111567</v>
      </c>
      <c r="C5912" t="s">
        <v>40</v>
      </c>
      <c r="D5912">
        <v>4.6116070000000002</v>
      </c>
      <c r="E5912">
        <v>0.52429539999999997</v>
      </c>
      <c r="F5912" t="s">
        <v>50</v>
      </c>
      <c r="G5912">
        <v>-381.01339999999999</v>
      </c>
      <c r="H5912" s="1">
        <v>-4.4734079999999996E-6</v>
      </c>
      <c r="I5912">
        <v>18.348120000000002</v>
      </c>
      <c r="J5912">
        <v>-389.84769999999997</v>
      </c>
      <c r="K5912">
        <v>1.1178920000000001</v>
      </c>
      <c r="L5912">
        <v>18.122620000000001</v>
      </c>
      <c r="M5912">
        <v>0.98934040000000001</v>
      </c>
      <c r="N5912">
        <v>-9.0469009999999996E-3</v>
      </c>
      <c r="O5912">
        <v>-0.14534040000000001</v>
      </c>
      <c r="P5912">
        <v>0.90865090000000004</v>
      </c>
      <c r="Q5912">
        <v>0.41449920000000001</v>
      </c>
      <c r="R5912">
        <v>5.0438629999999998E-2</v>
      </c>
      <c r="S5912">
        <v>3.4955440000000002</v>
      </c>
      <c r="T5912">
        <v>-0.43338510000000002</v>
      </c>
      <c r="U5912">
        <v>7.7911380000000002E-2</v>
      </c>
      <c r="V5912">
        <v>-0.1899102</v>
      </c>
      <c r="W5912">
        <v>0.4190412</v>
      </c>
      <c r="X5912">
        <v>0.88788429999999996</v>
      </c>
      <c r="Y5912">
        <v>-0.16504949999999999</v>
      </c>
      <c r="Z5912">
        <v>2.7535859999999999E-2</v>
      </c>
      <c r="AA5912">
        <v>0.98590080000000002</v>
      </c>
      <c r="AB5912">
        <v>37</v>
      </c>
      <c r="AC5912">
        <v>8.8342999999999794</v>
      </c>
      <c r="AD5912">
        <v>-1.1178964734079999</v>
      </c>
      <c r="AE5912">
        <v>0.22550000000000001</v>
      </c>
      <c r="AF5912">
        <v>-1.48340107525363</v>
      </c>
      <c r="AG5912">
        <v>-1.1178964734079999</v>
      </c>
      <c r="AH5912">
        <v>8.5705648020218295</v>
      </c>
      <c r="AI5912">
        <v>97.323706076529703</v>
      </c>
      <c r="AJ5912">
        <v>99.8195219100445</v>
      </c>
      <c r="AK5912">
        <v>8.7695354666582599</v>
      </c>
      <c r="AL5912">
        <v>65.225929997797294</v>
      </c>
      <c r="AM5912">
        <v>102.073116646562</v>
      </c>
      <c r="AN5912">
        <v>0.99999997077398395</v>
      </c>
    </row>
    <row r="5913" spans="1:40" x14ac:dyDescent="0.25">
      <c r="A5913" t="str">
        <f>"20190304165005133"</f>
        <v>20190304165005133</v>
      </c>
      <c r="B5913" t="str">
        <f>"1551689405121328"</f>
        <v>1551689405121328</v>
      </c>
      <c r="C5913" t="s">
        <v>40</v>
      </c>
      <c r="D5913">
        <v>4.5854160000000004</v>
      </c>
      <c r="E5913">
        <v>0.52439360000000002</v>
      </c>
      <c r="F5913" t="s">
        <v>50</v>
      </c>
      <c r="G5913">
        <v>-380.86020000000002</v>
      </c>
      <c r="H5913" s="1">
        <v>-4.5470739999999998E-6</v>
      </c>
      <c r="I5913">
        <v>18.341090000000001</v>
      </c>
      <c r="J5913">
        <v>-389.65010000000001</v>
      </c>
      <c r="K5913">
        <v>1.1178980000000001</v>
      </c>
      <c r="L5913">
        <v>18.09674</v>
      </c>
      <c r="M5913">
        <v>0.98996110000000004</v>
      </c>
      <c r="N5913">
        <v>-9.0664230000000005E-3</v>
      </c>
      <c r="O5913">
        <v>-0.14104939999999999</v>
      </c>
      <c r="P5913">
        <v>0.90882470000000004</v>
      </c>
      <c r="Q5913">
        <v>0.41385100000000002</v>
      </c>
      <c r="R5913">
        <v>5.2583390000000001E-2</v>
      </c>
      <c r="S5913">
        <v>3.4951780000000001</v>
      </c>
      <c r="T5913">
        <v>-0.4347434</v>
      </c>
      <c r="U5913">
        <v>8.4960939999999999E-2</v>
      </c>
      <c r="V5913">
        <v>-0.18818370000000001</v>
      </c>
      <c r="W5913">
        <v>0.41844710000000002</v>
      </c>
      <c r="X5913">
        <v>0.88853189999999904</v>
      </c>
      <c r="Y5913">
        <v>-0.16279579999999999</v>
      </c>
      <c r="Z5913">
        <v>2.6986389999999999E-2</v>
      </c>
      <c r="AA5913">
        <v>0.98629060000000002</v>
      </c>
      <c r="AB5913">
        <v>37</v>
      </c>
      <c r="AC5913">
        <v>8.7898999999999798</v>
      </c>
      <c r="AD5913">
        <v>-1.1179025470739901</v>
      </c>
      <c r="AE5913">
        <v>0.24434999999999699</v>
      </c>
      <c r="AF5913">
        <v>-1.4581999939021599</v>
      </c>
      <c r="AG5913">
        <v>-1.1179025470739901</v>
      </c>
      <c r="AH5913">
        <v>8.5296895691073598</v>
      </c>
      <c r="AI5913">
        <v>97.3610423169808</v>
      </c>
      <c r="AJ5913">
        <v>99.701262583848504</v>
      </c>
      <c r="AK5913">
        <v>8.7253456935705298</v>
      </c>
      <c r="AL5913">
        <v>65.263415053206899</v>
      </c>
      <c r="AM5913">
        <v>101.958065637758</v>
      </c>
      <c r="AN5913">
        <v>1.0000000088808501</v>
      </c>
    </row>
    <row r="5914" spans="1:40" x14ac:dyDescent="0.25">
      <c r="A5914" t="str">
        <f>"20190304165005152"</f>
        <v>20190304165005152</v>
      </c>
      <c r="B5914" t="str">
        <f>"1551689405141826"</f>
        <v>1551689405141826</v>
      </c>
      <c r="C5914" t="s">
        <v>40</v>
      </c>
      <c r="D5914">
        <v>4.595243</v>
      </c>
      <c r="E5914">
        <v>0.52456530000000001</v>
      </c>
      <c r="F5914" t="s">
        <v>50</v>
      </c>
      <c r="G5914">
        <v>-380.70760000000001</v>
      </c>
      <c r="H5914" s="1">
        <v>-4.6206390000000003E-6</v>
      </c>
      <c r="I5914">
        <v>18.33305</v>
      </c>
      <c r="J5914">
        <v>-389.33760000000001</v>
      </c>
      <c r="K5914">
        <v>1.1178939999999999</v>
      </c>
      <c r="L5914">
        <v>18.057770000000001</v>
      </c>
      <c r="M5914">
        <v>0.99089879999999997</v>
      </c>
      <c r="N5914">
        <v>-9.0971139999999999E-3</v>
      </c>
      <c r="O5914">
        <v>-0.1343007</v>
      </c>
      <c r="P5914">
        <v>0.9091148</v>
      </c>
      <c r="Q5914">
        <v>0.41292570000000001</v>
      </c>
      <c r="R5914">
        <v>5.4798350000000003E-2</v>
      </c>
      <c r="S5914">
        <v>3.4945979999999999</v>
      </c>
      <c r="T5914">
        <v>-0.43686199999999997</v>
      </c>
      <c r="U5914">
        <v>9.2346189999999995E-2</v>
      </c>
      <c r="V5914">
        <v>-0.18431410000000001</v>
      </c>
      <c r="W5914">
        <v>0.41763410000000001</v>
      </c>
      <c r="X5914">
        <v>0.88972469999999904</v>
      </c>
      <c r="Y5914">
        <v>-0.15822039999999901</v>
      </c>
      <c r="Z5914">
        <v>2.6043219999999999E-2</v>
      </c>
      <c r="AA5914">
        <v>0.9870603</v>
      </c>
      <c r="AB5914">
        <v>37</v>
      </c>
      <c r="AC5914">
        <v>8.6299999999999901</v>
      </c>
      <c r="AD5914">
        <v>-1.117898620639</v>
      </c>
      <c r="AE5914">
        <v>0.27527999999999803</v>
      </c>
      <c r="AF5914">
        <v>-1.40824317876502</v>
      </c>
      <c r="AG5914">
        <v>-1.117898620639</v>
      </c>
      <c r="AH5914">
        <v>8.3744614393773809</v>
      </c>
      <c r="AI5914">
        <v>97.499338574008704</v>
      </c>
      <c r="AJ5914">
        <v>99.545509583000197</v>
      </c>
      <c r="AK5914">
        <v>8.5653050486356594</v>
      </c>
      <c r="AL5914">
        <v>65.314691423555303</v>
      </c>
      <c r="AM5914">
        <v>101.70376493116299</v>
      </c>
      <c r="AN5914">
        <v>0.99999998536585399</v>
      </c>
    </row>
    <row r="5915" spans="1:40" x14ac:dyDescent="0.25">
      <c r="A5915" t="str">
        <f>"20190304165005164"</f>
        <v>20190304165005164</v>
      </c>
      <c r="B5915" t="str">
        <f>"1551689405161343"</f>
        <v>1551689405161343</v>
      </c>
      <c r="C5915" t="s">
        <v>40</v>
      </c>
      <c r="D5915">
        <v>4.6268120000000001</v>
      </c>
      <c r="E5915">
        <v>0.52475569999999905</v>
      </c>
      <c r="F5915" t="s">
        <v>50</v>
      </c>
      <c r="G5915">
        <v>-380.46960000000001</v>
      </c>
      <c r="H5915" s="1">
        <v>-4.7367090000000004E-6</v>
      </c>
      <c r="I5915">
        <v>18.31307</v>
      </c>
      <c r="J5915">
        <v>-389.14519999999999</v>
      </c>
      <c r="K5915">
        <v>1.117885</v>
      </c>
      <c r="L5915">
        <v>18.03491</v>
      </c>
      <c r="M5915">
        <v>0.99144900000000002</v>
      </c>
      <c r="N5915">
        <v>-9.1163649999999995E-3</v>
      </c>
      <c r="O5915">
        <v>-0.1301766</v>
      </c>
      <c r="P5915">
        <v>0.90932239999999998</v>
      </c>
      <c r="Q5915">
        <v>0.4122846</v>
      </c>
      <c r="R5915">
        <v>5.6164749999999999E-2</v>
      </c>
      <c r="S5915">
        <v>3.4938660000000001</v>
      </c>
      <c r="T5915">
        <v>-0.44043280000000001</v>
      </c>
      <c r="U5915">
        <v>0.10058590000000001</v>
      </c>
      <c r="V5915">
        <v>-0.18195420000000001</v>
      </c>
      <c r="W5915">
        <v>0.41706599999999999</v>
      </c>
      <c r="X5915">
        <v>0.89047659999999995</v>
      </c>
      <c r="Y5915">
        <v>-0.15645000000000001</v>
      </c>
      <c r="Z5915">
        <v>2.5666700000000001E-2</v>
      </c>
      <c r="AA5915">
        <v>0.98735229999999996</v>
      </c>
      <c r="AB5915">
        <v>37</v>
      </c>
      <c r="AC5915">
        <v>8.6755999999999691</v>
      </c>
      <c r="AD5915">
        <v>-1.1178897367089999</v>
      </c>
      <c r="AE5915">
        <v>0.27815999999999902</v>
      </c>
      <c r="AF5915">
        <v>-1.38227287551994</v>
      </c>
      <c r="AG5915">
        <v>-1.1178897367089999</v>
      </c>
      <c r="AH5915">
        <v>8.4258062467579204</v>
      </c>
      <c r="AI5915">
        <v>97.458990799076503</v>
      </c>
      <c r="AJ5915">
        <v>99.316516846132302</v>
      </c>
      <c r="AK5915">
        <v>8.6113045860509594</v>
      </c>
      <c r="AL5915">
        <v>65.350509513235295</v>
      </c>
      <c r="AM5915">
        <v>101.54847387773199</v>
      </c>
      <c r="AN5915">
        <v>0.99999997720059897</v>
      </c>
    </row>
    <row r="5916" spans="1:40" x14ac:dyDescent="0.25">
      <c r="A5916" t="str">
        <f>"20190304165005177"</f>
        <v>20190304165005177</v>
      </c>
      <c r="B5916" t="str">
        <f>"1551689405172079"</f>
        <v>1551689405172079</v>
      </c>
      <c r="C5916" t="s">
        <v>40</v>
      </c>
      <c r="D5916">
        <v>4.583202</v>
      </c>
      <c r="E5916">
        <v>0.52485059999999994</v>
      </c>
      <c r="F5916" t="s">
        <v>50</v>
      </c>
      <c r="G5916">
        <v>-380.33190000000002</v>
      </c>
      <c r="H5916" s="1">
        <v>-4.8041350000000002E-6</v>
      </c>
      <c r="I5916">
        <v>18.299900000000001</v>
      </c>
      <c r="J5916">
        <v>-388.92529999999999</v>
      </c>
      <c r="K5916">
        <v>1.117866</v>
      </c>
      <c r="L5916">
        <v>18.00949</v>
      </c>
      <c r="M5916">
        <v>0.99205330000000003</v>
      </c>
      <c r="N5916">
        <v>-9.1384050000000005E-3</v>
      </c>
      <c r="O5916">
        <v>-0.1254855</v>
      </c>
      <c r="P5916">
        <v>0.90927630000000004</v>
      </c>
      <c r="Q5916">
        <v>0.4120741</v>
      </c>
      <c r="R5916">
        <v>5.8410070000000001E-2</v>
      </c>
      <c r="S5916">
        <v>3.4935909999999999</v>
      </c>
      <c r="T5916">
        <v>-0.4431291</v>
      </c>
      <c r="U5916">
        <v>0.1050415</v>
      </c>
      <c r="V5916">
        <v>-0.179922</v>
      </c>
      <c r="W5916">
        <v>0.4169255</v>
      </c>
      <c r="X5916">
        <v>0.89095519999999995</v>
      </c>
      <c r="Y5916">
        <v>-0.15307270000000001</v>
      </c>
      <c r="Z5916">
        <v>2.505108E-2</v>
      </c>
      <c r="AA5916">
        <v>0.98789729999999998</v>
      </c>
      <c r="AB5916">
        <v>37</v>
      </c>
      <c r="AC5916">
        <v>8.5933999999999706</v>
      </c>
      <c r="AD5916">
        <v>-1.1178708041350001</v>
      </c>
      <c r="AE5916">
        <v>0.290410000000001</v>
      </c>
      <c r="AF5916">
        <v>-1.3437926465600201</v>
      </c>
      <c r="AG5916">
        <v>-1.1178708041350001</v>
      </c>
      <c r="AH5916">
        <v>8.3479207519496796</v>
      </c>
      <c r="AI5916">
        <v>97.531290602025507</v>
      </c>
      <c r="AJ5916">
        <v>99.144644630621997</v>
      </c>
      <c r="AK5916">
        <v>8.5289621110964209</v>
      </c>
      <c r="AL5916">
        <v>65.359366520067894</v>
      </c>
      <c r="AM5916">
        <v>101.416926055074</v>
      </c>
      <c r="AN5916">
        <v>0.99999998352064401</v>
      </c>
    </row>
    <row r="5917" spans="1:40" x14ac:dyDescent="0.25">
      <c r="A5917" t="str">
        <f>"20190304165005197"</f>
        <v>20190304165005197</v>
      </c>
      <c r="B5917" t="str">
        <f>"1551689405191599"</f>
        <v>1551689405191599</v>
      </c>
      <c r="C5917" t="s">
        <v>40</v>
      </c>
      <c r="D5917">
        <v>4.5933310000000001</v>
      </c>
      <c r="E5917">
        <v>0.52506209999999998</v>
      </c>
      <c r="F5917" t="s">
        <v>50</v>
      </c>
      <c r="G5917">
        <v>-380.13440000000003</v>
      </c>
      <c r="H5917" s="1">
        <v>-4.8982669999999999E-6</v>
      </c>
      <c r="I5917">
        <v>18.295559999999998</v>
      </c>
      <c r="J5917">
        <v>-388.61829999999998</v>
      </c>
      <c r="K5917">
        <v>1.1178170000000001</v>
      </c>
      <c r="L5917">
        <v>17.975829999999998</v>
      </c>
      <c r="M5917">
        <v>0.99285000000000001</v>
      </c>
      <c r="N5917">
        <v>-9.16785E-3</v>
      </c>
      <c r="O5917">
        <v>-0.1190157</v>
      </c>
      <c r="P5917">
        <v>0.90901679999999996</v>
      </c>
      <c r="Q5917">
        <v>0.41234340000000003</v>
      </c>
      <c r="R5917">
        <v>6.0509519999999997E-2</v>
      </c>
      <c r="S5917">
        <v>3.493347</v>
      </c>
      <c r="T5917">
        <v>-0.44422139999999999</v>
      </c>
      <c r="U5917">
        <v>0.113678</v>
      </c>
      <c r="V5917">
        <v>-0.176099799999999</v>
      </c>
      <c r="W5917">
        <v>0.41731689999999999</v>
      </c>
      <c r="X5917">
        <v>0.89153549999999904</v>
      </c>
      <c r="Y5917">
        <v>-0.149141</v>
      </c>
      <c r="Z5917">
        <v>2.409056E-2</v>
      </c>
      <c r="AA5917">
        <v>0.98852240000000002</v>
      </c>
      <c r="AB5917">
        <v>37</v>
      </c>
      <c r="AC5917">
        <v>8.4838999999999398</v>
      </c>
      <c r="AD5917">
        <v>-1.1178218982670001</v>
      </c>
      <c r="AE5917">
        <v>0.31973000000000301</v>
      </c>
      <c r="AF5917">
        <v>-1.3046010810447199</v>
      </c>
      <c r="AG5917">
        <v>-1.1178218982670001</v>
      </c>
      <c r="AH5917">
        <v>8.2426491146972403</v>
      </c>
      <c r="AI5917">
        <v>97.629188885549596</v>
      </c>
      <c r="AJ5917">
        <v>98.993854344452302</v>
      </c>
      <c r="AK5917">
        <v>8.4197846887511094</v>
      </c>
      <c r="AL5917">
        <v>65.334693396091197</v>
      </c>
      <c r="AM5917">
        <v>101.17346849788299</v>
      </c>
      <c r="AN5917">
        <v>1.0000000411729399</v>
      </c>
    </row>
    <row r="5918" spans="1:40" x14ac:dyDescent="0.25">
      <c r="A5918" t="str">
        <f>"20190304165005209"</f>
        <v>20190304165005209</v>
      </c>
      <c r="B5918" t="str">
        <f>"1551689405201360"</f>
        <v>1551689405201360</v>
      </c>
      <c r="C5918" t="s">
        <v>40</v>
      </c>
      <c r="D5918">
        <v>4.5769710000000003</v>
      </c>
      <c r="E5918">
        <v>0.52514850000000002</v>
      </c>
      <c r="F5918" t="s">
        <v>51</v>
      </c>
      <c r="G5918">
        <v>-379.81169999999997</v>
      </c>
      <c r="H5918" s="1">
        <v>-4.135256E-7</v>
      </c>
      <c r="I5918">
        <v>18.274629999999998</v>
      </c>
      <c r="J5918">
        <v>-388.39960000000002</v>
      </c>
      <c r="K5918">
        <v>1.117774</v>
      </c>
      <c r="L5918">
        <v>17.953250000000001</v>
      </c>
      <c r="M5918">
        <v>0.99338389999999999</v>
      </c>
      <c r="N5918">
        <v>-9.1869069999999994E-3</v>
      </c>
      <c r="O5918">
        <v>-0.1144732</v>
      </c>
      <c r="P5918">
        <v>0.90866849999999999</v>
      </c>
      <c r="Q5918">
        <v>0.41273130000000002</v>
      </c>
      <c r="R5918">
        <v>6.3044039999999996E-2</v>
      </c>
      <c r="S5918">
        <v>3.4935299999999998</v>
      </c>
      <c r="T5918">
        <v>-0.44343139999999998</v>
      </c>
      <c r="U5918">
        <v>0.11853030000000001</v>
      </c>
      <c r="V5918">
        <v>-0.17444309999999999</v>
      </c>
      <c r="W5918">
        <v>0.41777180000000003</v>
      </c>
      <c r="X5918">
        <v>0.89164809999999906</v>
      </c>
      <c r="Y5918">
        <v>-0.1460542</v>
      </c>
      <c r="Z5918">
        <v>2.330577E-2</v>
      </c>
      <c r="AA5918">
        <v>0.98900200000000005</v>
      </c>
      <c r="AB5918">
        <v>37</v>
      </c>
      <c r="AC5918">
        <v>8.5879000000000403</v>
      </c>
      <c r="AD5918">
        <v>-1.1177744135256</v>
      </c>
      <c r="AE5918">
        <v>0.321379999999997</v>
      </c>
      <c r="AF5918">
        <v>-1.2807268008459201</v>
      </c>
      <c r="AG5918">
        <v>-1.1177744135256</v>
      </c>
      <c r="AH5918">
        <v>8.3533358742812691</v>
      </c>
      <c r="AI5918">
        <v>97.534560434519904</v>
      </c>
      <c r="AJ5918">
        <v>98.716665966816706</v>
      </c>
      <c r="AK5918">
        <v>8.5245469678154695</v>
      </c>
      <c r="AL5918">
        <v>65.306008454251995</v>
      </c>
      <c r="AM5918">
        <v>101.0695967354</v>
      </c>
      <c r="AN5918">
        <v>1.0000000031232299</v>
      </c>
    </row>
    <row r="5919" spans="1:40" x14ac:dyDescent="0.25">
      <c r="A5919" t="str">
        <f>"20190304165005221"</f>
        <v>20190304165005221</v>
      </c>
      <c r="B5919" t="str">
        <f>"1551689405212095"</f>
        <v>1551689405212095</v>
      </c>
      <c r="C5919" t="s">
        <v>40</v>
      </c>
      <c r="D5919">
        <v>4.5921329999999996</v>
      </c>
      <c r="E5919">
        <v>0.52523350000000002</v>
      </c>
      <c r="F5919" t="s">
        <v>51</v>
      </c>
      <c r="G5919">
        <v>-379.5659</v>
      </c>
      <c r="H5919" s="1">
        <v>-5.0896970000000001E-7</v>
      </c>
      <c r="I5919">
        <v>18.27054</v>
      </c>
      <c r="J5919">
        <v>-388.20699999999999</v>
      </c>
      <c r="K5919">
        <v>1.1177319999999999</v>
      </c>
      <c r="L5919">
        <v>17.93402</v>
      </c>
      <c r="M5919">
        <v>0.9938323</v>
      </c>
      <c r="N5919">
        <v>-9.2037360000000006E-3</v>
      </c>
      <c r="O5919">
        <v>-0.1105116</v>
      </c>
      <c r="P5919">
        <v>0.90840189999999998</v>
      </c>
      <c r="Q5919">
        <v>0.41295330000000002</v>
      </c>
      <c r="R5919">
        <v>6.5391119999999997E-2</v>
      </c>
      <c r="S5919">
        <v>3.4936219999999998</v>
      </c>
      <c r="T5919">
        <v>-0.4420695</v>
      </c>
      <c r="U5919">
        <v>0.1254883</v>
      </c>
      <c r="V5919">
        <v>-0.17313339999999999</v>
      </c>
      <c r="W5919">
        <v>0.4180526</v>
      </c>
      <c r="X5919">
        <v>0.89177169999999895</v>
      </c>
      <c r="Y5919">
        <v>-0.1441335</v>
      </c>
      <c r="Z5919">
        <v>2.2641310000000001E-2</v>
      </c>
      <c r="AA5919">
        <v>0.98929920000000005</v>
      </c>
      <c r="AB5919">
        <v>37</v>
      </c>
      <c r="AC5919">
        <v>8.6410999999999891</v>
      </c>
      <c r="AD5919">
        <v>-1.1177325089696999</v>
      </c>
      <c r="AE5919">
        <v>0.33651999999999999</v>
      </c>
      <c r="AF5919">
        <v>-1.26825296369721</v>
      </c>
      <c r="AG5919">
        <v>-1.1177325089696999</v>
      </c>
      <c r="AH5919">
        <v>8.4104688312455398</v>
      </c>
      <c r="AI5919">
        <v>97.486458989144595</v>
      </c>
      <c r="AJ5919">
        <v>98.575283687849705</v>
      </c>
      <c r="AK5919">
        <v>8.5786815713655695</v>
      </c>
      <c r="AL5919">
        <v>65.288297981154898</v>
      </c>
      <c r="AM5919">
        <v>100.987031801284</v>
      </c>
      <c r="AN5919">
        <v>0.999999957741604</v>
      </c>
    </row>
    <row r="5920" spans="1:40" x14ac:dyDescent="0.25">
      <c r="A5920" t="str">
        <f>"20190304165005232"</f>
        <v>20190304165005232</v>
      </c>
      <c r="B5920" t="str">
        <f>"1551689405221856"</f>
        <v>1551689405221856</v>
      </c>
      <c r="C5920" t="s">
        <v>40</v>
      </c>
      <c r="D5920">
        <v>5.0688800000000001</v>
      </c>
      <c r="E5920">
        <v>0.52523350000000002</v>
      </c>
      <c r="F5920" t="s">
        <v>51</v>
      </c>
      <c r="G5920">
        <v>-379.35969999999998</v>
      </c>
      <c r="H5920" s="1">
        <v>-5.8855720000000003E-7</v>
      </c>
      <c r="I5920">
        <v>18.269120000000001</v>
      </c>
      <c r="J5920">
        <v>-388.0147</v>
      </c>
      <c r="K5920">
        <v>1.1176839999999999</v>
      </c>
      <c r="L5920">
        <v>17.915410000000001</v>
      </c>
      <c r="M5920">
        <v>0.99426009999999998</v>
      </c>
      <c r="N5920">
        <v>-9.2206679999999996E-3</v>
      </c>
      <c r="O5920">
        <v>-0.1065923</v>
      </c>
      <c r="P5920">
        <v>0.90810690000000005</v>
      </c>
      <c r="Q5920">
        <v>0.41325040000000002</v>
      </c>
      <c r="R5920">
        <v>6.7572999999999994E-2</v>
      </c>
      <c r="S5920">
        <v>3.4936219999999998</v>
      </c>
      <c r="T5920">
        <v>-0.44137130000000002</v>
      </c>
      <c r="U5920">
        <v>0.1323242</v>
      </c>
      <c r="V5920">
        <v>-0.1716944</v>
      </c>
      <c r="W5920">
        <v>0.41841250000000002</v>
      </c>
      <c r="X5920">
        <v>0.89188120000000004</v>
      </c>
      <c r="Y5920">
        <v>-0.14221520000000001</v>
      </c>
      <c r="Z5920">
        <v>2.2019540000000001E-2</v>
      </c>
      <c r="AA5920">
        <v>0.98959079999999999</v>
      </c>
      <c r="AB5920">
        <v>37</v>
      </c>
      <c r="AC5920">
        <v>8.6550000000000296</v>
      </c>
      <c r="AD5920">
        <v>-1.1176845885572</v>
      </c>
      <c r="AE5920">
        <v>0.35370999999999903</v>
      </c>
      <c r="AF5920">
        <v>-1.25342239324187</v>
      </c>
      <c r="AG5920">
        <v>-1.1176845885572</v>
      </c>
      <c r="AH5920">
        <v>8.4276726996642797</v>
      </c>
      <c r="AI5920">
        <v>97.473269959223003</v>
      </c>
      <c r="AJ5920">
        <v>98.459419216937604</v>
      </c>
      <c r="AK5920">
        <v>8.5933668412354596</v>
      </c>
      <c r="AL5920">
        <v>65.2655983362461</v>
      </c>
      <c r="AM5920">
        <v>100.896602425976</v>
      </c>
      <c r="AN5920">
        <v>1.0000000310305199</v>
      </c>
    </row>
    <row r="5921" spans="1:40" x14ac:dyDescent="0.25">
      <c r="A5921" t="str">
        <f>"20190304165005255"</f>
        <v>20190304165005255</v>
      </c>
      <c r="B5921" t="str">
        <f>"1551689405252113"</f>
        <v>1551689405252113</v>
      </c>
      <c r="C5921" t="s">
        <v>40</v>
      </c>
      <c r="D5921">
        <v>4.6033980000000003</v>
      </c>
      <c r="E5921">
        <v>0.52509749999999999</v>
      </c>
      <c r="F5921" t="s">
        <v>51</v>
      </c>
      <c r="G5921">
        <v>-379.14339999999999</v>
      </c>
      <c r="H5921" s="1">
        <v>-6.7165130000000001E-7</v>
      </c>
      <c r="I5921">
        <v>18.269020000000001</v>
      </c>
      <c r="J5921">
        <v>-387.68349999999998</v>
      </c>
      <c r="K5921">
        <v>1.11757</v>
      </c>
      <c r="L5921">
        <v>17.88522</v>
      </c>
      <c r="M5921">
        <v>0.99494369999999999</v>
      </c>
      <c r="N5921">
        <v>-9.2482999999999992E-3</v>
      </c>
      <c r="O5921">
        <v>-0.1000086</v>
      </c>
      <c r="P5921">
        <v>0.90813860000000002</v>
      </c>
      <c r="Q5921">
        <v>0.41270459999999898</v>
      </c>
      <c r="R5921">
        <v>7.0422559999999995E-2</v>
      </c>
      <c r="S5921">
        <v>3.4935</v>
      </c>
      <c r="T5921">
        <v>-0.44013910000000001</v>
      </c>
      <c r="U5921">
        <v>0.13925170000000001</v>
      </c>
      <c r="V5921">
        <v>-0.16847179999999901</v>
      </c>
      <c r="W5921">
        <v>0.41800359999999998</v>
      </c>
      <c r="X5921">
        <v>0.89268709999999996</v>
      </c>
      <c r="Y5921">
        <v>-0.1377176</v>
      </c>
      <c r="Z5921">
        <v>2.089148E-2</v>
      </c>
      <c r="AA5921">
        <v>0.9902512</v>
      </c>
      <c r="AB5921">
        <v>37</v>
      </c>
      <c r="AC5921">
        <v>8.54009999999999</v>
      </c>
      <c r="AD5921">
        <v>-1.1175706716513001</v>
      </c>
      <c r="AE5921">
        <v>0.38379999999999997</v>
      </c>
      <c r="AF5921">
        <v>-1.2152270557788201</v>
      </c>
      <c r="AG5921">
        <v>-1.1175706716513001</v>
      </c>
      <c r="AH5921">
        <v>8.3167608996060594</v>
      </c>
      <c r="AI5921">
        <v>97.573839071544995</v>
      </c>
      <c r="AJ5921">
        <v>98.3131053341301</v>
      </c>
      <c r="AK5921">
        <v>8.4790478748765299</v>
      </c>
      <c r="AL5921">
        <v>65.291389775270503</v>
      </c>
      <c r="AM5921">
        <v>100.687408303354</v>
      </c>
      <c r="AN5921">
        <v>1.0000000077572999</v>
      </c>
    </row>
    <row r="5922" spans="1:40" x14ac:dyDescent="0.25">
      <c r="A5922" t="str">
        <f>"20190304165005275"</f>
        <v>20190304165005275</v>
      </c>
      <c r="B5922" t="str">
        <f>"1551689405271631"</f>
        <v>1551689405271631</v>
      </c>
      <c r="C5922" t="s">
        <v>40</v>
      </c>
      <c r="D5922">
        <v>4.5629929999999996</v>
      </c>
      <c r="E5922">
        <v>0.53221269999999998</v>
      </c>
      <c r="F5922" t="s">
        <v>51</v>
      </c>
      <c r="G5922">
        <v>-372.56020000000001</v>
      </c>
      <c r="H5922" s="1">
        <v>-3.6975019999999998E-6</v>
      </c>
      <c r="I5922">
        <v>18.487819999999999</v>
      </c>
      <c r="J5922">
        <v>-387.3322</v>
      </c>
      <c r="K5922">
        <v>1.1173979999999999</v>
      </c>
      <c r="L5922">
        <v>17.85538</v>
      </c>
      <c r="M5922">
        <v>0.99559660000000005</v>
      </c>
      <c r="N5922">
        <v>-9.2763570000000007E-3</v>
      </c>
      <c r="O5922">
        <v>-9.3281149999999993E-2</v>
      </c>
      <c r="P5922">
        <v>0.90843280000000004</v>
      </c>
      <c r="Q5922">
        <v>0.41155540000000002</v>
      </c>
      <c r="R5922">
        <v>7.329521E-2</v>
      </c>
      <c r="S5922">
        <v>3.4074399999999998</v>
      </c>
      <c r="T5922">
        <v>-0.25180140000000001</v>
      </c>
      <c r="U5922">
        <v>0.1357727</v>
      </c>
      <c r="V5922">
        <v>-0.16510329999999901</v>
      </c>
      <c r="W5922">
        <v>0.4170161</v>
      </c>
      <c r="X5922">
        <v>0.89377759999999995</v>
      </c>
      <c r="Y5922">
        <v>-0.13225239999999999</v>
      </c>
      <c r="Z5922">
        <v>1.15048999999999E-2</v>
      </c>
      <c r="AA5922">
        <v>0.99114930000000001</v>
      </c>
      <c r="AB5922">
        <v>37</v>
      </c>
      <c r="AC5922">
        <v>14.771999999999901</v>
      </c>
      <c r="AD5922">
        <v>-1.11740169750199</v>
      </c>
      <c r="AE5922">
        <v>0.632440000000002</v>
      </c>
      <c r="AF5922">
        <v>-1.99628897006416</v>
      </c>
      <c r="AG5922">
        <v>-1.11740169750199</v>
      </c>
      <c r="AH5922">
        <v>14.5653991867584</v>
      </c>
      <c r="AI5922">
        <v>94.346444932632295</v>
      </c>
      <c r="AJ5922">
        <v>97.804160312902695</v>
      </c>
      <c r="AK5922">
        <v>14.743968586347499</v>
      </c>
      <c r="AL5922">
        <v>65.353654803308203</v>
      </c>
      <c r="AM5922">
        <v>100.46599690466</v>
      </c>
      <c r="AN5922">
        <v>0.99999996279592895</v>
      </c>
    </row>
    <row r="5923" spans="1:40" x14ac:dyDescent="0.25">
      <c r="A5923" t="str">
        <f>"20190304165005288"</f>
        <v>20190304165005288</v>
      </c>
      <c r="B5923" t="str">
        <f>"1551689405281392"</f>
        <v>1551689405281392</v>
      </c>
      <c r="C5923" t="s">
        <v>40</v>
      </c>
      <c r="D5923">
        <v>4.7650889999999997</v>
      </c>
      <c r="E5923">
        <v>0.53221269999999998</v>
      </c>
      <c r="F5923" t="s">
        <v>51</v>
      </c>
      <c r="G5923">
        <v>-379.02080000000001</v>
      </c>
      <c r="H5923" s="1">
        <v>-7.5937249999999997E-7</v>
      </c>
      <c r="I5923">
        <v>18.11617</v>
      </c>
      <c r="J5923">
        <v>-387.12180000000001</v>
      </c>
      <c r="K5923">
        <v>1.1172690000000001</v>
      </c>
      <c r="L5923">
        <v>17.838750000000001</v>
      </c>
      <c r="M5923">
        <v>0.9959498</v>
      </c>
      <c r="N5923">
        <v>-9.2930470000000005E-3</v>
      </c>
      <c r="O5923">
        <v>-8.9430750000000003E-2</v>
      </c>
      <c r="P5923">
        <v>0.90853830000000002</v>
      </c>
      <c r="Q5923">
        <v>0.4109004</v>
      </c>
      <c r="R5923">
        <v>7.5625849999999994E-2</v>
      </c>
      <c r="S5923">
        <v>3.5071409999999998</v>
      </c>
      <c r="T5923">
        <v>-0.47150829999999999</v>
      </c>
      <c r="U5923">
        <v>0.1100464</v>
      </c>
      <c r="V5923">
        <v>-0.16382140000000001</v>
      </c>
      <c r="W5923">
        <v>0.41645179999999998</v>
      </c>
      <c r="X5923">
        <v>0.89427649999999903</v>
      </c>
      <c r="Y5923">
        <v>-0.11878900000000001</v>
      </c>
      <c r="Z5923">
        <v>1.9632859999999999E-2</v>
      </c>
      <c r="AA5923">
        <v>0.99272539999999998</v>
      </c>
      <c r="AB5923">
        <v>37</v>
      </c>
      <c r="AC5923">
        <v>8.1009999999999902</v>
      </c>
      <c r="AD5923">
        <v>-1.1172697593725001</v>
      </c>
      <c r="AE5923">
        <v>0.277419999999999</v>
      </c>
      <c r="AF5923">
        <v>-0.98215802355256199</v>
      </c>
      <c r="AG5923">
        <v>-1.1172697593725001</v>
      </c>
      <c r="AH5923">
        <v>7.8937528011584401</v>
      </c>
      <c r="AI5923">
        <v>97.995203441604602</v>
      </c>
      <c r="AJ5923">
        <v>97.0924173748692</v>
      </c>
      <c r="AK5923">
        <v>8.0326993834098896</v>
      </c>
      <c r="AL5923">
        <v>65.389223581114095</v>
      </c>
      <c r="AM5923">
        <v>100.380843336144</v>
      </c>
      <c r="AN5923">
        <v>1.00000000563672</v>
      </c>
    </row>
    <row r="5924" spans="1:40" x14ac:dyDescent="0.25">
      <c r="A5924" t="str">
        <f>"20190304165005300"</f>
        <v>20190304165005300</v>
      </c>
      <c r="B5924" t="str">
        <f>"1551689405292127"</f>
        <v>1551689405292127</v>
      </c>
      <c r="C5924" t="s">
        <v>40</v>
      </c>
      <c r="D5924">
        <v>4.5744249999999997</v>
      </c>
      <c r="E5924">
        <v>0.53251300000000001</v>
      </c>
      <c r="F5924" t="s">
        <v>51</v>
      </c>
      <c r="G5924">
        <v>-378.85590000000002</v>
      </c>
      <c r="H5924" s="1">
        <v>-8.2206539999999999E-7</v>
      </c>
      <c r="I5924">
        <v>18.118590000000001</v>
      </c>
      <c r="J5924">
        <v>-386.9049</v>
      </c>
      <c r="K5924">
        <v>1.1171279999999999</v>
      </c>
      <c r="L5924">
        <v>17.82217</v>
      </c>
      <c r="M5924">
        <v>0.99629100000000004</v>
      </c>
      <c r="N5924">
        <v>-9.3117340000000003E-3</v>
      </c>
      <c r="O5924">
        <v>-8.5543079999999994E-2</v>
      </c>
      <c r="P5924">
        <v>0.90857109999999996</v>
      </c>
      <c r="Q5924">
        <v>0.41041230000000001</v>
      </c>
      <c r="R5924">
        <v>7.7848150000000005E-2</v>
      </c>
      <c r="S5924">
        <v>3.5065</v>
      </c>
      <c r="T5924">
        <v>-0.47395969999999998</v>
      </c>
      <c r="U5924">
        <v>0.1187134</v>
      </c>
      <c r="V5924">
        <v>-0.16238050000000001</v>
      </c>
      <c r="W5924">
        <v>0.41606290000000001</v>
      </c>
      <c r="X5924">
        <v>0.89472030000000002</v>
      </c>
      <c r="Y5924">
        <v>-0.11739570000000001</v>
      </c>
      <c r="Z5924">
        <v>1.9152229999999999E-2</v>
      </c>
      <c r="AA5924">
        <v>0.99290060000000002</v>
      </c>
      <c r="AB5924">
        <v>37</v>
      </c>
      <c r="AC5924">
        <v>8.0489999999999693</v>
      </c>
      <c r="AD5924">
        <v>-1.1171288220653901</v>
      </c>
      <c r="AE5924">
        <v>0.29642000000000102</v>
      </c>
      <c r="AF5924">
        <v>-0.96532954127817905</v>
      </c>
      <c r="AG5924">
        <v>-1.1171288220653901</v>
      </c>
      <c r="AH5924">
        <v>7.8432562533860697</v>
      </c>
      <c r="AI5924">
        <v>98.046305863443607</v>
      </c>
      <c r="AJ5924">
        <v>97.016542724376706</v>
      </c>
      <c r="AK5924">
        <v>7.9810091206960303</v>
      </c>
      <c r="AL5924">
        <v>65.413732134785207</v>
      </c>
      <c r="AM5924">
        <v>100.28650189545</v>
      </c>
      <c r="AN5924">
        <v>1.0000000893843699</v>
      </c>
    </row>
    <row r="5925" spans="1:40" x14ac:dyDescent="0.25">
      <c r="A5925" t="str">
        <f>"20190304165005311"</f>
        <v>20190304165005311</v>
      </c>
      <c r="B5925" t="str">
        <f>"1551689405301888"</f>
        <v>1551689405301888</v>
      </c>
      <c r="C5925" t="s">
        <v>40</v>
      </c>
      <c r="D5925">
        <v>4.4812099999999999</v>
      </c>
      <c r="E5925">
        <v>0.53251300000000001</v>
      </c>
      <c r="F5925" t="s">
        <v>51</v>
      </c>
      <c r="G5925">
        <v>-378.68950000000001</v>
      </c>
      <c r="H5925" s="1">
        <v>-8.8706549999999899E-7</v>
      </c>
      <c r="I5925">
        <v>18.114529999999998</v>
      </c>
      <c r="J5925">
        <v>-386.71980000000002</v>
      </c>
      <c r="K5925">
        <v>1.1169990000000001</v>
      </c>
      <c r="L5925">
        <v>17.80856</v>
      </c>
      <c r="M5925">
        <v>0.99656259999999997</v>
      </c>
      <c r="N5925">
        <v>-9.3290060000000008E-3</v>
      </c>
      <c r="O5925">
        <v>-8.2316199999999895E-2</v>
      </c>
      <c r="P5925">
        <v>0.90867869999999995</v>
      </c>
      <c r="Q5925">
        <v>0.40988770000000002</v>
      </c>
      <c r="R5925">
        <v>7.9341770000000006E-2</v>
      </c>
      <c r="S5925">
        <v>3.5065919999999999</v>
      </c>
      <c r="T5925">
        <v>-0.47682540000000001</v>
      </c>
      <c r="U5925">
        <v>0.12478640000000001</v>
      </c>
      <c r="V5925">
        <v>-0.16082779999999999</v>
      </c>
      <c r="W5925">
        <v>0.41563359999999999</v>
      </c>
      <c r="X5925">
        <v>0.89520010000000005</v>
      </c>
      <c r="Y5925">
        <v>-0.1159152</v>
      </c>
      <c r="Z5925">
        <v>1.8754360000000001E-2</v>
      </c>
      <c r="AA5925">
        <v>0.99308200000000002</v>
      </c>
      <c r="AB5925">
        <v>37</v>
      </c>
      <c r="AC5925">
        <v>8.0303000000000093</v>
      </c>
      <c r="AD5925">
        <v>-1.1169998870655</v>
      </c>
      <c r="AE5925">
        <v>0.30596999999999802</v>
      </c>
      <c r="AF5925">
        <v>-0.94767476314146804</v>
      </c>
      <c r="AG5925">
        <v>-1.1169998870655</v>
      </c>
      <c r="AH5925">
        <v>7.8266447987480001</v>
      </c>
      <c r="AI5925">
        <v>98.064149828468999</v>
      </c>
      <c r="AJ5925">
        <v>96.903944187707907</v>
      </c>
      <c r="AK5925">
        <v>7.9625463898283604</v>
      </c>
      <c r="AL5925">
        <v>65.440777544833495</v>
      </c>
      <c r="AM5925">
        <v>100.18486469501801</v>
      </c>
      <c r="AN5925">
        <v>1.0000000448709001</v>
      </c>
    </row>
    <row r="5926" spans="1:40" x14ac:dyDescent="0.25">
      <c r="A5926" t="str">
        <f>"20190304165005331"</f>
        <v>20190304165005331</v>
      </c>
      <c r="B5926" t="str">
        <f>"1551689405321407"</f>
        <v>1551689405321407</v>
      </c>
      <c r="C5926" t="s">
        <v>40</v>
      </c>
      <c r="D5926">
        <v>4.496048</v>
      </c>
      <c r="E5926">
        <v>0.53231619999999902</v>
      </c>
      <c r="F5926" t="s">
        <v>51</v>
      </c>
      <c r="G5926">
        <v>-378.54169999999999</v>
      </c>
      <c r="H5926" s="1">
        <v>-9.4392690000000004E-7</v>
      </c>
      <c r="I5926">
        <v>18.11401</v>
      </c>
      <c r="J5926">
        <v>-386.40339999999998</v>
      </c>
      <c r="K5926">
        <v>1.1167769999999999</v>
      </c>
      <c r="L5926">
        <v>17.786650000000002</v>
      </c>
      <c r="M5926">
        <v>0.99698560000000003</v>
      </c>
      <c r="N5926">
        <v>-9.3632690000000005E-3</v>
      </c>
      <c r="O5926">
        <v>-7.7019969999999993E-2</v>
      </c>
      <c r="P5926">
        <v>0.90941369999999999</v>
      </c>
      <c r="Q5926">
        <v>0.40790470000000001</v>
      </c>
      <c r="R5926">
        <v>8.112221E-2</v>
      </c>
      <c r="S5926">
        <v>3.5060730000000002</v>
      </c>
      <c r="T5926">
        <v>-0.4788772</v>
      </c>
      <c r="U5926">
        <v>0.13095090000000001</v>
      </c>
      <c r="V5926">
        <v>-0.15761810000000001</v>
      </c>
      <c r="W5926">
        <v>0.41383120000000001</v>
      </c>
      <c r="X5926">
        <v>0.89660490000000004</v>
      </c>
      <c r="Y5926">
        <v>-0.1124481</v>
      </c>
      <c r="Z5926">
        <v>1.791587E-2</v>
      </c>
      <c r="AA5926">
        <v>0.99349609999999999</v>
      </c>
      <c r="AB5926">
        <v>37</v>
      </c>
      <c r="AC5926">
        <v>7.8616999999999804</v>
      </c>
      <c r="AD5926">
        <v>-1.1167779439268899</v>
      </c>
      <c r="AE5926">
        <v>0.32735999999999799</v>
      </c>
      <c r="AF5926">
        <v>-0.91351988402695805</v>
      </c>
      <c r="AG5926">
        <v>-1.1167779439268899</v>
      </c>
      <c r="AH5926">
        <v>7.6588499888927499</v>
      </c>
      <c r="AI5926">
        <v>98.238549096883304</v>
      </c>
      <c r="AJ5926">
        <v>96.801897972871203</v>
      </c>
      <c r="AK5926">
        <v>7.7935675211623501</v>
      </c>
      <c r="AL5926">
        <v>65.554267843621901</v>
      </c>
      <c r="AM5926">
        <v>99.9704015421988</v>
      </c>
      <c r="AN5926">
        <v>1.0000000371225199</v>
      </c>
    </row>
    <row r="5927" spans="1:40" x14ac:dyDescent="0.25">
      <c r="A5927" t="str">
        <f>"20190304165005343"</f>
        <v>20190304165005343</v>
      </c>
      <c r="B5927" t="str">
        <f>"1551689405341903"</f>
        <v>1551689405341903</v>
      </c>
      <c r="C5927" t="s">
        <v>40</v>
      </c>
      <c r="D5927">
        <v>4.5617190000000001</v>
      </c>
      <c r="E5927">
        <v>0.53340430000000005</v>
      </c>
      <c r="F5927" t="s">
        <v>51</v>
      </c>
      <c r="G5927">
        <v>-378.05399999999997</v>
      </c>
      <c r="H5927" s="1">
        <v>-1.1656849999999999E-6</v>
      </c>
      <c r="I5927">
        <v>18.1206</v>
      </c>
      <c r="J5927">
        <v>-386.20209999999997</v>
      </c>
      <c r="K5927">
        <v>1.1166370000000001</v>
      </c>
      <c r="L5927">
        <v>17.773529999999901</v>
      </c>
      <c r="M5927">
        <v>0.99722949999999999</v>
      </c>
      <c r="N5927">
        <v>-9.3884450000000005E-3</v>
      </c>
      <c r="O5927">
        <v>-7.3791819999999994E-2</v>
      </c>
      <c r="P5927">
        <v>0.90958240000000001</v>
      </c>
      <c r="Q5927">
        <v>0.40732800000000002</v>
      </c>
      <c r="R5927">
        <v>8.2120170000000006E-2</v>
      </c>
      <c r="S5927">
        <v>3.4960939999999998</v>
      </c>
      <c r="T5927">
        <v>-0.46761930000000002</v>
      </c>
      <c r="U5927">
        <v>0.1398315</v>
      </c>
      <c r="V5927">
        <v>-0.155553</v>
      </c>
      <c r="W5927">
        <v>0.41336919999999999</v>
      </c>
      <c r="X5927">
        <v>0.89717839999999904</v>
      </c>
      <c r="Y5927">
        <v>-0.11195819999999999</v>
      </c>
      <c r="Z5927">
        <v>1.7108970000000001E-2</v>
      </c>
      <c r="AA5927">
        <v>0.99356560000000005</v>
      </c>
      <c r="AB5927">
        <v>37</v>
      </c>
      <c r="AC5927">
        <v>8.1480999999999408</v>
      </c>
      <c r="AD5927">
        <v>-1.116638165685</v>
      </c>
      <c r="AE5927">
        <v>0.34707000000000199</v>
      </c>
      <c r="AF5927">
        <v>-0.92997925328957798</v>
      </c>
      <c r="AG5927">
        <v>-1.116638165685</v>
      </c>
      <c r="AH5927">
        <v>7.9512125039342001</v>
      </c>
      <c r="AI5927">
        <v>97.940689978969502</v>
      </c>
      <c r="AJ5927">
        <v>96.671044223733503</v>
      </c>
      <c r="AK5927">
        <v>8.0829154695155001</v>
      </c>
      <c r="AL5927">
        <v>65.583339716759198</v>
      </c>
      <c r="AM5927">
        <v>99.8361727152745</v>
      </c>
      <c r="AN5927">
        <v>0.99999995637209804</v>
      </c>
    </row>
    <row r="5928" spans="1:40" x14ac:dyDescent="0.25">
      <c r="A5928" t="str">
        <f>"20190304165005356"</f>
        <v>20190304165005356</v>
      </c>
      <c r="B5928" t="str">
        <f>"1551689405351664"</f>
        <v>1551689405351664</v>
      </c>
      <c r="C5928" t="s">
        <v>40</v>
      </c>
      <c r="D5928">
        <v>4.5900999999999996</v>
      </c>
      <c r="E5928">
        <v>0.53356979999999998</v>
      </c>
      <c r="F5928" t="s">
        <v>51</v>
      </c>
      <c r="G5928">
        <v>-377.87479999999999</v>
      </c>
      <c r="H5928" s="1">
        <v>-1.2540659999999999E-6</v>
      </c>
      <c r="I5928">
        <v>18.099710000000002</v>
      </c>
      <c r="J5928">
        <v>-385.9984</v>
      </c>
      <c r="K5928">
        <v>1.1164970000000001</v>
      </c>
      <c r="L5928">
        <v>17.760590000000001</v>
      </c>
      <c r="M5928">
        <v>0.99746109999999999</v>
      </c>
      <c r="N5928">
        <v>-9.4157979999999995E-3</v>
      </c>
      <c r="O5928">
        <v>-7.0587230000000001E-2</v>
      </c>
      <c r="P5928">
        <v>0.90964179999999994</v>
      </c>
      <c r="Q5928">
        <v>0.40701700000000002</v>
      </c>
      <c r="R5928">
        <v>8.3000359999999995E-2</v>
      </c>
      <c r="S5928">
        <v>3.4957889999999998</v>
      </c>
      <c r="T5928">
        <v>-0.46876430000000002</v>
      </c>
      <c r="U5928">
        <v>0.13693239999999901</v>
      </c>
      <c r="V5928">
        <v>-0.15338560000000001</v>
      </c>
      <c r="W5928">
        <v>0.41317470000000001</v>
      </c>
      <c r="X5928">
        <v>0.89764109999999997</v>
      </c>
      <c r="Y5928">
        <v>-0.1080001</v>
      </c>
      <c r="Z5928">
        <v>1.6472270000000001E-2</v>
      </c>
      <c r="AA5928">
        <v>0.99401439999999996</v>
      </c>
      <c r="AB5928">
        <v>37</v>
      </c>
      <c r="AC5928">
        <v>8.1236000000000104</v>
      </c>
      <c r="AD5928">
        <v>-1.11649825406599</v>
      </c>
      <c r="AE5928">
        <v>0.33912000000000098</v>
      </c>
      <c r="AF5928">
        <v>-0.89484813656453199</v>
      </c>
      <c r="AG5928">
        <v>-1.11649825406599</v>
      </c>
      <c r="AH5928">
        <v>7.9298660376851302</v>
      </c>
      <c r="AI5928">
        <v>97.964475578365807</v>
      </c>
      <c r="AJ5928">
        <v>96.438323123353797</v>
      </c>
      <c r="AK5928">
        <v>8.0579213767867905</v>
      </c>
      <c r="AL5928">
        <v>65.595579117879296</v>
      </c>
      <c r="AM5928">
        <v>99.696836895223697</v>
      </c>
      <c r="AN5928">
        <v>1.0000000097083299</v>
      </c>
    </row>
    <row r="5929" spans="1:40" x14ac:dyDescent="0.25">
      <c r="A5929" t="str">
        <f>"20190304165005375"</f>
        <v>20190304165005375</v>
      </c>
      <c r="B5929" t="str">
        <f>"1551689405372159"</f>
        <v>1551689405372159</v>
      </c>
      <c r="C5929" t="s">
        <v>40</v>
      </c>
      <c r="D5929">
        <v>4.5769250000000001</v>
      </c>
      <c r="E5929">
        <v>0.53380450000000002</v>
      </c>
      <c r="F5929" t="s">
        <v>51</v>
      </c>
      <c r="G5929">
        <v>-377.73570000000001</v>
      </c>
      <c r="H5929" s="1">
        <v>-1.3203070000000001E-6</v>
      </c>
      <c r="I5929">
        <v>18.09703</v>
      </c>
      <c r="J5929">
        <v>-385.6866</v>
      </c>
      <c r="K5929">
        <v>1.1162879999999999</v>
      </c>
      <c r="L5929">
        <v>17.742190000000001</v>
      </c>
      <c r="M5929">
        <v>0.99777979999999999</v>
      </c>
      <c r="N5929">
        <v>-9.4595760000000008E-3</v>
      </c>
      <c r="O5929">
        <v>-6.5927440000000004E-2</v>
      </c>
      <c r="P5929">
        <v>0.90998849999999998</v>
      </c>
      <c r="Q5929">
        <v>0.4063195</v>
      </c>
      <c r="R5929">
        <v>8.2618159999999996E-2</v>
      </c>
      <c r="S5929">
        <v>3.4963679999999999</v>
      </c>
      <c r="T5929">
        <v>-0.47244930000000002</v>
      </c>
      <c r="U5929">
        <v>0.1423645</v>
      </c>
      <c r="V5929">
        <v>-0.148580399999999</v>
      </c>
      <c r="W5929">
        <v>0.41267789999999999</v>
      </c>
      <c r="X5929">
        <v>0.89867719999999995</v>
      </c>
      <c r="Y5929">
        <v>-0.10493420000000001</v>
      </c>
      <c r="Z5929">
        <v>1.5795409999999999E-2</v>
      </c>
      <c r="AA5929">
        <v>0.99435370000000001</v>
      </c>
      <c r="AB5929">
        <v>37</v>
      </c>
      <c r="AC5929">
        <v>7.9508999999999901</v>
      </c>
      <c r="AD5929">
        <v>-1.1162893203069999</v>
      </c>
      <c r="AE5929">
        <v>0.35483999999999899</v>
      </c>
      <c r="AF5929">
        <v>-0.86132937473358695</v>
      </c>
      <c r="AG5929">
        <v>-1.1162893203069999</v>
      </c>
      <c r="AH5929">
        <v>7.7575955659558504</v>
      </c>
      <c r="AI5929">
        <v>98.139103959677897</v>
      </c>
      <c r="AJ5929">
        <v>96.335626875654697</v>
      </c>
      <c r="AK5929">
        <v>7.8846863668346501</v>
      </c>
      <c r="AL5929">
        <v>65.626830956584897</v>
      </c>
      <c r="AM5929">
        <v>99.3879208437626</v>
      </c>
      <c r="AN5929">
        <v>0.99999994710620299</v>
      </c>
    </row>
    <row r="5930" spans="1:40" x14ac:dyDescent="0.25">
      <c r="A5930" t="str">
        <f>"20190304165005386"</f>
        <v>20190304165005386</v>
      </c>
      <c r="B5930" t="str">
        <f>"1551689405381920"</f>
        <v>1551689405381920</v>
      </c>
      <c r="C5930" t="s">
        <v>40</v>
      </c>
      <c r="D5930">
        <v>4.6045109999999996</v>
      </c>
      <c r="E5930">
        <v>0.53393749999999995</v>
      </c>
      <c r="F5930" t="s">
        <v>51</v>
      </c>
      <c r="G5930">
        <v>-377.53219999999999</v>
      </c>
      <c r="H5930" s="1">
        <v>-1.4188540000000001E-6</v>
      </c>
      <c r="I5930">
        <v>18.083880000000001</v>
      </c>
      <c r="J5930">
        <v>-385.49610000000001</v>
      </c>
      <c r="K5930">
        <v>1.1161700000000001</v>
      </c>
      <c r="L5930">
        <v>17.731780000000001</v>
      </c>
      <c r="M5930">
        <v>0.99795480000000003</v>
      </c>
      <c r="N5930">
        <v>-9.4873809999999996E-3</v>
      </c>
      <c r="O5930">
        <v>-6.3216659999999994E-2</v>
      </c>
      <c r="P5930">
        <v>0.91007819999999995</v>
      </c>
      <c r="Q5930">
        <v>0.40607290000000001</v>
      </c>
      <c r="R5930">
        <v>8.2839979999999994E-2</v>
      </c>
      <c r="S5930">
        <v>3.497223</v>
      </c>
      <c r="T5930">
        <v>-0.47874919999999999</v>
      </c>
      <c r="U5930">
        <v>0.14654539999999999</v>
      </c>
      <c r="V5930">
        <v>-0.14622189999999999</v>
      </c>
      <c r="W5930">
        <v>0.41253980000000001</v>
      </c>
      <c r="X5930">
        <v>0.89912739999999902</v>
      </c>
      <c r="Y5930">
        <v>-0.1034066</v>
      </c>
      <c r="Z5930">
        <v>1.554673E-2</v>
      </c>
      <c r="AA5930">
        <v>0.99451769999999995</v>
      </c>
      <c r="AB5930">
        <v>37</v>
      </c>
      <c r="AC5930">
        <v>7.9639000000000202</v>
      </c>
      <c r="AD5930">
        <v>-1.116171418854</v>
      </c>
      <c r="AE5930">
        <v>0.35209999999999603</v>
      </c>
      <c r="AF5930">
        <v>-0.83843217495432398</v>
      </c>
      <c r="AG5930">
        <v>-1.116171418854</v>
      </c>
      <c r="AH5930">
        <v>7.7733156087444799</v>
      </c>
      <c r="AI5930">
        <v>98.124765520122693</v>
      </c>
      <c r="AJ5930">
        <v>96.156140545225298</v>
      </c>
      <c r="AK5930">
        <v>7.8976732460526504</v>
      </c>
      <c r="AL5930">
        <v>65.635518922535795</v>
      </c>
      <c r="AM5930">
        <v>99.236944937328701</v>
      </c>
      <c r="AN5930">
        <v>1.0000000060272001</v>
      </c>
    </row>
    <row r="5931" spans="1:40" x14ac:dyDescent="0.25">
      <c r="A5931" t="str">
        <f>"20190304165005398"</f>
        <v>20190304165005398</v>
      </c>
      <c r="B5931" t="str">
        <f>"1551689405391680"</f>
        <v>1551689405391680</v>
      </c>
      <c r="C5931" t="s">
        <v>40</v>
      </c>
      <c r="D5931">
        <v>4.7604569999999997</v>
      </c>
      <c r="E5931">
        <v>0.53394189999999997</v>
      </c>
      <c r="F5931" t="s">
        <v>51</v>
      </c>
      <c r="G5931">
        <v>-377.37549999999999</v>
      </c>
      <c r="H5931" s="1">
        <v>-1.4939030000000001E-6</v>
      </c>
      <c r="I5931">
        <v>18.078289999999999</v>
      </c>
      <c r="J5931">
        <v>-385.29289999999997</v>
      </c>
      <c r="K5931">
        <v>1.1160410000000001</v>
      </c>
      <c r="L5931">
        <v>17.72092</v>
      </c>
      <c r="M5931">
        <v>0.99813059999999998</v>
      </c>
      <c r="N5931">
        <v>-9.5175390000000002E-3</v>
      </c>
      <c r="O5931">
        <v>-6.0373320000000001E-2</v>
      </c>
      <c r="P5931">
        <v>0.90998380000000001</v>
      </c>
      <c r="Q5931">
        <v>0.40624559999999998</v>
      </c>
      <c r="R5931">
        <v>8.3031270000000004E-2</v>
      </c>
      <c r="S5931">
        <v>3.4973139999999998</v>
      </c>
      <c r="T5931">
        <v>-0.48070659999999998</v>
      </c>
      <c r="U5931">
        <v>0.149231</v>
      </c>
      <c r="V5931">
        <v>-0.1436993</v>
      </c>
      <c r="W5931">
        <v>0.4128251</v>
      </c>
      <c r="X5931">
        <v>0.89940309999999901</v>
      </c>
      <c r="Y5931">
        <v>-0.1013656</v>
      </c>
      <c r="Z5931">
        <v>1.509839E-2</v>
      </c>
      <c r="AA5931">
        <v>0.99473460000000002</v>
      </c>
      <c r="AB5931">
        <v>37</v>
      </c>
      <c r="AC5931">
        <v>7.9173999999999802</v>
      </c>
      <c r="AD5931">
        <v>-1.116042493903</v>
      </c>
      <c r="AE5931">
        <v>0.35736999999999902</v>
      </c>
      <c r="AF5931">
        <v>-0.81850873234795896</v>
      </c>
      <c r="AG5931">
        <v>-1.116042493903</v>
      </c>
      <c r="AH5931">
        <v>7.7281344622602299</v>
      </c>
      <c r="AI5931">
        <v>98.172353708763794</v>
      </c>
      <c r="AJ5931">
        <v>96.045820036281</v>
      </c>
      <c r="AK5931">
        <v>7.8510871642022497</v>
      </c>
      <c r="AL5931">
        <v>65.617572697721997</v>
      </c>
      <c r="AM5931">
        <v>99.077530901240706</v>
      </c>
      <c r="AN5931">
        <v>0.99999999415005403</v>
      </c>
    </row>
    <row r="5932" spans="1:40" x14ac:dyDescent="0.25">
      <c r="A5932" t="str">
        <f>"20190304165005410"</f>
        <v>20190304165005410</v>
      </c>
      <c r="B5932" t="str">
        <f>"1551689405401440"</f>
        <v>1551689405401440</v>
      </c>
      <c r="C5932" t="s">
        <v>40</v>
      </c>
      <c r="D5932">
        <v>4.5645509999999998</v>
      </c>
      <c r="E5932">
        <v>0.53412819999999905</v>
      </c>
      <c r="F5932" t="s">
        <v>51</v>
      </c>
      <c r="G5932">
        <v>-377.19900000000001</v>
      </c>
      <c r="H5932" s="1">
        <v>-1.5781509999999999E-6</v>
      </c>
      <c r="I5932">
        <v>18.07368</v>
      </c>
      <c r="J5932">
        <v>-385.09339999999997</v>
      </c>
      <c r="K5932">
        <v>1.115917</v>
      </c>
      <c r="L5932">
        <v>17.71088</v>
      </c>
      <c r="M5932">
        <v>0.99828879999999998</v>
      </c>
      <c r="N5932">
        <v>-9.5469200000000004E-3</v>
      </c>
      <c r="O5932">
        <v>-5.76908E-2</v>
      </c>
      <c r="P5932">
        <v>0.90981129999999999</v>
      </c>
      <c r="Q5932">
        <v>0.40659650000000003</v>
      </c>
      <c r="R5932">
        <v>8.3202499999999999E-2</v>
      </c>
      <c r="S5932">
        <v>3.4981689999999999</v>
      </c>
      <c r="T5932">
        <v>-0.48235020000000001</v>
      </c>
      <c r="U5932">
        <v>0.15246579999999901</v>
      </c>
      <c r="V5932">
        <v>-0.14130309999999999</v>
      </c>
      <c r="W5932">
        <v>0.41328239999999999</v>
      </c>
      <c r="X5932">
        <v>0.899572699999999</v>
      </c>
      <c r="Y5932">
        <v>-9.9630159999999995E-2</v>
      </c>
      <c r="Z5932">
        <v>1.4676109999999999E-2</v>
      </c>
      <c r="AA5932">
        <v>0.99491629999999998</v>
      </c>
      <c r="AB5932">
        <v>37</v>
      </c>
      <c r="AC5932">
        <v>7.8943999999999601</v>
      </c>
      <c r="AD5932">
        <v>-1.1159185781509999</v>
      </c>
      <c r="AE5932">
        <v>0.36280000000000001</v>
      </c>
      <c r="AF5932">
        <v>-0.80166605022413995</v>
      </c>
      <c r="AG5932">
        <v>-1.1159185781509999</v>
      </c>
      <c r="AH5932">
        <v>7.7066539968049304</v>
      </c>
      <c r="AI5932">
        <v>98.195512123042704</v>
      </c>
      <c r="AJ5932">
        <v>95.938696126525102</v>
      </c>
      <c r="AK5932">
        <v>7.8281836051292197</v>
      </c>
      <c r="AL5932">
        <v>65.588801847493897</v>
      </c>
      <c r="AM5932">
        <v>98.926964783562696</v>
      </c>
      <c r="AN5932">
        <v>0.99999997540232899</v>
      </c>
    </row>
    <row r="5933" spans="1:40" x14ac:dyDescent="0.25">
      <c r="A5933" t="str">
        <f>"20190304165005421"</f>
        <v>20190304165005421</v>
      </c>
      <c r="B5933" t="str">
        <f>"1551689405411200"</f>
        <v>1551689405411200</v>
      </c>
      <c r="C5933" t="s">
        <v>40</v>
      </c>
      <c r="D5933">
        <v>4.5510519999999897</v>
      </c>
      <c r="E5933">
        <v>0.53427369999999996</v>
      </c>
      <c r="F5933" t="s">
        <v>51</v>
      </c>
      <c r="G5933">
        <v>-376.98520000000002</v>
      </c>
      <c r="H5933" s="1">
        <v>-1.6807149999999901E-6</v>
      </c>
      <c r="I5933">
        <v>18.065359999999998</v>
      </c>
      <c r="J5933">
        <v>-384.90570000000002</v>
      </c>
      <c r="K5933">
        <v>1.115799</v>
      </c>
      <c r="L5933">
        <v>17.70187</v>
      </c>
      <c r="M5933">
        <v>0.99842719999999896</v>
      </c>
      <c r="N5933">
        <v>-9.5736759999999997E-3</v>
      </c>
      <c r="O5933">
        <v>-5.5242680000000002E-2</v>
      </c>
      <c r="P5933">
        <v>0.90963729999999998</v>
      </c>
      <c r="Q5933">
        <v>0.40697450000000002</v>
      </c>
      <c r="R5933">
        <v>8.3256799999999895E-2</v>
      </c>
      <c r="S5933">
        <v>3.498596</v>
      </c>
      <c r="T5933">
        <v>-0.48150539999999997</v>
      </c>
      <c r="U5933">
        <v>0.15295410000000001</v>
      </c>
      <c r="V5933">
        <v>-0.1390121</v>
      </c>
      <c r="W5933">
        <v>0.41375820000000002</v>
      </c>
      <c r="X5933">
        <v>0.89971100000000004</v>
      </c>
      <c r="Y5933">
        <v>-9.7371849999999996E-2</v>
      </c>
      <c r="Z5933">
        <v>1.4171370000000001E-2</v>
      </c>
      <c r="AA5933">
        <v>0.99514720000000001</v>
      </c>
      <c r="AB5933">
        <v>37</v>
      </c>
      <c r="AC5933">
        <v>7.9204999999999997</v>
      </c>
      <c r="AD5933">
        <v>-1.115800680715</v>
      </c>
      <c r="AE5933">
        <v>0.36349000000000198</v>
      </c>
      <c r="AF5933">
        <v>-0.78495914105118103</v>
      </c>
      <c r="AG5933">
        <v>-1.115800680715</v>
      </c>
      <c r="AH5933">
        <v>7.7351357424187599</v>
      </c>
      <c r="AI5933">
        <v>98.166974709985794</v>
      </c>
      <c r="AJ5933">
        <v>95.794521102381793</v>
      </c>
      <c r="AK5933">
        <v>7.8545207979766696</v>
      </c>
      <c r="AL5933">
        <v>65.558862506268099</v>
      </c>
      <c r="AM5933">
        <v>98.783174964394405</v>
      </c>
      <c r="AN5933">
        <v>1.0000000477673201</v>
      </c>
    </row>
    <row r="5934" spans="1:40" x14ac:dyDescent="0.25">
      <c r="A5934" t="str">
        <f>"20190304165005433"</f>
        <v>20190304165005433</v>
      </c>
      <c r="B5934" t="str">
        <f>"1551689405421936"</f>
        <v>1551689405421936</v>
      </c>
      <c r="C5934" t="s">
        <v>40</v>
      </c>
      <c r="D5934">
        <v>4.5686479999999996</v>
      </c>
      <c r="E5934">
        <v>0.53443909999999994</v>
      </c>
      <c r="F5934" t="s">
        <v>51</v>
      </c>
      <c r="G5934">
        <v>-376.77280000000002</v>
      </c>
      <c r="H5934" s="1">
        <v>-1.7824000000000001E-6</v>
      </c>
      <c r="I5934">
        <v>18.058129999999998</v>
      </c>
      <c r="J5934">
        <v>-384.70960000000002</v>
      </c>
      <c r="K5934">
        <v>1.1156790000000001</v>
      </c>
      <c r="L5934">
        <v>17.692810000000001</v>
      </c>
      <c r="M5934">
        <v>0.99856210000000001</v>
      </c>
      <c r="N5934">
        <v>-9.6011410000000005E-3</v>
      </c>
      <c r="O5934">
        <v>-5.2740820000000001E-2</v>
      </c>
      <c r="P5934">
        <v>0.90934610000000005</v>
      </c>
      <c r="Q5934">
        <v>0.4076825</v>
      </c>
      <c r="R5934">
        <v>8.2973749999999999E-2</v>
      </c>
      <c r="S5934">
        <v>3.4987490000000001</v>
      </c>
      <c r="T5934">
        <v>-0.4800141</v>
      </c>
      <c r="U5934">
        <v>0.15325929999999999</v>
      </c>
      <c r="V5934">
        <v>-0.13633029999999999</v>
      </c>
      <c r="W5934">
        <v>0.41456850000000001</v>
      </c>
      <c r="X5934">
        <v>0.89974829999999995</v>
      </c>
      <c r="Y5934">
        <v>-9.5015769999999999E-2</v>
      </c>
      <c r="Z5934">
        <v>1.363733E-2</v>
      </c>
      <c r="AA5934">
        <v>0.9953824</v>
      </c>
      <c r="AB5934">
        <v>37</v>
      </c>
      <c r="AC5934">
        <v>7.9367999999999999</v>
      </c>
      <c r="AD5934">
        <v>-1.1156807823999999</v>
      </c>
      <c r="AE5934">
        <v>0.36531999999999598</v>
      </c>
      <c r="AF5934">
        <v>-0.76827504644954203</v>
      </c>
      <c r="AG5934">
        <v>-1.1156807823999999</v>
      </c>
      <c r="AH5934">
        <v>7.7535967563961901</v>
      </c>
      <c r="AI5934">
        <v>98.148837259587296</v>
      </c>
      <c r="AJ5934">
        <v>95.658754408496605</v>
      </c>
      <c r="AK5934">
        <v>7.8710388651061303</v>
      </c>
      <c r="AL5934">
        <v>65.507854123297506</v>
      </c>
      <c r="AM5934">
        <v>98.615946987320399</v>
      </c>
      <c r="AN5934">
        <v>0.99999999762161496</v>
      </c>
    </row>
    <row r="5935" spans="1:40" x14ac:dyDescent="0.25">
      <c r="A5935" t="str">
        <f>"20190304165005446"</f>
        <v>20190304165005446</v>
      </c>
      <c r="B5935" t="str">
        <f>"1551689405441456"</f>
        <v>1551689405441456</v>
      </c>
      <c r="C5935" t="s">
        <v>40</v>
      </c>
      <c r="D5935">
        <v>4.7535220000000002</v>
      </c>
      <c r="E5935">
        <v>0.53452900000000003</v>
      </c>
      <c r="F5935" t="s">
        <v>51</v>
      </c>
      <c r="G5935">
        <v>-376.53699999999998</v>
      </c>
      <c r="H5935" s="1">
        <v>-1.895665E-6</v>
      </c>
      <c r="I5935">
        <v>18.047820000000002</v>
      </c>
      <c r="J5935">
        <v>-384.50540000000001</v>
      </c>
      <c r="K5935">
        <v>1.11555</v>
      </c>
      <c r="L5935">
        <v>17.684049999999999</v>
      </c>
      <c r="M5935">
        <v>0.99868990000000002</v>
      </c>
      <c r="N5935">
        <v>-9.6292110000000004E-3</v>
      </c>
      <c r="O5935">
        <v>-5.0254739999999999E-2</v>
      </c>
      <c r="P5935">
        <v>0.90919410000000001</v>
      </c>
      <c r="Q5935">
        <v>0.40806189999999998</v>
      </c>
      <c r="R5935">
        <v>8.2773299999999994E-2</v>
      </c>
      <c r="S5935">
        <v>3.49939</v>
      </c>
      <c r="T5935">
        <v>-0.4777188</v>
      </c>
      <c r="U5935">
        <v>0.15200810000000001</v>
      </c>
      <c r="V5935">
        <v>-0.13373940000000001</v>
      </c>
      <c r="W5935">
        <v>0.41505239999999999</v>
      </c>
      <c r="X5935">
        <v>0.89991409999999905</v>
      </c>
      <c r="Y5935">
        <v>-9.2235339999999999E-2</v>
      </c>
      <c r="Z5935">
        <v>1.305398E-2</v>
      </c>
      <c r="AA5935">
        <v>0.99565170000000003</v>
      </c>
      <c r="AB5935">
        <v>37</v>
      </c>
      <c r="AC5935">
        <v>7.9684000000000301</v>
      </c>
      <c r="AD5935">
        <v>-1.1155518956649999</v>
      </c>
      <c r="AE5935">
        <v>0.36377000000000198</v>
      </c>
      <c r="AF5935">
        <v>-0.74912706966881704</v>
      </c>
      <c r="AG5935">
        <v>-1.1155518956649999</v>
      </c>
      <c r="AH5935">
        <v>7.7877329007696803</v>
      </c>
      <c r="AI5935">
        <v>98.114910167296202</v>
      </c>
      <c r="AJ5935">
        <v>95.4945595855432</v>
      </c>
      <c r="AK5935">
        <v>7.9028115966510901</v>
      </c>
      <c r="AL5935">
        <v>65.477385023809404</v>
      </c>
      <c r="AM5935">
        <v>98.453058325591797</v>
      </c>
      <c r="AN5935">
        <v>1.00000005461846</v>
      </c>
    </row>
    <row r="5936" spans="1:40" x14ac:dyDescent="0.25">
      <c r="A5936" t="str">
        <f>"20190304165005465"</f>
        <v>20190304165005465</v>
      </c>
      <c r="B5936" t="str">
        <f>"1551689405451216"</f>
        <v>1551689405451216</v>
      </c>
      <c r="C5936" t="s">
        <v>40</v>
      </c>
      <c r="D5936">
        <v>4.7723399999999998</v>
      </c>
      <c r="E5936">
        <v>0.54925230000000003</v>
      </c>
      <c r="F5936" t="s">
        <v>51</v>
      </c>
      <c r="G5936">
        <v>-376.32130000000001</v>
      </c>
      <c r="H5936" s="1">
        <v>-1.9990039999999999E-6</v>
      </c>
      <c r="I5936">
        <v>18.04008</v>
      </c>
      <c r="J5936">
        <v>-384.18770000000001</v>
      </c>
      <c r="K5936">
        <v>1.1153310000000001</v>
      </c>
      <c r="L5936">
        <v>17.671140000000001</v>
      </c>
      <c r="M5936">
        <v>0.99887009999999998</v>
      </c>
      <c r="N5936">
        <v>-9.6740209999999997E-3</v>
      </c>
      <c r="O5936">
        <v>-4.6528689999999998E-2</v>
      </c>
      <c r="P5936">
        <v>0.90913409999999995</v>
      </c>
      <c r="Q5936">
        <v>0.40861740000000002</v>
      </c>
      <c r="R5936">
        <v>8.0663840000000001E-2</v>
      </c>
      <c r="S5936">
        <v>3.4998779999999998</v>
      </c>
      <c r="T5936">
        <v>-0.47706159999999997</v>
      </c>
      <c r="U5936">
        <v>0.1522522</v>
      </c>
      <c r="V5936">
        <v>-0.12804209999999999</v>
      </c>
      <c r="W5936">
        <v>0.41579270000000002</v>
      </c>
      <c r="X5936">
        <v>0.9004008</v>
      </c>
      <c r="Y5936">
        <v>-8.8652889999999998E-2</v>
      </c>
      <c r="Z5936">
        <v>1.2304549999999999E-2</v>
      </c>
      <c r="AA5936">
        <v>0.99598660000000006</v>
      </c>
      <c r="AB5936">
        <v>37</v>
      </c>
      <c r="AC5936">
        <v>7.8663999999999898</v>
      </c>
      <c r="AD5936">
        <v>-1.115332999004</v>
      </c>
      <c r="AE5936">
        <v>0.36893999999999799</v>
      </c>
      <c r="AF5936">
        <v>-0.72012601013743305</v>
      </c>
      <c r="AG5936">
        <v>-1.115332999004</v>
      </c>
      <c r="AH5936">
        <v>7.6865306159849203</v>
      </c>
      <c r="AI5936">
        <v>98.220622771872101</v>
      </c>
      <c r="AJ5936">
        <v>95.352232178883</v>
      </c>
      <c r="AK5936">
        <v>7.8003398694939703</v>
      </c>
      <c r="AL5936">
        <v>65.430752836471797</v>
      </c>
      <c r="AM5936">
        <v>98.093518970555095</v>
      </c>
      <c r="AN5936">
        <v>0.99999997469316904</v>
      </c>
    </row>
    <row r="5937" spans="1:40" x14ac:dyDescent="0.25">
      <c r="A5937" t="str">
        <f>"20190304165005479"</f>
        <v>20190304165005479</v>
      </c>
      <c r="B5937" t="str">
        <f>"1551689405471711"</f>
        <v>1551689405471711</v>
      </c>
      <c r="C5937" t="s">
        <v>40</v>
      </c>
      <c r="D5937">
        <v>4.7350659999999998</v>
      </c>
      <c r="E5937">
        <v>0.55601099999999903</v>
      </c>
      <c r="F5937" t="s">
        <v>41</v>
      </c>
      <c r="G5937">
        <v>-383.30489999999998</v>
      </c>
      <c r="H5937">
        <v>0.99659160000000002</v>
      </c>
      <c r="I5937">
        <v>17.67878</v>
      </c>
      <c r="J5937">
        <v>-383.95249999999999</v>
      </c>
      <c r="K5937">
        <v>1.115167</v>
      </c>
      <c r="L5937">
        <v>17.662199999999999</v>
      </c>
      <c r="M5937">
        <v>0.99898900000000002</v>
      </c>
      <c r="N5937">
        <v>-9.7086010000000007E-3</v>
      </c>
      <c r="O5937">
        <v>-4.3892130000000001E-2</v>
      </c>
      <c r="P5937">
        <v>0.90912130000000002</v>
      </c>
      <c r="Q5937">
        <v>0.40874769999999999</v>
      </c>
      <c r="R5937">
        <v>8.0147499999999997E-2</v>
      </c>
      <c r="S5937">
        <v>3.5093079999999999</v>
      </c>
      <c r="T5937">
        <v>-0.472188</v>
      </c>
      <c r="U5937">
        <v>3.1097409999999999E-2</v>
      </c>
      <c r="V5937">
        <v>-0.1249695</v>
      </c>
      <c r="W5937">
        <v>0.41604469999999999</v>
      </c>
      <c r="X5937">
        <v>0.90071610000000002</v>
      </c>
      <c r="Y5937">
        <v>-5.1902879999999998E-2</v>
      </c>
      <c r="Z5937">
        <v>9.1829230000000008E-3</v>
      </c>
      <c r="AA5937">
        <v>0.99860990000000005</v>
      </c>
      <c r="AB5937">
        <v>38</v>
      </c>
      <c r="AC5937">
        <v>0.64760000000001094</v>
      </c>
      <c r="AD5937">
        <v>-0.1185754</v>
      </c>
      <c r="AE5937">
        <v>1.6580000000001101E-2</v>
      </c>
      <c r="AF5937">
        <v>-4.3531447493012E-2</v>
      </c>
      <c r="AG5937">
        <v>-0.1185754</v>
      </c>
      <c r="AH5937">
        <v>0.62529834754917502</v>
      </c>
      <c r="AI5937">
        <v>100.712186439498</v>
      </c>
      <c r="AJ5937">
        <v>93.982339859388603</v>
      </c>
      <c r="AK5937">
        <v>0.63792878587952495</v>
      </c>
      <c r="AL5937">
        <v>65.414877340031794</v>
      </c>
      <c r="AM5937">
        <v>97.899052166905605</v>
      </c>
      <c r="AN5937">
        <v>1.00000003056377</v>
      </c>
    </row>
    <row r="5938" spans="1:40" x14ac:dyDescent="0.25">
      <c r="A5938" t="str">
        <f>"20190304165005500"</f>
        <v>20190304165005500</v>
      </c>
      <c r="B5938" t="str">
        <f>"1551689405491231"</f>
        <v>1551689405491231</v>
      </c>
      <c r="C5938" t="s">
        <v>40</v>
      </c>
      <c r="D5938">
        <v>4.7228409999999998</v>
      </c>
      <c r="E5938">
        <v>0.55878879999999997</v>
      </c>
      <c r="F5938" t="s">
        <v>41</v>
      </c>
      <c r="G5938">
        <v>-382.97949999999997</v>
      </c>
      <c r="H5938">
        <v>0.9797806</v>
      </c>
      <c r="I5938">
        <v>17.656269999999999</v>
      </c>
      <c r="J5938">
        <v>-383.60210000000001</v>
      </c>
      <c r="K5938">
        <v>1.1149180000000001</v>
      </c>
      <c r="L5938">
        <v>17.649989999999999</v>
      </c>
      <c r="M5938">
        <v>0.9991447</v>
      </c>
      <c r="N5938">
        <v>-9.7627660000000008E-3</v>
      </c>
      <c r="O5938">
        <v>-4.0184079999999997E-2</v>
      </c>
      <c r="P5938">
        <v>0.90928469999999995</v>
      </c>
      <c r="Q5938">
        <v>0.40878639999999999</v>
      </c>
      <c r="R5938">
        <v>7.8070150000000005E-2</v>
      </c>
      <c r="S5938">
        <v>3.522125</v>
      </c>
      <c r="T5938">
        <v>-0.49038169999999998</v>
      </c>
      <c r="U5938">
        <v>-1.9836429999999999E-2</v>
      </c>
      <c r="V5938">
        <v>-0.1192819</v>
      </c>
      <c r="W5938">
        <v>0.41627920000000002</v>
      </c>
      <c r="X5938">
        <v>0.90137860000000003</v>
      </c>
      <c r="Y5938">
        <v>-3.3873260000000002E-2</v>
      </c>
      <c r="Z5938">
        <v>7.6888859999999998E-3</v>
      </c>
      <c r="AA5938">
        <v>0.99939659999999997</v>
      </c>
      <c r="AB5938">
        <v>38</v>
      </c>
      <c r="AC5938">
        <v>0.62260000000003302</v>
      </c>
      <c r="AD5938">
        <v>-0.13513739999999999</v>
      </c>
      <c r="AE5938">
        <v>6.2800000000038303E-3</v>
      </c>
      <c r="AF5938">
        <v>-2.9886835444547399E-2</v>
      </c>
      <c r="AG5938">
        <v>-0.13513739999999999</v>
      </c>
      <c r="AH5938">
        <v>0.59386910461914999</v>
      </c>
      <c r="AI5938">
        <v>102.803930680013</v>
      </c>
      <c r="AJ5938">
        <v>92.881015488057699</v>
      </c>
      <c r="AK5938">
        <v>0.60978344781799398</v>
      </c>
      <c r="AL5938">
        <v>65.400099347222806</v>
      </c>
      <c r="AM5938">
        <v>97.538307625863894</v>
      </c>
      <c r="AN5938">
        <v>0.99999996227910404</v>
      </c>
    </row>
    <row r="5939" spans="1:40" x14ac:dyDescent="0.25">
      <c r="A5939" t="str">
        <f>"20190304165005511"</f>
        <v>20190304165005511</v>
      </c>
      <c r="B5939" t="str">
        <f>"1551689405501434"</f>
        <v>1551689405501434</v>
      </c>
      <c r="C5939" t="s">
        <v>40</v>
      </c>
      <c r="D5939">
        <v>4.7287679999999996</v>
      </c>
      <c r="E5939">
        <v>0.55970719999999996</v>
      </c>
      <c r="F5939" t="s">
        <v>41</v>
      </c>
      <c r="G5939">
        <v>-382.64569999999998</v>
      </c>
      <c r="H5939">
        <v>0.97911300000000001</v>
      </c>
      <c r="I5939">
        <v>17.637699999999999</v>
      </c>
      <c r="J5939">
        <v>-383.41019999999997</v>
      </c>
      <c r="K5939">
        <v>1.1147819999999999</v>
      </c>
      <c r="L5939">
        <v>17.64377</v>
      </c>
      <c r="M5939">
        <v>0.99922029999999995</v>
      </c>
      <c r="N5939">
        <v>-9.7927310000000007E-3</v>
      </c>
      <c r="O5939">
        <v>-3.8249900000000003E-2</v>
      </c>
      <c r="P5939">
        <v>0.90927270000000004</v>
      </c>
      <c r="Q5939">
        <v>0.40901199999999999</v>
      </c>
      <c r="R5939">
        <v>7.7021270000000003E-2</v>
      </c>
      <c r="S5939">
        <v>3.5284420000000001</v>
      </c>
      <c r="T5939">
        <v>-0.50105909999999998</v>
      </c>
      <c r="U5939">
        <v>-4.4891359999999998E-2</v>
      </c>
      <c r="V5939">
        <v>-0.1163381</v>
      </c>
      <c r="W5939">
        <v>0.41660649999999999</v>
      </c>
      <c r="X5939">
        <v>0.90161219999999997</v>
      </c>
      <c r="Y5939">
        <v>-2.4936349999999999E-2</v>
      </c>
      <c r="Z5939">
        <v>6.9145439999999999E-3</v>
      </c>
      <c r="AA5939">
        <v>0.99966509999999997</v>
      </c>
      <c r="AB5939">
        <v>38</v>
      </c>
      <c r="AC5939">
        <v>0.76449999999999796</v>
      </c>
      <c r="AD5939">
        <v>-0.13566900000000001</v>
      </c>
      <c r="AE5939">
        <v>-6.07000000000113E-3</v>
      </c>
      <c r="AF5939">
        <v>-2.2470291227395901E-2</v>
      </c>
      <c r="AG5939">
        <v>-0.13566900000000001</v>
      </c>
      <c r="AH5939">
        <v>0.74084319026913703</v>
      </c>
      <c r="AI5939">
        <v>100.372798855467</v>
      </c>
      <c r="AJ5939">
        <v>91.737288387722998</v>
      </c>
      <c r="AK5939">
        <v>0.75349825754078303</v>
      </c>
      <c r="AL5939">
        <v>65.379474910097002</v>
      </c>
      <c r="AM5939">
        <v>97.352444488597101</v>
      </c>
      <c r="AN5939">
        <v>1.0000000442713399</v>
      </c>
    </row>
    <row r="5940" spans="1:40" x14ac:dyDescent="0.25">
      <c r="A5940" t="str">
        <f>"20190304165005522"</f>
        <v>20190304165005522</v>
      </c>
      <c r="B5940" t="str">
        <f>"1551689405511194"</f>
        <v>1551689405511194</v>
      </c>
      <c r="C5940" t="s">
        <v>40</v>
      </c>
      <c r="D5940">
        <v>4.7569460000000001</v>
      </c>
      <c r="E5940">
        <v>0.5608417</v>
      </c>
      <c r="F5940" t="s">
        <v>41</v>
      </c>
      <c r="G5940">
        <v>-382.63409999999999</v>
      </c>
      <c r="H5940">
        <v>1.0042850000000001</v>
      </c>
      <c r="I5940">
        <v>17.631789999999999</v>
      </c>
      <c r="J5940">
        <v>-383.22300000000001</v>
      </c>
      <c r="K5940">
        <v>1.1146499999999999</v>
      </c>
      <c r="L5940">
        <v>17.638030000000001</v>
      </c>
      <c r="M5940">
        <v>0.9992877</v>
      </c>
      <c r="N5940">
        <v>-9.8209500000000002E-3</v>
      </c>
      <c r="O5940">
        <v>-3.643967E-2</v>
      </c>
      <c r="P5940">
        <v>0.90931949999999995</v>
      </c>
      <c r="Q5940">
        <v>0.40912290000000001</v>
      </c>
      <c r="R5940">
        <v>7.587083E-2</v>
      </c>
      <c r="S5940">
        <v>3.5299990000000001</v>
      </c>
      <c r="T5940">
        <v>-0.50263740000000001</v>
      </c>
      <c r="U5940">
        <v>-5.3894039999999997E-2</v>
      </c>
      <c r="V5940">
        <v>-0.11340980000000001</v>
      </c>
      <c r="W5940">
        <v>0.41681459999999998</v>
      </c>
      <c r="X5940">
        <v>0.90188900000000005</v>
      </c>
      <c r="Y5940">
        <v>-2.0640700000000001E-2</v>
      </c>
      <c r="Z5940">
        <v>6.368795E-3</v>
      </c>
      <c r="AA5940">
        <v>0.99976659999999995</v>
      </c>
      <c r="AB5940">
        <v>38</v>
      </c>
      <c r="AC5940">
        <v>0.58890000000002296</v>
      </c>
      <c r="AD5940">
        <v>-0.11036499999999901</v>
      </c>
      <c r="AE5940">
        <v>-6.2400000000017997E-3</v>
      </c>
      <c r="AF5940">
        <v>-1.4707982817152901E-2</v>
      </c>
      <c r="AG5940">
        <v>-0.11036499999999901</v>
      </c>
      <c r="AH5940">
        <v>0.56876239358958902</v>
      </c>
      <c r="AI5940">
        <v>100.97785735146</v>
      </c>
      <c r="AJ5940">
        <v>91.481317296451806</v>
      </c>
      <c r="AK5940">
        <v>0.57955795080846595</v>
      </c>
      <c r="AL5940">
        <v>65.366356923664597</v>
      </c>
      <c r="AM5940">
        <v>97.167151697184593</v>
      </c>
      <c r="AN5940">
        <v>0.99999998091509901</v>
      </c>
    </row>
    <row r="5941" spans="1:40" x14ac:dyDescent="0.25">
      <c r="A5941" t="str">
        <f>"20190304165005534"</f>
        <v>20190304165005534</v>
      </c>
      <c r="B5941" t="str">
        <f>"1551689405521930"</f>
        <v>1551689405521930</v>
      </c>
      <c r="C5941" t="s">
        <v>40</v>
      </c>
      <c r="D5941">
        <v>4.7222929999999996</v>
      </c>
      <c r="E5941">
        <v>0.56145349999999905</v>
      </c>
      <c r="F5941" t="s">
        <v>41</v>
      </c>
      <c r="G5941">
        <v>-382.30779999999999</v>
      </c>
      <c r="H5941">
        <v>0.98588540000000002</v>
      </c>
      <c r="I5941">
        <v>17.620799999999999</v>
      </c>
      <c r="J5941">
        <v>-383.02820000000003</v>
      </c>
      <c r="K5941">
        <v>1.1145099999999999</v>
      </c>
      <c r="L5941">
        <v>17.632290000000001</v>
      </c>
      <c r="M5941">
        <v>0.99935280000000004</v>
      </c>
      <c r="N5941">
        <v>-9.850012E-3</v>
      </c>
      <c r="O5941">
        <v>-3.4599230000000002E-2</v>
      </c>
      <c r="P5941">
        <v>0.90934329999999997</v>
      </c>
      <c r="Q5941">
        <v>0.40925840000000002</v>
      </c>
      <c r="R5941">
        <v>7.4848880000000007E-2</v>
      </c>
      <c r="S5941">
        <v>3.5280459999999998</v>
      </c>
      <c r="T5941">
        <v>-0.49650260000000002</v>
      </c>
      <c r="U5941">
        <v>-6.5673830000000002E-2</v>
      </c>
      <c r="V5941">
        <v>-0.1105761</v>
      </c>
      <c r="W5941">
        <v>0.41704649999999999</v>
      </c>
      <c r="X5941">
        <v>0.90213370000000004</v>
      </c>
      <c r="Y5941">
        <v>-1.5536039999999999E-2</v>
      </c>
      <c r="Z5941">
        <v>5.6691160000000001E-3</v>
      </c>
      <c r="AA5941">
        <v>0.99986319999999995</v>
      </c>
      <c r="AB5941">
        <v>38</v>
      </c>
      <c r="AC5941">
        <v>0.72040000000004001</v>
      </c>
      <c r="AD5941">
        <v>-0.12862460000000001</v>
      </c>
      <c r="AE5941">
        <v>-1.1490000000002E-2</v>
      </c>
      <c r="AF5941">
        <v>-1.3028157630753301E-2</v>
      </c>
      <c r="AG5941">
        <v>-0.12862460000000001</v>
      </c>
      <c r="AH5941">
        <v>0.69811679640923296</v>
      </c>
      <c r="AI5941">
        <v>100.437613916142</v>
      </c>
      <c r="AJ5941">
        <v>91.069121691237498</v>
      </c>
      <c r="AK5941">
        <v>0.70998667737155696</v>
      </c>
      <c r="AL5941">
        <v>65.351740308029704</v>
      </c>
      <c r="AM5941">
        <v>96.987987222075006</v>
      </c>
      <c r="AN5941">
        <v>1.0000000348645699</v>
      </c>
    </row>
    <row r="5942" spans="1:40" x14ac:dyDescent="0.25">
      <c r="A5942" t="str">
        <f>"20190304165005546"</f>
        <v>20190304165005546</v>
      </c>
      <c r="B5942" t="str">
        <f>"1551689405541450"</f>
        <v>1551689405541450</v>
      </c>
      <c r="C5942" t="s">
        <v>40</v>
      </c>
      <c r="D5942">
        <v>4.7185550000000003</v>
      </c>
      <c r="E5942">
        <v>0.56213310000000005</v>
      </c>
      <c r="F5942" t="s">
        <v>41</v>
      </c>
      <c r="G5942">
        <v>-382.29579999999999</v>
      </c>
      <c r="H5942">
        <v>1.01149</v>
      </c>
      <c r="I5942">
        <v>17.616779999999999</v>
      </c>
      <c r="J5942">
        <v>-382.84160000000003</v>
      </c>
      <c r="K5942">
        <v>1.1143689999999999</v>
      </c>
      <c r="L5942">
        <v>17.627229999999901</v>
      </c>
      <c r="M5942">
        <v>0.99940779999999996</v>
      </c>
      <c r="N5942">
        <v>-9.8771940000000006E-3</v>
      </c>
      <c r="O5942">
        <v>-3.2964149999999998E-2</v>
      </c>
      <c r="P5942">
        <v>0.90954120000000005</v>
      </c>
      <c r="Q5942">
        <v>0.40901320000000002</v>
      </c>
      <c r="R5942">
        <v>7.3777079999999995E-2</v>
      </c>
      <c r="S5942">
        <v>3.5285639999999998</v>
      </c>
      <c r="T5942">
        <v>-0.49644290000000002</v>
      </c>
      <c r="U5942">
        <v>-7.3822020000000002E-2</v>
      </c>
      <c r="V5942">
        <v>-0.1078785</v>
      </c>
      <c r="W5942">
        <v>0.4168944</v>
      </c>
      <c r="X5942">
        <v>0.90253050000000001</v>
      </c>
      <c r="Y5942">
        <v>-1.165003E-2</v>
      </c>
      <c r="Z5942">
        <v>5.1626839999999998E-3</v>
      </c>
      <c r="AA5942">
        <v>0.9999188</v>
      </c>
      <c r="AB5942">
        <v>38</v>
      </c>
      <c r="AC5942">
        <v>0.54580000000004203</v>
      </c>
      <c r="AD5942">
        <v>-0.102878999999999</v>
      </c>
      <c r="AE5942">
        <v>-1.04499999999987E-2</v>
      </c>
      <c r="AF5942">
        <v>-7.2894936727815104E-3</v>
      </c>
      <c r="AG5942">
        <v>-0.102878999999999</v>
      </c>
      <c r="AH5942">
        <v>0.52712628544094398</v>
      </c>
      <c r="AI5942">
        <v>101.04253750076801</v>
      </c>
      <c r="AJ5942">
        <v>90.792278080964294</v>
      </c>
      <c r="AK5942">
        <v>0.537121351429798</v>
      </c>
      <c r="AL5942">
        <v>65.3613275467535</v>
      </c>
      <c r="AM5942">
        <v>96.816164442002304</v>
      </c>
      <c r="AN5942">
        <v>1.00000000747193</v>
      </c>
    </row>
    <row r="5943" spans="1:40" x14ac:dyDescent="0.25">
      <c r="A5943" t="str">
        <f>"20190304165005565"</f>
        <v>20190304165005565</v>
      </c>
      <c r="B5943" t="str">
        <f>"1551689405561946"</f>
        <v>1551689405561946</v>
      </c>
      <c r="C5943" t="s">
        <v>40</v>
      </c>
      <c r="D5943">
        <v>4.5223820000000003</v>
      </c>
      <c r="E5943">
        <v>0.56449689999999997</v>
      </c>
      <c r="F5943" t="s">
        <v>41</v>
      </c>
      <c r="G5943">
        <v>-381.97019999999998</v>
      </c>
      <c r="H5943">
        <v>0.99074779999999996</v>
      </c>
      <c r="I5943">
        <v>17.6068</v>
      </c>
      <c r="J5943">
        <v>-382.52190000000002</v>
      </c>
      <c r="K5943">
        <v>1.1141190000000001</v>
      </c>
      <c r="L5943">
        <v>17.618960000000001</v>
      </c>
      <c r="M5943">
        <v>0.99949129999999997</v>
      </c>
      <c r="N5943">
        <v>-9.9247190000000002E-3</v>
      </c>
      <c r="O5943">
        <v>-3.0311850000000001E-2</v>
      </c>
      <c r="P5943">
        <v>0.91006779999999998</v>
      </c>
      <c r="Q5943">
        <v>0.40830359999999899</v>
      </c>
      <c r="R5943">
        <v>7.1167659999999994E-2</v>
      </c>
      <c r="S5943">
        <v>3.5303339999999999</v>
      </c>
      <c r="T5943">
        <v>-0.50088409999999906</v>
      </c>
      <c r="U5943">
        <v>-8.2397460000000006E-2</v>
      </c>
      <c r="V5943">
        <v>-0.10261000000000001</v>
      </c>
      <c r="W5943">
        <v>0.41635119999999998</v>
      </c>
      <c r="X5943">
        <v>0.90339519999999995</v>
      </c>
      <c r="Y5943">
        <v>-6.6487639999999997E-3</v>
      </c>
      <c r="Z5943">
        <v>4.4807290000000001E-3</v>
      </c>
      <c r="AA5943">
        <v>0.99996790000000002</v>
      </c>
      <c r="AB5943">
        <v>38</v>
      </c>
      <c r="AC5943">
        <v>0.55170000000003905</v>
      </c>
      <c r="AD5943">
        <v>-0.1233712</v>
      </c>
      <c r="AE5943">
        <v>-1.2160000000001499E-2</v>
      </c>
      <c r="AF5943">
        <v>-4.3519408758139503E-3</v>
      </c>
      <c r="AG5943">
        <v>-0.1233712</v>
      </c>
      <c r="AH5943">
        <v>0.52554734486923504</v>
      </c>
      <c r="AI5943">
        <v>103.210431716626</v>
      </c>
      <c r="AJ5943">
        <v>90.4744427846055</v>
      </c>
      <c r="AK5943">
        <v>0.53985127959275003</v>
      </c>
      <c r="AL5943">
        <v>65.395563435465505</v>
      </c>
      <c r="AM5943">
        <v>96.480034041336793</v>
      </c>
      <c r="AN5943">
        <v>1.00000001061224</v>
      </c>
    </row>
    <row r="5944" spans="1:40" x14ac:dyDescent="0.25">
      <c r="A5944" t="str">
        <f>"20190304165005578"</f>
        <v>20190304165005578</v>
      </c>
      <c r="B5944" t="str">
        <f>"1551689405571706"</f>
        <v>1551689405571706</v>
      </c>
      <c r="C5944" t="s">
        <v>40</v>
      </c>
      <c r="D5944">
        <v>4.7205050000000002</v>
      </c>
      <c r="E5944">
        <v>0.56457899999999905</v>
      </c>
      <c r="F5944" t="s">
        <v>41</v>
      </c>
      <c r="G5944">
        <v>-381.63260000000002</v>
      </c>
      <c r="H5944">
        <v>0.99497060000000004</v>
      </c>
      <c r="I5944">
        <v>17.58943</v>
      </c>
      <c r="J5944">
        <v>-382.29149999999998</v>
      </c>
      <c r="K5944">
        <v>1.113934</v>
      </c>
      <c r="L5944">
        <v>17.61337</v>
      </c>
      <c r="M5944">
        <v>0.99954319999999997</v>
      </c>
      <c r="N5944">
        <v>-9.9596130000000008E-3</v>
      </c>
      <c r="O5944">
        <v>-2.853495E-2</v>
      </c>
      <c r="P5944">
        <v>0.9103523</v>
      </c>
      <c r="Q5944">
        <v>0.40786860000000003</v>
      </c>
      <c r="R5944">
        <v>7.0013850000000002E-2</v>
      </c>
      <c r="S5944">
        <v>3.5169679999999999</v>
      </c>
      <c r="T5944">
        <v>-0.47150799999999998</v>
      </c>
      <c r="U5944">
        <v>-0.1147461</v>
      </c>
      <c r="V5944">
        <v>-9.9651340000000005E-2</v>
      </c>
      <c r="W5944">
        <v>0.4160256</v>
      </c>
      <c r="X5944">
        <v>0.90387629999999997</v>
      </c>
      <c r="Y5944">
        <v>4.2521939999999999E-3</v>
      </c>
      <c r="Z5944">
        <v>3.21872E-3</v>
      </c>
      <c r="AA5944">
        <v>0.99998580000000004</v>
      </c>
      <c r="AB5944">
        <v>38</v>
      </c>
      <c r="AC5944">
        <v>0.65889999999995996</v>
      </c>
      <c r="AD5944">
        <v>-0.118963399999999</v>
      </c>
      <c r="AE5944">
        <v>-2.39399999999996E-2</v>
      </c>
      <c r="AF5944">
        <v>4.9659736695776401E-3</v>
      </c>
      <c r="AG5944">
        <v>-0.118963399999999</v>
      </c>
      <c r="AH5944">
        <v>0.63852769725274605</v>
      </c>
      <c r="AI5944">
        <v>100.553402459091</v>
      </c>
      <c r="AJ5944">
        <v>89.554406806055894</v>
      </c>
      <c r="AK5944">
        <v>0.64953411888286605</v>
      </c>
      <c r="AL5944">
        <v>65.416080704550296</v>
      </c>
      <c r="AM5944">
        <v>96.291386791783694</v>
      </c>
      <c r="AN5944">
        <v>1.0000000275604199</v>
      </c>
    </row>
    <row r="5945" spans="1:40" x14ac:dyDescent="0.25">
      <c r="A5945" t="str">
        <f>"20190304165005589"</f>
        <v>20190304165005589</v>
      </c>
      <c r="B5945" t="str">
        <f>"1551689405581467"</f>
        <v>1551689405581467</v>
      </c>
      <c r="C5945" t="s">
        <v>40</v>
      </c>
      <c r="D5945">
        <v>4.6947239999999999</v>
      </c>
      <c r="E5945">
        <v>0.5646352</v>
      </c>
      <c r="F5945" t="s">
        <v>41</v>
      </c>
      <c r="G5945">
        <v>-381.30340000000001</v>
      </c>
      <c r="H5945">
        <v>0.98013969999999995</v>
      </c>
      <c r="I5945">
        <v>17.579910000000002</v>
      </c>
      <c r="J5945">
        <v>-382.0908</v>
      </c>
      <c r="K5945">
        <v>1.113767</v>
      </c>
      <c r="L5945">
        <v>17.608829999999902</v>
      </c>
      <c r="M5945">
        <v>0.99958259999999999</v>
      </c>
      <c r="N5945">
        <v>-9.9898060000000004E-3</v>
      </c>
      <c r="O5945">
        <v>-2.7106709999999999E-2</v>
      </c>
      <c r="P5945">
        <v>0.91056999999999999</v>
      </c>
      <c r="Q5945">
        <v>0.40759659999999998</v>
      </c>
      <c r="R5945">
        <v>6.875473E-2</v>
      </c>
      <c r="S5945">
        <v>3.518005</v>
      </c>
      <c r="T5945">
        <v>-0.47639969999999998</v>
      </c>
      <c r="U5945">
        <v>-0.1187744</v>
      </c>
      <c r="V5945">
        <v>-9.6925300000000006E-2</v>
      </c>
      <c r="W5945">
        <v>0.41584729999999998</v>
      </c>
      <c r="X5945">
        <v>0.90425469999999997</v>
      </c>
      <c r="Y5945">
        <v>6.783079E-3</v>
      </c>
      <c r="Z5945">
        <v>2.8915159999999998E-3</v>
      </c>
      <c r="AA5945">
        <v>0.9999728</v>
      </c>
      <c r="AB5945">
        <v>38</v>
      </c>
      <c r="AC5945">
        <v>0.78739999999999</v>
      </c>
      <c r="AD5945">
        <v>-0.1336273</v>
      </c>
      <c r="AE5945">
        <v>-2.89199999999958E-2</v>
      </c>
      <c r="AF5945">
        <v>7.3529984925776101E-3</v>
      </c>
      <c r="AG5945">
        <v>-0.1336273</v>
      </c>
      <c r="AH5945">
        <v>0.76586698878586801</v>
      </c>
      <c r="AI5945">
        <v>99.896802270926401</v>
      </c>
      <c r="AJ5945">
        <v>89.449926889798107</v>
      </c>
      <c r="AK5945">
        <v>0.777471907147811</v>
      </c>
      <c r="AL5945">
        <v>65.427314358494897</v>
      </c>
      <c r="AM5945">
        <v>96.118063652082398</v>
      </c>
      <c r="AN5945">
        <v>1.00000002658473</v>
      </c>
    </row>
    <row r="5946" spans="1:40" x14ac:dyDescent="0.25">
      <c r="A5946" t="str">
        <f>"20190304165005601"</f>
        <v>20190304165005601</v>
      </c>
      <c r="B5946" t="str">
        <f>"1551689405591226"</f>
        <v>1551689405591226</v>
      </c>
      <c r="C5946" t="s">
        <v>40</v>
      </c>
      <c r="D5946">
        <v>4.713565</v>
      </c>
      <c r="E5946">
        <v>0.564712199999999</v>
      </c>
      <c r="F5946" t="s">
        <v>41</v>
      </c>
      <c r="G5946">
        <v>-381.29149999999998</v>
      </c>
      <c r="H5946">
        <v>1.0046900000000001</v>
      </c>
      <c r="I5946">
        <v>17.580860000000001</v>
      </c>
      <c r="J5946">
        <v>-381.89010000000002</v>
      </c>
      <c r="K5946">
        <v>1.1136060000000001</v>
      </c>
      <c r="L5946">
        <v>17.60446</v>
      </c>
      <c r="M5946">
        <v>0.99961800000000001</v>
      </c>
      <c r="N5946">
        <v>-1.002041E-2</v>
      </c>
      <c r="O5946">
        <v>-2.575916E-2</v>
      </c>
      <c r="P5946">
        <v>0.91087119999999999</v>
      </c>
      <c r="Q5946">
        <v>0.4071206</v>
      </c>
      <c r="R5946">
        <v>6.7577810000000002E-2</v>
      </c>
      <c r="S5946">
        <v>3.5188899999999999</v>
      </c>
      <c r="T5946">
        <v>-0.48029539999999998</v>
      </c>
      <c r="U5946">
        <v>-0.12271120000000001</v>
      </c>
      <c r="V5946">
        <v>-9.4357330000000003E-2</v>
      </c>
      <c r="W5946">
        <v>0.41546309999999897</v>
      </c>
      <c r="X5946">
        <v>0.90470280000000003</v>
      </c>
      <c r="Y5946">
        <v>9.2076980000000003E-3</v>
      </c>
      <c r="Z5946">
        <v>2.5692639999999999E-3</v>
      </c>
      <c r="AA5946">
        <v>0.99995429999999996</v>
      </c>
      <c r="AB5946">
        <v>38</v>
      </c>
      <c r="AC5946">
        <v>0.59860000000003299</v>
      </c>
      <c r="AD5946">
        <v>-0.108916</v>
      </c>
      <c r="AE5946">
        <v>-2.3599999999998199E-2</v>
      </c>
      <c r="AF5946">
        <v>7.9104816191278293E-3</v>
      </c>
      <c r="AG5946">
        <v>-0.108916</v>
      </c>
      <c r="AH5946">
        <v>0.57984267530907196</v>
      </c>
      <c r="AI5946">
        <v>100.637348515787</v>
      </c>
      <c r="AJ5946">
        <v>89.218392997304505</v>
      </c>
      <c r="AK5946">
        <v>0.59003626912676099</v>
      </c>
      <c r="AL5946">
        <v>65.451517168406895</v>
      </c>
      <c r="AM5946">
        <v>95.954221657103403</v>
      </c>
      <c r="AN5946">
        <v>1.0000000247570799</v>
      </c>
    </row>
    <row r="5947" spans="1:40" x14ac:dyDescent="0.25">
      <c r="A5947" t="str">
        <f>"20190304165005613"</f>
        <v>20190304165005613</v>
      </c>
      <c r="B5947" t="str">
        <f>"1551689405601495"</f>
        <v>1551689405601495</v>
      </c>
      <c r="C5947" t="s">
        <v>40</v>
      </c>
      <c r="D5947">
        <v>4.4690719999999997</v>
      </c>
      <c r="E5947">
        <v>0.5655268</v>
      </c>
      <c r="F5947" t="s">
        <v>41</v>
      </c>
      <c r="G5947">
        <v>-380.96370000000002</v>
      </c>
      <c r="H5947">
        <v>0.98625810000000003</v>
      </c>
      <c r="I5947">
        <v>17.57077</v>
      </c>
      <c r="J5947">
        <v>-381.69380000000001</v>
      </c>
      <c r="K5947">
        <v>1.1134470000000001</v>
      </c>
      <c r="L5947">
        <v>17.600370000000002</v>
      </c>
      <c r="M5947">
        <v>0.99964940000000002</v>
      </c>
      <c r="N5947">
        <v>-1.0050689999999999E-2</v>
      </c>
      <c r="O5947">
        <v>-2.4503380000000002E-2</v>
      </c>
      <c r="P5947">
        <v>0.91104350000000001</v>
      </c>
      <c r="Q5947">
        <v>0.4068486</v>
      </c>
      <c r="R5947">
        <v>6.6889779999999996E-2</v>
      </c>
      <c r="S5947">
        <v>3.5192260000000002</v>
      </c>
      <c r="T5947">
        <v>-0.48388120000000001</v>
      </c>
      <c r="U5947">
        <v>-0.1267395</v>
      </c>
      <c r="V5947">
        <v>-9.2364189999999999E-2</v>
      </c>
      <c r="W5947">
        <v>0.41527350000000002</v>
      </c>
      <c r="X5947">
        <v>0.90499540000000001</v>
      </c>
      <c r="Y5947">
        <v>1.157157E-2</v>
      </c>
      <c r="Z5947">
        <v>2.25647E-3</v>
      </c>
      <c r="AA5947">
        <v>0.99993050000000006</v>
      </c>
      <c r="AB5947">
        <v>38</v>
      </c>
      <c r="AC5947">
        <v>0.73009999999999298</v>
      </c>
      <c r="AD5947">
        <v>-0.12718889999999899</v>
      </c>
      <c r="AE5947">
        <v>-2.9600000000002E-2</v>
      </c>
      <c r="AF5947">
        <v>1.13562175660359E-2</v>
      </c>
      <c r="AG5947">
        <v>-0.12718889999999899</v>
      </c>
      <c r="AH5947">
        <v>0.70912083488333499</v>
      </c>
      <c r="AI5947">
        <v>100.16725204602101</v>
      </c>
      <c r="AJ5947">
        <v>89.082515009647295</v>
      </c>
      <c r="AK5947">
        <v>0.72052643145567896</v>
      </c>
      <c r="AL5947">
        <v>65.463457398623405</v>
      </c>
      <c r="AM5947">
        <v>95.827452368283602</v>
      </c>
      <c r="AN5947">
        <v>0.99999994870888098</v>
      </c>
    </row>
    <row r="5948" spans="1:40" x14ac:dyDescent="0.25">
      <c r="A5948" t="str">
        <f>"20190304165005626"</f>
        <v>20190304165005626</v>
      </c>
      <c r="B5948" t="str">
        <f>"1551689405621990"</f>
        <v>1551689405621990</v>
      </c>
      <c r="C5948" t="s">
        <v>40</v>
      </c>
      <c r="D5948">
        <v>4.6878209999999996</v>
      </c>
      <c r="E5948">
        <v>0.56643829999999995</v>
      </c>
      <c r="F5948" t="s">
        <v>41</v>
      </c>
      <c r="G5948">
        <v>-380.95049999999998</v>
      </c>
      <c r="H5948">
        <v>1.013633</v>
      </c>
      <c r="I5948">
        <v>17.57085</v>
      </c>
      <c r="J5948">
        <v>-381.48309999999998</v>
      </c>
      <c r="K5948">
        <v>1.1132850000000001</v>
      </c>
      <c r="L5948">
        <v>17.596250000000001</v>
      </c>
      <c r="M5948">
        <v>0.99967799999999996</v>
      </c>
      <c r="N5948">
        <v>-1.0082839999999999E-2</v>
      </c>
      <c r="O5948">
        <v>-2.3289560000000001E-2</v>
      </c>
      <c r="P5948">
        <v>0.91116419999999998</v>
      </c>
      <c r="Q5948">
        <v>0.40663549999999998</v>
      </c>
      <c r="R5948">
        <v>6.6539109999999999E-2</v>
      </c>
      <c r="S5948">
        <v>3.5138240000000001</v>
      </c>
      <c r="T5948">
        <v>-0.47189550000000002</v>
      </c>
      <c r="U5948">
        <v>-0.1380005</v>
      </c>
      <c r="V5948">
        <v>-9.0735850000000007E-2</v>
      </c>
      <c r="W5948">
        <v>0.41514129999999999</v>
      </c>
      <c r="X5948">
        <v>0.90522089999999999</v>
      </c>
      <c r="Y5948">
        <v>1.598428E-2</v>
      </c>
      <c r="Z5948">
        <v>1.7290539999999901E-3</v>
      </c>
      <c r="AA5948">
        <v>0.99987079999999995</v>
      </c>
      <c r="AB5948">
        <v>38</v>
      </c>
      <c r="AC5948">
        <v>0.53260000000000196</v>
      </c>
      <c r="AD5948">
        <v>-9.9652000000000004E-2</v>
      </c>
      <c r="AE5948">
        <v>-2.5400000000001199E-2</v>
      </c>
      <c r="AF5948">
        <v>1.2550101290106501E-2</v>
      </c>
      <c r="AG5948">
        <v>-9.9652000000000004E-2</v>
      </c>
      <c r="AH5948">
        <v>0.51505681621147203</v>
      </c>
      <c r="AI5948">
        <v>100.946987159001</v>
      </c>
      <c r="AJ5948">
        <v>88.604181994508394</v>
      </c>
      <c r="AK5948">
        <v>0.52475856360071904</v>
      </c>
      <c r="AL5948">
        <v>65.471787107175899</v>
      </c>
      <c r="AM5948">
        <v>95.723988762001895</v>
      </c>
      <c r="AN5948">
        <v>1.00000008561885</v>
      </c>
    </row>
    <row r="5949" spans="1:40" x14ac:dyDescent="0.25">
      <c r="A5949" t="str">
        <f>"20190304165005642"</f>
        <v>20190304165005642</v>
      </c>
      <c r="B5949" t="str">
        <f>"1551689405631750"</f>
        <v>1551689405631750</v>
      </c>
      <c r="C5949" t="s">
        <v>40</v>
      </c>
      <c r="D5949">
        <v>4.7124059999999997</v>
      </c>
      <c r="E5949">
        <v>0.56661209999999995</v>
      </c>
      <c r="F5949" t="s">
        <v>41</v>
      </c>
      <c r="G5949">
        <v>-380.61989999999997</v>
      </c>
      <c r="H5949">
        <v>1.0003059999999999</v>
      </c>
      <c r="I5949">
        <v>17.55951</v>
      </c>
      <c r="J5949">
        <v>-381.20530000000002</v>
      </c>
      <c r="K5949">
        <v>1.1130629999999999</v>
      </c>
      <c r="L5949">
        <v>17.591059999999999</v>
      </c>
      <c r="M5949">
        <v>0.99971089999999996</v>
      </c>
      <c r="N5949">
        <v>-1.012567E-2</v>
      </c>
      <c r="O5949">
        <v>-2.181145E-2</v>
      </c>
      <c r="P5949">
        <v>0.91114280000000003</v>
      </c>
      <c r="Q5949">
        <v>0.40680939999999999</v>
      </c>
      <c r="R5949">
        <v>6.5764500000000004E-2</v>
      </c>
      <c r="S5949">
        <v>3.5083310000000001</v>
      </c>
      <c r="T5949">
        <v>-0.45920800000000001</v>
      </c>
      <c r="U5949">
        <v>-0.149231</v>
      </c>
      <c r="V5949">
        <v>-8.8388030000000006E-2</v>
      </c>
      <c r="W5949">
        <v>0.41541929999999999</v>
      </c>
      <c r="X5949">
        <v>0.90532559999999995</v>
      </c>
      <c r="Y5949">
        <v>2.066314E-2</v>
      </c>
      <c r="Z5949">
        <v>1.169986E-3</v>
      </c>
      <c r="AA5949">
        <v>0.99978579999999995</v>
      </c>
      <c r="AB5949">
        <v>38</v>
      </c>
      <c r="AC5949">
        <v>0.58540000000004899</v>
      </c>
      <c r="AD5949">
        <v>-0.112757</v>
      </c>
      <c r="AE5949">
        <v>-3.1549999999999301E-2</v>
      </c>
      <c r="AF5949">
        <v>1.81037030945328E-2</v>
      </c>
      <c r="AG5949">
        <v>-0.112757</v>
      </c>
      <c r="AH5949">
        <v>0.56504604328489405</v>
      </c>
      <c r="AI5949">
        <v>101.279700546531</v>
      </c>
      <c r="AJ5949">
        <v>88.164908705834193</v>
      </c>
      <c r="AK5949">
        <v>0.57647108873442199</v>
      </c>
      <c r="AL5949">
        <v>65.454276480876203</v>
      </c>
      <c r="AM5949">
        <v>95.576183733415206</v>
      </c>
      <c r="AN5949">
        <v>1.00000004033756</v>
      </c>
    </row>
    <row r="5950" spans="1:40" x14ac:dyDescent="0.25">
      <c r="A5950" t="str">
        <f>"20190304165005655"</f>
        <v>20190304165005655</v>
      </c>
      <c r="B5950" t="str">
        <f>"1551689405651270"</f>
        <v>1551689405651270</v>
      </c>
      <c r="C5950" t="s">
        <v>40</v>
      </c>
      <c r="D5950">
        <v>4.699192</v>
      </c>
      <c r="E5950">
        <v>0.56670980000000004</v>
      </c>
      <c r="F5950" t="s">
        <v>41</v>
      </c>
      <c r="G5950">
        <v>-380.28579999999999</v>
      </c>
      <c r="H5950">
        <v>0.99332489999999996</v>
      </c>
      <c r="I5950">
        <v>17.549720000000001</v>
      </c>
      <c r="J5950">
        <v>-380.99560000000002</v>
      </c>
      <c r="K5950">
        <v>1.1129009999999999</v>
      </c>
      <c r="L5950">
        <v>17.58728</v>
      </c>
      <c r="M5950">
        <v>0.99973239999999997</v>
      </c>
      <c r="N5950">
        <v>-1.01584E-2</v>
      </c>
      <c r="O5950">
        <v>-2.0784919999999998E-2</v>
      </c>
      <c r="P5950">
        <v>0.91118619999999995</v>
      </c>
      <c r="Q5950">
        <v>0.4066863</v>
      </c>
      <c r="R5950">
        <v>6.5925319999999996E-2</v>
      </c>
      <c r="S5950">
        <v>3.5078740000000002</v>
      </c>
      <c r="T5950">
        <v>-0.45676460000000002</v>
      </c>
      <c r="U5950">
        <v>-0.15692139999999999</v>
      </c>
      <c r="V5950">
        <v>-8.7442190000000003E-2</v>
      </c>
      <c r="W5950">
        <v>0.41536899999999899</v>
      </c>
      <c r="X5950">
        <v>0.90544049999999998</v>
      </c>
      <c r="Y5950">
        <v>2.3846570000000001E-2</v>
      </c>
      <c r="Z5950">
        <v>8.1601600000000003E-4</v>
      </c>
      <c r="AA5950">
        <v>0.99971529999999997</v>
      </c>
      <c r="AB5950">
        <v>38</v>
      </c>
      <c r="AC5950">
        <v>0.70980000000002896</v>
      </c>
      <c r="AD5950">
        <v>-0.11957609999999901</v>
      </c>
      <c r="AE5950">
        <v>-3.7559999999999101E-2</v>
      </c>
      <c r="AF5950">
        <v>2.2170538864111401E-2</v>
      </c>
      <c r="AG5950">
        <v>-0.11957609999999901</v>
      </c>
      <c r="AH5950">
        <v>0.69087489019531101</v>
      </c>
      <c r="AI5950">
        <v>99.814475593435205</v>
      </c>
      <c r="AJ5950">
        <v>88.161979037456604</v>
      </c>
      <c r="AK5950">
        <v>0.70149703519481699</v>
      </c>
      <c r="AL5950">
        <v>65.457444228642899</v>
      </c>
      <c r="AM5950">
        <v>95.516187345183397</v>
      </c>
      <c r="AN5950">
        <v>1.00000002089662</v>
      </c>
    </row>
    <row r="5951" spans="1:40" x14ac:dyDescent="0.25">
      <c r="A5951" t="str">
        <f>"20190304165005678"</f>
        <v>20190304165005678</v>
      </c>
      <c r="B5951" t="str">
        <f>"1551689405671766"</f>
        <v>1551689405671766</v>
      </c>
      <c r="C5951" t="s">
        <v>40</v>
      </c>
      <c r="D5951">
        <v>4.690188</v>
      </c>
      <c r="E5951">
        <v>0.5667624</v>
      </c>
      <c r="F5951" t="s">
        <v>41</v>
      </c>
      <c r="G5951">
        <v>-380.27330000000001</v>
      </c>
      <c r="H5951">
        <v>1.018578</v>
      </c>
      <c r="I5951">
        <v>17.554379999999998</v>
      </c>
      <c r="J5951">
        <v>-380.6069</v>
      </c>
      <c r="K5951">
        <v>1.112609</v>
      </c>
      <c r="L5951">
        <v>17.580749999999998</v>
      </c>
      <c r="M5951">
        <v>0.99976390000000004</v>
      </c>
      <c r="N5951">
        <v>-1.022227E-2</v>
      </c>
      <c r="O5951">
        <v>-1.9180550000000001E-2</v>
      </c>
      <c r="P5951">
        <v>0.9114044</v>
      </c>
      <c r="Q5951">
        <v>0.40612039999999999</v>
      </c>
      <c r="R5951">
        <v>6.6395369999999995E-2</v>
      </c>
      <c r="S5951">
        <v>3.5083920000000002</v>
      </c>
      <c r="T5951">
        <v>-0.45816089999999998</v>
      </c>
      <c r="U5951">
        <v>-0.1588135</v>
      </c>
      <c r="V5951">
        <v>-8.6143170000000005E-2</v>
      </c>
      <c r="W5951">
        <v>0.41493469999999999</v>
      </c>
      <c r="X5951">
        <v>0.90576400000000001</v>
      </c>
      <c r="Y5951">
        <v>2.5950979999999998E-2</v>
      </c>
      <c r="Z5951">
        <v>4.7754550000000002E-4</v>
      </c>
      <c r="AA5951">
        <v>0.99966310000000003</v>
      </c>
      <c r="AB5951">
        <v>38</v>
      </c>
      <c r="AC5951">
        <v>0.33359999999998902</v>
      </c>
      <c r="AD5951">
        <v>-9.4030999999999906E-2</v>
      </c>
      <c r="AE5951">
        <v>-2.6370000000000001E-2</v>
      </c>
      <c r="AF5951">
        <v>1.8505096021721901E-2</v>
      </c>
      <c r="AG5951">
        <v>-9.4030999999999906E-2</v>
      </c>
      <c r="AH5951">
        <v>0.30959970409131099</v>
      </c>
      <c r="AI5951">
        <v>106.866092043652</v>
      </c>
      <c r="AJ5951">
        <v>86.579441251747994</v>
      </c>
      <c r="AK5951">
        <v>0.324092956284459</v>
      </c>
      <c r="AL5951">
        <v>65.484794063699894</v>
      </c>
      <c r="AM5951">
        <v>95.432805077946895</v>
      </c>
      <c r="AN5951">
        <v>0.99999993734886705</v>
      </c>
    </row>
    <row r="5952" spans="1:40" x14ac:dyDescent="0.25">
      <c r="A5952" t="str">
        <f>"20190304165005691"</f>
        <v>20190304165005691</v>
      </c>
      <c r="B5952" t="str">
        <f>"1551689405681527"</f>
        <v>1551689405681527</v>
      </c>
      <c r="C5952" t="s">
        <v>40</v>
      </c>
      <c r="D5952">
        <v>4.6905419999999998</v>
      </c>
      <c r="E5952">
        <v>0.56675540000000002</v>
      </c>
      <c r="F5952" t="s">
        <v>41</v>
      </c>
      <c r="G5952">
        <v>-379.61520000000002</v>
      </c>
      <c r="H5952">
        <v>0.98225150000000006</v>
      </c>
      <c r="I5952">
        <v>17.534960000000002</v>
      </c>
      <c r="J5952">
        <v>-380.3766</v>
      </c>
      <c r="K5952">
        <v>1.1124320000000001</v>
      </c>
      <c r="L5952">
        <v>17.577030000000001</v>
      </c>
      <c r="M5952">
        <v>0.99977859999999996</v>
      </c>
      <c r="N5952">
        <v>-1.026241E-2</v>
      </c>
      <c r="O5952">
        <v>-1.8372409999999999E-2</v>
      </c>
      <c r="P5952">
        <v>0.91166309999999995</v>
      </c>
      <c r="Q5952">
        <v>0.4054856</v>
      </c>
      <c r="R5952">
        <v>6.6723000000000005E-2</v>
      </c>
      <c r="S5952">
        <v>3.5089109999999999</v>
      </c>
      <c r="T5952">
        <v>-0.46135039999999999</v>
      </c>
      <c r="U5952">
        <v>-0.16018679999999999</v>
      </c>
      <c r="V5952">
        <v>-8.5556220000000002E-2</v>
      </c>
      <c r="W5952">
        <v>0.41437930000000001</v>
      </c>
      <c r="X5952">
        <v>0.90607389999999999</v>
      </c>
      <c r="Y5952">
        <v>2.712475E-2</v>
      </c>
      <c r="Z5952">
        <v>3.0139860000000002E-4</v>
      </c>
      <c r="AA5952">
        <v>0.99963199999999997</v>
      </c>
      <c r="AB5952">
        <v>38</v>
      </c>
      <c r="AC5952">
        <v>0.76139999999997998</v>
      </c>
      <c r="AD5952">
        <v>-0.13018049999999901</v>
      </c>
      <c r="AE5952">
        <v>-4.20699999999989E-2</v>
      </c>
      <c r="AF5952">
        <v>2.7278419851878601E-2</v>
      </c>
      <c r="AG5952">
        <v>-0.13018049999999901</v>
      </c>
      <c r="AH5952">
        <v>0.74046467980904396</v>
      </c>
      <c r="AI5952">
        <v>99.964601286621701</v>
      </c>
      <c r="AJ5952">
        <v>87.890200712085402</v>
      </c>
      <c r="AK5952">
        <v>0.75231576935125799</v>
      </c>
      <c r="AL5952">
        <v>65.519765651783203</v>
      </c>
      <c r="AM5952">
        <v>95.394172364502396</v>
      </c>
      <c r="AN5952">
        <v>0.99999999165519404</v>
      </c>
    </row>
    <row r="5953" spans="1:40" x14ac:dyDescent="0.25">
      <c r="A5953" t="str">
        <f>"20190304165005710"</f>
        <v>20190304165005710</v>
      </c>
      <c r="B5953" t="str">
        <f>"1551689405702026"</f>
        <v>1551689405702026</v>
      </c>
      <c r="C5953" t="s">
        <v>40</v>
      </c>
      <c r="D5953">
        <v>4.6957389999999997</v>
      </c>
      <c r="E5953">
        <v>0.56673769999999901</v>
      </c>
      <c r="F5953" t="s">
        <v>41</v>
      </c>
      <c r="G5953">
        <v>-379.60160000000002</v>
      </c>
      <c r="H5953">
        <v>1.0097739999999999</v>
      </c>
      <c r="I5953">
        <v>17.541350000000001</v>
      </c>
      <c r="J5953">
        <v>-380.05689999999998</v>
      </c>
      <c r="K5953">
        <v>1.1122069999999999</v>
      </c>
      <c r="L5953">
        <v>17.572109999999999</v>
      </c>
      <c r="M5953">
        <v>0.99979560000000001</v>
      </c>
      <c r="N5953">
        <v>-1.031865E-2</v>
      </c>
      <c r="O5953">
        <v>-1.739506E-2</v>
      </c>
      <c r="P5953">
        <v>0.91220919999999905</v>
      </c>
      <c r="Q5953">
        <v>0.40422469999999999</v>
      </c>
      <c r="R5953">
        <v>6.6912230000000003E-2</v>
      </c>
      <c r="S5953">
        <v>3.509125</v>
      </c>
      <c r="T5953">
        <v>-0.4649682</v>
      </c>
      <c r="U5953">
        <v>-0.15917970000000001</v>
      </c>
      <c r="V5953">
        <v>-8.462364E-2</v>
      </c>
      <c r="W5953">
        <v>0.41322769999999998</v>
      </c>
      <c r="X5953">
        <v>0.90668720000000003</v>
      </c>
      <c r="Y5953">
        <v>2.7797550000000001E-2</v>
      </c>
      <c r="Z5953">
        <v>1.3782700000000001E-4</v>
      </c>
      <c r="AA5953">
        <v>0.99961359999999999</v>
      </c>
      <c r="AB5953">
        <v>38</v>
      </c>
      <c r="AC5953">
        <v>0.45529999999996501</v>
      </c>
      <c r="AD5953">
        <v>-0.102433</v>
      </c>
      <c r="AE5953">
        <v>-3.07600000000007E-2</v>
      </c>
      <c r="AF5953">
        <v>2.1739590986130399E-2</v>
      </c>
      <c r="AG5953">
        <v>-0.102433</v>
      </c>
      <c r="AH5953">
        <v>0.43390369108940002</v>
      </c>
      <c r="AI5953">
        <v>103.266753465695</v>
      </c>
      <c r="AJ5953">
        <v>87.131745680378202</v>
      </c>
      <c r="AK5953">
        <v>0.44636032803806602</v>
      </c>
      <c r="AL5953">
        <v>65.592243827728495</v>
      </c>
      <c r="AM5953">
        <v>95.332127641826503</v>
      </c>
      <c r="AN5953">
        <v>0.99999998556898895</v>
      </c>
    </row>
    <row r="5954" spans="1:40" x14ac:dyDescent="0.25">
      <c r="A5954" t="str">
        <f>"20190304165005722"</f>
        <v>20190304165005722</v>
      </c>
      <c r="B5954" t="str">
        <f>"1551689405711782"</f>
        <v>1551689405711782</v>
      </c>
      <c r="C5954" t="s">
        <v>40</v>
      </c>
      <c r="D5954">
        <v>4.6934690000000003</v>
      </c>
      <c r="E5954">
        <v>0.56673790000000002</v>
      </c>
      <c r="F5954" t="s">
        <v>41</v>
      </c>
      <c r="G5954">
        <v>-379.26499999999999</v>
      </c>
      <c r="H5954">
        <v>1.0056670000000001</v>
      </c>
      <c r="I5954">
        <v>17.536049999999999</v>
      </c>
      <c r="J5954">
        <v>-379.85939999999999</v>
      </c>
      <c r="K5954">
        <v>1.1120760000000001</v>
      </c>
      <c r="L5954">
        <v>17.56915</v>
      </c>
      <c r="M5954">
        <v>0.99980400000000003</v>
      </c>
      <c r="N5954">
        <v>-1.0353660000000001E-2</v>
      </c>
      <c r="O5954">
        <v>-1.687725E-2</v>
      </c>
      <c r="P5954">
        <v>0.91258399999999995</v>
      </c>
      <c r="Q5954">
        <v>0.40334130000000001</v>
      </c>
      <c r="R5954">
        <v>6.7130579999999995E-2</v>
      </c>
      <c r="S5954">
        <v>3.5095830000000001</v>
      </c>
      <c r="T5954">
        <v>-0.47213450000000001</v>
      </c>
      <c r="U5954">
        <v>-0.1588745</v>
      </c>
      <c r="V5954">
        <v>-8.4234219999999999E-2</v>
      </c>
      <c r="W5954">
        <v>0.41240979999999999</v>
      </c>
      <c r="X5954">
        <v>0.90709569999999995</v>
      </c>
      <c r="Y5954">
        <v>2.821106E-2</v>
      </c>
      <c r="Z5954" s="1">
        <v>4.9933330000000001E-5</v>
      </c>
      <c r="AA5954">
        <v>0.99960199999999999</v>
      </c>
      <c r="AB5954">
        <v>38</v>
      </c>
      <c r="AC5954">
        <v>0.59440000000000703</v>
      </c>
      <c r="AD5954">
        <v>-0.106408999999999</v>
      </c>
      <c r="AE5954">
        <v>-3.3100000000000997E-2</v>
      </c>
      <c r="AF5954">
        <v>2.2348890193552899E-2</v>
      </c>
      <c r="AG5954">
        <v>-0.106408999999999</v>
      </c>
      <c r="AH5954">
        <v>0.57645689431123204</v>
      </c>
      <c r="AI5954">
        <v>100.450903515899</v>
      </c>
      <c r="AJ5954">
        <v>87.779788709299496</v>
      </c>
      <c r="AK5954">
        <v>0.58662159794268998</v>
      </c>
      <c r="AL5954">
        <v>65.643693302243307</v>
      </c>
      <c r="AM5954">
        <v>95.305354152884206</v>
      </c>
      <c r="AN5954">
        <v>0.99999992795676595</v>
      </c>
    </row>
    <row r="5955" spans="1:40" x14ac:dyDescent="0.25">
      <c r="A5955" t="str">
        <f>"20190304165005734"</f>
        <v>20190304165005734</v>
      </c>
      <c r="B5955" t="str">
        <f>"1551689405721542"</f>
        <v>1551689405721542</v>
      </c>
      <c r="C5955" t="s">
        <v>40</v>
      </c>
      <c r="D5955">
        <v>4.6906499999999998</v>
      </c>
      <c r="E5955">
        <v>0.56671090000000002</v>
      </c>
      <c r="F5955" t="s">
        <v>41</v>
      </c>
      <c r="G5955">
        <v>-378.9357</v>
      </c>
      <c r="H5955">
        <v>0.98665340000000001</v>
      </c>
      <c r="I5955">
        <v>17.527069999999998</v>
      </c>
      <c r="J5955">
        <v>-379.64879999999999</v>
      </c>
      <c r="K5955">
        <v>1.1119349999999999</v>
      </c>
      <c r="L5955">
        <v>17.566009999999999</v>
      </c>
      <c r="M5955">
        <v>0.99981200000000003</v>
      </c>
      <c r="N5955">
        <v>-1.039118E-2</v>
      </c>
      <c r="O5955">
        <v>-1.6372330000000001E-2</v>
      </c>
      <c r="P5955">
        <v>0.91293279999999999</v>
      </c>
      <c r="Q5955">
        <v>0.40244619999999998</v>
      </c>
      <c r="R5955">
        <v>6.7759100000000003E-2</v>
      </c>
      <c r="S5955">
        <v>3.5095830000000001</v>
      </c>
      <c r="T5955">
        <v>-0.47651169999999998</v>
      </c>
      <c r="U5955">
        <v>-0.15814210000000001</v>
      </c>
      <c r="V5955">
        <v>-8.4260630000000003E-2</v>
      </c>
      <c r="W5955">
        <v>0.41158119999999998</v>
      </c>
      <c r="X5955">
        <v>0.90746959999999999</v>
      </c>
      <c r="Y5955">
        <v>2.8498470000000001E-2</v>
      </c>
      <c r="Z5955" s="1">
        <v>-3.1699190000000002E-5</v>
      </c>
      <c r="AA5955">
        <v>0.99959390000000004</v>
      </c>
      <c r="AB5955">
        <v>38</v>
      </c>
      <c r="AC5955">
        <v>0.71309999999999696</v>
      </c>
      <c r="AD5955">
        <v>-0.12528159999999999</v>
      </c>
      <c r="AE5955">
        <v>-3.8940000000000197E-2</v>
      </c>
      <c r="AF5955">
        <v>2.6445222539017099E-2</v>
      </c>
      <c r="AG5955">
        <v>-0.12528159999999999</v>
      </c>
      <c r="AH5955">
        <v>0.69233619123797396</v>
      </c>
      <c r="AI5955">
        <v>100.249641631872</v>
      </c>
      <c r="AJ5955">
        <v>87.812531826840996</v>
      </c>
      <c r="AK5955">
        <v>0.70407686426384097</v>
      </c>
      <c r="AL5955">
        <v>65.695798082585299</v>
      </c>
      <c r="AM5955">
        <v>95.304833905683594</v>
      </c>
      <c r="AN5955">
        <v>1.0000000064427901</v>
      </c>
    </row>
    <row r="5956" spans="1:40" x14ac:dyDescent="0.25">
      <c r="A5956" t="str">
        <f>"20190304165005745"</f>
        <v>20190304165005745</v>
      </c>
      <c r="B5956" t="str">
        <f>"1551689405742038"</f>
        <v>1551689405742038</v>
      </c>
      <c r="C5956" t="s">
        <v>40</v>
      </c>
      <c r="D5956">
        <v>4.7304589999999997</v>
      </c>
      <c r="E5956">
        <v>0.56664399999999904</v>
      </c>
      <c r="F5956" t="s">
        <v>41</v>
      </c>
      <c r="G5956">
        <v>-378.92290000000003</v>
      </c>
      <c r="H5956">
        <v>1.012491</v>
      </c>
      <c r="I5956">
        <v>17.53323</v>
      </c>
      <c r="J5956">
        <v>-379.46300000000002</v>
      </c>
      <c r="K5956">
        <v>1.1118209999999999</v>
      </c>
      <c r="L5956">
        <v>17.56335</v>
      </c>
      <c r="M5956">
        <v>0.99981750000000003</v>
      </c>
      <c r="N5956">
        <v>-1.042353E-2</v>
      </c>
      <c r="O5956">
        <v>-1.6014830000000001E-2</v>
      </c>
      <c r="P5956">
        <v>0.91334020000000005</v>
      </c>
      <c r="Q5956">
        <v>0.4014702</v>
      </c>
      <c r="R5956">
        <v>6.8054799999999999E-2</v>
      </c>
      <c r="S5956">
        <v>3.5097049999999999</v>
      </c>
      <c r="T5956">
        <v>-0.4808403</v>
      </c>
      <c r="U5956">
        <v>-0.15631099999999901</v>
      </c>
      <c r="V5956">
        <v>-8.4114019999999998E-2</v>
      </c>
      <c r="W5956">
        <v>0.41066409999999998</v>
      </c>
      <c r="X5956">
        <v>0.90789850000000005</v>
      </c>
      <c r="Y5956">
        <v>2.8330169999999998E-2</v>
      </c>
      <c r="Z5956" s="1">
        <v>-6.2766719999999998E-5</v>
      </c>
      <c r="AA5956">
        <v>0.9995986</v>
      </c>
      <c r="AB5956">
        <v>38</v>
      </c>
      <c r="AC5956">
        <v>0.54009999999999503</v>
      </c>
      <c r="AD5956">
        <v>-9.9329999999999904E-2</v>
      </c>
      <c r="AE5956">
        <v>-3.0120000000000102E-2</v>
      </c>
      <c r="AF5956">
        <v>2.0765870803111E-2</v>
      </c>
      <c r="AG5956">
        <v>-9.9329999999999904E-2</v>
      </c>
      <c r="AH5956">
        <v>0.52288248123675996</v>
      </c>
      <c r="AI5956">
        <v>100.74782325413599</v>
      </c>
      <c r="AJ5956">
        <v>87.725737875373298</v>
      </c>
      <c r="AK5956">
        <v>0.53263848854032503</v>
      </c>
      <c r="AL5956">
        <v>65.753438810706101</v>
      </c>
      <c r="AM5956">
        <v>95.293168731670704</v>
      </c>
      <c r="AN5956">
        <v>0.99999992884580702</v>
      </c>
    </row>
    <row r="5957" spans="1:40" x14ac:dyDescent="0.25">
      <c r="A5957" t="str">
        <f>"20190304165005757"</f>
        <v>20190304165005757</v>
      </c>
      <c r="B5957" t="str">
        <f>"1551689405751798"</f>
        <v>1551689405751798</v>
      </c>
      <c r="C5957" t="s">
        <v>40</v>
      </c>
      <c r="D5957">
        <v>4.7123249999999999</v>
      </c>
      <c r="E5957">
        <v>0.56665469999999996</v>
      </c>
      <c r="F5957" t="s">
        <v>41</v>
      </c>
      <c r="G5957">
        <v>-378.5942</v>
      </c>
      <c r="H5957">
        <v>0.99140119999999998</v>
      </c>
      <c r="I5957">
        <v>17.52496</v>
      </c>
      <c r="J5957">
        <v>-379.2593</v>
      </c>
      <c r="K5957">
        <v>1.111694</v>
      </c>
      <c r="L5957">
        <v>17.560459999999999</v>
      </c>
      <c r="M5957">
        <v>0.99982300000000002</v>
      </c>
      <c r="N5957">
        <v>-1.04587E-2</v>
      </c>
      <c r="O5957">
        <v>-1.5646159999999999E-2</v>
      </c>
      <c r="P5957">
        <v>0.91362619999999894</v>
      </c>
      <c r="Q5957">
        <v>0.4007365</v>
      </c>
      <c r="R5957">
        <v>6.8539810000000007E-2</v>
      </c>
      <c r="S5957">
        <v>3.5100709999999999</v>
      </c>
      <c r="T5957">
        <v>-0.48655130000000002</v>
      </c>
      <c r="U5957">
        <v>-0.1550598</v>
      </c>
      <c r="V5957">
        <v>-8.4135890000000005E-2</v>
      </c>
      <c r="W5957">
        <v>0.40999140000000001</v>
      </c>
      <c r="X5957">
        <v>0.90820049999999997</v>
      </c>
      <c r="Y5957">
        <v>2.8332119999999999E-2</v>
      </c>
      <c r="Z5957">
        <v>-1.080164E-4</v>
      </c>
      <c r="AA5957">
        <v>0.9995986</v>
      </c>
      <c r="AB5957">
        <v>38</v>
      </c>
      <c r="AC5957">
        <v>0.66509999999999503</v>
      </c>
      <c r="AD5957">
        <v>-0.12029280000000001</v>
      </c>
      <c r="AE5957">
        <v>-3.54999999999989E-2</v>
      </c>
      <c r="AF5957">
        <v>2.4296305209375198E-2</v>
      </c>
      <c r="AG5957">
        <v>-0.12029280000000001</v>
      </c>
      <c r="AH5957">
        <v>0.64454952341076699</v>
      </c>
      <c r="AI5957">
        <v>100.56420449117699</v>
      </c>
      <c r="AJ5957">
        <v>87.841256696098796</v>
      </c>
      <c r="AK5957">
        <v>0.65612861262691002</v>
      </c>
      <c r="AL5957">
        <v>65.795704718099699</v>
      </c>
      <c r="AM5957">
        <v>95.292786588396098</v>
      </c>
      <c r="AN5957">
        <v>0.99999997213015002</v>
      </c>
    </row>
    <row r="5958" spans="1:40" x14ac:dyDescent="0.25">
      <c r="A5958" t="str">
        <f>"20190304165005768"</f>
        <v>20190304165005768</v>
      </c>
      <c r="B5958" t="str">
        <f>"1551689405761558"</f>
        <v>1551689405761558</v>
      </c>
      <c r="C5958" t="s">
        <v>40</v>
      </c>
      <c r="D5958">
        <v>4.6672750000000001</v>
      </c>
      <c r="E5958">
        <v>0.56666110000000003</v>
      </c>
      <c r="F5958" t="s">
        <v>41</v>
      </c>
      <c r="G5958">
        <v>-378.26409999999998</v>
      </c>
      <c r="H5958">
        <v>0.97286459999999997</v>
      </c>
      <c r="I5958">
        <v>17.516570000000002</v>
      </c>
      <c r="J5958">
        <v>-379.07060000000001</v>
      </c>
      <c r="K5958">
        <v>1.111586</v>
      </c>
      <c r="L5958">
        <v>17.557770000000001</v>
      </c>
      <c r="M5958">
        <v>0.99982689999999996</v>
      </c>
      <c r="N5958">
        <v>-1.048992E-2</v>
      </c>
      <c r="O5958">
        <v>-1.5373110000000001E-2</v>
      </c>
      <c r="P5958">
        <v>0.91399370000000002</v>
      </c>
      <c r="Q5958">
        <v>0.39983790000000002</v>
      </c>
      <c r="R5958">
        <v>6.8885479999999999E-2</v>
      </c>
      <c r="S5958">
        <v>3.5099179999999999</v>
      </c>
      <c r="T5958">
        <v>-0.48960320000000002</v>
      </c>
      <c r="U5958">
        <v>-0.15399170000000001</v>
      </c>
      <c r="V5958">
        <v>-8.4123149999999994E-2</v>
      </c>
      <c r="W5958">
        <v>0.40914790000000001</v>
      </c>
      <c r="X5958">
        <v>0.908582</v>
      </c>
      <c r="Y5958">
        <v>2.829957E-2</v>
      </c>
      <c r="Z5958">
        <v>-1.4026579999999999E-4</v>
      </c>
      <c r="AA5958">
        <v>0.99959949999999997</v>
      </c>
      <c r="AB5958">
        <v>38</v>
      </c>
      <c r="AC5958">
        <v>0.80650000000002797</v>
      </c>
      <c r="AD5958">
        <v>-0.138721399999999</v>
      </c>
      <c r="AE5958">
        <v>-4.1199999999999903E-2</v>
      </c>
      <c r="AF5958">
        <v>2.7970665757204902E-2</v>
      </c>
      <c r="AG5958">
        <v>-0.138721399999999</v>
      </c>
      <c r="AH5958">
        <v>0.78390623727549502</v>
      </c>
      <c r="AI5958">
        <v>100.029015230711</v>
      </c>
      <c r="AJ5958">
        <v>87.956488381895497</v>
      </c>
      <c r="AK5958">
        <v>0.79657703569729299</v>
      </c>
      <c r="AL5958">
        <v>65.848681030122904</v>
      </c>
      <c r="AM5958">
        <v>95.289780276587607</v>
      </c>
      <c r="AN5958">
        <v>0.99999997958216602</v>
      </c>
    </row>
    <row r="5959" spans="1:40" x14ac:dyDescent="0.25">
      <c r="A5959" t="str">
        <f>"20190304165005788"</f>
        <v>20190304165005788</v>
      </c>
      <c r="B5959" t="str">
        <f>"1551689405782055"</f>
        <v>1551689405782055</v>
      </c>
      <c r="C5959" t="s">
        <v>40</v>
      </c>
      <c r="D5959">
        <v>4.6534430000000002</v>
      </c>
      <c r="E5959">
        <v>0.56668969999999996</v>
      </c>
      <c r="F5959" t="s">
        <v>41</v>
      </c>
      <c r="G5959">
        <v>-378.25240000000002</v>
      </c>
      <c r="H5959">
        <v>0.99649350000000003</v>
      </c>
      <c r="I5959">
        <v>17.521840000000001</v>
      </c>
      <c r="J5959">
        <v>-378.72809999999998</v>
      </c>
      <c r="K5959">
        <v>1.1114040000000001</v>
      </c>
      <c r="L5959">
        <v>17.55301</v>
      </c>
      <c r="M5959">
        <v>0.99983259999999996</v>
      </c>
      <c r="N5959">
        <v>-1.0543449999999999E-2</v>
      </c>
      <c r="O5959">
        <v>-1.4962690000000001E-2</v>
      </c>
      <c r="P5959">
        <v>0.91460169999999996</v>
      </c>
      <c r="Q5959">
        <v>0.39826309999999998</v>
      </c>
      <c r="R5959">
        <v>6.993249E-2</v>
      </c>
      <c r="S5959">
        <v>3.509827</v>
      </c>
      <c r="T5959">
        <v>-0.49368139999999999</v>
      </c>
      <c r="U5959">
        <v>-0.15319820000000001</v>
      </c>
      <c r="V5959">
        <v>-8.4608729999999993E-2</v>
      </c>
      <c r="W5959">
        <v>0.40766590000000003</v>
      </c>
      <c r="X5959">
        <v>0.90920290000000004</v>
      </c>
      <c r="Y5959">
        <v>2.8477490000000001E-2</v>
      </c>
      <c r="Z5959">
        <v>-2.0692900000000001E-4</v>
      </c>
      <c r="AA5959">
        <v>0.99959439999999999</v>
      </c>
      <c r="AB5959">
        <v>38</v>
      </c>
      <c r="AC5959">
        <v>0.47569999999995999</v>
      </c>
      <c r="AD5959">
        <v>-0.1149105</v>
      </c>
      <c r="AE5959">
        <v>-3.11699999999994E-2</v>
      </c>
      <c r="AF5959">
        <v>2.2727827392266801E-2</v>
      </c>
      <c r="AG5959">
        <v>-0.1149105</v>
      </c>
      <c r="AH5959">
        <v>0.44996897160827398</v>
      </c>
      <c r="AI5959">
        <v>104.308195275605</v>
      </c>
      <c r="AJ5959">
        <v>87.108460922298704</v>
      </c>
      <c r="AK5959">
        <v>0.46496564664330903</v>
      </c>
      <c r="AL5959">
        <v>65.941706082610693</v>
      </c>
      <c r="AM5959">
        <v>95.316527185764102</v>
      </c>
      <c r="AN5959">
        <v>1.0000000182917099</v>
      </c>
    </row>
    <row r="5960" spans="1:40" x14ac:dyDescent="0.25">
      <c r="A5960" t="str">
        <f>"20190304165005801"</f>
        <v>20190304165005801</v>
      </c>
      <c r="B5960" t="str">
        <f>"1551689405791814"</f>
        <v>1551689405791814</v>
      </c>
      <c r="C5960" t="s">
        <v>40</v>
      </c>
      <c r="D5960">
        <v>4.7132149999999999</v>
      </c>
      <c r="E5960">
        <v>0.56671309999999997</v>
      </c>
      <c r="F5960" t="s">
        <v>41</v>
      </c>
      <c r="G5960">
        <v>-377.9135</v>
      </c>
      <c r="H5960">
        <v>0.99521230000000005</v>
      </c>
      <c r="I5960">
        <v>17.517789999999898</v>
      </c>
      <c r="J5960">
        <v>-378.51749999999998</v>
      </c>
      <c r="K5960">
        <v>1.111297</v>
      </c>
      <c r="L5960">
        <v>17.55011</v>
      </c>
      <c r="M5960">
        <v>0.99983509999999998</v>
      </c>
      <c r="N5960">
        <v>-1.057422E-2</v>
      </c>
      <c r="O5960">
        <v>-1.476674E-2</v>
      </c>
      <c r="P5960">
        <v>0.91488780000000003</v>
      </c>
      <c r="Q5960">
        <v>0.39754420000000001</v>
      </c>
      <c r="R5960">
        <v>7.027738E-2</v>
      </c>
      <c r="S5960">
        <v>3.5095519999999998</v>
      </c>
      <c r="T5960">
        <v>-0.5005288</v>
      </c>
      <c r="U5960">
        <v>-0.15060419999999999</v>
      </c>
      <c r="V5960">
        <v>-8.4668759999999996E-2</v>
      </c>
      <c r="W5960">
        <v>0.40700049999999999</v>
      </c>
      <c r="X5960">
        <v>0.90949539999999995</v>
      </c>
      <c r="Y5960">
        <v>2.793905E-2</v>
      </c>
      <c r="Z5960">
        <v>-1.9110469999999999E-4</v>
      </c>
      <c r="AA5960">
        <v>0.99960959999999999</v>
      </c>
      <c r="AB5960">
        <v>38</v>
      </c>
      <c r="AC5960">
        <v>0.60399999999998499</v>
      </c>
      <c r="AD5960">
        <v>-0.1160847</v>
      </c>
      <c r="AE5960">
        <v>-3.2320000000002097E-2</v>
      </c>
      <c r="AF5960">
        <v>2.2565708915060299E-2</v>
      </c>
      <c r="AG5960">
        <v>-0.1160847</v>
      </c>
      <c r="AH5960">
        <v>0.58294012584175703</v>
      </c>
      <c r="AI5960">
        <v>101.254143170609</v>
      </c>
      <c r="AJ5960">
        <v>87.783177719737594</v>
      </c>
      <c r="AK5960">
        <v>0.594814306409432</v>
      </c>
      <c r="AL5960">
        <v>65.983451476991604</v>
      </c>
      <c r="AM5960">
        <v>95.318576406459201</v>
      </c>
      <c r="AN5960">
        <v>1.00000004427067</v>
      </c>
    </row>
    <row r="5961" spans="1:40" x14ac:dyDescent="0.25">
      <c r="A5961" t="str">
        <f>"20190304165005811"</f>
        <v>20190304165005811</v>
      </c>
      <c r="B5961" t="str">
        <f>"1551689405802082"</f>
        <v>1551689405802082</v>
      </c>
      <c r="C5961" t="s">
        <v>40</v>
      </c>
      <c r="D5961">
        <v>4.7181499999999996</v>
      </c>
      <c r="E5961">
        <v>0.56674099999999905</v>
      </c>
      <c r="F5961" t="s">
        <v>41</v>
      </c>
      <c r="G5961">
        <v>-377.58249999999998</v>
      </c>
      <c r="H5961">
        <v>0.97722050000000005</v>
      </c>
      <c r="I5961">
        <v>17.509869999999999</v>
      </c>
      <c r="J5961">
        <v>-378.3329</v>
      </c>
      <c r="K5961">
        <v>1.111208</v>
      </c>
      <c r="L5961">
        <v>17.547550000000001</v>
      </c>
      <c r="M5961">
        <v>0.99983690000000003</v>
      </c>
      <c r="N5961">
        <v>-1.060006E-2</v>
      </c>
      <c r="O5961">
        <v>-1.462449E-2</v>
      </c>
      <c r="P5961">
        <v>0.91494750000000002</v>
      </c>
      <c r="Q5961">
        <v>0.39736690000000002</v>
      </c>
      <c r="R5961">
        <v>7.0503440000000001E-2</v>
      </c>
      <c r="S5961">
        <v>3.5093380000000001</v>
      </c>
      <c r="T5961">
        <v>-0.50325010000000003</v>
      </c>
      <c r="U5961">
        <v>-0.15048220000000001</v>
      </c>
      <c r="V5961">
        <v>-8.4676070000000006E-2</v>
      </c>
      <c r="W5961">
        <v>0.40686539999999999</v>
      </c>
      <c r="X5961">
        <v>0.90955509999999995</v>
      </c>
      <c r="Y5961">
        <v>2.8044960000000001E-2</v>
      </c>
      <c r="Z5961">
        <v>-2.1812980000000001E-4</v>
      </c>
      <c r="AA5961">
        <v>0.99960660000000001</v>
      </c>
      <c r="AB5961">
        <v>38</v>
      </c>
      <c r="AC5961">
        <v>0.75040000000001295</v>
      </c>
      <c r="AD5961">
        <v>-0.13398749999999901</v>
      </c>
      <c r="AE5961">
        <v>-3.7679999999998097E-2</v>
      </c>
      <c r="AF5961">
        <v>2.5878168624004501E-2</v>
      </c>
      <c r="AG5961">
        <v>-0.13398749999999901</v>
      </c>
      <c r="AH5961">
        <v>0.72772789440591701</v>
      </c>
      <c r="AI5961">
        <v>100.425879509336</v>
      </c>
      <c r="AJ5961">
        <v>87.963407268082605</v>
      </c>
      <c r="AK5961">
        <v>0.74041219470241904</v>
      </c>
      <c r="AL5961">
        <v>65.991923988193307</v>
      </c>
      <c r="AM5961">
        <v>95.318685839455597</v>
      </c>
      <c r="AN5961">
        <v>0.99999998524190703</v>
      </c>
    </row>
    <row r="5962" spans="1:40" x14ac:dyDescent="0.25">
      <c r="A5962" t="str">
        <f>"20190304165005826"</f>
        <v>20190304165005826</v>
      </c>
      <c r="B5962" t="str">
        <f>"1551689405821602"</f>
        <v>1551689405821602</v>
      </c>
      <c r="C5962" t="s">
        <v>40</v>
      </c>
      <c r="D5962">
        <v>4.7216290000000001</v>
      </c>
      <c r="E5962">
        <v>0.56676380000000004</v>
      </c>
      <c r="F5962" t="s">
        <v>41</v>
      </c>
      <c r="G5962">
        <v>-377.57040000000001</v>
      </c>
      <c r="H5962">
        <v>1.0017419999999999</v>
      </c>
      <c r="I5962">
        <v>17.514749999999999</v>
      </c>
      <c r="J5962">
        <v>-378.09309999999999</v>
      </c>
      <c r="K5962">
        <v>1.111105</v>
      </c>
      <c r="L5962">
        <v>17.544250000000002</v>
      </c>
      <c r="M5962">
        <v>0.99983860000000002</v>
      </c>
      <c r="N5962">
        <v>-1.0631130000000001E-2</v>
      </c>
      <c r="O5962">
        <v>-1.448581E-2</v>
      </c>
      <c r="P5962">
        <v>0.91503109999999999</v>
      </c>
      <c r="Q5962">
        <v>0.39707029999999999</v>
      </c>
      <c r="R5962">
        <v>7.1086109999999994E-2</v>
      </c>
      <c r="S5962">
        <v>3.5092469999999998</v>
      </c>
      <c r="T5962">
        <v>-0.50382669999999996</v>
      </c>
      <c r="U5962">
        <v>-0.15023800000000001</v>
      </c>
      <c r="V5962">
        <v>-8.502759E-2</v>
      </c>
      <c r="W5962">
        <v>0.40661930000000002</v>
      </c>
      <c r="X5962">
        <v>0.90963240000000001</v>
      </c>
      <c r="Y5962">
        <v>2.811284E-2</v>
      </c>
      <c r="Z5962">
        <v>-2.4245850000000001E-4</v>
      </c>
      <c r="AA5962">
        <v>0.99960470000000001</v>
      </c>
      <c r="AB5962">
        <v>38</v>
      </c>
      <c r="AC5962">
        <v>0.52269999999998595</v>
      </c>
      <c r="AD5962">
        <v>-0.109363</v>
      </c>
      <c r="AE5962">
        <v>-2.9500000000002299E-2</v>
      </c>
      <c r="AF5962">
        <v>2.1008017409221799E-2</v>
      </c>
      <c r="AG5962">
        <v>-0.109363</v>
      </c>
      <c r="AH5962">
        <v>0.501201580766787</v>
      </c>
      <c r="AI5962">
        <v>102.29862929830399</v>
      </c>
      <c r="AJ5962">
        <v>87.599834846988799</v>
      </c>
      <c r="AK5962">
        <v>0.51342441228246305</v>
      </c>
      <c r="AL5962">
        <v>66.007359946075695</v>
      </c>
      <c r="AM5962">
        <v>95.340186936980601</v>
      </c>
      <c r="AN5962">
        <v>1.00000002466172</v>
      </c>
    </row>
    <row r="5963" spans="1:40" x14ac:dyDescent="0.25">
      <c r="A5963" t="str">
        <f>"20190304165005845"</f>
        <v>20190304165005845</v>
      </c>
      <c r="B5963" t="str">
        <f>"1551689405831362"</f>
        <v>1551689405831362</v>
      </c>
      <c r="C5963" t="s">
        <v>40</v>
      </c>
      <c r="D5963">
        <v>4.7113829999999997</v>
      </c>
      <c r="E5963">
        <v>0.56678139999999999</v>
      </c>
      <c r="F5963" t="s">
        <v>41</v>
      </c>
      <c r="G5963">
        <v>-377.2373</v>
      </c>
      <c r="H5963">
        <v>0.98796989999999996</v>
      </c>
      <c r="I5963">
        <v>17.507909999999999</v>
      </c>
      <c r="J5963">
        <v>-377.79020000000003</v>
      </c>
      <c r="K5963">
        <v>1.110984</v>
      </c>
      <c r="L5963">
        <v>17.54007</v>
      </c>
      <c r="M5963">
        <v>0.99984019999999996</v>
      </c>
      <c r="N5963">
        <v>-1.0669130000000001E-2</v>
      </c>
      <c r="O5963">
        <v>-1.435487E-2</v>
      </c>
      <c r="P5963">
        <v>0.9150298</v>
      </c>
      <c r="Q5963">
        <v>0.39694790000000002</v>
      </c>
      <c r="R5963">
        <v>7.1786210000000003E-2</v>
      </c>
      <c r="S5963">
        <v>3.5091860000000001</v>
      </c>
      <c r="T5963">
        <v>-0.50494550000000005</v>
      </c>
      <c r="U5963">
        <v>-0.14880370000000001</v>
      </c>
      <c r="V5963">
        <v>-8.5488690000000006E-2</v>
      </c>
      <c r="W5963">
        <v>0.40655570000000002</v>
      </c>
      <c r="X5963">
        <v>0.90961760000000003</v>
      </c>
      <c r="Y5963">
        <v>2.7837669999999998E-2</v>
      </c>
      <c r="Z5963">
        <v>-2.395841E-4</v>
      </c>
      <c r="AA5963">
        <v>0.99961250000000001</v>
      </c>
      <c r="AB5963">
        <v>38</v>
      </c>
      <c r="AC5963">
        <v>0.55290000000002204</v>
      </c>
      <c r="AD5963">
        <v>-0.123014099999999</v>
      </c>
      <c r="AE5963">
        <v>-3.2160000000001E-2</v>
      </c>
      <c r="AF5963">
        <v>2.3080753025225199E-2</v>
      </c>
      <c r="AG5963">
        <v>-0.123014099999999</v>
      </c>
      <c r="AH5963">
        <v>0.52729111890475</v>
      </c>
      <c r="AI5963">
        <v>103.119782655565</v>
      </c>
      <c r="AJ5963">
        <v>87.4936310134525</v>
      </c>
      <c r="AK5963">
        <v>0.54194198401198301</v>
      </c>
      <c r="AL5963">
        <v>66.011348296801998</v>
      </c>
      <c r="AM5963">
        <v>95.369064549205603</v>
      </c>
      <c r="AN5963">
        <v>1.0000000157750799</v>
      </c>
    </row>
    <row r="5964" spans="1:40" x14ac:dyDescent="0.25">
      <c r="A5964" t="str">
        <f>"20190304165005858"</f>
        <v>20190304165005858</v>
      </c>
      <c r="B5964" t="str">
        <f>"1551689405851858"</f>
        <v>1551689405851858</v>
      </c>
      <c r="C5964" t="s">
        <v>40</v>
      </c>
      <c r="D5964">
        <v>4.6973039999999999</v>
      </c>
      <c r="E5964">
        <v>0.56690319999999905</v>
      </c>
      <c r="F5964" t="s">
        <v>41</v>
      </c>
      <c r="G5964">
        <v>-376.8997</v>
      </c>
      <c r="H5964">
        <v>0.98276540000000001</v>
      </c>
      <c r="I5964">
        <v>17.502369999999999</v>
      </c>
      <c r="J5964">
        <v>-377.5564</v>
      </c>
      <c r="K5964">
        <v>1.1109</v>
      </c>
      <c r="L5964">
        <v>17.536829999999998</v>
      </c>
      <c r="M5964">
        <v>0.99984090000000003</v>
      </c>
      <c r="N5964">
        <v>-1.069812E-2</v>
      </c>
      <c r="O5964">
        <v>-1.4281210000000001E-2</v>
      </c>
      <c r="P5964">
        <v>0.9150549</v>
      </c>
      <c r="Q5964">
        <v>0.39683619999999997</v>
      </c>
      <c r="R5964">
        <v>7.2081660000000006E-2</v>
      </c>
      <c r="S5964">
        <v>3.5093079999999999</v>
      </c>
      <c r="T5964">
        <v>-0.50524309999999995</v>
      </c>
      <c r="U5964">
        <v>-0.14718629999999999</v>
      </c>
      <c r="V5964">
        <v>-8.5634660000000001E-2</v>
      </c>
      <c r="W5964">
        <v>0.40648780000000001</v>
      </c>
      <c r="X5964">
        <v>0.90963419999999895</v>
      </c>
      <c r="Y5964">
        <v>2.745324E-2</v>
      </c>
      <c r="Z5964">
        <v>-2.205393E-4</v>
      </c>
      <c r="AA5964">
        <v>0.99962309999999999</v>
      </c>
      <c r="AB5964">
        <v>38</v>
      </c>
      <c r="AC5964">
        <v>0.65669999999999995</v>
      </c>
      <c r="AD5964">
        <v>-0.12813459999999999</v>
      </c>
      <c r="AE5964">
        <v>-3.4459999999995702E-2</v>
      </c>
      <c r="AF5964">
        <v>2.41601925979886E-2</v>
      </c>
      <c r="AG5964">
        <v>-0.12813459999999999</v>
      </c>
      <c r="AH5964">
        <v>0.63308879140763896</v>
      </c>
      <c r="AI5964">
        <v>101.433765290987</v>
      </c>
      <c r="AJ5964">
        <v>87.814515645780503</v>
      </c>
      <c r="AK5964">
        <v>0.646377295725582</v>
      </c>
      <c r="AL5964">
        <v>66.015606059089507</v>
      </c>
      <c r="AM5964">
        <v>95.378080823783506</v>
      </c>
      <c r="AN5964">
        <v>1.0000000021758899</v>
      </c>
    </row>
    <row r="5965" spans="1:40" x14ac:dyDescent="0.25">
      <c r="A5965" t="str">
        <f>"20190304165005873"</f>
        <v>20190304165005873</v>
      </c>
      <c r="B5965" t="str">
        <f>"1551689405861618"</f>
        <v>1551689405861618</v>
      </c>
      <c r="C5965" t="s">
        <v>40</v>
      </c>
      <c r="D5965">
        <v>4.7766159999999998</v>
      </c>
      <c r="E5965">
        <v>0.56699409999999995</v>
      </c>
      <c r="F5965" t="s">
        <v>41</v>
      </c>
      <c r="G5965">
        <v>-376.56650000000002</v>
      </c>
      <c r="H5965">
        <v>0.9682153</v>
      </c>
      <c r="I5965">
        <v>17.49531</v>
      </c>
      <c r="J5965">
        <v>-377.30259999999998</v>
      </c>
      <c r="K5965">
        <v>1.110825</v>
      </c>
      <c r="L5965">
        <v>17.533359999999998</v>
      </c>
      <c r="M5965">
        <v>0.99984119999999999</v>
      </c>
      <c r="N5965">
        <v>-1.0729270000000001E-2</v>
      </c>
      <c r="O5965">
        <v>-1.4227790000000001E-2</v>
      </c>
      <c r="P5965">
        <v>0.915018</v>
      </c>
      <c r="Q5965">
        <v>0.39683069999999998</v>
      </c>
      <c r="R5965">
        <v>7.2576580000000002E-2</v>
      </c>
      <c r="S5965">
        <v>3.5093990000000002</v>
      </c>
      <c r="T5965">
        <v>-0.50579390000000002</v>
      </c>
      <c r="U5965">
        <v>-0.14721679999999901</v>
      </c>
      <c r="V5965">
        <v>-8.6003469999999999E-2</v>
      </c>
      <c r="W5965">
        <v>0.4065261</v>
      </c>
      <c r="X5965">
        <v>0.90958229999999995</v>
      </c>
      <c r="Y5965">
        <v>2.751265E-2</v>
      </c>
      <c r="Z5965">
        <v>-2.329919E-4</v>
      </c>
      <c r="AA5965">
        <v>0.99962150000000005</v>
      </c>
      <c r="AB5965">
        <v>38</v>
      </c>
      <c r="AC5965">
        <v>0.73609999999996401</v>
      </c>
      <c r="AD5965">
        <v>-0.14260969999999901</v>
      </c>
      <c r="AE5965">
        <v>-3.8050000000001902E-2</v>
      </c>
      <c r="AF5965">
        <v>2.6577565733692601E-2</v>
      </c>
      <c r="AG5965">
        <v>-0.14260969999999901</v>
      </c>
      <c r="AH5965">
        <v>0.70998918491174801</v>
      </c>
      <c r="AI5965">
        <v>101.349659779296</v>
      </c>
      <c r="AJ5965">
        <v>87.856204444699202</v>
      </c>
      <c r="AK5965">
        <v>0.72465753030384406</v>
      </c>
      <c r="AL5965">
        <v>66.013204519589905</v>
      </c>
      <c r="AM5965">
        <v>95.401412734332297</v>
      </c>
      <c r="AN5965">
        <v>1.0000000136532701</v>
      </c>
    </row>
    <row r="5966" spans="1:40" x14ac:dyDescent="0.25">
      <c r="A5966" t="str">
        <f>"20190304165005891"</f>
        <v>20190304165005891</v>
      </c>
      <c r="B5966" t="str">
        <f>"1551689405881138"</f>
        <v>1551689405881138</v>
      </c>
      <c r="C5966" t="s">
        <v>40</v>
      </c>
      <c r="D5966">
        <v>4.6410900000000002</v>
      </c>
      <c r="E5966">
        <v>0.56717580000000001</v>
      </c>
      <c r="F5966" t="s">
        <v>41</v>
      </c>
      <c r="G5966">
        <v>-376.54969999999997</v>
      </c>
      <c r="H5966">
        <v>1.0022260000000001</v>
      </c>
      <c r="I5966">
        <v>17.50207</v>
      </c>
      <c r="J5966">
        <v>-376.98669999999998</v>
      </c>
      <c r="K5966">
        <v>1.110749</v>
      </c>
      <c r="L5966">
        <v>17.528960000000001</v>
      </c>
      <c r="M5966">
        <v>0.9998416</v>
      </c>
      <c r="N5966">
        <v>-1.076907E-2</v>
      </c>
      <c r="O5966">
        <v>-1.4184479999999999E-2</v>
      </c>
      <c r="P5966">
        <v>0.91482410000000003</v>
      </c>
      <c r="Q5966">
        <v>0.3971807</v>
      </c>
      <c r="R5966">
        <v>7.31068E-2</v>
      </c>
      <c r="S5966">
        <v>3.5097049999999999</v>
      </c>
      <c r="T5966">
        <v>-0.50625609999999999</v>
      </c>
      <c r="U5966">
        <v>-0.14584349999999999</v>
      </c>
      <c r="V5966">
        <v>-8.6411219999999997E-2</v>
      </c>
      <c r="W5966">
        <v>0.40692640000000002</v>
      </c>
      <c r="X5966">
        <v>0.90936459999999997</v>
      </c>
      <c r="Y5966">
        <v>2.7164899999999999E-2</v>
      </c>
      <c r="Z5966">
        <v>-2.1297190000000001E-4</v>
      </c>
      <c r="AA5966">
        <v>0.99963089999999999</v>
      </c>
      <c r="AB5966">
        <v>38</v>
      </c>
      <c r="AC5966">
        <v>0.43700000000001099</v>
      </c>
      <c r="AD5966">
        <v>-0.108522999999999</v>
      </c>
      <c r="AE5966">
        <v>-2.68900000000016E-2</v>
      </c>
      <c r="AF5966">
        <v>1.9490834058650101E-2</v>
      </c>
      <c r="AG5966">
        <v>-0.108522999999999</v>
      </c>
      <c r="AH5966">
        <v>0.412023439676442</v>
      </c>
      <c r="AI5966">
        <v>104.74025387896</v>
      </c>
      <c r="AJ5966">
        <v>87.291633114363805</v>
      </c>
      <c r="AK5966">
        <v>0.426521334734979</v>
      </c>
      <c r="AL5966">
        <v>65.988097880612898</v>
      </c>
      <c r="AM5966">
        <v>95.428160199422294</v>
      </c>
      <c r="AN5966">
        <v>0.99999998484600305</v>
      </c>
    </row>
    <row r="5967" spans="1:40" x14ac:dyDescent="0.25">
      <c r="A5967" t="str">
        <f>"20190304165005906"</f>
        <v>20190304165005906</v>
      </c>
      <c r="B5967" t="str">
        <f>"1551689405901164"</f>
        <v>1551689405901164</v>
      </c>
      <c r="C5967" t="s">
        <v>40</v>
      </c>
      <c r="D5967">
        <v>4.6640169999999896</v>
      </c>
      <c r="E5967">
        <v>0.56731299999999996</v>
      </c>
      <c r="F5967" t="s">
        <v>41</v>
      </c>
      <c r="G5967">
        <v>-376.2106</v>
      </c>
      <c r="H5967">
        <v>0.99949779999999999</v>
      </c>
      <c r="I5967">
        <v>17.49654</v>
      </c>
      <c r="J5967">
        <v>-376.74869999999999</v>
      </c>
      <c r="K5967">
        <v>1.1107039999999999</v>
      </c>
      <c r="L5967">
        <v>17.525700000000001</v>
      </c>
      <c r="M5967">
        <v>0.99984150000000005</v>
      </c>
      <c r="N5967">
        <v>-1.080094E-2</v>
      </c>
      <c r="O5967">
        <v>-1.4163200000000001E-2</v>
      </c>
      <c r="P5967">
        <v>0.91473800000000005</v>
      </c>
      <c r="Q5967">
        <v>0.39726220000000001</v>
      </c>
      <c r="R5967">
        <v>7.3738380000000006E-2</v>
      </c>
      <c r="S5967">
        <v>3.5092769999999902</v>
      </c>
      <c r="T5967">
        <v>-0.50297380000000003</v>
      </c>
      <c r="U5967">
        <v>-0.1451721</v>
      </c>
      <c r="V5967">
        <v>-8.6971999999999994E-2</v>
      </c>
      <c r="W5967">
        <v>0.40704630000000003</v>
      </c>
      <c r="X5967">
        <v>0.90925750000000005</v>
      </c>
      <c r="Y5967">
        <v>2.7003719999999998E-2</v>
      </c>
      <c r="Z5967">
        <v>-2.0483989999999999E-4</v>
      </c>
      <c r="AA5967">
        <v>0.9996353</v>
      </c>
      <c r="AB5967">
        <v>38</v>
      </c>
      <c r="AC5967">
        <v>0.53809999999998503</v>
      </c>
      <c r="AD5967">
        <v>-0.11120620000000001</v>
      </c>
      <c r="AE5967">
        <v>-2.91600000000009E-2</v>
      </c>
      <c r="AF5967">
        <v>2.06557830713026E-2</v>
      </c>
      <c r="AG5967">
        <v>-0.11120620000000001</v>
      </c>
      <c r="AH5967">
        <v>0.51646527493970695</v>
      </c>
      <c r="AI5967">
        <v>102.142079935366</v>
      </c>
      <c r="AJ5967">
        <v>87.709703181605406</v>
      </c>
      <c r="AK5967">
        <v>0.52870583551846295</v>
      </c>
      <c r="AL5967">
        <v>65.980577719800905</v>
      </c>
      <c r="AM5967">
        <v>95.463814306875406</v>
      </c>
      <c r="AN5967">
        <v>1.0000000102169699</v>
      </c>
    </row>
    <row r="5968" spans="1:40" x14ac:dyDescent="0.25">
      <c r="A5968" t="str">
        <f>"20190304165005921"</f>
        <v>20190304165005921</v>
      </c>
      <c r="B5968" t="str">
        <f>"1551689405911904"</f>
        <v>1551689405911904</v>
      </c>
      <c r="C5968" t="s">
        <v>40</v>
      </c>
      <c r="D5968">
        <v>4.8554120000000003</v>
      </c>
      <c r="E5968">
        <v>0.56717150000000005</v>
      </c>
      <c r="F5968" t="s">
        <v>41</v>
      </c>
      <c r="G5968">
        <v>-375.8766</v>
      </c>
      <c r="H5968">
        <v>0.98598589999999997</v>
      </c>
      <c r="I5968">
        <v>17.489899999999999</v>
      </c>
      <c r="J5968">
        <v>-376.47199999999998</v>
      </c>
      <c r="K5968">
        <v>1.110668</v>
      </c>
      <c r="L5968">
        <v>17.521850000000001</v>
      </c>
      <c r="M5968">
        <v>0.99984119999999999</v>
      </c>
      <c r="N5968">
        <v>-1.0840260000000001E-2</v>
      </c>
      <c r="O5968">
        <v>-1.4145309999999999E-2</v>
      </c>
      <c r="P5968">
        <v>0.91458550000000005</v>
      </c>
      <c r="Q5968">
        <v>0.39745469999999999</v>
      </c>
      <c r="R5968">
        <v>7.4585899999999997E-2</v>
      </c>
      <c r="S5968">
        <v>3.5091860000000001</v>
      </c>
      <c r="T5968">
        <v>-0.50177649999999996</v>
      </c>
      <c r="U5968">
        <v>-0.14434810000000001</v>
      </c>
      <c r="V5968">
        <v>-8.7750480000000006E-2</v>
      </c>
      <c r="W5968">
        <v>0.40728320000000001</v>
      </c>
      <c r="X5968">
        <v>0.90907660000000001</v>
      </c>
      <c r="Y5968">
        <v>2.679109E-2</v>
      </c>
      <c r="Z5968">
        <v>-1.9221780000000001E-4</v>
      </c>
      <c r="AA5968">
        <v>0.99964109999999995</v>
      </c>
      <c r="AB5968">
        <v>38</v>
      </c>
      <c r="AC5968">
        <v>0.59539999999998305</v>
      </c>
      <c r="AD5968">
        <v>-0.124682099999999</v>
      </c>
      <c r="AE5968">
        <v>-3.19500000000019E-2</v>
      </c>
      <c r="AF5968">
        <v>2.2538660592478599E-2</v>
      </c>
      <c r="AG5968">
        <v>-0.124682099999999</v>
      </c>
      <c r="AH5968">
        <v>0.57083207251699697</v>
      </c>
      <c r="AI5968">
        <v>102.31183344755399</v>
      </c>
      <c r="AJ5968">
        <v>87.738915269074596</v>
      </c>
      <c r="AK5968">
        <v>0.58472461235675999</v>
      </c>
      <c r="AL5968">
        <v>65.965716662492795</v>
      </c>
      <c r="AM5968">
        <v>95.513510770074205</v>
      </c>
      <c r="AN5968">
        <v>1.00000000820501</v>
      </c>
    </row>
    <row r="5969" spans="1:40" x14ac:dyDescent="0.25">
      <c r="A5969" t="str">
        <f>"20190304165005933"</f>
        <v>20190304165005933</v>
      </c>
      <c r="B5969" t="str">
        <f>"1551689405921661"</f>
        <v>1551689405921661</v>
      </c>
      <c r="C5969" t="s">
        <v>40</v>
      </c>
      <c r="D5969">
        <v>4.6359719999999998</v>
      </c>
      <c r="E5969">
        <v>0.56717150000000005</v>
      </c>
      <c r="F5969" t="s">
        <v>41</v>
      </c>
      <c r="G5969">
        <v>-375.53969999999998</v>
      </c>
      <c r="H5969">
        <v>0.97783980000000004</v>
      </c>
      <c r="I5969">
        <v>17.48385</v>
      </c>
      <c r="J5969">
        <v>-376.2663</v>
      </c>
      <c r="K5969">
        <v>1.110646</v>
      </c>
      <c r="L5969">
        <v>17.519010000000002</v>
      </c>
      <c r="M5969">
        <v>0.99984099999999998</v>
      </c>
      <c r="N5969">
        <v>-1.0871189999999999E-2</v>
      </c>
      <c r="O5969">
        <v>-1.413611E-2</v>
      </c>
      <c r="P5969">
        <v>0.91448739999999995</v>
      </c>
      <c r="Q5969">
        <v>0.39758209999999999</v>
      </c>
      <c r="R5969">
        <v>7.5110060000000006E-2</v>
      </c>
      <c r="S5969">
        <v>3.5090330000000001</v>
      </c>
      <c r="T5969">
        <v>-0.49996659999999998</v>
      </c>
      <c r="U5969">
        <v>-0.1419067</v>
      </c>
      <c r="V5969">
        <v>-8.8232920000000006E-2</v>
      </c>
      <c r="W5969">
        <v>0.40744429999999998</v>
      </c>
      <c r="X5969">
        <v>0.90895769999999998</v>
      </c>
      <c r="Y5969">
        <v>2.6115909999999999E-2</v>
      </c>
      <c r="Z5969">
        <v>-1.431166E-4</v>
      </c>
      <c r="AA5969">
        <v>0.99965890000000002</v>
      </c>
      <c r="AB5969">
        <v>38</v>
      </c>
      <c r="AC5969">
        <v>0.72660000000001901</v>
      </c>
      <c r="AD5969">
        <v>-0.13280619999999899</v>
      </c>
      <c r="AE5969">
        <v>-3.51600000000011E-2</v>
      </c>
      <c r="AF5969">
        <v>2.40819404991847E-2</v>
      </c>
      <c r="AG5969">
        <v>-0.13280619999999899</v>
      </c>
      <c r="AH5969">
        <v>0.70357458151695795</v>
      </c>
      <c r="AI5969">
        <v>100.68322583795199</v>
      </c>
      <c r="AJ5969">
        <v>88.039646210794999</v>
      </c>
      <c r="AK5969">
        <v>0.71640394916095296</v>
      </c>
      <c r="AL5969">
        <v>65.955609563708506</v>
      </c>
      <c r="AM5969">
        <v>95.544355614941793</v>
      </c>
      <c r="AN5969">
        <v>1.00000000308175</v>
      </c>
    </row>
    <row r="5970" spans="1:40" x14ac:dyDescent="0.25">
      <c r="A5970" t="str">
        <f>"20190304165005945"</f>
        <v>20190304165005945</v>
      </c>
      <c r="B5970" t="str">
        <f>"1551689405941180"</f>
        <v>1551689405941180</v>
      </c>
      <c r="C5970" t="s">
        <v>40</v>
      </c>
      <c r="D5970">
        <v>4.7667070000000002</v>
      </c>
      <c r="E5970">
        <v>0.54268319999999903</v>
      </c>
      <c r="F5970" t="s">
        <v>41</v>
      </c>
      <c r="G5970">
        <v>-375.52620000000002</v>
      </c>
      <c r="H5970">
        <v>1.0053559999999999</v>
      </c>
      <c r="I5970">
        <v>17.488959999999999</v>
      </c>
      <c r="J5970">
        <v>-376.07839999999999</v>
      </c>
      <c r="K5970">
        <v>1.1106290000000001</v>
      </c>
      <c r="L5970">
        <v>17.51642</v>
      </c>
      <c r="M5970">
        <v>0.99984090000000003</v>
      </c>
      <c r="N5970">
        <v>-1.0900109999999999E-2</v>
      </c>
      <c r="O5970">
        <v>-1.412822E-2</v>
      </c>
      <c r="P5970">
        <v>0.91437449999999998</v>
      </c>
      <c r="Q5970">
        <v>0.39779530000000002</v>
      </c>
      <c r="R5970">
        <v>7.5354610000000002E-2</v>
      </c>
      <c r="S5970">
        <v>3.5091549999999998</v>
      </c>
      <c r="T5970">
        <v>-0.499253</v>
      </c>
      <c r="U5970">
        <v>-0.14108280000000001</v>
      </c>
      <c r="V5970">
        <v>-8.8444339999999996E-2</v>
      </c>
      <c r="W5970">
        <v>0.40768729999999997</v>
      </c>
      <c r="X5970">
        <v>0.90882819999999997</v>
      </c>
      <c r="Y5970">
        <v>2.5890719999999999E-2</v>
      </c>
      <c r="Z5970">
        <v>-1.279865E-4</v>
      </c>
      <c r="AA5970">
        <v>0.99966480000000002</v>
      </c>
      <c r="AB5970">
        <v>38</v>
      </c>
      <c r="AC5970">
        <v>0.55219999999997005</v>
      </c>
      <c r="AD5970">
        <v>-0.10527300000000001</v>
      </c>
      <c r="AE5970">
        <v>-2.7459999999997799E-2</v>
      </c>
      <c r="AF5970">
        <v>1.8967524684155E-2</v>
      </c>
      <c r="AG5970">
        <v>-0.10527300000000001</v>
      </c>
      <c r="AH5970">
        <v>0.53320161041205405</v>
      </c>
      <c r="AI5970">
        <v>101.16170444700199</v>
      </c>
      <c r="AJ5970">
        <v>87.962682346466295</v>
      </c>
      <c r="AK5970">
        <v>0.54382545809078398</v>
      </c>
      <c r="AL5970">
        <v>65.940363254467499</v>
      </c>
      <c r="AM5970">
        <v>95.558344635786796</v>
      </c>
      <c r="AN5970">
        <v>1.00000001648728</v>
      </c>
    </row>
    <row r="5971" spans="1:40" x14ac:dyDescent="0.25">
      <c r="A5971" t="str">
        <f>"20190304165005957"</f>
        <v>20190304165005957</v>
      </c>
      <c r="B5971" t="str">
        <f>"1551689405951916"</f>
        <v>1551689405951916</v>
      </c>
      <c r="C5971" t="s">
        <v>40</v>
      </c>
      <c r="D5971">
        <v>4.719849</v>
      </c>
      <c r="E5971">
        <v>0.54217579999999999</v>
      </c>
      <c r="F5971" t="s">
        <v>41</v>
      </c>
      <c r="G5971">
        <v>-375.18259999999998</v>
      </c>
      <c r="H5971">
        <v>1.0075080000000001</v>
      </c>
      <c r="I5971">
        <v>17.527370000000001</v>
      </c>
      <c r="J5971">
        <v>-375.85969999999998</v>
      </c>
      <c r="K5971">
        <v>1.110606</v>
      </c>
      <c r="L5971">
        <v>17.513369999999998</v>
      </c>
      <c r="M5971">
        <v>0.99984059999999997</v>
      </c>
      <c r="N5971">
        <v>-1.0934080000000001E-2</v>
      </c>
      <c r="O5971">
        <v>-1.4118230000000001E-2</v>
      </c>
      <c r="P5971">
        <v>0.91428430000000005</v>
      </c>
      <c r="Q5971">
        <v>0.39789210000000003</v>
      </c>
      <c r="R5971">
        <v>7.5935180000000005E-2</v>
      </c>
      <c r="S5971">
        <v>3.4501650000000001</v>
      </c>
      <c r="T5971">
        <v>-0.39717279999999999</v>
      </c>
      <c r="U5971">
        <v>4.2907710000000002E-2</v>
      </c>
      <c r="V5971">
        <v>-8.8989369999999998E-2</v>
      </c>
      <c r="W5971">
        <v>0.40781909999999999</v>
      </c>
      <c r="X5971">
        <v>0.90871579999999996</v>
      </c>
      <c r="Y5971">
        <v>-2.6285679999999999E-2</v>
      </c>
      <c r="Z5971">
        <v>3.118085E-3</v>
      </c>
      <c r="AA5971">
        <v>0.99964960000000003</v>
      </c>
      <c r="AB5971">
        <v>38</v>
      </c>
      <c r="AC5971">
        <v>0.67709999999999504</v>
      </c>
      <c r="AD5971">
        <v>-0.103097999999999</v>
      </c>
      <c r="AE5971">
        <v>1.3999999999999299E-2</v>
      </c>
      <c r="AF5971">
        <v>-2.3025036711907101E-2</v>
      </c>
      <c r="AG5971">
        <v>-0.103097999999999</v>
      </c>
      <c r="AH5971">
        <v>0.66150483690440598</v>
      </c>
      <c r="AI5971">
        <v>98.8532182867784</v>
      </c>
      <c r="AJ5971">
        <v>91.993492676573297</v>
      </c>
      <c r="AK5971">
        <v>0.66988655693894095</v>
      </c>
      <c r="AL5971">
        <v>65.932091614720704</v>
      </c>
      <c r="AM5971">
        <v>95.593068283589801</v>
      </c>
      <c r="AN5971">
        <v>0.99999996573372196</v>
      </c>
    </row>
    <row r="5972" spans="1:40" x14ac:dyDescent="0.25">
      <c r="A5972" t="str">
        <f>"20190304165005969"</f>
        <v>20190304165005969</v>
      </c>
      <c r="B5972" t="str">
        <f>"1551689405961677"</f>
        <v>1551689405961677</v>
      </c>
      <c r="C5972" t="s">
        <v>40</v>
      </c>
      <c r="D5972">
        <v>4.673368</v>
      </c>
      <c r="E5972">
        <v>0.54179509999999997</v>
      </c>
      <c r="F5972" t="s">
        <v>41</v>
      </c>
      <c r="G5972">
        <v>-374.84930000000003</v>
      </c>
      <c r="H5972">
        <v>0.99074220000000002</v>
      </c>
      <c r="I5972">
        <v>17.527660000000001</v>
      </c>
      <c r="J5972">
        <v>-375.63990000000001</v>
      </c>
      <c r="K5972">
        <v>1.1105929999999999</v>
      </c>
      <c r="L5972">
        <v>17.51031</v>
      </c>
      <c r="M5972">
        <v>0.99984050000000002</v>
      </c>
      <c r="N5972">
        <v>-1.096901E-2</v>
      </c>
      <c r="O5972">
        <v>-1.4103269999999999E-2</v>
      </c>
      <c r="P5972">
        <v>0.91413929999999999</v>
      </c>
      <c r="Q5972">
        <v>0.39812589999999998</v>
      </c>
      <c r="R5972">
        <v>7.6456640000000006E-2</v>
      </c>
      <c r="S5972">
        <v>3.4555660000000001</v>
      </c>
      <c r="T5972">
        <v>-0.40992390000000001</v>
      </c>
      <c r="U5972">
        <v>4.9194340000000003E-2</v>
      </c>
      <c r="V5972">
        <v>-8.9476799999999995E-2</v>
      </c>
      <c r="W5972">
        <v>0.40808680000000003</v>
      </c>
      <c r="X5972">
        <v>0.90854780000000002</v>
      </c>
      <c r="Y5972">
        <v>-2.8039789999999998E-2</v>
      </c>
      <c r="Z5972">
        <v>3.3245280000000002E-3</v>
      </c>
      <c r="AA5972">
        <v>0.99960130000000003</v>
      </c>
      <c r="AB5972">
        <v>38</v>
      </c>
      <c r="AC5972">
        <v>0.79059999999998298</v>
      </c>
      <c r="AD5972">
        <v>-0.11985079999999999</v>
      </c>
      <c r="AE5972">
        <v>1.73500000000004E-2</v>
      </c>
      <c r="AF5972">
        <v>-2.78590688665671E-2</v>
      </c>
      <c r="AG5972">
        <v>-0.11985079999999999</v>
      </c>
      <c r="AH5972">
        <v>0.77253167697661895</v>
      </c>
      <c r="AI5972">
        <v>98.812944490118099</v>
      </c>
      <c r="AJ5972">
        <v>92.065307758835004</v>
      </c>
      <c r="AK5972">
        <v>0.78226947653034395</v>
      </c>
      <c r="AL5972">
        <v>65.915293395031895</v>
      </c>
      <c r="AM5972">
        <v>95.624541074453305</v>
      </c>
      <c r="AN5972">
        <v>1.00000001947865</v>
      </c>
    </row>
    <row r="5973" spans="1:40" x14ac:dyDescent="0.25">
      <c r="A5973" t="str">
        <f>"20190304165005981"</f>
        <v>20190304165005981</v>
      </c>
      <c r="B5973" t="str">
        <f>"1551689405971436"</f>
        <v>1551689405971436</v>
      </c>
      <c r="C5973" t="s">
        <v>40</v>
      </c>
      <c r="D5973">
        <v>4.595307</v>
      </c>
      <c r="E5973">
        <v>0.54146700000000003</v>
      </c>
      <c r="F5973" t="s">
        <v>41</v>
      </c>
      <c r="G5973">
        <v>-374.839</v>
      </c>
      <c r="H5973">
        <v>1.012904</v>
      </c>
      <c r="I5973">
        <v>17.522579999999898</v>
      </c>
      <c r="J5973">
        <v>-375.44900000000001</v>
      </c>
      <c r="K5973">
        <v>1.110584</v>
      </c>
      <c r="L5973">
        <v>17.50769</v>
      </c>
      <c r="M5973">
        <v>0.99984039999999996</v>
      </c>
      <c r="N5973">
        <v>-1.099924E-2</v>
      </c>
      <c r="O5973">
        <v>-1.408619E-2</v>
      </c>
      <c r="P5973">
        <v>0.91396060000000001</v>
      </c>
      <c r="Q5973">
        <v>0.39847949999999999</v>
      </c>
      <c r="R5973">
        <v>7.6748150000000001E-2</v>
      </c>
      <c r="S5973">
        <v>3.461182</v>
      </c>
      <c r="T5973">
        <v>-0.42220200000000002</v>
      </c>
      <c r="U5973">
        <v>5.3405759999999997E-2</v>
      </c>
      <c r="V5973">
        <v>-8.9737730000000002E-2</v>
      </c>
      <c r="W5973">
        <v>0.40846870000000002</v>
      </c>
      <c r="X5973">
        <v>0.9083504</v>
      </c>
      <c r="Y5973">
        <v>-2.9189530000000002E-2</v>
      </c>
      <c r="Z5973">
        <v>3.492223E-3</v>
      </c>
      <c r="AA5973">
        <v>0.99956780000000001</v>
      </c>
      <c r="AB5973">
        <v>38</v>
      </c>
      <c r="AC5973">
        <v>0.61000000000001298</v>
      </c>
      <c r="AD5973">
        <v>-9.7680000000000003E-2</v>
      </c>
      <c r="AE5973">
        <v>1.48899999999976E-2</v>
      </c>
      <c r="AF5973">
        <v>-2.2894896264549301E-2</v>
      </c>
      <c r="AG5973">
        <v>-9.7680000000000003E-2</v>
      </c>
      <c r="AH5973">
        <v>0.59449476736073004</v>
      </c>
      <c r="AI5973">
        <v>99.323969565031703</v>
      </c>
      <c r="AJ5973">
        <v>92.205457574827605</v>
      </c>
      <c r="AK5973">
        <v>0.60290097619281802</v>
      </c>
      <c r="AL5973">
        <v>65.891322681828299</v>
      </c>
      <c r="AM5973">
        <v>95.642055532495505</v>
      </c>
      <c r="AN5973">
        <v>0.99999999412270102</v>
      </c>
    </row>
    <row r="5974" spans="1:40" x14ac:dyDescent="0.25">
      <c r="A5974" t="str">
        <f>"20190304165005992"</f>
        <v>20190304165005992</v>
      </c>
      <c r="B5974" t="str">
        <f>"1551689405981196"</f>
        <v>1551689405981196</v>
      </c>
      <c r="C5974" t="s">
        <v>40</v>
      </c>
      <c r="D5974">
        <v>4.6022980000000002</v>
      </c>
      <c r="E5974">
        <v>0.54127990000000004</v>
      </c>
      <c r="F5974" t="s">
        <v>41</v>
      </c>
      <c r="G5974">
        <v>-374.50650000000002</v>
      </c>
      <c r="H5974">
        <v>0.99446129999999999</v>
      </c>
      <c r="I5974">
        <v>17.522839999999999</v>
      </c>
      <c r="J5974">
        <v>-375.2509</v>
      </c>
      <c r="K5974">
        <v>1.110579</v>
      </c>
      <c r="L5974">
        <v>17.504939999999898</v>
      </c>
      <c r="M5974">
        <v>0.99984019999999996</v>
      </c>
      <c r="N5974">
        <v>-1.103053E-2</v>
      </c>
      <c r="O5974">
        <v>-1.406492E-2</v>
      </c>
      <c r="P5974">
        <v>0.9139062</v>
      </c>
      <c r="Q5974">
        <v>0.39856000000000003</v>
      </c>
      <c r="R5974">
        <v>7.6977450000000003E-2</v>
      </c>
      <c r="S5974">
        <v>3.4637760000000002</v>
      </c>
      <c r="T5974">
        <v>-0.42675730000000001</v>
      </c>
      <c r="U5974">
        <v>5.6243899999999999E-2</v>
      </c>
      <c r="V5974">
        <v>-8.9936849999999999E-2</v>
      </c>
      <c r="W5974">
        <v>0.40857919999999998</v>
      </c>
      <c r="X5974">
        <v>0.90828100000000001</v>
      </c>
      <c r="Y5974">
        <v>-2.9962829999999999E-2</v>
      </c>
      <c r="Z5974">
        <v>3.576315E-3</v>
      </c>
      <c r="AA5974">
        <v>0.99954460000000001</v>
      </c>
      <c r="AB5974">
        <v>38</v>
      </c>
      <c r="AC5974">
        <v>0.74439999999998396</v>
      </c>
      <c r="AD5974">
        <v>-0.11611769999999901</v>
      </c>
      <c r="AE5974">
        <v>1.7900000000000901E-2</v>
      </c>
      <c r="AF5974">
        <v>-2.7695290884879199E-2</v>
      </c>
      <c r="AG5974">
        <v>-0.11611769999999901</v>
      </c>
      <c r="AH5974">
        <v>0.72640954105038602</v>
      </c>
      <c r="AI5974">
        <v>99.075500282369802</v>
      </c>
      <c r="AJ5974">
        <v>92.183417183740801</v>
      </c>
      <c r="AK5974">
        <v>0.73615295334564801</v>
      </c>
      <c r="AL5974">
        <v>65.884386105765202</v>
      </c>
      <c r="AM5974">
        <v>95.6549229568475</v>
      </c>
      <c r="AN5974">
        <v>0.99999998731078099</v>
      </c>
    </row>
    <row r="5975" spans="1:40" x14ac:dyDescent="0.25">
      <c r="A5975" t="str">
        <f>"20190304165006005"</f>
        <v>20190304165006005</v>
      </c>
      <c r="B5975" t="str">
        <f>"1551689406001224"</f>
        <v>1551689406001224</v>
      </c>
      <c r="C5975" t="s">
        <v>40</v>
      </c>
      <c r="D5975">
        <v>4.5630759999999997</v>
      </c>
      <c r="E5975">
        <v>0.5410469</v>
      </c>
      <c r="F5975" t="s">
        <v>41</v>
      </c>
      <c r="G5975">
        <v>-374.49610000000001</v>
      </c>
      <c r="H5975">
        <v>1.0166630000000001</v>
      </c>
      <c r="I5975">
        <v>17.517479999999999</v>
      </c>
      <c r="J5975">
        <v>-375.04919999999998</v>
      </c>
      <c r="K5975">
        <v>1.1105780000000001</v>
      </c>
      <c r="L5975">
        <v>17.502140000000001</v>
      </c>
      <c r="M5975">
        <v>0.99984030000000002</v>
      </c>
      <c r="N5975">
        <v>-1.1062829999999999E-2</v>
      </c>
      <c r="O5975">
        <v>-1.403393E-2</v>
      </c>
      <c r="P5975">
        <v>0.91369610000000001</v>
      </c>
      <c r="Q5975">
        <v>0.39899380000000001</v>
      </c>
      <c r="R5975">
        <v>7.7222109999999997E-2</v>
      </c>
      <c r="S5975">
        <v>3.4658199999999999</v>
      </c>
      <c r="T5975">
        <v>-0.43125330000000001</v>
      </c>
      <c r="U5975">
        <v>5.8288569999999998E-2</v>
      </c>
      <c r="V5975">
        <v>-9.0144630000000003E-2</v>
      </c>
      <c r="W5975">
        <v>0.4090414</v>
      </c>
      <c r="X5975">
        <v>0.90805239999999998</v>
      </c>
      <c r="Y5975">
        <v>-3.0500840000000001E-2</v>
      </c>
      <c r="Z5975">
        <v>3.6443510000000001E-3</v>
      </c>
      <c r="AA5975">
        <v>0.99952810000000003</v>
      </c>
      <c r="AB5975">
        <v>38</v>
      </c>
      <c r="AC5975">
        <v>0.55309999999997195</v>
      </c>
      <c r="AD5975">
        <v>-9.3915000000000207E-2</v>
      </c>
      <c r="AE5975">
        <v>1.5339999999998299E-2</v>
      </c>
      <c r="AF5975">
        <v>-2.2454245885486501E-2</v>
      </c>
      <c r="AG5975">
        <v>-9.3915000000000207E-2</v>
      </c>
      <c r="AH5975">
        <v>0.53734970497586398</v>
      </c>
      <c r="AI5975">
        <v>99.9052332208216</v>
      </c>
      <c r="AJ5975">
        <v>92.392828104022698</v>
      </c>
      <c r="AK5975">
        <v>0.54595689007551995</v>
      </c>
      <c r="AL5975">
        <v>65.855369795364197</v>
      </c>
      <c r="AM5975">
        <v>95.669320074559096</v>
      </c>
      <c r="AN5975">
        <v>1.00000004118877</v>
      </c>
    </row>
    <row r="5976" spans="1:40" x14ac:dyDescent="0.25">
      <c r="A5976" t="str">
        <f>"20190304165006023"</f>
        <v>20190304165006023</v>
      </c>
      <c r="B5976" t="str">
        <f>"1551689406011963"</f>
        <v>1551689406011963</v>
      </c>
      <c r="C5976" t="s">
        <v>40</v>
      </c>
      <c r="D5976">
        <v>4.7343970000000004</v>
      </c>
      <c r="E5976">
        <v>0.54118389999999905</v>
      </c>
      <c r="F5976" t="s">
        <v>41</v>
      </c>
      <c r="G5976">
        <v>-374.16300000000001</v>
      </c>
      <c r="H5976">
        <v>0.99934529999999999</v>
      </c>
      <c r="I5976">
        <v>17.51755</v>
      </c>
      <c r="J5976">
        <v>-374.74650000000003</v>
      </c>
      <c r="K5976">
        <v>1.110587</v>
      </c>
      <c r="L5976">
        <v>17.497989999999898</v>
      </c>
      <c r="M5976">
        <v>0.99984070000000003</v>
      </c>
      <c r="N5976">
        <v>-1.111402E-2</v>
      </c>
      <c r="O5976">
        <v>-1.3975349999999999E-2</v>
      </c>
      <c r="P5976">
        <v>0.91341419999999995</v>
      </c>
      <c r="Q5976">
        <v>0.39961000000000002</v>
      </c>
      <c r="R5976">
        <v>7.7370549999999996E-2</v>
      </c>
      <c r="S5976">
        <v>3.4682919999999999</v>
      </c>
      <c r="T5976">
        <v>-0.43531940000000002</v>
      </c>
      <c r="U5976">
        <v>6.1187739999999997E-2</v>
      </c>
      <c r="V5976">
        <v>-9.023312E-2</v>
      </c>
      <c r="W5976">
        <v>0.40970129999999999</v>
      </c>
      <c r="X5976">
        <v>0.90774600000000005</v>
      </c>
      <c r="Y5976">
        <v>-3.1253499999999997E-2</v>
      </c>
      <c r="Z5976">
        <v>3.7203589999999999E-3</v>
      </c>
      <c r="AA5976">
        <v>0.99950459999999997</v>
      </c>
      <c r="AB5976">
        <v>38</v>
      </c>
      <c r="AC5976">
        <v>0.58350000000001501</v>
      </c>
      <c r="AD5976">
        <v>-0.111241699999999</v>
      </c>
      <c r="AE5976">
        <v>1.9560000000001999E-2</v>
      </c>
      <c r="AF5976">
        <v>-2.6742330110932602E-2</v>
      </c>
      <c r="AG5976">
        <v>-0.111241699999999</v>
      </c>
      <c r="AH5976">
        <v>0.56273941118956505</v>
      </c>
      <c r="AI5976">
        <v>101.169712798435</v>
      </c>
      <c r="AJ5976">
        <v>92.720745637570801</v>
      </c>
      <c r="AK5976">
        <v>0.57425213360041705</v>
      </c>
      <c r="AL5976">
        <v>65.813927318292201</v>
      </c>
      <c r="AM5976">
        <v>95.676752001374098</v>
      </c>
      <c r="AN5976">
        <v>0.999999985841312</v>
      </c>
    </row>
    <row r="5977" spans="1:40" x14ac:dyDescent="0.25">
      <c r="A5977" t="str">
        <f>"20190304165006035"</f>
        <v>20190304165006035</v>
      </c>
      <c r="B5977" t="str">
        <f>"1551689406031481"</f>
        <v>1551689406031481</v>
      </c>
      <c r="C5977" t="s">
        <v>40</v>
      </c>
      <c r="D5977">
        <v>4.5882779999999999</v>
      </c>
      <c r="E5977">
        <v>0.54112729999999998</v>
      </c>
      <c r="F5977" t="s">
        <v>41</v>
      </c>
      <c r="G5977">
        <v>-373.82400000000001</v>
      </c>
      <c r="H5977">
        <v>0.99442699999999995</v>
      </c>
      <c r="I5977">
        <v>17.514279999999999</v>
      </c>
      <c r="J5977">
        <v>-374.5333</v>
      </c>
      <c r="K5977">
        <v>1.1105929999999999</v>
      </c>
      <c r="L5977">
        <v>17.49503</v>
      </c>
      <c r="M5977">
        <v>0.99984090000000003</v>
      </c>
      <c r="N5977">
        <v>-1.1152570000000001E-2</v>
      </c>
      <c r="O5977">
        <v>-1.392559E-2</v>
      </c>
      <c r="P5977">
        <v>0.91351249999999995</v>
      </c>
      <c r="Q5977">
        <v>0.39934819999999999</v>
      </c>
      <c r="R5977">
        <v>7.7562839999999994E-2</v>
      </c>
      <c r="S5977">
        <v>3.4703059999999999</v>
      </c>
      <c r="T5977">
        <v>-0.4370018</v>
      </c>
      <c r="U5977">
        <v>6.1767580000000002E-2</v>
      </c>
      <c r="V5977">
        <v>-9.0382550000000006E-2</v>
      </c>
      <c r="W5977">
        <v>0.40947509999999998</v>
      </c>
      <c r="X5977">
        <v>0.90783320000000001</v>
      </c>
      <c r="Y5977">
        <v>-3.1357570000000001E-2</v>
      </c>
      <c r="Z5977">
        <v>3.7339040000000001E-3</v>
      </c>
      <c r="AA5977">
        <v>0.99950119999999998</v>
      </c>
      <c r="AB5977">
        <v>38</v>
      </c>
      <c r="AC5977">
        <v>0.70929999999998405</v>
      </c>
      <c r="AD5977">
        <v>-0.11616599999999901</v>
      </c>
      <c r="AE5977">
        <v>1.92499999999995E-2</v>
      </c>
      <c r="AF5977">
        <v>-2.8365885814604801E-2</v>
      </c>
      <c r="AG5977">
        <v>-0.11616599999999901</v>
      </c>
      <c r="AH5977">
        <v>0.69045702356813698</v>
      </c>
      <c r="AI5977">
        <v>99.5423908534585</v>
      </c>
      <c r="AJ5977">
        <v>92.352546282990602</v>
      </c>
      <c r="AK5977">
        <v>0.70073537403831598</v>
      </c>
      <c r="AL5977">
        <v>65.828134096843399</v>
      </c>
      <c r="AM5977">
        <v>95.685548810982695</v>
      </c>
      <c r="AN5977">
        <v>0.99999999094337599</v>
      </c>
    </row>
    <row r="5978" spans="1:40" x14ac:dyDescent="0.25">
      <c r="A5978" t="str">
        <f>"20190304165006047"</f>
        <v>20190304165006047</v>
      </c>
      <c r="B5978" t="str">
        <f>"1551689406041239"</f>
        <v>1551689406041239</v>
      </c>
      <c r="C5978" t="s">
        <v>40</v>
      </c>
      <c r="D5978">
        <v>4.5792679999999999</v>
      </c>
      <c r="E5978">
        <v>0.54110649999999905</v>
      </c>
      <c r="F5978" t="s">
        <v>41</v>
      </c>
      <c r="G5978">
        <v>-373.81259999999997</v>
      </c>
      <c r="H5978">
        <v>1.0186980000000001</v>
      </c>
      <c r="I5978">
        <v>17.508209999999998</v>
      </c>
      <c r="J5978">
        <v>-374.33589999999998</v>
      </c>
      <c r="K5978">
        <v>1.110603</v>
      </c>
      <c r="L5978">
        <v>17.492370000000001</v>
      </c>
      <c r="M5978">
        <v>0.99984130000000004</v>
      </c>
      <c r="N5978">
        <v>-1.119039E-2</v>
      </c>
      <c r="O5978">
        <v>-1.3866130000000001E-2</v>
      </c>
      <c r="P5978">
        <v>0.91361800000000004</v>
      </c>
      <c r="Q5978">
        <v>0.39902130000000002</v>
      </c>
      <c r="R5978">
        <v>7.8002169999999996E-2</v>
      </c>
      <c r="S5978">
        <v>3.472137</v>
      </c>
      <c r="T5978">
        <v>-0.44278430000000002</v>
      </c>
      <c r="U5978">
        <v>6.4147949999999995E-2</v>
      </c>
      <c r="V5978">
        <v>-9.0774389999999996E-2</v>
      </c>
      <c r="W5978">
        <v>0.40918280000000001</v>
      </c>
      <c r="X5978">
        <v>0.90792589999999995</v>
      </c>
      <c r="Y5978">
        <v>-3.1959689999999999E-2</v>
      </c>
      <c r="Z5978">
        <v>3.8154909999999998E-3</v>
      </c>
      <c r="AA5978">
        <v>0.99948190000000003</v>
      </c>
      <c r="AB5978">
        <v>38</v>
      </c>
      <c r="AC5978">
        <v>0.52330000000000598</v>
      </c>
      <c r="AD5978">
        <v>-9.1905000000000098E-2</v>
      </c>
      <c r="AE5978">
        <v>1.5840000000000701E-2</v>
      </c>
      <c r="AF5978">
        <v>-2.2404650547945298E-2</v>
      </c>
      <c r="AG5978">
        <v>-9.1905000000000098E-2</v>
      </c>
      <c r="AH5978">
        <v>0.50739407382679202</v>
      </c>
      <c r="AI5978">
        <v>100.256969400123</v>
      </c>
      <c r="AJ5978">
        <v>92.528327887890697</v>
      </c>
      <c r="AK5978">
        <v>0.516136845754809</v>
      </c>
      <c r="AL5978">
        <v>65.846490009488406</v>
      </c>
      <c r="AM5978">
        <v>95.709455973497398</v>
      </c>
      <c r="AN5978">
        <v>0.99999999679326002</v>
      </c>
    </row>
    <row r="5979" spans="1:40" x14ac:dyDescent="0.25">
      <c r="A5979" t="str">
        <f>"20190304165006060"</f>
        <v>20190304165006060</v>
      </c>
      <c r="B5979" t="str">
        <f>"1551689406051976"</f>
        <v>1551689406051976</v>
      </c>
      <c r="C5979" t="s">
        <v>40</v>
      </c>
      <c r="D5979">
        <v>4.6213600000000001</v>
      </c>
      <c r="E5979">
        <v>0.54118189999999999</v>
      </c>
      <c r="F5979" t="s">
        <v>41</v>
      </c>
      <c r="G5979">
        <v>-373.47969999999998</v>
      </c>
      <c r="H5979">
        <v>1.000761</v>
      </c>
      <c r="I5979">
        <v>17.508199999999999</v>
      </c>
      <c r="J5979">
        <v>-374.10989999999998</v>
      </c>
      <c r="K5979">
        <v>1.1106130000000001</v>
      </c>
      <c r="L5979">
        <v>17.489319999999999</v>
      </c>
      <c r="M5979">
        <v>0.9998418</v>
      </c>
      <c r="N5979">
        <v>-1.123503E-2</v>
      </c>
      <c r="O5979">
        <v>-1.379177E-2</v>
      </c>
      <c r="P5979">
        <v>0.91367379999999998</v>
      </c>
      <c r="Q5979">
        <v>0.39877190000000001</v>
      </c>
      <c r="R5979">
        <v>7.8621389999999999E-2</v>
      </c>
      <c r="S5979">
        <v>3.4725950000000001</v>
      </c>
      <c r="T5979">
        <v>-0.44554250000000001</v>
      </c>
      <c r="U5979">
        <v>6.6040039999999994E-2</v>
      </c>
      <c r="V5979">
        <v>-9.1333170000000005E-2</v>
      </c>
      <c r="W5979">
        <v>0.40897260000000002</v>
      </c>
      <c r="X5979">
        <v>0.90796460000000001</v>
      </c>
      <c r="Y5979">
        <v>-3.2419160000000002E-2</v>
      </c>
      <c r="Z5979">
        <v>3.8617909999999998E-3</v>
      </c>
      <c r="AA5979">
        <v>0.99946690000000005</v>
      </c>
      <c r="AB5979">
        <v>38</v>
      </c>
      <c r="AC5979">
        <v>0.63020000000000198</v>
      </c>
      <c r="AD5979">
        <v>-0.10985199999999901</v>
      </c>
      <c r="AE5979">
        <v>1.8879999999995699E-2</v>
      </c>
      <c r="AF5979">
        <v>-2.6758012898399099E-2</v>
      </c>
      <c r="AG5979">
        <v>-0.10985199999999901</v>
      </c>
      <c r="AH5979">
        <v>0.61132131135871004</v>
      </c>
      <c r="AI5979">
        <v>100.177561199008</v>
      </c>
      <c r="AJ5979">
        <v>92.506281410230798</v>
      </c>
      <c r="AK5979">
        <v>0.62168898886791002</v>
      </c>
      <c r="AL5979">
        <v>65.8596891807845</v>
      </c>
      <c r="AM5979">
        <v>95.744124141923194</v>
      </c>
      <c r="AN5979">
        <v>1.0000000251730801</v>
      </c>
    </row>
    <row r="5980" spans="1:40" x14ac:dyDescent="0.25">
      <c r="A5980" t="str">
        <f>"20190304165006081"</f>
        <v>20190304165006081</v>
      </c>
      <c r="B5980" t="str">
        <f>"1551689406071495"</f>
        <v>1551689406071495</v>
      </c>
      <c r="C5980" t="s">
        <v>40</v>
      </c>
      <c r="D5980">
        <v>5.0297000000000001</v>
      </c>
      <c r="E5980">
        <v>0.54104969999999997</v>
      </c>
      <c r="F5980" t="s">
        <v>41</v>
      </c>
      <c r="G5980">
        <v>-373.14519999999999</v>
      </c>
      <c r="H5980">
        <v>0.9860584</v>
      </c>
      <c r="I5980">
        <v>17.50778</v>
      </c>
      <c r="J5980">
        <v>-373.75299999999999</v>
      </c>
      <c r="K5980">
        <v>1.1106370000000001</v>
      </c>
      <c r="L5980">
        <v>17.484559999999998</v>
      </c>
      <c r="M5980">
        <v>0.99984280000000003</v>
      </c>
      <c r="N5980">
        <v>-1.131099E-2</v>
      </c>
      <c r="O5980">
        <v>-1.364976E-2</v>
      </c>
      <c r="P5980">
        <v>0.91389980000000004</v>
      </c>
      <c r="Q5980">
        <v>0.39804659999999997</v>
      </c>
      <c r="R5980">
        <v>7.9661700000000002E-2</v>
      </c>
      <c r="S5980">
        <v>3.4734189999999998</v>
      </c>
      <c r="T5980">
        <v>-0.44849420000000001</v>
      </c>
      <c r="U5980">
        <v>6.6680909999999996E-2</v>
      </c>
      <c r="V5980">
        <v>-9.2261689999999993E-2</v>
      </c>
      <c r="W5980">
        <v>0.40831499999999998</v>
      </c>
      <c r="X5980">
        <v>0.90816660000000005</v>
      </c>
      <c r="Y5980">
        <v>-3.245286E-2</v>
      </c>
      <c r="Z5980">
        <v>3.8719750000000002E-3</v>
      </c>
      <c r="AA5980">
        <v>0.99946579999999996</v>
      </c>
      <c r="AB5980">
        <v>38</v>
      </c>
      <c r="AC5980">
        <v>0.60780000000005396</v>
      </c>
      <c r="AD5980">
        <v>-0.124578599999999</v>
      </c>
      <c r="AE5980">
        <v>2.3219999999998402E-2</v>
      </c>
      <c r="AF5980">
        <v>-3.0245876919923299E-2</v>
      </c>
      <c r="AG5980">
        <v>-0.124578599999999</v>
      </c>
      <c r="AH5980">
        <v>0.58297076897724298</v>
      </c>
      <c r="AI5980">
        <v>102.04672739</v>
      </c>
      <c r="AJ5980">
        <v>92.969975133978195</v>
      </c>
      <c r="AK5980">
        <v>0.59689995655095696</v>
      </c>
      <c r="AL5980">
        <v>65.900969525588295</v>
      </c>
      <c r="AM5980">
        <v>95.800842433759996</v>
      </c>
      <c r="AN5980">
        <v>0.99999996601110697</v>
      </c>
    </row>
    <row r="5981" spans="1:40" x14ac:dyDescent="0.25">
      <c r="A5981" t="str">
        <f>"20190304165006101"</f>
        <v>20190304165006101</v>
      </c>
      <c r="B5981" t="str">
        <f>"1551689406091995"</f>
        <v>1551689406091995</v>
      </c>
      <c r="C5981" t="s">
        <v>40</v>
      </c>
      <c r="D5981">
        <v>4.6170839999999904</v>
      </c>
      <c r="E5981">
        <v>0.54105000000000003</v>
      </c>
      <c r="F5981" t="s">
        <v>41</v>
      </c>
      <c r="G5981">
        <v>-372.80290000000002</v>
      </c>
      <c r="H5981">
        <v>0.98814400000000002</v>
      </c>
      <c r="I5981">
        <v>17.503139999999998</v>
      </c>
      <c r="J5981">
        <v>-373.4033</v>
      </c>
      <c r="K5981">
        <v>1.1106720000000001</v>
      </c>
      <c r="L5981">
        <v>17.479949999999999</v>
      </c>
      <c r="M5981">
        <v>0.99984430000000002</v>
      </c>
      <c r="N5981">
        <v>-1.139139E-2</v>
      </c>
      <c r="O5981">
        <v>-1.348618E-2</v>
      </c>
      <c r="P5981">
        <v>0.91384030000000005</v>
      </c>
      <c r="Q5981">
        <v>0.39806999999999998</v>
      </c>
      <c r="R5981">
        <v>8.0226019999999995E-2</v>
      </c>
      <c r="S5981">
        <v>3.4715579999999999</v>
      </c>
      <c r="T5981">
        <v>-0.44760440000000001</v>
      </c>
      <c r="U5981">
        <v>6.9305420000000006E-2</v>
      </c>
      <c r="V5981">
        <v>-9.2692730000000001E-2</v>
      </c>
      <c r="W5981">
        <v>0.40840690000000002</v>
      </c>
      <c r="X5981">
        <v>0.90808140000000004</v>
      </c>
      <c r="Y5981">
        <v>-3.3051730000000001E-2</v>
      </c>
      <c r="Z5981">
        <v>3.8893700000000001E-3</v>
      </c>
      <c r="AA5981">
        <v>0.9994461</v>
      </c>
      <c r="AB5981">
        <v>38</v>
      </c>
      <c r="AC5981">
        <v>0.60039999999997895</v>
      </c>
      <c r="AD5981">
        <v>-0.122527999999999</v>
      </c>
      <c r="AE5981">
        <v>2.31899999999996E-2</v>
      </c>
      <c r="AF5981">
        <v>-3.0036437355686701E-2</v>
      </c>
      <c r="AG5981">
        <v>-0.122527999999999</v>
      </c>
      <c r="AH5981">
        <v>0.57607620991448005</v>
      </c>
      <c r="AI5981">
        <v>101.99172195418799</v>
      </c>
      <c r="AJ5981">
        <v>92.984681707703103</v>
      </c>
      <c r="AK5981">
        <v>0.58972798643311297</v>
      </c>
      <c r="AL5981">
        <v>65.895201610995102</v>
      </c>
      <c r="AM5981">
        <v>95.828300470565196</v>
      </c>
      <c r="AN5981">
        <v>0.99999998359421105</v>
      </c>
    </row>
    <row r="5982" spans="1:40" x14ac:dyDescent="0.25">
      <c r="A5982" t="str">
        <f>"20190304165006112"</f>
        <v>20190304165006112</v>
      </c>
      <c r="B5982" t="str">
        <f>"1551689406101282"</f>
        <v>1551689406101282</v>
      </c>
      <c r="C5982" t="s">
        <v>40</v>
      </c>
      <c r="D5982">
        <v>4.5674400000000004</v>
      </c>
      <c r="E5982">
        <v>0.54110329999999995</v>
      </c>
      <c r="F5982" t="s">
        <v>41</v>
      </c>
      <c r="G5982">
        <v>-372.46069999999997</v>
      </c>
      <c r="H5982">
        <v>0.98985109999999998</v>
      </c>
      <c r="I5982">
        <v>17.499009999999998</v>
      </c>
      <c r="J5982">
        <v>-373.2097</v>
      </c>
      <c r="K5982">
        <v>1.110684</v>
      </c>
      <c r="L5982">
        <v>17.477419999999999</v>
      </c>
      <c r="M5982">
        <v>0.99984490000000004</v>
      </c>
      <c r="N5982">
        <v>-1.1437599999999999E-2</v>
      </c>
      <c r="O5982">
        <v>-1.3387E-2</v>
      </c>
      <c r="P5982">
        <v>0.91389500000000001</v>
      </c>
      <c r="Q5982">
        <v>0.39793200000000001</v>
      </c>
      <c r="R5982">
        <v>8.0287949999999997E-2</v>
      </c>
      <c r="S5982">
        <v>3.4704589999999902</v>
      </c>
      <c r="T5982">
        <v>-0.4448819</v>
      </c>
      <c r="U5982">
        <v>7.0526119999999998E-2</v>
      </c>
      <c r="V5982">
        <v>-9.2675060000000004E-2</v>
      </c>
      <c r="W5982">
        <v>0.4083098</v>
      </c>
      <c r="X5982">
        <v>0.90812689999999996</v>
      </c>
      <c r="Y5982">
        <v>-3.3313080000000002E-2</v>
      </c>
      <c r="Z5982">
        <v>3.874097E-3</v>
      </c>
      <c r="AA5982">
        <v>0.99943749999999998</v>
      </c>
      <c r="AB5982">
        <v>38</v>
      </c>
      <c r="AC5982">
        <v>0.74900000000002298</v>
      </c>
      <c r="AD5982">
        <v>-0.12083289999999899</v>
      </c>
      <c r="AE5982">
        <v>2.15899999999997E-2</v>
      </c>
      <c r="AF5982">
        <v>-3.08142792990788E-2</v>
      </c>
      <c r="AG5982">
        <v>-0.12083289999999899</v>
      </c>
      <c r="AH5982">
        <v>0.729669251913032</v>
      </c>
      <c r="AI5982">
        <v>99.394599115226399</v>
      </c>
      <c r="AJ5982">
        <v>92.418191138359305</v>
      </c>
      <c r="AK5982">
        <v>0.74024815212093198</v>
      </c>
      <c r="AL5982">
        <v>65.901297115202695</v>
      </c>
      <c r="AM5982">
        <v>95.826907117190402</v>
      </c>
      <c r="AN5982">
        <v>1.0000000130128199</v>
      </c>
    </row>
    <row r="5983" spans="1:40" x14ac:dyDescent="0.25">
      <c r="A5983" t="str">
        <f>"20190304165006124"</f>
        <v>20190304165006124</v>
      </c>
      <c r="B5983" t="str">
        <f>"1551689406112019"</f>
        <v>1551689406112019</v>
      </c>
      <c r="C5983" t="s">
        <v>40</v>
      </c>
      <c r="D5983">
        <v>4.5884109999999998</v>
      </c>
      <c r="E5983">
        <v>0.54109030000000002</v>
      </c>
      <c r="F5983" t="s">
        <v>41</v>
      </c>
      <c r="G5983">
        <v>-372.45</v>
      </c>
      <c r="H5983">
        <v>1.012853</v>
      </c>
      <c r="I5983">
        <v>17.492829999999898</v>
      </c>
      <c r="J5983">
        <v>-373.01920000000001</v>
      </c>
      <c r="K5983">
        <v>1.1107020000000001</v>
      </c>
      <c r="L5983">
        <v>17.474979999999999</v>
      </c>
      <c r="M5983">
        <v>0.99984580000000001</v>
      </c>
      <c r="N5983">
        <v>-1.1487600000000001E-2</v>
      </c>
      <c r="O5983">
        <v>-1.3280810000000001E-2</v>
      </c>
      <c r="P5983">
        <v>0.91393959999999996</v>
      </c>
      <c r="Q5983">
        <v>0.39780219999999999</v>
      </c>
      <c r="R5983">
        <v>8.0424170000000003E-2</v>
      </c>
      <c r="S5983">
        <v>3.4710999999999999</v>
      </c>
      <c r="T5983">
        <v>-0.44701150000000001</v>
      </c>
      <c r="U5983">
        <v>7.0861820000000006E-2</v>
      </c>
      <c r="V5983">
        <v>-9.2724899999999999E-2</v>
      </c>
      <c r="W5983">
        <v>0.40822320000000001</v>
      </c>
      <c r="X5983">
        <v>0.90816070000000004</v>
      </c>
      <c r="Y5983">
        <v>-3.3297109999999998E-2</v>
      </c>
      <c r="Z5983">
        <v>3.8782600000000001E-3</v>
      </c>
      <c r="AA5983">
        <v>0.99943800000000005</v>
      </c>
      <c r="AB5983">
        <v>38</v>
      </c>
      <c r="AC5983">
        <v>0.56920000000002302</v>
      </c>
      <c r="AD5983">
        <v>-9.7849000000000005E-2</v>
      </c>
      <c r="AE5983">
        <v>1.78499999999992E-2</v>
      </c>
      <c r="AF5983">
        <v>-2.4679748666793799E-2</v>
      </c>
      <c r="AG5983">
        <v>-9.7849000000000005E-2</v>
      </c>
      <c r="AH5983">
        <v>0.55259851385162595</v>
      </c>
      <c r="AI5983">
        <v>100.03152503620601</v>
      </c>
      <c r="AJ5983">
        <v>92.557202672543596</v>
      </c>
      <c r="AK5983">
        <v>0.56173715766920895</v>
      </c>
      <c r="AL5983">
        <v>65.906731522643398</v>
      </c>
      <c r="AM5983">
        <v>95.829803720006694</v>
      </c>
      <c r="AN5983">
        <v>0.99999997256136897</v>
      </c>
    </row>
    <row r="5984" spans="1:40" x14ac:dyDescent="0.25">
      <c r="A5984" t="str">
        <f>"20190304165006134"</f>
        <v>20190304165006134</v>
      </c>
      <c r="B5984" t="str">
        <f>"1551689406131539"</f>
        <v>1551689406131539</v>
      </c>
      <c r="C5984" t="s">
        <v>40</v>
      </c>
      <c r="D5984">
        <v>4.6647889999999999</v>
      </c>
      <c r="E5984">
        <v>0.5411745</v>
      </c>
      <c r="F5984" t="s">
        <v>41</v>
      </c>
      <c r="G5984">
        <v>-372.11750000000001</v>
      </c>
      <c r="H5984">
        <v>0.99396370000000001</v>
      </c>
      <c r="I5984">
        <v>17.493300000000001</v>
      </c>
      <c r="J5984">
        <v>-372.83229999999998</v>
      </c>
      <c r="K5984">
        <v>1.110722</v>
      </c>
      <c r="L5984">
        <v>17.472560000000001</v>
      </c>
      <c r="M5984">
        <v>0.99984660000000003</v>
      </c>
      <c r="N5984">
        <v>-1.153789E-2</v>
      </c>
      <c r="O5984">
        <v>-1.317402E-2</v>
      </c>
      <c r="P5984">
        <v>0.91394730000000002</v>
      </c>
      <c r="Q5984">
        <v>0.39776339999999999</v>
      </c>
      <c r="R5984">
        <v>8.0526059999999997E-2</v>
      </c>
      <c r="S5984">
        <v>3.4717709999999999</v>
      </c>
      <c r="T5984">
        <v>-0.44950259999999997</v>
      </c>
      <c r="U5984">
        <v>7.1990970000000001E-2</v>
      </c>
      <c r="V5984">
        <v>-9.27394E-2</v>
      </c>
      <c r="W5984">
        <v>0.40822789999999998</v>
      </c>
      <c r="X5984">
        <v>0.90815710000000005</v>
      </c>
      <c r="Y5984">
        <v>-3.3506000000000001E-2</v>
      </c>
      <c r="Z5984">
        <v>3.9010490000000002E-3</v>
      </c>
      <c r="AA5984">
        <v>0.99943090000000001</v>
      </c>
      <c r="AB5984">
        <v>38</v>
      </c>
      <c r="AC5984">
        <v>0.71479999999996802</v>
      </c>
      <c r="AD5984">
        <v>-0.1167583</v>
      </c>
      <c r="AE5984">
        <v>2.0739999999999901E-2</v>
      </c>
      <c r="AF5984">
        <v>-2.9372578372125299E-2</v>
      </c>
      <c r="AG5984">
        <v>-0.1167583</v>
      </c>
      <c r="AH5984">
        <v>0.69591250494284795</v>
      </c>
      <c r="AI5984">
        <v>99.515906928530796</v>
      </c>
      <c r="AJ5984">
        <v>92.416864875138799</v>
      </c>
      <c r="AK5984">
        <v>0.70625028390432998</v>
      </c>
      <c r="AL5984">
        <v>65.906436377139997</v>
      </c>
      <c r="AM5984">
        <v>95.830732038140596</v>
      </c>
      <c r="AN5984">
        <v>0.99999996646558897</v>
      </c>
    </row>
    <row r="5985" spans="1:40" x14ac:dyDescent="0.25">
      <c r="A5985" t="str">
        <f>"20190304165006146"</f>
        <v>20190304165006146</v>
      </c>
      <c r="B5985" t="str">
        <f>"1551689406141299"</f>
        <v>1551689406141299</v>
      </c>
      <c r="C5985" t="s">
        <v>40</v>
      </c>
      <c r="D5985">
        <v>4.6868689999999997</v>
      </c>
      <c r="E5985">
        <v>0.54126149999999995</v>
      </c>
      <c r="F5985" t="s">
        <v>41</v>
      </c>
      <c r="G5985">
        <v>-372.1071</v>
      </c>
      <c r="H5985">
        <v>1.01616</v>
      </c>
      <c r="I5985">
        <v>17.487310000000001</v>
      </c>
      <c r="J5985">
        <v>-372.65499999999997</v>
      </c>
      <c r="K5985">
        <v>1.1107400000000001</v>
      </c>
      <c r="L5985">
        <v>17.47034</v>
      </c>
      <c r="M5985">
        <v>0.99984740000000005</v>
      </c>
      <c r="N5985">
        <v>-1.159756E-2</v>
      </c>
      <c r="O5985">
        <v>-1.3067179999999999E-2</v>
      </c>
      <c r="P5985">
        <v>0.91388729999999996</v>
      </c>
      <c r="Q5985">
        <v>0.39790579999999998</v>
      </c>
      <c r="R5985">
        <v>8.050504E-2</v>
      </c>
      <c r="S5985">
        <v>3.473236</v>
      </c>
      <c r="T5985">
        <v>-0.452903</v>
      </c>
      <c r="U5985">
        <v>7.2418209999999997E-2</v>
      </c>
      <c r="V5985">
        <v>-9.2628799999999997E-2</v>
      </c>
      <c r="W5985">
        <v>0.40842250000000002</v>
      </c>
      <c r="X5985">
        <v>0.90808089999999997</v>
      </c>
      <c r="Y5985">
        <v>-3.3508459999999997E-2</v>
      </c>
      <c r="Z5985">
        <v>3.9161430000000004E-3</v>
      </c>
      <c r="AA5985">
        <v>0.99943079999999995</v>
      </c>
      <c r="AB5985">
        <v>38</v>
      </c>
      <c r="AC5985">
        <v>0.54789999999996997</v>
      </c>
      <c r="AD5985">
        <v>-9.4580000000000095E-2</v>
      </c>
      <c r="AE5985">
        <v>1.6970000000000499E-2</v>
      </c>
      <c r="AF5985">
        <v>-2.3430998069509299E-2</v>
      </c>
      <c r="AG5985">
        <v>-9.4580000000000095E-2</v>
      </c>
      <c r="AH5985">
        <v>0.53179974346106496</v>
      </c>
      <c r="AI5985">
        <v>100.074974319215</v>
      </c>
      <c r="AJ5985">
        <v>92.522809780848604</v>
      </c>
      <c r="AK5985">
        <v>0.54065271220607802</v>
      </c>
      <c r="AL5985">
        <v>65.894222238238299</v>
      </c>
      <c r="AM5985">
        <v>95.824311531858697</v>
      </c>
      <c r="AN5985">
        <v>0.99999997702024901</v>
      </c>
    </row>
    <row r="5986" spans="1:40" x14ac:dyDescent="0.25">
      <c r="A5986" t="str">
        <f>"20190304165006156"</f>
        <v>20190304165006156</v>
      </c>
      <c r="B5986" t="str">
        <f>"1551689406152035"</f>
        <v>1551689406152035</v>
      </c>
      <c r="C5986" t="s">
        <v>40</v>
      </c>
      <c r="D5986">
        <v>4.7911919999999997</v>
      </c>
      <c r="E5986">
        <v>0.54122309999999996</v>
      </c>
      <c r="F5986" t="s">
        <v>41</v>
      </c>
      <c r="G5986">
        <v>-371.77550000000002</v>
      </c>
      <c r="H5986">
        <v>0.99588759999999998</v>
      </c>
      <c r="I5986">
        <v>17.488589999999999</v>
      </c>
      <c r="J5986">
        <v>-372.46050000000002</v>
      </c>
      <c r="K5986">
        <v>1.1107629999999999</v>
      </c>
      <c r="L5986">
        <v>17.4679</v>
      </c>
      <c r="M5986">
        <v>0.99984819999999996</v>
      </c>
      <c r="N5986">
        <v>-1.166584E-2</v>
      </c>
      <c r="O5986">
        <v>-1.294965E-2</v>
      </c>
      <c r="P5986">
        <v>0.91382129999999995</v>
      </c>
      <c r="Q5986">
        <v>0.39800439999999998</v>
      </c>
      <c r="R5986">
        <v>8.0768409999999999E-2</v>
      </c>
      <c r="S5986">
        <v>3.4738769999999999</v>
      </c>
      <c r="T5986">
        <v>-0.4536598</v>
      </c>
      <c r="U5986">
        <v>7.1655269999999993E-2</v>
      </c>
      <c r="V5986">
        <v>-9.2793959999999995E-2</v>
      </c>
      <c r="W5986">
        <v>0.4085801</v>
      </c>
      <c r="X5986">
        <v>0.90799319999999895</v>
      </c>
      <c r="Y5986">
        <v>-3.3170480000000002E-2</v>
      </c>
      <c r="Z5986">
        <v>3.8842500000000001E-3</v>
      </c>
      <c r="AA5986">
        <v>0.99944219999999895</v>
      </c>
      <c r="AB5986">
        <v>38</v>
      </c>
      <c r="AC5986">
        <v>0.68500000000000205</v>
      </c>
      <c r="AD5986">
        <v>-0.114875399999999</v>
      </c>
      <c r="AE5986">
        <v>2.06899999999983E-2</v>
      </c>
      <c r="AF5986">
        <v>-2.8751515043817701E-2</v>
      </c>
      <c r="AG5986">
        <v>-0.114875399999999</v>
      </c>
      <c r="AH5986">
        <v>0.66596233428502105</v>
      </c>
      <c r="AI5986">
        <v>99.778012138199202</v>
      </c>
      <c r="AJ5986">
        <v>92.472088935715405</v>
      </c>
      <c r="AK5986">
        <v>0.67640878012399397</v>
      </c>
      <c r="AL5986">
        <v>65.884330810956598</v>
      </c>
      <c r="AM5986">
        <v>95.835184533788805</v>
      </c>
      <c r="AN5986">
        <v>1.0000000341873601</v>
      </c>
    </row>
    <row r="5987" spans="1:40" x14ac:dyDescent="0.25">
      <c r="A5987" t="str">
        <f>"20190304165006168"</f>
        <v>20190304165006168</v>
      </c>
      <c r="B5987" t="str">
        <f>"1551689406161795"</f>
        <v>1551689406161795</v>
      </c>
      <c r="C5987" t="s">
        <v>40</v>
      </c>
      <c r="D5987">
        <v>4.7297219999999998</v>
      </c>
      <c r="E5987">
        <v>0.5413135</v>
      </c>
      <c r="F5987" t="s">
        <v>41</v>
      </c>
      <c r="G5987">
        <v>-371.44299999999998</v>
      </c>
      <c r="H5987">
        <v>0.97757760000000005</v>
      </c>
      <c r="I5987">
        <v>17.488769999999999</v>
      </c>
      <c r="J5987">
        <v>-372.25569999999999</v>
      </c>
      <c r="K5987">
        <v>1.1107899999999999</v>
      </c>
      <c r="L5987">
        <v>17.46536</v>
      </c>
      <c r="M5987">
        <v>0.99984870000000003</v>
      </c>
      <c r="N5987">
        <v>-1.1754819999999999E-2</v>
      </c>
      <c r="O5987">
        <v>-1.282498E-2</v>
      </c>
      <c r="P5987">
        <v>0.91385970000000005</v>
      </c>
      <c r="Q5987">
        <v>0.39790579999999998</v>
      </c>
      <c r="R5987">
        <v>8.0816659999999998E-2</v>
      </c>
      <c r="S5987">
        <v>3.4745789999999999</v>
      </c>
      <c r="T5987">
        <v>-0.4548336</v>
      </c>
      <c r="U5987">
        <v>7.2967530000000003E-2</v>
      </c>
      <c r="V5987">
        <v>-9.2737239999999999E-2</v>
      </c>
      <c r="W5987">
        <v>0.4085609</v>
      </c>
      <c r="X5987">
        <v>0.90800760000000003</v>
      </c>
      <c r="Y5987">
        <v>-3.3415670000000001E-2</v>
      </c>
      <c r="Z5987">
        <v>3.8962990000000002E-3</v>
      </c>
      <c r="AA5987">
        <v>0.99943389999999999</v>
      </c>
      <c r="AB5987">
        <v>38</v>
      </c>
      <c r="AC5987">
        <v>0.81269999999994902</v>
      </c>
      <c r="AD5987">
        <v>-0.13321240000000001</v>
      </c>
      <c r="AE5987">
        <v>2.3410000000001902E-2</v>
      </c>
      <c r="AF5987">
        <v>-3.2947177888140299E-2</v>
      </c>
      <c r="AG5987">
        <v>-0.13321240000000001</v>
      </c>
      <c r="AH5987">
        <v>0.79109568136629704</v>
      </c>
      <c r="AI5987">
        <v>99.550225915528202</v>
      </c>
      <c r="AJ5987">
        <v>92.384849245693204</v>
      </c>
      <c r="AK5987">
        <v>0.80290935797321294</v>
      </c>
      <c r="AL5987">
        <v>65.885535281996397</v>
      </c>
      <c r="AM5987">
        <v>95.831550539966301</v>
      </c>
      <c r="AN5987">
        <v>1.0000000031746901</v>
      </c>
    </row>
    <row r="5988" spans="1:40" x14ac:dyDescent="0.25">
      <c r="A5988" t="str">
        <f>"20190304165006180"</f>
        <v>20190304165006180</v>
      </c>
      <c r="B5988" t="str">
        <f>"1551689406171555"</f>
        <v>1551689406171555</v>
      </c>
      <c r="C5988" t="s">
        <v>40</v>
      </c>
      <c r="D5988">
        <v>4.6767560000000001</v>
      </c>
      <c r="E5988">
        <v>0.54131109999999905</v>
      </c>
      <c r="F5988" t="s">
        <v>41</v>
      </c>
      <c r="G5988">
        <v>-371.4314</v>
      </c>
      <c r="H5988">
        <v>1.002437</v>
      </c>
      <c r="I5988">
        <v>17.48218</v>
      </c>
      <c r="J5988">
        <v>-372.05829999999997</v>
      </c>
      <c r="K5988">
        <v>1.110814</v>
      </c>
      <c r="L5988">
        <v>17.462949999999999</v>
      </c>
      <c r="M5988">
        <v>0.99984919999999999</v>
      </c>
      <c r="N5988">
        <v>-1.184668E-2</v>
      </c>
      <c r="O5988">
        <v>-1.270251E-2</v>
      </c>
      <c r="P5988">
        <v>0.91386789999999996</v>
      </c>
      <c r="Q5988">
        <v>0.39789459999999999</v>
      </c>
      <c r="R5988">
        <v>8.0780599999999994E-2</v>
      </c>
      <c r="S5988">
        <v>3.4752809999999998</v>
      </c>
      <c r="T5988">
        <v>-0.45693279999999997</v>
      </c>
      <c r="U5988">
        <v>7.2967530000000003E-2</v>
      </c>
      <c r="V5988">
        <v>-9.2595899999999995E-2</v>
      </c>
      <c r="W5988">
        <v>0.40863189999999999</v>
      </c>
      <c r="X5988">
        <v>0.90799010000000002</v>
      </c>
      <c r="Y5988">
        <v>-3.3287539999999997E-2</v>
      </c>
      <c r="Z5988">
        <v>3.889783E-3</v>
      </c>
      <c r="AA5988">
        <v>0.99943820000000005</v>
      </c>
      <c r="AB5988">
        <v>38</v>
      </c>
      <c r="AC5988">
        <v>0.62689999999997703</v>
      </c>
      <c r="AD5988">
        <v>-0.108376999999999</v>
      </c>
      <c r="AE5988">
        <v>1.9230000000000299E-2</v>
      </c>
      <c r="AF5988">
        <v>-2.6403829154908302E-2</v>
      </c>
      <c r="AG5988">
        <v>-0.108376999999999</v>
      </c>
      <c r="AH5988">
        <v>0.60843802809879499</v>
      </c>
      <c r="AI5988">
        <v>100.09048684743701</v>
      </c>
      <c r="AJ5988">
        <v>92.484853530791199</v>
      </c>
      <c r="AK5988">
        <v>0.61857866949951601</v>
      </c>
      <c r="AL5988">
        <v>65.881078837130801</v>
      </c>
      <c r="AM5988">
        <v>95.822835292139203</v>
      </c>
      <c r="AN5988">
        <v>1.0000000260462101</v>
      </c>
    </row>
    <row r="5989" spans="1:40" x14ac:dyDescent="0.25">
      <c r="A5989" t="str">
        <f>"20190304165006191"</f>
        <v>20190304165006191</v>
      </c>
      <c r="B5989" t="str">
        <f>"1551689406181315"</f>
        <v>1551689406181315</v>
      </c>
      <c r="C5989" t="s">
        <v>40</v>
      </c>
      <c r="D5989">
        <v>4.6935520000000004</v>
      </c>
      <c r="E5989">
        <v>0.54135390000000005</v>
      </c>
      <c r="F5989" t="s">
        <v>41</v>
      </c>
      <c r="G5989">
        <v>-371.0992</v>
      </c>
      <c r="H5989">
        <v>0.98399769999999998</v>
      </c>
      <c r="I5989">
        <v>17.483079999999902</v>
      </c>
      <c r="J5989">
        <v>-371.86110000000002</v>
      </c>
      <c r="K5989">
        <v>1.110841</v>
      </c>
      <c r="L5989">
        <v>17.460599999999999</v>
      </c>
      <c r="M5989">
        <v>0.99984960000000001</v>
      </c>
      <c r="N5989">
        <v>-1.194629E-2</v>
      </c>
      <c r="O5989">
        <v>-1.2577130000000001E-2</v>
      </c>
      <c r="P5989">
        <v>0.91385150000000004</v>
      </c>
      <c r="Q5989">
        <v>0.39793679999999998</v>
      </c>
      <c r="R5989">
        <v>8.0758200000000002E-2</v>
      </c>
      <c r="S5989">
        <v>3.47641</v>
      </c>
      <c r="T5989">
        <v>-0.4597464</v>
      </c>
      <c r="U5989">
        <v>7.3577879999999998E-2</v>
      </c>
      <c r="V5989">
        <v>-9.2463069999999994E-2</v>
      </c>
      <c r="W5989">
        <v>0.40876370000000001</v>
      </c>
      <c r="X5989">
        <v>0.90794430000000004</v>
      </c>
      <c r="Y5989">
        <v>-3.3326630000000003E-2</v>
      </c>
      <c r="Z5989">
        <v>3.9001999999999999E-3</v>
      </c>
      <c r="AA5989">
        <v>0.99943689999999996</v>
      </c>
      <c r="AB5989">
        <v>38</v>
      </c>
      <c r="AC5989">
        <v>0.761900000000025</v>
      </c>
      <c r="AD5989">
        <v>-0.12684329999999999</v>
      </c>
      <c r="AE5989">
        <v>2.2479999999998002E-2</v>
      </c>
      <c r="AF5989">
        <v>-3.1197485839858999E-2</v>
      </c>
      <c r="AG5989">
        <v>-0.12684329999999999</v>
      </c>
      <c r="AH5989">
        <v>0.74103588386433805</v>
      </c>
      <c r="AI5989">
        <v>99.7047670914978</v>
      </c>
      <c r="AJ5989">
        <v>92.410719085737298</v>
      </c>
      <c r="AK5989">
        <v>0.75246042224971399</v>
      </c>
      <c r="AL5989">
        <v>65.872804431983397</v>
      </c>
      <c r="AM5989">
        <v>95.814830929859497</v>
      </c>
      <c r="AN5989">
        <v>1.000000016827</v>
      </c>
    </row>
    <row r="5990" spans="1:40" x14ac:dyDescent="0.25">
      <c r="A5990" t="str">
        <f>"20190304165006202"</f>
        <v>20190304165006202</v>
      </c>
      <c r="B5990" t="str">
        <f>"1551689406192050"</f>
        <v>1551689406192050</v>
      </c>
      <c r="C5990" t="s">
        <v>40</v>
      </c>
      <c r="D5990">
        <v>4.7194770000000004</v>
      </c>
      <c r="E5990">
        <v>0.54135390000000005</v>
      </c>
      <c r="F5990" t="s">
        <v>41</v>
      </c>
      <c r="G5990">
        <v>-371.08789999999999</v>
      </c>
      <c r="H5990">
        <v>1.0084059999999999</v>
      </c>
      <c r="I5990">
        <v>17.476749999999999</v>
      </c>
      <c r="J5990">
        <v>-371.68119999999999</v>
      </c>
      <c r="K5990">
        <v>1.110862</v>
      </c>
      <c r="L5990">
        <v>17.458400000000001</v>
      </c>
      <c r="M5990">
        <v>0.99984989999999996</v>
      </c>
      <c r="N5990">
        <v>-1.20445E-2</v>
      </c>
      <c r="O5990">
        <v>-1.245893E-2</v>
      </c>
      <c r="P5990">
        <v>0.91404929999999995</v>
      </c>
      <c r="Q5990">
        <v>0.39748</v>
      </c>
      <c r="R5990">
        <v>8.0768850000000003E-2</v>
      </c>
      <c r="S5990">
        <v>3.4768979999999998</v>
      </c>
      <c r="T5990">
        <v>-0.46065879999999998</v>
      </c>
      <c r="U5990">
        <v>7.3394780000000007E-2</v>
      </c>
      <c r="V5990">
        <v>-9.2369660000000006E-2</v>
      </c>
      <c r="W5990">
        <v>0.40839809999999999</v>
      </c>
      <c r="X5990">
        <v>0.90811830000000004</v>
      </c>
      <c r="Y5990">
        <v>-3.315386E-2</v>
      </c>
      <c r="Z5990">
        <v>3.8810479999999998E-3</v>
      </c>
      <c r="AA5990">
        <v>0.99944270000000002</v>
      </c>
      <c r="AB5990">
        <v>38</v>
      </c>
      <c r="AC5990">
        <v>0.59329999999999905</v>
      </c>
      <c r="AD5990">
        <v>-0.10245600000000001</v>
      </c>
      <c r="AE5990">
        <v>1.8349999999998E-2</v>
      </c>
      <c r="AF5990">
        <v>-2.4996285962954699E-2</v>
      </c>
      <c r="AG5990">
        <v>-0.10245600000000001</v>
      </c>
      <c r="AH5990">
        <v>0.57586858688528797</v>
      </c>
      <c r="AI5990">
        <v>100.078956440711</v>
      </c>
      <c r="AJ5990">
        <v>92.485433793178103</v>
      </c>
      <c r="AK5990">
        <v>0.585445706798846</v>
      </c>
      <c r="AL5990">
        <v>65.895754514796394</v>
      </c>
      <c r="AM5990">
        <v>95.807891318157999</v>
      </c>
      <c r="AN5990">
        <v>1.0000000044835</v>
      </c>
    </row>
    <row r="5991" spans="1:40" x14ac:dyDescent="0.25">
      <c r="A5991" t="str">
        <f>"20190304165006213"</f>
        <v>20190304165006213</v>
      </c>
      <c r="B5991" t="str">
        <f>"1551689406201811"</f>
        <v>1551689406201811</v>
      </c>
      <c r="C5991" t="s">
        <v>40</v>
      </c>
      <c r="D5991">
        <v>4.6930680000000002</v>
      </c>
      <c r="E5991">
        <v>0.542157</v>
      </c>
      <c r="F5991" t="s">
        <v>41</v>
      </c>
      <c r="G5991">
        <v>-370.75689999999997</v>
      </c>
      <c r="H5991">
        <v>0.98795820000000001</v>
      </c>
      <c r="I5991">
        <v>17.477620000000002</v>
      </c>
      <c r="J5991">
        <v>-371.48309999999998</v>
      </c>
      <c r="K5991">
        <v>1.1108830000000001</v>
      </c>
      <c r="L5991">
        <v>17.45609</v>
      </c>
      <c r="M5991">
        <v>0.99985020000000002</v>
      </c>
      <c r="N5991">
        <v>-1.215636E-2</v>
      </c>
      <c r="O5991">
        <v>-1.232712E-2</v>
      </c>
      <c r="P5991">
        <v>0.91408180000000006</v>
      </c>
      <c r="Q5991">
        <v>0.39737670000000003</v>
      </c>
      <c r="R5991">
        <v>8.0907899999999894E-2</v>
      </c>
      <c r="S5991">
        <v>3.4766539999999999</v>
      </c>
      <c r="T5991">
        <v>-0.46230860000000001</v>
      </c>
      <c r="U5991">
        <v>7.3211670000000006E-2</v>
      </c>
      <c r="V5991">
        <v>-9.2389639999999995E-2</v>
      </c>
      <c r="W5991">
        <v>0.4083968</v>
      </c>
      <c r="X5991">
        <v>0.90811679999999995</v>
      </c>
      <c r="Y5991">
        <v>-3.2970699999999999E-2</v>
      </c>
      <c r="Z5991">
        <v>3.8663059999999999E-3</v>
      </c>
      <c r="AA5991">
        <v>0.99944880000000003</v>
      </c>
      <c r="AB5991">
        <v>38</v>
      </c>
      <c r="AC5991">
        <v>0.72620000000000495</v>
      </c>
      <c r="AD5991">
        <v>-0.1229248</v>
      </c>
      <c r="AE5991">
        <v>2.1530000000001999E-2</v>
      </c>
      <c r="AF5991">
        <v>-2.9632667039988E-2</v>
      </c>
      <c r="AG5991">
        <v>-0.1229248</v>
      </c>
      <c r="AH5991">
        <v>0.70567753593994098</v>
      </c>
      <c r="AI5991">
        <v>99.8729025746714</v>
      </c>
      <c r="AJ5991">
        <v>92.404540024310805</v>
      </c>
      <c r="AK5991">
        <v>0.716916582414725</v>
      </c>
      <c r="AL5991">
        <v>65.895834900717603</v>
      </c>
      <c r="AM5991">
        <v>95.809148531840194</v>
      </c>
      <c r="AN5991">
        <v>0.99999995713590395</v>
      </c>
    </row>
    <row r="5992" spans="1:40" x14ac:dyDescent="0.25">
      <c r="A5992" t="str">
        <f>"20190304165006226"</f>
        <v>20190304165006226</v>
      </c>
      <c r="B5992" t="str">
        <f>"1551689406221330"</f>
        <v>1551689406221330</v>
      </c>
      <c r="C5992" t="s">
        <v>40</v>
      </c>
      <c r="D5992">
        <v>4.7489210000000002</v>
      </c>
      <c r="E5992">
        <v>0.54327829999999999</v>
      </c>
      <c r="F5992" t="s">
        <v>41</v>
      </c>
      <c r="G5992">
        <v>-370.74520000000001</v>
      </c>
      <c r="H5992">
        <v>1.0131950000000001</v>
      </c>
      <c r="I5992">
        <v>17.46997</v>
      </c>
      <c r="J5992">
        <v>-371.28609999999998</v>
      </c>
      <c r="K5992">
        <v>1.1109</v>
      </c>
      <c r="L5992">
        <v>17.453769999999999</v>
      </c>
      <c r="M5992">
        <v>0.99985040000000003</v>
      </c>
      <c r="N5992">
        <v>-1.227845E-2</v>
      </c>
      <c r="O5992">
        <v>-1.219228E-2</v>
      </c>
      <c r="P5992">
        <v>0.91398270000000004</v>
      </c>
      <c r="Q5992">
        <v>0.39758909999999997</v>
      </c>
      <c r="R5992">
        <v>8.0985899999999902E-2</v>
      </c>
      <c r="S5992">
        <v>3.476105</v>
      </c>
      <c r="T5992">
        <v>-0.4601594</v>
      </c>
      <c r="U5992">
        <v>6.6558839999999994E-2</v>
      </c>
      <c r="V5992">
        <v>-9.2343889999999998E-2</v>
      </c>
      <c r="W5992">
        <v>0.4087189</v>
      </c>
      <c r="X5992">
        <v>0.90797660000000002</v>
      </c>
      <c r="Y5992">
        <v>-3.095086E-2</v>
      </c>
      <c r="Z5992">
        <v>3.6882120000000002E-3</v>
      </c>
      <c r="AA5992">
        <v>0.99951409999999996</v>
      </c>
      <c r="AB5992">
        <v>38</v>
      </c>
      <c r="AC5992">
        <v>0.54089999999996496</v>
      </c>
      <c r="AD5992">
        <v>-9.7704999999999903E-2</v>
      </c>
      <c r="AE5992">
        <v>1.6199999999997699E-2</v>
      </c>
      <c r="AF5992">
        <v>-2.2074480504656799E-2</v>
      </c>
      <c r="AG5992">
        <v>-9.7704999999999903E-2</v>
      </c>
      <c r="AH5992">
        <v>0.52359340468849003</v>
      </c>
      <c r="AI5992">
        <v>100.56092337232</v>
      </c>
      <c r="AJ5992">
        <v>92.414136627797006</v>
      </c>
      <c r="AK5992">
        <v>0.53308873853030903</v>
      </c>
      <c r="AL5992">
        <v>65.875617029542994</v>
      </c>
      <c r="AM5992">
        <v>95.807182003415207</v>
      </c>
      <c r="AN5992">
        <v>1.00000001969255</v>
      </c>
    </row>
    <row r="5993" spans="1:40" x14ac:dyDescent="0.25">
      <c r="A5993" t="str">
        <f>"20190304165006238"</f>
        <v>20190304165006238</v>
      </c>
      <c r="B5993" t="str">
        <f>"1551689406232066"</f>
        <v>1551689406232066</v>
      </c>
      <c r="C5993" t="s">
        <v>40</v>
      </c>
      <c r="D5993">
        <v>4.7532819999999996</v>
      </c>
      <c r="E5993">
        <v>0.543709</v>
      </c>
      <c r="F5993" t="s">
        <v>41</v>
      </c>
      <c r="G5993">
        <v>-370.41370000000001</v>
      </c>
      <c r="H5993">
        <v>0.99498509999999996</v>
      </c>
      <c r="I5993">
        <v>17.467939999999999</v>
      </c>
      <c r="J5993">
        <v>-371.07420000000002</v>
      </c>
      <c r="K5993">
        <v>1.1109260000000001</v>
      </c>
      <c r="L5993">
        <v>17.45129</v>
      </c>
      <c r="M5993">
        <v>0.99985049999999998</v>
      </c>
      <c r="N5993">
        <v>-1.241337E-2</v>
      </c>
      <c r="O5993">
        <v>-1.2046919999999999E-2</v>
      </c>
      <c r="P5993">
        <v>0.91389739999999997</v>
      </c>
      <c r="Q5993">
        <v>0.39776590000000001</v>
      </c>
      <c r="R5993">
        <v>8.108021E-2</v>
      </c>
      <c r="S5993">
        <v>3.4783629999999999</v>
      </c>
      <c r="T5993">
        <v>-0.46227249999999998</v>
      </c>
      <c r="U5993">
        <v>5.7342530000000003E-2</v>
      </c>
      <c r="V5993">
        <v>-9.2304800000000006E-2</v>
      </c>
      <c r="W5993">
        <v>0.40901739999999998</v>
      </c>
      <c r="X5993">
        <v>0.90784620000000005</v>
      </c>
      <c r="Y5993">
        <v>-2.8170259999999999E-2</v>
      </c>
      <c r="Z5993">
        <v>3.484268E-3</v>
      </c>
      <c r="AA5993">
        <v>0.99959710000000002</v>
      </c>
      <c r="AB5993">
        <v>38</v>
      </c>
      <c r="AC5993">
        <v>0.66050000000001297</v>
      </c>
      <c r="AD5993">
        <v>-0.1159409</v>
      </c>
      <c r="AE5993">
        <v>1.6649999999998499E-2</v>
      </c>
      <c r="AF5993">
        <v>-2.3871325019064402E-2</v>
      </c>
      <c r="AG5993">
        <v>-0.1159409</v>
      </c>
      <c r="AH5993">
        <v>0.64052770494994005</v>
      </c>
      <c r="AI5993">
        <v>100.252961467638</v>
      </c>
      <c r="AJ5993">
        <v>92.134323731612994</v>
      </c>
      <c r="AK5993">
        <v>0.65137383525853498</v>
      </c>
      <c r="AL5993">
        <v>65.856877360856501</v>
      </c>
      <c r="AM5993">
        <v>95.805568639792199</v>
      </c>
      <c r="AN5993">
        <v>1.0000000662301101</v>
      </c>
    </row>
    <row r="5994" spans="1:40" x14ac:dyDescent="0.25">
      <c r="A5994" t="str">
        <f>"20190304165006250"</f>
        <v>20190304165006250</v>
      </c>
      <c r="B5994" t="str">
        <f>"1551689406241827"</f>
        <v>1551689406241827</v>
      </c>
      <c r="C5994" t="s">
        <v>40</v>
      </c>
      <c r="D5994">
        <v>4.7264660000000003</v>
      </c>
      <c r="E5994">
        <v>0.544157</v>
      </c>
      <c r="F5994" t="s">
        <v>41</v>
      </c>
      <c r="G5994">
        <v>-370.08170000000001</v>
      </c>
      <c r="H5994">
        <v>0.97861359999999997</v>
      </c>
      <c r="I5994">
        <v>17.466439999999999</v>
      </c>
      <c r="J5994">
        <v>-370.85230000000001</v>
      </c>
      <c r="K5994">
        <v>1.1109530000000001</v>
      </c>
      <c r="L5994">
        <v>17.44876</v>
      </c>
      <c r="M5994">
        <v>0.99985029999999997</v>
      </c>
      <c r="N5994">
        <v>-1.25626E-2</v>
      </c>
      <c r="O5994">
        <v>-1.189366E-2</v>
      </c>
      <c r="P5994">
        <v>0.91378369999999998</v>
      </c>
      <c r="Q5994">
        <v>0.39808379999999999</v>
      </c>
      <c r="R5994">
        <v>8.0799529999999994E-2</v>
      </c>
      <c r="S5994">
        <v>3.4796749999999999</v>
      </c>
      <c r="T5994">
        <v>-0.46392290000000003</v>
      </c>
      <c r="U5994">
        <v>5.4748539999999998E-2</v>
      </c>
      <c r="V5994">
        <v>-9.1883510000000002E-2</v>
      </c>
      <c r="W5994">
        <v>0.40946949999999999</v>
      </c>
      <c r="X5994">
        <v>0.90768499999999996</v>
      </c>
      <c r="Y5994">
        <v>-2.727334E-2</v>
      </c>
      <c r="Z5994">
        <v>3.4119459999999999E-3</v>
      </c>
      <c r="AA5994">
        <v>0.99962220000000002</v>
      </c>
      <c r="AB5994">
        <v>38</v>
      </c>
      <c r="AC5994">
        <v>0.77060000000000095</v>
      </c>
      <c r="AD5994">
        <v>-0.1323394</v>
      </c>
      <c r="AE5994">
        <v>1.7679999999998499E-2</v>
      </c>
      <c r="AF5994">
        <v>-2.60760681454924E-2</v>
      </c>
      <c r="AG5994">
        <v>-0.1323394</v>
      </c>
      <c r="AH5994">
        <v>0.74827777389283101</v>
      </c>
      <c r="AI5994">
        <v>100.02358046380201</v>
      </c>
      <c r="AJ5994">
        <v>91.995842128465497</v>
      </c>
      <c r="AK5994">
        <v>0.76033762567973595</v>
      </c>
      <c r="AL5994">
        <v>65.828484865188699</v>
      </c>
      <c r="AM5994">
        <v>95.780270520479306</v>
      </c>
      <c r="AN5994">
        <v>0.99999995503258399</v>
      </c>
    </row>
    <row r="5995" spans="1:40" x14ac:dyDescent="0.25">
      <c r="A5995" t="str">
        <f>"20190304165006271"</f>
        <v>20190304165006271</v>
      </c>
      <c r="B5995" t="str">
        <f>"1551689406261346"</f>
        <v>1551689406261346</v>
      </c>
      <c r="C5995" t="s">
        <v>40</v>
      </c>
      <c r="D5995">
        <v>4.7112829999999999</v>
      </c>
      <c r="E5995">
        <v>0.54497340000000005</v>
      </c>
      <c r="F5995" t="s">
        <v>41</v>
      </c>
      <c r="G5995">
        <v>-370.06880000000001</v>
      </c>
      <c r="H5995">
        <v>1.006327</v>
      </c>
      <c r="I5995">
        <v>17.459969999999998</v>
      </c>
      <c r="J5995">
        <v>-370.5179</v>
      </c>
      <c r="K5995">
        <v>1.1109979999999999</v>
      </c>
      <c r="L5995">
        <v>17.444979999999902</v>
      </c>
      <c r="M5995">
        <v>0.99985029999999997</v>
      </c>
      <c r="N5995">
        <v>-1.2787750000000001E-2</v>
      </c>
      <c r="O5995">
        <v>-1.166443E-2</v>
      </c>
      <c r="P5995">
        <v>0.91380790000000001</v>
      </c>
      <c r="Q5995">
        <v>0.39824379999999998</v>
      </c>
      <c r="R5995">
        <v>7.9733419999999999E-2</v>
      </c>
      <c r="S5995">
        <v>3.4809570000000001</v>
      </c>
      <c r="T5995">
        <v>-0.4648024</v>
      </c>
      <c r="U5995">
        <v>5.1879880000000003E-2</v>
      </c>
      <c r="V5995">
        <v>-9.0611090000000005E-2</v>
      </c>
      <c r="W5995">
        <v>0.4098349</v>
      </c>
      <c r="X5995">
        <v>0.90764809999999996</v>
      </c>
      <c r="Y5995">
        <v>-2.6225499999999999E-2</v>
      </c>
      <c r="Z5995">
        <v>3.3135840000000001E-3</v>
      </c>
      <c r="AA5995">
        <v>0.9996505</v>
      </c>
      <c r="AB5995">
        <v>38</v>
      </c>
      <c r="AC5995">
        <v>0.44909999999998701</v>
      </c>
      <c r="AD5995">
        <v>-0.104670999999999</v>
      </c>
      <c r="AE5995">
        <v>1.49900000000045E-2</v>
      </c>
      <c r="AF5995">
        <v>-1.9186818734989401E-2</v>
      </c>
      <c r="AG5995">
        <v>-0.104670999999999</v>
      </c>
      <c r="AH5995">
        <v>0.42579098470578902</v>
      </c>
      <c r="AI5995">
        <v>103.797537355234</v>
      </c>
      <c r="AJ5995">
        <v>92.580093530265401</v>
      </c>
      <c r="AK5995">
        <v>0.43888736016305502</v>
      </c>
      <c r="AL5995">
        <v>65.805537236135706</v>
      </c>
      <c r="AM5995">
        <v>95.700985393781394</v>
      </c>
      <c r="AN5995">
        <v>1.0000000441613</v>
      </c>
    </row>
    <row r="5996" spans="1:40" x14ac:dyDescent="0.25">
      <c r="A5996" t="str">
        <f>"20190304165006293"</f>
        <v>20190304165006293</v>
      </c>
      <c r="B5996" t="str">
        <f>"1551689406281843"</f>
        <v>1551689406281843</v>
      </c>
      <c r="C5996" t="s">
        <v>40</v>
      </c>
      <c r="D5996">
        <v>4.7282890000000002</v>
      </c>
      <c r="E5996">
        <v>0.54566899999999996</v>
      </c>
      <c r="F5996" t="s">
        <v>41</v>
      </c>
      <c r="G5996">
        <v>-369.73</v>
      </c>
      <c r="H5996">
        <v>1.005128</v>
      </c>
      <c r="I5996">
        <v>17.45486</v>
      </c>
      <c r="J5996">
        <v>-370.14780000000002</v>
      </c>
      <c r="K5996">
        <v>1.1110359999999999</v>
      </c>
      <c r="L5996">
        <v>17.440860000000001</v>
      </c>
      <c r="M5996">
        <v>0.99985000000000002</v>
      </c>
      <c r="N5996">
        <v>-1.302676E-2</v>
      </c>
      <c r="O5996">
        <v>-1.141407E-2</v>
      </c>
      <c r="P5996">
        <v>0.91364089999999998</v>
      </c>
      <c r="Q5996">
        <v>0.39880280000000001</v>
      </c>
      <c r="R5996">
        <v>7.8845159999999997E-2</v>
      </c>
      <c r="S5996">
        <v>3.483063</v>
      </c>
      <c r="T5996">
        <v>-0.46798230000000002</v>
      </c>
      <c r="U5996">
        <v>4.4219969999999997E-2</v>
      </c>
      <c r="V5996">
        <v>-8.9497450000000006E-2</v>
      </c>
      <c r="W5996">
        <v>0.41060849999999999</v>
      </c>
      <c r="X5996">
        <v>0.90740889999999996</v>
      </c>
      <c r="Y5996">
        <v>-2.3789689999999999E-2</v>
      </c>
      <c r="Z5996">
        <v>3.1252810000000002E-3</v>
      </c>
      <c r="AA5996">
        <v>0.99971209999999999</v>
      </c>
      <c r="AB5996">
        <v>38</v>
      </c>
      <c r="AC5996">
        <v>0.41779999999999901</v>
      </c>
      <c r="AD5996">
        <v>-0.105908</v>
      </c>
      <c r="AE5996">
        <v>1.3999999999999299E-2</v>
      </c>
      <c r="AF5996">
        <v>-1.7636305373087899E-2</v>
      </c>
      <c r="AG5996">
        <v>-0.105908</v>
      </c>
      <c r="AH5996">
        <v>0.39242517326490101</v>
      </c>
      <c r="AI5996">
        <v>105.088671971304</v>
      </c>
      <c r="AJ5996">
        <v>92.573245654058496</v>
      </c>
      <c r="AK5996">
        <v>0.40684771148821802</v>
      </c>
      <c r="AL5996">
        <v>65.756935036848802</v>
      </c>
      <c r="AM5996">
        <v>95.632846481493203</v>
      </c>
      <c r="AN5996">
        <v>1.00000002281398</v>
      </c>
    </row>
    <row r="5997" spans="1:40" x14ac:dyDescent="0.25">
      <c r="A5997" t="str">
        <f>"20190304165006305"</f>
        <v>20190304165006305</v>
      </c>
      <c r="B5997" t="str">
        <f>"1551689406301363"</f>
        <v>1551689406301363</v>
      </c>
      <c r="C5997" t="s">
        <v>40</v>
      </c>
      <c r="D5997">
        <v>4.7381630000000001</v>
      </c>
      <c r="E5997">
        <v>0.54628659999999996</v>
      </c>
      <c r="F5997" t="s">
        <v>41</v>
      </c>
      <c r="G5997">
        <v>-369.38940000000002</v>
      </c>
      <c r="H5997">
        <v>1.0087930000000001</v>
      </c>
      <c r="I5997">
        <v>17.448499999999999</v>
      </c>
      <c r="J5997">
        <v>-369.94580000000002</v>
      </c>
      <c r="K5997">
        <v>1.1110530000000001</v>
      </c>
      <c r="L5997">
        <v>17.438690000000001</v>
      </c>
      <c r="M5997">
        <v>0.99985009999999996</v>
      </c>
      <c r="N5997">
        <v>-1.3148079999999999E-2</v>
      </c>
      <c r="O5997">
        <v>-1.127937E-2</v>
      </c>
      <c r="P5997">
        <v>0.91359880000000004</v>
      </c>
      <c r="Q5997">
        <v>0.39896579999999998</v>
      </c>
      <c r="R5997">
        <v>7.8510150000000001E-2</v>
      </c>
      <c r="S5997">
        <v>3.4855040000000002</v>
      </c>
      <c r="T5997">
        <v>-0.46989170000000002</v>
      </c>
      <c r="U5997">
        <v>3.6834720000000001E-2</v>
      </c>
      <c r="V5997">
        <v>-8.9041960000000003E-2</v>
      </c>
      <c r="W5997">
        <v>0.4108811</v>
      </c>
      <c r="X5997">
        <v>0.90733030000000003</v>
      </c>
      <c r="Y5997">
        <v>-2.1549209999999999E-2</v>
      </c>
      <c r="Z5997">
        <v>2.9543680000000002E-3</v>
      </c>
      <c r="AA5997">
        <v>0.99976339999999997</v>
      </c>
      <c r="AB5997">
        <v>38</v>
      </c>
      <c r="AC5997">
        <v>0.55639999999999601</v>
      </c>
      <c r="AD5997">
        <v>-0.10226</v>
      </c>
      <c r="AE5997">
        <v>9.8099999999980893E-3</v>
      </c>
      <c r="AF5997">
        <v>-1.5560321513395399E-2</v>
      </c>
      <c r="AG5997">
        <v>-0.10226</v>
      </c>
      <c r="AH5997">
        <v>0.53808404193245196</v>
      </c>
      <c r="AI5997">
        <v>100.75604539007399</v>
      </c>
      <c r="AJ5997">
        <v>91.656418492868895</v>
      </c>
      <c r="AK5997">
        <v>0.547935824150936</v>
      </c>
      <c r="AL5997">
        <v>65.739804136957005</v>
      </c>
      <c r="AM5997">
        <v>95.604843938725594</v>
      </c>
      <c r="AN5997">
        <v>1.0000000111379701</v>
      </c>
    </row>
    <row r="5998" spans="1:40" x14ac:dyDescent="0.25">
      <c r="A5998" t="str">
        <f>"20190304165006324"</f>
        <v>20190304165006324</v>
      </c>
      <c r="B5998" t="str">
        <f>"1551689406312099"</f>
        <v>1551689406312099</v>
      </c>
      <c r="C5998" t="s">
        <v>40</v>
      </c>
      <c r="D5998">
        <v>4.7378280000000004</v>
      </c>
      <c r="E5998">
        <v>0.54656959999999999</v>
      </c>
      <c r="F5998" t="s">
        <v>41</v>
      </c>
      <c r="G5998">
        <v>-369.05950000000001</v>
      </c>
      <c r="H5998">
        <v>0.99086399999999997</v>
      </c>
      <c r="I5998">
        <v>17.44652</v>
      </c>
      <c r="J5998">
        <v>-369.61540000000002</v>
      </c>
      <c r="K5998">
        <v>1.111081</v>
      </c>
      <c r="L5998">
        <v>17.43515</v>
      </c>
      <c r="M5998">
        <v>0.99985000000000002</v>
      </c>
      <c r="N5998">
        <v>-1.333523E-2</v>
      </c>
      <c r="O5998">
        <v>-1.106007E-2</v>
      </c>
      <c r="P5998">
        <v>0.91399160000000002</v>
      </c>
      <c r="Q5998">
        <v>0.39834229999999998</v>
      </c>
      <c r="R5998">
        <v>7.7091989999999999E-2</v>
      </c>
      <c r="S5998">
        <v>3.4875180000000001</v>
      </c>
      <c r="T5998">
        <v>-0.47288180000000002</v>
      </c>
      <c r="U5998">
        <v>3.143311E-2</v>
      </c>
      <c r="V5998">
        <v>-8.7431800000000004E-2</v>
      </c>
      <c r="W5998">
        <v>0.4104333</v>
      </c>
      <c r="X5998">
        <v>0.90768950000000004</v>
      </c>
      <c r="Y5998">
        <v>-1.9791369999999999E-2</v>
      </c>
      <c r="Z5998">
        <v>2.8141860000000002E-3</v>
      </c>
      <c r="AA5998">
        <v>0.99980009999999997</v>
      </c>
      <c r="AB5998">
        <v>38</v>
      </c>
      <c r="AC5998">
        <v>0.55590000000000805</v>
      </c>
      <c r="AD5998">
        <v>-0.120217</v>
      </c>
      <c r="AE5998">
        <v>1.13699999999994E-2</v>
      </c>
      <c r="AF5998">
        <v>-1.6735790104847499E-2</v>
      </c>
      <c r="AG5998">
        <v>-0.120217</v>
      </c>
      <c r="AH5998">
        <v>0.53092108699099805</v>
      </c>
      <c r="AI5998">
        <v>102.752273004671</v>
      </c>
      <c r="AJ5998">
        <v>91.805490030106299</v>
      </c>
      <c r="AK5998">
        <v>0.54461859532257695</v>
      </c>
      <c r="AL5998">
        <v>65.767943604427799</v>
      </c>
      <c r="AM5998">
        <v>95.501953954672601</v>
      </c>
      <c r="AN5998">
        <v>1.00000002090518</v>
      </c>
    </row>
    <row r="5999" spans="1:40" x14ac:dyDescent="0.25">
      <c r="A5999" t="str">
        <f>"20190304165006334"</f>
        <v>20190304165006334</v>
      </c>
      <c r="B5999" t="str">
        <f>"1551689406331619"</f>
        <v>1551689406331619</v>
      </c>
      <c r="C5999" t="s">
        <v>40</v>
      </c>
      <c r="D5999">
        <v>4.7380009999999997</v>
      </c>
      <c r="E5999">
        <v>0.54708760000000001</v>
      </c>
      <c r="F5999" t="s">
        <v>41</v>
      </c>
      <c r="G5999">
        <v>-368.72230000000002</v>
      </c>
      <c r="H5999">
        <v>0.98895060000000001</v>
      </c>
      <c r="I5999">
        <v>17.441459999999999</v>
      </c>
      <c r="J5999">
        <v>-369.43389999999999</v>
      </c>
      <c r="K5999">
        <v>1.1110910000000001</v>
      </c>
      <c r="L5999">
        <v>17.433199999999999</v>
      </c>
      <c r="M5999">
        <v>0.99985000000000002</v>
      </c>
      <c r="N5999">
        <v>-1.343303E-2</v>
      </c>
      <c r="O5999">
        <v>-1.094002E-2</v>
      </c>
      <c r="P5999">
        <v>0.91412289999999996</v>
      </c>
      <c r="Q5999">
        <v>0.39819900000000003</v>
      </c>
      <c r="R5999">
        <v>7.6268989999999995E-2</v>
      </c>
      <c r="S5999">
        <v>3.4880369999999998</v>
      </c>
      <c r="T5999">
        <v>-0.4770315</v>
      </c>
      <c r="U5999">
        <v>2.5939940000000002E-2</v>
      </c>
      <c r="V5999">
        <v>-8.6502540000000003E-2</v>
      </c>
      <c r="W5999">
        <v>0.4103811</v>
      </c>
      <c r="X5999">
        <v>0.90780209999999995</v>
      </c>
      <c r="Y5999">
        <v>-1.8108800000000001E-2</v>
      </c>
      <c r="Z5999">
        <v>2.6976729999999998E-3</v>
      </c>
      <c r="AA5999">
        <v>0.99983239999999995</v>
      </c>
      <c r="AB5999">
        <v>38</v>
      </c>
      <c r="AC5999">
        <v>0.71159999999997503</v>
      </c>
      <c r="AD5999">
        <v>-0.1221404</v>
      </c>
      <c r="AE5999">
        <v>8.2599999999999306E-3</v>
      </c>
      <c r="AF5999">
        <v>-1.55860088914957E-2</v>
      </c>
      <c r="AG5999">
        <v>-0.1221404</v>
      </c>
      <c r="AH5999">
        <v>0.69110904633190096</v>
      </c>
      <c r="AI5999">
        <v>100.01995350198101</v>
      </c>
      <c r="AJ5999">
        <v>91.291925180769894</v>
      </c>
      <c r="AK5999">
        <v>0.70199210459029804</v>
      </c>
      <c r="AL5999">
        <v>65.771222709615998</v>
      </c>
      <c r="AM5999">
        <v>95.443158986481095</v>
      </c>
      <c r="AN5999">
        <v>0.999999994714035</v>
      </c>
    </row>
    <row r="6000" spans="1:40" x14ac:dyDescent="0.25">
      <c r="A6000" t="str">
        <f>"20190304165006347"</f>
        <v>20190304165006347</v>
      </c>
      <c r="B6000" t="str">
        <f>"1551689406341379"</f>
        <v>1551689406341379</v>
      </c>
      <c r="C6000" t="s">
        <v>40</v>
      </c>
      <c r="D6000">
        <v>4.6542250000000003</v>
      </c>
      <c r="E6000">
        <v>0.54744729999999997</v>
      </c>
      <c r="F6000" t="s">
        <v>41</v>
      </c>
      <c r="G6000">
        <v>-368.71159999999998</v>
      </c>
      <c r="H6000">
        <v>1.0114799999999999</v>
      </c>
      <c r="I6000">
        <v>17.437149999999999</v>
      </c>
      <c r="J6000">
        <v>-369.24130000000002</v>
      </c>
      <c r="K6000">
        <v>1.111092</v>
      </c>
      <c r="L6000">
        <v>17.43121</v>
      </c>
      <c r="M6000">
        <v>0.99985009999999996</v>
      </c>
      <c r="N6000">
        <v>-1.3527549999999999E-2</v>
      </c>
      <c r="O6000">
        <v>-1.081234E-2</v>
      </c>
      <c r="P6000">
        <v>0.9143076</v>
      </c>
      <c r="Q6000">
        <v>0.39792050000000001</v>
      </c>
      <c r="R6000">
        <v>7.5504299999999996E-2</v>
      </c>
      <c r="S6000">
        <v>3.4896850000000001</v>
      </c>
      <c r="T6000">
        <v>-0.48126409999999997</v>
      </c>
      <c r="U6000">
        <v>2.0690920000000002E-2</v>
      </c>
      <c r="V6000">
        <v>-8.5624430000000001E-2</v>
      </c>
      <c r="W6000">
        <v>0.41019109999999998</v>
      </c>
      <c r="X6000">
        <v>0.90797119999999998</v>
      </c>
      <c r="Y6000">
        <v>-1.6487109999999999E-2</v>
      </c>
      <c r="Z6000">
        <v>2.5820460000000002E-3</v>
      </c>
      <c r="AA6000">
        <v>0.99986079999999999</v>
      </c>
      <c r="AB6000">
        <v>38</v>
      </c>
      <c r="AC6000">
        <v>0.52970000000004802</v>
      </c>
      <c r="AD6000">
        <v>-9.9612000000000006E-2</v>
      </c>
      <c r="AE6000">
        <v>5.9399999999989401E-3</v>
      </c>
      <c r="AF6000">
        <v>-1.1269004177376399E-2</v>
      </c>
      <c r="AG6000">
        <v>-9.9612000000000006E-2</v>
      </c>
      <c r="AH6000">
        <v>0.51151767979961005</v>
      </c>
      <c r="AI6000">
        <v>101.01714646254401</v>
      </c>
      <c r="AJ6000">
        <v>91.262052081062194</v>
      </c>
      <c r="AK6000">
        <v>0.52124838392720796</v>
      </c>
      <c r="AL6000">
        <v>65.783159793745895</v>
      </c>
      <c r="AM6000">
        <v>95.3872333117436</v>
      </c>
      <c r="AN6000">
        <v>0.99999999078073698</v>
      </c>
    </row>
    <row r="6001" spans="1:40" x14ac:dyDescent="0.25">
      <c r="A6001" t="str">
        <f>"20190304165006357"</f>
        <v>20190304165006357</v>
      </c>
      <c r="B6001" t="str">
        <f>"1551689406352115"</f>
        <v>1551689406352115</v>
      </c>
      <c r="C6001" t="s">
        <v>40</v>
      </c>
      <c r="D6001">
        <v>4.7342559999999896</v>
      </c>
      <c r="E6001">
        <v>0.5476936</v>
      </c>
      <c r="F6001" t="s">
        <v>41</v>
      </c>
      <c r="G6001">
        <v>-368.38290000000001</v>
      </c>
      <c r="H6001">
        <v>0.99245349999999999</v>
      </c>
      <c r="I6001">
        <v>17.435189999999999</v>
      </c>
      <c r="J6001">
        <v>-369.04669999999999</v>
      </c>
      <c r="K6001">
        <v>1.1111009999999999</v>
      </c>
      <c r="L6001">
        <v>17.429200000000002</v>
      </c>
      <c r="M6001">
        <v>0.99985029999999997</v>
      </c>
      <c r="N6001">
        <v>-1.362061E-2</v>
      </c>
      <c r="O6001">
        <v>-1.068322E-2</v>
      </c>
      <c r="P6001">
        <v>0.91450609999999999</v>
      </c>
      <c r="Q6001">
        <v>0.39759990000000001</v>
      </c>
      <c r="R6001">
        <v>7.4786539999999999E-2</v>
      </c>
      <c r="S6001">
        <v>3.4898069999999999</v>
      </c>
      <c r="T6001">
        <v>-0.48230610000000002</v>
      </c>
      <c r="U6001">
        <v>1.5899659999999999E-2</v>
      </c>
      <c r="V6001">
        <v>-8.479159E-2</v>
      </c>
      <c r="W6001">
        <v>0.4099584</v>
      </c>
      <c r="X6001">
        <v>0.90815449999999998</v>
      </c>
      <c r="Y6001">
        <v>-1.500054E-2</v>
      </c>
      <c r="Z6001">
        <v>2.4589199999999999E-3</v>
      </c>
      <c r="AA6001">
        <v>0.99988449999999995</v>
      </c>
      <c r="AB6001">
        <v>38</v>
      </c>
      <c r="AC6001">
        <v>0.66379999999997996</v>
      </c>
      <c r="AD6001">
        <v>-0.1186475</v>
      </c>
      <c r="AE6001">
        <v>5.9899999999970498E-3</v>
      </c>
      <c r="AF6001">
        <v>-1.2676869734255801E-2</v>
      </c>
      <c r="AG6001">
        <v>-0.1186475</v>
      </c>
      <c r="AH6001">
        <v>0.64315240024410603</v>
      </c>
      <c r="AI6001">
        <v>100.450314434752</v>
      </c>
      <c r="AJ6001">
        <v>91.129183524522205</v>
      </c>
      <c r="AK6001">
        <v>0.65412761921681895</v>
      </c>
      <c r="AL6001">
        <v>65.7977796974603</v>
      </c>
      <c r="AM6001">
        <v>95.334066722051404</v>
      </c>
      <c r="AN6001">
        <v>1.0000000496677599</v>
      </c>
    </row>
    <row r="6002" spans="1:40" x14ac:dyDescent="0.25">
      <c r="A6002" t="str">
        <f>"20190304165006369"</f>
        <v>20190304165006369</v>
      </c>
      <c r="B6002" t="str">
        <f>"1551689406361874"</f>
        <v>1551689406361874</v>
      </c>
      <c r="C6002" t="s">
        <v>40</v>
      </c>
      <c r="D6002">
        <v>4.7544449999999996</v>
      </c>
      <c r="E6002">
        <v>0.54790019999999995</v>
      </c>
      <c r="F6002" t="s">
        <v>41</v>
      </c>
      <c r="G6002">
        <v>-368.05470000000003</v>
      </c>
      <c r="H6002">
        <v>0.97334330000000002</v>
      </c>
      <c r="I6002">
        <v>17.43263</v>
      </c>
      <c r="J6002">
        <v>-368.83879999999999</v>
      </c>
      <c r="K6002">
        <v>1.11111</v>
      </c>
      <c r="L6002">
        <v>17.427119999999999</v>
      </c>
      <c r="M6002">
        <v>0.99985049999999998</v>
      </c>
      <c r="N6002">
        <v>-1.371233E-2</v>
      </c>
      <c r="O6002">
        <v>-1.054445E-2</v>
      </c>
      <c r="P6002">
        <v>0.91461590000000004</v>
      </c>
      <c r="Q6002">
        <v>0.39754420000000001</v>
      </c>
      <c r="R6002">
        <v>7.373478E-2</v>
      </c>
      <c r="S6002">
        <v>3.4901119999999999</v>
      </c>
      <c r="T6002">
        <v>-0.4846568</v>
      </c>
      <c r="U6002">
        <v>1.287842E-2</v>
      </c>
      <c r="V6002">
        <v>-8.3615460000000003E-2</v>
      </c>
      <c r="W6002">
        <v>0.40998839999999998</v>
      </c>
      <c r="X6002">
        <v>0.90825</v>
      </c>
      <c r="Y6002">
        <v>-1.4005139999999999E-2</v>
      </c>
      <c r="Z6002">
        <v>2.3775789999999999E-3</v>
      </c>
      <c r="AA6002">
        <v>0.99989910000000004</v>
      </c>
      <c r="AB6002">
        <v>38</v>
      </c>
      <c r="AC6002">
        <v>0.78409999999996605</v>
      </c>
      <c r="AD6002">
        <v>-0.13776669999999899</v>
      </c>
      <c r="AE6002">
        <v>5.5099999999974596E-3</v>
      </c>
      <c r="AF6002">
        <v>-1.33657834107275E-2</v>
      </c>
      <c r="AG6002">
        <v>-0.13776669999999899</v>
      </c>
      <c r="AH6002">
        <v>0.76052166533934296</v>
      </c>
      <c r="AI6002">
        <v>100.266100364067</v>
      </c>
      <c r="AJ6002">
        <v>91.006840680722604</v>
      </c>
      <c r="AK6002">
        <v>0.77301456082379105</v>
      </c>
      <c r="AL6002">
        <v>65.795895123696894</v>
      </c>
      <c r="AM6002">
        <v>95.259946734407293</v>
      </c>
      <c r="AN6002">
        <v>1.00000004789278</v>
      </c>
    </row>
    <row r="6003" spans="1:40" x14ac:dyDescent="0.25">
      <c r="A6003" t="str">
        <f>"20190304165006382"</f>
        <v>20190304165006382</v>
      </c>
      <c r="B6003" t="str">
        <f>"1551689406371634"</f>
        <v>1551689406371634</v>
      </c>
      <c r="C6003" t="s">
        <v>40</v>
      </c>
      <c r="D6003">
        <v>4.7609089999999998</v>
      </c>
      <c r="E6003">
        <v>0.54810080000000005</v>
      </c>
      <c r="F6003" t="s">
        <v>41</v>
      </c>
      <c r="G6003">
        <v>-368.04199999999997</v>
      </c>
      <c r="H6003">
        <v>1.0000230000000001</v>
      </c>
      <c r="I6003">
        <v>17.428899999999999</v>
      </c>
      <c r="J6003">
        <v>-368.6456</v>
      </c>
      <c r="K6003">
        <v>1.111116</v>
      </c>
      <c r="L6003">
        <v>17.425170000000001</v>
      </c>
      <c r="M6003">
        <v>0.99985060000000003</v>
      </c>
      <c r="N6003">
        <v>-1.379269E-2</v>
      </c>
      <c r="O6003">
        <v>-1.041504E-2</v>
      </c>
      <c r="P6003">
        <v>0.91466959999999997</v>
      </c>
      <c r="Q6003">
        <v>0.39760050000000002</v>
      </c>
      <c r="R6003">
        <v>7.2756249999999995E-2</v>
      </c>
      <c r="S6003">
        <v>3.490875</v>
      </c>
      <c r="T6003">
        <v>-0.48660059999999999</v>
      </c>
      <c r="U6003">
        <v>8.7890629999999997E-3</v>
      </c>
      <c r="V6003">
        <v>-8.251957E-2</v>
      </c>
      <c r="W6003">
        <v>0.41011880000000001</v>
      </c>
      <c r="X6003">
        <v>0.90829130000000002</v>
      </c>
      <c r="Y6003">
        <v>-1.271659E-2</v>
      </c>
      <c r="Z6003">
        <v>2.2719340000000002E-3</v>
      </c>
      <c r="AA6003">
        <v>0.99991660000000004</v>
      </c>
      <c r="AB6003">
        <v>38</v>
      </c>
      <c r="AC6003">
        <v>0.603600000000028</v>
      </c>
      <c r="AD6003">
        <v>-0.111093</v>
      </c>
      <c r="AE6003">
        <v>3.72999999999734E-3</v>
      </c>
      <c r="AF6003">
        <v>-9.68872436218806E-3</v>
      </c>
      <c r="AG6003">
        <v>-0.111093</v>
      </c>
      <c r="AH6003">
        <v>0.58375466888708305</v>
      </c>
      <c r="AI6003">
        <v>100.773531929618</v>
      </c>
      <c r="AJ6003">
        <v>90.950865286047204</v>
      </c>
      <c r="AK6003">
        <v>0.594310558105974</v>
      </c>
      <c r="AL6003">
        <v>65.787702088873999</v>
      </c>
      <c r="AM6003">
        <v>95.191152652770597</v>
      </c>
      <c r="AN6003">
        <v>0.99999999760105696</v>
      </c>
    </row>
    <row r="6004" spans="1:40" x14ac:dyDescent="0.25">
      <c r="A6004" t="str">
        <f>"20190304165006393"</f>
        <v>20190304165006393</v>
      </c>
      <c r="B6004" t="str">
        <f>"1551689406381394"</f>
        <v>1551689406381394</v>
      </c>
      <c r="C6004" t="s">
        <v>40</v>
      </c>
      <c r="D6004">
        <v>4.7787980000000001</v>
      </c>
      <c r="E6004">
        <v>0.5482861</v>
      </c>
      <c r="F6004" t="s">
        <v>41</v>
      </c>
      <c r="G6004">
        <v>-367.71429999999998</v>
      </c>
      <c r="H6004">
        <v>0.98093509999999995</v>
      </c>
      <c r="I6004">
        <v>17.42642</v>
      </c>
      <c r="J6004">
        <v>-368.45890000000003</v>
      </c>
      <c r="K6004">
        <v>1.1111260000000001</v>
      </c>
      <c r="L6004">
        <v>17.42334</v>
      </c>
      <c r="M6004">
        <v>0.99985100000000005</v>
      </c>
      <c r="N6004">
        <v>-1.386655E-2</v>
      </c>
      <c r="O6004">
        <v>-1.0290000000000001E-2</v>
      </c>
      <c r="P6004">
        <v>0.91487569999999996</v>
      </c>
      <c r="Q6004">
        <v>0.3974066</v>
      </c>
      <c r="R6004">
        <v>7.1208779999999999E-2</v>
      </c>
      <c r="S6004">
        <v>3.491638</v>
      </c>
      <c r="T6004">
        <v>-0.48804209999999898</v>
      </c>
      <c r="U6004">
        <v>4.9438479999999998E-3</v>
      </c>
      <c r="V6004">
        <v>-8.0860319999999999E-2</v>
      </c>
      <c r="W6004">
        <v>0.40999659999999899</v>
      </c>
      <c r="X6004">
        <v>0.90849570000000002</v>
      </c>
      <c r="Y6004">
        <v>-1.150262E-2</v>
      </c>
      <c r="Z6004">
        <v>2.1694090000000002E-3</v>
      </c>
      <c r="AA6004">
        <v>0.99993149999999997</v>
      </c>
      <c r="AB6004">
        <v>38</v>
      </c>
      <c r="AC6004">
        <v>0.744600000000048</v>
      </c>
      <c r="AD6004">
        <v>-0.1301909</v>
      </c>
      <c r="AE6004">
        <v>3.08000000000063E-3</v>
      </c>
      <c r="AF6004">
        <v>-1.04238410490678E-2</v>
      </c>
      <c r="AG6004">
        <v>-0.1301909</v>
      </c>
      <c r="AH6004">
        <v>0.72244316029653999</v>
      </c>
      <c r="AI6004">
        <v>100.214542292684</v>
      </c>
      <c r="AJ6004">
        <v>90.8266403378516</v>
      </c>
      <c r="AK6004">
        <v>0.73415423908350397</v>
      </c>
      <c r="AL6004">
        <v>65.795379299739693</v>
      </c>
      <c r="AM6004">
        <v>95.086187056455799</v>
      </c>
      <c r="AN6004">
        <v>1.0000000201402699</v>
      </c>
    </row>
    <row r="6005" spans="1:40" x14ac:dyDescent="0.25">
      <c r="A6005" t="str">
        <f>"20190304165006403"</f>
        <v>20190304165006403</v>
      </c>
      <c r="B6005" t="str">
        <f>"1551689406392131"</f>
        <v>1551689406392131</v>
      </c>
      <c r="C6005" t="s">
        <v>40</v>
      </c>
      <c r="D6005">
        <v>4.7708360000000001</v>
      </c>
      <c r="E6005">
        <v>0.54846019999999995</v>
      </c>
      <c r="F6005" t="s">
        <v>41</v>
      </c>
      <c r="G6005">
        <v>-367.70280000000002</v>
      </c>
      <c r="H6005">
        <v>1.0049520000000001</v>
      </c>
      <c r="I6005">
        <v>17.423089999999998</v>
      </c>
      <c r="J6005">
        <v>-368.27960000000002</v>
      </c>
      <c r="K6005">
        <v>1.1111329999999999</v>
      </c>
      <c r="L6005">
        <v>17.421600000000002</v>
      </c>
      <c r="M6005">
        <v>0.9998513</v>
      </c>
      <c r="N6005">
        <v>-1.3931549999999999E-2</v>
      </c>
      <c r="O6005">
        <v>-1.0169070000000001E-2</v>
      </c>
      <c r="P6005">
        <v>0.91498919999999995</v>
      </c>
      <c r="Q6005">
        <v>0.39741769999999998</v>
      </c>
      <c r="R6005">
        <v>6.9671440000000001E-2</v>
      </c>
      <c r="S6005">
        <v>3.4921880000000001</v>
      </c>
      <c r="T6005">
        <v>-0.49034610000000001</v>
      </c>
      <c r="U6005">
        <v>-8.2397459999999998E-4</v>
      </c>
      <c r="V6005">
        <v>-7.9214179999999995E-2</v>
      </c>
      <c r="W6005">
        <v>0.41006969999999998</v>
      </c>
      <c r="X6005">
        <v>0.90860770000000002</v>
      </c>
      <c r="Y6005">
        <v>-9.7479809999999993E-3</v>
      </c>
      <c r="Z6005">
        <v>2.0291160000000001E-3</v>
      </c>
      <c r="AA6005">
        <v>0.99995040000000002</v>
      </c>
      <c r="AB6005">
        <v>38</v>
      </c>
      <c r="AC6005">
        <v>0.57679999999999099</v>
      </c>
      <c r="AD6005">
        <v>-0.106180999999999</v>
      </c>
      <c r="AE6005">
        <v>1.4899999999968801E-3</v>
      </c>
      <c r="AF6005">
        <v>-7.1149047449022597E-3</v>
      </c>
      <c r="AG6005">
        <v>-0.106180999999999</v>
      </c>
      <c r="AH6005">
        <v>0.55785081701162698</v>
      </c>
      <c r="AI6005">
        <v>100.775879684448</v>
      </c>
      <c r="AJ6005">
        <v>90.730718498860199</v>
      </c>
      <c r="AK6005">
        <v>0.56791069779593695</v>
      </c>
      <c r="AL6005">
        <v>65.790786648833503</v>
      </c>
      <c r="AM6005">
        <v>94.982558942329803</v>
      </c>
      <c r="AN6005">
        <v>0.99999999883522595</v>
      </c>
    </row>
    <row r="6006" spans="1:40" x14ac:dyDescent="0.25">
      <c r="A6006" t="str">
        <f>"20190304165006415"</f>
        <v>20190304165006415</v>
      </c>
      <c r="B6006" t="str">
        <f>"1551689406411650"</f>
        <v>1551689406411650</v>
      </c>
      <c r="C6006" t="s">
        <v>40</v>
      </c>
      <c r="D6006">
        <v>4.8029010000000003</v>
      </c>
      <c r="E6006">
        <v>0.54889690000000002</v>
      </c>
      <c r="F6006" t="s">
        <v>41</v>
      </c>
      <c r="G6006">
        <v>-367.37639999999999</v>
      </c>
      <c r="H6006">
        <v>0.98394429999999999</v>
      </c>
      <c r="I6006">
        <v>17.419750000000001</v>
      </c>
      <c r="J6006">
        <v>-368.08479999999997</v>
      </c>
      <c r="K6006">
        <v>1.1111409999999999</v>
      </c>
      <c r="L6006">
        <v>17.419709999999998</v>
      </c>
      <c r="M6006">
        <v>0.99985179999999996</v>
      </c>
      <c r="N6006">
        <v>-1.4000179999999999E-2</v>
      </c>
      <c r="O6006">
        <v>-1.003769E-2</v>
      </c>
      <c r="P6006">
        <v>0.91517709999999997</v>
      </c>
      <c r="Q6006">
        <v>0.39728249999999998</v>
      </c>
      <c r="R6006">
        <v>6.7956260000000004E-2</v>
      </c>
      <c r="S6006">
        <v>3.4928590000000002</v>
      </c>
      <c r="T6006">
        <v>-0.49183359999999898</v>
      </c>
      <c r="U6006">
        <v>-6.1645509999999999E-3</v>
      </c>
      <c r="V6006">
        <v>-7.7380939999999995E-2</v>
      </c>
      <c r="W6006">
        <v>0.41000059999999999</v>
      </c>
      <c r="X6006">
        <v>0.90879679999999996</v>
      </c>
      <c r="Y6006">
        <v>-8.1055450000000005E-3</v>
      </c>
      <c r="Z6006">
        <v>1.8914649999999999E-3</v>
      </c>
      <c r="AA6006">
        <v>0.9999654</v>
      </c>
      <c r="AB6006">
        <v>38</v>
      </c>
      <c r="AC6006">
        <v>0.70839999999998304</v>
      </c>
      <c r="AD6006">
        <v>-0.127196699999999</v>
      </c>
      <c r="AE6006" s="1">
        <v>3.9999999998485603E-5</v>
      </c>
      <c r="AF6006">
        <v>-6.9280336183345503E-3</v>
      </c>
      <c r="AG6006">
        <v>-0.127196699999999</v>
      </c>
      <c r="AH6006">
        <v>0.68623956256897001</v>
      </c>
      <c r="AI6006">
        <v>100.500260990192</v>
      </c>
      <c r="AJ6006">
        <v>90.578418417173694</v>
      </c>
      <c r="AK6006">
        <v>0.69796256015316305</v>
      </c>
      <c r="AL6006">
        <v>65.795126548930995</v>
      </c>
      <c r="AM6006">
        <v>94.8668010232699</v>
      </c>
      <c r="AN6006">
        <v>0.99999996278294101</v>
      </c>
    </row>
    <row r="6007" spans="1:40" x14ac:dyDescent="0.25">
      <c r="A6007" t="str">
        <f>"20190304165006428"</f>
        <v>20190304165006428</v>
      </c>
      <c r="B6007" t="str">
        <f>"1551689406421410"</f>
        <v>1551689406421410</v>
      </c>
      <c r="C6007" t="s">
        <v>40</v>
      </c>
      <c r="D6007">
        <v>4.744923</v>
      </c>
      <c r="E6007">
        <v>0.54920550000000001</v>
      </c>
      <c r="F6007" t="s">
        <v>41</v>
      </c>
      <c r="G6007">
        <v>-367.36399999999998</v>
      </c>
      <c r="H6007">
        <v>1.0096540000000001</v>
      </c>
      <c r="I6007">
        <v>17.41648</v>
      </c>
      <c r="J6007">
        <v>-367.8734</v>
      </c>
      <c r="K6007">
        <v>1.1111500000000001</v>
      </c>
      <c r="L6007">
        <v>17.417719999999999</v>
      </c>
      <c r="M6007">
        <v>0.99985219999999997</v>
      </c>
      <c r="N6007">
        <v>-1.4066540000000001E-2</v>
      </c>
      <c r="O6007">
        <v>-9.8929250000000003E-3</v>
      </c>
      <c r="P6007">
        <v>0.91543810000000003</v>
      </c>
      <c r="Q6007">
        <v>0.39697110000000002</v>
      </c>
      <c r="R6007">
        <v>6.6237519999999994E-2</v>
      </c>
      <c r="S6007">
        <v>3.4925839999999901</v>
      </c>
      <c r="T6007">
        <v>-0.49174210000000002</v>
      </c>
      <c r="U6007">
        <v>-1.4434809999999999E-2</v>
      </c>
      <c r="V6007">
        <v>-7.5533020000000006E-2</v>
      </c>
      <c r="W6007">
        <v>0.40975479999999997</v>
      </c>
      <c r="X6007">
        <v>0.90906310000000001</v>
      </c>
      <c r="Y6007">
        <v>-5.6209900000000002E-3</v>
      </c>
      <c r="Z6007">
        <v>1.680979E-3</v>
      </c>
      <c r="AA6007">
        <v>0.99998279999999995</v>
      </c>
      <c r="AB6007">
        <v>38</v>
      </c>
      <c r="AC6007">
        <v>0.50939999999997099</v>
      </c>
      <c r="AD6007">
        <v>-0.101496</v>
      </c>
      <c r="AE6007">
        <v>-1.2400000000027901E-3</v>
      </c>
      <c r="AF6007">
        <v>-3.6549190265441501E-3</v>
      </c>
      <c r="AG6007">
        <v>-0.101496</v>
      </c>
      <c r="AH6007">
        <v>0.48993740738604602</v>
      </c>
      <c r="AI6007">
        <v>101.703590152381</v>
      </c>
      <c r="AJ6007">
        <v>90.427416945495196</v>
      </c>
      <c r="AK6007">
        <v>0.50035333475979804</v>
      </c>
      <c r="AL6007">
        <v>65.810566742270197</v>
      </c>
      <c r="AM6007">
        <v>94.749730931224207</v>
      </c>
      <c r="AN6007">
        <v>0.99999997650748496</v>
      </c>
    </row>
    <row r="6008" spans="1:40" x14ac:dyDescent="0.25">
      <c r="A6008" t="str">
        <f>"20190304165006439"</f>
        <v>20190304165006439</v>
      </c>
      <c r="B6008" t="str">
        <f>"1551689406432147"</f>
        <v>1551689406432147</v>
      </c>
      <c r="C6008" t="s">
        <v>40</v>
      </c>
      <c r="D6008">
        <v>4.8025580000000003</v>
      </c>
      <c r="E6008">
        <v>0.54939459999999996</v>
      </c>
      <c r="F6008" t="s">
        <v>41</v>
      </c>
      <c r="G6008">
        <v>-367.03570000000002</v>
      </c>
      <c r="H6008">
        <v>0.99352070000000003</v>
      </c>
      <c r="I6008">
        <v>17.412179999999999</v>
      </c>
      <c r="J6008">
        <v>-367.67559999999997</v>
      </c>
      <c r="K6008">
        <v>1.111156</v>
      </c>
      <c r="L6008">
        <v>17.415859999999999</v>
      </c>
      <c r="M6008">
        <v>0.99985279999999999</v>
      </c>
      <c r="N6008">
        <v>-1.412594E-2</v>
      </c>
      <c r="O6008">
        <v>-9.756097E-3</v>
      </c>
      <c r="P6008">
        <v>0.91561110000000001</v>
      </c>
      <c r="Q6008">
        <v>0.39688000000000001</v>
      </c>
      <c r="R6008">
        <v>6.4365149999999996E-2</v>
      </c>
      <c r="S6008">
        <v>3.4912719999999999</v>
      </c>
      <c r="T6008">
        <v>-0.4902861</v>
      </c>
      <c r="U6008">
        <v>-2.233887E-2</v>
      </c>
      <c r="V6008">
        <v>-7.3538779999999998E-2</v>
      </c>
      <c r="W6008">
        <v>0.40972130000000001</v>
      </c>
      <c r="X6008">
        <v>0.90924170000000004</v>
      </c>
      <c r="Y6008">
        <v>-3.2462979999999999E-3</v>
      </c>
      <c r="Z6008">
        <v>1.476001E-3</v>
      </c>
      <c r="AA6008">
        <v>0.99999360000000004</v>
      </c>
      <c r="AB6008">
        <v>38</v>
      </c>
      <c r="AC6008">
        <v>0.63989999999995395</v>
      </c>
      <c r="AD6008">
        <v>-0.1176353</v>
      </c>
      <c r="AE6008">
        <v>-3.68000000000279E-3</v>
      </c>
      <c r="AF6008">
        <v>-2.4799177328628601E-3</v>
      </c>
      <c r="AG6008">
        <v>-0.1176353</v>
      </c>
      <c r="AH6008">
        <v>0.61898751918412598</v>
      </c>
      <c r="AI6008">
        <v>100.760354845539</v>
      </c>
      <c r="AJ6008">
        <v>90.229549150828703</v>
      </c>
      <c r="AK6008">
        <v>0.63007123621362904</v>
      </c>
      <c r="AL6008">
        <v>65.812671040520797</v>
      </c>
      <c r="AM6008">
        <v>94.623974274948395</v>
      </c>
      <c r="AN6008">
        <v>0.99999998242823396</v>
      </c>
    </row>
    <row r="6009" spans="1:40" x14ac:dyDescent="0.25">
      <c r="A6009" t="str">
        <f>"20190304165006450"</f>
        <v>20190304165006450</v>
      </c>
      <c r="B6009" t="str">
        <f>"1551689406441907"</f>
        <v>1551689406441907</v>
      </c>
      <c r="C6009" t="s">
        <v>40</v>
      </c>
      <c r="D6009">
        <v>4.8028279999999999</v>
      </c>
      <c r="E6009">
        <v>0.54954429999999999</v>
      </c>
      <c r="F6009" t="s">
        <v>41</v>
      </c>
      <c r="G6009">
        <v>-366.7088</v>
      </c>
      <c r="H6009">
        <v>0.97522399999999998</v>
      </c>
      <c r="I6009">
        <v>17.40746</v>
      </c>
      <c r="J6009">
        <v>-367.47710000000001</v>
      </c>
      <c r="K6009">
        <v>1.1111629999999999</v>
      </c>
      <c r="L6009">
        <v>17.414059999999999</v>
      </c>
      <c r="M6009">
        <v>0.9998534</v>
      </c>
      <c r="N6009">
        <v>-1.418065E-2</v>
      </c>
      <c r="O6009">
        <v>-9.6161230000000007E-3</v>
      </c>
      <c r="P6009">
        <v>0.91565249999999998</v>
      </c>
      <c r="Q6009">
        <v>0.39703850000000002</v>
      </c>
      <c r="R6009">
        <v>6.2780600000000006E-2</v>
      </c>
      <c r="S6009">
        <v>3.4913940000000001</v>
      </c>
      <c r="T6009">
        <v>-0.4909039</v>
      </c>
      <c r="U6009">
        <v>-2.9998779999999999E-2</v>
      </c>
      <c r="V6009">
        <v>-7.1828630000000004E-2</v>
      </c>
      <c r="W6009">
        <v>0.40993099999999999</v>
      </c>
      <c r="X6009">
        <v>0.90928390000000003</v>
      </c>
      <c r="Y6009">
        <v>-9.3861390000000002E-4</v>
      </c>
      <c r="Z6009">
        <v>1.2819769999999999E-3</v>
      </c>
      <c r="AA6009">
        <v>0.99999870000000002</v>
      </c>
      <c r="AB6009">
        <v>38</v>
      </c>
      <c r="AC6009">
        <v>0.76830000000000997</v>
      </c>
      <c r="AD6009">
        <v>-0.13593899999999901</v>
      </c>
      <c r="AE6009">
        <v>-6.5999999999988204E-3</v>
      </c>
      <c r="AF6009">
        <v>-7.6516173128050001E-4</v>
      </c>
      <c r="AG6009">
        <v>-0.13593899999999901</v>
      </c>
      <c r="AH6009">
        <v>0.74500654793369803</v>
      </c>
      <c r="AI6009">
        <v>100.340813806246</v>
      </c>
      <c r="AJ6009">
        <v>90.058845821629305</v>
      </c>
      <c r="AK6009">
        <v>0.75730756873119898</v>
      </c>
      <c r="AL6009">
        <v>65.799499437405103</v>
      </c>
      <c r="AM6009">
        <v>94.516684871575194</v>
      </c>
      <c r="AN6009">
        <v>0.999999993823943</v>
      </c>
    </row>
    <row r="6010" spans="1:40" x14ac:dyDescent="0.25">
      <c r="A6010" t="str">
        <f>"20190304165006462"</f>
        <v>20190304165006462</v>
      </c>
      <c r="B6010" t="str">
        <f>"1551689406451667"</f>
        <v>1551689406451667</v>
      </c>
      <c r="C6010" t="s">
        <v>40</v>
      </c>
      <c r="D6010">
        <v>4.8045260000000001</v>
      </c>
      <c r="E6010">
        <v>0.54969250000000003</v>
      </c>
      <c r="F6010" t="s">
        <v>41</v>
      </c>
      <c r="G6010">
        <v>-366.69619999999998</v>
      </c>
      <c r="H6010">
        <v>1.0012529999999999</v>
      </c>
      <c r="I6010">
        <v>17.405929999999898</v>
      </c>
      <c r="J6010">
        <v>-367.29759999999999</v>
      </c>
      <c r="K6010">
        <v>1.1111709999999999</v>
      </c>
      <c r="L6010">
        <v>17.412410000000001</v>
      </c>
      <c r="M6010">
        <v>0.99985380000000001</v>
      </c>
      <c r="N6010">
        <v>-1.4226620000000001E-2</v>
      </c>
      <c r="O6010">
        <v>-9.4862090000000007E-3</v>
      </c>
      <c r="P6010">
        <v>0.91577949999999997</v>
      </c>
      <c r="Q6010">
        <v>0.3970341</v>
      </c>
      <c r="R6010">
        <v>6.0926710000000002E-2</v>
      </c>
      <c r="S6010">
        <v>3.4919739999999999</v>
      </c>
      <c r="T6010">
        <v>-0.49152570000000001</v>
      </c>
      <c r="U6010">
        <v>-3.598022E-2</v>
      </c>
      <c r="V6010">
        <v>-6.9860350000000002E-2</v>
      </c>
      <c r="W6010">
        <v>0.40997149999999999</v>
      </c>
      <c r="X6010">
        <v>0.90941899999999998</v>
      </c>
      <c r="Y6010">
        <v>8.8198469999999996E-4</v>
      </c>
      <c r="Z6010">
        <v>1.1262069999999999E-3</v>
      </c>
      <c r="AA6010">
        <v>0.99999899999999997</v>
      </c>
      <c r="AB6010">
        <v>38</v>
      </c>
      <c r="AC6010">
        <v>0.60140000000001204</v>
      </c>
      <c r="AD6010">
        <v>-0.109917999999999</v>
      </c>
      <c r="AE6010">
        <v>-6.4800000000033702E-3</v>
      </c>
      <c r="AF6010">
        <v>7.4910399856691697E-4</v>
      </c>
      <c r="AG6010">
        <v>-0.109917999999999</v>
      </c>
      <c r="AH6010">
        <v>0.58199515097634902</v>
      </c>
      <c r="AI6010">
        <v>100.695131618163</v>
      </c>
      <c r="AJ6010">
        <v>89.926252866952396</v>
      </c>
      <c r="AK6010">
        <v>0.59228446175869298</v>
      </c>
      <c r="AL6010">
        <v>65.796955728490602</v>
      </c>
      <c r="AM6010">
        <v>94.392757915807806</v>
      </c>
      <c r="AN6010">
        <v>1.0000000084376801</v>
      </c>
    </row>
    <row r="6011" spans="1:40" x14ac:dyDescent="0.25">
      <c r="A6011" t="str">
        <f>"20190304165006482"</f>
        <v>20190304165006482</v>
      </c>
      <c r="B6011" t="str">
        <f>"1551689406472164"</f>
        <v>1551689406472164</v>
      </c>
      <c r="C6011" t="s">
        <v>40</v>
      </c>
      <c r="D6011">
        <v>4.8109099999999998</v>
      </c>
      <c r="E6011">
        <v>0.5499735</v>
      </c>
      <c r="F6011" t="s">
        <v>41</v>
      </c>
      <c r="G6011">
        <v>-366.37110000000001</v>
      </c>
      <c r="H6011">
        <v>0.98045420000000005</v>
      </c>
      <c r="I6011">
        <v>17.400849999999998</v>
      </c>
      <c r="J6011">
        <v>-366.959</v>
      </c>
      <c r="K6011">
        <v>1.1111879999999901</v>
      </c>
      <c r="L6011">
        <v>17.40945</v>
      </c>
      <c r="M6011">
        <v>0.9998551</v>
      </c>
      <c r="N6011">
        <v>-1.4305709999999999E-2</v>
      </c>
      <c r="O6011">
        <v>-9.2328159999999996E-3</v>
      </c>
      <c r="P6011">
        <v>0.91585649999999996</v>
      </c>
      <c r="Q6011">
        <v>0.3974318</v>
      </c>
      <c r="R6011">
        <v>5.705122E-2</v>
      </c>
      <c r="S6011">
        <v>3.4923709999999999</v>
      </c>
      <c r="T6011">
        <v>-0.492753</v>
      </c>
      <c r="U6011">
        <v>-4.2846679999999998E-2</v>
      </c>
      <c r="V6011">
        <v>-6.5762879999999996E-2</v>
      </c>
      <c r="W6011">
        <v>0.41044419999999998</v>
      </c>
      <c r="X6011">
        <v>0.90951130000000002</v>
      </c>
      <c r="Y6011">
        <v>3.0743979999999999E-3</v>
      </c>
      <c r="Z6011">
        <v>9.2676919999999999E-4</v>
      </c>
      <c r="AA6011">
        <v>0.99999490000000002</v>
      </c>
      <c r="AB6011">
        <v>38</v>
      </c>
      <c r="AC6011">
        <v>0.58789999999998999</v>
      </c>
      <c r="AD6011">
        <v>-0.13073379999999901</v>
      </c>
      <c r="AE6011">
        <v>-8.6000000000012698E-3</v>
      </c>
      <c r="AF6011">
        <v>3.0217130302136598E-3</v>
      </c>
      <c r="AG6011">
        <v>-0.13073379999999901</v>
      </c>
      <c r="AH6011">
        <v>0.56025547790419306</v>
      </c>
      <c r="AI6011">
        <v>103.13456740832</v>
      </c>
      <c r="AJ6011">
        <v>89.690980754981396</v>
      </c>
      <c r="AK6011">
        <v>0.57531439903215797</v>
      </c>
      <c r="AL6011">
        <v>65.767258228842195</v>
      </c>
      <c r="AM6011">
        <v>94.135616115141801</v>
      </c>
      <c r="AN6011">
        <v>1.0000000012636101</v>
      </c>
    </row>
    <row r="6012" spans="1:40" x14ac:dyDescent="0.25">
      <c r="A6012" t="str">
        <f>"20190304165006503"</f>
        <v>20190304165006503</v>
      </c>
      <c r="B6012" t="str">
        <f>"1551689406491682"</f>
        <v>1551689406491682</v>
      </c>
      <c r="C6012" t="s">
        <v>40</v>
      </c>
      <c r="D6012">
        <v>4.7751279999999996</v>
      </c>
      <c r="E6012">
        <v>0.55021739999999997</v>
      </c>
      <c r="F6012" t="s">
        <v>41</v>
      </c>
      <c r="G6012">
        <v>-366.03590000000003</v>
      </c>
      <c r="H6012">
        <v>0.98093070000000004</v>
      </c>
      <c r="I6012">
        <v>17.393470000000001</v>
      </c>
      <c r="J6012">
        <v>-366.6146</v>
      </c>
      <c r="K6012">
        <v>1.1112089999999999</v>
      </c>
      <c r="L6012">
        <v>17.40652</v>
      </c>
      <c r="M6012">
        <v>0.99985670000000004</v>
      </c>
      <c r="N6012">
        <v>-1.437596E-2</v>
      </c>
      <c r="O6012">
        <v>-8.9595100000000004E-3</v>
      </c>
      <c r="P6012">
        <v>0.91589699999999996</v>
      </c>
      <c r="Q6012">
        <v>0.39791510000000002</v>
      </c>
      <c r="R6012">
        <v>5.2881499999999998E-2</v>
      </c>
      <c r="S6012">
        <v>3.4932859999999999</v>
      </c>
      <c r="T6012">
        <v>-0.49303789999999997</v>
      </c>
      <c r="U6012">
        <v>-5.9051510000000001E-2</v>
      </c>
      <c r="V6012">
        <v>-6.1356540000000001E-2</v>
      </c>
      <c r="W6012">
        <v>0.4109932</v>
      </c>
      <c r="X6012">
        <v>0.90957129999999997</v>
      </c>
      <c r="Y6012">
        <v>7.9270139999999996E-3</v>
      </c>
      <c r="Z6012">
        <v>5.1603830000000002E-4</v>
      </c>
      <c r="AA6012">
        <v>0.99996850000000004</v>
      </c>
      <c r="AB6012">
        <v>38</v>
      </c>
      <c r="AC6012">
        <v>0.57869999999996902</v>
      </c>
      <c r="AD6012">
        <v>-0.13027830000000001</v>
      </c>
      <c r="AE6012">
        <v>-1.3049999999999701E-2</v>
      </c>
      <c r="AF6012">
        <v>7.4849288370916504E-3</v>
      </c>
      <c r="AG6012">
        <v>-0.13027830000000001</v>
      </c>
      <c r="AH6012">
        <v>0.55088880879965296</v>
      </c>
      <c r="AI6012">
        <v>103.304105523193</v>
      </c>
      <c r="AJ6012">
        <v>89.221569872959506</v>
      </c>
      <c r="AK6012">
        <v>0.56613332287658702</v>
      </c>
      <c r="AL6012">
        <v>65.732758454259994</v>
      </c>
      <c r="AM6012">
        <v>93.8591290744655</v>
      </c>
      <c r="AN6012">
        <v>0.99999999261535</v>
      </c>
    </row>
    <row r="6013" spans="1:40" x14ac:dyDescent="0.25">
      <c r="A6013" t="str">
        <f>"20190304165006513"</f>
        <v>20190304165006513</v>
      </c>
      <c r="B6013" t="str">
        <f>"1551689406501443"</f>
        <v>1551689406501443</v>
      </c>
      <c r="C6013" t="s">
        <v>40</v>
      </c>
      <c r="D6013">
        <v>4.7600389999999999</v>
      </c>
      <c r="E6013">
        <v>0.55033449999999995</v>
      </c>
      <c r="F6013" t="s">
        <v>41</v>
      </c>
      <c r="G6013">
        <v>-365.70080000000002</v>
      </c>
      <c r="H6013">
        <v>0.982352</v>
      </c>
      <c r="I6013">
        <v>17.386710000000001</v>
      </c>
      <c r="J6013">
        <v>-366.4357</v>
      </c>
      <c r="K6013">
        <v>1.111224</v>
      </c>
      <c r="L6013">
        <v>17.40503</v>
      </c>
      <c r="M6013">
        <v>0.99985749999999995</v>
      </c>
      <c r="N6013">
        <v>-1.4409460000000001E-2</v>
      </c>
      <c r="O6013">
        <v>-8.8117990000000004E-3</v>
      </c>
      <c r="P6013">
        <v>0.9160587</v>
      </c>
      <c r="Q6013">
        <v>0.3978024</v>
      </c>
      <c r="R6013">
        <v>5.0891970000000002E-2</v>
      </c>
      <c r="S6013">
        <v>3.4939269999999998</v>
      </c>
      <c r="T6013">
        <v>-0.49278430000000001</v>
      </c>
      <c r="U6013">
        <v>-7.5225829999999994E-2</v>
      </c>
      <c r="V6013">
        <v>-5.9240859999999999E-2</v>
      </c>
      <c r="W6013">
        <v>0.41091420000000001</v>
      </c>
      <c r="X6013">
        <v>0.90974730000000004</v>
      </c>
      <c r="Y6013">
        <v>1.26462E-2</v>
      </c>
      <c r="Z6013">
        <v>1.311664E-4</v>
      </c>
      <c r="AA6013">
        <v>0.99992000000000003</v>
      </c>
      <c r="AB6013">
        <v>37</v>
      </c>
      <c r="AC6013">
        <v>0.73489999999998101</v>
      </c>
      <c r="AD6013">
        <v>-0.12887199999999999</v>
      </c>
      <c r="AE6013">
        <v>-1.8319999999999202E-2</v>
      </c>
      <c r="AF6013">
        <v>1.14897238689111E-2</v>
      </c>
      <c r="AG6013">
        <v>-0.12887199999999999</v>
      </c>
      <c r="AH6013">
        <v>0.71311738638590105</v>
      </c>
      <c r="AI6013">
        <v>100.242425526329</v>
      </c>
      <c r="AJ6013">
        <v>89.076932154653406</v>
      </c>
      <c r="AK6013">
        <v>0.72475955523500502</v>
      </c>
      <c r="AL6013">
        <v>65.737725046742696</v>
      </c>
      <c r="AM6013">
        <v>93.725722322630503</v>
      </c>
      <c r="AN6013">
        <v>1.00000005455623</v>
      </c>
    </row>
    <row r="6014" spans="1:40" x14ac:dyDescent="0.25">
      <c r="A6014" t="str">
        <f>"20190304165006524"</f>
        <v>20190304165006524</v>
      </c>
      <c r="B6014" t="str">
        <f>"1551689406521939"</f>
        <v>1551689406521939</v>
      </c>
      <c r="C6014" t="s">
        <v>40</v>
      </c>
      <c r="D6014">
        <v>4.8302559999999897</v>
      </c>
      <c r="E6014">
        <v>0.55054639999999999</v>
      </c>
      <c r="F6014" t="s">
        <v>41</v>
      </c>
      <c r="G6014">
        <v>-365.68939999999998</v>
      </c>
      <c r="H6014">
        <v>1.0057400000000001</v>
      </c>
      <c r="I6014">
        <v>17.387119999999999</v>
      </c>
      <c r="J6014">
        <v>-366.24939999999998</v>
      </c>
      <c r="K6014">
        <v>1.1112340000000001</v>
      </c>
      <c r="L6014">
        <v>17.40353</v>
      </c>
      <c r="M6014">
        <v>0.99985840000000004</v>
      </c>
      <c r="N6014">
        <v>-1.444084E-2</v>
      </c>
      <c r="O6014">
        <v>-8.6484300000000004E-3</v>
      </c>
      <c r="P6014">
        <v>0.91603679999999998</v>
      </c>
      <c r="Q6014">
        <v>0.3980996</v>
      </c>
      <c r="R6014">
        <v>4.8921449999999998E-2</v>
      </c>
      <c r="S6014">
        <v>3.4939879999999999</v>
      </c>
      <c r="T6014">
        <v>-0.49387039999999999</v>
      </c>
      <c r="U6014">
        <v>-8.3160399999999995E-2</v>
      </c>
      <c r="V6014">
        <v>-5.7130140000000003E-2</v>
      </c>
      <c r="W6014">
        <v>0.4112401</v>
      </c>
      <c r="X6014">
        <v>0.90973499999999996</v>
      </c>
      <c r="Y6014">
        <v>1.505078E-2</v>
      </c>
      <c r="Z6014" s="1">
        <v>-7.5725310000000006E-5</v>
      </c>
      <c r="AA6014">
        <v>0.99988679999999996</v>
      </c>
      <c r="AB6014">
        <v>37</v>
      </c>
      <c r="AC6014">
        <v>0.56000000000000205</v>
      </c>
      <c r="AD6014">
        <v>-0.105494</v>
      </c>
      <c r="AE6014">
        <v>-1.64100000000004E-2</v>
      </c>
      <c r="AF6014">
        <v>1.1169711900254699E-2</v>
      </c>
      <c r="AG6014">
        <v>-0.105494</v>
      </c>
      <c r="AH6014">
        <v>0.54094064753317705</v>
      </c>
      <c r="AI6014">
        <v>101.032993847287</v>
      </c>
      <c r="AJ6014">
        <v>88.817085717017704</v>
      </c>
      <c r="AK6014">
        <v>0.55124452891030795</v>
      </c>
      <c r="AL6014">
        <v>65.717240775835904</v>
      </c>
      <c r="AM6014">
        <v>93.593379497132403</v>
      </c>
      <c r="AN6014">
        <v>1.00000002148471</v>
      </c>
    </row>
    <row r="6015" spans="1:40" x14ac:dyDescent="0.25">
      <c r="A6015" t="str">
        <f>"20190304165006536"</f>
        <v>20190304165006536</v>
      </c>
      <c r="B6015" t="str">
        <f>"1551689406531700"</f>
        <v>1551689406531700</v>
      </c>
      <c r="C6015" t="s">
        <v>40</v>
      </c>
      <c r="D6015">
        <v>4.9319639999999998</v>
      </c>
      <c r="E6015">
        <v>0.55067100000000002</v>
      </c>
      <c r="F6015" t="s">
        <v>41</v>
      </c>
      <c r="G6015">
        <v>-365.3648</v>
      </c>
      <c r="H6015">
        <v>0.98619769999999896</v>
      </c>
      <c r="I6015">
        <v>17.379929999999899</v>
      </c>
      <c r="J6015">
        <v>-366.05130000000003</v>
      </c>
      <c r="K6015">
        <v>1.111248</v>
      </c>
      <c r="L6015">
        <v>17.401979999999998</v>
      </c>
      <c r="M6015">
        <v>0.99985939999999995</v>
      </c>
      <c r="N6015">
        <v>-1.4473E-2</v>
      </c>
      <c r="O6015">
        <v>-8.4714600000000001E-3</v>
      </c>
      <c r="P6015">
        <v>0.91630299999999998</v>
      </c>
      <c r="Q6015">
        <v>0.3977154</v>
      </c>
      <c r="R6015">
        <v>4.7026279999999997E-2</v>
      </c>
      <c r="S6015">
        <v>3.4945979999999999</v>
      </c>
      <c r="T6015">
        <v>-0.49401080000000003</v>
      </c>
      <c r="U6015">
        <v>-9.2407230000000007E-2</v>
      </c>
      <c r="V6015">
        <v>-5.508511E-2</v>
      </c>
      <c r="W6015">
        <v>0.41088930000000001</v>
      </c>
      <c r="X6015">
        <v>0.91001960000000004</v>
      </c>
      <c r="Y6015">
        <v>1.7835569999999999E-2</v>
      </c>
      <c r="Z6015">
        <v>-3.1466870000000001E-4</v>
      </c>
      <c r="AA6015">
        <v>0.99984090000000003</v>
      </c>
      <c r="AB6015">
        <v>37</v>
      </c>
      <c r="AC6015">
        <v>0.68650000000002298</v>
      </c>
      <c r="AD6015">
        <v>-0.1250503</v>
      </c>
      <c r="AE6015">
        <v>-2.2050000000000101E-2</v>
      </c>
      <c r="AF6015">
        <v>1.5712136464226499E-2</v>
      </c>
      <c r="AG6015">
        <v>-0.1250503</v>
      </c>
      <c r="AH6015">
        <v>0.66463181054311504</v>
      </c>
      <c r="AI6015">
        <v>100.65270571786201</v>
      </c>
      <c r="AJ6015">
        <v>88.645759285195993</v>
      </c>
      <c r="AK6015">
        <v>0.67647608409180204</v>
      </c>
      <c r="AL6015">
        <v>65.739289269495998</v>
      </c>
      <c r="AM6015">
        <v>93.463989086973896</v>
      </c>
      <c r="AN6015">
        <v>1.0000000292911799</v>
      </c>
    </row>
    <row r="6016" spans="1:40" x14ac:dyDescent="0.25">
      <c r="A6016" t="str">
        <f>"20190304165006547"</f>
        <v>20190304165006547</v>
      </c>
      <c r="B6016" t="str">
        <f>"1551689406541460"</f>
        <v>1551689406541460</v>
      </c>
      <c r="C6016" t="s">
        <v>40</v>
      </c>
      <c r="D6016">
        <v>4.8346289999999996</v>
      </c>
      <c r="E6016">
        <v>0.55074409999999996</v>
      </c>
      <c r="F6016" t="s">
        <v>41</v>
      </c>
      <c r="G6016">
        <v>-365.04</v>
      </c>
      <c r="H6016">
        <v>0.96788249999999998</v>
      </c>
      <c r="I6016">
        <v>17.37265</v>
      </c>
      <c r="J6016">
        <v>-365.85520000000002</v>
      </c>
      <c r="K6016">
        <v>1.111259</v>
      </c>
      <c r="L6016">
        <v>17.400449999999999</v>
      </c>
      <c r="M6016">
        <v>0.99986059999999999</v>
      </c>
      <c r="N6016">
        <v>-1.450098E-2</v>
      </c>
      <c r="O6016">
        <v>-8.2826299999999992E-3</v>
      </c>
      <c r="P6016">
        <v>0.91637219999999997</v>
      </c>
      <c r="Q6016">
        <v>0.39777750000000001</v>
      </c>
      <c r="R6016">
        <v>4.5113130000000001E-2</v>
      </c>
      <c r="S6016">
        <v>3.4942630000000001</v>
      </c>
      <c r="T6016">
        <v>-0.49534600000000001</v>
      </c>
      <c r="U6016">
        <v>-0.10110470000000001</v>
      </c>
      <c r="V6016">
        <v>-5.3011919999999997E-2</v>
      </c>
      <c r="W6016">
        <v>0.41097800000000001</v>
      </c>
      <c r="X6016">
        <v>0.91010259999999998</v>
      </c>
      <c r="Y6016">
        <v>2.0482279999999999E-2</v>
      </c>
      <c r="Z6016">
        <v>-5.4516079999999999E-4</v>
      </c>
      <c r="AA6016">
        <v>0.99979010000000001</v>
      </c>
      <c r="AB6016">
        <v>37</v>
      </c>
      <c r="AC6016">
        <v>0.81520000000000403</v>
      </c>
      <c r="AD6016">
        <v>-0.14337649999999899</v>
      </c>
      <c r="AE6016">
        <v>-2.77999999999991E-2</v>
      </c>
      <c r="AF6016">
        <v>2.0415547904923E-2</v>
      </c>
      <c r="AG6016">
        <v>-0.14337649999999899</v>
      </c>
      <c r="AH6016">
        <v>0.79096354499709798</v>
      </c>
      <c r="AI6016">
        <v>100.270989701299</v>
      </c>
      <c r="AJ6016">
        <v>88.521467793293596</v>
      </c>
      <c r="AK6016">
        <v>0.80411252002619904</v>
      </c>
      <c r="AL6016">
        <v>65.733712951180394</v>
      </c>
      <c r="AM6016">
        <v>93.333614408968103</v>
      </c>
      <c r="AN6016">
        <v>0.99999996133642199</v>
      </c>
    </row>
    <row r="6017" spans="1:40" x14ac:dyDescent="0.25">
      <c r="A6017" t="str">
        <f>"20190304165006560"</f>
        <v>20190304165006560</v>
      </c>
      <c r="B6017" t="str">
        <f>"1551689406552194"</f>
        <v>1551689406552194</v>
      </c>
      <c r="C6017" t="s">
        <v>40</v>
      </c>
      <c r="D6017">
        <v>4.8560189999999999</v>
      </c>
      <c r="E6017">
        <v>0.55083660000000001</v>
      </c>
      <c r="F6017" t="s">
        <v>41</v>
      </c>
      <c r="G6017">
        <v>-365.02730000000003</v>
      </c>
      <c r="H6017">
        <v>0.99378319999999998</v>
      </c>
      <c r="I6017">
        <v>17.374500000000001</v>
      </c>
      <c r="J6017">
        <v>-365.65269999999998</v>
      </c>
      <c r="K6017">
        <v>1.111275</v>
      </c>
      <c r="L6017">
        <v>17.398959999999999</v>
      </c>
      <c r="M6017">
        <v>0.99986180000000002</v>
      </c>
      <c r="N6017">
        <v>-1.452838E-2</v>
      </c>
      <c r="O6017">
        <v>-8.0815039999999998E-3</v>
      </c>
      <c r="P6017">
        <v>0.91648949999999996</v>
      </c>
      <c r="Q6017">
        <v>0.39768419999999999</v>
      </c>
      <c r="R6017">
        <v>4.3519629999999997E-2</v>
      </c>
      <c r="S6017">
        <v>3.494415</v>
      </c>
      <c r="T6017">
        <v>-0.49586989999999997</v>
      </c>
      <c r="U6017">
        <v>-0.1092529</v>
      </c>
      <c r="V6017">
        <v>-5.1248109999999999E-2</v>
      </c>
      <c r="W6017">
        <v>0.41091149999999999</v>
      </c>
      <c r="X6017">
        <v>0.91023370000000003</v>
      </c>
      <c r="Y6017">
        <v>2.2981660000000001E-2</v>
      </c>
      <c r="Z6017">
        <v>-7.660923E-4</v>
      </c>
      <c r="AA6017">
        <v>0.99973559999999995</v>
      </c>
      <c r="AB6017">
        <v>37</v>
      </c>
      <c r="AC6017">
        <v>0.62539999999995599</v>
      </c>
      <c r="AD6017">
        <v>-0.11749179999999899</v>
      </c>
      <c r="AE6017">
        <v>-2.4459999999997699E-2</v>
      </c>
      <c r="AF6017">
        <v>1.8743958438281801E-2</v>
      </c>
      <c r="AG6017">
        <v>-0.11749179999999899</v>
      </c>
      <c r="AH6017">
        <v>0.60428237383085903</v>
      </c>
      <c r="AI6017">
        <v>100.997690639212</v>
      </c>
      <c r="AJ6017">
        <v>88.223338092395295</v>
      </c>
      <c r="AK6017">
        <v>0.61588379290888495</v>
      </c>
      <c r="AL6017">
        <v>65.737893559393896</v>
      </c>
      <c r="AM6017">
        <v>93.222473168126697</v>
      </c>
      <c r="AN6017">
        <v>1.0000000091132499</v>
      </c>
    </row>
    <row r="6018" spans="1:40" x14ac:dyDescent="0.25">
      <c r="A6018" t="str">
        <f>"20190304165006571"</f>
        <v>20190304165006571</v>
      </c>
      <c r="B6018" t="str">
        <f>"1551689406561955"</f>
        <v>1551689406561955</v>
      </c>
      <c r="C6018" t="s">
        <v>40</v>
      </c>
      <c r="D6018">
        <v>4.8421339999999997</v>
      </c>
      <c r="E6018">
        <v>0.55104880000000001</v>
      </c>
      <c r="F6018" t="s">
        <v>41</v>
      </c>
      <c r="G6018">
        <v>-364.70269999999999</v>
      </c>
      <c r="H6018">
        <v>0.97624500000000003</v>
      </c>
      <c r="I6018">
        <v>17.367000000000001</v>
      </c>
      <c r="J6018">
        <v>-365.44839999999999</v>
      </c>
      <c r="K6018">
        <v>1.1112930000000001</v>
      </c>
      <c r="L6018">
        <v>17.397459999999999</v>
      </c>
      <c r="M6018">
        <v>0.99986330000000001</v>
      </c>
      <c r="N6018">
        <v>-1.455379E-2</v>
      </c>
      <c r="O6018">
        <v>-7.8696259999999994E-3</v>
      </c>
      <c r="P6018">
        <v>0.91658519999999999</v>
      </c>
      <c r="Q6018">
        <v>0.39767750000000002</v>
      </c>
      <c r="R6018">
        <v>4.1526970000000003E-2</v>
      </c>
      <c r="S6018">
        <v>3.494415</v>
      </c>
      <c r="T6018">
        <v>-0.4966333</v>
      </c>
      <c r="U6018">
        <v>-0.11685180000000001</v>
      </c>
      <c r="V6018">
        <v>-4.9076040000000001E-2</v>
      </c>
      <c r="W6018">
        <v>0.41093020000000002</v>
      </c>
      <c r="X6018">
        <v>0.91034499999999996</v>
      </c>
      <c r="Y6018">
        <v>2.5336790000000001E-2</v>
      </c>
      <c r="Z6018">
        <v>-9.7790779999999992E-4</v>
      </c>
      <c r="AA6018">
        <v>0.99967850000000003</v>
      </c>
      <c r="AB6018">
        <v>37</v>
      </c>
      <c r="AC6018">
        <v>0.74569999999999903</v>
      </c>
      <c r="AD6018">
        <v>-0.135048</v>
      </c>
      <c r="AE6018">
        <v>-3.0459999999997898E-2</v>
      </c>
      <c r="AF6018">
        <v>2.3810421372936701E-2</v>
      </c>
      <c r="AG6018">
        <v>-0.135048</v>
      </c>
      <c r="AH6018">
        <v>0.72226714349784704</v>
      </c>
      <c r="AI6018">
        <v>100.58513465245299</v>
      </c>
      <c r="AJ6018">
        <v>88.111858219440506</v>
      </c>
      <c r="AK6018">
        <v>0.73516986135620199</v>
      </c>
      <c r="AL6018">
        <v>65.736719454098207</v>
      </c>
      <c r="AM6018">
        <v>93.085786998302893</v>
      </c>
      <c r="AN6018">
        <v>1.0000000529995501</v>
      </c>
    </row>
    <row r="6019" spans="1:40" x14ac:dyDescent="0.25">
      <c r="A6019" t="str">
        <f>"20190304165006583"</f>
        <v>20190304165006583</v>
      </c>
      <c r="B6019" t="str">
        <f>"1551689406571715"</f>
        <v>1551689406571715</v>
      </c>
      <c r="C6019" t="s">
        <v>40</v>
      </c>
      <c r="D6019">
        <v>4.7996160000000003</v>
      </c>
      <c r="E6019">
        <v>0.55104880000000001</v>
      </c>
      <c r="F6019" t="s">
        <v>41</v>
      </c>
      <c r="G6019">
        <v>-364.6893</v>
      </c>
      <c r="H6019">
        <v>1.0033319999999999</v>
      </c>
      <c r="I6019">
        <v>17.369730000000001</v>
      </c>
      <c r="J6019">
        <v>-365.26650000000001</v>
      </c>
      <c r="K6019">
        <v>1.111305</v>
      </c>
      <c r="L6019">
        <v>17.396239999999999</v>
      </c>
      <c r="M6019">
        <v>0.99986450000000004</v>
      </c>
      <c r="N6019">
        <v>-1.4574210000000001E-2</v>
      </c>
      <c r="O6019">
        <v>-7.6713269999999899E-3</v>
      </c>
      <c r="P6019">
        <v>0.91664809999999997</v>
      </c>
      <c r="Q6019">
        <v>0.39773579999999997</v>
      </c>
      <c r="R6019">
        <v>3.9529189999999999E-2</v>
      </c>
      <c r="S6019">
        <v>3.4943849999999999</v>
      </c>
      <c r="T6019">
        <v>-0.4969634</v>
      </c>
      <c r="U6019">
        <v>-0.12680050000000001</v>
      </c>
      <c r="V6019">
        <v>-4.6909300000000001E-2</v>
      </c>
      <c r="W6019">
        <v>0.41100890000000001</v>
      </c>
      <c r="X6019">
        <v>0.9104236</v>
      </c>
      <c r="Y6019">
        <v>2.8342679999999999E-2</v>
      </c>
      <c r="Z6019">
        <v>-1.2385670000000001E-3</v>
      </c>
      <c r="AA6019">
        <v>0.99959750000000003</v>
      </c>
      <c r="AB6019">
        <v>37</v>
      </c>
      <c r="AC6019">
        <v>0.57720000000000404</v>
      </c>
      <c r="AD6019">
        <v>-0.107973</v>
      </c>
      <c r="AE6019">
        <v>-2.6509999999998202E-2</v>
      </c>
      <c r="AF6019">
        <v>2.13358328873616E-2</v>
      </c>
      <c r="AG6019">
        <v>-0.107973</v>
      </c>
      <c r="AH6019">
        <v>0.55790488671365501</v>
      </c>
      <c r="AI6019">
        <v>100.945404709847</v>
      </c>
      <c r="AJ6019">
        <v>87.809917463874399</v>
      </c>
      <c r="AK6019">
        <v>0.56865740926587205</v>
      </c>
      <c r="AL6019">
        <v>65.731771000703503</v>
      </c>
      <c r="AM6019">
        <v>92.949539375584294</v>
      </c>
      <c r="AN6019">
        <v>0.99999996487132903</v>
      </c>
    </row>
    <row r="6020" spans="1:40" x14ac:dyDescent="0.25">
      <c r="A6020" t="str">
        <f>"20190304165006595"</f>
        <v>20190304165006595</v>
      </c>
      <c r="B6020" t="str">
        <f>"1551689406592211"</f>
        <v>1551689406592211</v>
      </c>
      <c r="C6020" t="s">
        <v>40</v>
      </c>
      <c r="D6020">
        <v>4.784357</v>
      </c>
      <c r="E6020">
        <v>0.56920899999999996</v>
      </c>
      <c r="F6020" t="s">
        <v>41</v>
      </c>
      <c r="G6020">
        <v>-364.36619999999999</v>
      </c>
      <c r="H6020">
        <v>0.98332819999999999</v>
      </c>
      <c r="I6020">
        <v>17.361509999999999</v>
      </c>
      <c r="J6020">
        <v>-365.07260000000002</v>
      </c>
      <c r="K6020">
        <v>1.1113230000000001</v>
      </c>
      <c r="L6020">
        <v>17.3949</v>
      </c>
      <c r="M6020">
        <v>0.99986569999999997</v>
      </c>
      <c r="N6020">
        <v>-1.459513E-2</v>
      </c>
      <c r="O6020">
        <v>-7.4569269999999899E-3</v>
      </c>
      <c r="P6020">
        <v>0.91663669999999997</v>
      </c>
      <c r="Q6020">
        <v>0.39794550000000001</v>
      </c>
      <c r="R6020">
        <v>3.763917E-2</v>
      </c>
      <c r="S6020">
        <v>3.4941409999999999</v>
      </c>
      <c r="T6020">
        <v>-0.4966817</v>
      </c>
      <c r="U6020">
        <v>-0.13516239999999999</v>
      </c>
      <c r="V6020">
        <v>-4.4835930000000003E-2</v>
      </c>
      <c r="W6020">
        <v>0.41123799999999999</v>
      </c>
      <c r="X6020">
        <v>0.91042460000000003</v>
      </c>
      <c r="Y6020">
        <v>3.091814E-2</v>
      </c>
      <c r="Z6020">
        <v>-1.466705E-3</v>
      </c>
      <c r="AA6020">
        <v>0.99952079999999999</v>
      </c>
      <c r="AB6020">
        <v>37</v>
      </c>
      <c r="AC6020">
        <v>0.70640000000003</v>
      </c>
      <c r="AD6020">
        <v>-0.12799479999999999</v>
      </c>
      <c r="AE6020">
        <v>-3.3390000000000697E-2</v>
      </c>
      <c r="AF6020">
        <v>2.7228977232740099E-2</v>
      </c>
      <c r="AG6020">
        <v>-0.12799479999999999</v>
      </c>
      <c r="AH6020">
        <v>0.68421599409766098</v>
      </c>
      <c r="AI6020">
        <v>100.58754194664699</v>
      </c>
      <c r="AJ6020">
        <v>87.721066614751095</v>
      </c>
      <c r="AK6020">
        <v>0.69661726407492397</v>
      </c>
      <c r="AL6020">
        <v>65.717370999176495</v>
      </c>
      <c r="AM6020">
        <v>92.819383164083902</v>
      </c>
      <c r="AN6020">
        <v>0.99999995277406095</v>
      </c>
    </row>
    <row r="6021" spans="1:40" x14ac:dyDescent="0.25">
      <c r="A6021" t="str">
        <f>"20190304165006606"</f>
        <v>20190304165006606</v>
      </c>
      <c r="B6021" t="str">
        <f>"1551689406601971"</f>
        <v>1551689406601971</v>
      </c>
      <c r="C6021" t="s">
        <v>40</v>
      </c>
      <c r="D6021">
        <v>4.7466589999999904</v>
      </c>
      <c r="E6021">
        <v>0.56931350000000003</v>
      </c>
      <c r="F6021" t="s">
        <v>41</v>
      </c>
      <c r="G6021">
        <v>-364.35930000000002</v>
      </c>
      <c r="H6021">
        <v>0.998278</v>
      </c>
      <c r="I6021">
        <v>17.338010000000001</v>
      </c>
      <c r="J6021">
        <v>-364.88389999999998</v>
      </c>
      <c r="K6021">
        <v>1.1113379999999999</v>
      </c>
      <c r="L6021">
        <v>17.39368</v>
      </c>
      <c r="M6021">
        <v>0.99986719999999896</v>
      </c>
      <c r="N6021">
        <v>-1.4612750000000001E-2</v>
      </c>
      <c r="O6021">
        <v>-7.2378809999999998E-3</v>
      </c>
      <c r="P6021">
        <v>0.91671139999999995</v>
      </c>
      <c r="Q6021">
        <v>0.3979625</v>
      </c>
      <c r="R6021">
        <v>3.5586050000000001E-2</v>
      </c>
      <c r="S6021">
        <v>3.527069</v>
      </c>
      <c r="T6021">
        <v>-0.55891749999999996</v>
      </c>
      <c r="U6021">
        <v>-0.28176879999999999</v>
      </c>
      <c r="V6021">
        <v>-4.2594119999999999E-2</v>
      </c>
      <c r="W6021">
        <v>0.41127269999999999</v>
      </c>
      <c r="X6021">
        <v>0.91051660000000001</v>
      </c>
      <c r="Y6021">
        <v>7.1520100000000003E-2</v>
      </c>
      <c r="Z6021">
        <v>-5.116776E-3</v>
      </c>
      <c r="AA6021">
        <v>0.99742600000000003</v>
      </c>
      <c r="AB6021">
        <v>37</v>
      </c>
      <c r="AC6021">
        <v>0.52459999999996398</v>
      </c>
      <c r="AD6021">
        <v>-0.11305999999999899</v>
      </c>
      <c r="AE6021">
        <v>-5.5669999999999199E-2</v>
      </c>
      <c r="AF6021">
        <v>4.95933150129148E-2</v>
      </c>
      <c r="AG6021">
        <v>-0.11305999999999899</v>
      </c>
      <c r="AH6021">
        <v>0.50193526085154805</v>
      </c>
      <c r="AI6021">
        <v>102.634385340116</v>
      </c>
      <c r="AJ6021">
        <v>84.357250445175893</v>
      </c>
      <c r="AK6021">
        <v>0.51689560510811305</v>
      </c>
      <c r="AL6021">
        <v>65.715190702678399</v>
      </c>
      <c r="AM6021">
        <v>92.678353605149994</v>
      </c>
      <c r="AN6021">
        <v>0.99999998584971195</v>
      </c>
    </row>
    <row r="6022" spans="1:40" x14ac:dyDescent="0.25">
      <c r="A6022" t="str">
        <f>"20190304165006625"</f>
        <v>20190304165006625</v>
      </c>
      <c r="B6022" t="str">
        <f>"1551689406621491"</f>
        <v>1551689406621491</v>
      </c>
      <c r="C6022" t="s">
        <v>40</v>
      </c>
      <c r="D6022">
        <v>4.7773690000000002</v>
      </c>
      <c r="E6022">
        <v>0.56995399999999996</v>
      </c>
      <c r="F6022" t="s">
        <v>41</v>
      </c>
      <c r="G6022">
        <v>-364.03739999999999</v>
      </c>
      <c r="H6022">
        <v>0.97703720000000005</v>
      </c>
      <c r="I6022">
        <v>17.323619999999998</v>
      </c>
      <c r="J6022">
        <v>-364.56900000000002</v>
      </c>
      <c r="K6022">
        <v>1.111361</v>
      </c>
      <c r="L6022">
        <v>17.391749999999998</v>
      </c>
      <c r="M6022">
        <v>0.99986929999999996</v>
      </c>
      <c r="N6022">
        <v>-1.464006E-2</v>
      </c>
      <c r="O6022">
        <v>-6.864439E-3</v>
      </c>
      <c r="P6022">
        <v>0.91674420000000001</v>
      </c>
      <c r="Q6022">
        <v>0.39825650000000001</v>
      </c>
      <c r="R6022">
        <v>3.1173929999999999E-2</v>
      </c>
      <c r="S6022">
        <v>3.5268549999999999</v>
      </c>
      <c r="T6022">
        <v>-0.55957690000000004</v>
      </c>
      <c r="U6022">
        <v>-0.29083249999999999</v>
      </c>
      <c r="V6022">
        <v>-3.7856809999999998E-2</v>
      </c>
      <c r="W6022">
        <v>0.41159570000000001</v>
      </c>
      <c r="X6022">
        <v>0.91057999999999995</v>
      </c>
      <c r="Y6022">
        <v>7.4398590000000001E-2</v>
      </c>
      <c r="Z6022">
        <v>-5.4241990000000002E-3</v>
      </c>
      <c r="AA6022">
        <v>0.99721380000000004</v>
      </c>
      <c r="AB6022">
        <v>37</v>
      </c>
      <c r="AC6022">
        <v>0.53160000000002505</v>
      </c>
      <c r="AD6022">
        <v>-0.13432379999999999</v>
      </c>
      <c r="AE6022">
        <v>-6.8129999999996402E-2</v>
      </c>
      <c r="AF6022">
        <v>6.0668029408068903E-2</v>
      </c>
      <c r="AG6022">
        <v>-0.13432379999999999</v>
      </c>
      <c r="AH6022">
        <v>0.50060960248724495</v>
      </c>
      <c r="AI6022">
        <v>104.91562940412901</v>
      </c>
      <c r="AJ6022">
        <v>83.090117670428199</v>
      </c>
      <c r="AK6022">
        <v>0.52185579151824601</v>
      </c>
      <c r="AL6022">
        <v>65.694887558871002</v>
      </c>
      <c r="AM6022">
        <v>92.380666232345703</v>
      </c>
      <c r="AN6022">
        <v>1.0000000473609301</v>
      </c>
    </row>
    <row r="6023" spans="1:40" x14ac:dyDescent="0.25">
      <c r="A6023" t="str">
        <f>"20190304165006637"</f>
        <v>20190304165006637</v>
      </c>
      <c r="B6023" t="str">
        <f>"1551689406632227"</f>
        <v>1551689406632227</v>
      </c>
      <c r="C6023" t="s">
        <v>40</v>
      </c>
      <c r="D6023">
        <v>4.6121129999999999</v>
      </c>
      <c r="E6023">
        <v>0.57102010000000003</v>
      </c>
      <c r="F6023" t="s">
        <v>41</v>
      </c>
      <c r="G6023">
        <v>-363.70549999999997</v>
      </c>
      <c r="H6023">
        <v>0.97615280000000004</v>
      </c>
      <c r="I6023">
        <v>17.314910000000001</v>
      </c>
      <c r="J6023">
        <v>-364.38240000000002</v>
      </c>
      <c r="K6023">
        <v>1.111375</v>
      </c>
      <c r="L6023">
        <v>17.39066</v>
      </c>
      <c r="M6023">
        <v>0.99987060000000005</v>
      </c>
      <c r="N6023">
        <v>-1.465495E-2</v>
      </c>
      <c r="O6023">
        <v>-6.6386219999999899E-3</v>
      </c>
      <c r="P6023">
        <v>0.91685550000000005</v>
      </c>
      <c r="Q6023">
        <v>0.39815210000000001</v>
      </c>
      <c r="R6023">
        <v>2.9173060000000001E-2</v>
      </c>
      <c r="S6023">
        <v>3.5227659999999998</v>
      </c>
      <c r="T6023">
        <v>-0.55163469999999903</v>
      </c>
      <c r="U6023">
        <v>-0.31359860000000001</v>
      </c>
      <c r="V6023">
        <v>-3.5659030000000001E-2</v>
      </c>
      <c r="W6023">
        <v>0.41150829999999999</v>
      </c>
      <c r="X6023">
        <v>0.91070819999999997</v>
      </c>
      <c r="Y6023">
        <v>8.1047480000000005E-2</v>
      </c>
      <c r="Z6023">
        <v>-5.9594089999999997E-3</v>
      </c>
      <c r="AA6023">
        <v>0.99669240000000003</v>
      </c>
      <c r="AB6023">
        <v>37</v>
      </c>
      <c r="AC6023">
        <v>0.67690000000004602</v>
      </c>
      <c r="AD6023">
        <v>-0.13522219999999899</v>
      </c>
      <c r="AE6023">
        <v>-7.5749999999999304E-2</v>
      </c>
      <c r="AF6023">
        <v>6.8552297564105594E-2</v>
      </c>
      <c r="AG6023">
        <v>-0.13522219999999899</v>
      </c>
      <c r="AH6023">
        <v>0.65170232016257901</v>
      </c>
      <c r="AI6023">
        <v>101.659460328923</v>
      </c>
      <c r="AJ6023">
        <v>83.995163210735797</v>
      </c>
      <c r="AK6023">
        <v>0.66910415854293304</v>
      </c>
      <c r="AL6023">
        <v>65.700381819801194</v>
      </c>
      <c r="AM6023">
        <v>92.242286560543207</v>
      </c>
      <c r="AN6023">
        <v>1.0000000364683299</v>
      </c>
    </row>
    <row r="6024" spans="1:40" x14ac:dyDescent="0.25">
      <c r="A6024" t="str">
        <f>"20190304165006648"</f>
        <v>20190304165006648</v>
      </c>
      <c r="B6024" t="str">
        <f>"1551689406641987"</f>
        <v>1551689406641987</v>
      </c>
      <c r="C6024" t="s">
        <v>40</v>
      </c>
      <c r="D6024">
        <v>4.843953</v>
      </c>
      <c r="E6024">
        <v>0.57087880000000002</v>
      </c>
      <c r="F6024" t="s">
        <v>41</v>
      </c>
      <c r="G6024">
        <v>-363.38099999999997</v>
      </c>
      <c r="H6024">
        <v>0.96126080000000003</v>
      </c>
      <c r="I6024">
        <v>17.295559999999998</v>
      </c>
      <c r="J6024">
        <v>-364.1825</v>
      </c>
      <c r="K6024">
        <v>1.1113879999999901</v>
      </c>
      <c r="L6024">
        <v>17.389530000000001</v>
      </c>
      <c r="M6024">
        <v>0.99987199999999998</v>
      </c>
      <c r="N6024">
        <v>-1.4668820000000001E-2</v>
      </c>
      <c r="O6024">
        <v>-6.3914849999999997E-3</v>
      </c>
      <c r="P6024">
        <v>0.91705349999999997</v>
      </c>
      <c r="Q6024">
        <v>0.39787289999999997</v>
      </c>
      <c r="R6024">
        <v>2.6654609999999999E-2</v>
      </c>
      <c r="S6024">
        <v>3.5112299999999999</v>
      </c>
      <c r="T6024">
        <v>-0.52639469999999899</v>
      </c>
      <c r="U6024">
        <v>-0.33224490000000001</v>
      </c>
      <c r="V6024">
        <v>-3.2922519999999997E-2</v>
      </c>
      <c r="W6024">
        <v>0.41124709999999998</v>
      </c>
      <c r="X6024">
        <v>0.91092919999999999</v>
      </c>
      <c r="Y6024">
        <v>8.6837059999999994E-2</v>
      </c>
      <c r="Z6024">
        <v>-6.2434369999999897E-3</v>
      </c>
      <c r="AA6024">
        <v>0.9962029</v>
      </c>
      <c r="AB6024">
        <v>37</v>
      </c>
      <c r="AC6024">
        <v>0.80150000000003196</v>
      </c>
      <c r="AD6024">
        <v>-0.15012719999999899</v>
      </c>
      <c r="AE6024">
        <v>-9.3969999999998693E-2</v>
      </c>
      <c r="AF6024">
        <v>8.5872825162194702E-2</v>
      </c>
      <c r="AG6024">
        <v>-0.15012719999999899</v>
      </c>
      <c r="AH6024">
        <v>0.77525393111401797</v>
      </c>
      <c r="AI6024">
        <v>100.894600101164</v>
      </c>
      <c r="AJ6024">
        <v>83.679264732984805</v>
      </c>
      <c r="AK6024">
        <v>0.79431163656899495</v>
      </c>
      <c r="AL6024">
        <v>65.716801216442306</v>
      </c>
      <c r="AM6024">
        <v>92.069865333144804</v>
      </c>
      <c r="AN6024">
        <v>1.00000003849709</v>
      </c>
    </row>
    <row r="6025" spans="1:40" x14ac:dyDescent="0.25">
      <c r="A6025" t="str">
        <f>"20190304165006660"</f>
        <v>20190304165006660</v>
      </c>
      <c r="B6025" t="str">
        <f>"1551689406651747"</f>
        <v>1551689406651747</v>
      </c>
      <c r="C6025" t="s">
        <v>40</v>
      </c>
      <c r="D6025">
        <v>4.8066610000000001</v>
      </c>
      <c r="E6025">
        <v>0.57083379999999995</v>
      </c>
      <c r="F6025" t="s">
        <v>41</v>
      </c>
      <c r="G6025">
        <v>-363.3673</v>
      </c>
      <c r="H6025">
        <v>0.98884309999999997</v>
      </c>
      <c r="I6025">
        <v>17.310229999999901</v>
      </c>
      <c r="J6025">
        <v>-363.99509999999998</v>
      </c>
      <c r="K6025">
        <v>1.111399</v>
      </c>
      <c r="L6025">
        <v>17.38852</v>
      </c>
      <c r="M6025">
        <v>0.99987340000000002</v>
      </c>
      <c r="N6025">
        <v>-1.4681069999999999E-2</v>
      </c>
      <c r="O6025">
        <v>-6.1580659999999898E-3</v>
      </c>
      <c r="P6025">
        <v>0.91733260000000005</v>
      </c>
      <c r="Q6025">
        <v>0.39738030000000002</v>
      </c>
      <c r="R6025">
        <v>2.4290840000000001E-2</v>
      </c>
      <c r="S6025">
        <v>3.5102229999999999</v>
      </c>
      <c r="T6025">
        <v>-0.52777399999999997</v>
      </c>
      <c r="U6025">
        <v>-0.33996579999999998</v>
      </c>
      <c r="V6025">
        <v>-3.0351989999999999E-2</v>
      </c>
      <c r="W6025">
        <v>0.41077239999999998</v>
      </c>
      <c r="X6025">
        <v>0.91123259999999995</v>
      </c>
      <c r="Y6025">
        <v>8.9230690000000001E-2</v>
      </c>
      <c r="Z6025">
        <v>-6.4870519999999897E-3</v>
      </c>
      <c r="AA6025">
        <v>0.99598989999999998</v>
      </c>
      <c r="AB6025">
        <v>37</v>
      </c>
      <c r="AC6025">
        <v>0.62779999999997904</v>
      </c>
      <c r="AD6025">
        <v>-0.122555899999999</v>
      </c>
      <c r="AE6025">
        <v>-7.8290000000002594E-2</v>
      </c>
      <c r="AF6025">
        <v>7.1730363445353496E-2</v>
      </c>
      <c r="AG6025">
        <v>-0.122555899999999</v>
      </c>
      <c r="AH6025">
        <v>0.60554694369857598</v>
      </c>
      <c r="AI6025">
        <v>101.36411128439001</v>
      </c>
      <c r="AJ6025">
        <v>83.244479816183699</v>
      </c>
      <c r="AK6025">
        <v>0.62197451289220695</v>
      </c>
      <c r="AL6025">
        <v>65.746635763494993</v>
      </c>
      <c r="AM6025">
        <v>91.907743660929796</v>
      </c>
      <c r="AN6025">
        <v>1.0000000296007301</v>
      </c>
    </row>
    <row r="6026" spans="1:40" x14ac:dyDescent="0.25">
      <c r="A6026" t="str">
        <f>"20190304165006672"</f>
        <v>20190304165006672</v>
      </c>
      <c r="B6026" t="str">
        <f>"1551689406661507"</f>
        <v>1551689406661507</v>
      </c>
      <c r="C6026" t="s">
        <v>40</v>
      </c>
      <c r="D6026">
        <v>4.804297</v>
      </c>
      <c r="E6026">
        <v>0.57083070000000002</v>
      </c>
      <c r="F6026" t="s">
        <v>41</v>
      </c>
      <c r="G6026">
        <v>-363.04590000000002</v>
      </c>
      <c r="H6026">
        <v>0.96835269999999996</v>
      </c>
      <c r="I6026">
        <v>17.2944</v>
      </c>
      <c r="J6026">
        <v>-363.79259999999999</v>
      </c>
      <c r="K6026">
        <v>1.1114090000000001</v>
      </c>
      <c r="L6026">
        <v>17.38748</v>
      </c>
      <c r="M6026">
        <v>0.99987479999999995</v>
      </c>
      <c r="N6026">
        <v>-1.469312E-2</v>
      </c>
      <c r="O6026">
        <v>-5.9034379999999996E-3</v>
      </c>
      <c r="P6026">
        <v>0.91748629999999998</v>
      </c>
      <c r="Q6026">
        <v>0.3971653</v>
      </c>
      <c r="R6026">
        <v>2.188963E-2</v>
      </c>
      <c r="S6026">
        <v>3.5086059999999999</v>
      </c>
      <c r="T6026">
        <v>-0.52875280000000002</v>
      </c>
      <c r="U6026">
        <v>-0.34744259999999999</v>
      </c>
      <c r="V6026">
        <v>-2.7723640000000001E-2</v>
      </c>
      <c r="W6026">
        <v>0.41057329999999997</v>
      </c>
      <c r="X6026">
        <v>0.91140600000000005</v>
      </c>
      <c r="Y6026">
        <v>9.1594620000000002E-2</v>
      </c>
      <c r="Z6026">
        <v>-6.7288490000000003E-3</v>
      </c>
      <c r="AA6026">
        <v>0.99577360000000004</v>
      </c>
      <c r="AB6026">
        <v>37</v>
      </c>
      <c r="AC6026">
        <v>0.74669999999997505</v>
      </c>
      <c r="AD6026">
        <v>-0.1430563</v>
      </c>
      <c r="AE6026">
        <v>-9.3080000000000496E-2</v>
      </c>
      <c r="AF6026">
        <v>8.5576796766291194E-2</v>
      </c>
      <c r="AG6026">
        <v>-0.1430563</v>
      </c>
      <c r="AH6026">
        <v>0.72117119185651901</v>
      </c>
      <c r="AI6026">
        <v>101.14371204525</v>
      </c>
      <c r="AJ6026">
        <v>83.232719492191094</v>
      </c>
      <c r="AK6026">
        <v>0.74018672041466804</v>
      </c>
      <c r="AL6026">
        <v>65.759145420887293</v>
      </c>
      <c r="AM6026">
        <v>91.742316720483601</v>
      </c>
      <c r="AN6026">
        <v>0.99999996586186901</v>
      </c>
    </row>
    <row r="6027" spans="1:40" x14ac:dyDescent="0.25">
      <c r="A6027" t="str">
        <f>"20190304165006693"</f>
        <v>20190304165006693</v>
      </c>
      <c r="B6027" t="str">
        <f>"1551689406682003"</f>
        <v>1551689406682003</v>
      </c>
      <c r="C6027" t="s">
        <v>40</v>
      </c>
      <c r="D6027">
        <v>4.8118800000000004</v>
      </c>
      <c r="E6027">
        <v>0.57072650000000003</v>
      </c>
      <c r="F6027" t="s">
        <v>41</v>
      </c>
      <c r="G6027">
        <v>-363.03190000000001</v>
      </c>
      <c r="H6027">
        <v>0.99667499999999998</v>
      </c>
      <c r="I6027">
        <v>17.31033</v>
      </c>
      <c r="J6027">
        <v>-363.44709999999998</v>
      </c>
      <c r="K6027">
        <v>1.111423</v>
      </c>
      <c r="L6027">
        <v>17.385829999999999</v>
      </c>
      <c r="M6027">
        <v>0.99987689999999996</v>
      </c>
      <c r="N6027">
        <v>-1.4711149999999999E-2</v>
      </c>
      <c r="O6027">
        <v>-5.4653660000000001E-3</v>
      </c>
      <c r="P6027">
        <v>0.91767880000000002</v>
      </c>
      <c r="Q6027">
        <v>0.39697830000000001</v>
      </c>
      <c r="R6027">
        <v>1.6556620000000001E-2</v>
      </c>
      <c r="S6027">
        <v>3.507263</v>
      </c>
      <c r="T6027">
        <v>-0.52898400000000001</v>
      </c>
      <c r="U6027">
        <v>-0.35519410000000001</v>
      </c>
      <c r="V6027">
        <v>-2.1996959999999999E-2</v>
      </c>
      <c r="W6027">
        <v>0.41041149999999998</v>
      </c>
      <c r="X6027">
        <v>0.91163510000000003</v>
      </c>
      <c r="Y6027">
        <v>9.4209119999999993E-2</v>
      </c>
      <c r="Z6027">
        <v>-7.0081340000000001E-3</v>
      </c>
      <c r="AA6027">
        <v>0.99552770000000002</v>
      </c>
      <c r="AB6027">
        <v>37</v>
      </c>
      <c r="AC6027">
        <v>0.41519999999996998</v>
      </c>
      <c r="AD6027">
        <v>-0.114748</v>
      </c>
      <c r="AE6027">
        <v>-7.5499999999998096E-2</v>
      </c>
      <c r="AF6027">
        <v>6.8187959064891807E-2</v>
      </c>
      <c r="AG6027">
        <v>-0.114748</v>
      </c>
      <c r="AH6027">
        <v>0.38699422452925197</v>
      </c>
      <c r="AI6027">
        <v>106.278470223729</v>
      </c>
      <c r="AJ6027">
        <v>80.007117013394094</v>
      </c>
      <c r="AK6027">
        <v>0.40936686612918799</v>
      </c>
      <c r="AL6027">
        <v>65.769313064874197</v>
      </c>
      <c r="AM6027">
        <v>91.382228986886702</v>
      </c>
      <c r="AN6027">
        <v>1.0000000105667499</v>
      </c>
    </row>
    <row r="6028" spans="1:40" x14ac:dyDescent="0.25">
      <c r="A6028" t="str">
        <f>"20190304165006707"</f>
        <v>20190304165006707</v>
      </c>
      <c r="B6028" t="str">
        <f>"1551689406701523"</f>
        <v>1551689406701523</v>
      </c>
      <c r="C6028" t="s">
        <v>40</v>
      </c>
      <c r="D6028">
        <v>4.8307979999999997</v>
      </c>
      <c r="E6028">
        <v>0.57063129999999995</v>
      </c>
      <c r="F6028" t="s">
        <v>41</v>
      </c>
      <c r="G6028">
        <v>-362.69990000000001</v>
      </c>
      <c r="H6028">
        <v>0.9983128</v>
      </c>
      <c r="I6028">
        <v>17.30668</v>
      </c>
      <c r="J6028">
        <v>-363.22340000000003</v>
      </c>
      <c r="K6028">
        <v>1.1114299999999999</v>
      </c>
      <c r="L6028">
        <v>17.38486</v>
      </c>
      <c r="M6028">
        <v>0.99987820000000005</v>
      </c>
      <c r="N6028">
        <v>-1.4721100000000001E-2</v>
      </c>
      <c r="O6028">
        <v>-5.1804779999999996E-3</v>
      </c>
      <c r="P6028">
        <v>0.91784359999999998</v>
      </c>
      <c r="Q6028">
        <v>0.39669110000000002</v>
      </c>
      <c r="R6028">
        <v>1.411891E-2</v>
      </c>
      <c r="S6028">
        <v>3.5054020000000001</v>
      </c>
      <c r="T6028">
        <v>-0.53071020000000002</v>
      </c>
      <c r="U6028">
        <v>-0.3700562</v>
      </c>
      <c r="V6028">
        <v>-1.9302139999999999E-2</v>
      </c>
      <c r="W6028">
        <v>0.41013889999999997</v>
      </c>
      <c r="X6028">
        <v>0.91181880000000004</v>
      </c>
      <c r="Y6028">
        <v>9.8655660000000006E-2</v>
      </c>
      <c r="Z6028">
        <v>-7.4362569999999999E-3</v>
      </c>
      <c r="AA6028">
        <v>0.99509380000000003</v>
      </c>
      <c r="AB6028">
        <v>37</v>
      </c>
      <c r="AC6028">
        <v>0.52350000000001196</v>
      </c>
      <c r="AD6028">
        <v>-0.113117199999999</v>
      </c>
      <c r="AE6028">
        <v>-7.8179999999999694E-2</v>
      </c>
      <c r="AF6028">
        <v>7.2170546042210404E-2</v>
      </c>
      <c r="AG6028">
        <v>-0.113117199999999</v>
      </c>
      <c r="AH6028">
        <v>0.50101592465320999</v>
      </c>
      <c r="AI6028">
        <v>102.596867332682</v>
      </c>
      <c r="AJ6028">
        <v>81.803019486430699</v>
      </c>
      <c r="AK6028">
        <v>0.51867238735832299</v>
      </c>
      <c r="AL6028">
        <v>65.786439599586203</v>
      </c>
      <c r="AM6028">
        <v>91.212703670439495</v>
      </c>
      <c r="AN6028">
        <v>1.00000000696761</v>
      </c>
    </row>
    <row r="6029" spans="1:40" x14ac:dyDescent="0.25">
      <c r="A6029" t="str">
        <f>"20190304165006725"</f>
        <v>20190304165006725</v>
      </c>
      <c r="B6029" t="str">
        <f>"1551689406722019"</f>
        <v>1551689406722019</v>
      </c>
      <c r="C6029" t="s">
        <v>40</v>
      </c>
      <c r="D6029">
        <v>4.6108750000000001</v>
      </c>
      <c r="E6029">
        <v>0.57058089999999995</v>
      </c>
      <c r="F6029" t="s">
        <v>41</v>
      </c>
      <c r="G6029">
        <v>-362.3766</v>
      </c>
      <c r="H6029">
        <v>0.98306210000000005</v>
      </c>
      <c r="I6029">
        <v>17.29373</v>
      </c>
      <c r="J6029">
        <v>-362.90879999999999</v>
      </c>
      <c r="K6029">
        <v>1.1114360000000001</v>
      </c>
      <c r="L6029">
        <v>17.383579999999998</v>
      </c>
      <c r="M6029">
        <v>0.99988010000000005</v>
      </c>
      <c r="N6029">
        <v>-1.473356E-2</v>
      </c>
      <c r="O6029">
        <v>-4.7797300000000003E-3</v>
      </c>
      <c r="P6029">
        <v>0.91824969999999995</v>
      </c>
      <c r="Q6029">
        <v>0.39589380000000002</v>
      </c>
      <c r="R6029">
        <v>9.2618949999999992E-3</v>
      </c>
      <c r="S6029">
        <v>3.5039060000000002</v>
      </c>
      <c r="T6029">
        <v>-0.53126240000000002</v>
      </c>
      <c r="U6029">
        <v>-0.37619019999999997</v>
      </c>
      <c r="V6029">
        <v>-1.408323E-2</v>
      </c>
      <c r="W6029">
        <v>0.40936460000000002</v>
      </c>
      <c r="X6029">
        <v>0.91226209999999996</v>
      </c>
      <c r="Y6029">
        <v>0.1007878</v>
      </c>
      <c r="Z6029">
        <v>-7.6765089999999998E-3</v>
      </c>
      <c r="AA6029">
        <v>0.99487840000000005</v>
      </c>
      <c r="AB6029">
        <v>37</v>
      </c>
      <c r="AC6029">
        <v>0.53219999999998802</v>
      </c>
      <c r="AD6029">
        <v>-0.12837390000000001</v>
      </c>
      <c r="AE6029">
        <v>-8.9849999999998403E-2</v>
      </c>
      <c r="AF6029">
        <v>8.2630393513134698E-2</v>
      </c>
      <c r="AG6029">
        <v>-0.12837390000000001</v>
      </c>
      <c r="AH6029">
        <v>0.50410538812554895</v>
      </c>
      <c r="AI6029">
        <v>104.106498948674</v>
      </c>
      <c r="AJ6029">
        <v>80.6911482979135</v>
      </c>
      <c r="AK6029">
        <v>0.526716130824333</v>
      </c>
      <c r="AL6029">
        <v>65.835071883827396</v>
      </c>
      <c r="AM6029">
        <v>90.884444885376496</v>
      </c>
      <c r="AN6029">
        <v>0.99999992609839805</v>
      </c>
    </row>
    <row r="6030" spans="1:40" x14ac:dyDescent="0.25">
      <c r="A6030" t="str">
        <f>"20190304165006738"</f>
        <v>20190304165006738</v>
      </c>
      <c r="B6030" t="str">
        <f>"1551689406731779"</f>
        <v>1551689406731779</v>
      </c>
      <c r="C6030" t="s">
        <v>40</v>
      </c>
      <c r="D6030">
        <v>4.7412799999999997</v>
      </c>
      <c r="E6030">
        <v>0.57059669999999996</v>
      </c>
      <c r="F6030" t="s">
        <v>41</v>
      </c>
      <c r="G6030">
        <v>-362.04790000000003</v>
      </c>
      <c r="H6030">
        <v>0.97960100000000006</v>
      </c>
      <c r="I6030">
        <v>17.287510000000001</v>
      </c>
      <c r="J6030">
        <v>-362.70049999999998</v>
      </c>
      <c r="K6030">
        <v>1.1114440000000001</v>
      </c>
      <c r="L6030">
        <v>17.38278</v>
      </c>
      <c r="M6030">
        <v>0.99988109999999997</v>
      </c>
      <c r="N6030">
        <v>-1.474089E-2</v>
      </c>
      <c r="O6030">
        <v>-4.5143930000000002E-3</v>
      </c>
      <c r="P6030">
        <v>0.91838410000000004</v>
      </c>
      <c r="Q6030">
        <v>0.39563090000000001</v>
      </c>
      <c r="R6030">
        <v>6.8332929999999998E-3</v>
      </c>
      <c r="S6030">
        <v>3.5022280000000001</v>
      </c>
      <c r="T6030">
        <v>-0.53633739999999996</v>
      </c>
      <c r="U6030">
        <v>-0.38986209999999999</v>
      </c>
      <c r="V6030">
        <v>-1.141325E-2</v>
      </c>
      <c r="W6030">
        <v>0.40911310000000001</v>
      </c>
      <c r="X6030">
        <v>0.91241229999999995</v>
      </c>
      <c r="Y6030">
        <v>0.10486280000000001</v>
      </c>
      <c r="Z6030">
        <v>-8.1197119999999994E-3</v>
      </c>
      <c r="AA6030">
        <v>0.99445349999999999</v>
      </c>
      <c r="AB6030">
        <v>37</v>
      </c>
      <c r="AC6030">
        <v>0.652599999999949</v>
      </c>
      <c r="AD6030">
        <v>-0.13184299999999999</v>
      </c>
      <c r="AE6030">
        <v>-9.52699999999993E-2</v>
      </c>
      <c r="AF6030">
        <v>8.8774875869344294E-2</v>
      </c>
      <c r="AG6030">
        <v>-0.13184299999999999</v>
      </c>
      <c r="AH6030">
        <v>0.62792933239669202</v>
      </c>
      <c r="AI6030">
        <v>101.74434400809</v>
      </c>
      <c r="AJ6030">
        <v>81.953014735258705</v>
      </c>
      <c r="AK6030">
        <v>0.64773358853680996</v>
      </c>
      <c r="AL6030">
        <v>65.850866650171497</v>
      </c>
      <c r="AM6030">
        <v>90.716668277540606</v>
      </c>
      <c r="AN6030">
        <v>0.99999999802923101</v>
      </c>
    </row>
    <row r="6031" spans="1:40" x14ac:dyDescent="0.25">
      <c r="A6031" t="str">
        <f>"20190304165006749"</f>
        <v>20190304165006749</v>
      </c>
      <c r="B6031" t="str">
        <f>"1551689406741539"</f>
        <v>1551689406741539</v>
      </c>
      <c r="C6031" t="s">
        <v>40</v>
      </c>
      <c r="D6031">
        <v>4.79453</v>
      </c>
      <c r="E6031">
        <v>0.57054839999999996</v>
      </c>
      <c r="F6031" t="s">
        <v>41</v>
      </c>
      <c r="G6031">
        <v>-361.72620000000001</v>
      </c>
      <c r="H6031">
        <v>0.96208380000000004</v>
      </c>
      <c r="I6031">
        <v>17.272040000000001</v>
      </c>
      <c r="J6031">
        <v>-362.51429999999999</v>
      </c>
      <c r="K6031">
        <v>1.1114470000000001</v>
      </c>
      <c r="L6031">
        <v>17.38214</v>
      </c>
      <c r="M6031">
        <v>0.99988220000000005</v>
      </c>
      <c r="N6031">
        <v>-1.474659E-2</v>
      </c>
      <c r="O6031">
        <v>-4.2776630000000001E-3</v>
      </c>
      <c r="P6031">
        <v>0.91856009999999999</v>
      </c>
      <c r="Q6031">
        <v>0.3952541</v>
      </c>
      <c r="R6031">
        <v>4.6712120000000001E-3</v>
      </c>
      <c r="S6031">
        <v>3.5007630000000001</v>
      </c>
      <c r="T6031">
        <v>-0.53668139999999998</v>
      </c>
      <c r="U6031">
        <v>-0.3974915</v>
      </c>
      <c r="V6031">
        <v>-9.0367309999999992E-3</v>
      </c>
      <c r="W6031">
        <v>0.40874719999999998</v>
      </c>
      <c r="X6031">
        <v>0.91260289999999999</v>
      </c>
      <c r="Y6031">
        <v>0.1072492</v>
      </c>
      <c r="Z6031">
        <v>-8.3584190000000006E-3</v>
      </c>
      <c r="AA6031">
        <v>0.994197</v>
      </c>
      <c r="AB6031">
        <v>37</v>
      </c>
      <c r="AC6031">
        <v>0.78809999999998503</v>
      </c>
      <c r="AD6031">
        <v>-0.149363199999999</v>
      </c>
      <c r="AE6031">
        <v>-0.110099999999999</v>
      </c>
      <c r="AF6031">
        <v>0.103095209580153</v>
      </c>
      <c r="AG6031">
        <v>-0.149363199999999</v>
      </c>
      <c r="AH6031">
        <v>0.76172708508803699</v>
      </c>
      <c r="AI6031">
        <v>100.996299715481</v>
      </c>
      <c r="AJ6031">
        <v>82.292194744553896</v>
      </c>
      <c r="AK6031">
        <v>0.78304925765198996</v>
      </c>
      <c r="AL6031">
        <v>65.873839730214996</v>
      </c>
      <c r="AM6031">
        <v>90.567332872938294</v>
      </c>
      <c r="AN6031">
        <v>0.99999999455170796</v>
      </c>
    </row>
    <row r="6032" spans="1:40" x14ac:dyDescent="0.25">
      <c r="A6032" t="str">
        <f>"20190304165006760"</f>
        <v>20190304165006760</v>
      </c>
      <c r="B6032" t="str">
        <f>"1551689406751299"</f>
        <v>1551689406751299</v>
      </c>
      <c r="C6032" t="s">
        <v>40</v>
      </c>
      <c r="D6032">
        <v>4.7991140000000003</v>
      </c>
      <c r="E6032">
        <v>0.57049280000000002</v>
      </c>
      <c r="F6032" t="s">
        <v>41</v>
      </c>
      <c r="G6032">
        <v>-361.71350000000001</v>
      </c>
      <c r="H6032">
        <v>0.98836520000000005</v>
      </c>
      <c r="I6032">
        <v>17.289680000000001</v>
      </c>
      <c r="J6032">
        <v>-362.33679999999998</v>
      </c>
      <c r="K6032">
        <v>1.1114489999999999</v>
      </c>
      <c r="L6032">
        <v>17.38156</v>
      </c>
      <c r="M6032">
        <v>0.99988290000000002</v>
      </c>
      <c r="N6032">
        <v>-1.475157E-2</v>
      </c>
      <c r="O6032">
        <v>-4.0521380000000003E-3</v>
      </c>
      <c r="P6032">
        <v>0.91865589999999997</v>
      </c>
      <c r="Q6032">
        <v>0.3950516</v>
      </c>
      <c r="R6032">
        <v>2.3357500000000002E-3</v>
      </c>
      <c r="S6032">
        <v>3.4995419999999999</v>
      </c>
      <c r="T6032">
        <v>-0.53791250000000002</v>
      </c>
      <c r="U6032">
        <v>-0.40359499999999998</v>
      </c>
      <c r="V6032">
        <v>-6.4955300000000002E-3</v>
      </c>
      <c r="W6032">
        <v>0.4085531</v>
      </c>
      <c r="X6032">
        <v>0.91271139999999995</v>
      </c>
      <c r="Y6032">
        <v>0.10919040000000001</v>
      </c>
      <c r="Z6032">
        <v>-8.5709949999999997E-3</v>
      </c>
      <c r="AA6032">
        <v>0.99398390000000003</v>
      </c>
      <c r="AB6032">
        <v>37</v>
      </c>
      <c r="AC6032">
        <v>0.62329999999997199</v>
      </c>
      <c r="AD6032">
        <v>-0.12308379999999899</v>
      </c>
      <c r="AE6032">
        <v>-9.1879999999999698E-2</v>
      </c>
      <c r="AF6032">
        <v>8.6068423202435906E-2</v>
      </c>
      <c r="AG6032">
        <v>-0.12308379999999899</v>
      </c>
      <c r="AH6032">
        <v>0.60073966636092802</v>
      </c>
      <c r="AI6032">
        <v>101.464993346177</v>
      </c>
      <c r="AJ6032">
        <v>81.846674946458904</v>
      </c>
      <c r="AK6032">
        <v>0.61922979743745599</v>
      </c>
      <c r="AL6032">
        <v>65.886023902276094</v>
      </c>
      <c r="AM6032">
        <v>90.407752299062196</v>
      </c>
      <c r="AN6032">
        <v>0.99999996355977405</v>
      </c>
    </row>
    <row r="6033" spans="1:40" x14ac:dyDescent="0.25">
      <c r="A6033" t="str">
        <f>"20190304165006770"</f>
        <v>20190304165006770</v>
      </c>
      <c r="B6033" t="str">
        <f>"1551689406762035"</f>
        <v>1551689406762035</v>
      </c>
      <c r="C6033" t="s">
        <v>40</v>
      </c>
      <c r="D6033">
        <v>4.7327519999999996</v>
      </c>
      <c r="E6033">
        <v>0.57051339999999995</v>
      </c>
      <c r="F6033" t="s">
        <v>41</v>
      </c>
      <c r="G6033">
        <v>-361.39449999999999</v>
      </c>
      <c r="H6033">
        <v>0.96634750000000003</v>
      </c>
      <c r="I6033">
        <v>17.270689999999998</v>
      </c>
      <c r="J6033">
        <v>-362.15730000000002</v>
      </c>
      <c r="K6033">
        <v>1.1114489999999999</v>
      </c>
      <c r="L6033">
        <v>17.38101</v>
      </c>
      <c r="M6033">
        <v>0.99988390000000005</v>
      </c>
      <c r="N6033">
        <v>-1.475607E-2</v>
      </c>
      <c r="O6033">
        <v>-3.8245879999999999E-3</v>
      </c>
      <c r="P6033">
        <v>0.91893919999999996</v>
      </c>
      <c r="Q6033">
        <v>0.39439920000000001</v>
      </c>
      <c r="R6033">
        <v>2.623945E-4</v>
      </c>
      <c r="S6033">
        <v>3.498383</v>
      </c>
      <c r="T6033">
        <v>-0.53878079999999995</v>
      </c>
      <c r="U6033">
        <v>-0.41049190000000002</v>
      </c>
      <c r="V6033">
        <v>-4.2150080000000001E-3</v>
      </c>
      <c r="W6033">
        <v>0.40791179999999999</v>
      </c>
      <c r="X6033">
        <v>0.91301160000000003</v>
      </c>
      <c r="Y6033">
        <v>0.1113528</v>
      </c>
      <c r="Z6033">
        <v>-8.7977760000000002E-3</v>
      </c>
      <c r="AA6033">
        <v>0.99374200000000001</v>
      </c>
      <c r="AB6033">
        <v>37</v>
      </c>
      <c r="AC6033">
        <v>0.76280000000002701</v>
      </c>
      <c r="AD6033">
        <v>-0.145101499999999</v>
      </c>
      <c r="AE6033">
        <v>-0.110320000000001</v>
      </c>
      <c r="AF6033">
        <v>0.10372513484962401</v>
      </c>
      <c r="AG6033">
        <v>-0.145101499999999</v>
      </c>
      <c r="AH6033">
        <v>0.73709155159633699</v>
      </c>
      <c r="AI6033">
        <v>101.03068459311299</v>
      </c>
      <c r="AJ6033">
        <v>81.989810816622494</v>
      </c>
      <c r="AK6033">
        <v>0.75836488864959795</v>
      </c>
      <c r="AL6033">
        <v>65.926275126825303</v>
      </c>
      <c r="AM6033">
        <v>90.264509731667502</v>
      </c>
      <c r="AN6033">
        <v>0.99999999230311998</v>
      </c>
    </row>
    <row r="6034" spans="1:40" x14ac:dyDescent="0.25">
      <c r="A6034" t="str">
        <f>"20190304165006782"</f>
        <v>20190304165006782</v>
      </c>
      <c r="B6034" t="str">
        <f>"1551689406771795"</f>
        <v>1551689406771795</v>
      </c>
      <c r="C6034" t="s">
        <v>40</v>
      </c>
      <c r="D6034">
        <v>4.700075</v>
      </c>
      <c r="E6034">
        <v>0.57047829999999999</v>
      </c>
      <c r="F6034" t="s">
        <v>41</v>
      </c>
      <c r="G6034">
        <v>-361.38220000000001</v>
      </c>
      <c r="H6034">
        <v>0.9916952</v>
      </c>
      <c r="I6034">
        <v>17.2882</v>
      </c>
      <c r="J6034">
        <v>-361.97460000000001</v>
      </c>
      <c r="K6034">
        <v>1.11144</v>
      </c>
      <c r="L6034">
        <v>17.380520000000001</v>
      </c>
      <c r="M6034">
        <v>0.99988460000000001</v>
      </c>
      <c r="N6034">
        <v>-1.4760209999999999E-2</v>
      </c>
      <c r="O6034">
        <v>-3.592746E-3</v>
      </c>
      <c r="P6034">
        <v>0.91908009999999996</v>
      </c>
      <c r="Q6034">
        <v>0.39406590000000002</v>
      </c>
      <c r="R6034">
        <v>-2.0384859999999999E-3</v>
      </c>
      <c r="S6034">
        <v>3.4967039999999998</v>
      </c>
      <c r="T6034">
        <v>-0.54036779999999995</v>
      </c>
      <c r="U6034">
        <v>-0.41732789999999997</v>
      </c>
      <c r="V6034">
        <v>-1.702376E-3</v>
      </c>
      <c r="W6034">
        <v>0.40758709999999998</v>
      </c>
      <c r="X6034">
        <v>0.91316470000000005</v>
      </c>
      <c r="Y6034">
        <v>0.1135153</v>
      </c>
      <c r="Z6034">
        <v>-9.0377749999999996E-3</v>
      </c>
      <c r="AA6034">
        <v>0.99349520000000002</v>
      </c>
      <c r="AB6034">
        <v>37</v>
      </c>
      <c r="AC6034">
        <v>0.59239999999999704</v>
      </c>
      <c r="AD6034">
        <v>-0.1197448</v>
      </c>
      <c r="AE6034">
        <v>-9.2320000000000804E-2</v>
      </c>
      <c r="AF6034">
        <v>8.6731141524010499E-2</v>
      </c>
      <c r="AG6034">
        <v>-0.1197448</v>
      </c>
      <c r="AH6034">
        <v>0.56999106472556405</v>
      </c>
      <c r="AI6034">
        <v>101.733027313748</v>
      </c>
      <c r="AJ6034">
        <v>81.348109498119101</v>
      </c>
      <c r="AK6034">
        <v>0.58885560361100397</v>
      </c>
      <c r="AL6034">
        <v>65.946648811587806</v>
      </c>
      <c r="AM6034">
        <v>90.106814079592496</v>
      </c>
      <c r="AN6034">
        <v>0.99999995574827105</v>
      </c>
    </row>
    <row r="6035" spans="1:40" x14ac:dyDescent="0.25">
      <c r="A6035" t="str">
        <f>"20190304165006792"</f>
        <v>20190304165006792</v>
      </c>
      <c r="B6035" t="str">
        <f>"1551689406781556"</f>
        <v>1551689406781556</v>
      </c>
      <c r="C6035" t="s">
        <v>40</v>
      </c>
      <c r="D6035">
        <v>4.6865389999999998</v>
      </c>
      <c r="E6035">
        <v>0.57044879999999998</v>
      </c>
      <c r="F6035" t="s">
        <v>41</v>
      </c>
      <c r="G6035">
        <v>-361.0634</v>
      </c>
      <c r="H6035">
        <v>0.97001610000000005</v>
      </c>
      <c r="I6035">
        <v>17.270019999999999</v>
      </c>
      <c r="J6035">
        <v>-361.80720000000002</v>
      </c>
      <c r="K6035">
        <v>1.1114409999999999</v>
      </c>
      <c r="L6035">
        <v>17.380099999999999</v>
      </c>
      <c r="M6035">
        <v>0.99988529999999998</v>
      </c>
      <c r="N6035">
        <v>-1.4763750000000001E-2</v>
      </c>
      <c r="O6035">
        <v>-3.3804540000000002E-3</v>
      </c>
      <c r="P6035">
        <v>0.91932250000000004</v>
      </c>
      <c r="Q6035">
        <v>0.39348509999999998</v>
      </c>
      <c r="R6035">
        <v>-3.9822379999999999E-3</v>
      </c>
      <c r="S6035">
        <v>3.4957579999999999</v>
      </c>
      <c r="T6035">
        <v>-0.54250069999999995</v>
      </c>
      <c r="U6035">
        <v>-0.42373660000000002</v>
      </c>
      <c r="V6035">
        <v>4.3539890000000002E-4</v>
      </c>
      <c r="W6035">
        <v>0.40701530000000002</v>
      </c>
      <c r="X6035">
        <v>0.91342120000000004</v>
      </c>
      <c r="Y6035">
        <v>0.11551400000000001</v>
      </c>
      <c r="Z6035">
        <v>-9.2691979999999993E-3</v>
      </c>
      <c r="AA6035">
        <v>0.9932626</v>
      </c>
      <c r="AB6035">
        <v>37</v>
      </c>
      <c r="AC6035">
        <v>0.743800000000021</v>
      </c>
      <c r="AD6035">
        <v>-0.14142489999999899</v>
      </c>
      <c r="AE6035">
        <v>-0.110079999999996</v>
      </c>
      <c r="AF6035">
        <v>0.103889347908847</v>
      </c>
      <c r="AG6035">
        <v>-0.14142489999999899</v>
      </c>
      <c r="AH6035">
        <v>0.71874051645909398</v>
      </c>
      <c r="AI6035">
        <v>101.020067635158</v>
      </c>
      <c r="AJ6035">
        <v>81.775225261693194</v>
      </c>
      <c r="AK6035">
        <v>0.73985264002287698</v>
      </c>
      <c r="AL6035">
        <v>65.982521136845406</v>
      </c>
      <c r="AM6035">
        <v>89.972688922169496</v>
      </c>
      <c r="AN6035">
        <v>0.99999996630786503</v>
      </c>
    </row>
    <row r="6036" spans="1:40" x14ac:dyDescent="0.25">
      <c r="A6036" t="str">
        <f>"20190304165006804"</f>
        <v>20190304165006804</v>
      </c>
      <c r="B6036" t="str">
        <f>"1551689406791315"</f>
        <v>1551689406791315</v>
      </c>
      <c r="C6036" t="s">
        <v>40</v>
      </c>
      <c r="D6036">
        <v>4.6570650000000002</v>
      </c>
      <c r="E6036">
        <v>0.57044879999999998</v>
      </c>
      <c r="F6036" t="s">
        <v>41</v>
      </c>
      <c r="G6036">
        <v>-361.05200000000002</v>
      </c>
      <c r="H6036">
        <v>0.99360179999999998</v>
      </c>
      <c r="I6036">
        <v>17.287220000000001</v>
      </c>
      <c r="J6036">
        <v>-361.62169999999998</v>
      </c>
      <c r="K6036">
        <v>1.111445</v>
      </c>
      <c r="L6036">
        <v>17.379670000000001</v>
      </c>
      <c r="M6036">
        <v>0.99988600000000005</v>
      </c>
      <c r="N6036">
        <v>-1.476713E-2</v>
      </c>
      <c r="O6036">
        <v>-3.1452759999999998E-3</v>
      </c>
      <c r="P6036">
        <v>0.91937400000000002</v>
      </c>
      <c r="Q6036">
        <v>0.3933373</v>
      </c>
      <c r="R6036">
        <v>-6.0997200000000003E-3</v>
      </c>
      <c r="S6036">
        <v>3.4948429999999999</v>
      </c>
      <c r="T6036">
        <v>-0.54535719999999899</v>
      </c>
      <c r="U6036">
        <v>-0.42962650000000002</v>
      </c>
      <c r="V6036">
        <v>2.7684570000000002E-3</v>
      </c>
      <c r="W6036">
        <v>0.40687459999999998</v>
      </c>
      <c r="X6036">
        <v>0.91347979999999995</v>
      </c>
      <c r="Y6036">
        <v>0.117386</v>
      </c>
      <c r="Z6036">
        <v>-9.5058599999999997E-3</v>
      </c>
      <c r="AA6036">
        <v>0.9930409</v>
      </c>
      <c r="AB6036">
        <v>37</v>
      </c>
      <c r="AC6036">
        <v>0.56970000000001098</v>
      </c>
      <c r="AD6036">
        <v>-0.1178432</v>
      </c>
      <c r="AE6036">
        <v>-9.2449999999999394E-2</v>
      </c>
      <c r="AF6036">
        <v>8.7029267633652402E-2</v>
      </c>
      <c r="AG6036">
        <v>-0.1178432</v>
      </c>
      <c r="AH6036">
        <v>0.54717642479769801</v>
      </c>
      <c r="AI6036">
        <v>102.00745302313599</v>
      </c>
      <c r="AJ6036">
        <v>80.962715718096803</v>
      </c>
      <c r="AK6036">
        <v>0.566447837903439</v>
      </c>
      <c r="AL6036">
        <v>65.9913466767985</v>
      </c>
      <c r="AM6036">
        <v>89.826355857870695</v>
      </c>
      <c r="AN6036">
        <v>0.99999997474367996</v>
      </c>
    </row>
    <row r="6037" spans="1:40" x14ac:dyDescent="0.25">
      <c r="A6037" t="str">
        <f>"20190304165006814"</f>
        <v>20190304165006814</v>
      </c>
      <c r="B6037" t="str">
        <f>"1551689406802052"</f>
        <v>1551689406802052</v>
      </c>
      <c r="C6037" t="s">
        <v>40</v>
      </c>
      <c r="D6037">
        <v>4.7247240000000001</v>
      </c>
      <c r="E6037">
        <v>0.57049349999999999</v>
      </c>
      <c r="F6037" t="s">
        <v>41</v>
      </c>
      <c r="G6037">
        <v>-360.73320000000001</v>
      </c>
      <c r="H6037">
        <v>0.97254180000000001</v>
      </c>
      <c r="I6037">
        <v>17.268450000000001</v>
      </c>
      <c r="J6037">
        <v>-361.43759999999997</v>
      </c>
      <c r="K6037">
        <v>1.1114459999999999</v>
      </c>
      <c r="L6037">
        <v>17.379270000000002</v>
      </c>
      <c r="M6037">
        <v>0.99988679999999996</v>
      </c>
      <c r="N6037">
        <v>-1.477029E-2</v>
      </c>
      <c r="O6037">
        <v>-2.9121260000000001E-3</v>
      </c>
      <c r="P6037">
        <v>0.91950279999999995</v>
      </c>
      <c r="Q6037">
        <v>0.39300420000000003</v>
      </c>
      <c r="R6037">
        <v>-7.9204889999999993E-3</v>
      </c>
      <c r="S6037">
        <v>3.4939580000000001</v>
      </c>
      <c r="T6037">
        <v>-0.54629890000000003</v>
      </c>
      <c r="U6037">
        <v>-0.4357605</v>
      </c>
      <c r="V6037">
        <v>4.8027360000000002E-3</v>
      </c>
      <c r="W6037">
        <v>0.40654839999999998</v>
      </c>
      <c r="X6037">
        <v>0.91361669999999995</v>
      </c>
      <c r="Y6037">
        <v>0.1193317</v>
      </c>
      <c r="Z6037">
        <v>-9.7198570000000001E-3</v>
      </c>
      <c r="AA6037">
        <v>0.99280690000000005</v>
      </c>
      <c r="AB6037">
        <v>37</v>
      </c>
      <c r="AC6037">
        <v>0.70439999999996405</v>
      </c>
      <c r="AD6037">
        <v>-0.13890419999999901</v>
      </c>
      <c r="AE6037">
        <v>-0.11082</v>
      </c>
      <c r="AF6037">
        <v>0.104791516522727</v>
      </c>
      <c r="AG6037">
        <v>-0.13890419999999901</v>
      </c>
      <c r="AH6037">
        <v>0.67895566745013003</v>
      </c>
      <c r="AI6037">
        <v>101.430588577187</v>
      </c>
      <c r="AJ6037">
        <v>81.226075178438194</v>
      </c>
      <c r="AK6037">
        <v>0.70089688048629895</v>
      </c>
      <c r="AL6037">
        <v>66.011807509558395</v>
      </c>
      <c r="AM6037">
        <v>89.698808079819102</v>
      </c>
      <c r="AN6037">
        <v>1.0000000711672601</v>
      </c>
    </row>
    <row r="6038" spans="1:40" x14ac:dyDescent="0.25">
      <c r="A6038" t="str">
        <f>"20190304165006839"</f>
        <v>20190304165006839</v>
      </c>
      <c r="B6038" t="str">
        <f>"1551689406832308"</f>
        <v>1551689406832308</v>
      </c>
      <c r="C6038" t="s">
        <v>40</v>
      </c>
      <c r="D6038">
        <v>4.7279999999999998</v>
      </c>
      <c r="E6038">
        <v>0.57108040000000004</v>
      </c>
      <c r="F6038" t="s">
        <v>41</v>
      </c>
      <c r="G6038">
        <v>-360.72019999999998</v>
      </c>
      <c r="H6038">
        <v>0.99928490000000003</v>
      </c>
      <c r="I6038">
        <v>17.288129999999999</v>
      </c>
      <c r="J6038">
        <v>-361.04469999999998</v>
      </c>
      <c r="K6038">
        <v>1.11145</v>
      </c>
      <c r="L6038">
        <v>17.378599999999999</v>
      </c>
      <c r="M6038">
        <v>0.99988790000000005</v>
      </c>
      <c r="N6038">
        <v>-1.477558E-2</v>
      </c>
      <c r="O6038">
        <v>-2.4135229999999999E-3</v>
      </c>
      <c r="P6038">
        <v>0.91960909999999996</v>
      </c>
      <c r="Q6038">
        <v>0.3926829</v>
      </c>
      <c r="R6038">
        <v>-1.092105E-2</v>
      </c>
      <c r="S6038">
        <v>3.4922490000000002</v>
      </c>
      <c r="T6038">
        <v>-0.54607439999999996</v>
      </c>
      <c r="U6038">
        <v>-0.44168089999999999</v>
      </c>
      <c r="V6038">
        <v>8.2610859999999904E-3</v>
      </c>
      <c r="W6038">
        <v>0.40623720000000002</v>
      </c>
      <c r="X6038">
        <v>0.9137303</v>
      </c>
      <c r="Y6038">
        <v>0.1215096</v>
      </c>
      <c r="Z6038">
        <v>-9.9747559999999996E-3</v>
      </c>
      <c r="AA6038">
        <v>0.99254010000000004</v>
      </c>
      <c r="AB6038">
        <v>37</v>
      </c>
      <c r="AC6038">
        <v>0.32450000000000001</v>
      </c>
      <c r="AD6038">
        <v>-0.1121651</v>
      </c>
      <c r="AE6038">
        <v>-9.0469999999999801E-2</v>
      </c>
      <c r="AF6038">
        <v>8.0736027756469306E-2</v>
      </c>
      <c r="AG6038">
        <v>-0.1121651</v>
      </c>
      <c r="AH6038">
        <v>0.29231162257237397</v>
      </c>
      <c r="AI6038">
        <v>110.29787000389599</v>
      </c>
      <c r="AJ6038">
        <v>74.559928034250106</v>
      </c>
      <c r="AK6038">
        <v>0.32333481180781898</v>
      </c>
      <c r="AL6038">
        <v>66.031319889980296</v>
      </c>
      <c r="AM6038">
        <v>89.481999813312697</v>
      </c>
      <c r="AN6038">
        <v>0.99999998467191398</v>
      </c>
    </row>
    <row r="6039" spans="1:40" x14ac:dyDescent="0.25">
      <c r="A6039" t="str">
        <f>"20190304165006850"</f>
        <v>20190304165006850</v>
      </c>
      <c r="B6039" t="str">
        <f>"1551689406842067"</f>
        <v>1551689406842067</v>
      </c>
      <c r="C6039" t="s">
        <v>40</v>
      </c>
      <c r="D6039">
        <v>4.7065409999999996</v>
      </c>
      <c r="E6039">
        <v>0.57126809999999995</v>
      </c>
      <c r="F6039" t="s">
        <v>41</v>
      </c>
      <c r="G6039">
        <v>-360.08049999999997</v>
      </c>
      <c r="H6039">
        <v>0.96325649999999996</v>
      </c>
      <c r="I6039">
        <v>17.252029999999898</v>
      </c>
      <c r="J6039">
        <v>-360.83909999999997</v>
      </c>
      <c r="K6039">
        <v>1.1114569999999999</v>
      </c>
      <c r="L6039">
        <v>17.378360000000001</v>
      </c>
      <c r="M6039">
        <v>0.99988849999999996</v>
      </c>
      <c r="N6039">
        <v>-1.477793E-2</v>
      </c>
      <c r="O6039">
        <v>-2.15284E-3</v>
      </c>
      <c r="P6039">
        <v>0.919736</v>
      </c>
      <c r="Q6039">
        <v>0.39235560000000003</v>
      </c>
      <c r="R6039">
        <v>-1.1959010000000001E-2</v>
      </c>
      <c r="S6039">
        <v>3.485535</v>
      </c>
      <c r="T6039">
        <v>-0.53573419999999905</v>
      </c>
      <c r="U6039">
        <v>-0.4566345</v>
      </c>
      <c r="V6039">
        <v>9.5388439999999994E-3</v>
      </c>
      <c r="W6039">
        <v>0.40591569999999999</v>
      </c>
      <c r="X6039">
        <v>0.91386069999999997</v>
      </c>
      <c r="Y6039">
        <v>0.1261832</v>
      </c>
      <c r="Z6039">
        <v>-1.02466E-2</v>
      </c>
      <c r="AA6039">
        <v>0.991954</v>
      </c>
      <c r="AB6039">
        <v>37</v>
      </c>
      <c r="AC6039">
        <v>0.75860000000000105</v>
      </c>
      <c r="AD6039">
        <v>-0.14820049999999901</v>
      </c>
      <c r="AE6039">
        <v>-0.126330000000002</v>
      </c>
      <c r="AF6039">
        <v>0.12023148354481</v>
      </c>
      <c r="AG6039">
        <v>-0.14820049999999901</v>
      </c>
      <c r="AH6039">
        <v>0.731697997076875</v>
      </c>
      <c r="AI6039">
        <v>101.302386221483</v>
      </c>
      <c r="AJ6039">
        <v>80.668633827503001</v>
      </c>
      <c r="AK6039">
        <v>0.75617521564908896</v>
      </c>
      <c r="AL6039">
        <v>66.051476684354199</v>
      </c>
      <c r="AM6039">
        <v>89.401970502299804</v>
      </c>
      <c r="AN6039">
        <v>0.99999996202791697</v>
      </c>
    </row>
    <row r="6040" spans="1:40" x14ac:dyDescent="0.25">
      <c r="A6040" t="str">
        <f>"20190304165006862"</f>
        <v>20190304165006862</v>
      </c>
      <c r="B6040" t="str">
        <f>"1551689406851828"</f>
        <v>1551689406851828</v>
      </c>
      <c r="C6040" t="s">
        <v>40</v>
      </c>
      <c r="D6040">
        <v>4.4512489999999998</v>
      </c>
      <c r="E6040">
        <v>0.57126809999999995</v>
      </c>
      <c r="F6040" t="s">
        <v>41</v>
      </c>
      <c r="G6040">
        <v>-360.06639999999999</v>
      </c>
      <c r="H6040">
        <v>0.99317929999999999</v>
      </c>
      <c r="I6040">
        <v>17.27571</v>
      </c>
      <c r="J6040">
        <v>-360.6626</v>
      </c>
      <c r="K6040">
        <v>1.111459</v>
      </c>
      <c r="L6040">
        <v>17.378170000000001</v>
      </c>
      <c r="M6040">
        <v>0.99988900000000003</v>
      </c>
      <c r="N6040">
        <v>-1.47796E-2</v>
      </c>
      <c r="O6040">
        <v>-1.928749E-3</v>
      </c>
      <c r="P6040">
        <v>0.91972799999999999</v>
      </c>
      <c r="Q6040">
        <v>0.39232990000000001</v>
      </c>
      <c r="R6040">
        <v>-1.333313E-2</v>
      </c>
      <c r="S6040">
        <v>3.483276</v>
      </c>
      <c r="T6040">
        <v>-0.533192</v>
      </c>
      <c r="U6040">
        <v>-0.46151730000000002</v>
      </c>
      <c r="V6040">
        <v>1.111908E-2</v>
      </c>
      <c r="W6040">
        <v>0.405893</v>
      </c>
      <c r="X6040">
        <v>0.91385300000000003</v>
      </c>
      <c r="Y6040">
        <v>0.1278445</v>
      </c>
      <c r="Z6040">
        <v>-1.0377239999999999E-2</v>
      </c>
      <c r="AA6040">
        <v>0.99173990000000001</v>
      </c>
      <c r="AB6040">
        <v>37</v>
      </c>
      <c r="AC6040">
        <v>0.59620000000001006</v>
      </c>
      <c r="AD6040">
        <v>-0.1182797</v>
      </c>
      <c r="AE6040">
        <v>-0.10246</v>
      </c>
      <c r="AF6040">
        <v>9.7579377776780996E-2</v>
      </c>
      <c r="AG6040">
        <v>-0.1182797</v>
      </c>
      <c r="AH6040">
        <v>0.57443626724235997</v>
      </c>
      <c r="AI6040">
        <v>101.474986461806</v>
      </c>
      <c r="AJ6040">
        <v>80.359204831805002</v>
      </c>
      <c r="AK6040">
        <v>0.59454928098747994</v>
      </c>
      <c r="AL6040">
        <v>66.052901626027904</v>
      </c>
      <c r="AM6040">
        <v>89.302902194515596</v>
      </c>
      <c r="AN6040">
        <v>1.00000003349902</v>
      </c>
    </row>
    <row r="6041" spans="1:40" x14ac:dyDescent="0.25">
      <c r="A6041" t="str">
        <f>"20190304165006876"</f>
        <v>20190304165006876</v>
      </c>
      <c r="B6041" t="str">
        <f>"1551689406871347"</f>
        <v>1551689406871347</v>
      </c>
      <c r="C6041" t="s">
        <v>40</v>
      </c>
      <c r="D6041">
        <v>4.6550050000000001</v>
      </c>
      <c r="E6041">
        <v>0.57164839999999995</v>
      </c>
      <c r="F6041" t="s">
        <v>41</v>
      </c>
      <c r="G6041">
        <v>-359.74880000000002</v>
      </c>
      <c r="H6041">
        <v>0.97153089999999998</v>
      </c>
      <c r="I6041">
        <v>17.25583</v>
      </c>
      <c r="J6041">
        <v>-360.43990000000002</v>
      </c>
      <c r="K6041">
        <v>1.111459</v>
      </c>
      <c r="L6041">
        <v>17.37799</v>
      </c>
      <c r="M6041">
        <v>0.99988949999999999</v>
      </c>
      <c r="N6041">
        <v>-1.478143E-2</v>
      </c>
      <c r="O6041">
        <v>-1.645774E-3</v>
      </c>
      <c r="P6041">
        <v>0.91974469999999997</v>
      </c>
      <c r="Q6041">
        <v>0.39226290000000003</v>
      </c>
      <c r="R6041">
        <v>-1.4131080000000001E-2</v>
      </c>
      <c r="S6041">
        <v>3.4824830000000002</v>
      </c>
      <c r="T6041">
        <v>-0.53321739999999995</v>
      </c>
      <c r="U6041">
        <v>-0.46676640000000003</v>
      </c>
      <c r="V6041">
        <v>1.217738E-2</v>
      </c>
      <c r="W6041">
        <v>0.405829</v>
      </c>
      <c r="X6041">
        <v>0.91386800000000001</v>
      </c>
      <c r="Y6041">
        <v>0.12959780000000001</v>
      </c>
      <c r="Z6041">
        <v>-1.056379E-2</v>
      </c>
      <c r="AA6041">
        <v>0.99151040000000001</v>
      </c>
      <c r="AB6041">
        <v>37</v>
      </c>
      <c r="AC6041">
        <v>0.69110000000000504</v>
      </c>
      <c r="AD6041">
        <v>-0.139928099999999</v>
      </c>
      <c r="AE6041">
        <v>-0.12216</v>
      </c>
      <c r="AF6041">
        <v>0.116395291715833</v>
      </c>
      <c r="AG6041">
        <v>-0.139928099999999</v>
      </c>
      <c r="AH6041">
        <v>0.66486978100285699</v>
      </c>
      <c r="AI6041">
        <v>101.711899551874</v>
      </c>
      <c r="AJ6041">
        <v>80.070152385698506</v>
      </c>
      <c r="AK6041">
        <v>0.68933269383804197</v>
      </c>
      <c r="AL6041">
        <v>66.056915399993102</v>
      </c>
      <c r="AM6041">
        <v>89.236573346408406</v>
      </c>
      <c r="AN6041">
        <v>1.0000000936243201</v>
      </c>
    </row>
    <row r="6042" spans="1:40" x14ac:dyDescent="0.25">
      <c r="A6042" t="str">
        <f>"20190304165006893"</f>
        <v>20190304165006893</v>
      </c>
      <c r="B6042" t="str">
        <f>"1551689406882083"</f>
        <v>1551689406882083</v>
      </c>
      <c r="C6042" t="s">
        <v>40</v>
      </c>
      <c r="D6042">
        <v>4.6453220000000002</v>
      </c>
      <c r="E6042">
        <v>0.57163750000000002</v>
      </c>
      <c r="F6042" t="s">
        <v>41</v>
      </c>
      <c r="G6042">
        <v>-359.42720000000003</v>
      </c>
      <c r="H6042">
        <v>0.95846189999999998</v>
      </c>
      <c r="I6042">
        <v>17.239840000000001</v>
      </c>
      <c r="J6042">
        <v>-360.14350000000002</v>
      </c>
      <c r="K6042">
        <v>1.1114539999999999</v>
      </c>
      <c r="L6042">
        <v>17.377839999999999</v>
      </c>
      <c r="M6042">
        <v>0.9998899</v>
      </c>
      <c r="N6042">
        <v>-1.4783009999999999E-2</v>
      </c>
      <c r="O6042">
        <v>-1.2694640000000001E-3</v>
      </c>
      <c r="P6042">
        <v>0.91991559999999994</v>
      </c>
      <c r="Q6042">
        <v>0.39180399999999999</v>
      </c>
      <c r="R6042">
        <v>-1.566623E-2</v>
      </c>
      <c r="S6042">
        <v>3.4786679999999999</v>
      </c>
      <c r="T6042">
        <v>-0.52557640000000005</v>
      </c>
      <c r="U6042">
        <v>-0.47375489999999998</v>
      </c>
      <c r="V6042">
        <v>1.405899E-2</v>
      </c>
      <c r="W6042">
        <v>0.40537610000000002</v>
      </c>
      <c r="X6042">
        <v>0.91404189999999996</v>
      </c>
      <c r="Y6042">
        <v>0.132076799999999</v>
      </c>
      <c r="Z6042">
        <v>-1.069181E-2</v>
      </c>
      <c r="AA6042">
        <v>0.9911818</v>
      </c>
      <c r="AB6042">
        <v>37</v>
      </c>
      <c r="AC6042">
        <v>0.71629999999998895</v>
      </c>
      <c r="AD6042">
        <v>-0.15299209999999999</v>
      </c>
      <c r="AE6042">
        <v>-0.13799999999999801</v>
      </c>
      <c r="AF6042">
        <v>0.13131439678860901</v>
      </c>
      <c r="AG6042">
        <v>-0.15299209999999999</v>
      </c>
      <c r="AH6042">
        <v>0.68628717941395201</v>
      </c>
      <c r="AI6042">
        <v>102.350304957681</v>
      </c>
      <c r="AJ6042">
        <v>79.167933127015502</v>
      </c>
      <c r="AK6042">
        <v>0.71529025304020799</v>
      </c>
      <c r="AL6042">
        <v>66.085302767505297</v>
      </c>
      <c r="AM6042">
        <v>89.118796110819602</v>
      </c>
      <c r="AN6042">
        <v>1.00000001630331</v>
      </c>
    </row>
    <row r="6043" spans="1:40" x14ac:dyDescent="0.25">
      <c r="A6043" t="str">
        <f>"20190304165006906"</f>
        <v>20190304165006906</v>
      </c>
      <c r="B6043" t="str">
        <f>"1551689406901603"</f>
        <v>1551689406901603</v>
      </c>
      <c r="C6043" t="s">
        <v>40</v>
      </c>
      <c r="D6043">
        <v>4.6464919999999896</v>
      </c>
      <c r="E6043">
        <v>0.57166729999999999</v>
      </c>
      <c r="F6043" t="s">
        <v>41</v>
      </c>
      <c r="G6043">
        <v>-359.40769999999998</v>
      </c>
      <c r="H6043">
        <v>1.000049</v>
      </c>
      <c r="I6043">
        <v>17.275860000000002</v>
      </c>
      <c r="J6043">
        <v>-359.9409</v>
      </c>
      <c r="K6043">
        <v>1.1114520000000001</v>
      </c>
      <c r="L6043">
        <v>17.37781</v>
      </c>
      <c r="M6043">
        <v>0.99989030000000001</v>
      </c>
      <c r="N6043">
        <v>-1.478369E-2</v>
      </c>
      <c r="O6043">
        <v>-1.012233E-3</v>
      </c>
      <c r="P6043">
        <v>0.9199349</v>
      </c>
      <c r="Q6043">
        <v>0.39172940000000001</v>
      </c>
      <c r="R6043">
        <v>-1.6382049999999999E-2</v>
      </c>
      <c r="S6043">
        <v>3.4772340000000002</v>
      </c>
      <c r="T6043">
        <v>-0.52655450000000004</v>
      </c>
      <c r="U6043">
        <v>-0.4808655</v>
      </c>
      <c r="V6043">
        <v>1.5011699999999999E-2</v>
      </c>
      <c r="W6043">
        <v>0.40530329999999998</v>
      </c>
      <c r="X6043">
        <v>0.91405899999999995</v>
      </c>
      <c r="Y6043">
        <v>0.13433879999999901</v>
      </c>
      <c r="Z6043">
        <v>-1.093363E-2</v>
      </c>
      <c r="AA6043">
        <v>0.99087510000000001</v>
      </c>
      <c r="AB6043">
        <v>37</v>
      </c>
      <c r="AC6043">
        <v>0.53320000000002199</v>
      </c>
      <c r="AD6043">
        <v>-0.111403</v>
      </c>
      <c r="AE6043">
        <v>-0.101949999999998</v>
      </c>
      <c r="AF6043">
        <v>9.7312033489024397E-2</v>
      </c>
      <c r="AG6043">
        <v>-0.111403</v>
      </c>
      <c r="AH6043">
        <v>0.51175138590198599</v>
      </c>
      <c r="AI6043">
        <v>102.07130255762701</v>
      </c>
      <c r="AJ6043">
        <v>79.233467280470705</v>
      </c>
      <c r="AK6043">
        <v>0.53270042354345104</v>
      </c>
      <c r="AL6043">
        <v>66.089864765874495</v>
      </c>
      <c r="AM6043">
        <v>89.059109163849698</v>
      </c>
      <c r="AN6043">
        <v>0.99999998580438898</v>
      </c>
    </row>
    <row r="6044" spans="1:40" x14ac:dyDescent="0.25">
      <c r="A6044" t="str">
        <f>"20190304165006919"</f>
        <v>20190304165006919</v>
      </c>
      <c r="B6044" t="str">
        <f>"1551689406911363"</f>
        <v>1551689406911363</v>
      </c>
      <c r="C6044" t="s">
        <v>40</v>
      </c>
      <c r="D6044">
        <v>4.8091400000000002</v>
      </c>
      <c r="E6044">
        <v>0.57144910000000004</v>
      </c>
      <c r="F6044" t="s">
        <v>41</v>
      </c>
      <c r="G6044">
        <v>-359.08890000000002</v>
      </c>
      <c r="H6044">
        <v>0.98263029999999996</v>
      </c>
      <c r="I6044">
        <v>17.258800000000001</v>
      </c>
      <c r="J6044">
        <v>-359.7321</v>
      </c>
      <c r="K6044">
        <v>1.111453</v>
      </c>
      <c r="L6044">
        <v>17.377839999999999</v>
      </c>
      <c r="M6044">
        <v>0.99989050000000002</v>
      </c>
      <c r="N6044">
        <v>-1.4784220000000001E-2</v>
      </c>
      <c r="O6044">
        <v>-7.4701439999999997E-4</v>
      </c>
      <c r="P6044">
        <v>0.91985280000000003</v>
      </c>
      <c r="Q6044">
        <v>0.39190469999999999</v>
      </c>
      <c r="R6044">
        <v>-1.6787630000000001E-2</v>
      </c>
      <c r="S6044">
        <v>3.4762879999999998</v>
      </c>
      <c r="T6044">
        <v>-0.52562140000000002</v>
      </c>
      <c r="U6044">
        <v>-0.48519899999999999</v>
      </c>
      <c r="V6044">
        <v>1.5661609999999999E-2</v>
      </c>
      <c r="W6044">
        <v>0.40547850000000002</v>
      </c>
      <c r="X6044">
        <v>0.91397039999999996</v>
      </c>
      <c r="Y6044">
        <v>0.13583410000000001</v>
      </c>
      <c r="Z6044">
        <v>-1.107701E-2</v>
      </c>
      <c r="AA6044">
        <v>0.99066969999999999</v>
      </c>
      <c r="AB6044">
        <v>37</v>
      </c>
      <c r="AC6044">
        <v>0.64319999999997801</v>
      </c>
      <c r="AD6044">
        <v>-0.12882270000000001</v>
      </c>
      <c r="AE6044">
        <v>-0.11903999999999799</v>
      </c>
      <c r="AF6044">
        <v>0.11413277165416</v>
      </c>
      <c r="AG6044">
        <v>-0.12882270000000001</v>
      </c>
      <c r="AH6044">
        <v>0.61927023174090301</v>
      </c>
      <c r="AI6044">
        <v>101.561917359882</v>
      </c>
      <c r="AJ6044">
        <v>79.557453054895603</v>
      </c>
      <c r="AK6044">
        <v>0.64274193695540305</v>
      </c>
      <c r="AL6044">
        <v>66.078884013024407</v>
      </c>
      <c r="AM6044">
        <v>89.018287311981496</v>
      </c>
      <c r="AN6044">
        <v>0.99999999603310097</v>
      </c>
    </row>
    <row r="6045" spans="1:40" x14ac:dyDescent="0.25">
      <c r="A6045" t="str">
        <f>"20190304165006928"</f>
        <v>20190304165006928</v>
      </c>
      <c r="B6045" t="str">
        <f>"1551689406922099"</f>
        <v>1551689406922099</v>
      </c>
      <c r="C6045" t="s">
        <v>40</v>
      </c>
      <c r="D6045">
        <v>4.7748939999999997</v>
      </c>
      <c r="E6045">
        <v>0.57144910000000004</v>
      </c>
      <c r="F6045" t="s">
        <v>41</v>
      </c>
      <c r="G6045">
        <v>-358.76979999999998</v>
      </c>
      <c r="H6045">
        <v>0.96614469999999997</v>
      </c>
      <c r="I6045">
        <v>17.243310000000001</v>
      </c>
      <c r="J6045">
        <v>-359.55790000000002</v>
      </c>
      <c r="K6045">
        <v>1.1114539999999999</v>
      </c>
      <c r="L6045">
        <v>17.3779</v>
      </c>
      <c r="M6045">
        <v>0.99989059999999996</v>
      </c>
      <c r="N6045">
        <v>-1.4784449999999999E-2</v>
      </c>
      <c r="O6045">
        <v>-5.2554149999999998E-4</v>
      </c>
      <c r="P6045">
        <v>0.91997810000000002</v>
      </c>
      <c r="Q6045">
        <v>0.39158209999999999</v>
      </c>
      <c r="R6045">
        <v>-1.7435139999999998E-2</v>
      </c>
      <c r="S6045">
        <v>3.4761660000000001</v>
      </c>
      <c r="T6045">
        <v>-0.52488259999999998</v>
      </c>
      <c r="U6045">
        <v>-0.48593140000000001</v>
      </c>
      <c r="V6045">
        <v>1.6513280000000002E-2</v>
      </c>
      <c r="W6045">
        <v>0.40515899999999999</v>
      </c>
      <c r="X6045">
        <v>0.9140971</v>
      </c>
      <c r="Y6045">
        <v>0.1362601</v>
      </c>
      <c r="Z6045">
        <v>-1.112812E-2</v>
      </c>
      <c r="AA6045">
        <v>0.99061060000000001</v>
      </c>
      <c r="AB6045">
        <v>37</v>
      </c>
      <c r="AC6045">
        <v>0.78810000000004199</v>
      </c>
      <c r="AD6045">
        <v>-0.1453093</v>
      </c>
      <c r="AE6045">
        <v>-0.13458999999999899</v>
      </c>
      <c r="AF6045">
        <v>0.12988534217484099</v>
      </c>
      <c r="AG6045">
        <v>-0.1453093</v>
      </c>
      <c r="AH6045">
        <v>0.76296802443501199</v>
      </c>
      <c r="AI6045">
        <v>100.633576601942</v>
      </c>
      <c r="AJ6045">
        <v>80.338760827710203</v>
      </c>
      <c r="AK6045">
        <v>0.78746758732574496</v>
      </c>
      <c r="AL6045">
        <v>66.098908870119203</v>
      </c>
      <c r="AM6045">
        <v>88.965057053518294</v>
      </c>
      <c r="AN6045">
        <v>1.00000000596288</v>
      </c>
    </row>
    <row r="6046" spans="1:40" x14ac:dyDescent="0.25">
      <c r="A6046" t="str">
        <f>"20190304165006940"</f>
        <v>20190304165006940</v>
      </c>
      <c r="B6046" t="str">
        <f>"1551689406931859"</f>
        <v>1551689406931859</v>
      </c>
      <c r="C6046" t="s">
        <v>40</v>
      </c>
      <c r="D6046">
        <v>4.7769979999999999</v>
      </c>
      <c r="E6046">
        <v>0.55770220000000004</v>
      </c>
      <c r="F6046" t="s">
        <v>41</v>
      </c>
      <c r="G6046">
        <v>-358.75850000000003</v>
      </c>
      <c r="H6046">
        <v>0.99046840000000003</v>
      </c>
      <c r="I6046">
        <v>17.265629999999899</v>
      </c>
      <c r="J6046">
        <v>-359.38049999999998</v>
      </c>
      <c r="K6046">
        <v>1.1114550000000001</v>
      </c>
      <c r="L6046">
        <v>17.378019999999999</v>
      </c>
      <c r="M6046">
        <v>0.99989070000000002</v>
      </c>
      <c r="N6046">
        <v>-1.478457E-2</v>
      </c>
      <c r="O6046">
        <v>-3.0001529999999999E-4</v>
      </c>
      <c r="P6046">
        <v>0.91998880000000005</v>
      </c>
      <c r="Q6046">
        <v>0.39153500000000002</v>
      </c>
      <c r="R6046">
        <v>-1.7923700000000001E-2</v>
      </c>
      <c r="S6046">
        <v>3.475616</v>
      </c>
      <c r="T6046">
        <v>-0.52602959999999999</v>
      </c>
      <c r="U6046">
        <v>-0.4881897</v>
      </c>
      <c r="V6046">
        <v>1.7209740000000001E-2</v>
      </c>
      <c r="W6046">
        <v>0.4051128</v>
      </c>
      <c r="X6046">
        <v>0.91410480000000005</v>
      </c>
      <c r="Y6046">
        <v>0.1371164</v>
      </c>
      <c r="Z6046">
        <v>-1.1252140000000001E-2</v>
      </c>
      <c r="AA6046">
        <v>0.99049100000000001</v>
      </c>
      <c r="AB6046">
        <v>37</v>
      </c>
      <c r="AC6046">
        <v>0.62199999999995703</v>
      </c>
      <c r="AD6046">
        <v>-0.120986599999999</v>
      </c>
      <c r="AE6046">
        <v>-0.112390000000004</v>
      </c>
      <c r="AF6046">
        <v>0.108237669829883</v>
      </c>
      <c r="AG6046">
        <v>-0.120986599999999</v>
      </c>
      <c r="AH6046">
        <v>0.60004864932229895</v>
      </c>
      <c r="AI6046">
        <v>101.22317417553</v>
      </c>
      <c r="AJ6046">
        <v>79.774855850444396</v>
      </c>
      <c r="AK6046">
        <v>0.62162008663111701</v>
      </c>
      <c r="AL6046">
        <v>66.101805831779899</v>
      </c>
      <c r="AM6046">
        <v>88.921426742786295</v>
      </c>
      <c r="AN6046">
        <v>1.0000000706288701</v>
      </c>
    </row>
    <row r="6047" spans="1:40" x14ac:dyDescent="0.25">
      <c r="A6047" t="str">
        <f>"20190304165006951"</f>
        <v>20190304165006951</v>
      </c>
      <c r="B6047" t="str">
        <f>"1551689406941620"</f>
        <v>1551689406941620</v>
      </c>
      <c r="C6047" t="s">
        <v>40</v>
      </c>
      <c r="D6047">
        <v>4.7445449999999996</v>
      </c>
      <c r="E6047">
        <v>0.55639099999999997</v>
      </c>
      <c r="F6047" t="s">
        <v>41</v>
      </c>
      <c r="G6047">
        <v>-358.43369999999999</v>
      </c>
      <c r="H6047">
        <v>0.98768160000000005</v>
      </c>
      <c r="I6047">
        <v>17.271789999999999</v>
      </c>
      <c r="J6047">
        <v>-359.20139999999998</v>
      </c>
      <c r="K6047">
        <v>1.111456</v>
      </c>
      <c r="L6047">
        <v>17.378139999999998</v>
      </c>
      <c r="M6047">
        <v>0.99989079999999997</v>
      </c>
      <c r="N6047">
        <v>-1.4784530000000001E-2</v>
      </c>
      <c r="O6047" s="1">
        <v>-7.2342659999999998E-5</v>
      </c>
      <c r="P6047">
        <v>0.9200102</v>
      </c>
      <c r="Q6047">
        <v>0.39146930000000002</v>
      </c>
      <c r="R6047">
        <v>-1.8254860000000001E-2</v>
      </c>
      <c r="S6047">
        <v>3.445068</v>
      </c>
      <c r="T6047">
        <v>-0.4504071</v>
      </c>
      <c r="U6047">
        <v>-0.386322</v>
      </c>
      <c r="V6047">
        <v>1.775084E-2</v>
      </c>
      <c r="W6047">
        <v>0.40504829999999997</v>
      </c>
      <c r="X6047">
        <v>0.91412300000000002</v>
      </c>
      <c r="Y6047">
        <v>0.1103336</v>
      </c>
      <c r="Z6047">
        <v>-7.9734639999999996E-3</v>
      </c>
      <c r="AA6047">
        <v>0.99386260000000004</v>
      </c>
      <c r="AB6047">
        <v>37</v>
      </c>
      <c r="AC6047">
        <v>0.76769999999998995</v>
      </c>
      <c r="AD6047">
        <v>-0.12377440000000001</v>
      </c>
      <c r="AE6047">
        <v>-0.106349999999999</v>
      </c>
      <c r="AF6047">
        <v>0.10365085467492299</v>
      </c>
      <c r="AG6047">
        <v>-0.12377440000000001</v>
      </c>
      <c r="AH6047">
        <v>0.74861438039930694</v>
      </c>
      <c r="AI6047">
        <v>99.301079732272896</v>
      </c>
      <c r="AJ6047">
        <v>82.117119325498393</v>
      </c>
      <c r="AK6047">
        <v>0.76582445267230803</v>
      </c>
      <c r="AL6047">
        <v>66.105847072187998</v>
      </c>
      <c r="AM6047">
        <v>88.887545320483497</v>
      </c>
      <c r="AN6047">
        <v>1.0000000383912899</v>
      </c>
    </row>
    <row r="6048" spans="1:40" x14ac:dyDescent="0.25">
      <c r="A6048" t="str">
        <f>"20190304165006961"</f>
        <v>20190304165006961</v>
      </c>
      <c r="B6048" t="str">
        <f>"1551689406951380"</f>
        <v>1551689406951380</v>
      </c>
      <c r="C6048" t="s">
        <v>40</v>
      </c>
      <c r="D6048">
        <v>4.7296250000000004</v>
      </c>
      <c r="E6048">
        <v>0.55557670000000003</v>
      </c>
      <c r="F6048" t="s">
        <v>41</v>
      </c>
      <c r="G6048">
        <v>-358.42309999999998</v>
      </c>
      <c r="H6048">
        <v>1.0096499999999999</v>
      </c>
      <c r="I6048">
        <v>17.292909999999999</v>
      </c>
      <c r="J6048">
        <v>-359.04239999999999</v>
      </c>
      <c r="K6048">
        <v>1.111459</v>
      </c>
      <c r="L6048">
        <v>17.378299999999999</v>
      </c>
      <c r="M6048">
        <v>0.99989059999999996</v>
      </c>
      <c r="N6048">
        <v>-1.478436E-2</v>
      </c>
      <c r="O6048">
        <v>1.3005969999999999E-4</v>
      </c>
      <c r="P6048">
        <v>0.91997189999999995</v>
      </c>
      <c r="Q6048">
        <v>0.39152409999999999</v>
      </c>
      <c r="R6048">
        <v>-1.9001199999999999E-2</v>
      </c>
      <c r="S6048">
        <v>3.4451290000000001</v>
      </c>
      <c r="T6048">
        <v>-0.4506869</v>
      </c>
      <c r="U6048">
        <v>-0.37704470000000001</v>
      </c>
      <c r="V6048">
        <v>1.8683330000000001E-2</v>
      </c>
      <c r="W6048">
        <v>0.4051032</v>
      </c>
      <c r="X6048">
        <v>0.91408</v>
      </c>
      <c r="Y6048">
        <v>0.1079085</v>
      </c>
      <c r="Z6048">
        <v>-7.8264279999999999E-3</v>
      </c>
      <c r="AA6048">
        <v>0.99412999999999996</v>
      </c>
      <c r="AB6048">
        <v>37</v>
      </c>
      <c r="AC6048">
        <v>0.61930000000000895</v>
      </c>
      <c r="AD6048">
        <v>-0.101809</v>
      </c>
      <c r="AE6048">
        <v>-8.5390000000000299E-2</v>
      </c>
      <c r="AF6048">
        <v>8.3262346818774799E-2</v>
      </c>
      <c r="AG6048">
        <v>-0.101809</v>
      </c>
      <c r="AH6048">
        <v>0.60328901244029398</v>
      </c>
      <c r="AI6048">
        <v>99.490489219199503</v>
      </c>
      <c r="AJ6048">
        <v>82.142020335050503</v>
      </c>
      <c r="AK6048">
        <v>0.617458762517753</v>
      </c>
      <c r="AL6048">
        <v>66.102404587547994</v>
      </c>
      <c r="AM6048">
        <v>88.829066469351602</v>
      </c>
      <c r="AN6048">
        <v>0.99999995793506302</v>
      </c>
    </row>
    <row r="6049" spans="1:40" x14ac:dyDescent="0.25">
      <c r="A6049" t="str">
        <f>"20190304165006971"</f>
        <v>20190304165006971</v>
      </c>
      <c r="B6049" t="str">
        <f>"1551689406962115"</f>
        <v>1551689406962115</v>
      </c>
      <c r="C6049" t="s">
        <v>40</v>
      </c>
      <c r="D6049">
        <v>4.7299189999999998</v>
      </c>
      <c r="E6049">
        <v>0.55507510000000004</v>
      </c>
      <c r="F6049" t="s">
        <v>41</v>
      </c>
      <c r="G6049">
        <v>-358.1071</v>
      </c>
      <c r="H6049">
        <v>0.98902009999999996</v>
      </c>
      <c r="I6049">
        <v>17.276710000000001</v>
      </c>
      <c r="J6049">
        <v>-358.86079999999998</v>
      </c>
      <c r="K6049">
        <v>1.111462</v>
      </c>
      <c r="L6049">
        <v>17.378540000000001</v>
      </c>
      <c r="M6049">
        <v>0.99989070000000002</v>
      </c>
      <c r="N6049">
        <v>-1.478409E-2</v>
      </c>
      <c r="O6049">
        <v>3.6083179999999999E-4</v>
      </c>
      <c r="P6049">
        <v>0.91991420000000002</v>
      </c>
      <c r="Q6049">
        <v>0.39164330000000003</v>
      </c>
      <c r="R6049">
        <v>-1.9332330000000002E-2</v>
      </c>
      <c r="S6049">
        <v>3.4452509999999998</v>
      </c>
      <c r="T6049">
        <v>-0.45110650000000002</v>
      </c>
      <c r="U6049">
        <v>-0.37344359999999999</v>
      </c>
      <c r="V6049">
        <v>1.92272E-2</v>
      </c>
      <c r="W6049">
        <v>0.40522130000000001</v>
      </c>
      <c r="X6049">
        <v>0.91401639999999995</v>
      </c>
      <c r="Y6049">
        <v>0.10711130000000001</v>
      </c>
      <c r="Z6049">
        <v>-7.8018619999999997E-3</v>
      </c>
      <c r="AA6049">
        <v>0.9942164</v>
      </c>
      <c r="AB6049">
        <v>37</v>
      </c>
      <c r="AC6049">
        <v>0.75369999999998005</v>
      </c>
      <c r="AD6049">
        <v>-0.12244190000000001</v>
      </c>
      <c r="AE6049">
        <v>-0.101829999999999</v>
      </c>
      <c r="AF6049">
        <v>9.9522524296213596E-2</v>
      </c>
      <c r="AG6049">
        <v>-0.12244190000000001</v>
      </c>
      <c r="AH6049">
        <v>0.73462300140820602</v>
      </c>
      <c r="AI6049">
        <v>99.378551672186603</v>
      </c>
      <c r="AJ6049">
        <v>82.284865892448096</v>
      </c>
      <c r="AK6049">
        <v>0.75137720614608905</v>
      </c>
      <c r="AL6049">
        <v>66.095003897635095</v>
      </c>
      <c r="AM6049">
        <v>88.794906787874496</v>
      </c>
      <c r="AN6049">
        <v>0.99999998333124396</v>
      </c>
    </row>
    <row r="6050" spans="1:40" x14ac:dyDescent="0.25">
      <c r="A6050" t="str">
        <f>"20190304165006982"</f>
        <v>20190304165006982</v>
      </c>
      <c r="B6050" t="str">
        <f>"1551689406971876"</f>
        <v>1551689406971876</v>
      </c>
      <c r="C6050" t="s">
        <v>40</v>
      </c>
      <c r="D6050">
        <v>4.7422579999999996</v>
      </c>
      <c r="E6050">
        <v>0.55482980000000004</v>
      </c>
      <c r="F6050" t="s">
        <v>41</v>
      </c>
      <c r="G6050">
        <v>-358.09640000000002</v>
      </c>
      <c r="H6050">
        <v>1.011228</v>
      </c>
      <c r="I6050">
        <v>17.296140000000001</v>
      </c>
      <c r="J6050">
        <v>-358.69310000000002</v>
      </c>
      <c r="K6050">
        <v>1.111423</v>
      </c>
      <c r="L6050">
        <v>17.378779999999999</v>
      </c>
      <c r="M6050">
        <v>0.99989280000000003</v>
      </c>
      <c r="N6050">
        <v>-1.463774E-2</v>
      </c>
      <c r="O6050">
        <v>5.8807209999999996E-4</v>
      </c>
      <c r="P6050">
        <v>0.91975050000000003</v>
      </c>
      <c r="Q6050">
        <v>0.39200940000000001</v>
      </c>
      <c r="R6050">
        <v>-1.9700530000000001E-2</v>
      </c>
      <c r="S6050">
        <v>3.4458009999999999</v>
      </c>
      <c r="T6050">
        <v>-0.4519109</v>
      </c>
      <c r="U6050">
        <v>-0.37048340000000002</v>
      </c>
      <c r="V6050">
        <v>1.9807990000000001E-2</v>
      </c>
      <c r="W6050">
        <v>0.40545189999999998</v>
      </c>
      <c r="X6050">
        <v>0.91390170000000004</v>
      </c>
      <c r="Y6050">
        <v>0.1064782</v>
      </c>
      <c r="Z6050">
        <v>-7.7859909999999999E-3</v>
      </c>
      <c r="AA6050">
        <v>0.99428459999999996</v>
      </c>
      <c r="AB6050">
        <v>37</v>
      </c>
      <c r="AC6050">
        <v>0.59669999999999801</v>
      </c>
      <c r="AD6050">
        <v>-0.10019500000000001</v>
      </c>
      <c r="AE6050">
        <v>-8.2639999999997799E-2</v>
      </c>
      <c r="AF6050">
        <v>8.0756798918717704E-2</v>
      </c>
      <c r="AG6050">
        <v>-0.10019500000000001</v>
      </c>
      <c r="AH6050">
        <v>0.58058935965343905</v>
      </c>
      <c r="AI6050">
        <v>99.699773133884804</v>
      </c>
      <c r="AJ6050">
        <v>82.081278737309304</v>
      </c>
      <c r="AK6050">
        <v>0.59468033693690303</v>
      </c>
      <c r="AL6050">
        <v>66.080550327122495</v>
      </c>
      <c r="AM6050">
        <v>88.758360376288707</v>
      </c>
      <c r="AN6050">
        <v>0.99999995847216905</v>
      </c>
    </row>
    <row r="6051" spans="1:40" x14ac:dyDescent="0.25">
      <c r="A6051" t="str">
        <f>"20190304165006993"</f>
        <v>20190304165006993</v>
      </c>
      <c r="B6051" t="str">
        <f>"1551689406981635"</f>
        <v>1551689406981635</v>
      </c>
      <c r="C6051" t="s">
        <v>40</v>
      </c>
      <c r="D6051">
        <v>4.6972649999999998</v>
      </c>
      <c r="E6051">
        <v>0.55465050000000005</v>
      </c>
      <c r="F6051" t="s">
        <v>41</v>
      </c>
      <c r="G6051">
        <v>-357.77890000000002</v>
      </c>
      <c r="H6051">
        <v>0.99162790000000001</v>
      </c>
      <c r="I6051">
        <v>17.280650000000001</v>
      </c>
      <c r="J6051">
        <v>-358.5068</v>
      </c>
      <c r="K6051">
        <v>1.111361</v>
      </c>
      <c r="L6051">
        <v>17.379089999999898</v>
      </c>
      <c r="M6051">
        <v>0.99989600000000001</v>
      </c>
      <c r="N6051">
        <v>-1.440834E-2</v>
      </c>
      <c r="O6051">
        <v>8.4705770000000004E-4</v>
      </c>
      <c r="P6051">
        <v>0.91944800000000004</v>
      </c>
      <c r="Q6051">
        <v>0.39269280000000001</v>
      </c>
      <c r="R6051">
        <v>-2.019847E-2</v>
      </c>
      <c r="S6051">
        <v>3.4463810000000001</v>
      </c>
      <c r="T6051">
        <v>-0.45164559999999998</v>
      </c>
      <c r="U6051">
        <v>-0.36962889999999998</v>
      </c>
      <c r="V6051">
        <v>2.0549290000000001E-2</v>
      </c>
      <c r="W6051">
        <v>0.40592129999999998</v>
      </c>
      <c r="X6051">
        <v>0.91367699999999996</v>
      </c>
      <c r="Y6051">
        <v>0.1064755</v>
      </c>
      <c r="Z6051">
        <v>-7.7984450000000002E-3</v>
      </c>
      <c r="AA6051">
        <v>0.99428470000000002</v>
      </c>
      <c r="AB6051">
        <v>36</v>
      </c>
      <c r="AC6051">
        <v>0.72789999999997601</v>
      </c>
      <c r="AD6051">
        <v>-0.1197331</v>
      </c>
      <c r="AE6051">
        <v>-9.8439999999996503E-2</v>
      </c>
      <c r="AF6051">
        <v>9.6492660644275696E-2</v>
      </c>
      <c r="AG6051">
        <v>-0.1197331</v>
      </c>
      <c r="AH6051">
        <v>0.70897784024709898</v>
      </c>
      <c r="AI6051">
        <v>99.499774533942698</v>
      </c>
      <c r="AJ6051">
        <v>82.249602382345699</v>
      </c>
      <c r="AK6051">
        <v>0.72546290515453804</v>
      </c>
      <c r="AL6051">
        <v>66.051127020446899</v>
      </c>
      <c r="AM6051">
        <v>88.711591592850596</v>
      </c>
      <c r="AN6051">
        <v>1.0000000177210899</v>
      </c>
    </row>
    <row r="6052" spans="1:40" x14ac:dyDescent="0.25">
      <c r="A6052" t="str">
        <f>"20190304165007005"</f>
        <v>20190304165007005</v>
      </c>
      <c r="B6052" t="str">
        <f>"1551689407002131"</f>
        <v>1551689407002131</v>
      </c>
      <c r="C6052" t="s">
        <v>40</v>
      </c>
      <c r="D6052">
        <v>4.6998819999999997</v>
      </c>
      <c r="E6052">
        <v>0.55463609999999997</v>
      </c>
      <c r="F6052" t="s">
        <v>41</v>
      </c>
      <c r="G6052">
        <v>-357.76769999999999</v>
      </c>
      <c r="H6052">
        <v>1.0146470000000001</v>
      </c>
      <c r="I6052">
        <v>17.299789999999899</v>
      </c>
      <c r="J6052">
        <v>-358.33139999999997</v>
      </c>
      <c r="K6052">
        <v>1.1113230000000001</v>
      </c>
      <c r="L6052">
        <v>17.379390000000001</v>
      </c>
      <c r="M6052">
        <v>0.99989589999999995</v>
      </c>
      <c r="N6052">
        <v>-1.4395730000000001E-2</v>
      </c>
      <c r="O6052">
        <v>1.080805E-3</v>
      </c>
      <c r="P6052">
        <v>0.91913730000000005</v>
      </c>
      <c r="Q6052">
        <v>0.39338329999999999</v>
      </c>
      <c r="R6052">
        <v>-2.0893109999999999E-2</v>
      </c>
      <c r="S6052">
        <v>3.4474179999999999</v>
      </c>
      <c r="T6052">
        <v>-0.45110260000000002</v>
      </c>
      <c r="U6052">
        <v>-0.36947629999999998</v>
      </c>
      <c r="V6052">
        <v>2.1459840000000001E-2</v>
      </c>
      <c r="W6052">
        <v>0.40659669999999998</v>
      </c>
      <c r="X6052">
        <v>0.91335569999999999</v>
      </c>
      <c r="Y6052">
        <v>0.10663259999999999</v>
      </c>
      <c r="Z6052">
        <v>-7.8256769999999996E-3</v>
      </c>
      <c r="AA6052">
        <v>0.99426769999999998</v>
      </c>
      <c r="AB6052">
        <v>36</v>
      </c>
      <c r="AC6052">
        <v>0.56369999999998299</v>
      </c>
      <c r="AD6052">
        <v>-9.6676000000000206E-2</v>
      </c>
      <c r="AE6052">
        <v>-7.9600000000002696E-2</v>
      </c>
      <c r="AF6052">
        <v>7.7961019136656706E-2</v>
      </c>
      <c r="AG6052">
        <v>-9.6676000000000206E-2</v>
      </c>
      <c r="AH6052">
        <v>0.54781566981649599</v>
      </c>
      <c r="AI6052">
        <v>99.910403391419393</v>
      </c>
      <c r="AJ6052">
        <v>81.9004814306047</v>
      </c>
      <c r="AK6052">
        <v>0.56171716866882604</v>
      </c>
      <c r="AL6052">
        <v>66.008777113802907</v>
      </c>
      <c r="AM6052">
        <v>88.654048932405203</v>
      </c>
      <c r="AN6052">
        <v>1.0000000179530999</v>
      </c>
    </row>
    <row r="6053" spans="1:40" x14ac:dyDescent="0.25">
      <c r="A6053" t="str">
        <f>"20190304165007016"</f>
        <v>20190304165007016</v>
      </c>
      <c r="B6053" t="str">
        <f>"1551689407011891"</f>
        <v>1551689407011891</v>
      </c>
      <c r="C6053" t="s">
        <v>40</v>
      </c>
      <c r="D6053">
        <v>4.6901970000000004</v>
      </c>
      <c r="E6053">
        <v>0.55460180000000003</v>
      </c>
      <c r="F6053" t="s">
        <v>41</v>
      </c>
      <c r="G6053">
        <v>-357.45100000000002</v>
      </c>
      <c r="H6053">
        <v>0.99670389999999998</v>
      </c>
      <c r="I6053">
        <v>17.284320000000001</v>
      </c>
      <c r="J6053">
        <v>-358.15019999999998</v>
      </c>
      <c r="K6053">
        <v>1.1112879999999901</v>
      </c>
      <c r="L6053">
        <v>17.379760000000001</v>
      </c>
      <c r="M6053">
        <v>0.99989530000000004</v>
      </c>
      <c r="N6053">
        <v>-1.441772E-2</v>
      </c>
      <c r="O6053">
        <v>1.3199939999999999E-3</v>
      </c>
      <c r="P6053">
        <v>0.91891060000000002</v>
      </c>
      <c r="Q6053">
        <v>0.39388570000000001</v>
      </c>
      <c r="R6053">
        <v>-2.139485E-2</v>
      </c>
      <c r="S6053">
        <v>3.4476619999999998</v>
      </c>
      <c r="T6053">
        <v>-0.4489088</v>
      </c>
      <c r="U6053">
        <v>-0.37109379999999997</v>
      </c>
      <c r="V6053">
        <v>2.218204E-2</v>
      </c>
      <c r="W6053">
        <v>0.40711629999999999</v>
      </c>
      <c r="X6053">
        <v>0.91310690000000005</v>
      </c>
      <c r="Y6053">
        <v>0.1073253</v>
      </c>
      <c r="Z6053">
        <v>-7.8693849999999996E-3</v>
      </c>
      <c r="AA6053">
        <v>0.99419279999999999</v>
      </c>
      <c r="AB6053">
        <v>37</v>
      </c>
      <c r="AC6053">
        <v>0.69920000000001803</v>
      </c>
      <c r="AD6053">
        <v>-0.114584099999999</v>
      </c>
      <c r="AE6053">
        <v>-9.54399999999999E-2</v>
      </c>
      <c r="AF6053">
        <v>9.38876012421659E-2</v>
      </c>
      <c r="AG6053">
        <v>-0.114584099999999</v>
      </c>
      <c r="AH6053">
        <v>0.681115747166671</v>
      </c>
      <c r="AI6053">
        <v>99.461624773312195</v>
      </c>
      <c r="AJ6053">
        <v>82.151590088915</v>
      </c>
      <c r="AK6053">
        <v>0.69703877846087603</v>
      </c>
      <c r="AL6053">
        <v>65.976185634040405</v>
      </c>
      <c r="AM6053">
        <v>88.608391472580294</v>
      </c>
      <c r="AN6053">
        <v>0.99999996772593003</v>
      </c>
    </row>
    <row r="6054" spans="1:40" x14ac:dyDescent="0.25">
      <c r="A6054" t="str">
        <f>"20190304165007027"</f>
        <v>20190304165007027</v>
      </c>
      <c r="B6054" t="str">
        <f>"1551689407021651"</f>
        <v>1551689407021651</v>
      </c>
      <c r="C6054" t="s">
        <v>40</v>
      </c>
      <c r="D6054">
        <v>4.70838</v>
      </c>
      <c r="E6054">
        <v>0.55459269999999905</v>
      </c>
      <c r="F6054" t="s">
        <v>41</v>
      </c>
      <c r="G6054">
        <v>-357.13499999999999</v>
      </c>
      <c r="H6054">
        <v>0.97941520000000004</v>
      </c>
      <c r="I6054">
        <v>17.270119999999999</v>
      </c>
      <c r="J6054">
        <v>-357.9513</v>
      </c>
      <c r="K6054">
        <v>1.1112679999999999</v>
      </c>
      <c r="L6054">
        <v>17.38025</v>
      </c>
      <c r="M6054">
        <v>0.99989320000000004</v>
      </c>
      <c r="N6054">
        <v>-1.4539369999999999E-2</v>
      </c>
      <c r="O6054">
        <v>1.5751529999999999E-3</v>
      </c>
      <c r="P6054">
        <v>0.91880379999999995</v>
      </c>
      <c r="Q6054">
        <v>0.39408769999999999</v>
      </c>
      <c r="R6054">
        <v>-2.2239999999999999E-2</v>
      </c>
      <c r="S6054">
        <v>3.4480900000000001</v>
      </c>
      <c r="T6054">
        <v>-0.44785619999999998</v>
      </c>
      <c r="U6054">
        <v>-0.37176510000000001</v>
      </c>
      <c r="V6054">
        <v>2.3258399999999999E-2</v>
      </c>
      <c r="W6054">
        <v>0.40742899999999999</v>
      </c>
      <c r="X6054">
        <v>0.91294070000000005</v>
      </c>
      <c r="Y6054">
        <v>0.1077555</v>
      </c>
      <c r="Z6054">
        <v>-7.9184400000000005E-3</v>
      </c>
      <c r="AA6054">
        <v>0.99414590000000003</v>
      </c>
      <c r="AB6054">
        <v>36</v>
      </c>
      <c r="AC6054">
        <v>0.81630000000001202</v>
      </c>
      <c r="AD6054">
        <v>-0.13185279999999899</v>
      </c>
      <c r="AE6054">
        <v>-0.11012999999999799</v>
      </c>
      <c r="AF6054">
        <v>0.108632214979235</v>
      </c>
      <c r="AG6054">
        <v>-0.13185279999999899</v>
      </c>
      <c r="AH6054">
        <v>0.79573564305747402</v>
      </c>
      <c r="AI6054">
        <v>99.323442154369204</v>
      </c>
      <c r="AJ6054">
        <v>82.226152899487204</v>
      </c>
      <c r="AK6054">
        <v>0.81386812975519995</v>
      </c>
      <c r="AL6054">
        <v>65.956570228582606</v>
      </c>
      <c r="AM6054">
        <v>88.540628144764696</v>
      </c>
      <c r="AN6054">
        <v>1.0000000324640199</v>
      </c>
    </row>
    <row r="6055" spans="1:40" x14ac:dyDescent="0.25">
      <c r="A6055" t="str">
        <f>"20190304165007039"</f>
        <v>20190304165007039</v>
      </c>
      <c r="B6055" t="str">
        <f>"1551689407031411"</f>
        <v>1551689407031411</v>
      </c>
      <c r="C6055" t="s">
        <v>40</v>
      </c>
      <c r="D6055">
        <v>4.6961760000000004</v>
      </c>
      <c r="E6055">
        <v>0.55462880000000003</v>
      </c>
      <c r="F6055" t="s">
        <v>41</v>
      </c>
      <c r="G6055">
        <v>-357.1234</v>
      </c>
      <c r="H6055">
        <v>1.003736</v>
      </c>
      <c r="I6055">
        <v>17.290289999999999</v>
      </c>
      <c r="J6055">
        <v>-357.774</v>
      </c>
      <c r="K6055">
        <v>1.1112470000000001</v>
      </c>
      <c r="L6055">
        <v>17.380679999999899</v>
      </c>
      <c r="M6055">
        <v>0.99989150000000004</v>
      </c>
      <c r="N6055">
        <v>-1.462653E-2</v>
      </c>
      <c r="O6055">
        <v>1.80029E-3</v>
      </c>
      <c r="P6055">
        <v>0.91862549999999998</v>
      </c>
      <c r="Q6055">
        <v>0.39446870000000001</v>
      </c>
      <c r="R6055">
        <v>-2.2845609999999999E-2</v>
      </c>
      <c r="S6055">
        <v>3.4481199999999999</v>
      </c>
      <c r="T6055">
        <v>-0.44778699999999999</v>
      </c>
      <c r="U6055">
        <v>-0.37390139999999999</v>
      </c>
      <c r="V6055">
        <v>2.406544E-2</v>
      </c>
      <c r="W6055">
        <v>0.40788790000000003</v>
      </c>
      <c r="X6055">
        <v>0.91271480000000005</v>
      </c>
      <c r="Y6055">
        <v>0.1085778</v>
      </c>
      <c r="Z6055">
        <v>-8.0065120000000004E-3</v>
      </c>
      <c r="AA6055">
        <v>0.99405569999999999</v>
      </c>
      <c r="AB6055">
        <v>36</v>
      </c>
      <c r="AC6055">
        <v>0.65059999999999696</v>
      </c>
      <c r="AD6055">
        <v>-0.107510999999999</v>
      </c>
      <c r="AE6055">
        <v>-9.0389999999999304E-2</v>
      </c>
      <c r="AF6055">
        <v>8.9172310710980696E-2</v>
      </c>
      <c r="AG6055">
        <v>-0.107510999999999</v>
      </c>
      <c r="AH6055">
        <v>0.63346558268512798</v>
      </c>
      <c r="AI6055">
        <v>99.540078882469402</v>
      </c>
      <c r="AJ6055">
        <v>81.987181228991105</v>
      </c>
      <c r="AK6055">
        <v>0.64868248054432898</v>
      </c>
      <c r="AL6055">
        <v>65.927775015205995</v>
      </c>
      <c r="AM6055">
        <v>88.489639100155998</v>
      </c>
      <c r="AN6055">
        <v>0.99999999525392103</v>
      </c>
    </row>
    <row r="6056" spans="1:40" x14ac:dyDescent="0.25">
      <c r="A6056" t="str">
        <f>"20190304165007049"</f>
        <v>20190304165007049</v>
      </c>
      <c r="B6056" t="str">
        <f>"1551689407042147"</f>
        <v>1551689407042147</v>
      </c>
      <c r="C6056" t="s">
        <v>40</v>
      </c>
      <c r="D6056">
        <v>4.6821349999999997</v>
      </c>
      <c r="E6056">
        <v>0.55463809999999902</v>
      </c>
      <c r="F6056" t="s">
        <v>41</v>
      </c>
      <c r="G6056">
        <v>-356.80799999999999</v>
      </c>
      <c r="H6056">
        <v>0.98604170000000002</v>
      </c>
      <c r="I6056">
        <v>17.275189999999998</v>
      </c>
      <c r="J6056">
        <v>-357.58569999999997</v>
      </c>
      <c r="K6056">
        <v>1.111213</v>
      </c>
      <c r="L6056">
        <v>17.381229999999999</v>
      </c>
      <c r="M6056">
        <v>0.99989019999999995</v>
      </c>
      <c r="N6056">
        <v>-1.4676399999999999E-2</v>
      </c>
      <c r="O6056">
        <v>2.0340330000000002E-3</v>
      </c>
      <c r="P6056">
        <v>0.91842509999999999</v>
      </c>
      <c r="Q6056">
        <v>0.39487949999999999</v>
      </c>
      <c r="R6056">
        <v>-2.3782979999999999E-2</v>
      </c>
      <c r="S6056">
        <v>3.4483640000000002</v>
      </c>
      <c r="T6056">
        <v>-0.44698450000000001</v>
      </c>
      <c r="U6056">
        <v>-0.37503049999999999</v>
      </c>
      <c r="V6056">
        <v>2.5207810000000001E-2</v>
      </c>
      <c r="W6056">
        <v>0.40834330000000002</v>
      </c>
      <c r="X6056">
        <v>0.91248030000000002</v>
      </c>
      <c r="Y6056">
        <v>0.1091211</v>
      </c>
      <c r="Z6056">
        <v>-8.0613239999999999E-3</v>
      </c>
      <c r="AA6056">
        <v>0.99399579999999998</v>
      </c>
      <c r="AB6056">
        <v>36</v>
      </c>
      <c r="AC6056">
        <v>0.77769999999992401</v>
      </c>
      <c r="AD6056">
        <v>-0.12517130000000001</v>
      </c>
      <c r="AE6056">
        <v>-0.10604</v>
      </c>
      <c r="AF6056">
        <v>0.10495263391213799</v>
      </c>
      <c r="AG6056">
        <v>-0.12517130000000001</v>
      </c>
      <c r="AH6056">
        <v>0.75819992731010299</v>
      </c>
      <c r="AI6056">
        <v>99.287419038829498</v>
      </c>
      <c r="AJ6056">
        <v>82.119003123836706</v>
      </c>
      <c r="AK6056">
        <v>0.77559657005548399</v>
      </c>
      <c r="AL6056">
        <v>65.8991938665406</v>
      </c>
      <c r="AM6056">
        <v>88.417572549778995</v>
      </c>
      <c r="AN6056">
        <v>0.99999999111398796</v>
      </c>
    </row>
    <row r="6057" spans="1:40" x14ac:dyDescent="0.25">
      <c r="A6057" t="str">
        <f>"20190304165007060"</f>
        <v>20190304165007060</v>
      </c>
      <c r="B6057" t="str">
        <f>"1551689407051907"</f>
        <v>1551689407051907</v>
      </c>
      <c r="C6057" t="s">
        <v>40</v>
      </c>
      <c r="D6057">
        <v>4.6624160000000003</v>
      </c>
      <c r="E6057">
        <v>0.55463859999999998</v>
      </c>
      <c r="F6057" t="s">
        <v>41</v>
      </c>
      <c r="G6057">
        <v>-356.79680000000002</v>
      </c>
      <c r="H6057">
        <v>1.0092239999999999</v>
      </c>
      <c r="I6057">
        <v>17.294550000000001</v>
      </c>
      <c r="J6057">
        <v>-357.42250000000001</v>
      </c>
      <c r="K6057">
        <v>1.111181</v>
      </c>
      <c r="L6057">
        <v>17.381710000000002</v>
      </c>
      <c r="M6057">
        <v>0.99988980000000005</v>
      </c>
      <c r="N6057">
        <v>-1.4688400000000001E-2</v>
      </c>
      <c r="O6057">
        <v>2.235987E-3</v>
      </c>
      <c r="P6057">
        <v>0.91812749999999999</v>
      </c>
      <c r="Q6057">
        <v>0.39552359999999998</v>
      </c>
      <c r="R6057">
        <v>-2.456496E-2</v>
      </c>
      <c r="S6057">
        <v>3.4484859999999999</v>
      </c>
      <c r="T6057">
        <v>-0.44591120000000001</v>
      </c>
      <c r="U6057">
        <v>-0.37704470000000001</v>
      </c>
      <c r="V6057">
        <v>2.616746E-2</v>
      </c>
      <c r="W6057">
        <v>0.4089952</v>
      </c>
      <c r="X6057">
        <v>0.91216129999999995</v>
      </c>
      <c r="Y6057">
        <v>0.1098881</v>
      </c>
      <c r="Z6057">
        <v>-8.1220400000000005E-3</v>
      </c>
      <c r="AA6057">
        <v>0.99391079999999998</v>
      </c>
      <c r="AB6057">
        <v>36</v>
      </c>
      <c r="AC6057">
        <v>0.62569999999999404</v>
      </c>
      <c r="AD6057">
        <v>-0.10195700000000001</v>
      </c>
      <c r="AE6057">
        <v>-8.7160000000000695E-2</v>
      </c>
      <c r="AF6057">
        <v>8.6310863520556697E-2</v>
      </c>
      <c r="AG6057">
        <v>-0.10195700000000001</v>
      </c>
      <c r="AH6057">
        <v>0.60962472088161901</v>
      </c>
      <c r="AI6057">
        <v>99.4025182639881</v>
      </c>
      <c r="AJ6057">
        <v>81.941603813733195</v>
      </c>
      <c r="AK6057">
        <v>0.62408901233770797</v>
      </c>
      <c r="AL6057">
        <v>65.858270148394297</v>
      </c>
      <c r="AM6057">
        <v>88.356788501541601</v>
      </c>
      <c r="AN6057">
        <v>1.0000000234017901</v>
      </c>
    </row>
    <row r="6058" spans="1:40" x14ac:dyDescent="0.25">
      <c r="A6058" t="str">
        <f>"20190304165007071"</f>
        <v>20190304165007071</v>
      </c>
      <c r="B6058" t="str">
        <f>"1551689407061667"</f>
        <v>1551689407061667</v>
      </c>
      <c r="C6058" t="s">
        <v>40</v>
      </c>
      <c r="D6058">
        <v>4.6839009999999996</v>
      </c>
      <c r="E6058">
        <v>0.55463379999999995</v>
      </c>
      <c r="F6058" t="s">
        <v>41</v>
      </c>
      <c r="G6058">
        <v>-356.4821</v>
      </c>
      <c r="H6058">
        <v>0.99039690000000002</v>
      </c>
      <c r="I6058">
        <v>17.27843</v>
      </c>
      <c r="J6058">
        <v>-357.24</v>
      </c>
      <c r="K6058">
        <v>1.111143</v>
      </c>
      <c r="L6058">
        <v>17.382349999999999</v>
      </c>
      <c r="M6058">
        <v>0.99988929999999998</v>
      </c>
      <c r="N6058">
        <v>-1.467279E-2</v>
      </c>
      <c r="O6058">
        <v>2.461604E-3</v>
      </c>
      <c r="P6058">
        <v>0.91776709999999995</v>
      </c>
      <c r="Q6058">
        <v>0.39631719999999998</v>
      </c>
      <c r="R6058">
        <v>-2.5222080000000001E-2</v>
      </c>
      <c r="S6058">
        <v>3.4481809999999999</v>
      </c>
      <c r="T6058">
        <v>-0.44292999999999999</v>
      </c>
      <c r="U6058">
        <v>-0.3789978</v>
      </c>
      <c r="V6058">
        <v>2.7024260000000001E-2</v>
      </c>
      <c r="W6058">
        <v>0.40977000000000002</v>
      </c>
      <c r="X6058">
        <v>0.9117885</v>
      </c>
      <c r="Y6058">
        <v>0.1106824</v>
      </c>
      <c r="Z6058">
        <v>-8.1549320000000002E-3</v>
      </c>
      <c r="AA6058">
        <v>0.99382239999999999</v>
      </c>
      <c r="AB6058">
        <v>36</v>
      </c>
      <c r="AC6058">
        <v>0.75790000000000601</v>
      </c>
      <c r="AD6058">
        <v>-0.120746099999999</v>
      </c>
      <c r="AE6058">
        <v>-0.103919999999998</v>
      </c>
      <c r="AF6058">
        <v>0.103214120003868</v>
      </c>
      <c r="AG6058">
        <v>-0.120746099999999</v>
      </c>
      <c r="AH6058">
        <v>0.73922524454790395</v>
      </c>
      <c r="AI6058">
        <v>99.189251751788305</v>
      </c>
      <c r="AJ6058">
        <v>82.051479146040805</v>
      </c>
      <c r="AK6058">
        <v>0.75609968748194301</v>
      </c>
      <c r="AL6058">
        <v>65.809613033706796</v>
      </c>
      <c r="AM6058">
        <v>88.302322426179899</v>
      </c>
      <c r="AN6058">
        <v>1.0000000161303899</v>
      </c>
    </row>
    <row r="6059" spans="1:40" x14ac:dyDescent="0.25">
      <c r="A6059" t="str">
        <f>"20190304165007084"</f>
        <v>20190304165007084</v>
      </c>
      <c r="B6059" t="str">
        <f>"1551689407071427"</f>
        <v>1551689407071427</v>
      </c>
      <c r="C6059" t="s">
        <v>40</v>
      </c>
      <c r="D6059">
        <v>4.6746339999999904</v>
      </c>
      <c r="E6059">
        <v>0.55463699999999905</v>
      </c>
      <c r="F6059" t="s">
        <v>41</v>
      </c>
      <c r="G6059">
        <v>-356.47120000000001</v>
      </c>
      <c r="H6059">
        <v>1.01298</v>
      </c>
      <c r="I6059">
        <v>17.297650000000001</v>
      </c>
      <c r="J6059">
        <v>-357.0532</v>
      </c>
      <c r="K6059">
        <v>1.1111040000000001</v>
      </c>
      <c r="L6059">
        <v>17.383029999999899</v>
      </c>
      <c r="M6059">
        <v>0.99988920000000003</v>
      </c>
      <c r="N6059">
        <v>-1.464353E-2</v>
      </c>
      <c r="O6059">
        <v>2.6948839999999998E-3</v>
      </c>
      <c r="P6059">
        <v>0.91741130000000004</v>
      </c>
      <c r="Q6059">
        <v>0.39709529999999998</v>
      </c>
      <c r="R6059">
        <v>-2.5918549999999999E-2</v>
      </c>
      <c r="S6059">
        <v>3.448547</v>
      </c>
      <c r="T6059">
        <v>-0.44036690000000001</v>
      </c>
      <c r="U6059">
        <v>-0.38031009999999998</v>
      </c>
      <c r="V6059">
        <v>2.793062E-2</v>
      </c>
      <c r="W6059">
        <v>0.41051720000000003</v>
      </c>
      <c r="X6059">
        <v>0.91142500000000004</v>
      </c>
      <c r="Y6059">
        <v>0.11128109999999999</v>
      </c>
      <c r="Z6059">
        <v>-8.1786749999999998E-3</v>
      </c>
      <c r="AA6059">
        <v>0.99375530000000001</v>
      </c>
      <c r="AB6059">
        <v>36</v>
      </c>
      <c r="AC6059">
        <v>0.58199999999999297</v>
      </c>
      <c r="AD6059">
        <v>-9.81240000000001E-2</v>
      </c>
      <c r="AE6059">
        <v>-8.5379999999997097E-2</v>
      </c>
      <c r="AF6059">
        <v>8.4594324369044099E-2</v>
      </c>
      <c r="AG6059">
        <v>-9.81240000000001E-2</v>
      </c>
      <c r="AH6059">
        <v>0.56601753779389496</v>
      </c>
      <c r="AI6059">
        <v>99.729009691830001</v>
      </c>
      <c r="AJ6059">
        <v>81.499758744672206</v>
      </c>
      <c r="AK6059">
        <v>0.58065512327173896</v>
      </c>
      <c r="AL6059">
        <v>65.762671642787495</v>
      </c>
      <c r="AM6059">
        <v>88.244720114802803</v>
      </c>
      <c r="AN6059">
        <v>1.00000001082721</v>
      </c>
    </row>
    <row r="6060" spans="1:40" x14ac:dyDescent="0.25">
      <c r="A6060" t="str">
        <f>"20190304165007096"</f>
        <v>20190304165007096</v>
      </c>
      <c r="B6060" t="str">
        <f>"1551689407091923"</f>
        <v>1551689407091923</v>
      </c>
      <c r="C6060" t="s">
        <v>40</v>
      </c>
      <c r="D6060">
        <v>4.6969180000000001</v>
      </c>
      <c r="E6060">
        <v>0.554755</v>
      </c>
      <c r="F6060" t="s">
        <v>41</v>
      </c>
      <c r="G6060">
        <v>-356.15530000000001</v>
      </c>
      <c r="H6060">
        <v>0.99715339999999997</v>
      </c>
      <c r="I6060">
        <v>17.283300000000001</v>
      </c>
      <c r="J6060">
        <v>-356.8537</v>
      </c>
      <c r="K6060">
        <v>1.1110679999999999</v>
      </c>
      <c r="L6060">
        <v>17.383759999999999</v>
      </c>
      <c r="M6060">
        <v>0.99988900000000003</v>
      </c>
      <c r="N6060">
        <v>-1.4607169999999999E-2</v>
      </c>
      <c r="O6060">
        <v>2.9454709999999999E-3</v>
      </c>
      <c r="P6060">
        <v>0.91720040000000003</v>
      </c>
      <c r="Q6060">
        <v>0.39755279999999998</v>
      </c>
      <c r="R6060">
        <v>-2.6370589999999999E-2</v>
      </c>
      <c r="S6060">
        <v>3.4487299999999999</v>
      </c>
      <c r="T6060">
        <v>-0.4377238</v>
      </c>
      <c r="U6060">
        <v>-0.38192749999999998</v>
      </c>
      <c r="V6060">
        <v>2.8610360000000001E-2</v>
      </c>
      <c r="W6060">
        <v>0.41093930000000001</v>
      </c>
      <c r="X6060">
        <v>0.91121359999999996</v>
      </c>
      <c r="Y6060">
        <v>0.1119889</v>
      </c>
      <c r="Z6060">
        <v>-8.2098529999999996E-3</v>
      </c>
      <c r="AA6060">
        <v>0.99367550000000004</v>
      </c>
      <c r="AB6060">
        <v>36</v>
      </c>
      <c r="AC6060">
        <v>0.69839999999999203</v>
      </c>
      <c r="AD6060">
        <v>-0.11391459999999901</v>
      </c>
      <c r="AE6060">
        <v>-0.10046000000000101</v>
      </c>
      <c r="AF6060">
        <v>9.9912686082218302E-2</v>
      </c>
      <c r="AG6060">
        <v>-0.11391459999999901</v>
      </c>
      <c r="AH6060">
        <v>0.68036732808890199</v>
      </c>
      <c r="AI6060">
        <v>99.405879952030801</v>
      </c>
      <c r="AJ6060">
        <v>81.645764331912304</v>
      </c>
      <c r="AK6060">
        <v>0.69703571075243698</v>
      </c>
      <c r="AL6060">
        <v>65.736144699220503</v>
      </c>
      <c r="AM6060">
        <v>88.201613192973099</v>
      </c>
      <c r="AN6060">
        <v>0.99999994290438798</v>
      </c>
    </row>
    <row r="6061" spans="1:40" x14ac:dyDescent="0.25">
      <c r="A6061" t="str">
        <f>"20190304165007117"</f>
        <v>20190304165007117</v>
      </c>
      <c r="B6061" t="str">
        <f>"1551689407111588"</f>
        <v>1551689407111588</v>
      </c>
      <c r="C6061" t="s">
        <v>40</v>
      </c>
      <c r="D6061">
        <v>4.5925779999999996</v>
      </c>
      <c r="E6061">
        <v>0.55473600000000001</v>
      </c>
      <c r="F6061" t="s">
        <v>41</v>
      </c>
      <c r="G6061">
        <v>-355.83890000000002</v>
      </c>
      <c r="H6061">
        <v>0.98280630000000002</v>
      </c>
      <c r="I6061">
        <v>17.270620000000001</v>
      </c>
      <c r="J6061">
        <v>-356.50790000000001</v>
      </c>
      <c r="K6061">
        <v>1.111024</v>
      </c>
      <c r="L6061">
        <v>17.385249999999999</v>
      </c>
      <c r="M6061">
        <v>0.99988829999999995</v>
      </c>
      <c r="N6061">
        <v>-1.455791E-2</v>
      </c>
      <c r="O6061">
        <v>3.3896809999999999E-3</v>
      </c>
      <c r="P6061">
        <v>0.91643350000000001</v>
      </c>
      <c r="Q6061">
        <v>0.39927410000000002</v>
      </c>
      <c r="R6061">
        <v>-2.701864E-2</v>
      </c>
      <c r="S6061">
        <v>3.4487299999999999</v>
      </c>
      <c r="T6061">
        <v>-0.4359633</v>
      </c>
      <c r="U6061">
        <v>-0.38449100000000003</v>
      </c>
      <c r="V6061">
        <v>2.9667220000000001E-2</v>
      </c>
      <c r="W6061">
        <v>0.412605</v>
      </c>
      <c r="X6061">
        <v>0.91042690000000004</v>
      </c>
      <c r="Y6061">
        <v>0.11315500000000001</v>
      </c>
      <c r="Z6061">
        <v>-8.3083580000000001E-3</v>
      </c>
      <c r="AA6061">
        <v>0.99354260000000005</v>
      </c>
      <c r="AB6061">
        <v>36</v>
      </c>
      <c r="AC6061">
        <v>0.66899999999998205</v>
      </c>
      <c r="AD6061">
        <v>-0.12821769999999999</v>
      </c>
      <c r="AE6061">
        <v>-0.114629999999998</v>
      </c>
      <c r="AF6061">
        <v>0.112869608988918</v>
      </c>
      <c r="AG6061">
        <v>-0.12821769999999999</v>
      </c>
      <c r="AH6061">
        <v>0.64557083378398605</v>
      </c>
      <c r="AI6061">
        <v>101.06973243416</v>
      </c>
      <c r="AJ6061">
        <v>80.082821512152904</v>
      </c>
      <c r="AK6061">
        <v>0.66778816151467701</v>
      </c>
      <c r="AL6061">
        <v>65.631419994433898</v>
      </c>
      <c r="AM6061">
        <v>88.1336170626235</v>
      </c>
      <c r="AN6061">
        <v>1.0000000851055599</v>
      </c>
    </row>
    <row r="6062" spans="1:40" x14ac:dyDescent="0.25">
      <c r="A6062" t="str">
        <f>"20190304165007128"</f>
        <v>20190304165007128</v>
      </c>
      <c r="B6062" t="str">
        <f>"1551689407121348"</f>
        <v>1551689407121348</v>
      </c>
      <c r="C6062" t="s">
        <v>40</v>
      </c>
      <c r="D6062">
        <v>4.7426089999999999</v>
      </c>
      <c r="E6062">
        <v>0.55477569999999998</v>
      </c>
      <c r="F6062" t="s">
        <v>41</v>
      </c>
      <c r="G6062">
        <v>-355.51319999999998</v>
      </c>
      <c r="H6062">
        <v>0.98872360000000004</v>
      </c>
      <c r="I6062">
        <v>17.273129999999998</v>
      </c>
      <c r="J6062">
        <v>-356.32799999999997</v>
      </c>
      <c r="K6062">
        <v>1.111016</v>
      </c>
      <c r="L6062">
        <v>17.38608</v>
      </c>
      <c r="M6062">
        <v>0.99988779999999999</v>
      </c>
      <c r="N6062">
        <v>-1.454124E-2</v>
      </c>
      <c r="O6062">
        <v>3.6244939999999998E-3</v>
      </c>
      <c r="P6062">
        <v>0.91610179999999997</v>
      </c>
      <c r="Q6062">
        <v>0.40003030000000001</v>
      </c>
      <c r="R6062">
        <v>-2.7090550000000001E-2</v>
      </c>
      <c r="S6062">
        <v>3.4468079999999999</v>
      </c>
      <c r="T6062">
        <v>-0.42381629999999998</v>
      </c>
      <c r="U6062">
        <v>-0.38702389999999998</v>
      </c>
      <c r="V6062">
        <v>2.99565E-2</v>
      </c>
      <c r="W6062">
        <v>0.41334100000000001</v>
      </c>
      <c r="X6062">
        <v>0.91008339999999999</v>
      </c>
      <c r="Y6062">
        <v>0.1142123</v>
      </c>
      <c r="Z6062">
        <v>-8.200466E-3</v>
      </c>
      <c r="AA6062">
        <v>0.99342249999999999</v>
      </c>
      <c r="AB6062">
        <v>36</v>
      </c>
      <c r="AC6062">
        <v>0.81480000000004704</v>
      </c>
      <c r="AD6062">
        <v>-0.1222924</v>
      </c>
      <c r="AE6062">
        <v>-0.11295000000000099</v>
      </c>
      <c r="AF6062">
        <v>0.11339652373140199</v>
      </c>
      <c r="AG6062">
        <v>-0.1222924</v>
      </c>
      <c r="AH6062">
        <v>0.79677493994264503</v>
      </c>
      <c r="AI6062">
        <v>98.640174349722798</v>
      </c>
      <c r="AJ6062">
        <v>81.900094644242103</v>
      </c>
      <c r="AK6062">
        <v>0.81404207975554399</v>
      </c>
      <c r="AL6062">
        <v>65.585114878352499</v>
      </c>
      <c r="AM6062">
        <v>88.114720546364296</v>
      </c>
      <c r="AN6062">
        <v>0.99999998456440498</v>
      </c>
    </row>
    <row r="6063" spans="1:40" x14ac:dyDescent="0.25">
      <c r="A6063" t="str">
        <f>"20190304165007139"</f>
        <v>20190304165007139</v>
      </c>
      <c r="B6063" t="str">
        <f>"1551689407132084"</f>
        <v>1551689407132084</v>
      </c>
      <c r="C6063" t="s">
        <v>40</v>
      </c>
      <c r="D6063">
        <v>4.6503500000000004</v>
      </c>
      <c r="E6063">
        <v>0.55475659999999904</v>
      </c>
      <c r="F6063" t="s">
        <v>41</v>
      </c>
      <c r="G6063">
        <v>-355.50310000000002</v>
      </c>
      <c r="H6063">
        <v>1.010006</v>
      </c>
      <c r="I6063">
        <v>17.29297</v>
      </c>
      <c r="J6063">
        <v>-356.14429999999999</v>
      </c>
      <c r="K6063">
        <v>1.1110120000000001</v>
      </c>
      <c r="L6063">
        <v>17.38693</v>
      </c>
      <c r="M6063">
        <v>0.99988699999999997</v>
      </c>
      <c r="N6063">
        <v>-1.452735E-2</v>
      </c>
      <c r="O6063">
        <v>3.8651340000000001E-3</v>
      </c>
      <c r="P6063">
        <v>0.91574120000000003</v>
      </c>
      <c r="Q6063">
        <v>0.4008525</v>
      </c>
      <c r="R6063">
        <v>-2.7119509999999999E-2</v>
      </c>
      <c r="S6063">
        <v>3.4476930000000001</v>
      </c>
      <c r="T6063">
        <v>-0.42219760000000001</v>
      </c>
      <c r="U6063">
        <v>-0.38729859999999999</v>
      </c>
      <c r="V6063">
        <v>3.0207810000000002E-2</v>
      </c>
      <c r="W6063">
        <v>0.41414489999999998</v>
      </c>
      <c r="X6063">
        <v>0.90970949999999995</v>
      </c>
      <c r="Y6063">
        <v>0.114505</v>
      </c>
      <c r="Z6063">
        <v>-8.2154120000000001E-3</v>
      </c>
      <c r="AA6063">
        <v>0.99338870000000001</v>
      </c>
      <c r="AB6063">
        <v>36</v>
      </c>
      <c r="AC6063">
        <v>0.64119999999996902</v>
      </c>
      <c r="AD6063">
        <v>-0.101006</v>
      </c>
      <c r="AE6063">
        <v>-9.39599999999991E-2</v>
      </c>
      <c r="AF6063">
        <v>9.4150685392889302E-2</v>
      </c>
      <c r="AG6063">
        <v>-0.101006</v>
      </c>
      <c r="AH6063">
        <v>0.62563351801096501</v>
      </c>
      <c r="AI6063">
        <v>99.0706285919902</v>
      </c>
      <c r="AJ6063">
        <v>81.441860061332505</v>
      </c>
      <c r="AK6063">
        <v>0.64069014543281899</v>
      </c>
      <c r="AL6063">
        <v>65.534520191743695</v>
      </c>
      <c r="AM6063">
        <v>88.098135393231601</v>
      </c>
      <c r="AN6063">
        <v>0.99999994218562605</v>
      </c>
    </row>
    <row r="6064" spans="1:40" x14ac:dyDescent="0.25">
      <c r="A6064" t="str">
        <f>"20190304165007150"</f>
        <v>20190304165007150</v>
      </c>
      <c r="B6064" t="str">
        <f>"1551689407141844"</f>
        <v>1551689407141844</v>
      </c>
      <c r="C6064" t="s">
        <v>40</v>
      </c>
      <c r="D6064">
        <v>4.719201</v>
      </c>
      <c r="E6064">
        <v>0.55486519999999995</v>
      </c>
      <c r="F6064" t="s">
        <v>41</v>
      </c>
      <c r="G6064">
        <v>-355.18799999999999</v>
      </c>
      <c r="H6064">
        <v>0.99446860000000004</v>
      </c>
      <c r="I6064">
        <v>17.279450000000001</v>
      </c>
      <c r="J6064">
        <v>-355.96980000000002</v>
      </c>
      <c r="K6064">
        <v>1.1110180000000001</v>
      </c>
      <c r="L6064">
        <v>17.387820000000001</v>
      </c>
      <c r="M6064">
        <v>0.99988630000000001</v>
      </c>
      <c r="N6064">
        <v>-1.451853E-2</v>
      </c>
      <c r="O6064">
        <v>4.0940669999999998E-3</v>
      </c>
      <c r="P6064">
        <v>0.91543289999999999</v>
      </c>
      <c r="Q6064">
        <v>0.40155879999999999</v>
      </c>
      <c r="R6064">
        <v>-2.7082100000000001E-2</v>
      </c>
      <c r="S6064">
        <v>3.448547</v>
      </c>
      <c r="T6064">
        <v>-0.42025299999999999</v>
      </c>
      <c r="U6064">
        <v>-0.38739010000000001</v>
      </c>
      <c r="V6064">
        <v>3.0381620000000002E-2</v>
      </c>
      <c r="W6064">
        <v>0.41483890000000001</v>
      </c>
      <c r="X6064">
        <v>0.90938750000000002</v>
      </c>
      <c r="Y6064">
        <v>0.1147369</v>
      </c>
      <c r="Z6064">
        <v>-8.2192380000000002E-3</v>
      </c>
      <c r="AA6064">
        <v>0.99336190000000002</v>
      </c>
      <c r="AB6064">
        <v>36</v>
      </c>
      <c r="AC6064">
        <v>0.78179999999997496</v>
      </c>
      <c r="AD6064">
        <v>-0.1165494</v>
      </c>
      <c r="AE6064">
        <v>-0.10836999999999999</v>
      </c>
      <c r="AF6064">
        <v>0.109189259518551</v>
      </c>
      <c r="AG6064">
        <v>-0.1165494</v>
      </c>
      <c r="AH6064">
        <v>0.76467569918857403</v>
      </c>
      <c r="AI6064">
        <v>98.580422309628602</v>
      </c>
      <c r="AJ6064">
        <v>81.873578419785403</v>
      </c>
      <c r="AK6064">
        <v>0.78117538489388105</v>
      </c>
      <c r="AL6064">
        <v>65.4908280909696</v>
      </c>
      <c r="AM6064">
        <v>88.086523742226703</v>
      </c>
      <c r="AN6064">
        <v>0.99999999047164201</v>
      </c>
    </row>
    <row r="6065" spans="1:40" x14ac:dyDescent="0.25">
      <c r="A6065" t="str">
        <f>"20190304165007161"</f>
        <v>20190304165007161</v>
      </c>
      <c r="B6065" t="str">
        <f>"1551689407151604"</f>
        <v>1551689407151604</v>
      </c>
      <c r="C6065" t="s">
        <v>40</v>
      </c>
      <c r="D6065">
        <v>4.8332040000000003</v>
      </c>
      <c r="E6065">
        <v>0.55489960000000005</v>
      </c>
      <c r="F6065" t="s">
        <v>41</v>
      </c>
      <c r="G6065">
        <v>-355.1782</v>
      </c>
      <c r="H6065">
        <v>1.015004</v>
      </c>
      <c r="I6065">
        <v>17.298760000000001</v>
      </c>
      <c r="J6065">
        <v>-355.8032</v>
      </c>
      <c r="K6065">
        <v>1.1110279999999999</v>
      </c>
      <c r="L6065">
        <v>17.3887</v>
      </c>
      <c r="M6065">
        <v>0.99988540000000004</v>
      </c>
      <c r="N6065">
        <v>-1.451299E-2</v>
      </c>
      <c r="O6065">
        <v>4.3120859999999997E-3</v>
      </c>
      <c r="P6065">
        <v>0.91509379999999996</v>
      </c>
      <c r="Q6065">
        <v>0.40233550000000001</v>
      </c>
      <c r="R6065">
        <v>-2.7011440000000001E-2</v>
      </c>
      <c r="S6065">
        <v>3.4491580000000002</v>
      </c>
      <c r="T6065">
        <v>-0.4183344</v>
      </c>
      <c r="U6065">
        <v>-0.38778689999999999</v>
      </c>
      <c r="V6065">
        <v>3.0510599999999999E-2</v>
      </c>
      <c r="W6065">
        <v>0.41560540000000001</v>
      </c>
      <c r="X6065">
        <v>0.90903319999999999</v>
      </c>
      <c r="Y6065">
        <v>0.11505170000000001</v>
      </c>
      <c r="Z6065">
        <v>-8.2282409999999903E-3</v>
      </c>
      <c r="AA6065">
        <v>0.99332540000000003</v>
      </c>
      <c r="AB6065">
        <v>36</v>
      </c>
      <c r="AC6065">
        <v>0.625</v>
      </c>
      <c r="AD6065">
        <v>-9.6024000000000095E-2</v>
      </c>
      <c r="AE6065">
        <v>-8.9939999999998493E-2</v>
      </c>
      <c r="AF6065">
        <v>9.0540670412718599E-2</v>
      </c>
      <c r="AG6065">
        <v>-9.6024000000000095E-2</v>
      </c>
      <c r="AH6065">
        <v>0.61048825279647001</v>
      </c>
      <c r="AI6065">
        <v>98.843667698372997</v>
      </c>
      <c r="AJ6065">
        <v>81.564034280310395</v>
      </c>
      <c r="AK6065">
        <v>0.62459116898758005</v>
      </c>
      <c r="AL6065">
        <v>65.4425541706741</v>
      </c>
      <c r="AM6065">
        <v>88.077658093103906</v>
      </c>
      <c r="AN6065">
        <v>1.0000000519618699</v>
      </c>
    </row>
    <row r="6066" spans="1:40" x14ac:dyDescent="0.25">
      <c r="A6066" t="str">
        <f>"20190304165007171"</f>
        <v>20190304165007171</v>
      </c>
      <c r="B6066" t="str">
        <f>"1551689407161364"</f>
        <v>1551689407161364</v>
      </c>
      <c r="C6066" t="s">
        <v>40</v>
      </c>
      <c r="D6066">
        <v>4.6838810000000004</v>
      </c>
      <c r="E6066">
        <v>0.55491349999999995</v>
      </c>
      <c r="F6066" t="s">
        <v>41</v>
      </c>
      <c r="G6066">
        <v>-354.86430000000001</v>
      </c>
      <c r="H6066">
        <v>0.99764249999999999</v>
      </c>
      <c r="I6066">
        <v>17.282710000000002</v>
      </c>
      <c r="J6066">
        <v>-355.62799999999999</v>
      </c>
      <c r="K6066">
        <v>1.11104</v>
      </c>
      <c r="L6066">
        <v>17.38965</v>
      </c>
      <c r="M6066">
        <v>0.99988449999999995</v>
      </c>
      <c r="N6066">
        <v>-1.4509559999999999E-2</v>
      </c>
      <c r="O6066">
        <v>4.539815E-3</v>
      </c>
      <c r="P6066">
        <v>0.91488400000000003</v>
      </c>
      <c r="Q6066">
        <v>0.40282960000000001</v>
      </c>
      <c r="R6066">
        <v>-2.6757550000000001E-2</v>
      </c>
      <c r="S6066">
        <v>3.4501040000000001</v>
      </c>
      <c r="T6066">
        <v>-0.41663280000000003</v>
      </c>
      <c r="U6066">
        <v>-0.38772580000000001</v>
      </c>
      <c r="V6066">
        <v>3.0465559999999999E-2</v>
      </c>
      <c r="W6066">
        <v>0.41609230000000003</v>
      </c>
      <c r="X6066">
        <v>0.90881190000000001</v>
      </c>
      <c r="Y6066">
        <v>0.1152355</v>
      </c>
      <c r="Z6066">
        <v>-8.2323380000000005E-3</v>
      </c>
      <c r="AA6066">
        <v>0.99330410000000002</v>
      </c>
      <c r="AB6066">
        <v>36</v>
      </c>
      <c r="AC6066">
        <v>0.76370000000002802</v>
      </c>
      <c r="AD6066">
        <v>-0.1133975</v>
      </c>
      <c r="AE6066">
        <v>-0.10693999999999799</v>
      </c>
      <c r="AF6066">
        <v>0.108069467646697</v>
      </c>
      <c r="AG6066">
        <v>-0.1133975</v>
      </c>
      <c r="AH6066">
        <v>0.74705261816587298</v>
      </c>
      <c r="AI6066">
        <v>98.543620468538293</v>
      </c>
      <c r="AJ6066">
        <v>81.768630315803094</v>
      </c>
      <c r="AK6066">
        <v>0.76329916622001903</v>
      </c>
      <c r="AL6066">
        <v>65.411877620419205</v>
      </c>
      <c r="AM6066">
        <v>88.0800266866095</v>
      </c>
      <c r="AN6066">
        <v>1.0000000110234999</v>
      </c>
    </row>
    <row r="6067" spans="1:40" x14ac:dyDescent="0.25">
      <c r="A6067" t="str">
        <f>"20190304165007183"</f>
        <v>20190304165007183</v>
      </c>
      <c r="B6067" t="str">
        <f>"1551689407172101"</f>
        <v>1551689407172101</v>
      </c>
      <c r="C6067" t="s">
        <v>40</v>
      </c>
      <c r="D6067">
        <v>4.6823329999999999</v>
      </c>
      <c r="E6067">
        <v>0.55492759999999997</v>
      </c>
      <c r="F6067" t="s">
        <v>41</v>
      </c>
      <c r="G6067">
        <v>-354.8546</v>
      </c>
      <c r="H6067">
        <v>1.0179549999999999</v>
      </c>
      <c r="I6067">
        <v>17.30246</v>
      </c>
      <c r="J6067">
        <v>-355.44799999999998</v>
      </c>
      <c r="K6067">
        <v>1.111054</v>
      </c>
      <c r="L6067">
        <v>17.390689999999999</v>
      </c>
      <c r="M6067">
        <v>0.99988339999999998</v>
      </c>
      <c r="N6067">
        <v>-1.450917E-2</v>
      </c>
      <c r="O6067">
        <v>4.7720660000000002E-3</v>
      </c>
      <c r="P6067">
        <v>0.91457980000000005</v>
      </c>
      <c r="Q6067">
        <v>0.40352539999999998</v>
      </c>
      <c r="R6067">
        <v>-2.6667929999999999E-2</v>
      </c>
      <c r="S6067">
        <v>3.4506839999999999</v>
      </c>
      <c r="T6067">
        <v>-0.4153461</v>
      </c>
      <c r="U6067">
        <v>-0.38690190000000002</v>
      </c>
      <c r="V6067">
        <v>3.058752E-2</v>
      </c>
      <c r="W6067">
        <v>0.41678330000000002</v>
      </c>
      <c r="X6067">
        <v>0.9084911</v>
      </c>
      <c r="Y6067">
        <v>0.1152181</v>
      </c>
      <c r="Z6067">
        <v>-8.2315489999999995E-3</v>
      </c>
      <c r="AA6067">
        <v>0.99330609999999997</v>
      </c>
      <c r="AB6067">
        <v>36</v>
      </c>
      <c r="AC6067">
        <v>0.59340000000003101</v>
      </c>
      <c r="AD6067">
        <v>-9.3099000000000001E-2</v>
      </c>
      <c r="AE6067">
        <v>-8.8229999999999295E-2</v>
      </c>
      <c r="AF6067">
        <v>8.8919645269135206E-2</v>
      </c>
      <c r="AG6067">
        <v>-9.3099000000000001E-2</v>
      </c>
      <c r="AH6067">
        <v>0.57902782180830903</v>
      </c>
      <c r="AI6067">
        <v>99.030044877403199</v>
      </c>
      <c r="AJ6067">
        <v>81.269455208238696</v>
      </c>
      <c r="AK6067">
        <v>0.59316721549986495</v>
      </c>
      <c r="AL6067">
        <v>65.3683302442425</v>
      </c>
      <c r="AM6067">
        <v>88.071666253812595</v>
      </c>
      <c r="AN6067">
        <v>0.99999999715892496</v>
      </c>
    </row>
    <row r="6068" spans="1:40" x14ac:dyDescent="0.25">
      <c r="A6068" t="str">
        <f>"20190304165007194"</f>
        <v>20190304165007194</v>
      </c>
      <c r="B6068" t="str">
        <f>"1551689407191620"</f>
        <v>1551689407191620</v>
      </c>
      <c r="C6068" t="s">
        <v>40</v>
      </c>
      <c r="D6068">
        <v>4.7061760000000001</v>
      </c>
      <c r="E6068">
        <v>0.55490669999999898</v>
      </c>
      <c r="F6068" t="s">
        <v>41</v>
      </c>
      <c r="G6068">
        <v>-354.5403</v>
      </c>
      <c r="H6068">
        <v>1.002264</v>
      </c>
      <c r="I6068">
        <v>17.288920000000001</v>
      </c>
      <c r="J6068">
        <v>-355.2627</v>
      </c>
      <c r="K6068">
        <v>1.111073</v>
      </c>
      <c r="L6068">
        <v>17.391779999999901</v>
      </c>
      <c r="M6068">
        <v>0.99988220000000005</v>
      </c>
      <c r="N6068">
        <v>-1.4510159999999999E-2</v>
      </c>
      <c r="O6068">
        <v>5.009856E-3</v>
      </c>
      <c r="P6068">
        <v>0.91446400000000005</v>
      </c>
      <c r="Q6068">
        <v>0.4038194</v>
      </c>
      <c r="R6068">
        <v>-2.6180829999999999E-2</v>
      </c>
      <c r="S6068">
        <v>3.4513850000000001</v>
      </c>
      <c r="T6068">
        <v>-0.41365740000000001</v>
      </c>
      <c r="U6068">
        <v>-0.38671879999999997</v>
      </c>
      <c r="V6068">
        <v>3.0317790000000001E-2</v>
      </c>
      <c r="W6068">
        <v>0.41707630000000001</v>
      </c>
      <c r="X6068">
        <v>0.90836570000000005</v>
      </c>
      <c r="Y6068">
        <v>0.1153849</v>
      </c>
      <c r="Z6068">
        <v>-8.2360219999999904E-3</v>
      </c>
      <c r="AA6068">
        <v>0.99328669999999997</v>
      </c>
      <c r="AB6068">
        <v>36</v>
      </c>
      <c r="AC6068">
        <v>0.72239999999999305</v>
      </c>
      <c r="AD6068">
        <v>-0.108808999999999</v>
      </c>
      <c r="AE6068">
        <v>-0.102859999999996</v>
      </c>
      <c r="AF6068">
        <v>0.10416205847111</v>
      </c>
      <c r="AG6068">
        <v>-0.108808999999999</v>
      </c>
      <c r="AH6068">
        <v>0.706173074016748</v>
      </c>
      <c r="AI6068">
        <v>98.667067152492606</v>
      </c>
      <c r="AJ6068">
        <v>81.609251488309098</v>
      </c>
      <c r="AK6068">
        <v>0.72205923813230299</v>
      </c>
      <c r="AL6068">
        <v>65.349861497793299</v>
      </c>
      <c r="AM6068">
        <v>88.088394549811298</v>
      </c>
      <c r="AN6068">
        <v>1.0000000266743301</v>
      </c>
    </row>
    <row r="6069" spans="1:40" x14ac:dyDescent="0.25">
      <c r="A6069" t="str">
        <f>"20190304165007206"</f>
        <v>20190304165007206</v>
      </c>
      <c r="B6069" t="str">
        <f>"1551689407201380"</f>
        <v>1551689407201380</v>
      </c>
      <c r="C6069" t="s">
        <v>40</v>
      </c>
      <c r="D6069">
        <v>4.9853730000000001</v>
      </c>
      <c r="E6069">
        <v>0.55487140000000001</v>
      </c>
      <c r="F6069" t="s">
        <v>41</v>
      </c>
      <c r="G6069">
        <v>-354.53030000000001</v>
      </c>
      <c r="H6069">
        <v>1.023172</v>
      </c>
      <c r="I6069">
        <v>17.310189999999999</v>
      </c>
      <c r="J6069">
        <v>-355.08260000000001</v>
      </c>
      <c r="K6069">
        <v>1.111094</v>
      </c>
      <c r="L6069">
        <v>17.392910000000001</v>
      </c>
      <c r="M6069">
        <v>0.99988100000000002</v>
      </c>
      <c r="N6069">
        <v>-1.451409E-2</v>
      </c>
      <c r="O6069">
        <v>5.237495E-3</v>
      </c>
      <c r="P6069">
        <v>0.9143097</v>
      </c>
      <c r="Q6069">
        <v>0.40419509999999997</v>
      </c>
      <c r="R6069">
        <v>-2.577227E-2</v>
      </c>
      <c r="S6069">
        <v>3.4526669999999999</v>
      </c>
      <c r="T6069">
        <v>-0.41443649999999999</v>
      </c>
      <c r="U6069">
        <v>-0.38436890000000001</v>
      </c>
      <c r="V6069">
        <v>3.011701E-2</v>
      </c>
      <c r="W6069">
        <v>0.41745290000000002</v>
      </c>
      <c r="X6069">
        <v>0.90819930000000004</v>
      </c>
      <c r="Y6069">
        <v>0.1149023</v>
      </c>
      <c r="Z6069">
        <v>-8.2392679999999992E-3</v>
      </c>
      <c r="AA6069">
        <v>0.99334259999999996</v>
      </c>
      <c r="AB6069">
        <v>36</v>
      </c>
      <c r="AC6069">
        <v>0.55230000000000201</v>
      </c>
      <c r="AD6069">
        <v>-8.7922E-2</v>
      </c>
      <c r="AE6069">
        <v>-8.2720000000001903E-2</v>
      </c>
      <c r="AF6069">
        <v>8.3541167400978195E-2</v>
      </c>
      <c r="AG6069">
        <v>-8.7922E-2</v>
      </c>
      <c r="AH6069">
        <v>0.53851146129816696</v>
      </c>
      <c r="AI6069">
        <v>99.165048471193899</v>
      </c>
      <c r="AJ6069">
        <v>81.181797673424498</v>
      </c>
      <c r="AK6069">
        <v>0.55199999880815698</v>
      </c>
      <c r="AL6069">
        <v>65.326116491115897</v>
      </c>
      <c r="AM6069">
        <v>88.100697213646299</v>
      </c>
      <c r="AN6069">
        <v>0.99999996326511897</v>
      </c>
    </row>
    <row r="6070" spans="1:40" x14ac:dyDescent="0.25">
      <c r="A6070" t="str">
        <f>"20190304165007217"</f>
        <v>20190304165007217</v>
      </c>
      <c r="B6070" t="str">
        <f>"1551689407212115"</f>
        <v>1551689407212115</v>
      </c>
      <c r="C6070" t="s">
        <v>40</v>
      </c>
      <c r="D6070">
        <v>4.8564509999999999</v>
      </c>
      <c r="E6070">
        <v>0.55487140000000001</v>
      </c>
      <c r="F6070" t="s">
        <v>41</v>
      </c>
      <c r="G6070">
        <v>-354.2165</v>
      </c>
      <c r="H6070">
        <v>1.007179</v>
      </c>
      <c r="I6070">
        <v>17.296569999999999</v>
      </c>
      <c r="J6070">
        <v>-354.8904</v>
      </c>
      <c r="K6070">
        <v>1.1111150000000001</v>
      </c>
      <c r="L6070">
        <v>17.394100000000002</v>
      </c>
      <c r="M6070">
        <v>0.99987979999999999</v>
      </c>
      <c r="N6070">
        <v>-1.4518929999999999E-2</v>
      </c>
      <c r="O6070">
        <v>5.4798479999999998E-3</v>
      </c>
      <c r="P6070">
        <v>0.91409459999999998</v>
      </c>
      <c r="Q6070">
        <v>0.40471119999999999</v>
      </c>
      <c r="R6070">
        <v>-2.529967E-2</v>
      </c>
      <c r="S6070">
        <v>3.4535830000000001</v>
      </c>
      <c r="T6070">
        <v>-0.41440369999999999</v>
      </c>
      <c r="U6070">
        <v>-0.38284299999999999</v>
      </c>
      <c r="V6070">
        <v>2.9865059999999999E-2</v>
      </c>
      <c r="W6070">
        <v>0.41796990000000001</v>
      </c>
      <c r="X6070">
        <v>0.9079699</v>
      </c>
      <c r="Y6070">
        <v>0.11468150000000001</v>
      </c>
      <c r="Z6070">
        <v>-8.2477550000000007E-3</v>
      </c>
      <c r="AA6070">
        <v>0.99336809999999998</v>
      </c>
      <c r="AB6070">
        <v>36</v>
      </c>
      <c r="AC6070">
        <v>0.67390000000000305</v>
      </c>
      <c r="AD6070">
        <v>-0.103935999999999</v>
      </c>
      <c r="AE6070">
        <v>-9.7529999999999006E-2</v>
      </c>
      <c r="AF6070">
        <v>9.8917116306042704E-2</v>
      </c>
      <c r="AG6070">
        <v>-0.103935999999999</v>
      </c>
      <c r="AH6070">
        <v>0.65802402437907903</v>
      </c>
      <c r="AI6070">
        <v>98.877678895975905</v>
      </c>
      <c r="AJ6070">
        <v>81.451053276121797</v>
      </c>
      <c r="AK6070">
        <v>0.67348563804608497</v>
      </c>
      <c r="AL6070">
        <v>65.293516313678793</v>
      </c>
      <c r="AM6070">
        <v>88.116099219841303</v>
      </c>
      <c r="AN6070">
        <v>1.00000004921041</v>
      </c>
    </row>
    <row r="6071" spans="1:40" x14ac:dyDescent="0.25">
      <c r="A6071" t="str">
        <f>"20190304165007228"</f>
        <v>20190304165007228</v>
      </c>
      <c r="B6071" t="str">
        <f>"1551689407221876"</f>
        <v>1551689407221876</v>
      </c>
      <c r="C6071" t="s">
        <v>40</v>
      </c>
      <c r="D6071">
        <v>4.6269809999999998</v>
      </c>
      <c r="E6071">
        <v>0.55502790000000002</v>
      </c>
      <c r="F6071" t="s">
        <v>41</v>
      </c>
      <c r="G6071">
        <v>-353.90210000000002</v>
      </c>
      <c r="H6071">
        <v>0.99311050000000001</v>
      </c>
      <c r="I6071">
        <v>17.284739999999999</v>
      </c>
      <c r="J6071">
        <v>-354.70389999999998</v>
      </c>
      <c r="K6071">
        <v>1.111137</v>
      </c>
      <c r="L6071">
        <v>17.39536</v>
      </c>
      <c r="M6071">
        <v>0.9998783</v>
      </c>
      <c r="N6071">
        <v>-1.452528E-2</v>
      </c>
      <c r="O6071">
        <v>5.7134809999999899E-3</v>
      </c>
      <c r="P6071">
        <v>0.91392119999999999</v>
      </c>
      <c r="Q6071">
        <v>0.40513399999999999</v>
      </c>
      <c r="R6071">
        <v>-2.479872E-2</v>
      </c>
      <c r="S6071">
        <v>3.4539789999999999</v>
      </c>
      <c r="T6071">
        <v>-0.41240690000000002</v>
      </c>
      <c r="U6071">
        <v>-0.38125609999999999</v>
      </c>
      <c r="V6071">
        <v>2.957742E-2</v>
      </c>
      <c r="W6071">
        <v>0.41839549999999998</v>
      </c>
      <c r="X6071">
        <v>0.90778320000000001</v>
      </c>
      <c r="Y6071">
        <v>0.1144594</v>
      </c>
      <c r="Z6071">
        <v>-8.2210909999999998E-3</v>
      </c>
      <c r="AA6071">
        <v>0.99339390000000005</v>
      </c>
      <c r="AB6071">
        <v>36</v>
      </c>
      <c r="AC6071">
        <v>0.80179999999995699</v>
      </c>
      <c r="AD6071">
        <v>-0.11802650000000001</v>
      </c>
      <c r="AE6071">
        <v>-0.11062</v>
      </c>
      <c r="AF6071">
        <v>0.11280117910189399</v>
      </c>
      <c r="AG6071">
        <v>-0.11802650000000001</v>
      </c>
      <c r="AH6071">
        <v>0.78447402314665204</v>
      </c>
      <c r="AI6071">
        <v>98.470314092498299</v>
      </c>
      <c r="AJ6071">
        <v>81.817405962083299</v>
      </c>
      <c r="AK6071">
        <v>0.80128263035019198</v>
      </c>
      <c r="AL6071">
        <v>65.266669351823197</v>
      </c>
      <c r="AM6071">
        <v>88.133847334056696</v>
      </c>
      <c r="AN6071">
        <v>0.99999997819817299</v>
      </c>
    </row>
    <row r="6072" spans="1:40" x14ac:dyDescent="0.25">
      <c r="A6072" t="str">
        <f>"20190304165007240"</f>
        <v>20190304165007240</v>
      </c>
      <c r="B6072" t="str">
        <f>"1551689407231636"</f>
        <v>1551689407231636</v>
      </c>
      <c r="C6072" t="s">
        <v>40</v>
      </c>
      <c r="D6072">
        <v>4.6107959999999997</v>
      </c>
      <c r="E6072">
        <v>0.555176</v>
      </c>
      <c r="F6072" t="s">
        <v>41</v>
      </c>
      <c r="G6072">
        <v>-353.89190000000002</v>
      </c>
      <c r="H6072">
        <v>1.0146489999999999</v>
      </c>
      <c r="I6072">
        <v>17.305529999999901</v>
      </c>
      <c r="J6072">
        <v>-354.53210000000001</v>
      </c>
      <c r="K6072">
        <v>1.111157</v>
      </c>
      <c r="L6072">
        <v>17.396550000000001</v>
      </c>
      <c r="M6072">
        <v>0.99987689999999996</v>
      </c>
      <c r="N6072">
        <v>-1.453159E-2</v>
      </c>
      <c r="O6072">
        <v>5.9282170000000004E-3</v>
      </c>
      <c r="P6072">
        <v>0.91373599999999999</v>
      </c>
      <c r="Q6072">
        <v>0.4055956</v>
      </c>
      <c r="R6072">
        <v>-2.406937E-2</v>
      </c>
      <c r="S6072">
        <v>3.454224</v>
      </c>
      <c r="T6072">
        <v>-0.4105338</v>
      </c>
      <c r="U6072">
        <v>-0.38098140000000003</v>
      </c>
      <c r="V6072">
        <v>2.9044090000000002E-2</v>
      </c>
      <c r="W6072">
        <v>0.41885939999999999</v>
      </c>
      <c r="X6072">
        <v>0.90758649999999996</v>
      </c>
      <c r="Y6072">
        <v>0.114593</v>
      </c>
      <c r="Z6072">
        <v>-8.2183410000000005E-3</v>
      </c>
      <c r="AA6072">
        <v>0.99337850000000005</v>
      </c>
      <c r="AB6072">
        <v>36</v>
      </c>
      <c r="AC6072">
        <v>0.640199999999992</v>
      </c>
      <c r="AD6072">
        <v>-9.6507999999999997E-2</v>
      </c>
      <c r="AE6072">
        <v>-9.1020000000003806E-2</v>
      </c>
      <c r="AF6072">
        <v>9.2748144631986898E-2</v>
      </c>
      <c r="AG6072">
        <v>-9.6507999999999997E-2</v>
      </c>
      <c r="AH6072">
        <v>0.62571180758769196</v>
      </c>
      <c r="AI6072">
        <v>98.6747289184799</v>
      </c>
      <c r="AJ6072">
        <v>81.568542035394202</v>
      </c>
      <c r="AK6072">
        <v>0.639868172791343</v>
      </c>
      <c r="AL6072">
        <v>65.237402577833606</v>
      </c>
      <c r="AM6072">
        <v>88.167077121802507</v>
      </c>
      <c r="AN6072">
        <v>1.00000000555726</v>
      </c>
    </row>
    <row r="6073" spans="1:40" x14ac:dyDescent="0.25">
      <c r="A6073" t="str">
        <f>"20190304165007251"</f>
        <v>20190304165007251</v>
      </c>
      <c r="B6073" t="str">
        <f>"1551689407241396"</f>
        <v>1551689407241396</v>
      </c>
      <c r="C6073" t="s">
        <v>40</v>
      </c>
      <c r="D6073">
        <v>4.6584349999999999</v>
      </c>
      <c r="E6073">
        <v>0.55532340000000002</v>
      </c>
      <c r="F6073" t="s">
        <v>41</v>
      </c>
      <c r="G6073">
        <v>-353.57889999999998</v>
      </c>
      <c r="H6073">
        <v>0.99831999999999999</v>
      </c>
      <c r="I6073">
        <v>17.29157</v>
      </c>
      <c r="J6073">
        <v>-354.35680000000002</v>
      </c>
      <c r="K6073">
        <v>1.1111690000000001</v>
      </c>
      <c r="L6073">
        <v>17.397770000000001</v>
      </c>
      <c r="M6073">
        <v>0.99987539999999997</v>
      </c>
      <c r="N6073">
        <v>-1.4538590000000001E-2</v>
      </c>
      <c r="O6073">
        <v>6.1465790000000001E-3</v>
      </c>
      <c r="P6073">
        <v>0.91356380000000004</v>
      </c>
      <c r="Q6073">
        <v>0.4060047</v>
      </c>
      <c r="R6073">
        <v>-2.369744E-2</v>
      </c>
      <c r="S6073">
        <v>3.4547729999999999</v>
      </c>
      <c r="T6073">
        <v>-0.40899920000000001</v>
      </c>
      <c r="U6073">
        <v>-0.37982179999999999</v>
      </c>
      <c r="V6073">
        <v>2.8872390000000001E-2</v>
      </c>
      <c r="W6073">
        <v>0.41927199999999998</v>
      </c>
      <c r="X6073">
        <v>0.90740140000000002</v>
      </c>
      <c r="Y6073">
        <v>0.1144698</v>
      </c>
      <c r="Z6073">
        <v>-8.2042980000000005E-3</v>
      </c>
      <c r="AA6073">
        <v>0.99339279999999996</v>
      </c>
      <c r="AB6073">
        <v>36</v>
      </c>
      <c r="AC6073">
        <v>0.777900000000045</v>
      </c>
      <c r="AD6073">
        <v>-0.11284899999999901</v>
      </c>
      <c r="AE6073">
        <v>-0.106200000000001</v>
      </c>
      <c r="AF6073">
        <v>0.108733500703833</v>
      </c>
      <c r="AG6073">
        <v>-0.11284899999999901</v>
      </c>
      <c r="AH6073">
        <v>0.76149996203497905</v>
      </c>
      <c r="AI6073">
        <v>98.346043907287694</v>
      </c>
      <c r="AJ6073">
        <v>81.873747296879998</v>
      </c>
      <c r="AK6073">
        <v>0.77745743494778297</v>
      </c>
      <c r="AL6073">
        <v>65.211364677097805</v>
      </c>
      <c r="AM6073">
        <v>88.177534052613098</v>
      </c>
      <c r="AN6073">
        <v>0.99999996280513503</v>
      </c>
    </row>
    <row r="6074" spans="1:40" x14ac:dyDescent="0.25">
      <c r="A6074" t="str">
        <f>"20190304165007261"</f>
        <v>20190304165007261</v>
      </c>
      <c r="B6074" t="str">
        <f>"1551689407252132"</f>
        <v>1551689407252132</v>
      </c>
      <c r="C6074" t="s">
        <v>40</v>
      </c>
      <c r="D6074">
        <v>4.616066</v>
      </c>
      <c r="E6074">
        <v>0.5554443</v>
      </c>
      <c r="F6074" t="s">
        <v>41</v>
      </c>
      <c r="G6074">
        <v>-353.56950000000001</v>
      </c>
      <c r="H6074">
        <v>1.0182279999999999</v>
      </c>
      <c r="I6074">
        <v>17.31099</v>
      </c>
      <c r="J6074">
        <v>-354.18920000000003</v>
      </c>
      <c r="K6074">
        <v>1.1111899999999999</v>
      </c>
      <c r="L6074">
        <v>17.39902</v>
      </c>
      <c r="M6074">
        <v>0.99987409999999999</v>
      </c>
      <c r="N6074">
        <v>-1.4545529999999999E-2</v>
      </c>
      <c r="O6074">
        <v>6.3547430000000004E-3</v>
      </c>
      <c r="P6074">
        <v>0.91350160000000002</v>
      </c>
      <c r="Q6074">
        <v>0.40617130000000001</v>
      </c>
      <c r="R6074">
        <v>-2.323865E-2</v>
      </c>
      <c r="S6074">
        <v>3.4552610000000001</v>
      </c>
      <c r="T6074">
        <v>-0.40791129999999998</v>
      </c>
      <c r="U6074">
        <v>-0.38003540000000002</v>
      </c>
      <c r="V6074">
        <v>2.8605430000000001E-2</v>
      </c>
      <c r="W6074">
        <v>0.41944340000000002</v>
      </c>
      <c r="X6074">
        <v>0.90733070000000005</v>
      </c>
      <c r="Y6074">
        <v>0.1147238</v>
      </c>
      <c r="Z6074">
        <v>-8.2220550000000007E-3</v>
      </c>
      <c r="AA6074">
        <v>0.99336340000000001</v>
      </c>
      <c r="AB6074">
        <v>36</v>
      </c>
      <c r="AC6074">
        <v>0.61970000000002201</v>
      </c>
      <c r="AD6074">
        <v>-9.2961999999999698E-2</v>
      </c>
      <c r="AE6074">
        <v>-8.8029999999999803E-2</v>
      </c>
      <c r="AF6074">
        <v>8.9981828687790394E-2</v>
      </c>
      <c r="AG6074">
        <v>-9.2961999999999698E-2</v>
      </c>
      <c r="AH6074">
        <v>0.60576586668372501</v>
      </c>
      <c r="AI6074">
        <v>98.631399702316997</v>
      </c>
      <c r="AJ6074">
        <v>81.5509364578608</v>
      </c>
      <c r="AK6074">
        <v>0.619427920081976</v>
      </c>
      <c r="AL6074">
        <v>65.200548475927505</v>
      </c>
      <c r="AM6074">
        <v>88.194233134577203</v>
      </c>
      <c r="AN6074">
        <v>1.00000001779576</v>
      </c>
    </row>
    <row r="6075" spans="1:40" x14ac:dyDescent="0.25">
      <c r="A6075" t="str">
        <f>"20190304165007271"</f>
        <v>20190304165007271</v>
      </c>
      <c r="B6075" t="str">
        <f>"1551689407261892"</f>
        <v>1551689407261892</v>
      </c>
      <c r="C6075" t="s">
        <v>40</v>
      </c>
      <c r="D6075">
        <v>4.6234659999999996</v>
      </c>
      <c r="E6075">
        <v>0.55556079999999997</v>
      </c>
      <c r="F6075" t="s">
        <v>41</v>
      </c>
      <c r="G6075">
        <v>-353.25720000000001</v>
      </c>
      <c r="H6075">
        <v>1.001174</v>
      </c>
      <c r="I6075">
        <v>17.296529999999901</v>
      </c>
      <c r="J6075">
        <v>-354.01600000000002</v>
      </c>
      <c r="K6075">
        <v>1.1112089999999999</v>
      </c>
      <c r="L6075">
        <v>17.400300000000001</v>
      </c>
      <c r="M6075">
        <v>0.99987239999999999</v>
      </c>
      <c r="N6075">
        <v>-1.4552839999999999E-2</v>
      </c>
      <c r="O6075">
        <v>6.5692160000000001E-3</v>
      </c>
      <c r="P6075">
        <v>0.91325999999999996</v>
      </c>
      <c r="Q6075">
        <v>0.4067366</v>
      </c>
      <c r="R6075">
        <v>-2.283698E-2</v>
      </c>
      <c r="S6075">
        <v>3.4558110000000002</v>
      </c>
      <c r="T6075">
        <v>-0.40794279999999999</v>
      </c>
      <c r="U6075">
        <v>-0.37927250000000001</v>
      </c>
      <c r="V6075">
        <v>2.8400160000000001E-2</v>
      </c>
      <c r="W6075">
        <v>0.42001119999999997</v>
      </c>
      <c r="X6075">
        <v>0.90707450000000001</v>
      </c>
      <c r="Y6075">
        <v>0.1147021</v>
      </c>
      <c r="Z6075">
        <v>-8.2425329999999998E-3</v>
      </c>
      <c r="AA6075">
        <v>0.99336579999999997</v>
      </c>
      <c r="AB6075">
        <v>36</v>
      </c>
      <c r="AC6075">
        <v>0.75879999999995096</v>
      </c>
      <c r="AD6075">
        <v>-0.11003499999999999</v>
      </c>
      <c r="AE6075">
        <v>-0.103770000000004</v>
      </c>
      <c r="AF6075">
        <v>0.10655349185368899</v>
      </c>
      <c r="AG6075">
        <v>-0.11003499999999999</v>
      </c>
      <c r="AH6075">
        <v>0.74276933308401305</v>
      </c>
      <c r="AI6075">
        <v>98.342416419504801</v>
      </c>
      <c r="AJ6075">
        <v>81.836367355100805</v>
      </c>
      <c r="AK6075">
        <v>0.75839806831325995</v>
      </c>
      <c r="AL6075">
        <v>65.164707073045605</v>
      </c>
      <c r="AM6075">
        <v>88.206676624297899</v>
      </c>
      <c r="AN6075">
        <v>1.0000000628818499</v>
      </c>
    </row>
    <row r="6076" spans="1:40" x14ac:dyDescent="0.25">
      <c r="A6076" t="str">
        <f>"20190304165007285"</f>
        <v>20190304165007285</v>
      </c>
      <c r="B6076" t="str">
        <f>"1551689407281413"</f>
        <v>1551689407281413</v>
      </c>
      <c r="C6076" t="s">
        <v>40</v>
      </c>
      <c r="D6076">
        <v>4.778918</v>
      </c>
      <c r="E6076">
        <v>0.5556818</v>
      </c>
      <c r="F6076" t="s">
        <v>41</v>
      </c>
      <c r="G6076">
        <v>-353.24790000000002</v>
      </c>
      <c r="H6076">
        <v>1.020915</v>
      </c>
      <c r="I6076">
        <v>17.31588</v>
      </c>
      <c r="J6076">
        <v>-353.8202</v>
      </c>
      <c r="K6076">
        <v>1.1112340000000001</v>
      </c>
      <c r="L6076">
        <v>17.401820000000001</v>
      </c>
      <c r="M6076">
        <v>0.99987079999999995</v>
      </c>
      <c r="N6076">
        <v>-1.456109E-2</v>
      </c>
      <c r="O6076">
        <v>6.8095319999999897E-3</v>
      </c>
      <c r="P6076">
        <v>0.91295740000000003</v>
      </c>
      <c r="Q6076">
        <v>0.40745229999999999</v>
      </c>
      <c r="R6076">
        <v>-2.2170260000000001E-2</v>
      </c>
      <c r="S6076">
        <v>3.4563899999999999</v>
      </c>
      <c r="T6076">
        <v>-0.40633799999999998</v>
      </c>
      <c r="U6076">
        <v>-0.37887569999999998</v>
      </c>
      <c r="V6076">
        <v>2.79539E-2</v>
      </c>
      <c r="W6076">
        <v>0.42072949999999998</v>
      </c>
      <c r="X6076">
        <v>0.90675539999999999</v>
      </c>
      <c r="Y6076">
        <v>0.1148151</v>
      </c>
      <c r="Z6076">
        <v>-8.2444619999999993E-3</v>
      </c>
      <c r="AA6076">
        <v>0.99335269999999998</v>
      </c>
      <c r="AB6076">
        <v>36</v>
      </c>
      <c r="AC6076">
        <v>0.57229999999998404</v>
      </c>
      <c r="AD6076">
        <v>-9.0318999999999997E-2</v>
      </c>
      <c r="AE6076">
        <v>-8.5940000000000794E-2</v>
      </c>
      <c r="AF6076">
        <v>8.7699408729969799E-2</v>
      </c>
      <c r="AG6076">
        <v>-9.0318999999999997E-2</v>
      </c>
      <c r="AH6076">
        <v>0.55810755203680595</v>
      </c>
      <c r="AI6076">
        <v>99.082964027600795</v>
      </c>
      <c r="AJ6076">
        <v>81.069731157928999</v>
      </c>
      <c r="AK6076">
        <v>0.57213000943238601</v>
      </c>
      <c r="AL6076">
        <v>65.119348730442695</v>
      </c>
      <c r="AM6076">
        <v>88.234216876347602</v>
      </c>
      <c r="AN6076">
        <v>1.0000000440623</v>
      </c>
    </row>
    <row r="6077" spans="1:40" x14ac:dyDescent="0.25">
      <c r="A6077" t="str">
        <f>"20190304165007308"</f>
        <v>20190304165007308</v>
      </c>
      <c r="B6077" t="str">
        <f>"1551689407301908"</f>
        <v>1551689407301908</v>
      </c>
      <c r="C6077" t="s">
        <v>40</v>
      </c>
      <c r="D6077">
        <v>4.6959460000000002</v>
      </c>
      <c r="E6077">
        <v>0.56005199999999999</v>
      </c>
      <c r="F6077" t="s">
        <v>41</v>
      </c>
      <c r="G6077">
        <v>-352.93419999999998</v>
      </c>
      <c r="H6077">
        <v>1.007636</v>
      </c>
      <c r="I6077">
        <v>17.3047</v>
      </c>
      <c r="J6077">
        <v>-353.44810000000001</v>
      </c>
      <c r="K6077">
        <v>1.1112709999999999</v>
      </c>
      <c r="L6077">
        <v>17.404820000000001</v>
      </c>
      <c r="M6077">
        <v>0.99986759999999997</v>
      </c>
      <c r="N6077">
        <v>-1.457641E-2</v>
      </c>
      <c r="O6077">
        <v>7.2599350000000003E-3</v>
      </c>
      <c r="P6077">
        <v>0.91244270000000005</v>
      </c>
      <c r="Q6077">
        <v>0.40869879999999997</v>
      </c>
      <c r="R6077">
        <v>-2.034267E-2</v>
      </c>
      <c r="S6077">
        <v>3.4572750000000001</v>
      </c>
      <c r="T6077">
        <v>-0.40427429999999998</v>
      </c>
      <c r="U6077">
        <v>-0.37768550000000001</v>
      </c>
      <c r="V6077">
        <v>2.6541180000000001E-2</v>
      </c>
      <c r="W6077">
        <v>0.42198010000000002</v>
      </c>
      <c r="X6077">
        <v>0.90621649999999998</v>
      </c>
      <c r="Y6077">
        <v>0.1149032</v>
      </c>
      <c r="Z6077">
        <v>-8.2571829999999995E-3</v>
      </c>
      <c r="AA6077">
        <v>0.99334239999999996</v>
      </c>
      <c r="AB6077">
        <v>36</v>
      </c>
      <c r="AC6077">
        <v>0.513900000000035</v>
      </c>
      <c r="AD6077">
        <v>-0.10363499999999901</v>
      </c>
      <c r="AE6077">
        <v>-0.10012</v>
      </c>
      <c r="AF6077">
        <v>9.9933146980780305E-2</v>
      </c>
      <c r="AG6077">
        <v>-0.10363499999999901</v>
      </c>
      <c r="AH6077">
        <v>0.49381143890718698</v>
      </c>
      <c r="AI6077">
        <v>101.623486378949</v>
      </c>
      <c r="AJ6077">
        <v>78.559500327426406</v>
      </c>
      <c r="AK6077">
        <v>0.51437008494475001</v>
      </c>
      <c r="AL6077">
        <v>65.040337049535694</v>
      </c>
      <c r="AM6077">
        <v>88.322406387062301</v>
      </c>
      <c r="AN6077">
        <v>0.99999999195202605</v>
      </c>
    </row>
    <row r="6078" spans="1:40" x14ac:dyDescent="0.25">
      <c r="A6078" t="str">
        <f>"20190304165007320"</f>
        <v>20190304165007320</v>
      </c>
      <c r="B6078" t="str">
        <f>"1551689407311668"</f>
        <v>1551689407311668</v>
      </c>
      <c r="C6078" t="s">
        <v>40</v>
      </c>
      <c r="D6078">
        <v>4.8291449999999996</v>
      </c>
      <c r="E6078">
        <v>0.56005199999999999</v>
      </c>
      <c r="F6078" t="s">
        <v>41</v>
      </c>
      <c r="G6078">
        <v>-352.60649999999998</v>
      </c>
      <c r="H6078">
        <v>1.0238560000000001</v>
      </c>
      <c r="I6078">
        <v>17.303809999999999</v>
      </c>
      <c r="J6078">
        <v>-353.2509</v>
      </c>
      <c r="K6078">
        <v>1.111291</v>
      </c>
      <c r="L6078">
        <v>17.406459999999999</v>
      </c>
      <c r="M6078">
        <v>0.99986560000000002</v>
      </c>
      <c r="N6078">
        <v>-1.4584110000000001E-2</v>
      </c>
      <c r="O6078">
        <v>7.4944449999999998E-3</v>
      </c>
      <c r="P6078">
        <v>0.91224709999999998</v>
      </c>
      <c r="Q6078">
        <v>0.40917199999999998</v>
      </c>
      <c r="R6078">
        <v>-1.9592579999999998E-2</v>
      </c>
      <c r="S6078">
        <v>3.4387509999999999</v>
      </c>
      <c r="T6078">
        <v>-0.35727140000000002</v>
      </c>
      <c r="U6078">
        <v>-0.41210940000000001</v>
      </c>
      <c r="V6078">
        <v>2.6008509999999999E-2</v>
      </c>
      <c r="W6078">
        <v>0.42245640000000001</v>
      </c>
      <c r="X6078">
        <v>0.90600999999999998</v>
      </c>
      <c r="Y6078">
        <v>0.12563849999999999</v>
      </c>
      <c r="Z6078">
        <v>-8.0735890000000008E-3</v>
      </c>
      <c r="AA6078">
        <v>0.99204329999999996</v>
      </c>
      <c r="AB6078">
        <v>36</v>
      </c>
      <c r="AC6078">
        <v>0.64440000000001796</v>
      </c>
      <c r="AD6078">
        <v>-8.7435000000000096E-2</v>
      </c>
      <c r="AE6078">
        <v>-0.10264999999999699</v>
      </c>
      <c r="AF6078">
        <v>0.10558137434624</v>
      </c>
      <c r="AG6078">
        <v>-8.7435000000000096E-2</v>
      </c>
      <c r="AH6078">
        <v>0.63226049963244102</v>
      </c>
      <c r="AI6078">
        <v>97.767255067731895</v>
      </c>
      <c r="AJ6078">
        <v>80.519636734610899</v>
      </c>
      <c r="AK6078">
        <v>0.64695103773725005</v>
      </c>
      <c r="AL6078">
        <v>65.010231928921698</v>
      </c>
      <c r="AM6078">
        <v>88.355681814842399</v>
      </c>
      <c r="AN6078">
        <v>0.99999998629668896</v>
      </c>
    </row>
    <row r="6079" spans="1:40" x14ac:dyDescent="0.25">
      <c r="A6079" t="str">
        <f>"20190304165007330"</f>
        <v>20190304165007330</v>
      </c>
      <c r="B6079" t="str">
        <f>"1551689407321428"</f>
        <v>1551689407321428</v>
      </c>
      <c r="C6079" t="s">
        <v>40</v>
      </c>
      <c r="D6079">
        <v>4.7500900000000001</v>
      </c>
      <c r="E6079">
        <v>0.54127939999999997</v>
      </c>
      <c r="F6079" t="s">
        <v>41</v>
      </c>
      <c r="G6079">
        <v>-352.29259999999999</v>
      </c>
      <c r="H6079">
        <v>1.012311</v>
      </c>
      <c r="I6079">
        <v>17.29175</v>
      </c>
      <c r="J6079">
        <v>-353.07979999999998</v>
      </c>
      <c r="K6079">
        <v>1.111307</v>
      </c>
      <c r="L6079">
        <v>17.40793</v>
      </c>
      <c r="M6079">
        <v>0.99986399999999998</v>
      </c>
      <c r="N6079">
        <v>-1.4590469999999999E-2</v>
      </c>
      <c r="O6079">
        <v>7.694518E-3</v>
      </c>
      <c r="P6079">
        <v>0.91209850000000003</v>
      </c>
      <c r="Q6079">
        <v>0.40954200000000002</v>
      </c>
      <c r="R6079">
        <v>-1.8757619999999999E-2</v>
      </c>
      <c r="S6079">
        <v>3.4391479999999999</v>
      </c>
      <c r="T6079">
        <v>-0.35526990000000003</v>
      </c>
      <c r="U6079">
        <v>-0.41046139999999998</v>
      </c>
      <c r="V6079">
        <v>2.535987E-2</v>
      </c>
      <c r="W6079">
        <v>0.42282890000000001</v>
      </c>
      <c r="X6079">
        <v>0.90585459999999995</v>
      </c>
      <c r="Y6079">
        <v>0.12536410000000001</v>
      </c>
      <c r="Z6079">
        <v>-8.0343480000000002E-3</v>
      </c>
      <c r="AA6079">
        <v>0.99207820000000002</v>
      </c>
      <c r="AB6079">
        <v>36</v>
      </c>
      <c r="AC6079">
        <v>0.78719999999998402</v>
      </c>
      <c r="AD6079">
        <v>-9.8996000000000001E-2</v>
      </c>
      <c r="AE6079">
        <v>-0.11617999999999901</v>
      </c>
      <c r="AF6079">
        <v>0.120371256437611</v>
      </c>
      <c r="AG6079">
        <v>-9.8996000000000001E-2</v>
      </c>
      <c r="AH6079">
        <v>0.77429827524519301</v>
      </c>
      <c r="AI6079">
        <v>97.200320434996698</v>
      </c>
      <c r="AJ6079">
        <v>81.163614434086</v>
      </c>
      <c r="AK6079">
        <v>0.78982736496024897</v>
      </c>
      <c r="AL6079">
        <v>64.9866823984908</v>
      </c>
      <c r="AM6079">
        <v>88.396393748998506</v>
      </c>
      <c r="AN6079">
        <v>0.99999997901139304</v>
      </c>
    </row>
    <row r="6080" spans="1:40" x14ac:dyDescent="0.25">
      <c r="A6080" t="str">
        <f>"20190304165007340"</f>
        <v>20190304165007340</v>
      </c>
      <c r="B6080" t="str">
        <f>"1551689407332165"</f>
        <v>1551689407332165</v>
      </c>
      <c r="C6080" t="s">
        <v>40</v>
      </c>
      <c r="D6080">
        <v>4.5451940000000004</v>
      </c>
      <c r="E6080">
        <v>0.53979919999999904</v>
      </c>
      <c r="F6080" t="s">
        <v>41</v>
      </c>
      <c r="G6080">
        <v>-352.2878</v>
      </c>
      <c r="H6080">
        <v>1.0238350000000001</v>
      </c>
      <c r="I6080">
        <v>17.349049999999998</v>
      </c>
      <c r="J6080">
        <v>-352.92320000000001</v>
      </c>
      <c r="K6080">
        <v>1.111318</v>
      </c>
      <c r="L6080">
        <v>17.409329999999901</v>
      </c>
      <c r="M6080">
        <v>0.99986249999999999</v>
      </c>
      <c r="N6080">
        <v>-1.4596059999999999E-2</v>
      </c>
      <c r="O6080">
        <v>7.8740310000000001E-3</v>
      </c>
      <c r="P6080">
        <v>0.91184889999999996</v>
      </c>
      <c r="Q6080">
        <v>0.41012460000000001</v>
      </c>
      <c r="R6080">
        <v>-1.815367E-2</v>
      </c>
      <c r="S6080">
        <v>3.4552610000000001</v>
      </c>
      <c r="T6080">
        <v>-0.38169209999999998</v>
      </c>
      <c r="U6080">
        <v>-0.25537110000000002</v>
      </c>
      <c r="V6080">
        <v>2.4922610000000001E-2</v>
      </c>
      <c r="W6080">
        <v>0.42341220000000002</v>
      </c>
      <c r="X6080">
        <v>0.90559429999999996</v>
      </c>
      <c r="Y6080">
        <v>8.0966819999999995E-2</v>
      </c>
      <c r="Z6080">
        <v>-5.7978519999999896E-3</v>
      </c>
      <c r="AA6080">
        <v>0.99669989999999997</v>
      </c>
      <c r="AB6080">
        <v>36</v>
      </c>
      <c r="AC6080">
        <v>0.63540000000000396</v>
      </c>
      <c r="AD6080">
        <v>-8.7482999999999894E-2</v>
      </c>
      <c r="AE6080">
        <v>-6.0279999999998703E-2</v>
      </c>
      <c r="AF6080">
        <v>6.4077978355315104E-2</v>
      </c>
      <c r="AG6080">
        <v>-8.7482999999999894E-2</v>
      </c>
      <c r="AH6080">
        <v>0.62319747589571195</v>
      </c>
      <c r="AI6080">
        <v>97.949460083861098</v>
      </c>
      <c r="AJ6080">
        <v>84.129403532449601</v>
      </c>
      <c r="AK6080">
        <v>0.63256174130427101</v>
      </c>
      <c r="AL6080">
        <v>64.949798690195195</v>
      </c>
      <c r="AM6080">
        <v>88.423576624257905</v>
      </c>
      <c r="AN6080">
        <v>1.00000003189527</v>
      </c>
    </row>
    <row r="6081" spans="1:40" x14ac:dyDescent="0.25">
      <c r="A6081" t="str">
        <f>"20190304165007351"</f>
        <v>20190304165007351</v>
      </c>
      <c r="B6081" t="str">
        <f>"1551689407341924"</f>
        <v>1551689407341924</v>
      </c>
      <c r="C6081" t="s">
        <v>40</v>
      </c>
      <c r="D6081">
        <v>4.6415810000000004</v>
      </c>
      <c r="E6081">
        <v>0.53964250000000002</v>
      </c>
      <c r="F6081" t="s">
        <v>41</v>
      </c>
      <c r="G6081">
        <v>-351.97359999999998</v>
      </c>
      <c r="H6081">
        <v>1.01444</v>
      </c>
      <c r="I6081">
        <v>17.341950000000001</v>
      </c>
      <c r="J6081">
        <v>-352.74299999999999</v>
      </c>
      <c r="K6081">
        <v>1.1113219999999999</v>
      </c>
      <c r="L6081">
        <v>17.410920000000001</v>
      </c>
      <c r="M6081">
        <v>0.99986090000000005</v>
      </c>
      <c r="N6081">
        <v>-1.4602270000000001E-2</v>
      </c>
      <c r="O6081">
        <v>8.0770579999999998E-3</v>
      </c>
      <c r="P6081">
        <v>0.9117613</v>
      </c>
      <c r="Q6081">
        <v>0.41033069999999999</v>
      </c>
      <c r="R6081">
        <v>-1.7894319999999998E-2</v>
      </c>
      <c r="S6081">
        <v>3.4431759999999998</v>
      </c>
      <c r="T6081">
        <v>-0.35131220000000002</v>
      </c>
      <c r="U6081">
        <v>-0.24398800000000001</v>
      </c>
      <c r="V6081">
        <v>2.485443E-2</v>
      </c>
      <c r="W6081">
        <v>0.4236222</v>
      </c>
      <c r="X6081">
        <v>0.90549800000000003</v>
      </c>
      <c r="Y6081">
        <v>7.8246200000000002E-2</v>
      </c>
      <c r="Z6081">
        <v>-5.2536950000000001E-3</v>
      </c>
      <c r="AA6081">
        <v>0.99692020000000003</v>
      </c>
      <c r="AB6081">
        <v>36</v>
      </c>
      <c r="AC6081">
        <v>0.76940000000007502</v>
      </c>
      <c r="AD6081">
        <v>-9.6881999999999899E-2</v>
      </c>
      <c r="AE6081">
        <v>-6.8970000000000198E-2</v>
      </c>
      <c r="AF6081">
        <v>7.4018647571551896E-2</v>
      </c>
      <c r="AG6081">
        <v>-9.6881999999999899E-2</v>
      </c>
      <c r="AH6081">
        <v>0.75691215820300894</v>
      </c>
      <c r="AI6081">
        <v>97.259733501245805</v>
      </c>
      <c r="AJ6081">
        <v>84.414788506368595</v>
      </c>
      <c r="AK6081">
        <v>0.76666870116619401</v>
      </c>
      <c r="AL6081">
        <v>64.936517578918398</v>
      </c>
      <c r="AM6081">
        <v>88.427719918101403</v>
      </c>
      <c r="AN6081">
        <v>1.0000000695137301</v>
      </c>
    </row>
    <row r="6082" spans="1:40" x14ac:dyDescent="0.25">
      <c r="A6082" t="str">
        <f>"20190304165007362"</f>
        <v>20190304165007362</v>
      </c>
      <c r="B6082" t="str">
        <f>"1551689407351684"</f>
        <v>1551689407351684</v>
      </c>
      <c r="C6082" t="s">
        <v>40</v>
      </c>
      <c r="D6082">
        <v>4.5782579999999999</v>
      </c>
      <c r="E6082">
        <v>0.53922169999999903</v>
      </c>
      <c r="F6082" t="s">
        <v>41</v>
      </c>
      <c r="G6082">
        <v>-351.96699999999998</v>
      </c>
      <c r="H6082">
        <v>1.0279419999999999</v>
      </c>
      <c r="I6082">
        <v>17.356809999999999</v>
      </c>
      <c r="J6082">
        <v>-352.58659999999998</v>
      </c>
      <c r="K6082">
        <v>1.1113280000000001</v>
      </c>
      <c r="L6082">
        <v>17.412379999999999</v>
      </c>
      <c r="M6082">
        <v>0.99985930000000001</v>
      </c>
      <c r="N6082">
        <v>-1.460729E-2</v>
      </c>
      <c r="O6082">
        <v>8.2469469999999993E-3</v>
      </c>
      <c r="P6082">
        <v>0.91172580000000003</v>
      </c>
      <c r="Q6082">
        <v>0.4104256</v>
      </c>
      <c r="R6082">
        <v>-1.752037E-2</v>
      </c>
      <c r="S6082">
        <v>3.4526059999999998</v>
      </c>
      <c r="T6082">
        <v>-0.37109379999999997</v>
      </c>
      <c r="U6082">
        <v>-0.2403564</v>
      </c>
      <c r="V6082">
        <v>2.464245E-2</v>
      </c>
      <c r="W6082">
        <v>0.4237206</v>
      </c>
      <c r="X6082">
        <v>0.90545770000000003</v>
      </c>
      <c r="Y6082">
        <v>7.7135239999999994E-2</v>
      </c>
      <c r="Z6082">
        <v>-5.4572170000000003E-3</v>
      </c>
      <c r="AA6082">
        <v>0.99700569999999999</v>
      </c>
      <c r="AB6082">
        <v>36</v>
      </c>
      <c r="AC6082">
        <v>0.61959999999999105</v>
      </c>
      <c r="AD6082">
        <v>-8.3386000000000099E-2</v>
      </c>
      <c r="AE6082">
        <v>-5.5569999999999398E-2</v>
      </c>
      <c r="AF6082">
        <v>5.9607474918076303E-2</v>
      </c>
      <c r="AG6082">
        <v>-8.3386000000000099E-2</v>
      </c>
      <c r="AH6082">
        <v>0.60819297566723896</v>
      </c>
      <c r="AI6082">
        <v>97.770065498865407</v>
      </c>
      <c r="AJ6082">
        <v>84.402460371027004</v>
      </c>
      <c r="AK6082">
        <v>0.61676978826226603</v>
      </c>
      <c r="AL6082">
        <v>64.930292184640606</v>
      </c>
      <c r="AM6082">
        <v>88.441053684479797</v>
      </c>
      <c r="AN6082">
        <v>1.00000002184782</v>
      </c>
    </row>
    <row r="6083" spans="1:40" x14ac:dyDescent="0.25">
      <c r="A6083" t="str">
        <f>"20190304165007373"</f>
        <v>20190304165007373</v>
      </c>
      <c r="B6083" t="str">
        <f>"1551689407361444"</f>
        <v>1551689407361444</v>
      </c>
      <c r="C6083" t="s">
        <v>40</v>
      </c>
      <c r="D6083">
        <v>4.576816</v>
      </c>
      <c r="E6083">
        <v>0.53920269999999904</v>
      </c>
      <c r="F6083" t="s">
        <v>41</v>
      </c>
      <c r="G6083">
        <v>-351.65719999999999</v>
      </c>
      <c r="H6083">
        <v>1.010108</v>
      </c>
      <c r="I6083">
        <v>17.349119999999999</v>
      </c>
      <c r="J6083">
        <v>-352.40730000000002</v>
      </c>
      <c r="K6083">
        <v>1.1113329999999999</v>
      </c>
      <c r="L6083">
        <v>17.414000000000001</v>
      </c>
      <c r="M6083">
        <v>0.99985769999999996</v>
      </c>
      <c r="N6083">
        <v>-1.461286E-2</v>
      </c>
      <c r="O6083">
        <v>8.4379599999999996E-3</v>
      </c>
      <c r="P6083">
        <v>0.9117208</v>
      </c>
      <c r="Q6083">
        <v>0.41046179999999899</v>
      </c>
      <c r="R6083">
        <v>-1.692314E-2</v>
      </c>
      <c r="S6083">
        <v>3.4553829999999999</v>
      </c>
      <c r="T6083">
        <v>-0.37635109999999999</v>
      </c>
      <c r="U6083">
        <v>-0.23449710000000001</v>
      </c>
      <c r="V6083">
        <v>2.4228510000000002E-2</v>
      </c>
      <c r="W6083">
        <v>0.42376079999999999</v>
      </c>
      <c r="X6083">
        <v>0.90544999999999998</v>
      </c>
      <c r="Y6083">
        <v>7.5583059999999994E-2</v>
      </c>
      <c r="Z6083">
        <v>-5.4465879999999996E-3</v>
      </c>
      <c r="AA6083">
        <v>0.99712460000000003</v>
      </c>
      <c r="AB6083">
        <v>36</v>
      </c>
      <c r="AC6083">
        <v>0.75010000000003096</v>
      </c>
      <c r="AD6083">
        <v>-0.101224999999999</v>
      </c>
      <c r="AE6083">
        <v>-6.4879999999998703E-2</v>
      </c>
      <c r="AF6083">
        <v>6.9943388465541198E-2</v>
      </c>
      <c r="AG6083">
        <v>-0.101224999999999</v>
      </c>
      <c r="AH6083">
        <v>0.73621796671589101</v>
      </c>
      <c r="AI6083">
        <v>97.794036800203898</v>
      </c>
      <c r="AJ6083">
        <v>84.572980671870596</v>
      </c>
      <c r="AK6083">
        <v>0.74642847797382506</v>
      </c>
      <c r="AL6083">
        <v>64.9277479083933</v>
      </c>
      <c r="AM6083">
        <v>88.467214992080699</v>
      </c>
      <c r="AN6083">
        <v>0.99999996940672897</v>
      </c>
    </row>
    <row r="6084" spans="1:40" x14ac:dyDescent="0.25">
      <c r="A6084" t="str">
        <f>"20190304165007385"</f>
        <v>20190304165007385</v>
      </c>
      <c r="B6084" t="str">
        <f>"1551689407381940"</f>
        <v>1551689407381940</v>
      </c>
      <c r="C6084" t="s">
        <v>40</v>
      </c>
      <c r="D6084">
        <v>4.787083</v>
      </c>
      <c r="E6084">
        <v>0.53917999999999999</v>
      </c>
      <c r="F6084" t="s">
        <v>41</v>
      </c>
      <c r="G6084">
        <v>-351.64859999999999</v>
      </c>
      <c r="H6084">
        <v>1.02779</v>
      </c>
      <c r="I6084">
        <v>17.362950000000001</v>
      </c>
      <c r="J6084">
        <v>-352.22480000000002</v>
      </c>
      <c r="K6084">
        <v>1.1113299999999999</v>
      </c>
      <c r="L6084">
        <v>17.41574</v>
      </c>
      <c r="M6084">
        <v>0.99985610000000003</v>
      </c>
      <c r="N6084">
        <v>-1.4618000000000001E-2</v>
      </c>
      <c r="O6084">
        <v>8.6208889999999996E-3</v>
      </c>
      <c r="P6084">
        <v>0.91177989999999998</v>
      </c>
      <c r="Q6084">
        <v>0.41034999999999999</v>
      </c>
      <c r="R6084">
        <v>-1.6447509999999999E-2</v>
      </c>
      <c r="S6084">
        <v>3.4576419999999999</v>
      </c>
      <c r="T6084">
        <v>-0.38079170000000001</v>
      </c>
      <c r="U6084">
        <v>-0.23178099999999999</v>
      </c>
      <c r="V6084">
        <v>2.3932019999999998E-2</v>
      </c>
      <c r="W6084">
        <v>0.42365370000000002</v>
      </c>
      <c r="X6084">
        <v>0.90550799999999998</v>
      </c>
      <c r="Y6084">
        <v>7.4933739999999999E-2</v>
      </c>
      <c r="Z6084">
        <v>-5.4794550000000003E-3</v>
      </c>
      <c r="AA6084">
        <v>0.99717350000000005</v>
      </c>
      <c r="AB6084">
        <v>36</v>
      </c>
      <c r="AC6084">
        <v>0.57620000000002802</v>
      </c>
      <c r="AD6084">
        <v>-8.3539999999999906E-2</v>
      </c>
      <c r="AE6084">
        <v>-5.2789999999998102E-2</v>
      </c>
      <c r="AF6084">
        <v>5.6576557824373097E-2</v>
      </c>
      <c r="AG6084">
        <v>-8.3539999999999906E-2</v>
      </c>
      <c r="AH6084">
        <v>0.56396725962763194</v>
      </c>
      <c r="AI6084">
        <v>98.384423185236002</v>
      </c>
      <c r="AJ6084">
        <v>84.271318457180996</v>
      </c>
      <c r="AK6084">
        <v>0.57292138066854803</v>
      </c>
      <c r="AL6084">
        <v>64.934522432320506</v>
      </c>
      <c r="AM6084">
        <v>88.486060192345093</v>
      </c>
      <c r="AN6084">
        <v>0.99999996858448403</v>
      </c>
    </row>
    <row r="6085" spans="1:40" x14ac:dyDescent="0.25">
      <c r="A6085" t="str">
        <f>"20190304165007395"</f>
        <v>20190304165007395</v>
      </c>
      <c r="B6085" t="str">
        <f>"1551689407391700"</f>
        <v>1551689407391700</v>
      </c>
      <c r="C6085" t="s">
        <v>40</v>
      </c>
      <c r="D6085">
        <v>4.6075569999999999</v>
      </c>
      <c r="E6085">
        <v>0.53924640000000001</v>
      </c>
      <c r="F6085" t="s">
        <v>41</v>
      </c>
      <c r="G6085">
        <v>-351.33929999999998</v>
      </c>
      <c r="H6085">
        <v>1.0096080000000001</v>
      </c>
      <c r="I6085">
        <v>17.357009999999999</v>
      </c>
      <c r="J6085">
        <v>-352.05189999999999</v>
      </c>
      <c r="K6085">
        <v>1.111329</v>
      </c>
      <c r="L6085">
        <v>17.417390000000001</v>
      </c>
      <c r="M6085">
        <v>0.99985440000000003</v>
      </c>
      <c r="N6085">
        <v>-1.462274E-2</v>
      </c>
      <c r="O6085">
        <v>8.7915419999999994E-3</v>
      </c>
      <c r="P6085">
        <v>0.9117883</v>
      </c>
      <c r="Q6085">
        <v>0.4103561</v>
      </c>
      <c r="R6085">
        <v>-1.5818019999999999E-2</v>
      </c>
      <c r="S6085">
        <v>3.465271</v>
      </c>
      <c r="T6085">
        <v>-0.39806970000000003</v>
      </c>
      <c r="U6085">
        <v>-0.2290344</v>
      </c>
      <c r="V6085">
        <v>2.346991E-2</v>
      </c>
      <c r="W6085">
        <v>0.42366280000000001</v>
      </c>
      <c r="X6085">
        <v>0.90551590000000004</v>
      </c>
      <c r="Y6085">
        <v>7.4129390000000003E-2</v>
      </c>
      <c r="Z6085">
        <v>-5.6613799999999997E-3</v>
      </c>
      <c r="AA6085">
        <v>0.99723260000000002</v>
      </c>
      <c r="AB6085">
        <v>36</v>
      </c>
      <c r="AC6085">
        <v>0.712600000000009</v>
      </c>
      <c r="AD6085">
        <v>-0.10172099999999901</v>
      </c>
      <c r="AE6085">
        <v>-6.0380000000002099E-2</v>
      </c>
      <c r="AF6085">
        <v>6.5321650293383396E-2</v>
      </c>
      <c r="AG6085">
        <v>-0.10172099999999901</v>
      </c>
      <c r="AH6085">
        <v>0.697921735238898</v>
      </c>
      <c r="AI6085">
        <v>98.2567969343187</v>
      </c>
      <c r="AJ6085">
        <v>84.653005779038196</v>
      </c>
      <c r="AK6085">
        <v>0.70831407465680496</v>
      </c>
      <c r="AL6085">
        <v>64.933948342776503</v>
      </c>
      <c r="AM6085">
        <v>88.515293009021505</v>
      </c>
      <c r="AN6085">
        <v>1.0000000249660199</v>
      </c>
    </row>
    <row r="6086" spans="1:40" x14ac:dyDescent="0.25">
      <c r="A6086" t="str">
        <f>"20190304165007408"</f>
        <v>20190304165007408</v>
      </c>
      <c r="B6086" t="str">
        <f>"1551689407401461"</f>
        <v>1551689407401461</v>
      </c>
      <c r="C6086" t="s">
        <v>40</v>
      </c>
      <c r="D6086">
        <v>4.84565</v>
      </c>
      <c r="E6086">
        <v>0.53946899999999998</v>
      </c>
      <c r="F6086" t="s">
        <v>41</v>
      </c>
      <c r="G6086">
        <v>-351.02940000000001</v>
      </c>
      <c r="H6086">
        <v>0.99338729999999997</v>
      </c>
      <c r="I6086">
        <v>17.34995</v>
      </c>
      <c r="J6086">
        <v>-351.85199999999998</v>
      </c>
      <c r="K6086">
        <v>1.111324</v>
      </c>
      <c r="L6086">
        <v>17.419309999999999</v>
      </c>
      <c r="M6086">
        <v>0.99985290000000004</v>
      </c>
      <c r="N6086">
        <v>-1.462756E-2</v>
      </c>
      <c r="O6086">
        <v>8.9694359999999904E-3</v>
      </c>
      <c r="P6086">
        <v>0.91166060000000004</v>
      </c>
      <c r="Q6086">
        <v>0.41066770000000002</v>
      </c>
      <c r="R6086">
        <v>-1.508231E-2</v>
      </c>
      <c r="S6086">
        <v>3.4662480000000002</v>
      </c>
      <c r="T6086">
        <v>-0.39986660000000002</v>
      </c>
      <c r="U6086">
        <v>-0.22790530000000001</v>
      </c>
      <c r="V6086">
        <v>2.291224E-2</v>
      </c>
      <c r="W6086">
        <v>0.4239754</v>
      </c>
      <c r="X6086">
        <v>0.90538379999999996</v>
      </c>
      <c r="Y6086">
        <v>7.3960419999999999E-2</v>
      </c>
      <c r="Z6086">
        <v>-5.6905289999999997E-3</v>
      </c>
      <c r="AA6086">
        <v>0.99724500000000005</v>
      </c>
      <c r="AB6086">
        <v>36</v>
      </c>
      <c r="AC6086">
        <v>0.82259999999996503</v>
      </c>
      <c r="AD6086">
        <v>-0.11793669999999901</v>
      </c>
      <c r="AE6086">
        <v>-6.9359999999999603E-2</v>
      </c>
      <c r="AF6086">
        <v>7.5201392629287003E-2</v>
      </c>
      <c r="AG6086">
        <v>-0.11793669999999901</v>
      </c>
      <c r="AH6086">
        <v>0.80550434149939798</v>
      </c>
      <c r="AI6086">
        <v>98.294128149591899</v>
      </c>
      <c r="AJ6086">
        <v>84.666361171880396</v>
      </c>
      <c r="AK6086">
        <v>0.817558290787056</v>
      </c>
      <c r="AL6086">
        <v>64.914172346997105</v>
      </c>
      <c r="AM6086">
        <v>88.550344601520294</v>
      </c>
      <c r="AN6086">
        <v>0.99999996792470802</v>
      </c>
    </row>
    <row r="6087" spans="1:40" x14ac:dyDescent="0.25">
      <c r="A6087" t="str">
        <f>"20190304165007419"</f>
        <v>20190304165007419</v>
      </c>
      <c r="B6087" t="str">
        <f>"1551689407412196"</f>
        <v>1551689407412196</v>
      </c>
      <c r="C6087" t="s">
        <v>40</v>
      </c>
      <c r="D6087">
        <v>4.720396</v>
      </c>
      <c r="E6087">
        <v>0.53953019999999996</v>
      </c>
      <c r="F6087" t="s">
        <v>41</v>
      </c>
      <c r="G6087">
        <v>-351.01839999999999</v>
      </c>
      <c r="H6087">
        <v>1.0159129999999901</v>
      </c>
      <c r="I6087">
        <v>17.36401</v>
      </c>
      <c r="J6087">
        <v>-351.67610000000002</v>
      </c>
      <c r="K6087">
        <v>1.111324</v>
      </c>
      <c r="L6087">
        <v>17.421050000000001</v>
      </c>
      <c r="M6087">
        <v>0.9998515</v>
      </c>
      <c r="N6087">
        <v>-1.46316E-2</v>
      </c>
      <c r="O6087">
        <v>9.1199999999999996E-3</v>
      </c>
      <c r="P6087">
        <v>0.91157049999999995</v>
      </c>
      <c r="Q6087">
        <v>0.41089769999999998</v>
      </c>
      <c r="R6087">
        <v>-1.42316E-2</v>
      </c>
      <c r="S6087">
        <v>3.4656370000000001</v>
      </c>
      <c r="T6087">
        <v>-0.39669080000000001</v>
      </c>
      <c r="U6087">
        <v>-0.2290344</v>
      </c>
      <c r="V6087">
        <v>2.2213960000000001E-2</v>
      </c>
      <c r="W6087">
        <v>0.42420639999999998</v>
      </c>
      <c r="X6087">
        <v>0.90529300000000001</v>
      </c>
      <c r="Y6087">
        <v>7.4450059999999998E-2</v>
      </c>
      <c r="Z6087">
        <v>-5.6962990000000002E-3</v>
      </c>
      <c r="AA6087">
        <v>0.99720850000000005</v>
      </c>
      <c r="AB6087">
        <v>36</v>
      </c>
      <c r="AC6087">
        <v>0.65770000000003304</v>
      </c>
      <c r="AD6087">
        <v>-9.5411000000000107E-2</v>
      </c>
      <c r="AE6087">
        <v>-5.7040000000000597E-2</v>
      </c>
      <c r="AF6087">
        <v>6.1746755977199898E-2</v>
      </c>
      <c r="AG6087">
        <v>-9.5411000000000107E-2</v>
      </c>
      <c r="AH6087">
        <v>0.64370693911710797</v>
      </c>
      <c r="AI6087">
        <v>98.393090342715794</v>
      </c>
      <c r="AJ6087">
        <v>84.520740922441902</v>
      </c>
      <c r="AK6087">
        <v>0.65366240848179802</v>
      </c>
      <c r="AL6087">
        <v>64.899557815781804</v>
      </c>
      <c r="AM6087">
        <v>88.594365802676805</v>
      </c>
      <c r="AN6087">
        <v>0.99999997283441999</v>
      </c>
    </row>
    <row r="6088" spans="1:40" x14ac:dyDescent="0.25">
      <c r="A6088" t="str">
        <f>"20190304165007429"</f>
        <v>20190304165007429</v>
      </c>
      <c r="B6088" t="str">
        <f>"1551689407421956"</f>
        <v>1551689407421956</v>
      </c>
      <c r="C6088" t="s">
        <v>40</v>
      </c>
      <c r="D6088">
        <v>4.6191979999999999</v>
      </c>
      <c r="E6088">
        <v>0.53958819999999996</v>
      </c>
      <c r="F6088" t="s">
        <v>41</v>
      </c>
      <c r="G6088">
        <v>-350.70819999999998</v>
      </c>
      <c r="H6088">
        <v>1.0010300000000001</v>
      </c>
      <c r="I6088">
        <v>17.357389999999999</v>
      </c>
      <c r="J6088">
        <v>-351.5043</v>
      </c>
      <c r="K6088">
        <v>1.1113200000000001</v>
      </c>
      <c r="L6088">
        <v>17.42276</v>
      </c>
      <c r="M6088">
        <v>0.99985009999999996</v>
      </c>
      <c r="N6088">
        <v>-1.4635169999999999E-2</v>
      </c>
      <c r="O6088">
        <v>9.2559459999999993E-3</v>
      </c>
      <c r="P6088">
        <v>0.91155810000000004</v>
      </c>
      <c r="Q6088">
        <v>0.41095159999999997</v>
      </c>
      <c r="R6088">
        <v>-1.3445840000000001E-2</v>
      </c>
      <c r="S6088">
        <v>3.4654850000000001</v>
      </c>
      <c r="T6088">
        <v>-0.39490710000000001</v>
      </c>
      <c r="U6088">
        <v>-0.2275085</v>
      </c>
      <c r="V6088">
        <v>2.1568940000000002E-2</v>
      </c>
      <c r="W6088">
        <v>0.42426209999999998</v>
      </c>
      <c r="X6088">
        <v>0.90528249999999999</v>
      </c>
      <c r="Y6088">
        <v>7.4157799999999996E-2</v>
      </c>
      <c r="Z6088">
        <v>-5.6677940000000003E-3</v>
      </c>
      <c r="AA6088">
        <v>0.99723039999999996</v>
      </c>
      <c r="AB6088">
        <v>36</v>
      </c>
      <c r="AC6088">
        <v>0.79610000000002401</v>
      </c>
      <c r="AD6088">
        <v>-0.11029</v>
      </c>
      <c r="AE6088">
        <v>-6.5370000000001399E-2</v>
      </c>
      <c r="AF6088">
        <v>7.1375921756010999E-2</v>
      </c>
      <c r="AG6088">
        <v>-0.11029</v>
      </c>
      <c r="AH6088">
        <v>0.78057963663147201</v>
      </c>
      <c r="AI6088">
        <v>98.009247681676001</v>
      </c>
      <c r="AJ6088">
        <v>84.775423421648995</v>
      </c>
      <c r="AK6088">
        <v>0.79155731026264997</v>
      </c>
      <c r="AL6088">
        <v>64.896033690788101</v>
      </c>
      <c r="AM6088">
        <v>88.635149282362406</v>
      </c>
      <c r="AN6088">
        <v>0.99999997673769103</v>
      </c>
    </row>
    <row r="6089" spans="1:40" x14ac:dyDescent="0.25">
      <c r="A6089" t="str">
        <f>"20190304165007441"</f>
        <v>20190304165007441</v>
      </c>
      <c r="B6089" t="str">
        <f>"1551689407431717"</f>
        <v>1551689407431717</v>
      </c>
      <c r="C6089" t="s">
        <v>40</v>
      </c>
      <c r="D6089">
        <v>4.6424479999999999</v>
      </c>
      <c r="E6089">
        <v>0.53978090000000001</v>
      </c>
      <c r="F6089" t="s">
        <v>41</v>
      </c>
      <c r="G6089">
        <v>-350.69900000000001</v>
      </c>
      <c r="H6089">
        <v>1.0197849999999999</v>
      </c>
      <c r="I6089">
        <v>17.370079999999898</v>
      </c>
      <c r="J6089">
        <v>-351.3304</v>
      </c>
      <c r="K6089">
        <v>1.111308</v>
      </c>
      <c r="L6089">
        <v>17.424499999999998</v>
      </c>
      <c r="M6089">
        <v>0.99984879999999998</v>
      </c>
      <c r="N6089">
        <v>-1.463851E-2</v>
      </c>
      <c r="O6089">
        <v>9.3826280000000005E-3</v>
      </c>
      <c r="P6089">
        <v>0.91138799999999998</v>
      </c>
      <c r="Q6089">
        <v>0.41135559999999899</v>
      </c>
      <c r="R6089">
        <v>-1.259483E-2</v>
      </c>
      <c r="S6089">
        <v>3.4653320000000001</v>
      </c>
      <c r="T6089">
        <v>-0.39392240000000001</v>
      </c>
      <c r="U6089">
        <v>-0.22622680000000001</v>
      </c>
      <c r="V6089">
        <v>2.0850130000000001E-2</v>
      </c>
      <c r="W6089">
        <v>0.42466540000000003</v>
      </c>
      <c r="X6089">
        <v>0.90511019999999998</v>
      </c>
      <c r="Y6089">
        <v>7.3923539999999996E-2</v>
      </c>
      <c r="Z6089">
        <v>-5.6526469999999898E-3</v>
      </c>
      <c r="AA6089">
        <v>0.99724789999999996</v>
      </c>
      <c r="AB6089">
        <v>36</v>
      </c>
      <c r="AC6089">
        <v>0.63139999999998497</v>
      </c>
      <c r="AD6089">
        <v>-9.1522999999999993E-2</v>
      </c>
      <c r="AE6089">
        <v>-5.4420000000000301E-2</v>
      </c>
      <c r="AF6089">
        <v>5.9109622927140199E-2</v>
      </c>
      <c r="AG6089">
        <v>-9.1522999999999993E-2</v>
      </c>
      <c r="AH6089">
        <v>0.61797292139270898</v>
      </c>
      <c r="AI6089">
        <v>98.386649732792804</v>
      </c>
      <c r="AJ6089">
        <v>84.536233481998494</v>
      </c>
      <c r="AK6089">
        <v>0.62750373594603204</v>
      </c>
      <c r="AL6089">
        <v>64.870512546727895</v>
      </c>
      <c r="AM6089">
        <v>88.680367090921905</v>
      </c>
      <c r="AN6089">
        <v>0.99999995201110703</v>
      </c>
    </row>
    <row r="6090" spans="1:40" x14ac:dyDescent="0.25">
      <c r="A6090" t="str">
        <f>"20190304165007451"</f>
        <v>20190304165007451</v>
      </c>
      <c r="B6090" t="str">
        <f>"1551689407441476"</f>
        <v>1551689407441476</v>
      </c>
      <c r="C6090" t="s">
        <v>40</v>
      </c>
      <c r="D6090">
        <v>4.568111</v>
      </c>
      <c r="E6090">
        <v>0.53984149999999997</v>
      </c>
      <c r="F6090" t="s">
        <v>41</v>
      </c>
      <c r="G6090">
        <v>-350.3897</v>
      </c>
      <c r="H6090">
        <v>1.003727</v>
      </c>
      <c r="I6090">
        <v>17.362919999999999</v>
      </c>
      <c r="J6090">
        <v>-351.1601</v>
      </c>
      <c r="K6090">
        <v>1.1112949999999999</v>
      </c>
      <c r="L6090">
        <v>17.42624</v>
      </c>
      <c r="M6090">
        <v>0.99984779999999995</v>
      </c>
      <c r="N6090">
        <v>-1.464155E-2</v>
      </c>
      <c r="O6090">
        <v>9.4965420000000002E-3</v>
      </c>
      <c r="P6090">
        <v>0.91146389999999999</v>
      </c>
      <c r="Q6090">
        <v>0.4112171</v>
      </c>
      <c r="R6090">
        <v>-1.15926E-2</v>
      </c>
      <c r="S6090">
        <v>3.4675600000000002</v>
      </c>
      <c r="T6090">
        <v>-0.39662130000000001</v>
      </c>
      <c r="U6090">
        <v>-0.2255249</v>
      </c>
      <c r="V6090">
        <v>1.997204E-2</v>
      </c>
      <c r="W6090">
        <v>0.42452899999999999</v>
      </c>
      <c r="X6090">
        <v>0.90519400000000005</v>
      </c>
      <c r="Y6090">
        <v>7.3787989999999998E-2</v>
      </c>
      <c r="Z6090">
        <v>-5.6877300000000002E-3</v>
      </c>
      <c r="AA6090">
        <v>0.99725770000000002</v>
      </c>
      <c r="AB6090">
        <v>36</v>
      </c>
      <c r="AC6090">
        <v>0.77039999999999498</v>
      </c>
      <c r="AD6090">
        <v>-0.107568</v>
      </c>
      <c r="AE6090">
        <v>-6.3319999999997295E-2</v>
      </c>
      <c r="AF6090">
        <v>6.9292243558792696E-2</v>
      </c>
      <c r="AG6090">
        <v>-0.107568</v>
      </c>
      <c r="AH6090">
        <v>0.75514082840571095</v>
      </c>
      <c r="AI6090">
        <v>98.073636496587</v>
      </c>
      <c r="AJ6090">
        <v>84.757181721123303</v>
      </c>
      <c r="AK6090">
        <v>0.76590466793634004</v>
      </c>
      <c r="AL6090">
        <v>64.879144792807693</v>
      </c>
      <c r="AM6090">
        <v>88.736041151566397</v>
      </c>
      <c r="AN6090">
        <v>0.99999996592938001</v>
      </c>
    </row>
    <row r="6091" spans="1:40" x14ac:dyDescent="0.25">
      <c r="A6091" t="str">
        <f>"20190304165007461"</f>
        <v>20190304165007461</v>
      </c>
      <c r="B6091" t="str">
        <f>"1551689407452212"</f>
        <v>1551689407452212</v>
      </c>
      <c r="C6091" t="s">
        <v>40</v>
      </c>
      <c r="D6091">
        <v>4.696034</v>
      </c>
      <c r="E6091">
        <v>0.54007139999999998</v>
      </c>
      <c r="F6091" t="s">
        <v>41</v>
      </c>
      <c r="G6091">
        <v>-350.3811</v>
      </c>
      <c r="H6091">
        <v>1.021317</v>
      </c>
      <c r="I6091">
        <v>17.375699999999998</v>
      </c>
      <c r="J6091">
        <v>-350.99220000000003</v>
      </c>
      <c r="K6091">
        <v>1.1112820000000001</v>
      </c>
      <c r="L6091">
        <v>17.427889999999898</v>
      </c>
      <c r="M6091">
        <v>0.99984680000000004</v>
      </c>
      <c r="N6091">
        <v>-1.4644290000000001E-2</v>
      </c>
      <c r="O6091">
        <v>9.5929680000000003E-3</v>
      </c>
      <c r="P6091">
        <v>0.91153740000000005</v>
      </c>
      <c r="Q6091">
        <v>0.41107779999999999</v>
      </c>
      <c r="R6091">
        <v>-1.071134E-2</v>
      </c>
      <c r="S6091">
        <v>3.4694210000000001</v>
      </c>
      <c r="T6091">
        <v>-0.40079690000000001</v>
      </c>
      <c r="U6091">
        <v>-0.2232971</v>
      </c>
      <c r="V6091">
        <v>1.9200470000000001E-2</v>
      </c>
      <c r="W6091">
        <v>0.42439209999999999</v>
      </c>
      <c r="X6091">
        <v>0.90527489999999999</v>
      </c>
      <c r="Y6091">
        <v>7.3204350000000001E-2</v>
      </c>
      <c r="Z6091">
        <v>-5.7121910000000001E-3</v>
      </c>
      <c r="AA6091">
        <v>0.99730059999999998</v>
      </c>
      <c r="AB6091">
        <v>36</v>
      </c>
      <c r="AC6091">
        <v>0.61110000000002096</v>
      </c>
      <c r="AD6091">
        <v>-8.9964999999999795E-2</v>
      </c>
      <c r="AE6091">
        <v>-5.2189999999999501E-2</v>
      </c>
      <c r="AF6091">
        <v>5.6827769010105597E-2</v>
      </c>
      <c r="AG6091">
        <v>-8.9964999999999795E-2</v>
      </c>
      <c r="AH6091">
        <v>0.59771067545584</v>
      </c>
      <c r="AI6091">
        <v>98.5218142414558</v>
      </c>
      <c r="AJ6091">
        <v>84.568888261845302</v>
      </c>
      <c r="AK6091">
        <v>0.60710884370888696</v>
      </c>
      <c r="AL6091">
        <v>64.887808033263497</v>
      </c>
      <c r="AM6091">
        <v>88.784964676273304</v>
      </c>
      <c r="AN6091">
        <v>0.99999997858031997</v>
      </c>
    </row>
    <row r="6092" spans="1:40" x14ac:dyDescent="0.25">
      <c r="A6092" t="str">
        <f>"20190304165007472"</f>
        <v>20190304165007472</v>
      </c>
      <c r="B6092" t="str">
        <f>"1551689407461972"</f>
        <v>1551689407461972</v>
      </c>
      <c r="C6092" t="s">
        <v>40</v>
      </c>
      <c r="D6092">
        <v>4.8518499999999998</v>
      </c>
      <c r="E6092">
        <v>0.54020459999999904</v>
      </c>
      <c r="F6092" t="s">
        <v>41</v>
      </c>
      <c r="G6092">
        <v>-350.07279999999997</v>
      </c>
      <c r="H6092">
        <v>1.0041119999999999</v>
      </c>
      <c r="I6092">
        <v>17.368749999999999</v>
      </c>
      <c r="J6092">
        <v>-350.81760000000003</v>
      </c>
      <c r="K6092">
        <v>1.111267</v>
      </c>
      <c r="L6092">
        <v>17.429690000000001</v>
      </c>
      <c r="M6092">
        <v>0.99984589999999995</v>
      </c>
      <c r="N6092">
        <v>-1.464702E-2</v>
      </c>
      <c r="O6092">
        <v>9.684537E-3</v>
      </c>
      <c r="P6092">
        <v>0.91173360000000003</v>
      </c>
      <c r="Q6092">
        <v>0.41066469999999999</v>
      </c>
      <c r="R6092">
        <v>-9.8076719999999999E-3</v>
      </c>
      <c r="S6092">
        <v>3.4710079999999999</v>
      </c>
      <c r="T6092">
        <v>-0.40462579999999998</v>
      </c>
      <c r="U6092">
        <v>-0.22268679999999999</v>
      </c>
      <c r="V6092">
        <v>1.8405359999999999E-2</v>
      </c>
      <c r="W6092">
        <v>0.4239832</v>
      </c>
      <c r="X6092">
        <v>0.90548300000000004</v>
      </c>
      <c r="Y6092">
        <v>7.3081839999999995E-2</v>
      </c>
      <c r="Z6092">
        <v>-5.7616059999999998E-3</v>
      </c>
      <c r="AA6092">
        <v>0.99730929999999995</v>
      </c>
      <c r="AB6092">
        <v>35</v>
      </c>
      <c r="AC6092">
        <v>0.74480000000005397</v>
      </c>
      <c r="AD6092">
        <v>-0.107154999999999</v>
      </c>
      <c r="AE6092">
        <v>-6.0940000000002201E-2</v>
      </c>
      <c r="AF6092">
        <v>6.6777925791334403E-2</v>
      </c>
      <c r="AG6092">
        <v>-0.107154999999999</v>
      </c>
      <c r="AH6092">
        <v>0.72918199118004401</v>
      </c>
      <c r="AI6092">
        <v>98.325566148178197</v>
      </c>
      <c r="AJ6092">
        <v>84.767491939901007</v>
      </c>
      <c r="AK6092">
        <v>0.74003233825238102</v>
      </c>
      <c r="AL6092">
        <v>64.913679411000899</v>
      </c>
      <c r="AM6092">
        <v>88.835533909970806</v>
      </c>
      <c r="AN6092">
        <v>0.99999998722398398</v>
      </c>
    </row>
    <row r="6093" spans="1:40" x14ac:dyDescent="0.25">
      <c r="A6093" t="str">
        <f>"20190304165007485"</f>
        <v>20190304165007485</v>
      </c>
      <c r="B6093" t="str">
        <f>"1551689407481493"</f>
        <v>1551689407481493</v>
      </c>
      <c r="C6093" t="s">
        <v>40</v>
      </c>
      <c r="D6093">
        <v>4.7445729999999999</v>
      </c>
      <c r="E6093">
        <v>0.54061579999999998</v>
      </c>
      <c r="F6093" t="s">
        <v>41</v>
      </c>
      <c r="G6093">
        <v>-350.06389999999999</v>
      </c>
      <c r="H6093">
        <v>1.0221819999999999</v>
      </c>
      <c r="I6093">
        <v>17.381450000000001</v>
      </c>
      <c r="J6093">
        <v>-350.63639999999998</v>
      </c>
      <c r="K6093">
        <v>1.111248</v>
      </c>
      <c r="L6093">
        <v>17.431519999999999</v>
      </c>
      <c r="M6093">
        <v>0.99984510000000004</v>
      </c>
      <c r="N6093">
        <v>-1.464939E-2</v>
      </c>
      <c r="O6093">
        <v>9.7568659999999995E-3</v>
      </c>
      <c r="P6093">
        <v>0.91182790000000002</v>
      </c>
      <c r="Q6093">
        <v>0.41048440000000003</v>
      </c>
      <c r="R6093">
        <v>-8.5231330000000004E-3</v>
      </c>
      <c r="S6093">
        <v>3.4729610000000002</v>
      </c>
      <c r="T6093">
        <v>-0.41053139999999999</v>
      </c>
      <c r="U6093">
        <v>-0.22158810000000001</v>
      </c>
      <c r="V6093">
        <v>1.7213289999999999E-2</v>
      </c>
      <c r="W6093">
        <v>0.42380430000000002</v>
      </c>
      <c r="X6093">
        <v>0.90559020000000001</v>
      </c>
      <c r="Y6093">
        <v>7.278946E-2</v>
      </c>
      <c r="Z6093">
        <v>-5.8246189999999996E-3</v>
      </c>
      <c r="AA6093">
        <v>0.9973303</v>
      </c>
      <c r="AB6093">
        <v>35</v>
      </c>
      <c r="AC6093">
        <v>0.57249999999999002</v>
      </c>
      <c r="AD6093">
        <v>-8.9066000000000006E-2</v>
      </c>
      <c r="AE6093">
        <v>-5.0070000000001599E-2</v>
      </c>
      <c r="AF6093">
        <v>5.4348596233270201E-2</v>
      </c>
      <c r="AG6093">
        <v>-8.9066000000000006E-2</v>
      </c>
      <c r="AH6093">
        <v>0.55856765890748905</v>
      </c>
      <c r="AI6093">
        <v>99.017904717939402</v>
      </c>
      <c r="AJ6093">
        <v>84.442618146779495</v>
      </c>
      <c r="AK6093">
        <v>0.56822913674495701</v>
      </c>
      <c r="AL6093">
        <v>64.924996953218695</v>
      </c>
      <c r="AM6093">
        <v>88.911063615720295</v>
      </c>
      <c r="AN6093">
        <v>0.99999999619357705</v>
      </c>
    </row>
    <row r="6094" spans="1:40" x14ac:dyDescent="0.25">
      <c r="A6094" t="str">
        <f>"20190304165007497"</f>
        <v>20190304165007497</v>
      </c>
      <c r="B6094" t="str">
        <f>"1551689407492229"</f>
        <v>1551689407492229</v>
      </c>
      <c r="C6094" t="s">
        <v>40</v>
      </c>
      <c r="D6094">
        <v>4.6833220000000004</v>
      </c>
      <c r="E6094">
        <v>0.54076679999999999</v>
      </c>
      <c r="F6094" t="s">
        <v>41</v>
      </c>
      <c r="G6094">
        <v>-349.75560000000002</v>
      </c>
      <c r="H6094">
        <v>1.0056510000000001</v>
      </c>
      <c r="I6094">
        <v>17.3752</v>
      </c>
      <c r="J6094">
        <v>-350.44040000000001</v>
      </c>
      <c r="K6094">
        <v>1.1112280000000001</v>
      </c>
      <c r="L6094">
        <v>17.433529999999902</v>
      </c>
      <c r="M6094">
        <v>0.99984459999999997</v>
      </c>
      <c r="N6094">
        <v>-1.465178E-2</v>
      </c>
      <c r="O6094">
        <v>9.8259929999999999E-3</v>
      </c>
      <c r="P6094">
        <v>0.91203710000000004</v>
      </c>
      <c r="Q6094">
        <v>0.41003699999999998</v>
      </c>
      <c r="R6094">
        <v>-7.625461E-3</v>
      </c>
      <c r="S6094">
        <v>3.4756469999999999</v>
      </c>
      <c r="T6094">
        <v>-0.41672720000000002</v>
      </c>
      <c r="U6094">
        <v>-0.22045899999999999</v>
      </c>
      <c r="V6094">
        <v>1.6409139999999999E-2</v>
      </c>
      <c r="W6094">
        <v>0.42336119999999999</v>
      </c>
      <c r="X6094">
        <v>0.90581239999999996</v>
      </c>
      <c r="Y6094">
        <v>7.2471759999999996E-2</v>
      </c>
      <c r="Z6094">
        <v>-5.8879140000000002E-3</v>
      </c>
      <c r="AA6094">
        <v>0.99735309999999999</v>
      </c>
      <c r="AB6094">
        <v>35</v>
      </c>
      <c r="AC6094">
        <v>0.68479999999999497</v>
      </c>
      <c r="AD6094">
        <v>-0.105577</v>
      </c>
      <c r="AE6094">
        <v>-5.8329999999998002E-2</v>
      </c>
      <c r="AF6094">
        <v>6.3556940188773503E-2</v>
      </c>
      <c r="AG6094">
        <v>-0.105577</v>
      </c>
      <c r="AH6094">
        <v>0.66842046759109897</v>
      </c>
      <c r="AI6094">
        <v>98.936064090185099</v>
      </c>
      <c r="AJ6094">
        <v>84.568345665312805</v>
      </c>
      <c r="AK6094">
        <v>0.67968515436918497</v>
      </c>
      <c r="AL6094">
        <v>64.953024207426907</v>
      </c>
      <c r="AM6094">
        <v>88.962178434640506</v>
      </c>
      <c r="AN6094">
        <v>1.0000000347673601</v>
      </c>
    </row>
    <row r="6095" spans="1:40" x14ac:dyDescent="0.25">
      <c r="A6095" t="str">
        <f>"20190304165007509"</f>
        <v>20190304165007509</v>
      </c>
      <c r="B6095" t="str">
        <f>"1551689407501988"</f>
        <v>1551689407501988</v>
      </c>
      <c r="C6095" t="s">
        <v>40</v>
      </c>
      <c r="D6095">
        <v>4.7017829999999998</v>
      </c>
      <c r="E6095">
        <v>0.54092479999999998</v>
      </c>
      <c r="F6095" t="s">
        <v>41</v>
      </c>
      <c r="G6095">
        <v>-349.44670000000002</v>
      </c>
      <c r="H6095">
        <v>0.99102279999999998</v>
      </c>
      <c r="I6095">
        <v>17.37088</v>
      </c>
      <c r="J6095">
        <v>-350.23790000000002</v>
      </c>
      <c r="K6095">
        <v>1.1112070000000001</v>
      </c>
      <c r="L6095">
        <v>17.435579999999899</v>
      </c>
      <c r="M6095">
        <v>0.99984390000000001</v>
      </c>
      <c r="N6095">
        <v>-1.465383E-2</v>
      </c>
      <c r="O6095">
        <v>9.8756869999999993E-3</v>
      </c>
      <c r="P6095">
        <v>0.91229490000000002</v>
      </c>
      <c r="Q6095">
        <v>0.40947810000000001</v>
      </c>
      <c r="R6095">
        <v>-6.784081E-3</v>
      </c>
      <c r="S6095">
        <v>3.4765929999999998</v>
      </c>
      <c r="T6095">
        <v>-0.42060799999999998</v>
      </c>
      <c r="U6095">
        <v>-0.21856690000000001</v>
      </c>
      <c r="V6095">
        <v>1.564399E-2</v>
      </c>
      <c r="W6095">
        <v>0.42280649999999997</v>
      </c>
      <c r="X6095">
        <v>0.90608500000000003</v>
      </c>
      <c r="Y6095">
        <v>7.1956370000000006E-2</v>
      </c>
      <c r="Z6095">
        <v>-5.9078610000000004E-3</v>
      </c>
      <c r="AA6095">
        <v>0.99739029999999995</v>
      </c>
      <c r="AB6095">
        <v>35</v>
      </c>
      <c r="AC6095">
        <v>0.79120000000000301</v>
      </c>
      <c r="AD6095">
        <v>-0.12018419999999901</v>
      </c>
      <c r="AE6095">
        <v>-6.4699999999998398E-2</v>
      </c>
      <c r="AF6095">
        <v>7.0886557572785905E-2</v>
      </c>
      <c r="AG6095">
        <v>-0.12018419999999901</v>
      </c>
      <c r="AH6095">
        <v>0.77280906495437496</v>
      </c>
      <c r="AI6095">
        <v>98.803230035002301</v>
      </c>
      <c r="AJ6095">
        <v>84.759162045948898</v>
      </c>
      <c r="AK6095">
        <v>0.78530439757447901</v>
      </c>
      <c r="AL6095">
        <v>64.988100519349501</v>
      </c>
      <c r="AM6095">
        <v>89.010859298107903</v>
      </c>
      <c r="AN6095">
        <v>1.0000000490451799</v>
      </c>
    </row>
    <row r="6096" spans="1:40" x14ac:dyDescent="0.25">
      <c r="A6096" t="str">
        <f>"20190304165007522"</f>
        <v>20190304165007522</v>
      </c>
      <c r="B6096" t="str">
        <f>"1551689407511748"</f>
        <v>1551689407511748</v>
      </c>
      <c r="C6096" t="s">
        <v>40</v>
      </c>
      <c r="D6096">
        <v>4.7178170000000001</v>
      </c>
      <c r="E6096">
        <v>0.5410604</v>
      </c>
      <c r="F6096" t="s">
        <v>41</v>
      </c>
      <c r="G6096">
        <v>-349.4359</v>
      </c>
      <c r="H6096">
        <v>1.0131239999999999</v>
      </c>
      <c r="I6096">
        <v>17.385349999999999</v>
      </c>
      <c r="J6096">
        <v>-350.04640000000001</v>
      </c>
      <c r="K6096">
        <v>1.111191</v>
      </c>
      <c r="L6096">
        <v>17.4375</v>
      </c>
      <c r="M6096">
        <v>0.9998435</v>
      </c>
      <c r="N6096">
        <v>-1.465548E-2</v>
      </c>
      <c r="O6096">
        <v>9.9126270000000002E-3</v>
      </c>
      <c r="P6096">
        <v>0.91248830000000003</v>
      </c>
      <c r="Q6096">
        <v>0.40905789999999997</v>
      </c>
      <c r="R6096">
        <v>-6.0650819999999899E-3</v>
      </c>
      <c r="S6096">
        <v>3.4776919999999998</v>
      </c>
      <c r="T6096">
        <v>-0.42530210000000002</v>
      </c>
      <c r="U6096">
        <v>-0.21698000000000001</v>
      </c>
      <c r="V6096">
        <v>1.498553E-2</v>
      </c>
      <c r="W6096">
        <v>0.42238989999999998</v>
      </c>
      <c r="X6096">
        <v>0.90629040000000005</v>
      </c>
      <c r="Y6096">
        <v>7.1510190000000001E-2</v>
      </c>
      <c r="Z6096">
        <v>-5.9409709999999998E-3</v>
      </c>
      <c r="AA6096">
        <v>0.99742220000000004</v>
      </c>
      <c r="AB6096">
        <v>35</v>
      </c>
      <c r="AC6096">
        <v>0.61050000000000104</v>
      </c>
      <c r="AD6096">
        <v>-9.8067000000000099E-2</v>
      </c>
      <c r="AE6096">
        <v>-5.2150000000001001E-2</v>
      </c>
      <c r="AF6096">
        <v>5.67461183893678E-2</v>
      </c>
      <c r="AG6096">
        <v>-9.8067000000000099E-2</v>
      </c>
      <c r="AH6096">
        <v>0.59471849316292402</v>
      </c>
      <c r="AI6096">
        <v>99.322021076287697</v>
      </c>
      <c r="AJ6096">
        <v>84.549522783160697</v>
      </c>
      <c r="AK6096">
        <v>0.60541501843878898</v>
      </c>
      <c r="AL6096">
        <v>65.014437035934094</v>
      </c>
      <c r="AM6096">
        <v>89.052699459407407</v>
      </c>
      <c r="AN6096">
        <v>1.00000004143177</v>
      </c>
    </row>
    <row r="6097" spans="1:40" x14ac:dyDescent="0.25">
      <c r="A6097" t="str">
        <f>"20190304165007534"</f>
        <v>20190304165007534</v>
      </c>
      <c r="B6097" t="str">
        <f>"1551689407532244"</f>
        <v>1551689407532244</v>
      </c>
      <c r="C6097" t="s">
        <v>40</v>
      </c>
      <c r="D6097">
        <v>4.7337059999999997</v>
      </c>
      <c r="E6097">
        <v>0.54143779999999997</v>
      </c>
      <c r="F6097" t="s">
        <v>41</v>
      </c>
      <c r="G6097">
        <v>-349.12779999999998</v>
      </c>
      <c r="H6097">
        <v>0.9976043</v>
      </c>
      <c r="I6097">
        <v>17.380379999999999</v>
      </c>
      <c r="J6097">
        <v>-349.84570000000002</v>
      </c>
      <c r="K6097">
        <v>1.1111759999999999</v>
      </c>
      <c r="L6097">
        <v>17.439540000000001</v>
      </c>
      <c r="M6097">
        <v>0.99984320000000004</v>
      </c>
      <c r="N6097">
        <v>-1.465696E-2</v>
      </c>
      <c r="O6097">
        <v>9.9424240000000001E-3</v>
      </c>
      <c r="P6097">
        <v>0.9127748</v>
      </c>
      <c r="Q6097">
        <v>0.4084255</v>
      </c>
      <c r="R6097">
        <v>-5.6057390000000002E-3</v>
      </c>
      <c r="S6097">
        <v>3.4791259999999999</v>
      </c>
      <c r="T6097">
        <v>-0.43015750000000003</v>
      </c>
      <c r="U6097">
        <v>-0.2153931</v>
      </c>
      <c r="V6097">
        <v>1.458021E-2</v>
      </c>
      <c r="W6097">
        <v>0.42176180000000002</v>
      </c>
      <c r="X6097">
        <v>0.90658939999999999</v>
      </c>
      <c r="Y6097">
        <v>7.1051020000000006E-2</v>
      </c>
      <c r="Z6097">
        <v>-5.9734219999999999E-3</v>
      </c>
      <c r="AA6097">
        <v>0.99745479999999997</v>
      </c>
      <c r="AB6097">
        <v>35</v>
      </c>
      <c r="AC6097">
        <v>0.71790000000004195</v>
      </c>
      <c r="AD6097">
        <v>-0.113571699999999</v>
      </c>
      <c r="AE6097">
        <v>-5.91600000000021E-2</v>
      </c>
      <c r="AF6097">
        <v>6.4687481034284594E-2</v>
      </c>
      <c r="AG6097">
        <v>-0.113571699999999</v>
      </c>
      <c r="AH6097">
        <v>0.69987839907239402</v>
      </c>
      <c r="AI6097">
        <v>99.178788433650297</v>
      </c>
      <c r="AJ6097">
        <v>84.719340634659801</v>
      </c>
      <c r="AK6097">
        <v>0.71197807180529604</v>
      </c>
      <c r="AL6097">
        <v>65.054131833528203</v>
      </c>
      <c r="AM6097">
        <v>89.078620944001003</v>
      </c>
      <c r="AN6097">
        <v>0.99999996932762103</v>
      </c>
    </row>
    <row r="6098" spans="1:40" x14ac:dyDescent="0.25">
      <c r="A6098" t="str">
        <f>"20190304165007551"</f>
        <v>20190304165007551</v>
      </c>
      <c r="B6098" t="str">
        <f>"1551689407542008"</f>
        <v>1551689407542008</v>
      </c>
      <c r="C6098" t="s">
        <v>40</v>
      </c>
      <c r="D6098">
        <v>4.893478</v>
      </c>
      <c r="E6098">
        <v>0.54147699999999999</v>
      </c>
      <c r="F6098" t="s">
        <v>41</v>
      </c>
      <c r="G6098">
        <v>-349.11700000000002</v>
      </c>
      <c r="H6098">
        <v>1.0195620000000001</v>
      </c>
      <c r="I6098">
        <v>17.394100000000002</v>
      </c>
      <c r="J6098">
        <v>-349.57639999999998</v>
      </c>
      <c r="K6098">
        <v>1.1111530000000001</v>
      </c>
      <c r="L6098">
        <v>17.442229999999999</v>
      </c>
      <c r="M6098">
        <v>0.99984300000000004</v>
      </c>
      <c r="N6098">
        <v>-1.465842E-2</v>
      </c>
      <c r="O6098">
        <v>9.9617560000000004E-3</v>
      </c>
      <c r="P6098">
        <v>0.91323240000000006</v>
      </c>
      <c r="Q6098">
        <v>0.4074082</v>
      </c>
      <c r="R6098">
        <v>-5.0289369999999998E-3</v>
      </c>
      <c r="S6098">
        <v>3.4811399999999999</v>
      </c>
      <c r="T6098">
        <v>-0.43758069999999999</v>
      </c>
      <c r="U6098">
        <v>-0.21585080000000001</v>
      </c>
      <c r="V6098">
        <v>1.405203E-2</v>
      </c>
      <c r="W6098">
        <v>0.42075240000000003</v>
      </c>
      <c r="X6098">
        <v>0.9070667</v>
      </c>
      <c r="Y6098">
        <v>7.1143079999999997E-2</v>
      </c>
      <c r="Z6098">
        <v>-6.0746460000000004E-3</v>
      </c>
      <c r="AA6098">
        <v>0.99744759999999999</v>
      </c>
      <c r="AB6098">
        <v>35</v>
      </c>
      <c r="AC6098">
        <v>0.45940000000001602</v>
      </c>
      <c r="AD6098">
        <v>-9.1590999999999895E-2</v>
      </c>
      <c r="AE6098">
        <v>-4.8129999999996897E-2</v>
      </c>
      <c r="AF6098">
        <v>5.0710728978972601E-2</v>
      </c>
      <c r="AG6098">
        <v>-9.1590999999999895E-2</v>
      </c>
      <c r="AH6098">
        <v>0.44153765939533901</v>
      </c>
      <c r="AI6098">
        <v>101.644592102362</v>
      </c>
      <c r="AJ6098">
        <v>83.448269438035894</v>
      </c>
      <c r="AK6098">
        <v>0.45377967559036098</v>
      </c>
      <c r="AL6098">
        <v>65.117901770247897</v>
      </c>
      <c r="AM6098">
        <v>89.112460402508006</v>
      </c>
      <c r="AN6098">
        <v>1.0000000199508801</v>
      </c>
    </row>
    <row r="6099" spans="1:40" x14ac:dyDescent="0.25">
      <c r="A6099" t="str">
        <f>"20190304165007563"</f>
        <v>20190304165007563</v>
      </c>
      <c r="B6099" t="str">
        <f>"1551689407551765"</f>
        <v>1551689407551765</v>
      </c>
      <c r="C6099" t="s">
        <v>40</v>
      </c>
      <c r="D6099">
        <v>4.6535760000000002</v>
      </c>
      <c r="E6099">
        <v>0.54169540000000005</v>
      </c>
      <c r="F6099" t="s">
        <v>41</v>
      </c>
      <c r="G6099">
        <v>-348.80500000000001</v>
      </c>
      <c r="H6099">
        <v>1.0127029999999999</v>
      </c>
      <c r="I6099">
        <v>17.39489</v>
      </c>
      <c r="J6099">
        <v>-349.4051</v>
      </c>
      <c r="K6099">
        <v>1.1111420000000001</v>
      </c>
      <c r="L6099">
        <v>17.44397</v>
      </c>
      <c r="M6099">
        <v>0.99984289999999998</v>
      </c>
      <c r="N6099">
        <v>-1.4659149999999999E-2</v>
      </c>
      <c r="O6099">
        <v>9.9639989999999994E-3</v>
      </c>
      <c r="P6099">
        <v>0.91341539999999999</v>
      </c>
      <c r="Q6099">
        <v>0.4069971</v>
      </c>
      <c r="R6099">
        <v>-5.076367E-3</v>
      </c>
      <c r="S6099">
        <v>3.4820859999999998</v>
      </c>
      <c r="T6099">
        <v>-0.44438650000000002</v>
      </c>
      <c r="U6099">
        <v>-0.21289060000000001</v>
      </c>
      <c r="V6099">
        <v>1.411827E-2</v>
      </c>
      <c r="W6099">
        <v>0.420344</v>
      </c>
      <c r="X6099">
        <v>0.90725500000000003</v>
      </c>
      <c r="Y6099">
        <v>7.027137E-2</v>
      </c>
      <c r="Z6099">
        <v>-6.099681E-3</v>
      </c>
      <c r="AA6099">
        <v>0.99750919999999998</v>
      </c>
      <c r="AB6099">
        <v>35</v>
      </c>
      <c r="AC6099">
        <v>0.60009999999999697</v>
      </c>
      <c r="AD6099">
        <v>-9.8438999999999902E-2</v>
      </c>
      <c r="AE6099">
        <v>-4.9079999999999999E-2</v>
      </c>
      <c r="AF6099">
        <v>5.3624248862111298E-2</v>
      </c>
      <c r="AG6099">
        <v>-9.8438999999999902E-2</v>
      </c>
      <c r="AH6099">
        <v>0.58397180854866004</v>
      </c>
      <c r="AI6099">
        <v>99.528936652149</v>
      </c>
      <c r="AJ6099">
        <v>84.7534268782006</v>
      </c>
      <c r="AK6099">
        <v>0.59463339123077996</v>
      </c>
      <c r="AL6099">
        <v>65.143692966978804</v>
      </c>
      <c r="AM6099">
        <v>89.108462341419596</v>
      </c>
      <c r="AN6099">
        <v>1.0000000194543901</v>
      </c>
    </row>
    <row r="6100" spans="1:40" x14ac:dyDescent="0.25">
      <c r="A6100" t="str">
        <f>"20190304165007573"</f>
        <v>20190304165007573</v>
      </c>
      <c r="B6100" t="str">
        <f>"1551689407561524"</f>
        <v>1551689407561524</v>
      </c>
      <c r="C6100" t="s">
        <v>40</v>
      </c>
      <c r="D6100">
        <v>4.6636629999999997</v>
      </c>
      <c r="E6100">
        <v>0.54180499999999998</v>
      </c>
      <c r="F6100" t="s">
        <v>41</v>
      </c>
      <c r="G6100">
        <v>-348.49880000000002</v>
      </c>
      <c r="H6100">
        <v>0.99475480000000005</v>
      </c>
      <c r="I6100">
        <v>17.388089999999998</v>
      </c>
      <c r="J6100">
        <v>-349.23020000000002</v>
      </c>
      <c r="K6100">
        <v>1.1111329999999999</v>
      </c>
      <c r="L6100">
        <v>17.445709999999998</v>
      </c>
      <c r="M6100">
        <v>0.99984309999999998</v>
      </c>
      <c r="N6100">
        <v>-1.4659800000000001E-2</v>
      </c>
      <c r="O6100">
        <v>9.9617779999999993E-3</v>
      </c>
      <c r="P6100">
        <v>0.91368380000000005</v>
      </c>
      <c r="Q6100">
        <v>0.40639209999999998</v>
      </c>
      <c r="R6100">
        <v>-5.2771419999999899E-3</v>
      </c>
      <c r="S6100">
        <v>3.4824519999999999</v>
      </c>
      <c r="T6100">
        <v>-0.44721109999999997</v>
      </c>
      <c r="U6100">
        <v>-0.2142029</v>
      </c>
      <c r="V6100">
        <v>1.433396E-2</v>
      </c>
      <c r="W6100">
        <v>0.41974289999999997</v>
      </c>
      <c r="X6100">
        <v>0.90752980000000005</v>
      </c>
      <c r="Y6100">
        <v>7.0625629999999995E-2</v>
      </c>
      <c r="Z6100">
        <v>-6.1601759999999998E-3</v>
      </c>
      <c r="AA6100">
        <v>0.99748380000000003</v>
      </c>
      <c r="AB6100">
        <v>35</v>
      </c>
      <c r="AC6100">
        <v>0.73140000000000704</v>
      </c>
      <c r="AD6100">
        <v>-0.116378199999999</v>
      </c>
      <c r="AE6100">
        <v>-5.7620000000003502E-2</v>
      </c>
      <c r="AF6100">
        <v>6.3310932533080802E-2</v>
      </c>
      <c r="AG6100">
        <v>-0.116378199999999</v>
      </c>
      <c r="AH6100">
        <v>0.71285279183638794</v>
      </c>
      <c r="AI6100">
        <v>99.236411723499202</v>
      </c>
      <c r="AJ6100">
        <v>84.924679278848501</v>
      </c>
      <c r="AK6100">
        <v>0.72505948889893301</v>
      </c>
      <c r="AL6100">
        <v>65.181641948177003</v>
      </c>
      <c r="AM6100">
        <v>89.095118277525302</v>
      </c>
      <c r="AN6100">
        <v>0.99999995119886398</v>
      </c>
    </row>
    <row r="6101" spans="1:40" x14ac:dyDescent="0.25">
      <c r="A6101" t="str">
        <f>"20190304165007586"</f>
        <v>20190304165007586</v>
      </c>
      <c r="B6101" t="str">
        <f>"1551689407582021"</f>
        <v>1551689407582021</v>
      </c>
      <c r="C6101" t="s">
        <v>40</v>
      </c>
      <c r="D6101">
        <v>4.8772840000000004</v>
      </c>
      <c r="E6101">
        <v>0.54222499999999996</v>
      </c>
      <c r="F6101" t="s">
        <v>41</v>
      </c>
      <c r="G6101">
        <v>-348.4889</v>
      </c>
      <c r="H6101">
        <v>1.01488</v>
      </c>
      <c r="I6101">
        <v>17.39986</v>
      </c>
      <c r="J6101">
        <v>-349.03269999999998</v>
      </c>
      <c r="K6101">
        <v>1.1111150000000001</v>
      </c>
      <c r="L6101">
        <v>17.447689999999898</v>
      </c>
      <c r="M6101">
        <v>0.99984309999999998</v>
      </c>
      <c r="N6101">
        <v>-1.466024E-2</v>
      </c>
      <c r="O6101">
        <v>9.9458889999999994E-3</v>
      </c>
      <c r="P6101">
        <v>0.91386540000000005</v>
      </c>
      <c r="Q6101">
        <v>0.40597830000000001</v>
      </c>
      <c r="R6101">
        <v>-5.6532170000000003E-3</v>
      </c>
      <c r="S6101">
        <v>3.4833370000000001</v>
      </c>
      <c r="T6101">
        <v>-0.4522738</v>
      </c>
      <c r="U6101">
        <v>-0.21481320000000001</v>
      </c>
      <c r="V6101">
        <v>1.4712920000000001E-2</v>
      </c>
      <c r="W6101">
        <v>0.41933169999999997</v>
      </c>
      <c r="X6101">
        <v>0.90771389999999996</v>
      </c>
      <c r="Y6101">
        <v>7.0752140000000005E-2</v>
      </c>
      <c r="Z6101">
        <v>-6.2309820000000004E-3</v>
      </c>
      <c r="AA6101">
        <v>0.99747450000000004</v>
      </c>
      <c r="AB6101">
        <v>35</v>
      </c>
      <c r="AC6101">
        <v>0.54379999999997597</v>
      </c>
      <c r="AD6101">
        <v>-9.6234999999999807E-2</v>
      </c>
      <c r="AE6101">
        <v>-4.7829999999997597E-2</v>
      </c>
      <c r="AF6101">
        <v>5.16322085524187E-2</v>
      </c>
      <c r="AG6101">
        <v>-9.6234999999999807E-2</v>
      </c>
      <c r="AH6101">
        <v>0.52692210824263497</v>
      </c>
      <c r="AI6101">
        <v>100.301927737908</v>
      </c>
      <c r="AJ6101">
        <v>84.403549412171998</v>
      </c>
      <c r="AK6101">
        <v>0.53812077486365795</v>
      </c>
      <c r="AL6101">
        <v>65.207598803151399</v>
      </c>
      <c r="AM6101">
        <v>89.0713875731862</v>
      </c>
      <c r="AN6101">
        <v>1.0000000344465101</v>
      </c>
    </row>
    <row r="6102" spans="1:40" x14ac:dyDescent="0.25">
      <c r="A6102" t="str">
        <f>"20190304165007597"</f>
        <v>20190304165007597</v>
      </c>
      <c r="B6102" t="str">
        <f>"1551689407591781"</f>
        <v>1551689407591781</v>
      </c>
      <c r="C6102" t="s">
        <v>40</v>
      </c>
      <c r="D6102">
        <v>4.7621630000000001</v>
      </c>
      <c r="E6102">
        <v>0.54237950000000001</v>
      </c>
      <c r="F6102" t="s">
        <v>41</v>
      </c>
      <c r="G6102">
        <v>-348.1814</v>
      </c>
      <c r="H6102">
        <v>1.0001979999999999</v>
      </c>
      <c r="I6102">
        <v>17.394200000000001</v>
      </c>
      <c r="J6102">
        <v>-348.85809999999998</v>
      </c>
      <c r="K6102">
        <v>1.1111040000000001</v>
      </c>
      <c r="L6102">
        <v>17.449400000000001</v>
      </c>
      <c r="M6102">
        <v>0.99984320000000004</v>
      </c>
      <c r="N6102">
        <v>-1.466054E-2</v>
      </c>
      <c r="O6102">
        <v>9.9278849999999991E-3</v>
      </c>
      <c r="P6102">
        <v>0.91416189999999997</v>
      </c>
      <c r="Q6102">
        <v>0.405302</v>
      </c>
      <c r="R6102">
        <v>-6.2202219999999897E-3</v>
      </c>
      <c r="S6102">
        <v>3.4830320000000001</v>
      </c>
      <c r="T6102">
        <v>-0.45382479999999997</v>
      </c>
      <c r="U6102">
        <v>-0.21844479999999999</v>
      </c>
      <c r="V6102">
        <v>1.528028E-2</v>
      </c>
      <c r="W6102">
        <v>0.41865930000000001</v>
      </c>
      <c r="X6102">
        <v>0.90801480000000001</v>
      </c>
      <c r="Y6102">
        <v>7.1761329999999998E-2</v>
      </c>
      <c r="Z6102">
        <v>-6.3220380000000003E-3</v>
      </c>
      <c r="AA6102">
        <v>0.99740180000000001</v>
      </c>
      <c r="AB6102">
        <v>35</v>
      </c>
      <c r="AC6102">
        <v>0.67669999999998198</v>
      </c>
      <c r="AD6102">
        <v>-0.110906</v>
      </c>
      <c r="AE6102">
        <v>-5.5199999999999201E-2</v>
      </c>
      <c r="AF6102">
        <v>6.0307018490500998E-2</v>
      </c>
      <c r="AG6102">
        <v>-0.110906</v>
      </c>
      <c r="AH6102">
        <v>0.65854645543540102</v>
      </c>
      <c r="AI6102">
        <v>99.520394164809204</v>
      </c>
      <c r="AJ6102">
        <v>84.767678241956602</v>
      </c>
      <c r="AK6102">
        <v>0.67053747940122199</v>
      </c>
      <c r="AL6102">
        <v>65.250027254117995</v>
      </c>
      <c r="AM6102">
        <v>89.035904564360393</v>
      </c>
      <c r="AN6102">
        <v>0.99999998672620405</v>
      </c>
    </row>
    <row r="6103" spans="1:40" x14ac:dyDescent="0.25">
      <c r="A6103" t="str">
        <f>"20190304165007608"</f>
        <v>20190304165007608</v>
      </c>
      <c r="B6103" t="str">
        <f>"1551689407601540"</f>
        <v>1551689407601540</v>
      </c>
      <c r="C6103" t="s">
        <v>40</v>
      </c>
      <c r="D6103">
        <v>4.738791</v>
      </c>
      <c r="E6103">
        <v>0.54253379999999995</v>
      </c>
      <c r="F6103" t="s">
        <v>41</v>
      </c>
      <c r="G6103">
        <v>-347.87599999999998</v>
      </c>
      <c r="H6103">
        <v>0.981993</v>
      </c>
      <c r="I6103">
        <v>17.386849999999999</v>
      </c>
      <c r="J6103">
        <v>-348.67450000000002</v>
      </c>
      <c r="K6103">
        <v>1.111092</v>
      </c>
      <c r="L6103">
        <v>17.451229999999999</v>
      </c>
      <c r="M6103">
        <v>0.9998435</v>
      </c>
      <c r="N6103">
        <v>-1.4660589999999999E-2</v>
      </c>
      <c r="O6103">
        <v>9.8990729999999996E-3</v>
      </c>
      <c r="P6103">
        <v>0.91433969999999998</v>
      </c>
      <c r="Q6103">
        <v>0.40488970000000002</v>
      </c>
      <c r="R6103">
        <v>-6.8671139999999997E-3</v>
      </c>
      <c r="S6103">
        <v>3.483276</v>
      </c>
      <c r="T6103">
        <v>-0.4579474</v>
      </c>
      <c r="U6103">
        <v>-0.2204895</v>
      </c>
      <c r="V6103">
        <v>1.591766E-2</v>
      </c>
      <c r="W6103">
        <v>0.4182496</v>
      </c>
      <c r="X6103">
        <v>0.90819260000000002</v>
      </c>
      <c r="Y6103">
        <v>7.2293650000000001E-2</v>
      </c>
      <c r="Z6103">
        <v>-6.410448E-3</v>
      </c>
      <c r="AA6103">
        <v>0.99736279999999999</v>
      </c>
      <c r="AB6103">
        <v>35</v>
      </c>
      <c r="AC6103">
        <v>0.79850000000004595</v>
      </c>
      <c r="AD6103">
        <v>-0.12909899999999899</v>
      </c>
      <c r="AE6103">
        <v>-6.4379999999999798E-2</v>
      </c>
      <c r="AF6103">
        <v>7.0452413442119194E-2</v>
      </c>
      <c r="AG6103">
        <v>-0.12909899999999899</v>
      </c>
      <c r="AH6103">
        <v>0.77762803451538598</v>
      </c>
      <c r="AI6103">
        <v>99.388304226924404</v>
      </c>
      <c r="AJ6103">
        <v>84.823186193657193</v>
      </c>
      <c r="AK6103">
        <v>0.79141357988417305</v>
      </c>
      <c r="AL6103">
        <v>65.275872009668703</v>
      </c>
      <c r="AM6103">
        <v>88.995894297486402</v>
      </c>
      <c r="AN6103">
        <v>0.99999994924739599</v>
      </c>
    </row>
    <row r="6104" spans="1:40" x14ac:dyDescent="0.25">
      <c r="A6104" t="str">
        <f>"20190304165007620"</f>
        <v>20190304165007620</v>
      </c>
      <c r="B6104" t="str">
        <f>"1551689407612194"</f>
        <v>1551689407612194</v>
      </c>
      <c r="C6104" t="s">
        <v>40</v>
      </c>
      <c r="D6104">
        <v>4.7034539999999998</v>
      </c>
      <c r="E6104">
        <v>0.54266979999999998</v>
      </c>
      <c r="F6104" t="s">
        <v>41</v>
      </c>
      <c r="G6104">
        <v>-347.86520000000002</v>
      </c>
      <c r="H6104">
        <v>1.0039279999999999</v>
      </c>
      <c r="I6104">
        <v>17.399079999999898</v>
      </c>
      <c r="J6104">
        <v>-348.50409999999999</v>
      </c>
      <c r="K6104">
        <v>1.111078</v>
      </c>
      <c r="L6104">
        <v>17.45288</v>
      </c>
      <c r="M6104">
        <v>0.99984379999999995</v>
      </c>
      <c r="N6104">
        <v>-1.4660599999999999E-2</v>
      </c>
      <c r="O6104">
        <v>9.8677720000000003E-3</v>
      </c>
      <c r="P6104">
        <v>0.91450600000000004</v>
      </c>
      <c r="Q6104">
        <v>0.40450540000000001</v>
      </c>
      <c r="R6104">
        <v>-7.3817149999999996E-3</v>
      </c>
      <c r="S6104">
        <v>3.483673</v>
      </c>
      <c r="T6104">
        <v>-0.46132220000000002</v>
      </c>
      <c r="U6104">
        <v>-0.22283939999999999</v>
      </c>
      <c r="V6104">
        <v>1.6419260000000001E-2</v>
      </c>
      <c r="W6104">
        <v>0.41786669999999998</v>
      </c>
      <c r="X6104">
        <v>0.90835999999999995</v>
      </c>
      <c r="Y6104">
        <v>7.2908990000000007E-2</v>
      </c>
      <c r="Z6104">
        <v>-6.4950859999999997E-3</v>
      </c>
      <c r="AA6104">
        <v>0.99731740000000002</v>
      </c>
      <c r="AB6104">
        <v>35</v>
      </c>
      <c r="AC6104">
        <v>0.63889999999997804</v>
      </c>
      <c r="AD6104">
        <v>-0.107149999999999</v>
      </c>
      <c r="AE6104">
        <v>-5.3800000000002499E-2</v>
      </c>
      <c r="AF6104">
        <v>5.8469600502382001E-2</v>
      </c>
      <c r="AG6104">
        <v>-0.107149999999999</v>
      </c>
      <c r="AH6104">
        <v>0.62099440895950997</v>
      </c>
      <c r="AI6104">
        <v>99.747475453725897</v>
      </c>
      <c r="AJ6104">
        <v>84.621184917657402</v>
      </c>
      <c r="AK6104">
        <v>0.63287745467971801</v>
      </c>
      <c r="AL6104">
        <v>65.300024373447599</v>
      </c>
      <c r="AM6104">
        <v>88.964450369069098</v>
      </c>
      <c r="AN6104">
        <v>1.0000000303339101</v>
      </c>
    </row>
    <row r="6105" spans="1:40" x14ac:dyDescent="0.25">
      <c r="A6105" t="str">
        <f>"20190304165007631"</f>
        <v>20190304165007631</v>
      </c>
      <c r="B6105" t="str">
        <f>"1551689407621954"</f>
        <v>1551689407621954</v>
      </c>
      <c r="C6105" t="s">
        <v>40</v>
      </c>
      <c r="D6105">
        <v>4.7027219999999996</v>
      </c>
      <c r="E6105">
        <v>0.54288319999999901</v>
      </c>
      <c r="F6105" t="s">
        <v>41</v>
      </c>
      <c r="G6105">
        <v>-347.56049999999999</v>
      </c>
      <c r="H6105">
        <v>0.98539149999999998</v>
      </c>
      <c r="I6105">
        <v>17.39171</v>
      </c>
      <c r="J6105">
        <v>-348.31569999999999</v>
      </c>
      <c r="K6105">
        <v>1.1110640000000001</v>
      </c>
      <c r="L6105">
        <v>17.454709999999999</v>
      </c>
      <c r="M6105">
        <v>0.99984430000000002</v>
      </c>
      <c r="N6105">
        <v>-1.466057E-2</v>
      </c>
      <c r="O6105">
        <v>9.8266050000000004E-3</v>
      </c>
      <c r="P6105">
        <v>0.91452339999999999</v>
      </c>
      <c r="Q6105">
        <v>0.40445750000000003</v>
      </c>
      <c r="R6105">
        <v>-7.8186950000000005E-3</v>
      </c>
      <c r="S6105">
        <v>3.4839479999999998</v>
      </c>
      <c r="T6105">
        <v>-0.46407939999999998</v>
      </c>
      <c r="U6105">
        <v>-0.2256775</v>
      </c>
      <c r="V6105">
        <v>1.683486E-2</v>
      </c>
      <c r="W6105">
        <v>0.41781859999999998</v>
      </c>
      <c r="X6105">
        <v>0.90837449999999997</v>
      </c>
      <c r="Y6105">
        <v>7.3656239999999998E-2</v>
      </c>
      <c r="Z6105">
        <v>-6.5808069999999897E-3</v>
      </c>
      <c r="AA6105">
        <v>0.99726199999999998</v>
      </c>
      <c r="AB6105">
        <v>35</v>
      </c>
      <c r="AC6105">
        <v>0.75520000000000198</v>
      </c>
      <c r="AD6105">
        <v>-0.12567249999999899</v>
      </c>
      <c r="AE6105">
        <v>-6.3000000000002304E-2</v>
      </c>
      <c r="AF6105">
        <v>6.8534067943156696E-2</v>
      </c>
      <c r="AG6105">
        <v>-0.12567249999999899</v>
      </c>
      <c r="AH6105">
        <v>0.73434922538398395</v>
      </c>
      <c r="AI6105">
        <v>99.669988652572997</v>
      </c>
      <c r="AJ6105">
        <v>84.668242797726293</v>
      </c>
      <c r="AK6105">
        <v>0.74817062261702305</v>
      </c>
      <c r="AL6105">
        <v>65.303057359948099</v>
      </c>
      <c r="AM6105">
        <v>88.938261679351697</v>
      </c>
      <c r="AN6105">
        <v>1.0000000136337099</v>
      </c>
    </row>
    <row r="6106" spans="1:40" x14ac:dyDescent="0.25">
      <c r="A6106" t="str">
        <f>"20190304165007641"</f>
        <v>20190304165007641</v>
      </c>
      <c r="B6106" t="str">
        <f>"1551689407631715"</f>
        <v>1551689407631715</v>
      </c>
      <c r="C6106" t="s">
        <v>40</v>
      </c>
      <c r="D6106">
        <v>4.8087980000000003</v>
      </c>
      <c r="E6106">
        <v>0.54297069999999903</v>
      </c>
      <c r="F6106" t="s">
        <v>41</v>
      </c>
      <c r="G6106">
        <v>-347.54899999999998</v>
      </c>
      <c r="H6106">
        <v>1.008702</v>
      </c>
      <c r="I6106">
        <v>17.40436</v>
      </c>
      <c r="J6106">
        <v>-348.16340000000002</v>
      </c>
      <c r="K6106">
        <v>1.111054</v>
      </c>
      <c r="L6106">
        <v>17.456209999999999</v>
      </c>
      <c r="M6106">
        <v>0.99984479999999998</v>
      </c>
      <c r="N6106">
        <v>-1.466044E-2</v>
      </c>
      <c r="O6106">
        <v>9.7868E-3</v>
      </c>
      <c r="P6106">
        <v>0.91465649999999998</v>
      </c>
      <c r="Q6106">
        <v>0.40414549999999999</v>
      </c>
      <c r="R6106">
        <v>-8.4022509999999995E-3</v>
      </c>
      <c r="S6106">
        <v>3.4841609999999998</v>
      </c>
      <c r="T6106">
        <v>-0.46515109999999898</v>
      </c>
      <c r="U6106">
        <v>-0.22860720000000001</v>
      </c>
      <c r="V6106">
        <v>1.7396200000000001E-2</v>
      </c>
      <c r="W6106">
        <v>0.41750759999999998</v>
      </c>
      <c r="X6106">
        <v>0.90850690000000001</v>
      </c>
      <c r="Y6106">
        <v>7.4436829999999995E-2</v>
      </c>
      <c r="Z6106">
        <v>-6.647315E-3</v>
      </c>
      <c r="AA6106">
        <v>0.99720359999999997</v>
      </c>
      <c r="AB6106">
        <v>35</v>
      </c>
      <c r="AC6106">
        <v>0.61439999999998895</v>
      </c>
      <c r="AD6106">
        <v>-0.102352</v>
      </c>
      <c r="AE6106">
        <v>-5.18500000000017E-2</v>
      </c>
      <c r="AF6106">
        <v>5.63095343789876E-2</v>
      </c>
      <c r="AG6106">
        <v>-0.102352</v>
      </c>
      <c r="AH6106">
        <v>0.59740137814456196</v>
      </c>
      <c r="AI6106">
        <v>99.679931104430906</v>
      </c>
      <c r="AJ6106">
        <v>84.615354522873304</v>
      </c>
      <c r="AK6106">
        <v>0.60871594539243101</v>
      </c>
      <c r="AL6106">
        <v>65.322668581929094</v>
      </c>
      <c r="AM6106">
        <v>88.903027539688793</v>
      </c>
      <c r="AN6106">
        <v>1.0000000055899001</v>
      </c>
    </row>
    <row r="6107" spans="1:40" x14ac:dyDescent="0.25">
      <c r="A6107" t="str">
        <f>"20190304165007652"</f>
        <v>20190304165007652</v>
      </c>
      <c r="B6107" t="str">
        <f>"1551689407641475"</f>
        <v>1551689407641475</v>
      </c>
      <c r="C6107" t="s">
        <v>40</v>
      </c>
      <c r="D6107">
        <v>4.7577920000000002</v>
      </c>
      <c r="E6107">
        <v>0.54311899999999902</v>
      </c>
      <c r="F6107" t="s">
        <v>41</v>
      </c>
      <c r="G6107">
        <v>-347.24549999999999</v>
      </c>
      <c r="H6107">
        <v>0.98790299999999998</v>
      </c>
      <c r="I6107">
        <v>17.39481</v>
      </c>
      <c r="J6107">
        <v>-347.99720000000002</v>
      </c>
      <c r="K6107">
        <v>1.1110439999999999</v>
      </c>
      <c r="L6107">
        <v>17.457789999999999</v>
      </c>
      <c r="M6107">
        <v>0.99984510000000004</v>
      </c>
      <c r="N6107">
        <v>-1.466022E-2</v>
      </c>
      <c r="O6107">
        <v>9.7402359999999993E-3</v>
      </c>
      <c r="P6107">
        <v>0.91472659999999995</v>
      </c>
      <c r="Q6107">
        <v>0.40397309999999997</v>
      </c>
      <c r="R6107">
        <v>-9.0144430000000005E-3</v>
      </c>
      <c r="S6107">
        <v>3.4843440000000001</v>
      </c>
      <c r="T6107">
        <v>-0.46747620000000001</v>
      </c>
      <c r="U6107">
        <v>-0.2320557</v>
      </c>
      <c r="V6107">
        <v>1.7980880000000001E-2</v>
      </c>
      <c r="W6107">
        <v>0.41733550000000003</v>
      </c>
      <c r="X6107">
        <v>0.90857460000000001</v>
      </c>
      <c r="Y6107">
        <v>7.5353260000000005E-2</v>
      </c>
      <c r="Z6107">
        <v>-6.7401170000000003E-3</v>
      </c>
      <c r="AA6107">
        <v>0.99713410000000002</v>
      </c>
      <c r="AB6107">
        <v>35</v>
      </c>
      <c r="AC6107">
        <v>0.75170000000002801</v>
      </c>
      <c r="AD6107">
        <v>-0.123141</v>
      </c>
      <c r="AE6107">
        <v>-6.2979999999999495E-2</v>
      </c>
      <c r="AF6107">
        <v>6.8474761104586307E-2</v>
      </c>
      <c r="AG6107">
        <v>-0.123141</v>
      </c>
      <c r="AH6107">
        <v>0.73155571689118204</v>
      </c>
      <c r="AI6107">
        <v>99.514066719161406</v>
      </c>
      <c r="AJ6107">
        <v>84.652605588456694</v>
      </c>
      <c r="AK6107">
        <v>0.74500084946629497</v>
      </c>
      <c r="AL6107">
        <v>65.333520075439196</v>
      </c>
      <c r="AM6107">
        <v>88.866252622078207</v>
      </c>
      <c r="AN6107">
        <v>1.00000001768549</v>
      </c>
    </row>
    <row r="6108" spans="1:40" x14ac:dyDescent="0.25">
      <c r="A6108" t="str">
        <f>"20190304165007662"</f>
        <v>20190304165007662</v>
      </c>
      <c r="B6108" t="str">
        <f>"1551689407652211"</f>
        <v>1551689407652211</v>
      </c>
      <c r="C6108" t="s">
        <v>40</v>
      </c>
      <c r="D6108">
        <v>4.7464849999999998</v>
      </c>
      <c r="E6108">
        <v>0.54325909999999999</v>
      </c>
      <c r="F6108" t="s">
        <v>41</v>
      </c>
      <c r="G6108">
        <v>-347.23540000000003</v>
      </c>
      <c r="H6108">
        <v>1.008483</v>
      </c>
      <c r="I6108">
        <v>17.40596</v>
      </c>
      <c r="J6108">
        <v>-347.82839999999999</v>
      </c>
      <c r="K6108">
        <v>1.1110279999999999</v>
      </c>
      <c r="L6108">
        <v>17.459350000000001</v>
      </c>
      <c r="M6108">
        <v>0.99984569999999995</v>
      </c>
      <c r="N6108">
        <v>-1.465986E-2</v>
      </c>
      <c r="O6108">
        <v>9.6839500000000002E-3</v>
      </c>
      <c r="P6108">
        <v>0.91472609999999999</v>
      </c>
      <c r="Q6108">
        <v>0.40397230000000001</v>
      </c>
      <c r="R6108">
        <v>-9.104595E-3</v>
      </c>
      <c r="S6108">
        <v>3.4845280000000001</v>
      </c>
      <c r="T6108">
        <v>-0.46910000000000002</v>
      </c>
      <c r="U6108">
        <v>-0.23583979999999999</v>
      </c>
      <c r="V6108">
        <v>1.8034290000000001E-2</v>
      </c>
      <c r="W6108">
        <v>0.41733330000000002</v>
      </c>
      <c r="X6108">
        <v>0.90857449999999995</v>
      </c>
      <c r="Y6108">
        <v>7.6356729999999998E-2</v>
      </c>
      <c r="Z6108">
        <v>-6.8292300000000004E-3</v>
      </c>
      <c r="AA6108">
        <v>0.99705719999999998</v>
      </c>
      <c r="AB6108">
        <v>35</v>
      </c>
      <c r="AC6108">
        <v>0.59299999999996</v>
      </c>
      <c r="AD6108">
        <v>-0.102545</v>
      </c>
      <c r="AE6108">
        <v>-5.3390000000000201E-2</v>
      </c>
      <c r="AF6108">
        <v>5.7427237726416697E-2</v>
      </c>
      <c r="AG6108">
        <v>-0.102545</v>
      </c>
      <c r="AH6108">
        <v>0.57538745542720904</v>
      </c>
      <c r="AI6108">
        <v>100.05616915678399</v>
      </c>
      <c r="AJ6108">
        <v>84.300400831506295</v>
      </c>
      <c r="AK6108">
        <v>0.58726832753085301</v>
      </c>
      <c r="AL6108">
        <v>65.333657540627698</v>
      </c>
      <c r="AM6108">
        <v>88.862885722263798</v>
      </c>
      <c r="AN6108">
        <v>0.99999997047747102</v>
      </c>
    </row>
    <row r="6109" spans="1:40" x14ac:dyDescent="0.25">
      <c r="A6109" t="str">
        <f>"20190304165007674"</f>
        <v>20190304165007674</v>
      </c>
      <c r="B6109" t="str">
        <f>"1551689407661970"</f>
        <v>1551689407661970</v>
      </c>
      <c r="C6109" t="s">
        <v>40</v>
      </c>
      <c r="D6109">
        <v>4.9352839999999896</v>
      </c>
      <c r="E6109">
        <v>0.54346510000000003</v>
      </c>
      <c r="F6109" t="s">
        <v>41</v>
      </c>
      <c r="G6109">
        <v>-346.93119999999999</v>
      </c>
      <c r="H6109">
        <v>0.99001300000000003</v>
      </c>
      <c r="I6109">
        <v>17.39809</v>
      </c>
      <c r="J6109">
        <v>-347.65159999999997</v>
      </c>
      <c r="K6109">
        <v>1.111016</v>
      </c>
      <c r="L6109">
        <v>17.46106</v>
      </c>
      <c r="M6109">
        <v>0.99984620000000002</v>
      </c>
      <c r="N6109">
        <v>-1.4659429999999999E-2</v>
      </c>
      <c r="O6109">
        <v>9.6215710000000006E-3</v>
      </c>
      <c r="P6109">
        <v>0.91486429999999996</v>
      </c>
      <c r="Q6109">
        <v>0.40364860000000002</v>
      </c>
      <c r="R6109">
        <v>-9.5366719999999995E-3</v>
      </c>
      <c r="S6109">
        <v>3.4849549999999998</v>
      </c>
      <c r="T6109">
        <v>-0.47013709999999997</v>
      </c>
      <c r="U6109">
        <v>-0.23791499999999999</v>
      </c>
      <c r="V6109">
        <v>1.8426370000000001E-2</v>
      </c>
      <c r="W6109">
        <v>0.41701090000000002</v>
      </c>
      <c r="X6109">
        <v>0.90871469999999999</v>
      </c>
      <c r="Y6109">
        <v>7.6869290000000007E-2</v>
      </c>
      <c r="Z6109">
        <v>-6.8730769999999896E-3</v>
      </c>
      <c r="AA6109">
        <v>0.9970175</v>
      </c>
      <c r="AB6109">
        <v>35</v>
      </c>
      <c r="AC6109">
        <v>0.72039999999998305</v>
      </c>
      <c r="AD6109">
        <v>-0.121003</v>
      </c>
      <c r="AE6109">
        <v>-6.2969999999999901E-2</v>
      </c>
      <c r="AF6109">
        <v>6.7995420089941402E-2</v>
      </c>
      <c r="AG6109">
        <v>-0.121003</v>
      </c>
      <c r="AH6109">
        <v>0.70015715784076904</v>
      </c>
      <c r="AI6109">
        <v>99.760126010451003</v>
      </c>
      <c r="AJ6109">
        <v>84.453142635228303</v>
      </c>
      <c r="AK6109">
        <v>0.71378228391987397</v>
      </c>
      <c r="AL6109">
        <v>65.3539839476705</v>
      </c>
      <c r="AM6109">
        <v>88.838349847978293</v>
      </c>
      <c r="AN6109">
        <v>1.00000001391313</v>
      </c>
    </row>
    <row r="6110" spans="1:40" x14ac:dyDescent="0.25">
      <c r="A6110" t="str">
        <f>"20190304165007686"</f>
        <v>20190304165007686</v>
      </c>
      <c r="B6110" t="str">
        <f>"1551689407681491"</f>
        <v>1551689407681491</v>
      </c>
      <c r="C6110" t="s">
        <v>40</v>
      </c>
      <c r="D6110">
        <v>4.9159240000000004</v>
      </c>
      <c r="E6110">
        <v>0.54360379999999997</v>
      </c>
      <c r="F6110" t="s">
        <v>41</v>
      </c>
      <c r="G6110">
        <v>-346.9205</v>
      </c>
      <c r="H6110">
        <v>1.0118689999999999</v>
      </c>
      <c r="I6110">
        <v>17.410429999999899</v>
      </c>
      <c r="J6110">
        <v>-347.46289999999999</v>
      </c>
      <c r="K6110">
        <v>1.110995</v>
      </c>
      <c r="L6110">
        <v>17.462800000000001</v>
      </c>
      <c r="M6110">
        <v>0.99984709999999999</v>
      </c>
      <c r="N6110">
        <v>-1.4658829999999999E-2</v>
      </c>
      <c r="O6110">
        <v>9.5400929999999995E-3</v>
      </c>
      <c r="P6110">
        <v>0.91490819999999995</v>
      </c>
      <c r="Q6110">
        <v>0.40354010000000001</v>
      </c>
      <c r="R6110">
        <v>-9.9194829999999998E-3</v>
      </c>
      <c r="S6110">
        <v>3.4852910000000001</v>
      </c>
      <c r="T6110">
        <v>-0.47273520000000002</v>
      </c>
      <c r="U6110">
        <v>-0.24127199999999999</v>
      </c>
      <c r="V6110">
        <v>1.875199E-2</v>
      </c>
      <c r="W6110">
        <v>0.41690169999999999</v>
      </c>
      <c r="X6110">
        <v>0.90875810000000001</v>
      </c>
      <c r="Y6110">
        <v>7.7720559999999994E-2</v>
      </c>
      <c r="Z6110">
        <v>-6.9614719999999998E-3</v>
      </c>
      <c r="AA6110">
        <v>0.99695089999999997</v>
      </c>
      <c r="AB6110">
        <v>35</v>
      </c>
      <c r="AC6110">
        <v>0.542399999999986</v>
      </c>
      <c r="AD6110">
        <v>-9.9126000000000006E-2</v>
      </c>
      <c r="AE6110">
        <v>-5.2370000000003303E-2</v>
      </c>
      <c r="AF6110">
        <v>5.5699580521063503E-2</v>
      </c>
      <c r="AG6110">
        <v>-9.9126000000000006E-2</v>
      </c>
      <c r="AH6110">
        <v>0.52451894576338298</v>
      </c>
      <c r="AI6110">
        <v>100.643341094074</v>
      </c>
      <c r="AJ6110">
        <v>83.938378255225203</v>
      </c>
      <c r="AK6110">
        <v>0.53670152935402804</v>
      </c>
      <c r="AL6110">
        <v>65.360866524271998</v>
      </c>
      <c r="AM6110">
        <v>88.817884064546604</v>
      </c>
      <c r="AN6110">
        <v>0.99999997445372901</v>
      </c>
    </row>
    <row r="6111" spans="1:40" x14ac:dyDescent="0.25">
      <c r="A6111" t="str">
        <f>"20190304165007699"</f>
        <v>20190304165007699</v>
      </c>
      <c r="B6111" t="str">
        <f>"1551689407692227"</f>
        <v>1551689407692227</v>
      </c>
      <c r="C6111" t="s">
        <v>40</v>
      </c>
      <c r="D6111">
        <v>4.8996019999999998</v>
      </c>
      <c r="E6111">
        <v>0.54377200000000003</v>
      </c>
      <c r="F6111" t="s">
        <v>41</v>
      </c>
      <c r="G6111">
        <v>-346.6155</v>
      </c>
      <c r="H6111">
        <v>0.99563380000000001</v>
      </c>
      <c r="I6111">
        <v>17.403210000000001</v>
      </c>
      <c r="J6111">
        <v>-347.27519999999998</v>
      </c>
      <c r="K6111">
        <v>1.1109800000000001</v>
      </c>
      <c r="L6111">
        <v>17.464510000000001</v>
      </c>
      <c r="M6111">
        <v>0.99984790000000001</v>
      </c>
      <c r="N6111">
        <v>-1.465819E-2</v>
      </c>
      <c r="O6111">
        <v>9.4527090000000001E-3</v>
      </c>
      <c r="P6111">
        <v>0.91502119999999998</v>
      </c>
      <c r="Q6111">
        <v>0.40327020000000002</v>
      </c>
      <c r="R6111">
        <v>-1.046823E-2</v>
      </c>
      <c r="S6111">
        <v>3.4856569999999998</v>
      </c>
      <c r="T6111">
        <v>-0.47447539999999999</v>
      </c>
      <c r="U6111">
        <v>-0.2433777</v>
      </c>
      <c r="V6111">
        <v>1.9239180000000002E-2</v>
      </c>
      <c r="W6111">
        <v>0.41663210000000001</v>
      </c>
      <c r="X6111">
        <v>0.9088716</v>
      </c>
      <c r="Y6111">
        <v>7.8215320000000005E-2</v>
      </c>
      <c r="Z6111">
        <v>-7.0110619999999898E-3</v>
      </c>
      <c r="AA6111">
        <v>0.99691180000000001</v>
      </c>
      <c r="AB6111">
        <v>35</v>
      </c>
      <c r="AC6111">
        <v>0.65969999999998596</v>
      </c>
      <c r="AD6111">
        <v>-0.115346199999999</v>
      </c>
      <c r="AE6111">
        <v>-6.1299999999999202E-2</v>
      </c>
      <c r="AF6111">
        <v>6.5547175546024294E-2</v>
      </c>
      <c r="AG6111">
        <v>-0.115346199999999</v>
      </c>
      <c r="AH6111">
        <v>0.63970191204053695</v>
      </c>
      <c r="AI6111">
        <v>100.169186702719</v>
      </c>
      <c r="AJ6111">
        <v>84.149594961658593</v>
      </c>
      <c r="AK6111">
        <v>0.65331440696254295</v>
      </c>
      <c r="AL6111">
        <v>65.377860781044703</v>
      </c>
      <c r="AM6111">
        <v>88.787332323152498</v>
      </c>
      <c r="AN6111">
        <v>1.00000001904202</v>
      </c>
    </row>
    <row r="6112" spans="1:40" x14ac:dyDescent="0.25">
      <c r="A6112" t="str">
        <f>"20190304165007710"</f>
        <v>20190304165007710</v>
      </c>
      <c r="B6112" t="str">
        <f>"1551689407701986"</f>
        <v>1551689407701986</v>
      </c>
      <c r="C6112" t="s">
        <v>40</v>
      </c>
      <c r="D6112">
        <v>4.7652029999999996</v>
      </c>
      <c r="E6112">
        <v>0.54388740000000002</v>
      </c>
      <c r="F6112" t="s">
        <v>41</v>
      </c>
      <c r="G6112">
        <v>-346.31099999999998</v>
      </c>
      <c r="H6112">
        <v>0.97917580000000004</v>
      </c>
      <c r="I6112">
        <v>17.39639</v>
      </c>
      <c r="J6112">
        <v>-347.07310000000001</v>
      </c>
      <c r="K6112">
        <v>1.110962</v>
      </c>
      <c r="L6112">
        <v>17.46631</v>
      </c>
      <c r="M6112">
        <v>0.99984899999999999</v>
      </c>
      <c r="N6112">
        <v>-1.4657369999999999E-2</v>
      </c>
      <c r="O6112">
        <v>9.3432889999999994E-3</v>
      </c>
      <c r="P6112">
        <v>0.91506670000000001</v>
      </c>
      <c r="Q6112">
        <v>0.40315879999999998</v>
      </c>
      <c r="R6112">
        <v>-1.076913E-2</v>
      </c>
      <c r="S6112">
        <v>3.48584</v>
      </c>
      <c r="T6112">
        <v>-0.47652169999999999</v>
      </c>
      <c r="U6112">
        <v>-0.24652099999999999</v>
      </c>
      <c r="V6112">
        <v>1.9460149999999999E-2</v>
      </c>
      <c r="W6112">
        <v>0.41651939999999998</v>
      </c>
      <c r="X6112">
        <v>0.90891849999999996</v>
      </c>
      <c r="Y6112">
        <v>7.8983010000000006E-2</v>
      </c>
      <c r="Z6112">
        <v>-7.0831770000000004E-3</v>
      </c>
      <c r="AA6112">
        <v>0.99685080000000004</v>
      </c>
      <c r="AB6112">
        <v>35</v>
      </c>
      <c r="AC6112">
        <v>0.76210000000003197</v>
      </c>
      <c r="AD6112">
        <v>-0.13178619999999999</v>
      </c>
      <c r="AE6112">
        <v>-6.9919999999999705E-2</v>
      </c>
      <c r="AF6112">
        <v>7.4819571978101906E-2</v>
      </c>
      <c r="AG6112">
        <v>-0.13178619999999999</v>
      </c>
      <c r="AH6112">
        <v>0.73948507185509904</v>
      </c>
      <c r="AI6112">
        <v>100.054516995649</v>
      </c>
      <c r="AJ6112">
        <v>84.222592248556396</v>
      </c>
      <c r="AK6112">
        <v>0.75485345753859201</v>
      </c>
      <c r="AL6112">
        <v>65.384962472891701</v>
      </c>
      <c r="AM6112">
        <v>88.773471833015805</v>
      </c>
      <c r="AN6112">
        <v>0.99999997382831596</v>
      </c>
    </row>
    <row r="6113" spans="1:40" x14ac:dyDescent="0.25">
      <c r="A6113" t="str">
        <f>"20190304165007723"</f>
        <v>20190304165007723</v>
      </c>
      <c r="B6113" t="str">
        <f>"1551689407711748"</f>
        <v>1551689407711748</v>
      </c>
      <c r="C6113" t="s">
        <v>40</v>
      </c>
      <c r="D6113">
        <v>4.7641169999999997</v>
      </c>
      <c r="E6113">
        <v>0.54399409999999904</v>
      </c>
      <c r="F6113" t="s">
        <v>41</v>
      </c>
      <c r="G6113">
        <v>-346.29840000000002</v>
      </c>
      <c r="H6113">
        <v>1.0048239999999999</v>
      </c>
      <c r="I6113">
        <v>17.411269999999998</v>
      </c>
      <c r="J6113">
        <v>-346.89210000000003</v>
      </c>
      <c r="K6113">
        <v>1.1109420000000001</v>
      </c>
      <c r="L6113">
        <v>17.467929999999999</v>
      </c>
      <c r="M6113">
        <v>0.99985000000000002</v>
      </c>
      <c r="N6113">
        <v>-1.4656570000000001E-2</v>
      </c>
      <c r="O6113">
        <v>9.2332390000000007E-3</v>
      </c>
      <c r="P6113">
        <v>0.91514070000000003</v>
      </c>
      <c r="Q6113">
        <v>0.40298149999999999</v>
      </c>
      <c r="R6113">
        <v>-1.111673E-2</v>
      </c>
      <c r="S6113">
        <v>3.485992</v>
      </c>
      <c r="T6113">
        <v>-0.47765449999999998</v>
      </c>
      <c r="U6113">
        <v>-0.2480164</v>
      </c>
      <c r="V6113">
        <v>1.9725889999999999E-2</v>
      </c>
      <c r="W6113">
        <v>0.41634169999999998</v>
      </c>
      <c r="X6113">
        <v>0.90899430000000003</v>
      </c>
      <c r="Y6113">
        <v>7.9289419999999999E-2</v>
      </c>
      <c r="Z6113">
        <v>-7.1081629999999998E-3</v>
      </c>
      <c r="AA6113">
        <v>0.99682630000000005</v>
      </c>
      <c r="AB6113">
        <v>35</v>
      </c>
      <c r="AC6113">
        <v>0.593700000000012</v>
      </c>
      <c r="AD6113">
        <v>-0.106118</v>
      </c>
      <c r="AE6113">
        <v>-5.6659999999997199E-2</v>
      </c>
      <c r="AF6113">
        <v>6.0232990176558802E-2</v>
      </c>
      <c r="AG6113">
        <v>-0.106118</v>
      </c>
      <c r="AH6113">
        <v>0.57494878569988594</v>
      </c>
      <c r="AI6113">
        <v>100.40169392931099</v>
      </c>
      <c r="AJ6113">
        <v>84.019374822291397</v>
      </c>
      <c r="AK6113">
        <v>0.58775432725534404</v>
      </c>
      <c r="AL6113">
        <v>65.396163912218299</v>
      </c>
      <c r="AM6113">
        <v>88.756831720675393</v>
      </c>
      <c r="AN6113">
        <v>1.00000007966383</v>
      </c>
    </row>
    <row r="6114" spans="1:40" x14ac:dyDescent="0.25">
      <c r="A6114" t="str">
        <f>"20190304165007737"</f>
        <v>20190304165007737</v>
      </c>
      <c r="B6114" t="str">
        <f>"1551689407732244"</f>
        <v>1551689407732244</v>
      </c>
      <c r="C6114" t="s">
        <v>40</v>
      </c>
      <c r="D6114">
        <v>4.7373820000000002</v>
      </c>
      <c r="E6114">
        <v>0.5441935</v>
      </c>
      <c r="F6114" t="s">
        <v>41</v>
      </c>
      <c r="G6114">
        <v>-345.99470000000002</v>
      </c>
      <c r="H6114">
        <v>0.98762229999999995</v>
      </c>
      <c r="I6114">
        <v>17.40335</v>
      </c>
      <c r="J6114">
        <v>-346.68720000000002</v>
      </c>
      <c r="K6114">
        <v>1.110922</v>
      </c>
      <c r="L6114">
        <v>17.4697</v>
      </c>
      <c r="M6114">
        <v>0.99985119999999905</v>
      </c>
      <c r="N6114">
        <v>-1.465559E-2</v>
      </c>
      <c r="O6114">
        <v>9.1001329999999998E-3</v>
      </c>
      <c r="P6114">
        <v>0.91530290000000003</v>
      </c>
      <c r="Q6114">
        <v>0.4026074</v>
      </c>
      <c r="R6114">
        <v>-1.132995E-2</v>
      </c>
      <c r="S6114">
        <v>3.4860839999999902</v>
      </c>
      <c r="T6114">
        <v>-0.47905550000000002</v>
      </c>
      <c r="U6114">
        <v>-0.2498474</v>
      </c>
      <c r="V6114">
        <v>1.983963E-2</v>
      </c>
      <c r="W6114">
        <v>0.4159679</v>
      </c>
      <c r="X6114">
        <v>0.9091629</v>
      </c>
      <c r="Y6114">
        <v>7.9667959999999996E-2</v>
      </c>
      <c r="Z6114">
        <v>-7.1396200000000002E-3</v>
      </c>
      <c r="AA6114">
        <v>0.99679589999999996</v>
      </c>
      <c r="AB6114">
        <v>35</v>
      </c>
      <c r="AC6114">
        <v>0.69249999999999501</v>
      </c>
      <c r="AD6114">
        <v>-0.1232997</v>
      </c>
      <c r="AE6114">
        <v>-6.6349999999999895E-2</v>
      </c>
      <c r="AF6114">
        <v>7.0437097620844102E-2</v>
      </c>
      <c r="AG6114">
        <v>-0.1232997</v>
      </c>
      <c r="AH6114">
        <v>0.67079545088229098</v>
      </c>
      <c r="AI6114">
        <v>100.359630089072</v>
      </c>
      <c r="AJ6114">
        <v>84.005604999924898</v>
      </c>
      <c r="AK6114">
        <v>0.68566080365273496</v>
      </c>
      <c r="AL6114">
        <v>65.419716538756106</v>
      </c>
      <c r="AM6114">
        <v>88.749897643740397</v>
      </c>
      <c r="AN6114">
        <v>1.00000004174267</v>
      </c>
    </row>
    <row r="6115" spans="1:40" x14ac:dyDescent="0.25">
      <c r="A6115" t="str">
        <f>"20190304165007751"</f>
        <v>20190304165007751</v>
      </c>
      <c r="B6115" t="str">
        <f>"1551689407742003"</f>
        <v>1551689407742003</v>
      </c>
      <c r="C6115" t="s">
        <v>40</v>
      </c>
      <c r="D6115">
        <v>4.7329080000000001</v>
      </c>
      <c r="E6115">
        <v>0.54429130000000003</v>
      </c>
      <c r="F6115" t="s">
        <v>41</v>
      </c>
      <c r="G6115">
        <v>-345.68990000000002</v>
      </c>
      <c r="H6115">
        <v>0.97321899999999995</v>
      </c>
      <c r="I6115">
        <v>17.39743</v>
      </c>
      <c r="J6115">
        <v>-346.43239999999997</v>
      </c>
      <c r="K6115">
        <v>1.110886</v>
      </c>
      <c r="L6115">
        <v>17.47186</v>
      </c>
      <c r="M6115">
        <v>0.99985299999999999</v>
      </c>
      <c r="N6115">
        <v>-1.465428E-2</v>
      </c>
      <c r="O6115">
        <v>8.9091559999999997E-3</v>
      </c>
      <c r="P6115">
        <v>0.91552440000000002</v>
      </c>
      <c r="Q6115">
        <v>0.4020936</v>
      </c>
      <c r="R6115">
        <v>-1.165624E-2</v>
      </c>
      <c r="S6115">
        <v>3.486237</v>
      </c>
      <c r="T6115">
        <v>-0.48138310000000001</v>
      </c>
      <c r="U6115">
        <v>-0.25225829999999999</v>
      </c>
      <c r="V6115">
        <v>2.0020489999999998E-2</v>
      </c>
      <c r="W6115">
        <v>0.41545480000000001</v>
      </c>
      <c r="X6115">
        <v>0.90939340000000002</v>
      </c>
      <c r="Y6115">
        <v>8.0148410000000003E-2</v>
      </c>
      <c r="Z6115">
        <v>-7.1844350000000003E-3</v>
      </c>
      <c r="AA6115">
        <v>0.996757</v>
      </c>
      <c r="AB6115">
        <v>35</v>
      </c>
      <c r="AC6115">
        <v>0.74249999999994998</v>
      </c>
      <c r="AD6115">
        <v>-0.13766699999999901</v>
      </c>
      <c r="AE6115">
        <v>-7.4429999999999497E-2</v>
      </c>
      <c r="AF6115">
        <v>7.8375307599013996E-2</v>
      </c>
      <c r="AG6115">
        <v>-0.13766699999999901</v>
      </c>
      <c r="AH6115">
        <v>0.71739101173923403</v>
      </c>
      <c r="AI6115">
        <v>100.80023534879101</v>
      </c>
      <c r="AJ6115">
        <v>83.765136255312697</v>
      </c>
      <c r="AK6115">
        <v>0.73467323039190802</v>
      </c>
      <c r="AL6115">
        <v>65.452037588833804</v>
      </c>
      <c r="AM6115">
        <v>88.738824897092798</v>
      </c>
      <c r="AN6115">
        <v>0.99999993341321702</v>
      </c>
    </row>
    <row r="6116" spans="1:40" x14ac:dyDescent="0.25">
      <c r="A6116" t="str">
        <f>"20190304165007764"</f>
        <v>20190304165007764</v>
      </c>
      <c r="B6116" t="str">
        <f>"1551689407751763"</f>
        <v>1551689407751763</v>
      </c>
      <c r="C6116" t="s">
        <v>40</v>
      </c>
      <c r="D6116">
        <v>4.780742</v>
      </c>
      <c r="E6116">
        <v>0.54438889999999995</v>
      </c>
      <c r="F6116" t="s">
        <v>41</v>
      </c>
      <c r="G6116">
        <v>-345.67399999999998</v>
      </c>
      <c r="H6116">
        <v>1.0056529999999999</v>
      </c>
      <c r="I6116">
        <v>17.416429999999998</v>
      </c>
      <c r="J6116">
        <v>-346.25799999999998</v>
      </c>
      <c r="K6116">
        <v>1.1108709999999999</v>
      </c>
      <c r="L6116">
        <v>17.473269999999999</v>
      </c>
      <c r="M6116">
        <v>0.99985429999999997</v>
      </c>
      <c r="N6116">
        <v>-1.4653309999999999E-2</v>
      </c>
      <c r="O6116">
        <v>8.7651819999999998E-3</v>
      </c>
      <c r="P6116">
        <v>0.91562580000000005</v>
      </c>
      <c r="Q6116">
        <v>0.40186739999999999</v>
      </c>
      <c r="R6116">
        <v>-1.150964E-2</v>
      </c>
      <c r="S6116">
        <v>3.485992</v>
      </c>
      <c r="T6116">
        <v>-0.48370039999999997</v>
      </c>
      <c r="U6116">
        <v>-0.25427250000000001</v>
      </c>
      <c r="V6116">
        <v>1.9761460000000002E-2</v>
      </c>
      <c r="W6116">
        <v>0.4152284</v>
      </c>
      <c r="X6116">
        <v>0.90950249999999999</v>
      </c>
      <c r="Y6116">
        <v>8.057098E-2</v>
      </c>
      <c r="Z6116">
        <v>-7.2313339999999999E-3</v>
      </c>
      <c r="AA6116">
        <v>0.99672260000000001</v>
      </c>
      <c r="AB6116">
        <v>35</v>
      </c>
      <c r="AC6116">
        <v>0.58400000000000296</v>
      </c>
      <c r="AD6116">
        <v>-0.10521799999999901</v>
      </c>
      <c r="AE6116">
        <v>-5.6840000000001098E-2</v>
      </c>
      <c r="AF6116">
        <v>6.0027013071340098E-2</v>
      </c>
      <c r="AG6116">
        <v>-0.10521799999999901</v>
      </c>
      <c r="AH6116">
        <v>0.56530155351701905</v>
      </c>
      <c r="AI6116">
        <v>100.486019416235</v>
      </c>
      <c r="AJ6116">
        <v>83.938713365677401</v>
      </c>
      <c r="AK6116">
        <v>0.57813485989950697</v>
      </c>
      <c r="AL6116">
        <v>65.466298434943695</v>
      </c>
      <c r="AM6116">
        <v>88.755286402324401</v>
      </c>
      <c r="AN6116">
        <v>0.99999996848706996</v>
      </c>
    </row>
    <row r="6117" spans="1:40" x14ac:dyDescent="0.25">
      <c r="A6117" t="str">
        <f>"20190304165007776"</f>
        <v>20190304165007776</v>
      </c>
      <c r="B6117" t="str">
        <f>"1551689407771283"</f>
        <v>1551689407771283</v>
      </c>
      <c r="C6117" t="s">
        <v>40</v>
      </c>
      <c r="D6117">
        <v>4.8791379999999904</v>
      </c>
      <c r="E6117">
        <v>0.54453409999999902</v>
      </c>
      <c r="F6117" t="s">
        <v>41</v>
      </c>
      <c r="G6117">
        <v>-345.37139999999999</v>
      </c>
      <c r="H6117">
        <v>0.98750939999999998</v>
      </c>
      <c r="I6117">
        <v>17.408010000000001</v>
      </c>
      <c r="J6117">
        <v>-346.0736</v>
      </c>
      <c r="K6117">
        <v>1.110852</v>
      </c>
      <c r="L6117">
        <v>17.47476</v>
      </c>
      <c r="M6117">
        <v>0.99985579999999996</v>
      </c>
      <c r="N6117">
        <v>-1.465226E-2</v>
      </c>
      <c r="O6117">
        <v>8.6082559999999999E-3</v>
      </c>
      <c r="P6117">
        <v>0.91565850000000004</v>
      </c>
      <c r="Q6117">
        <v>0.4017888</v>
      </c>
      <c r="R6117">
        <v>-1.16493E-2</v>
      </c>
      <c r="S6117">
        <v>3.4861149999999999</v>
      </c>
      <c r="T6117">
        <v>-0.48504029999999998</v>
      </c>
      <c r="U6117">
        <v>-0.2547913</v>
      </c>
      <c r="V6117">
        <v>1.9777329999999999E-2</v>
      </c>
      <c r="W6117">
        <v>0.41514820000000002</v>
      </c>
      <c r="X6117">
        <v>0.90953879999999998</v>
      </c>
      <c r="Y6117">
        <v>8.0556119999999995E-2</v>
      </c>
      <c r="Z6117">
        <v>-7.2290599999999998E-3</v>
      </c>
      <c r="AA6117">
        <v>0.99672380000000005</v>
      </c>
      <c r="AB6117">
        <v>35</v>
      </c>
      <c r="AC6117">
        <v>0.70220000000000404</v>
      </c>
      <c r="AD6117">
        <v>-0.123342599999999</v>
      </c>
      <c r="AE6117">
        <v>-6.6749999999998894E-2</v>
      </c>
      <c r="AF6117">
        <v>7.0633127442575702E-2</v>
      </c>
      <c r="AG6117">
        <v>-0.123342599999999</v>
      </c>
      <c r="AH6117">
        <v>0.68078287369309898</v>
      </c>
      <c r="AI6117">
        <v>100.215640919471</v>
      </c>
      <c r="AJ6117">
        <v>84.076596377723405</v>
      </c>
      <c r="AK6117">
        <v>0.69546226121976795</v>
      </c>
      <c r="AL6117">
        <v>65.471350304120904</v>
      </c>
      <c r="AM6117">
        <v>88.754336815837107</v>
      </c>
      <c r="AN6117">
        <v>0.99999999972530396</v>
      </c>
    </row>
    <row r="6118" spans="1:40" x14ac:dyDescent="0.25">
      <c r="A6118" t="str">
        <f>"20190304165007787"</f>
        <v>20190304165007787</v>
      </c>
      <c r="B6118" t="str">
        <f>"1551689407782019"</f>
        <v>1551689407782019</v>
      </c>
      <c r="C6118" t="s">
        <v>40</v>
      </c>
      <c r="D6118">
        <v>4.7637320000000001</v>
      </c>
      <c r="E6118">
        <v>0.54462919999999904</v>
      </c>
      <c r="F6118" t="s">
        <v>41</v>
      </c>
      <c r="G6118">
        <v>-345.06830000000002</v>
      </c>
      <c r="H6118">
        <v>0.97075409999999995</v>
      </c>
      <c r="I6118">
        <v>17.400739999999999</v>
      </c>
      <c r="J6118">
        <v>-345.87139999999999</v>
      </c>
      <c r="K6118">
        <v>1.1108309999999999</v>
      </c>
      <c r="L6118">
        <v>17.476320000000001</v>
      </c>
      <c r="M6118">
        <v>0.99985729999999995</v>
      </c>
      <c r="N6118">
        <v>-1.4651020000000001E-2</v>
      </c>
      <c r="O6118">
        <v>8.4144630000000005E-3</v>
      </c>
      <c r="P6118">
        <v>0.91569619999999996</v>
      </c>
      <c r="Q6118">
        <v>0.40170020000000001</v>
      </c>
      <c r="R6118">
        <v>-1.173339E-2</v>
      </c>
      <c r="S6118">
        <v>3.4862980000000001</v>
      </c>
      <c r="T6118">
        <v>-0.48587849999999999</v>
      </c>
      <c r="U6118">
        <v>-0.25674439999999998</v>
      </c>
      <c r="V6118">
        <v>1.970591E-2</v>
      </c>
      <c r="W6118">
        <v>0.41505880000000001</v>
      </c>
      <c r="X6118">
        <v>0.90958110000000003</v>
      </c>
      <c r="Y6118">
        <v>8.090936E-2</v>
      </c>
      <c r="Z6118">
        <v>-7.2431769999999999E-3</v>
      </c>
      <c r="AA6118">
        <v>0.9966952</v>
      </c>
      <c r="AB6118">
        <v>35</v>
      </c>
      <c r="AC6118">
        <v>0.80309999999997195</v>
      </c>
      <c r="AD6118">
        <v>-0.140076899999999</v>
      </c>
      <c r="AE6118">
        <v>-7.5580000000002201E-2</v>
      </c>
      <c r="AF6118">
        <v>7.9925522472015495E-2</v>
      </c>
      <c r="AG6118">
        <v>-0.140076899999999</v>
      </c>
      <c r="AH6118">
        <v>0.77894614022023501</v>
      </c>
      <c r="AI6118">
        <v>100.14233196091701</v>
      </c>
      <c r="AJ6118">
        <v>84.141539912333201</v>
      </c>
      <c r="AK6118">
        <v>0.79546635153225498</v>
      </c>
      <c r="AL6118">
        <v>65.4769793418034</v>
      </c>
      <c r="AM6118">
        <v>88.758891454003205</v>
      </c>
      <c r="AN6118">
        <v>0.99999995391178798</v>
      </c>
    </row>
    <row r="6119" spans="1:40" x14ac:dyDescent="0.25">
      <c r="A6119" t="str">
        <f>"20190304165007799"</f>
        <v>20190304165007799</v>
      </c>
      <c r="B6119" t="str">
        <f>"1551689407791778"</f>
        <v>1551689407791778</v>
      </c>
      <c r="C6119" t="s">
        <v>40</v>
      </c>
      <c r="D6119">
        <v>4.7263109999999999</v>
      </c>
      <c r="E6119">
        <v>0.54475340000000005</v>
      </c>
      <c r="F6119" t="s">
        <v>41</v>
      </c>
      <c r="G6119">
        <v>-345.05549999999999</v>
      </c>
      <c r="H6119">
        <v>0.99700840000000002</v>
      </c>
      <c r="I6119">
        <v>17.416070000000001</v>
      </c>
      <c r="J6119">
        <v>-345.70780000000002</v>
      </c>
      <c r="K6119">
        <v>1.110814</v>
      </c>
      <c r="L6119">
        <v>17.477540000000001</v>
      </c>
      <c r="M6119">
        <v>0.99985860000000004</v>
      </c>
      <c r="N6119">
        <v>-1.464998E-2</v>
      </c>
      <c r="O6119">
        <v>8.2523370000000002E-3</v>
      </c>
      <c r="P6119">
        <v>0.91572620000000005</v>
      </c>
      <c r="Q6119">
        <v>0.40163100000000002</v>
      </c>
      <c r="R6119">
        <v>-1.176082E-2</v>
      </c>
      <c r="S6119">
        <v>3.486237</v>
      </c>
      <c r="T6119">
        <v>-0.48640870000000003</v>
      </c>
      <c r="U6119">
        <v>-0.25750729999999999</v>
      </c>
      <c r="V6119">
        <v>1.9602109999999999E-2</v>
      </c>
      <c r="W6119">
        <v>0.41498809999999903</v>
      </c>
      <c r="X6119">
        <v>0.90961559999999997</v>
      </c>
      <c r="Y6119">
        <v>8.0964699999999903E-2</v>
      </c>
      <c r="Z6119">
        <v>-7.2346590000000001E-3</v>
      </c>
      <c r="AA6119">
        <v>0.99669070000000004</v>
      </c>
      <c r="AB6119">
        <v>35</v>
      </c>
      <c r="AC6119">
        <v>0.65230000000002497</v>
      </c>
      <c r="AD6119">
        <v>-0.11380559999999899</v>
      </c>
      <c r="AE6119">
        <v>-6.14699999999999E-2</v>
      </c>
      <c r="AF6119">
        <v>6.4893565884291599E-2</v>
      </c>
      <c r="AG6119">
        <v>-0.11380559999999899</v>
      </c>
      <c r="AH6119">
        <v>0.63268168164361005</v>
      </c>
      <c r="AI6119">
        <v>100.145098621397</v>
      </c>
      <c r="AJ6119">
        <v>84.143705284883595</v>
      </c>
      <c r="AK6119">
        <v>0.64610293279935305</v>
      </c>
      <c r="AL6119">
        <v>65.481431680729401</v>
      </c>
      <c r="AM6119">
        <v>88.765473719631601</v>
      </c>
      <c r="AN6119">
        <v>0.99999995281070897</v>
      </c>
    </row>
    <row r="6120" spans="1:40" x14ac:dyDescent="0.25">
      <c r="A6120" t="str">
        <f>"20190304165007809"</f>
        <v>20190304165007809</v>
      </c>
      <c r="B6120" t="str">
        <f>"1551689407801539"</f>
        <v>1551689407801539</v>
      </c>
      <c r="C6120" t="s">
        <v>40</v>
      </c>
      <c r="D6120">
        <v>4.7067579999999998</v>
      </c>
      <c r="E6120">
        <v>0.54487810000000003</v>
      </c>
      <c r="F6120" t="s">
        <v>41</v>
      </c>
      <c r="G6120">
        <v>-344.75409999999999</v>
      </c>
      <c r="H6120">
        <v>0.97768469999999996</v>
      </c>
      <c r="I6120">
        <v>17.406389999999998</v>
      </c>
      <c r="J6120">
        <v>-345.5367</v>
      </c>
      <c r="K6120">
        <v>1.1108</v>
      </c>
      <c r="L6120">
        <v>17.47879</v>
      </c>
      <c r="M6120">
        <v>0.99986019999999998</v>
      </c>
      <c r="N6120">
        <v>-1.464885E-2</v>
      </c>
      <c r="O6120">
        <v>8.0719079999999992E-3</v>
      </c>
      <c r="P6120">
        <v>0.91585570000000005</v>
      </c>
      <c r="Q6120">
        <v>0.40133530000000001</v>
      </c>
      <c r="R6120">
        <v>-1.177777E-2</v>
      </c>
      <c r="S6120">
        <v>3.4862060000000001</v>
      </c>
      <c r="T6120">
        <v>-0.4866376</v>
      </c>
      <c r="U6120">
        <v>-0.25903320000000002</v>
      </c>
      <c r="V6120">
        <v>1.9472099999999999E-2</v>
      </c>
      <c r="W6120">
        <v>0.41469260000000002</v>
      </c>
      <c r="X6120">
        <v>0.90975320000000004</v>
      </c>
      <c r="Y6120">
        <v>8.1217209999999998E-2</v>
      </c>
      <c r="Z6120">
        <v>-7.2347089999999998E-3</v>
      </c>
      <c r="AA6120">
        <v>0.99667019999999995</v>
      </c>
      <c r="AB6120">
        <v>35</v>
      </c>
      <c r="AC6120">
        <v>0.78260000000000196</v>
      </c>
      <c r="AD6120">
        <v>-0.13311529999999999</v>
      </c>
      <c r="AE6120">
        <v>-7.2400000000001796E-2</v>
      </c>
      <c r="AF6120">
        <v>7.6520305740074193E-2</v>
      </c>
      <c r="AG6120">
        <v>-0.13311529999999999</v>
      </c>
      <c r="AH6120">
        <v>0.76018315591991403</v>
      </c>
      <c r="AI6120">
        <v>99.883380090187501</v>
      </c>
      <c r="AJ6120">
        <v>84.251948416664007</v>
      </c>
      <c r="AK6120">
        <v>0.77553431312160803</v>
      </c>
      <c r="AL6120">
        <v>65.500040465980604</v>
      </c>
      <c r="AM6120">
        <v>88.773844570935097</v>
      </c>
      <c r="AN6120">
        <v>1.0000000000417</v>
      </c>
    </row>
    <row r="6121" spans="1:40" x14ac:dyDescent="0.25">
      <c r="A6121" t="str">
        <f>"20190304165007822"</f>
        <v>20190304165007822</v>
      </c>
      <c r="B6121" t="str">
        <f>"1551689407811806"</f>
        <v>1551689407811806</v>
      </c>
      <c r="C6121" t="s">
        <v>40</v>
      </c>
      <c r="D6121">
        <v>4.7467129999999997</v>
      </c>
      <c r="E6121">
        <v>0.54497180000000001</v>
      </c>
      <c r="F6121" t="s">
        <v>41</v>
      </c>
      <c r="G6121">
        <v>-344.7432</v>
      </c>
      <c r="H6121">
        <v>0.99977169999999904</v>
      </c>
      <c r="I6121">
        <v>17.4193</v>
      </c>
      <c r="J6121">
        <v>-345.34890000000001</v>
      </c>
      <c r="K6121">
        <v>1.1107880000000001</v>
      </c>
      <c r="L6121">
        <v>17.480129999999999</v>
      </c>
      <c r="M6121">
        <v>0.99986180000000002</v>
      </c>
      <c r="N6121">
        <v>-1.464757E-2</v>
      </c>
      <c r="O6121">
        <v>7.8645219999999901E-3</v>
      </c>
      <c r="P6121">
        <v>0.91585119999999998</v>
      </c>
      <c r="Q6121">
        <v>0.40133980000000002</v>
      </c>
      <c r="R6121">
        <v>-1.1959300000000001E-2</v>
      </c>
      <c r="S6121">
        <v>3.4860229999999999</v>
      </c>
      <c r="T6121">
        <v>-0.48774899999999999</v>
      </c>
      <c r="U6121">
        <v>-0.26007079999999999</v>
      </c>
      <c r="V6121">
        <v>1.948215E-2</v>
      </c>
      <c r="W6121">
        <v>0.41469529999999899</v>
      </c>
      <c r="X6121">
        <v>0.9097518</v>
      </c>
      <c r="Y6121">
        <v>8.1305929999999998E-2</v>
      </c>
      <c r="Z6121">
        <v>-7.2312469999999997E-3</v>
      </c>
      <c r="AA6121">
        <v>0.99666299999999997</v>
      </c>
      <c r="AB6121">
        <v>35</v>
      </c>
      <c r="AC6121">
        <v>0.60570000000001301</v>
      </c>
      <c r="AD6121">
        <v>-0.1110163</v>
      </c>
      <c r="AE6121">
        <v>-6.0829999999999197E-2</v>
      </c>
      <c r="AF6121">
        <v>6.3480903761826205E-2</v>
      </c>
      <c r="AG6121">
        <v>-0.1110163</v>
      </c>
      <c r="AH6121">
        <v>0.58572267634499897</v>
      </c>
      <c r="AI6121">
        <v>100.671334309111</v>
      </c>
      <c r="AJ6121">
        <v>83.814399978839305</v>
      </c>
      <c r="AK6121">
        <v>0.59952105683858703</v>
      </c>
      <c r="AL6121">
        <v>65.499871550765803</v>
      </c>
      <c r="AM6121">
        <v>88.773210029880801</v>
      </c>
      <c r="AN6121">
        <v>1.0000000418069701</v>
      </c>
    </row>
    <row r="6122" spans="1:40" x14ac:dyDescent="0.25">
      <c r="A6122" t="str">
        <f>"20190304165007835"</f>
        <v>20190304165007835</v>
      </c>
      <c r="B6122" t="str">
        <f>"1551689407831327"</f>
        <v>1551689407831327</v>
      </c>
      <c r="C6122" t="s">
        <v>40</v>
      </c>
      <c r="D6122">
        <v>4.7573730000000003</v>
      </c>
      <c r="E6122">
        <v>0.54514119999999899</v>
      </c>
      <c r="F6122" t="s">
        <v>41</v>
      </c>
      <c r="G6122">
        <v>-344.44069999999999</v>
      </c>
      <c r="H6122">
        <v>0.98364289999999999</v>
      </c>
      <c r="I6122">
        <v>17.411939999999898</v>
      </c>
      <c r="J6122">
        <v>-345.1472</v>
      </c>
      <c r="K6122">
        <v>1.1107720000000001</v>
      </c>
      <c r="L6122">
        <v>17.48151</v>
      </c>
      <c r="M6122">
        <v>0.99986359999999996</v>
      </c>
      <c r="N6122">
        <v>-1.464616E-2</v>
      </c>
      <c r="O6122">
        <v>7.6338169999999898E-3</v>
      </c>
      <c r="P6122">
        <v>0.91584520000000003</v>
      </c>
      <c r="Q6122">
        <v>0.40135399999999999</v>
      </c>
      <c r="R6122">
        <v>-1.194018E-2</v>
      </c>
      <c r="S6122">
        <v>3.4860530000000001</v>
      </c>
      <c r="T6122">
        <v>-0.4880002</v>
      </c>
      <c r="U6122">
        <v>-0.26104739999999999</v>
      </c>
      <c r="V6122">
        <v>1.9270849999999999E-2</v>
      </c>
      <c r="W6122">
        <v>0.4147074</v>
      </c>
      <c r="X6122">
        <v>0.90975079999999997</v>
      </c>
      <c r="Y6122">
        <v>8.1353380000000003E-2</v>
      </c>
      <c r="Z6122">
        <v>-7.2094359999999996E-3</v>
      </c>
      <c r="AA6122">
        <v>0.99665919999999997</v>
      </c>
      <c r="AB6122">
        <v>35</v>
      </c>
      <c r="AC6122">
        <v>0.70650000000000501</v>
      </c>
      <c r="AD6122">
        <v>-0.127129099999999</v>
      </c>
      <c r="AE6122">
        <v>-6.9570000000002297E-2</v>
      </c>
      <c r="AF6122">
        <v>7.2632643821306603E-2</v>
      </c>
      <c r="AG6122">
        <v>-0.127129099999999</v>
      </c>
      <c r="AH6122">
        <v>0.684013189467503</v>
      </c>
      <c r="AI6122">
        <v>100.471170270466</v>
      </c>
      <c r="AJ6122">
        <v>83.938701977384795</v>
      </c>
      <c r="AK6122">
        <v>0.69950793589550497</v>
      </c>
      <c r="AL6122">
        <v>65.499110032758793</v>
      </c>
      <c r="AM6122">
        <v>88.786510246011701</v>
      </c>
      <c r="AN6122">
        <v>1.0000000556875499</v>
      </c>
    </row>
    <row r="6123" spans="1:40" x14ac:dyDescent="0.25">
      <c r="A6123" t="str">
        <f>"20190304165007854"</f>
        <v>20190304165007854</v>
      </c>
      <c r="B6123" t="str">
        <f>"1551689407851822"</f>
        <v>1551689407851822</v>
      </c>
      <c r="C6123" t="s">
        <v>40</v>
      </c>
      <c r="D6123">
        <v>4.7606390000000003</v>
      </c>
      <c r="E6123">
        <v>0.54530780000000001</v>
      </c>
      <c r="F6123" t="s">
        <v>41</v>
      </c>
      <c r="G6123">
        <v>-344.42770000000002</v>
      </c>
      <c r="H6123">
        <v>1.0099290000000001</v>
      </c>
      <c r="I6123">
        <v>17.427219999999998</v>
      </c>
      <c r="J6123">
        <v>-344.85480000000001</v>
      </c>
      <c r="K6123">
        <v>1.110749</v>
      </c>
      <c r="L6123">
        <v>17.4834</v>
      </c>
      <c r="M6123">
        <v>0.99986640000000004</v>
      </c>
      <c r="N6123">
        <v>-1.4644020000000001E-2</v>
      </c>
      <c r="O6123">
        <v>7.2764680000000003E-3</v>
      </c>
      <c r="P6123">
        <v>0.91555980000000003</v>
      </c>
      <c r="Q6123">
        <v>0.40199550000000001</v>
      </c>
      <c r="R6123">
        <v>-1.224956E-2</v>
      </c>
      <c r="S6123">
        <v>3.486389</v>
      </c>
      <c r="T6123">
        <v>-0.4885989</v>
      </c>
      <c r="U6123">
        <v>-0.26214599999999999</v>
      </c>
      <c r="V6123">
        <v>1.9276680000000001E-2</v>
      </c>
      <c r="W6123">
        <v>0.41534159999999998</v>
      </c>
      <c r="X6123">
        <v>0.90946130000000003</v>
      </c>
      <c r="Y6123">
        <v>8.1303689999999998E-2</v>
      </c>
      <c r="Z6123">
        <v>-7.1684330000000001E-3</v>
      </c>
      <c r="AA6123">
        <v>0.99666359999999998</v>
      </c>
      <c r="AB6123">
        <v>35</v>
      </c>
      <c r="AC6123">
        <v>0.42709999999999498</v>
      </c>
      <c r="AD6123">
        <v>-0.10081999999999899</v>
      </c>
      <c r="AE6123">
        <v>-5.61799999999976E-2</v>
      </c>
      <c r="AF6123">
        <v>5.6207828110701602E-2</v>
      </c>
      <c r="AG6123">
        <v>-0.10081999999999899</v>
      </c>
      <c r="AH6123">
        <v>0.40452206570184401</v>
      </c>
      <c r="AI6123">
        <v>103.866832855613</v>
      </c>
      <c r="AJ6123">
        <v>82.089473454068198</v>
      </c>
      <c r="AK6123">
        <v>0.42066862728352999</v>
      </c>
      <c r="AL6123">
        <v>65.459170691732794</v>
      </c>
      <c r="AM6123">
        <v>88.785756959833606</v>
      </c>
      <c r="AN6123">
        <v>1.00000004564003</v>
      </c>
    </row>
    <row r="6124" spans="1:40" x14ac:dyDescent="0.25">
      <c r="A6124" t="str">
        <f>"20190304165007865"</f>
        <v>20190304165007865</v>
      </c>
      <c r="B6124" t="str">
        <f>"1551689407861582"</f>
        <v>1551689407861582</v>
      </c>
      <c r="C6124" t="s">
        <v>40</v>
      </c>
      <c r="D6124">
        <v>4.8014070000000002</v>
      </c>
      <c r="E6124">
        <v>0.54539919999999997</v>
      </c>
      <c r="F6124" t="s">
        <v>41</v>
      </c>
      <c r="G6124">
        <v>-344.11860000000001</v>
      </c>
      <c r="H6124">
        <v>1.0079670000000001</v>
      </c>
      <c r="I6124">
        <v>17.427240000000001</v>
      </c>
      <c r="J6124">
        <v>-344.67950000000002</v>
      </c>
      <c r="K6124">
        <v>1.1107370000000001</v>
      </c>
      <c r="L6124">
        <v>17.484470000000002</v>
      </c>
      <c r="M6124">
        <v>0.99986799999999998</v>
      </c>
      <c r="N6124">
        <v>-1.464266E-2</v>
      </c>
      <c r="O6124">
        <v>7.052844E-3</v>
      </c>
      <c r="P6124">
        <v>0.91551479999999996</v>
      </c>
      <c r="Q6124">
        <v>0.40209600000000001</v>
      </c>
      <c r="R6124">
        <v>-1.231178E-2</v>
      </c>
      <c r="S6124">
        <v>3.4869080000000001</v>
      </c>
      <c r="T6124">
        <v>-0.48673060000000001</v>
      </c>
      <c r="U6124">
        <v>-0.26431270000000001</v>
      </c>
      <c r="V6124">
        <v>1.9147290000000001E-2</v>
      </c>
      <c r="W6124">
        <v>0.41543970000000002</v>
      </c>
      <c r="X6124">
        <v>0.90941919999999998</v>
      </c>
      <c r="Y6124">
        <v>8.1690239999999997E-2</v>
      </c>
      <c r="Z6124">
        <v>-7.1438580000000003E-3</v>
      </c>
      <c r="AA6124">
        <v>0.99663219999999997</v>
      </c>
      <c r="AB6124">
        <v>35</v>
      </c>
      <c r="AC6124">
        <v>0.56090000000000295</v>
      </c>
      <c r="AD6124">
        <v>-0.10277</v>
      </c>
      <c r="AE6124">
        <v>-5.7230000000000503E-2</v>
      </c>
      <c r="AF6124">
        <v>5.92174454917112E-2</v>
      </c>
      <c r="AG6124">
        <v>-0.10277</v>
      </c>
      <c r="AH6124">
        <v>0.54245920585077501</v>
      </c>
      <c r="AI6124">
        <v>100.66576466691799</v>
      </c>
      <c r="AJ6124">
        <v>83.7699876680838</v>
      </c>
      <c r="AK6124">
        <v>0.55527503884365004</v>
      </c>
      <c r="AL6124">
        <v>65.452991044200303</v>
      </c>
      <c r="AM6124">
        <v>88.793849036055505</v>
      </c>
      <c r="AN6124">
        <v>1.00000002218953</v>
      </c>
    </row>
    <row r="6125" spans="1:40" x14ac:dyDescent="0.25">
      <c r="A6125" t="str">
        <f>"20190304165007878"</f>
        <v>20190304165007878</v>
      </c>
      <c r="B6125" t="str">
        <f>"1551689407871343"</f>
        <v>1551689407871343</v>
      </c>
      <c r="C6125" t="s">
        <v>40</v>
      </c>
      <c r="D6125">
        <v>4.7637510000000001</v>
      </c>
      <c r="E6125">
        <v>0.54547939999999995</v>
      </c>
      <c r="F6125" t="s">
        <v>41</v>
      </c>
      <c r="G6125">
        <v>-343.81740000000002</v>
      </c>
      <c r="H6125">
        <v>0.99042140000000001</v>
      </c>
      <c r="I6125">
        <v>17.418610000000001</v>
      </c>
      <c r="J6125">
        <v>-344.49029999999999</v>
      </c>
      <c r="K6125">
        <v>1.110725</v>
      </c>
      <c r="L6125">
        <v>17.485600000000002</v>
      </c>
      <c r="M6125">
        <v>0.99986960000000003</v>
      </c>
      <c r="N6125">
        <v>-1.464116E-2</v>
      </c>
      <c r="O6125">
        <v>6.8088319999999999E-3</v>
      </c>
      <c r="P6125">
        <v>0.91552670000000003</v>
      </c>
      <c r="Q6125">
        <v>0.40206639999999999</v>
      </c>
      <c r="R6125">
        <v>-1.239762E-2</v>
      </c>
      <c r="S6125">
        <v>3.4870299999999999</v>
      </c>
      <c r="T6125">
        <v>-0.48670799999999997</v>
      </c>
      <c r="U6125">
        <v>-0.26553339999999998</v>
      </c>
      <c r="V6125">
        <v>1.9023180000000001E-2</v>
      </c>
      <c r="W6125">
        <v>0.41540850000000001</v>
      </c>
      <c r="X6125">
        <v>0.90943600000000002</v>
      </c>
      <c r="Y6125">
        <v>8.1792279999999995E-2</v>
      </c>
      <c r="Z6125">
        <v>-7.1207249999999996E-3</v>
      </c>
      <c r="AA6125">
        <v>0.99662390000000001</v>
      </c>
      <c r="AB6125">
        <v>35</v>
      </c>
      <c r="AC6125">
        <v>0.67289999999996997</v>
      </c>
      <c r="AD6125">
        <v>-0.120303599999999</v>
      </c>
      <c r="AE6125">
        <v>-6.6990000000000494E-2</v>
      </c>
      <c r="AF6125">
        <v>6.9374889149420305E-2</v>
      </c>
      <c r="AG6125">
        <v>-0.120303599999999</v>
      </c>
      <c r="AH6125">
        <v>0.651798823677888</v>
      </c>
      <c r="AI6125">
        <v>100.40003641361901</v>
      </c>
      <c r="AJ6125">
        <v>83.924537141638396</v>
      </c>
      <c r="AK6125">
        <v>0.66642894442343403</v>
      </c>
      <c r="AL6125">
        <v>65.454954926609304</v>
      </c>
      <c r="AM6125">
        <v>88.801686977607503</v>
      </c>
      <c r="AN6125">
        <v>0.99999997067278001</v>
      </c>
    </row>
    <row r="6126" spans="1:40" x14ac:dyDescent="0.25">
      <c r="A6126" t="str">
        <f>"20190304165007889"</f>
        <v>20190304165007889</v>
      </c>
      <c r="B6126" t="str">
        <f>"1551689407882079"</f>
        <v>1551689407882079</v>
      </c>
      <c r="C6126" t="s">
        <v>40</v>
      </c>
      <c r="D6126">
        <v>4.7571719999999997</v>
      </c>
      <c r="E6126">
        <v>0.54555889999999996</v>
      </c>
      <c r="F6126" t="s">
        <v>41</v>
      </c>
      <c r="G6126">
        <v>-343.51569999999998</v>
      </c>
      <c r="H6126">
        <v>0.97453299999999998</v>
      </c>
      <c r="I6126">
        <v>17.410979999999999</v>
      </c>
      <c r="J6126">
        <v>-344.30040000000002</v>
      </c>
      <c r="K6126">
        <v>1.1107089999999999</v>
      </c>
      <c r="L6126">
        <v>17.486629999999899</v>
      </c>
      <c r="M6126">
        <v>0.99987139999999997</v>
      </c>
      <c r="N6126">
        <v>-1.4639610000000001E-2</v>
      </c>
      <c r="O6126">
        <v>6.5568149999999997E-3</v>
      </c>
      <c r="P6126">
        <v>0.91557230000000001</v>
      </c>
      <c r="Q6126">
        <v>0.40196120000000002</v>
      </c>
      <c r="R6126">
        <v>-1.243965E-2</v>
      </c>
      <c r="S6126">
        <v>3.4871829999999999</v>
      </c>
      <c r="T6126">
        <v>-0.48726360000000002</v>
      </c>
      <c r="U6126">
        <v>-0.26623540000000001</v>
      </c>
      <c r="V6126">
        <v>1.8846100000000001E-2</v>
      </c>
      <c r="W6126">
        <v>0.41530220000000001</v>
      </c>
      <c r="X6126">
        <v>0.90948830000000003</v>
      </c>
      <c r="Y6126">
        <v>8.1737850000000001E-2</v>
      </c>
      <c r="Z6126">
        <v>-7.0923180000000002E-3</v>
      </c>
      <c r="AA6126">
        <v>0.99662859999999998</v>
      </c>
      <c r="AB6126">
        <v>35</v>
      </c>
      <c r="AC6126">
        <v>0.78470000000004303</v>
      </c>
      <c r="AD6126">
        <v>-0.13617599999999899</v>
      </c>
      <c r="AE6126">
        <v>-7.5649999999999495E-2</v>
      </c>
      <c r="AF6126">
        <v>7.8453138249742094E-2</v>
      </c>
      <c r="AG6126">
        <v>-0.13617599999999899</v>
      </c>
      <c r="AH6126">
        <v>0.76146609375455299</v>
      </c>
      <c r="AI6126">
        <v>100.08695814695</v>
      </c>
      <c r="AJ6126">
        <v>84.117624704402303</v>
      </c>
      <c r="AK6126">
        <v>0.77751489362908699</v>
      </c>
      <c r="AL6126">
        <v>65.461651896934896</v>
      </c>
      <c r="AM6126">
        <v>88.812906687025901</v>
      </c>
      <c r="AN6126">
        <v>1.00000003032346</v>
      </c>
    </row>
    <row r="6127" spans="1:40" x14ac:dyDescent="0.25">
      <c r="A6127" t="str">
        <f>"20190304165007901"</f>
        <v>20190304165007901</v>
      </c>
      <c r="B6127" t="str">
        <f>"1551689407891838"</f>
        <v>1551689407891838</v>
      </c>
      <c r="C6127" t="s">
        <v>40</v>
      </c>
      <c r="D6127">
        <v>4.7421800000000003</v>
      </c>
      <c r="E6127">
        <v>0.54564489999999999</v>
      </c>
      <c r="F6127" t="s">
        <v>41</v>
      </c>
      <c r="G6127">
        <v>-343.50360000000001</v>
      </c>
      <c r="H6127">
        <v>0.99923689999999998</v>
      </c>
      <c r="I6127">
        <v>17.425370000000001</v>
      </c>
      <c r="J6127">
        <v>-344.11989999999997</v>
      </c>
      <c r="K6127">
        <v>1.110703</v>
      </c>
      <c r="L6127">
        <v>17.48761</v>
      </c>
      <c r="M6127">
        <v>0.99987300000000001</v>
      </c>
      <c r="N6127">
        <v>-1.4638099999999999E-2</v>
      </c>
      <c r="O6127">
        <v>6.3148479999999996E-3</v>
      </c>
      <c r="P6127">
        <v>0.91563139999999998</v>
      </c>
      <c r="Q6127">
        <v>0.4018236</v>
      </c>
      <c r="R6127">
        <v>-1.253894E-2</v>
      </c>
      <c r="S6127">
        <v>3.4872130000000001</v>
      </c>
      <c r="T6127">
        <v>-0.48782300000000001</v>
      </c>
      <c r="U6127">
        <v>-0.26718140000000001</v>
      </c>
      <c r="V6127">
        <v>1.8733380000000001E-2</v>
      </c>
      <c r="W6127">
        <v>0.41516380000000003</v>
      </c>
      <c r="X6127">
        <v>0.90955379999999997</v>
      </c>
      <c r="Y6127">
        <v>8.1764439999999994E-2</v>
      </c>
      <c r="Z6127">
        <v>-7.0715700000000001E-3</v>
      </c>
      <c r="AA6127">
        <v>0.99662660000000003</v>
      </c>
      <c r="AB6127">
        <v>35</v>
      </c>
      <c r="AC6127">
        <v>0.61629999999996699</v>
      </c>
      <c r="AD6127">
        <v>-0.111466099999999</v>
      </c>
      <c r="AE6127">
        <v>-6.2239999999999102E-2</v>
      </c>
      <c r="AF6127">
        <v>6.4056774209710399E-2</v>
      </c>
      <c r="AG6127">
        <v>-0.111466099999999</v>
      </c>
      <c r="AH6127">
        <v>0.59657669779074596</v>
      </c>
      <c r="AI6127">
        <v>100.524148096058</v>
      </c>
      <c r="AJ6127">
        <v>83.871408499379996</v>
      </c>
      <c r="AK6127">
        <v>0.61027183952585795</v>
      </c>
      <c r="AL6127">
        <v>65.4703682917538</v>
      </c>
      <c r="AM6127">
        <v>88.820089722943095</v>
      </c>
      <c r="AN6127">
        <v>1.0000000177255499</v>
      </c>
    </row>
    <row r="6128" spans="1:40" x14ac:dyDescent="0.25">
      <c r="A6128" t="str">
        <f>"20190304165007912"</f>
        <v>20190304165007912</v>
      </c>
      <c r="B6128" t="str">
        <f>"1551689407901598"</f>
        <v>1551689407901598</v>
      </c>
      <c r="C6128" t="s">
        <v>40</v>
      </c>
      <c r="D6128">
        <v>4.7847039999999996</v>
      </c>
      <c r="E6128">
        <v>0.54573400000000005</v>
      </c>
      <c r="F6128" t="s">
        <v>41</v>
      </c>
      <c r="G6128">
        <v>-343.20299999999997</v>
      </c>
      <c r="H6128">
        <v>0.98215949999999996</v>
      </c>
      <c r="I6128">
        <v>17.417020000000001</v>
      </c>
      <c r="J6128">
        <v>-343.94240000000002</v>
      </c>
      <c r="K6128">
        <v>1.1106940000000001</v>
      </c>
      <c r="L6128">
        <v>17.488489999999999</v>
      </c>
      <c r="M6128">
        <v>0.99987440000000005</v>
      </c>
      <c r="N6128">
        <v>-1.463657E-2</v>
      </c>
      <c r="O6128">
        <v>6.0743960000000001E-3</v>
      </c>
      <c r="P6128">
        <v>0.91564319999999999</v>
      </c>
      <c r="Q6128">
        <v>0.40178999999999998</v>
      </c>
      <c r="R6128">
        <v>-1.274113E-2</v>
      </c>
      <c r="S6128">
        <v>3.487244</v>
      </c>
      <c r="T6128">
        <v>-0.48884300000000003</v>
      </c>
      <c r="U6128">
        <v>-0.26812740000000002</v>
      </c>
      <c r="V6128">
        <v>1.8723489999999999E-2</v>
      </c>
      <c r="W6128">
        <v>0.41512909999999997</v>
      </c>
      <c r="X6128">
        <v>0.90956979999999998</v>
      </c>
      <c r="Y6128">
        <v>8.1790829999999995E-2</v>
      </c>
      <c r="Z6128">
        <v>-7.0570329999999999E-3</v>
      </c>
      <c r="AA6128">
        <v>0.99662450000000002</v>
      </c>
      <c r="AB6128">
        <v>35</v>
      </c>
      <c r="AC6128">
        <v>0.73939999999998895</v>
      </c>
      <c r="AD6128">
        <v>-0.1285345</v>
      </c>
      <c r="AE6128">
        <v>-7.1469999999997896E-2</v>
      </c>
      <c r="AF6128">
        <v>7.3752472958511894E-2</v>
      </c>
      <c r="AG6128">
        <v>-0.1285345</v>
      </c>
      <c r="AH6128">
        <v>0.71747157082456903</v>
      </c>
      <c r="AI6128">
        <v>100.10461181245</v>
      </c>
      <c r="AJ6128">
        <v>84.130896346499398</v>
      </c>
      <c r="AK6128">
        <v>0.73261586107538001</v>
      </c>
      <c r="AL6128">
        <v>65.472552687451994</v>
      </c>
      <c r="AM6128">
        <v>88.820733201152507</v>
      </c>
      <c r="AN6128">
        <v>0.99999997990831402</v>
      </c>
    </row>
    <row r="6129" spans="1:40" x14ac:dyDescent="0.25">
      <c r="A6129" t="str">
        <f>"20190304165007925"</f>
        <v>20190304165007925</v>
      </c>
      <c r="B6129" t="str">
        <f>"1551689407921626"</f>
        <v>1551689407921626</v>
      </c>
      <c r="C6129" t="s">
        <v>40</v>
      </c>
      <c r="D6129">
        <v>4.7408479999999997</v>
      </c>
      <c r="E6129">
        <v>0.54579699999999998</v>
      </c>
      <c r="F6129" t="s">
        <v>41</v>
      </c>
      <c r="G6129">
        <v>-343.19150000000002</v>
      </c>
      <c r="H6129">
        <v>1.0053780000000001</v>
      </c>
      <c r="I6129">
        <v>17.430289999999999</v>
      </c>
      <c r="J6129">
        <v>-343.75580000000002</v>
      </c>
      <c r="K6129">
        <v>1.1106849999999999</v>
      </c>
      <c r="L6129">
        <v>17.489409999999999</v>
      </c>
      <c r="M6129">
        <v>0.99987610000000005</v>
      </c>
      <c r="N6129">
        <v>-1.4634940000000001E-2</v>
      </c>
      <c r="O6129">
        <v>5.8190129999999996E-3</v>
      </c>
      <c r="P6129">
        <v>0.91571159999999996</v>
      </c>
      <c r="Q6129">
        <v>0.40163110000000002</v>
      </c>
      <c r="R6129">
        <v>-1.28393E-2</v>
      </c>
      <c r="S6129">
        <v>3.487244</v>
      </c>
      <c r="T6129">
        <v>-0.4891047</v>
      </c>
      <c r="U6129">
        <v>-0.26989750000000001</v>
      </c>
      <c r="V6129">
        <v>1.8594579999999999E-2</v>
      </c>
      <c r="W6129">
        <v>0.41496899999999998</v>
      </c>
      <c r="X6129">
        <v>0.9096455</v>
      </c>
      <c r="Y6129">
        <v>8.2037600000000002E-2</v>
      </c>
      <c r="Z6129">
        <v>-7.0474719999999999E-3</v>
      </c>
      <c r="AA6129">
        <v>0.9966043</v>
      </c>
      <c r="AB6129">
        <v>35</v>
      </c>
      <c r="AC6129">
        <v>0.56430000000000202</v>
      </c>
      <c r="AD6129">
        <v>-0.105307</v>
      </c>
      <c r="AE6129">
        <v>-5.9119999999999999E-2</v>
      </c>
      <c r="AF6129">
        <v>6.0324994145042797E-2</v>
      </c>
      <c r="AG6129">
        <v>-0.105307</v>
      </c>
      <c r="AH6129">
        <v>0.54516693194195698</v>
      </c>
      <c r="AI6129">
        <v>100.868130252426</v>
      </c>
      <c r="AJ6129">
        <v>83.685671091433505</v>
      </c>
      <c r="AK6129">
        <v>0.558511998842107</v>
      </c>
      <c r="AL6129">
        <v>65.482635261988406</v>
      </c>
      <c r="AM6129">
        <v>88.828947541565995</v>
      </c>
      <c r="AN6129">
        <v>0.99999998251831301</v>
      </c>
    </row>
    <row r="6130" spans="1:40" x14ac:dyDescent="0.25">
      <c r="A6130" t="str">
        <f>"20190304165007943"</f>
        <v>20190304165007943</v>
      </c>
      <c r="B6130" t="str">
        <f>"1551689407931387"</f>
        <v>1551689407931387</v>
      </c>
      <c r="C6130" t="s">
        <v>40</v>
      </c>
      <c r="D6130">
        <v>4.7157749999999998</v>
      </c>
      <c r="E6130">
        <v>0.5626236</v>
      </c>
      <c r="F6130" t="s">
        <v>41</v>
      </c>
      <c r="G6130">
        <v>-342.89089999999999</v>
      </c>
      <c r="H6130">
        <v>0.98894360000000003</v>
      </c>
      <c r="I6130">
        <v>17.42201</v>
      </c>
      <c r="J6130">
        <v>-343.48160000000001</v>
      </c>
      <c r="K6130">
        <v>1.110679</v>
      </c>
      <c r="L6130">
        <v>17.490629999999999</v>
      </c>
      <c r="M6130">
        <v>0.99987809999999999</v>
      </c>
      <c r="N6130">
        <v>-1.463249E-2</v>
      </c>
      <c r="O6130">
        <v>5.4416669999999999E-3</v>
      </c>
      <c r="P6130">
        <v>0.91586029999999996</v>
      </c>
      <c r="Q6130">
        <v>0.40128419999999998</v>
      </c>
      <c r="R6130">
        <v>-1.307763E-2</v>
      </c>
      <c r="S6130">
        <v>3.4876100000000001</v>
      </c>
      <c r="T6130">
        <v>-0.49084129999999998</v>
      </c>
      <c r="U6130">
        <v>-0.27108759999999998</v>
      </c>
      <c r="V6130">
        <v>1.8495560000000001E-2</v>
      </c>
      <c r="W6130">
        <v>0.41462189999999999</v>
      </c>
      <c r="X6130">
        <v>0.9098058</v>
      </c>
      <c r="Y6130">
        <v>8.1988939999999996E-2</v>
      </c>
      <c r="Z6130">
        <v>-7.0185589999999997E-3</v>
      </c>
      <c r="AA6130">
        <v>0.99660859999999996</v>
      </c>
      <c r="AB6130">
        <v>35</v>
      </c>
      <c r="AC6130">
        <v>0.59070000000002598</v>
      </c>
      <c r="AD6130">
        <v>-0.12173539999999999</v>
      </c>
      <c r="AE6130">
        <v>-6.8619999999999196E-2</v>
      </c>
      <c r="AF6130">
        <v>6.8944517926083901E-2</v>
      </c>
      <c r="AG6130">
        <v>-0.12173539999999999</v>
      </c>
      <c r="AH6130">
        <v>0.56657480717862796</v>
      </c>
      <c r="AI6130">
        <v>102.040127056125</v>
      </c>
      <c r="AJ6130">
        <v>83.061986792659695</v>
      </c>
      <c r="AK6130">
        <v>0.58359220890508801</v>
      </c>
      <c r="AL6130">
        <v>65.504492007782801</v>
      </c>
      <c r="AM6130">
        <v>88.835387090821698</v>
      </c>
      <c r="AN6130">
        <v>0.99999999970648101</v>
      </c>
    </row>
    <row r="6131" spans="1:40" x14ac:dyDescent="0.25">
      <c r="A6131" t="str">
        <f>"20190304165007952"</f>
        <v>20190304165007952</v>
      </c>
      <c r="B6131" t="str">
        <f>"1551689407942122"</f>
        <v>1551689407942122</v>
      </c>
      <c r="C6131" t="s">
        <v>40</v>
      </c>
      <c r="D6131">
        <v>4.8105609999999999</v>
      </c>
      <c r="E6131">
        <v>0.56233040000000001</v>
      </c>
      <c r="F6131" t="s">
        <v>41</v>
      </c>
      <c r="G6131">
        <v>-342.58010000000002</v>
      </c>
      <c r="H6131">
        <v>0.99255819999999995</v>
      </c>
      <c r="I6131">
        <v>17.384170000000001</v>
      </c>
      <c r="J6131">
        <v>-343.31529999999998</v>
      </c>
      <c r="K6131">
        <v>1.110671</v>
      </c>
      <c r="L6131">
        <v>17.491329999999898</v>
      </c>
      <c r="M6131">
        <v>0.99987939999999997</v>
      </c>
      <c r="N6131">
        <v>-1.463098E-2</v>
      </c>
      <c r="O6131">
        <v>5.211902E-3</v>
      </c>
      <c r="P6131">
        <v>0.91582969999999997</v>
      </c>
      <c r="Q6131">
        <v>0.40135310000000002</v>
      </c>
      <c r="R6131">
        <v>-1.3107590000000001E-2</v>
      </c>
      <c r="S6131">
        <v>3.4689030000000001</v>
      </c>
      <c r="T6131">
        <v>-0.45456859999999999</v>
      </c>
      <c r="U6131">
        <v>-0.40914919999999999</v>
      </c>
      <c r="V6131">
        <v>1.8318919999999999E-2</v>
      </c>
      <c r="W6131">
        <v>0.41468959999999999</v>
      </c>
      <c r="X6131">
        <v>0.90977850000000005</v>
      </c>
      <c r="Y6131">
        <v>0.1211381</v>
      </c>
      <c r="Z6131">
        <v>-9.3718229999999996E-3</v>
      </c>
      <c r="AA6131">
        <v>0.99259140000000001</v>
      </c>
      <c r="AB6131">
        <v>35</v>
      </c>
      <c r="AC6131">
        <v>0.73519999999996299</v>
      </c>
      <c r="AD6131">
        <v>-0.118112799999999</v>
      </c>
      <c r="AE6131">
        <v>-0.10715999999999599</v>
      </c>
      <c r="AF6131">
        <v>0.108254843709349</v>
      </c>
      <c r="AG6131">
        <v>-0.118112799999999</v>
      </c>
      <c r="AH6131">
        <v>0.71652291816467395</v>
      </c>
      <c r="AI6131">
        <v>99.257341241268094</v>
      </c>
      <c r="AJ6131">
        <v>81.408525972606</v>
      </c>
      <c r="AK6131">
        <v>0.73421715926937803</v>
      </c>
      <c r="AL6131">
        <v>65.500228919166105</v>
      </c>
      <c r="AM6131">
        <v>88.846471986711094</v>
      </c>
      <c r="AN6131">
        <v>0.99999998312018801</v>
      </c>
    </row>
    <row r="6132" spans="1:40" x14ac:dyDescent="0.25">
      <c r="A6132" t="str">
        <f>"20190304165007965"</f>
        <v>20190304165007965</v>
      </c>
      <c r="B6132" t="str">
        <f>"1551689407961642"</f>
        <v>1551689407961642</v>
      </c>
      <c r="C6132" t="s">
        <v>40</v>
      </c>
      <c r="D6132">
        <v>4.7721280000000004</v>
      </c>
      <c r="E6132">
        <v>0.56219439999999998</v>
      </c>
      <c r="F6132" t="s">
        <v>41</v>
      </c>
      <c r="G6132">
        <v>-342.5718</v>
      </c>
      <c r="H6132">
        <v>1.010146</v>
      </c>
      <c r="I6132">
        <v>17.404339999999898</v>
      </c>
      <c r="J6132">
        <v>-343.14019999999999</v>
      </c>
      <c r="K6132">
        <v>1.110668</v>
      </c>
      <c r="L6132">
        <v>17.49203</v>
      </c>
      <c r="M6132">
        <v>0.99988069999999896</v>
      </c>
      <c r="N6132">
        <v>-1.4629390000000001E-2</v>
      </c>
      <c r="O6132">
        <v>4.9699360000000003E-3</v>
      </c>
      <c r="P6132">
        <v>0.91579909999999998</v>
      </c>
      <c r="Q6132">
        <v>0.40143450000000003</v>
      </c>
      <c r="R6132">
        <v>-1.274837E-2</v>
      </c>
      <c r="S6132">
        <v>3.4758610000000001</v>
      </c>
      <c r="T6132">
        <v>-0.46999039999999997</v>
      </c>
      <c r="U6132">
        <v>-0.40606690000000001</v>
      </c>
      <c r="V6132">
        <v>1.774094E-2</v>
      </c>
      <c r="W6132">
        <v>0.41476940000000001</v>
      </c>
      <c r="X6132">
        <v>0.90975360000000005</v>
      </c>
      <c r="Y6132">
        <v>0.1197418</v>
      </c>
      <c r="Z6132">
        <v>-9.5097069999999992E-3</v>
      </c>
      <c r="AA6132">
        <v>0.99275950000000002</v>
      </c>
      <c r="AB6132">
        <v>35</v>
      </c>
      <c r="AC6132">
        <v>0.56839999999999602</v>
      </c>
      <c r="AD6132">
        <v>-0.100522</v>
      </c>
      <c r="AE6132">
        <v>-8.7690000000002002E-2</v>
      </c>
      <c r="AF6132">
        <v>8.7830972117880698E-2</v>
      </c>
      <c r="AG6132">
        <v>-0.100522</v>
      </c>
      <c r="AH6132">
        <v>0.55112086389097403</v>
      </c>
      <c r="AI6132">
        <v>100.210773016982</v>
      </c>
      <c r="AJ6132">
        <v>80.945039479741993</v>
      </c>
      <c r="AK6132">
        <v>0.567056574570038</v>
      </c>
      <c r="AL6132">
        <v>65.495204771149403</v>
      </c>
      <c r="AM6132">
        <v>88.882826991613001</v>
      </c>
      <c r="AN6132">
        <v>1.0000000044207</v>
      </c>
    </row>
    <row r="6133" spans="1:40" x14ac:dyDescent="0.25">
      <c r="A6133" t="str">
        <f>"20190304165007977"</f>
        <v>20190304165007977</v>
      </c>
      <c r="B6133" t="str">
        <f>"1551689407971402"</f>
        <v>1551689407971402</v>
      </c>
      <c r="C6133" t="s">
        <v>40</v>
      </c>
      <c r="D6133">
        <v>4.7789989999999998</v>
      </c>
      <c r="E6133">
        <v>0.56234790000000001</v>
      </c>
      <c r="F6133" t="s">
        <v>41</v>
      </c>
      <c r="G6133">
        <v>-342.27350000000001</v>
      </c>
      <c r="H6133">
        <v>0.98988580000000004</v>
      </c>
      <c r="I6133">
        <v>17.391169999999999</v>
      </c>
      <c r="J6133">
        <v>-342.95859999999999</v>
      </c>
      <c r="K6133">
        <v>1.110665</v>
      </c>
      <c r="L6133">
        <v>17.492709999999999</v>
      </c>
      <c r="M6133">
        <v>0.99988200000000005</v>
      </c>
      <c r="N6133">
        <v>-1.462772E-2</v>
      </c>
      <c r="O6133">
        <v>4.7187949999999996E-3</v>
      </c>
      <c r="P6133">
        <v>0.91587019999999997</v>
      </c>
      <c r="Q6133">
        <v>0.40127829999999998</v>
      </c>
      <c r="R6133">
        <v>-1.2559259999999999E-2</v>
      </c>
      <c r="S6133">
        <v>3.4830019999999902</v>
      </c>
      <c r="T6133">
        <v>-0.48540129999999998</v>
      </c>
      <c r="U6133">
        <v>-0.40423579999999998</v>
      </c>
      <c r="V6133">
        <v>1.7324719999999998E-2</v>
      </c>
      <c r="W6133">
        <v>0.41461320000000002</v>
      </c>
      <c r="X6133">
        <v>0.9098328</v>
      </c>
      <c r="Y6133">
        <v>0.1186831</v>
      </c>
      <c r="Z6133">
        <v>-9.6624910000000005E-3</v>
      </c>
      <c r="AA6133">
        <v>0.99288520000000002</v>
      </c>
      <c r="AB6133">
        <v>34</v>
      </c>
      <c r="AC6133">
        <v>0.68509999999997695</v>
      </c>
      <c r="AD6133">
        <v>-0.120779199999999</v>
      </c>
      <c r="AE6133">
        <v>-0.10153999999999599</v>
      </c>
      <c r="AF6133">
        <v>0.101679813182003</v>
      </c>
      <c r="AG6133">
        <v>-0.120779199999999</v>
      </c>
      <c r="AH6133">
        <v>0.66440746444129095</v>
      </c>
      <c r="AI6133">
        <v>100.186920814308</v>
      </c>
      <c r="AJ6133">
        <v>81.299057574616995</v>
      </c>
      <c r="AK6133">
        <v>0.68290825032845603</v>
      </c>
      <c r="AL6133">
        <v>65.505039470956504</v>
      </c>
      <c r="AM6133">
        <v>88.909125509461603</v>
      </c>
      <c r="AN6133">
        <v>0.99999998774657906</v>
      </c>
    </row>
    <row r="6134" spans="1:40" x14ac:dyDescent="0.25">
      <c r="A6134" t="str">
        <f>"20190304165007987"</f>
        <v>20190304165007987</v>
      </c>
      <c r="B6134" t="str">
        <f>"1551689407982138"</f>
        <v>1551689407982138</v>
      </c>
      <c r="C6134" t="s">
        <v>40</v>
      </c>
      <c r="D6134">
        <v>4.7744410000000004</v>
      </c>
      <c r="E6134">
        <v>0.56238219999999906</v>
      </c>
      <c r="F6134" t="s">
        <v>41</v>
      </c>
      <c r="G6134">
        <v>-341.97390000000001</v>
      </c>
      <c r="H6134">
        <v>0.97284150000000003</v>
      </c>
      <c r="I6134">
        <v>17.377779999999898</v>
      </c>
      <c r="J6134">
        <v>-342.7824</v>
      </c>
      <c r="K6134">
        <v>1.1106659999999999</v>
      </c>
      <c r="L6134">
        <v>17.493320000000001</v>
      </c>
      <c r="M6134">
        <v>0.99988310000000002</v>
      </c>
      <c r="N6134">
        <v>-1.462607E-2</v>
      </c>
      <c r="O6134">
        <v>4.4752380000000003E-3</v>
      </c>
      <c r="P6134">
        <v>0.91595119999999997</v>
      </c>
      <c r="Q6134">
        <v>0.40110580000000001</v>
      </c>
      <c r="R6134">
        <v>-1.216076E-2</v>
      </c>
      <c r="S6134">
        <v>3.483673</v>
      </c>
      <c r="T6134">
        <v>-0.4875758</v>
      </c>
      <c r="U6134">
        <v>-0.40570070000000003</v>
      </c>
      <c r="V6134">
        <v>1.670549E-2</v>
      </c>
      <c r="W6134">
        <v>0.41444140000000002</v>
      </c>
      <c r="X6134">
        <v>0.90992269999999997</v>
      </c>
      <c r="Y6134">
        <v>0.1188212</v>
      </c>
      <c r="Z6134">
        <v>-9.6801820000000007E-3</v>
      </c>
      <c r="AA6134">
        <v>0.99286850000000004</v>
      </c>
      <c r="AB6134">
        <v>34</v>
      </c>
      <c r="AC6134">
        <v>0.80849999999998001</v>
      </c>
      <c r="AD6134">
        <v>-0.13782449999999899</v>
      </c>
      <c r="AE6134">
        <v>-0.115540000000002</v>
      </c>
      <c r="AF6134">
        <v>0.11585802885185301</v>
      </c>
      <c r="AG6134">
        <v>-0.13782449999999899</v>
      </c>
      <c r="AH6134">
        <v>0.78560222371961397</v>
      </c>
      <c r="AI6134">
        <v>99.846213704175497</v>
      </c>
      <c r="AJ6134">
        <v>81.610679172452706</v>
      </c>
      <c r="AK6134">
        <v>0.80597117166986099</v>
      </c>
      <c r="AL6134">
        <v>65.515857171374293</v>
      </c>
      <c r="AM6134">
        <v>88.948211146462498</v>
      </c>
      <c r="AN6134">
        <v>1.00000003370269</v>
      </c>
    </row>
    <row r="6135" spans="1:40" x14ac:dyDescent="0.25">
      <c r="A6135" t="str">
        <f>"20190304165008000"</f>
        <v>20190304165008000</v>
      </c>
      <c r="B6135" t="str">
        <f>"1551689407991898"</f>
        <v>1551689407991898</v>
      </c>
      <c r="C6135" t="s">
        <v>40</v>
      </c>
      <c r="D6135">
        <v>4.7721549999999997</v>
      </c>
      <c r="E6135">
        <v>0.56240639999999997</v>
      </c>
      <c r="F6135" t="s">
        <v>41</v>
      </c>
      <c r="G6135">
        <v>-341.9633</v>
      </c>
      <c r="H6135">
        <v>0.99544730000000003</v>
      </c>
      <c r="I6135">
        <v>17.397539999999999</v>
      </c>
      <c r="J6135">
        <v>-342.6037</v>
      </c>
      <c r="K6135">
        <v>1.110663</v>
      </c>
      <c r="L6135">
        <v>17.4939</v>
      </c>
      <c r="M6135">
        <v>0.9998842</v>
      </c>
      <c r="N6135">
        <v>-1.4624379999999999E-2</v>
      </c>
      <c r="O6135">
        <v>4.2286449999999996E-3</v>
      </c>
      <c r="P6135">
        <v>0.91609240000000003</v>
      </c>
      <c r="Q6135">
        <v>0.40079690000000001</v>
      </c>
      <c r="R6135">
        <v>-1.169883E-2</v>
      </c>
      <c r="S6135">
        <v>3.4845280000000001</v>
      </c>
      <c r="T6135">
        <v>-0.49012299999999998</v>
      </c>
      <c r="U6135">
        <v>-0.40634160000000002</v>
      </c>
      <c r="V6135">
        <v>1.6019829999999999E-2</v>
      </c>
      <c r="W6135">
        <v>0.41413329999999998</v>
      </c>
      <c r="X6135">
        <v>0.91007519999999997</v>
      </c>
      <c r="Y6135">
        <v>0.1187193</v>
      </c>
      <c r="Z6135">
        <v>-9.6850970000000002E-3</v>
      </c>
      <c r="AA6135">
        <v>0.9928806</v>
      </c>
      <c r="AB6135">
        <v>34</v>
      </c>
      <c r="AC6135">
        <v>0.64039999999999897</v>
      </c>
      <c r="AD6135">
        <v>-0.11521569999999901</v>
      </c>
      <c r="AE6135">
        <v>-9.6360000000000598E-2</v>
      </c>
      <c r="AF6135">
        <v>9.6027998753462795E-2</v>
      </c>
      <c r="AG6135">
        <v>-0.11521569999999901</v>
      </c>
      <c r="AH6135">
        <v>0.62035155166661204</v>
      </c>
      <c r="AI6135">
        <v>100.400341073169</v>
      </c>
      <c r="AJ6135">
        <v>81.200676072757304</v>
      </c>
      <c r="AK6135">
        <v>0.63822572944551403</v>
      </c>
      <c r="AL6135">
        <v>65.535250519813104</v>
      </c>
      <c r="AM6135">
        <v>88.991540630403506</v>
      </c>
      <c r="AN6135">
        <v>0.999999947388578</v>
      </c>
    </row>
    <row r="6136" spans="1:40" x14ac:dyDescent="0.25">
      <c r="A6136" t="str">
        <f>"20190304165008010"</f>
        <v>20190304165008010</v>
      </c>
      <c r="B6136" t="str">
        <f>"1551689408001658"</f>
        <v>1551689408001658</v>
      </c>
      <c r="C6136" t="s">
        <v>40</v>
      </c>
      <c r="D6136">
        <v>4.7715589999999999</v>
      </c>
      <c r="E6136">
        <v>0.5624169</v>
      </c>
      <c r="F6136" t="s">
        <v>41</v>
      </c>
      <c r="G6136">
        <v>-341.6644</v>
      </c>
      <c r="H6136">
        <v>0.97777119999999995</v>
      </c>
      <c r="I6136">
        <v>17.3843</v>
      </c>
      <c r="J6136">
        <v>-342.43239999999997</v>
      </c>
      <c r="K6136">
        <v>1.110663</v>
      </c>
      <c r="L6136">
        <v>17.49438</v>
      </c>
      <c r="M6136">
        <v>0.99988529999999998</v>
      </c>
      <c r="N6136">
        <v>-1.462273E-2</v>
      </c>
      <c r="O6136">
        <v>3.9924289999999996E-3</v>
      </c>
      <c r="P6136">
        <v>0.91615040000000003</v>
      </c>
      <c r="Q6136">
        <v>0.40066980000000002</v>
      </c>
      <c r="R6136">
        <v>-1.15178E-2</v>
      </c>
      <c r="S6136">
        <v>3.4853209999999999</v>
      </c>
      <c r="T6136">
        <v>-0.49308239999999998</v>
      </c>
      <c r="U6136">
        <v>-0.40567019999999998</v>
      </c>
      <c r="V6136">
        <v>1.5623919999999999E-2</v>
      </c>
      <c r="W6136">
        <v>0.41400609999999999</v>
      </c>
      <c r="X6136">
        <v>0.91013999999999995</v>
      </c>
      <c r="Y6136">
        <v>0.1182623</v>
      </c>
      <c r="Z6136">
        <v>-9.6710400000000005E-3</v>
      </c>
      <c r="AA6136">
        <v>0.99293529999999997</v>
      </c>
      <c r="AB6136">
        <v>34</v>
      </c>
      <c r="AC6136">
        <v>0.76799999999997204</v>
      </c>
      <c r="AD6136">
        <v>-0.13289179999999901</v>
      </c>
      <c r="AE6136">
        <v>-0.110079999999999</v>
      </c>
      <c r="AF6136">
        <v>0.1099206964665</v>
      </c>
      <c r="AG6136">
        <v>-0.13289179999999901</v>
      </c>
      <c r="AH6136">
        <v>0.74567709059634002</v>
      </c>
      <c r="AI6136">
        <v>99.999110343585997</v>
      </c>
      <c r="AJ6136">
        <v>81.614387043286797</v>
      </c>
      <c r="AK6136">
        <v>0.76536077339980202</v>
      </c>
      <c r="AL6136">
        <v>65.543258255186601</v>
      </c>
      <c r="AM6136">
        <v>89.016528493016196</v>
      </c>
      <c r="AN6136">
        <v>0.99999998865668804</v>
      </c>
    </row>
    <row r="6137" spans="1:40" x14ac:dyDescent="0.25">
      <c r="A6137" t="str">
        <f>"20190304165008021"</f>
        <v>20190304165008021</v>
      </c>
      <c r="B6137" t="str">
        <f>"1551689408011925"</f>
        <v>1551689408011925</v>
      </c>
      <c r="C6137" t="s">
        <v>40</v>
      </c>
      <c r="D6137">
        <v>4.7614619999999999</v>
      </c>
      <c r="E6137">
        <v>0.56254300000000002</v>
      </c>
      <c r="F6137" t="s">
        <v>41</v>
      </c>
      <c r="G6137">
        <v>-341.65370000000001</v>
      </c>
      <c r="H6137">
        <v>1.000159</v>
      </c>
      <c r="I6137">
        <v>17.403469999999999</v>
      </c>
      <c r="J6137">
        <v>-342.2706</v>
      </c>
      <c r="K6137">
        <v>1.1106659999999999</v>
      </c>
      <c r="L6137">
        <v>17.494810000000001</v>
      </c>
      <c r="M6137">
        <v>0.99988600000000005</v>
      </c>
      <c r="N6137">
        <v>-1.4621159999999999E-2</v>
      </c>
      <c r="O6137">
        <v>3.7696880000000002E-3</v>
      </c>
      <c r="P6137">
        <v>0.91607609999999995</v>
      </c>
      <c r="Q6137">
        <v>0.40084370000000002</v>
      </c>
      <c r="R6137">
        <v>-1.1359960000000001E-2</v>
      </c>
      <c r="S6137">
        <v>3.4858090000000002</v>
      </c>
      <c r="T6137">
        <v>-0.49464200000000003</v>
      </c>
      <c r="U6137">
        <v>-0.40582279999999998</v>
      </c>
      <c r="V6137">
        <v>1.526302E-2</v>
      </c>
      <c r="W6137">
        <v>0.41417799999999999</v>
      </c>
      <c r="X6137">
        <v>0.91006790000000004</v>
      </c>
      <c r="Y6137">
        <v>0.1180644</v>
      </c>
      <c r="Z6137">
        <v>-9.6539739999999992E-3</v>
      </c>
      <c r="AA6137">
        <v>0.99295900000000004</v>
      </c>
      <c r="AB6137">
        <v>34</v>
      </c>
      <c r="AC6137">
        <v>0.61689999999998602</v>
      </c>
      <c r="AD6137">
        <v>-0.11050699999999899</v>
      </c>
      <c r="AE6137">
        <v>-9.1339999999998797E-2</v>
      </c>
      <c r="AF6137">
        <v>9.0813558653204798E-2</v>
      </c>
      <c r="AG6137">
        <v>-0.11050699999999899</v>
      </c>
      <c r="AH6137">
        <v>0.59778083475314903</v>
      </c>
      <c r="AI6137">
        <v>100.357354658383</v>
      </c>
      <c r="AJ6137">
        <v>81.361799956858704</v>
      </c>
      <c r="AK6137">
        <v>0.61465504625149803</v>
      </c>
      <c r="AL6137">
        <v>65.532437562907504</v>
      </c>
      <c r="AM6137">
        <v>89.039165484514598</v>
      </c>
      <c r="AN6137">
        <v>0.99999997903696503</v>
      </c>
    </row>
    <row r="6138" spans="1:40" x14ac:dyDescent="0.25">
      <c r="A6138" t="str">
        <f>"20190304165008031"</f>
        <v>20190304165008031</v>
      </c>
      <c r="B6138" t="str">
        <f>"1551689408021685"</f>
        <v>1551689408021685</v>
      </c>
      <c r="C6138" t="s">
        <v>40</v>
      </c>
      <c r="D6138">
        <v>4.7496470000000004</v>
      </c>
      <c r="E6138">
        <v>0.56269409999999997</v>
      </c>
      <c r="F6138" t="s">
        <v>41</v>
      </c>
      <c r="G6138">
        <v>-341.35590000000002</v>
      </c>
      <c r="H6138">
        <v>0.981105</v>
      </c>
      <c r="I6138">
        <v>17.387820000000001</v>
      </c>
      <c r="J6138">
        <v>-342.11070000000001</v>
      </c>
      <c r="K6138">
        <v>1.1106670000000001</v>
      </c>
      <c r="L6138">
        <v>17.495239999999999</v>
      </c>
      <c r="M6138">
        <v>0.99988690000000002</v>
      </c>
      <c r="N6138">
        <v>-1.461959E-2</v>
      </c>
      <c r="O6138">
        <v>3.5495739999999998E-3</v>
      </c>
      <c r="P6138">
        <v>0.91594900000000001</v>
      </c>
      <c r="Q6138">
        <v>0.40113850000000001</v>
      </c>
      <c r="R6138">
        <v>-1.120986E-2</v>
      </c>
      <c r="S6138">
        <v>3.48584</v>
      </c>
      <c r="T6138">
        <v>-0.49375750000000002</v>
      </c>
      <c r="U6138">
        <v>-0.40655520000000001</v>
      </c>
      <c r="V6138">
        <v>1.4912079999999999E-2</v>
      </c>
      <c r="W6138">
        <v>0.41447000000000001</v>
      </c>
      <c r="X6138">
        <v>0.90994079999999999</v>
      </c>
      <c r="Y6138">
        <v>0.1180571</v>
      </c>
      <c r="Z6138">
        <v>-9.6097500000000002E-3</v>
      </c>
      <c r="AA6138">
        <v>0.99296030000000002</v>
      </c>
      <c r="AB6138">
        <v>34</v>
      </c>
      <c r="AC6138">
        <v>0.75479999999998804</v>
      </c>
      <c r="AD6138">
        <v>-0.12956200000000001</v>
      </c>
      <c r="AE6138">
        <v>-0.107419999999997</v>
      </c>
      <c r="AF6138">
        <v>0.107008520636677</v>
      </c>
      <c r="AG6138">
        <v>-0.12956200000000001</v>
      </c>
      <c r="AH6138">
        <v>0.73323865367784702</v>
      </c>
      <c r="AI6138">
        <v>99.917690081659501</v>
      </c>
      <c r="AJ6138">
        <v>81.696895973820105</v>
      </c>
      <c r="AK6138">
        <v>0.75224733869928195</v>
      </c>
      <c r="AL6138">
        <v>65.514055842442005</v>
      </c>
      <c r="AM6138">
        <v>89.061122687645295</v>
      </c>
      <c r="AN6138">
        <v>1.0000000052672799</v>
      </c>
    </row>
    <row r="6139" spans="1:40" x14ac:dyDescent="0.25">
      <c r="A6139" t="str">
        <f>"20190304165008043"</f>
        <v>20190304165008043</v>
      </c>
      <c r="B6139" t="str">
        <f>"1551689408031446"</f>
        <v>1551689408031446</v>
      </c>
      <c r="C6139" t="s">
        <v>40</v>
      </c>
      <c r="D6139">
        <v>4.7495620000000001</v>
      </c>
      <c r="E6139">
        <v>0.56275109999999995</v>
      </c>
      <c r="F6139" t="s">
        <v>41</v>
      </c>
      <c r="G6139">
        <v>-341.34550000000002</v>
      </c>
      <c r="H6139">
        <v>1.0026820000000001</v>
      </c>
      <c r="I6139">
        <v>17.405519999999999</v>
      </c>
      <c r="J6139">
        <v>-341.94260000000003</v>
      </c>
      <c r="K6139">
        <v>1.1106689999999999</v>
      </c>
      <c r="L6139">
        <v>17.495609999999999</v>
      </c>
      <c r="M6139">
        <v>0.99988759999999999</v>
      </c>
      <c r="N6139">
        <v>-1.461792E-2</v>
      </c>
      <c r="O6139">
        <v>3.318498E-3</v>
      </c>
      <c r="P6139">
        <v>0.91594180000000003</v>
      </c>
      <c r="Q6139">
        <v>0.40115590000000001</v>
      </c>
      <c r="R6139">
        <v>-1.116644E-2</v>
      </c>
      <c r="S6139">
        <v>3.485779</v>
      </c>
      <c r="T6139">
        <v>-0.49197629999999998</v>
      </c>
      <c r="U6139">
        <v>-0.40728760000000003</v>
      </c>
      <c r="V6139">
        <v>1.465782E-2</v>
      </c>
      <c r="W6139">
        <v>0.41448570000000001</v>
      </c>
      <c r="X6139">
        <v>0.90993780000000002</v>
      </c>
      <c r="Y6139">
        <v>0.1180464</v>
      </c>
      <c r="Z6139">
        <v>-9.5484560000000003E-3</v>
      </c>
      <c r="AA6139">
        <v>0.99296220000000002</v>
      </c>
      <c r="AB6139">
        <v>34</v>
      </c>
      <c r="AC6139">
        <v>0.59710000000001096</v>
      </c>
      <c r="AD6139">
        <v>-0.107987</v>
      </c>
      <c r="AE6139">
        <v>-9.0089999999996395E-2</v>
      </c>
      <c r="AF6139">
        <v>8.9218033044507303E-2</v>
      </c>
      <c r="AG6139">
        <v>-0.107987</v>
      </c>
      <c r="AH6139">
        <v>0.57830378730552401</v>
      </c>
      <c r="AI6139">
        <v>100.456136480292</v>
      </c>
      <c r="AJ6139">
        <v>81.229815400636596</v>
      </c>
      <c r="AK6139">
        <v>0.59502631874669498</v>
      </c>
      <c r="AL6139">
        <v>65.513067873945801</v>
      </c>
      <c r="AM6139">
        <v>89.077125279936297</v>
      </c>
      <c r="AN6139">
        <v>1.00000002353024</v>
      </c>
    </row>
    <row r="6140" spans="1:40" x14ac:dyDescent="0.25">
      <c r="A6140" t="str">
        <f>"20190304165008053"</f>
        <v>20190304165008053</v>
      </c>
      <c r="B6140" t="str">
        <f>"1551689408051941"</f>
        <v>1551689408051941</v>
      </c>
      <c r="C6140" t="s">
        <v>40</v>
      </c>
      <c r="D6140">
        <v>4.7688600000000001</v>
      </c>
      <c r="E6140">
        <v>0.56276759999999904</v>
      </c>
      <c r="F6140" t="s">
        <v>41</v>
      </c>
      <c r="G6140">
        <v>-341.04790000000003</v>
      </c>
      <c r="H6140">
        <v>0.98405989999999999</v>
      </c>
      <c r="I6140">
        <v>17.390789999999999</v>
      </c>
      <c r="J6140">
        <v>-341.7724</v>
      </c>
      <c r="K6140">
        <v>1.110671</v>
      </c>
      <c r="L6140">
        <v>17.495999999999999</v>
      </c>
      <c r="M6140">
        <v>0.99988829999999995</v>
      </c>
      <c r="N6140">
        <v>-1.4616219999999999E-2</v>
      </c>
      <c r="O6140">
        <v>3.0845629999999998E-3</v>
      </c>
      <c r="P6140">
        <v>0.91602439999999996</v>
      </c>
      <c r="Q6140">
        <v>0.4009723</v>
      </c>
      <c r="R6140">
        <v>-1.0952720000000001E-2</v>
      </c>
      <c r="S6140">
        <v>3.486389</v>
      </c>
      <c r="T6140">
        <v>-0.49326989999999998</v>
      </c>
      <c r="U6140">
        <v>-0.40716550000000001</v>
      </c>
      <c r="V6140">
        <v>1.423079E-2</v>
      </c>
      <c r="W6140">
        <v>0.41430250000000002</v>
      </c>
      <c r="X6140">
        <v>0.91002799999999995</v>
      </c>
      <c r="Y6140">
        <v>0.11775869999999999</v>
      </c>
      <c r="Z6140">
        <v>-9.517869E-3</v>
      </c>
      <c r="AA6140">
        <v>0.99299660000000001</v>
      </c>
      <c r="AB6140">
        <v>34</v>
      </c>
      <c r="AC6140">
        <v>0.72449999999997705</v>
      </c>
      <c r="AD6140">
        <v>-0.126611099999999</v>
      </c>
      <c r="AE6140">
        <v>-0.105209999999999</v>
      </c>
      <c r="AF6140">
        <v>0.104324257982937</v>
      </c>
      <c r="AG6140">
        <v>-0.126611099999999</v>
      </c>
      <c r="AH6140">
        <v>0.70314164615476604</v>
      </c>
      <c r="AI6140">
        <v>100.099330774089</v>
      </c>
      <c r="AJ6140">
        <v>81.560662406027504</v>
      </c>
      <c r="AK6140">
        <v>0.72202638179233802</v>
      </c>
      <c r="AL6140">
        <v>65.524601225803806</v>
      </c>
      <c r="AM6140">
        <v>89.104095969523399</v>
      </c>
      <c r="AN6140">
        <v>1.0000000188371301</v>
      </c>
    </row>
    <row r="6141" spans="1:40" x14ac:dyDescent="0.25">
      <c r="A6141" t="str">
        <f>"20190304165008065"</f>
        <v>20190304165008065</v>
      </c>
      <c r="B6141" t="str">
        <f>"1551689408061702"</f>
        <v>1551689408061702</v>
      </c>
      <c r="C6141" t="s">
        <v>40</v>
      </c>
      <c r="D6141">
        <v>4.7580200000000001</v>
      </c>
      <c r="E6141">
        <v>0.56279080000000004</v>
      </c>
      <c r="F6141" t="s">
        <v>41</v>
      </c>
      <c r="G6141">
        <v>-341.03739999999999</v>
      </c>
      <c r="H6141">
        <v>1.005806</v>
      </c>
      <c r="I6141">
        <v>17.410070000000001</v>
      </c>
      <c r="J6141">
        <v>-341.5942</v>
      </c>
      <c r="K6141">
        <v>1.1106689999999999</v>
      </c>
      <c r="L6141">
        <v>17.496279999999999</v>
      </c>
      <c r="M6141">
        <v>0.99988929999999998</v>
      </c>
      <c r="N6141">
        <v>-1.4614439999999999E-2</v>
      </c>
      <c r="O6141">
        <v>2.8396670000000001E-3</v>
      </c>
      <c r="P6141">
        <v>0.91626359999999996</v>
      </c>
      <c r="Q6141">
        <v>0.40042519999999998</v>
      </c>
      <c r="R6141">
        <v>-1.099047E-2</v>
      </c>
      <c r="S6141">
        <v>3.4879760000000002</v>
      </c>
      <c r="T6141">
        <v>-0.49762279999999998</v>
      </c>
      <c r="U6141">
        <v>-0.40628049999999999</v>
      </c>
      <c r="V6141">
        <v>1.4044600000000001E-2</v>
      </c>
      <c r="W6141">
        <v>0.41375780000000001</v>
      </c>
      <c r="X6141">
        <v>0.9102787</v>
      </c>
      <c r="Y6141">
        <v>0.1172021</v>
      </c>
      <c r="Z6141">
        <v>-9.5154239999999998E-3</v>
      </c>
      <c r="AA6141">
        <v>0.99306249999999996</v>
      </c>
      <c r="AB6141">
        <v>34</v>
      </c>
      <c r="AC6141">
        <v>0.55680000000000895</v>
      </c>
      <c r="AD6141">
        <v>-0.104863</v>
      </c>
      <c r="AE6141">
        <v>-8.6209999999997594E-2</v>
      </c>
      <c r="AF6141">
        <v>8.4851817063195598E-2</v>
      </c>
      <c r="AG6141">
        <v>-0.104863</v>
      </c>
      <c r="AH6141">
        <v>0.53792022881148904</v>
      </c>
      <c r="AI6141">
        <v>100.89950072759601</v>
      </c>
      <c r="AJ6141">
        <v>81.035994587970194</v>
      </c>
      <c r="AK6141">
        <v>0.55457574071765103</v>
      </c>
      <c r="AL6141">
        <v>65.558887472057705</v>
      </c>
      <c r="AM6141">
        <v>89.116059223234302</v>
      </c>
      <c r="AN6141">
        <v>1.00000003976184</v>
      </c>
    </row>
    <row r="6142" spans="1:40" x14ac:dyDescent="0.25">
      <c r="A6142" t="str">
        <f>"20190304165008077"</f>
        <v>20190304165008077</v>
      </c>
      <c r="B6142" t="str">
        <f>"1551689408071461"</f>
        <v>1551689408071461</v>
      </c>
      <c r="C6142" t="s">
        <v>40</v>
      </c>
      <c r="D6142">
        <v>4.7573819999999998</v>
      </c>
      <c r="E6142">
        <v>0.56281639999999999</v>
      </c>
      <c r="F6142" t="s">
        <v>41</v>
      </c>
      <c r="G6142">
        <v>-340.73989999999998</v>
      </c>
      <c r="H6142">
        <v>0.98783989999999999</v>
      </c>
      <c r="I6142">
        <v>17.39659</v>
      </c>
      <c r="J6142">
        <v>-341.40949999999998</v>
      </c>
      <c r="K6142">
        <v>1.1106659999999999</v>
      </c>
      <c r="L6142">
        <v>17.496579999999899</v>
      </c>
      <c r="M6142">
        <v>0.99988999999999995</v>
      </c>
      <c r="N6142">
        <v>-1.461258E-2</v>
      </c>
      <c r="O6142">
        <v>2.5861899999999999E-3</v>
      </c>
      <c r="P6142">
        <v>0.91652330000000004</v>
      </c>
      <c r="Q6142">
        <v>0.39984249999999999</v>
      </c>
      <c r="R6142">
        <v>-1.054486E-2</v>
      </c>
      <c r="S6142">
        <v>3.488464</v>
      </c>
      <c r="T6142">
        <v>-0.50153159999999997</v>
      </c>
      <c r="U6142">
        <v>-0.40676879999999999</v>
      </c>
      <c r="V6142">
        <v>1.336702E-2</v>
      </c>
      <c r="W6142">
        <v>0.41317769999999998</v>
      </c>
      <c r="X6142">
        <v>0.91055229999999998</v>
      </c>
      <c r="Y6142">
        <v>0.1170559</v>
      </c>
      <c r="Z6142">
        <v>-9.5377569999999991E-3</v>
      </c>
      <c r="AA6142">
        <v>0.9930795</v>
      </c>
      <c r="AB6142">
        <v>34</v>
      </c>
      <c r="AC6142">
        <v>0.66960000000000197</v>
      </c>
      <c r="AD6142">
        <v>-0.12282609999999899</v>
      </c>
      <c r="AE6142">
        <v>-9.9989999999998205E-2</v>
      </c>
      <c r="AF6142">
        <v>9.8480244744601306E-2</v>
      </c>
      <c r="AG6142">
        <v>-0.12282609999999899</v>
      </c>
      <c r="AH6142">
        <v>0.648010906243357</v>
      </c>
      <c r="AI6142">
        <v>100.613656902876</v>
      </c>
      <c r="AJ6142">
        <v>81.358702279576704</v>
      </c>
      <c r="AK6142">
        <v>0.66686036323693998</v>
      </c>
      <c r="AL6142">
        <v>65.595389853879695</v>
      </c>
      <c r="AM6142">
        <v>89.158951307933606</v>
      </c>
      <c r="AN6142">
        <v>0.99999999001813</v>
      </c>
    </row>
    <row r="6143" spans="1:40" x14ac:dyDescent="0.25">
      <c r="A6143" t="str">
        <f>"20190304165008088"</f>
        <v>20190304165008088</v>
      </c>
      <c r="B6143" t="str">
        <f>"1551689408082201"</f>
        <v>1551689408082201</v>
      </c>
      <c r="C6143" t="s">
        <v>40</v>
      </c>
      <c r="D6143">
        <v>4.7683949999999999</v>
      </c>
      <c r="E6143">
        <v>0.56287379999999998</v>
      </c>
      <c r="F6143" t="s">
        <v>41</v>
      </c>
      <c r="G6143">
        <v>-340.44209999999998</v>
      </c>
      <c r="H6143">
        <v>0.97074539999999998</v>
      </c>
      <c r="I6143">
        <v>17.383679999999998</v>
      </c>
      <c r="J6143">
        <v>-341.23419999999999</v>
      </c>
      <c r="K6143">
        <v>1.110657</v>
      </c>
      <c r="L6143">
        <v>17.4968</v>
      </c>
      <c r="M6143">
        <v>0.99989059999999996</v>
      </c>
      <c r="N6143">
        <v>-1.461082E-2</v>
      </c>
      <c r="O6143">
        <v>2.345232E-3</v>
      </c>
      <c r="P6143">
        <v>0.91675079999999998</v>
      </c>
      <c r="Q6143">
        <v>0.3993255</v>
      </c>
      <c r="R6143">
        <v>-1.034972E-2</v>
      </c>
      <c r="S6143">
        <v>3.4887079999999999</v>
      </c>
      <c r="T6143">
        <v>-0.50453769999999998</v>
      </c>
      <c r="U6143">
        <v>-0.40573120000000001</v>
      </c>
      <c r="V6143">
        <v>1.295116E-2</v>
      </c>
      <c r="W6143">
        <v>0.4126631</v>
      </c>
      <c r="X6143">
        <v>0.91079160000000003</v>
      </c>
      <c r="Y6143">
        <v>0.1165103</v>
      </c>
      <c r="Z6143">
        <v>-9.5147270000000006E-3</v>
      </c>
      <c r="AA6143">
        <v>0.99314389999999997</v>
      </c>
      <c r="AB6143">
        <v>34</v>
      </c>
      <c r="AC6143">
        <v>0.79210000000000402</v>
      </c>
      <c r="AD6143">
        <v>-0.1399116</v>
      </c>
      <c r="AE6143">
        <v>-0.113120000000002</v>
      </c>
      <c r="AF6143">
        <v>0.111566305468611</v>
      </c>
      <c r="AG6143">
        <v>-0.1399116</v>
      </c>
      <c r="AH6143">
        <v>0.76833982157466396</v>
      </c>
      <c r="AI6143">
        <v>100.215413477149</v>
      </c>
      <c r="AJ6143">
        <v>81.738144270520195</v>
      </c>
      <c r="AK6143">
        <v>0.78890327528022197</v>
      </c>
      <c r="AL6143">
        <v>65.627762043063498</v>
      </c>
      <c r="AM6143">
        <v>89.185327576447406</v>
      </c>
      <c r="AN6143">
        <v>0.99999995263875596</v>
      </c>
    </row>
    <row r="6144" spans="1:40" x14ac:dyDescent="0.25">
      <c r="A6144" t="str">
        <f>"20190304165008099"</f>
        <v>20190304165008099</v>
      </c>
      <c r="B6144" t="str">
        <f>"1551689408091957"</f>
        <v>1551689408091957</v>
      </c>
      <c r="C6144" t="s">
        <v>40</v>
      </c>
      <c r="D6144">
        <v>4.7585040000000003</v>
      </c>
      <c r="E6144">
        <v>0.56291029999999997</v>
      </c>
      <c r="F6144" t="s">
        <v>41</v>
      </c>
      <c r="G6144">
        <v>-340.43110000000001</v>
      </c>
      <c r="H6144">
        <v>0.99391439999999998</v>
      </c>
      <c r="I6144">
        <v>17.40287</v>
      </c>
      <c r="J6144">
        <v>-341.0761</v>
      </c>
      <c r="K6144">
        <v>1.110652</v>
      </c>
      <c r="L6144">
        <v>17.49701</v>
      </c>
      <c r="M6144">
        <v>0.99989099999999997</v>
      </c>
      <c r="N6144">
        <v>-1.4609260000000001E-2</v>
      </c>
      <c r="O6144">
        <v>2.128235E-3</v>
      </c>
      <c r="P6144">
        <v>0.91709289999999999</v>
      </c>
      <c r="Q6144">
        <v>0.3985534</v>
      </c>
      <c r="R6144">
        <v>-9.8041069999999994E-3</v>
      </c>
      <c r="S6144">
        <v>3.4887389999999998</v>
      </c>
      <c r="T6144">
        <v>-0.50715469999999996</v>
      </c>
      <c r="U6144">
        <v>-0.40634160000000002</v>
      </c>
      <c r="V6144">
        <v>1.220631E-2</v>
      </c>
      <c r="W6144">
        <v>0.41189589999999998</v>
      </c>
      <c r="X6144">
        <v>0.91114910000000005</v>
      </c>
      <c r="Y6144">
        <v>0.1164545</v>
      </c>
      <c r="Z6144">
        <v>-9.5265790000000003E-3</v>
      </c>
      <c r="AA6144">
        <v>0.99315039999999999</v>
      </c>
      <c r="AB6144">
        <v>34</v>
      </c>
      <c r="AC6144">
        <v>0.64499999999998103</v>
      </c>
      <c r="AD6144">
        <v>-0.1167376</v>
      </c>
      <c r="AE6144">
        <v>-9.4139999999999405E-2</v>
      </c>
      <c r="AF6144">
        <v>9.2544412254578504E-2</v>
      </c>
      <c r="AG6144">
        <v>-0.1167376</v>
      </c>
      <c r="AH6144">
        <v>0.62475986647928605</v>
      </c>
      <c r="AI6144">
        <v>100.472084538649</v>
      </c>
      <c r="AJ6144">
        <v>81.574162140866207</v>
      </c>
      <c r="AK6144">
        <v>0.64227488371920705</v>
      </c>
      <c r="AL6144">
        <v>65.676010779434705</v>
      </c>
      <c r="AM6144">
        <v>89.232476646823599</v>
      </c>
      <c r="AN6144">
        <v>0.99999995443571699</v>
      </c>
    </row>
    <row r="6145" spans="1:40" x14ac:dyDescent="0.25">
      <c r="A6145" t="str">
        <f>"20190304165008109"</f>
        <v>20190304165008109</v>
      </c>
      <c r="B6145" t="str">
        <f>"1551689408101717"</f>
        <v>1551689408101717</v>
      </c>
      <c r="C6145" t="s">
        <v>40</v>
      </c>
      <c r="D6145">
        <v>4.7412869999999998</v>
      </c>
      <c r="E6145">
        <v>0.56304759999999998</v>
      </c>
      <c r="F6145" t="s">
        <v>41</v>
      </c>
      <c r="G6145">
        <v>-340.13560000000001</v>
      </c>
      <c r="H6145">
        <v>0.97287069999999998</v>
      </c>
      <c r="I6145">
        <v>17.38729</v>
      </c>
      <c r="J6145">
        <v>-340.91199999999998</v>
      </c>
      <c r="K6145">
        <v>1.1106469999999999</v>
      </c>
      <c r="L6145">
        <v>17.497129999999999</v>
      </c>
      <c r="M6145">
        <v>0.99989150000000004</v>
      </c>
      <c r="N6145">
        <v>-1.460769E-2</v>
      </c>
      <c r="O6145">
        <v>1.9028960000000001E-3</v>
      </c>
      <c r="P6145">
        <v>0.91738839999999999</v>
      </c>
      <c r="Q6145">
        <v>0.39788590000000001</v>
      </c>
      <c r="R6145">
        <v>-9.2355419999999994E-3</v>
      </c>
      <c r="S6145">
        <v>3.488953</v>
      </c>
      <c r="T6145">
        <v>-0.51104870000000002</v>
      </c>
      <c r="U6145">
        <v>-0.40643309999999999</v>
      </c>
      <c r="V6145">
        <v>1.143102E-2</v>
      </c>
      <c r="W6145">
        <v>0.41123179999999998</v>
      </c>
      <c r="X6145">
        <v>0.91145909999999997</v>
      </c>
      <c r="Y6145">
        <v>0.1162343</v>
      </c>
      <c r="Z6145">
        <v>-9.5450480000000004E-3</v>
      </c>
      <c r="AA6145">
        <v>0.99317599999999995</v>
      </c>
      <c r="AB6145">
        <v>34</v>
      </c>
      <c r="AC6145">
        <v>0.77639999999996601</v>
      </c>
      <c r="AD6145">
        <v>-0.13777629999999899</v>
      </c>
      <c r="AE6145">
        <v>-0.10983999999999799</v>
      </c>
      <c r="AF6145">
        <v>0.107983644174677</v>
      </c>
      <c r="AG6145">
        <v>-0.13777629999999899</v>
      </c>
      <c r="AH6145">
        <v>0.75294429899895599</v>
      </c>
      <c r="AI6145">
        <v>100.266681233006</v>
      </c>
      <c r="AJ6145">
        <v>81.838566237687601</v>
      </c>
      <c r="AK6145">
        <v>0.77302515718827902</v>
      </c>
      <c r="AL6145">
        <v>65.717761318182397</v>
      </c>
      <c r="AM6145">
        <v>89.281465436881106</v>
      </c>
      <c r="AN6145">
        <v>0.99999997626114401</v>
      </c>
    </row>
    <row r="6146" spans="1:40" x14ac:dyDescent="0.25">
      <c r="A6146" t="str">
        <f>"20190304165008123"</f>
        <v>20190304165008123</v>
      </c>
      <c r="B6146" t="str">
        <f>"1551689408111478"</f>
        <v>1551689408111478</v>
      </c>
      <c r="C6146" t="s">
        <v>40</v>
      </c>
      <c r="D6146">
        <v>4.7562850000000001</v>
      </c>
      <c r="E6146">
        <v>0.56317450000000002</v>
      </c>
      <c r="F6146" t="s">
        <v>41</v>
      </c>
      <c r="G6146">
        <v>-340.12509999999997</v>
      </c>
      <c r="H6146">
        <v>0.99501719999999905</v>
      </c>
      <c r="I6146">
        <v>17.40513</v>
      </c>
      <c r="J6146">
        <v>-340.72539999999998</v>
      </c>
      <c r="K6146">
        <v>1.1106389999999999</v>
      </c>
      <c r="L6146">
        <v>17.497250000000001</v>
      </c>
      <c r="M6146">
        <v>0.99989189999999994</v>
      </c>
      <c r="N6146">
        <v>-1.460583E-2</v>
      </c>
      <c r="O6146">
        <v>1.646567E-3</v>
      </c>
      <c r="P6146">
        <v>0.9176917</v>
      </c>
      <c r="Q6146">
        <v>0.39719949999999998</v>
      </c>
      <c r="R6146">
        <v>-8.6479339999999995E-3</v>
      </c>
      <c r="S6146">
        <v>3.4883120000000001</v>
      </c>
      <c r="T6146">
        <v>-0.51248059999999995</v>
      </c>
      <c r="U6146">
        <v>-0.40707399999999999</v>
      </c>
      <c r="V6146">
        <v>1.0607709999999999E-2</v>
      </c>
      <c r="W6146">
        <v>0.41054930000000001</v>
      </c>
      <c r="X6146">
        <v>0.9117767</v>
      </c>
      <c r="Y6146">
        <v>0.1161759</v>
      </c>
      <c r="Z6146">
        <v>-9.5323290000000008E-3</v>
      </c>
      <c r="AA6146">
        <v>0.99318289999999998</v>
      </c>
      <c r="AB6146">
        <v>34</v>
      </c>
      <c r="AC6146">
        <v>0.60030000000000405</v>
      </c>
      <c r="AD6146">
        <v>-0.1156218</v>
      </c>
      <c r="AE6146">
        <v>-9.2120000000001298E-2</v>
      </c>
      <c r="AF6146">
        <v>8.9851839449372098E-2</v>
      </c>
      <c r="AG6146">
        <v>-0.1156218</v>
      </c>
      <c r="AH6146">
        <v>0.579156630167872</v>
      </c>
      <c r="AI6146">
        <v>101.159903173016</v>
      </c>
      <c r="AJ6146">
        <v>81.1812910042064</v>
      </c>
      <c r="AK6146">
        <v>0.59738108101536103</v>
      </c>
      <c r="AL6146">
        <v>65.760654386000994</v>
      </c>
      <c r="AM6146">
        <v>89.333444697429599</v>
      </c>
      <c r="AN6146">
        <v>1.0000000009524099</v>
      </c>
    </row>
    <row r="6147" spans="1:40" x14ac:dyDescent="0.25">
      <c r="A6147" t="str">
        <f>"20190304165008145"</f>
        <v>20190304165008145</v>
      </c>
      <c r="B6147" t="str">
        <f>"1551689408141733"</f>
        <v>1551689408141733</v>
      </c>
      <c r="C6147" t="s">
        <v>40</v>
      </c>
      <c r="D6147">
        <v>4.8974589999999996</v>
      </c>
      <c r="E6147">
        <v>0.56320349999999997</v>
      </c>
      <c r="F6147" t="s">
        <v>41</v>
      </c>
      <c r="G6147">
        <v>-339.8279</v>
      </c>
      <c r="H6147">
        <v>0.97819610000000001</v>
      </c>
      <c r="I6147">
        <v>17.392139999999898</v>
      </c>
      <c r="J6147">
        <v>-340.38330000000002</v>
      </c>
      <c r="K6147">
        <v>1.11063</v>
      </c>
      <c r="L6147">
        <v>17.497339999999902</v>
      </c>
      <c r="M6147">
        <v>0.99989280000000003</v>
      </c>
      <c r="N6147">
        <v>-1.4602250000000001E-2</v>
      </c>
      <c r="O6147">
        <v>1.1761089999999901E-3</v>
      </c>
      <c r="P6147">
        <v>0.91813020000000001</v>
      </c>
      <c r="Q6147">
        <v>0.39620719999999998</v>
      </c>
      <c r="R6147">
        <v>-7.5565500000000004E-3</v>
      </c>
      <c r="S6147">
        <v>3.4879760000000002</v>
      </c>
      <c r="T6147">
        <v>-0.51464840000000001</v>
      </c>
      <c r="U6147">
        <v>-0.40692139999999999</v>
      </c>
      <c r="V6147">
        <v>9.0836100000000006E-3</v>
      </c>
      <c r="W6147">
        <v>0.40956169999999997</v>
      </c>
      <c r="X6147">
        <v>0.91223719999999997</v>
      </c>
      <c r="Y6147">
        <v>0.1156755</v>
      </c>
      <c r="Z6147">
        <v>-9.4671379999999999E-3</v>
      </c>
      <c r="AA6147">
        <v>0.99324199999999996</v>
      </c>
      <c r="AB6147">
        <v>34</v>
      </c>
      <c r="AC6147">
        <v>0.55540000000001999</v>
      </c>
      <c r="AD6147">
        <v>-0.13243389999999999</v>
      </c>
      <c r="AE6147">
        <v>-0.105199999999999</v>
      </c>
      <c r="AF6147">
        <v>0.100345436461151</v>
      </c>
      <c r="AG6147">
        <v>-0.13243389999999999</v>
      </c>
      <c r="AH6147">
        <v>0.52638367145835097</v>
      </c>
      <c r="AI6147">
        <v>103.88198974751499</v>
      </c>
      <c r="AJ6147">
        <v>79.207101943567395</v>
      </c>
      <c r="AK6147">
        <v>0.55198524805085303</v>
      </c>
      <c r="AL6147">
        <v>65.822695635659898</v>
      </c>
      <c r="AM6147">
        <v>89.429495622995304</v>
      </c>
      <c r="AN6147">
        <v>1.00000000357068</v>
      </c>
    </row>
    <row r="6148" spans="1:40" x14ac:dyDescent="0.25">
      <c r="A6148" t="str">
        <f>"20190304165008156"</f>
        <v>20190304165008156</v>
      </c>
      <c r="B6148" t="str">
        <f>"1551689408151493"</f>
        <v>1551689408151493</v>
      </c>
      <c r="C6148" t="s">
        <v>40</v>
      </c>
      <c r="D6148">
        <v>4.6513080000000002</v>
      </c>
      <c r="E6148">
        <v>0.53273990000000004</v>
      </c>
      <c r="F6148" t="s">
        <v>41</v>
      </c>
      <c r="G6148">
        <v>-339.52120000000002</v>
      </c>
      <c r="H6148">
        <v>0.98236319999999999</v>
      </c>
      <c r="I6148">
        <v>17.396850000000001</v>
      </c>
      <c r="J6148">
        <v>-340.21730000000002</v>
      </c>
      <c r="K6148">
        <v>1.1106320000000001</v>
      </c>
      <c r="L6148">
        <v>17.497309999999999</v>
      </c>
      <c r="M6148">
        <v>0.99989289999999997</v>
      </c>
      <c r="N6148">
        <v>-1.4600439999999999E-2</v>
      </c>
      <c r="O6148">
        <v>9.4833129999999995E-4</v>
      </c>
      <c r="P6148">
        <v>0.91841110000000004</v>
      </c>
      <c r="Q6148">
        <v>0.39556910000000001</v>
      </c>
      <c r="R6148">
        <v>-6.7818160000000004E-3</v>
      </c>
      <c r="S6148">
        <v>3.488159</v>
      </c>
      <c r="T6148">
        <v>-0.5189705</v>
      </c>
      <c r="U6148">
        <v>-0.40563959999999999</v>
      </c>
      <c r="V6148">
        <v>8.0990660000000003E-3</v>
      </c>
      <c r="W6148">
        <v>0.40892780000000001</v>
      </c>
      <c r="X6148">
        <v>0.91253079999999998</v>
      </c>
      <c r="Y6148">
        <v>0.11507050000000001</v>
      </c>
      <c r="Z6148">
        <v>-9.4591769999999992E-3</v>
      </c>
      <c r="AA6148">
        <v>0.99331230000000004</v>
      </c>
      <c r="AB6148">
        <v>34</v>
      </c>
      <c r="AC6148">
        <v>0.69610000000000105</v>
      </c>
      <c r="AD6148">
        <v>-0.12826879999999999</v>
      </c>
      <c r="AE6148">
        <v>-0.100459999999998</v>
      </c>
      <c r="AF6148">
        <v>9.7864988720929705E-2</v>
      </c>
      <c r="AG6148">
        <v>-0.12826879999999999</v>
      </c>
      <c r="AH6148">
        <v>0.67359925450875302</v>
      </c>
      <c r="AI6148">
        <v>100.67192626350101</v>
      </c>
      <c r="AJ6148">
        <v>81.733526992656707</v>
      </c>
      <c r="AK6148">
        <v>0.69265171388334601</v>
      </c>
      <c r="AL6148">
        <v>65.862501365293795</v>
      </c>
      <c r="AM6148">
        <v>89.491491009642701</v>
      </c>
      <c r="AN6148">
        <v>1.0000000007157701</v>
      </c>
    </row>
    <row r="6149" spans="1:40" x14ac:dyDescent="0.25">
      <c r="A6149" t="str">
        <f>"20190304165008168"</f>
        <v>20190304165008168</v>
      </c>
      <c r="B6149" t="str">
        <f>"1551689408161254"</f>
        <v>1551689408161254</v>
      </c>
      <c r="C6149" t="s">
        <v>40</v>
      </c>
      <c r="D6149">
        <v>4.7881999999999998</v>
      </c>
      <c r="E6149">
        <v>0.52200769999999996</v>
      </c>
      <c r="F6149" t="s">
        <v>41</v>
      </c>
      <c r="G6149">
        <v>-339.19420000000002</v>
      </c>
      <c r="H6149">
        <v>1.028254</v>
      </c>
      <c r="I6149">
        <v>17.443079999999998</v>
      </c>
      <c r="J6149">
        <v>-340.02800000000002</v>
      </c>
      <c r="K6149">
        <v>1.1106339999999999</v>
      </c>
      <c r="L6149">
        <v>17.497250000000001</v>
      </c>
      <c r="M6149">
        <v>0.99989320000000004</v>
      </c>
      <c r="N6149">
        <v>-1.459824E-2</v>
      </c>
      <c r="O6149">
        <v>6.8801479999999998E-4</v>
      </c>
      <c r="P6149">
        <v>0.91859590000000002</v>
      </c>
      <c r="Q6149">
        <v>0.39514680000000002</v>
      </c>
      <c r="R6149">
        <v>-6.3744190000000001E-3</v>
      </c>
      <c r="S6149">
        <v>3.3824770000000002</v>
      </c>
      <c r="T6149">
        <v>-0.27233619999999997</v>
      </c>
      <c r="U6149">
        <v>-0.17803959999999999</v>
      </c>
      <c r="V6149">
        <v>7.4518869999999999E-3</v>
      </c>
      <c r="W6149">
        <v>0.40850649999999999</v>
      </c>
      <c r="X6149">
        <v>0.91272500000000001</v>
      </c>
      <c r="Y6149">
        <v>5.3046330000000003E-2</v>
      </c>
      <c r="Z6149">
        <v>-2.564027E-3</v>
      </c>
      <c r="AA6149">
        <v>0.9985887</v>
      </c>
      <c r="AB6149">
        <v>34</v>
      </c>
      <c r="AC6149">
        <v>0.83379999999999599</v>
      </c>
      <c r="AD6149">
        <v>-8.2380000000000106E-2</v>
      </c>
      <c r="AE6149">
        <v>-5.4170000000002702E-2</v>
      </c>
      <c r="AF6149">
        <v>5.42166992268635E-2</v>
      </c>
      <c r="AG6149">
        <v>-8.2380000000000106E-2</v>
      </c>
      <c r="AH6149">
        <v>0.82573592620845004</v>
      </c>
      <c r="AI6149">
        <v>95.685132074277305</v>
      </c>
      <c r="AJ6149">
        <v>86.243429020524204</v>
      </c>
      <c r="AK6149">
        <v>0.83160431378533795</v>
      </c>
      <c r="AL6149">
        <v>65.888950275851002</v>
      </c>
      <c r="AM6149">
        <v>89.532222533538103</v>
      </c>
      <c r="AN6149">
        <v>1.0000000083935501</v>
      </c>
    </row>
    <row r="6150" spans="1:40" x14ac:dyDescent="0.25">
      <c r="A6150" t="str">
        <f>"20190304165008178"</f>
        <v>20190304165008178</v>
      </c>
      <c r="B6150" t="str">
        <f>"1551689408171989"</f>
        <v>1551689408171989</v>
      </c>
      <c r="C6150" t="s">
        <v>40</v>
      </c>
      <c r="D6150">
        <v>4.6527010000000004</v>
      </c>
      <c r="E6150">
        <v>0.51251819999999904</v>
      </c>
      <c r="F6150" t="s">
        <v>41</v>
      </c>
      <c r="G6150">
        <v>-339.18360000000001</v>
      </c>
      <c r="H6150">
        <v>1.0438639999999999</v>
      </c>
      <c r="I6150">
        <v>17.473970000000001</v>
      </c>
      <c r="J6150">
        <v>-339.86160000000001</v>
      </c>
      <c r="K6150">
        <v>1.110633</v>
      </c>
      <c r="L6150">
        <v>17.497129999999999</v>
      </c>
      <c r="M6150">
        <v>0.99989340000000004</v>
      </c>
      <c r="N6150">
        <v>-1.4596339999999999E-2</v>
      </c>
      <c r="O6150">
        <v>4.5916529999999998E-4</v>
      </c>
      <c r="P6150">
        <v>0.91866959999999998</v>
      </c>
      <c r="Q6150">
        <v>0.3949802</v>
      </c>
      <c r="R6150">
        <v>-6.0672540000000002E-3</v>
      </c>
      <c r="S6150">
        <v>3.3802189999999999</v>
      </c>
      <c r="T6150">
        <v>-0.26725539999999998</v>
      </c>
      <c r="U6150">
        <v>-9.1674800000000001E-2</v>
      </c>
      <c r="V6150">
        <v>6.9342309999999999E-3</v>
      </c>
      <c r="W6150">
        <v>0.40833989999999998</v>
      </c>
      <c r="X6150">
        <v>0.91280360000000005</v>
      </c>
      <c r="Y6150">
        <v>2.7467559999999999E-2</v>
      </c>
      <c r="Z6150">
        <v>-1.3143930000000001E-3</v>
      </c>
      <c r="AA6150">
        <v>0.9996218</v>
      </c>
      <c r="AB6150">
        <v>34</v>
      </c>
      <c r="AC6150">
        <v>0.67799999999999705</v>
      </c>
      <c r="AD6150">
        <v>-6.6768999999999995E-2</v>
      </c>
      <c r="AE6150">
        <v>-2.31599999999971E-2</v>
      </c>
      <c r="AF6150">
        <v>2.3246162020807599E-2</v>
      </c>
      <c r="AG6150">
        <v>-6.6768999999999995E-2</v>
      </c>
      <c r="AH6150">
        <v>0.671484701803297</v>
      </c>
      <c r="AI6150">
        <v>95.675155332158198</v>
      </c>
      <c r="AJ6150">
        <v>88.017266417151006</v>
      </c>
      <c r="AK6150">
        <v>0.67519640710356299</v>
      </c>
      <c r="AL6150">
        <v>65.899407114194901</v>
      </c>
      <c r="AM6150">
        <v>89.564753548161903</v>
      </c>
      <c r="AN6150">
        <v>0.99999998483226504</v>
      </c>
    </row>
    <row r="6151" spans="1:40" x14ac:dyDescent="0.25">
      <c r="A6151" t="str">
        <f>"20190304165008189"</f>
        <v>20190304165008189</v>
      </c>
      <c r="B6151" t="str">
        <f>"1551689408181749"</f>
        <v>1551689408181749</v>
      </c>
      <c r="C6151" t="s">
        <v>40</v>
      </c>
      <c r="D6151">
        <v>4.7136380000000004</v>
      </c>
      <c r="E6151">
        <v>0.50634029999999997</v>
      </c>
      <c r="F6151" t="s">
        <v>41</v>
      </c>
      <c r="G6151">
        <v>-338.88900000000001</v>
      </c>
      <c r="H6151">
        <v>1.029121</v>
      </c>
      <c r="I6151">
        <v>17.493010000000002</v>
      </c>
      <c r="J6151">
        <v>-339.69659999999999</v>
      </c>
      <c r="K6151">
        <v>1.1106339999999999</v>
      </c>
      <c r="L6151">
        <v>17.497039999999998</v>
      </c>
      <c r="M6151">
        <v>0.99989349999999999</v>
      </c>
      <c r="N6151">
        <v>-1.459451E-2</v>
      </c>
      <c r="O6151">
        <v>2.3216339999999999E-4</v>
      </c>
      <c r="P6151">
        <v>0.9189176</v>
      </c>
      <c r="Q6151">
        <v>0.3944085</v>
      </c>
      <c r="R6151">
        <v>-5.6968369999999997E-3</v>
      </c>
      <c r="S6151">
        <v>3.3875730000000002</v>
      </c>
      <c r="T6151">
        <v>-0.28390110000000002</v>
      </c>
      <c r="U6151">
        <v>-1.397705E-2</v>
      </c>
      <c r="V6151">
        <v>6.3543649999999998E-3</v>
      </c>
      <c r="W6151">
        <v>0.40777079999999999</v>
      </c>
      <c r="X6151">
        <v>0.91306220000000005</v>
      </c>
      <c r="Y6151">
        <v>4.3397009999999996E-3</v>
      </c>
      <c r="Z6151">
        <v>-2.293029E-4</v>
      </c>
      <c r="AA6151">
        <v>0.99999059999999995</v>
      </c>
      <c r="AB6151">
        <v>34</v>
      </c>
      <c r="AC6151">
        <v>0.807599999999979</v>
      </c>
      <c r="AD6151">
        <v>-8.1513000000000099E-2</v>
      </c>
      <c r="AE6151">
        <v>-4.0299999999966396E-3</v>
      </c>
      <c r="AF6151">
        <v>4.17498406282793E-3</v>
      </c>
      <c r="AG6151">
        <v>-8.1513000000000099E-2</v>
      </c>
      <c r="AH6151">
        <v>0.79945491998127904</v>
      </c>
      <c r="AI6151">
        <v>95.821721316259499</v>
      </c>
      <c r="AJ6151">
        <v>89.700787641930901</v>
      </c>
      <c r="AK6151">
        <v>0.80361058277202702</v>
      </c>
      <c r="AL6151">
        <v>65.935123138454998</v>
      </c>
      <c r="AM6151">
        <v>89.601262194048601</v>
      </c>
      <c r="AN6151">
        <v>0.99999999217801605</v>
      </c>
    </row>
    <row r="6152" spans="1:40" x14ac:dyDescent="0.25">
      <c r="A6152" t="str">
        <f>"20190304165008201"</f>
        <v>20190304165008201</v>
      </c>
      <c r="B6152" t="str">
        <f>"1551689408191509"</f>
        <v>1551689408191509</v>
      </c>
      <c r="C6152" t="s">
        <v>40</v>
      </c>
      <c r="D6152">
        <v>4.7109209999999999</v>
      </c>
      <c r="E6152">
        <v>0.50252739999999996</v>
      </c>
      <c r="F6152" t="s">
        <v>42</v>
      </c>
      <c r="G6152">
        <v>-326.82600000000002</v>
      </c>
      <c r="H6152" s="1">
        <v>-1.8320129999999999E-6</v>
      </c>
      <c r="I6152">
        <v>17.636520000000001</v>
      </c>
      <c r="J6152">
        <v>-339.5378</v>
      </c>
      <c r="K6152">
        <v>1.110636</v>
      </c>
      <c r="L6152">
        <v>17.496860000000002</v>
      </c>
      <c r="M6152">
        <v>0.99989349999999999</v>
      </c>
      <c r="N6152">
        <v>-1.459274E-2</v>
      </c>
      <c r="O6152" s="1">
        <v>1.374391E-5</v>
      </c>
      <c r="P6152">
        <v>0.91905440000000005</v>
      </c>
      <c r="Q6152">
        <v>0.39409329999999998</v>
      </c>
      <c r="R6152">
        <v>-5.4336749999999998E-3</v>
      </c>
      <c r="S6152">
        <v>3.3905639999999999</v>
      </c>
      <c r="T6152">
        <v>-0.29258099999999998</v>
      </c>
      <c r="U6152">
        <v>3.6743159999999997E-2</v>
      </c>
      <c r="V6152">
        <v>5.8896779999999998E-3</v>
      </c>
      <c r="W6152">
        <v>0.40745690000000001</v>
      </c>
      <c r="X6152">
        <v>0.91320539999999994</v>
      </c>
      <c r="Y6152">
        <v>-1.0775699999999999E-2</v>
      </c>
      <c r="Z6152">
        <v>5.4187370000000003E-4</v>
      </c>
      <c r="AA6152">
        <v>0.99994179999999999</v>
      </c>
      <c r="AB6152">
        <v>34</v>
      </c>
      <c r="AC6152">
        <v>12.7118</v>
      </c>
      <c r="AD6152">
        <v>-1.1106378320129999</v>
      </c>
      <c r="AE6152">
        <v>0.13965999999999901</v>
      </c>
      <c r="AF6152">
        <v>-0.13842868639443101</v>
      </c>
      <c r="AG6152">
        <v>-1.1106378320129999</v>
      </c>
      <c r="AH6152">
        <v>12.6155114573322</v>
      </c>
      <c r="AI6152">
        <v>95.030903185375905</v>
      </c>
      <c r="AJ6152">
        <v>90.6286753588506</v>
      </c>
      <c r="AK6152">
        <v>12.6650625038013</v>
      </c>
      <c r="AL6152">
        <v>65.954817891843206</v>
      </c>
      <c r="AM6152">
        <v>89.630478517365106</v>
      </c>
      <c r="AN6152">
        <v>0.99999995812685505</v>
      </c>
    </row>
    <row r="6153" spans="1:40" x14ac:dyDescent="0.25">
      <c r="A6153" t="str">
        <f>"20190304165008211"</f>
        <v>20190304165008211</v>
      </c>
      <c r="B6153" t="str">
        <f>"1551689408201269"</f>
        <v>1551689408201269</v>
      </c>
      <c r="C6153" t="s">
        <v>40</v>
      </c>
      <c r="D6153">
        <v>4.7122000000000002</v>
      </c>
      <c r="E6153">
        <v>0.50018099999999999</v>
      </c>
      <c r="F6153" t="s">
        <v>41</v>
      </c>
      <c r="G6153">
        <v>-338.58420000000001</v>
      </c>
      <c r="H6153">
        <v>1.0258560000000001</v>
      </c>
      <c r="I6153">
        <v>17.515619999999998</v>
      </c>
      <c r="J6153">
        <v>-339.36529999999999</v>
      </c>
      <c r="K6153">
        <v>1.1106370000000001</v>
      </c>
      <c r="L6153">
        <v>17.49661</v>
      </c>
      <c r="M6153">
        <v>0.99989349999999999</v>
      </c>
      <c r="N6153">
        <v>-1.4590830000000001E-2</v>
      </c>
      <c r="O6153">
        <v>-2.2356709999999999E-4</v>
      </c>
      <c r="P6153">
        <v>0.91915519999999995</v>
      </c>
      <c r="Q6153">
        <v>0.39386060000000001</v>
      </c>
      <c r="R6153">
        <v>-5.2263739999999998E-3</v>
      </c>
      <c r="S6153">
        <v>3.394012</v>
      </c>
      <c r="T6153">
        <v>-0.30172120000000002</v>
      </c>
      <c r="U6153">
        <v>6.8145750000000005E-2</v>
      </c>
      <c r="V6153">
        <v>5.4637089999999998E-3</v>
      </c>
      <c r="W6153">
        <v>0.40722439999999999</v>
      </c>
      <c r="X6153">
        <v>0.91331180000000001</v>
      </c>
      <c r="Y6153">
        <v>-2.0204340000000001E-2</v>
      </c>
      <c r="Z6153">
        <v>1.0605429999999999E-3</v>
      </c>
      <c r="AA6153">
        <v>0.99979530000000005</v>
      </c>
      <c r="AB6153">
        <v>34</v>
      </c>
      <c r="AC6153">
        <v>0.78109999999998003</v>
      </c>
      <c r="AD6153">
        <v>-8.4781000000000203E-2</v>
      </c>
      <c r="AE6153">
        <v>1.9010000000001501E-2</v>
      </c>
      <c r="AF6153">
        <v>-1.8961393597088601E-2</v>
      </c>
      <c r="AG6153">
        <v>-8.4781000000000203E-2</v>
      </c>
      <c r="AH6153">
        <v>0.77200607604329097</v>
      </c>
      <c r="AI6153">
        <v>96.265182056559297</v>
      </c>
      <c r="AJ6153">
        <v>91.406970074668493</v>
      </c>
      <c r="AK6153">
        <v>0.77687884116888095</v>
      </c>
      <c r="AL6153">
        <v>65.969405307311007</v>
      </c>
      <c r="AM6153">
        <v>89.657243307461798</v>
      </c>
      <c r="AN6153">
        <v>1.0000000040453101</v>
      </c>
    </row>
    <row r="6154" spans="1:40" x14ac:dyDescent="0.25">
      <c r="A6154" t="str">
        <f>"20190304165008221"</f>
        <v>20190304165008221</v>
      </c>
      <c r="B6154" t="str">
        <f>"1551689408212006"</f>
        <v>1551689408212006</v>
      </c>
      <c r="C6154" t="s">
        <v>40</v>
      </c>
      <c r="D6154">
        <v>4.6415170000000003</v>
      </c>
      <c r="E6154">
        <v>0.49875409999999998</v>
      </c>
      <c r="F6154" t="s">
        <v>42</v>
      </c>
      <c r="G6154">
        <v>-327.15460000000002</v>
      </c>
      <c r="H6154" s="1">
        <v>-1.646071E-6</v>
      </c>
      <c r="I6154">
        <v>17.809170000000002</v>
      </c>
      <c r="J6154">
        <v>-339.21010000000001</v>
      </c>
      <c r="K6154">
        <v>1.110638</v>
      </c>
      <c r="L6154">
        <v>17.496369999999999</v>
      </c>
      <c r="M6154">
        <v>0.99989349999999999</v>
      </c>
      <c r="N6154">
        <v>-1.4589100000000001E-2</v>
      </c>
      <c r="O6154">
        <v>-4.373968E-4</v>
      </c>
      <c r="P6154">
        <v>0.91932080000000005</v>
      </c>
      <c r="Q6154">
        <v>0.3934783</v>
      </c>
      <c r="R6154">
        <v>-4.9629289999999996E-3</v>
      </c>
      <c r="S6154">
        <v>3.3967290000000001</v>
      </c>
      <c r="T6154">
        <v>-0.30895260000000002</v>
      </c>
      <c r="U6154">
        <v>8.6944579999999994E-2</v>
      </c>
      <c r="V6154">
        <v>5.0026860000000001E-3</v>
      </c>
      <c r="W6154">
        <v>0.40684330000000002</v>
      </c>
      <c r="X6154">
        <v>0.91348430000000003</v>
      </c>
      <c r="Y6154">
        <v>-2.5900139999999999E-2</v>
      </c>
      <c r="Z6154">
        <v>1.3980170000000001E-3</v>
      </c>
      <c r="AA6154">
        <v>0.99966350000000004</v>
      </c>
      <c r="AB6154">
        <v>34</v>
      </c>
      <c r="AC6154">
        <v>12.055499999999901</v>
      </c>
      <c r="AD6154">
        <v>-1.110639646071</v>
      </c>
      <c r="AE6154">
        <v>0.31279999999999902</v>
      </c>
      <c r="AF6154">
        <v>-0.31539844898493102</v>
      </c>
      <c r="AG6154">
        <v>-1.110639646071</v>
      </c>
      <c r="AH6154">
        <v>11.953971847585599</v>
      </c>
      <c r="AI6154">
        <v>95.306257690043395</v>
      </c>
      <c r="AJ6154">
        <v>91.511364480038495</v>
      </c>
      <c r="AK6154">
        <v>12.0095978091656</v>
      </c>
      <c r="AL6154">
        <v>65.993311329168407</v>
      </c>
      <c r="AM6154">
        <v>89.686223475844599</v>
      </c>
      <c r="AN6154">
        <v>1.0000000319842901</v>
      </c>
    </row>
    <row r="6155" spans="1:40" x14ac:dyDescent="0.25">
      <c r="A6155" t="str">
        <f>"20190304165008232"</f>
        <v>20190304165008232</v>
      </c>
      <c r="B6155" t="str">
        <f>"1551689408221766"</f>
        <v>1551689408221766</v>
      </c>
      <c r="C6155" t="s">
        <v>40</v>
      </c>
      <c r="D6155">
        <v>4.6381969999999999</v>
      </c>
      <c r="E6155">
        <v>0.49768000000000001</v>
      </c>
      <c r="F6155" t="s">
        <v>41</v>
      </c>
      <c r="G6155">
        <v>-338.28019999999998</v>
      </c>
      <c r="H6155">
        <v>1.024457</v>
      </c>
      <c r="I6155">
        <v>17.523420000000002</v>
      </c>
      <c r="J6155">
        <v>-339.04660000000001</v>
      </c>
      <c r="K6155">
        <v>1.1106389999999999</v>
      </c>
      <c r="L6155">
        <v>17.496089999999999</v>
      </c>
      <c r="M6155">
        <v>0.99989340000000004</v>
      </c>
      <c r="N6155">
        <v>-1.4587269999999999E-2</v>
      </c>
      <c r="O6155">
        <v>-6.6231119999999905E-4</v>
      </c>
      <c r="P6155">
        <v>0.91930559999999995</v>
      </c>
      <c r="Q6155">
        <v>0.3935149</v>
      </c>
      <c r="R6155">
        <v>-4.8661009999999899E-3</v>
      </c>
      <c r="S6155">
        <v>3.398682</v>
      </c>
      <c r="T6155">
        <v>-0.31505929999999999</v>
      </c>
      <c r="U6155">
        <v>9.9121089999999995E-2</v>
      </c>
      <c r="V6155">
        <v>4.6987299999999999E-3</v>
      </c>
      <c r="W6155">
        <v>0.40687810000000002</v>
      </c>
      <c r="X6155">
        <v>0.91347040000000002</v>
      </c>
      <c r="Y6155">
        <v>-2.9665070000000002E-2</v>
      </c>
      <c r="Z6155">
        <v>1.6403209999999999E-3</v>
      </c>
      <c r="AA6155">
        <v>0.99955859999999996</v>
      </c>
      <c r="AB6155">
        <v>34</v>
      </c>
      <c r="AC6155">
        <v>0.76640000000003194</v>
      </c>
      <c r="AD6155">
        <v>-8.6181999999999898E-2</v>
      </c>
      <c r="AE6155">
        <v>2.7330000000002699E-2</v>
      </c>
      <c r="AF6155">
        <v>-2.7490465219052601E-2</v>
      </c>
      <c r="AG6155">
        <v>-8.6181999999999898E-2</v>
      </c>
      <c r="AH6155">
        <v>0.75682377379239796</v>
      </c>
      <c r="AI6155">
        <v>96.492229275173301</v>
      </c>
      <c r="AJ6155">
        <v>92.080266920345693</v>
      </c>
      <c r="AK6155">
        <v>0.76221078933542097</v>
      </c>
      <c r="AL6155">
        <v>65.991128278134696</v>
      </c>
      <c r="AM6155">
        <v>89.705283254159994</v>
      </c>
      <c r="AN6155">
        <v>1.00000001899969</v>
      </c>
    </row>
    <row r="6156" spans="1:40" x14ac:dyDescent="0.25">
      <c r="A6156" t="str">
        <f>"20190304165008244"</f>
        <v>20190304165008244</v>
      </c>
      <c r="B6156" t="str">
        <f>"1551689408231526"</f>
        <v>1551689408231526</v>
      </c>
      <c r="C6156" t="s">
        <v>40</v>
      </c>
      <c r="D6156">
        <v>4.6268529999999997</v>
      </c>
      <c r="E6156">
        <v>0.49689840000000002</v>
      </c>
      <c r="F6156" t="s">
        <v>42</v>
      </c>
      <c r="G6156">
        <v>-327.18380000000002</v>
      </c>
      <c r="H6156" s="1">
        <v>-1.621153E-6</v>
      </c>
      <c r="I6156">
        <v>17.871839999999999</v>
      </c>
      <c r="J6156">
        <v>-338.88040000000001</v>
      </c>
      <c r="K6156">
        <v>1.1106400000000001</v>
      </c>
      <c r="L6156">
        <v>17.49579</v>
      </c>
      <c r="M6156">
        <v>0.99989309999999998</v>
      </c>
      <c r="N6156">
        <v>-1.458544E-2</v>
      </c>
      <c r="O6156">
        <v>-8.9115889999999995E-4</v>
      </c>
      <c r="P6156">
        <v>0.91929039999999995</v>
      </c>
      <c r="Q6156">
        <v>0.39354800000000001</v>
      </c>
      <c r="R6156">
        <v>-5.0187519999999996E-3</v>
      </c>
      <c r="S6156">
        <v>3.4001769999999998</v>
      </c>
      <c r="T6156">
        <v>-0.31833640000000002</v>
      </c>
      <c r="U6156">
        <v>0.1076965</v>
      </c>
      <c r="V6156">
        <v>4.6407799999999997E-3</v>
      </c>
      <c r="W6156">
        <v>0.40690999999999999</v>
      </c>
      <c r="X6156">
        <v>0.9134565</v>
      </c>
      <c r="Y6156">
        <v>-3.2382309999999997E-2</v>
      </c>
      <c r="Z6156">
        <v>1.81927E-3</v>
      </c>
      <c r="AA6156">
        <v>0.99947390000000003</v>
      </c>
      <c r="AB6156">
        <v>34</v>
      </c>
      <c r="AC6156">
        <v>11.696599999999901</v>
      </c>
      <c r="AD6156">
        <v>-1.1106416211529999</v>
      </c>
      <c r="AE6156">
        <v>0.376049999999999</v>
      </c>
      <c r="AF6156">
        <v>-0.38302458939934603</v>
      </c>
      <c r="AG6156">
        <v>-1.1106416211529999</v>
      </c>
      <c r="AH6156">
        <v>11.591852437669701</v>
      </c>
      <c r="AI6156">
        <v>95.469964826927097</v>
      </c>
      <c r="AJ6156">
        <v>91.892511219920493</v>
      </c>
      <c r="AK6156">
        <v>11.651234938127001</v>
      </c>
      <c r="AL6156">
        <v>65.989127729718405</v>
      </c>
      <c r="AM6156">
        <v>89.708913538863897</v>
      </c>
      <c r="AN6156">
        <v>1.0000000311656201</v>
      </c>
    </row>
    <row r="6157" spans="1:40" x14ac:dyDescent="0.25">
      <c r="A6157" t="str">
        <f>"20190304165008255"</f>
        <v>20190304165008255</v>
      </c>
      <c r="B6157" t="str">
        <f>"1551689408252021"</f>
        <v>1551689408252021</v>
      </c>
      <c r="C6157" t="s">
        <v>40</v>
      </c>
      <c r="D6157">
        <v>4.6402299999999999</v>
      </c>
      <c r="E6157">
        <v>0.49572310000000003</v>
      </c>
      <c r="F6157" t="s">
        <v>41</v>
      </c>
      <c r="G6157">
        <v>-337.97179999999997</v>
      </c>
      <c r="H6157">
        <v>1.0251939999999999</v>
      </c>
      <c r="I6157">
        <v>17.525770000000001</v>
      </c>
      <c r="J6157">
        <v>-338.69959999999998</v>
      </c>
      <c r="K6157">
        <v>1.1106419999999999</v>
      </c>
      <c r="L6157">
        <v>17.49539</v>
      </c>
      <c r="M6157">
        <v>0.99989309999999998</v>
      </c>
      <c r="N6157">
        <v>-1.458345E-2</v>
      </c>
      <c r="O6157">
        <v>-1.1397919999999999E-3</v>
      </c>
      <c r="P6157">
        <v>0.91934439999999995</v>
      </c>
      <c r="Q6157">
        <v>0.39342050000000001</v>
      </c>
      <c r="R6157">
        <v>-5.137272E-3</v>
      </c>
      <c r="S6157">
        <v>3.4008790000000002</v>
      </c>
      <c r="T6157">
        <v>-0.31974140000000001</v>
      </c>
      <c r="U6157">
        <v>0.113494899999999</v>
      </c>
      <c r="V6157">
        <v>4.5299420000000003E-3</v>
      </c>
      <c r="W6157">
        <v>0.40678140000000002</v>
      </c>
      <c r="X6157">
        <v>0.9135143</v>
      </c>
      <c r="Y6157">
        <v>-3.4314589999999999E-2</v>
      </c>
      <c r="Z6157">
        <v>1.950327E-3</v>
      </c>
      <c r="AA6157">
        <v>0.9994092</v>
      </c>
      <c r="AB6157">
        <v>34</v>
      </c>
      <c r="AC6157">
        <v>0.727800000000002</v>
      </c>
      <c r="AD6157">
        <v>-8.5447999999999705E-2</v>
      </c>
      <c r="AE6157">
        <v>3.0380000000000899E-2</v>
      </c>
      <c r="AF6157">
        <v>-3.0785988745589399E-2</v>
      </c>
      <c r="AG6157">
        <v>-8.5447999999999705E-2</v>
      </c>
      <c r="AH6157">
        <v>0.71788665778006999</v>
      </c>
      <c r="AI6157">
        <v>96.781643034455598</v>
      </c>
      <c r="AJ6157">
        <v>92.455578591609296</v>
      </c>
      <c r="AK6157">
        <v>0.723609280776362</v>
      </c>
      <c r="AL6157">
        <v>65.997192954726799</v>
      </c>
      <c r="AM6157">
        <v>89.715883560144405</v>
      </c>
      <c r="AN6157">
        <v>1.00000000203248</v>
      </c>
    </row>
    <row r="6158" spans="1:40" x14ac:dyDescent="0.25">
      <c r="A6158" t="str">
        <f>"20190304165008267"</f>
        <v>20190304165008267</v>
      </c>
      <c r="B6158" t="str">
        <f>"1551689408261782"</f>
        <v>1551689408261782</v>
      </c>
      <c r="C6158" t="s">
        <v>40</v>
      </c>
      <c r="D6158">
        <v>4.6414780000000002</v>
      </c>
      <c r="E6158">
        <v>0.4953632</v>
      </c>
      <c r="F6158" t="s">
        <v>41</v>
      </c>
      <c r="G6158">
        <v>-337.67970000000003</v>
      </c>
      <c r="H6158">
        <v>1.014178</v>
      </c>
      <c r="I6158">
        <v>17.532050000000002</v>
      </c>
      <c r="J6158">
        <v>-338.51510000000002</v>
      </c>
      <c r="K6158">
        <v>1.1106419999999999</v>
      </c>
      <c r="L6158">
        <v>17.49493</v>
      </c>
      <c r="M6158">
        <v>0.99989280000000003</v>
      </c>
      <c r="N6158">
        <v>-1.4581490000000001E-2</v>
      </c>
      <c r="O6158">
        <v>-1.394029E-3</v>
      </c>
      <c r="P6158">
        <v>0.91934660000000001</v>
      </c>
      <c r="Q6158">
        <v>0.3934087</v>
      </c>
      <c r="R6158">
        <v>-5.6292900000000003E-3</v>
      </c>
      <c r="S6158">
        <v>3.4016109999999999</v>
      </c>
      <c r="T6158">
        <v>-0.3217584</v>
      </c>
      <c r="U6158">
        <v>0.1225586</v>
      </c>
      <c r="V6158">
        <v>4.7877950000000001E-3</v>
      </c>
      <c r="W6158">
        <v>0.4067675</v>
      </c>
      <c r="X6158">
        <v>0.91351919999999998</v>
      </c>
      <c r="Y6158">
        <v>-3.7203430000000003E-2</v>
      </c>
      <c r="Z6158">
        <v>2.1383349999999999E-3</v>
      </c>
      <c r="AA6158">
        <v>0.99930540000000001</v>
      </c>
      <c r="AB6158">
        <v>34</v>
      </c>
      <c r="AC6158">
        <v>0.83539999999999204</v>
      </c>
      <c r="AD6158">
        <v>-9.64639999999998E-2</v>
      </c>
      <c r="AE6158">
        <v>3.7120000000001603E-2</v>
      </c>
      <c r="AF6158">
        <v>-3.7781890275225397E-2</v>
      </c>
      <c r="AG6158">
        <v>-9.64639999999998E-2</v>
      </c>
      <c r="AH6158">
        <v>0.82437732531186003</v>
      </c>
      <c r="AI6158">
        <v>96.667143854835402</v>
      </c>
      <c r="AJ6158">
        <v>92.624076427975993</v>
      </c>
      <c r="AK6158">
        <v>0.83086144995246003</v>
      </c>
      <c r="AL6158">
        <v>65.998065347756906</v>
      </c>
      <c r="AM6158">
        <v>89.699713005499007</v>
      </c>
      <c r="AN6158">
        <v>1.00000002540292</v>
      </c>
    </row>
    <row r="6159" spans="1:40" x14ac:dyDescent="0.25">
      <c r="A6159" t="str">
        <f>"20190304165008279"</f>
        <v>20190304165008279</v>
      </c>
      <c r="B6159" t="str">
        <f>"1551689408271541"</f>
        <v>1551689408271541</v>
      </c>
      <c r="C6159" t="s">
        <v>40</v>
      </c>
      <c r="D6159">
        <v>4.5811710000000003</v>
      </c>
      <c r="E6159">
        <v>0.49500880000000003</v>
      </c>
      <c r="F6159" t="s">
        <v>42</v>
      </c>
      <c r="G6159">
        <v>-326.79750000000001</v>
      </c>
      <c r="H6159" s="1">
        <v>-1.79467899999999E-6</v>
      </c>
      <c r="I6159">
        <v>17.92296</v>
      </c>
      <c r="J6159">
        <v>-338.34640000000002</v>
      </c>
      <c r="K6159">
        <v>1.110643</v>
      </c>
      <c r="L6159">
        <v>17.494479999999999</v>
      </c>
      <c r="M6159">
        <v>0.99989249999999996</v>
      </c>
      <c r="N6159">
        <v>-1.4579689999999999E-2</v>
      </c>
      <c r="O6159">
        <v>-1.6263339999999999E-3</v>
      </c>
      <c r="P6159">
        <v>0.9193791</v>
      </c>
      <c r="Q6159">
        <v>0.39332709999999999</v>
      </c>
      <c r="R6159">
        <v>-6.0153979999999999E-3</v>
      </c>
      <c r="S6159">
        <v>3.4019469999999998</v>
      </c>
      <c r="T6159">
        <v>-0.32245049999999997</v>
      </c>
      <c r="U6159">
        <v>0.12426760000000001</v>
      </c>
      <c r="V6159">
        <v>4.959832E-3</v>
      </c>
      <c r="W6159">
        <v>0.40668470000000001</v>
      </c>
      <c r="X6159">
        <v>0.91355509999999995</v>
      </c>
      <c r="Y6159">
        <v>-3.7928160000000002E-2</v>
      </c>
      <c r="Z6159">
        <v>2.200287E-3</v>
      </c>
      <c r="AA6159">
        <v>0.99927809999999995</v>
      </c>
      <c r="AB6159">
        <v>34</v>
      </c>
      <c r="AC6159">
        <v>11.5489</v>
      </c>
      <c r="AD6159">
        <v>-1.1106447946789999</v>
      </c>
      <c r="AE6159">
        <v>0.42848000000000003</v>
      </c>
      <c r="AF6159">
        <v>-0.443170785986366</v>
      </c>
      <c r="AG6159">
        <v>-1.1106447946789999</v>
      </c>
      <c r="AH6159">
        <v>11.442507763856099</v>
      </c>
      <c r="AI6159">
        <v>95.539809331355599</v>
      </c>
      <c r="AJ6159">
        <v>92.217969296664705</v>
      </c>
      <c r="AK6159">
        <v>11.5048214297922</v>
      </c>
      <c r="AL6159">
        <v>66.003257291530005</v>
      </c>
      <c r="AM6159">
        <v>89.688935403423699</v>
      </c>
      <c r="AN6159">
        <v>0.99999998294178305</v>
      </c>
    </row>
    <row r="6160" spans="1:40" x14ac:dyDescent="0.25">
      <c r="A6160" t="str">
        <f>"20190304165008290"</f>
        <v>20190304165008290</v>
      </c>
      <c r="B6160" t="str">
        <f>"1551689408281301"</f>
        <v>1551689408281301</v>
      </c>
      <c r="C6160" t="s">
        <v>40</v>
      </c>
      <c r="D6160">
        <v>4.5829649999999997</v>
      </c>
      <c r="E6160">
        <v>0.49475720000000001</v>
      </c>
      <c r="F6160" t="s">
        <v>41</v>
      </c>
      <c r="G6160">
        <v>-337.37439999999998</v>
      </c>
      <c r="H6160">
        <v>1.018032</v>
      </c>
      <c r="I6160">
        <v>17.530419999999999</v>
      </c>
      <c r="J6160">
        <v>-338.16449999999998</v>
      </c>
      <c r="K6160">
        <v>1.1106419999999999</v>
      </c>
      <c r="L6160">
        <v>17.493929999999999</v>
      </c>
      <c r="M6160">
        <v>0.99989209999999995</v>
      </c>
      <c r="N6160">
        <v>-1.457774E-2</v>
      </c>
      <c r="O6160">
        <v>-1.876993E-3</v>
      </c>
      <c r="P6160">
        <v>0.91942270000000004</v>
      </c>
      <c r="Q6160">
        <v>0.39321729999999999</v>
      </c>
      <c r="R6160">
        <v>-6.5100189999999997E-3</v>
      </c>
      <c r="S6160">
        <v>3.4025880000000002</v>
      </c>
      <c r="T6160">
        <v>-0.32421040000000001</v>
      </c>
      <c r="U6160">
        <v>0.1265869</v>
      </c>
      <c r="V6160">
        <v>5.223246E-3</v>
      </c>
      <c r="W6160">
        <v>0.40657310000000002</v>
      </c>
      <c r="X6160">
        <v>0.91360330000000001</v>
      </c>
      <c r="Y6160">
        <v>-3.8844410000000003E-2</v>
      </c>
      <c r="Z6160">
        <v>2.2808619999999998E-3</v>
      </c>
      <c r="AA6160">
        <v>0.99924270000000004</v>
      </c>
      <c r="AB6160">
        <v>34</v>
      </c>
      <c r="AC6160">
        <v>0.79009999999999503</v>
      </c>
      <c r="AD6160">
        <v>-9.2609999999999804E-2</v>
      </c>
      <c r="AE6160">
        <v>3.6490000000000501E-2</v>
      </c>
      <c r="AF6160">
        <v>-3.7459548088091703E-2</v>
      </c>
      <c r="AG6160">
        <v>-9.2609999999999804E-2</v>
      </c>
      <c r="AH6160">
        <v>0.77934555609921397</v>
      </c>
      <c r="AI6160">
        <v>96.768964533013403</v>
      </c>
      <c r="AJ6160">
        <v>92.751826126332105</v>
      </c>
      <c r="AK6160">
        <v>0.78572216823413898</v>
      </c>
      <c r="AL6160">
        <v>66.010256153198398</v>
      </c>
      <c r="AM6160">
        <v>89.672432563950196</v>
      </c>
      <c r="AN6160">
        <v>0.99999997885663805</v>
      </c>
    </row>
    <row r="6161" spans="1:40" x14ac:dyDescent="0.25">
      <c r="A6161" t="str">
        <f>"20190304165008300"</f>
        <v>20190304165008300</v>
      </c>
      <c r="B6161" t="str">
        <f>"1551689408292037"</f>
        <v>1551689408292037</v>
      </c>
      <c r="C6161" t="s">
        <v>40</v>
      </c>
      <c r="D6161">
        <v>4.5891469999999996</v>
      </c>
      <c r="E6161">
        <v>0.49448449999999999</v>
      </c>
      <c r="F6161" t="s">
        <v>42</v>
      </c>
      <c r="G6161">
        <v>-326.58339999999998</v>
      </c>
      <c r="H6161" s="1">
        <v>-1.8951380000000001E-6</v>
      </c>
      <c r="I6161">
        <v>17.92727</v>
      </c>
      <c r="J6161">
        <v>-338.01209999999998</v>
      </c>
      <c r="K6161">
        <v>1.110644</v>
      </c>
      <c r="L6161">
        <v>17.49344</v>
      </c>
      <c r="M6161">
        <v>0.99989159999999999</v>
      </c>
      <c r="N6161">
        <v>-1.457609E-2</v>
      </c>
      <c r="O6161">
        <v>-2.0867699999999999E-3</v>
      </c>
      <c r="P6161">
        <v>0.91937970000000002</v>
      </c>
      <c r="Q6161">
        <v>0.39331280000000002</v>
      </c>
      <c r="R6161">
        <v>-6.7899149999999997E-3</v>
      </c>
      <c r="S6161">
        <v>3.4034119999999999</v>
      </c>
      <c r="T6161">
        <v>-0.32639179999999901</v>
      </c>
      <c r="U6161">
        <v>0.12734989999999999</v>
      </c>
      <c r="V6161">
        <v>5.3102119999999999E-3</v>
      </c>
      <c r="W6161">
        <v>0.40666679999999999</v>
      </c>
      <c r="X6161">
        <v>0.91356110000000001</v>
      </c>
      <c r="Y6161">
        <v>-3.9263300000000001E-2</v>
      </c>
      <c r="Z6161">
        <v>2.3340129999999998E-3</v>
      </c>
      <c r="AA6161">
        <v>0.99922619999999895</v>
      </c>
      <c r="AB6161">
        <v>34</v>
      </c>
      <c r="AC6161">
        <v>11.4286999999999</v>
      </c>
      <c r="AD6161">
        <v>-1.110645895138</v>
      </c>
      <c r="AE6161">
        <v>0.43382999999999999</v>
      </c>
      <c r="AF6161">
        <v>-0.453404847241277</v>
      </c>
      <c r="AG6161">
        <v>-1.110645895138</v>
      </c>
      <c r="AH6161">
        <v>11.3210075627393</v>
      </c>
      <c r="AI6161">
        <v>95.598605103758999</v>
      </c>
      <c r="AJ6161">
        <v>92.2934626416654</v>
      </c>
      <c r="AK6161">
        <v>11.384389421286</v>
      </c>
      <c r="AL6161">
        <v>66.004379938213205</v>
      </c>
      <c r="AM6161">
        <v>89.666963370701495</v>
      </c>
      <c r="AN6161">
        <v>0.99999998400346701</v>
      </c>
    </row>
    <row r="6162" spans="1:40" x14ac:dyDescent="0.25">
      <c r="A6162" t="str">
        <f>"20190304165008311"</f>
        <v>20190304165008311</v>
      </c>
      <c r="B6162" t="str">
        <f>"1551689408301798"</f>
        <v>1551689408301798</v>
      </c>
      <c r="C6162" t="s">
        <v>40</v>
      </c>
      <c r="D6162">
        <v>4.575361</v>
      </c>
      <c r="E6162">
        <v>0.49432779999999998</v>
      </c>
      <c r="F6162" t="s">
        <v>41</v>
      </c>
      <c r="G6162">
        <v>-337.06950000000001</v>
      </c>
      <c r="H6162">
        <v>1.0198990000000001</v>
      </c>
      <c r="I6162">
        <v>17.528939999999999</v>
      </c>
      <c r="J6162">
        <v>-337.8537</v>
      </c>
      <c r="K6162">
        <v>1.1106510000000001</v>
      </c>
      <c r="L6162">
        <v>17.492889999999999</v>
      </c>
      <c r="M6162">
        <v>0.99989119999999998</v>
      </c>
      <c r="N6162">
        <v>-1.457437E-2</v>
      </c>
      <c r="O6162">
        <v>-2.305128E-3</v>
      </c>
      <c r="P6162">
        <v>0.9192572</v>
      </c>
      <c r="Q6162">
        <v>0.39359</v>
      </c>
      <c r="R6162">
        <v>-7.3037040000000003E-3</v>
      </c>
      <c r="S6162">
        <v>3.4042050000000001</v>
      </c>
      <c r="T6162">
        <v>-0.32769369999999998</v>
      </c>
      <c r="U6162">
        <v>0.1286011</v>
      </c>
      <c r="V6162">
        <v>5.6232309999999898E-3</v>
      </c>
      <c r="W6162">
        <v>0.40693990000000002</v>
      </c>
      <c r="X6162">
        <v>0.91343759999999996</v>
      </c>
      <c r="Y6162">
        <v>-3.983428E-2</v>
      </c>
      <c r="Z6162">
        <v>2.391111E-3</v>
      </c>
      <c r="AA6162">
        <v>0.99920339999999996</v>
      </c>
      <c r="AB6162">
        <v>34</v>
      </c>
      <c r="AC6162">
        <v>0.78419999999999801</v>
      </c>
      <c r="AD6162">
        <v>-9.0752000000000096E-2</v>
      </c>
      <c r="AE6162">
        <v>3.6049999999999402E-2</v>
      </c>
      <c r="AF6162">
        <v>-3.7358512052129603E-2</v>
      </c>
      <c r="AG6162">
        <v>-9.0752000000000096E-2</v>
      </c>
      <c r="AH6162">
        <v>0.77377396240650598</v>
      </c>
      <c r="AI6162">
        <v>96.681656325143805</v>
      </c>
      <c r="AJ6162">
        <v>92.764145998320302</v>
      </c>
      <c r="AK6162">
        <v>0.77997290262227303</v>
      </c>
      <c r="AL6162">
        <v>65.987250880575999</v>
      </c>
      <c r="AM6162">
        <v>89.647284791479606</v>
      </c>
      <c r="AN6162">
        <v>0.99999997601632395</v>
      </c>
    </row>
    <row r="6163" spans="1:40" x14ac:dyDescent="0.25">
      <c r="A6163" t="str">
        <f>"20190304165008323"</f>
        <v>20190304165008323</v>
      </c>
      <c r="B6163" t="str">
        <f>"1551689408311558"</f>
        <v>1551689408311558</v>
      </c>
      <c r="C6163" t="s">
        <v>40</v>
      </c>
      <c r="D6163">
        <v>4.5691639999999998</v>
      </c>
      <c r="E6163">
        <v>0.49416159999999998</v>
      </c>
      <c r="F6163" t="s">
        <v>42</v>
      </c>
      <c r="G6163">
        <v>-326.32859999999999</v>
      </c>
      <c r="H6163" s="1">
        <v>-2.0156490000000001E-6</v>
      </c>
      <c r="I6163">
        <v>17.926929999999999</v>
      </c>
      <c r="J6163">
        <v>-337.6823</v>
      </c>
      <c r="K6163">
        <v>1.1106549999999999</v>
      </c>
      <c r="L6163">
        <v>17.492249999999999</v>
      </c>
      <c r="M6163">
        <v>0.99989059999999996</v>
      </c>
      <c r="N6163">
        <v>-1.45725E-2</v>
      </c>
      <c r="O6163">
        <v>-2.5411259999999999E-3</v>
      </c>
      <c r="P6163">
        <v>0.91921450000000005</v>
      </c>
      <c r="Q6163">
        <v>0.39368039999999999</v>
      </c>
      <c r="R6163">
        <v>-7.7893659999999998E-3</v>
      </c>
      <c r="S6163">
        <v>3.4049990000000001</v>
      </c>
      <c r="T6163">
        <v>-0.32813199999999998</v>
      </c>
      <c r="U6163">
        <v>0.12823490000000001</v>
      </c>
      <c r="V6163">
        <v>5.8914750000000002E-3</v>
      </c>
      <c r="W6163">
        <v>0.40702840000000001</v>
      </c>
      <c r="X6163">
        <v>0.91339649999999994</v>
      </c>
      <c r="Y6163">
        <v>-3.9952139999999997E-2</v>
      </c>
      <c r="Z6163">
        <v>2.4192049999999998E-3</v>
      </c>
      <c r="AA6163">
        <v>0.9991987</v>
      </c>
      <c r="AB6163">
        <v>34</v>
      </c>
      <c r="AC6163">
        <v>11.3537</v>
      </c>
      <c r="AD6163">
        <v>-1.1106570156490001</v>
      </c>
      <c r="AE6163">
        <v>0.43468000000000001</v>
      </c>
      <c r="AF6163">
        <v>-0.45914552168928202</v>
      </c>
      <c r="AG6163">
        <v>-1.1106570156490001</v>
      </c>
      <c r="AH6163">
        <v>11.2451071148566</v>
      </c>
      <c r="AI6163">
        <v>95.636030720970197</v>
      </c>
      <c r="AJ6163">
        <v>92.338127654774894</v>
      </c>
      <c r="AK6163">
        <v>11.309147078409399</v>
      </c>
      <c r="AL6163">
        <v>65.981700201089197</v>
      </c>
      <c r="AM6163">
        <v>89.630443108168805</v>
      </c>
      <c r="AN6163">
        <v>0.99999999704824205</v>
      </c>
    </row>
    <row r="6164" spans="1:40" x14ac:dyDescent="0.25">
      <c r="A6164" t="str">
        <f>"20190304165008334"</f>
        <v>20190304165008334</v>
      </c>
      <c r="B6164" t="str">
        <f>"1551689408321317"</f>
        <v>1551689408321317</v>
      </c>
      <c r="C6164" t="s">
        <v>40</v>
      </c>
      <c r="D6164">
        <v>4.5427980000000003</v>
      </c>
      <c r="E6164">
        <v>0.49395489999999997</v>
      </c>
      <c r="F6164" t="s">
        <v>41</v>
      </c>
      <c r="G6164">
        <v>-336.76060000000001</v>
      </c>
      <c r="H6164">
        <v>1.0216769999999999</v>
      </c>
      <c r="I6164">
        <v>17.52646</v>
      </c>
      <c r="J6164">
        <v>-337.50170000000003</v>
      </c>
      <c r="K6164">
        <v>1.1106560000000001</v>
      </c>
      <c r="L6164">
        <v>17.49155</v>
      </c>
      <c r="M6164">
        <v>0.99988999999999995</v>
      </c>
      <c r="N6164">
        <v>-1.457054E-2</v>
      </c>
      <c r="O6164">
        <v>-2.7902349999999999E-3</v>
      </c>
      <c r="P6164">
        <v>0.91915020000000003</v>
      </c>
      <c r="Q6164">
        <v>0.39381460000000001</v>
      </c>
      <c r="R6164">
        <v>-8.5579160000000005E-3</v>
      </c>
      <c r="S6164">
        <v>3.405548</v>
      </c>
      <c r="T6164">
        <v>-0.3287098</v>
      </c>
      <c r="U6164">
        <v>0.1275635</v>
      </c>
      <c r="V6164">
        <v>6.4308580000000002E-3</v>
      </c>
      <c r="W6164">
        <v>0.4071591</v>
      </c>
      <c r="X6164">
        <v>0.9133346</v>
      </c>
      <c r="Y6164">
        <v>-3.9996570000000002E-2</v>
      </c>
      <c r="Z6164">
        <v>2.4454479999999998E-3</v>
      </c>
      <c r="AA6164">
        <v>0.9991968</v>
      </c>
      <c r="AB6164">
        <v>34</v>
      </c>
      <c r="AC6164">
        <v>0.74110000000001697</v>
      </c>
      <c r="AD6164">
        <v>-8.8978999999999905E-2</v>
      </c>
      <c r="AE6164">
        <v>3.4909999999999997E-2</v>
      </c>
      <c r="AF6164">
        <v>-3.6453603234743698E-2</v>
      </c>
      <c r="AG6164">
        <v>-8.8978999999999905E-2</v>
      </c>
      <c r="AH6164">
        <v>0.73049279355632701</v>
      </c>
      <c r="AI6164">
        <v>96.936257739685203</v>
      </c>
      <c r="AJ6164">
        <v>92.856847391390204</v>
      </c>
      <c r="AK6164">
        <v>0.73679430580557703</v>
      </c>
      <c r="AL6164">
        <v>65.973501348304893</v>
      </c>
      <c r="AM6164">
        <v>89.596582749414907</v>
      </c>
      <c r="AN6164">
        <v>0.99999999010229301</v>
      </c>
    </row>
    <row r="6165" spans="1:40" x14ac:dyDescent="0.25">
      <c r="A6165" t="str">
        <f>"20190304165008348"</f>
        <v>20190304165008348</v>
      </c>
      <c r="B6165" t="str">
        <f>"1551689408341813"</f>
        <v>1551689408341813</v>
      </c>
      <c r="C6165" t="s">
        <v>40</v>
      </c>
      <c r="D6165">
        <v>4.5982129999999897</v>
      </c>
      <c r="E6165">
        <v>0.49368889999999999</v>
      </c>
      <c r="F6165" t="s">
        <v>42</v>
      </c>
      <c r="G6165">
        <v>-326.00349999999997</v>
      </c>
      <c r="H6165" s="1">
        <v>-2.1705779999999998E-6</v>
      </c>
      <c r="I6165">
        <v>17.919699999999999</v>
      </c>
      <c r="J6165">
        <v>-337.31049999999999</v>
      </c>
      <c r="K6165">
        <v>1.110657</v>
      </c>
      <c r="L6165">
        <v>17.490779999999901</v>
      </c>
      <c r="M6165">
        <v>0.99988929999999998</v>
      </c>
      <c r="N6165">
        <v>-1.456845E-2</v>
      </c>
      <c r="O6165">
        <v>-3.0537670000000002E-3</v>
      </c>
      <c r="P6165">
        <v>0.91907240000000001</v>
      </c>
      <c r="Q6165">
        <v>0.3939781</v>
      </c>
      <c r="R6165">
        <v>-9.3613189999999999E-3</v>
      </c>
      <c r="S6165">
        <v>3.4060359999999998</v>
      </c>
      <c r="T6165">
        <v>-0.32900380000000001</v>
      </c>
      <c r="U6165">
        <v>0.1268311</v>
      </c>
      <c r="V6165">
        <v>6.9919489999999999E-3</v>
      </c>
      <c r="W6165">
        <v>0.40731840000000002</v>
      </c>
      <c r="X6165">
        <v>0.91325940000000005</v>
      </c>
      <c r="Y6165">
        <v>-4.0038579999999997E-2</v>
      </c>
      <c r="Z6165">
        <v>2.4709480000000002E-3</v>
      </c>
      <c r="AA6165">
        <v>0.9991951</v>
      </c>
      <c r="AB6165">
        <v>34</v>
      </c>
      <c r="AC6165">
        <v>11.307</v>
      </c>
      <c r="AD6165">
        <v>-1.110659170578</v>
      </c>
      <c r="AE6165">
        <v>0.42892000000000102</v>
      </c>
      <c r="AF6165">
        <v>-0.45902796594986001</v>
      </c>
      <c r="AG6165">
        <v>-1.110659170578</v>
      </c>
      <c r="AH6165">
        <v>11.1977493233106</v>
      </c>
      <c r="AI6165">
        <v>95.659685990208501</v>
      </c>
      <c r="AJ6165">
        <v>92.347404585739099</v>
      </c>
      <c r="AK6165">
        <v>11.262054003351899</v>
      </c>
      <c r="AL6165">
        <v>65.963506867208906</v>
      </c>
      <c r="AM6165">
        <v>89.561349884467901</v>
      </c>
      <c r="AN6165">
        <v>0.99999994900886802</v>
      </c>
    </row>
    <row r="6166" spans="1:40" x14ac:dyDescent="0.25">
      <c r="A6166" t="str">
        <f>"20190304165008361"</f>
        <v>20190304165008361</v>
      </c>
      <c r="B6166" t="str">
        <f>"1551689408351573"</f>
        <v>1551689408351573</v>
      </c>
      <c r="C6166" t="s">
        <v>40</v>
      </c>
      <c r="D6166">
        <v>4.6051149999999996</v>
      </c>
      <c r="E6166">
        <v>0.49359760000000003</v>
      </c>
      <c r="F6166" t="s">
        <v>42</v>
      </c>
      <c r="G6166">
        <v>-325.85640000000001</v>
      </c>
      <c r="H6166" s="1">
        <v>-2.2405500000000001E-6</v>
      </c>
      <c r="I6166">
        <v>17.917479999999902</v>
      </c>
      <c r="J6166">
        <v>-337.11279999999999</v>
      </c>
      <c r="K6166">
        <v>1.1106560000000001</v>
      </c>
      <c r="L6166">
        <v>17.48987</v>
      </c>
      <c r="M6166">
        <v>0.99988840000000001</v>
      </c>
      <c r="N6166">
        <v>-1.4566310000000001E-2</v>
      </c>
      <c r="O6166">
        <v>-3.326477E-3</v>
      </c>
      <c r="P6166">
        <v>0.91904450000000004</v>
      </c>
      <c r="Q6166">
        <v>0.39402100000000001</v>
      </c>
      <c r="R6166">
        <v>-1.0242019999999999E-2</v>
      </c>
      <c r="S6166">
        <v>3.4070740000000002</v>
      </c>
      <c r="T6166">
        <v>-0.33036769999999999</v>
      </c>
      <c r="U6166">
        <v>0.1269226</v>
      </c>
      <c r="V6166">
        <v>7.62165699999999E-3</v>
      </c>
      <c r="W6166">
        <v>0.40735890000000002</v>
      </c>
      <c r="X6166">
        <v>0.9132363</v>
      </c>
      <c r="Y6166">
        <v>-4.0322509999999999E-2</v>
      </c>
      <c r="Z6166">
        <v>2.5176259999999998E-3</v>
      </c>
      <c r="AA6166">
        <v>0.9991835</v>
      </c>
      <c r="AB6166">
        <v>34</v>
      </c>
      <c r="AC6166">
        <v>11.2563999999999</v>
      </c>
      <c r="AD6166">
        <v>-1.1106582405499901</v>
      </c>
      <c r="AE6166">
        <v>0.42760999999999699</v>
      </c>
      <c r="AF6166">
        <v>-0.46057822648553598</v>
      </c>
      <c r="AG6166">
        <v>-1.1106582405499901</v>
      </c>
      <c r="AH6166">
        <v>11.1465533322414</v>
      </c>
      <c r="AI6166">
        <v>95.6854302407029</v>
      </c>
      <c r="AJ6166">
        <v>92.366129193591902</v>
      </c>
      <c r="AK6166">
        <v>11.21121515352</v>
      </c>
      <c r="AL6166">
        <v>65.9609661002102</v>
      </c>
      <c r="AM6166">
        <v>89.521833899181004</v>
      </c>
      <c r="AN6166">
        <v>0.99999995135116104</v>
      </c>
    </row>
    <row r="6167" spans="1:40" x14ac:dyDescent="0.25">
      <c r="A6167" t="str">
        <f>"20190304165008372"</f>
        <v>20190304165008372</v>
      </c>
      <c r="B6167" t="str">
        <f>"1551689408361333"</f>
        <v>1551689408361333</v>
      </c>
      <c r="C6167" t="s">
        <v>40</v>
      </c>
      <c r="D6167">
        <v>4.5992480000000002</v>
      </c>
      <c r="E6167">
        <v>0.4934694</v>
      </c>
      <c r="F6167" t="s">
        <v>41</v>
      </c>
      <c r="G6167">
        <v>-336.16750000000002</v>
      </c>
      <c r="H6167">
        <v>1.0188740000000001</v>
      </c>
      <c r="I6167">
        <v>17.52431</v>
      </c>
      <c r="J6167">
        <v>-336.93549999999999</v>
      </c>
      <c r="K6167">
        <v>1.110657</v>
      </c>
      <c r="L6167">
        <v>17.489039999999999</v>
      </c>
      <c r="M6167">
        <v>0.99988759999999999</v>
      </c>
      <c r="N6167">
        <v>-1.45644E-2</v>
      </c>
      <c r="O6167">
        <v>-3.5710569999999999E-3</v>
      </c>
      <c r="P6167">
        <v>0.91905689999999995</v>
      </c>
      <c r="Q6167">
        <v>0.3939744</v>
      </c>
      <c r="R6167">
        <v>-1.090268E-2</v>
      </c>
      <c r="S6167">
        <v>3.4075009999999999</v>
      </c>
      <c r="T6167">
        <v>-0.33086670000000001</v>
      </c>
      <c r="U6167">
        <v>0.124816899999999</v>
      </c>
      <c r="V6167">
        <v>8.0568229999999994E-3</v>
      </c>
      <c r="W6167">
        <v>0.40731020000000001</v>
      </c>
      <c r="X6167">
        <v>0.91325440000000002</v>
      </c>
      <c r="Y6167">
        <v>-3.9946240000000001E-2</v>
      </c>
      <c r="Z6167">
        <v>2.5199129999999999E-3</v>
      </c>
      <c r="AA6167">
        <v>0.9991987</v>
      </c>
      <c r="AB6167">
        <v>34</v>
      </c>
      <c r="AC6167">
        <v>0.76799999999997204</v>
      </c>
      <c r="AD6167">
        <v>-9.1782999999999906E-2</v>
      </c>
      <c r="AE6167">
        <v>3.5270000000000502E-2</v>
      </c>
      <c r="AF6167">
        <v>-3.7478480496399902E-2</v>
      </c>
      <c r="AG6167">
        <v>-9.1782999999999906E-2</v>
      </c>
      <c r="AH6167">
        <v>0.75707896834994803</v>
      </c>
      <c r="AI6167">
        <v>96.904036680980994</v>
      </c>
      <c r="AJ6167">
        <v>92.8340599550382</v>
      </c>
      <c r="AK6167">
        <v>0.76354261171668802</v>
      </c>
      <c r="AL6167">
        <v>65.964024015387494</v>
      </c>
      <c r="AM6167">
        <v>89.494543931229003</v>
      </c>
      <c r="AN6167">
        <v>1.00000005527012</v>
      </c>
    </row>
    <row r="6168" spans="1:40" x14ac:dyDescent="0.25">
      <c r="A6168" t="str">
        <f>"20190304165008382"</f>
        <v>20190304165008382</v>
      </c>
      <c r="B6168" t="str">
        <f>"1551689408372070"</f>
        <v>1551689408372070</v>
      </c>
      <c r="C6168" t="s">
        <v>40</v>
      </c>
      <c r="D6168">
        <v>4.6101130000000001</v>
      </c>
      <c r="E6168">
        <v>0.49334689999999998</v>
      </c>
      <c r="F6168" t="s">
        <v>42</v>
      </c>
      <c r="G6168">
        <v>-325.52480000000003</v>
      </c>
      <c r="H6168" s="1">
        <v>-2.3996510000000002E-6</v>
      </c>
      <c r="I6168">
        <v>17.90401</v>
      </c>
      <c r="J6168">
        <v>-336.779</v>
      </c>
      <c r="K6168">
        <v>1.1106579999999999</v>
      </c>
      <c r="L6168">
        <v>17.48828</v>
      </c>
      <c r="M6168">
        <v>0.99988690000000002</v>
      </c>
      <c r="N6168">
        <v>-1.4562719999999999E-2</v>
      </c>
      <c r="O6168">
        <v>-3.7869119999999999E-3</v>
      </c>
      <c r="P6168">
        <v>0.91900510000000002</v>
      </c>
      <c r="Q6168">
        <v>0.394071</v>
      </c>
      <c r="R6168">
        <v>-1.174771E-2</v>
      </c>
      <c r="S6168">
        <v>3.407867</v>
      </c>
      <c r="T6168">
        <v>-0.33170559999999899</v>
      </c>
      <c r="U6168">
        <v>0.1239319</v>
      </c>
      <c r="V6168">
        <v>8.7033340000000001E-3</v>
      </c>
      <c r="W6168">
        <v>0.40740379999999998</v>
      </c>
      <c r="X6168">
        <v>0.91320670000000004</v>
      </c>
      <c r="Y6168">
        <v>-3.989736E-2</v>
      </c>
      <c r="Z6168">
        <v>2.5404970000000001E-3</v>
      </c>
      <c r="AA6168">
        <v>0.99920059999999999</v>
      </c>
      <c r="AB6168">
        <v>34</v>
      </c>
      <c r="AC6168">
        <v>11.2541999999999</v>
      </c>
      <c r="AD6168">
        <v>-1.1106603996509901</v>
      </c>
      <c r="AE6168">
        <v>0.41572999999999899</v>
      </c>
      <c r="AF6168">
        <v>-0.453935155684146</v>
      </c>
      <c r="AG6168">
        <v>-1.1106603996509901</v>
      </c>
      <c r="AH6168">
        <v>11.144155028913101</v>
      </c>
      <c r="AI6168">
        <v>95.686792624370199</v>
      </c>
      <c r="AJ6168">
        <v>92.3325410078061</v>
      </c>
      <c r="AK6168">
        <v>11.2085598966757</v>
      </c>
      <c r="AL6168">
        <v>65.958151455379394</v>
      </c>
      <c r="AM6168">
        <v>89.453958004589595</v>
      </c>
      <c r="AN6168">
        <v>1.0000000406010201</v>
      </c>
    </row>
    <row r="6169" spans="1:40" x14ac:dyDescent="0.25">
      <c r="A6169" t="str">
        <f>"20190304165008393"</f>
        <v>20190304165008393</v>
      </c>
      <c r="B6169" t="str">
        <f>"1551689408381830"</f>
        <v>1551689408381830</v>
      </c>
      <c r="C6169" t="s">
        <v>40</v>
      </c>
      <c r="D6169">
        <v>4.6079470000000002</v>
      </c>
      <c r="E6169">
        <v>0.49324770000000001</v>
      </c>
      <c r="F6169" t="s">
        <v>41</v>
      </c>
      <c r="G6169">
        <v>-335.86180000000002</v>
      </c>
      <c r="H6169">
        <v>1.0213299999999901</v>
      </c>
      <c r="I6169">
        <v>17.52101</v>
      </c>
      <c r="J6169">
        <v>-336.62020000000001</v>
      </c>
      <c r="K6169">
        <v>1.11066</v>
      </c>
      <c r="L6169">
        <v>17.487459999999999</v>
      </c>
      <c r="M6169">
        <v>0.99988600000000005</v>
      </c>
      <c r="N6169">
        <v>-1.4560989999999999E-2</v>
      </c>
      <c r="O6169">
        <v>-4.0059850000000001E-3</v>
      </c>
      <c r="P6169">
        <v>0.91909059999999998</v>
      </c>
      <c r="Q6169">
        <v>0.39384970000000002</v>
      </c>
      <c r="R6169">
        <v>-1.245716E-2</v>
      </c>
      <c r="S6169">
        <v>3.408325</v>
      </c>
      <c r="T6169">
        <v>-0.33197389999999999</v>
      </c>
      <c r="U6169">
        <v>0.1218262</v>
      </c>
      <c r="V6169">
        <v>9.2103970000000004E-3</v>
      </c>
      <c r="W6169">
        <v>0.40718209999999999</v>
      </c>
      <c r="X6169">
        <v>0.91330060000000002</v>
      </c>
      <c r="Y6169">
        <v>-3.949602E-2</v>
      </c>
      <c r="Z6169">
        <v>2.537713E-3</v>
      </c>
      <c r="AA6169">
        <v>0.99921649999999995</v>
      </c>
      <c r="AB6169">
        <v>34</v>
      </c>
      <c r="AC6169">
        <v>0.75839999999999397</v>
      </c>
      <c r="AD6169">
        <v>-8.9330000000000104E-2</v>
      </c>
      <c r="AE6169">
        <v>3.3549999999998102E-2</v>
      </c>
      <c r="AF6169">
        <v>-3.60884823177475E-2</v>
      </c>
      <c r="AG6169">
        <v>-8.9330000000000104E-2</v>
      </c>
      <c r="AH6169">
        <v>0.74790344034097</v>
      </c>
      <c r="AI6169">
        <v>96.803331055776994</v>
      </c>
      <c r="AJ6169">
        <v>92.762542689460702</v>
      </c>
      <c r="AK6169">
        <v>0.75408340621569003</v>
      </c>
      <c r="AL6169">
        <v>65.972059801750405</v>
      </c>
      <c r="AM6169">
        <v>89.4222066788425</v>
      </c>
      <c r="AN6169">
        <v>1.0000000399668301</v>
      </c>
    </row>
    <row r="6170" spans="1:40" x14ac:dyDescent="0.25">
      <c r="A6170" t="str">
        <f>"20190304165008405"</f>
        <v>20190304165008405</v>
      </c>
      <c r="B6170" t="str">
        <f>"1551689408401349"</f>
        <v>1551689408401349</v>
      </c>
      <c r="C6170" t="s">
        <v>40</v>
      </c>
      <c r="D6170">
        <v>4.5922780000000003</v>
      </c>
      <c r="E6170">
        <v>0.49298500000000001</v>
      </c>
      <c r="F6170" t="s">
        <v>42</v>
      </c>
      <c r="G6170">
        <v>-325.26060000000001</v>
      </c>
      <c r="H6170" s="1">
        <v>-2.5274940000000002E-6</v>
      </c>
      <c r="I6170">
        <v>17.887560000000001</v>
      </c>
      <c r="J6170">
        <v>-336.45659999999998</v>
      </c>
      <c r="K6170">
        <v>1.110663</v>
      </c>
      <c r="L6170">
        <v>17.48657</v>
      </c>
      <c r="M6170">
        <v>0.99988500000000002</v>
      </c>
      <c r="N6170">
        <v>-1.4559239999999999E-2</v>
      </c>
      <c r="O6170">
        <v>-4.2312560000000001E-3</v>
      </c>
      <c r="P6170">
        <v>0.91921540000000002</v>
      </c>
      <c r="Q6170">
        <v>0.3935266</v>
      </c>
      <c r="R6170">
        <v>-1.341375E-2</v>
      </c>
      <c r="S6170">
        <v>3.408569</v>
      </c>
      <c r="T6170">
        <v>-0.33326529999999999</v>
      </c>
      <c r="U6170">
        <v>0.1200562</v>
      </c>
      <c r="V6170">
        <v>9.9586510000000007E-3</v>
      </c>
      <c r="W6170">
        <v>0.40685850000000001</v>
      </c>
      <c r="X6170">
        <v>0.9134369</v>
      </c>
      <c r="Y6170">
        <v>-3.9199539999999998E-2</v>
      </c>
      <c r="Z6170">
        <v>2.5485540000000002E-3</v>
      </c>
      <c r="AA6170">
        <v>0.99922820000000001</v>
      </c>
      <c r="AB6170">
        <v>34</v>
      </c>
      <c r="AC6170">
        <v>11.1959999999999</v>
      </c>
      <c r="AD6170">
        <v>-1.110665527494</v>
      </c>
      <c r="AE6170">
        <v>0.40099000000000001</v>
      </c>
      <c r="AF6170">
        <v>-0.44400074666648998</v>
      </c>
      <c r="AG6170">
        <v>-1.110665527494</v>
      </c>
      <c r="AH6170">
        <v>11.0852522762519</v>
      </c>
      <c r="AI6170">
        <v>95.716992310032396</v>
      </c>
      <c r="AJ6170">
        <v>92.293658050962804</v>
      </c>
      <c r="AK6170">
        <v>11.149597867418899</v>
      </c>
      <c r="AL6170">
        <v>65.992356941991602</v>
      </c>
      <c r="AM6170">
        <v>89.375363458158901</v>
      </c>
      <c r="AN6170">
        <v>0.99999999201679901</v>
      </c>
    </row>
    <row r="6171" spans="1:40" x14ac:dyDescent="0.25">
      <c r="A6171" t="str">
        <f>"20190304165008416"</f>
        <v>20190304165008416</v>
      </c>
      <c r="B6171" t="str">
        <f>"1551689408412085"</f>
        <v>1551689408412085</v>
      </c>
      <c r="C6171" t="s">
        <v>40</v>
      </c>
      <c r="D6171">
        <v>4.6055289999999998</v>
      </c>
      <c r="E6171">
        <v>0.4929328</v>
      </c>
      <c r="F6171" t="s">
        <v>41</v>
      </c>
      <c r="G6171">
        <v>-335.56130000000002</v>
      </c>
      <c r="H6171">
        <v>1.0225280000000001</v>
      </c>
      <c r="I6171">
        <v>17.51745</v>
      </c>
      <c r="J6171">
        <v>-336.28019999999998</v>
      </c>
      <c r="K6171">
        <v>1.1106640000000001</v>
      </c>
      <c r="L6171">
        <v>17.485600000000002</v>
      </c>
      <c r="M6171">
        <v>0.99988410000000005</v>
      </c>
      <c r="N6171">
        <v>-1.455735E-2</v>
      </c>
      <c r="O6171">
        <v>-4.4750040000000003E-3</v>
      </c>
      <c r="P6171">
        <v>0.91927829999999999</v>
      </c>
      <c r="Q6171">
        <v>0.3933431</v>
      </c>
      <c r="R6171">
        <v>-1.445696E-2</v>
      </c>
      <c r="S6171">
        <v>3.409027</v>
      </c>
      <c r="T6171">
        <v>-0.3355532</v>
      </c>
      <c r="U6171">
        <v>0.11883539999999999</v>
      </c>
      <c r="V6171">
        <v>1.077672E-2</v>
      </c>
      <c r="W6171">
        <v>0.40667340000000002</v>
      </c>
      <c r="X6171">
        <v>0.91351009999999999</v>
      </c>
      <c r="Y6171">
        <v>-3.9077929999999997E-2</v>
      </c>
      <c r="Z6171">
        <v>2.5776430000000001E-3</v>
      </c>
      <c r="AA6171">
        <v>0.99923280000000003</v>
      </c>
      <c r="AB6171">
        <v>34</v>
      </c>
      <c r="AC6171">
        <v>0.71889999999996201</v>
      </c>
      <c r="AD6171">
        <v>-8.8135999999999701E-2</v>
      </c>
      <c r="AE6171">
        <v>3.1849999999998602E-2</v>
      </c>
      <c r="AF6171">
        <v>-3.4548837490146998E-2</v>
      </c>
      <c r="AG6171">
        <v>-8.8135999999999701E-2</v>
      </c>
      <c r="AH6171">
        <v>0.70812768457105502</v>
      </c>
      <c r="AI6171">
        <v>97.086400836485097</v>
      </c>
      <c r="AJ6171">
        <v>92.793188588641101</v>
      </c>
      <c r="AK6171">
        <v>0.71442731913322399</v>
      </c>
      <c r="AL6171">
        <v>66.003967629032999</v>
      </c>
      <c r="AM6171">
        <v>89.324110448989103</v>
      </c>
      <c r="AN6171">
        <v>1.0000000473817601</v>
      </c>
    </row>
    <row r="6172" spans="1:40" x14ac:dyDescent="0.25">
      <c r="A6172" t="str">
        <f>"20190304165008427"</f>
        <v>20190304165008427</v>
      </c>
      <c r="B6172" t="str">
        <f>"1551689408421845"</f>
        <v>1551689408421845</v>
      </c>
      <c r="C6172" t="s">
        <v>40</v>
      </c>
      <c r="D6172">
        <v>4.593547</v>
      </c>
      <c r="E6172">
        <v>0.49280020000000002</v>
      </c>
      <c r="F6172" t="s">
        <v>41</v>
      </c>
      <c r="G6172">
        <v>-335.2724</v>
      </c>
      <c r="H6172">
        <v>1.0110859999999999</v>
      </c>
      <c r="I6172">
        <v>17.51962</v>
      </c>
      <c r="J6172">
        <v>-336.0951</v>
      </c>
      <c r="K6172">
        <v>1.1106609999999999</v>
      </c>
      <c r="L6172">
        <v>17.484500000000001</v>
      </c>
      <c r="M6172">
        <v>0.99988310000000002</v>
      </c>
      <c r="N6172">
        <v>-1.455536E-2</v>
      </c>
      <c r="O6172">
        <v>-4.7312709999999996E-3</v>
      </c>
      <c r="P6172">
        <v>0.91932460000000005</v>
      </c>
      <c r="Q6172">
        <v>0.39319739999999997</v>
      </c>
      <c r="R6172">
        <v>-1.543859E-2</v>
      </c>
      <c r="S6172">
        <v>3.4093930000000001</v>
      </c>
      <c r="T6172">
        <v>-0.33684530000000001</v>
      </c>
      <c r="U6172">
        <v>0.11569210000000001</v>
      </c>
      <c r="V6172">
        <v>1.152223E-2</v>
      </c>
      <c r="W6172">
        <v>0.40652569999999999</v>
      </c>
      <c r="X6172">
        <v>0.91356669999999995</v>
      </c>
      <c r="Y6172">
        <v>-3.8411269999999997E-2</v>
      </c>
      <c r="Z6172">
        <v>2.5702519999999999E-3</v>
      </c>
      <c r="AA6172">
        <v>0.99925870000000006</v>
      </c>
      <c r="AB6172">
        <v>34</v>
      </c>
      <c r="AC6172">
        <v>0.82269999999999699</v>
      </c>
      <c r="AD6172">
        <v>-9.95749999999999E-2</v>
      </c>
      <c r="AE6172">
        <v>3.5119999999999103E-2</v>
      </c>
      <c r="AF6172">
        <v>-3.8450190216017803E-2</v>
      </c>
      <c r="AG6172">
        <v>-9.95749999999999E-2</v>
      </c>
      <c r="AH6172">
        <v>0.81067043703665997</v>
      </c>
      <c r="AI6172">
        <v>96.994803810356899</v>
      </c>
      <c r="AJ6172">
        <v>92.715510216708694</v>
      </c>
      <c r="AK6172">
        <v>0.81766750897773699</v>
      </c>
      <c r="AL6172">
        <v>66.013229535230394</v>
      </c>
      <c r="AM6172">
        <v>89.277403447511901</v>
      </c>
      <c r="AN6172">
        <v>1.0000000109467699</v>
      </c>
    </row>
    <row r="6173" spans="1:40" x14ac:dyDescent="0.25">
      <c r="A6173" t="str">
        <f>"20190304165008438"</f>
        <v>20190304165008438</v>
      </c>
      <c r="B6173" t="str">
        <f>"1551689408431606"</f>
        <v>1551689408431606</v>
      </c>
      <c r="C6173" t="s">
        <v>40</v>
      </c>
      <c r="D6173">
        <v>4.6590680000000004</v>
      </c>
      <c r="E6173">
        <v>0.49280259999999998</v>
      </c>
      <c r="F6173" t="s">
        <v>42</v>
      </c>
      <c r="G6173">
        <v>-324.88929999999999</v>
      </c>
      <c r="H6173" s="1">
        <v>-2.7083750000000001E-6</v>
      </c>
      <c r="I6173">
        <v>17.857279999999999</v>
      </c>
      <c r="J6173">
        <v>-335.94099999999997</v>
      </c>
      <c r="K6173">
        <v>1.110663</v>
      </c>
      <c r="L6173">
        <v>17.48358</v>
      </c>
      <c r="M6173">
        <v>0.99988189999999999</v>
      </c>
      <c r="N6173">
        <v>-1.4553699999999999E-2</v>
      </c>
      <c r="O6173">
        <v>-4.944871E-3</v>
      </c>
      <c r="P6173">
        <v>0.91939020000000005</v>
      </c>
      <c r="Q6173">
        <v>0.39300370000000001</v>
      </c>
      <c r="R6173">
        <v>-1.6425039999999998E-2</v>
      </c>
      <c r="S6173">
        <v>3.4097599999999999</v>
      </c>
      <c r="T6173">
        <v>-0.3379585</v>
      </c>
      <c r="U6173">
        <v>0.1134338</v>
      </c>
      <c r="V6173">
        <v>1.231178E-2</v>
      </c>
      <c r="W6173">
        <v>0.40633089999999999</v>
      </c>
      <c r="X6173">
        <v>0.91364310000000004</v>
      </c>
      <c r="Y6173">
        <v>-3.7960399999999998E-2</v>
      </c>
      <c r="Z6173">
        <v>2.5701959999999999E-3</v>
      </c>
      <c r="AA6173">
        <v>0.99927589999999999</v>
      </c>
      <c r="AB6173">
        <v>34</v>
      </c>
      <c r="AC6173">
        <v>11.051699999999901</v>
      </c>
      <c r="AD6173">
        <v>-1.110665708375</v>
      </c>
      <c r="AE6173">
        <v>0.37369999999999898</v>
      </c>
      <c r="AF6173">
        <v>-0.42407233485295998</v>
      </c>
      <c r="AG6173">
        <v>-1.110665708375</v>
      </c>
      <c r="AH6173">
        <v>10.9393586796759</v>
      </c>
      <c r="AI6173">
        <v>95.793014710763103</v>
      </c>
      <c r="AJ6173">
        <v>92.220001679704396</v>
      </c>
      <c r="AK6173">
        <v>11.0037713527476</v>
      </c>
      <c r="AL6173">
        <v>66.025446097897898</v>
      </c>
      <c r="AM6173">
        <v>89.227958555558601</v>
      </c>
      <c r="AN6173">
        <v>1.00000004719959</v>
      </c>
    </row>
    <row r="6174" spans="1:40" x14ac:dyDescent="0.25">
      <c r="A6174" t="str">
        <f>"20190304165008449"</f>
        <v>20190304165008449</v>
      </c>
      <c r="B6174" t="str">
        <f>"1551689408441365"</f>
        <v>1551689408441365</v>
      </c>
      <c r="C6174" t="s">
        <v>40</v>
      </c>
      <c r="D6174">
        <v>4.9413</v>
      </c>
      <c r="E6174">
        <v>0.49280259999999998</v>
      </c>
      <c r="F6174" t="s">
        <v>41</v>
      </c>
      <c r="G6174">
        <v>-334.97109999999998</v>
      </c>
      <c r="H6174">
        <v>1.014011</v>
      </c>
      <c r="I6174">
        <v>17.514720000000001</v>
      </c>
      <c r="J6174">
        <v>-335.7799</v>
      </c>
      <c r="K6174">
        <v>1.1106640000000001</v>
      </c>
      <c r="L6174">
        <v>17.48254</v>
      </c>
      <c r="M6174">
        <v>0.99988069999999896</v>
      </c>
      <c r="N6174">
        <v>-1.4551969999999999E-2</v>
      </c>
      <c r="O6174">
        <v>-5.1700419999999997E-3</v>
      </c>
      <c r="P6174">
        <v>0.91941189999999995</v>
      </c>
      <c r="Q6174">
        <v>0.39290700000000001</v>
      </c>
      <c r="R6174">
        <v>-1.7483370000000002E-2</v>
      </c>
      <c r="S6174">
        <v>3.4102169999999998</v>
      </c>
      <c r="T6174">
        <v>-0.33972780000000002</v>
      </c>
      <c r="U6174">
        <v>0.1105347</v>
      </c>
      <c r="V6174">
        <v>1.316347E-2</v>
      </c>
      <c r="W6174">
        <v>0.40623199999999998</v>
      </c>
      <c r="X6174">
        <v>0.91367509999999996</v>
      </c>
      <c r="Y6174">
        <v>-3.7332839999999999E-2</v>
      </c>
      <c r="Z6174">
        <v>2.5655600000000001E-3</v>
      </c>
      <c r="AA6174">
        <v>0.99929959999999995</v>
      </c>
      <c r="AB6174">
        <v>34</v>
      </c>
      <c r="AC6174">
        <v>0.80880000000001895</v>
      </c>
      <c r="AD6174">
        <v>-9.6652999999999795E-2</v>
      </c>
      <c r="AE6174">
        <v>3.2180000000000299E-2</v>
      </c>
      <c r="AF6174">
        <v>-3.5850384705262799E-2</v>
      </c>
      <c r="AG6174">
        <v>-9.6652999999999795E-2</v>
      </c>
      <c r="AH6174">
        <v>0.79725545652771601</v>
      </c>
      <c r="AI6174">
        <v>96.905447966617402</v>
      </c>
      <c r="AJ6174">
        <v>92.5746991310385</v>
      </c>
      <c r="AK6174">
        <v>0.80389260194116197</v>
      </c>
      <c r="AL6174">
        <v>66.031645100730799</v>
      </c>
      <c r="AM6174">
        <v>89.174587226624993</v>
      </c>
      <c r="AN6174">
        <v>0.99999995156322397</v>
      </c>
    </row>
    <row r="6175" spans="1:40" x14ac:dyDescent="0.25">
      <c r="A6175" t="str">
        <f>"20190304165008459"</f>
        <v>20190304165008459</v>
      </c>
      <c r="B6175" t="str">
        <f>"1551689408452102"</f>
        <v>1551689408452102</v>
      </c>
      <c r="C6175" t="s">
        <v>40</v>
      </c>
      <c r="D6175">
        <v>4.8901729999999999</v>
      </c>
      <c r="E6175">
        <v>0.52905950000000002</v>
      </c>
      <c r="F6175" t="s">
        <v>42</v>
      </c>
      <c r="G6175">
        <v>-324.64049999999997</v>
      </c>
      <c r="H6175" s="1">
        <v>-2.830267E-6</v>
      </c>
      <c r="I6175">
        <v>17.833029999999901</v>
      </c>
      <c r="J6175">
        <v>-335.62549999999999</v>
      </c>
      <c r="K6175">
        <v>1.11066</v>
      </c>
      <c r="L6175">
        <v>17.481539999999999</v>
      </c>
      <c r="M6175">
        <v>0.99987969999999904</v>
      </c>
      <c r="N6175">
        <v>-1.455031E-2</v>
      </c>
      <c r="O6175">
        <v>-5.3882000000000001E-3</v>
      </c>
      <c r="P6175">
        <v>0.91930420000000002</v>
      </c>
      <c r="Q6175">
        <v>0.3930997</v>
      </c>
      <c r="R6175">
        <v>-1.8780809999999998E-2</v>
      </c>
      <c r="S6175">
        <v>3.4103089999999998</v>
      </c>
      <c r="T6175">
        <v>-0.34002769999999999</v>
      </c>
      <c r="U6175">
        <v>0.1072998</v>
      </c>
      <c r="V6175">
        <v>1.426237E-2</v>
      </c>
      <c r="W6175">
        <v>0.40642030000000001</v>
      </c>
      <c r="X6175">
        <v>0.91357489999999997</v>
      </c>
      <c r="Y6175">
        <v>-3.6606029999999998E-2</v>
      </c>
      <c r="Z6175">
        <v>2.5446729999999999E-3</v>
      </c>
      <c r="AA6175">
        <v>0.99932650000000001</v>
      </c>
      <c r="AB6175">
        <v>34</v>
      </c>
      <c r="AC6175">
        <v>10.984999999999999</v>
      </c>
      <c r="AD6175">
        <v>-1.1106628302670001</v>
      </c>
      <c r="AE6175">
        <v>0.35148999999999803</v>
      </c>
      <c r="AF6175">
        <v>-0.40652897417682299</v>
      </c>
      <c r="AG6175">
        <v>-1.1106628302670001</v>
      </c>
      <c r="AH6175">
        <v>10.8719200221562</v>
      </c>
      <c r="AI6175">
        <v>95.828989448626302</v>
      </c>
      <c r="AJ6175">
        <v>92.141438465498993</v>
      </c>
      <c r="AK6175">
        <v>10.936063400398799</v>
      </c>
      <c r="AL6175">
        <v>66.019838549043001</v>
      </c>
      <c r="AM6175">
        <v>89.105593609479797</v>
      </c>
      <c r="AN6175">
        <v>0.99999998668005796</v>
      </c>
    </row>
    <row r="6176" spans="1:40" x14ac:dyDescent="0.25">
      <c r="A6176" t="str">
        <f>"20190304165008469"</f>
        <v>20190304165008469</v>
      </c>
      <c r="B6176" t="str">
        <f>"1551689408461861"</f>
        <v>1551689408461861</v>
      </c>
      <c r="C6176" t="s">
        <v>40</v>
      </c>
      <c r="D6176">
        <v>4.7870660000000003</v>
      </c>
      <c r="E6176">
        <v>0.53905069999999999</v>
      </c>
      <c r="F6176" t="s">
        <v>41</v>
      </c>
      <c r="G6176">
        <v>-334.6893</v>
      </c>
      <c r="H6176">
        <v>0.98633490000000001</v>
      </c>
      <c r="I6176">
        <v>17.433060000000001</v>
      </c>
      <c r="J6176">
        <v>-335.4622</v>
      </c>
      <c r="K6176">
        <v>1.1106579999999999</v>
      </c>
      <c r="L6176">
        <v>17.480439999999899</v>
      </c>
      <c r="M6176">
        <v>0.9998785</v>
      </c>
      <c r="N6176">
        <v>-1.454855E-2</v>
      </c>
      <c r="O6176">
        <v>-5.6229540000000003E-3</v>
      </c>
      <c r="P6176">
        <v>0.91929039999999995</v>
      </c>
      <c r="Q6176">
        <v>0.393065</v>
      </c>
      <c r="R6176">
        <v>-2.013962E-2</v>
      </c>
      <c r="S6176">
        <v>3.4559329999999999</v>
      </c>
      <c r="T6176">
        <v>-0.45890389999999998</v>
      </c>
      <c r="U6176">
        <v>-0.17852779999999999</v>
      </c>
      <c r="V6176">
        <v>1.540832E-2</v>
      </c>
      <c r="W6176">
        <v>0.40638279999999999</v>
      </c>
      <c r="X6176">
        <v>0.91357299999999997</v>
      </c>
      <c r="Y6176">
        <v>4.5568619999999997E-2</v>
      </c>
      <c r="Z6176">
        <v>-2.682154E-3</v>
      </c>
      <c r="AA6176">
        <v>0.9989576</v>
      </c>
      <c r="AB6176">
        <v>33</v>
      </c>
      <c r="AC6176">
        <v>0.77289999999999204</v>
      </c>
      <c r="AD6176">
        <v>-0.12432309999999901</v>
      </c>
      <c r="AE6176">
        <v>-4.73799999999968E-2</v>
      </c>
      <c r="AF6176">
        <v>4.1951438751907003E-2</v>
      </c>
      <c r="AG6176">
        <v>-0.12432309999999901</v>
      </c>
      <c r="AH6176">
        <v>0.75372562900043405</v>
      </c>
      <c r="AI6176">
        <v>99.3520860574626</v>
      </c>
      <c r="AJ6176">
        <v>86.814274560739406</v>
      </c>
      <c r="AK6176">
        <v>0.76506109574272896</v>
      </c>
      <c r="AL6176">
        <v>66.0221907215073</v>
      </c>
      <c r="AM6176">
        <v>89.033741136156806</v>
      </c>
      <c r="AN6176">
        <v>1.00000001139503</v>
      </c>
    </row>
    <row r="6177" spans="1:40" x14ac:dyDescent="0.25">
      <c r="A6177" t="str">
        <f>"20190304165008480"</f>
        <v>20190304165008480</v>
      </c>
      <c r="B6177" t="str">
        <f>"1551689408471621"</f>
        <v>1551689408471621</v>
      </c>
      <c r="C6177" t="s">
        <v>40</v>
      </c>
      <c r="D6177">
        <v>4.6415920000000002</v>
      </c>
      <c r="E6177">
        <v>0.54442519999999905</v>
      </c>
      <c r="F6177" t="s">
        <v>41</v>
      </c>
      <c r="G6177">
        <v>-334.68239999999997</v>
      </c>
      <c r="H6177">
        <v>1.000699</v>
      </c>
      <c r="I6177">
        <v>17.421859999999999</v>
      </c>
      <c r="J6177">
        <v>-335.31470000000002</v>
      </c>
      <c r="K6177">
        <v>1.110654</v>
      </c>
      <c r="L6177">
        <v>17.479369999999999</v>
      </c>
      <c r="M6177">
        <v>0.99987720000000002</v>
      </c>
      <c r="N6177">
        <v>-1.4546979999999999E-2</v>
      </c>
      <c r="O6177">
        <v>-5.8410609999999998E-3</v>
      </c>
      <c r="P6177">
        <v>0.91919459999999997</v>
      </c>
      <c r="Q6177">
        <v>0.3932003</v>
      </c>
      <c r="R6177">
        <v>-2.179263E-2</v>
      </c>
      <c r="S6177">
        <v>3.4667050000000001</v>
      </c>
      <c r="T6177">
        <v>-0.4888207</v>
      </c>
      <c r="U6177">
        <v>-0.25991819999999999</v>
      </c>
      <c r="V6177">
        <v>1.6866579999999999E-2</v>
      </c>
      <c r="W6177">
        <v>0.40651389999999998</v>
      </c>
      <c r="X6177">
        <v>0.91348890000000005</v>
      </c>
      <c r="Y6177">
        <v>6.8243789999999999E-2</v>
      </c>
      <c r="Z6177">
        <v>-4.5469280000000004E-3</v>
      </c>
      <c r="AA6177">
        <v>0.9976583</v>
      </c>
      <c r="AB6177">
        <v>33</v>
      </c>
      <c r="AC6177">
        <v>0.63230000000004305</v>
      </c>
      <c r="AD6177">
        <v>-0.109955</v>
      </c>
      <c r="AE6177">
        <v>-5.7509999999997001E-2</v>
      </c>
      <c r="AF6177">
        <v>5.2248293655378301E-2</v>
      </c>
      <c r="AG6177">
        <v>-0.109955</v>
      </c>
      <c r="AH6177">
        <v>0.61420395178446596</v>
      </c>
      <c r="AI6177">
        <v>100.11382606110401</v>
      </c>
      <c r="AJ6177">
        <v>85.137743780758598</v>
      </c>
      <c r="AK6177">
        <v>0.62615212257290398</v>
      </c>
      <c r="AL6177">
        <v>66.013969287000407</v>
      </c>
      <c r="AM6177">
        <v>88.942215879499699</v>
      </c>
      <c r="AN6177">
        <v>1.0000000014186501</v>
      </c>
    </row>
    <row r="6178" spans="1:40" x14ac:dyDescent="0.25">
      <c r="A6178" t="str">
        <f>"20190304165008490"</f>
        <v>20190304165008490</v>
      </c>
      <c r="B6178" t="str">
        <f>"1551689408481382"</f>
        <v>1551689408481382</v>
      </c>
      <c r="C6178" t="s">
        <v>40</v>
      </c>
      <c r="D6178">
        <v>4.6617319999999998</v>
      </c>
      <c r="E6178">
        <v>0.54754429999999998</v>
      </c>
      <c r="F6178" t="s">
        <v>41</v>
      </c>
      <c r="G6178">
        <v>-334.39679999999998</v>
      </c>
      <c r="H6178">
        <v>0.97415490000000005</v>
      </c>
      <c r="I6178">
        <v>17.398620000000001</v>
      </c>
      <c r="J6178">
        <v>-335.16300000000001</v>
      </c>
      <c r="K6178">
        <v>1.1106389999999999</v>
      </c>
      <c r="L6178">
        <v>17.478269999999998</v>
      </c>
      <c r="M6178">
        <v>0.99987579999999998</v>
      </c>
      <c r="N6178">
        <v>-1.454537E-2</v>
      </c>
      <c r="O6178">
        <v>-6.0714890000000002E-3</v>
      </c>
      <c r="P6178">
        <v>0.91925520000000005</v>
      </c>
      <c r="Q6178">
        <v>0.39297330000000003</v>
      </c>
      <c r="R6178">
        <v>-2.327624E-2</v>
      </c>
      <c r="S6178">
        <v>3.4776919999999998</v>
      </c>
      <c r="T6178">
        <v>-0.51708609999999999</v>
      </c>
      <c r="U6178">
        <v>-0.30511470000000002</v>
      </c>
      <c r="V6178">
        <v>1.8145100000000001E-2</v>
      </c>
      <c r="W6178">
        <v>0.4062847</v>
      </c>
      <c r="X6178">
        <v>0.9135664</v>
      </c>
      <c r="Y6178">
        <v>8.0437729999999999E-2</v>
      </c>
      <c r="Z6178">
        <v>-5.7174050000000001E-3</v>
      </c>
      <c r="AA6178">
        <v>0.9967433</v>
      </c>
      <c r="AB6178">
        <v>33</v>
      </c>
      <c r="AC6178">
        <v>0.76620000000002597</v>
      </c>
      <c r="AD6178">
        <v>-0.136484099999999</v>
      </c>
      <c r="AE6178">
        <v>-7.9650000000000803E-2</v>
      </c>
      <c r="AF6178">
        <v>7.2713480961990706E-2</v>
      </c>
      <c r="AG6178">
        <v>-0.136484099999999</v>
      </c>
      <c r="AH6178">
        <v>0.74333513089153602</v>
      </c>
      <c r="AI6178">
        <v>100.355866495049</v>
      </c>
      <c r="AJ6178">
        <v>84.413068011228802</v>
      </c>
      <c r="AK6178">
        <v>0.75925112886577795</v>
      </c>
      <c r="AL6178">
        <v>66.028342746545704</v>
      </c>
      <c r="AM6178">
        <v>88.862150609390795</v>
      </c>
      <c r="AN6178">
        <v>1.0000000346585201</v>
      </c>
    </row>
    <row r="6179" spans="1:40" x14ac:dyDescent="0.25">
      <c r="A6179" t="str">
        <f>"20190304165008501"</f>
        <v>20190304165008501</v>
      </c>
      <c r="B6179" t="str">
        <f>"1551689408492117"</f>
        <v>1551689408492117</v>
      </c>
      <c r="C6179" t="s">
        <v>40</v>
      </c>
      <c r="D6179">
        <v>4.630852</v>
      </c>
      <c r="E6179">
        <v>0.55007669999999997</v>
      </c>
      <c r="F6179" t="s">
        <v>41</v>
      </c>
      <c r="G6179">
        <v>-334.38830000000002</v>
      </c>
      <c r="H6179">
        <v>0.99110770000000004</v>
      </c>
      <c r="I6179">
        <v>17.403960000000001</v>
      </c>
      <c r="J6179">
        <v>-335.00709999999998</v>
      </c>
      <c r="K6179">
        <v>1.1106240000000001</v>
      </c>
      <c r="L6179">
        <v>17.477079999999901</v>
      </c>
      <c r="M6179">
        <v>0.99987420000000005</v>
      </c>
      <c r="N6179">
        <v>-1.4543810000000001E-2</v>
      </c>
      <c r="O6179">
        <v>-6.3180750000000003E-3</v>
      </c>
      <c r="P6179">
        <v>0.91925880000000004</v>
      </c>
      <c r="Q6179">
        <v>0.39286799999999999</v>
      </c>
      <c r="R6179">
        <v>-2.4860549999999999E-2</v>
      </c>
      <c r="S6179">
        <v>3.4849239999999999</v>
      </c>
      <c r="T6179">
        <v>-0.53764339999999999</v>
      </c>
      <c r="U6179">
        <v>-0.333374</v>
      </c>
      <c r="V6179">
        <v>1.9512999999999999E-2</v>
      </c>
      <c r="W6179">
        <v>0.40617619999999999</v>
      </c>
      <c r="X6179">
        <v>0.91358640000000002</v>
      </c>
      <c r="Y6179">
        <v>8.7866860000000005E-2</v>
      </c>
      <c r="Z6179">
        <v>-6.4919599999999997E-3</v>
      </c>
      <c r="AA6179">
        <v>0.99611110000000003</v>
      </c>
      <c r="AB6179">
        <v>33</v>
      </c>
      <c r="AC6179">
        <v>0.61879999999996405</v>
      </c>
      <c r="AD6179">
        <v>-0.11951630000000001</v>
      </c>
      <c r="AE6179">
        <v>-7.3119999999995799E-2</v>
      </c>
      <c r="AF6179">
        <v>6.6752660667718094E-2</v>
      </c>
      <c r="AG6179">
        <v>-0.11951630000000001</v>
      </c>
      <c r="AH6179">
        <v>0.59727580178754103</v>
      </c>
      <c r="AI6179">
        <v>101.24734743626099</v>
      </c>
      <c r="AJ6179">
        <v>83.622979841318497</v>
      </c>
      <c r="AK6179">
        <v>0.61276296157067101</v>
      </c>
      <c r="AL6179">
        <v>66.035144748373796</v>
      </c>
      <c r="AM6179">
        <v>88.776423792824204</v>
      </c>
      <c r="AN6179">
        <v>0.99999998644019905</v>
      </c>
    </row>
    <row r="6180" spans="1:40" x14ac:dyDescent="0.25">
      <c r="A6180" t="str">
        <f>"20190304165008511"</f>
        <v>20190304165008511</v>
      </c>
      <c r="B6180" t="str">
        <f>"1551689408501878"</f>
        <v>1551689408501878</v>
      </c>
      <c r="C6180" t="s">
        <v>40</v>
      </c>
      <c r="D6180">
        <v>4.6035830000000004</v>
      </c>
      <c r="E6180">
        <v>0.55184979999999995</v>
      </c>
      <c r="F6180" t="s">
        <v>41</v>
      </c>
      <c r="G6180">
        <v>-334.101</v>
      </c>
      <c r="H6180">
        <v>0.96839169999999997</v>
      </c>
      <c r="I6180">
        <v>17.383890000000001</v>
      </c>
      <c r="J6180">
        <v>-334.84309999999999</v>
      </c>
      <c r="K6180">
        <v>1.110609</v>
      </c>
      <c r="L6180">
        <v>17.4758</v>
      </c>
      <c r="M6180">
        <v>0.99987269999999995</v>
      </c>
      <c r="N6180">
        <v>-1.454223E-2</v>
      </c>
      <c r="O6180">
        <v>-6.586298E-3</v>
      </c>
      <c r="P6180">
        <v>0.91924380000000006</v>
      </c>
      <c r="Q6180">
        <v>0.39280179999999998</v>
      </c>
      <c r="R6180">
        <v>-2.6413659999999999E-2</v>
      </c>
      <c r="S6180">
        <v>3.4877929999999999</v>
      </c>
      <c r="T6180">
        <v>-0.54748009999999903</v>
      </c>
      <c r="U6180">
        <v>-0.3582458</v>
      </c>
      <c r="V6180">
        <v>2.0833299999999999E-2</v>
      </c>
      <c r="W6180">
        <v>0.40610659999999998</v>
      </c>
      <c r="X6180">
        <v>0.91358819999999996</v>
      </c>
      <c r="Y6180">
        <v>9.4435179999999994E-2</v>
      </c>
      <c r="Z6180">
        <v>-7.1108899999999999E-3</v>
      </c>
      <c r="AA6180">
        <v>0.99550559999999999</v>
      </c>
      <c r="AB6180">
        <v>33</v>
      </c>
      <c r="AC6180">
        <v>0.74209999999999299</v>
      </c>
      <c r="AD6180">
        <v>-0.14221729999999999</v>
      </c>
      <c r="AE6180">
        <v>-9.1909999999998604E-2</v>
      </c>
      <c r="AF6180">
        <v>8.3982025773526606E-2</v>
      </c>
      <c r="AG6180">
        <v>-0.14221729999999999</v>
      </c>
      <c r="AH6180">
        <v>0.71676278551021</v>
      </c>
      <c r="AI6180">
        <v>101.14831305515</v>
      </c>
      <c r="AJ6180">
        <v>83.317209345701102</v>
      </c>
      <c r="AK6180">
        <v>0.73554580534775005</v>
      </c>
      <c r="AL6180">
        <v>66.039508955108204</v>
      </c>
      <c r="AM6180">
        <v>88.6936638179737</v>
      </c>
      <c r="AN6180">
        <v>0.99999999806584405</v>
      </c>
    </row>
    <row r="6181" spans="1:40" x14ac:dyDescent="0.25">
      <c r="A6181" t="str">
        <f>"20190304165008523"</f>
        <v>20190304165008523</v>
      </c>
      <c r="B6181" t="str">
        <f>"1551689408511638"</f>
        <v>1551689408511638</v>
      </c>
      <c r="C6181" t="s">
        <v>40</v>
      </c>
      <c r="D6181">
        <v>4.5991650000000002</v>
      </c>
      <c r="E6181">
        <v>0.55317749999999999</v>
      </c>
      <c r="F6181" t="s">
        <v>41</v>
      </c>
      <c r="G6181">
        <v>-334.08980000000003</v>
      </c>
      <c r="H6181">
        <v>0.99114500000000005</v>
      </c>
      <c r="I6181">
        <v>17.394279999999998</v>
      </c>
      <c r="J6181">
        <v>-334.68259999999998</v>
      </c>
      <c r="K6181">
        <v>1.1105910000000001</v>
      </c>
      <c r="L6181">
        <v>17.474460000000001</v>
      </c>
      <c r="M6181">
        <v>0.9998707</v>
      </c>
      <c r="N6181">
        <v>-1.4540610000000001E-2</v>
      </c>
      <c r="O6181">
        <v>-6.8655610000000001E-3</v>
      </c>
      <c r="P6181">
        <v>0.91935180000000005</v>
      </c>
      <c r="Q6181">
        <v>0.39243319999999998</v>
      </c>
      <c r="R6181">
        <v>-2.8085300000000001E-2</v>
      </c>
      <c r="S6181">
        <v>3.4891359999999998</v>
      </c>
      <c r="T6181">
        <v>-0.55328940000000004</v>
      </c>
      <c r="U6181">
        <v>-0.37698359999999997</v>
      </c>
      <c r="V6181">
        <v>2.2264320000000001E-2</v>
      </c>
      <c r="W6181">
        <v>0.40573559999999997</v>
      </c>
      <c r="X6181">
        <v>0.91371930000000001</v>
      </c>
      <c r="Y6181">
        <v>9.9319169999999998E-2</v>
      </c>
      <c r="Z6181">
        <v>-7.5528849999999996E-3</v>
      </c>
      <c r="AA6181">
        <v>0.99502690000000005</v>
      </c>
      <c r="AB6181">
        <v>33</v>
      </c>
      <c r="AC6181">
        <v>0.59279999999995403</v>
      </c>
      <c r="AD6181">
        <v>-0.119445999999999</v>
      </c>
      <c r="AE6181">
        <v>-8.0180000000002097E-2</v>
      </c>
      <c r="AF6181">
        <v>7.3189654513083804E-2</v>
      </c>
      <c r="AG6181">
        <v>-0.119445999999999</v>
      </c>
      <c r="AH6181">
        <v>0.57058688403184699</v>
      </c>
      <c r="AI6181">
        <v>101.730081536727</v>
      </c>
      <c r="AJ6181">
        <v>82.690536806095295</v>
      </c>
      <c r="AK6181">
        <v>0.58753167120838401</v>
      </c>
      <c r="AL6181">
        <v>66.062768624342795</v>
      </c>
      <c r="AM6181">
        <v>88.604167392612595</v>
      </c>
      <c r="AN6181">
        <v>1.00000001812245</v>
      </c>
    </row>
    <row r="6182" spans="1:40" x14ac:dyDescent="0.25">
      <c r="A6182" t="str">
        <f>"20190304165008535"</f>
        <v>20190304165008535</v>
      </c>
      <c r="B6182" t="str">
        <f>"1551689408532133"</f>
        <v>1551689408532133</v>
      </c>
      <c r="C6182" t="s">
        <v>40</v>
      </c>
      <c r="D6182">
        <v>4.5932789999999999</v>
      </c>
      <c r="E6182">
        <v>0.55487779999999998</v>
      </c>
      <c r="F6182" t="s">
        <v>41</v>
      </c>
      <c r="G6182">
        <v>-333.8021</v>
      </c>
      <c r="H6182">
        <v>0.96964349999999999</v>
      </c>
      <c r="I6182">
        <v>17.375109999999999</v>
      </c>
      <c r="J6182">
        <v>-334.50439999999998</v>
      </c>
      <c r="K6182">
        <v>1.110568</v>
      </c>
      <c r="L6182">
        <v>17.47296</v>
      </c>
      <c r="M6182">
        <v>0.9998686</v>
      </c>
      <c r="N6182">
        <v>-1.453876E-2</v>
      </c>
      <c r="O6182">
        <v>-7.1844760000000004E-3</v>
      </c>
      <c r="P6182">
        <v>0.91942800000000002</v>
      </c>
      <c r="Q6182">
        <v>0.39213110000000001</v>
      </c>
      <c r="R6182">
        <v>-2.976003E-2</v>
      </c>
      <c r="S6182">
        <v>3.4896240000000001</v>
      </c>
      <c r="T6182">
        <v>-0.55851229999999996</v>
      </c>
      <c r="U6182">
        <v>-0.39266970000000001</v>
      </c>
      <c r="V6182">
        <v>2.3666369999999999E-2</v>
      </c>
      <c r="W6182">
        <v>0.40543010000000002</v>
      </c>
      <c r="X6182">
        <v>0.91381959999999995</v>
      </c>
      <c r="Y6182">
        <v>0.1033316</v>
      </c>
      <c r="Z6182">
        <v>-7.9147160000000005E-3</v>
      </c>
      <c r="AA6182">
        <v>0.99461549999999999</v>
      </c>
      <c r="AB6182">
        <v>33</v>
      </c>
      <c r="AC6182">
        <v>0.70229999999997905</v>
      </c>
      <c r="AD6182">
        <v>-0.14092449999999901</v>
      </c>
      <c r="AE6182">
        <v>-9.7850000000001103E-2</v>
      </c>
      <c r="AF6182">
        <v>8.9275074890567893E-2</v>
      </c>
      <c r="AG6182">
        <v>-0.14092449999999901</v>
      </c>
      <c r="AH6182">
        <v>0.67627333529683598</v>
      </c>
      <c r="AI6182">
        <v>101.672613142532</v>
      </c>
      <c r="AJ6182">
        <v>82.479847219458904</v>
      </c>
      <c r="AK6182">
        <v>0.69654531635096995</v>
      </c>
      <c r="AL6182">
        <v>66.081916813995605</v>
      </c>
      <c r="AM6182">
        <v>88.516468593033295</v>
      </c>
      <c r="AN6182">
        <v>0.99999996219957199</v>
      </c>
    </row>
    <row r="6183" spans="1:40" x14ac:dyDescent="0.25">
      <c r="A6183" t="str">
        <f>"20190304165008547"</f>
        <v>20190304165008547</v>
      </c>
      <c r="B6183" t="str">
        <f>"1551689408541894"</f>
        <v>1551689408541894</v>
      </c>
      <c r="C6183" t="s">
        <v>40</v>
      </c>
      <c r="D6183">
        <v>4.5888099999999996</v>
      </c>
      <c r="E6183">
        <v>0.55546819999999997</v>
      </c>
      <c r="F6183" t="s">
        <v>41</v>
      </c>
      <c r="G6183">
        <v>-333.78969999999998</v>
      </c>
      <c r="H6183">
        <v>0.99475159999999996</v>
      </c>
      <c r="I6183">
        <v>17.388359999999999</v>
      </c>
      <c r="J6183">
        <v>-334.31150000000002</v>
      </c>
      <c r="K6183">
        <v>1.1105370000000001</v>
      </c>
      <c r="L6183">
        <v>17.47119</v>
      </c>
      <c r="M6183">
        <v>0.99986569999999997</v>
      </c>
      <c r="N6183">
        <v>-1.453694E-2</v>
      </c>
      <c r="O6183">
        <v>-7.5653019999999899E-3</v>
      </c>
      <c r="P6183">
        <v>0.91936419999999996</v>
      </c>
      <c r="Q6183">
        <v>0.39215109999999997</v>
      </c>
      <c r="R6183">
        <v>-3.141671E-2</v>
      </c>
      <c r="S6183">
        <v>3.4907840000000001</v>
      </c>
      <c r="T6183">
        <v>-0.56555029999999995</v>
      </c>
      <c r="U6183">
        <v>-0.41195680000000001</v>
      </c>
      <c r="V6183">
        <v>2.5003299999999999E-2</v>
      </c>
      <c r="W6183">
        <v>0.40544449999999999</v>
      </c>
      <c r="X6183">
        <v>0.91377759999999997</v>
      </c>
      <c r="Y6183">
        <v>0.1082429</v>
      </c>
      <c r="Z6183">
        <v>-8.3725359999999999E-3</v>
      </c>
      <c r="AA6183">
        <v>0.99408920000000001</v>
      </c>
      <c r="AB6183">
        <v>33</v>
      </c>
      <c r="AC6183">
        <v>0.52180000000004101</v>
      </c>
      <c r="AD6183">
        <v>-0.1157854</v>
      </c>
      <c r="AE6183">
        <v>-8.2829999999997697E-2</v>
      </c>
      <c r="AF6183">
        <v>7.5264841074272504E-2</v>
      </c>
      <c r="AG6183">
        <v>-0.1157854</v>
      </c>
      <c r="AH6183">
        <v>0.49847133896255602</v>
      </c>
      <c r="AI6183">
        <v>102.93521781</v>
      </c>
      <c r="AJ6183">
        <v>81.413694368011207</v>
      </c>
      <c r="AK6183">
        <v>0.517247262846522</v>
      </c>
      <c r="AL6183">
        <v>66.081014059826202</v>
      </c>
      <c r="AM6183">
        <v>88.432631534704399</v>
      </c>
      <c r="AN6183">
        <v>0.999999954926449</v>
      </c>
    </row>
    <row r="6184" spans="1:40" x14ac:dyDescent="0.25">
      <c r="A6184" t="str">
        <f>"20190304165008560"</f>
        <v>20190304165008560</v>
      </c>
      <c r="B6184" t="str">
        <f>"1551689408551655"</f>
        <v>1551689408551655</v>
      </c>
      <c r="C6184" t="s">
        <v>40</v>
      </c>
      <c r="D6184">
        <v>4.5932729999999999</v>
      </c>
      <c r="E6184">
        <v>0.55591029999999997</v>
      </c>
      <c r="F6184" t="s">
        <v>41</v>
      </c>
      <c r="G6184">
        <v>-333.49979999999999</v>
      </c>
      <c r="H6184">
        <v>0.97864839999999997</v>
      </c>
      <c r="I6184">
        <v>17.372920000000001</v>
      </c>
      <c r="J6184">
        <v>-334.1343</v>
      </c>
      <c r="K6184">
        <v>1.1105069999999999</v>
      </c>
      <c r="L6184">
        <v>17.469479999999901</v>
      </c>
      <c r="M6184">
        <v>0.99986280000000005</v>
      </c>
      <c r="N6184">
        <v>-1.45352999999999E-2</v>
      </c>
      <c r="O6184">
        <v>-7.9315879999999998E-3</v>
      </c>
      <c r="P6184">
        <v>0.91944570000000003</v>
      </c>
      <c r="Q6184">
        <v>0.39182669999999997</v>
      </c>
      <c r="R6184">
        <v>-3.3039609999999997E-2</v>
      </c>
      <c r="S6184">
        <v>3.4906009999999998</v>
      </c>
      <c r="T6184">
        <v>-0.56715579999999999</v>
      </c>
      <c r="U6184">
        <v>-0.42218020000000001</v>
      </c>
      <c r="V6184">
        <v>2.6317759999999999E-2</v>
      </c>
      <c r="W6184">
        <v>0.40511629999999998</v>
      </c>
      <c r="X6184">
        <v>0.91388630000000004</v>
      </c>
      <c r="Y6184">
        <v>0.1107168</v>
      </c>
      <c r="Z6184">
        <v>-8.5561259999999903E-3</v>
      </c>
      <c r="AA6184">
        <v>0.99381520000000001</v>
      </c>
      <c r="AB6184">
        <v>33</v>
      </c>
      <c r="AC6184">
        <v>0.63450000000000195</v>
      </c>
      <c r="AD6184">
        <v>-0.13185859999999899</v>
      </c>
      <c r="AE6184">
        <v>-9.6559999999996607E-2</v>
      </c>
      <c r="AF6184">
        <v>8.7817119880321801E-2</v>
      </c>
      <c r="AG6184">
        <v>-0.13185859999999899</v>
      </c>
      <c r="AH6184">
        <v>0.609518516290942</v>
      </c>
      <c r="AI6184">
        <v>102.085758172479</v>
      </c>
      <c r="AJ6184">
        <v>81.8014587086181</v>
      </c>
      <c r="AK6184">
        <v>0.62977087789095698</v>
      </c>
      <c r="AL6184">
        <v>66.101584829832305</v>
      </c>
      <c r="AM6184">
        <v>88.350473196854296</v>
      </c>
      <c r="AN6184">
        <v>1.0000000051723901</v>
      </c>
    </row>
    <row r="6185" spans="1:40" x14ac:dyDescent="0.25">
      <c r="A6185" t="str">
        <f>"20190304165008571"</f>
        <v>20190304165008571</v>
      </c>
      <c r="B6185" t="str">
        <f>"1551689408561413"</f>
        <v>1551689408561413</v>
      </c>
      <c r="C6185" t="s">
        <v>40</v>
      </c>
      <c r="D6185">
        <v>4.5900930000000004</v>
      </c>
      <c r="E6185">
        <v>0.55622320000000003</v>
      </c>
      <c r="F6185" t="s">
        <v>41</v>
      </c>
      <c r="G6185">
        <v>-333.21140000000003</v>
      </c>
      <c r="H6185">
        <v>0.95961149999999995</v>
      </c>
      <c r="I6185">
        <v>17.354990000000001</v>
      </c>
      <c r="J6185">
        <v>-333.9511</v>
      </c>
      <c r="K6185">
        <v>1.110474</v>
      </c>
      <c r="L6185">
        <v>17.467679999999898</v>
      </c>
      <c r="M6185">
        <v>0.99985979999999997</v>
      </c>
      <c r="N6185">
        <v>-1.453366E-2</v>
      </c>
      <c r="O6185">
        <v>-8.3377859999999998E-3</v>
      </c>
      <c r="P6185">
        <v>0.91951660000000002</v>
      </c>
      <c r="Q6185">
        <v>0.39154290000000003</v>
      </c>
      <c r="R6185">
        <v>-3.440464E-2</v>
      </c>
      <c r="S6185">
        <v>3.4905089999999999</v>
      </c>
      <c r="T6185">
        <v>-0.57065949999999999</v>
      </c>
      <c r="U6185">
        <v>-0.43164059999999999</v>
      </c>
      <c r="V6185">
        <v>2.7342760000000001E-2</v>
      </c>
      <c r="W6185">
        <v>0.40482849999999998</v>
      </c>
      <c r="X6185">
        <v>0.91398380000000001</v>
      </c>
      <c r="Y6185">
        <v>0.1129259</v>
      </c>
      <c r="Z6185">
        <v>-8.7367720000000003E-3</v>
      </c>
      <c r="AA6185">
        <v>0.99356500000000003</v>
      </c>
      <c r="AB6185">
        <v>33</v>
      </c>
      <c r="AC6185">
        <v>0.73969999999997005</v>
      </c>
      <c r="AD6185">
        <v>-0.15086250000000001</v>
      </c>
      <c r="AE6185">
        <v>-0.112689999999997</v>
      </c>
      <c r="AF6185">
        <v>0.10235691017393</v>
      </c>
      <c r="AG6185">
        <v>-0.15086250000000001</v>
      </c>
      <c r="AH6185">
        <v>0.71168232233208195</v>
      </c>
      <c r="AI6185">
        <v>101.849962310778</v>
      </c>
      <c r="AJ6185">
        <v>81.815623065794298</v>
      </c>
      <c r="AK6185">
        <v>0.73466193510116595</v>
      </c>
      <c r="AL6185">
        <v>66.119621102046395</v>
      </c>
      <c r="AM6185">
        <v>88.286449235580406</v>
      </c>
      <c r="AN6185">
        <v>1.0000000637995501</v>
      </c>
    </row>
    <row r="6186" spans="1:40" x14ac:dyDescent="0.25">
      <c r="A6186" t="str">
        <f>"20190304165008580"</f>
        <v>20190304165008580</v>
      </c>
      <c r="B6186" t="str">
        <f>"1551689408572150"</f>
        <v>1551689408572150</v>
      </c>
      <c r="C6186" t="s">
        <v>40</v>
      </c>
      <c r="D6186">
        <v>4.580165</v>
      </c>
      <c r="E6186">
        <v>0.55656249999999996</v>
      </c>
      <c r="F6186" t="s">
        <v>41</v>
      </c>
      <c r="G6186">
        <v>-333.19819999999999</v>
      </c>
      <c r="H6186">
        <v>0.98656560000000004</v>
      </c>
      <c r="I6186">
        <v>17.372579999999999</v>
      </c>
      <c r="J6186">
        <v>-333.81180000000001</v>
      </c>
      <c r="K6186">
        <v>1.1104449999999999</v>
      </c>
      <c r="L6186">
        <v>17.466190000000001</v>
      </c>
      <c r="M6186">
        <v>0.99985690000000005</v>
      </c>
      <c r="N6186">
        <v>-1.4532460000000001E-2</v>
      </c>
      <c r="O6186">
        <v>-8.6685240000000004E-3</v>
      </c>
      <c r="P6186">
        <v>0.91948430000000003</v>
      </c>
      <c r="Q6186">
        <v>0.3914706</v>
      </c>
      <c r="R6186">
        <v>-3.6054460000000003E-2</v>
      </c>
      <c r="S6186">
        <v>3.4908139999999999</v>
      </c>
      <c r="T6186">
        <v>-0.57449130000000004</v>
      </c>
      <c r="U6186">
        <v>-0.43926999999999999</v>
      </c>
      <c r="V6186">
        <v>2.8716220000000001E-2</v>
      </c>
      <c r="W6186">
        <v>0.40475090000000002</v>
      </c>
      <c r="X6186">
        <v>0.91397600000000001</v>
      </c>
      <c r="Y6186">
        <v>0.11468449999999999</v>
      </c>
      <c r="Z6186">
        <v>-8.8937670000000003E-3</v>
      </c>
      <c r="AA6186">
        <v>0.99336210000000003</v>
      </c>
      <c r="AB6186">
        <v>33</v>
      </c>
      <c r="AC6186">
        <v>0.61360000000001902</v>
      </c>
      <c r="AD6186">
        <v>-0.1238794</v>
      </c>
      <c r="AE6186">
        <v>-9.3610000000001706E-2</v>
      </c>
      <c r="AF6186">
        <v>8.4904954075499597E-2</v>
      </c>
      <c r="AG6186">
        <v>-0.1238794</v>
      </c>
      <c r="AH6186">
        <v>0.59085343048316097</v>
      </c>
      <c r="AI6186">
        <v>101.72417314691501</v>
      </c>
      <c r="AJ6186">
        <v>81.822641902017494</v>
      </c>
      <c r="AK6186">
        <v>0.60964147930127099</v>
      </c>
      <c r="AL6186">
        <v>66.124482321859801</v>
      </c>
      <c r="AM6186">
        <v>88.200415398442203</v>
      </c>
      <c r="AN6186">
        <v>1.0000000204589401</v>
      </c>
    </row>
    <row r="6187" spans="1:40" x14ac:dyDescent="0.25">
      <c r="A6187" t="str">
        <f>"20190304165008590"</f>
        <v>20190304165008590</v>
      </c>
      <c r="B6187" t="str">
        <f>"1551689408581910"</f>
        <v>1551689408581910</v>
      </c>
      <c r="C6187" t="s">
        <v>40</v>
      </c>
      <c r="D6187">
        <v>4.5748810000000004</v>
      </c>
      <c r="E6187">
        <v>0.55689250000000001</v>
      </c>
      <c r="F6187" t="s">
        <v>41</v>
      </c>
      <c r="G6187">
        <v>-332.91289999999998</v>
      </c>
      <c r="H6187">
        <v>0.96194840000000004</v>
      </c>
      <c r="I6187">
        <v>17.351129999999898</v>
      </c>
      <c r="J6187">
        <v>-333.66180000000003</v>
      </c>
      <c r="K6187">
        <v>1.1104160000000001</v>
      </c>
      <c r="L6187">
        <v>17.46454</v>
      </c>
      <c r="M6187">
        <v>0.99985360000000001</v>
      </c>
      <c r="N6187">
        <v>-1.4531189999999999E-2</v>
      </c>
      <c r="O6187">
        <v>-9.0379499999999995E-3</v>
      </c>
      <c r="P6187">
        <v>0.91939150000000003</v>
      </c>
      <c r="Q6187">
        <v>0.39152219999999999</v>
      </c>
      <c r="R6187">
        <v>-3.7813489999999998E-2</v>
      </c>
      <c r="S6187">
        <v>3.4906920000000001</v>
      </c>
      <c r="T6187">
        <v>-0.57666209999999996</v>
      </c>
      <c r="U6187">
        <v>-0.44702150000000002</v>
      </c>
      <c r="V6187">
        <v>3.016742E-2</v>
      </c>
      <c r="W6187">
        <v>0.4047963</v>
      </c>
      <c r="X6187">
        <v>0.91390910000000003</v>
      </c>
      <c r="Y6187">
        <v>0.11645999999999999</v>
      </c>
      <c r="Z6187">
        <v>-9.0256610000000008E-3</v>
      </c>
      <c r="AA6187">
        <v>0.99315430000000005</v>
      </c>
      <c r="AB6187">
        <v>33</v>
      </c>
      <c r="AC6187">
        <v>0.74890000000004797</v>
      </c>
      <c r="AD6187">
        <v>-0.14846760000000001</v>
      </c>
      <c r="AE6187">
        <v>-0.113410000000001</v>
      </c>
      <c r="AF6187">
        <v>0.10269065418510299</v>
      </c>
      <c r="AG6187">
        <v>-0.14846760000000001</v>
      </c>
      <c r="AH6187">
        <v>0.72214882859642004</v>
      </c>
      <c r="AI6187">
        <v>101.505031860511</v>
      </c>
      <c r="AJ6187">
        <v>81.906714691460095</v>
      </c>
      <c r="AK6187">
        <v>0.74437015613866897</v>
      </c>
      <c r="AL6187">
        <v>66.121636620419395</v>
      </c>
      <c r="AM6187">
        <v>88.109397891516906</v>
      </c>
      <c r="AN6187">
        <v>0.99999998039297799</v>
      </c>
    </row>
    <row r="6188" spans="1:40" x14ac:dyDescent="0.25">
      <c r="A6188" t="str">
        <f>"20190304165008601"</f>
        <v>20190304165008601</v>
      </c>
      <c r="B6188" t="str">
        <f>"1551689408591670"</f>
        <v>1551689408591670</v>
      </c>
      <c r="C6188" t="s">
        <v>40</v>
      </c>
      <c r="D6188">
        <v>4.5641439999999998</v>
      </c>
      <c r="E6188">
        <v>0.55717119999999998</v>
      </c>
      <c r="F6188" t="s">
        <v>41</v>
      </c>
      <c r="G6188">
        <v>-332.90190000000001</v>
      </c>
      <c r="H6188">
        <v>0.98463690000000004</v>
      </c>
      <c r="I6188">
        <v>17.365549999999999</v>
      </c>
      <c r="J6188">
        <v>-333.51519999999999</v>
      </c>
      <c r="K6188">
        <v>1.1103889999999901</v>
      </c>
      <c r="L6188">
        <v>17.46283</v>
      </c>
      <c r="M6188">
        <v>0.99985000000000002</v>
      </c>
      <c r="N6188">
        <v>-1.452999E-2</v>
      </c>
      <c r="O6188">
        <v>-9.4240890000000001E-3</v>
      </c>
      <c r="P6188">
        <v>0.91932270000000005</v>
      </c>
      <c r="Q6188">
        <v>0.39147729999999997</v>
      </c>
      <c r="R6188">
        <v>-3.9890290000000002E-2</v>
      </c>
      <c r="S6188">
        <v>3.4902950000000001</v>
      </c>
      <c r="T6188">
        <v>-0.57770200000000005</v>
      </c>
      <c r="U6188">
        <v>-0.45483400000000002</v>
      </c>
      <c r="V6188">
        <v>3.1921909999999998E-2</v>
      </c>
      <c r="W6188">
        <v>0.4047444</v>
      </c>
      <c r="X6188">
        <v>0.91387249999999998</v>
      </c>
      <c r="Y6188">
        <v>0.1182501</v>
      </c>
      <c r="Z6188">
        <v>-9.1418220000000008E-3</v>
      </c>
      <c r="AA6188">
        <v>0.99294170000000004</v>
      </c>
      <c r="AB6188">
        <v>33</v>
      </c>
      <c r="AC6188">
        <v>0.61329999999998097</v>
      </c>
      <c r="AD6188">
        <v>-0.12575209999999901</v>
      </c>
      <c r="AE6188">
        <v>-9.7280000000001296E-2</v>
      </c>
      <c r="AF6188">
        <v>8.7890843494573101E-2</v>
      </c>
      <c r="AG6188">
        <v>-0.12575209999999901</v>
      </c>
      <c r="AH6188">
        <v>0.58999379761190196</v>
      </c>
      <c r="AI6188">
        <v>101.904498102842</v>
      </c>
      <c r="AJ6188">
        <v>81.527009727819404</v>
      </c>
      <c r="AK6188">
        <v>0.60961551181470996</v>
      </c>
      <c r="AL6188">
        <v>66.124888872794202</v>
      </c>
      <c r="AM6188">
        <v>87.999450260765002</v>
      </c>
      <c r="AN6188">
        <v>0.99999999196282896</v>
      </c>
    </row>
    <row r="6189" spans="1:40" x14ac:dyDescent="0.25">
      <c r="A6189" t="str">
        <f>"20190304165008612"</f>
        <v>20190304165008612</v>
      </c>
      <c r="B6189" t="str">
        <f>"1551689408601429"</f>
        <v>1551689408601429</v>
      </c>
      <c r="C6189" t="s">
        <v>40</v>
      </c>
      <c r="D6189">
        <v>4.5779259999999997</v>
      </c>
      <c r="E6189">
        <v>0.55739569999999905</v>
      </c>
      <c r="F6189" t="s">
        <v>41</v>
      </c>
      <c r="G6189">
        <v>-332.61630000000002</v>
      </c>
      <c r="H6189">
        <v>0.96138389999999996</v>
      </c>
      <c r="I6189">
        <v>17.343319999999999</v>
      </c>
      <c r="J6189">
        <v>-333.35399999999998</v>
      </c>
      <c r="K6189">
        <v>1.1103529999999999</v>
      </c>
      <c r="L6189">
        <v>17.460909999999998</v>
      </c>
      <c r="M6189">
        <v>0.99984589999999995</v>
      </c>
      <c r="N6189">
        <v>-1.452869E-2</v>
      </c>
      <c r="O6189">
        <v>-9.8663469999999993E-3</v>
      </c>
      <c r="P6189">
        <v>0.91917230000000005</v>
      </c>
      <c r="Q6189">
        <v>0.39163930000000002</v>
      </c>
      <c r="R6189">
        <v>-4.172704E-2</v>
      </c>
      <c r="S6189">
        <v>3.489471</v>
      </c>
      <c r="T6189">
        <v>-0.57839479999999999</v>
      </c>
      <c r="U6189">
        <v>-0.46310420000000002</v>
      </c>
      <c r="V6189">
        <v>3.3390219999999998E-2</v>
      </c>
      <c r="W6189">
        <v>0.40489740000000002</v>
      </c>
      <c r="X6189">
        <v>0.91375229999999996</v>
      </c>
      <c r="Y6189">
        <v>0.12012780000000001</v>
      </c>
      <c r="Z6189">
        <v>-9.2537339999999996E-3</v>
      </c>
      <c r="AA6189">
        <v>0.99271529999999997</v>
      </c>
      <c r="AB6189">
        <v>33</v>
      </c>
      <c r="AC6189">
        <v>0.73770000000001701</v>
      </c>
      <c r="AD6189">
        <v>-0.14896909999999999</v>
      </c>
      <c r="AE6189">
        <v>-0.117589999999999</v>
      </c>
      <c r="AF6189">
        <v>0.106086245460479</v>
      </c>
      <c r="AG6189">
        <v>-0.14896909999999999</v>
      </c>
      <c r="AH6189">
        <v>0.71056644858976004</v>
      </c>
      <c r="AI6189">
        <v>101.714292008637</v>
      </c>
      <c r="AJ6189">
        <v>81.508567442000299</v>
      </c>
      <c r="AK6189">
        <v>0.73372390045041802</v>
      </c>
      <c r="AL6189">
        <v>66.115303120133106</v>
      </c>
      <c r="AM6189">
        <v>87.907236096598098</v>
      </c>
      <c r="AN6189">
        <v>1.0000000385368399</v>
      </c>
    </row>
    <row r="6190" spans="1:40" x14ac:dyDescent="0.25">
      <c r="A6190" t="str">
        <f>"20190304165008623"</f>
        <v>20190304165008623</v>
      </c>
      <c r="B6190" t="str">
        <f>"1551689408612165"</f>
        <v>1551689408612165</v>
      </c>
      <c r="C6190" t="s">
        <v>40</v>
      </c>
      <c r="D6190">
        <v>4.5589820000000003</v>
      </c>
      <c r="E6190">
        <v>0.557654599999999</v>
      </c>
      <c r="F6190" t="s">
        <v>41</v>
      </c>
      <c r="G6190">
        <v>-332.6044</v>
      </c>
      <c r="H6190">
        <v>0.98593830000000005</v>
      </c>
      <c r="I6190">
        <v>17.3596</v>
      </c>
      <c r="J6190">
        <v>-333.18619999999999</v>
      </c>
      <c r="K6190">
        <v>1.110314</v>
      </c>
      <c r="L6190">
        <v>17.458770000000001</v>
      </c>
      <c r="M6190">
        <v>0.99984090000000003</v>
      </c>
      <c r="N6190">
        <v>-1.452736E-2</v>
      </c>
      <c r="O6190">
        <v>-1.03634E-2</v>
      </c>
      <c r="P6190">
        <v>0.91890839999999996</v>
      </c>
      <c r="Q6190">
        <v>0.3920479</v>
      </c>
      <c r="R6190">
        <v>-4.3658919999999997E-2</v>
      </c>
      <c r="S6190">
        <v>3.4891969999999999</v>
      </c>
      <c r="T6190">
        <v>-0.57902369999999903</v>
      </c>
      <c r="U6190">
        <v>-0.47051999999999999</v>
      </c>
      <c r="V6190">
        <v>3.4909049999999997E-2</v>
      </c>
      <c r="W6190">
        <v>0.40529579999999998</v>
      </c>
      <c r="X6190">
        <v>0.91351879999999996</v>
      </c>
      <c r="Y6190">
        <v>0.1216967</v>
      </c>
      <c r="Z6190">
        <v>-9.3279560000000001E-3</v>
      </c>
      <c r="AA6190">
        <v>0.9925235</v>
      </c>
      <c r="AB6190">
        <v>33</v>
      </c>
      <c r="AC6190">
        <v>0.58179999999998699</v>
      </c>
      <c r="AD6190">
        <v>-0.12437570000000001</v>
      </c>
      <c r="AE6190">
        <v>-9.9170000000000799E-2</v>
      </c>
      <c r="AF6190">
        <v>8.9174338269422296E-2</v>
      </c>
      <c r="AG6190">
        <v>-0.12437570000000001</v>
      </c>
      <c r="AH6190">
        <v>0.55801489825517103</v>
      </c>
      <c r="AI6190">
        <v>102.412711941678</v>
      </c>
      <c r="AJ6190">
        <v>80.920540368060003</v>
      </c>
      <c r="AK6190">
        <v>0.57862077739311102</v>
      </c>
      <c r="AL6190">
        <v>66.090334233513104</v>
      </c>
      <c r="AM6190">
        <v>87.811573791214002</v>
      </c>
      <c r="AN6190">
        <v>0.99999996261149005</v>
      </c>
    </row>
    <row r="6191" spans="1:40" x14ac:dyDescent="0.25">
      <c r="A6191" t="str">
        <f>"20190304165008635"</f>
        <v>20190304165008635</v>
      </c>
      <c r="B6191" t="str">
        <f>"1551689408631686"</f>
        <v>1551689408631686</v>
      </c>
      <c r="C6191" t="s">
        <v>40</v>
      </c>
      <c r="D6191">
        <v>4.5534480000000004</v>
      </c>
      <c r="E6191">
        <v>0.55799750000000004</v>
      </c>
      <c r="F6191" t="s">
        <v>41</v>
      </c>
      <c r="G6191">
        <v>-332.31709999999998</v>
      </c>
      <c r="H6191">
        <v>0.96646710000000002</v>
      </c>
      <c r="I6191">
        <v>17.339410000000001</v>
      </c>
      <c r="J6191">
        <v>-333.0052</v>
      </c>
      <c r="K6191">
        <v>1.110271</v>
      </c>
      <c r="L6191">
        <v>17.456420000000001</v>
      </c>
      <c r="M6191">
        <v>0.99983500000000003</v>
      </c>
      <c r="N6191">
        <v>-1.452589E-2</v>
      </c>
      <c r="O6191">
        <v>-1.0917420000000001E-2</v>
      </c>
      <c r="P6191">
        <v>0.91864559999999995</v>
      </c>
      <c r="Q6191">
        <v>0.3924628</v>
      </c>
      <c r="R6191">
        <v>-4.5425800000000002E-2</v>
      </c>
      <c r="S6191">
        <v>3.4883120000000001</v>
      </c>
      <c r="T6191">
        <v>-0.57739869999999904</v>
      </c>
      <c r="U6191">
        <v>-0.47921750000000002</v>
      </c>
      <c r="V6191">
        <v>3.6215280000000002E-2</v>
      </c>
      <c r="W6191">
        <v>0.40569949999999999</v>
      </c>
      <c r="X6191">
        <v>0.91328880000000001</v>
      </c>
      <c r="Y6191">
        <v>0.12359680000000001</v>
      </c>
      <c r="Z6191">
        <v>-9.3924790000000005E-3</v>
      </c>
      <c r="AA6191">
        <v>0.99228810000000001</v>
      </c>
      <c r="AB6191">
        <v>33</v>
      </c>
      <c r="AC6191">
        <v>0.68810000000001903</v>
      </c>
      <c r="AD6191">
        <v>-0.14380389999999901</v>
      </c>
      <c r="AE6191">
        <v>-0.11701</v>
      </c>
      <c r="AF6191">
        <v>0.105031567049012</v>
      </c>
      <c r="AG6191">
        <v>-0.14380389999999901</v>
      </c>
      <c r="AH6191">
        <v>0.66126704130106495</v>
      </c>
      <c r="AI6191">
        <v>102.121551993818</v>
      </c>
      <c r="AJ6191">
        <v>80.974884541418703</v>
      </c>
      <c r="AK6191">
        <v>0.68482500804442403</v>
      </c>
      <c r="AL6191">
        <v>66.065031963579898</v>
      </c>
      <c r="AM6191">
        <v>87.729200068803493</v>
      </c>
      <c r="AN6191">
        <v>1.0000000315055799</v>
      </c>
    </row>
    <row r="6192" spans="1:40" x14ac:dyDescent="0.25">
      <c r="A6192" t="str">
        <f>"20190304165008647"</f>
        <v>20190304165008647</v>
      </c>
      <c r="B6192" t="str">
        <f>"1551689408641446"</f>
        <v>1551689408641446</v>
      </c>
      <c r="C6192" t="s">
        <v>40</v>
      </c>
      <c r="D6192">
        <v>4.5688829999999996</v>
      </c>
      <c r="E6192">
        <v>0.558141</v>
      </c>
      <c r="F6192" t="s">
        <v>41</v>
      </c>
      <c r="G6192">
        <v>-332.02910000000003</v>
      </c>
      <c r="H6192">
        <v>0.94876289999999996</v>
      </c>
      <c r="I6192">
        <v>17.319510000000001</v>
      </c>
      <c r="J6192">
        <v>-332.84129999999999</v>
      </c>
      <c r="K6192">
        <v>1.1102240000000001</v>
      </c>
      <c r="L6192">
        <v>17.454070000000002</v>
      </c>
      <c r="M6192">
        <v>0.99982879999999996</v>
      </c>
      <c r="N6192">
        <v>-1.4524820000000001E-2</v>
      </c>
      <c r="O6192">
        <v>-1.1470350000000001E-2</v>
      </c>
      <c r="P6192">
        <v>0.91849700000000001</v>
      </c>
      <c r="Q6192">
        <v>0.39261980000000002</v>
      </c>
      <c r="R6192">
        <v>-4.7045009999999998E-2</v>
      </c>
      <c r="S6192">
        <v>3.4880680000000002</v>
      </c>
      <c r="T6192">
        <v>-0.57708609999999905</v>
      </c>
      <c r="U6192">
        <v>-0.48870849999999999</v>
      </c>
      <c r="V6192">
        <v>3.7372750000000003E-2</v>
      </c>
      <c r="W6192">
        <v>0.40584769999999998</v>
      </c>
      <c r="X6192">
        <v>0.91317630000000005</v>
      </c>
      <c r="Y6192">
        <v>0.1256843</v>
      </c>
      <c r="Z6192">
        <v>-9.4907419999999999E-3</v>
      </c>
      <c r="AA6192">
        <v>0.99202489999999999</v>
      </c>
      <c r="AB6192">
        <v>33</v>
      </c>
      <c r="AC6192">
        <v>0.81219999999996095</v>
      </c>
      <c r="AD6192">
        <v>-0.161461099999999</v>
      </c>
      <c r="AE6192">
        <v>-0.13456000000000001</v>
      </c>
      <c r="AF6192">
        <v>0.120595409896398</v>
      </c>
      <c r="AG6192">
        <v>-0.161461099999999</v>
      </c>
      <c r="AH6192">
        <v>0.78355192876202895</v>
      </c>
      <c r="AI6192">
        <v>101.511700491594</v>
      </c>
      <c r="AJ6192">
        <v>81.250340487054999</v>
      </c>
      <c r="AK6192">
        <v>0.80905288131739905</v>
      </c>
      <c r="AL6192">
        <v>66.055741122057995</v>
      </c>
      <c r="AM6192">
        <v>87.6564147332532</v>
      </c>
      <c r="AN6192">
        <v>1.00000001645977</v>
      </c>
    </row>
    <row r="6193" spans="1:40" x14ac:dyDescent="0.25">
      <c r="A6193" t="str">
        <f>"20190304165008658"</f>
        <v>20190304165008658</v>
      </c>
      <c r="B6193" t="str">
        <f>"1551689408652182"</f>
        <v>1551689408652182</v>
      </c>
      <c r="C6193" t="s">
        <v>40</v>
      </c>
      <c r="D6193">
        <v>4.5805709999999999</v>
      </c>
      <c r="E6193">
        <v>0.55825939999999996</v>
      </c>
      <c r="F6193" t="s">
        <v>41</v>
      </c>
      <c r="G6193">
        <v>-332.01729999999998</v>
      </c>
      <c r="H6193">
        <v>0.97378710000000002</v>
      </c>
      <c r="I6193">
        <v>17.336690000000001</v>
      </c>
      <c r="J6193">
        <v>-332.67230000000001</v>
      </c>
      <c r="K6193">
        <v>1.1101780000000001</v>
      </c>
      <c r="L6193">
        <v>17.451629999999899</v>
      </c>
      <c r="M6193">
        <v>0.99982199999999999</v>
      </c>
      <c r="N6193">
        <v>-1.4523680000000001E-2</v>
      </c>
      <c r="O6193">
        <v>-1.2053360000000001E-2</v>
      </c>
      <c r="P6193">
        <v>0.91826770000000002</v>
      </c>
      <c r="Q6193">
        <v>0.39295010000000002</v>
      </c>
      <c r="R6193">
        <v>-4.8732490000000003E-2</v>
      </c>
      <c r="S6193">
        <v>3.4876399999999999</v>
      </c>
      <c r="T6193">
        <v>-0.57741809999999905</v>
      </c>
      <c r="U6193">
        <v>-0.49612430000000002</v>
      </c>
      <c r="V6193">
        <v>3.8573959999999997E-2</v>
      </c>
      <c r="W6193">
        <v>0.40616750000000001</v>
      </c>
      <c r="X6193">
        <v>0.91298409999999997</v>
      </c>
      <c r="Y6193">
        <v>0.1271738</v>
      </c>
      <c r="Z6193">
        <v>-9.5411699999999999E-3</v>
      </c>
      <c r="AA6193">
        <v>0.99183460000000001</v>
      </c>
      <c r="AB6193">
        <v>33</v>
      </c>
      <c r="AC6193">
        <v>0.655000000000029</v>
      </c>
      <c r="AD6193">
        <v>-0.13639090000000001</v>
      </c>
      <c r="AE6193">
        <v>-0.114939999999997</v>
      </c>
      <c r="AF6193">
        <v>0.10271519495043201</v>
      </c>
      <c r="AG6193">
        <v>-0.13639090000000001</v>
      </c>
      <c r="AH6193">
        <v>0.62984385355086003</v>
      </c>
      <c r="AI6193">
        <v>102.063971489469</v>
      </c>
      <c r="AJ6193">
        <v>80.737717146934997</v>
      </c>
      <c r="AK6193">
        <v>0.65257656158669397</v>
      </c>
      <c r="AL6193">
        <v>66.035690021421701</v>
      </c>
      <c r="AM6193">
        <v>87.580668253319999</v>
      </c>
      <c r="AN6193">
        <v>0.99999997764957005</v>
      </c>
    </row>
    <row r="6194" spans="1:40" x14ac:dyDescent="0.25">
      <c r="A6194" t="str">
        <f>"20190304165008668"</f>
        <v>20190304165008668</v>
      </c>
      <c r="B6194" t="str">
        <f>"1551689408661941"</f>
        <v>1551689408661941</v>
      </c>
      <c r="C6194" t="s">
        <v>40</v>
      </c>
      <c r="D6194">
        <v>4.5555830000000004</v>
      </c>
      <c r="E6194">
        <v>0.55839810000000001</v>
      </c>
      <c r="F6194" t="s">
        <v>41</v>
      </c>
      <c r="G6194">
        <v>-331.73059999999998</v>
      </c>
      <c r="H6194">
        <v>0.95436010000000004</v>
      </c>
      <c r="I6194">
        <v>17.3154</v>
      </c>
      <c r="J6194">
        <v>-332.50319999999999</v>
      </c>
      <c r="K6194">
        <v>1.1101270000000001</v>
      </c>
      <c r="L6194">
        <v>17.448969999999999</v>
      </c>
      <c r="M6194">
        <v>0.99981419999999999</v>
      </c>
      <c r="N6194">
        <v>-1.452258E-2</v>
      </c>
      <c r="O6194">
        <v>-1.2676939999999999E-2</v>
      </c>
      <c r="P6194">
        <v>0.9180005</v>
      </c>
      <c r="Q6194">
        <v>0.39335019999999998</v>
      </c>
      <c r="R6194">
        <v>-5.0504439999999998E-2</v>
      </c>
      <c r="S6194">
        <v>3.487152</v>
      </c>
      <c r="T6194">
        <v>-0.5769088</v>
      </c>
      <c r="U6194">
        <v>-0.50393679999999996</v>
      </c>
      <c r="V6194">
        <v>3.9824869999999998E-2</v>
      </c>
      <c r="W6194">
        <v>0.40655570000000002</v>
      </c>
      <c r="X6194">
        <v>0.91275759999999995</v>
      </c>
      <c r="Y6194">
        <v>0.12873899999999999</v>
      </c>
      <c r="Z6194">
        <v>-9.5802309999999998E-3</v>
      </c>
      <c r="AA6194">
        <v>0.99163219999999996</v>
      </c>
      <c r="AB6194">
        <v>33</v>
      </c>
      <c r="AC6194">
        <v>0.77260000000001094</v>
      </c>
      <c r="AD6194">
        <v>-0.15576690000000001</v>
      </c>
      <c r="AE6194">
        <v>-0.13357000000000199</v>
      </c>
      <c r="AF6194">
        <v>0.11906472213770899</v>
      </c>
      <c r="AG6194">
        <v>-0.15576690000000001</v>
      </c>
      <c r="AH6194">
        <v>0.74483386674096796</v>
      </c>
      <c r="AI6194">
        <v>101.668012681381</v>
      </c>
      <c r="AJ6194">
        <v>80.917875954723996</v>
      </c>
      <c r="AK6194">
        <v>0.77020596221896498</v>
      </c>
      <c r="AL6194">
        <v>66.011347815952703</v>
      </c>
      <c r="AM6194">
        <v>87.501690840706004</v>
      </c>
      <c r="AN6194">
        <v>0.99999999691538299</v>
      </c>
    </row>
    <row r="6195" spans="1:40" x14ac:dyDescent="0.25">
      <c r="A6195" t="str">
        <f>"20190304165008679"</f>
        <v>20190304165008679</v>
      </c>
      <c r="B6195" t="str">
        <f>"1551689408671702"</f>
        <v>1551689408671702</v>
      </c>
      <c r="C6195" t="s">
        <v>40</v>
      </c>
      <c r="D6195">
        <v>4.5826760000000002</v>
      </c>
      <c r="E6195">
        <v>0.55848469999999995</v>
      </c>
      <c r="F6195" t="s">
        <v>41</v>
      </c>
      <c r="G6195">
        <v>-331.71809999999999</v>
      </c>
      <c r="H6195">
        <v>0.98044489999999995</v>
      </c>
      <c r="I6195">
        <v>17.33351</v>
      </c>
      <c r="J6195">
        <v>-332.35270000000003</v>
      </c>
      <c r="K6195">
        <v>1.1100890000000001</v>
      </c>
      <c r="L6195">
        <v>17.446560000000002</v>
      </c>
      <c r="M6195">
        <v>0.99980670000000005</v>
      </c>
      <c r="N6195">
        <v>-1.45217E-2</v>
      </c>
      <c r="O6195">
        <v>-1.3254429999999999E-2</v>
      </c>
      <c r="P6195">
        <v>0.91774960000000005</v>
      </c>
      <c r="Q6195">
        <v>0.3937271</v>
      </c>
      <c r="R6195">
        <v>-5.2103679999999999E-2</v>
      </c>
      <c r="S6195">
        <v>3.486542</v>
      </c>
      <c r="T6195">
        <v>-0.57580290000000001</v>
      </c>
      <c r="U6195">
        <v>-0.51214599999999999</v>
      </c>
      <c r="V6195">
        <v>4.09413E-2</v>
      </c>
      <c r="W6195">
        <v>0.40692159999999999</v>
      </c>
      <c r="X6195">
        <v>0.9125451</v>
      </c>
      <c r="Y6195">
        <v>0.13046489999999999</v>
      </c>
      <c r="Z6195">
        <v>-9.6319419999999992E-3</v>
      </c>
      <c r="AA6195">
        <v>0.99140609999999996</v>
      </c>
      <c r="AB6195">
        <v>33</v>
      </c>
      <c r="AC6195">
        <v>0.63460000000003403</v>
      </c>
      <c r="AD6195">
        <v>-0.12964409999999901</v>
      </c>
      <c r="AE6195">
        <v>-0.113050000000001</v>
      </c>
      <c r="AF6195">
        <v>0.10056008892087701</v>
      </c>
      <c r="AG6195">
        <v>-0.12964409999999901</v>
      </c>
      <c r="AH6195">
        <v>0.61131409881547705</v>
      </c>
      <c r="AI6195">
        <v>101.819278394134</v>
      </c>
      <c r="AJ6195">
        <v>80.658604350552807</v>
      </c>
      <c r="AK6195">
        <v>0.632949327797386</v>
      </c>
      <c r="AL6195">
        <v>65.988398551867604</v>
      </c>
      <c r="AM6195">
        <v>87.431149765377597</v>
      </c>
      <c r="AN6195">
        <v>0.99999996906312905</v>
      </c>
    </row>
    <row r="6196" spans="1:40" x14ac:dyDescent="0.25">
      <c r="A6196" t="str">
        <f>"20190304165008690"</f>
        <v>20190304165008690</v>
      </c>
      <c r="B6196" t="str">
        <f>"1551689408681462"</f>
        <v>1551689408681462</v>
      </c>
      <c r="C6196" t="s">
        <v>40</v>
      </c>
      <c r="D6196">
        <v>4.5728479999999996</v>
      </c>
      <c r="E6196">
        <v>0.55857380000000001</v>
      </c>
      <c r="F6196" t="s">
        <v>41</v>
      </c>
      <c r="G6196">
        <v>-331.43299999999999</v>
      </c>
      <c r="H6196">
        <v>0.95824980000000004</v>
      </c>
      <c r="I6196">
        <v>17.30939</v>
      </c>
      <c r="J6196">
        <v>-332.1875</v>
      </c>
      <c r="K6196">
        <v>1.110042</v>
      </c>
      <c r="L6196">
        <v>17.443729999999999</v>
      </c>
      <c r="M6196">
        <v>0.99979779999999996</v>
      </c>
      <c r="N6196">
        <v>-1.452088E-2</v>
      </c>
      <c r="O6196">
        <v>-1.392122E-2</v>
      </c>
      <c r="P6196">
        <v>0.91746220000000001</v>
      </c>
      <c r="Q6196">
        <v>0.39412930000000002</v>
      </c>
      <c r="R6196">
        <v>-5.4086540000000002E-2</v>
      </c>
      <c r="S6196">
        <v>3.4862669999999998</v>
      </c>
      <c r="T6196">
        <v>-0.57545849999999998</v>
      </c>
      <c r="U6196">
        <v>-0.51901249999999999</v>
      </c>
      <c r="V6196">
        <v>4.2366300000000003E-2</v>
      </c>
      <c r="W6196">
        <v>0.40731149999999999</v>
      </c>
      <c r="X6196">
        <v>0.91230610000000001</v>
      </c>
      <c r="Y6196">
        <v>0.13171739999999901</v>
      </c>
      <c r="Z6196">
        <v>-9.6386790000000007E-3</v>
      </c>
      <c r="AA6196">
        <v>0.99124040000000002</v>
      </c>
      <c r="AB6196">
        <v>33</v>
      </c>
      <c r="AC6196">
        <v>0.75449999999994999</v>
      </c>
      <c r="AD6196">
        <v>-0.15179219999999999</v>
      </c>
      <c r="AE6196">
        <v>-0.13433999999999799</v>
      </c>
      <c r="AF6196">
        <v>0.119148051934906</v>
      </c>
      <c r="AG6196">
        <v>-0.15179219999999999</v>
      </c>
      <c r="AH6196">
        <v>0.727747215867797</v>
      </c>
      <c r="AI6196">
        <v>101.631180484429</v>
      </c>
      <c r="AJ6196">
        <v>80.701926449064104</v>
      </c>
      <c r="AK6196">
        <v>0.75289650049927404</v>
      </c>
      <c r="AL6196">
        <v>65.963940810486605</v>
      </c>
      <c r="AM6196">
        <v>87.341169271372493</v>
      </c>
      <c r="AN6196">
        <v>0.99999999075257495</v>
      </c>
    </row>
    <row r="6197" spans="1:40" x14ac:dyDescent="0.25">
      <c r="A6197" t="str">
        <f>"20190304165008701"</f>
        <v>20190304165008701</v>
      </c>
      <c r="B6197" t="str">
        <f>"1551689408692197"</f>
        <v>1551689408692197</v>
      </c>
      <c r="C6197" t="s">
        <v>40</v>
      </c>
      <c r="D6197">
        <v>4.5700849999999997</v>
      </c>
      <c r="E6197">
        <v>0.55869269999999904</v>
      </c>
      <c r="F6197" t="s">
        <v>41</v>
      </c>
      <c r="G6197">
        <v>-331.42090000000002</v>
      </c>
      <c r="H6197">
        <v>0.98354050000000004</v>
      </c>
      <c r="I6197">
        <v>17.32771</v>
      </c>
      <c r="J6197">
        <v>-332.02859999999998</v>
      </c>
      <c r="K6197">
        <v>1.1099950000000001</v>
      </c>
      <c r="L6197">
        <v>17.44089</v>
      </c>
      <c r="M6197">
        <v>0.99978809999999996</v>
      </c>
      <c r="N6197">
        <v>-1.4520140000000001E-2</v>
      </c>
      <c r="O6197">
        <v>-1.459972E-2</v>
      </c>
      <c r="P6197">
        <v>0.91721750000000002</v>
      </c>
      <c r="Q6197">
        <v>0.39438499999999999</v>
      </c>
      <c r="R6197">
        <v>-5.6327740000000001E-2</v>
      </c>
      <c r="S6197">
        <v>3.4859010000000001</v>
      </c>
      <c r="T6197">
        <v>-0.57510039999999996</v>
      </c>
      <c r="U6197">
        <v>-0.52645869999999995</v>
      </c>
      <c r="V6197">
        <v>4.4039439999999999E-2</v>
      </c>
      <c r="W6197">
        <v>0.40755360000000002</v>
      </c>
      <c r="X6197">
        <v>0.91211869999999995</v>
      </c>
      <c r="Y6197">
        <v>0.1331203</v>
      </c>
      <c r="Z6197">
        <v>-9.6569689999999996E-3</v>
      </c>
      <c r="AA6197">
        <v>0.99105290000000001</v>
      </c>
      <c r="AB6197">
        <v>33</v>
      </c>
      <c r="AC6197">
        <v>0.60769999999996505</v>
      </c>
      <c r="AD6197">
        <v>-0.1264545</v>
      </c>
      <c r="AE6197">
        <v>-0.113179999999999</v>
      </c>
      <c r="AF6197">
        <v>0.100105472802986</v>
      </c>
      <c r="AG6197">
        <v>-0.1264545</v>
      </c>
      <c r="AH6197">
        <v>0.58481411404773598</v>
      </c>
      <c r="AI6197">
        <v>102.031450401149</v>
      </c>
      <c r="AJ6197">
        <v>80.286543760455601</v>
      </c>
      <c r="AK6197">
        <v>0.60664602054641203</v>
      </c>
      <c r="AL6197">
        <v>65.948750983731301</v>
      </c>
      <c r="AM6197">
        <v>87.2357588721718</v>
      </c>
      <c r="AN6197">
        <v>0.99999996601908103</v>
      </c>
    </row>
    <row r="6198" spans="1:40" x14ac:dyDescent="0.25">
      <c r="A6198" t="str">
        <f>"20190304165008711"</f>
        <v>20190304165008711</v>
      </c>
      <c r="B6198" t="str">
        <f>"1551689408701958"</f>
        <v>1551689408701958</v>
      </c>
      <c r="C6198" t="s">
        <v>40</v>
      </c>
      <c r="D6198">
        <v>4.5790379999999997</v>
      </c>
      <c r="E6198">
        <v>0.55878760000000005</v>
      </c>
      <c r="F6198" t="s">
        <v>41</v>
      </c>
      <c r="G6198">
        <v>-331.13560000000001</v>
      </c>
      <c r="H6198">
        <v>0.96265750000000005</v>
      </c>
      <c r="I6198">
        <v>17.30359</v>
      </c>
      <c r="J6198">
        <v>-331.86630000000002</v>
      </c>
      <c r="K6198">
        <v>1.1099380000000001</v>
      </c>
      <c r="L6198">
        <v>17.43787</v>
      </c>
      <c r="M6198">
        <v>0.99977729999999998</v>
      </c>
      <c r="N6198">
        <v>-1.451938E-2</v>
      </c>
      <c r="O6198">
        <v>-1.5319070000000001E-2</v>
      </c>
      <c r="P6198">
        <v>0.91694799999999999</v>
      </c>
      <c r="Q6198">
        <v>0.3947117</v>
      </c>
      <c r="R6198">
        <v>-5.8387990000000001E-2</v>
      </c>
      <c r="S6198">
        <v>3.4850460000000001</v>
      </c>
      <c r="T6198">
        <v>-0.57489630000000003</v>
      </c>
      <c r="U6198">
        <v>-0.53515630000000003</v>
      </c>
      <c r="V6198">
        <v>4.5498379999999998E-2</v>
      </c>
      <c r="W6198">
        <v>0.40786660000000002</v>
      </c>
      <c r="X6198">
        <v>0.91190720000000003</v>
      </c>
      <c r="Y6198">
        <v>0.13484450000000001</v>
      </c>
      <c r="Z6198">
        <v>-9.7009100000000001E-3</v>
      </c>
      <c r="AA6198">
        <v>0.99081929999999996</v>
      </c>
      <c r="AB6198">
        <v>33</v>
      </c>
      <c r="AC6198">
        <v>0.73070000000001301</v>
      </c>
      <c r="AD6198">
        <v>-0.14728049999999901</v>
      </c>
      <c r="AE6198">
        <v>-0.13428000000000001</v>
      </c>
      <c r="AF6198">
        <v>0.11841572749076799</v>
      </c>
      <c r="AG6198">
        <v>-0.14728049999999901</v>
      </c>
      <c r="AH6198">
        <v>0.70496660774765196</v>
      </c>
      <c r="AI6198">
        <v>101.641860165111</v>
      </c>
      <c r="AJ6198">
        <v>80.464839406636798</v>
      </c>
      <c r="AK6198">
        <v>0.72985734786782097</v>
      </c>
      <c r="AL6198">
        <v>65.929111869761897</v>
      </c>
      <c r="AM6198">
        <v>87.143672933328105</v>
      </c>
      <c r="AN6198">
        <v>1.0000000036950101</v>
      </c>
    </row>
    <row r="6199" spans="1:40" x14ac:dyDescent="0.25">
      <c r="A6199" t="str">
        <f>"20190304165008724"</f>
        <v>20190304165008724</v>
      </c>
      <c r="B6199" t="str">
        <f>"1551689408711718"</f>
        <v>1551689408711718</v>
      </c>
      <c r="C6199" t="s">
        <v>40</v>
      </c>
      <c r="D6199">
        <v>4.5679559999999997</v>
      </c>
      <c r="E6199">
        <v>0.55885229999999997</v>
      </c>
      <c r="F6199" t="s">
        <v>41</v>
      </c>
      <c r="G6199">
        <v>-331.12360000000001</v>
      </c>
      <c r="H6199">
        <v>0.98753869999999999</v>
      </c>
      <c r="I6199">
        <v>17.32189</v>
      </c>
      <c r="J6199">
        <v>-331.70229999999998</v>
      </c>
      <c r="K6199">
        <v>1.1098790000000001</v>
      </c>
      <c r="L6199">
        <v>17.4346</v>
      </c>
      <c r="M6199">
        <v>0.99976500000000001</v>
      </c>
      <c r="N6199">
        <v>-1.451887E-2</v>
      </c>
      <c r="O6199">
        <v>-1.6100299999999901E-2</v>
      </c>
      <c r="P6199">
        <v>0.91665640000000004</v>
      </c>
      <c r="Q6199">
        <v>0.39504790000000001</v>
      </c>
      <c r="R6199">
        <v>-6.0651900000000002E-2</v>
      </c>
      <c r="S6199">
        <v>3.4842219999999999</v>
      </c>
      <c r="T6199">
        <v>-0.57402849999999905</v>
      </c>
      <c r="U6199">
        <v>-0.54327389999999998</v>
      </c>
      <c r="V6199">
        <v>4.7110319999999997E-2</v>
      </c>
      <c r="W6199">
        <v>0.40818739999999998</v>
      </c>
      <c r="X6199">
        <v>0.91168179999999999</v>
      </c>
      <c r="Y6199">
        <v>0.136351799999999</v>
      </c>
      <c r="Z6199">
        <v>-9.7067379999999995E-3</v>
      </c>
      <c r="AA6199">
        <v>0.99061290000000002</v>
      </c>
      <c r="AB6199">
        <v>33</v>
      </c>
      <c r="AC6199">
        <v>0.57869999999996902</v>
      </c>
      <c r="AD6199">
        <v>-0.1223403</v>
      </c>
      <c r="AE6199">
        <v>-0.11270999999999901</v>
      </c>
      <c r="AF6199">
        <v>9.9109612866031094E-2</v>
      </c>
      <c r="AG6199">
        <v>-0.1223403</v>
      </c>
      <c r="AH6199">
        <v>0.55647848748339401</v>
      </c>
      <c r="AI6199">
        <v>102.21279065702301</v>
      </c>
      <c r="AJ6199">
        <v>79.901427384331697</v>
      </c>
      <c r="AK6199">
        <v>0.57832358710184995</v>
      </c>
      <c r="AL6199">
        <v>65.908979658414495</v>
      </c>
      <c r="AM6199">
        <v>87.041924220000496</v>
      </c>
      <c r="AN6199">
        <v>1.0000000201102499</v>
      </c>
    </row>
    <row r="6200" spans="1:40" x14ac:dyDescent="0.25">
      <c r="A6200" t="str">
        <f>"20190304165008737"</f>
        <v>20190304165008737</v>
      </c>
      <c r="B6200" t="str">
        <f>"1551689408732213"</f>
        <v>1551689408732213</v>
      </c>
      <c r="C6200" t="s">
        <v>40</v>
      </c>
      <c r="D6200">
        <v>4.5493209999999999</v>
      </c>
      <c r="E6200">
        <v>0.55892269999999999</v>
      </c>
      <c r="F6200" t="s">
        <v>41</v>
      </c>
      <c r="G6200">
        <v>-330.8383</v>
      </c>
      <c r="H6200">
        <v>0.96753860000000003</v>
      </c>
      <c r="I6200">
        <v>17.2974</v>
      </c>
      <c r="J6200">
        <v>-331.5215</v>
      </c>
      <c r="K6200">
        <v>1.1098129999999999</v>
      </c>
      <c r="L6200">
        <v>17.43094</v>
      </c>
      <c r="M6200">
        <v>0.99975040000000004</v>
      </c>
      <c r="N6200">
        <v>-1.4518339999999999E-2</v>
      </c>
      <c r="O6200">
        <v>-1.6985670000000001E-2</v>
      </c>
      <c r="P6200">
        <v>0.9164793</v>
      </c>
      <c r="Q6200">
        <v>0.39511079999999998</v>
      </c>
      <c r="R6200">
        <v>-6.2876180000000004E-2</v>
      </c>
      <c r="S6200">
        <v>3.4834589999999999</v>
      </c>
      <c r="T6200">
        <v>-0.57363920000000002</v>
      </c>
      <c r="U6200">
        <v>-0.5519714</v>
      </c>
      <c r="V6200">
        <v>4.859343E-2</v>
      </c>
      <c r="W6200">
        <v>0.40823619999999999</v>
      </c>
      <c r="X6200">
        <v>0.91158209999999995</v>
      </c>
      <c r="Y6200">
        <v>0.13791099999999901</v>
      </c>
      <c r="Z6200">
        <v>-9.7084690000000008E-3</v>
      </c>
      <c r="AA6200">
        <v>0.99039699999999997</v>
      </c>
      <c r="AB6200">
        <v>33</v>
      </c>
      <c r="AC6200">
        <v>0.68319999999999903</v>
      </c>
      <c r="AD6200">
        <v>-0.142274399999999</v>
      </c>
      <c r="AE6200">
        <v>-0.13353999999999999</v>
      </c>
      <c r="AF6200">
        <v>0.11702658581164301</v>
      </c>
      <c r="AG6200">
        <v>-0.142274399999999</v>
      </c>
      <c r="AH6200">
        <v>0.65788925642079998</v>
      </c>
      <c r="AI6200">
        <v>102.019734045818</v>
      </c>
      <c r="AJ6200">
        <v>79.913619554872994</v>
      </c>
      <c r="AK6200">
        <v>0.68319506760222004</v>
      </c>
      <c r="AL6200">
        <v>65.905916827415297</v>
      </c>
      <c r="AM6200">
        <v>86.948639357957006</v>
      </c>
      <c r="AN6200">
        <v>1.0000000207349999</v>
      </c>
    </row>
    <row r="6201" spans="1:40" x14ac:dyDescent="0.25">
      <c r="A6201" t="str">
        <f>"20190304165008749"</f>
        <v>20190304165008749</v>
      </c>
      <c r="B6201" t="str">
        <f>"1551689408741974"</f>
        <v>1551689408741974</v>
      </c>
      <c r="C6201" t="s">
        <v>40</v>
      </c>
      <c r="D6201">
        <v>4.5433320000000004</v>
      </c>
      <c r="E6201">
        <v>0.55898479999999995</v>
      </c>
      <c r="F6201" t="s">
        <v>41</v>
      </c>
      <c r="G6201">
        <v>-330.55200000000002</v>
      </c>
      <c r="H6201">
        <v>0.94952749999999997</v>
      </c>
      <c r="I6201">
        <v>17.274370000000001</v>
      </c>
      <c r="J6201">
        <v>-331.32199999999898</v>
      </c>
      <c r="K6201">
        <v>1.1097349999999999</v>
      </c>
      <c r="L6201">
        <v>17.426479999999898</v>
      </c>
      <c r="M6201">
        <v>0.99973160000000005</v>
      </c>
      <c r="N6201">
        <v>-1.45182E-2</v>
      </c>
      <c r="O6201">
        <v>-1.8051859999999999E-2</v>
      </c>
      <c r="P6201">
        <v>0.91621799999999998</v>
      </c>
      <c r="Q6201">
        <v>0.3953121</v>
      </c>
      <c r="R6201">
        <v>-6.5365350000000003E-2</v>
      </c>
      <c r="S6201">
        <v>3.4830019999999902</v>
      </c>
      <c r="T6201">
        <v>-0.57568710000000001</v>
      </c>
      <c r="U6201">
        <v>-0.561554</v>
      </c>
      <c r="V6201">
        <v>5.0192830000000001E-2</v>
      </c>
      <c r="W6201">
        <v>0.4084199</v>
      </c>
      <c r="X6201">
        <v>0.91141309999999998</v>
      </c>
      <c r="Y6201">
        <v>0.13950899999999999</v>
      </c>
      <c r="Z6201">
        <v>-9.7213509999999996E-3</v>
      </c>
      <c r="AA6201">
        <v>0.99017310000000003</v>
      </c>
      <c r="AB6201">
        <v>33</v>
      </c>
      <c r="AC6201">
        <v>0.76999999999998103</v>
      </c>
      <c r="AD6201">
        <v>-0.1602075</v>
      </c>
      <c r="AE6201">
        <v>-0.152109999999996</v>
      </c>
      <c r="AF6201">
        <v>0.132656827234441</v>
      </c>
      <c r="AG6201">
        <v>-0.1602075</v>
      </c>
      <c r="AH6201">
        <v>0.74171789718018</v>
      </c>
      <c r="AI6201">
        <v>102.003550879557</v>
      </c>
      <c r="AJ6201">
        <v>79.859817840973705</v>
      </c>
      <c r="AK6201">
        <v>0.77033091322206804</v>
      </c>
      <c r="AL6201">
        <v>65.8943856921167</v>
      </c>
      <c r="AM6201">
        <v>86.8478231666261</v>
      </c>
      <c r="AN6201">
        <v>0.99999998687551395</v>
      </c>
    </row>
    <row r="6202" spans="1:40" x14ac:dyDescent="0.25">
      <c r="A6202" t="str">
        <f>"20190304165008760"</f>
        <v>20190304165008760</v>
      </c>
      <c r="B6202" t="str">
        <f>"1551689408751733"</f>
        <v>1551689408751733</v>
      </c>
      <c r="C6202" t="s">
        <v>40</v>
      </c>
      <c r="D6202">
        <v>4.5445219999999997</v>
      </c>
      <c r="E6202">
        <v>0.55904109999999996</v>
      </c>
      <c r="F6202" t="s">
        <v>41</v>
      </c>
      <c r="G6202">
        <v>-330.53750000000002</v>
      </c>
      <c r="H6202">
        <v>0.97998499999999999</v>
      </c>
      <c r="I6202">
        <v>17.297409999999999</v>
      </c>
      <c r="J6202">
        <v>-331.15559999999999</v>
      </c>
      <c r="K6202">
        <v>1.109666</v>
      </c>
      <c r="L6202">
        <v>17.422639999999902</v>
      </c>
      <c r="M6202">
        <v>0.99971469999999996</v>
      </c>
      <c r="N6202">
        <v>-1.451831E-2</v>
      </c>
      <c r="O6202">
        <v>-1.8978330000000002E-2</v>
      </c>
      <c r="P6202">
        <v>0.91602470000000003</v>
      </c>
      <c r="Q6202">
        <v>0.39537060000000002</v>
      </c>
      <c r="R6202">
        <v>-6.7686209999999997E-2</v>
      </c>
      <c r="S6202">
        <v>3.481903</v>
      </c>
      <c r="T6202">
        <v>-0.57573819999999998</v>
      </c>
      <c r="U6202">
        <v>-0.57180790000000004</v>
      </c>
      <c r="V6202">
        <v>5.1737730000000003E-2</v>
      </c>
      <c r="W6202">
        <v>0.40846339999999998</v>
      </c>
      <c r="X6202">
        <v>0.91130719999999998</v>
      </c>
      <c r="Y6202">
        <v>0.1414628</v>
      </c>
      <c r="Z6202">
        <v>-9.7589830000000006E-3</v>
      </c>
      <c r="AA6202">
        <v>0.98989550000000004</v>
      </c>
      <c r="AB6202">
        <v>33</v>
      </c>
      <c r="AC6202">
        <v>0.61809999999996901</v>
      </c>
      <c r="AD6202">
        <v>-0.12968099999999999</v>
      </c>
      <c r="AE6202">
        <v>-0.12522999999999801</v>
      </c>
      <c r="AF6202">
        <v>0.10887227195811799</v>
      </c>
      <c r="AG6202">
        <v>-0.12968099999999999</v>
      </c>
      <c r="AH6202">
        <v>0.59519886054245796</v>
      </c>
      <c r="AI6202">
        <v>102.096769732251</v>
      </c>
      <c r="AJ6202">
        <v>79.634196072258803</v>
      </c>
      <c r="AK6202">
        <v>0.61881501028446495</v>
      </c>
      <c r="AL6202">
        <v>65.891654937445395</v>
      </c>
      <c r="AM6202">
        <v>86.750629392834597</v>
      </c>
      <c r="AN6202">
        <v>0.99999997730847601</v>
      </c>
    </row>
    <row r="6203" spans="1:40" x14ac:dyDescent="0.25">
      <c r="A6203" t="str">
        <f>"20190304165008771"</f>
        <v>20190304165008771</v>
      </c>
      <c r="B6203" t="str">
        <f>"1551689408761494"</f>
        <v>1551689408761494</v>
      </c>
      <c r="C6203" t="s">
        <v>40</v>
      </c>
      <c r="D6203">
        <v>4.539396</v>
      </c>
      <c r="E6203">
        <v>0.55908749999999996</v>
      </c>
      <c r="F6203" t="s">
        <v>41</v>
      </c>
      <c r="G6203">
        <v>-330.2527</v>
      </c>
      <c r="H6203">
        <v>0.96013559999999998</v>
      </c>
      <c r="I6203">
        <v>17.27169</v>
      </c>
      <c r="J6203">
        <v>-330.98950000000002</v>
      </c>
      <c r="K6203">
        <v>1.1095930000000001</v>
      </c>
      <c r="L6203">
        <v>17.418610000000001</v>
      </c>
      <c r="M6203">
        <v>0.99969580000000002</v>
      </c>
      <c r="N6203">
        <v>-1.4518649999999999E-2</v>
      </c>
      <c r="O6203">
        <v>-1.9942390000000001E-2</v>
      </c>
      <c r="P6203">
        <v>0.91588259999999999</v>
      </c>
      <c r="Q6203">
        <v>0.3952792</v>
      </c>
      <c r="R6203">
        <v>-7.0096160000000005E-2</v>
      </c>
      <c r="S6203">
        <v>3.4808349999999999</v>
      </c>
      <c r="T6203">
        <v>-0.5763606</v>
      </c>
      <c r="U6203">
        <v>-0.58117680000000005</v>
      </c>
      <c r="V6203">
        <v>5.3337790000000003E-2</v>
      </c>
      <c r="W6203">
        <v>0.40835680000000002</v>
      </c>
      <c r="X6203">
        <v>0.91126280000000004</v>
      </c>
      <c r="Y6203">
        <v>0.1431328</v>
      </c>
      <c r="Z6203">
        <v>-9.7741259999999993E-3</v>
      </c>
      <c r="AA6203">
        <v>0.98965519999999996</v>
      </c>
      <c r="AB6203">
        <v>33</v>
      </c>
      <c r="AC6203">
        <v>0.736800000000016</v>
      </c>
      <c r="AD6203">
        <v>-0.14945739999999999</v>
      </c>
      <c r="AE6203">
        <v>-0.14692000000000099</v>
      </c>
      <c r="AF6203">
        <v>0.12716340436892801</v>
      </c>
      <c r="AG6203">
        <v>-0.14945739999999999</v>
      </c>
      <c r="AH6203">
        <v>0.71143007578251005</v>
      </c>
      <c r="AI6203">
        <v>101.68420831901101</v>
      </c>
      <c r="AJ6203">
        <v>79.865781927704504</v>
      </c>
      <c r="AK6203">
        <v>0.73799783099502703</v>
      </c>
      <c r="AL6203">
        <v>65.898347842896897</v>
      </c>
      <c r="AM6203">
        <v>86.650200729816305</v>
      </c>
      <c r="AN6203">
        <v>1.0000000433060801</v>
      </c>
    </row>
    <row r="6204" spans="1:40" x14ac:dyDescent="0.25">
      <c r="A6204" t="str">
        <f>"20190304165008781"</f>
        <v>20190304165008781</v>
      </c>
      <c r="B6204" t="str">
        <f>"1551689408772230"</f>
        <v>1551689408772230</v>
      </c>
      <c r="C6204" t="s">
        <v>40</v>
      </c>
      <c r="D6204">
        <v>4.527393</v>
      </c>
      <c r="E6204">
        <v>0.55912489999999904</v>
      </c>
      <c r="F6204" t="s">
        <v>41</v>
      </c>
      <c r="G6204">
        <v>-330.24059999999997</v>
      </c>
      <c r="H6204">
        <v>0.98528159999999998</v>
      </c>
      <c r="I6204">
        <v>17.29121</v>
      </c>
      <c r="J6204">
        <v>-330.84570000000002</v>
      </c>
      <c r="K6204">
        <v>1.109529</v>
      </c>
      <c r="L6204">
        <v>17.41489</v>
      </c>
      <c r="M6204">
        <v>0.9996777</v>
      </c>
      <c r="N6204">
        <v>-1.4518949999999999E-2</v>
      </c>
      <c r="O6204">
        <v>-2.0826669999999999E-2</v>
      </c>
      <c r="P6204">
        <v>0.91573499999999997</v>
      </c>
      <c r="Q6204">
        <v>0.39518219999999998</v>
      </c>
      <c r="R6204">
        <v>-7.2531449999999997E-2</v>
      </c>
      <c r="S6204">
        <v>3.479492</v>
      </c>
      <c r="T6204">
        <v>-0.57742499999999997</v>
      </c>
      <c r="U6204">
        <v>-0.59097290000000002</v>
      </c>
      <c r="V6204">
        <v>5.5028380000000002E-2</v>
      </c>
      <c r="W6204">
        <v>0.40824450000000001</v>
      </c>
      <c r="X6204">
        <v>0.91121260000000004</v>
      </c>
      <c r="Y6204">
        <v>0.14500479999999999</v>
      </c>
      <c r="Z6204">
        <v>-9.8260719999999999E-3</v>
      </c>
      <c r="AA6204">
        <v>0.98938210000000004</v>
      </c>
      <c r="AB6204">
        <v>33</v>
      </c>
      <c r="AC6204">
        <v>0.60510000000004904</v>
      </c>
      <c r="AD6204">
        <v>-0.12424739999999999</v>
      </c>
      <c r="AE6204">
        <v>-0.12368</v>
      </c>
      <c r="AF6204">
        <v>0.10673013383004699</v>
      </c>
      <c r="AG6204">
        <v>-0.12424739999999999</v>
      </c>
      <c r="AH6204">
        <v>0.58391321756277903</v>
      </c>
      <c r="AI6204">
        <v>101.822245030811</v>
      </c>
      <c r="AJ6204">
        <v>79.6415828199777</v>
      </c>
      <c r="AK6204">
        <v>0.60645146839516895</v>
      </c>
      <c r="AL6204">
        <v>65.905396593751107</v>
      </c>
      <c r="AM6204">
        <v>86.544089227933</v>
      </c>
      <c r="AN6204">
        <v>1.00000004839221</v>
      </c>
    </row>
    <row r="6205" spans="1:40" x14ac:dyDescent="0.25">
      <c r="A6205" t="str">
        <f>"20190304165008791"</f>
        <v>20190304165008791</v>
      </c>
      <c r="B6205" t="str">
        <f>"1551689408781990"</f>
        <v>1551689408781990</v>
      </c>
      <c r="C6205" t="s">
        <v>40</v>
      </c>
      <c r="D6205">
        <v>4.5688000000000004</v>
      </c>
      <c r="E6205">
        <v>0.55916759999999999</v>
      </c>
      <c r="F6205" t="s">
        <v>41</v>
      </c>
      <c r="G6205">
        <v>-329.9579</v>
      </c>
      <c r="H6205">
        <v>0.96179840000000005</v>
      </c>
      <c r="I6205">
        <v>17.261610000000001</v>
      </c>
      <c r="J6205">
        <v>-330.69349999999997</v>
      </c>
      <c r="K6205">
        <v>1.109459</v>
      </c>
      <c r="L6205">
        <v>17.41086</v>
      </c>
      <c r="M6205">
        <v>0.99965729999999997</v>
      </c>
      <c r="N6205">
        <v>-1.451918E-2</v>
      </c>
      <c r="O6205">
        <v>-2.1788310000000002E-2</v>
      </c>
      <c r="P6205">
        <v>0.91571000000000002</v>
      </c>
      <c r="Q6205">
        <v>0.3947389</v>
      </c>
      <c r="R6205">
        <v>-7.5210509999999994E-2</v>
      </c>
      <c r="S6205">
        <v>3.4783019999999998</v>
      </c>
      <c r="T6205">
        <v>-0.57867500000000005</v>
      </c>
      <c r="U6205">
        <v>-0.59997559999999905</v>
      </c>
      <c r="V6205">
        <v>5.6892900000000003E-2</v>
      </c>
      <c r="W6205">
        <v>0.40778609999999998</v>
      </c>
      <c r="X6205">
        <v>0.91130330000000004</v>
      </c>
      <c r="Y6205">
        <v>0.14657679999999901</v>
      </c>
      <c r="Z6205">
        <v>-9.8421270000000009E-3</v>
      </c>
      <c r="AA6205">
        <v>0.98915030000000004</v>
      </c>
      <c r="AB6205">
        <v>33</v>
      </c>
      <c r="AC6205">
        <v>0.73559999999997605</v>
      </c>
      <c r="AD6205">
        <v>-0.147660599999999</v>
      </c>
      <c r="AE6205">
        <v>-0.149249999999998</v>
      </c>
      <c r="AF6205">
        <v>0.12822299622137801</v>
      </c>
      <c r="AG6205">
        <v>-0.147660599999999</v>
      </c>
      <c r="AH6205">
        <v>0.71115496116923205</v>
      </c>
      <c r="AI6205">
        <v>101.54883337998</v>
      </c>
      <c r="AJ6205">
        <v>79.779240774845107</v>
      </c>
      <c r="AK6205">
        <v>0.73755417994067396</v>
      </c>
      <c r="AL6205">
        <v>65.934163392519096</v>
      </c>
      <c r="AM6205">
        <v>86.427646024668505</v>
      </c>
      <c r="AN6205">
        <v>1.0000000050072499</v>
      </c>
    </row>
    <row r="6206" spans="1:40" x14ac:dyDescent="0.25">
      <c r="A6206" t="str">
        <f>"20190304165008802"</f>
        <v>20190304165008802</v>
      </c>
      <c r="B6206" t="str">
        <f>"1551689408791751"</f>
        <v>1551689408791751</v>
      </c>
      <c r="C6206" t="s">
        <v>40</v>
      </c>
      <c r="D6206">
        <v>4.6201150000000002</v>
      </c>
      <c r="E6206">
        <v>0.55936799999999998</v>
      </c>
      <c r="F6206" t="s">
        <v>41</v>
      </c>
      <c r="G6206">
        <v>-329.94690000000003</v>
      </c>
      <c r="H6206">
        <v>0.98464790000000002</v>
      </c>
      <c r="I6206">
        <v>17.279699999999998</v>
      </c>
      <c r="J6206">
        <v>-330.54629999999997</v>
      </c>
      <c r="K6206">
        <v>1.109389</v>
      </c>
      <c r="L6206">
        <v>17.406739999999999</v>
      </c>
      <c r="M6206">
        <v>0.9996353</v>
      </c>
      <c r="N6206">
        <v>-1.451964E-2</v>
      </c>
      <c r="O6206">
        <v>-2.27767E-2</v>
      </c>
      <c r="P6206">
        <v>0.91559760000000001</v>
      </c>
      <c r="Q6206">
        <v>0.39448430000000001</v>
      </c>
      <c r="R6206">
        <v>-7.7869499999999994E-2</v>
      </c>
      <c r="S6206">
        <v>3.4765009999999998</v>
      </c>
      <c r="T6206">
        <v>-0.5810168</v>
      </c>
      <c r="U6206">
        <v>-0.61001590000000006</v>
      </c>
      <c r="V6206">
        <v>5.8716099999999903E-2</v>
      </c>
      <c r="W6206">
        <v>0.40751480000000001</v>
      </c>
      <c r="X6206">
        <v>0.91130900000000004</v>
      </c>
      <c r="Y6206">
        <v>0.14842629999999901</v>
      </c>
      <c r="Z6206">
        <v>-9.8959010000000003E-3</v>
      </c>
      <c r="AA6206">
        <v>0.98887400000000003</v>
      </c>
      <c r="AB6206">
        <v>33</v>
      </c>
      <c r="AC6206">
        <v>0.59939999999994598</v>
      </c>
      <c r="AD6206">
        <v>-0.12474109999999999</v>
      </c>
      <c r="AE6206">
        <v>-0.12703999999999999</v>
      </c>
      <c r="AF6206">
        <v>0.10884197615767401</v>
      </c>
      <c r="AG6206">
        <v>-0.12474109999999999</v>
      </c>
      <c r="AH6206">
        <v>0.57817423160635795</v>
      </c>
      <c r="AI6206">
        <v>101.97090026225</v>
      </c>
      <c r="AJ6206">
        <v>79.338773157357195</v>
      </c>
      <c r="AK6206">
        <v>0.601408646343499</v>
      </c>
      <c r="AL6206">
        <v>65.951186082228404</v>
      </c>
      <c r="AM6206">
        <v>86.313499543230407</v>
      </c>
      <c r="AN6206">
        <v>0.99999999304962495</v>
      </c>
    </row>
    <row r="6207" spans="1:40" x14ac:dyDescent="0.25">
      <c r="A6207" t="str">
        <f>"20190304165008813"</f>
        <v>20190304165008813</v>
      </c>
      <c r="B6207" t="str">
        <f>"1551689408801510"</f>
        <v>1551689408801510</v>
      </c>
      <c r="C6207" t="s">
        <v>40</v>
      </c>
      <c r="D6207">
        <v>4.6303720000000004</v>
      </c>
      <c r="E6207">
        <v>0.55936799999999998</v>
      </c>
      <c r="F6207" t="s">
        <v>41</v>
      </c>
      <c r="G6207">
        <v>-329.66419999999999</v>
      </c>
      <c r="H6207">
        <v>0.96165290000000003</v>
      </c>
      <c r="I6207">
        <v>17.24887</v>
      </c>
      <c r="J6207">
        <v>-330.38139999999999</v>
      </c>
      <c r="K6207">
        <v>1.109308</v>
      </c>
      <c r="L6207">
        <v>17.401979999999998</v>
      </c>
      <c r="M6207">
        <v>0.99960879999999996</v>
      </c>
      <c r="N6207">
        <v>-1.4520129999999999E-2</v>
      </c>
      <c r="O6207">
        <v>-2.3913630000000002E-2</v>
      </c>
      <c r="P6207">
        <v>0.91544510000000001</v>
      </c>
      <c r="Q6207">
        <v>0.39425909999999997</v>
      </c>
      <c r="R6207">
        <v>-8.0751899999999904E-2</v>
      </c>
      <c r="S6207">
        <v>3.474396</v>
      </c>
      <c r="T6207">
        <v>-0.5817795</v>
      </c>
      <c r="U6207">
        <v>-0.62109380000000003</v>
      </c>
      <c r="V6207">
        <v>6.0637280000000002E-2</v>
      </c>
      <c r="W6207">
        <v>0.40727010000000002</v>
      </c>
      <c r="X6207">
        <v>0.91129260000000001</v>
      </c>
      <c r="Y6207">
        <v>0.15043819999999999</v>
      </c>
      <c r="Z6207">
        <v>-9.919644E-3</v>
      </c>
      <c r="AA6207">
        <v>0.98856960000000005</v>
      </c>
      <c r="AB6207">
        <v>33</v>
      </c>
      <c r="AC6207">
        <v>0.71719999999999096</v>
      </c>
      <c r="AD6207">
        <v>-0.14765509999999901</v>
      </c>
      <c r="AE6207">
        <v>-0.153109999999998</v>
      </c>
      <c r="AF6207">
        <v>0.13061854535221601</v>
      </c>
      <c r="AG6207">
        <v>-0.14765509999999901</v>
      </c>
      <c r="AH6207">
        <v>0.69258088995067002</v>
      </c>
      <c r="AI6207">
        <v>101.83245633836199</v>
      </c>
      <c r="AJ6207">
        <v>79.319648590051202</v>
      </c>
      <c r="AK6207">
        <v>0.72009132897904105</v>
      </c>
      <c r="AL6207">
        <v>65.966538491442805</v>
      </c>
      <c r="AM6207">
        <v>86.193158691826397</v>
      </c>
      <c r="AN6207">
        <v>1.00000000844728</v>
      </c>
    </row>
    <row r="6208" spans="1:40" x14ac:dyDescent="0.25">
      <c r="A6208" t="str">
        <f>"20190304165008825"</f>
        <v>20190304165008825</v>
      </c>
      <c r="B6208" t="str">
        <f>"1551689408822005"</f>
        <v>1551689408822005</v>
      </c>
      <c r="C6208" t="s">
        <v>40</v>
      </c>
      <c r="D6208">
        <v>4.6409900000000004</v>
      </c>
      <c r="E6208">
        <v>0.56624969999999997</v>
      </c>
      <c r="F6208" t="s">
        <v>41</v>
      </c>
      <c r="G6208">
        <v>-329.65199999999999</v>
      </c>
      <c r="H6208">
        <v>0.98689640000000001</v>
      </c>
      <c r="I6208">
        <v>17.26905</v>
      </c>
      <c r="J6208">
        <v>-330.20659999999998</v>
      </c>
      <c r="K6208">
        <v>1.1092200000000001</v>
      </c>
      <c r="L6208">
        <v>17.396550000000001</v>
      </c>
      <c r="M6208">
        <v>0.99957680000000004</v>
      </c>
      <c r="N6208">
        <v>-1.452117E-2</v>
      </c>
      <c r="O6208">
        <v>-2.520565E-2</v>
      </c>
      <c r="P6208">
        <v>0.91518549999999999</v>
      </c>
      <c r="Q6208">
        <v>0.3942484</v>
      </c>
      <c r="R6208">
        <v>-8.3690139999999996E-2</v>
      </c>
      <c r="S6208">
        <v>3.4722599999999999</v>
      </c>
      <c r="T6208">
        <v>-0.58262040000000004</v>
      </c>
      <c r="U6208">
        <v>-0.63195800000000002</v>
      </c>
      <c r="V6208">
        <v>6.2485480000000003E-2</v>
      </c>
      <c r="W6208">
        <v>0.40723700000000002</v>
      </c>
      <c r="X6208">
        <v>0.91118250000000001</v>
      </c>
      <c r="Y6208">
        <v>0.1522433</v>
      </c>
      <c r="Z6208">
        <v>-9.9025940000000007E-3</v>
      </c>
      <c r="AA6208">
        <v>0.98829339999999999</v>
      </c>
      <c r="AB6208">
        <v>33</v>
      </c>
      <c r="AC6208">
        <v>0.55459999999999299</v>
      </c>
      <c r="AD6208">
        <v>-0.1223236</v>
      </c>
      <c r="AE6208">
        <v>-0.127500000000001</v>
      </c>
      <c r="AF6208">
        <v>0.108467177238636</v>
      </c>
      <c r="AG6208">
        <v>-0.1223236</v>
      </c>
      <c r="AH6208">
        <v>0.533009842711472</v>
      </c>
      <c r="AI6208">
        <v>102.67420352426301</v>
      </c>
      <c r="AJ6208">
        <v>78.497409238842593</v>
      </c>
      <c r="AK6208">
        <v>0.55751922306085999</v>
      </c>
      <c r="AL6208">
        <v>65.9686142257097</v>
      </c>
      <c r="AM6208">
        <v>86.077012087052495</v>
      </c>
      <c r="AN6208">
        <v>0.99999997884303904</v>
      </c>
    </row>
    <row r="6209" spans="1:40" x14ac:dyDescent="0.25">
      <c r="A6209" t="str">
        <f>"20190304165008838"</f>
        <v>20190304165008838</v>
      </c>
      <c r="B6209" t="str">
        <f>"1551689408831767"</f>
        <v>1551689408831767</v>
      </c>
      <c r="C6209" t="s">
        <v>40</v>
      </c>
      <c r="D6209">
        <v>4.3832979999999999</v>
      </c>
      <c r="E6209">
        <v>0.57079619999999998</v>
      </c>
      <c r="F6209" t="s">
        <v>41</v>
      </c>
      <c r="G6209">
        <v>-329.3741</v>
      </c>
      <c r="H6209">
        <v>0.9548489</v>
      </c>
      <c r="I6209">
        <v>17.231159999999999</v>
      </c>
      <c r="J6209">
        <v>-330.02820000000003</v>
      </c>
      <c r="K6209">
        <v>1.1091279999999999</v>
      </c>
      <c r="L6209">
        <v>17.390840000000001</v>
      </c>
      <c r="M6209">
        <v>0.99954160000000003</v>
      </c>
      <c r="N6209">
        <v>-1.452226E-2</v>
      </c>
      <c r="O6209">
        <v>-2.6562639999999998E-2</v>
      </c>
      <c r="P6209">
        <v>0.91493559999999996</v>
      </c>
      <c r="Q6209">
        <v>0.39419189999999998</v>
      </c>
      <c r="R6209">
        <v>-8.6636069999999996E-2</v>
      </c>
      <c r="S6209">
        <v>3.4936219999999998</v>
      </c>
      <c r="T6209">
        <v>-0.64794280000000004</v>
      </c>
      <c r="U6209">
        <v>-0.69470209999999999</v>
      </c>
      <c r="V6209">
        <v>6.4285510000000004E-2</v>
      </c>
      <c r="W6209">
        <v>0.40715770000000001</v>
      </c>
      <c r="X6209">
        <v>0.91109280000000004</v>
      </c>
      <c r="Y6209">
        <v>0.1663261</v>
      </c>
      <c r="Z6209">
        <v>-1.1923309999999999E-2</v>
      </c>
      <c r="AA6209">
        <v>0.98599870000000001</v>
      </c>
      <c r="AB6209">
        <v>33</v>
      </c>
      <c r="AC6209">
        <v>0.65410000000002799</v>
      </c>
      <c r="AD6209">
        <v>-0.1542791</v>
      </c>
      <c r="AE6209">
        <v>-0.15968000000000099</v>
      </c>
      <c r="AF6209">
        <v>0.13515131160823099</v>
      </c>
      <c r="AG6209">
        <v>-0.1542791</v>
      </c>
      <c r="AH6209">
        <v>0.62528182176437697</v>
      </c>
      <c r="AI6209">
        <v>103.55889282461099</v>
      </c>
      <c r="AJ6209">
        <v>77.803449420427995</v>
      </c>
      <c r="AK6209">
        <v>0.65806175573058001</v>
      </c>
      <c r="AL6209">
        <v>65.9735908250764</v>
      </c>
      <c r="AM6209">
        <v>85.963974087790604</v>
      </c>
      <c r="AN6209">
        <v>1.0000000548385399</v>
      </c>
    </row>
    <row r="6210" spans="1:40" x14ac:dyDescent="0.25">
      <c r="A6210" t="str">
        <f>"20190304165008848"</f>
        <v>20190304165008848</v>
      </c>
      <c r="B6210" t="str">
        <f>"1551689408841526"</f>
        <v>1551689408841526</v>
      </c>
      <c r="C6210" t="s">
        <v>40</v>
      </c>
      <c r="D6210">
        <v>4.5975270000000004</v>
      </c>
      <c r="E6210">
        <v>0.5747951</v>
      </c>
      <c r="F6210" t="s">
        <v>41</v>
      </c>
      <c r="G6210">
        <v>-329.08390000000003</v>
      </c>
      <c r="H6210">
        <v>0.94819140000000002</v>
      </c>
      <c r="I6210">
        <v>17.18704</v>
      </c>
      <c r="J6210">
        <v>-329.85840000000002</v>
      </c>
      <c r="K6210">
        <v>1.109029</v>
      </c>
      <c r="L6210">
        <v>17.385010000000001</v>
      </c>
      <c r="M6210">
        <v>0.99950399999999995</v>
      </c>
      <c r="N6210">
        <v>-1.452376E-2</v>
      </c>
      <c r="O6210">
        <v>-2.7943050000000001E-2</v>
      </c>
      <c r="P6210">
        <v>0.91476299999999999</v>
      </c>
      <c r="Q6210">
        <v>0.39397179999999998</v>
      </c>
      <c r="R6210">
        <v>-8.941412E-2</v>
      </c>
      <c r="S6210">
        <v>3.4624329999999999</v>
      </c>
      <c r="T6210">
        <v>-0.58981030000000001</v>
      </c>
      <c r="U6210">
        <v>-0.74588009999999905</v>
      </c>
      <c r="V6210">
        <v>6.5894690000000006E-2</v>
      </c>
      <c r="W6210">
        <v>0.40691549999999999</v>
      </c>
      <c r="X6210">
        <v>0.91108599999999995</v>
      </c>
      <c r="Y6210">
        <v>0.18080080000000001</v>
      </c>
      <c r="Z6210">
        <v>-1.218662E-2</v>
      </c>
      <c r="AA6210">
        <v>0.98344419999999999</v>
      </c>
      <c r="AB6210">
        <v>33</v>
      </c>
      <c r="AC6210">
        <v>0.77449999999998898</v>
      </c>
      <c r="AD6210">
        <v>-0.1608376</v>
      </c>
      <c r="AE6210">
        <v>-0.19797000000000101</v>
      </c>
      <c r="AF6210">
        <v>0.16939145919469201</v>
      </c>
      <c r="AG6210">
        <v>-0.1608376</v>
      </c>
      <c r="AH6210">
        <v>0.749394150887017</v>
      </c>
      <c r="AI6210">
        <v>101.823674546394</v>
      </c>
      <c r="AJ6210">
        <v>77.263028806108906</v>
      </c>
      <c r="AK6210">
        <v>0.78495464417094796</v>
      </c>
      <c r="AL6210">
        <v>65.988782385603102</v>
      </c>
      <c r="AM6210">
        <v>85.863260919278801</v>
      </c>
      <c r="AN6210">
        <v>1.0000000168532199</v>
      </c>
    </row>
    <row r="6211" spans="1:40" x14ac:dyDescent="0.25">
      <c r="A6211" t="str">
        <f>"20190304165008860"</f>
        <v>20190304165008860</v>
      </c>
      <c r="B6211" t="str">
        <f>"1551689408852261"</f>
        <v>1551689408852261</v>
      </c>
      <c r="C6211" t="s">
        <v>40</v>
      </c>
      <c r="D6211">
        <v>4.636361</v>
      </c>
      <c r="E6211">
        <v>0.57422980000000001</v>
      </c>
      <c r="F6211" t="s">
        <v>41</v>
      </c>
      <c r="G6211">
        <v>-329.0668</v>
      </c>
      <c r="H6211">
        <v>0.9844328</v>
      </c>
      <c r="I6211">
        <v>17.202179999999998</v>
      </c>
      <c r="J6211">
        <v>-329.70350000000002</v>
      </c>
      <c r="K6211">
        <v>1.108943</v>
      </c>
      <c r="L6211">
        <v>17.379519999999999</v>
      </c>
      <c r="M6211">
        <v>0.99946690000000005</v>
      </c>
      <c r="N6211">
        <v>-1.452529E-2</v>
      </c>
      <c r="O6211">
        <v>-2.924177E-2</v>
      </c>
      <c r="P6211">
        <v>0.91446430000000001</v>
      </c>
      <c r="Q6211">
        <v>0.39403189999999999</v>
      </c>
      <c r="R6211">
        <v>-9.2162320000000006E-2</v>
      </c>
      <c r="S6211">
        <v>3.4348450000000001</v>
      </c>
      <c r="T6211">
        <v>-0.54029300000000002</v>
      </c>
      <c r="U6211">
        <v>-0.79168700000000003</v>
      </c>
      <c r="V6211">
        <v>6.7546320000000007E-2</v>
      </c>
      <c r="W6211">
        <v>0.40695340000000002</v>
      </c>
      <c r="X6211">
        <v>0.91094810000000004</v>
      </c>
      <c r="Y6211">
        <v>0.19380549999999999</v>
      </c>
      <c r="Z6211">
        <v>-1.2299879999999999E-2</v>
      </c>
      <c r="AA6211">
        <v>0.98096289999999997</v>
      </c>
      <c r="AB6211">
        <v>33</v>
      </c>
      <c r="AC6211">
        <v>0.63670000000001803</v>
      </c>
      <c r="AD6211">
        <v>-0.124510199999999</v>
      </c>
      <c r="AE6211">
        <v>-0.17734</v>
      </c>
      <c r="AF6211">
        <v>0.153206826357207</v>
      </c>
      <c r="AG6211">
        <v>-0.124510199999999</v>
      </c>
      <c r="AH6211">
        <v>0.61962424276764105</v>
      </c>
      <c r="AI6211">
        <v>101.038083938884</v>
      </c>
      <c r="AJ6211">
        <v>76.111734795286097</v>
      </c>
      <c r="AK6211">
        <v>0.65031478821556798</v>
      </c>
      <c r="AL6211">
        <v>65.986404916884993</v>
      </c>
      <c r="AM6211">
        <v>85.759308855816698</v>
      </c>
      <c r="AN6211">
        <v>1.0000000080053499</v>
      </c>
    </row>
    <row r="6212" spans="1:40" x14ac:dyDescent="0.25">
      <c r="A6212" t="str">
        <f>"20190304165008870"</f>
        <v>20190304165008870</v>
      </c>
      <c r="B6212" t="str">
        <f>"1551689408862022"</f>
        <v>1551689408862022</v>
      </c>
      <c r="C6212" t="s">
        <v>40</v>
      </c>
      <c r="D6212">
        <v>4.6456819999999999</v>
      </c>
      <c r="E6212">
        <v>0.57382089999999997</v>
      </c>
      <c r="F6212" t="s">
        <v>41</v>
      </c>
      <c r="G6212">
        <v>-328.78449999999998</v>
      </c>
      <c r="H6212">
        <v>0.9622965</v>
      </c>
      <c r="I6212">
        <v>17.165849999999999</v>
      </c>
      <c r="J6212">
        <v>-329.53280000000001</v>
      </c>
      <c r="K6212">
        <v>1.108846</v>
      </c>
      <c r="L6212">
        <v>17.373169999999998</v>
      </c>
      <c r="M6212">
        <v>0.99942209999999998</v>
      </c>
      <c r="N6212">
        <v>-1.452736E-2</v>
      </c>
      <c r="O6212">
        <v>-3.0734129999999998E-2</v>
      </c>
      <c r="P6212">
        <v>0.91412510000000002</v>
      </c>
      <c r="Q6212">
        <v>0.39411950000000001</v>
      </c>
      <c r="R6212">
        <v>-9.5106200000000002E-2</v>
      </c>
      <c r="S6212">
        <v>3.436401</v>
      </c>
      <c r="T6212">
        <v>-0.54818789999999995</v>
      </c>
      <c r="U6212">
        <v>-0.79833980000000004</v>
      </c>
      <c r="V6212">
        <v>6.9227940000000002E-2</v>
      </c>
      <c r="W6212">
        <v>0.40701530000000002</v>
      </c>
      <c r="X6212">
        <v>0.9107942</v>
      </c>
      <c r="Y6212">
        <v>0.1940017</v>
      </c>
      <c r="Z6212">
        <v>-1.2249599999999999E-2</v>
      </c>
      <c r="AA6212">
        <v>0.98092469999999998</v>
      </c>
      <c r="AB6212">
        <v>33</v>
      </c>
      <c r="AC6212">
        <v>0.74830000000002805</v>
      </c>
      <c r="AD6212">
        <v>-0.1465495</v>
      </c>
      <c r="AE6212">
        <v>-0.207320000000002</v>
      </c>
      <c r="AF6212">
        <v>0.177884936242409</v>
      </c>
      <c r="AG6212">
        <v>-0.1465495</v>
      </c>
      <c r="AH6212">
        <v>0.72837393896057601</v>
      </c>
      <c r="AI6212">
        <v>101.059398143423</v>
      </c>
      <c r="AJ6212">
        <v>76.275759106154098</v>
      </c>
      <c r="AK6212">
        <v>0.763968848480853</v>
      </c>
      <c r="AL6212">
        <v>65.982522467614302</v>
      </c>
      <c r="AM6212">
        <v>85.653401495267701</v>
      </c>
      <c r="AN6212">
        <v>1.00000001843218</v>
      </c>
    </row>
    <row r="6213" spans="1:40" x14ac:dyDescent="0.25">
      <c r="A6213" t="str">
        <f>"20190304165008882"</f>
        <v>20190304165008882</v>
      </c>
      <c r="B6213" t="str">
        <f>"1551689408871782"</f>
        <v>1551689408871782</v>
      </c>
      <c r="C6213" t="s">
        <v>40</v>
      </c>
      <c r="D6213">
        <v>4.6513939999999998</v>
      </c>
      <c r="E6213">
        <v>0.57349469999999902</v>
      </c>
      <c r="F6213" t="s">
        <v>41</v>
      </c>
      <c r="G6213">
        <v>-328.77319999999997</v>
      </c>
      <c r="H6213">
        <v>0.98644949999999998</v>
      </c>
      <c r="I6213">
        <v>17.19454</v>
      </c>
      <c r="J6213">
        <v>-329.37880000000001</v>
      </c>
      <c r="K6213">
        <v>1.10876</v>
      </c>
      <c r="L6213">
        <v>17.36713</v>
      </c>
      <c r="M6213">
        <v>0.99937770000000004</v>
      </c>
      <c r="N6213">
        <v>-1.4529459999999999E-2</v>
      </c>
      <c r="O6213">
        <v>-3.2143949999999998E-2</v>
      </c>
      <c r="P6213">
        <v>0.9138406</v>
      </c>
      <c r="Q6213">
        <v>0.39403529999999998</v>
      </c>
      <c r="R6213">
        <v>-9.8141030000000004E-2</v>
      </c>
      <c r="S6213">
        <v>3.4365230000000002</v>
      </c>
      <c r="T6213">
        <v>-0.55349609999999905</v>
      </c>
      <c r="U6213">
        <v>-0.80722050000000001</v>
      </c>
      <c r="V6213">
        <v>7.1066660000000004E-2</v>
      </c>
      <c r="W6213">
        <v>0.40690589999999999</v>
      </c>
      <c r="X6213">
        <v>0.91070139999999999</v>
      </c>
      <c r="Y6213">
        <v>0.1949767</v>
      </c>
      <c r="Z6213">
        <v>-1.22284E-2</v>
      </c>
      <c r="AA6213">
        <v>0.98073169999999998</v>
      </c>
      <c r="AB6213">
        <v>33</v>
      </c>
      <c r="AC6213">
        <v>0.605600000000038</v>
      </c>
      <c r="AD6213">
        <v>-0.122310499999999</v>
      </c>
      <c r="AE6213">
        <v>-0.17258999999999899</v>
      </c>
      <c r="AF6213">
        <v>0.14746893707386999</v>
      </c>
      <c r="AG6213">
        <v>-0.122310499999999</v>
      </c>
      <c r="AH6213">
        <v>0.58862863543378796</v>
      </c>
      <c r="AI6213">
        <v>101.395833974683</v>
      </c>
      <c r="AJ6213">
        <v>75.935197471536497</v>
      </c>
      <c r="AK6213">
        <v>0.61902392220704305</v>
      </c>
      <c r="AL6213">
        <v>65.989383098989904</v>
      </c>
      <c r="AM6213">
        <v>85.537961543782203</v>
      </c>
      <c r="AN6213">
        <v>0.99999996079016196</v>
      </c>
    </row>
    <row r="6214" spans="1:40" x14ac:dyDescent="0.25">
      <c r="A6214" t="str">
        <f>"20190304165008893"</f>
        <v>20190304165008893</v>
      </c>
      <c r="B6214" t="str">
        <f>"1551689408881542"</f>
        <v>1551689408881542</v>
      </c>
      <c r="C6214" t="s">
        <v>40</v>
      </c>
      <c r="D6214">
        <v>4.6559210000000002</v>
      </c>
      <c r="E6214">
        <v>0.57319739999999997</v>
      </c>
      <c r="F6214" t="s">
        <v>41</v>
      </c>
      <c r="G6214">
        <v>-328.4914</v>
      </c>
      <c r="H6214">
        <v>0.96448250000000002</v>
      </c>
      <c r="I6214">
        <v>17.15598</v>
      </c>
      <c r="J6214">
        <v>-329.20440000000002</v>
      </c>
      <c r="K6214">
        <v>1.10866</v>
      </c>
      <c r="L6214">
        <v>17.360050000000001</v>
      </c>
      <c r="M6214">
        <v>0.99932359999999998</v>
      </c>
      <c r="N6214">
        <v>-1.4531809999999999E-2</v>
      </c>
      <c r="O6214">
        <v>-3.3784689999999999E-2</v>
      </c>
      <c r="P6214">
        <v>0.91363369999999999</v>
      </c>
      <c r="Q6214">
        <v>0.39377220000000002</v>
      </c>
      <c r="R6214">
        <v>-0.1010804</v>
      </c>
      <c r="S6214">
        <v>3.4359130000000002</v>
      </c>
      <c r="T6214">
        <v>-0.55837130000000001</v>
      </c>
      <c r="U6214">
        <v>-0.81661989999999995</v>
      </c>
      <c r="V6214">
        <v>7.2607790000000005E-2</v>
      </c>
      <c r="W6214">
        <v>0.40661849999999999</v>
      </c>
      <c r="X6214">
        <v>0.91070819999999997</v>
      </c>
      <c r="Y6214">
        <v>0.19591449999999999</v>
      </c>
      <c r="Z6214">
        <v>-1.2161949999999999E-2</v>
      </c>
      <c r="AA6214">
        <v>0.98054560000000002</v>
      </c>
      <c r="AB6214">
        <v>33</v>
      </c>
      <c r="AC6214">
        <v>0.71300000000002195</v>
      </c>
      <c r="AD6214">
        <v>-0.14417749999999899</v>
      </c>
      <c r="AE6214">
        <v>-0.204070000000001</v>
      </c>
      <c r="AF6214">
        <v>0.17331230783537499</v>
      </c>
      <c r="AG6214">
        <v>-0.14417749999999899</v>
      </c>
      <c r="AH6214">
        <v>0.69328607892181904</v>
      </c>
      <c r="AI6214">
        <v>101.40652482615801</v>
      </c>
      <c r="AJ6214">
        <v>75.964473057414693</v>
      </c>
      <c r="AK6214">
        <v>0.72901981782408698</v>
      </c>
      <c r="AL6214">
        <v>66.007408484740097</v>
      </c>
      <c r="AM6214">
        <v>85.441636524476806</v>
      </c>
      <c r="AN6214">
        <v>0.99999996062908603</v>
      </c>
    </row>
    <row r="6215" spans="1:40" x14ac:dyDescent="0.25">
      <c r="A6215" t="str">
        <f>"20190304165008903"</f>
        <v>20190304165008903</v>
      </c>
      <c r="B6215" t="str">
        <f>"1551689408892279"</f>
        <v>1551689408892279</v>
      </c>
      <c r="C6215" t="s">
        <v>40</v>
      </c>
      <c r="D6215">
        <v>4.6606459999999998</v>
      </c>
      <c r="E6215">
        <v>0.57297710000000002</v>
      </c>
      <c r="F6215" t="s">
        <v>41</v>
      </c>
      <c r="G6215">
        <v>-328.47930000000002</v>
      </c>
      <c r="H6215">
        <v>0.98965979999999998</v>
      </c>
      <c r="I6215">
        <v>17.18553</v>
      </c>
      <c r="J6215">
        <v>-329.06420000000003</v>
      </c>
      <c r="K6215">
        <v>1.108573</v>
      </c>
      <c r="L6215">
        <v>17.35397</v>
      </c>
      <c r="M6215">
        <v>0.99927500000000002</v>
      </c>
      <c r="N6215">
        <v>-1.453429E-2</v>
      </c>
      <c r="O6215">
        <v>-3.5191680000000003E-2</v>
      </c>
      <c r="P6215">
        <v>0.91310650000000004</v>
      </c>
      <c r="Q6215">
        <v>0.39423789999999997</v>
      </c>
      <c r="R6215">
        <v>-0.10398689999999999</v>
      </c>
      <c r="S6215">
        <v>3.4351199999999902</v>
      </c>
      <c r="T6215">
        <v>-0.56353619999999904</v>
      </c>
      <c r="U6215">
        <v>-0.82577509999999998</v>
      </c>
      <c r="V6215">
        <v>7.4331670000000002E-2</v>
      </c>
      <c r="W6215">
        <v>0.40705580000000002</v>
      </c>
      <c r="X6215">
        <v>0.91037369999999995</v>
      </c>
      <c r="Y6215">
        <v>0.19701769999999999</v>
      </c>
      <c r="Z6215">
        <v>-1.214671E-2</v>
      </c>
      <c r="AA6215">
        <v>0.98032470000000005</v>
      </c>
      <c r="AB6215">
        <v>33</v>
      </c>
      <c r="AC6215">
        <v>0.58490000000000397</v>
      </c>
      <c r="AD6215">
        <v>-0.1189132</v>
      </c>
      <c r="AE6215">
        <v>-0.16844000000000001</v>
      </c>
      <c r="AF6215">
        <v>0.14231791813745101</v>
      </c>
      <c r="AG6215">
        <v>-0.1189132</v>
      </c>
      <c r="AH6215">
        <v>0.56875779438249996</v>
      </c>
      <c r="AI6215">
        <v>101.465319812347</v>
      </c>
      <c r="AJ6215">
        <v>75.951576640563403</v>
      </c>
      <c r="AK6215">
        <v>0.59823086482399501</v>
      </c>
      <c r="AL6215">
        <v>65.979980207351204</v>
      </c>
      <c r="AM6215">
        <v>85.332175722587607</v>
      </c>
      <c r="AN6215">
        <v>0.99999994756515798</v>
      </c>
    </row>
    <row r="6216" spans="1:40" x14ac:dyDescent="0.25">
      <c r="A6216" t="str">
        <f>"20190304165008912"</f>
        <v>20190304165008912</v>
      </c>
      <c r="B6216" t="str">
        <f>"1551689408902038"</f>
        <v>1551689408902038</v>
      </c>
      <c r="C6216" t="s">
        <v>40</v>
      </c>
      <c r="D6216">
        <v>4.6609379999999998</v>
      </c>
      <c r="E6216">
        <v>0.57285200000000003</v>
      </c>
      <c r="F6216" t="s">
        <v>41</v>
      </c>
      <c r="G6216">
        <v>-328.1986</v>
      </c>
      <c r="H6216">
        <v>0.96631920000000004</v>
      </c>
      <c r="I6216">
        <v>17.143179999999901</v>
      </c>
      <c r="J6216">
        <v>-328.91359999999997</v>
      </c>
      <c r="K6216">
        <v>1.108474</v>
      </c>
      <c r="L6216">
        <v>17.347349999999999</v>
      </c>
      <c r="M6216">
        <v>0.99922</v>
      </c>
      <c r="N6216">
        <v>-1.4536800000000001E-2</v>
      </c>
      <c r="O6216">
        <v>-3.6721919999999998E-2</v>
      </c>
      <c r="P6216">
        <v>0.91261510000000001</v>
      </c>
      <c r="Q6216">
        <v>0.39464349999999998</v>
      </c>
      <c r="R6216">
        <v>-0.1067275</v>
      </c>
      <c r="S6216">
        <v>3.4338989999999998</v>
      </c>
      <c r="T6216">
        <v>-0.56438949999999999</v>
      </c>
      <c r="U6216">
        <v>-0.83645630000000004</v>
      </c>
      <c r="V6216">
        <v>7.5784030000000002E-2</v>
      </c>
      <c r="W6216">
        <v>0.40743289999999999</v>
      </c>
      <c r="X6216">
        <v>0.91008529999999999</v>
      </c>
      <c r="Y6216">
        <v>0.19846659999999999</v>
      </c>
      <c r="Z6216">
        <v>-1.206614E-2</v>
      </c>
      <c r="AA6216">
        <v>0.98003340000000005</v>
      </c>
      <c r="AB6216">
        <v>33</v>
      </c>
      <c r="AC6216">
        <v>0.71499999999997499</v>
      </c>
      <c r="AD6216">
        <v>-0.1421548</v>
      </c>
      <c r="AE6216">
        <v>-0.20417000000000099</v>
      </c>
      <c r="AF6216">
        <v>0.171505085521273</v>
      </c>
      <c r="AG6216">
        <v>-0.1421548</v>
      </c>
      <c r="AH6216">
        <v>0.69655787981603001</v>
      </c>
      <c r="AI6216">
        <v>101.208722030084</v>
      </c>
      <c r="AJ6216">
        <v>76.167883526688499</v>
      </c>
      <c r="AK6216">
        <v>0.731310372862646</v>
      </c>
      <c r="AL6216">
        <v>65.956325232908299</v>
      </c>
      <c r="AM6216">
        <v>85.239885315132199</v>
      </c>
      <c r="AN6216">
        <v>1.0000000202407699</v>
      </c>
    </row>
    <row r="6217" spans="1:40" x14ac:dyDescent="0.25">
      <c r="A6217" t="str">
        <f>"20190304165008925"</f>
        <v>20190304165008925</v>
      </c>
      <c r="B6217" t="str">
        <f>"1551689408921558"</f>
        <v>1551689408921558</v>
      </c>
      <c r="C6217" t="s">
        <v>40</v>
      </c>
      <c r="D6217">
        <v>4.6846399999999999</v>
      </c>
      <c r="E6217">
        <v>0.57255299999999998</v>
      </c>
      <c r="F6217" t="s">
        <v>41</v>
      </c>
      <c r="G6217">
        <v>-328.18759999999997</v>
      </c>
      <c r="H6217">
        <v>0.98914069999999998</v>
      </c>
      <c r="I6217">
        <v>17.16827</v>
      </c>
      <c r="J6217">
        <v>-328.74939999999998</v>
      </c>
      <c r="K6217">
        <v>1.108363</v>
      </c>
      <c r="L6217">
        <v>17.339600000000001</v>
      </c>
      <c r="M6217">
        <v>0.9991527</v>
      </c>
      <c r="N6217">
        <v>-1.4540549999999999E-2</v>
      </c>
      <c r="O6217">
        <v>-3.8505020000000001E-2</v>
      </c>
      <c r="P6217">
        <v>0.91216439999999999</v>
      </c>
      <c r="Q6217">
        <v>0.39491019999999999</v>
      </c>
      <c r="R6217">
        <v>-0.109554</v>
      </c>
      <c r="S6217">
        <v>3.43222</v>
      </c>
      <c r="T6217">
        <v>-0.56425509999999901</v>
      </c>
      <c r="U6217">
        <v>-0.84695429999999905</v>
      </c>
      <c r="V6217">
        <v>7.7106889999999997E-2</v>
      </c>
      <c r="W6217">
        <v>0.4076707</v>
      </c>
      <c r="X6217">
        <v>0.9098676</v>
      </c>
      <c r="Y6217">
        <v>0.19965930000000001</v>
      </c>
      <c r="Z6217">
        <v>-1.191002E-2</v>
      </c>
      <c r="AA6217">
        <v>0.97979300000000003</v>
      </c>
      <c r="AB6217">
        <v>33</v>
      </c>
      <c r="AC6217">
        <v>0.56180000000000496</v>
      </c>
      <c r="AD6217">
        <v>-0.1192223</v>
      </c>
      <c r="AE6217">
        <v>-0.17133000000000101</v>
      </c>
      <c r="AF6217">
        <v>0.143649701191949</v>
      </c>
      <c r="AG6217">
        <v>-0.1192223</v>
      </c>
      <c r="AH6217">
        <v>0.54550458095610199</v>
      </c>
      <c r="AI6217">
        <v>101.933787896552</v>
      </c>
      <c r="AJ6217">
        <v>75.247020840862803</v>
      </c>
      <c r="AK6217">
        <v>0.57656260832100303</v>
      </c>
      <c r="AL6217">
        <v>65.941403429139797</v>
      </c>
      <c r="AM6217">
        <v>85.156032994996707</v>
      </c>
      <c r="AN6217">
        <v>0.99999996082686005</v>
      </c>
    </row>
    <row r="6218" spans="1:40" x14ac:dyDescent="0.25">
      <c r="A6218" t="str">
        <f>"20190304165008937"</f>
        <v>20190304165008937</v>
      </c>
      <c r="B6218" t="str">
        <f>"1551689408932294"</f>
        <v>1551689408932294</v>
      </c>
      <c r="C6218" t="s">
        <v>40</v>
      </c>
      <c r="D6218">
        <v>4.6917849999999897</v>
      </c>
      <c r="E6218">
        <v>0.57242380000000004</v>
      </c>
      <c r="F6218" t="s">
        <v>41</v>
      </c>
      <c r="G6218">
        <v>-327.9058</v>
      </c>
      <c r="H6218">
        <v>0.96897440000000001</v>
      </c>
      <c r="I6218">
        <v>17.12867</v>
      </c>
      <c r="J6218">
        <v>-328.57639999999998</v>
      </c>
      <c r="K6218">
        <v>1.108241</v>
      </c>
      <c r="L6218">
        <v>17.331240000000001</v>
      </c>
      <c r="M6218">
        <v>0.99907679999999999</v>
      </c>
      <c r="N6218">
        <v>-1.454449E-2</v>
      </c>
      <c r="O6218">
        <v>-4.0422630000000001E-2</v>
      </c>
      <c r="P6218">
        <v>0.91159109999999999</v>
      </c>
      <c r="Q6218">
        <v>0.39543790000000001</v>
      </c>
      <c r="R6218">
        <v>-0.11238720000000001</v>
      </c>
      <c r="S6218">
        <v>3.4313349999999998</v>
      </c>
      <c r="T6218">
        <v>-0.56662769999999996</v>
      </c>
      <c r="U6218">
        <v>-0.85678099999999902</v>
      </c>
      <c r="V6218">
        <v>7.8329419999999997E-2</v>
      </c>
      <c r="W6218">
        <v>0.40816659999999999</v>
      </c>
      <c r="X6218">
        <v>0.90954080000000004</v>
      </c>
      <c r="Y6218">
        <v>0.2004727</v>
      </c>
      <c r="Z6218">
        <v>-1.1741390000000001E-2</v>
      </c>
      <c r="AA6218">
        <v>0.97962890000000002</v>
      </c>
      <c r="AB6218">
        <v>33</v>
      </c>
      <c r="AC6218">
        <v>0.67059999999997899</v>
      </c>
      <c r="AD6218">
        <v>-0.13926659999999999</v>
      </c>
      <c r="AE6218">
        <v>-0.202570000000001</v>
      </c>
      <c r="AF6218">
        <v>0.168629472273745</v>
      </c>
      <c r="AG6218">
        <v>-0.13926659999999999</v>
      </c>
      <c r="AH6218">
        <v>0.65245448903411996</v>
      </c>
      <c r="AI6218">
        <v>101.676348818983</v>
      </c>
      <c r="AJ6218">
        <v>75.508785485336404</v>
      </c>
      <c r="AK6218">
        <v>0.68813366801491205</v>
      </c>
      <c r="AL6218">
        <v>65.910283805930405</v>
      </c>
      <c r="AM6218">
        <v>85.0778467801738</v>
      </c>
      <c r="AN6218">
        <v>0.99999996912886702</v>
      </c>
    </row>
    <row r="6219" spans="1:40" x14ac:dyDescent="0.25">
      <c r="A6219" t="str">
        <f>"20190304165008949"</f>
        <v>20190304165008949</v>
      </c>
      <c r="B6219" t="str">
        <f>"1551689408942054"</f>
        <v>1551689408942054</v>
      </c>
      <c r="C6219" t="s">
        <v>40</v>
      </c>
      <c r="D6219">
        <v>4.7003349999999999</v>
      </c>
      <c r="E6219">
        <v>0.5722003</v>
      </c>
      <c r="F6219" t="s">
        <v>41</v>
      </c>
      <c r="G6219">
        <v>-327.6232</v>
      </c>
      <c r="H6219">
        <v>0.95087750000000004</v>
      </c>
      <c r="I6219">
        <v>17.089790000000001</v>
      </c>
      <c r="J6219">
        <v>-328.38130000000001</v>
      </c>
      <c r="K6219">
        <v>1.108098</v>
      </c>
      <c r="L6219">
        <v>17.321169999999999</v>
      </c>
      <c r="M6219">
        <v>0.99898050000000005</v>
      </c>
      <c r="N6219">
        <v>-1.4550530000000001E-2</v>
      </c>
      <c r="O6219">
        <v>-4.2733189999999997E-2</v>
      </c>
      <c r="P6219">
        <v>0.91100550000000002</v>
      </c>
      <c r="Q6219">
        <v>0.39579589999999998</v>
      </c>
      <c r="R6219">
        <v>-0.1158206</v>
      </c>
      <c r="S6219">
        <v>3.4294739999999999</v>
      </c>
      <c r="T6219">
        <v>-0.56592109999999995</v>
      </c>
      <c r="U6219">
        <v>-0.86785889999999999</v>
      </c>
      <c r="V6219">
        <v>7.9818700000000006E-2</v>
      </c>
      <c r="W6219">
        <v>0.40848780000000001</v>
      </c>
      <c r="X6219">
        <v>0.90926709999999999</v>
      </c>
      <c r="Y6219">
        <v>0.20132710000000001</v>
      </c>
      <c r="Z6219">
        <v>-1.146869E-2</v>
      </c>
      <c r="AA6219">
        <v>0.97945700000000002</v>
      </c>
      <c r="AB6219">
        <v>33</v>
      </c>
      <c r="AC6219">
        <v>0.75810000000001299</v>
      </c>
      <c r="AD6219">
        <v>-0.15722050000000001</v>
      </c>
      <c r="AE6219">
        <v>-0.231380000000001</v>
      </c>
      <c r="AF6219">
        <v>0.19124470011526201</v>
      </c>
      <c r="AG6219">
        <v>-0.15722050000000001</v>
      </c>
      <c r="AH6219">
        <v>0.73824990881464203</v>
      </c>
      <c r="AI6219">
        <v>101.648822524732</v>
      </c>
      <c r="AJ6219">
        <v>75.476702845908804</v>
      </c>
      <c r="AK6219">
        <v>0.77865637402339005</v>
      </c>
      <c r="AL6219">
        <v>65.890123471567193</v>
      </c>
      <c r="AM6219">
        <v>84.983232642397397</v>
      </c>
      <c r="AN6219">
        <v>0.99999998338046903</v>
      </c>
    </row>
    <row r="6220" spans="1:40" x14ac:dyDescent="0.25">
      <c r="A6220" t="str">
        <f>"20190304165008961"</f>
        <v>20190304165008961</v>
      </c>
      <c r="B6220" t="str">
        <f>"1551689408951814"</f>
        <v>1551689408951814</v>
      </c>
      <c r="C6220" t="s">
        <v>40</v>
      </c>
      <c r="D6220">
        <v>4.6872160000000003</v>
      </c>
      <c r="E6220">
        <v>0.57198660000000001</v>
      </c>
      <c r="F6220" t="s">
        <v>41</v>
      </c>
      <c r="G6220">
        <v>-327.60919999999999</v>
      </c>
      <c r="H6220">
        <v>0.98025370000000001</v>
      </c>
      <c r="I6220">
        <v>17.122789999999998</v>
      </c>
      <c r="J6220">
        <v>-328.22050000000002</v>
      </c>
      <c r="K6220">
        <v>1.107977</v>
      </c>
      <c r="L6220">
        <v>17.312439999999999</v>
      </c>
      <c r="M6220">
        <v>0.99889430000000001</v>
      </c>
      <c r="N6220">
        <v>-1.455591E-2</v>
      </c>
      <c r="O6220">
        <v>-4.470445E-2</v>
      </c>
      <c r="P6220">
        <v>0.91061230000000004</v>
      </c>
      <c r="Q6220">
        <v>0.39591140000000002</v>
      </c>
      <c r="R6220">
        <v>-0.1184897</v>
      </c>
      <c r="S6220">
        <v>3.4276430000000002</v>
      </c>
      <c r="T6220">
        <v>-0.56718539999999995</v>
      </c>
      <c r="U6220">
        <v>-0.87966919999999904</v>
      </c>
      <c r="V6220">
        <v>8.0820340000000004E-2</v>
      </c>
      <c r="W6220">
        <v>0.40857569999999999</v>
      </c>
      <c r="X6220">
        <v>0.90913920000000004</v>
      </c>
      <c r="Y6220">
        <v>0.20268059999999999</v>
      </c>
      <c r="Z6220">
        <v>-1.13215E-2</v>
      </c>
      <c r="AA6220">
        <v>0.97917940000000003</v>
      </c>
      <c r="AB6220">
        <v>33</v>
      </c>
      <c r="AC6220">
        <v>0.61130000000002804</v>
      </c>
      <c r="AD6220">
        <v>-0.12772329999999901</v>
      </c>
      <c r="AE6220">
        <v>-0.18965000000000001</v>
      </c>
      <c r="AF6220">
        <v>0.15592057832579501</v>
      </c>
      <c r="AG6220">
        <v>-0.12772329999999901</v>
      </c>
      <c r="AH6220">
        <v>0.59545563668231705</v>
      </c>
      <c r="AI6220">
        <v>101.722572616203</v>
      </c>
      <c r="AJ6220">
        <v>75.326496308505398</v>
      </c>
      <c r="AK6220">
        <v>0.628642890173017</v>
      </c>
      <c r="AL6220">
        <v>65.884607616321603</v>
      </c>
      <c r="AM6220">
        <v>84.919894000942605</v>
      </c>
      <c r="AN6220">
        <v>1.0000000574824199</v>
      </c>
    </row>
    <row r="6221" spans="1:40" x14ac:dyDescent="0.25">
      <c r="A6221" t="str">
        <f>"20190304165008972"</f>
        <v>20190304165008972</v>
      </c>
      <c r="B6221" t="str">
        <f>"1551689408961574"</f>
        <v>1551689408961574</v>
      </c>
      <c r="C6221" t="s">
        <v>40</v>
      </c>
      <c r="D6221">
        <v>4.7024290000000004</v>
      </c>
      <c r="E6221">
        <v>0.57177609999999901</v>
      </c>
      <c r="F6221" t="s">
        <v>41</v>
      </c>
      <c r="G6221">
        <v>-327.32830000000001</v>
      </c>
      <c r="H6221">
        <v>0.95963600000000004</v>
      </c>
      <c r="I6221">
        <v>17.080570000000002</v>
      </c>
      <c r="J6221">
        <v>-328.0471</v>
      </c>
      <c r="K6221">
        <v>1.1078429999999999</v>
      </c>
      <c r="L6221">
        <v>17.302700000000002</v>
      </c>
      <c r="M6221">
        <v>0.99879379999999995</v>
      </c>
      <c r="N6221">
        <v>-1.456205E-2</v>
      </c>
      <c r="O6221">
        <v>-4.6895029999999997E-2</v>
      </c>
      <c r="P6221">
        <v>0.91011140000000001</v>
      </c>
      <c r="Q6221">
        <v>0.39626220000000001</v>
      </c>
      <c r="R6221">
        <v>-0.1211359</v>
      </c>
      <c r="S6221">
        <v>3.4262700000000001</v>
      </c>
      <c r="T6221">
        <v>-0.56925539999999997</v>
      </c>
      <c r="U6221">
        <v>-0.88943479999999997</v>
      </c>
      <c r="V6221">
        <v>8.161554E-2</v>
      </c>
      <c r="W6221">
        <v>0.40889690000000001</v>
      </c>
      <c r="X6221">
        <v>0.9089237</v>
      </c>
      <c r="Y6221">
        <v>0.20324500000000001</v>
      </c>
      <c r="Z6221">
        <v>-1.1083229999999999E-2</v>
      </c>
      <c r="AA6221">
        <v>0.97906519999999997</v>
      </c>
      <c r="AB6221">
        <v>33</v>
      </c>
      <c r="AC6221">
        <v>0.718799999999987</v>
      </c>
      <c r="AD6221">
        <v>-0.14820700000000001</v>
      </c>
      <c r="AE6221">
        <v>-0.22212999999999899</v>
      </c>
      <c r="AF6221">
        <v>0.18114419673016599</v>
      </c>
      <c r="AG6221">
        <v>-0.14820700000000001</v>
      </c>
      <c r="AH6221">
        <v>0.70121491879770803</v>
      </c>
      <c r="AI6221">
        <v>101.56530408824101</v>
      </c>
      <c r="AJ6221">
        <v>75.515495514324996</v>
      </c>
      <c r="AK6221">
        <v>0.73924346273909902</v>
      </c>
      <c r="AL6221">
        <v>65.864442214716803</v>
      </c>
      <c r="AM6221">
        <v>84.868965933772003</v>
      </c>
      <c r="AN6221">
        <v>1.0000000318103901</v>
      </c>
    </row>
    <row r="6222" spans="1:40" x14ac:dyDescent="0.25">
      <c r="A6222" t="str">
        <f>"20190304165008983"</f>
        <v>20190304165008983</v>
      </c>
      <c r="B6222" t="str">
        <f>"1551689408972309"</f>
        <v>1551689408972309</v>
      </c>
      <c r="C6222" t="s">
        <v>40</v>
      </c>
      <c r="D6222">
        <v>4.7066840000000001</v>
      </c>
      <c r="E6222">
        <v>0.5715848</v>
      </c>
      <c r="F6222" t="s">
        <v>41</v>
      </c>
      <c r="G6222">
        <v>-327.31549999999999</v>
      </c>
      <c r="H6222">
        <v>0.98589899999999997</v>
      </c>
      <c r="I6222">
        <v>17.11035</v>
      </c>
      <c r="J6222">
        <v>-327.89940000000001</v>
      </c>
      <c r="K6222">
        <v>1.1077300000000001</v>
      </c>
      <c r="L6222">
        <v>17.29391</v>
      </c>
      <c r="M6222">
        <v>0.99869940000000001</v>
      </c>
      <c r="N6222">
        <v>-1.4567689999999999E-2</v>
      </c>
      <c r="O6222">
        <v>-4.8858270000000002E-2</v>
      </c>
      <c r="P6222">
        <v>0.90960510000000006</v>
      </c>
      <c r="Q6222">
        <v>0.39672249999999998</v>
      </c>
      <c r="R6222">
        <v>-0.1234097</v>
      </c>
      <c r="S6222">
        <v>3.424957</v>
      </c>
      <c r="T6222">
        <v>-0.57034119999999899</v>
      </c>
      <c r="U6222">
        <v>-0.89910889999999999</v>
      </c>
      <c r="V6222">
        <v>8.2230839999999999E-2</v>
      </c>
      <c r="W6222">
        <v>0.40933199999999997</v>
      </c>
      <c r="X6222">
        <v>0.90867229999999999</v>
      </c>
      <c r="Y6222">
        <v>0.20400389999999999</v>
      </c>
      <c r="Z6222">
        <v>-1.0878789999999999E-2</v>
      </c>
      <c r="AA6222">
        <v>0.97890960000000005</v>
      </c>
      <c r="AB6222">
        <v>33</v>
      </c>
      <c r="AC6222">
        <v>0.58390000000002795</v>
      </c>
      <c r="AD6222">
        <v>-0.121830999999999</v>
      </c>
      <c r="AE6222">
        <v>-0.183559999999999</v>
      </c>
      <c r="AF6222">
        <v>0.14890963225165099</v>
      </c>
      <c r="AG6222">
        <v>-0.121830999999999</v>
      </c>
      <c r="AH6222">
        <v>0.56960444396930998</v>
      </c>
      <c r="AI6222">
        <v>101.691350248863</v>
      </c>
      <c r="AJ6222">
        <v>75.349259287783596</v>
      </c>
      <c r="AK6222">
        <v>0.601220503416101</v>
      </c>
      <c r="AL6222">
        <v>65.837120314236103</v>
      </c>
      <c r="AM6222">
        <v>84.829069372307302</v>
      </c>
      <c r="AN6222">
        <v>0.99999997302919696</v>
      </c>
    </row>
    <row r="6223" spans="1:40" x14ac:dyDescent="0.25">
      <c r="A6223" t="str">
        <f>"20190304165008992"</f>
        <v>20190304165008992</v>
      </c>
      <c r="B6223" t="str">
        <f>"1551689408982070"</f>
        <v>1551689408982070</v>
      </c>
      <c r="C6223" t="s">
        <v>40</v>
      </c>
      <c r="D6223">
        <v>4.7147930000000002</v>
      </c>
      <c r="E6223">
        <v>0.57139410000000002</v>
      </c>
      <c r="F6223" t="s">
        <v>41</v>
      </c>
      <c r="G6223">
        <v>-327.03590000000003</v>
      </c>
      <c r="H6223">
        <v>0.96377840000000004</v>
      </c>
      <c r="I6223">
        <v>17.064979999999998</v>
      </c>
      <c r="J6223">
        <v>-327.75740000000002</v>
      </c>
      <c r="K6223">
        <v>1.10762</v>
      </c>
      <c r="L6223">
        <v>17.285309999999999</v>
      </c>
      <c r="M6223">
        <v>0.99860400000000005</v>
      </c>
      <c r="N6223">
        <v>-1.457289E-2</v>
      </c>
      <c r="O6223">
        <v>-5.0773520000000003E-2</v>
      </c>
      <c r="P6223">
        <v>0.90918639999999995</v>
      </c>
      <c r="Q6223">
        <v>0.3969396</v>
      </c>
      <c r="R6223">
        <v>-0.1257749</v>
      </c>
      <c r="S6223">
        <v>3.4239199999999999</v>
      </c>
      <c r="T6223">
        <v>-0.57072080000000003</v>
      </c>
      <c r="U6223">
        <v>-0.90771480000000004</v>
      </c>
      <c r="V6223">
        <v>8.2971840000000005E-2</v>
      </c>
      <c r="W6223">
        <v>0.40952430000000001</v>
      </c>
      <c r="X6223">
        <v>0.9085183</v>
      </c>
      <c r="Y6223">
        <v>0.20451150000000001</v>
      </c>
      <c r="Z6223">
        <v>-1.0647490000000001E-2</v>
      </c>
      <c r="AA6223">
        <v>0.97880630000000002</v>
      </c>
      <c r="AB6223">
        <v>32</v>
      </c>
      <c r="AC6223">
        <v>0.72149999999999104</v>
      </c>
      <c r="AD6223">
        <v>-0.14384159999999999</v>
      </c>
      <c r="AE6223">
        <v>-0.22033</v>
      </c>
      <c r="AF6223">
        <v>0.176974705176657</v>
      </c>
      <c r="AG6223">
        <v>-0.14384159999999999</v>
      </c>
      <c r="AH6223">
        <v>0.70608691218609099</v>
      </c>
      <c r="AI6223">
        <v>101.177884051402</v>
      </c>
      <c r="AJ6223">
        <v>75.929166879168307</v>
      </c>
      <c r="AK6223">
        <v>0.74200349037144997</v>
      </c>
      <c r="AL6223">
        <v>65.825044166634299</v>
      </c>
      <c r="AM6223">
        <v>84.781849518944</v>
      </c>
      <c r="AN6223">
        <v>0.99999998997918205</v>
      </c>
    </row>
    <row r="6224" spans="1:40" x14ac:dyDescent="0.25">
      <c r="A6224" t="str">
        <f>"20190304165009004"</f>
        <v>20190304165009004</v>
      </c>
      <c r="B6224" t="str">
        <f>"1551689408991830"</f>
        <v>1551689408991830</v>
      </c>
      <c r="C6224" t="s">
        <v>40</v>
      </c>
      <c r="D6224">
        <v>4.733924</v>
      </c>
      <c r="E6224">
        <v>0.57118619999999898</v>
      </c>
      <c r="F6224" t="s">
        <v>41</v>
      </c>
      <c r="G6224">
        <v>-327.02539999999999</v>
      </c>
      <c r="H6224">
        <v>0.98523090000000002</v>
      </c>
      <c r="I6224">
        <v>17.089359999999999</v>
      </c>
      <c r="J6224">
        <v>-327.601</v>
      </c>
      <c r="K6224">
        <v>1.1074980000000001</v>
      </c>
      <c r="L6224">
        <v>17.275210000000001</v>
      </c>
      <c r="M6224">
        <v>0.99848879999999995</v>
      </c>
      <c r="N6224">
        <v>-1.4579190000000001E-2</v>
      </c>
      <c r="O6224">
        <v>-5.2988479999999998E-2</v>
      </c>
      <c r="P6224">
        <v>0.90867469999999995</v>
      </c>
      <c r="Q6224">
        <v>0.39731109999999997</v>
      </c>
      <c r="R6224">
        <v>-0.12827469999999999</v>
      </c>
      <c r="S6224">
        <v>3.4227599999999998</v>
      </c>
      <c r="T6224">
        <v>-0.57215260000000001</v>
      </c>
      <c r="U6224">
        <v>-0.91604609999999997</v>
      </c>
      <c r="V6224">
        <v>8.359134E-2</v>
      </c>
      <c r="W6224">
        <v>0.40986919999999999</v>
      </c>
      <c r="X6224">
        <v>0.9083059</v>
      </c>
      <c r="Y6224">
        <v>0.20465929999999999</v>
      </c>
      <c r="Z6224">
        <v>-1.0354800000000001E-2</v>
      </c>
      <c r="AA6224">
        <v>0.9787785</v>
      </c>
      <c r="AB6224">
        <v>32</v>
      </c>
      <c r="AC6224">
        <v>0.57560000000000799</v>
      </c>
      <c r="AD6224">
        <v>-0.122267099999999</v>
      </c>
      <c r="AE6224">
        <v>-0.18585000000000201</v>
      </c>
      <c r="AF6224">
        <v>0.148997255949017</v>
      </c>
      <c r="AG6224">
        <v>-0.122267099999999</v>
      </c>
      <c r="AH6224">
        <v>0.56168893558761701</v>
      </c>
      <c r="AI6224">
        <v>101.88177525343499</v>
      </c>
      <c r="AJ6224">
        <v>75.143506685052003</v>
      </c>
      <c r="AK6224">
        <v>0.59383826618389701</v>
      </c>
      <c r="AL6224">
        <v>65.803380055032406</v>
      </c>
      <c r="AM6224">
        <v>84.741883867438005</v>
      </c>
      <c r="AN6224">
        <v>0.99999994060322095</v>
      </c>
    </row>
    <row r="6225" spans="1:40" x14ac:dyDescent="0.25">
      <c r="A6225" t="str">
        <f>"20190304165009014"</f>
        <v>20190304165009014</v>
      </c>
      <c r="B6225" t="str">
        <f>"1551689409001591"</f>
        <v>1551689409001591</v>
      </c>
      <c r="C6225" t="s">
        <v>40</v>
      </c>
      <c r="D6225">
        <v>4.7465020000000004</v>
      </c>
      <c r="E6225">
        <v>0.57097519999999902</v>
      </c>
      <c r="F6225" t="s">
        <v>41</v>
      </c>
      <c r="G6225">
        <v>-326.74590000000001</v>
      </c>
      <c r="H6225">
        <v>0.96406320000000001</v>
      </c>
      <c r="I6225">
        <v>17.043990000000001</v>
      </c>
      <c r="J6225">
        <v>-327.45080000000002</v>
      </c>
      <c r="K6225">
        <v>1.1073740000000001</v>
      </c>
      <c r="L6225">
        <v>17.26538</v>
      </c>
      <c r="M6225">
        <v>0.99837169999999997</v>
      </c>
      <c r="N6225">
        <v>-1.4584949999999999E-2</v>
      </c>
      <c r="O6225">
        <v>-5.5147689999999999E-2</v>
      </c>
      <c r="P6225">
        <v>0.90818290000000002</v>
      </c>
      <c r="Q6225">
        <v>0.39750859999999999</v>
      </c>
      <c r="R6225">
        <v>-0.13111410000000001</v>
      </c>
      <c r="S6225">
        <v>3.4218139999999999</v>
      </c>
      <c r="T6225">
        <v>-0.57340760000000002</v>
      </c>
      <c r="U6225">
        <v>-0.92373660000000002</v>
      </c>
      <c r="V6225">
        <v>8.4595190000000001E-2</v>
      </c>
      <c r="W6225">
        <v>0.41003800000000001</v>
      </c>
      <c r="X6225">
        <v>0.90813679999999997</v>
      </c>
      <c r="Y6225">
        <v>0.20467689999999999</v>
      </c>
      <c r="Z6225">
        <v>-1.005438E-2</v>
      </c>
      <c r="AA6225">
        <v>0.97877789999999998</v>
      </c>
      <c r="AB6225">
        <v>32</v>
      </c>
      <c r="AC6225">
        <v>0.70490000000000896</v>
      </c>
      <c r="AD6225">
        <v>-0.14331079999999999</v>
      </c>
      <c r="AE6225">
        <v>-0.221389999999999</v>
      </c>
      <c r="AF6225">
        <v>0.17556991299831101</v>
      </c>
      <c r="AG6225">
        <v>-0.14331079999999999</v>
      </c>
      <c r="AH6225">
        <v>0.69007520843363901</v>
      </c>
      <c r="AI6225">
        <v>101.379465091437</v>
      </c>
      <c r="AJ6225">
        <v>75.725578785261803</v>
      </c>
      <c r="AK6225">
        <v>0.72633778164267704</v>
      </c>
      <c r="AL6225">
        <v>65.792777497991807</v>
      </c>
      <c r="AM6225">
        <v>84.678114255632707</v>
      </c>
      <c r="AN6225">
        <v>0.99999997756468695</v>
      </c>
    </row>
    <row r="6226" spans="1:40" x14ac:dyDescent="0.25">
      <c r="A6226" t="str">
        <f>"20190304165009025"</f>
        <v>20190304165009025</v>
      </c>
      <c r="B6226" t="str">
        <f>"1551689409022086"</f>
        <v>1551689409022086</v>
      </c>
      <c r="C6226" t="s">
        <v>40</v>
      </c>
      <c r="D6226">
        <v>4.7652080000000003</v>
      </c>
      <c r="E6226">
        <v>0.57062880000000005</v>
      </c>
      <c r="F6226" t="s">
        <v>41</v>
      </c>
      <c r="G6226">
        <v>-326.7346</v>
      </c>
      <c r="H6226">
        <v>0.986734</v>
      </c>
      <c r="I6226">
        <v>17.069849999999999</v>
      </c>
      <c r="J6226">
        <v>-327.28579999999999</v>
      </c>
      <c r="K6226">
        <v>1.1072489999999999</v>
      </c>
      <c r="L6226">
        <v>17.25385</v>
      </c>
      <c r="M6226">
        <v>0.99823079999999997</v>
      </c>
      <c r="N6226">
        <v>-1.459244E-2</v>
      </c>
      <c r="O6226">
        <v>-5.7640810000000001E-2</v>
      </c>
      <c r="P6226">
        <v>0.90752650000000001</v>
      </c>
      <c r="Q6226">
        <v>0.39790189999999998</v>
      </c>
      <c r="R6226">
        <v>-0.13442419999999999</v>
      </c>
      <c r="S6226">
        <v>3.4205930000000002</v>
      </c>
      <c r="T6226">
        <v>-0.57550480000000004</v>
      </c>
      <c r="U6226">
        <v>-0.93215939999999997</v>
      </c>
      <c r="V6226">
        <v>8.578587E-2</v>
      </c>
      <c r="W6226">
        <v>0.41039759999999997</v>
      </c>
      <c r="X6226">
        <v>0.90786270000000002</v>
      </c>
      <c r="Y6226">
        <v>0.2045797</v>
      </c>
      <c r="Z6226">
        <v>-9.7039440000000008E-3</v>
      </c>
      <c r="AA6226">
        <v>0.97880180000000006</v>
      </c>
      <c r="AB6226">
        <v>32</v>
      </c>
      <c r="AC6226">
        <v>0.55119999999999403</v>
      </c>
      <c r="AD6226">
        <v>-0.120514999999999</v>
      </c>
      <c r="AE6226">
        <v>-0.184000000000001</v>
      </c>
      <c r="AF6226">
        <v>0.145654273353793</v>
      </c>
      <c r="AG6226">
        <v>-0.120514999999999</v>
      </c>
      <c r="AH6226">
        <v>0.53776074907743798</v>
      </c>
      <c r="AI6226">
        <v>102.20566745502801</v>
      </c>
      <c r="AJ6226">
        <v>74.844866142772005</v>
      </c>
      <c r="AK6226">
        <v>0.570022504660604</v>
      </c>
      <c r="AL6226">
        <v>65.770187272566602</v>
      </c>
      <c r="AM6226">
        <v>84.602028060169204</v>
      </c>
      <c r="AN6226">
        <v>1.0000000438143499</v>
      </c>
    </row>
    <row r="6227" spans="1:40" x14ac:dyDescent="0.25">
      <c r="A6227" t="str">
        <f>"20190304165009037"</f>
        <v>20190304165009037</v>
      </c>
      <c r="B6227" t="str">
        <f>"1551689409031846"</f>
        <v>1551689409031846</v>
      </c>
      <c r="C6227" t="s">
        <v>40</v>
      </c>
      <c r="D6227">
        <v>4.7762370000000001</v>
      </c>
      <c r="E6227">
        <v>0.57044030000000001</v>
      </c>
      <c r="F6227" t="s">
        <v>41</v>
      </c>
      <c r="G6227">
        <v>-326.45499999999998</v>
      </c>
      <c r="H6227">
        <v>0.96663390000000005</v>
      </c>
      <c r="I6227">
        <v>17.025649999999999</v>
      </c>
      <c r="J6227">
        <v>-327.113</v>
      </c>
      <c r="K6227">
        <v>1.1071169999999999</v>
      </c>
      <c r="L6227">
        <v>17.241489999999999</v>
      </c>
      <c r="M6227">
        <v>0.99807409999999996</v>
      </c>
      <c r="N6227">
        <v>-1.460004E-2</v>
      </c>
      <c r="O6227">
        <v>-6.0291860000000003E-2</v>
      </c>
      <c r="P6227">
        <v>0.9067482</v>
      </c>
      <c r="Q6227">
        <v>0.39842820000000001</v>
      </c>
      <c r="R6227">
        <v>-0.13806760000000001</v>
      </c>
      <c r="S6227">
        <v>3.4203190000000001</v>
      </c>
      <c r="T6227">
        <v>-0.57875030000000005</v>
      </c>
      <c r="U6227">
        <v>-0.93927000000000005</v>
      </c>
      <c r="V6227">
        <v>8.7180209999999994E-2</v>
      </c>
      <c r="W6227">
        <v>0.41088540000000001</v>
      </c>
      <c r="X6227">
        <v>0.90750909999999996</v>
      </c>
      <c r="Y6227">
        <v>0.20391049999999999</v>
      </c>
      <c r="Z6227">
        <v>-9.2876220000000006E-3</v>
      </c>
      <c r="AA6227">
        <v>0.97894550000000002</v>
      </c>
      <c r="AB6227">
        <v>32</v>
      </c>
      <c r="AC6227">
        <v>0.65800000000001502</v>
      </c>
      <c r="AD6227">
        <v>-0.140483099999999</v>
      </c>
      <c r="AE6227">
        <v>-0.21584</v>
      </c>
      <c r="AF6227">
        <v>0.16882321597958799</v>
      </c>
      <c r="AG6227">
        <v>-0.140483099999999</v>
      </c>
      <c r="AH6227">
        <v>0.64334133211300704</v>
      </c>
      <c r="AI6227">
        <v>101.926356662042</v>
      </c>
      <c r="AJ6227">
        <v>75.296185702951405</v>
      </c>
      <c r="AK6227">
        <v>0.67979765316176199</v>
      </c>
      <c r="AL6227">
        <v>65.739533193111299</v>
      </c>
      <c r="AM6227">
        <v>84.512697572278597</v>
      </c>
      <c r="AN6227">
        <v>0.99999998376580601</v>
      </c>
    </row>
    <row r="6228" spans="1:40" x14ac:dyDescent="0.25">
      <c r="A6228" t="str">
        <f>"20190304165009049"</f>
        <v>20190304165009049</v>
      </c>
      <c r="B6228" t="str">
        <f>"1551689409041606"</f>
        <v>1551689409041606</v>
      </c>
      <c r="C6228" t="s">
        <v>40</v>
      </c>
      <c r="D6228">
        <v>4.7206640000000002</v>
      </c>
      <c r="E6228">
        <v>0.5704129</v>
      </c>
      <c r="F6228" t="s">
        <v>41</v>
      </c>
      <c r="G6228">
        <v>-326.17509999999999</v>
      </c>
      <c r="H6228">
        <v>0.94803919999999997</v>
      </c>
      <c r="I6228">
        <v>16.98096</v>
      </c>
      <c r="J6228">
        <v>-326.93220000000002</v>
      </c>
      <c r="K6228">
        <v>1.106986</v>
      </c>
      <c r="L6228">
        <v>17.227810000000002</v>
      </c>
      <c r="M6228">
        <v>0.99789450000000002</v>
      </c>
      <c r="N6228">
        <v>-1.4608940000000001E-2</v>
      </c>
      <c r="O6228">
        <v>-6.3190560000000007E-2</v>
      </c>
      <c r="P6228">
        <v>0.90607950000000004</v>
      </c>
      <c r="Q6228">
        <v>0.39862049999999999</v>
      </c>
      <c r="R6228">
        <v>-0.14185139999999999</v>
      </c>
      <c r="S6228">
        <v>3.418701</v>
      </c>
      <c r="T6228">
        <v>-0.57964899999999997</v>
      </c>
      <c r="U6228">
        <v>-0.94915769999999999</v>
      </c>
      <c r="V6228">
        <v>8.8483069999999997E-2</v>
      </c>
      <c r="W6228">
        <v>0.41104230000000003</v>
      </c>
      <c r="X6228">
        <v>0.90731189999999995</v>
      </c>
      <c r="Y6228">
        <v>0.203844</v>
      </c>
      <c r="Z6228">
        <v>-8.8597829999999995E-3</v>
      </c>
      <c r="AA6228">
        <v>0.97896329999999998</v>
      </c>
      <c r="AB6228">
        <v>32</v>
      </c>
      <c r="AC6228">
        <v>0.75710000000003597</v>
      </c>
      <c r="AD6228">
        <v>-0.1589468</v>
      </c>
      <c r="AE6228">
        <v>-0.24685000000000101</v>
      </c>
      <c r="AF6228">
        <v>0.190904214282829</v>
      </c>
      <c r="AG6228">
        <v>-0.1589468</v>
      </c>
      <c r="AH6228">
        <v>0.74163976742448601</v>
      </c>
      <c r="AI6228">
        <v>101.72539040821501</v>
      </c>
      <c r="AJ6228">
        <v>75.564963564764298</v>
      </c>
      <c r="AK6228">
        <v>0.78213684792792504</v>
      </c>
      <c r="AL6228">
        <v>65.729671546726706</v>
      </c>
      <c r="AM6228">
        <v>84.430001846131006</v>
      </c>
      <c r="AN6228">
        <v>0.99999995497376104</v>
      </c>
    </row>
    <row r="6229" spans="1:40" x14ac:dyDescent="0.25">
      <c r="A6229" t="str">
        <f>"20190304165009059"</f>
        <v>20190304165009059</v>
      </c>
      <c r="B6229" t="str">
        <f>"1551689409052341"</f>
        <v>1551689409052341</v>
      </c>
      <c r="C6229" t="s">
        <v>40</v>
      </c>
      <c r="D6229">
        <v>4.7523540000000004</v>
      </c>
      <c r="E6229">
        <v>0.57026060000000001</v>
      </c>
      <c r="F6229" t="s">
        <v>41</v>
      </c>
      <c r="G6229">
        <v>-326.16120000000001</v>
      </c>
      <c r="H6229">
        <v>0.97608799999999996</v>
      </c>
      <c r="I6229">
        <v>17.010850000000001</v>
      </c>
      <c r="J6229">
        <v>-326.7878</v>
      </c>
      <c r="K6229">
        <v>1.1068830000000001</v>
      </c>
      <c r="L6229">
        <v>17.216519999999999</v>
      </c>
      <c r="M6229">
        <v>0.99774220000000002</v>
      </c>
      <c r="N6229">
        <v>-1.4615889999999999E-2</v>
      </c>
      <c r="O6229">
        <v>-6.5550129999999998E-2</v>
      </c>
      <c r="P6229">
        <v>0.90547160000000004</v>
      </c>
      <c r="Q6229">
        <v>0.39878049999999998</v>
      </c>
      <c r="R6229">
        <v>-0.14524210000000001</v>
      </c>
      <c r="S6229">
        <v>3.4155880000000001</v>
      </c>
      <c r="T6229">
        <v>-0.57965449999999996</v>
      </c>
      <c r="U6229">
        <v>-0.96054079999999997</v>
      </c>
      <c r="V6229">
        <v>8.9853879999999997E-2</v>
      </c>
      <c r="W6229">
        <v>0.41117009999999998</v>
      </c>
      <c r="X6229">
        <v>0.90711929999999996</v>
      </c>
      <c r="Y6229">
        <v>0.2047969</v>
      </c>
      <c r="Z6229">
        <v>-8.5962680000000007E-3</v>
      </c>
      <c r="AA6229">
        <v>0.97876669999999999</v>
      </c>
      <c r="AB6229">
        <v>32</v>
      </c>
      <c r="AC6229">
        <v>0.62659999999999605</v>
      </c>
      <c r="AD6229">
        <v>-0.13079499999999999</v>
      </c>
      <c r="AE6229">
        <v>-0.20567000000000099</v>
      </c>
      <c r="AF6229">
        <v>0.15793720525056301</v>
      </c>
      <c r="AG6229">
        <v>-0.13079499999999999</v>
      </c>
      <c r="AH6229">
        <v>0.61456217782122302</v>
      </c>
      <c r="AI6229">
        <v>101.647152224434</v>
      </c>
      <c r="AJ6229">
        <v>75.587365868575205</v>
      </c>
      <c r="AK6229">
        <v>0.64787202689707402</v>
      </c>
      <c r="AL6229">
        <v>65.721640067848</v>
      </c>
      <c r="AM6229">
        <v>84.343071721854102</v>
      </c>
      <c r="AN6229">
        <v>0.99999999765877701</v>
      </c>
    </row>
    <row r="6230" spans="1:40" x14ac:dyDescent="0.25">
      <c r="A6230" t="str">
        <f>"20190304165009069"</f>
        <v>20190304165009069</v>
      </c>
      <c r="B6230" t="str">
        <f>"1551689409062102"</f>
        <v>1551689409062102</v>
      </c>
      <c r="C6230" t="s">
        <v>40</v>
      </c>
      <c r="D6230">
        <v>4.641807</v>
      </c>
      <c r="E6230">
        <v>0.57018259999999998</v>
      </c>
      <c r="F6230" t="s">
        <v>41</v>
      </c>
      <c r="G6230">
        <v>-325.88400000000001</v>
      </c>
      <c r="H6230">
        <v>0.95325599999999999</v>
      </c>
      <c r="I6230">
        <v>16.959229999999899</v>
      </c>
      <c r="J6230">
        <v>-326.63049999999998</v>
      </c>
      <c r="K6230">
        <v>1.1067739999999999</v>
      </c>
      <c r="L6230">
        <v>17.20374</v>
      </c>
      <c r="M6230">
        <v>0.99756590000000001</v>
      </c>
      <c r="N6230">
        <v>-1.4623519999999999E-2</v>
      </c>
      <c r="O6230">
        <v>-6.8182290000000007E-2</v>
      </c>
      <c r="P6230">
        <v>0.90493699999999999</v>
      </c>
      <c r="Q6230">
        <v>0.3987058</v>
      </c>
      <c r="R6230">
        <v>-0.14873800000000001</v>
      </c>
      <c r="S6230">
        <v>3.4127809999999998</v>
      </c>
      <c r="T6230">
        <v>-0.57969759999999904</v>
      </c>
      <c r="U6230">
        <v>-0.97064209999999995</v>
      </c>
      <c r="V6230">
        <v>9.1078279999999998E-2</v>
      </c>
      <c r="W6230">
        <v>0.41106500000000001</v>
      </c>
      <c r="X6230">
        <v>0.90704479999999998</v>
      </c>
      <c r="Y6230">
        <v>0.2051307</v>
      </c>
      <c r="Z6230">
        <v>-8.2360899999999997E-3</v>
      </c>
      <c r="AA6230">
        <v>0.97869989999999996</v>
      </c>
      <c r="AB6230">
        <v>32</v>
      </c>
      <c r="AC6230">
        <v>0.74649999999996897</v>
      </c>
      <c r="AD6230">
        <v>-0.15351799999999899</v>
      </c>
      <c r="AE6230">
        <v>-0.244510000000001</v>
      </c>
      <c r="AF6230">
        <v>0.185935654544191</v>
      </c>
      <c r="AG6230">
        <v>-0.15351799999999899</v>
      </c>
      <c r="AH6230">
        <v>0.73342279563469004</v>
      </c>
      <c r="AI6230">
        <v>101.469525077791</v>
      </c>
      <c r="AJ6230">
        <v>75.774221003927593</v>
      </c>
      <c r="AK6230">
        <v>0.77204199439627696</v>
      </c>
      <c r="AL6230">
        <v>65.728245427910295</v>
      </c>
      <c r="AM6230">
        <v>84.266029577385396</v>
      </c>
      <c r="AN6230">
        <v>0.99999997825989895</v>
      </c>
    </row>
    <row r="6231" spans="1:40" x14ac:dyDescent="0.25">
      <c r="A6231" t="str">
        <f>"20190304165009080"</f>
        <v>20190304165009080</v>
      </c>
      <c r="B6231" t="str">
        <f>"1551689409071862"</f>
        <v>1551689409071862</v>
      </c>
      <c r="C6231" t="s">
        <v>40</v>
      </c>
      <c r="D6231">
        <v>4.7393269999999896</v>
      </c>
      <c r="E6231">
        <v>0.57005240000000001</v>
      </c>
      <c r="F6231" t="s">
        <v>41</v>
      </c>
      <c r="G6231">
        <v>-325.87169999999998</v>
      </c>
      <c r="H6231">
        <v>0.97762579999999999</v>
      </c>
      <c r="I6231">
        <v>16.984739999999999</v>
      </c>
      <c r="J6231">
        <v>-326.4785</v>
      </c>
      <c r="K6231">
        <v>1.1066739999999999</v>
      </c>
      <c r="L6231">
        <v>17.190950000000001</v>
      </c>
      <c r="M6231">
        <v>0.99738470000000001</v>
      </c>
      <c r="N6231">
        <v>-1.46307E-2</v>
      </c>
      <c r="O6231">
        <v>-7.0779899999999896E-2</v>
      </c>
      <c r="P6231">
        <v>0.90447679999999997</v>
      </c>
      <c r="Q6231">
        <v>0.39839760000000002</v>
      </c>
      <c r="R6231">
        <v>-0.1523196</v>
      </c>
      <c r="S6231">
        <v>3.4089659999999999</v>
      </c>
      <c r="T6231">
        <v>-0.57966139999999999</v>
      </c>
      <c r="U6231">
        <v>-0.98266600000000004</v>
      </c>
      <c r="V6231">
        <v>9.2404109999999998E-2</v>
      </c>
      <c r="W6231">
        <v>0.41072760000000003</v>
      </c>
      <c r="X6231">
        <v>0.90706350000000002</v>
      </c>
      <c r="Y6231">
        <v>0.2060747</v>
      </c>
      <c r="Z6231">
        <v>-7.9364029999999999E-3</v>
      </c>
      <c r="AA6231">
        <v>0.97850409999999999</v>
      </c>
      <c r="AB6231">
        <v>32</v>
      </c>
      <c r="AC6231">
        <v>0.60680000000002099</v>
      </c>
      <c r="AD6231">
        <v>-0.129048199999999</v>
      </c>
      <c r="AE6231">
        <v>-0.206210000000002</v>
      </c>
      <c r="AF6231">
        <v>0.156397560789755</v>
      </c>
      <c r="AG6231">
        <v>-0.129048199999999</v>
      </c>
      <c r="AH6231">
        <v>0.59572074505239303</v>
      </c>
      <c r="AI6231">
        <v>101.833706250128</v>
      </c>
      <c r="AJ6231">
        <v>75.289818689182695</v>
      </c>
      <c r="AK6231">
        <v>0.62928279893065897</v>
      </c>
      <c r="AL6231">
        <v>65.749448680445397</v>
      </c>
      <c r="AM6231">
        <v>84.183247355655197</v>
      </c>
      <c r="AN6231">
        <v>0.999999936989449</v>
      </c>
    </row>
    <row r="6232" spans="1:40" x14ac:dyDescent="0.25">
      <c r="A6232" t="str">
        <f>"20190304165009092"</f>
        <v>20190304165009092</v>
      </c>
      <c r="B6232" t="str">
        <f>"1551689409081623"</f>
        <v>1551689409081623</v>
      </c>
      <c r="C6232" t="s">
        <v>40</v>
      </c>
      <c r="D6232">
        <v>4.7165699999999999</v>
      </c>
      <c r="E6232">
        <v>0.56992509999999996</v>
      </c>
      <c r="F6232" t="s">
        <v>41</v>
      </c>
      <c r="G6232">
        <v>-325.59469999999999</v>
      </c>
      <c r="H6232">
        <v>0.95573540000000001</v>
      </c>
      <c r="I6232">
        <v>16.932600000000001</v>
      </c>
      <c r="J6232">
        <v>-326.3159</v>
      </c>
      <c r="K6232">
        <v>1.1065700000000001</v>
      </c>
      <c r="L6232">
        <v>17.176819999999999</v>
      </c>
      <c r="M6232">
        <v>0.99717960000000005</v>
      </c>
      <c r="N6232">
        <v>-1.4638099999999999E-2</v>
      </c>
      <c r="O6232">
        <v>-7.361057E-2</v>
      </c>
      <c r="P6232">
        <v>0.90409589999999995</v>
      </c>
      <c r="Q6232">
        <v>0.39788420000000002</v>
      </c>
      <c r="R6232">
        <v>-0.1558802</v>
      </c>
      <c r="S6232">
        <v>3.4053650000000002</v>
      </c>
      <c r="T6232">
        <v>-0.58104359999999999</v>
      </c>
      <c r="U6232">
        <v>-0.99423220000000001</v>
      </c>
      <c r="V6232">
        <v>9.3490530000000002E-2</v>
      </c>
      <c r="W6232">
        <v>0.41018840000000001</v>
      </c>
      <c r="X6232">
        <v>0.90719620000000001</v>
      </c>
      <c r="Y6232">
        <v>0.206651</v>
      </c>
      <c r="Z6232">
        <v>-7.5801519999999997E-3</v>
      </c>
      <c r="AA6232">
        <v>0.97838530000000001</v>
      </c>
      <c r="AB6232">
        <v>32</v>
      </c>
      <c r="AC6232">
        <v>0.72120000000001006</v>
      </c>
      <c r="AD6232">
        <v>-0.15083460000000001</v>
      </c>
      <c r="AE6232">
        <v>-0.24422000000000199</v>
      </c>
      <c r="AF6232">
        <v>0.183271834393263</v>
      </c>
      <c r="AG6232">
        <v>-0.15083460000000001</v>
      </c>
      <c r="AH6232">
        <v>0.709384880033753</v>
      </c>
      <c r="AI6232">
        <v>101.632835114671</v>
      </c>
      <c r="AJ6232">
        <v>75.514200848877607</v>
      </c>
      <c r="AK6232">
        <v>0.748041810234919</v>
      </c>
      <c r="AL6232">
        <v>65.783328986791304</v>
      </c>
      <c r="AM6232">
        <v>84.116190140019199</v>
      </c>
      <c r="AN6232">
        <v>0.99999997399434004</v>
      </c>
    </row>
    <row r="6233" spans="1:40" x14ac:dyDescent="0.25">
      <c r="A6233" t="str">
        <f>"20190304165009104"</f>
        <v>20190304165009104</v>
      </c>
      <c r="B6233" t="str">
        <f>"1551689409092358"</f>
        <v>1551689409092358</v>
      </c>
      <c r="C6233" t="s">
        <v>40</v>
      </c>
      <c r="D6233">
        <v>4.6617940000000004</v>
      </c>
      <c r="E6233">
        <v>0.56984119999999905</v>
      </c>
      <c r="F6233" t="s">
        <v>41</v>
      </c>
      <c r="G6233">
        <v>-325.58190000000002</v>
      </c>
      <c r="H6233">
        <v>0.98063020000000001</v>
      </c>
      <c r="I6233">
        <v>16.959329999999898</v>
      </c>
      <c r="J6233">
        <v>-326.14929999999998</v>
      </c>
      <c r="K6233">
        <v>1.1064719999999999</v>
      </c>
      <c r="L6233">
        <v>17.16168</v>
      </c>
      <c r="M6233">
        <v>0.99695590000000001</v>
      </c>
      <c r="N6233">
        <v>-1.4645500000000001E-2</v>
      </c>
      <c r="O6233">
        <v>-7.6581799999999894E-2</v>
      </c>
      <c r="P6233">
        <v>0.9034991</v>
      </c>
      <c r="Q6233">
        <v>0.39754620000000002</v>
      </c>
      <c r="R6233">
        <v>-0.16014679999999901</v>
      </c>
      <c r="S6233">
        <v>3.4012760000000002</v>
      </c>
      <c r="T6233">
        <v>-0.58301650000000005</v>
      </c>
      <c r="U6233">
        <v>-1.0065</v>
      </c>
      <c r="V6233">
        <v>9.5164990000000005E-2</v>
      </c>
      <c r="W6233">
        <v>0.4098157</v>
      </c>
      <c r="X6233">
        <v>0.90719059999999996</v>
      </c>
      <c r="Y6233">
        <v>0.2073094</v>
      </c>
      <c r="Z6233">
        <v>-7.2130680000000004E-3</v>
      </c>
      <c r="AA6233">
        <v>0.97824880000000003</v>
      </c>
      <c r="AB6233">
        <v>32</v>
      </c>
      <c r="AC6233">
        <v>0.56739999999996305</v>
      </c>
      <c r="AD6233">
        <v>-0.125841799999999</v>
      </c>
      <c r="AE6233">
        <v>-0.202350000000002</v>
      </c>
      <c r="AF6233">
        <v>0.15167929957714801</v>
      </c>
      <c r="AG6233">
        <v>-0.125841799999999</v>
      </c>
      <c r="AH6233">
        <v>0.55692747099608197</v>
      </c>
      <c r="AI6233">
        <v>102.298959437859</v>
      </c>
      <c r="AJ6233">
        <v>74.764993005964996</v>
      </c>
      <c r="AK6233">
        <v>0.59077150955132096</v>
      </c>
      <c r="AL6233">
        <v>65.806742984739103</v>
      </c>
      <c r="AM6233">
        <v>84.011530725087596</v>
      </c>
      <c r="AN6233">
        <v>1.00000003400827</v>
      </c>
    </row>
    <row r="6234" spans="1:40" x14ac:dyDescent="0.25">
      <c r="A6234" t="str">
        <f>"20190304165009114"</f>
        <v>20190304165009114</v>
      </c>
      <c r="B6234" t="str">
        <f>"1551689409102118"</f>
        <v>1551689409102118</v>
      </c>
      <c r="C6234" t="s">
        <v>40</v>
      </c>
      <c r="D6234">
        <v>4.6606379999999996</v>
      </c>
      <c r="E6234">
        <v>0.56977359999999999</v>
      </c>
      <c r="F6234" t="s">
        <v>41</v>
      </c>
      <c r="G6234">
        <v>-325.30439999999999</v>
      </c>
      <c r="H6234">
        <v>0.96104809999999996</v>
      </c>
      <c r="I6234">
        <v>16.907529999999898</v>
      </c>
      <c r="J6234">
        <v>-325.9948</v>
      </c>
      <c r="K6234">
        <v>1.1063810000000001</v>
      </c>
      <c r="L6234">
        <v>17.147369999999999</v>
      </c>
      <c r="M6234">
        <v>0.99673829999999997</v>
      </c>
      <c r="N6234">
        <v>-1.4651910000000001E-2</v>
      </c>
      <c r="O6234">
        <v>-7.9363199999999995E-2</v>
      </c>
      <c r="P6234">
        <v>0.90307820000000005</v>
      </c>
      <c r="Q6234">
        <v>0.39678069999999999</v>
      </c>
      <c r="R6234">
        <v>-0.1643636</v>
      </c>
      <c r="S6234">
        <v>3.3965450000000001</v>
      </c>
      <c r="T6234">
        <v>-0.584261699999999</v>
      </c>
      <c r="U6234">
        <v>-1.0208740000000001</v>
      </c>
      <c r="V6234">
        <v>9.6935359999999998E-2</v>
      </c>
      <c r="W6234">
        <v>0.4090183</v>
      </c>
      <c r="X6234">
        <v>0.90736300000000003</v>
      </c>
      <c r="Y6234">
        <v>0.2087523</v>
      </c>
      <c r="Z6234">
        <v>-6.9382559999999899E-3</v>
      </c>
      <c r="AA6234">
        <v>0.97794389999999998</v>
      </c>
      <c r="AB6234">
        <v>32</v>
      </c>
      <c r="AC6234">
        <v>0.690400000000011</v>
      </c>
      <c r="AD6234">
        <v>-0.14533289999999999</v>
      </c>
      <c r="AE6234">
        <v>-0.23984000000000399</v>
      </c>
      <c r="AF6234">
        <v>0.17727551043519499</v>
      </c>
      <c r="AG6234">
        <v>-0.14533289999999999</v>
      </c>
      <c r="AH6234">
        <v>0.68035660420269195</v>
      </c>
      <c r="AI6234">
        <v>101.679171256431</v>
      </c>
      <c r="AJ6234">
        <v>75.395592468558206</v>
      </c>
      <c r="AK6234">
        <v>0.71793688253542698</v>
      </c>
      <c r="AL6234">
        <v>65.856819760922093</v>
      </c>
      <c r="AM6234">
        <v>83.902108423106597</v>
      </c>
      <c r="AN6234">
        <v>1.0000000237611</v>
      </c>
    </row>
    <row r="6235" spans="1:40" x14ac:dyDescent="0.25">
      <c r="A6235" t="str">
        <f>"20190304165009126"</f>
        <v>20190304165009126</v>
      </c>
      <c r="B6235" t="str">
        <f>"1551689409121638"</f>
        <v>1551689409121638</v>
      </c>
      <c r="C6235" t="s">
        <v>40</v>
      </c>
      <c r="D6235">
        <v>4.6714010000000004</v>
      </c>
      <c r="E6235">
        <v>0.56968699999999906</v>
      </c>
      <c r="F6235" t="s">
        <v>41</v>
      </c>
      <c r="G6235">
        <v>-325.2921</v>
      </c>
      <c r="H6235">
        <v>0.98461509999999997</v>
      </c>
      <c r="I6235">
        <v>16.93289</v>
      </c>
      <c r="J6235">
        <v>-325.82459999999998</v>
      </c>
      <c r="K6235">
        <v>1.10629</v>
      </c>
      <c r="L6235">
        <v>17.130710000000001</v>
      </c>
      <c r="M6235">
        <v>0.99648199999999998</v>
      </c>
      <c r="N6235">
        <v>-1.465925E-2</v>
      </c>
      <c r="O6235">
        <v>-8.2515279999999996E-2</v>
      </c>
      <c r="P6235">
        <v>0.90237089999999998</v>
      </c>
      <c r="Q6235">
        <v>0.39634249999999999</v>
      </c>
      <c r="R6235">
        <v>-0.16923279999999999</v>
      </c>
      <c r="S6235">
        <v>3.391724</v>
      </c>
      <c r="T6235">
        <v>-0.58725380000000005</v>
      </c>
      <c r="U6235">
        <v>-1.0341800000000001</v>
      </c>
      <c r="V6235">
        <v>9.9043240000000005E-2</v>
      </c>
      <c r="W6235">
        <v>0.4085413</v>
      </c>
      <c r="X6235">
        <v>0.9073502</v>
      </c>
      <c r="Y6235">
        <v>0.2095592</v>
      </c>
      <c r="Z6235">
        <v>-6.5589269999999896E-3</v>
      </c>
      <c r="AA6235">
        <v>0.97777400000000003</v>
      </c>
      <c r="AB6235">
        <v>32</v>
      </c>
      <c r="AC6235">
        <v>0.53249999999997</v>
      </c>
      <c r="AD6235">
        <v>-0.1216749</v>
      </c>
      <c r="AE6235">
        <v>-0.19782</v>
      </c>
      <c r="AF6235">
        <v>0.14648069342585701</v>
      </c>
      <c r="AG6235">
        <v>-0.1216749</v>
      </c>
      <c r="AH6235">
        <v>0.52301307228094096</v>
      </c>
      <c r="AI6235">
        <v>102.62703319129</v>
      </c>
      <c r="AJ6235">
        <v>74.353991590228702</v>
      </c>
      <c r="AK6235">
        <v>0.55660043892659505</v>
      </c>
      <c r="AL6235">
        <v>65.886764829486197</v>
      </c>
      <c r="AM6235">
        <v>83.770452841111904</v>
      </c>
      <c r="AN6235">
        <v>0.99999997131771301</v>
      </c>
    </row>
    <row r="6236" spans="1:40" x14ac:dyDescent="0.25">
      <c r="A6236" t="str">
        <f>"20190304165009138"</f>
        <v>20190304165009138</v>
      </c>
      <c r="B6236" t="str">
        <f>"1551689409132374"</f>
        <v>1551689409132374</v>
      </c>
      <c r="C6236" t="s">
        <v>40</v>
      </c>
      <c r="D6236">
        <v>4.7193350000000001</v>
      </c>
      <c r="E6236">
        <v>0.56960390000000005</v>
      </c>
      <c r="F6236" t="s">
        <v>41</v>
      </c>
      <c r="G6236">
        <v>-325.01499999999999</v>
      </c>
      <c r="H6236">
        <v>0.9655743</v>
      </c>
      <c r="I6236">
        <v>16.87932</v>
      </c>
      <c r="J6236">
        <v>-325.64960000000002</v>
      </c>
      <c r="K6236">
        <v>1.1061970000000001</v>
      </c>
      <c r="L6236">
        <v>17.11328</v>
      </c>
      <c r="M6236">
        <v>0.99620600000000004</v>
      </c>
      <c r="N6236">
        <v>-1.466636E-2</v>
      </c>
      <c r="O6236">
        <v>-8.5781479999999993E-2</v>
      </c>
      <c r="P6236">
        <v>0.90164359999999999</v>
      </c>
      <c r="Q6236">
        <v>0.39588970000000001</v>
      </c>
      <c r="R6236">
        <v>-0.17409859999999999</v>
      </c>
      <c r="S6236">
        <v>3.385834</v>
      </c>
      <c r="T6236">
        <v>-0.58782449999999997</v>
      </c>
      <c r="U6236">
        <v>-1.050049</v>
      </c>
      <c r="V6236">
        <v>0.1010446</v>
      </c>
      <c r="W6236">
        <v>0.40804950000000001</v>
      </c>
      <c r="X6236">
        <v>0.90735089999999996</v>
      </c>
      <c r="Y6236">
        <v>0.2110244</v>
      </c>
      <c r="Z6236">
        <v>-6.2047919999999998E-3</v>
      </c>
      <c r="AA6236">
        <v>0.97746109999999997</v>
      </c>
      <c r="AB6236">
        <v>32</v>
      </c>
      <c r="AC6236">
        <v>0.63460000000003403</v>
      </c>
      <c r="AD6236">
        <v>-0.14062269999999899</v>
      </c>
      <c r="AE6236">
        <v>-0.233959999999999</v>
      </c>
      <c r="AF6236">
        <v>0.17125181073742299</v>
      </c>
      <c r="AG6236">
        <v>-0.14062269999999899</v>
      </c>
      <c r="AH6236">
        <v>0.62530153640792197</v>
      </c>
      <c r="AI6236">
        <v>102.23792175049</v>
      </c>
      <c r="AJ6236">
        <v>74.683917494980506</v>
      </c>
      <c r="AK6236">
        <v>0.66340329956237298</v>
      </c>
      <c r="AL6236">
        <v>65.917634586866697</v>
      </c>
      <c r="AM6236">
        <v>83.645597281195606</v>
      </c>
      <c r="AN6236">
        <v>1.0000000306851</v>
      </c>
    </row>
    <row r="6237" spans="1:40" x14ac:dyDescent="0.25">
      <c r="A6237" t="str">
        <f>"20190304165009149"</f>
        <v>20190304165009149</v>
      </c>
      <c r="B6237" t="str">
        <f>"1551689409142134"</f>
        <v>1551689409142134</v>
      </c>
      <c r="C6237" t="s">
        <v>40</v>
      </c>
      <c r="D6237">
        <v>4.7301979999999997</v>
      </c>
      <c r="E6237">
        <v>0.56952740000000002</v>
      </c>
      <c r="F6237" t="s">
        <v>41</v>
      </c>
      <c r="G6237">
        <v>-324.738</v>
      </c>
      <c r="H6237">
        <v>0.94715190000000005</v>
      </c>
      <c r="I6237">
        <v>16.825759999999999</v>
      </c>
      <c r="J6237">
        <v>-325.47910000000002</v>
      </c>
      <c r="K6237">
        <v>1.106107</v>
      </c>
      <c r="L6237">
        <v>17.09552</v>
      </c>
      <c r="M6237">
        <v>0.9959211</v>
      </c>
      <c r="N6237">
        <v>-1.46733E-2</v>
      </c>
      <c r="O6237">
        <v>-8.9027750000000003E-2</v>
      </c>
      <c r="P6237">
        <v>0.90109289999999997</v>
      </c>
      <c r="Q6237">
        <v>0.39506079999999999</v>
      </c>
      <c r="R6237">
        <v>-0.17877019999999999</v>
      </c>
      <c r="S6237">
        <v>3.3803100000000001</v>
      </c>
      <c r="T6237">
        <v>-0.58977440000000003</v>
      </c>
      <c r="U6237">
        <v>-1.0663450000000001</v>
      </c>
      <c r="V6237">
        <v>0.1028424</v>
      </c>
      <c r="W6237">
        <v>0.40718769999999999</v>
      </c>
      <c r="X6237">
        <v>0.90753600000000001</v>
      </c>
      <c r="Y6237">
        <v>0.2125823</v>
      </c>
      <c r="Z6237">
        <v>-5.867494E-3</v>
      </c>
      <c r="AA6237">
        <v>0.97712549999999998</v>
      </c>
      <c r="AB6237">
        <v>32</v>
      </c>
      <c r="AC6237">
        <v>0.74110000000001697</v>
      </c>
      <c r="AD6237">
        <v>-0.15895509999999899</v>
      </c>
      <c r="AE6237">
        <v>-0.269760000000001</v>
      </c>
      <c r="AF6237">
        <v>0.19479029909680501</v>
      </c>
      <c r="AG6237">
        <v>-0.15895509999999899</v>
      </c>
      <c r="AH6237">
        <v>0.73242296313626898</v>
      </c>
      <c r="AI6237">
        <v>101.845272969711</v>
      </c>
      <c r="AJ6237">
        <v>75.106749301639695</v>
      </c>
      <c r="AK6237">
        <v>0.77437289555326305</v>
      </c>
      <c r="AL6237">
        <v>65.971707145432603</v>
      </c>
      <c r="AM6237">
        <v>83.534795948181198</v>
      </c>
      <c r="AN6237">
        <v>0.999999986782524</v>
      </c>
    </row>
    <row r="6238" spans="1:40" x14ac:dyDescent="0.25">
      <c r="A6238" t="str">
        <f>"20190304165009162"</f>
        <v>20190304165009162</v>
      </c>
      <c r="B6238" t="str">
        <f>"1551689409151894"</f>
        <v>1551689409151894</v>
      </c>
      <c r="C6238" t="s">
        <v>40</v>
      </c>
      <c r="D6238">
        <v>4.726667</v>
      </c>
      <c r="E6238">
        <v>0.56942910000000002</v>
      </c>
      <c r="F6238" t="s">
        <v>41</v>
      </c>
      <c r="G6238">
        <v>-324.7242</v>
      </c>
      <c r="H6238">
        <v>0.97348950000000001</v>
      </c>
      <c r="I6238">
        <v>16.853370000000002</v>
      </c>
      <c r="J6238">
        <v>-325.31720000000001</v>
      </c>
      <c r="K6238">
        <v>1.1060299999999901</v>
      </c>
      <c r="L6238">
        <v>17.07809</v>
      </c>
      <c r="M6238">
        <v>0.99563740000000001</v>
      </c>
      <c r="N6238">
        <v>-1.467974E-2</v>
      </c>
      <c r="O6238">
        <v>-9.2146450000000005E-2</v>
      </c>
      <c r="P6238">
        <v>0.90053879999999997</v>
      </c>
      <c r="Q6238">
        <v>0.39433400000000002</v>
      </c>
      <c r="R6238">
        <v>-0.1831149</v>
      </c>
      <c r="S6238">
        <v>3.3744200000000002</v>
      </c>
      <c r="T6238">
        <v>-0.59288490000000005</v>
      </c>
      <c r="U6238">
        <v>-1.082703</v>
      </c>
      <c r="V6238">
        <v>0.1044229</v>
      </c>
      <c r="W6238">
        <v>0.4064316</v>
      </c>
      <c r="X6238">
        <v>0.90769449999999996</v>
      </c>
      <c r="Y6238">
        <v>0.2143002</v>
      </c>
      <c r="Z6238">
        <v>-5.5668690000000003E-3</v>
      </c>
      <c r="AA6238">
        <v>0.97675199999999995</v>
      </c>
      <c r="AB6238">
        <v>32</v>
      </c>
      <c r="AC6238">
        <v>0.59300000000001696</v>
      </c>
      <c r="AD6238">
        <v>-0.13254049999999901</v>
      </c>
      <c r="AE6238">
        <v>-0.22471999999999701</v>
      </c>
      <c r="AF6238">
        <v>0.16203675798141301</v>
      </c>
      <c r="AG6238">
        <v>-0.13254049999999901</v>
      </c>
      <c r="AH6238">
        <v>0.58560498615976597</v>
      </c>
      <c r="AI6238">
        <v>102.305422480248</v>
      </c>
      <c r="AJ6238">
        <v>74.533246413036807</v>
      </c>
      <c r="AK6238">
        <v>0.62189717389015098</v>
      </c>
      <c r="AL6238">
        <v>66.019131465189702</v>
      </c>
      <c r="AM6238">
        <v>83.437434246043097</v>
      </c>
      <c r="AN6238">
        <v>1.0000000464265999</v>
      </c>
    </row>
    <row r="6239" spans="1:40" x14ac:dyDescent="0.25">
      <c r="A6239" t="str">
        <f>"20190304165009174"</f>
        <v>20190304165009174</v>
      </c>
      <c r="B6239" t="str">
        <f>"1551689409161654"</f>
        <v>1551689409161654</v>
      </c>
      <c r="C6239" t="s">
        <v>40</v>
      </c>
      <c r="D6239">
        <v>4.6790279999999997</v>
      </c>
      <c r="E6239">
        <v>0.56937729999999998</v>
      </c>
      <c r="F6239" t="s">
        <v>41</v>
      </c>
      <c r="G6239">
        <v>-324.44929999999999</v>
      </c>
      <c r="H6239">
        <v>0.95234890000000005</v>
      </c>
      <c r="I6239">
        <v>16.79513</v>
      </c>
      <c r="J6239">
        <v>-325.13650000000001</v>
      </c>
      <c r="K6239">
        <v>1.105952</v>
      </c>
      <c r="L6239">
        <v>17.058199999999999</v>
      </c>
      <c r="M6239">
        <v>0.99530580000000002</v>
      </c>
      <c r="N6239">
        <v>-1.4686690000000001E-2</v>
      </c>
      <c r="O6239">
        <v>-9.5660259999999997E-2</v>
      </c>
      <c r="P6239">
        <v>0.89986619999999995</v>
      </c>
      <c r="Q6239">
        <v>0.39363219999999999</v>
      </c>
      <c r="R6239">
        <v>-0.18786990000000001</v>
      </c>
      <c r="S6239">
        <v>3.369202</v>
      </c>
      <c r="T6239">
        <v>-0.59594009999999997</v>
      </c>
      <c r="U6239">
        <v>-1.0971679999999999</v>
      </c>
      <c r="V6239">
        <v>0.10606450000000001</v>
      </c>
      <c r="W6239">
        <v>0.40569820000000001</v>
      </c>
      <c r="X6239">
        <v>0.90783219999999998</v>
      </c>
      <c r="Y6239">
        <v>0.21509719999999999</v>
      </c>
      <c r="Z6239">
        <v>-5.1145169999999998E-3</v>
      </c>
      <c r="AA6239">
        <v>0.97657919999999998</v>
      </c>
      <c r="AB6239">
        <v>32</v>
      </c>
      <c r="AC6239">
        <v>0.68720000000001802</v>
      </c>
      <c r="AD6239">
        <v>-0.15360309999999999</v>
      </c>
      <c r="AE6239">
        <v>-0.26306999999999803</v>
      </c>
      <c r="AF6239">
        <v>0.18792938944530099</v>
      </c>
      <c r="AG6239">
        <v>-0.15360309999999999</v>
      </c>
      <c r="AH6239">
        <v>0.67960194510469396</v>
      </c>
      <c r="AI6239">
        <v>102.289516166452</v>
      </c>
      <c r="AJ6239">
        <v>74.542354845942398</v>
      </c>
      <c r="AK6239">
        <v>0.72164407538410302</v>
      </c>
      <c r="AL6239">
        <v>66.065112794509801</v>
      </c>
      <c r="AM6239">
        <v>83.336189063185898</v>
      </c>
      <c r="AN6239">
        <v>1.0000000055001601</v>
      </c>
    </row>
    <row r="6240" spans="1:40" x14ac:dyDescent="0.25">
      <c r="A6240" t="str">
        <f>"20190304165009185"</f>
        <v>20190304165009185</v>
      </c>
      <c r="B6240" t="str">
        <f>"1551689409182151"</f>
        <v>1551689409182151</v>
      </c>
      <c r="C6240" t="s">
        <v>40</v>
      </c>
      <c r="D6240">
        <v>4.6815170000000004</v>
      </c>
      <c r="E6240">
        <v>0.56928710000000005</v>
      </c>
      <c r="F6240" t="s">
        <v>41</v>
      </c>
      <c r="G6240">
        <v>-324.4341</v>
      </c>
      <c r="H6240">
        <v>0.98080210000000001</v>
      </c>
      <c r="I6240">
        <v>16.82525</v>
      </c>
      <c r="J6240">
        <v>-324.9778</v>
      </c>
      <c r="K6240">
        <v>1.1058829999999999</v>
      </c>
      <c r="L6240">
        <v>17.039860000000001</v>
      </c>
      <c r="M6240">
        <v>0.99499850000000001</v>
      </c>
      <c r="N6240">
        <v>-1.469266E-2</v>
      </c>
      <c r="O6240">
        <v>-9.880369E-2</v>
      </c>
      <c r="P6240">
        <v>0.89915309999999904</v>
      </c>
      <c r="Q6240">
        <v>0.39301340000000001</v>
      </c>
      <c r="R6240">
        <v>-0.19252159999999999</v>
      </c>
      <c r="S6240">
        <v>3.3631289999999998</v>
      </c>
      <c r="T6240">
        <v>-0.59838239999999998</v>
      </c>
      <c r="U6240">
        <v>-1.113556</v>
      </c>
      <c r="V6240">
        <v>0.1079336</v>
      </c>
      <c r="W6240">
        <v>0.40504610000000002</v>
      </c>
      <c r="X6240">
        <v>0.90790309999999996</v>
      </c>
      <c r="Y6240">
        <v>0.2168197</v>
      </c>
      <c r="Z6240">
        <v>-4.7993230000000003E-3</v>
      </c>
      <c r="AA6240">
        <v>0.97619990000000001</v>
      </c>
      <c r="AB6240">
        <v>32</v>
      </c>
      <c r="AC6240">
        <v>0.54370000000000096</v>
      </c>
      <c r="AD6240">
        <v>-0.125080899999999</v>
      </c>
      <c r="AE6240">
        <v>-0.21461</v>
      </c>
      <c r="AF6240">
        <v>0.15283582653920699</v>
      </c>
      <c r="AG6240">
        <v>-0.125080899999999</v>
      </c>
      <c r="AH6240">
        <v>0.53762720734797198</v>
      </c>
      <c r="AI6240">
        <v>102.614197913975</v>
      </c>
      <c r="AJ6240">
        <v>74.130691644881296</v>
      </c>
      <c r="AK6240">
        <v>0.57275390483130895</v>
      </c>
      <c r="AL6240">
        <v>66.105984524147303</v>
      </c>
      <c r="AM6240">
        <v>83.220365866515195</v>
      </c>
      <c r="AN6240">
        <v>1.0000000220618801</v>
      </c>
    </row>
    <row r="6241" spans="1:40" x14ac:dyDescent="0.25">
      <c r="A6241" t="str">
        <f>"20190304165009194"</f>
        <v>20190304165009194</v>
      </c>
      <c r="B6241" t="str">
        <f>"1551689409182151"</f>
        <v>1551689409182151</v>
      </c>
      <c r="C6241" t="s">
        <v>40</v>
      </c>
      <c r="D6241">
        <v>4.6815170000000004</v>
      </c>
      <c r="E6241">
        <v>0.56928710000000005</v>
      </c>
      <c r="F6241" t="s">
        <v>41</v>
      </c>
      <c r="G6241">
        <v>-324.1601</v>
      </c>
      <c r="H6241">
        <v>0.9595494</v>
      </c>
      <c r="I6241">
        <v>16.76483</v>
      </c>
      <c r="J6241">
        <v>-324.83839999999998</v>
      </c>
      <c r="K6241">
        <v>1.105826</v>
      </c>
      <c r="L6241">
        <v>17.02365</v>
      </c>
      <c r="M6241">
        <v>0.99471969999999998</v>
      </c>
      <c r="N6241">
        <v>-1.469754E-2</v>
      </c>
      <c r="O6241">
        <v>-0.10157049999999999</v>
      </c>
      <c r="P6241">
        <v>0.89842770000000005</v>
      </c>
      <c r="Q6241">
        <v>0.3926695</v>
      </c>
      <c r="R6241">
        <v>-0.19656570000000001</v>
      </c>
      <c r="S6241">
        <v>3.3572690000000001</v>
      </c>
      <c r="T6241">
        <v>-0.60039419999999899</v>
      </c>
      <c r="U6241">
        <v>-1.128479</v>
      </c>
      <c r="V6241">
        <v>0.1095401</v>
      </c>
      <c r="W6241">
        <v>0.40467110000000001</v>
      </c>
      <c r="X6241">
        <v>0.90787790000000002</v>
      </c>
      <c r="Y6241">
        <v>0.21850929999999999</v>
      </c>
      <c r="Z6241">
        <v>-4.5351710000000002E-3</v>
      </c>
      <c r="AA6241">
        <v>0.97582440000000004</v>
      </c>
      <c r="AB6241">
        <v>32</v>
      </c>
      <c r="AC6241">
        <v>0.67829999999997803</v>
      </c>
      <c r="AD6241">
        <v>-0.14627659999999901</v>
      </c>
      <c r="AE6241">
        <v>-0.25881999999999999</v>
      </c>
      <c r="AF6241">
        <v>0.18122173893021701</v>
      </c>
      <c r="AG6241">
        <v>-0.14627659999999901</v>
      </c>
      <c r="AH6241">
        <v>0.67373235069724302</v>
      </c>
      <c r="AI6241">
        <v>101.84120889344</v>
      </c>
      <c r="AJ6241">
        <v>74.944813565478796</v>
      </c>
      <c r="AK6241">
        <v>0.71284882180199005</v>
      </c>
      <c r="AL6241">
        <v>66.129481958499795</v>
      </c>
      <c r="AM6241">
        <v>83.120227744369402</v>
      </c>
      <c r="AN6241">
        <v>1.0000000069958099</v>
      </c>
    </row>
    <row r="6242" spans="1:40" x14ac:dyDescent="0.25">
      <c r="A6242" t="str">
        <f>"20190304165009204"</f>
        <v>20190304165009204</v>
      </c>
      <c r="B6242" t="str">
        <f>"1551689409201670"</f>
        <v>1551689409201670</v>
      </c>
      <c r="C6242" t="s">
        <v>40</v>
      </c>
      <c r="D6242">
        <v>4.8975229999999996</v>
      </c>
      <c r="E6242">
        <v>0.56928789999999996</v>
      </c>
      <c r="F6242" t="s">
        <v>41</v>
      </c>
      <c r="G6242">
        <v>-324.14800000000002</v>
      </c>
      <c r="H6242">
        <v>0.98173880000000002</v>
      </c>
      <c r="I6242">
        <v>16.78828</v>
      </c>
      <c r="J6242">
        <v>-324.70350000000002</v>
      </c>
      <c r="K6242">
        <v>1.1057709999999901</v>
      </c>
      <c r="L6242">
        <v>17.007169999999999</v>
      </c>
      <c r="M6242">
        <v>0.99443689999999996</v>
      </c>
      <c r="N6242">
        <v>-1.470259E-2</v>
      </c>
      <c r="O6242">
        <v>-0.1043027</v>
      </c>
      <c r="P6242">
        <v>0.89763590000000004</v>
      </c>
      <c r="Q6242">
        <v>0.39238149999999999</v>
      </c>
      <c r="R6242">
        <v>-0.20071510000000001</v>
      </c>
      <c r="S6242">
        <v>3.3523860000000001</v>
      </c>
      <c r="T6242">
        <v>-0.60204630000000003</v>
      </c>
      <c r="U6242">
        <v>-1.1419979999999901</v>
      </c>
      <c r="V6242">
        <v>0.11128830000000001</v>
      </c>
      <c r="W6242">
        <v>0.40435009999999999</v>
      </c>
      <c r="X6242">
        <v>0.90780830000000001</v>
      </c>
      <c r="Y6242">
        <v>0.2197897</v>
      </c>
      <c r="Z6242">
        <v>-4.2344640000000003E-3</v>
      </c>
      <c r="AA6242">
        <v>0.97553809999999996</v>
      </c>
      <c r="AB6242">
        <v>32</v>
      </c>
      <c r="AC6242">
        <v>0.55550000000005095</v>
      </c>
      <c r="AD6242">
        <v>-0.124032199999999</v>
      </c>
      <c r="AE6242">
        <v>-0.218890000000001</v>
      </c>
      <c r="AF6242">
        <v>0.153140823587331</v>
      </c>
      <c r="AG6242">
        <v>-0.124032199999999</v>
      </c>
      <c r="AH6242">
        <v>0.55150331432363398</v>
      </c>
      <c r="AI6242">
        <v>102.226899776482</v>
      </c>
      <c r="AJ6242">
        <v>74.481149566680799</v>
      </c>
      <c r="AK6242">
        <v>0.58565519223840201</v>
      </c>
      <c r="AL6242">
        <v>66.149592507957607</v>
      </c>
      <c r="AM6242">
        <v>83.010977206774697</v>
      </c>
      <c r="AN6242">
        <v>0.99999999931789496</v>
      </c>
    </row>
    <row r="6243" spans="1:40" x14ac:dyDescent="0.25">
      <c r="A6243" t="str">
        <f>"20190304165009215"</f>
        <v>20190304165009215</v>
      </c>
      <c r="B6243" t="str">
        <f>"1551689409211431"</f>
        <v>1551689409211431</v>
      </c>
      <c r="C6243" t="s">
        <v>40</v>
      </c>
      <c r="D6243">
        <v>5.0070309999999996</v>
      </c>
      <c r="E6243">
        <v>0.572102</v>
      </c>
      <c r="F6243" t="s">
        <v>41</v>
      </c>
      <c r="G6243">
        <v>-323.87670000000003</v>
      </c>
      <c r="H6243">
        <v>0.95684899999999995</v>
      </c>
      <c r="I6243">
        <v>16.721219999999999</v>
      </c>
      <c r="J6243">
        <v>-324.54969999999997</v>
      </c>
      <c r="K6243">
        <v>1.1057079999999999</v>
      </c>
      <c r="L6243">
        <v>16.988340000000001</v>
      </c>
      <c r="M6243">
        <v>0.99410489999999996</v>
      </c>
      <c r="N6243">
        <v>-1.4707929999999999E-2</v>
      </c>
      <c r="O6243">
        <v>-0.1074206</v>
      </c>
      <c r="P6243">
        <v>0.8967946</v>
      </c>
      <c r="Q6243">
        <v>0.39204119999999998</v>
      </c>
      <c r="R6243">
        <v>-0.20509440000000001</v>
      </c>
      <c r="S6243">
        <v>3.3467709999999999</v>
      </c>
      <c r="T6243">
        <v>-0.60208790000000001</v>
      </c>
      <c r="U6243">
        <v>-1.1560969999999999</v>
      </c>
      <c r="V6243">
        <v>0.1129228</v>
      </c>
      <c r="W6243">
        <v>0.40397640000000001</v>
      </c>
      <c r="X6243">
        <v>0.90777280000000005</v>
      </c>
      <c r="Y6243">
        <v>0.2209245</v>
      </c>
      <c r="Z6243">
        <v>-3.8557320000000002E-3</v>
      </c>
      <c r="AA6243">
        <v>0.97528329999999996</v>
      </c>
      <c r="AB6243">
        <v>32</v>
      </c>
      <c r="AC6243">
        <v>0.67299999999994498</v>
      </c>
      <c r="AD6243">
        <v>-0.14885899999999899</v>
      </c>
      <c r="AE6243">
        <v>-0.26711999999999803</v>
      </c>
      <c r="AF6243">
        <v>0.18543466341027201</v>
      </c>
      <c r="AG6243">
        <v>-0.14885899999999899</v>
      </c>
      <c r="AH6243">
        <v>0.66950532427982501</v>
      </c>
      <c r="AI6243">
        <v>102.09415416546599</v>
      </c>
      <c r="AJ6243">
        <v>74.518723876263707</v>
      </c>
      <c r="AK6243">
        <v>0.71048039769870797</v>
      </c>
      <c r="AL6243">
        <v>66.173000338037696</v>
      </c>
      <c r="AM6243">
        <v>82.909091823637695</v>
      </c>
      <c r="AN6243">
        <v>0.99999997346831904</v>
      </c>
    </row>
    <row r="6244" spans="1:40" x14ac:dyDescent="0.25">
      <c r="A6244" t="str">
        <f>"20190304165009227"</f>
        <v>20190304165009227</v>
      </c>
      <c r="B6244" t="str">
        <f>"1551689409222166"</f>
        <v>1551689409222166</v>
      </c>
      <c r="C6244" t="s">
        <v>40</v>
      </c>
      <c r="D6244">
        <v>4.7590490000000001</v>
      </c>
      <c r="E6244">
        <v>0.572102</v>
      </c>
      <c r="F6244" t="s">
        <v>41</v>
      </c>
      <c r="G6244">
        <v>-323.85750000000002</v>
      </c>
      <c r="H6244">
        <v>0.99478100000000003</v>
      </c>
      <c r="I6244">
        <v>16.738209999999999</v>
      </c>
      <c r="J6244">
        <v>-324.38189999999997</v>
      </c>
      <c r="K6244">
        <v>1.10564</v>
      </c>
      <c r="L6244">
        <v>16.966739999999898</v>
      </c>
      <c r="M6244">
        <v>0.99372320000000003</v>
      </c>
      <c r="N6244">
        <v>-1.4714649999999999E-2</v>
      </c>
      <c r="O6244">
        <v>-0.11089499999999999</v>
      </c>
      <c r="P6244">
        <v>0.89574690000000001</v>
      </c>
      <c r="Q6244">
        <v>0.39207399999999998</v>
      </c>
      <c r="R6244">
        <v>-0.209561</v>
      </c>
      <c r="S6244">
        <v>3.3037109999999998</v>
      </c>
      <c r="T6244">
        <v>-0.52861859999999905</v>
      </c>
      <c r="U6244">
        <v>-1.1921389999999901</v>
      </c>
      <c r="V6244">
        <v>0.1143522</v>
      </c>
      <c r="W6244">
        <v>0.40397549999999999</v>
      </c>
      <c r="X6244">
        <v>0.90759429999999996</v>
      </c>
      <c r="Y6244">
        <v>0.23117950000000001</v>
      </c>
      <c r="Z6244">
        <v>-4.1800930000000002E-3</v>
      </c>
      <c r="AA6244">
        <v>0.97290209999999999</v>
      </c>
      <c r="AB6244">
        <v>32</v>
      </c>
      <c r="AC6244">
        <v>0.52439999999995701</v>
      </c>
      <c r="AD6244">
        <v>-0.110859</v>
      </c>
      <c r="AE6244">
        <v>-0.22852999999999499</v>
      </c>
      <c r="AF6244">
        <v>0.16284443474858901</v>
      </c>
      <c r="AG6244">
        <v>-0.110859</v>
      </c>
      <c r="AH6244">
        <v>0.52672770193501794</v>
      </c>
      <c r="AI6244">
        <v>101.369256110113</v>
      </c>
      <c r="AJ6244">
        <v>72.820354135597697</v>
      </c>
      <c r="AK6244">
        <v>0.56236118268896695</v>
      </c>
      <c r="AL6244">
        <v>66.173057932132494</v>
      </c>
      <c r="AM6244">
        <v>82.818867245699593</v>
      </c>
      <c r="AN6244">
        <v>1.0000000218187799</v>
      </c>
    </row>
    <row r="6245" spans="1:40" x14ac:dyDescent="0.25">
      <c r="A6245" t="str">
        <f>"20190304165009238"</f>
        <v>20190304165009238</v>
      </c>
      <c r="B6245" t="str">
        <f>"1551689409231926"</f>
        <v>1551689409231926</v>
      </c>
      <c r="C6245" t="s">
        <v>40</v>
      </c>
      <c r="D6245">
        <v>4.7628870000000001</v>
      </c>
      <c r="E6245">
        <v>0.56643969999999999</v>
      </c>
      <c r="F6245" t="s">
        <v>41</v>
      </c>
      <c r="G6245">
        <v>-323.58319999999998</v>
      </c>
      <c r="H6245">
        <v>0.97760049999999998</v>
      </c>
      <c r="I6245">
        <v>16.674139999999898</v>
      </c>
      <c r="J6245">
        <v>-324.20949999999999</v>
      </c>
      <c r="K6245">
        <v>1.1055680000000001</v>
      </c>
      <c r="L6245">
        <v>16.944210000000002</v>
      </c>
      <c r="M6245">
        <v>0.99331530000000001</v>
      </c>
      <c r="N6245">
        <v>-1.472147E-2</v>
      </c>
      <c r="O6245">
        <v>-0.1144896</v>
      </c>
      <c r="P6245">
        <v>0.89449269999999903</v>
      </c>
      <c r="Q6245">
        <v>0.39229760000000002</v>
      </c>
      <c r="R6245">
        <v>-0.2144421</v>
      </c>
      <c r="S6245">
        <v>3.297882</v>
      </c>
      <c r="T6245">
        <v>-0.5287155</v>
      </c>
      <c r="U6245">
        <v>-1.208313</v>
      </c>
      <c r="V6245">
        <v>0.1161137</v>
      </c>
      <c r="W6245">
        <v>0.40415780000000001</v>
      </c>
      <c r="X6245">
        <v>0.90728940000000002</v>
      </c>
      <c r="Y6245">
        <v>0.23243820000000001</v>
      </c>
      <c r="Z6245">
        <v>-3.7956040000000002E-3</v>
      </c>
      <c r="AA6245">
        <v>0.97260369999999996</v>
      </c>
      <c r="AB6245">
        <v>32</v>
      </c>
      <c r="AC6245">
        <v>0.62630000000001396</v>
      </c>
      <c r="AD6245">
        <v>-0.12796750000000001</v>
      </c>
      <c r="AE6245">
        <v>-0.27007000000000397</v>
      </c>
      <c r="AF6245">
        <v>0.18989637659849601</v>
      </c>
      <c r="AG6245">
        <v>-0.12796750000000001</v>
      </c>
      <c r="AH6245">
        <v>0.63089550156706398</v>
      </c>
      <c r="AI6245">
        <v>100.99154322654999</v>
      </c>
      <c r="AJ6245">
        <v>73.248469229442705</v>
      </c>
      <c r="AK6245">
        <v>0.67116722863906697</v>
      </c>
      <c r="AL6245">
        <v>66.161638352492702</v>
      </c>
      <c r="AM6245">
        <v>82.707005536467193</v>
      </c>
      <c r="AN6245">
        <v>0.99999998699044401</v>
      </c>
    </row>
    <row r="6246" spans="1:40" x14ac:dyDescent="0.25">
      <c r="A6246" t="str">
        <f>"20190304165009249"</f>
        <v>20190304165009249</v>
      </c>
      <c r="B6246" t="str">
        <f>"1551689409241686"</f>
        <v>1551689409241686</v>
      </c>
      <c r="C6246" t="s">
        <v>40</v>
      </c>
      <c r="D6246">
        <v>4.7584039999999996</v>
      </c>
      <c r="E6246">
        <v>0.56637599999999999</v>
      </c>
      <c r="F6246" t="s">
        <v>41</v>
      </c>
      <c r="G6246">
        <v>-323.3141</v>
      </c>
      <c r="H6246">
        <v>0.94752250000000005</v>
      </c>
      <c r="I6246">
        <v>16.625859999999999</v>
      </c>
      <c r="J6246">
        <v>-324.0575</v>
      </c>
      <c r="K6246">
        <v>1.10549599999999</v>
      </c>
      <c r="L6246">
        <v>16.92361</v>
      </c>
      <c r="M6246">
        <v>0.99293830000000005</v>
      </c>
      <c r="N6246">
        <v>-1.472798E-2</v>
      </c>
      <c r="O6246">
        <v>-0.1177136</v>
      </c>
      <c r="P6246">
        <v>0.89343449999999902</v>
      </c>
      <c r="Q6246">
        <v>0.39224059999999999</v>
      </c>
      <c r="R6246">
        <v>-0.21891140000000001</v>
      </c>
      <c r="S6246">
        <v>3.3277890000000001</v>
      </c>
      <c r="T6246">
        <v>-0.58693430000000002</v>
      </c>
      <c r="U6246">
        <v>-1.182404</v>
      </c>
      <c r="V6246">
        <v>0.1177773</v>
      </c>
      <c r="W6246">
        <v>0.40406310000000001</v>
      </c>
      <c r="X6246">
        <v>0.90711710000000001</v>
      </c>
      <c r="Y6246">
        <v>0.21962000000000001</v>
      </c>
      <c r="Z6246">
        <v>-2.1527550000000001E-3</v>
      </c>
      <c r="AA6246">
        <v>0.97558310000000004</v>
      </c>
      <c r="AB6246">
        <v>32</v>
      </c>
      <c r="AC6246">
        <v>0.74340000000000805</v>
      </c>
      <c r="AD6246">
        <v>-0.15797349999999899</v>
      </c>
      <c r="AE6246">
        <v>-0.29775000000000001</v>
      </c>
      <c r="AF6246">
        <v>0.200364648393943</v>
      </c>
      <c r="AG6246">
        <v>-0.15797349999999899</v>
      </c>
      <c r="AH6246">
        <v>0.74431889922134498</v>
      </c>
      <c r="AI6246">
        <v>101.582009749069</v>
      </c>
      <c r="AJ6246">
        <v>74.933586254033003</v>
      </c>
      <c r="AK6246">
        <v>0.78683685905424705</v>
      </c>
      <c r="AL6246">
        <v>66.167569432609</v>
      </c>
      <c r="AM6246">
        <v>82.602275973070604</v>
      </c>
      <c r="AN6246">
        <v>0.99999995714465395</v>
      </c>
    </row>
    <row r="6247" spans="1:40" x14ac:dyDescent="0.25">
      <c r="A6247" t="str">
        <f>"20190304165009260"</f>
        <v>20190304165009260</v>
      </c>
      <c r="B6247" t="str">
        <f>"1551689409251446"</f>
        <v>1551689409251446</v>
      </c>
      <c r="C6247" t="s">
        <v>40</v>
      </c>
      <c r="D6247">
        <v>4.764303</v>
      </c>
      <c r="E6247">
        <v>0.56641319999999995</v>
      </c>
      <c r="F6247" t="s">
        <v>41</v>
      </c>
      <c r="G6247">
        <v>-323.30079999999998</v>
      </c>
      <c r="H6247">
        <v>0.97140300000000002</v>
      </c>
      <c r="I6247">
        <v>16.650670000000002</v>
      </c>
      <c r="J6247">
        <v>-323.90429999999998</v>
      </c>
      <c r="K6247">
        <v>1.1054250000000001</v>
      </c>
      <c r="L6247">
        <v>16.9024</v>
      </c>
      <c r="M6247">
        <v>0.99254330000000002</v>
      </c>
      <c r="N6247">
        <v>-1.4734860000000001E-2</v>
      </c>
      <c r="O6247">
        <v>-0.1209982</v>
      </c>
      <c r="P6247">
        <v>0.89238519999999899</v>
      </c>
      <c r="Q6247">
        <v>0.39201029999999998</v>
      </c>
      <c r="R6247">
        <v>-0.22355510000000001</v>
      </c>
      <c r="S6247">
        <v>3.3226930000000001</v>
      </c>
      <c r="T6247">
        <v>-0.58831109999999998</v>
      </c>
      <c r="U6247">
        <v>-1.1976929999999999</v>
      </c>
      <c r="V6247">
        <v>0.1195576</v>
      </c>
      <c r="W6247">
        <v>0.40379320000000002</v>
      </c>
      <c r="X6247">
        <v>0.90700449999999999</v>
      </c>
      <c r="Y6247">
        <v>0.22085399999999999</v>
      </c>
      <c r="Z6247">
        <v>-1.763014E-3</v>
      </c>
      <c r="AA6247">
        <v>0.97530530000000004</v>
      </c>
      <c r="AB6247">
        <v>32</v>
      </c>
      <c r="AC6247">
        <v>0.60349999999999604</v>
      </c>
      <c r="AD6247">
        <v>-0.134022</v>
      </c>
      <c r="AE6247">
        <v>-0.25172999999999801</v>
      </c>
      <c r="AF6247">
        <v>0.16972007809701001</v>
      </c>
      <c r="AG6247">
        <v>-0.134022</v>
      </c>
      <c r="AH6247">
        <v>0.60414794319255305</v>
      </c>
      <c r="AI6247">
        <v>102.05549543221299</v>
      </c>
      <c r="AJ6247">
        <v>74.308635845018401</v>
      </c>
      <c r="AK6247">
        <v>0.64168648003292705</v>
      </c>
      <c r="AL6247">
        <v>66.184476731136897</v>
      </c>
      <c r="AM6247">
        <v>82.490798330413796</v>
      </c>
      <c r="AN6247">
        <v>1.00000006555212</v>
      </c>
    </row>
    <row r="6248" spans="1:40" x14ac:dyDescent="0.25">
      <c r="A6248" t="str">
        <f>"20190304165009269"</f>
        <v>20190304165009269</v>
      </c>
      <c r="B6248" t="str">
        <f>"1551689409262183"</f>
        <v>1551689409262183</v>
      </c>
      <c r="C6248" t="s">
        <v>40</v>
      </c>
      <c r="D6248">
        <v>4.7968349999999997</v>
      </c>
      <c r="E6248">
        <v>0.5661349</v>
      </c>
      <c r="F6248" t="s">
        <v>41</v>
      </c>
      <c r="G6248">
        <v>-323.02960000000002</v>
      </c>
      <c r="H6248">
        <v>0.950457</v>
      </c>
      <c r="I6248">
        <v>16.581910000000001</v>
      </c>
      <c r="J6248">
        <v>-323.7561</v>
      </c>
      <c r="K6248">
        <v>1.1053539999999999</v>
      </c>
      <c r="L6248">
        <v>16.88138</v>
      </c>
      <c r="M6248">
        <v>0.99214619999999998</v>
      </c>
      <c r="N6248">
        <v>-1.474191E-2</v>
      </c>
      <c r="O6248">
        <v>-0.1242125</v>
      </c>
      <c r="P6248">
        <v>0.89145399999999997</v>
      </c>
      <c r="Q6248">
        <v>0.3915381</v>
      </c>
      <c r="R6248">
        <v>-0.22805230000000001</v>
      </c>
      <c r="S6248">
        <v>3.3155209999999999</v>
      </c>
      <c r="T6248">
        <v>-0.5873699</v>
      </c>
      <c r="U6248">
        <v>-1.214661</v>
      </c>
      <c r="V6248">
        <v>0.12123920000000001</v>
      </c>
      <c r="W6248">
        <v>0.4032848</v>
      </c>
      <c r="X6248">
        <v>0.90700740000000002</v>
      </c>
      <c r="Y6248">
        <v>0.2227867</v>
      </c>
      <c r="Z6248">
        <v>-1.454136E-3</v>
      </c>
      <c r="AA6248">
        <v>0.97486609999999996</v>
      </c>
      <c r="AB6248">
        <v>32</v>
      </c>
      <c r="AC6248">
        <v>0.72649999999998705</v>
      </c>
      <c r="AD6248">
        <v>-0.15489700000000001</v>
      </c>
      <c r="AE6248">
        <v>-0.29946999999999901</v>
      </c>
      <c r="AF6248">
        <v>0.19916145857946499</v>
      </c>
      <c r="AG6248">
        <v>-0.15489700000000001</v>
      </c>
      <c r="AH6248">
        <v>0.72972031976863805</v>
      </c>
      <c r="AI6248">
        <v>101.572973196356</v>
      </c>
      <c r="AJ6248">
        <v>74.734151568243504</v>
      </c>
      <c r="AK6248">
        <v>0.77210757817530995</v>
      </c>
      <c r="AL6248">
        <v>66.2163115083317</v>
      </c>
      <c r="AM6248">
        <v>82.386434561886205</v>
      </c>
      <c r="AN6248">
        <v>0.99999999859122002</v>
      </c>
    </row>
    <row r="6249" spans="1:40" x14ac:dyDescent="0.25">
      <c r="A6249" t="str">
        <f>"20190304165009281"</f>
        <v>20190304165009281</v>
      </c>
      <c r="B6249" t="str">
        <f>"1551689409271942"</f>
        <v>1551689409271942</v>
      </c>
      <c r="C6249" t="s">
        <v>40</v>
      </c>
      <c r="D6249">
        <v>4.7394959999999999</v>
      </c>
      <c r="E6249">
        <v>0.56632919999999998</v>
      </c>
      <c r="F6249" t="s">
        <v>41</v>
      </c>
      <c r="G6249">
        <v>-323.01670000000001</v>
      </c>
      <c r="H6249">
        <v>0.97337870000000004</v>
      </c>
      <c r="I6249">
        <v>16.6067</v>
      </c>
      <c r="J6249">
        <v>-323.59730000000002</v>
      </c>
      <c r="K6249">
        <v>1.1052679999999999</v>
      </c>
      <c r="L6249">
        <v>16.858149999999998</v>
      </c>
      <c r="M6249">
        <v>0.99170150000000001</v>
      </c>
      <c r="N6249">
        <v>-1.474987E-2</v>
      </c>
      <c r="O6249">
        <v>-0.12771279999999999</v>
      </c>
      <c r="P6249">
        <v>0.89042109999999997</v>
      </c>
      <c r="Q6249">
        <v>0.39106980000000002</v>
      </c>
      <c r="R6249">
        <v>-0.23284060000000001</v>
      </c>
      <c r="S6249">
        <v>3.3102109999999998</v>
      </c>
      <c r="T6249">
        <v>-0.59068920000000003</v>
      </c>
      <c r="U6249">
        <v>-1.229309</v>
      </c>
      <c r="V6249">
        <v>0.1229677</v>
      </c>
      <c r="W6249">
        <v>0.40277689999999999</v>
      </c>
      <c r="X6249">
        <v>0.90700040000000004</v>
      </c>
      <c r="Y6249">
        <v>0.22365679999999999</v>
      </c>
      <c r="Z6249">
        <v>-9.865519000000001E-4</v>
      </c>
      <c r="AA6249">
        <v>0.97466739999999996</v>
      </c>
      <c r="AB6249">
        <v>32</v>
      </c>
      <c r="AC6249">
        <v>0.580600000000004</v>
      </c>
      <c r="AD6249">
        <v>-0.13188929999999999</v>
      </c>
      <c r="AE6249">
        <v>-0.25144999999999801</v>
      </c>
      <c r="AF6249">
        <v>0.16793526012667101</v>
      </c>
      <c r="AG6249">
        <v>-0.13188929999999999</v>
      </c>
      <c r="AH6249">
        <v>0.58264444870481602</v>
      </c>
      <c r="AI6249">
        <v>102.271191213923</v>
      </c>
      <c r="AJ6249">
        <v>73.921463217968807</v>
      </c>
      <c r="AK6249">
        <v>0.62054137062313797</v>
      </c>
      <c r="AL6249">
        <v>66.248109072661904</v>
      </c>
      <c r="AM6249">
        <v>82.279129781981098</v>
      </c>
      <c r="AN6249">
        <v>1.0000000060085299</v>
      </c>
    </row>
    <row r="6250" spans="1:40" x14ac:dyDescent="0.25">
      <c r="A6250" t="str">
        <f>"20190304165009292"</f>
        <v>20190304165009292</v>
      </c>
      <c r="B6250" t="str">
        <f>"1551689409281704"</f>
        <v>1551689409281704</v>
      </c>
      <c r="C6250" t="s">
        <v>40</v>
      </c>
      <c r="D6250">
        <v>4.6381870000000003</v>
      </c>
      <c r="E6250">
        <v>0.566824199999999</v>
      </c>
      <c r="F6250" t="s">
        <v>41</v>
      </c>
      <c r="G6250">
        <v>-322.74590000000001</v>
      </c>
      <c r="H6250">
        <v>0.95339059999999998</v>
      </c>
      <c r="I6250">
        <v>16.535499999999999</v>
      </c>
      <c r="J6250">
        <v>-323.44110000000001</v>
      </c>
      <c r="K6250">
        <v>1.105186</v>
      </c>
      <c r="L6250">
        <v>16.834869999999999</v>
      </c>
      <c r="M6250">
        <v>0.99124690000000004</v>
      </c>
      <c r="N6250">
        <v>-1.475773E-2</v>
      </c>
      <c r="O6250">
        <v>-0.131193899999999</v>
      </c>
      <c r="P6250">
        <v>0.88939089999999998</v>
      </c>
      <c r="Q6250">
        <v>0.39078649999999998</v>
      </c>
      <c r="R6250">
        <v>-0.23721320000000001</v>
      </c>
      <c r="S6250">
        <v>3.3006899999999999</v>
      </c>
      <c r="T6250">
        <v>-0.58812810000000004</v>
      </c>
      <c r="U6250">
        <v>-1.2497560000000001</v>
      </c>
      <c r="V6250">
        <v>0.1243052</v>
      </c>
      <c r="W6250">
        <v>0.40245829999999999</v>
      </c>
      <c r="X6250">
        <v>0.90695950000000003</v>
      </c>
      <c r="Y6250">
        <v>0.22645209999999999</v>
      </c>
      <c r="Z6250">
        <v>-7.2356690000000001E-4</v>
      </c>
      <c r="AA6250">
        <v>0.97402200000000005</v>
      </c>
      <c r="AB6250">
        <v>32</v>
      </c>
      <c r="AC6250">
        <v>0.69519999999999904</v>
      </c>
      <c r="AD6250">
        <v>-0.1517954</v>
      </c>
      <c r="AE6250">
        <v>-0.29937000000000302</v>
      </c>
      <c r="AF6250">
        <v>0.19761818340514001</v>
      </c>
      <c r="AG6250">
        <v>-0.1517954</v>
      </c>
      <c r="AH6250">
        <v>0.70030490209643703</v>
      </c>
      <c r="AI6250">
        <v>101.783447505824</v>
      </c>
      <c r="AJ6250">
        <v>74.241529278032402</v>
      </c>
      <c r="AK6250">
        <v>0.74331806501241904</v>
      </c>
      <c r="AL6250">
        <v>66.268051105459705</v>
      </c>
      <c r="AM6250">
        <v>82.195832820800405</v>
      </c>
      <c r="AN6250">
        <v>1.00000000031309</v>
      </c>
    </row>
    <row r="6251" spans="1:40" x14ac:dyDescent="0.25">
      <c r="A6251" t="str">
        <f>"20190304165009304"</f>
        <v>20190304165009304</v>
      </c>
      <c r="B6251" t="str">
        <f>"1551689409291462"</f>
        <v>1551689409291462</v>
      </c>
      <c r="C6251" t="s">
        <v>40</v>
      </c>
      <c r="D6251">
        <v>4.7171209999999997</v>
      </c>
      <c r="E6251">
        <v>0.56681029999999999</v>
      </c>
      <c r="F6251" t="s">
        <v>41</v>
      </c>
      <c r="G6251">
        <v>-322.7303</v>
      </c>
      <c r="H6251">
        <v>0.98152280000000003</v>
      </c>
      <c r="I6251">
        <v>16.559609999999999</v>
      </c>
      <c r="J6251">
        <v>-323.27929999999998</v>
      </c>
      <c r="K6251">
        <v>1.105091</v>
      </c>
      <c r="L6251">
        <v>16.809809999999999</v>
      </c>
      <c r="M6251">
        <v>0.99075119999999905</v>
      </c>
      <c r="N6251">
        <v>-1.476712E-2</v>
      </c>
      <c r="O6251">
        <v>-0.13488539999999999</v>
      </c>
      <c r="P6251">
        <v>0.88803359999999998</v>
      </c>
      <c r="Q6251">
        <v>0.39098280000000002</v>
      </c>
      <c r="R6251">
        <v>-0.24192730000000001</v>
      </c>
      <c r="S6251">
        <v>3.2849119999999998</v>
      </c>
      <c r="T6251">
        <v>-0.57074859999999905</v>
      </c>
      <c r="U6251">
        <v>-1.2708740000000001</v>
      </c>
      <c r="V6251">
        <v>0.1258483</v>
      </c>
      <c r="W6251">
        <v>0.40261059999999999</v>
      </c>
      <c r="X6251">
        <v>0.90667900000000001</v>
      </c>
      <c r="Y6251">
        <v>0.22990540000000001</v>
      </c>
      <c r="Z6251">
        <v>-5.6760199999999995E-4</v>
      </c>
      <c r="AA6251">
        <v>0.97321279999999999</v>
      </c>
      <c r="AB6251">
        <v>32</v>
      </c>
      <c r="AC6251">
        <v>0.54899999999997795</v>
      </c>
      <c r="AD6251">
        <v>-0.123568199999999</v>
      </c>
      <c r="AE6251">
        <v>-0.25019999999999898</v>
      </c>
      <c r="AF6251">
        <v>0.16685364603123901</v>
      </c>
      <c r="AG6251">
        <v>-0.123568199999999</v>
      </c>
      <c r="AH6251">
        <v>0.554474630891159</v>
      </c>
      <c r="AI6251">
        <v>102.046417587137</v>
      </c>
      <c r="AJ6251">
        <v>73.252300250615605</v>
      </c>
      <c r="AK6251">
        <v>0.59207377542587103</v>
      </c>
      <c r="AL6251">
        <v>66.258517268210397</v>
      </c>
      <c r="AM6251">
        <v>82.097756135394903</v>
      </c>
      <c r="AN6251">
        <v>0.99999994944312298</v>
      </c>
    </row>
    <row r="6252" spans="1:40" x14ac:dyDescent="0.25">
      <c r="A6252" t="str">
        <f>"20190304165009316"</f>
        <v>20190304165009316</v>
      </c>
      <c r="B6252" t="str">
        <f>"1551689409311958"</f>
        <v>1551689409311958</v>
      </c>
      <c r="C6252" t="s">
        <v>40</v>
      </c>
      <c r="D6252">
        <v>4.9165130000000001</v>
      </c>
      <c r="E6252">
        <v>0.56716519999999904</v>
      </c>
      <c r="F6252" t="s">
        <v>41</v>
      </c>
      <c r="G6252">
        <v>-322.45999999999998</v>
      </c>
      <c r="H6252">
        <v>0.96225689999999997</v>
      </c>
      <c r="I6252">
        <v>16.487500000000001</v>
      </c>
      <c r="J6252">
        <v>-323.11790000000002</v>
      </c>
      <c r="K6252">
        <v>1.1049960000000001</v>
      </c>
      <c r="L6252">
        <v>16.784579999999998</v>
      </c>
      <c r="M6252">
        <v>0.99023910000000004</v>
      </c>
      <c r="N6252">
        <v>-1.4776289999999999E-2</v>
      </c>
      <c r="O6252">
        <v>-0.13859379999999999</v>
      </c>
      <c r="P6252">
        <v>0.88669529999999996</v>
      </c>
      <c r="Q6252">
        <v>0.39127450000000003</v>
      </c>
      <c r="R6252">
        <v>-0.24632490000000001</v>
      </c>
      <c r="S6252">
        <v>3.2785340000000001</v>
      </c>
      <c r="T6252">
        <v>-0.57150480000000003</v>
      </c>
      <c r="U6252">
        <v>-1.289642</v>
      </c>
      <c r="V6252">
        <v>0.12706500000000001</v>
      </c>
      <c r="W6252">
        <v>0.402862</v>
      </c>
      <c r="X6252">
        <v>0.90639760000000003</v>
      </c>
      <c r="Y6252">
        <v>0.23174230000000001</v>
      </c>
      <c r="Z6252">
        <v>-1.7966520000000001E-4</v>
      </c>
      <c r="AA6252">
        <v>0.97277720000000001</v>
      </c>
      <c r="AB6252">
        <v>32</v>
      </c>
      <c r="AC6252">
        <v>0.65790000000004001</v>
      </c>
      <c r="AD6252">
        <v>-0.14273909999999901</v>
      </c>
      <c r="AE6252">
        <v>-0.29707999999999701</v>
      </c>
      <c r="AF6252">
        <v>0.19538213613545999</v>
      </c>
      <c r="AG6252">
        <v>-0.14273909999999901</v>
      </c>
      <c r="AH6252">
        <v>0.66666107374197203</v>
      </c>
      <c r="AI6252">
        <v>101.610858864541</v>
      </c>
      <c r="AJ6252">
        <v>73.665423157765801</v>
      </c>
      <c r="AK6252">
        <v>0.70921478906778601</v>
      </c>
      <c r="AL6252">
        <v>66.242780650180094</v>
      </c>
      <c r="AM6252">
        <v>82.019891469305193</v>
      </c>
      <c r="AN6252">
        <v>0.999999957277379</v>
      </c>
    </row>
    <row r="6253" spans="1:40" x14ac:dyDescent="0.25">
      <c r="A6253" t="str">
        <f>"20190304165009327"</f>
        <v>20190304165009327</v>
      </c>
      <c r="B6253" t="str">
        <f>"1551689409321718"</f>
        <v>1551689409321718</v>
      </c>
      <c r="C6253" t="s">
        <v>40</v>
      </c>
      <c r="D6253">
        <v>5.0594799999999998</v>
      </c>
      <c r="E6253">
        <v>0.56693479999999996</v>
      </c>
      <c r="F6253" t="s">
        <v>41</v>
      </c>
      <c r="G6253">
        <v>-322.18990000000002</v>
      </c>
      <c r="H6253">
        <v>0.94145979999999996</v>
      </c>
      <c r="I6253">
        <v>16.413019999999999</v>
      </c>
      <c r="J6253">
        <v>-322.95240000000001</v>
      </c>
      <c r="K6253">
        <v>1.1048960000000001</v>
      </c>
      <c r="L6253">
        <v>16.757449999999999</v>
      </c>
      <c r="M6253">
        <v>0.98968120000000004</v>
      </c>
      <c r="N6253">
        <v>-1.478792E-2</v>
      </c>
      <c r="O6253">
        <v>-0.14252229999999999</v>
      </c>
      <c r="P6253">
        <v>0.88506649999999998</v>
      </c>
      <c r="Q6253">
        <v>0.39191700000000002</v>
      </c>
      <c r="R6253">
        <v>-0.25111499999999998</v>
      </c>
      <c r="S6253">
        <v>3.2738040000000002</v>
      </c>
      <c r="T6253">
        <v>-0.57652899999999996</v>
      </c>
      <c r="U6253">
        <v>-1.3101499999999999</v>
      </c>
      <c r="V6253">
        <v>0.1285288</v>
      </c>
      <c r="W6253">
        <v>0.40345550000000002</v>
      </c>
      <c r="X6253">
        <v>0.90592720000000004</v>
      </c>
      <c r="Y6253">
        <v>0.23361560000000001</v>
      </c>
      <c r="Z6253">
        <v>2.6592979999999998E-4</v>
      </c>
      <c r="AA6253">
        <v>0.972329</v>
      </c>
      <c r="AB6253">
        <v>32</v>
      </c>
      <c r="AC6253">
        <v>0.76249999999998797</v>
      </c>
      <c r="AD6253">
        <v>-0.163436199999999</v>
      </c>
      <c r="AE6253">
        <v>-0.34442999999999901</v>
      </c>
      <c r="AF6253">
        <v>0.22369256890147601</v>
      </c>
      <c r="AG6253">
        <v>-0.163436199999999</v>
      </c>
      <c r="AH6253">
        <v>0.77426503309486505</v>
      </c>
      <c r="AI6253">
        <v>101.463656411887</v>
      </c>
      <c r="AJ6253">
        <v>73.885488712678693</v>
      </c>
      <c r="AK6253">
        <v>0.82233575765959199</v>
      </c>
      <c r="AL6253">
        <v>66.205624093319599</v>
      </c>
      <c r="AM6253">
        <v>81.925028934303</v>
      </c>
      <c r="AN6253">
        <v>1.0000000423047599</v>
      </c>
    </row>
    <row r="6254" spans="1:40" x14ac:dyDescent="0.25">
      <c r="A6254" t="str">
        <f>"20190304165009338"</f>
        <v>20190304165009338</v>
      </c>
      <c r="B6254" t="str">
        <f>"1551689409331478"</f>
        <v>1551689409331478</v>
      </c>
      <c r="C6254" t="s">
        <v>40</v>
      </c>
      <c r="D6254">
        <v>4.8607870000000002</v>
      </c>
      <c r="E6254">
        <v>0.56691930000000001</v>
      </c>
      <c r="F6254" t="s">
        <v>41</v>
      </c>
      <c r="G6254">
        <v>-322.17649999999998</v>
      </c>
      <c r="H6254">
        <v>0.96637919999999999</v>
      </c>
      <c r="I6254">
        <v>16.442329999999998</v>
      </c>
      <c r="J6254">
        <v>-322.7928</v>
      </c>
      <c r="K6254">
        <v>1.104795</v>
      </c>
      <c r="L6254">
        <v>16.73096</v>
      </c>
      <c r="M6254">
        <v>0.98912270000000002</v>
      </c>
      <c r="N6254">
        <v>-1.479918E-2</v>
      </c>
      <c r="O6254">
        <v>-0.14634629999999901</v>
      </c>
      <c r="P6254">
        <v>0.88328320000000005</v>
      </c>
      <c r="Q6254">
        <v>0.3930265</v>
      </c>
      <c r="R6254">
        <v>-0.25561879999999998</v>
      </c>
      <c r="S6254">
        <v>3.2711790000000001</v>
      </c>
      <c r="T6254">
        <v>-0.58348809999999995</v>
      </c>
      <c r="U6254">
        <v>-1.327728</v>
      </c>
      <c r="V6254">
        <v>0.12983749999999999</v>
      </c>
      <c r="W6254">
        <v>0.40451540000000002</v>
      </c>
      <c r="X6254">
        <v>0.90526770000000001</v>
      </c>
      <c r="Y6254">
        <v>0.2346155</v>
      </c>
      <c r="Z6254">
        <v>7.9818439999999999E-4</v>
      </c>
      <c r="AA6254">
        <v>0.9720879</v>
      </c>
      <c r="AB6254">
        <v>32</v>
      </c>
      <c r="AC6254">
        <v>0.61630000000002305</v>
      </c>
      <c r="AD6254">
        <v>-0.13841579999999901</v>
      </c>
      <c r="AE6254">
        <v>-0.288630000000001</v>
      </c>
      <c r="AF6254">
        <v>0.18755966503839899</v>
      </c>
      <c r="AG6254">
        <v>-0.13841579999999901</v>
      </c>
      <c r="AH6254">
        <v>0.62601077486453305</v>
      </c>
      <c r="AI6254">
        <v>101.958817444095</v>
      </c>
      <c r="AJ6254">
        <v>73.321209849036094</v>
      </c>
      <c r="AK6254">
        <v>0.66800228434149</v>
      </c>
      <c r="AL6254">
        <v>66.139238011645105</v>
      </c>
      <c r="AM6254">
        <v>81.838047322822305</v>
      </c>
      <c r="AN6254">
        <v>1.0000000469533401</v>
      </c>
    </row>
    <row r="6255" spans="1:40" x14ac:dyDescent="0.25">
      <c r="A6255" t="str">
        <f>"20190304165009350"</f>
        <v>20190304165009350</v>
      </c>
      <c r="B6255" t="str">
        <f>"1551689409342214"</f>
        <v>1551689409342214</v>
      </c>
      <c r="C6255" t="s">
        <v>40</v>
      </c>
      <c r="D6255">
        <v>4.8508659999999999</v>
      </c>
      <c r="E6255">
        <v>0.5669208</v>
      </c>
      <c r="F6255" t="s">
        <v>41</v>
      </c>
      <c r="G6255">
        <v>-321.90809999999999</v>
      </c>
      <c r="H6255">
        <v>0.94629730000000001</v>
      </c>
      <c r="I6255">
        <v>16.366329999999898</v>
      </c>
      <c r="J6255">
        <v>-322.62369999999999</v>
      </c>
      <c r="K6255">
        <v>1.104687</v>
      </c>
      <c r="L6255">
        <v>16.701969999999999</v>
      </c>
      <c r="M6255">
        <v>0.98850099999999996</v>
      </c>
      <c r="N6255">
        <v>-1.4812550000000001E-2</v>
      </c>
      <c r="O6255">
        <v>-0.1504877</v>
      </c>
      <c r="P6255">
        <v>0.88127140000000004</v>
      </c>
      <c r="Q6255">
        <v>0.39448719999999998</v>
      </c>
      <c r="R6255">
        <v>-0.26027119999999998</v>
      </c>
      <c r="S6255">
        <v>3.2671510000000001</v>
      </c>
      <c r="T6255">
        <v>-0.58500920000000001</v>
      </c>
      <c r="U6255">
        <v>-1.3461609999999999</v>
      </c>
      <c r="V6255">
        <v>0.13105549999999999</v>
      </c>
      <c r="W6255">
        <v>0.40592349999999999</v>
      </c>
      <c r="X6255">
        <v>0.90446150000000003</v>
      </c>
      <c r="Y6255">
        <v>0.23568439999999999</v>
      </c>
      <c r="Z6255">
        <v>1.3369359999999999E-3</v>
      </c>
      <c r="AA6255">
        <v>0.97182880000000005</v>
      </c>
      <c r="AB6255">
        <v>32</v>
      </c>
      <c r="AC6255">
        <v>0.71559999999999402</v>
      </c>
      <c r="AD6255">
        <v>-0.158389699999999</v>
      </c>
      <c r="AE6255">
        <v>-0.33564000000000499</v>
      </c>
      <c r="AF6255">
        <v>0.21546376619434199</v>
      </c>
      <c r="AG6255">
        <v>-0.158389699999999</v>
      </c>
      <c r="AH6255">
        <v>0.72870194775670305</v>
      </c>
      <c r="AI6255">
        <v>101.774034457426</v>
      </c>
      <c r="AJ6255">
        <v>73.528020504234902</v>
      </c>
      <c r="AK6255">
        <v>0.77622062602919295</v>
      </c>
      <c r="AL6255">
        <v>66.050989114169099</v>
      </c>
      <c r="AM6255">
        <v>81.755284712611498</v>
      </c>
      <c r="AN6255">
        <v>1.0000000184573701</v>
      </c>
    </row>
    <row r="6256" spans="1:40" x14ac:dyDescent="0.25">
      <c r="A6256" t="str">
        <f>"20190304165009361"</f>
        <v>20190304165009361</v>
      </c>
      <c r="B6256" t="str">
        <f>"1551689409351975"</f>
        <v>1551689409351975</v>
      </c>
      <c r="C6256" t="s">
        <v>40</v>
      </c>
      <c r="D6256">
        <v>4.8547159999999998</v>
      </c>
      <c r="E6256">
        <v>0.5669923</v>
      </c>
      <c r="F6256" t="s">
        <v>41</v>
      </c>
      <c r="G6256">
        <v>-321.892</v>
      </c>
      <c r="H6256">
        <v>0.97357550000000004</v>
      </c>
      <c r="I6256">
        <v>16.39573</v>
      </c>
      <c r="J6256">
        <v>-322.47019999999998</v>
      </c>
      <c r="K6256">
        <v>1.10459</v>
      </c>
      <c r="L6256">
        <v>16.67493</v>
      </c>
      <c r="M6256">
        <v>0.98790919999999904</v>
      </c>
      <c r="N6256">
        <v>-1.482527E-2</v>
      </c>
      <c r="O6256">
        <v>-0.15432419999999999</v>
      </c>
      <c r="P6256">
        <v>0.87947430000000004</v>
      </c>
      <c r="Q6256">
        <v>0.39576169999999999</v>
      </c>
      <c r="R6256">
        <v>-0.26438260000000002</v>
      </c>
      <c r="S6256">
        <v>3.2626040000000001</v>
      </c>
      <c r="T6256">
        <v>-0.58425380000000005</v>
      </c>
      <c r="U6256">
        <v>-1.3649899999999999</v>
      </c>
      <c r="V6256">
        <v>0.1319842</v>
      </c>
      <c r="W6256">
        <v>0.40715249999999997</v>
      </c>
      <c r="X6256">
        <v>0.90377379999999996</v>
      </c>
      <c r="Y6256">
        <v>0.2371973</v>
      </c>
      <c r="Z6256">
        <v>1.7682609999999999E-3</v>
      </c>
      <c r="AA6256">
        <v>0.97145990000000004</v>
      </c>
      <c r="AB6256">
        <v>32</v>
      </c>
      <c r="AC6256">
        <v>0.57819999999998095</v>
      </c>
      <c r="AD6256">
        <v>-0.13101450000000001</v>
      </c>
      <c r="AE6256">
        <v>-0.279199999999999</v>
      </c>
      <c r="AF6256">
        <v>0.17915533046205101</v>
      </c>
      <c r="AG6256">
        <v>-0.13101450000000001</v>
      </c>
      <c r="AH6256">
        <v>0.58980717314452002</v>
      </c>
      <c r="AI6256">
        <v>101.999213581528</v>
      </c>
      <c r="AJ6256">
        <v>73.103716615592603</v>
      </c>
      <c r="AK6256">
        <v>0.63018563386985205</v>
      </c>
      <c r="AL6256">
        <v>65.973916504326795</v>
      </c>
      <c r="AM6256">
        <v>81.691442438252594</v>
      </c>
      <c r="AN6256">
        <v>1.0000000344361599</v>
      </c>
    </row>
    <row r="6257" spans="1:40" x14ac:dyDescent="0.25">
      <c r="A6257" t="str">
        <f>"20190304165009373"</f>
        <v>20190304165009373</v>
      </c>
      <c r="B6257" t="str">
        <f>"1551689409361736"</f>
        <v>1551689409361736</v>
      </c>
      <c r="C6257" t="s">
        <v>40</v>
      </c>
      <c r="D6257">
        <v>4.8620219999999996</v>
      </c>
      <c r="E6257">
        <v>0.56690499999999999</v>
      </c>
      <c r="F6257" t="s">
        <v>41</v>
      </c>
      <c r="G6257">
        <v>-321.62490000000003</v>
      </c>
      <c r="H6257">
        <v>0.95325040000000005</v>
      </c>
      <c r="I6257">
        <v>16.31616</v>
      </c>
      <c r="J6257">
        <v>-322.3005</v>
      </c>
      <c r="K6257">
        <v>1.1044769999999999</v>
      </c>
      <c r="L6257">
        <v>16.644439999999999</v>
      </c>
      <c r="M6257">
        <v>0.98722790000000005</v>
      </c>
      <c r="N6257">
        <v>-1.4839440000000001E-2</v>
      </c>
      <c r="O6257">
        <v>-0.15862209999999999</v>
      </c>
      <c r="P6257">
        <v>0.87739549999999999</v>
      </c>
      <c r="Q6257">
        <v>0.3971983</v>
      </c>
      <c r="R6257">
        <v>-0.26909250000000001</v>
      </c>
      <c r="S6257">
        <v>3.2579349999999998</v>
      </c>
      <c r="T6257">
        <v>-0.58270449999999996</v>
      </c>
      <c r="U6257">
        <v>-1.3818969999999999</v>
      </c>
      <c r="V6257">
        <v>0.13314570000000001</v>
      </c>
      <c r="W6257">
        <v>0.40853519999999999</v>
      </c>
      <c r="X6257">
        <v>0.90297910000000003</v>
      </c>
      <c r="Y6257">
        <v>0.23779330000000001</v>
      </c>
      <c r="Z6257">
        <v>2.344867E-3</v>
      </c>
      <c r="AA6257">
        <v>0.97131290000000003</v>
      </c>
      <c r="AB6257">
        <v>32</v>
      </c>
      <c r="AC6257">
        <v>0.675599999999974</v>
      </c>
      <c r="AD6257">
        <v>-0.15122659999999999</v>
      </c>
      <c r="AE6257">
        <v>-0.32827999999999902</v>
      </c>
      <c r="AF6257">
        <v>0.208494804528251</v>
      </c>
      <c r="AG6257">
        <v>-0.15122659999999999</v>
      </c>
      <c r="AH6257">
        <v>0.69110926195275402</v>
      </c>
      <c r="AI6257">
        <v>101.831881792522</v>
      </c>
      <c r="AJ6257">
        <v>73.212414428640898</v>
      </c>
      <c r="AK6257">
        <v>0.73754429020887502</v>
      </c>
      <c r="AL6257">
        <v>65.887149022088494</v>
      </c>
      <c r="AM6257">
        <v>81.612087884645206</v>
      </c>
      <c r="AN6257">
        <v>1.00000002105216</v>
      </c>
    </row>
    <row r="6258" spans="1:40" x14ac:dyDescent="0.25">
      <c r="A6258" t="str">
        <f>"20190304165009386"</f>
        <v>20190304165009386</v>
      </c>
      <c r="B6258" t="str">
        <f>"1551689409382230"</f>
        <v>1551689409382230</v>
      </c>
      <c r="C6258" t="s">
        <v>40</v>
      </c>
      <c r="D6258">
        <v>4.4989350000000004</v>
      </c>
      <c r="E6258">
        <v>0.57159979999999999</v>
      </c>
      <c r="F6258" t="s">
        <v>41</v>
      </c>
      <c r="G6258">
        <v>-321.60840000000002</v>
      </c>
      <c r="H6258">
        <v>0.98047450000000003</v>
      </c>
      <c r="I6258">
        <v>16.346589999999999</v>
      </c>
      <c r="J6258">
        <v>-322.13060000000002</v>
      </c>
      <c r="K6258">
        <v>1.1043590000000001</v>
      </c>
      <c r="L6258">
        <v>16.612729999999999</v>
      </c>
      <c r="M6258">
        <v>0.98650450000000001</v>
      </c>
      <c r="N6258">
        <v>-1.485524E-2</v>
      </c>
      <c r="O6258">
        <v>-0.16305939999999999</v>
      </c>
      <c r="P6258">
        <v>0.87535090000000004</v>
      </c>
      <c r="Q6258">
        <v>0.39849400000000001</v>
      </c>
      <c r="R6258">
        <v>-0.27379530000000002</v>
      </c>
      <c r="S6258">
        <v>3.2536619999999998</v>
      </c>
      <c r="T6258">
        <v>-0.58213780000000004</v>
      </c>
      <c r="U6258">
        <v>-1.399017</v>
      </c>
      <c r="V6258">
        <v>0.13417670000000001</v>
      </c>
      <c r="W6258">
        <v>0.40977959999999902</v>
      </c>
      <c r="X6258">
        <v>0.90226229999999996</v>
      </c>
      <c r="Y6258">
        <v>0.23825250000000001</v>
      </c>
      <c r="Z6258">
        <v>2.961591E-3</v>
      </c>
      <c r="AA6258">
        <v>0.97119869999999997</v>
      </c>
      <c r="AB6258">
        <v>32</v>
      </c>
      <c r="AC6258">
        <v>0.522199999999998</v>
      </c>
      <c r="AD6258">
        <v>-0.12388449999999999</v>
      </c>
      <c r="AE6258">
        <v>-0.26613999999999999</v>
      </c>
      <c r="AF6258">
        <v>0.16983082895886301</v>
      </c>
      <c r="AG6258">
        <v>-0.12388449999999999</v>
      </c>
      <c r="AH6258">
        <v>0.53472146588674097</v>
      </c>
      <c r="AI6258">
        <v>102.451730091475</v>
      </c>
      <c r="AJ6258">
        <v>72.379831598002795</v>
      </c>
      <c r="AK6258">
        <v>0.57455802656056398</v>
      </c>
      <c r="AL6258">
        <v>65.8090091832468</v>
      </c>
      <c r="AM6258">
        <v>81.541454061335799</v>
      </c>
      <c r="AN6258">
        <v>0.99999998270016899</v>
      </c>
    </row>
    <row r="6259" spans="1:40" x14ac:dyDescent="0.25">
      <c r="A6259" t="str">
        <f>"20190304165009396"</f>
        <v>20190304165009396</v>
      </c>
      <c r="B6259" t="str">
        <f>"1551689409391990"</f>
        <v>1551689409391990</v>
      </c>
      <c r="C6259" t="s">
        <v>40</v>
      </c>
      <c r="D6259">
        <v>4.8723700000000001</v>
      </c>
      <c r="E6259">
        <v>0.57129529999999995</v>
      </c>
      <c r="F6259" t="s">
        <v>41</v>
      </c>
      <c r="G6259">
        <v>-321.32990000000001</v>
      </c>
      <c r="H6259">
        <v>0.97241449999999996</v>
      </c>
      <c r="I6259">
        <v>16.251609999999999</v>
      </c>
      <c r="J6259">
        <v>-321.98469999999998</v>
      </c>
      <c r="K6259">
        <v>1.1042590000000001</v>
      </c>
      <c r="L6259">
        <v>16.58521</v>
      </c>
      <c r="M6259">
        <v>0.9858616</v>
      </c>
      <c r="N6259">
        <v>-1.486838E-2</v>
      </c>
      <c r="O6259">
        <v>-0.1669003</v>
      </c>
      <c r="P6259">
        <v>0.87350479999999997</v>
      </c>
      <c r="Q6259">
        <v>0.39973520000000001</v>
      </c>
      <c r="R6259">
        <v>-0.27785090000000001</v>
      </c>
      <c r="S6259">
        <v>3.214874</v>
      </c>
      <c r="T6259">
        <v>-0.52974180000000004</v>
      </c>
      <c r="U6259">
        <v>-1.449738</v>
      </c>
      <c r="V6259">
        <v>0.13507520000000001</v>
      </c>
      <c r="W6259">
        <v>0.4109737</v>
      </c>
      <c r="X6259">
        <v>0.90158490000000002</v>
      </c>
      <c r="Y6259">
        <v>0.25158940000000002</v>
      </c>
      <c r="Z6259">
        <v>1.7464550000000001E-3</v>
      </c>
      <c r="AA6259">
        <v>0.96783249999999998</v>
      </c>
      <c r="AB6259">
        <v>32</v>
      </c>
      <c r="AC6259">
        <v>0.65479999999996596</v>
      </c>
      <c r="AD6259">
        <v>-0.1318445</v>
      </c>
      <c r="AE6259">
        <v>-0.33360000000000001</v>
      </c>
      <c r="AF6259">
        <v>0.212772761941287</v>
      </c>
      <c r="AG6259">
        <v>-0.1318445</v>
      </c>
      <c r="AH6259">
        <v>0.67942851571830998</v>
      </c>
      <c r="AI6259">
        <v>100.491397199361</v>
      </c>
      <c r="AJ6259">
        <v>72.611306107724701</v>
      </c>
      <c r="AK6259">
        <v>0.72407066531904096</v>
      </c>
      <c r="AL6259">
        <v>65.733984504735901</v>
      </c>
      <c r="AM6259">
        <v>81.479336476092499</v>
      </c>
      <c r="AN6259">
        <v>1.00000001182737</v>
      </c>
    </row>
    <row r="6260" spans="1:40" x14ac:dyDescent="0.25">
      <c r="A6260" t="str">
        <f>"20190304165009406"</f>
        <v>20190304165009406</v>
      </c>
      <c r="B6260" t="str">
        <f>"1551689409401750"</f>
        <v>1551689409401750</v>
      </c>
      <c r="C6260" t="s">
        <v>40</v>
      </c>
      <c r="D6260">
        <v>4.874485</v>
      </c>
      <c r="E6260">
        <v>0.57092949999999998</v>
      </c>
      <c r="F6260" t="s">
        <v>43</v>
      </c>
      <c r="G6260">
        <v>-315.00400000000002</v>
      </c>
      <c r="H6260">
        <v>-0.05</v>
      </c>
      <c r="I6260">
        <v>13.40714</v>
      </c>
      <c r="J6260">
        <v>-321.84050000000002</v>
      </c>
      <c r="K6260">
        <v>1.1041540000000001</v>
      </c>
      <c r="L6260">
        <v>16.556850000000001</v>
      </c>
      <c r="M6260">
        <v>0.98518910000000004</v>
      </c>
      <c r="N6260">
        <v>-1.488367E-2</v>
      </c>
      <c r="O6260">
        <v>-0.17082459999999999</v>
      </c>
      <c r="P6260">
        <v>0.87155869999999902</v>
      </c>
      <c r="Q6260">
        <v>0.40116190000000002</v>
      </c>
      <c r="R6260">
        <v>-0.28187770000000001</v>
      </c>
      <c r="S6260">
        <v>3.2123110000000001</v>
      </c>
      <c r="T6260">
        <v>-0.53115979999999996</v>
      </c>
      <c r="U6260">
        <v>-1.4624629999999901</v>
      </c>
      <c r="V6260">
        <v>0.13589699999999999</v>
      </c>
      <c r="W6260">
        <v>0.41235430000000001</v>
      </c>
      <c r="X6260">
        <v>0.90083069999999998</v>
      </c>
      <c r="Y6260">
        <v>0.25124049999999998</v>
      </c>
      <c r="Z6260">
        <v>2.3261639999999999E-3</v>
      </c>
      <c r="AA6260">
        <v>0.9679219</v>
      </c>
      <c r="AB6260">
        <v>32</v>
      </c>
      <c r="AC6260">
        <v>6.8365</v>
      </c>
      <c r="AD6260">
        <v>-1.1541539999999999</v>
      </c>
      <c r="AE6260">
        <v>-3.1497099999999998</v>
      </c>
      <c r="AF6260">
        <v>1.89097396250186</v>
      </c>
      <c r="AG6260">
        <v>-1.1541539999999999</v>
      </c>
      <c r="AH6260">
        <v>7.1070086647338702</v>
      </c>
      <c r="AI6260">
        <v>98.919050407875702</v>
      </c>
      <c r="AJ6260">
        <v>75.100412795897498</v>
      </c>
      <c r="AK6260">
        <v>7.4442881555712503</v>
      </c>
      <c r="AL6260">
        <v>65.647185879620693</v>
      </c>
      <c r="AM6260">
        <v>81.421194626004805</v>
      </c>
      <c r="AN6260">
        <v>1.0000000066999899</v>
      </c>
    </row>
    <row r="6261" spans="1:40" x14ac:dyDescent="0.25">
      <c r="A6261" t="str">
        <f>"20190304165009418"</f>
        <v>20190304165009418</v>
      </c>
      <c r="B6261" t="str">
        <f>"1551689409411510"</f>
        <v>1551689409411510</v>
      </c>
      <c r="C6261" t="s">
        <v>40</v>
      </c>
      <c r="D6261">
        <v>4.8700609999999998</v>
      </c>
      <c r="E6261">
        <v>0.57062950000000001</v>
      </c>
      <c r="F6261" t="s">
        <v>41</v>
      </c>
      <c r="G6261">
        <v>-321.05590000000001</v>
      </c>
      <c r="H6261">
        <v>0.97391719999999904</v>
      </c>
      <c r="I6261">
        <v>16.19614</v>
      </c>
      <c r="J6261">
        <v>-321.68079999999998</v>
      </c>
      <c r="K6261">
        <v>1.1040369999999999</v>
      </c>
      <c r="L6261">
        <v>16.52515</v>
      </c>
      <c r="M6261">
        <v>0.98442079999999998</v>
      </c>
      <c r="N6261">
        <v>-1.490009E-2</v>
      </c>
      <c r="O6261">
        <v>-0.1751963</v>
      </c>
      <c r="P6261">
        <v>0.86954830000000005</v>
      </c>
      <c r="Q6261">
        <v>0.40243259999999997</v>
      </c>
      <c r="R6261">
        <v>-0.28624119999999997</v>
      </c>
      <c r="S6261">
        <v>3.209991</v>
      </c>
      <c r="T6261">
        <v>-0.53232840000000003</v>
      </c>
      <c r="U6261">
        <v>-1.475128</v>
      </c>
      <c r="V6261">
        <v>0.1366647</v>
      </c>
      <c r="W6261">
        <v>0.41357759999999999</v>
      </c>
      <c r="X6261">
        <v>0.90015349999999905</v>
      </c>
      <c r="Y6261">
        <v>0.25041140000000001</v>
      </c>
      <c r="Z6261">
        <v>3.007034E-3</v>
      </c>
      <c r="AA6261">
        <v>0.96813490000000002</v>
      </c>
      <c r="AB6261">
        <v>32</v>
      </c>
      <c r="AC6261">
        <v>0.62489999999996804</v>
      </c>
      <c r="AD6261">
        <v>-0.13011980000000001</v>
      </c>
      <c r="AE6261">
        <v>-0.32901000000000002</v>
      </c>
      <c r="AF6261">
        <v>0.20738765379792501</v>
      </c>
      <c r="AG6261">
        <v>-0.13011980000000001</v>
      </c>
      <c r="AH6261">
        <v>0.65078803441305799</v>
      </c>
      <c r="AI6261">
        <v>100.785770209961</v>
      </c>
      <c r="AJ6261">
        <v>72.324397634909005</v>
      </c>
      <c r="AK6261">
        <v>0.69531709818978205</v>
      </c>
      <c r="AL6261">
        <v>65.570226862320098</v>
      </c>
      <c r="AM6261">
        <v>81.367066767512696</v>
      </c>
      <c r="AN6261">
        <v>0.99999999750504898</v>
      </c>
    </row>
    <row r="6262" spans="1:40" x14ac:dyDescent="0.25">
      <c r="A6262" t="str">
        <f>"20190304165009428"</f>
        <v>20190304165009428</v>
      </c>
      <c r="B6262" t="str">
        <f>"1551689409422246"</f>
        <v>1551689409422246</v>
      </c>
      <c r="C6262" t="s">
        <v>40</v>
      </c>
      <c r="D6262">
        <v>4.8707560000000001</v>
      </c>
      <c r="E6262">
        <v>0.57035119999999995</v>
      </c>
      <c r="F6262" t="s">
        <v>43</v>
      </c>
      <c r="G6262">
        <v>-314.73829999999998</v>
      </c>
      <c r="H6262">
        <v>-0.05</v>
      </c>
      <c r="I6262">
        <v>13.3004</v>
      </c>
      <c r="J6262">
        <v>-321.53320000000002</v>
      </c>
      <c r="K6262">
        <v>1.103925</v>
      </c>
      <c r="L6262">
        <v>16.494779999999999</v>
      </c>
      <c r="M6262">
        <v>0.98367380000000004</v>
      </c>
      <c r="N6262">
        <v>-1.4916799999999999E-2</v>
      </c>
      <c r="O6262">
        <v>-0.17934159999999999</v>
      </c>
      <c r="P6262">
        <v>0.86762980000000001</v>
      </c>
      <c r="Q6262">
        <v>0.40349299999999999</v>
      </c>
      <c r="R6262">
        <v>-0.29053790000000002</v>
      </c>
      <c r="S6262">
        <v>3.2064509999999999</v>
      </c>
      <c r="T6262">
        <v>-0.53300259999999999</v>
      </c>
      <c r="U6262">
        <v>-1.4893799999999999</v>
      </c>
      <c r="V6262">
        <v>0.13755020000000001</v>
      </c>
      <c r="W6262">
        <v>0.4145933</v>
      </c>
      <c r="X6262">
        <v>0.899551199999999</v>
      </c>
      <c r="Y6262">
        <v>0.25032110000000002</v>
      </c>
      <c r="Z6262">
        <v>3.588848E-3</v>
      </c>
      <c r="AA6262">
        <v>0.96815620000000002</v>
      </c>
      <c r="AB6262">
        <v>32</v>
      </c>
      <c r="AC6262">
        <v>6.7949000000000401</v>
      </c>
      <c r="AD6262">
        <v>-1.1539250000000001</v>
      </c>
      <c r="AE6262">
        <v>-3.19437999999999</v>
      </c>
      <c r="AF6262">
        <v>1.8794421777214501</v>
      </c>
      <c r="AG6262">
        <v>-1.1539250000000001</v>
      </c>
      <c r="AH6262">
        <v>7.0901908263906801</v>
      </c>
      <c r="AI6262">
        <v>98.940291420225407</v>
      </c>
      <c r="AJ6262">
        <v>75.153683471813494</v>
      </c>
      <c r="AK6262">
        <v>7.4252711573152697</v>
      </c>
      <c r="AL6262">
        <v>65.506293044071498</v>
      </c>
      <c r="AM6262">
        <v>81.306253412014399</v>
      </c>
      <c r="AN6262">
        <v>1.00000001167318</v>
      </c>
    </row>
    <row r="6263" spans="1:40" x14ac:dyDescent="0.25">
      <c r="A6263" t="str">
        <f>"20190304165009438"</f>
        <v>20190304165009438</v>
      </c>
      <c r="B6263" t="str">
        <f>"1551689409432006"</f>
        <v>1551689409432006</v>
      </c>
      <c r="C6263" t="s">
        <v>40</v>
      </c>
      <c r="D6263">
        <v>5.156155</v>
      </c>
      <c r="E6263">
        <v>0.57019310000000001</v>
      </c>
      <c r="F6263" t="s">
        <v>41</v>
      </c>
      <c r="G6263">
        <v>-320.77760000000001</v>
      </c>
      <c r="H6263">
        <v>0.97785469999999997</v>
      </c>
      <c r="I6263">
        <v>16.140139999999999</v>
      </c>
      <c r="J6263">
        <v>-321.37979999999999</v>
      </c>
      <c r="K6263">
        <v>1.10381</v>
      </c>
      <c r="L6263">
        <v>16.46274</v>
      </c>
      <c r="M6263">
        <v>0.98287000000000002</v>
      </c>
      <c r="N6263">
        <v>-1.4933719999999999E-2</v>
      </c>
      <c r="O6263">
        <v>-0.18369379999999999</v>
      </c>
      <c r="P6263">
        <v>0.86569699999999905</v>
      </c>
      <c r="Q6263">
        <v>0.40413019999999999</v>
      </c>
      <c r="R6263">
        <v>-0.29537750000000002</v>
      </c>
      <c r="S6263">
        <v>3.20282</v>
      </c>
      <c r="T6263">
        <v>-0.5341477</v>
      </c>
      <c r="U6263">
        <v>-1.5029600000000001</v>
      </c>
      <c r="V6263">
        <v>0.13878070000000001</v>
      </c>
      <c r="W6263">
        <v>0.4151803</v>
      </c>
      <c r="X6263">
        <v>0.89909139999999999</v>
      </c>
      <c r="Y6263">
        <v>0.24986630000000001</v>
      </c>
      <c r="Z6263">
        <v>4.2397099999999998E-3</v>
      </c>
      <c r="AA6263">
        <v>0.96827110000000005</v>
      </c>
      <c r="AB6263">
        <v>32</v>
      </c>
      <c r="AC6263">
        <v>0.60219999999998197</v>
      </c>
      <c r="AD6263">
        <v>-0.12595529999999999</v>
      </c>
      <c r="AE6263">
        <v>-0.322600000000001</v>
      </c>
      <c r="AF6263">
        <v>0.19968861881164601</v>
      </c>
      <c r="AG6263">
        <v>-0.12595529999999999</v>
      </c>
      <c r="AH6263">
        <v>0.62980797488225904</v>
      </c>
      <c r="AI6263">
        <v>100.79319839852501</v>
      </c>
      <c r="AJ6263">
        <v>72.408120413950599</v>
      </c>
      <c r="AK6263">
        <v>0.67260565512511505</v>
      </c>
      <c r="AL6263">
        <v>65.469330090129901</v>
      </c>
      <c r="AM6263">
        <v>81.225269215420894</v>
      </c>
      <c r="AN6263">
        <v>1.0000000548772601</v>
      </c>
    </row>
    <row r="6264" spans="1:40" x14ac:dyDescent="0.25">
      <c r="A6264" t="str">
        <f>"20190304165009448"</f>
        <v>20190304165009448</v>
      </c>
      <c r="B6264" t="str">
        <f>"1551689409441767"</f>
        <v>1551689409441767</v>
      </c>
      <c r="C6264" t="s">
        <v>40</v>
      </c>
      <c r="D6264">
        <v>4.8449429999999998</v>
      </c>
      <c r="E6264">
        <v>0.57002209999999998</v>
      </c>
      <c r="F6264" t="s">
        <v>43</v>
      </c>
      <c r="G6264">
        <v>-314.49110000000002</v>
      </c>
      <c r="H6264">
        <v>-0.05</v>
      </c>
      <c r="I6264">
        <v>13.19257</v>
      </c>
      <c r="J6264">
        <v>-321.23509999999999</v>
      </c>
      <c r="K6264">
        <v>1.1036999999999999</v>
      </c>
      <c r="L6264">
        <v>16.43167</v>
      </c>
      <c r="M6264">
        <v>0.98207889999999998</v>
      </c>
      <c r="N6264">
        <v>-1.494992E-2</v>
      </c>
      <c r="O6264">
        <v>-0.18787680000000001</v>
      </c>
      <c r="P6264">
        <v>0.86384219999999901</v>
      </c>
      <c r="Q6264">
        <v>0.4043968</v>
      </c>
      <c r="R6264">
        <v>-0.30040020000000001</v>
      </c>
      <c r="S6264">
        <v>3.1975709999999999</v>
      </c>
      <c r="T6264">
        <v>-0.53557399999999999</v>
      </c>
      <c r="U6264">
        <v>-1.517944</v>
      </c>
      <c r="V6264">
        <v>0.140319</v>
      </c>
      <c r="W6264">
        <v>0.41539500000000001</v>
      </c>
      <c r="X6264">
        <v>0.89875329999999998</v>
      </c>
      <c r="Y6264">
        <v>0.25009439999999999</v>
      </c>
      <c r="Z6264">
        <v>4.8182399999999997E-3</v>
      </c>
      <c r="AA6264">
        <v>0.9682094</v>
      </c>
      <c r="AB6264">
        <v>32</v>
      </c>
      <c r="AC6264">
        <v>6.7439999999999696</v>
      </c>
      <c r="AD6264">
        <v>-1.1536999999999999</v>
      </c>
      <c r="AE6264">
        <v>-3.2390999999999899</v>
      </c>
      <c r="AF6264">
        <v>1.8697621748926501</v>
      </c>
      <c r="AG6264">
        <v>-1.1536999999999999</v>
      </c>
      <c r="AH6264">
        <v>7.0645082577362297</v>
      </c>
      <c r="AI6264">
        <v>98.971432494453296</v>
      </c>
      <c r="AJ6264">
        <v>75.175450621178001</v>
      </c>
      <c r="AK6264">
        <v>7.3982640669472399</v>
      </c>
      <c r="AL6264">
        <v>65.455805004716595</v>
      </c>
      <c r="AM6264">
        <v>81.126261258901195</v>
      </c>
      <c r="AN6264">
        <v>0.99999996102344402</v>
      </c>
    </row>
    <row r="6265" spans="1:40" x14ac:dyDescent="0.25">
      <c r="A6265" t="str">
        <f>"20190304165009460"</f>
        <v>20190304165009460</v>
      </c>
      <c r="B6265" t="str">
        <f>"1551689409451527"</f>
        <v>1551689409451527</v>
      </c>
      <c r="C6265" t="s">
        <v>40</v>
      </c>
      <c r="D6265">
        <v>4.851769</v>
      </c>
      <c r="E6265">
        <v>0.56988559999999999</v>
      </c>
      <c r="F6265" t="s">
        <v>41</v>
      </c>
      <c r="G6265">
        <v>-320.50110000000001</v>
      </c>
      <c r="H6265">
        <v>0.97957369999999999</v>
      </c>
      <c r="I6265">
        <v>16.079229999999999</v>
      </c>
      <c r="J6265">
        <v>-321.0804</v>
      </c>
      <c r="K6265">
        <v>1.1035790000000001</v>
      </c>
      <c r="L6265">
        <v>16.397829999999999</v>
      </c>
      <c r="M6265">
        <v>0.98114170000000001</v>
      </c>
      <c r="N6265">
        <v>-1.4819219999999999E-2</v>
      </c>
      <c r="O6265">
        <v>-0.19272110000000001</v>
      </c>
      <c r="P6265">
        <v>0.86172530000000003</v>
      </c>
      <c r="Q6265">
        <v>0.40487329999999999</v>
      </c>
      <c r="R6265">
        <v>-0.30579000000000001</v>
      </c>
      <c r="S6265">
        <v>3.1925349999999999</v>
      </c>
      <c r="T6265">
        <v>-0.5388558</v>
      </c>
      <c r="U6265">
        <v>-1.531555</v>
      </c>
      <c r="V6265">
        <v>0.14163709999999999</v>
      </c>
      <c r="W6265">
        <v>0.41569780000000001</v>
      </c>
      <c r="X6265">
        <v>0.89840659999999894</v>
      </c>
      <c r="Y6265">
        <v>0.24931739999999999</v>
      </c>
      <c r="Z6265">
        <v>5.6609490000000002E-3</v>
      </c>
      <c r="AA6265">
        <v>0.96840519999999997</v>
      </c>
      <c r="AB6265">
        <v>32</v>
      </c>
      <c r="AC6265">
        <v>0.57929999999998905</v>
      </c>
      <c r="AD6265">
        <v>-0.1240053</v>
      </c>
      <c r="AE6265">
        <v>-0.31859999999999999</v>
      </c>
      <c r="AF6265">
        <v>0.194140465451803</v>
      </c>
      <c r="AG6265">
        <v>-0.1240053</v>
      </c>
      <c r="AH6265">
        <v>0.60844008788539805</v>
      </c>
      <c r="AI6265">
        <v>100.988059166672</v>
      </c>
      <c r="AJ6265">
        <v>72.303208009039693</v>
      </c>
      <c r="AK6265">
        <v>0.65058986719739498</v>
      </c>
      <c r="AL6265">
        <v>65.436733976864403</v>
      </c>
      <c r="AM6265">
        <v>81.040849880946993</v>
      </c>
      <c r="AN6265">
        <v>1.0000000739724</v>
      </c>
    </row>
    <row r="6266" spans="1:40" x14ac:dyDescent="0.25">
      <c r="A6266" t="str">
        <f>"20190304165009471"</f>
        <v>20190304165009471</v>
      </c>
      <c r="B6266" t="str">
        <f>"1551689409462262"</f>
        <v>1551689409462262</v>
      </c>
      <c r="C6266" t="s">
        <v>40</v>
      </c>
      <c r="D6266">
        <v>4.8500120000000004</v>
      </c>
      <c r="E6266">
        <v>0.56974449999999999</v>
      </c>
      <c r="F6266" t="s">
        <v>43</v>
      </c>
      <c r="G6266">
        <v>-314.28089999999997</v>
      </c>
      <c r="H6266">
        <v>-0.05</v>
      </c>
      <c r="I6266">
        <v>13.094469999999999</v>
      </c>
      <c r="J6266">
        <v>-320.92669999999998</v>
      </c>
      <c r="K6266">
        <v>1.1034489999999999</v>
      </c>
      <c r="L6266">
        <v>16.363589999999999</v>
      </c>
      <c r="M6266">
        <v>0.98010940000000002</v>
      </c>
      <c r="N6266">
        <v>-1.453522E-2</v>
      </c>
      <c r="O6266">
        <v>-0.19792509999999999</v>
      </c>
      <c r="P6266">
        <v>0.85956499999999902</v>
      </c>
      <c r="Q6266">
        <v>0.40491840000000001</v>
      </c>
      <c r="R6266">
        <v>-0.31175180000000002</v>
      </c>
      <c r="S6266">
        <v>3.186096</v>
      </c>
      <c r="T6266">
        <v>-0.54053240000000002</v>
      </c>
      <c r="U6266">
        <v>-1.547852</v>
      </c>
      <c r="V6266">
        <v>0.14315039999999901</v>
      </c>
      <c r="W6266">
        <v>0.41544059999999999</v>
      </c>
      <c r="X6266">
        <v>0.89828569999999996</v>
      </c>
      <c r="Y6266">
        <v>0.24901679999999901</v>
      </c>
      <c r="Z6266">
        <v>6.5408609999999898E-3</v>
      </c>
      <c r="AA6266">
        <v>0.96847709999999998</v>
      </c>
      <c r="AB6266">
        <v>31</v>
      </c>
      <c r="AC6266">
        <v>6.6458000000000004</v>
      </c>
      <c r="AD6266">
        <v>-1.1534489999999999</v>
      </c>
      <c r="AE6266">
        <v>-3.2691199999999898</v>
      </c>
      <c r="AF6266">
        <v>1.84419433385753</v>
      </c>
      <c r="AG6266">
        <v>-1.1534489999999999</v>
      </c>
      <c r="AH6266">
        <v>6.9918259519193597</v>
      </c>
      <c r="AI6266">
        <v>99.063207204744103</v>
      </c>
      <c r="AJ6266">
        <v>75.223945881799693</v>
      </c>
      <c r="AK6266">
        <v>7.3223717113081799</v>
      </c>
      <c r="AL6266">
        <v>65.452935448150797</v>
      </c>
      <c r="AM6266">
        <v>80.945506092087498</v>
      </c>
      <c r="AN6266">
        <v>1.0000000639865001</v>
      </c>
    </row>
    <row r="6267" spans="1:40" x14ac:dyDescent="0.25">
      <c r="A6267" t="str">
        <f>"20190304165009483"</f>
        <v>20190304165009483</v>
      </c>
      <c r="B6267" t="str">
        <f>"1551689409472022"</f>
        <v>1551689409472022</v>
      </c>
      <c r="C6267" t="s">
        <v>40</v>
      </c>
      <c r="D6267">
        <v>5.2117760000000004</v>
      </c>
      <c r="E6267">
        <v>0.56965779999999999</v>
      </c>
      <c r="F6267" t="s">
        <v>41</v>
      </c>
      <c r="G6267">
        <v>-320.22219999999999</v>
      </c>
      <c r="H6267">
        <v>0.98288260000000005</v>
      </c>
      <c r="I6267">
        <v>16.016400000000001</v>
      </c>
      <c r="J6267">
        <v>-320.76560000000001</v>
      </c>
      <c r="K6267">
        <v>1.103199</v>
      </c>
      <c r="L6267">
        <v>16.326629999999899</v>
      </c>
      <c r="M6267">
        <v>0.97900670000000001</v>
      </c>
      <c r="N6267">
        <v>-1.4207869999999999E-2</v>
      </c>
      <c r="O6267">
        <v>-0.20333219999999999</v>
      </c>
      <c r="P6267">
        <v>0.85738840000000005</v>
      </c>
      <c r="Q6267">
        <v>0.40510010000000002</v>
      </c>
      <c r="R6267">
        <v>-0.3174574</v>
      </c>
      <c r="S6267">
        <v>3.1783139999999999</v>
      </c>
      <c r="T6267">
        <v>-0.54375099999999998</v>
      </c>
      <c r="U6267">
        <v>-1.5661320000000001</v>
      </c>
      <c r="V6267">
        <v>0.14432020000000001</v>
      </c>
      <c r="W6267">
        <v>0.41525830000000002</v>
      </c>
      <c r="X6267">
        <v>0.898182699999999</v>
      </c>
      <c r="Y6267">
        <v>0.24914910000000001</v>
      </c>
      <c r="Z6267">
        <v>7.4694230000000002E-3</v>
      </c>
      <c r="AA6267">
        <v>0.96843639999999998</v>
      </c>
      <c r="AB6267">
        <v>31</v>
      </c>
      <c r="AC6267">
        <v>0.54340000000001898</v>
      </c>
      <c r="AD6267">
        <v>-0.1203164</v>
      </c>
      <c r="AE6267">
        <v>-0.31022999999999701</v>
      </c>
      <c r="AF6267">
        <v>0.18635584012633399</v>
      </c>
      <c r="AG6267">
        <v>-0.1203164</v>
      </c>
      <c r="AH6267">
        <v>0.57391259818976204</v>
      </c>
      <c r="AI6267">
        <v>101.27654067683601</v>
      </c>
      <c r="AJ6267">
        <v>72.010806631100905</v>
      </c>
      <c r="AK6267">
        <v>0.61528871728569401</v>
      </c>
      <c r="AL6267">
        <v>65.464415278884701</v>
      </c>
      <c r="AM6267">
        <v>80.871725821825905</v>
      </c>
      <c r="AN6267">
        <v>0.99999996921310896</v>
      </c>
    </row>
    <row r="6268" spans="1:40" x14ac:dyDescent="0.25">
      <c r="A6268" t="str">
        <f>"20190304165009494"</f>
        <v>20190304165009494</v>
      </c>
      <c r="B6268" t="str">
        <f>"1551689409481782"</f>
        <v>1551689409481782</v>
      </c>
      <c r="C6268" t="s">
        <v>40</v>
      </c>
      <c r="D6268">
        <v>4.8992959999999997</v>
      </c>
      <c r="E6268">
        <v>0.56953039999999999</v>
      </c>
      <c r="F6268" t="s">
        <v>41</v>
      </c>
      <c r="G6268">
        <v>-319.95440000000002</v>
      </c>
      <c r="H6268">
        <v>0.96344609999999997</v>
      </c>
      <c r="I6268">
        <v>15.92055</v>
      </c>
      <c r="J6268">
        <v>-320.60939999999999</v>
      </c>
      <c r="K6268">
        <v>1.1029040000000001</v>
      </c>
      <c r="L6268">
        <v>16.290410000000001</v>
      </c>
      <c r="M6268">
        <v>0.97791249999999996</v>
      </c>
      <c r="N6268">
        <v>-1.3875230000000001E-2</v>
      </c>
      <c r="O6268">
        <v>-0.20855389999999999</v>
      </c>
      <c r="P6268">
        <v>0.85549249999999899</v>
      </c>
      <c r="Q6268">
        <v>0.40497129999999998</v>
      </c>
      <c r="R6268">
        <v>-0.32269379999999998</v>
      </c>
      <c r="S6268">
        <v>3.1694640000000001</v>
      </c>
      <c r="T6268">
        <v>-0.54526470000000005</v>
      </c>
      <c r="U6268">
        <v>-1.585785</v>
      </c>
      <c r="V6268">
        <v>0.1451732</v>
      </c>
      <c r="W6268">
        <v>0.41475770000000001</v>
      </c>
      <c r="X6268">
        <v>0.89827659999999998</v>
      </c>
      <c r="Y6268">
        <v>0.24991869999999999</v>
      </c>
      <c r="Z6268">
        <v>8.2926149999999997E-3</v>
      </c>
      <c r="AA6268">
        <v>0.96823130000000002</v>
      </c>
      <c r="AB6268">
        <v>32</v>
      </c>
      <c r="AC6268">
        <v>0.65499999999997205</v>
      </c>
      <c r="AD6268">
        <v>-0.1394579</v>
      </c>
      <c r="AE6268">
        <v>-0.36986000000000002</v>
      </c>
      <c r="AF6268">
        <v>0.217629185062331</v>
      </c>
      <c r="AG6268">
        <v>-0.1394579</v>
      </c>
      <c r="AH6268">
        <v>0.69388708749634398</v>
      </c>
      <c r="AI6268">
        <v>100.855805168502</v>
      </c>
      <c r="AJ6268">
        <v>72.586605996903899</v>
      </c>
      <c r="AK6268">
        <v>0.74046624383388504</v>
      </c>
      <c r="AL6268">
        <v>65.495942127965094</v>
      </c>
      <c r="AM6268">
        <v>80.819633096468706</v>
      </c>
      <c r="AN6268">
        <v>1.0000000289075399</v>
      </c>
    </row>
    <row r="6269" spans="1:40" x14ac:dyDescent="0.25">
      <c r="A6269" t="str">
        <f>"20190304165009505"</f>
        <v>20190304165009505</v>
      </c>
      <c r="B6269" t="str">
        <f>"1551689409502279"</f>
        <v>1551689409502279</v>
      </c>
      <c r="C6269" t="s">
        <v>40</v>
      </c>
      <c r="D6269">
        <v>4.8957889999999997</v>
      </c>
      <c r="E6269">
        <v>0.56925109999999901</v>
      </c>
      <c r="F6269" t="s">
        <v>41</v>
      </c>
      <c r="G6269">
        <v>-319.94170000000003</v>
      </c>
      <c r="H6269">
        <v>0.98693969999999998</v>
      </c>
      <c r="I6269">
        <v>15.951169999999999</v>
      </c>
      <c r="J6269">
        <v>-320.45589999999999</v>
      </c>
      <c r="K6269">
        <v>1.102554</v>
      </c>
      <c r="L6269">
        <v>16.25348</v>
      </c>
      <c r="M6269">
        <v>0.97685279999999997</v>
      </c>
      <c r="N6269">
        <v>-1.379683E-2</v>
      </c>
      <c r="O6269">
        <v>-0.2134672</v>
      </c>
      <c r="P6269">
        <v>0.85384230000000005</v>
      </c>
      <c r="Q6269">
        <v>0.40440169999999998</v>
      </c>
      <c r="R6269">
        <v>-0.32773829999999998</v>
      </c>
      <c r="S6269">
        <v>3.160828</v>
      </c>
      <c r="T6269">
        <v>-0.54804549999999996</v>
      </c>
      <c r="U6269">
        <v>-1.6047670000000001</v>
      </c>
      <c r="V6269">
        <v>0.14611939999999901</v>
      </c>
      <c r="W6269">
        <v>0.41402689999999998</v>
      </c>
      <c r="X6269">
        <v>0.89846029999999999</v>
      </c>
      <c r="Y6269">
        <v>0.25077549999999998</v>
      </c>
      <c r="Z6269">
        <v>9.0172629999999993E-3</v>
      </c>
      <c r="AA6269">
        <v>0.96800330000000001</v>
      </c>
      <c r="AB6269">
        <v>32</v>
      </c>
      <c r="AC6269">
        <v>0.51419999999995902</v>
      </c>
      <c r="AD6269">
        <v>-0.1156143</v>
      </c>
      <c r="AE6269">
        <v>-0.30230999999999802</v>
      </c>
      <c r="AF6269">
        <v>0.178846186726314</v>
      </c>
      <c r="AG6269">
        <v>-0.1156143</v>
      </c>
      <c r="AH6269">
        <v>0.54635896247989602</v>
      </c>
      <c r="AI6269">
        <v>101.370970884451</v>
      </c>
      <c r="AJ6269">
        <v>71.874559395492696</v>
      </c>
      <c r="AK6269">
        <v>0.58639640240467195</v>
      </c>
      <c r="AL6269">
        <v>65.541950149975705</v>
      </c>
      <c r="AM6269">
        <v>80.762683034229198</v>
      </c>
      <c r="AN6269">
        <v>1.00000003182802</v>
      </c>
    </row>
    <row r="6270" spans="1:40" x14ac:dyDescent="0.25">
      <c r="A6270" t="str">
        <f>"20190304165009517"</f>
        <v>20190304165009517</v>
      </c>
      <c r="B6270" t="str">
        <f>"1551689409512041"</f>
        <v>1551689409512041</v>
      </c>
      <c r="C6270" t="s">
        <v>40</v>
      </c>
      <c r="D6270">
        <v>4.8180110000000003</v>
      </c>
      <c r="E6270">
        <v>0.56915799999999905</v>
      </c>
      <c r="F6270" t="s">
        <v>41</v>
      </c>
      <c r="G6270">
        <v>-319.67739999999998</v>
      </c>
      <c r="H6270">
        <v>0.96543250000000003</v>
      </c>
      <c r="I6270">
        <v>15.85258</v>
      </c>
      <c r="J6270">
        <v>-320.28500000000003</v>
      </c>
      <c r="K6270">
        <v>1.102141</v>
      </c>
      <c r="L6270">
        <v>16.21191</v>
      </c>
      <c r="M6270">
        <v>0.9756513</v>
      </c>
      <c r="N6270">
        <v>-1.378249E-2</v>
      </c>
      <c r="O6270">
        <v>-0.21889410000000001</v>
      </c>
      <c r="P6270">
        <v>0.85227640000000005</v>
      </c>
      <c r="Q6270">
        <v>0.4034547</v>
      </c>
      <c r="R6270">
        <v>-0.33294030000000002</v>
      </c>
      <c r="S6270">
        <v>3.1533509999999998</v>
      </c>
      <c r="T6270">
        <v>-0.55485769999999901</v>
      </c>
      <c r="U6270">
        <v>-1.6230469999999999</v>
      </c>
      <c r="V6270">
        <v>0.14674690000000001</v>
      </c>
      <c r="W6270">
        <v>0.41297410000000001</v>
      </c>
      <c r="X6270">
        <v>0.89884249999999899</v>
      </c>
      <c r="Y6270">
        <v>0.25080150000000001</v>
      </c>
      <c r="Z6270">
        <v>9.9767410000000008E-3</v>
      </c>
      <c r="AA6270">
        <v>0.96798709999999999</v>
      </c>
      <c r="AB6270">
        <v>32</v>
      </c>
      <c r="AC6270">
        <v>0.60760000000004699</v>
      </c>
      <c r="AD6270">
        <v>-0.13670850000000001</v>
      </c>
      <c r="AE6270">
        <v>-0.35932999999999898</v>
      </c>
      <c r="AF6270">
        <v>0.20973501349514501</v>
      </c>
      <c r="AG6270">
        <v>-0.13670850000000001</v>
      </c>
      <c r="AH6270">
        <v>0.64724883049585402</v>
      </c>
      <c r="AI6270">
        <v>101.361104013922</v>
      </c>
      <c r="AJ6270">
        <v>72.045561362240903</v>
      </c>
      <c r="AK6270">
        <v>0.69398057497044496</v>
      </c>
      <c r="AL6270">
        <v>65.608200747153504</v>
      </c>
      <c r="AM6270">
        <v>80.727578027403595</v>
      </c>
      <c r="AN6270">
        <v>1.0000000498683299</v>
      </c>
    </row>
    <row r="6271" spans="1:40" x14ac:dyDescent="0.25">
      <c r="A6271" t="str">
        <f>"20190304165009527"</f>
        <v>20190304165009527</v>
      </c>
      <c r="B6271" t="str">
        <f>"1551689409521622"</f>
        <v>1551689409521622</v>
      </c>
      <c r="C6271" t="s">
        <v>40</v>
      </c>
      <c r="D6271">
        <v>4.6156100000000002</v>
      </c>
      <c r="E6271">
        <v>0.5696504</v>
      </c>
      <c r="F6271" t="s">
        <v>43</v>
      </c>
      <c r="G6271">
        <v>-313.81700000000001</v>
      </c>
      <c r="H6271">
        <v>-0.05</v>
      </c>
      <c r="I6271">
        <v>12.82924</v>
      </c>
      <c r="J6271">
        <v>-320.13319999999999</v>
      </c>
      <c r="K6271">
        <v>1.101731</v>
      </c>
      <c r="L6271">
        <v>16.173829999999999</v>
      </c>
      <c r="M6271">
        <v>0.97456580000000004</v>
      </c>
      <c r="N6271">
        <v>-1.3961350000000001E-2</v>
      </c>
      <c r="O6271">
        <v>-0.2236667</v>
      </c>
      <c r="P6271">
        <v>0.85079159999999998</v>
      </c>
      <c r="Q6271">
        <v>0.40287830000000002</v>
      </c>
      <c r="R6271">
        <v>-0.3374065</v>
      </c>
      <c r="S6271">
        <v>3.1428829999999999</v>
      </c>
      <c r="T6271">
        <v>-0.55983519999999998</v>
      </c>
      <c r="U6271">
        <v>-1.6436770000000001</v>
      </c>
      <c r="V6271">
        <v>0.1472243</v>
      </c>
      <c r="W6271">
        <v>0.41247420000000001</v>
      </c>
      <c r="X6271">
        <v>0.89899390000000001</v>
      </c>
      <c r="Y6271">
        <v>0.25238090000000002</v>
      </c>
      <c r="Z6271">
        <v>1.06126E-2</v>
      </c>
      <c r="AA6271">
        <v>0.96756980000000004</v>
      </c>
      <c r="AB6271">
        <v>32</v>
      </c>
      <c r="AC6271">
        <v>6.3161999999999798</v>
      </c>
      <c r="AD6271">
        <v>-1.1517309999999901</v>
      </c>
      <c r="AE6271">
        <v>-3.3445900000000002</v>
      </c>
      <c r="AF6271">
        <v>1.8002301023970799</v>
      </c>
      <c r="AG6271">
        <v>-1.1517309999999901</v>
      </c>
      <c r="AH6271">
        <v>6.7295425057531002</v>
      </c>
      <c r="AI6271">
        <v>99.387899209203994</v>
      </c>
      <c r="AJ6271">
        <v>75.023399851666596</v>
      </c>
      <c r="AK6271">
        <v>7.0607404041414297</v>
      </c>
      <c r="AL6271">
        <v>65.6396446733944</v>
      </c>
      <c r="AM6271">
        <v>80.699478429787106</v>
      </c>
      <c r="AN6271">
        <v>0.99999999620666902</v>
      </c>
    </row>
    <row r="6272" spans="1:40" x14ac:dyDescent="0.25">
      <c r="A6272" t="str">
        <f>"20190304165009539"</f>
        <v>20190304165009539</v>
      </c>
      <c r="B6272" t="str">
        <f>"1551689409532358"</f>
        <v>1551689409532358</v>
      </c>
      <c r="C6272" t="s">
        <v>40</v>
      </c>
      <c r="D6272">
        <v>4.8693559999999998</v>
      </c>
      <c r="E6272">
        <v>0.56951030000000002</v>
      </c>
      <c r="F6272" t="s">
        <v>41</v>
      </c>
      <c r="G6272">
        <v>-319.39870000000002</v>
      </c>
      <c r="H6272">
        <v>0.97107359999999998</v>
      </c>
      <c r="I6272">
        <v>15.782299999999999</v>
      </c>
      <c r="J6272">
        <v>-319.98160000000001</v>
      </c>
      <c r="K6272">
        <v>1.1012879999999901</v>
      </c>
      <c r="L6272">
        <v>16.135249999999999</v>
      </c>
      <c r="M6272">
        <v>0.97346600000000005</v>
      </c>
      <c r="N6272">
        <v>-1.4219900000000001E-2</v>
      </c>
      <c r="O6272">
        <v>-0.22838929999999999</v>
      </c>
      <c r="P6272">
        <v>0.84917310000000001</v>
      </c>
      <c r="Q6272">
        <v>0.40245419999999998</v>
      </c>
      <c r="R6272">
        <v>-0.34195879999999901</v>
      </c>
      <c r="S6272">
        <v>3.1282960000000002</v>
      </c>
      <c r="T6272">
        <v>-0.55537009999999998</v>
      </c>
      <c r="U6272">
        <v>-1.666199</v>
      </c>
      <c r="V6272">
        <v>0.14786050000000001</v>
      </c>
      <c r="W6272">
        <v>0.41219440000000002</v>
      </c>
      <c r="X6272">
        <v>0.89901779999999998</v>
      </c>
      <c r="Y6272">
        <v>0.25499129999999998</v>
      </c>
      <c r="Z6272">
        <v>1.0876129999999999E-2</v>
      </c>
      <c r="AA6272">
        <v>0.96688220000000002</v>
      </c>
      <c r="AB6272">
        <v>32</v>
      </c>
      <c r="AC6272">
        <v>0.58289999999999498</v>
      </c>
      <c r="AD6272">
        <v>-0.13021439999999901</v>
      </c>
      <c r="AE6272">
        <v>-0.35294999999999899</v>
      </c>
      <c r="AF6272">
        <v>0.20306305856804899</v>
      </c>
      <c r="AG6272">
        <v>-0.13021439999999901</v>
      </c>
      <c r="AH6272">
        <v>0.62527665108549002</v>
      </c>
      <c r="AI6272">
        <v>101.203443923107</v>
      </c>
      <c r="AJ6272">
        <v>72.008424664078802</v>
      </c>
      <c r="AK6272">
        <v>0.67019496127250699</v>
      </c>
      <c r="AL6272">
        <v>65.657241106245905</v>
      </c>
      <c r="AM6272">
        <v>80.660238776948603</v>
      </c>
      <c r="AN6272">
        <v>0.999999977784224</v>
      </c>
    </row>
    <row r="6273" spans="1:40" x14ac:dyDescent="0.25">
      <c r="A6273" t="str">
        <f>"20190304165009549"</f>
        <v>20190304165009549</v>
      </c>
      <c r="B6273" t="str">
        <f>"1551689409542118"</f>
        <v>1551689409542118</v>
      </c>
      <c r="C6273" t="s">
        <v>40</v>
      </c>
      <c r="D6273">
        <v>4.8834359999999997</v>
      </c>
      <c r="E6273">
        <v>0.56937019999999905</v>
      </c>
      <c r="F6273" t="s">
        <v>43</v>
      </c>
      <c r="G6273">
        <v>-313.55470000000003</v>
      </c>
      <c r="H6273">
        <v>-0.05</v>
      </c>
      <c r="I6273">
        <v>12.665469999999999</v>
      </c>
      <c r="J6273">
        <v>-319.82400000000001</v>
      </c>
      <c r="K6273">
        <v>1.10077</v>
      </c>
      <c r="L6273">
        <v>16.094239999999999</v>
      </c>
      <c r="M6273">
        <v>0.97231409999999996</v>
      </c>
      <c r="N6273">
        <v>-1.463715E-2</v>
      </c>
      <c r="O6273">
        <v>-0.23321929999999999</v>
      </c>
      <c r="P6273">
        <v>0.84757269999999896</v>
      </c>
      <c r="Q6273">
        <v>0.40182180000000001</v>
      </c>
      <c r="R6273">
        <v>-0.34664119999999998</v>
      </c>
      <c r="S6273">
        <v>3.1194760000000001</v>
      </c>
      <c r="T6273">
        <v>-0.55881449999999999</v>
      </c>
      <c r="U6273">
        <v>-1.6841740000000001</v>
      </c>
      <c r="V6273">
        <v>0.1485195</v>
      </c>
      <c r="W6273">
        <v>0.41184680000000001</v>
      </c>
      <c r="X6273">
        <v>0.89906849999999905</v>
      </c>
      <c r="Y6273">
        <v>0.25565640000000001</v>
      </c>
      <c r="Z6273">
        <v>1.147597E-2</v>
      </c>
      <c r="AA6273">
        <v>0.96669959999999999</v>
      </c>
      <c r="AB6273">
        <v>32</v>
      </c>
      <c r="AC6273">
        <v>6.2692999999999799</v>
      </c>
      <c r="AD6273">
        <v>-1.1507700000000001</v>
      </c>
      <c r="AE6273">
        <v>-3.4287699999999899</v>
      </c>
      <c r="AF6273">
        <v>1.82459850270699</v>
      </c>
      <c r="AG6273">
        <v>-1.1507700000000001</v>
      </c>
      <c r="AH6273">
        <v>6.7217905688941801</v>
      </c>
      <c r="AI6273">
        <v>99.381719063714499</v>
      </c>
      <c r="AJ6273">
        <v>74.813269675094503</v>
      </c>
      <c r="AK6273">
        <v>7.0594546348181497</v>
      </c>
      <c r="AL6273">
        <v>65.679099150862001</v>
      </c>
      <c r="AM6273">
        <v>80.619870249246603</v>
      </c>
      <c r="AN6273">
        <v>0.99999999812136897</v>
      </c>
    </row>
    <row r="6274" spans="1:40" x14ac:dyDescent="0.25">
      <c r="A6274" t="str">
        <f>"20190304165009561"</f>
        <v>20190304165009561</v>
      </c>
      <c r="B6274" t="str">
        <f>"1551689409551878"</f>
        <v>1551689409551878</v>
      </c>
      <c r="C6274" t="s">
        <v>40</v>
      </c>
      <c r="D6274">
        <v>4.88443</v>
      </c>
      <c r="E6274">
        <v>0.56922950000000005</v>
      </c>
      <c r="F6274" t="s">
        <v>41</v>
      </c>
      <c r="G6274">
        <v>-319.12279999999998</v>
      </c>
      <c r="H6274">
        <v>0.97378920000000002</v>
      </c>
      <c r="I6274">
        <v>15.71053</v>
      </c>
      <c r="J6274">
        <v>-319.6705</v>
      </c>
      <c r="K6274">
        <v>1.100222</v>
      </c>
      <c r="L6274">
        <v>16.053439999999998</v>
      </c>
      <c r="M6274">
        <v>0.97119149999999999</v>
      </c>
      <c r="N6274">
        <v>-1.515731E-2</v>
      </c>
      <c r="O6274">
        <v>-0.23781869999999999</v>
      </c>
      <c r="P6274">
        <v>0.84577999999999998</v>
      </c>
      <c r="Q6274">
        <v>0.40134599999999998</v>
      </c>
      <c r="R6274">
        <v>-0.35153699999999999</v>
      </c>
      <c r="S6274">
        <v>3.1104430000000001</v>
      </c>
      <c r="T6274">
        <v>-0.5631815</v>
      </c>
      <c r="U6274">
        <v>-1.701965</v>
      </c>
      <c r="V6274">
        <v>0.1496326</v>
      </c>
      <c r="W6274">
        <v>0.41174040000000001</v>
      </c>
      <c r="X6274">
        <v>0.89893269999999903</v>
      </c>
      <c r="Y6274">
        <v>0.25651400000000002</v>
      </c>
      <c r="Z6274">
        <v>1.202141E-2</v>
      </c>
      <c r="AA6274">
        <v>0.96646580000000004</v>
      </c>
      <c r="AB6274">
        <v>32</v>
      </c>
      <c r="AC6274">
        <v>0.54770000000001995</v>
      </c>
      <c r="AD6274">
        <v>-0.12643279999999901</v>
      </c>
      <c r="AE6274">
        <v>-0.34290999999999899</v>
      </c>
      <c r="AF6274">
        <v>0.19532378860383301</v>
      </c>
      <c r="AG6274">
        <v>-0.12643279999999901</v>
      </c>
      <c r="AH6274">
        <v>0.59092055780125996</v>
      </c>
      <c r="AI6274">
        <v>101.483305284145</v>
      </c>
      <c r="AJ6274">
        <v>71.709133952315099</v>
      </c>
      <c r="AK6274">
        <v>0.63507774401450101</v>
      </c>
      <c r="AL6274">
        <v>65.685789929855403</v>
      </c>
      <c r="AM6274">
        <v>80.549431055698605</v>
      </c>
      <c r="AN6274">
        <v>1.0000000355520999</v>
      </c>
    </row>
    <row r="6275" spans="1:40" x14ac:dyDescent="0.25">
      <c r="A6275" t="str">
        <f>"20190304165009574"</f>
        <v>20190304165009574</v>
      </c>
      <c r="B6275" t="str">
        <f>"1551689409561640"</f>
        <v>1551689409561640</v>
      </c>
      <c r="C6275" t="s">
        <v>40</v>
      </c>
      <c r="D6275">
        <v>5.340757</v>
      </c>
      <c r="E6275">
        <v>0.56911119999999904</v>
      </c>
      <c r="F6275" t="s">
        <v>43</v>
      </c>
      <c r="G6275">
        <v>-313.38339999999999</v>
      </c>
      <c r="H6275">
        <v>-0.05</v>
      </c>
      <c r="I6275">
        <v>12.572480000000001</v>
      </c>
      <c r="J6275">
        <v>-319.50080000000003</v>
      </c>
      <c r="K6275">
        <v>1.0995740000000001</v>
      </c>
      <c r="L6275">
        <v>16.007660000000001</v>
      </c>
      <c r="M6275">
        <v>0.96994380000000002</v>
      </c>
      <c r="N6275">
        <v>-1.5823489999999999E-2</v>
      </c>
      <c r="O6275">
        <v>-0.24281510000000001</v>
      </c>
      <c r="P6275">
        <v>0.84349810000000003</v>
      </c>
      <c r="Q6275">
        <v>0.40149190000000001</v>
      </c>
      <c r="R6275">
        <v>-0.3568132</v>
      </c>
      <c r="S6275">
        <v>3.102417</v>
      </c>
      <c r="T6275">
        <v>-0.56758949999999997</v>
      </c>
      <c r="U6275">
        <v>-1.7177119999999999</v>
      </c>
      <c r="V6275">
        <v>0.15089439999999901</v>
      </c>
      <c r="W6275">
        <v>0.41237249999999998</v>
      </c>
      <c r="X6275">
        <v>0.89843189999999995</v>
      </c>
      <c r="Y6275">
        <v>0.25635770000000002</v>
      </c>
      <c r="Z6275">
        <v>1.2669619999999999E-2</v>
      </c>
      <c r="AA6275">
        <v>0.966499</v>
      </c>
      <c r="AB6275">
        <v>32</v>
      </c>
      <c r="AC6275">
        <v>6.1174000000000301</v>
      </c>
      <c r="AD6275">
        <v>-1.1495739999999901</v>
      </c>
      <c r="AE6275">
        <v>-3.4351799999999999</v>
      </c>
      <c r="AF6275">
        <v>1.7984803020609901</v>
      </c>
      <c r="AG6275">
        <v>-1.1495739999999901</v>
      </c>
      <c r="AH6275">
        <v>6.5915267477843198</v>
      </c>
      <c r="AI6275">
        <v>99.550643983452204</v>
      </c>
      <c r="AJ6275">
        <v>74.738480328975399</v>
      </c>
      <c r="AK6275">
        <v>6.9285118636784899</v>
      </c>
      <c r="AL6275">
        <v>65.646042079436</v>
      </c>
      <c r="AM6275">
        <v>80.465979083364402</v>
      </c>
      <c r="AN6275">
        <v>1.0000000388226</v>
      </c>
    </row>
    <row r="6276" spans="1:40" x14ac:dyDescent="0.25">
      <c r="A6276" t="str">
        <f>"20190304165009586"</f>
        <v>20190304165009586</v>
      </c>
      <c r="B6276" t="str">
        <f>"1551689409582137"</f>
        <v>1551689409582137</v>
      </c>
      <c r="C6276" t="s">
        <v>40</v>
      </c>
      <c r="D6276">
        <v>4.8867659999999997</v>
      </c>
      <c r="E6276">
        <v>0.56892909999999997</v>
      </c>
      <c r="F6276" t="s">
        <v>41</v>
      </c>
      <c r="G6276">
        <v>-318.84550000000002</v>
      </c>
      <c r="H6276">
        <v>0.9788599</v>
      </c>
      <c r="I6276">
        <v>15.64002</v>
      </c>
      <c r="J6276">
        <v>-319.34789999999998</v>
      </c>
      <c r="K6276">
        <v>1.098913</v>
      </c>
      <c r="L6276">
        <v>15.965059999999999</v>
      </c>
      <c r="M6276">
        <v>0.96882310000000005</v>
      </c>
      <c r="N6276">
        <v>-1.6534449999999999E-2</v>
      </c>
      <c r="O6276">
        <v>-0.24720110000000001</v>
      </c>
      <c r="P6276">
        <v>0.84153999999999995</v>
      </c>
      <c r="Q6276">
        <v>0.40132250000000003</v>
      </c>
      <c r="R6276">
        <v>-0.361595</v>
      </c>
      <c r="S6276">
        <v>3.093658</v>
      </c>
      <c r="T6276">
        <v>-0.56924589999999997</v>
      </c>
      <c r="U6276">
        <v>-1.734863</v>
      </c>
      <c r="V6276">
        <v>0.15211620000000001</v>
      </c>
      <c r="W6276">
        <v>0.4127461</v>
      </c>
      <c r="X6276">
        <v>0.89805419999999903</v>
      </c>
      <c r="Y6276">
        <v>0.25721680000000002</v>
      </c>
      <c r="Z6276">
        <v>1.3032530000000001E-2</v>
      </c>
      <c r="AA6276">
        <v>0.96626590000000001</v>
      </c>
      <c r="AB6276">
        <v>32</v>
      </c>
      <c r="AC6276">
        <v>0.50239999999996598</v>
      </c>
      <c r="AD6276">
        <v>-0.1200531</v>
      </c>
      <c r="AE6276">
        <v>-0.325039999999999</v>
      </c>
      <c r="AF6276">
        <v>0.18335785862154</v>
      </c>
      <c r="AG6276">
        <v>-0.1200531</v>
      </c>
      <c r="AH6276">
        <v>0.54521802202401903</v>
      </c>
      <c r="AI6276">
        <v>101.78878708297</v>
      </c>
      <c r="AJ6276">
        <v>71.412109858922307</v>
      </c>
      <c r="AK6276">
        <v>0.58761853500180805</v>
      </c>
      <c r="AL6276">
        <v>65.622542713006496</v>
      </c>
      <c r="AM6276">
        <v>80.386249397484704</v>
      </c>
      <c r="AN6276">
        <v>1.0000000137526399</v>
      </c>
    </row>
    <row r="6277" spans="1:40" x14ac:dyDescent="0.25">
      <c r="A6277" t="str">
        <f>"20190304165009597"</f>
        <v>20190304165009597</v>
      </c>
      <c r="B6277" t="str">
        <f>"1551689409591894"</f>
        <v>1551689409591894</v>
      </c>
      <c r="C6277" t="s">
        <v>40</v>
      </c>
      <c r="D6277">
        <v>4.8816499999999996</v>
      </c>
      <c r="E6277">
        <v>0.56883309999999998</v>
      </c>
      <c r="F6277" t="s">
        <v>41</v>
      </c>
      <c r="G6277">
        <v>-318.58580000000001</v>
      </c>
      <c r="H6277">
        <v>0.95728409999999997</v>
      </c>
      <c r="I6277">
        <v>15.532819999999999</v>
      </c>
      <c r="J6277">
        <v>-319.1859</v>
      </c>
      <c r="K6277">
        <v>1.0981909999999999</v>
      </c>
      <c r="L6277">
        <v>15.91949</v>
      </c>
      <c r="M6277">
        <v>0.96761839999999999</v>
      </c>
      <c r="N6277">
        <v>-1.7311199999999999E-2</v>
      </c>
      <c r="O6277">
        <v>-0.25182310000000002</v>
      </c>
      <c r="P6277">
        <v>0.83974490000000002</v>
      </c>
      <c r="Q6277">
        <v>0.4009992</v>
      </c>
      <c r="R6277">
        <v>-0.36609829999999999</v>
      </c>
      <c r="S6277">
        <v>3.0862729999999998</v>
      </c>
      <c r="T6277">
        <v>-0.5732353</v>
      </c>
      <c r="U6277">
        <v>-1.75</v>
      </c>
      <c r="V6277">
        <v>0.152807</v>
      </c>
      <c r="W6277">
        <v>0.4130375</v>
      </c>
      <c r="X6277">
        <v>0.89780289999999996</v>
      </c>
      <c r="Y6277">
        <v>0.25717649999999997</v>
      </c>
      <c r="Z6277">
        <v>1.356344E-2</v>
      </c>
      <c r="AA6277">
        <v>0.9662693</v>
      </c>
      <c r="AB6277">
        <v>32</v>
      </c>
      <c r="AC6277">
        <v>0.60009999999999697</v>
      </c>
      <c r="AD6277">
        <v>-0.140906899999999</v>
      </c>
      <c r="AE6277">
        <v>-0.38666999999999802</v>
      </c>
      <c r="AF6277">
        <v>0.21469896962002699</v>
      </c>
      <c r="AG6277">
        <v>-0.140906899999999</v>
      </c>
      <c r="AH6277">
        <v>0.65271292694223904</v>
      </c>
      <c r="AI6277">
        <v>101.588959977248</v>
      </c>
      <c r="AJ6277">
        <v>71.792246642924795</v>
      </c>
      <c r="AK6277">
        <v>0.70141611545573701</v>
      </c>
      <c r="AL6277">
        <v>65.604210866049598</v>
      </c>
      <c r="AM6277">
        <v>80.340759065753204</v>
      </c>
      <c r="AN6277">
        <v>1.00000000145183</v>
      </c>
    </row>
    <row r="6278" spans="1:40" x14ac:dyDescent="0.25">
      <c r="A6278" t="str">
        <f>"20190304165009607"</f>
        <v>20190304165009607</v>
      </c>
      <c r="B6278" t="str">
        <f>"1551689409601654"</f>
        <v>1551689409601654</v>
      </c>
      <c r="C6278" t="s">
        <v>40</v>
      </c>
      <c r="D6278">
        <v>4.9162809999999997</v>
      </c>
      <c r="E6278">
        <v>0.56871539999999998</v>
      </c>
      <c r="F6278" t="s">
        <v>43</v>
      </c>
      <c r="G6278">
        <v>-313.05250000000001</v>
      </c>
      <c r="H6278">
        <v>-0.05</v>
      </c>
      <c r="I6278">
        <v>12.4048</v>
      </c>
      <c r="J6278">
        <v>-319.04000000000002</v>
      </c>
      <c r="K6278">
        <v>1.097491</v>
      </c>
      <c r="L6278">
        <v>15.8772</v>
      </c>
      <c r="M6278">
        <v>0.9665222</v>
      </c>
      <c r="N6278">
        <v>-1.8063360000000001E-2</v>
      </c>
      <c r="O6278">
        <v>-0.25594610000000001</v>
      </c>
      <c r="P6278">
        <v>0.8382638</v>
      </c>
      <c r="Q6278">
        <v>0.40052710000000002</v>
      </c>
      <c r="R6278">
        <v>-0.3699886</v>
      </c>
      <c r="S6278">
        <v>3.0786129999999998</v>
      </c>
      <c r="T6278">
        <v>-0.57632099999999997</v>
      </c>
      <c r="U6278">
        <v>-1.76416</v>
      </c>
      <c r="V6278">
        <v>0.1532297</v>
      </c>
      <c r="W6278">
        <v>0.41318510000000003</v>
      </c>
      <c r="X6278">
        <v>0.89766290000000004</v>
      </c>
      <c r="Y6278">
        <v>0.25742670000000001</v>
      </c>
      <c r="Z6278">
        <v>1.397758E-2</v>
      </c>
      <c r="AA6278">
        <v>0.96619670000000002</v>
      </c>
      <c r="AB6278">
        <v>31</v>
      </c>
      <c r="AC6278">
        <v>5.9875000000000096</v>
      </c>
      <c r="AD6278">
        <v>-1.147491</v>
      </c>
      <c r="AE6278">
        <v>-3.4723999999999999</v>
      </c>
      <c r="AF6278">
        <v>1.77518157041859</v>
      </c>
      <c r="AG6278">
        <v>-1.147491</v>
      </c>
      <c r="AH6278">
        <v>6.4982845102060498</v>
      </c>
      <c r="AI6278">
        <v>99.667093876633203</v>
      </c>
      <c r="AJ6278">
        <v>74.720902902136402</v>
      </c>
      <c r="AK6278">
        <v>6.8334256986242803</v>
      </c>
      <c r="AL6278">
        <v>65.594923871836798</v>
      </c>
      <c r="AM6278">
        <v>80.313062852583101</v>
      </c>
      <c r="AN6278">
        <v>0.99999997493025405</v>
      </c>
    </row>
    <row r="6279" spans="1:40" x14ac:dyDescent="0.25">
      <c r="A6279" t="str">
        <f>"20190304165009618"</f>
        <v>20190304165009618</v>
      </c>
      <c r="B6279" t="str">
        <f>"1551689409612390"</f>
        <v>1551689409612390</v>
      </c>
      <c r="C6279" t="s">
        <v>40</v>
      </c>
      <c r="D6279">
        <v>4.8935490000000001</v>
      </c>
      <c r="E6279">
        <v>0.56861309999999998</v>
      </c>
      <c r="F6279" t="s">
        <v>41</v>
      </c>
      <c r="G6279">
        <v>-318.3134</v>
      </c>
      <c r="H6279">
        <v>0.96020479999999997</v>
      </c>
      <c r="I6279">
        <v>15.456670000000001</v>
      </c>
      <c r="J6279">
        <v>-318.89839999999998</v>
      </c>
      <c r="K6279">
        <v>1.0968249999999999</v>
      </c>
      <c r="L6279">
        <v>15.8357799999999</v>
      </c>
      <c r="M6279">
        <v>0.96540060000000005</v>
      </c>
      <c r="N6279">
        <v>-1.877649E-2</v>
      </c>
      <c r="O6279">
        <v>-0.26009480000000001</v>
      </c>
      <c r="P6279">
        <v>0.83671589999999996</v>
      </c>
      <c r="Q6279">
        <v>0.4000322</v>
      </c>
      <c r="R6279">
        <v>-0.37400689999999998</v>
      </c>
      <c r="S6279">
        <v>3.071564</v>
      </c>
      <c r="T6279">
        <v>-0.57996199999999998</v>
      </c>
      <c r="U6279">
        <v>-1.7770079999999999</v>
      </c>
      <c r="V6279">
        <v>0.15372079999999999</v>
      </c>
      <c r="W6279">
        <v>0.41328759999999998</v>
      </c>
      <c r="X6279">
        <v>0.89753169999999904</v>
      </c>
      <c r="Y6279">
        <v>0.25726019999999999</v>
      </c>
      <c r="Z6279">
        <v>1.4471070000000001E-2</v>
      </c>
      <c r="AA6279">
        <v>0.96623380000000003</v>
      </c>
      <c r="AB6279">
        <v>31</v>
      </c>
      <c r="AC6279">
        <v>0.58499999999997898</v>
      </c>
      <c r="AD6279">
        <v>-0.136620199999999</v>
      </c>
      <c r="AE6279">
        <v>-0.379109999999997</v>
      </c>
      <c r="AF6279">
        <v>0.20596426227481901</v>
      </c>
      <c r="AG6279">
        <v>-0.136620199999999</v>
      </c>
      <c r="AH6279">
        <v>0.63893944608412001</v>
      </c>
      <c r="AI6279">
        <v>101.503233818775</v>
      </c>
      <c r="AJ6279">
        <v>72.133100508871806</v>
      </c>
      <c r="AK6279">
        <v>0.68507661771858197</v>
      </c>
      <c r="AL6279">
        <v>65.588473701983403</v>
      </c>
      <c r="AM6279">
        <v>80.281213930430795</v>
      </c>
      <c r="AN6279">
        <v>0.99999993858564296</v>
      </c>
    </row>
    <row r="6280" spans="1:40" x14ac:dyDescent="0.25">
      <c r="A6280" t="str">
        <f>"20190304165009628"</f>
        <v>20190304165009628</v>
      </c>
      <c r="B6280" t="str">
        <f>"1551689409622150"</f>
        <v>1551689409622150</v>
      </c>
      <c r="C6280" t="s">
        <v>40</v>
      </c>
      <c r="D6280">
        <v>4.6455270000000004</v>
      </c>
      <c r="E6280">
        <v>0.56895769999999901</v>
      </c>
      <c r="F6280" t="s">
        <v>43</v>
      </c>
      <c r="G6280">
        <v>-312.87630000000001</v>
      </c>
      <c r="H6280">
        <v>-0.05</v>
      </c>
      <c r="I6280">
        <v>12.317</v>
      </c>
      <c r="J6280">
        <v>-318.74930000000001</v>
      </c>
      <c r="K6280">
        <v>1.096163</v>
      </c>
      <c r="L6280">
        <v>15.79114</v>
      </c>
      <c r="M6280">
        <v>0.96408059999999995</v>
      </c>
      <c r="N6280">
        <v>-1.9479529999999998E-2</v>
      </c>
      <c r="O6280">
        <v>-0.2648952</v>
      </c>
      <c r="P6280">
        <v>0.83495370000000002</v>
      </c>
      <c r="Q6280">
        <v>0.39930549999999998</v>
      </c>
      <c r="R6280">
        <v>-0.37869209999999998</v>
      </c>
      <c r="S6280">
        <v>3.0641479999999999</v>
      </c>
      <c r="T6280">
        <v>-0.5835205</v>
      </c>
      <c r="U6280">
        <v>-1.790405</v>
      </c>
      <c r="V6280">
        <v>0.1541759</v>
      </c>
      <c r="W6280">
        <v>0.4131917</v>
      </c>
      <c r="X6280">
        <v>0.89749789999999996</v>
      </c>
      <c r="Y6280">
        <v>0.25662810000000003</v>
      </c>
      <c r="Z6280">
        <v>1.5109910000000001E-2</v>
      </c>
      <c r="AA6280">
        <v>0.96639209999999998</v>
      </c>
      <c r="AB6280">
        <v>31</v>
      </c>
      <c r="AC6280">
        <v>5.8729999999999896</v>
      </c>
      <c r="AD6280">
        <v>-1.1461629999999901</v>
      </c>
      <c r="AE6280">
        <v>-3.47413999999999</v>
      </c>
      <c r="AF6280">
        <v>1.74473575959771</v>
      </c>
      <c r="AG6280">
        <v>-1.1461629999999901</v>
      </c>
      <c r="AH6280">
        <v>6.4029249830961801</v>
      </c>
      <c r="AI6280">
        <v>99.798834513116404</v>
      </c>
      <c r="AJ6280">
        <v>74.757512862948403</v>
      </c>
      <c r="AK6280">
        <v>6.7346299699794399</v>
      </c>
      <c r="AL6280">
        <v>65.594510170971105</v>
      </c>
      <c r="AM6280">
        <v>80.252631958882006</v>
      </c>
      <c r="AN6280">
        <v>1.0000000347970499</v>
      </c>
    </row>
    <row r="6281" spans="1:40" x14ac:dyDescent="0.25">
      <c r="A6281" t="str">
        <f>"20190304165009639"</f>
        <v>20190304165009639</v>
      </c>
      <c r="B6281" t="str">
        <f>"1551689409631911"</f>
        <v>1551689409631911</v>
      </c>
      <c r="C6281" t="s">
        <v>40</v>
      </c>
      <c r="D6281">
        <v>4.8680009999999996</v>
      </c>
      <c r="E6281">
        <v>0.56886499999999995</v>
      </c>
      <c r="F6281" t="s">
        <v>41</v>
      </c>
      <c r="G6281">
        <v>-318.0421</v>
      </c>
      <c r="H6281">
        <v>0.96131350000000004</v>
      </c>
      <c r="I6281">
        <v>15.372339999999999</v>
      </c>
      <c r="J6281">
        <v>-318.6044</v>
      </c>
      <c r="K6281">
        <v>1.095491</v>
      </c>
      <c r="L6281">
        <v>15.7472799999999</v>
      </c>
      <c r="M6281">
        <v>0.96273010000000003</v>
      </c>
      <c r="N6281">
        <v>-2.0161490000000001E-2</v>
      </c>
      <c r="O6281">
        <v>-0.26971119999999998</v>
      </c>
      <c r="P6281">
        <v>0.83312730000000002</v>
      </c>
      <c r="Q6281">
        <v>0.39884419999999998</v>
      </c>
      <c r="R6281">
        <v>-0.38317390000000001</v>
      </c>
      <c r="S6281">
        <v>3.0516359999999998</v>
      </c>
      <c r="T6281">
        <v>-0.58202699999999996</v>
      </c>
      <c r="U6281">
        <v>-1.8073429999999999</v>
      </c>
      <c r="V6281">
        <v>0.1544326</v>
      </c>
      <c r="W6281">
        <v>0.41334799999999999</v>
      </c>
      <c r="X6281">
        <v>0.89738180000000001</v>
      </c>
      <c r="Y6281">
        <v>0.25749650000000002</v>
      </c>
      <c r="Z6281">
        <v>1.5439670000000001E-2</v>
      </c>
      <c r="AA6281">
        <v>0.96615589999999996</v>
      </c>
      <c r="AB6281">
        <v>31</v>
      </c>
      <c r="AC6281">
        <v>0.56229999999999303</v>
      </c>
      <c r="AD6281">
        <v>-0.13417749999999901</v>
      </c>
      <c r="AE6281">
        <v>-0.374939999999998</v>
      </c>
      <c r="AF6281">
        <v>0.201411204326364</v>
      </c>
      <c r="AG6281">
        <v>-0.13417749999999901</v>
      </c>
      <c r="AH6281">
        <v>0.61823124840662402</v>
      </c>
      <c r="AI6281">
        <v>101.659855385017</v>
      </c>
      <c r="AJ6281">
        <v>71.955105704003103</v>
      </c>
      <c r="AK6281">
        <v>0.66391260813518105</v>
      </c>
      <c r="AL6281">
        <v>65.584676017868304</v>
      </c>
      <c r="AM6281">
        <v>80.235476038795596</v>
      </c>
      <c r="AN6281">
        <v>1.00000004600899</v>
      </c>
    </row>
    <row r="6282" spans="1:40" x14ac:dyDescent="0.25">
      <c r="A6282" t="str">
        <f>"20190304165009650"</f>
        <v>20190304165009650</v>
      </c>
      <c r="B6282" t="str">
        <f>"1551689409641671"</f>
        <v>1551689409641671</v>
      </c>
      <c r="C6282" t="s">
        <v>40</v>
      </c>
      <c r="D6282">
        <v>4.8877160000000002</v>
      </c>
      <c r="E6282">
        <v>0.56871090000000002</v>
      </c>
      <c r="F6282" t="s">
        <v>43</v>
      </c>
      <c r="G6282">
        <v>-312.65140000000002</v>
      </c>
      <c r="H6282">
        <v>-0.05</v>
      </c>
      <c r="I6282">
        <v>12.185930000000001</v>
      </c>
      <c r="J6282">
        <v>-318.45100000000002</v>
      </c>
      <c r="K6282">
        <v>1.094741</v>
      </c>
      <c r="L6282">
        <v>15.699979999999901</v>
      </c>
      <c r="M6282">
        <v>0.96120099999999997</v>
      </c>
      <c r="N6282">
        <v>-2.0882399999999999E-2</v>
      </c>
      <c r="O6282">
        <v>-0.27505770000000002</v>
      </c>
      <c r="P6282">
        <v>0.83120169999999904</v>
      </c>
      <c r="Q6282">
        <v>0.39819110000000002</v>
      </c>
      <c r="R6282">
        <v>-0.3880054</v>
      </c>
      <c r="S6282">
        <v>3.043793</v>
      </c>
      <c r="T6282">
        <v>-0.58569099999999996</v>
      </c>
      <c r="U6282">
        <v>-1.8209230000000001</v>
      </c>
      <c r="V6282">
        <v>0.15453229999999901</v>
      </c>
      <c r="W6282">
        <v>0.41335749999999999</v>
      </c>
      <c r="X6282">
        <v>0.89736019999999905</v>
      </c>
      <c r="Y6282">
        <v>0.25641520000000001</v>
      </c>
      <c r="Z6282">
        <v>1.6202089999999999E-2</v>
      </c>
      <c r="AA6282">
        <v>0.96643100000000004</v>
      </c>
      <c r="AB6282">
        <v>31</v>
      </c>
      <c r="AC6282">
        <v>5.7995999999999404</v>
      </c>
      <c r="AD6282">
        <v>-1.144741</v>
      </c>
      <c r="AE6282">
        <v>-3.5140499999999899</v>
      </c>
      <c r="AF6282">
        <v>1.73347251363577</v>
      </c>
      <c r="AG6282">
        <v>-1.144741</v>
      </c>
      <c r="AH6282">
        <v>6.3612922436442796</v>
      </c>
      <c r="AI6282">
        <v>99.849683241591705</v>
      </c>
      <c r="AJ6282">
        <v>74.756831407303906</v>
      </c>
      <c r="AK6282">
        <v>6.6918904594785902</v>
      </c>
      <c r="AL6282">
        <v>65.584076833669201</v>
      </c>
      <c r="AM6282">
        <v>80.229062982941301</v>
      </c>
      <c r="AN6282">
        <v>0.99999999154678998</v>
      </c>
    </row>
    <row r="6283" spans="1:40" x14ac:dyDescent="0.25">
      <c r="A6283" t="str">
        <f>"20190304165009661"</f>
        <v>20190304165009661</v>
      </c>
      <c r="B6283" t="str">
        <f>"1551689409652406"</f>
        <v>1551689409652406</v>
      </c>
      <c r="C6283" t="s">
        <v>40</v>
      </c>
      <c r="D6283">
        <v>4.9011019999999998</v>
      </c>
      <c r="E6283">
        <v>0.56854609999999906</v>
      </c>
      <c r="F6283" t="s">
        <v>41</v>
      </c>
      <c r="G6283">
        <v>-317.77170000000001</v>
      </c>
      <c r="H6283">
        <v>0.96237159999999999</v>
      </c>
      <c r="I6283">
        <v>15.28903</v>
      </c>
      <c r="J6283">
        <v>-318.30650000000003</v>
      </c>
      <c r="K6283">
        <v>1.093907</v>
      </c>
      <c r="L6283">
        <v>15.6546</v>
      </c>
      <c r="M6283">
        <v>0.95973459999999999</v>
      </c>
      <c r="N6283">
        <v>-2.153648E-2</v>
      </c>
      <c r="O6283">
        <v>-0.28008189999999999</v>
      </c>
      <c r="P6283">
        <v>0.82938650000000003</v>
      </c>
      <c r="Q6283">
        <v>0.39755030000000002</v>
      </c>
      <c r="R6283">
        <v>-0.39252009999999998</v>
      </c>
      <c r="S6283">
        <v>3.0354920000000001</v>
      </c>
      <c r="T6283">
        <v>-0.59080580000000005</v>
      </c>
      <c r="U6283">
        <v>-1.83551</v>
      </c>
      <c r="V6283">
        <v>0.15466479999999999</v>
      </c>
      <c r="W6283">
        <v>0.4132941</v>
      </c>
      <c r="X6283">
        <v>0.89736659999999902</v>
      </c>
      <c r="Y6283">
        <v>0.25593840000000001</v>
      </c>
      <c r="Z6283">
        <v>1.6952780000000001E-2</v>
      </c>
      <c r="AA6283">
        <v>0.96654439999999997</v>
      </c>
      <c r="AB6283">
        <v>31</v>
      </c>
      <c r="AC6283">
        <v>0.53480000000001804</v>
      </c>
      <c r="AD6283">
        <v>-0.131535399999999</v>
      </c>
      <c r="AE6283">
        <v>-0.36557000000000101</v>
      </c>
      <c r="AF6283">
        <v>0.193145922998087</v>
      </c>
      <c r="AG6283">
        <v>-0.131535399999999</v>
      </c>
      <c r="AH6283">
        <v>0.59141531773642397</v>
      </c>
      <c r="AI6283">
        <v>101.937617908365</v>
      </c>
      <c r="AJ6283">
        <v>71.913865524508694</v>
      </c>
      <c r="AK6283">
        <v>0.63590800205471398</v>
      </c>
      <c r="AL6283">
        <v>65.588066680016695</v>
      </c>
      <c r="AM6283">
        <v>80.220915218081799</v>
      </c>
      <c r="AN6283">
        <v>1.0000000141247001</v>
      </c>
    </row>
    <row r="6284" spans="1:40" x14ac:dyDescent="0.25">
      <c r="A6284" t="str">
        <f>"20190304165009671"</f>
        <v>20190304165009671</v>
      </c>
      <c r="B6284" t="str">
        <f>"1551689409662166"</f>
        <v>1551689409662166</v>
      </c>
      <c r="C6284" t="s">
        <v>40</v>
      </c>
      <c r="D6284">
        <v>4.5538740000000004</v>
      </c>
      <c r="E6284">
        <v>0.56921499999999903</v>
      </c>
      <c r="F6284" t="s">
        <v>41</v>
      </c>
      <c r="G6284">
        <v>-317.50889999999998</v>
      </c>
      <c r="H6284">
        <v>0.93692359999999997</v>
      </c>
      <c r="I6284">
        <v>15.167160000000001</v>
      </c>
      <c r="J6284">
        <v>-318.1558</v>
      </c>
      <c r="K6284">
        <v>1.0929409999999999</v>
      </c>
      <c r="L6284">
        <v>15.60666</v>
      </c>
      <c r="M6284">
        <v>0.95817739999999996</v>
      </c>
      <c r="N6284">
        <v>-2.219867E-2</v>
      </c>
      <c r="O6284">
        <v>-0.28531269999999997</v>
      </c>
      <c r="P6284">
        <v>0.82764380000000004</v>
      </c>
      <c r="Q6284">
        <v>0.39717390000000002</v>
      </c>
      <c r="R6284">
        <v>-0.39655859999999998</v>
      </c>
      <c r="S6284">
        <v>3.027161</v>
      </c>
      <c r="T6284">
        <v>-0.59578509999999996</v>
      </c>
      <c r="U6284">
        <v>-1.8500369999999999</v>
      </c>
      <c r="V6284">
        <v>0.15417979999999901</v>
      </c>
      <c r="W6284">
        <v>0.41349809999999998</v>
      </c>
      <c r="X6284">
        <v>0.89735599999999904</v>
      </c>
      <c r="Y6284">
        <v>0.25523990000000002</v>
      </c>
      <c r="Z6284">
        <v>1.775616E-2</v>
      </c>
      <c r="AA6284">
        <v>0.96671470000000004</v>
      </c>
      <c r="AB6284">
        <v>31</v>
      </c>
      <c r="AC6284">
        <v>0.64690000000001602</v>
      </c>
      <c r="AD6284">
        <v>-0.1560174</v>
      </c>
      <c r="AE6284">
        <v>-0.439499999999998</v>
      </c>
      <c r="AF6284">
        <v>0.227552572465575</v>
      </c>
      <c r="AG6284">
        <v>-0.1560174</v>
      </c>
      <c r="AH6284">
        <v>0.71689335964729695</v>
      </c>
      <c r="AI6284">
        <v>101.71873184261599</v>
      </c>
      <c r="AJ6284">
        <v>72.389790644447302</v>
      </c>
      <c r="AK6284">
        <v>0.76815212780076902</v>
      </c>
      <c r="AL6284">
        <v>65.575228201676495</v>
      </c>
      <c r="AM6284">
        <v>80.250878297810701</v>
      </c>
      <c r="AN6284">
        <v>0.99999994008382298</v>
      </c>
    </row>
    <row r="6285" spans="1:40" x14ac:dyDescent="0.25">
      <c r="A6285" t="str">
        <f>"20190304165009683"</f>
        <v>20190304165009683</v>
      </c>
      <c r="B6285" t="str">
        <f>"1551689409671926"</f>
        <v>1551689409671926</v>
      </c>
      <c r="C6285" t="s">
        <v>40</v>
      </c>
      <c r="D6285">
        <v>4.5653779999999999</v>
      </c>
      <c r="E6285">
        <v>0.56983719999999904</v>
      </c>
      <c r="F6285" t="s">
        <v>41</v>
      </c>
      <c r="G6285">
        <v>-317.5009</v>
      </c>
      <c r="H6285">
        <v>0.96481629999999996</v>
      </c>
      <c r="I6285">
        <v>15.200049999999999</v>
      </c>
      <c r="J6285">
        <v>-318.00290000000001</v>
      </c>
      <c r="K6285">
        <v>1.091772</v>
      </c>
      <c r="L6285">
        <v>15.556789999999999</v>
      </c>
      <c r="M6285">
        <v>0.9566036</v>
      </c>
      <c r="N6285">
        <v>-2.2804000000000001E-2</v>
      </c>
      <c r="O6285">
        <v>-0.2904989</v>
      </c>
      <c r="P6285">
        <v>0.82603919999999997</v>
      </c>
      <c r="Q6285">
        <v>0.39702920000000003</v>
      </c>
      <c r="R6285">
        <v>-0.40003450000000002</v>
      </c>
      <c r="S6285">
        <v>3.0115660000000002</v>
      </c>
      <c r="T6285">
        <v>-0.58919489999999997</v>
      </c>
      <c r="U6285">
        <v>-1.869934</v>
      </c>
      <c r="V6285">
        <v>0.15326129999999999</v>
      </c>
      <c r="W6285">
        <v>0.413858</v>
      </c>
      <c r="X6285">
        <v>0.89734749999999996</v>
      </c>
      <c r="Y6285">
        <v>0.25684509999999999</v>
      </c>
      <c r="Z6285">
        <v>1.7860629999999999E-2</v>
      </c>
      <c r="AA6285">
        <v>0.96628760000000002</v>
      </c>
      <c r="AB6285">
        <v>31</v>
      </c>
      <c r="AC6285">
        <v>0.50200000000000899</v>
      </c>
      <c r="AD6285">
        <v>-0.12695569999999901</v>
      </c>
      <c r="AE6285">
        <v>-0.35674</v>
      </c>
      <c r="AF6285">
        <v>0.18751050133929001</v>
      </c>
      <c r="AG6285">
        <v>-0.12695569999999901</v>
      </c>
      <c r="AH6285">
        <v>0.56019287823295305</v>
      </c>
      <c r="AI6285">
        <v>102.128887473502</v>
      </c>
      <c r="AJ6285">
        <v>71.493323701791596</v>
      </c>
      <c r="AK6285">
        <v>0.60423008754771801</v>
      </c>
      <c r="AL6285">
        <v>65.552580206861705</v>
      </c>
      <c r="AM6285">
        <v>80.3077621415826</v>
      </c>
      <c r="AN6285">
        <v>1.00000000299897</v>
      </c>
    </row>
    <row r="6286" spans="1:40" x14ac:dyDescent="0.25">
      <c r="A6286" t="str">
        <f>"20190304165009695"</f>
        <v>20190304165009695</v>
      </c>
      <c r="B6286" t="str">
        <f>"1551689409691447"</f>
        <v>1551689409691447</v>
      </c>
      <c r="C6286" t="s">
        <v>40</v>
      </c>
      <c r="D6286">
        <v>4.6162739999999998</v>
      </c>
      <c r="E6286">
        <v>0.56970390000000004</v>
      </c>
      <c r="F6286" t="s">
        <v>43</v>
      </c>
      <c r="G6286">
        <v>-312.1223</v>
      </c>
      <c r="H6286">
        <v>-0.05</v>
      </c>
      <c r="I6286">
        <v>11.848179999999999</v>
      </c>
      <c r="J6286">
        <v>-317.85449999999997</v>
      </c>
      <c r="K6286">
        <v>1.090581</v>
      </c>
      <c r="L6286">
        <v>15.5080299999999</v>
      </c>
      <c r="M6286">
        <v>0.95506060000000004</v>
      </c>
      <c r="N6286">
        <v>-2.336827E-2</v>
      </c>
      <c r="O6286">
        <v>-0.29548790000000003</v>
      </c>
      <c r="P6286">
        <v>0.82446810000000004</v>
      </c>
      <c r="Q6286">
        <v>0.39709480000000003</v>
      </c>
      <c r="R6286">
        <v>-0.40319769999999999</v>
      </c>
      <c r="S6286">
        <v>2.9963069999999998</v>
      </c>
      <c r="T6286">
        <v>-0.58175669999999902</v>
      </c>
      <c r="U6286">
        <v>-1.889618</v>
      </c>
      <c r="V6286">
        <v>0.15224670000000001</v>
      </c>
      <c r="W6286">
        <v>0.41438409999999898</v>
      </c>
      <c r="X6286">
        <v>0.897277399999999</v>
      </c>
      <c r="Y6286">
        <v>0.2585518</v>
      </c>
      <c r="Z6286">
        <v>1.7879229999999999E-2</v>
      </c>
      <c r="AA6286">
        <v>0.96583189999999997</v>
      </c>
      <c r="AB6286">
        <v>31</v>
      </c>
      <c r="AC6286">
        <v>5.7321999999999704</v>
      </c>
      <c r="AD6286">
        <v>-1.1405809999999901</v>
      </c>
      <c r="AE6286">
        <v>-3.6598499999999898</v>
      </c>
      <c r="AF6286">
        <v>1.7527754986693</v>
      </c>
      <c r="AG6286">
        <v>-1.1405809999999901</v>
      </c>
      <c r="AH6286">
        <v>6.3784278388454201</v>
      </c>
      <c r="AI6286">
        <v>99.783125463100504</v>
      </c>
      <c r="AJ6286">
        <v>74.634540352086603</v>
      </c>
      <c r="AK6286">
        <v>6.7124875166851998</v>
      </c>
      <c r="AL6286">
        <v>65.519463326119407</v>
      </c>
      <c r="AM6286">
        <v>80.369981926083696</v>
      </c>
      <c r="AN6286">
        <v>0.99999998627222897</v>
      </c>
    </row>
    <row r="6287" spans="1:40" x14ac:dyDescent="0.25">
      <c r="A6287" t="str">
        <f>"20190304165009707"</f>
        <v>20190304165009707</v>
      </c>
      <c r="B6287" t="str">
        <f>"1551689409702182"</f>
        <v>1551689409702182</v>
      </c>
      <c r="C6287" t="s">
        <v>40</v>
      </c>
      <c r="D6287">
        <v>4.9376709999999999</v>
      </c>
      <c r="E6287">
        <v>0.56951450000000003</v>
      </c>
      <c r="F6287" t="s">
        <v>41</v>
      </c>
      <c r="G6287">
        <v>-317.2303</v>
      </c>
      <c r="H6287">
        <v>0.96871819999999997</v>
      </c>
      <c r="I6287">
        <v>15.109819999999999</v>
      </c>
      <c r="J6287">
        <v>-317.69959999999998</v>
      </c>
      <c r="K6287">
        <v>1.0891500000000001</v>
      </c>
      <c r="L6287">
        <v>15.45532</v>
      </c>
      <c r="M6287">
        <v>0.95346949999999997</v>
      </c>
      <c r="N6287">
        <v>-2.38319E-2</v>
      </c>
      <c r="O6287">
        <v>-0.30054639999999999</v>
      </c>
      <c r="P6287">
        <v>0.82277540000000005</v>
      </c>
      <c r="Q6287">
        <v>0.39730949999999998</v>
      </c>
      <c r="R6287">
        <v>-0.40643099999999999</v>
      </c>
      <c r="S6287">
        <v>2.9876710000000002</v>
      </c>
      <c r="T6287">
        <v>-0.58240099999999995</v>
      </c>
      <c r="U6287">
        <v>-1.904846</v>
      </c>
      <c r="V6287">
        <v>0.1513524</v>
      </c>
      <c r="W6287">
        <v>0.41493600000000003</v>
      </c>
      <c r="X6287">
        <v>0.89717359999999902</v>
      </c>
      <c r="Y6287">
        <v>0.25821909999999998</v>
      </c>
      <c r="Z6287">
        <v>1.848346E-2</v>
      </c>
      <c r="AA6287">
        <v>0.96590949999999998</v>
      </c>
      <c r="AB6287">
        <v>31</v>
      </c>
      <c r="AC6287">
        <v>0.46929999999997501</v>
      </c>
      <c r="AD6287">
        <v>-0.12043180000000001</v>
      </c>
      <c r="AE6287">
        <v>-0.34549999999999897</v>
      </c>
      <c r="AF6287">
        <v>0.180713085774836</v>
      </c>
      <c r="AG6287">
        <v>-0.12043180000000001</v>
      </c>
      <c r="AH6287">
        <v>0.52887208704805699</v>
      </c>
      <c r="AI6287">
        <v>102.16028627783299</v>
      </c>
      <c r="AJ6287">
        <v>71.134945387450003</v>
      </c>
      <c r="AK6287">
        <v>0.57172259206722897</v>
      </c>
      <c r="AL6287">
        <v>65.484712550884694</v>
      </c>
      <c r="AM6287">
        <v>80.424411398598593</v>
      </c>
      <c r="AN6287">
        <v>0.999999950809358</v>
      </c>
    </row>
    <row r="6288" spans="1:40" x14ac:dyDescent="0.25">
      <c r="A6288" t="str">
        <f>"20190304165009718"</f>
        <v>20190304165009718</v>
      </c>
      <c r="B6288" t="str">
        <f>"1551689409711942"</f>
        <v>1551689409711942</v>
      </c>
      <c r="C6288" t="s">
        <v>40</v>
      </c>
      <c r="D6288">
        <v>4.9385190000000003</v>
      </c>
      <c r="E6288">
        <v>0.56931980000000004</v>
      </c>
      <c r="F6288" t="s">
        <v>41</v>
      </c>
      <c r="G6288">
        <v>-316.97789999999998</v>
      </c>
      <c r="H6288">
        <v>0.94796610000000003</v>
      </c>
      <c r="I6288">
        <v>14.99029</v>
      </c>
      <c r="J6288">
        <v>-317.53550000000001</v>
      </c>
      <c r="K6288">
        <v>1.0875870000000001</v>
      </c>
      <c r="L6288">
        <v>15.39899</v>
      </c>
      <c r="M6288">
        <v>0.95177259999999997</v>
      </c>
      <c r="N6288">
        <v>-2.4281199999999999E-2</v>
      </c>
      <c r="O6288">
        <v>-0.30584220000000001</v>
      </c>
      <c r="P6288">
        <v>0.82085620000000004</v>
      </c>
      <c r="Q6288">
        <v>0.39792939999999999</v>
      </c>
      <c r="R6288">
        <v>-0.40969179999999999</v>
      </c>
      <c r="S6288">
        <v>2.9792480000000001</v>
      </c>
      <c r="T6288">
        <v>-0.58317699999999995</v>
      </c>
      <c r="U6288">
        <v>-1.920258</v>
      </c>
      <c r="V6288">
        <v>0.1503612</v>
      </c>
      <c r="W6288">
        <v>0.41587160000000001</v>
      </c>
      <c r="X6288">
        <v>0.89690709999999996</v>
      </c>
      <c r="Y6288">
        <v>0.25765080000000001</v>
      </c>
      <c r="Z6288">
        <v>1.9152249999999999E-2</v>
      </c>
      <c r="AA6288">
        <v>0.96604829999999997</v>
      </c>
      <c r="AB6288">
        <v>31</v>
      </c>
      <c r="AC6288">
        <v>0.55760000000003596</v>
      </c>
      <c r="AD6288">
        <v>-0.13962089999999999</v>
      </c>
      <c r="AE6288">
        <v>-0.40869999999999901</v>
      </c>
      <c r="AF6288">
        <v>0.20995303796654299</v>
      </c>
      <c r="AG6288">
        <v>-0.13962089999999999</v>
      </c>
      <c r="AH6288">
        <v>0.63019603180112305</v>
      </c>
      <c r="AI6288">
        <v>101.870395980019</v>
      </c>
      <c r="AJ6288">
        <v>71.574241177371604</v>
      </c>
      <c r="AK6288">
        <v>0.67876454854836998</v>
      </c>
      <c r="AL6288">
        <v>65.425783031799497</v>
      </c>
      <c r="AM6288">
        <v>80.483196206965403</v>
      </c>
      <c r="AN6288">
        <v>1.0000000120912</v>
      </c>
    </row>
    <row r="6289" spans="1:40" x14ac:dyDescent="0.25">
      <c r="A6289" t="str">
        <f>"20190304165009728"</f>
        <v>20190304165009728</v>
      </c>
      <c r="B6289" t="str">
        <f>"1551689409721702"</f>
        <v>1551689409721702</v>
      </c>
      <c r="C6289" t="s">
        <v>40</v>
      </c>
      <c r="D6289">
        <v>4.9532569999999998</v>
      </c>
      <c r="E6289">
        <v>0.56913559999999996</v>
      </c>
      <c r="F6289" t="s">
        <v>43</v>
      </c>
      <c r="G6289">
        <v>-311.73419999999999</v>
      </c>
      <c r="H6289">
        <v>-0.05</v>
      </c>
      <c r="I6289">
        <v>11.618499999999999</v>
      </c>
      <c r="J6289">
        <v>-317.39609999999999</v>
      </c>
      <c r="K6289">
        <v>1.086185</v>
      </c>
      <c r="L6289">
        <v>15.34985</v>
      </c>
      <c r="M6289">
        <v>0.95034039999999997</v>
      </c>
      <c r="N6289">
        <v>-2.4587169999999998E-2</v>
      </c>
      <c r="O6289">
        <v>-0.31024000000000002</v>
      </c>
      <c r="P6289">
        <v>0.81932150000000004</v>
      </c>
      <c r="Q6289">
        <v>0.39846280000000001</v>
      </c>
      <c r="R6289">
        <v>-0.41223799999999999</v>
      </c>
      <c r="S6289">
        <v>2.9708860000000001</v>
      </c>
      <c r="T6289">
        <v>-0.58256409999999903</v>
      </c>
      <c r="U6289">
        <v>-1.936005</v>
      </c>
      <c r="V6289">
        <v>0.14938219999999999</v>
      </c>
      <c r="W6289">
        <v>0.41660649999999999</v>
      </c>
      <c r="X6289">
        <v>0.89672960000000002</v>
      </c>
      <c r="Y6289">
        <v>0.25803789999999999</v>
      </c>
      <c r="Z6289">
        <v>1.958551E-2</v>
      </c>
      <c r="AA6289">
        <v>0.96593620000000002</v>
      </c>
      <c r="AB6289">
        <v>31</v>
      </c>
      <c r="AC6289">
        <v>5.6619000000000002</v>
      </c>
      <c r="AD6289">
        <v>-1.136185</v>
      </c>
      <c r="AE6289">
        <v>-3.7313499999999999</v>
      </c>
      <c r="AF6289">
        <v>1.7411616317935099</v>
      </c>
      <c r="AG6289">
        <v>-1.136185</v>
      </c>
      <c r="AH6289">
        <v>6.3617140349861598</v>
      </c>
      <c r="AI6289">
        <v>99.7739545281581</v>
      </c>
      <c r="AJ6289">
        <v>74.693350354669207</v>
      </c>
      <c r="AK6289">
        <v>6.6928294199982998</v>
      </c>
      <c r="AL6289">
        <v>65.379473656232904</v>
      </c>
      <c r="AM6289">
        <v>80.542199485326705</v>
      </c>
      <c r="AN6289">
        <v>0.99999999651762495</v>
      </c>
    </row>
    <row r="6290" spans="1:40" x14ac:dyDescent="0.25">
      <c r="A6290" t="str">
        <f>"20190304165009739"</f>
        <v>20190304165009739</v>
      </c>
      <c r="B6290" t="str">
        <f>"1551689409731462"</f>
        <v>1551689409731462</v>
      </c>
      <c r="C6290" t="s">
        <v>40</v>
      </c>
      <c r="D6290">
        <v>4.9411250000000004</v>
      </c>
      <c r="E6290">
        <v>0.56894100000000003</v>
      </c>
      <c r="F6290" t="s">
        <v>41</v>
      </c>
      <c r="G6290">
        <v>-316.71140000000003</v>
      </c>
      <c r="H6290">
        <v>0.95147510000000002</v>
      </c>
      <c r="I6290">
        <v>14.89959</v>
      </c>
      <c r="J6290">
        <v>-317.25700000000001</v>
      </c>
      <c r="K6290">
        <v>1.084776</v>
      </c>
      <c r="L6290">
        <v>15.30017</v>
      </c>
      <c r="M6290">
        <v>0.94890739999999996</v>
      </c>
      <c r="N6290">
        <v>-2.486153E-2</v>
      </c>
      <c r="O6290">
        <v>-0.31457390000000002</v>
      </c>
      <c r="P6290">
        <v>0.81757500000000005</v>
      </c>
      <c r="Q6290">
        <v>0.39909319999999998</v>
      </c>
      <c r="R6290">
        <v>-0.4150857</v>
      </c>
      <c r="S6290">
        <v>2.9644780000000002</v>
      </c>
      <c r="T6290">
        <v>-0.58227779999999996</v>
      </c>
      <c r="U6290">
        <v>-1.948242</v>
      </c>
      <c r="V6290">
        <v>0.1487996</v>
      </c>
      <c r="W6290">
        <v>0.41740349999999998</v>
      </c>
      <c r="X6290">
        <v>0.89645580000000002</v>
      </c>
      <c r="Y6290">
        <v>0.25740400000000002</v>
      </c>
      <c r="Z6290">
        <v>2.0133959999999999E-2</v>
      </c>
      <c r="AA6290">
        <v>0.96609409999999896</v>
      </c>
      <c r="AB6290">
        <v>31</v>
      </c>
      <c r="AC6290">
        <v>0.54559999999997899</v>
      </c>
      <c r="AD6290">
        <v>-0.133300899999999</v>
      </c>
      <c r="AE6290">
        <v>-0.40058000000000099</v>
      </c>
      <c r="AF6290">
        <v>0.20075977831297601</v>
      </c>
      <c r="AG6290">
        <v>-0.133300899999999</v>
      </c>
      <c r="AH6290">
        <v>0.61989233894556595</v>
      </c>
      <c r="AI6290">
        <v>101.561894438156</v>
      </c>
      <c r="AJ6290">
        <v>72.054814424129304</v>
      </c>
      <c r="AK6290">
        <v>0.66508655858654198</v>
      </c>
      <c r="AL6290">
        <v>65.329232270382803</v>
      </c>
      <c r="AM6290">
        <v>80.575596939074202</v>
      </c>
      <c r="AN6290">
        <v>1.00000000206302</v>
      </c>
    </row>
    <row r="6291" spans="1:40" x14ac:dyDescent="0.25">
      <c r="A6291" t="str">
        <f>"20190304165009750"</f>
        <v>20190304165009750</v>
      </c>
      <c r="B6291" t="str">
        <f>"1551689409742199"</f>
        <v>1551689409742199</v>
      </c>
      <c r="C6291" t="s">
        <v>40</v>
      </c>
      <c r="D6291">
        <v>4.6159759999999999</v>
      </c>
      <c r="E6291">
        <v>0.56941209999999998</v>
      </c>
      <c r="F6291" t="s">
        <v>43</v>
      </c>
      <c r="G6291">
        <v>-311.49040000000002</v>
      </c>
      <c r="H6291">
        <v>-0.05</v>
      </c>
      <c r="I6291">
        <v>11.47856</v>
      </c>
      <c r="J6291">
        <v>-317.10309999999998</v>
      </c>
      <c r="K6291">
        <v>1.0832040000000001</v>
      </c>
      <c r="L6291">
        <v>15.24405</v>
      </c>
      <c r="M6291">
        <v>0.94732419999999995</v>
      </c>
      <c r="N6291">
        <v>-2.5117460000000001E-2</v>
      </c>
      <c r="O6291">
        <v>-0.31928990000000002</v>
      </c>
      <c r="P6291">
        <v>0.81565859999999901</v>
      </c>
      <c r="Q6291">
        <v>0.39953050000000001</v>
      </c>
      <c r="R6291">
        <v>-0.41842119999999999</v>
      </c>
      <c r="S6291">
        <v>2.958221</v>
      </c>
      <c r="T6291">
        <v>-0.58212819999999899</v>
      </c>
      <c r="U6291">
        <v>-1.9604490000000001</v>
      </c>
      <c r="V6291">
        <v>0.14836359999999901</v>
      </c>
      <c r="W6291">
        <v>0.41798839999999998</v>
      </c>
      <c r="X6291">
        <v>0.89625549999999998</v>
      </c>
      <c r="Y6291">
        <v>0.25635079999999999</v>
      </c>
      <c r="Z6291">
        <v>2.0788500000000001E-2</v>
      </c>
      <c r="AA6291">
        <v>0.96636029999999995</v>
      </c>
      <c r="AB6291">
        <v>31</v>
      </c>
      <c r="AC6291">
        <v>5.6126999999999496</v>
      </c>
      <c r="AD6291">
        <v>-1.1332040000000001</v>
      </c>
      <c r="AE6291">
        <v>-3.7654899999999998</v>
      </c>
      <c r="AF6291">
        <v>1.7270716610518</v>
      </c>
      <c r="AG6291">
        <v>-1.1332040000000001</v>
      </c>
      <c r="AH6291">
        <v>6.3430759580871996</v>
      </c>
      <c r="AI6291">
        <v>99.780349129506305</v>
      </c>
      <c r="AJ6291">
        <v>74.768913786088902</v>
      </c>
      <c r="AK6291">
        <v>6.6709474917801703</v>
      </c>
      <c r="AL6291">
        <v>65.292347990972303</v>
      </c>
      <c r="AM6291">
        <v>80.600655571007096</v>
      </c>
      <c r="AN6291">
        <v>0.999999990809884</v>
      </c>
    </row>
    <row r="6292" spans="1:40" x14ac:dyDescent="0.25">
      <c r="A6292" t="str">
        <f>"20190304165009763"</f>
        <v>20190304165009763</v>
      </c>
      <c r="B6292" t="str">
        <f>"1551689409751958"</f>
        <v>1551689409751958</v>
      </c>
      <c r="C6292" t="s">
        <v>40</v>
      </c>
      <c r="D6292">
        <v>4.613785</v>
      </c>
      <c r="E6292">
        <v>0.56986759999999903</v>
      </c>
      <c r="F6292" t="s">
        <v>41</v>
      </c>
      <c r="G6292">
        <v>-316.4461</v>
      </c>
      <c r="H6292">
        <v>0.9549202</v>
      </c>
      <c r="I6292">
        <v>14.80254</v>
      </c>
      <c r="J6292">
        <v>-316.95049999999998</v>
      </c>
      <c r="K6292">
        <v>1.0816669999999999</v>
      </c>
      <c r="L6292">
        <v>15.18726</v>
      </c>
      <c r="M6292">
        <v>0.9457371</v>
      </c>
      <c r="N6292">
        <v>-2.5306019999999999E-2</v>
      </c>
      <c r="O6292">
        <v>-0.32394590000000001</v>
      </c>
      <c r="P6292">
        <v>0.81395600000000001</v>
      </c>
      <c r="Q6292">
        <v>0.39976159999999999</v>
      </c>
      <c r="R6292">
        <v>-0.42150530000000003</v>
      </c>
      <c r="S6292">
        <v>2.9446720000000002</v>
      </c>
      <c r="T6292">
        <v>-0.57424969999999997</v>
      </c>
      <c r="U6292">
        <v>-1.977905</v>
      </c>
      <c r="V6292">
        <v>0.14760570000000001</v>
      </c>
      <c r="W6292">
        <v>0.41833969999999998</v>
      </c>
      <c r="X6292">
        <v>0.89621679999999904</v>
      </c>
      <c r="Y6292">
        <v>0.25761319999999999</v>
      </c>
      <c r="Z6292">
        <v>2.0845030000000001E-2</v>
      </c>
      <c r="AA6292">
        <v>0.96602330000000003</v>
      </c>
      <c r="AB6292">
        <v>31</v>
      </c>
      <c r="AC6292">
        <v>0.50439999999997498</v>
      </c>
      <c r="AD6292">
        <v>-0.12674679999999999</v>
      </c>
      <c r="AE6292">
        <v>-0.38472000000000101</v>
      </c>
      <c r="AF6292">
        <v>0.192812887019192</v>
      </c>
      <c r="AG6292">
        <v>-0.12674679999999999</v>
      </c>
      <c r="AH6292">
        <v>0.57874769204896104</v>
      </c>
      <c r="AI6292">
        <v>101.737596644571</v>
      </c>
      <c r="AJ6292">
        <v>71.5742298487867</v>
      </c>
      <c r="AK6292">
        <v>0.62304931727987201</v>
      </c>
      <c r="AL6292">
        <v>65.270191208303103</v>
      </c>
      <c r="AM6292">
        <v>80.647424006638204</v>
      </c>
      <c r="AN6292">
        <v>1.0000000499354</v>
      </c>
    </row>
    <row r="6293" spans="1:40" x14ac:dyDescent="0.25">
      <c r="A6293" t="str">
        <f>"20190304165009776"</f>
        <v>20190304165009776</v>
      </c>
      <c r="B6293" t="str">
        <f>"1551689409771478"</f>
        <v>1551689409771478</v>
      </c>
      <c r="C6293" t="s">
        <v>40</v>
      </c>
      <c r="D6293">
        <v>4.8584079999999998</v>
      </c>
      <c r="E6293">
        <v>0.56951739999999995</v>
      </c>
      <c r="F6293" t="s">
        <v>43</v>
      </c>
      <c r="G6293">
        <v>-311.10320000000002</v>
      </c>
      <c r="H6293">
        <v>-0.05</v>
      </c>
      <c r="I6293">
        <v>11.21289</v>
      </c>
      <c r="J6293">
        <v>-316.77760000000001</v>
      </c>
      <c r="K6293">
        <v>1.0799449999999999</v>
      </c>
      <c r="L6293">
        <v>15.1221</v>
      </c>
      <c r="M6293">
        <v>0.94391380000000003</v>
      </c>
      <c r="N6293">
        <v>-2.5472000000000002E-2</v>
      </c>
      <c r="O6293">
        <v>-0.329208099999999</v>
      </c>
      <c r="P6293">
        <v>0.8120714</v>
      </c>
      <c r="Q6293">
        <v>0.39988859999999998</v>
      </c>
      <c r="R6293">
        <v>-0.42500559999999998</v>
      </c>
      <c r="S6293">
        <v>2.9323429999999999</v>
      </c>
      <c r="T6293">
        <v>-0.56751989999999997</v>
      </c>
      <c r="U6293">
        <v>-1.9931030000000001</v>
      </c>
      <c r="V6293">
        <v>0.1466964</v>
      </c>
      <c r="W6293">
        <v>0.41857919999999998</v>
      </c>
      <c r="X6293">
        <v>0.8962542</v>
      </c>
      <c r="Y6293">
        <v>0.2575789</v>
      </c>
      <c r="Z6293">
        <v>2.116345E-2</v>
      </c>
      <c r="AA6293">
        <v>0.96602549999999998</v>
      </c>
      <c r="AB6293">
        <v>31</v>
      </c>
      <c r="AC6293">
        <v>5.6743999999999897</v>
      </c>
      <c r="AD6293">
        <v>-1.129945</v>
      </c>
      <c r="AE6293">
        <v>-3.9092099999999999</v>
      </c>
      <c r="AF6293">
        <v>1.77476594970709</v>
      </c>
      <c r="AG6293">
        <v>-1.129945</v>
      </c>
      <c r="AH6293">
        <v>6.4712300946054597</v>
      </c>
      <c r="AI6293">
        <v>99.558503919137806</v>
      </c>
      <c r="AJ6293">
        <v>74.663450915004901</v>
      </c>
      <c r="AK6293">
        <v>6.8046593461092604</v>
      </c>
      <c r="AL6293">
        <v>65.255080723634293</v>
      </c>
      <c r="AM6293">
        <v>80.704411308292293</v>
      </c>
      <c r="AN6293">
        <v>0.99999998573161897</v>
      </c>
    </row>
    <row r="6294" spans="1:40" x14ac:dyDescent="0.25">
      <c r="A6294" t="str">
        <f>"20190304165009789"</f>
        <v>20190304165009789</v>
      </c>
      <c r="B6294" t="str">
        <f>"1551689409782214"</f>
        <v>1551689409782214</v>
      </c>
      <c r="C6294" t="s">
        <v>40</v>
      </c>
      <c r="D6294">
        <v>4.8869369999999996</v>
      </c>
      <c r="E6294">
        <v>0.56934830000000003</v>
      </c>
      <c r="F6294" t="s">
        <v>43</v>
      </c>
      <c r="G6294">
        <v>-310.99360000000001</v>
      </c>
      <c r="H6294">
        <v>-0.05</v>
      </c>
      <c r="I6294">
        <v>11.15657</v>
      </c>
      <c r="J6294">
        <v>-316.60079999999999</v>
      </c>
      <c r="K6294">
        <v>1.078281</v>
      </c>
      <c r="L6294">
        <v>15.05353</v>
      </c>
      <c r="M6294">
        <v>0.94199169999999999</v>
      </c>
      <c r="N6294">
        <v>-2.551602E-2</v>
      </c>
      <c r="O6294">
        <v>-0.33466479999999998</v>
      </c>
      <c r="P6294">
        <v>0.81024649999999998</v>
      </c>
      <c r="Q6294">
        <v>0.39969569999999999</v>
      </c>
      <c r="R6294">
        <v>-0.42865389999999998</v>
      </c>
      <c r="S6294">
        <v>2.9258730000000002</v>
      </c>
      <c r="T6294">
        <v>-0.57158710000000001</v>
      </c>
      <c r="U6294">
        <v>-2.0059809999999998</v>
      </c>
      <c r="V6294">
        <v>0.1455765</v>
      </c>
      <c r="W6294">
        <v>0.41843930000000001</v>
      </c>
      <c r="X6294">
        <v>0.89650209999999997</v>
      </c>
      <c r="Y6294">
        <v>0.25594339999999999</v>
      </c>
      <c r="Z6294">
        <v>2.2288780000000001E-2</v>
      </c>
      <c r="AA6294">
        <v>0.96643480000000004</v>
      </c>
      <c r="AB6294">
        <v>31</v>
      </c>
      <c r="AC6294">
        <v>5.6071999999999704</v>
      </c>
      <c r="AD6294">
        <v>-1.1282809999999901</v>
      </c>
      <c r="AE6294">
        <v>-3.8969599999999902</v>
      </c>
      <c r="AF6294">
        <v>1.7472521822781</v>
      </c>
      <c r="AG6294">
        <v>-1.1282809999999901</v>
      </c>
      <c r="AH6294">
        <v>6.4131631103131701</v>
      </c>
      <c r="AI6294">
        <v>99.633840409018504</v>
      </c>
      <c r="AJ6294">
        <v>74.759786381391294</v>
      </c>
      <c r="AK6294">
        <v>6.7420003917916098</v>
      </c>
      <c r="AL6294">
        <v>65.263906617375895</v>
      </c>
      <c r="AM6294">
        <v>80.776657505521996</v>
      </c>
      <c r="AN6294">
        <v>0.99999999022057495</v>
      </c>
    </row>
    <row r="6295" spans="1:40" x14ac:dyDescent="0.25">
      <c r="A6295" t="str">
        <f>"20190304165009800"</f>
        <v>20190304165009800</v>
      </c>
      <c r="B6295" t="str">
        <f>"1551689409791975"</f>
        <v>1551689409791975</v>
      </c>
      <c r="C6295" t="s">
        <v>40</v>
      </c>
      <c r="D6295">
        <v>4.9516710000000002</v>
      </c>
      <c r="E6295">
        <v>0.56914540000000002</v>
      </c>
      <c r="F6295" t="s">
        <v>41</v>
      </c>
      <c r="G6295">
        <v>-315.93209999999999</v>
      </c>
      <c r="H6295">
        <v>0.94654510000000003</v>
      </c>
      <c r="I6295">
        <v>14.5906</v>
      </c>
      <c r="J6295">
        <v>-316.45</v>
      </c>
      <c r="K6295">
        <v>1.076916</v>
      </c>
      <c r="L6295">
        <v>14.994199999999999</v>
      </c>
      <c r="M6295">
        <v>0.94030729999999996</v>
      </c>
      <c r="N6295">
        <v>-2.549972E-2</v>
      </c>
      <c r="O6295">
        <v>-0.33937040000000002</v>
      </c>
      <c r="P6295">
        <v>0.80871990000000005</v>
      </c>
      <c r="Q6295">
        <v>0.39965699999999998</v>
      </c>
      <c r="R6295">
        <v>-0.43156349999999999</v>
      </c>
      <c r="S6295">
        <v>2.9176329999999999</v>
      </c>
      <c r="T6295">
        <v>-0.57429909999999995</v>
      </c>
      <c r="U6295">
        <v>-2.0192260000000002</v>
      </c>
      <c r="V6295">
        <v>0.14430780000000001</v>
      </c>
      <c r="W6295">
        <v>0.41842550000000001</v>
      </c>
      <c r="X6295">
        <v>0.89671369999999895</v>
      </c>
      <c r="Y6295">
        <v>0.25540390000000002</v>
      </c>
      <c r="Z6295">
        <v>2.3175479999999998E-2</v>
      </c>
      <c r="AA6295">
        <v>0.96655670000000005</v>
      </c>
      <c r="AB6295">
        <v>31</v>
      </c>
      <c r="AC6295">
        <v>0.51789999999999703</v>
      </c>
      <c r="AD6295">
        <v>-0.13037090000000001</v>
      </c>
      <c r="AE6295">
        <v>-0.40359999999999902</v>
      </c>
      <c r="AF6295">
        <v>0.19608376835184099</v>
      </c>
      <c r="AG6295">
        <v>-0.13037090000000001</v>
      </c>
      <c r="AH6295">
        <v>0.600483924321774</v>
      </c>
      <c r="AI6295">
        <v>101.661256453874</v>
      </c>
      <c r="AJ6295">
        <v>71.915917872915401</v>
      </c>
      <c r="AK6295">
        <v>0.64500105360126903</v>
      </c>
      <c r="AL6295">
        <v>65.264778751935694</v>
      </c>
      <c r="AM6295">
        <v>80.857796514693902</v>
      </c>
      <c r="AN6295">
        <v>1.00000004997938</v>
      </c>
    </row>
    <row r="6296" spans="1:40" x14ac:dyDescent="0.25">
      <c r="A6296" t="str">
        <f>"20190304165009811"</f>
        <v>20190304165009811</v>
      </c>
      <c r="B6296" t="str">
        <f>"1551689409801734"</f>
        <v>1551689409801734</v>
      </c>
      <c r="C6296" t="s">
        <v>40</v>
      </c>
      <c r="D6296">
        <v>4.9527929999999998</v>
      </c>
      <c r="E6296">
        <v>0.56892640000000005</v>
      </c>
      <c r="F6296" t="s">
        <v>41</v>
      </c>
      <c r="G6296">
        <v>-315.68040000000002</v>
      </c>
      <c r="H6296">
        <v>0.92427590000000004</v>
      </c>
      <c r="I6296">
        <v>14.457420000000001</v>
      </c>
      <c r="J6296">
        <v>-316.31119999999999</v>
      </c>
      <c r="K6296">
        <v>1.0757099999999999</v>
      </c>
      <c r="L6296">
        <v>14.938840000000001</v>
      </c>
      <c r="M6296">
        <v>0.93871689999999997</v>
      </c>
      <c r="N6296">
        <v>-2.5436150000000001E-2</v>
      </c>
      <c r="O6296">
        <v>-0.34374900000000003</v>
      </c>
      <c r="P6296">
        <v>0.8074479</v>
      </c>
      <c r="Q6296">
        <v>0.3994859</v>
      </c>
      <c r="R6296">
        <v>-0.43409569999999997</v>
      </c>
      <c r="S6296">
        <v>2.9113769999999999</v>
      </c>
      <c r="T6296">
        <v>-0.57706089999999999</v>
      </c>
      <c r="U6296">
        <v>-2.0301819999999999</v>
      </c>
      <c r="V6296">
        <v>0.1428461</v>
      </c>
      <c r="W6296">
        <v>0.41826259999999998</v>
      </c>
      <c r="X6296">
        <v>0.89702359999999903</v>
      </c>
      <c r="Y6296">
        <v>0.2543782</v>
      </c>
      <c r="Z6296">
        <v>2.4088760000000001E-2</v>
      </c>
      <c r="AA6296">
        <v>0.96680480000000002</v>
      </c>
      <c r="AB6296">
        <v>31</v>
      </c>
      <c r="AC6296">
        <v>0.63079999999996506</v>
      </c>
      <c r="AD6296">
        <v>-0.15143409999999899</v>
      </c>
      <c r="AE6296">
        <v>-0.48141999999999802</v>
      </c>
      <c r="AF6296">
        <v>0.22689304269079399</v>
      </c>
      <c r="AG6296">
        <v>-0.15143409999999899</v>
      </c>
      <c r="AH6296">
        <v>0.73124414837084795</v>
      </c>
      <c r="AI6296">
        <v>101.18805239402</v>
      </c>
      <c r="AJ6296">
        <v>72.761742270702797</v>
      </c>
      <c r="AK6296">
        <v>0.78046828506410404</v>
      </c>
      <c r="AL6296">
        <v>65.275052669659303</v>
      </c>
      <c r="AM6296">
        <v>80.951932944459898</v>
      </c>
      <c r="AN6296">
        <v>0.99999997490046399</v>
      </c>
    </row>
    <row r="6297" spans="1:40" x14ac:dyDescent="0.25">
      <c r="A6297" t="str">
        <f>"20190304165009823"</f>
        <v>20190304165009823</v>
      </c>
      <c r="B6297" t="str">
        <f>"1551689409811495"</f>
        <v>1551689409811495</v>
      </c>
      <c r="C6297" t="s">
        <v>40</v>
      </c>
      <c r="D6297">
        <v>4.6951070000000001</v>
      </c>
      <c r="E6297">
        <v>0.56902719999999996</v>
      </c>
      <c r="F6297" t="s">
        <v>41</v>
      </c>
      <c r="G6297">
        <v>-315.67259999999999</v>
      </c>
      <c r="H6297">
        <v>0.94804690000000003</v>
      </c>
      <c r="I6297">
        <v>14.490539999999999</v>
      </c>
      <c r="J6297">
        <v>-316.16329999999999</v>
      </c>
      <c r="K6297">
        <v>1.0744940000000001</v>
      </c>
      <c r="L6297">
        <v>14.87872</v>
      </c>
      <c r="M6297">
        <v>0.93696919999999995</v>
      </c>
      <c r="N6297">
        <v>-2.5307389999999999E-2</v>
      </c>
      <c r="O6297">
        <v>-0.34849419999999998</v>
      </c>
      <c r="P6297">
        <v>0.80585050000000003</v>
      </c>
      <c r="Q6297">
        <v>0.39936379999999999</v>
      </c>
      <c r="R6297">
        <v>-0.43716559999999999</v>
      </c>
      <c r="S6297">
        <v>2.9061889999999999</v>
      </c>
      <c r="T6297">
        <v>-0.58044659999999904</v>
      </c>
      <c r="U6297">
        <v>-2.0393979999999998</v>
      </c>
      <c r="V6297">
        <v>0.14157149999999999</v>
      </c>
      <c r="W6297">
        <v>0.41810370000000002</v>
      </c>
      <c r="X6297">
        <v>0.89729979999999998</v>
      </c>
      <c r="Y6297">
        <v>0.25243110000000002</v>
      </c>
      <c r="Z6297">
        <v>2.5218910000000001E-2</v>
      </c>
      <c r="AA6297">
        <v>0.96728619999999998</v>
      </c>
      <c r="AB6297">
        <v>31</v>
      </c>
      <c r="AC6297">
        <v>0.49070000000000302</v>
      </c>
      <c r="AD6297">
        <v>-0.12644709999999901</v>
      </c>
      <c r="AE6297">
        <v>-0.38818000000000202</v>
      </c>
      <c r="AF6297">
        <v>0.185204032392635</v>
      </c>
      <c r="AG6297">
        <v>-0.12644709999999901</v>
      </c>
      <c r="AH6297">
        <v>0.57188245386092296</v>
      </c>
      <c r="AI6297">
        <v>101.879044948127</v>
      </c>
      <c r="AJ6297">
        <v>72.055463003359904</v>
      </c>
      <c r="AK6297">
        <v>0.61427920666981195</v>
      </c>
      <c r="AL6297">
        <v>65.285077732898401</v>
      </c>
      <c r="AM6297">
        <v>81.034065550582</v>
      </c>
      <c r="AN6297">
        <v>1.0000000623229801</v>
      </c>
    </row>
    <row r="6298" spans="1:40" x14ac:dyDescent="0.25">
      <c r="A6298" t="str">
        <f>"20190304165009839"</f>
        <v>20190304165009839</v>
      </c>
      <c r="B6298" t="str">
        <f>"1551689409831526"</f>
        <v>1551689409831526</v>
      </c>
      <c r="C6298" t="s">
        <v>40</v>
      </c>
      <c r="D6298">
        <v>5.2673319999999997</v>
      </c>
      <c r="E6298">
        <v>0.56868929999999995</v>
      </c>
      <c r="F6298" t="s">
        <v>41</v>
      </c>
      <c r="G6298">
        <v>-315.43130000000002</v>
      </c>
      <c r="H6298">
        <v>0.92808440000000003</v>
      </c>
      <c r="I6298">
        <v>14.360139999999999</v>
      </c>
      <c r="J6298">
        <v>-315.95870000000002</v>
      </c>
      <c r="K6298">
        <v>1.072897</v>
      </c>
      <c r="L6298">
        <v>14.794429999999901</v>
      </c>
      <c r="M6298">
        <v>0.93448290000000001</v>
      </c>
      <c r="N6298">
        <v>-2.5069620000000001E-2</v>
      </c>
      <c r="O6298">
        <v>-0.35512450000000001</v>
      </c>
      <c r="P6298">
        <v>0.80309299999999995</v>
      </c>
      <c r="Q6298">
        <v>0.3994587</v>
      </c>
      <c r="R6298">
        <v>-0.44212499999999999</v>
      </c>
      <c r="S6298">
        <v>2.8966370000000001</v>
      </c>
      <c r="T6298">
        <v>-0.57896950000000003</v>
      </c>
      <c r="U6298">
        <v>-2.051758</v>
      </c>
      <c r="V6298">
        <v>0.14053660000000001</v>
      </c>
      <c r="W6298">
        <v>0.41808420000000002</v>
      </c>
      <c r="X6298">
        <v>0.89747149999999998</v>
      </c>
      <c r="Y6298">
        <v>0.2499355</v>
      </c>
      <c r="Z6298">
        <v>2.644055E-2</v>
      </c>
      <c r="AA6298">
        <v>0.96790140000000002</v>
      </c>
      <c r="AB6298">
        <v>31</v>
      </c>
      <c r="AC6298">
        <v>0.52739999999999998</v>
      </c>
      <c r="AD6298">
        <v>-0.14481259999999899</v>
      </c>
      <c r="AE6298">
        <v>-0.43428999999999801</v>
      </c>
      <c r="AF6298">
        <v>0.20921301114607199</v>
      </c>
      <c r="AG6298">
        <v>-0.14481259999999899</v>
      </c>
      <c r="AH6298">
        <v>0.619445991865336</v>
      </c>
      <c r="AI6298">
        <v>102.488616139238</v>
      </c>
      <c r="AJ6298">
        <v>71.338007563921295</v>
      </c>
      <c r="AK6298">
        <v>0.66966716358919398</v>
      </c>
      <c r="AL6298">
        <v>65.286306376579503</v>
      </c>
      <c r="AM6298">
        <v>81.1002297099581</v>
      </c>
      <c r="AN6298">
        <v>1.0000000137707199</v>
      </c>
    </row>
    <row r="6299" spans="1:40" x14ac:dyDescent="0.25">
      <c r="A6299" t="str">
        <f>"20190304165009851"</f>
        <v>20190304165009851</v>
      </c>
      <c r="B6299" t="str">
        <f>"1551689409842261"</f>
        <v>1551689409842261</v>
      </c>
      <c r="C6299" t="s">
        <v>40</v>
      </c>
      <c r="D6299">
        <v>4.9701430000000002</v>
      </c>
      <c r="E6299">
        <v>0.56854099999999996</v>
      </c>
      <c r="F6299" t="s">
        <v>41</v>
      </c>
      <c r="G6299">
        <v>-315.18490000000003</v>
      </c>
      <c r="H6299">
        <v>0.91638850000000005</v>
      </c>
      <c r="I6299">
        <v>14.24019</v>
      </c>
      <c r="J6299">
        <v>-315.79829999999998</v>
      </c>
      <c r="K6299">
        <v>1.0717209999999999</v>
      </c>
      <c r="L6299">
        <v>14.726990000000001</v>
      </c>
      <c r="M6299">
        <v>0.93247029999999997</v>
      </c>
      <c r="N6299">
        <v>-2.4824530000000001E-2</v>
      </c>
      <c r="O6299">
        <v>-0.36039280000000001</v>
      </c>
      <c r="P6299">
        <v>0.80168269999999997</v>
      </c>
      <c r="Q6299">
        <v>0.39906199999999997</v>
      </c>
      <c r="R6299">
        <v>-0.44503359999999897</v>
      </c>
      <c r="S6299">
        <v>2.887543</v>
      </c>
      <c r="T6299">
        <v>-0.5835323</v>
      </c>
      <c r="U6299">
        <v>-2.0676570000000001</v>
      </c>
      <c r="V6299">
        <v>0.13839570000000001</v>
      </c>
      <c r="W6299">
        <v>0.41760890000000001</v>
      </c>
      <c r="X6299">
        <v>0.89802530000000003</v>
      </c>
      <c r="Y6299">
        <v>0.2495145</v>
      </c>
      <c r="Z6299">
        <v>2.7650399999999999E-2</v>
      </c>
      <c r="AA6299">
        <v>0.96797619999999895</v>
      </c>
      <c r="AB6299">
        <v>31</v>
      </c>
      <c r="AC6299">
        <v>0.61339999999995598</v>
      </c>
      <c r="AD6299">
        <v>-0.15533249999999901</v>
      </c>
      <c r="AE6299">
        <v>-0.48679999999999801</v>
      </c>
      <c r="AF6299">
        <v>0.22411537018573899</v>
      </c>
      <c r="AG6299">
        <v>-0.15533249999999901</v>
      </c>
      <c r="AH6299">
        <v>0.71934370452723595</v>
      </c>
      <c r="AI6299">
        <v>101.64902362237601</v>
      </c>
      <c r="AJ6299">
        <v>72.6952984171498</v>
      </c>
      <c r="AK6299">
        <v>0.76929269459205696</v>
      </c>
      <c r="AL6299">
        <v>65.316280903129595</v>
      </c>
      <c r="AM6299">
        <v>81.239006952922793</v>
      </c>
      <c r="AN6299">
        <v>1.0000000012888901</v>
      </c>
    </row>
    <row r="6300" spans="1:40" x14ac:dyDescent="0.25">
      <c r="A6300" t="str">
        <f>"20190304165009863"</f>
        <v>20190304165009863</v>
      </c>
      <c r="B6300" t="str">
        <f>"1551689409852022"</f>
        <v>1551689409852022</v>
      </c>
      <c r="C6300" t="s">
        <v>40</v>
      </c>
      <c r="D6300">
        <v>4.8491730000000004</v>
      </c>
      <c r="E6300">
        <v>0.56838029999999995</v>
      </c>
      <c r="F6300" t="s">
        <v>41</v>
      </c>
      <c r="G6300">
        <v>-315.16469999999998</v>
      </c>
      <c r="H6300">
        <v>0.94250480000000003</v>
      </c>
      <c r="I6300">
        <v>14.269780000000001</v>
      </c>
      <c r="J6300">
        <v>-315.64980000000003</v>
      </c>
      <c r="K6300">
        <v>1.0706830000000001</v>
      </c>
      <c r="L6300">
        <v>14.663539999999999</v>
      </c>
      <c r="M6300">
        <v>0.93056079999999997</v>
      </c>
      <c r="N6300">
        <v>-2.4564900000000001E-2</v>
      </c>
      <c r="O6300">
        <v>-0.36531279999999999</v>
      </c>
      <c r="P6300">
        <v>0.79975399999999996</v>
      </c>
      <c r="Q6300">
        <v>0.39870270000000002</v>
      </c>
      <c r="R6300">
        <v>-0.44880930000000002</v>
      </c>
      <c r="S6300">
        <v>2.8807070000000001</v>
      </c>
      <c r="T6300">
        <v>-0.5869434</v>
      </c>
      <c r="U6300">
        <v>-2.0780940000000001</v>
      </c>
      <c r="V6300">
        <v>0.1375702</v>
      </c>
      <c r="W6300">
        <v>0.41711579999999898</v>
      </c>
      <c r="X6300">
        <v>0.89838119999999999</v>
      </c>
      <c r="Y6300">
        <v>0.2478873</v>
      </c>
      <c r="Z6300">
        <v>2.887812E-2</v>
      </c>
      <c r="AA6300">
        <v>0.96835839999999995</v>
      </c>
      <c r="AB6300">
        <v>31</v>
      </c>
      <c r="AC6300">
        <v>0.485100000000045</v>
      </c>
      <c r="AD6300">
        <v>-0.12817819999999999</v>
      </c>
      <c r="AE6300">
        <v>-0.39376</v>
      </c>
      <c r="AF6300">
        <v>0.18161763574475701</v>
      </c>
      <c r="AG6300">
        <v>-0.12817819999999999</v>
      </c>
      <c r="AH6300">
        <v>0.57139176314207096</v>
      </c>
      <c r="AI6300">
        <v>102.067419108484</v>
      </c>
      <c r="AJ6300">
        <v>72.367071852107799</v>
      </c>
      <c r="AK6300">
        <v>0.61310942217140996</v>
      </c>
      <c r="AL6300">
        <v>65.347369762417202</v>
      </c>
      <c r="AM6300">
        <v>81.293858180812094</v>
      </c>
      <c r="AN6300">
        <v>0.99999996552555903</v>
      </c>
    </row>
    <row r="6301" spans="1:40" x14ac:dyDescent="0.25">
      <c r="A6301" t="str">
        <f>"20190304165009878"</f>
        <v>20190304165009878</v>
      </c>
      <c r="B6301" t="str">
        <f>"1551689409871541"</f>
        <v>1551689409871541</v>
      </c>
      <c r="C6301" t="s">
        <v>40</v>
      </c>
      <c r="D6301">
        <v>5.3473119999999996</v>
      </c>
      <c r="E6301">
        <v>0.56807969999999997</v>
      </c>
      <c r="F6301" t="s">
        <v>41</v>
      </c>
      <c r="G6301">
        <v>-314.9282</v>
      </c>
      <c r="H6301">
        <v>0.92227700000000001</v>
      </c>
      <c r="I6301">
        <v>14.13851</v>
      </c>
      <c r="J6301">
        <v>-315.47190000000001</v>
      </c>
      <c r="K6301">
        <v>1.06948</v>
      </c>
      <c r="L6301">
        <v>14.586639999999999</v>
      </c>
      <c r="M6301">
        <v>0.92821770000000003</v>
      </c>
      <c r="N6301">
        <v>-2.423405E-2</v>
      </c>
      <c r="O6301">
        <v>-0.37124750000000001</v>
      </c>
      <c r="P6301">
        <v>0.79715749999999996</v>
      </c>
      <c r="Q6301">
        <v>0.39831159999999999</v>
      </c>
      <c r="R6301">
        <v>-0.45374900000000001</v>
      </c>
      <c r="S6301">
        <v>2.872833</v>
      </c>
      <c r="T6301">
        <v>-0.59074499999999996</v>
      </c>
      <c r="U6301">
        <v>-2.089966</v>
      </c>
      <c r="V6301">
        <v>0.1370034</v>
      </c>
      <c r="W6301">
        <v>0.41653760000000001</v>
      </c>
      <c r="X6301">
        <v>0.89873609999999904</v>
      </c>
      <c r="Y6301">
        <v>0.245696</v>
      </c>
      <c r="Z6301">
        <v>3.0384189999999998E-2</v>
      </c>
      <c r="AA6301">
        <v>0.96887060000000003</v>
      </c>
      <c r="AB6301">
        <v>31</v>
      </c>
      <c r="AC6301">
        <v>0.54370000000000096</v>
      </c>
      <c r="AD6301">
        <v>-0.147202999999999</v>
      </c>
      <c r="AE6301">
        <v>-0.44812999999999897</v>
      </c>
      <c r="AF6301">
        <v>0.20522015171744901</v>
      </c>
      <c r="AG6301">
        <v>-0.147202999999999</v>
      </c>
      <c r="AH6301">
        <v>0.64316274296925702</v>
      </c>
      <c r="AI6301">
        <v>102.30042105922701</v>
      </c>
      <c r="AJ6301">
        <v>72.303174406958405</v>
      </c>
      <c r="AK6301">
        <v>0.69097203114429395</v>
      </c>
      <c r="AL6301">
        <v>65.383817205174196</v>
      </c>
      <c r="AM6301">
        <v>81.332553897456506</v>
      </c>
      <c r="AN6301">
        <v>1.00000004063426</v>
      </c>
    </row>
    <row r="6302" spans="1:40" x14ac:dyDescent="0.25">
      <c r="A6302" t="str">
        <f>"20190304165009890"</f>
        <v>20190304165009890</v>
      </c>
      <c r="B6302" t="str">
        <f>"1551689409882278"</f>
        <v>1551689409882278</v>
      </c>
      <c r="C6302" t="s">
        <v>40</v>
      </c>
      <c r="D6302">
        <v>4.9588910000000004</v>
      </c>
      <c r="E6302">
        <v>0.56794480000000003</v>
      </c>
      <c r="F6302" t="s">
        <v>41</v>
      </c>
      <c r="G6302">
        <v>-314.68790000000001</v>
      </c>
      <c r="H6302">
        <v>0.90596770000000004</v>
      </c>
      <c r="I6302">
        <v>14.01005</v>
      </c>
      <c r="J6302">
        <v>-315.29590000000002</v>
      </c>
      <c r="K6302">
        <v>1.0683689999999999</v>
      </c>
      <c r="L6302">
        <v>14.50897</v>
      </c>
      <c r="M6302">
        <v>0.92581659999999999</v>
      </c>
      <c r="N6302">
        <v>-2.3889850000000001E-2</v>
      </c>
      <c r="O6302">
        <v>-0.37721749999999998</v>
      </c>
      <c r="P6302">
        <v>0.79453560000000001</v>
      </c>
      <c r="Q6302">
        <v>0.39773039999999998</v>
      </c>
      <c r="R6302">
        <v>-0.45882889999999998</v>
      </c>
      <c r="S6302">
        <v>2.863251</v>
      </c>
      <c r="T6302">
        <v>-0.59679769999999999</v>
      </c>
      <c r="U6302">
        <v>-2.1052550000000001</v>
      </c>
      <c r="V6302">
        <v>0.13649990000000001</v>
      </c>
      <c r="W6302">
        <v>0.41576410000000003</v>
      </c>
      <c r="X6302">
        <v>0.89917069999999999</v>
      </c>
      <c r="Y6302">
        <v>0.2444713</v>
      </c>
      <c r="Z6302">
        <v>3.1984720000000001E-2</v>
      </c>
      <c r="AA6302">
        <v>0.96912880000000001</v>
      </c>
      <c r="AB6302">
        <v>31</v>
      </c>
      <c r="AC6302">
        <v>0.60800000000000398</v>
      </c>
      <c r="AD6302">
        <v>-0.1624013</v>
      </c>
      <c r="AE6302">
        <v>-0.49892000000000097</v>
      </c>
      <c r="AF6302">
        <v>0.22311380665244299</v>
      </c>
      <c r="AG6302">
        <v>-0.1624013</v>
      </c>
      <c r="AH6302">
        <v>0.72058897358405605</v>
      </c>
      <c r="AI6302">
        <v>102.149726495877</v>
      </c>
      <c r="AJ6302">
        <v>72.796063142440801</v>
      </c>
      <c r="AK6302">
        <v>0.77162323825268297</v>
      </c>
      <c r="AL6302">
        <v>65.432554721899706</v>
      </c>
      <c r="AM6302">
        <v>81.368037643381697</v>
      </c>
      <c r="AN6302">
        <v>0.99999997864365398</v>
      </c>
    </row>
    <row r="6303" spans="1:40" x14ac:dyDescent="0.25">
      <c r="A6303" t="str">
        <f>"20190304165009902"</f>
        <v>20190304165009902</v>
      </c>
      <c r="B6303" t="str">
        <f>"1551689409892038"</f>
        <v>1551689409892038</v>
      </c>
      <c r="C6303" t="s">
        <v>40</v>
      </c>
      <c r="D6303">
        <v>4.9610209999999997</v>
      </c>
      <c r="E6303">
        <v>0.5678185</v>
      </c>
      <c r="F6303" t="s">
        <v>41</v>
      </c>
      <c r="G6303">
        <v>-314.66449999999998</v>
      </c>
      <c r="H6303">
        <v>0.93515729999999997</v>
      </c>
      <c r="I6303">
        <v>14.039160000000001</v>
      </c>
      <c r="J6303">
        <v>-315.1456</v>
      </c>
      <c r="K6303">
        <v>1.0674589999999999</v>
      </c>
      <c r="L6303">
        <v>14.4416799999999</v>
      </c>
      <c r="M6303">
        <v>0.92371170000000002</v>
      </c>
      <c r="N6303">
        <v>-2.3588870000000001E-2</v>
      </c>
      <c r="O6303">
        <v>-0.38236170000000003</v>
      </c>
      <c r="P6303">
        <v>0.79223319999999997</v>
      </c>
      <c r="Q6303">
        <v>0.39733849999999998</v>
      </c>
      <c r="R6303">
        <v>-0.46312930000000002</v>
      </c>
      <c r="S6303">
        <v>2.8517760000000001</v>
      </c>
      <c r="T6303">
        <v>-0.60114419999999902</v>
      </c>
      <c r="U6303">
        <v>-2.121124</v>
      </c>
      <c r="V6303">
        <v>0.1360085</v>
      </c>
      <c r="W6303">
        <v>0.4152015</v>
      </c>
      <c r="X6303">
        <v>0.89950509999999995</v>
      </c>
      <c r="Y6303">
        <v>0.2444984</v>
      </c>
      <c r="Z6303">
        <v>3.3233199999999997E-2</v>
      </c>
      <c r="AA6303">
        <v>0.96908000000000005</v>
      </c>
      <c r="AB6303">
        <v>31</v>
      </c>
      <c r="AC6303">
        <v>0.48110000000002601</v>
      </c>
      <c r="AD6303">
        <v>-0.132301699999999</v>
      </c>
      <c r="AE6303">
        <v>-0.40251999999999699</v>
      </c>
      <c r="AF6303">
        <v>0.17990739735160199</v>
      </c>
      <c r="AG6303">
        <v>-0.132301699999999</v>
      </c>
      <c r="AH6303">
        <v>0.57298351369027101</v>
      </c>
      <c r="AI6303">
        <v>102.423586421037</v>
      </c>
      <c r="AJ6303">
        <v>72.568569364347994</v>
      </c>
      <c r="AK6303">
        <v>0.61496383503874896</v>
      </c>
      <c r="AL6303">
        <v>65.4679937580797</v>
      </c>
      <c r="AM6303">
        <v>81.401796965037803</v>
      </c>
      <c r="AN6303">
        <v>1.0000000113002501</v>
      </c>
    </row>
    <row r="6304" spans="1:40" x14ac:dyDescent="0.25">
      <c r="A6304" t="str">
        <f>"20190304165009914"</f>
        <v>20190304165009914</v>
      </c>
      <c r="B6304" t="str">
        <f>"1551689409901799"</f>
        <v>1551689409901799</v>
      </c>
      <c r="C6304" t="s">
        <v>40</v>
      </c>
      <c r="D6304">
        <v>4.9570319999999999</v>
      </c>
      <c r="E6304">
        <v>0.56769190000000003</v>
      </c>
      <c r="F6304" t="s">
        <v>41</v>
      </c>
      <c r="G6304">
        <v>-314.43110000000001</v>
      </c>
      <c r="H6304">
        <v>0.91537449999999998</v>
      </c>
      <c r="I6304">
        <v>13.905049999999999</v>
      </c>
      <c r="J6304">
        <v>-315.00049999999999</v>
      </c>
      <c r="K6304">
        <v>1.0666020000000001</v>
      </c>
      <c r="L6304">
        <v>14.3761299999999</v>
      </c>
      <c r="M6304">
        <v>0.92164000000000001</v>
      </c>
      <c r="N6304">
        <v>-2.329581E-2</v>
      </c>
      <c r="O6304">
        <v>-0.38734629999999998</v>
      </c>
      <c r="P6304">
        <v>0.7899176</v>
      </c>
      <c r="Q6304">
        <v>0.39690920000000002</v>
      </c>
      <c r="R6304">
        <v>-0.46743289999999998</v>
      </c>
      <c r="S6304">
        <v>2.842285</v>
      </c>
      <c r="T6304">
        <v>-0.60475159999999994</v>
      </c>
      <c r="U6304">
        <v>-2.1344599999999998</v>
      </c>
      <c r="V6304">
        <v>0.13568279999999999</v>
      </c>
      <c r="W6304">
        <v>0.41460029999999998</v>
      </c>
      <c r="X6304">
        <v>0.89983150000000001</v>
      </c>
      <c r="Y6304">
        <v>0.24381120000000001</v>
      </c>
      <c r="Z6304">
        <v>3.4477630000000002E-2</v>
      </c>
      <c r="AA6304">
        <v>0.96920969999999995</v>
      </c>
      <c r="AB6304">
        <v>31</v>
      </c>
      <c r="AC6304">
        <v>0.56939999999997304</v>
      </c>
      <c r="AD6304">
        <v>-0.15122749999999899</v>
      </c>
      <c r="AE6304">
        <v>-0.471079999999998</v>
      </c>
      <c r="AF6304">
        <v>0.20508121497940099</v>
      </c>
      <c r="AG6304">
        <v>-0.15122749999999899</v>
      </c>
      <c r="AH6304">
        <v>0.67901071876435404</v>
      </c>
      <c r="AI6304">
        <v>102.035548696956</v>
      </c>
      <c r="AJ6304">
        <v>73.194138999848604</v>
      </c>
      <c r="AK6304">
        <v>0.72524728037446795</v>
      </c>
      <c r="AL6304">
        <v>65.5058514747912</v>
      </c>
      <c r="AM6304">
        <v>81.425145702790999</v>
      </c>
      <c r="AN6304">
        <v>0.99999997968408905</v>
      </c>
    </row>
    <row r="6305" spans="1:40" x14ac:dyDescent="0.25">
      <c r="A6305" t="str">
        <f>"20190304165009927"</f>
        <v>20190304165009927</v>
      </c>
      <c r="B6305" t="str">
        <f>"1551689409921612"</f>
        <v>1551689409921612</v>
      </c>
      <c r="C6305" t="s">
        <v>40</v>
      </c>
      <c r="D6305">
        <v>4.976934</v>
      </c>
      <c r="E6305">
        <v>0.56743100000000002</v>
      </c>
      <c r="F6305" t="s">
        <v>41</v>
      </c>
      <c r="G6305">
        <v>-314.40989999999999</v>
      </c>
      <c r="H6305">
        <v>0.93966719999999904</v>
      </c>
      <c r="I6305">
        <v>13.928089999999999</v>
      </c>
      <c r="J6305">
        <v>-314.84949999999998</v>
      </c>
      <c r="K6305">
        <v>1.0657430000000001</v>
      </c>
      <c r="L6305">
        <v>14.30646</v>
      </c>
      <c r="M6305">
        <v>0.91944800000000004</v>
      </c>
      <c r="N6305">
        <v>-2.2976670000000001E-2</v>
      </c>
      <c r="O6305">
        <v>-0.39254020000000001</v>
      </c>
      <c r="P6305">
        <v>0.7874525</v>
      </c>
      <c r="Q6305">
        <v>0.39629700000000001</v>
      </c>
      <c r="R6305">
        <v>-0.47208830000000002</v>
      </c>
      <c r="S6305">
        <v>2.8323969999999998</v>
      </c>
      <c r="T6305">
        <v>-0.60839160000000003</v>
      </c>
      <c r="U6305">
        <v>-2.1481319999999999</v>
      </c>
      <c r="V6305">
        <v>0.13553789999999999</v>
      </c>
      <c r="W6305">
        <v>0.41378300000000001</v>
      </c>
      <c r="X6305">
        <v>0.90022950000000002</v>
      </c>
      <c r="Y6305">
        <v>0.24303569999999999</v>
      </c>
      <c r="Z6305">
        <v>3.57928E-2</v>
      </c>
      <c r="AA6305">
        <v>0.96935680000000002</v>
      </c>
      <c r="AB6305">
        <v>31</v>
      </c>
      <c r="AC6305">
        <v>0.439599999999984</v>
      </c>
      <c r="AD6305">
        <v>-0.12607579999999999</v>
      </c>
      <c r="AE6305">
        <v>-0.37837000000000198</v>
      </c>
      <c r="AF6305">
        <v>0.16746461202363999</v>
      </c>
      <c r="AG6305">
        <v>-0.12607579999999999</v>
      </c>
      <c r="AH6305">
        <v>0.52791711299187205</v>
      </c>
      <c r="AI6305">
        <v>102.824197863487</v>
      </c>
      <c r="AJ6305">
        <v>72.400055285946394</v>
      </c>
      <c r="AK6305">
        <v>0.56801054727490896</v>
      </c>
      <c r="AL6305">
        <v>65.557301049004707</v>
      </c>
      <c r="AM6305">
        <v>81.437898047046701</v>
      </c>
      <c r="AN6305">
        <v>1.0000000230478201</v>
      </c>
    </row>
    <row r="6306" spans="1:40" x14ac:dyDescent="0.25">
      <c r="A6306" t="str">
        <f>"20190304165009940"</f>
        <v>20190304165009940</v>
      </c>
      <c r="B6306" t="str">
        <f>"1551689409932349"</f>
        <v>1551689409932349</v>
      </c>
      <c r="C6306" t="s">
        <v>40</v>
      </c>
      <c r="D6306">
        <v>5.0008900000000001</v>
      </c>
      <c r="E6306">
        <v>0.56731599999999904</v>
      </c>
      <c r="F6306" t="s">
        <v>41</v>
      </c>
      <c r="G6306">
        <v>-314.17840000000001</v>
      </c>
      <c r="H6306">
        <v>0.91945580000000005</v>
      </c>
      <c r="I6306">
        <v>13.79217</v>
      </c>
      <c r="J6306">
        <v>-314.67070000000001</v>
      </c>
      <c r="K6306">
        <v>1.0647409999999999</v>
      </c>
      <c r="L6306">
        <v>14.223050000000001</v>
      </c>
      <c r="M6306">
        <v>0.91682140000000001</v>
      </c>
      <c r="N6306">
        <v>-2.2593660000000002E-2</v>
      </c>
      <c r="O6306">
        <v>-0.39865800000000001</v>
      </c>
      <c r="P6306">
        <v>0.78482819999999998</v>
      </c>
      <c r="Q6306">
        <v>0.39515230000000001</v>
      </c>
      <c r="R6306">
        <v>-0.47738839999999999</v>
      </c>
      <c r="S6306">
        <v>2.8227540000000002</v>
      </c>
      <c r="T6306">
        <v>-0.61460340000000002</v>
      </c>
      <c r="U6306">
        <v>-2.1622620000000001</v>
      </c>
      <c r="V6306">
        <v>0.1350826</v>
      </c>
      <c r="W6306">
        <v>0.4123964</v>
      </c>
      <c r="X6306">
        <v>0.90093389999999995</v>
      </c>
      <c r="Y6306">
        <v>0.241364</v>
      </c>
      <c r="Z6306">
        <v>3.7579330000000001E-2</v>
      </c>
      <c r="AA6306">
        <v>0.96970679999999998</v>
      </c>
      <c r="AB6306">
        <v>31</v>
      </c>
      <c r="AC6306">
        <v>0.49230000000000002</v>
      </c>
      <c r="AD6306">
        <v>-0.145285199999999</v>
      </c>
      <c r="AE6306">
        <v>-0.43087999999999999</v>
      </c>
      <c r="AF6306">
        <v>0.189486808761064</v>
      </c>
      <c r="AG6306">
        <v>-0.145285199999999</v>
      </c>
      <c r="AH6306">
        <v>0.59399112801954201</v>
      </c>
      <c r="AI6306">
        <v>103.11710479098799</v>
      </c>
      <c r="AJ6306">
        <v>72.306998540439594</v>
      </c>
      <c r="AK6306">
        <v>0.64018630116507602</v>
      </c>
      <c r="AL6306">
        <v>65.644537832186202</v>
      </c>
      <c r="AM6306">
        <v>81.472809792945597</v>
      </c>
      <c r="AN6306">
        <v>0.99999999586246502</v>
      </c>
    </row>
    <row r="6307" spans="1:40" x14ac:dyDescent="0.25">
      <c r="A6307" t="str">
        <f>"20190304165009951"</f>
        <v>20190304165009951</v>
      </c>
      <c r="B6307" t="str">
        <f>"1551689409942109"</f>
        <v>1551689409942109</v>
      </c>
      <c r="C6307" t="s">
        <v>40</v>
      </c>
      <c r="D6307">
        <v>4.9857529999999999</v>
      </c>
      <c r="E6307">
        <v>0.56724140000000001</v>
      </c>
      <c r="F6307" t="s">
        <v>41</v>
      </c>
      <c r="G6307">
        <v>-313.94409999999999</v>
      </c>
      <c r="H6307">
        <v>0.90417650000000005</v>
      </c>
      <c r="I6307">
        <v>13.659459999999999</v>
      </c>
      <c r="J6307">
        <v>-314.52249999999998</v>
      </c>
      <c r="K6307">
        <v>1.0639320000000001</v>
      </c>
      <c r="L6307">
        <v>14.152889999999999</v>
      </c>
      <c r="M6307">
        <v>0.91462500000000002</v>
      </c>
      <c r="N6307">
        <v>-2.2268799999999998E-2</v>
      </c>
      <c r="O6307">
        <v>-0.40368959999999998</v>
      </c>
      <c r="P6307">
        <v>0.78230449999999996</v>
      </c>
      <c r="Q6307">
        <v>0.39481470000000002</v>
      </c>
      <c r="R6307">
        <v>-0.48178949999999998</v>
      </c>
      <c r="S6307">
        <v>2.8096009999999998</v>
      </c>
      <c r="T6307">
        <v>-0.62082409999999999</v>
      </c>
      <c r="U6307">
        <v>-2.1791079999999998</v>
      </c>
      <c r="V6307">
        <v>0.13491819999999999</v>
      </c>
      <c r="W6307">
        <v>0.41183199999999998</v>
      </c>
      <c r="X6307">
        <v>0.90121660000000003</v>
      </c>
      <c r="Y6307">
        <v>0.24195050000000001</v>
      </c>
      <c r="Z6307">
        <v>3.8992319999999997E-2</v>
      </c>
      <c r="AA6307">
        <v>0.96950480000000006</v>
      </c>
      <c r="AB6307">
        <v>31</v>
      </c>
      <c r="AC6307">
        <v>0.57839999999998704</v>
      </c>
      <c r="AD6307">
        <v>-0.159755499999999</v>
      </c>
      <c r="AE6307">
        <v>-0.49342999999999798</v>
      </c>
      <c r="AF6307">
        <v>0.20865062883358401</v>
      </c>
      <c r="AG6307">
        <v>-0.159755499999999</v>
      </c>
      <c r="AH6307">
        <v>0.69759090352909903</v>
      </c>
      <c r="AI6307">
        <v>102.37496580013701</v>
      </c>
      <c r="AJ6307">
        <v>73.347986236285294</v>
      </c>
      <c r="AK6307">
        <v>0.74544615726385299</v>
      </c>
      <c r="AL6307">
        <v>65.680028166038696</v>
      </c>
      <c r="AM6307">
        <v>81.485667869888303</v>
      </c>
      <c r="AN6307">
        <v>0.99999993851539803</v>
      </c>
    </row>
    <row r="6308" spans="1:40" x14ac:dyDescent="0.25">
      <c r="A6308" t="str">
        <f>"20190304165009964"</f>
        <v>20190304165009964</v>
      </c>
      <c r="B6308" t="str">
        <f>"1551689409961628"</f>
        <v>1551689409961628</v>
      </c>
      <c r="C6308" t="s">
        <v>40</v>
      </c>
      <c r="D6308">
        <v>5.1581289999999997</v>
      </c>
      <c r="E6308">
        <v>0.56705609999999995</v>
      </c>
      <c r="F6308" t="s">
        <v>41</v>
      </c>
      <c r="G6308">
        <v>-313.92180000000002</v>
      </c>
      <c r="H6308">
        <v>0.93009719999999996</v>
      </c>
      <c r="I6308">
        <v>13.68197</v>
      </c>
      <c r="J6308">
        <v>-314.37759999999997</v>
      </c>
      <c r="K6308">
        <v>1.063178</v>
      </c>
      <c r="L6308">
        <v>14.083130000000001</v>
      </c>
      <c r="M6308">
        <v>0.91247080000000003</v>
      </c>
      <c r="N6308">
        <v>-2.194577E-2</v>
      </c>
      <c r="O6308">
        <v>-0.40855279999999999</v>
      </c>
      <c r="P6308">
        <v>0.77966210000000002</v>
      </c>
      <c r="Q6308">
        <v>0.39472370000000001</v>
      </c>
      <c r="R6308">
        <v>-0.4861278</v>
      </c>
      <c r="S6308">
        <v>2.7984309999999999</v>
      </c>
      <c r="T6308">
        <v>-0.62346959999999996</v>
      </c>
      <c r="U6308">
        <v>-2.193756</v>
      </c>
      <c r="V6308">
        <v>0.13493669999999999</v>
      </c>
      <c r="W6308">
        <v>0.41150049999999999</v>
      </c>
      <c r="X6308">
        <v>0.90136530000000004</v>
      </c>
      <c r="Y6308">
        <v>0.24189440000000001</v>
      </c>
      <c r="Z6308">
        <v>4.0162509999999998E-2</v>
      </c>
      <c r="AA6308">
        <v>0.96947099999999997</v>
      </c>
      <c r="AB6308">
        <v>31</v>
      </c>
      <c r="AC6308">
        <v>0.45579999999995302</v>
      </c>
      <c r="AD6308">
        <v>-0.1330808</v>
      </c>
      <c r="AE6308">
        <v>-0.40115999999999702</v>
      </c>
      <c r="AF6308">
        <v>0.171627249619207</v>
      </c>
      <c r="AG6308">
        <v>-0.1330808</v>
      </c>
      <c r="AH6308">
        <v>0.55335718104082599</v>
      </c>
      <c r="AI6308">
        <v>102.936569546345</v>
      </c>
      <c r="AJ6308">
        <v>72.768390803991196</v>
      </c>
      <c r="AK6308">
        <v>0.59444981449231105</v>
      </c>
      <c r="AL6308">
        <v>65.700870947063194</v>
      </c>
      <c r="AM6308">
        <v>81.485901723842403</v>
      </c>
      <c r="AN6308">
        <v>0.99999998927561495</v>
      </c>
    </row>
    <row r="6309" spans="1:40" x14ac:dyDescent="0.25">
      <c r="A6309" t="str">
        <f>"20190304165009987"</f>
        <v>20190304165009987</v>
      </c>
      <c r="B6309" t="str">
        <f>"1551689409982126"</f>
        <v>1551689409982126</v>
      </c>
      <c r="C6309" t="s">
        <v>40</v>
      </c>
      <c r="D6309">
        <v>5.1193799999999996</v>
      </c>
      <c r="E6309">
        <v>0.56696199999999997</v>
      </c>
      <c r="F6309" t="s">
        <v>41</v>
      </c>
      <c r="G6309">
        <v>-313.6943</v>
      </c>
      <c r="H6309">
        <v>0.90941620000000001</v>
      </c>
      <c r="I6309">
        <v>13.54152</v>
      </c>
      <c r="J6309">
        <v>-314.108</v>
      </c>
      <c r="K6309">
        <v>1.06185</v>
      </c>
      <c r="L6309">
        <v>13.95111</v>
      </c>
      <c r="M6309">
        <v>0.90842730000000005</v>
      </c>
      <c r="N6309">
        <v>-2.1343500000000001E-2</v>
      </c>
      <c r="O6309">
        <v>-0.41749779999999997</v>
      </c>
      <c r="P6309">
        <v>0.77500760000000002</v>
      </c>
      <c r="Q6309">
        <v>0.39468370000000003</v>
      </c>
      <c r="R6309">
        <v>-0.4935466</v>
      </c>
      <c r="S6309">
        <v>2.7878419999999999</v>
      </c>
      <c r="T6309">
        <v>-0.62659690000000001</v>
      </c>
      <c r="U6309">
        <v>-2.208771</v>
      </c>
      <c r="V6309">
        <v>0.1343838</v>
      </c>
      <c r="W6309">
        <v>0.41101670000000001</v>
      </c>
      <c r="X6309">
        <v>0.90166860000000004</v>
      </c>
      <c r="Y6309">
        <v>0.23757890000000001</v>
      </c>
      <c r="Z6309">
        <v>4.258431E-2</v>
      </c>
      <c r="AA6309">
        <v>0.97043440000000003</v>
      </c>
      <c r="AB6309">
        <v>30</v>
      </c>
      <c r="AC6309">
        <v>0.41370000000000501</v>
      </c>
      <c r="AD6309">
        <v>-0.15243379999999901</v>
      </c>
      <c r="AE6309">
        <v>-0.40958999999999701</v>
      </c>
      <c r="AF6309">
        <v>0.18661484346985099</v>
      </c>
      <c r="AG6309">
        <v>-0.15243379999999901</v>
      </c>
      <c r="AH6309">
        <v>0.51185093558550399</v>
      </c>
      <c r="AI6309">
        <v>105.631262467887</v>
      </c>
      <c r="AJ6309">
        <v>69.968738013964298</v>
      </c>
      <c r="AK6309">
        <v>0.56573186532621</v>
      </c>
      <c r="AL6309">
        <v>65.731281648426105</v>
      </c>
      <c r="AM6309">
        <v>81.523090753631394</v>
      </c>
      <c r="AN6309">
        <v>0.99999999880364498</v>
      </c>
    </row>
    <row r="6310" spans="1:40" x14ac:dyDescent="0.25">
      <c r="A6310" t="str">
        <f>"20190304165009999"</f>
        <v>20190304165009999</v>
      </c>
      <c r="B6310" t="str">
        <f>"1551689409991885"</f>
        <v>1551689409991885</v>
      </c>
      <c r="C6310" t="s">
        <v>40</v>
      </c>
      <c r="D6310">
        <v>5.1302390000000004</v>
      </c>
      <c r="E6310">
        <v>0.56691119999999995</v>
      </c>
      <c r="F6310" t="s">
        <v>41</v>
      </c>
      <c r="G6310">
        <v>-313.44869999999997</v>
      </c>
      <c r="H6310">
        <v>0.91203190000000001</v>
      </c>
      <c r="I6310">
        <v>13.41785</v>
      </c>
      <c r="J6310">
        <v>-313.9384</v>
      </c>
      <c r="K6310">
        <v>1.0610740000000001</v>
      </c>
      <c r="L6310">
        <v>13.86652</v>
      </c>
      <c r="M6310">
        <v>0.90585680000000002</v>
      </c>
      <c r="N6310">
        <v>-2.0968420000000002E-2</v>
      </c>
      <c r="O6310">
        <v>-0.42306490000000002</v>
      </c>
      <c r="P6310">
        <v>0.771841</v>
      </c>
      <c r="Q6310">
        <v>0.39500390000000002</v>
      </c>
      <c r="R6310">
        <v>-0.49823070000000003</v>
      </c>
      <c r="S6310">
        <v>2.7664490000000002</v>
      </c>
      <c r="T6310">
        <v>-0.62806269999999997</v>
      </c>
      <c r="U6310">
        <v>-2.2366030000000001</v>
      </c>
      <c r="V6310">
        <v>0.13422049999999999</v>
      </c>
      <c r="W6310">
        <v>0.41104839999999998</v>
      </c>
      <c r="X6310">
        <v>0.90167839999999999</v>
      </c>
      <c r="Y6310">
        <v>0.24123230000000001</v>
      </c>
      <c r="Z6310">
        <v>4.3473270000000001E-2</v>
      </c>
      <c r="AA6310">
        <v>0.96949319999999894</v>
      </c>
      <c r="AB6310">
        <v>30</v>
      </c>
      <c r="AC6310">
        <v>0.489700000000027</v>
      </c>
      <c r="AD6310">
        <v>-0.14904210000000001</v>
      </c>
      <c r="AE6310">
        <v>-0.44867000000000101</v>
      </c>
      <c r="AF6310">
        <v>0.189744503552154</v>
      </c>
      <c r="AG6310">
        <v>-0.14904210000000001</v>
      </c>
      <c r="AH6310">
        <v>0.60317885789348902</v>
      </c>
      <c r="AI6310">
        <v>103.26293431601</v>
      </c>
      <c r="AJ6310">
        <v>72.537769966672997</v>
      </c>
      <c r="AK6310">
        <v>0.64964702632303195</v>
      </c>
      <c r="AL6310">
        <v>65.729287598973997</v>
      </c>
      <c r="AM6310">
        <v>81.533332985624597</v>
      </c>
      <c r="AN6310">
        <v>0.99999993339468196</v>
      </c>
    </row>
    <row r="6311" spans="1:40" x14ac:dyDescent="0.25">
      <c r="A6311" t="str">
        <f>"20190304165010010"</f>
        <v>20190304165010010</v>
      </c>
      <c r="B6311" t="str">
        <f>"1551689410001645"</f>
        <v>1551689410001645</v>
      </c>
      <c r="C6311" t="s">
        <v>40</v>
      </c>
      <c r="D6311">
        <v>5.1078849999999996</v>
      </c>
      <c r="E6311">
        <v>0.56686999999999999</v>
      </c>
      <c r="F6311" t="s">
        <v>41</v>
      </c>
      <c r="G6311">
        <v>-313.21969999999999</v>
      </c>
      <c r="H6311">
        <v>0.89710809999999996</v>
      </c>
      <c r="I6311">
        <v>13.277939999999999</v>
      </c>
      <c r="J6311">
        <v>-313.803</v>
      </c>
      <c r="K6311">
        <v>1.060503</v>
      </c>
      <c r="L6311">
        <v>13.797969999999999</v>
      </c>
      <c r="M6311">
        <v>0.90378780000000003</v>
      </c>
      <c r="N6311">
        <v>-2.067393E-2</v>
      </c>
      <c r="O6311">
        <v>-0.42748120000000001</v>
      </c>
      <c r="P6311">
        <v>0.76897839999999995</v>
      </c>
      <c r="Q6311">
        <v>0.39544839999999998</v>
      </c>
      <c r="R6311">
        <v>-0.5022877</v>
      </c>
      <c r="S6311">
        <v>2.7531430000000001</v>
      </c>
      <c r="T6311">
        <v>-0.62766219999999995</v>
      </c>
      <c r="U6311">
        <v>-2.253876</v>
      </c>
      <c r="V6311">
        <v>0.134552799999999</v>
      </c>
      <c r="W6311">
        <v>0.41125139999999999</v>
      </c>
      <c r="X6311">
        <v>0.90153629999999996</v>
      </c>
      <c r="Y6311">
        <v>0.2424849</v>
      </c>
      <c r="Z6311">
        <v>4.420081E-2</v>
      </c>
      <c r="AA6311">
        <v>0.96914769999999995</v>
      </c>
      <c r="AB6311">
        <v>30</v>
      </c>
      <c r="AC6311">
        <v>0.58330000000000803</v>
      </c>
      <c r="AD6311">
        <v>-0.16339489999999901</v>
      </c>
      <c r="AE6311">
        <v>-0.52003000000000199</v>
      </c>
      <c r="AF6311">
        <v>0.21144978141340301</v>
      </c>
      <c r="AG6311">
        <v>-0.16339489999999901</v>
      </c>
      <c r="AH6311">
        <v>0.71824187595720101</v>
      </c>
      <c r="AI6311">
        <v>102.31076952060801</v>
      </c>
      <c r="AJ6311">
        <v>73.595617218681397</v>
      </c>
      <c r="AK6311">
        <v>0.76634215320854204</v>
      </c>
      <c r="AL6311">
        <v>65.716528257760601</v>
      </c>
      <c r="AM6311">
        <v>81.511358054905799</v>
      </c>
      <c r="AN6311">
        <v>0.99999993510374297</v>
      </c>
    </row>
    <row r="6312" spans="1:40" x14ac:dyDescent="0.25">
      <c r="A6312" t="str">
        <f>"20190304165010031"</f>
        <v>20190304165010031</v>
      </c>
      <c r="B6312" t="str">
        <f>"1551689410021672"</f>
        <v>1551689410021672</v>
      </c>
      <c r="C6312" t="s">
        <v>40</v>
      </c>
      <c r="D6312">
        <v>5.0441949999999904</v>
      </c>
      <c r="E6312">
        <v>0.56683240000000001</v>
      </c>
      <c r="F6312" t="s">
        <v>41</v>
      </c>
      <c r="G6312">
        <v>-313.19839999999999</v>
      </c>
      <c r="H6312">
        <v>0.92217649999999995</v>
      </c>
      <c r="I6312">
        <v>13.297599999999999</v>
      </c>
      <c r="J6312">
        <v>-313.5616</v>
      </c>
      <c r="K6312">
        <v>1.0595669999999999</v>
      </c>
      <c r="L6312">
        <v>13.6738</v>
      </c>
      <c r="M6312">
        <v>0.90005000000000002</v>
      </c>
      <c r="N6312">
        <v>-2.0166960000000001E-2</v>
      </c>
      <c r="O6312">
        <v>-0.43531969999999998</v>
      </c>
      <c r="P6312">
        <v>0.7634012</v>
      </c>
      <c r="Q6312">
        <v>0.3970129</v>
      </c>
      <c r="R6312">
        <v>-0.50950899999999999</v>
      </c>
      <c r="S6312">
        <v>2.7419129999999998</v>
      </c>
      <c r="T6312">
        <v>-0.62676169999999998</v>
      </c>
      <c r="U6312">
        <v>-2.2683719999999998</v>
      </c>
      <c r="V6312">
        <v>0.13539200000000001</v>
      </c>
      <c r="W6312">
        <v>0.41238639999999999</v>
      </c>
      <c r="X6312">
        <v>0.90089200000000003</v>
      </c>
      <c r="Y6312">
        <v>0.2392109</v>
      </c>
      <c r="Z6312">
        <v>4.598501E-2</v>
      </c>
      <c r="AA6312">
        <v>0.96987809999999997</v>
      </c>
      <c r="AB6312">
        <v>30</v>
      </c>
      <c r="AC6312">
        <v>0.36320000000000602</v>
      </c>
      <c r="AD6312">
        <v>-0.137390499999999</v>
      </c>
      <c r="AE6312">
        <v>-0.37619999999999998</v>
      </c>
      <c r="AF6312">
        <v>0.16886998581551499</v>
      </c>
      <c r="AG6312">
        <v>-0.137390499999999</v>
      </c>
      <c r="AH6312">
        <v>0.45907443824259497</v>
      </c>
      <c r="AI6312">
        <v>105.688819408246</v>
      </c>
      <c r="AJ6312">
        <v>69.804014556374</v>
      </c>
      <c r="AK6312">
        <v>0.50807731837520298</v>
      </c>
      <c r="AL6312">
        <v>65.645165988837803</v>
      </c>
      <c r="AM6312">
        <v>81.453175166174802</v>
      </c>
      <c r="AN6312">
        <v>0.99999996611647901</v>
      </c>
    </row>
    <row r="6313" spans="1:40" x14ac:dyDescent="0.25">
      <c r="A6313" t="str">
        <f>"20190304165010044"</f>
        <v>20190304165010044</v>
      </c>
      <c r="B6313" t="str">
        <f>"1551689410031432"</f>
        <v>1551689410031432</v>
      </c>
      <c r="C6313" t="s">
        <v>40</v>
      </c>
      <c r="D6313">
        <v>4.9362199999999996</v>
      </c>
      <c r="E6313">
        <v>0.56682100000000002</v>
      </c>
      <c r="F6313" t="s">
        <v>41</v>
      </c>
      <c r="G6313">
        <v>-312.9588</v>
      </c>
      <c r="H6313">
        <v>0.9218674</v>
      </c>
      <c r="I6313">
        <v>13.1662</v>
      </c>
      <c r="J6313">
        <v>-313.40300000000002</v>
      </c>
      <c r="K6313">
        <v>1.059021</v>
      </c>
      <c r="L6313">
        <v>13.5907</v>
      </c>
      <c r="M6313">
        <v>0.89755580000000001</v>
      </c>
      <c r="N6313">
        <v>-1.9849470000000001E-2</v>
      </c>
      <c r="O6313">
        <v>-0.44045400000000001</v>
      </c>
      <c r="P6313">
        <v>0.75989189999999995</v>
      </c>
      <c r="Q6313">
        <v>0.39753909999999998</v>
      </c>
      <c r="R6313">
        <v>-0.51432250000000002</v>
      </c>
      <c r="S6313">
        <v>2.7228089999999998</v>
      </c>
      <c r="T6313">
        <v>-0.62230069999999904</v>
      </c>
      <c r="U6313">
        <v>-2.2932429999999999</v>
      </c>
      <c r="V6313">
        <v>0.1359456</v>
      </c>
      <c r="W6313">
        <v>0.41264699999999999</v>
      </c>
      <c r="X6313">
        <v>0.90068930000000003</v>
      </c>
      <c r="Y6313">
        <v>0.24221519999999999</v>
      </c>
      <c r="Z6313">
        <v>4.6311619999999998E-2</v>
      </c>
      <c r="AA6313">
        <v>0.96911659999999999</v>
      </c>
      <c r="AB6313">
        <v>30</v>
      </c>
      <c r="AC6313">
        <v>0.44420000000002302</v>
      </c>
      <c r="AD6313">
        <v>-0.13715359999999899</v>
      </c>
      <c r="AE6313">
        <v>-0.42449999999999999</v>
      </c>
      <c r="AF6313">
        <v>0.17659952089073699</v>
      </c>
      <c r="AG6313">
        <v>-0.13715359999999899</v>
      </c>
      <c r="AH6313">
        <v>0.55797889234770703</v>
      </c>
      <c r="AI6313">
        <v>103.189086392563</v>
      </c>
      <c r="AJ6313">
        <v>72.437495156442296</v>
      </c>
      <c r="AK6313">
        <v>0.60111475200444997</v>
      </c>
      <c r="AL6313">
        <v>65.628775562899904</v>
      </c>
      <c r="AM6313">
        <v>81.416845109193503</v>
      </c>
      <c r="AN6313">
        <v>0.99999998395142398</v>
      </c>
    </row>
    <row r="6314" spans="1:40" x14ac:dyDescent="0.25">
      <c r="A6314" t="str">
        <f>"20190304165010058"</f>
        <v>20190304165010058</v>
      </c>
      <c r="B6314" t="str">
        <f>"1551689410051928"</f>
        <v>1551689410051928</v>
      </c>
      <c r="C6314" t="s">
        <v>40</v>
      </c>
      <c r="D6314">
        <v>4.9646749999999997</v>
      </c>
      <c r="E6314">
        <v>0.56678260000000003</v>
      </c>
      <c r="F6314" t="s">
        <v>41</v>
      </c>
      <c r="G6314">
        <v>-312.73450000000003</v>
      </c>
      <c r="H6314">
        <v>0.90562529999999997</v>
      </c>
      <c r="I6314">
        <v>13.02073</v>
      </c>
      <c r="J6314">
        <v>-313.2319</v>
      </c>
      <c r="K6314">
        <v>1.05847</v>
      </c>
      <c r="L6314">
        <v>13.5</v>
      </c>
      <c r="M6314">
        <v>0.89482870000000003</v>
      </c>
      <c r="N6314">
        <v>-1.9518649999999999E-2</v>
      </c>
      <c r="O6314">
        <v>-0.44598320000000002</v>
      </c>
      <c r="P6314">
        <v>0.75615889999999997</v>
      </c>
      <c r="Q6314">
        <v>0.39811370000000001</v>
      </c>
      <c r="R6314">
        <v>-0.51935500000000001</v>
      </c>
      <c r="S6314">
        <v>2.709778</v>
      </c>
      <c r="T6314">
        <v>-0.62106669999999997</v>
      </c>
      <c r="U6314">
        <v>-2.3093870000000001</v>
      </c>
      <c r="V6314">
        <v>0.1363849</v>
      </c>
      <c r="W6314">
        <v>0.41294710000000001</v>
      </c>
      <c r="X6314">
        <v>0.90048530000000004</v>
      </c>
      <c r="Y6314">
        <v>0.24195620000000001</v>
      </c>
      <c r="Z6314">
        <v>4.7308509999999998E-2</v>
      </c>
      <c r="AA6314">
        <v>0.96913320000000003</v>
      </c>
      <c r="AB6314">
        <v>30</v>
      </c>
      <c r="AC6314">
        <v>0.49739999999996998</v>
      </c>
      <c r="AD6314">
        <v>-0.152844699999999</v>
      </c>
      <c r="AE6314">
        <v>-0.47926999999999897</v>
      </c>
      <c r="AF6314">
        <v>0.197405940350288</v>
      </c>
      <c r="AG6314">
        <v>-0.152844699999999</v>
      </c>
      <c r="AH6314">
        <v>0.62819978979059699</v>
      </c>
      <c r="AI6314">
        <v>103.067817830054</v>
      </c>
      <c r="AJ6314">
        <v>72.555158992897105</v>
      </c>
      <c r="AK6314">
        <v>0.67599229544176098</v>
      </c>
      <c r="AL6314">
        <v>65.609897049373004</v>
      </c>
      <c r="AM6314">
        <v>81.387602817790196</v>
      </c>
      <c r="AN6314">
        <v>0.99999996193125396</v>
      </c>
    </row>
    <row r="6315" spans="1:40" x14ac:dyDescent="0.25">
      <c r="A6315" t="str">
        <f>"20190304165010070"</f>
        <v>20190304165010070</v>
      </c>
      <c r="B6315" t="str">
        <f>"1551689410061688"</f>
        <v>1551689410061688</v>
      </c>
      <c r="C6315" t="s">
        <v>40</v>
      </c>
      <c r="D6315">
        <v>4.9577260000000001</v>
      </c>
      <c r="E6315">
        <v>0.56675450000000005</v>
      </c>
      <c r="F6315" t="s">
        <v>41</v>
      </c>
      <c r="G6315">
        <v>-312.50909999999999</v>
      </c>
      <c r="H6315">
        <v>0.89224409999999899</v>
      </c>
      <c r="I6315">
        <v>12.876060000000001</v>
      </c>
      <c r="J6315">
        <v>-313.07569999999998</v>
      </c>
      <c r="K6315">
        <v>1.0580149999999999</v>
      </c>
      <c r="L6315">
        <v>13.41583</v>
      </c>
      <c r="M6315">
        <v>0.89230509999999996</v>
      </c>
      <c r="N6315">
        <v>-1.9233299999999998E-2</v>
      </c>
      <c r="O6315">
        <v>-0.45102320000000001</v>
      </c>
      <c r="P6315">
        <v>0.75306200000000001</v>
      </c>
      <c r="Q6315">
        <v>0.39840389999999998</v>
      </c>
      <c r="R6315">
        <v>-0.52361459999999904</v>
      </c>
      <c r="S6315">
        <v>2.6955260000000001</v>
      </c>
      <c r="T6315">
        <v>-0.61997040000000003</v>
      </c>
      <c r="U6315">
        <v>-2.3270870000000001</v>
      </c>
      <c r="V6315">
        <v>0.13635359999999999</v>
      </c>
      <c r="W6315">
        <v>0.41301179999999899</v>
      </c>
      <c r="X6315">
        <v>0.90046039999999905</v>
      </c>
      <c r="Y6315">
        <v>0.24272340000000001</v>
      </c>
      <c r="Z6315">
        <v>4.8116699999999998E-2</v>
      </c>
      <c r="AA6315">
        <v>0.96890149999999997</v>
      </c>
      <c r="AB6315">
        <v>30</v>
      </c>
      <c r="AC6315">
        <v>0.566599999999994</v>
      </c>
      <c r="AD6315">
        <v>-0.1657709</v>
      </c>
      <c r="AE6315">
        <v>-0.53976999999999897</v>
      </c>
      <c r="AF6315">
        <v>0.21642004415326799</v>
      </c>
      <c r="AG6315">
        <v>-0.1657709</v>
      </c>
      <c r="AH6315">
        <v>0.71699331293657897</v>
      </c>
      <c r="AI6315">
        <v>102.480603946372</v>
      </c>
      <c r="AJ6315">
        <v>73.203881541019697</v>
      </c>
      <c r="AK6315">
        <v>0.76707042544598403</v>
      </c>
      <c r="AL6315">
        <v>65.605827463843895</v>
      </c>
      <c r="AM6315">
        <v>81.389315181918505</v>
      </c>
      <c r="AN6315">
        <v>0.99999999157017905</v>
      </c>
    </row>
    <row r="6316" spans="1:40" x14ac:dyDescent="0.25">
      <c r="A6316" t="str">
        <f>"20190304165010082"</f>
        <v>20190304165010082</v>
      </c>
      <c r="B6316" t="str">
        <f>"1551689410071447"</f>
        <v>1551689410071447</v>
      </c>
      <c r="C6316" t="s">
        <v>40</v>
      </c>
      <c r="D6316">
        <v>4.9633409999999998</v>
      </c>
      <c r="E6316">
        <v>0.5667297</v>
      </c>
      <c r="F6316" t="s">
        <v>41</v>
      </c>
      <c r="G6316">
        <v>-312.48360000000002</v>
      </c>
      <c r="H6316">
        <v>0.92131209999999997</v>
      </c>
      <c r="I6316">
        <v>12.89897</v>
      </c>
      <c r="J6316">
        <v>-312.94080000000002</v>
      </c>
      <c r="K6316">
        <v>1.05765</v>
      </c>
      <c r="L6316">
        <v>13.34229</v>
      </c>
      <c r="M6316">
        <v>0.89009939999999999</v>
      </c>
      <c r="N6316">
        <v>-1.8997699999999999E-2</v>
      </c>
      <c r="O6316">
        <v>-0.45537070000000002</v>
      </c>
      <c r="P6316">
        <v>0.7501816</v>
      </c>
      <c r="Q6316">
        <v>0.39844750000000001</v>
      </c>
      <c r="R6316">
        <v>-0.52770039999999996</v>
      </c>
      <c r="S6316">
        <v>2.682922</v>
      </c>
      <c r="T6316">
        <v>-0.61950709999999998</v>
      </c>
      <c r="U6316">
        <v>-2.3422239999999999</v>
      </c>
      <c r="V6316">
        <v>0.136783399999999</v>
      </c>
      <c r="W6316">
        <v>0.41285859999999902</v>
      </c>
      <c r="X6316">
        <v>0.90046550000000003</v>
      </c>
      <c r="Y6316">
        <v>0.24340020000000001</v>
      </c>
      <c r="Z6316">
        <v>4.88561E-2</v>
      </c>
      <c r="AA6316">
        <v>0.96869470000000002</v>
      </c>
      <c r="AB6316">
        <v>30</v>
      </c>
      <c r="AC6316">
        <v>0.4572</v>
      </c>
      <c r="AD6316">
        <v>-0.13633789999999901</v>
      </c>
      <c r="AE6316">
        <v>-0.44331999999999999</v>
      </c>
      <c r="AF6316">
        <v>0.178266598689474</v>
      </c>
      <c r="AG6316">
        <v>-0.13633789999999901</v>
      </c>
      <c r="AH6316">
        <v>0.58225212508183499</v>
      </c>
      <c r="AI6316">
        <v>102.620231391074</v>
      </c>
      <c r="AJ6316">
        <v>72.977121440353997</v>
      </c>
      <c r="AK6316">
        <v>0.62400684318926902</v>
      </c>
      <c r="AL6316">
        <v>65.615465972214807</v>
      </c>
      <c r="AM6316">
        <v>81.362630358251906</v>
      </c>
      <c r="AN6316">
        <v>1.0000000193998799</v>
      </c>
    </row>
    <row r="6317" spans="1:40" x14ac:dyDescent="0.25">
      <c r="A6317" t="str">
        <f>"20190304165010098"</f>
        <v>20190304165010098</v>
      </c>
      <c r="B6317" t="str">
        <f>"1551689410091947"</f>
        <v>1551689410091947</v>
      </c>
      <c r="C6317" t="s">
        <v>40</v>
      </c>
      <c r="D6317">
        <v>4.9733879999999999</v>
      </c>
      <c r="E6317">
        <v>0.56666669999999997</v>
      </c>
      <c r="F6317" t="s">
        <v>41</v>
      </c>
      <c r="G6317">
        <v>-312.26609999999999</v>
      </c>
      <c r="H6317">
        <v>0.90077470000000004</v>
      </c>
      <c r="I6317">
        <v>12.74701</v>
      </c>
      <c r="J6317">
        <v>-312.74419999999998</v>
      </c>
      <c r="K6317">
        <v>1.0571619999999999</v>
      </c>
      <c r="L6317">
        <v>13.23373</v>
      </c>
      <c r="M6317">
        <v>0.88683969999999901</v>
      </c>
      <c r="N6317">
        <v>-1.8670010000000001E-2</v>
      </c>
      <c r="O6317">
        <v>-0.4617</v>
      </c>
      <c r="P6317">
        <v>0.74615549999999997</v>
      </c>
      <c r="Q6317">
        <v>0.39772590000000002</v>
      </c>
      <c r="R6317">
        <v>-0.53391619999999995</v>
      </c>
      <c r="S6317">
        <v>2.6714479999999998</v>
      </c>
      <c r="T6317">
        <v>-0.62016199999999999</v>
      </c>
      <c r="U6317">
        <v>-2.355591</v>
      </c>
      <c r="V6317">
        <v>0.13755049999999999</v>
      </c>
      <c r="W6317">
        <v>0.41186509999999998</v>
      </c>
      <c r="X6317">
        <v>0.90080360000000004</v>
      </c>
      <c r="Y6317">
        <v>0.24140349999999999</v>
      </c>
      <c r="Z6317">
        <v>5.032615E-2</v>
      </c>
      <c r="AA6317">
        <v>0.96911899999999995</v>
      </c>
      <c r="AB6317">
        <v>30</v>
      </c>
      <c r="AC6317">
        <v>0.47809999999998298</v>
      </c>
      <c r="AD6317">
        <v>-0.15638730000000001</v>
      </c>
      <c r="AE6317">
        <v>-0.48671999999999799</v>
      </c>
      <c r="AF6317">
        <v>0.20041064930501101</v>
      </c>
      <c r="AG6317">
        <v>-0.15638730000000001</v>
      </c>
      <c r="AH6317">
        <v>0.61644077488036797</v>
      </c>
      <c r="AI6317">
        <v>103.564182611454</v>
      </c>
      <c r="AJ6317">
        <v>71.990172700899606</v>
      </c>
      <c r="AK6317">
        <v>0.66679880390658697</v>
      </c>
      <c r="AL6317">
        <v>65.677950203849406</v>
      </c>
      <c r="AM6317">
        <v>81.318137511708102</v>
      </c>
      <c r="AN6317">
        <v>1.0000000632106001</v>
      </c>
    </row>
    <row r="6318" spans="1:40" x14ac:dyDescent="0.25">
      <c r="A6318" t="str">
        <f>"20190304165010110"</f>
        <v>20190304165010110</v>
      </c>
      <c r="B6318" t="str">
        <f>"1551689410101704"</f>
        <v>1551689410101704</v>
      </c>
      <c r="C6318" t="s">
        <v>40</v>
      </c>
      <c r="D6318">
        <v>4.3803559999999999</v>
      </c>
      <c r="E6318">
        <v>0.56666669999999997</v>
      </c>
      <c r="F6318" t="s">
        <v>41</v>
      </c>
      <c r="G6318">
        <v>-312.03960000000001</v>
      </c>
      <c r="H6318">
        <v>0.89126629999999996</v>
      </c>
      <c r="I6318">
        <v>12.60388</v>
      </c>
      <c r="J6318">
        <v>-312.59449999999998</v>
      </c>
      <c r="K6318">
        <v>1.0568229999999901</v>
      </c>
      <c r="L6318">
        <v>13.14972</v>
      </c>
      <c r="M6318">
        <v>0.88431939999999998</v>
      </c>
      <c r="N6318">
        <v>-1.843618E-2</v>
      </c>
      <c r="O6318">
        <v>-0.46651870000000001</v>
      </c>
      <c r="P6318">
        <v>0.74310310000000002</v>
      </c>
      <c r="Q6318">
        <v>0.39745419999999998</v>
      </c>
      <c r="R6318">
        <v>-0.53835730000000004</v>
      </c>
      <c r="S6318">
        <v>2.6555179999999998</v>
      </c>
      <c r="T6318">
        <v>-0.62489130000000004</v>
      </c>
      <c r="U6318">
        <v>-2.37323</v>
      </c>
      <c r="V6318">
        <v>0.13787449999999901</v>
      </c>
      <c r="W6318">
        <v>0.4114005</v>
      </c>
      <c r="X6318">
        <v>0.9009663</v>
      </c>
      <c r="Y6318">
        <v>0.24267030000000001</v>
      </c>
      <c r="Z6318">
        <v>5.1613810000000003E-2</v>
      </c>
      <c r="AA6318">
        <v>0.96873480000000001</v>
      </c>
      <c r="AB6318">
        <v>30</v>
      </c>
      <c r="AC6318">
        <v>0.55489999999997497</v>
      </c>
      <c r="AD6318">
        <v>-0.165556699999999</v>
      </c>
      <c r="AE6318">
        <v>-0.54583999999999999</v>
      </c>
      <c r="AF6318">
        <v>0.21417438502567299</v>
      </c>
      <c r="AG6318">
        <v>-0.165556699999999</v>
      </c>
      <c r="AH6318">
        <v>0.71321400815944302</v>
      </c>
      <c r="AI6318">
        <v>102.534142696503</v>
      </c>
      <c r="AJ6318">
        <v>73.285266253499501</v>
      </c>
      <c r="AK6318">
        <v>0.76285903648765596</v>
      </c>
      <c r="AL6318">
        <v>65.707157866837804</v>
      </c>
      <c r="AM6318">
        <v>81.299547466960107</v>
      </c>
      <c r="AN6318">
        <v>1.00000001144309</v>
      </c>
    </row>
    <row r="6319" spans="1:40" x14ac:dyDescent="0.25">
      <c r="A6319" t="str">
        <f>"20190304165010123"</f>
        <v>20190304165010123</v>
      </c>
      <c r="B6319" t="str">
        <f>"1551689410111464"</f>
        <v>1551689410111464</v>
      </c>
      <c r="C6319" t="s">
        <v>40</v>
      </c>
      <c r="D6319">
        <v>4.3533499999999998</v>
      </c>
      <c r="E6319">
        <v>0.60716099999999995</v>
      </c>
      <c r="F6319" t="s">
        <v>41</v>
      </c>
      <c r="G6319">
        <v>-312.01459999999997</v>
      </c>
      <c r="H6319">
        <v>0.91933940000000003</v>
      </c>
      <c r="I6319">
        <v>12.62557</v>
      </c>
      <c r="J6319">
        <v>-312.44920000000002</v>
      </c>
      <c r="K6319">
        <v>1.056519</v>
      </c>
      <c r="L6319">
        <v>13.067170000000001</v>
      </c>
      <c r="M6319">
        <v>0.88184430000000003</v>
      </c>
      <c r="N6319">
        <v>-1.822147E-2</v>
      </c>
      <c r="O6319">
        <v>-0.47118860000000001</v>
      </c>
      <c r="P6319">
        <v>0.74034419999999901</v>
      </c>
      <c r="Q6319">
        <v>0.39706229999999998</v>
      </c>
      <c r="R6319">
        <v>-0.54243169999999996</v>
      </c>
      <c r="S6319">
        <v>2.642029</v>
      </c>
      <c r="T6319">
        <v>-0.62612819999999902</v>
      </c>
      <c r="U6319">
        <v>-2.3879090000000001</v>
      </c>
      <c r="V6319">
        <v>0.1378865</v>
      </c>
      <c r="W6319">
        <v>0.41083890000000001</v>
      </c>
      <c r="X6319">
        <v>0.90122069999999999</v>
      </c>
      <c r="Y6319">
        <v>0.24303159999999999</v>
      </c>
      <c r="Z6319">
        <v>5.26154E-2</v>
      </c>
      <c r="AA6319">
        <v>0.96859030000000002</v>
      </c>
      <c r="AB6319">
        <v>30</v>
      </c>
      <c r="AC6319">
        <v>0.43460000000004501</v>
      </c>
      <c r="AD6319">
        <v>-0.13717959999999901</v>
      </c>
      <c r="AE6319">
        <v>-0.44159999999999899</v>
      </c>
      <c r="AF6319">
        <v>0.176044783865143</v>
      </c>
      <c r="AG6319">
        <v>-0.13717959999999901</v>
      </c>
      <c r="AH6319">
        <v>0.56378761677123501</v>
      </c>
      <c r="AI6319">
        <v>103.075594465386</v>
      </c>
      <c r="AJ6319">
        <v>72.658831359995901</v>
      </c>
      <c r="AK6319">
        <v>0.60635508195023402</v>
      </c>
      <c r="AL6319">
        <v>65.742456412705906</v>
      </c>
      <c r="AM6319">
        <v>81.301220437961007</v>
      </c>
      <c r="AN6319">
        <v>1.00000001937197</v>
      </c>
    </row>
    <row r="6320" spans="1:40" x14ac:dyDescent="0.25">
      <c r="A6320" t="str">
        <f>"20190304165010137"</f>
        <v>20190304165010137</v>
      </c>
      <c r="B6320" t="str">
        <f>"1551689410132467"</f>
        <v>1551689410132467</v>
      </c>
      <c r="C6320" t="s">
        <v>40</v>
      </c>
      <c r="D6320">
        <v>4.9366979999999998</v>
      </c>
      <c r="E6320">
        <v>0.60716099999999995</v>
      </c>
      <c r="F6320" t="s">
        <v>43</v>
      </c>
      <c r="G6320">
        <v>-300.56279999999998</v>
      </c>
      <c r="H6320">
        <v>-0.05</v>
      </c>
      <c r="I6320">
        <v>-0.4548798</v>
      </c>
      <c r="J6320">
        <v>-312.29360000000003</v>
      </c>
      <c r="K6320">
        <v>1.056216</v>
      </c>
      <c r="L6320">
        <v>12.97794</v>
      </c>
      <c r="M6320">
        <v>0.87915940000000004</v>
      </c>
      <c r="N6320">
        <v>-1.8000169999999999E-2</v>
      </c>
      <c r="O6320">
        <v>-0.47618779999999999</v>
      </c>
      <c r="P6320">
        <v>0.73714139999999995</v>
      </c>
      <c r="Q6320">
        <v>0.3973314</v>
      </c>
      <c r="R6320">
        <v>-0.54658099999999998</v>
      </c>
      <c r="S6320">
        <v>2.2719420000000001</v>
      </c>
      <c r="T6320">
        <v>-0.21149660000000001</v>
      </c>
      <c r="U6320">
        <v>-2.5845639999999999</v>
      </c>
      <c r="V6320">
        <v>0.1378376</v>
      </c>
      <c r="W6320">
        <v>0.4109276</v>
      </c>
      <c r="X6320">
        <v>0.90118770000000004</v>
      </c>
      <c r="Y6320">
        <v>0.34561009999999998</v>
      </c>
      <c r="Z6320">
        <v>8.2204159999999995E-3</v>
      </c>
      <c r="AA6320">
        <v>0.93834220000000002</v>
      </c>
      <c r="AB6320">
        <v>30</v>
      </c>
      <c r="AC6320">
        <v>11.7308</v>
      </c>
      <c r="AD6320">
        <v>-1.1062160000000001</v>
      </c>
      <c r="AE6320">
        <v>-13.432819800000001</v>
      </c>
      <c r="AF6320">
        <v>6.2006769334548704</v>
      </c>
      <c r="AG6320">
        <v>-1.1062160000000001</v>
      </c>
      <c r="AH6320">
        <v>16.648439776724501</v>
      </c>
      <c r="AI6320">
        <v>93.563040009144501</v>
      </c>
      <c r="AJ6320">
        <v>69.572257580822694</v>
      </c>
      <c r="AK6320">
        <v>17.8000745861066</v>
      </c>
      <c r="AL6320">
        <v>65.736881062644997</v>
      </c>
      <c r="AM6320">
        <v>81.303944650207697</v>
      </c>
      <c r="AN6320">
        <v>0.99999998352340402</v>
      </c>
    </row>
    <row r="6321" spans="1:40" x14ac:dyDescent="0.25">
      <c r="A6321" t="str">
        <f>"20190304165010150"</f>
        <v>20190304165010150</v>
      </c>
      <c r="B6321" t="str">
        <f>"1551689410142227"</f>
        <v>1551689410142227</v>
      </c>
      <c r="C6321" t="s">
        <v>40</v>
      </c>
      <c r="D6321">
        <v>4.3772409999999997</v>
      </c>
      <c r="E6321">
        <v>0.60675409999999996</v>
      </c>
      <c r="F6321" t="s">
        <v>43</v>
      </c>
      <c r="G6321">
        <v>-300.40989999999999</v>
      </c>
      <c r="H6321">
        <v>-0.05</v>
      </c>
      <c r="I6321">
        <v>-0.70622249999999998</v>
      </c>
      <c r="J6321">
        <v>-312.1259</v>
      </c>
      <c r="K6321">
        <v>1.0559259999999999</v>
      </c>
      <c r="L6321">
        <v>12.880039999999999</v>
      </c>
      <c r="M6321">
        <v>0.87621870000000002</v>
      </c>
      <c r="N6321">
        <v>-1.7779929999999999E-2</v>
      </c>
      <c r="O6321">
        <v>-0.48158570000000001</v>
      </c>
      <c r="P6321">
        <v>0.73355219999999999</v>
      </c>
      <c r="Q6321">
        <v>0.3978874</v>
      </c>
      <c r="R6321">
        <v>-0.55098740000000002</v>
      </c>
      <c r="S6321">
        <v>2.2564090000000001</v>
      </c>
      <c r="T6321">
        <v>-0.21004159999999999</v>
      </c>
      <c r="U6321">
        <v>-2.5982669999999999</v>
      </c>
      <c r="V6321">
        <v>0.1377902</v>
      </c>
      <c r="W6321">
        <v>0.41129969999999999</v>
      </c>
      <c r="X6321">
        <v>0.90102519999999997</v>
      </c>
      <c r="Y6321">
        <v>0.34550199999999998</v>
      </c>
      <c r="Z6321">
        <v>8.5032040000000003E-3</v>
      </c>
      <c r="AA6321">
        <v>0.93837950000000003</v>
      </c>
      <c r="AB6321">
        <v>30</v>
      </c>
      <c r="AC6321">
        <v>11.715999999999999</v>
      </c>
      <c r="AD6321">
        <v>-1.105926</v>
      </c>
      <c r="AE6321">
        <v>-13.5862625</v>
      </c>
      <c r="AF6321">
        <v>6.23955783661168</v>
      </c>
      <c r="AG6321">
        <v>-1.105926</v>
      </c>
      <c r="AH6321">
        <v>16.747741078369501</v>
      </c>
      <c r="AI6321">
        <v>93.540910845852395</v>
      </c>
      <c r="AJ6321">
        <v>69.566560527492499</v>
      </c>
      <c r="AK6321">
        <v>17.906478870565302</v>
      </c>
      <c r="AL6321">
        <v>65.713493808640294</v>
      </c>
      <c r="AM6321">
        <v>81.305345538328893</v>
      </c>
      <c r="AN6321">
        <v>0.99999999673558504</v>
      </c>
    </row>
    <row r="6322" spans="1:40" x14ac:dyDescent="0.25">
      <c r="A6322" t="str">
        <f>"20190304165010165"</f>
        <v>20190304165010165</v>
      </c>
      <c r="B6322" t="str">
        <f>"1551689410151987"</f>
        <v>1551689410151987</v>
      </c>
      <c r="C6322" t="s">
        <v>40</v>
      </c>
      <c r="D6322">
        <v>4.3852149999999996</v>
      </c>
      <c r="E6322">
        <v>0.60643269999999905</v>
      </c>
      <c r="F6322" t="s">
        <v>43</v>
      </c>
      <c r="G6322">
        <v>-300.22809999999998</v>
      </c>
      <c r="H6322">
        <v>-0.05</v>
      </c>
      <c r="I6322">
        <v>-0.9754486</v>
      </c>
      <c r="J6322">
        <v>-311.96080000000001</v>
      </c>
      <c r="K6322">
        <v>1.0556669999999999</v>
      </c>
      <c r="L6322">
        <v>12.78232</v>
      </c>
      <c r="M6322">
        <v>0.87327559999999904</v>
      </c>
      <c r="N6322">
        <v>-1.7576120000000001E-2</v>
      </c>
      <c r="O6322">
        <v>-0.4869098</v>
      </c>
      <c r="P6322">
        <v>0.72946440000000001</v>
      </c>
      <c r="Q6322">
        <v>0.39890959999999998</v>
      </c>
      <c r="R6322">
        <v>-0.55565540000000002</v>
      </c>
      <c r="S6322">
        <v>2.2417600000000002</v>
      </c>
      <c r="T6322">
        <v>-0.20837649999999999</v>
      </c>
      <c r="U6322">
        <v>-2.6106259999999999</v>
      </c>
      <c r="V6322">
        <v>0.13829839999999999</v>
      </c>
      <c r="W6322">
        <v>0.412134</v>
      </c>
      <c r="X6322">
        <v>0.90056599999999998</v>
      </c>
      <c r="Y6322">
        <v>0.34503149999999999</v>
      </c>
      <c r="Z6322">
        <v>8.7645819999999999E-3</v>
      </c>
      <c r="AA6322">
        <v>0.9385502</v>
      </c>
      <c r="AB6322">
        <v>30</v>
      </c>
      <c r="AC6322">
        <v>11.732699999999999</v>
      </c>
      <c r="AD6322">
        <v>-1.105667</v>
      </c>
      <c r="AE6322">
        <v>-13.757768599999901</v>
      </c>
      <c r="AF6322">
        <v>6.2790502169021503</v>
      </c>
      <c r="AG6322">
        <v>-1.105667</v>
      </c>
      <c r="AH6322">
        <v>16.8841529641862</v>
      </c>
      <c r="AI6322">
        <v>93.512322703959995</v>
      </c>
      <c r="AJ6322">
        <v>69.600327881400503</v>
      </c>
      <c r="AK6322">
        <v>18.0478140631852</v>
      </c>
      <c r="AL6322">
        <v>65.661040002165095</v>
      </c>
      <c r="AM6322">
        <v>81.269389507301497</v>
      </c>
      <c r="AN6322">
        <v>1.00000000087728</v>
      </c>
    </row>
    <row r="6323" spans="1:40" x14ac:dyDescent="0.25">
      <c r="A6323" t="str">
        <f>"20190304165010180"</f>
        <v>20190304165010180</v>
      </c>
      <c r="B6323" t="str">
        <f>"1551689410172483"</f>
        <v>1551689410172483</v>
      </c>
      <c r="C6323" t="s">
        <v>40</v>
      </c>
      <c r="D6323">
        <v>5.0752360000000003</v>
      </c>
      <c r="E6323">
        <v>0.60643269999999905</v>
      </c>
      <c r="F6323" t="s">
        <v>42</v>
      </c>
      <c r="G6323">
        <v>-300.50060000000002</v>
      </c>
      <c r="H6323" s="1">
        <v>-4.240718E-6</v>
      </c>
      <c r="I6323">
        <v>-0.73794749999999998</v>
      </c>
      <c r="J6323">
        <v>-311.77760000000001</v>
      </c>
      <c r="K6323">
        <v>1.055393</v>
      </c>
      <c r="L6323">
        <v>12.67252</v>
      </c>
      <c r="M6323">
        <v>0.86995529999999999</v>
      </c>
      <c r="N6323">
        <v>-1.7364049999999999E-2</v>
      </c>
      <c r="O6323">
        <v>-0.49282480000000001</v>
      </c>
      <c r="P6323">
        <v>0.72521199999999997</v>
      </c>
      <c r="Q6323">
        <v>0.3996981</v>
      </c>
      <c r="R6323">
        <v>-0.56063289999999999</v>
      </c>
      <c r="S6323">
        <v>2.225098</v>
      </c>
      <c r="T6323">
        <v>-0.20496880000000001</v>
      </c>
      <c r="U6323">
        <v>-2.625092</v>
      </c>
      <c r="V6323">
        <v>0.1385333</v>
      </c>
      <c r="W6323">
        <v>0.41273349999999998</v>
      </c>
      <c r="X6323">
        <v>0.90025529999999998</v>
      </c>
      <c r="Y6323">
        <v>0.34469670000000002</v>
      </c>
      <c r="Z6323">
        <v>8.8793669999999904E-3</v>
      </c>
      <c r="AA6323">
        <v>0.93867210000000001</v>
      </c>
      <c r="AB6323">
        <v>30</v>
      </c>
      <c r="AC6323">
        <v>11.2769999999999</v>
      </c>
      <c r="AD6323">
        <v>-1.0553972407179999</v>
      </c>
      <c r="AE6323">
        <v>-13.410467499999999</v>
      </c>
      <c r="AF6323">
        <v>6.0877562159177803</v>
      </c>
      <c r="AG6323">
        <v>-1.0553972407179999</v>
      </c>
      <c r="AH6323">
        <v>16.362607687741001</v>
      </c>
      <c r="AI6323">
        <v>93.459441280431804</v>
      </c>
      <c r="AJ6323">
        <v>69.592134739585305</v>
      </c>
      <c r="AK6323">
        <v>17.490270707541502</v>
      </c>
      <c r="AL6323">
        <v>65.623335233581699</v>
      </c>
      <c r="AM6323">
        <v>81.251818102293697</v>
      </c>
      <c r="AN6323">
        <v>1.0000000112046099</v>
      </c>
    </row>
    <row r="6324" spans="1:40" x14ac:dyDescent="0.25">
      <c r="A6324" t="str">
        <f>"20190304165010194"</f>
        <v>20190304165010194</v>
      </c>
      <c r="B6324" t="str">
        <f>"1551689410182244"</f>
        <v>1551689410182244</v>
      </c>
      <c r="C6324" t="s">
        <v>40</v>
      </c>
      <c r="D6324">
        <v>5.0144599999999997</v>
      </c>
      <c r="E6324">
        <v>0.60643269999999905</v>
      </c>
      <c r="F6324" t="s">
        <v>42</v>
      </c>
      <c r="G6324">
        <v>-300.22789999999998</v>
      </c>
      <c r="H6324" s="1">
        <v>-3.9834319999999999E-6</v>
      </c>
      <c r="I6324">
        <v>-1.1641010000000001</v>
      </c>
      <c r="J6324">
        <v>-311.61439999999999</v>
      </c>
      <c r="K6324">
        <v>1.055161</v>
      </c>
      <c r="L6324">
        <v>12.57339</v>
      </c>
      <c r="M6324">
        <v>0.8669443</v>
      </c>
      <c r="N6324">
        <v>-1.7187379999999999E-2</v>
      </c>
      <c r="O6324">
        <v>-0.49810900000000002</v>
      </c>
      <c r="P6324">
        <v>0.7215374</v>
      </c>
      <c r="Q6324">
        <v>0.40015689999999998</v>
      </c>
      <c r="R6324">
        <v>-0.56502969999999997</v>
      </c>
      <c r="S6324">
        <v>2.2053530000000001</v>
      </c>
      <c r="T6324">
        <v>-0.20152239999999999</v>
      </c>
      <c r="U6324">
        <v>-2.642029</v>
      </c>
      <c r="V6324">
        <v>0.13863349999999999</v>
      </c>
      <c r="W6324">
        <v>0.41303620000000002</v>
      </c>
      <c r="X6324">
        <v>0.90010100000000004</v>
      </c>
      <c r="Y6324">
        <v>0.34609109999999998</v>
      </c>
      <c r="Z6324">
        <v>8.8631130000000006E-3</v>
      </c>
      <c r="AA6324">
        <v>0.93815899999999997</v>
      </c>
      <c r="AB6324">
        <v>30</v>
      </c>
      <c r="AC6324">
        <v>11.3865</v>
      </c>
      <c r="AD6324">
        <v>-1.055164983432</v>
      </c>
      <c r="AE6324">
        <v>-13.737491</v>
      </c>
      <c r="AF6324">
        <v>6.2170999256254502</v>
      </c>
      <c r="AG6324">
        <v>-1.055164983432</v>
      </c>
      <c r="AH6324">
        <v>16.658439000579602</v>
      </c>
      <c r="AI6324">
        <v>93.396122255125704</v>
      </c>
      <c r="AJ6324">
        <v>69.533910989547806</v>
      </c>
      <c r="AK6324">
        <v>17.812054754112602</v>
      </c>
      <c r="AL6324">
        <v>65.604292095968205</v>
      </c>
      <c r="AM6324">
        <v>81.244111128237293</v>
      </c>
      <c r="AN6324">
        <v>0.99999998001684398</v>
      </c>
    </row>
    <row r="6325" spans="1:40" x14ac:dyDescent="0.25">
      <c r="A6325" t="str">
        <f>"20190304165010210"</f>
        <v>20190304165010210</v>
      </c>
      <c r="B6325" t="str">
        <f>"1551689410201763"</f>
        <v>1551689410201763</v>
      </c>
      <c r="C6325" t="s">
        <v>40</v>
      </c>
      <c r="D6325">
        <v>4.9239959999999998</v>
      </c>
      <c r="E6325">
        <v>0.56264840000000005</v>
      </c>
      <c r="F6325" t="s">
        <v>42</v>
      </c>
      <c r="G6325">
        <v>-300.03219999999999</v>
      </c>
      <c r="H6325" s="1">
        <v>-3.778994E-6</v>
      </c>
      <c r="I6325">
        <v>-1.4864409999999999</v>
      </c>
      <c r="J6325">
        <v>-311.4359</v>
      </c>
      <c r="K6325">
        <v>1.0549280000000001</v>
      </c>
      <c r="L6325">
        <v>12.462949999999999</v>
      </c>
      <c r="M6325">
        <v>0.86357600000000001</v>
      </c>
      <c r="N6325">
        <v>-1.7012349999999999E-2</v>
      </c>
      <c r="O6325">
        <v>-0.50393149999999998</v>
      </c>
      <c r="P6325">
        <v>0.71766409999999903</v>
      </c>
      <c r="Q6325">
        <v>0.40133639999999998</v>
      </c>
      <c r="R6325">
        <v>-0.56911109999999998</v>
      </c>
      <c r="S6325">
        <v>2.1882320000000002</v>
      </c>
      <c r="T6325">
        <v>-0.19935359999999999</v>
      </c>
      <c r="U6325">
        <v>-2.656342</v>
      </c>
      <c r="V6325">
        <v>0.1380121</v>
      </c>
      <c r="W6325">
        <v>0.41406690000000002</v>
      </c>
      <c r="X6325">
        <v>0.89972289999999899</v>
      </c>
      <c r="Y6325">
        <v>0.34587400000000001</v>
      </c>
      <c r="Z6325">
        <v>9.0517919999999995E-3</v>
      </c>
      <c r="AA6325">
        <v>0.93823730000000005</v>
      </c>
      <c r="AB6325">
        <v>30</v>
      </c>
      <c r="AC6325">
        <v>11.403700000000001</v>
      </c>
      <c r="AD6325">
        <v>-1.054931778994</v>
      </c>
      <c r="AE6325">
        <v>-13.949391</v>
      </c>
      <c r="AF6325">
        <v>6.2790622347601897</v>
      </c>
      <c r="AG6325">
        <v>-1.054931778994</v>
      </c>
      <c r="AH6325">
        <v>16.822273674664</v>
      </c>
      <c r="AI6325">
        <v>93.362328202854798</v>
      </c>
      <c r="AJ6325">
        <v>69.531466979023193</v>
      </c>
      <c r="AK6325">
        <v>17.9868950959196</v>
      </c>
      <c r="AL6325">
        <v>65.539431977541298</v>
      </c>
      <c r="AM6325">
        <v>81.279146627557196</v>
      </c>
      <c r="AN6325">
        <v>1.00000001710321</v>
      </c>
    </row>
    <row r="6326" spans="1:40" x14ac:dyDescent="0.25">
      <c r="A6326" t="str">
        <f>"20190304165010225"</f>
        <v>20190304165010225</v>
      </c>
      <c r="B6326" t="str">
        <f>"1551689410221752"</f>
        <v>1551689410221752</v>
      </c>
      <c r="C6326" t="s">
        <v>40</v>
      </c>
      <c r="D6326">
        <v>4.9235100000000003</v>
      </c>
      <c r="E6326">
        <v>0.56260189999999999</v>
      </c>
      <c r="F6326" t="s">
        <v>41</v>
      </c>
      <c r="G6326">
        <v>-310.87049999999999</v>
      </c>
      <c r="H6326">
        <v>0.90697629999999996</v>
      </c>
      <c r="I6326">
        <v>11.91343</v>
      </c>
      <c r="J6326">
        <v>-311.26580000000001</v>
      </c>
      <c r="K6326">
        <v>1.05471</v>
      </c>
      <c r="L6326">
        <v>12.356260000000001</v>
      </c>
      <c r="M6326">
        <v>0.86029549999999999</v>
      </c>
      <c r="N6326">
        <v>-1.6857589999999999E-2</v>
      </c>
      <c r="O6326">
        <v>-0.50951709999999995</v>
      </c>
      <c r="P6326">
        <v>0.7139181</v>
      </c>
      <c r="Q6326">
        <v>0.40230120000000003</v>
      </c>
      <c r="R6326">
        <v>-0.57312750000000001</v>
      </c>
      <c r="S6326">
        <v>2.5735169999999998</v>
      </c>
      <c r="T6326">
        <v>-0.67282129999999996</v>
      </c>
      <c r="U6326">
        <v>-2.5005799999999998</v>
      </c>
      <c r="V6326">
        <v>0.1375178</v>
      </c>
      <c r="W6326">
        <v>0.41489569999999998</v>
      </c>
      <c r="X6326">
        <v>0.89941669999999996</v>
      </c>
      <c r="Y6326">
        <v>0.23624780000000001</v>
      </c>
      <c r="Z6326">
        <v>6.5124409999999994E-2</v>
      </c>
      <c r="AA6326">
        <v>0.96950800000000004</v>
      </c>
      <c r="AB6326">
        <v>30</v>
      </c>
      <c r="AC6326">
        <v>0.39530000000002002</v>
      </c>
      <c r="AD6326">
        <v>-0.147733699999999</v>
      </c>
      <c r="AE6326">
        <v>-0.44283</v>
      </c>
      <c r="AF6326">
        <v>0.16910374299782099</v>
      </c>
      <c r="AG6326">
        <v>-0.147733699999999</v>
      </c>
      <c r="AH6326">
        <v>0.53278391776274903</v>
      </c>
      <c r="AI6326">
        <v>104.804381048656</v>
      </c>
      <c r="AJ6326">
        <v>72.390744682087899</v>
      </c>
      <c r="AK6326">
        <v>0.57816954696540901</v>
      </c>
      <c r="AL6326">
        <v>65.4872514476031</v>
      </c>
      <c r="AM6326">
        <v>81.306990031222398</v>
      </c>
      <c r="AN6326">
        <v>0.99999999371710901</v>
      </c>
    </row>
    <row r="6327" spans="1:40" x14ac:dyDescent="0.25">
      <c r="A6327" t="str">
        <f>"20190304165010238"</f>
        <v>20190304165010238</v>
      </c>
      <c r="B6327" t="str">
        <f>"1551689410231513"</f>
        <v>1551689410231513</v>
      </c>
      <c r="C6327" t="s">
        <v>40</v>
      </c>
      <c r="D6327">
        <v>4.5090469999999998</v>
      </c>
      <c r="E6327">
        <v>0.56260189999999999</v>
      </c>
      <c r="F6327" t="s">
        <v>41</v>
      </c>
      <c r="G6327">
        <v>-310.65649999999999</v>
      </c>
      <c r="H6327">
        <v>0.89518960000000003</v>
      </c>
      <c r="I6327">
        <v>11.7561</v>
      </c>
      <c r="J6327">
        <v>-311.10910000000001</v>
      </c>
      <c r="K6327">
        <v>1.0545249999999999</v>
      </c>
      <c r="L6327">
        <v>12.256740000000001</v>
      </c>
      <c r="M6327">
        <v>0.85721019999999903</v>
      </c>
      <c r="N6327">
        <v>-1.6724260000000001E-2</v>
      </c>
      <c r="O6327">
        <v>-0.51469540000000003</v>
      </c>
      <c r="P6327">
        <v>0.71052839999999995</v>
      </c>
      <c r="Q6327">
        <v>0.40316229999999997</v>
      </c>
      <c r="R6327">
        <v>-0.57672389999999996</v>
      </c>
      <c r="S6327">
        <v>2.5574340000000002</v>
      </c>
      <c r="T6327">
        <v>-0.66909799999999997</v>
      </c>
      <c r="U6327">
        <v>-2.518402</v>
      </c>
      <c r="V6327">
        <v>0.1369071</v>
      </c>
      <c r="W6327">
        <v>0.41564010000000001</v>
      </c>
      <c r="X6327">
        <v>0.89916620000000003</v>
      </c>
      <c r="Y6327">
        <v>0.23689769999999999</v>
      </c>
      <c r="Z6327">
        <v>6.5658659999999994E-2</v>
      </c>
      <c r="AA6327">
        <v>0.96931339999999999</v>
      </c>
      <c r="AB6327">
        <v>30</v>
      </c>
      <c r="AC6327">
        <v>0.45260000000001799</v>
      </c>
      <c r="AD6327">
        <v>-0.15933539999999899</v>
      </c>
      <c r="AE6327">
        <v>-0.50063999999999798</v>
      </c>
      <c r="AF6327">
        <v>0.18587003099251401</v>
      </c>
      <c r="AG6327">
        <v>-0.15933539999999899</v>
      </c>
      <c r="AH6327">
        <v>0.61164878532270694</v>
      </c>
      <c r="AI6327">
        <v>103.995638399588</v>
      </c>
      <c r="AJ6327">
        <v>73.096833741977406</v>
      </c>
      <c r="AK6327">
        <v>0.65882446425513097</v>
      </c>
      <c r="AL6327">
        <v>65.440368238327807</v>
      </c>
      <c r="AM6327">
        <v>81.342634098637603</v>
      </c>
      <c r="AN6327">
        <v>1.0000000509904201</v>
      </c>
    </row>
    <row r="6328" spans="1:40" x14ac:dyDescent="0.25">
      <c r="A6328" t="str">
        <f>"20190304165010252"</f>
        <v>20190304165010252</v>
      </c>
      <c r="B6328" t="str">
        <f>"1551689410242248"</f>
        <v>1551689410242248</v>
      </c>
      <c r="C6328" t="s">
        <v>40</v>
      </c>
      <c r="D6328">
        <v>4.9444850000000002</v>
      </c>
      <c r="E6328">
        <v>0.56240239999999997</v>
      </c>
      <c r="F6328" t="s">
        <v>41</v>
      </c>
      <c r="G6328">
        <v>-310.44619999999998</v>
      </c>
      <c r="H6328">
        <v>0.88089930000000005</v>
      </c>
      <c r="I6328">
        <v>11.595649999999999</v>
      </c>
      <c r="J6328">
        <v>-310.94040000000001</v>
      </c>
      <c r="K6328">
        <v>1.0543359999999999</v>
      </c>
      <c r="L6328">
        <v>12.14795</v>
      </c>
      <c r="M6328">
        <v>0.85380719999999999</v>
      </c>
      <c r="N6328">
        <v>-1.6593500000000001E-2</v>
      </c>
      <c r="O6328">
        <v>-0.52032489999999998</v>
      </c>
      <c r="P6328">
        <v>0.70579939999999997</v>
      </c>
      <c r="Q6328">
        <v>0.40579460000000001</v>
      </c>
      <c r="R6328">
        <v>-0.58067049999999998</v>
      </c>
      <c r="S6328">
        <v>2.5424190000000002</v>
      </c>
      <c r="T6328">
        <v>-0.66530040000000001</v>
      </c>
      <c r="U6328">
        <v>-2.5346069999999998</v>
      </c>
      <c r="V6328">
        <v>0.13685259999999999</v>
      </c>
      <c r="W6328">
        <v>0.4181279</v>
      </c>
      <c r="X6328">
        <v>0.89802029999999999</v>
      </c>
      <c r="Y6328">
        <v>0.23651369999999999</v>
      </c>
      <c r="Z6328">
        <v>6.6353209999999996E-2</v>
      </c>
      <c r="AA6328">
        <v>0.96935990000000005</v>
      </c>
      <c r="AB6328">
        <v>30</v>
      </c>
      <c r="AC6328">
        <v>0.494200000000034</v>
      </c>
      <c r="AD6328">
        <v>-0.1734367</v>
      </c>
      <c r="AE6328">
        <v>-0.55230000000000001</v>
      </c>
      <c r="AF6328">
        <v>0.203308627141079</v>
      </c>
      <c r="AG6328">
        <v>-0.1734367</v>
      </c>
      <c r="AH6328">
        <v>0.67259069640235003</v>
      </c>
      <c r="AI6328">
        <v>103.86535487442301</v>
      </c>
      <c r="AJ6328">
        <v>73.181146070579999</v>
      </c>
      <c r="AK6328">
        <v>0.72373540169310402</v>
      </c>
      <c r="AL6328">
        <v>65.283550154769102</v>
      </c>
      <c r="AM6328">
        <v>81.335153014846298</v>
      </c>
      <c r="AN6328">
        <v>1.0000000170486201</v>
      </c>
    </row>
    <row r="6329" spans="1:40" x14ac:dyDescent="0.25">
      <c r="A6329" t="str">
        <f>"20190304165010264"</f>
        <v>20190304165010264</v>
      </c>
      <c r="B6329" t="str">
        <f>"1551689410261769"</f>
        <v>1551689410261769</v>
      </c>
      <c r="C6329" t="s">
        <v>40</v>
      </c>
      <c r="D6329">
        <v>4.9110189999999996</v>
      </c>
      <c r="E6329">
        <v>0.56213369999999996</v>
      </c>
      <c r="F6329" t="s">
        <v>41</v>
      </c>
      <c r="G6329">
        <v>-310.41500000000002</v>
      </c>
      <c r="H6329">
        <v>0.91759780000000002</v>
      </c>
      <c r="I6329">
        <v>11.61661</v>
      </c>
      <c r="J6329">
        <v>-310.81169999999997</v>
      </c>
      <c r="K6329">
        <v>1.0541940000000001</v>
      </c>
      <c r="L6329">
        <v>12.063599999999999</v>
      </c>
      <c r="M6329">
        <v>0.85114709999999905</v>
      </c>
      <c r="N6329">
        <v>-1.6503569999999999E-2</v>
      </c>
      <c r="O6329">
        <v>-0.52466789999999996</v>
      </c>
      <c r="P6329">
        <v>0.70212319999999995</v>
      </c>
      <c r="Q6329">
        <v>0.40686549999999999</v>
      </c>
      <c r="R6329">
        <v>-0.5843661</v>
      </c>
      <c r="S6329">
        <v>2.5266419999999998</v>
      </c>
      <c r="T6329">
        <v>-0.65683159999999996</v>
      </c>
      <c r="U6329">
        <v>-2.5543209999999998</v>
      </c>
      <c r="V6329">
        <v>0.13736660000000001</v>
      </c>
      <c r="W6329">
        <v>0.41908970000000001</v>
      </c>
      <c r="X6329">
        <v>0.89749330000000005</v>
      </c>
      <c r="Y6329">
        <v>0.23829059999999999</v>
      </c>
      <c r="Z6329">
        <v>6.6012810000000005E-2</v>
      </c>
      <c r="AA6329">
        <v>0.96894780000000003</v>
      </c>
      <c r="AB6329">
        <v>30</v>
      </c>
      <c r="AC6329">
        <v>0.39669999999995198</v>
      </c>
      <c r="AD6329">
        <v>-0.136596199999999</v>
      </c>
      <c r="AE6329">
        <v>-0.446989999999997</v>
      </c>
      <c r="AF6329">
        <v>0.163785814089596</v>
      </c>
      <c r="AG6329">
        <v>-0.136596199999999</v>
      </c>
      <c r="AH6329">
        <v>0.543839223965917</v>
      </c>
      <c r="AI6329">
        <v>103.52282316509699</v>
      </c>
      <c r="AJ6329">
        <v>73.239491464009205</v>
      </c>
      <c r="AK6329">
        <v>0.58416214895804597</v>
      </c>
      <c r="AL6329">
        <v>65.222869995108894</v>
      </c>
      <c r="AM6329">
        <v>81.298077090599705</v>
      </c>
      <c r="AN6329">
        <v>0.99999999149327001</v>
      </c>
    </row>
    <row r="6330" spans="1:40" x14ac:dyDescent="0.25">
      <c r="A6330" t="str">
        <f>"20190304165010276"</f>
        <v>20190304165010276</v>
      </c>
      <c r="B6330" t="str">
        <f>"1551689410271527"</f>
        <v>1551689410271527</v>
      </c>
      <c r="C6330" t="s">
        <v>40</v>
      </c>
      <c r="D6330">
        <v>4.5063979999999999</v>
      </c>
      <c r="E6330">
        <v>0.56213369999999996</v>
      </c>
      <c r="F6330" t="s">
        <v>41</v>
      </c>
      <c r="G6330">
        <v>-310.2115</v>
      </c>
      <c r="H6330">
        <v>0.89759369999999905</v>
      </c>
      <c r="I6330">
        <v>11.45119</v>
      </c>
      <c r="J6330">
        <v>-310.68450000000001</v>
      </c>
      <c r="K6330">
        <v>1.0540590000000001</v>
      </c>
      <c r="L6330">
        <v>11.97977</v>
      </c>
      <c r="M6330">
        <v>0.84848299999999999</v>
      </c>
      <c r="N6330">
        <v>-1.6416989999999999E-2</v>
      </c>
      <c r="O6330">
        <v>-0.52896829999999995</v>
      </c>
      <c r="P6330">
        <v>0.69807980000000003</v>
      </c>
      <c r="Q6330">
        <v>0.40754279999999998</v>
      </c>
      <c r="R6330">
        <v>-0.58872250000000004</v>
      </c>
      <c r="S6330">
        <v>2.5165709999999999</v>
      </c>
      <c r="T6330">
        <v>-0.65615649999999903</v>
      </c>
      <c r="U6330">
        <v>-2.5668950000000001</v>
      </c>
      <c r="V6330">
        <v>0.13866919999999999</v>
      </c>
      <c r="W6330">
        <v>0.4196455</v>
      </c>
      <c r="X6330">
        <v>0.89703319999999998</v>
      </c>
      <c r="Y6330">
        <v>0.23774190000000001</v>
      </c>
      <c r="Z6330">
        <v>6.6766010000000001E-2</v>
      </c>
      <c r="AA6330">
        <v>0.96903099999999998</v>
      </c>
      <c r="AB6330">
        <v>30</v>
      </c>
      <c r="AC6330">
        <v>0.47300000000001302</v>
      </c>
      <c r="AD6330">
        <v>-0.1564653</v>
      </c>
      <c r="AE6330">
        <v>-0.52858000000000105</v>
      </c>
      <c r="AF6330">
        <v>0.18911381639542299</v>
      </c>
      <c r="AG6330">
        <v>-0.1564653</v>
      </c>
      <c r="AH6330">
        <v>0.64942602255257398</v>
      </c>
      <c r="AI6330">
        <v>103.02459373296399</v>
      </c>
      <c r="AJ6330">
        <v>73.764362186441801</v>
      </c>
      <c r="AK6330">
        <v>0.69426189901519797</v>
      </c>
      <c r="AL6330">
        <v>65.187792274035303</v>
      </c>
      <c r="AM6330">
        <v>81.212405844756105</v>
      </c>
      <c r="AN6330">
        <v>1.00000002730056</v>
      </c>
    </row>
    <row r="6331" spans="1:40" x14ac:dyDescent="0.25">
      <c r="A6331" t="str">
        <f>"20190304165010287"</f>
        <v>20190304165010287</v>
      </c>
      <c r="B6331" t="str">
        <f>"1551689410282263"</f>
        <v>1551689410282263</v>
      </c>
      <c r="C6331" t="s">
        <v>40</v>
      </c>
      <c r="D6331">
        <v>4.3416980000000001</v>
      </c>
      <c r="E6331">
        <v>0.56213369999999996</v>
      </c>
      <c r="F6331" t="s">
        <v>41</v>
      </c>
      <c r="G6331">
        <v>-310.0095</v>
      </c>
      <c r="H6331">
        <v>0.87755269999999996</v>
      </c>
      <c r="I6331">
        <v>11.284280000000001</v>
      </c>
      <c r="J6331">
        <v>-310.54939999999999</v>
      </c>
      <c r="K6331">
        <v>1.053922</v>
      </c>
      <c r="L6331">
        <v>11.889010000000001</v>
      </c>
      <c r="M6331">
        <v>0.84557000000000004</v>
      </c>
      <c r="N6331">
        <v>-1.6335329999999999E-2</v>
      </c>
      <c r="O6331">
        <v>-0.5336149</v>
      </c>
      <c r="P6331">
        <v>0.69354899999999997</v>
      </c>
      <c r="Q6331">
        <v>0.40812130000000002</v>
      </c>
      <c r="R6331">
        <v>-0.59365579999999996</v>
      </c>
      <c r="S6331">
        <v>2.5040589999999998</v>
      </c>
      <c r="T6331">
        <v>-0.65449040000000003</v>
      </c>
      <c r="U6331">
        <v>-2.5796510000000001</v>
      </c>
      <c r="V6331">
        <v>0.14035429999999999</v>
      </c>
      <c r="W6331">
        <v>0.42009479999999999</v>
      </c>
      <c r="X6331">
        <v>0.89656069999999999</v>
      </c>
      <c r="Y6331">
        <v>0.2372765</v>
      </c>
      <c r="Z6331">
        <v>6.7485379999999998E-2</v>
      </c>
      <c r="AA6331">
        <v>0.96909520000000005</v>
      </c>
      <c r="AB6331">
        <v>30</v>
      </c>
      <c r="AC6331">
        <v>0.53989999999998795</v>
      </c>
      <c r="AD6331">
        <v>-0.17636930000000001</v>
      </c>
      <c r="AE6331">
        <v>-0.60472999999999999</v>
      </c>
      <c r="AF6331">
        <v>0.213182274446269</v>
      </c>
      <c r="AG6331">
        <v>-0.17636930000000001</v>
      </c>
      <c r="AH6331">
        <v>0.74410028911777004</v>
      </c>
      <c r="AI6331">
        <v>102.836076641308</v>
      </c>
      <c r="AJ6331">
        <v>74.013167160604695</v>
      </c>
      <c r="AK6331">
        <v>0.79387533806368105</v>
      </c>
      <c r="AL6331">
        <v>65.159428032882204</v>
      </c>
      <c r="AM6331">
        <v>81.102704599553505</v>
      </c>
      <c r="AN6331">
        <v>1.00000002965</v>
      </c>
    </row>
    <row r="6332" spans="1:40" x14ac:dyDescent="0.25">
      <c r="A6332" t="str">
        <f>"20190304165010299"</f>
        <v>20190304165010299</v>
      </c>
      <c r="B6332" t="str">
        <f>"1551689410292024"</f>
        <v>1551689410292024</v>
      </c>
      <c r="C6332" t="s">
        <v>40</v>
      </c>
      <c r="D6332">
        <v>4.8508809999999896</v>
      </c>
      <c r="E6332">
        <v>0.5619923</v>
      </c>
      <c r="F6332" t="s">
        <v>41</v>
      </c>
      <c r="G6332">
        <v>-309.98500000000001</v>
      </c>
      <c r="H6332">
        <v>0.90578820000000004</v>
      </c>
      <c r="I6332">
        <v>11.30062</v>
      </c>
      <c r="J6332">
        <v>-310.42529999999999</v>
      </c>
      <c r="K6332">
        <v>1.0538000000000001</v>
      </c>
      <c r="L6332">
        <v>11.80505</v>
      </c>
      <c r="M6332">
        <v>0.84285279999999996</v>
      </c>
      <c r="N6332">
        <v>-1.6263340000000001E-2</v>
      </c>
      <c r="O6332">
        <v>-0.5378984</v>
      </c>
      <c r="P6332">
        <v>0.68959740000000003</v>
      </c>
      <c r="Q6332">
        <v>0.40858240000000001</v>
      </c>
      <c r="R6332">
        <v>-0.59792650000000003</v>
      </c>
      <c r="S6332">
        <v>2.4888919999999999</v>
      </c>
      <c r="T6332">
        <v>-0.6529509</v>
      </c>
      <c r="U6332">
        <v>-2.5946349999999998</v>
      </c>
      <c r="V6332">
        <v>0.1415458</v>
      </c>
      <c r="W6332">
        <v>0.42044779999999998</v>
      </c>
      <c r="X6332">
        <v>0.8962078</v>
      </c>
      <c r="Y6332">
        <v>0.23812040000000001</v>
      </c>
      <c r="Z6332">
        <v>6.8035399999999996E-2</v>
      </c>
      <c r="AA6332">
        <v>0.96884979999999998</v>
      </c>
      <c r="AB6332">
        <v>30</v>
      </c>
      <c r="AC6332">
        <v>0.44029999999997899</v>
      </c>
      <c r="AD6332">
        <v>-0.1480118</v>
      </c>
      <c r="AE6332">
        <v>-0.50442999999999905</v>
      </c>
      <c r="AF6332">
        <v>0.179573369804683</v>
      </c>
      <c r="AG6332">
        <v>-0.1480118</v>
      </c>
      <c r="AH6332">
        <v>0.61259005527784904</v>
      </c>
      <c r="AI6332">
        <v>103.05392995216999</v>
      </c>
      <c r="AJ6332">
        <v>73.662138712325401</v>
      </c>
      <c r="AK6332">
        <v>0.65530196391249096</v>
      </c>
      <c r="AL6332">
        <v>65.137137624656404</v>
      </c>
      <c r="AM6332">
        <v>81.024921686020406</v>
      </c>
      <c r="AN6332">
        <v>0.99999999340166001</v>
      </c>
    </row>
    <row r="6333" spans="1:40" x14ac:dyDescent="0.25">
      <c r="A6333" t="str">
        <f>"20190304165010310"</f>
        <v>20190304165010310</v>
      </c>
      <c r="B6333" t="str">
        <f>"1551689410301784"</f>
        <v>1551689410301784</v>
      </c>
      <c r="C6333" t="s">
        <v>40</v>
      </c>
      <c r="D6333">
        <v>4.9182839999999999</v>
      </c>
      <c r="E6333">
        <v>0.56167840000000002</v>
      </c>
      <c r="F6333" t="s">
        <v>41</v>
      </c>
      <c r="G6333">
        <v>-309.78570000000002</v>
      </c>
      <c r="H6333">
        <v>0.88502139999999996</v>
      </c>
      <c r="I6333">
        <v>11.131320000000001</v>
      </c>
      <c r="J6333">
        <v>-310.2894</v>
      </c>
      <c r="K6333">
        <v>1.05367099999999</v>
      </c>
      <c r="L6333">
        <v>11.71185</v>
      </c>
      <c r="M6333">
        <v>0.83980900000000003</v>
      </c>
      <c r="N6333">
        <v>-1.619116E-2</v>
      </c>
      <c r="O6333">
        <v>-0.54264069999999998</v>
      </c>
      <c r="P6333">
        <v>0.68547219999999998</v>
      </c>
      <c r="Q6333">
        <v>0.40884870000000001</v>
      </c>
      <c r="R6333">
        <v>-0.60247079999999997</v>
      </c>
      <c r="S6333">
        <v>2.476105</v>
      </c>
      <c r="T6333">
        <v>-0.653232699999999</v>
      </c>
      <c r="U6333">
        <v>-2.6080019999999999</v>
      </c>
      <c r="V6333">
        <v>0.1425642</v>
      </c>
      <c r="W6333">
        <v>0.4206088</v>
      </c>
      <c r="X6333">
        <v>0.89597079999999996</v>
      </c>
      <c r="Y6333">
        <v>0.2376875</v>
      </c>
      <c r="Z6333">
        <v>6.8978960000000006E-2</v>
      </c>
      <c r="AA6333">
        <v>0.96888940000000001</v>
      </c>
      <c r="AB6333">
        <v>30</v>
      </c>
      <c r="AC6333">
        <v>0.50369999999998005</v>
      </c>
      <c r="AD6333">
        <v>-0.16864959999999901</v>
      </c>
      <c r="AE6333">
        <v>-0.58052999999999899</v>
      </c>
      <c r="AF6333">
        <v>0.204393042852127</v>
      </c>
      <c r="AG6333">
        <v>-0.16864959999999901</v>
      </c>
      <c r="AH6333">
        <v>0.70422052611039898</v>
      </c>
      <c r="AI6333">
        <v>102.95236748799201</v>
      </c>
      <c r="AJ6333">
        <v>73.815151751825695</v>
      </c>
      <c r="AK6333">
        <v>0.75242657644564703</v>
      </c>
      <c r="AL6333">
        <v>65.126970300892296</v>
      </c>
      <c r="AM6333">
        <v>80.959058318695995</v>
      </c>
      <c r="AN6333">
        <v>0.99999999410586005</v>
      </c>
    </row>
    <row r="6334" spans="1:40" x14ac:dyDescent="0.25">
      <c r="A6334" t="str">
        <f>"20190304165010324"</f>
        <v>20190304165010324</v>
      </c>
      <c r="B6334" t="str">
        <f>"1551689410322281"</f>
        <v>1551689410322281</v>
      </c>
      <c r="C6334" t="s">
        <v>40</v>
      </c>
      <c r="D6334">
        <v>5.1174770000000001</v>
      </c>
      <c r="E6334">
        <v>0.56194369999999905</v>
      </c>
      <c r="F6334" t="s">
        <v>41</v>
      </c>
      <c r="G6334">
        <v>-309.76060000000001</v>
      </c>
      <c r="H6334">
        <v>0.9127111</v>
      </c>
      <c r="I6334">
        <v>11.148440000000001</v>
      </c>
      <c r="J6334">
        <v>-310.14600000000002</v>
      </c>
      <c r="K6334">
        <v>1.0535460000000001</v>
      </c>
      <c r="L6334">
        <v>11.61209</v>
      </c>
      <c r="M6334">
        <v>0.83651869999999995</v>
      </c>
      <c r="N6334">
        <v>-1.6121429999999999E-2</v>
      </c>
      <c r="O6334">
        <v>-0.54770149999999995</v>
      </c>
      <c r="P6334">
        <v>0.68122459999999996</v>
      </c>
      <c r="Q6334">
        <v>0.40881820000000002</v>
      </c>
      <c r="R6334">
        <v>-0.60729</v>
      </c>
      <c r="S6334">
        <v>2.462402</v>
      </c>
      <c r="T6334">
        <v>-0.656109099999999</v>
      </c>
      <c r="U6334">
        <v>-2.6231080000000002</v>
      </c>
      <c r="V6334">
        <v>0.14352319999999999</v>
      </c>
      <c r="W6334">
        <v>0.42047679999999998</v>
      </c>
      <c r="X6334">
        <v>0.8958796</v>
      </c>
      <c r="Y6334">
        <v>0.23738570000000001</v>
      </c>
      <c r="Z6334">
        <v>7.0264670000000001E-2</v>
      </c>
      <c r="AA6334">
        <v>0.96887089999999998</v>
      </c>
      <c r="AB6334">
        <v>30</v>
      </c>
      <c r="AC6334">
        <v>0.38539999999994701</v>
      </c>
      <c r="AD6334">
        <v>-0.14083490000000001</v>
      </c>
      <c r="AE6334">
        <v>-0.46365000000000101</v>
      </c>
      <c r="AF6334">
        <v>0.16764329423930799</v>
      </c>
      <c r="AG6334">
        <v>-0.14083490000000001</v>
      </c>
      <c r="AH6334">
        <v>0.54658664074017005</v>
      </c>
      <c r="AI6334">
        <v>103.83851238472801</v>
      </c>
      <c r="AJ6334">
        <v>72.948727863567896</v>
      </c>
      <c r="AK6334">
        <v>0.58880871171972404</v>
      </c>
      <c r="AL6334">
        <v>65.135305228588606</v>
      </c>
      <c r="AM6334">
        <v>80.898345277501207</v>
      </c>
      <c r="AN6334">
        <v>0.99999995298631805</v>
      </c>
    </row>
    <row r="6335" spans="1:40" x14ac:dyDescent="0.25">
      <c r="A6335" t="str">
        <f>"20190304165010337"</f>
        <v>20190304165010337</v>
      </c>
      <c r="B6335" t="str">
        <f>"1551689410332040"</f>
        <v>1551689410332040</v>
      </c>
      <c r="C6335" t="s">
        <v>40</v>
      </c>
      <c r="D6335">
        <v>4.8771430000000002</v>
      </c>
      <c r="E6335">
        <v>0.5620773</v>
      </c>
      <c r="F6335" t="s">
        <v>41</v>
      </c>
      <c r="G6335">
        <v>-309.56020000000001</v>
      </c>
      <c r="H6335">
        <v>0.89696409999999904</v>
      </c>
      <c r="I6335">
        <v>10.97814</v>
      </c>
      <c r="J6335">
        <v>-310</v>
      </c>
      <c r="K6335">
        <v>1.053415</v>
      </c>
      <c r="L6335">
        <v>11.50952</v>
      </c>
      <c r="M6335">
        <v>0.83310219999999902</v>
      </c>
      <c r="N6335">
        <v>-1.6054450000000001E-2</v>
      </c>
      <c r="O6335">
        <v>-0.552886199999999</v>
      </c>
      <c r="P6335">
        <v>0.67684100000000003</v>
      </c>
      <c r="Q6335">
        <v>0.40862759999999998</v>
      </c>
      <c r="R6335">
        <v>-0.61229899999999904</v>
      </c>
      <c r="S6335">
        <v>2.440979</v>
      </c>
      <c r="T6335">
        <v>-0.65184699999999995</v>
      </c>
      <c r="U6335">
        <v>-2.6406559999999999</v>
      </c>
      <c r="V6335">
        <v>0.1445642</v>
      </c>
      <c r="W6335">
        <v>0.42018559999999999</v>
      </c>
      <c r="X6335">
        <v>0.89584889999999995</v>
      </c>
      <c r="Y6335">
        <v>0.2388023</v>
      </c>
      <c r="Z6335">
        <v>7.0636470000000007E-2</v>
      </c>
      <c r="AA6335">
        <v>0.96849569999999996</v>
      </c>
      <c r="AB6335">
        <v>30</v>
      </c>
      <c r="AC6335">
        <v>0.43979999999999098</v>
      </c>
      <c r="AD6335">
        <v>-0.1564509</v>
      </c>
      <c r="AE6335">
        <v>-0.53137999999999996</v>
      </c>
      <c r="AF6335">
        <v>0.18979616220991599</v>
      </c>
      <c r="AG6335">
        <v>-0.1564509</v>
      </c>
      <c r="AH6335">
        <v>0.62797021867775704</v>
      </c>
      <c r="AI6335">
        <v>103.41352288273001</v>
      </c>
      <c r="AJ6335">
        <v>73.183213166173402</v>
      </c>
      <c r="AK6335">
        <v>0.674422762699045</v>
      </c>
      <c r="AL6335">
        <v>65.1536942274778</v>
      </c>
      <c r="AM6335">
        <v>80.833137318930596</v>
      </c>
      <c r="AN6335">
        <v>0.99999999900010395</v>
      </c>
    </row>
    <row r="6336" spans="1:40" x14ac:dyDescent="0.25">
      <c r="A6336" t="str">
        <f>"20190304165010353"</f>
        <v>20190304165010353</v>
      </c>
      <c r="B6336" t="str">
        <f>"1551689410341800"</f>
        <v>1551689410341800</v>
      </c>
      <c r="C6336" t="s">
        <v>40</v>
      </c>
      <c r="D6336">
        <v>4.8179569999999998</v>
      </c>
      <c r="E6336">
        <v>0.56225970000000003</v>
      </c>
      <c r="F6336" t="s">
        <v>41</v>
      </c>
      <c r="G6336">
        <v>-309.36059999999998</v>
      </c>
      <c r="H6336">
        <v>0.88164619999999905</v>
      </c>
      <c r="I6336">
        <v>10.80744</v>
      </c>
      <c r="J6336">
        <v>-309.8186</v>
      </c>
      <c r="K6336">
        <v>1.0532600000000001</v>
      </c>
      <c r="L6336">
        <v>11.37973</v>
      </c>
      <c r="M6336">
        <v>0.8287293</v>
      </c>
      <c r="N6336">
        <v>-1.5979859999999999E-2</v>
      </c>
      <c r="O6336">
        <v>-0.55942159999999996</v>
      </c>
      <c r="P6336">
        <v>0.6706664</v>
      </c>
      <c r="Q6336">
        <v>0.40688039999999998</v>
      </c>
      <c r="R6336">
        <v>-0.62020559999999902</v>
      </c>
      <c r="S6336">
        <v>2.4205930000000002</v>
      </c>
      <c r="T6336">
        <v>-0.65060819999999997</v>
      </c>
      <c r="U6336">
        <v>-2.6580509999999999</v>
      </c>
      <c r="V6336">
        <v>0.1475041</v>
      </c>
      <c r="W6336">
        <v>0.41829290000000002</v>
      </c>
      <c r="X6336">
        <v>0.89625529999999998</v>
      </c>
      <c r="Y6336">
        <v>0.2384463</v>
      </c>
      <c r="Z6336">
        <v>7.1750850000000005E-2</v>
      </c>
      <c r="AA6336">
        <v>0.96850150000000002</v>
      </c>
      <c r="AB6336">
        <v>30</v>
      </c>
      <c r="AC6336">
        <v>0.458000000000026</v>
      </c>
      <c r="AD6336">
        <v>-0.17161380000000001</v>
      </c>
      <c r="AE6336">
        <v>-0.57228999999999997</v>
      </c>
      <c r="AF6336">
        <v>0.20675295103338701</v>
      </c>
      <c r="AG6336">
        <v>-0.17161380000000001</v>
      </c>
      <c r="AH6336">
        <v>0.66343230008471499</v>
      </c>
      <c r="AI6336">
        <v>103.872249905711</v>
      </c>
      <c r="AJ6336">
        <v>72.6908053207639</v>
      </c>
      <c r="AK6336">
        <v>0.71577964200384303</v>
      </c>
      <c r="AL6336">
        <v>65.273141678032204</v>
      </c>
      <c r="AM6336">
        <v>80.654142342863295</v>
      </c>
      <c r="AN6336">
        <v>0.99999998624265396</v>
      </c>
    </row>
    <row r="6337" spans="1:40" x14ac:dyDescent="0.25">
      <c r="A6337" t="str">
        <f>"20190304165010370"</f>
        <v>20190304165010370</v>
      </c>
      <c r="B6337" t="str">
        <f>"1551689410362296"</f>
        <v>1551689410362296</v>
      </c>
      <c r="C6337" t="s">
        <v>40</v>
      </c>
      <c r="D6337">
        <v>4.707954</v>
      </c>
      <c r="E6337">
        <v>0.56246479999999999</v>
      </c>
      <c r="F6337" t="s">
        <v>41</v>
      </c>
      <c r="G6337">
        <v>-309.3272</v>
      </c>
      <c r="H6337">
        <v>0.91869009999999995</v>
      </c>
      <c r="I6337">
        <v>10.82864</v>
      </c>
      <c r="J6337">
        <v>-309.65230000000003</v>
      </c>
      <c r="K6337">
        <v>1.0531330000000001</v>
      </c>
      <c r="L6337">
        <v>11.25854</v>
      </c>
      <c r="M6337">
        <v>0.82459879999999997</v>
      </c>
      <c r="N6337">
        <v>-1.5919829999999999E-2</v>
      </c>
      <c r="O6337">
        <v>-0.56549389999999999</v>
      </c>
      <c r="P6337">
        <v>0.66543599999999903</v>
      </c>
      <c r="Q6337">
        <v>0.40596199999999999</v>
      </c>
      <c r="R6337">
        <v>-0.62641069999999999</v>
      </c>
      <c r="S6337">
        <v>2.3906860000000001</v>
      </c>
      <c r="T6337">
        <v>-0.6552888</v>
      </c>
      <c r="U6337">
        <v>-2.6817630000000001</v>
      </c>
      <c r="V6337">
        <v>0.1489878</v>
      </c>
      <c r="W6337">
        <v>0.41727140000000001</v>
      </c>
      <c r="X6337">
        <v>0.89648600000000001</v>
      </c>
      <c r="Y6337">
        <v>0.24165059999999999</v>
      </c>
      <c r="Z6337">
        <v>7.3246969999999995E-2</v>
      </c>
      <c r="AA6337">
        <v>0.96759490000000004</v>
      </c>
      <c r="AB6337">
        <v>30</v>
      </c>
      <c r="AC6337">
        <v>0.32510000000001998</v>
      </c>
      <c r="AD6337">
        <v>-0.1344429</v>
      </c>
      <c r="AE6337">
        <v>-0.4299</v>
      </c>
      <c r="AF6337">
        <v>0.16067738926928099</v>
      </c>
      <c r="AG6337">
        <v>-0.1344429</v>
      </c>
      <c r="AH6337">
        <v>0.481301553404132</v>
      </c>
      <c r="AI6337">
        <v>104.839941295165</v>
      </c>
      <c r="AJ6337">
        <v>71.538962689484094</v>
      </c>
      <c r="AK6337">
        <v>0.52492218670202195</v>
      </c>
      <c r="AL6337">
        <v>65.337560106421904</v>
      </c>
      <c r="AM6337">
        <v>80.5642034613346</v>
      </c>
      <c r="AN6337">
        <v>0.99999996700139904</v>
      </c>
    </row>
    <row r="6338" spans="1:40" x14ac:dyDescent="0.25">
      <c r="A6338" t="str">
        <f>"20190304165010383"</f>
        <v>20190304165010383</v>
      </c>
      <c r="B6338" t="str">
        <f>"1551689410372056"</f>
        <v>1551689410372056</v>
      </c>
      <c r="C6338" t="s">
        <v>40</v>
      </c>
      <c r="D6338">
        <v>4.6774760000000004</v>
      </c>
      <c r="E6338">
        <v>0.57652150000000002</v>
      </c>
      <c r="F6338" t="s">
        <v>41</v>
      </c>
      <c r="G6338">
        <v>-309.12670000000003</v>
      </c>
      <c r="H6338">
        <v>0.9070899</v>
      </c>
      <c r="I6338">
        <v>10.65752</v>
      </c>
      <c r="J6338">
        <v>-309.50060000000002</v>
      </c>
      <c r="K6338">
        <v>1.0530200000000001</v>
      </c>
      <c r="L6338">
        <v>11.146420000000001</v>
      </c>
      <c r="M6338">
        <v>0.82073589999999996</v>
      </c>
      <c r="N6338">
        <v>-1.586949E-2</v>
      </c>
      <c r="O6338">
        <v>-0.57108760000000003</v>
      </c>
      <c r="P6338">
        <v>0.66090459999999995</v>
      </c>
      <c r="Q6338">
        <v>0.40476440000000002</v>
      </c>
      <c r="R6338">
        <v>-0.63195829999999997</v>
      </c>
      <c r="S6338">
        <v>2.3645320000000001</v>
      </c>
      <c r="T6338">
        <v>-0.65587989999999996</v>
      </c>
      <c r="U6338">
        <v>-2.702423</v>
      </c>
      <c r="V6338">
        <v>0.15001879999999901</v>
      </c>
      <c r="W6338">
        <v>0.4159931</v>
      </c>
      <c r="X6338">
        <v>0.89690809999999999</v>
      </c>
      <c r="Y6338">
        <v>0.2440572</v>
      </c>
      <c r="Z6338">
        <v>7.4204820000000005E-2</v>
      </c>
      <c r="AA6338">
        <v>0.96691760000000004</v>
      </c>
      <c r="AB6338">
        <v>30</v>
      </c>
      <c r="AC6338">
        <v>0.37389999999999102</v>
      </c>
      <c r="AD6338">
        <v>-0.14593010000000001</v>
      </c>
      <c r="AE6338">
        <v>-0.488899999999999</v>
      </c>
      <c r="AF6338">
        <v>0.17775902840086599</v>
      </c>
      <c r="AG6338">
        <v>-0.14593010000000001</v>
      </c>
      <c r="AH6338">
        <v>0.55495484780908</v>
      </c>
      <c r="AI6338">
        <v>104.059175733328</v>
      </c>
      <c r="AJ6338">
        <v>72.239083045636306</v>
      </c>
      <c r="AK6338">
        <v>0.60072352157280196</v>
      </c>
      <c r="AL6338">
        <v>65.418128216307394</v>
      </c>
      <c r="AM6338">
        <v>80.504483026321097</v>
      </c>
      <c r="AN6338">
        <v>1.0000000197233201</v>
      </c>
    </row>
    <row r="6339" spans="1:40" x14ac:dyDescent="0.25">
      <c r="A6339" t="str">
        <f>"20190304165010401"</f>
        <v>20190304165010401</v>
      </c>
      <c r="B6339" t="str">
        <f>"1551689410391575"</f>
        <v>1551689410391575</v>
      </c>
      <c r="C6339" t="s">
        <v>40</v>
      </c>
      <c r="D6339">
        <v>4.6673369999999998</v>
      </c>
      <c r="E6339">
        <v>0.57663350000000002</v>
      </c>
      <c r="F6339" t="s">
        <v>43</v>
      </c>
      <c r="G6339">
        <v>-303.94869999999997</v>
      </c>
      <c r="H6339">
        <v>-0.05</v>
      </c>
      <c r="I6339">
        <v>4.1484680000000003</v>
      </c>
      <c r="J6339">
        <v>-309.31790000000001</v>
      </c>
      <c r="K6339">
        <v>1.0528789999999999</v>
      </c>
      <c r="L6339">
        <v>11.009309999999999</v>
      </c>
      <c r="M6339">
        <v>0.81596210000000002</v>
      </c>
      <c r="N6339">
        <v>-1.5814539999999998E-2</v>
      </c>
      <c r="O6339">
        <v>-0.57788909999999905</v>
      </c>
      <c r="P6339">
        <v>0.65523759999999998</v>
      </c>
      <c r="Q6339">
        <v>0.40296379999999998</v>
      </c>
      <c r="R6339">
        <v>-0.63897119999999996</v>
      </c>
      <c r="S6339">
        <v>2.1785890000000001</v>
      </c>
      <c r="T6339">
        <v>-0.43282599999999999</v>
      </c>
      <c r="U6339">
        <v>-2.7460019999999998</v>
      </c>
      <c r="V6339">
        <v>0.1515348</v>
      </c>
      <c r="W6339">
        <v>0.41409679999999999</v>
      </c>
      <c r="X6339">
        <v>0.89753059999999996</v>
      </c>
      <c r="Y6339">
        <v>0.28064280000000003</v>
      </c>
      <c r="Z6339">
        <v>4.5691589999999997E-2</v>
      </c>
      <c r="AA6339">
        <v>0.95872409999999997</v>
      </c>
      <c r="AB6339">
        <v>30</v>
      </c>
      <c r="AC6339">
        <v>5.3692000000000304</v>
      </c>
      <c r="AD6339">
        <v>-1.1028789999999999</v>
      </c>
      <c r="AE6339">
        <v>-6.8608419999999999</v>
      </c>
      <c r="AF6339">
        <v>2.4563324711356</v>
      </c>
      <c r="AG6339">
        <v>-1.1028789999999999</v>
      </c>
      <c r="AH6339">
        <v>8.2152578429874694</v>
      </c>
      <c r="AI6339">
        <v>97.329222921823799</v>
      </c>
      <c r="AJ6339">
        <v>73.3535248096087</v>
      </c>
      <c r="AK6339">
        <v>8.6452514552303992</v>
      </c>
      <c r="AL6339">
        <v>65.537551189326607</v>
      </c>
      <c r="AM6339">
        <v>80.416828124045594</v>
      </c>
      <c r="AN6339">
        <v>1.00000006665881</v>
      </c>
    </row>
    <row r="6340" spans="1:40" x14ac:dyDescent="0.25">
      <c r="A6340" t="str">
        <f>"20190304165010414"</f>
        <v>20190304165010414</v>
      </c>
      <c r="B6340" t="str">
        <f>"1551689410402313"</f>
        <v>1551689410402313</v>
      </c>
      <c r="C6340" t="s">
        <v>40</v>
      </c>
      <c r="D6340">
        <v>5.0990169999999999</v>
      </c>
      <c r="E6340">
        <v>0.57663350000000002</v>
      </c>
      <c r="F6340" t="s">
        <v>43</v>
      </c>
      <c r="G6340">
        <v>-303.89019999999999</v>
      </c>
      <c r="H6340">
        <v>-0.05</v>
      </c>
      <c r="I6340">
        <v>4.013153</v>
      </c>
      <c r="J6340">
        <v>-309.17340000000002</v>
      </c>
      <c r="K6340">
        <v>1.0527789999999999</v>
      </c>
      <c r="L6340">
        <v>10.8992</v>
      </c>
      <c r="M6340">
        <v>0.81208910000000001</v>
      </c>
      <c r="N6340">
        <v>-1.577522E-2</v>
      </c>
      <c r="O6340">
        <v>-0.58332010000000001</v>
      </c>
      <c r="P6340">
        <v>0.65084819999999999</v>
      </c>
      <c r="Q6340">
        <v>0.40214149999999999</v>
      </c>
      <c r="R6340">
        <v>-0.64395570000000002</v>
      </c>
      <c r="S6340">
        <v>2.1475219999999999</v>
      </c>
      <c r="T6340">
        <v>-0.43636390000000003</v>
      </c>
      <c r="U6340">
        <v>-2.768097</v>
      </c>
      <c r="V6340">
        <v>0.1521467</v>
      </c>
      <c r="W6340">
        <v>0.4132111</v>
      </c>
      <c r="X6340">
        <v>0.8978351</v>
      </c>
      <c r="Y6340">
        <v>0.28467379999999998</v>
      </c>
      <c r="Z6340">
        <v>4.6627389999999998E-2</v>
      </c>
      <c r="AA6340">
        <v>0.95748979999999995</v>
      </c>
      <c r="AB6340">
        <v>30</v>
      </c>
      <c r="AC6340">
        <v>5.2832000000000203</v>
      </c>
      <c r="AD6340">
        <v>-1.102779</v>
      </c>
      <c r="AE6340">
        <v>-6.8860469999999996</v>
      </c>
      <c r="AF6340">
        <v>2.47071242409275</v>
      </c>
      <c r="AG6340">
        <v>-1.102779</v>
      </c>
      <c r="AH6340">
        <v>8.1762362310744408</v>
      </c>
      <c r="AI6340">
        <v>97.356765765686006</v>
      </c>
      <c r="AJ6340">
        <v>73.186121601635506</v>
      </c>
      <c r="AK6340">
        <v>8.6122807845391094</v>
      </c>
      <c r="AL6340">
        <v>65.593287331548794</v>
      </c>
      <c r="AM6340">
        <v>80.382055092373307</v>
      </c>
      <c r="AN6340">
        <v>0.99999994913805301</v>
      </c>
    </row>
    <row r="6341" spans="1:40" x14ac:dyDescent="0.25">
      <c r="A6341" t="str">
        <f>"20190304165010427"</f>
        <v>20190304165010427</v>
      </c>
      <c r="B6341" t="str">
        <f>"1551689410421832"</f>
        <v>1551689410421832</v>
      </c>
      <c r="C6341" t="s">
        <v>40</v>
      </c>
      <c r="D6341">
        <v>5.0898339999999997</v>
      </c>
      <c r="E6341">
        <v>0.56409809999999905</v>
      </c>
      <c r="F6341" t="s">
        <v>43</v>
      </c>
      <c r="G6341">
        <v>-303.83449999999999</v>
      </c>
      <c r="H6341">
        <v>-0.05</v>
      </c>
      <c r="I6341">
        <v>3.908401</v>
      </c>
      <c r="J6341">
        <v>-309.02910000000003</v>
      </c>
      <c r="K6341">
        <v>1.0526869999999999</v>
      </c>
      <c r="L6341">
        <v>10.78717</v>
      </c>
      <c r="M6341">
        <v>0.80811440000000001</v>
      </c>
      <c r="N6341">
        <v>-1.5741160000000001E-2</v>
      </c>
      <c r="O6341">
        <v>-0.58881530000000004</v>
      </c>
      <c r="P6341">
        <v>0.6463236</v>
      </c>
      <c r="Q6341">
        <v>0.40135110000000002</v>
      </c>
      <c r="R6341">
        <v>-0.64898659999999997</v>
      </c>
      <c r="S6341">
        <v>2.1261899999999998</v>
      </c>
      <c r="T6341">
        <v>-0.4391738</v>
      </c>
      <c r="U6341">
        <v>-2.784027</v>
      </c>
      <c r="V6341">
        <v>0.15277679999999999</v>
      </c>
      <c r="W6341">
        <v>0.41236159999999999</v>
      </c>
      <c r="X6341">
        <v>0.89811869999999905</v>
      </c>
      <c r="Y6341">
        <v>0.28548200000000001</v>
      </c>
      <c r="Z6341">
        <v>4.7655749999999997E-2</v>
      </c>
      <c r="AA6341">
        <v>0.95719849999999995</v>
      </c>
      <c r="AB6341">
        <v>30</v>
      </c>
      <c r="AC6341">
        <v>5.1946000000000296</v>
      </c>
      <c r="AD6341">
        <v>-1.102687</v>
      </c>
      <c r="AE6341">
        <v>-6.8787690000000001</v>
      </c>
      <c r="AF6341">
        <v>2.4602212092781701</v>
      </c>
      <c r="AG6341">
        <v>-1.102687</v>
      </c>
      <c r="AH6341">
        <v>8.1163553711492007</v>
      </c>
      <c r="AI6341">
        <v>97.407927051115294</v>
      </c>
      <c r="AJ6341">
        <v>73.136948832762599</v>
      </c>
      <c r="AK6341">
        <v>8.5524167069509502</v>
      </c>
      <c r="AL6341">
        <v>65.646727102479204</v>
      </c>
      <c r="AM6341">
        <v>80.345963956847996</v>
      </c>
      <c r="AN6341">
        <v>1.00000001953124</v>
      </c>
    </row>
    <row r="6342" spans="1:40" x14ac:dyDescent="0.25">
      <c r="A6342" t="str">
        <f>"20190304165010443"</f>
        <v>20190304165010443</v>
      </c>
      <c r="B6342" t="str">
        <f>"1551689410431592"</f>
        <v>1551689410431592</v>
      </c>
      <c r="C6342" t="s">
        <v>40</v>
      </c>
      <c r="D6342">
        <v>5.3285609999999997</v>
      </c>
      <c r="E6342">
        <v>0.56409809999999905</v>
      </c>
      <c r="F6342" t="s">
        <v>41</v>
      </c>
      <c r="G6342">
        <v>-308.51139999999998</v>
      </c>
      <c r="H6342">
        <v>0.90212460000000005</v>
      </c>
      <c r="I6342">
        <v>10.147819999999999</v>
      </c>
      <c r="J6342">
        <v>-308.86810000000003</v>
      </c>
      <c r="K6342">
        <v>1.0525850000000001</v>
      </c>
      <c r="L6342">
        <v>10.660489999999999</v>
      </c>
      <c r="M6342">
        <v>0.8035774</v>
      </c>
      <c r="N6342">
        <v>-1.570624E-2</v>
      </c>
      <c r="O6342">
        <v>-0.59499290000000005</v>
      </c>
      <c r="P6342">
        <v>0.6411</v>
      </c>
      <c r="Q6342">
        <v>0.400835</v>
      </c>
      <c r="R6342">
        <v>-0.65446319999999902</v>
      </c>
      <c r="S6342">
        <v>2.253876</v>
      </c>
      <c r="T6342">
        <v>-0.65544340000000001</v>
      </c>
      <c r="U6342">
        <v>-2.7832949999999999</v>
      </c>
      <c r="V6342">
        <v>0.15339910000000001</v>
      </c>
      <c r="W6342">
        <v>0.41178120000000001</v>
      </c>
      <c r="X6342">
        <v>0.89827889999999999</v>
      </c>
      <c r="Y6342">
        <v>0.2525328</v>
      </c>
      <c r="Z6342">
        <v>7.8128580000000003E-2</v>
      </c>
      <c r="AA6342">
        <v>0.96442890000000003</v>
      </c>
      <c r="AB6342">
        <v>30</v>
      </c>
      <c r="AC6342">
        <v>0.35670000000004598</v>
      </c>
      <c r="AD6342">
        <v>-0.15046039999999999</v>
      </c>
      <c r="AE6342">
        <v>-0.51266999999999996</v>
      </c>
      <c r="AF6342">
        <v>0.18880309515713301</v>
      </c>
      <c r="AG6342">
        <v>-0.15046039999999999</v>
      </c>
      <c r="AH6342">
        <v>0.55928473837936798</v>
      </c>
      <c r="AI6342">
        <v>104.29968624666699</v>
      </c>
      <c r="AJ6342">
        <v>71.346369100353201</v>
      </c>
      <c r="AK6342">
        <v>0.60916693877224803</v>
      </c>
      <c r="AL6342">
        <v>65.683224080111103</v>
      </c>
      <c r="AM6342">
        <v>80.309080827486795</v>
      </c>
      <c r="AN6342">
        <v>1.00000001136973</v>
      </c>
    </row>
    <row r="6343" spans="1:40" x14ac:dyDescent="0.25">
      <c r="A6343" t="str">
        <f>"20190304165010457"</f>
        <v>20190304165010457</v>
      </c>
      <c r="B6343" t="str">
        <f>"1551689410452088"</f>
        <v>1551689410452088</v>
      </c>
      <c r="C6343" t="s">
        <v>40</v>
      </c>
      <c r="D6343">
        <v>5.1418809999999997</v>
      </c>
      <c r="E6343">
        <v>0.56385299999999905</v>
      </c>
      <c r="F6343" t="s">
        <v>41</v>
      </c>
      <c r="G6343">
        <v>-308.31880000000001</v>
      </c>
      <c r="H6343">
        <v>0.89040330000000001</v>
      </c>
      <c r="I6343">
        <v>9.9702099999999998</v>
      </c>
      <c r="J6343">
        <v>-308.7167</v>
      </c>
      <c r="K6343">
        <v>1.0524849999999999</v>
      </c>
      <c r="L6343">
        <v>10.53979</v>
      </c>
      <c r="M6343">
        <v>0.79921089999999995</v>
      </c>
      <c r="N6343">
        <v>-1.5676599999999999E-2</v>
      </c>
      <c r="O6343">
        <v>-0.60084659999999901</v>
      </c>
      <c r="P6343">
        <v>0.63562819999999998</v>
      </c>
      <c r="Q6343">
        <v>0.39970270000000002</v>
      </c>
      <c r="R6343">
        <v>-0.66046569999999905</v>
      </c>
      <c r="S6343">
        <v>2.2304689999999998</v>
      </c>
      <c r="T6343">
        <v>-0.65746119999999997</v>
      </c>
      <c r="U6343">
        <v>-2.8016359999999998</v>
      </c>
      <c r="V6343">
        <v>0.15490899999999999</v>
      </c>
      <c r="W6343">
        <v>0.4105724</v>
      </c>
      <c r="X6343">
        <v>0.89857299999999996</v>
      </c>
      <c r="Y6343">
        <v>0.25354070000000001</v>
      </c>
      <c r="Z6343">
        <v>7.9420069999999995E-2</v>
      </c>
      <c r="AA6343">
        <v>0.96405890000000005</v>
      </c>
      <c r="AB6343">
        <v>29</v>
      </c>
      <c r="AC6343">
        <v>0.39789999999999198</v>
      </c>
      <c r="AD6343">
        <v>-0.1620817</v>
      </c>
      <c r="AE6343">
        <v>-0.56957999999999998</v>
      </c>
      <c r="AF6343">
        <v>0.20500789943648101</v>
      </c>
      <c r="AG6343">
        <v>-0.1620817</v>
      </c>
      <c r="AH6343">
        <v>0.626238052940705</v>
      </c>
      <c r="AI6343">
        <v>103.818895079767</v>
      </c>
      <c r="AJ6343">
        <v>71.873407555167404</v>
      </c>
      <c r="AK6343">
        <v>0.67858147282195502</v>
      </c>
      <c r="AL6343">
        <v>65.759201954467699</v>
      </c>
      <c r="AM6343">
        <v>80.218669139270503</v>
      </c>
      <c r="AN6343">
        <v>0.99999996512587896</v>
      </c>
    </row>
    <row r="6344" spans="1:40" x14ac:dyDescent="0.25">
      <c r="A6344" t="str">
        <f>"20190304165010472"</f>
        <v>20190304165010472</v>
      </c>
      <c r="B6344" t="str">
        <f>"1551689410461848"</f>
        <v>1551689410461848</v>
      </c>
      <c r="C6344" t="s">
        <v>40</v>
      </c>
      <c r="D6344">
        <v>5.1889000000000003</v>
      </c>
      <c r="E6344">
        <v>0.56402289999999999</v>
      </c>
      <c r="F6344" t="s">
        <v>41</v>
      </c>
      <c r="G6344">
        <v>-308.12909999999999</v>
      </c>
      <c r="H6344">
        <v>0.87725929999999996</v>
      </c>
      <c r="I6344">
        <v>9.7894590000000008</v>
      </c>
      <c r="J6344">
        <v>-308.55849999999998</v>
      </c>
      <c r="K6344">
        <v>1.0523899999999999</v>
      </c>
      <c r="L6344">
        <v>10.41122</v>
      </c>
      <c r="M6344">
        <v>0.79451329999999998</v>
      </c>
      <c r="N6344">
        <v>-1.5650500000000001E-2</v>
      </c>
      <c r="O6344">
        <v>-0.60704499999999995</v>
      </c>
      <c r="P6344">
        <v>0.63030949999999997</v>
      </c>
      <c r="Q6344">
        <v>0.39897709999999997</v>
      </c>
      <c r="R6344">
        <v>-0.66597839999999997</v>
      </c>
      <c r="S6344">
        <v>2.2062379999999999</v>
      </c>
      <c r="T6344">
        <v>-0.65817700000000001</v>
      </c>
      <c r="U6344">
        <v>-2.8173219999999999</v>
      </c>
      <c r="V6344">
        <v>0.155525</v>
      </c>
      <c r="W6344">
        <v>0.40978959999999998</v>
      </c>
      <c r="X6344">
        <v>0.89882390000000001</v>
      </c>
      <c r="Y6344">
        <v>0.25382670000000002</v>
      </c>
      <c r="Z6344">
        <v>8.0723409999999995E-2</v>
      </c>
      <c r="AA6344">
        <v>0.96387540000000005</v>
      </c>
      <c r="AB6344">
        <v>29</v>
      </c>
      <c r="AC6344">
        <v>0.42939999999998602</v>
      </c>
      <c r="AD6344">
        <v>-0.175130699999999</v>
      </c>
      <c r="AE6344">
        <v>-0.62176100000000101</v>
      </c>
      <c r="AF6344">
        <v>0.22146447615515799</v>
      </c>
      <c r="AG6344">
        <v>-0.175130699999999</v>
      </c>
      <c r="AH6344">
        <v>0.68205131634317295</v>
      </c>
      <c r="AI6344">
        <v>103.72406957601901</v>
      </c>
      <c r="AJ6344">
        <v>72.011202959384306</v>
      </c>
      <c r="AK6344">
        <v>0.73818105801125999</v>
      </c>
      <c r="AL6344">
        <v>65.808380804398595</v>
      </c>
      <c r="AM6344">
        <v>80.183216808451405</v>
      </c>
      <c r="AN6344">
        <v>0.99999997255218398</v>
      </c>
    </row>
    <row r="6345" spans="1:40" x14ac:dyDescent="0.25">
      <c r="A6345" t="str">
        <f>"20190304165010486"</f>
        <v>20190304165010486</v>
      </c>
      <c r="B6345" t="str">
        <f>"1551689410482344"</f>
        <v>1551689410482344</v>
      </c>
      <c r="C6345" t="s">
        <v>40</v>
      </c>
      <c r="D6345">
        <v>4.5963430000000001</v>
      </c>
      <c r="E6345">
        <v>0.56487270000000001</v>
      </c>
      <c r="F6345" t="s">
        <v>41</v>
      </c>
      <c r="G6345">
        <v>-308.09589999999997</v>
      </c>
      <c r="H6345">
        <v>0.91292309999999999</v>
      </c>
      <c r="I6345">
        <v>9.8095879999999998</v>
      </c>
      <c r="J6345">
        <v>-308.42509999999999</v>
      </c>
      <c r="K6345">
        <v>1.0523070000000001</v>
      </c>
      <c r="L6345">
        <v>10.30096</v>
      </c>
      <c r="M6345">
        <v>0.79045010000000004</v>
      </c>
      <c r="N6345">
        <v>-1.5632030000000002E-2</v>
      </c>
      <c r="O6345">
        <v>-0.61232690000000001</v>
      </c>
      <c r="P6345">
        <v>0.62588290000000002</v>
      </c>
      <c r="Q6345">
        <v>0.39834700000000001</v>
      </c>
      <c r="R6345">
        <v>-0.67051490000000002</v>
      </c>
      <c r="S6345">
        <v>2.17984</v>
      </c>
      <c r="T6345">
        <v>-0.65758689999999997</v>
      </c>
      <c r="U6345">
        <v>-2.8355100000000002</v>
      </c>
      <c r="V6345">
        <v>0.15582869999999999</v>
      </c>
      <c r="W6345">
        <v>0.40911969999999998</v>
      </c>
      <c r="X6345">
        <v>0.89907649999999995</v>
      </c>
      <c r="Y6345">
        <v>0.25602740000000002</v>
      </c>
      <c r="Z6345">
        <v>8.1498039999999994E-2</v>
      </c>
      <c r="AA6345">
        <v>0.96322790000000003</v>
      </c>
      <c r="AB6345">
        <v>29</v>
      </c>
      <c r="AC6345">
        <v>0.32920000000001398</v>
      </c>
      <c r="AD6345">
        <v>-0.13938389999999901</v>
      </c>
      <c r="AE6345">
        <v>-0.49137199999999998</v>
      </c>
      <c r="AF6345">
        <v>0.17701878924228101</v>
      </c>
      <c r="AG6345">
        <v>-0.13938389999999901</v>
      </c>
      <c r="AH6345">
        <v>0.53163943447022599</v>
      </c>
      <c r="AI6345">
        <v>103.968853942146</v>
      </c>
      <c r="AJ6345">
        <v>71.583904703257303</v>
      </c>
      <c r="AK6345">
        <v>0.57741147512656399</v>
      </c>
      <c r="AL6345">
        <v>65.850453121033397</v>
      </c>
      <c r="AM6345">
        <v>80.167130614975306</v>
      </c>
      <c r="AN6345">
        <v>1.00000003276201</v>
      </c>
    </row>
    <row r="6346" spans="1:40" x14ac:dyDescent="0.25">
      <c r="A6346" t="str">
        <f>"20190304165010499"</f>
        <v>20190304165010499</v>
      </c>
      <c r="B6346" t="str">
        <f>"1551689410492104"</f>
        <v>1551689410492104</v>
      </c>
      <c r="C6346" t="s">
        <v>40</v>
      </c>
      <c r="D6346">
        <v>5.1001240000000001</v>
      </c>
      <c r="E6346">
        <v>0.56560639999999995</v>
      </c>
      <c r="F6346" t="s">
        <v>41</v>
      </c>
      <c r="G6346">
        <v>-307.91370000000001</v>
      </c>
      <c r="H6346">
        <v>0.89744930000000001</v>
      </c>
      <c r="I6346">
        <v>9.6227870000000006</v>
      </c>
      <c r="J6346">
        <v>-308.2783</v>
      </c>
      <c r="K6346">
        <v>1.0522199999999999</v>
      </c>
      <c r="L6346">
        <v>10.17831</v>
      </c>
      <c r="M6346">
        <v>0.78588809999999998</v>
      </c>
      <c r="N6346">
        <v>-1.5613790000000001E-2</v>
      </c>
      <c r="O6346">
        <v>-0.61817159999999904</v>
      </c>
      <c r="P6346">
        <v>0.62066529999999998</v>
      </c>
      <c r="Q6346">
        <v>0.39703660000000002</v>
      </c>
      <c r="R6346">
        <v>-0.67611909999999997</v>
      </c>
      <c r="S6346">
        <v>2.1515200000000001</v>
      </c>
      <c r="T6346">
        <v>-0.65067489999999994</v>
      </c>
      <c r="U6346">
        <v>-2.852417</v>
      </c>
      <c r="V6346">
        <v>0.15677650000000001</v>
      </c>
      <c r="W6346">
        <v>0.40775470000000003</v>
      </c>
      <c r="X6346">
        <v>0.89953169999999905</v>
      </c>
      <c r="Y6346">
        <v>0.25766860000000003</v>
      </c>
      <c r="Z6346">
        <v>8.1591399999999994E-2</v>
      </c>
      <c r="AA6346">
        <v>0.96278229999999998</v>
      </c>
      <c r="AB6346">
        <v>29</v>
      </c>
      <c r="AC6346">
        <v>0.36459999999999498</v>
      </c>
      <c r="AD6346">
        <v>-0.15477070000000001</v>
      </c>
      <c r="AE6346">
        <v>-0.55552299999999999</v>
      </c>
      <c r="AF6346">
        <v>0.200350085073489</v>
      </c>
      <c r="AG6346">
        <v>-0.15477070000000001</v>
      </c>
      <c r="AH6346">
        <v>0.59759970222664005</v>
      </c>
      <c r="AI6346">
        <v>103.79628025491201</v>
      </c>
      <c r="AJ6346">
        <v>71.465860445726094</v>
      </c>
      <c r="AK6346">
        <v>0.64901427585902405</v>
      </c>
      <c r="AL6346">
        <v>65.936134188752106</v>
      </c>
      <c r="AM6346">
        <v>80.113408477731198</v>
      </c>
      <c r="AN6346">
        <v>1.00000002281461</v>
      </c>
    </row>
    <row r="6347" spans="1:40" x14ac:dyDescent="0.25">
      <c r="A6347" t="str">
        <f>"20190304165010513"</f>
        <v>20190304165010513</v>
      </c>
      <c r="B6347" t="str">
        <f>"1551689410501864"</f>
        <v>1551689410501864</v>
      </c>
      <c r="C6347" t="s">
        <v>40</v>
      </c>
      <c r="D6347">
        <v>5.0546160000000002</v>
      </c>
      <c r="E6347">
        <v>0.56619399999999998</v>
      </c>
      <c r="F6347" t="s">
        <v>41</v>
      </c>
      <c r="G6347">
        <v>-307.72969999999998</v>
      </c>
      <c r="H6347">
        <v>0.88425159999999903</v>
      </c>
      <c r="I6347">
        <v>9.4350529999999999</v>
      </c>
      <c r="J6347">
        <v>-308.14080000000001</v>
      </c>
      <c r="K6347">
        <v>1.0521400000000001</v>
      </c>
      <c r="L6347">
        <v>10.061579999999999</v>
      </c>
      <c r="M6347">
        <v>0.78150469999999905</v>
      </c>
      <c r="N6347">
        <v>-1.559925E-2</v>
      </c>
      <c r="O6347">
        <v>-0.62370459999999905</v>
      </c>
      <c r="P6347">
        <v>0.61535930000000005</v>
      </c>
      <c r="Q6347">
        <v>0.39695760000000002</v>
      </c>
      <c r="R6347">
        <v>-0.68099809999999905</v>
      </c>
      <c r="S6347">
        <v>2.1202700000000001</v>
      </c>
      <c r="T6347">
        <v>-0.6481538</v>
      </c>
      <c r="U6347">
        <v>-2.8713380000000002</v>
      </c>
      <c r="V6347">
        <v>0.15756300000000001</v>
      </c>
      <c r="W6347">
        <v>0.4076206</v>
      </c>
      <c r="X6347">
        <v>0.89945499999999901</v>
      </c>
      <c r="Y6347">
        <v>0.26064999999999999</v>
      </c>
      <c r="Z6347">
        <v>8.2115030000000006E-2</v>
      </c>
      <c r="AA6347">
        <v>0.96193490000000004</v>
      </c>
      <c r="AB6347">
        <v>29</v>
      </c>
      <c r="AC6347">
        <v>0.41110000000003299</v>
      </c>
      <c r="AD6347">
        <v>-0.16788839999999899</v>
      </c>
      <c r="AE6347">
        <v>-0.62652700000000106</v>
      </c>
      <c r="AF6347">
        <v>0.222108421717718</v>
      </c>
      <c r="AG6347">
        <v>-0.16788839999999899</v>
      </c>
      <c r="AH6347">
        <v>0.67809389126228203</v>
      </c>
      <c r="AI6347">
        <v>103.240211915176</v>
      </c>
      <c r="AJ6347">
        <v>71.863885360853899</v>
      </c>
      <c r="AK6347">
        <v>0.73302796073527698</v>
      </c>
      <c r="AL6347">
        <v>65.944547354145499</v>
      </c>
      <c r="AM6347">
        <v>80.063965993051497</v>
      </c>
      <c r="AN6347">
        <v>0.99999997476917901</v>
      </c>
    </row>
    <row r="6348" spans="1:40" x14ac:dyDescent="0.25">
      <c r="A6348" t="str">
        <f>"20190304165010526"</f>
        <v>20190304165010526</v>
      </c>
      <c r="B6348" t="str">
        <f>"1551689410522361"</f>
        <v>1551689410522361</v>
      </c>
      <c r="C6348" t="s">
        <v>40</v>
      </c>
      <c r="D6348">
        <v>4.5289010000000003</v>
      </c>
      <c r="E6348">
        <v>0.56665489999999996</v>
      </c>
      <c r="F6348" t="s">
        <v>41</v>
      </c>
      <c r="G6348">
        <v>-307.7002</v>
      </c>
      <c r="H6348">
        <v>0.91663190000000005</v>
      </c>
      <c r="I6348">
        <v>9.4530410000000007</v>
      </c>
      <c r="J6348">
        <v>-308.01620000000003</v>
      </c>
      <c r="K6348">
        <v>1.052063</v>
      </c>
      <c r="L6348">
        <v>9.9538270000000004</v>
      </c>
      <c r="M6348">
        <v>0.7774181</v>
      </c>
      <c r="N6348">
        <v>-1.558969E-2</v>
      </c>
      <c r="O6348">
        <v>-0.62879110000000005</v>
      </c>
      <c r="P6348">
        <v>0.61023400000000005</v>
      </c>
      <c r="Q6348">
        <v>0.39751629999999999</v>
      </c>
      <c r="R6348">
        <v>-0.6852705</v>
      </c>
      <c r="S6348">
        <v>2.0924990000000001</v>
      </c>
      <c r="T6348">
        <v>-0.64243669999999997</v>
      </c>
      <c r="U6348">
        <v>-2.8889770000000001</v>
      </c>
      <c r="V6348">
        <v>0.1582684</v>
      </c>
      <c r="W6348">
        <v>0.40812700000000002</v>
      </c>
      <c r="X6348">
        <v>0.899101499999999</v>
      </c>
      <c r="Y6348">
        <v>0.26316850000000003</v>
      </c>
      <c r="Z6348">
        <v>8.2097939999999994E-2</v>
      </c>
      <c r="AA6348">
        <v>0.96125039999999995</v>
      </c>
      <c r="AB6348">
        <v>29</v>
      </c>
      <c r="AC6348">
        <v>0.31600000000002998</v>
      </c>
      <c r="AD6348">
        <v>-0.1354311</v>
      </c>
      <c r="AE6348">
        <v>-0.50078599999999895</v>
      </c>
      <c r="AF6348">
        <v>0.18116860876700999</v>
      </c>
      <c r="AG6348">
        <v>-0.1354311</v>
      </c>
      <c r="AH6348">
        <v>0.53275440336713498</v>
      </c>
      <c r="AI6348">
        <v>103.532240351944</v>
      </c>
      <c r="AJ6348">
        <v>71.218871202445001</v>
      </c>
      <c r="AK6348">
        <v>0.57878398557394095</v>
      </c>
      <c r="AL6348">
        <v>65.912770478964603</v>
      </c>
      <c r="AM6348">
        <v>80.016530505402997</v>
      </c>
      <c r="AN6348">
        <v>1.0000000209349</v>
      </c>
    </row>
    <row r="6349" spans="1:40" x14ac:dyDescent="0.25">
      <c r="A6349" t="str">
        <f>"20190304165010538"</f>
        <v>20190304165010538</v>
      </c>
      <c r="B6349" t="str">
        <f>"1551689410532120"</f>
        <v>1551689410532120</v>
      </c>
      <c r="C6349" t="s">
        <v>40</v>
      </c>
      <c r="D6349">
        <v>5.1084120000000004</v>
      </c>
      <c r="E6349">
        <v>0.56694540000000004</v>
      </c>
      <c r="F6349" t="s">
        <v>41</v>
      </c>
      <c r="G6349">
        <v>-307.52359999999999</v>
      </c>
      <c r="H6349">
        <v>0.90047180000000004</v>
      </c>
      <c r="I6349">
        <v>9.2616639999999997</v>
      </c>
      <c r="J6349">
        <v>-307.8861</v>
      </c>
      <c r="K6349">
        <v>1.0519889999999901</v>
      </c>
      <c r="L6349">
        <v>9.8403019999999994</v>
      </c>
      <c r="M6349">
        <v>0.77307389999999998</v>
      </c>
      <c r="N6349">
        <v>-1.5581040000000001E-2</v>
      </c>
      <c r="O6349">
        <v>-0.63412489999999999</v>
      </c>
      <c r="P6349">
        <v>0.60444469999999995</v>
      </c>
      <c r="Q6349">
        <v>0.39808660000000001</v>
      </c>
      <c r="R6349">
        <v>-0.6900539</v>
      </c>
      <c r="S6349">
        <v>2.0680540000000001</v>
      </c>
      <c r="T6349">
        <v>-0.6356328</v>
      </c>
      <c r="U6349">
        <v>-2.904938</v>
      </c>
      <c r="V6349">
        <v>0.1594855</v>
      </c>
      <c r="W6349">
        <v>0.40863060000000001</v>
      </c>
      <c r="X6349">
        <v>0.89865759999999995</v>
      </c>
      <c r="Y6349">
        <v>0.26436539999999997</v>
      </c>
      <c r="Z6349">
        <v>8.2038849999999996E-2</v>
      </c>
      <c r="AA6349">
        <v>0.96092690000000003</v>
      </c>
      <c r="AB6349">
        <v>29</v>
      </c>
      <c r="AC6349">
        <v>0.36250000000001098</v>
      </c>
      <c r="AD6349">
        <v>-0.15151719999999899</v>
      </c>
      <c r="AE6349">
        <v>-0.57863800000000098</v>
      </c>
      <c r="AF6349">
        <v>0.207279405677329</v>
      </c>
      <c r="AG6349">
        <v>-0.15151719999999899</v>
      </c>
      <c r="AH6349">
        <v>0.61687123892351503</v>
      </c>
      <c r="AI6349">
        <v>103.10663788188</v>
      </c>
      <c r="AJ6349">
        <v>71.426761036147198</v>
      </c>
      <c r="AK6349">
        <v>0.66817089080924497</v>
      </c>
      <c r="AL6349">
        <v>65.881160727189197</v>
      </c>
      <c r="AM6349">
        <v>79.936451552509297</v>
      </c>
      <c r="AN6349">
        <v>1.00000003700218</v>
      </c>
    </row>
    <row r="6350" spans="1:40" x14ac:dyDescent="0.25">
      <c r="A6350" t="str">
        <f>"20190304165010551"</f>
        <v>20190304165010551</v>
      </c>
      <c r="B6350" t="str">
        <f>"1551689410541880"</f>
        <v>1551689410541880</v>
      </c>
      <c r="C6350" t="s">
        <v>40</v>
      </c>
      <c r="D6350">
        <v>5.1307809999999998</v>
      </c>
      <c r="E6350">
        <v>0.56704379999999999</v>
      </c>
      <c r="F6350" t="s">
        <v>43</v>
      </c>
      <c r="G6350">
        <v>-304.3184</v>
      </c>
      <c r="H6350">
        <v>-0.05</v>
      </c>
      <c r="I6350">
        <v>4.7335820000000002</v>
      </c>
      <c r="J6350">
        <v>-307.75439999999998</v>
      </c>
      <c r="K6350">
        <v>1.0519050000000001</v>
      </c>
      <c r="L6350">
        <v>9.7233280000000004</v>
      </c>
      <c r="M6350">
        <v>0.76855109999999904</v>
      </c>
      <c r="N6350">
        <v>-1.557532E-2</v>
      </c>
      <c r="O6350">
        <v>-0.63959900000000003</v>
      </c>
      <c r="P6350">
        <v>0.59873520000000002</v>
      </c>
      <c r="Q6350">
        <v>0.39911140000000001</v>
      </c>
      <c r="R6350">
        <v>-0.69442559999999998</v>
      </c>
      <c r="S6350">
        <v>2.0419309999999999</v>
      </c>
      <c r="T6350">
        <v>-0.63069549999999996</v>
      </c>
      <c r="U6350">
        <v>-2.9226990000000002</v>
      </c>
      <c r="V6350">
        <v>0.1601649</v>
      </c>
      <c r="W6350">
        <v>0.40959859999999998</v>
      </c>
      <c r="X6350">
        <v>0.8980958</v>
      </c>
      <c r="Y6350">
        <v>0.26601370000000002</v>
      </c>
      <c r="Z6350">
        <v>8.2202670000000005E-2</v>
      </c>
      <c r="AA6350">
        <v>0.96045789999999998</v>
      </c>
      <c r="AB6350">
        <v>29</v>
      </c>
      <c r="AC6350">
        <v>3.4359999999999702</v>
      </c>
      <c r="AD6350">
        <v>-1.1019049999999999</v>
      </c>
      <c r="AE6350">
        <v>-4.9897460000000002</v>
      </c>
      <c r="AF6350">
        <v>1.5849783157361299</v>
      </c>
      <c r="AG6350">
        <v>-1.1019049999999999</v>
      </c>
      <c r="AH6350">
        <v>5.6461059476021997</v>
      </c>
      <c r="AI6350">
        <v>100.641723321835</v>
      </c>
      <c r="AJ6350">
        <v>74.319474348268002</v>
      </c>
      <c r="AK6350">
        <v>5.9669810844285101</v>
      </c>
      <c r="AL6350">
        <v>65.820376406098305</v>
      </c>
      <c r="AM6350">
        <v>79.888272031097003</v>
      </c>
      <c r="AN6350">
        <v>0.99999993714580304</v>
      </c>
    </row>
    <row r="6351" spans="1:40" x14ac:dyDescent="0.25">
      <c r="A6351" t="str">
        <f>"20190304165010567"</f>
        <v>20190304165010567</v>
      </c>
      <c r="B6351" t="str">
        <f>"1551689410561399"</f>
        <v>1551689410561399</v>
      </c>
      <c r="C6351" t="s">
        <v>40</v>
      </c>
      <c r="D6351">
        <v>4.516381</v>
      </c>
      <c r="E6351">
        <v>0.56720170000000003</v>
      </c>
      <c r="F6351" t="s">
        <v>41</v>
      </c>
      <c r="G6351">
        <v>-307.31740000000002</v>
      </c>
      <c r="H6351">
        <v>0.91637559999999996</v>
      </c>
      <c r="I6351">
        <v>9.0869429999999998</v>
      </c>
      <c r="J6351">
        <v>-307.61070000000001</v>
      </c>
      <c r="K6351">
        <v>1.0518099999999999</v>
      </c>
      <c r="L6351">
        <v>9.5935670000000002</v>
      </c>
      <c r="M6351">
        <v>0.76347640000000006</v>
      </c>
      <c r="N6351">
        <v>-1.5572809999999999E-2</v>
      </c>
      <c r="O6351">
        <v>-0.64564820000000001</v>
      </c>
      <c r="P6351">
        <v>0.59237069999999903</v>
      </c>
      <c r="Q6351">
        <v>0.40029039999999999</v>
      </c>
      <c r="R6351">
        <v>-0.6991887</v>
      </c>
      <c r="S6351">
        <v>2.0183110000000002</v>
      </c>
      <c r="T6351">
        <v>-0.62591719999999995</v>
      </c>
      <c r="U6351">
        <v>-2.9396360000000001</v>
      </c>
      <c r="V6351">
        <v>0.160877399999999</v>
      </c>
      <c r="W6351">
        <v>0.41071800000000003</v>
      </c>
      <c r="X6351">
        <v>0.89745710000000001</v>
      </c>
      <c r="Y6351">
        <v>0.26623390000000002</v>
      </c>
      <c r="Z6351">
        <v>8.2561689999999993E-2</v>
      </c>
      <c r="AA6351">
        <v>0.9603661</v>
      </c>
      <c r="AB6351">
        <v>29</v>
      </c>
      <c r="AC6351">
        <v>0.29329999999998702</v>
      </c>
      <c r="AD6351">
        <v>-0.13543440000000001</v>
      </c>
      <c r="AE6351">
        <v>-0.50662399999999996</v>
      </c>
      <c r="AF6351">
        <v>0.187419231868304</v>
      </c>
      <c r="AG6351">
        <v>-0.13543440000000001</v>
      </c>
      <c r="AH6351">
        <v>0.52309672277768005</v>
      </c>
      <c r="AI6351">
        <v>103.69800538328801</v>
      </c>
      <c r="AJ6351">
        <v>70.288011900487703</v>
      </c>
      <c r="AK6351">
        <v>0.57192536799674698</v>
      </c>
      <c r="AL6351">
        <v>65.750054349190194</v>
      </c>
      <c r="AM6351">
        <v>79.837146829462597</v>
      </c>
      <c r="AN6351">
        <v>1.00000002984758</v>
      </c>
    </row>
    <row r="6352" spans="1:40" x14ac:dyDescent="0.25">
      <c r="A6352" t="str">
        <f>"20190304165010589"</f>
        <v>20190304165010589</v>
      </c>
      <c r="B6352" t="str">
        <f>"1551689410581896"</f>
        <v>1551689410581896</v>
      </c>
      <c r="C6352" t="s">
        <v>40</v>
      </c>
      <c r="D6352">
        <v>5.0305619999999998</v>
      </c>
      <c r="E6352">
        <v>0.56753359999999997</v>
      </c>
      <c r="F6352" t="s">
        <v>41</v>
      </c>
      <c r="G6352">
        <v>-307.13990000000001</v>
      </c>
      <c r="H6352">
        <v>0.90494330000000001</v>
      </c>
      <c r="I6352">
        <v>8.8932169999999999</v>
      </c>
      <c r="J6352">
        <v>-307.38580000000002</v>
      </c>
      <c r="K6352">
        <v>1.0516380000000001</v>
      </c>
      <c r="L6352">
        <v>9.3863830000000004</v>
      </c>
      <c r="M6352">
        <v>0.75524789999999997</v>
      </c>
      <c r="N6352">
        <v>-1.557417E-2</v>
      </c>
      <c r="O6352">
        <v>-0.65525419999999901</v>
      </c>
      <c r="P6352">
        <v>0.58275959999999905</v>
      </c>
      <c r="Q6352">
        <v>0.40033829999999998</v>
      </c>
      <c r="R6352">
        <v>-0.70719209999999999</v>
      </c>
      <c r="S6352">
        <v>1.9902040000000001</v>
      </c>
      <c r="T6352">
        <v>-0.61962150000000005</v>
      </c>
      <c r="U6352">
        <v>-2.9592900000000002</v>
      </c>
      <c r="V6352">
        <v>0.16192210000000001</v>
      </c>
      <c r="W6352">
        <v>0.41068680000000002</v>
      </c>
      <c r="X6352">
        <v>0.89728349999999901</v>
      </c>
      <c r="Y6352">
        <v>0.26332240000000001</v>
      </c>
      <c r="Z6352">
        <v>8.3542099999999994E-2</v>
      </c>
      <c r="AA6352">
        <v>0.96108380000000004</v>
      </c>
      <c r="AB6352">
        <v>29</v>
      </c>
      <c r="AC6352">
        <v>0.245900000000006</v>
      </c>
      <c r="AD6352">
        <v>-0.14669469999999901</v>
      </c>
      <c r="AE6352">
        <v>-0.49316599999999999</v>
      </c>
      <c r="AF6352">
        <v>0.19737483770290901</v>
      </c>
      <c r="AG6352">
        <v>-0.14669469999999901</v>
      </c>
      <c r="AH6352">
        <v>0.47524917083686502</v>
      </c>
      <c r="AI6352">
        <v>105.910866988403</v>
      </c>
      <c r="AJ6352">
        <v>67.446491576762199</v>
      </c>
      <c r="AK6352">
        <v>0.53510553720501497</v>
      </c>
      <c r="AL6352">
        <v>65.752015400176504</v>
      </c>
      <c r="AM6352">
        <v>79.770603323690494</v>
      </c>
      <c r="AN6352">
        <v>1.0000000467674399</v>
      </c>
    </row>
    <row r="6353" spans="1:40" x14ac:dyDescent="0.25">
      <c r="A6353" t="str">
        <f>"20190304165010611"</f>
        <v>20190304165010611</v>
      </c>
      <c r="B6353" t="str">
        <f>"1551689410601416"</f>
        <v>1551689410601416</v>
      </c>
      <c r="C6353" t="s">
        <v>40</v>
      </c>
      <c r="D6353">
        <v>5.0311339999999998</v>
      </c>
      <c r="E6353">
        <v>0.56786289999999995</v>
      </c>
      <c r="F6353" t="s">
        <v>41</v>
      </c>
      <c r="G6353">
        <v>-306.94630000000001</v>
      </c>
      <c r="H6353">
        <v>0.91243019999999997</v>
      </c>
      <c r="I6353">
        <v>8.7116509999999998</v>
      </c>
      <c r="J6353">
        <v>-307.1825</v>
      </c>
      <c r="K6353">
        <v>1.051477</v>
      </c>
      <c r="L6353">
        <v>9.1941220000000001</v>
      </c>
      <c r="M6353">
        <v>0.74746480000000004</v>
      </c>
      <c r="N6353">
        <v>-1.5581879999999999E-2</v>
      </c>
      <c r="O6353">
        <v>-0.66411880000000001</v>
      </c>
      <c r="P6353">
        <v>0.57447269999999995</v>
      </c>
      <c r="Q6353">
        <v>0.40039219999999998</v>
      </c>
      <c r="R6353">
        <v>-0.71390989999999999</v>
      </c>
      <c r="S6353">
        <v>1.9461059999999999</v>
      </c>
      <c r="T6353">
        <v>-0.61627589999999999</v>
      </c>
      <c r="U6353">
        <v>-2.9873050000000001</v>
      </c>
      <c r="V6353">
        <v>0.16192029999999999</v>
      </c>
      <c r="W6353">
        <v>0.41069499999999998</v>
      </c>
      <c r="X6353">
        <v>0.89727999999999997</v>
      </c>
      <c r="Y6353">
        <v>0.2660324</v>
      </c>
      <c r="Z6353">
        <v>8.4424360000000004E-2</v>
      </c>
      <c r="AA6353">
        <v>0.96026</v>
      </c>
      <c r="AB6353">
        <v>29</v>
      </c>
      <c r="AC6353">
        <v>0.236199999999996</v>
      </c>
      <c r="AD6353">
        <v>-0.1390468</v>
      </c>
      <c r="AE6353">
        <v>-0.48247099999999998</v>
      </c>
      <c r="AF6353">
        <v>0.190993448381373</v>
      </c>
      <c r="AG6353">
        <v>-0.1390468</v>
      </c>
      <c r="AH6353">
        <v>0.46581976114486001</v>
      </c>
      <c r="AI6353">
        <v>105.43937386284099</v>
      </c>
      <c r="AJ6353">
        <v>67.705597284475303</v>
      </c>
      <c r="AK6353">
        <v>0.52230313017241503</v>
      </c>
      <c r="AL6353">
        <v>65.751498454537398</v>
      </c>
      <c r="AM6353">
        <v>79.770675578631995</v>
      </c>
      <c r="AN6353">
        <v>0.99999998248854405</v>
      </c>
    </row>
    <row r="6354" spans="1:40" x14ac:dyDescent="0.25">
      <c r="A6354" t="str">
        <f>"20190304165010625"</f>
        <v>20190304165010625</v>
      </c>
      <c r="B6354" t="str">
        <f>"1551689410621912"</f>
        <v>1551689410621912</v>
      </c>
      <c r="C6354" t="s">
        <v>40</v>
      </c>
      <c r="D6354">
        <v>5.0304919999999997</v>
      </c>
      <c r="E6354">
        <v>0.56799909999999998</v>
      </c>
      <c r="F6354" t="s">
        <v>41</v>
      </c>
      <c r="G6354">
        <v>-306.75920000000002</v>
      </c>
      <c r="H6354">
        <v>0.91526870000000005</v>
      </c>
      <c r="I6354">
        <v>8.5249970000000008</v>
      </c>
      <c r="J6354">
        <v>-307.04000000000002</v>
      </c>
      <c r="K6354">
        <v>1.0513619999999999</v>
      </c>
      <c r="L6354">
        <v>9.0564269999999993</v>
      </c>
      <c r="M6354">
        <v>0.74179450000000002</v>
      </c>
      <c r="N6354">
        <v>-1.5591219999999999E-2</v>
      </c>
      <c r="O6354">
        <v>-0.67044619999999999</v>
      </c>
      <c r="P6354">
        <v>0.56863030000000003</v>
      </c>
      <c r="Q6354">
        <v>0.40077970000000002</v>
      </c>
      <c r="R6354">
        <v>-0.71835660000000001</v>
      </c>
      <c r="S6354">
        <v>1.9060360000000001</v>
      </c>
      <c r="T6354">
        <v>-0.61255190000000004</v>
      </c>
      <c r="U6354">
        <v>-3.0120239999999998</v>
      </c>
      <c r="V6354">
        <v>0.16156860000000001</v>
      </c>
      <c r="W6354">
        <v>0.41105849999999999</v>
      </c>
      <c r="X6354">
        <v>0.897177</v>
      </c>
      <c r="Y6354">
        <v>0.27049220000000002</v>
      </c>
      <c r="Z6354">
        <v>8.4659799999999993E-2</v>
      </c>
      <c r="AA6354">
        <v>0.95899250000000003</v>
      </c>
      <c r="AB6354">
        <v>29</v>
      </c>
      <c r="AC6354">
        <v>0.28079999999999899</v>
      </c>
      <c r="AD6354">
        <v>-0.1360933</v>
      </c>
      <c r="AE6354">
        <v>-0.53142999999999996</v>
      </c>
      <c r="AF6354">
        <v>0.19593060890602701</v>
      </c>
      <c r="AG6354">
        <v>-0.1360933</v>
      </c>
      <c r="AH6354">
        <v>0.53712251541992995</v>
      </c>
      <c r="AI6354">
        <v>103.38909794427499</v>
      </c>
      <c r="AJ6354">
        <v>69.959130536575103</v>
      </c>
      <c r="AK6354">
        <v>0.58771658678499905</v>
      </c>
      <c r="AL6354">
        <v>65.7286554568893</v>
      </c>
      <c r="AM6354">
        <v>79.791279359255498</v>
      </c>
      <c r="AN6354">
        <v>1.0000000361285999</v>
      </c>
    </row>
    <row r="6355" spans="1:40" x14ac:dyDescent="0.25">
      <c r="A6355" t="str">
        <f>"20190304165010644"</f>
        <v>20190304165010644</v>
      </c>
      <c r="B6355" t="str">
        <f>"1551689410641432"</f>
        <v>1551689410641432</v>
      </c>
      <c r="C6355" t="s">
        <v>40</v>
      </c>
      <c r="D6355">
        <v>5.0297479999999997</v>
      </c>
      <c r="E6355">
        <v>0.56801550000000001</v>
      </c>
      <c r="F6355" t="s">
        <v>41</v>
      </c>
      <c r="G6355">
        <v>-306.58760000000001</v>
      </c>
      <c r="H6355">
        <v>0.90440109999999996</v>
      </c>
      <c r="I6355">
        <v>8.3269110000000008</v>
      </c>
      <c r="J6355">
        <v>-306.86619999999999</v>
      </c>
      <c r="K6355">
        <v>1.0512280000000001</v>
      </c>
      <c r="L6355">
        <v>8.8849789999999995</v>
      </c>
      <c r="M6355">
        <v>0.73462669999999997</v>
      </c>
      <c r="N6355">
        <v>-1.560633E-2</v>
      </c>
      <c r="O6355">
        <v>-0.67829220000000001</v>
      </c>
      <c r="P6355">
        <v>0.56133669999999902</v>
      </c>
      <c r="Q6355">
        <v>0.40259400000000001</v>
      </c>
      <c r="R6355">
        <v>-0.72306250000000005</v>
      </c>
      <c r="S6355">
        <v>1.8790279999999999</v>
      </c>
      <c r="T6355">
        <v>-0.60968599999999995</v>
      </c>
      <c r="U6355">
        <v>-3.0289609999999998</v>
      </c>
      <c r="V6355">
        <v>0.16054489999999999</v>
      </c>
      <c r="W6355">
        <v>0.41285119999999997</v>
      </c>
      <c r="X6355">
        <v>0.89653739999999904</v>
      </c>
      <c r="Y6355">
        <v>0.26888250000000002</v>
      </c>
      <c r="Z6355">
        <v>8.5702550000000002E-2</v>
      </c>
      <c r="AA6355">
        <v>0.9593526</v>
      </c>
      <c r="AB6355">
        <v>29</v>
      </c>
      <c r="AC6355">
        <v>0.27859999999998297</v>
      </c>
      <c r="AD6355">
        <v>-0.14682689999999901</v>
      </c>
      <c r="AE6355">
        <v>-0.55806799999999801</v>
      </c>
      <c r="AF6355">
        <v>0.20942202337766999</v>
      </c>
      <c r="AG6355">
        <v>-0.14682689999999901</v>
      </c>
      <c r="AH6355">
        <v>0.55264826089651897</v>
      </c>
      <c r="AI6355">
        <v>103.952048497243</v>
      </c>
      <c r="AJ6355">
        <v>69.246162643630797</v>
      </c>
      <c r="AK6355">
        <v>0.60896290750024695</v>
      </c>
      <c r="AL6355">
        <v>65.615932123345402</v>
      </c>
      <c r="AM6355">
        <v>79.847526843089199</v>
      </c>
      <c r="AN6355">
        <v>1.0000000439281</v>
      </c>
    </row>
    <row r="6356" spans="1:40" x14ac:dyDescent="0.25">
      <c r="A6356" t="str">
        <f>"20190304165010659"</f>
        <v>20190304165010659</v>
      </c>
      <c r="B6356" t="str">
        <f>"1551689410652168"</f>
        <v>1551689410652168</v>
      </c>
      <c r="C6356" t="s">
        <v>40</v>
      </c>
      <c r="D6356">
        <v>5.0945450000000001</v>
      </c>
      <c r="E6356">
        <v>0.56790509999999905</v>
      </c>
      <c r="F6356" t="s">
        <v>43</v>
      </c>
      <c r="G6356">
        <v>-303.48770000000002</v>
      </c>
      <c r="H6356">
        <v>-0.05</v>
      </c>
      <c r="I6356">
        <v>3.3054049999999999</v>
      </c>
      <c r="J6356">
        <v>-306.72210000000001</v>
      </c>
      <c r="K6356">
        <v>1.0511060000000001</v>
      </c>
      <c r="L6356">
        <v>8.7400509999999993</v>
      </c>
      <c r="M6356">
        <v>0.72846899999999903</v>
      </c>
      <c r="N6356">
        <v>-1.562215E-2</v>
      </c>
      <c r="O6356">
        <v>-0.68490059999999997</v>
      </c>
      <c r="P6356">
        <v>0.55483269999999996</v>
      </c>
      <c r="Q6356">
        <v>0.40353860000000003</v>
      </c>
      <c r="R6356">
        <v>-0.72754200000000002</v>
      </c>
      <c r="S6356">
        <v>1.8470150000000001</v>
      </c>
      <c r="T6356">
        <v>-0.60204159999999995</v>
      </c>
      <c r="U6356">
        <v>-3.050354</v>
      </c>
      <c r="V6356">
        <v>0.16024530000000001</v>
      </c>
      <c r="W6356">
        <v>0.41376819999999997</v>
      </c>
      <c r="X6356">
        <v>0.89616810000000002</v>
      </c>
      <c r="Y6356">
        <v>0.2704955</v>
      </c>
      <c r="Z6356">
        <v>8.5484279999999996E-2</v>
      </c>
      <c r="AA6356">
        <v>0.95891850000000001</v>
      </c>
      <c r="AB6356">
        <v>29</v>
      </c>
      <c r="AC6356">
        <v>3.2343999999999902</v>
      </c>
      <c r="AD6356">
        <v>-1.1011059999999999</v>
      </c>
      <c r="AE6356">
        <v>-5.4346459999999901</v>
      </c>
      <c r="AF6356">
        <v>1.6926321400383799</v>
      </c>
      <c r="AG6356">
        <v>-1.1011059999999999</v>
      </c>
      <c r="AH6356">
        <v>5.9002384222441098</v>
      </c>
      <c r="AI6356">
        <v>100.169842171135</v>
      </c>
      <c r="AJ6356">
        <v>73.993126961074196</v>
      </c>
      <c r="AK6356">
        <v>6.2362048895183504</v>
      </c>
      <c r="AL6356">
        <v>65.558231161725601</v>
      </c>
      <c r="AM6356">
        <v>79.861990346891005</v>
      </c>
      <c r="AN6356">
        <v>0.99999997148046904</v>
      </c>
    </row>
    <row r="6357" spans="1:40" x14ac:dyDescent="0.25">
      <c r="A6357" t="str">
        <f>"20190304165010678"</f>
        <v>20190304165010678</v>
      </c>
      <c r="B6357" t="str">
        <f>"1551689410671688"</f>
        <v>1551689410671688</v>
      </c>
      <c r="C6357" t="s">
        <v>40</v>
      </c>
      <c r="D6357">
        <v>5.0336169999999996</v>
      </c>
      <c r="E6357">
        <v>0.56778619999999902</v>
      </c>
      <c r="F6357" t="s">
        <v>43</v>
      </c>
      <c r="G6357">
        <v>-303.37670000000003</v>
      </c>
      <c r="H6357">
        <v>-0.05</v>
      </c>
      <c r="I6357">
        <v>3.1099700000000001</v>
      </c>
      <c r="J6357">
        <v>-306.54489999999998</v>
      </c>
      <c r="K6357">
        <v>1.0509470000000001</v>
      </c>
      <c r="L6357">
        <v>8.5577699999999997</v>
      </c>
      <c r="M6357">
        <v>0.72059269999999997</v>
      </c>
      <c r="N6357">
        <v>-1.5646500000000001E-2</v>
      </c>
      <c r="O6357">
        <v>-0.69318199999999996</v>
      </c>
      <c r="P6357">
        <v>0.54612050000000001</v>
      </c>
      <c r="Q6357">
        <v>0.40533279999999999</v>
      </c>
      <c r="R6357">
        <v>-0.73311519999999997</v>
      </c>
      <c r="S6357">
        <v>1.8221130000000001</v>
      </c>
      <c r="T6357">
        <v>-0.59974249999999996</v>
      </c>
      <c r="U6357">
        <v>-3.0665589999999998</v>
      </c>
      <c r="V6357">
        <v>0.16017609999999999</v>
      </c>
      <c r="W6357">
        <v>0.4155182</v>
      </c>
      <c r="X6357">
        <v>0.89537049999999996</v>
      </c>
      <c r="Y6357">
        <v>0.26753179999999999</v>
      </c>
      <c r="Z6357">
        <v>8.6716000000000001E-2</v>
      </c>
      <c r="AA6357">
        <v>0.95963900000000002</v>
      </c>
      <c r="AB6357">
        <v>29</v>
      </c>
      <c r="AC6357">
        <v>3.1681999999999499</v>
      </c>
      <c r="AD6357">
        <v>-1.1009469999999999</v>
      </c>
      <c r="AE6357">
        <v>-5.4477999999999902</v>
      </c>
      <c r="AF6357">
        <v>1.67849196981117</v>
      </c>
      <c r="AG6357">
        <v>-1.1009469999999999</v>
      </c>
      <c r="AH6357">
        <v>5.8805728160668398</v>
      </c>
      <c r="AI6357">
        <v>100.205514460399</v>
      </c>
      <c r="AJ6357">
        <v>74.069663651258793</v>
      </c>
      <c r="AK6357">
        <v>6.21373931176662</v>
      </c>
      <c r="AL6357">
        <v>65.448046932588795</v>
      </c>
      <c r="AM6357">
        <v>79.857437736297896</v>
      </c>
      <c r="AN6357">
        <v>1.00000004490634</v>
      </c>
    </row>
    <row r="6358" spans="1:40" x14ac:dyDescent="0.25">
      <c r="A6358" t="str">
        <f>"20190304165010699"</f>
        <v>20190304165010699</v>
      </c>
      <c r="B6358" t="str">
        <f>"1551689410692189"</f>
        <v>1551689410692189</v>
      </c>
      <c r="C6358" t="s">
        <v>40</v>
      </c>
      <c r="D6358">
        <v>4.5402380000000004</v>
      </c>
      <c r="E6358">
        <v>0.5677738</v>
      </c>
      <c r="F6358" t="s">
        <v>43</v>
      </c>
      <c r="G6358">
        <v>-303.23169999999999</v>
      </c>
      <c r="H6358">
        <v>-0.05</v>
      </c>
      <c r="I6358">
        <v>2.8376769999999998</v>
      </c>
      <c r="J6358">
        <v>-306.35180000000003</v>
      </c>
      <c r="K6358">
        <v>1.0507679999999999</v>
      </c>
      <c r="L6358">
        <v>8.35379</v>
      </c>
      <c r="M6358">
        <v>0.71160299999999999</v>
      </c>
      <c r="N6358">
        <v>-1.5678060000000001E-2</v>
      </c>
      <c r="O6358">
        <v>-0.70240689999999995</v>
      </c>
      <c r="P6358">
        <v>0.53703029999999996</v>
      </c>
      <c r="Q6358">
        <v>0.40548129999999999</v>
      </c>
      <c r="R6358">
        <v>-0.73971869999999995</v>
      </c>
      <c r="S6358">
        <v>1.7887569999999999</v>
      </c>
      <c r="T6358">
        <v>-0.59438679999999999</v>
      </c>
      <c r="U6358">
        <v>-3.0881959999999999</v>
      </c>
      <c r="V6358">
        <v>0.15981239999999999</v>
      </c>
      <c r="W6358">
        <v>0.41564099999999998</v>
      </c>
      <c r="X6358">
        <v>0.89537849999999997</v>
      </c>
      <c r="Y6358">
        <v>0.26582470000000002</v>
      </c>
      <c r="Z6358">
        <v>8.7481809999999993E-2</v>
      </c>
      <c r="AA6358">
        <v>0.9600438</v>
      </c>
      <c r="AB6358">
        <v>29</v>
      </c>
      <c r="AC6358">
        <v>3.1201000000000301</v>
      </c>
      <c r="AD6358">
        <v>-1.100768</v>
      </c>
      <c r="AE6358">
        <v>-5.5161129999999998</v>
      </c>
      <c r="AF6358">
        <v>1.68313616669524</v>
      </c>
      <c r="AG6358">
        <v>-1.100768</v>
      </c>
      <c r="AH6358">
        <v>5.91706149791582</v>
      </c>
      <c r="AI6358">
        <v>100.144829042322</v>
      </c>
      <c r="AJ6358">
        <v>74.121346596737396</v>
      </c>
      <c r="AK6358">
        <v>6.2495003252723604</v>
      </c>
      <c r="AL6358">
        <v>65.440311547491405</v>
      </c>
      <c r="AM6358">
        <v>79.880079726549496</v>
      </c>
      <c r="AN6358">
        <v>1.0000000511685001</v>
      </c>
    </row>
    <row r="6359" spans="1:40" x14ac:dyDescent="0.25">
      <c r="A6359" t="str">
        <f>"20190304165010715"</f>
        <v>20190304165010715</v>
      </c>
      <c r="B6359" t="str">
        <f>"1551689410711704"</f>
        <v>1551689410711704</v>
      </c>
      <c r="C6359" t="s">
        <v>40</v>
      </c>
      <c r="D6359">
        <v>5.0598400000000003</v>
      </c>
      <c r="E6359">
        <v>0.56753920000000002</v>
      </c>
      <c r="F6359" t="s">
        <v>43</v>
      </c>
      <c r="G6359">
        <v>-303.10860000000002</v>
      </c>
      <c r="H6359">
        <v>-0.05</v>
      </c>
      <c r="I6359">
        <v>2.5848849999999999</v>
      </c>
      <c r="J6359">
        <v>-306.21359999999999</v>
      </c>
      <c r="K6359">
        <v>1.050638</v>
      </c>
      <c r="L6359">
        <v>8.2048030000000001</v>
      </c>
      <c r="M6359">
        <v>0.70492690000000002</v>
      </c>
      <c r="N6359">
        <v>-1.570266E-2</v>
      </c>
      <c r="O6359">
        <v>-0.70910609999999996</v>
      </c>
      <c r="P6359">
        <v>0.53050439999999999</v>
      </c>
      <c r="Q6359">
        <v>0.40521819999999997</v>
      </c>
      <c r="R6359">
        <v>-0.744556</v>
      </c>
      <c r="S6359">
        <v>1.7490840000000001</v>
      </c>
      <c r="T6359">
        <v>-0.59365219999999996</v>
      </c>
      <c r="U6359">
        <v>-3.1112060000000001</v>
      </c>
      <c r="V6359">
        <v>0.15943599999999999</v>
      </c>
      <c r="W6359">
        <v>0.41536679999999998</v>
      </c>
      <c r="X6359">
        <v>0.89557279999999995</v>
      </c>
      <c r="Y6359">
        <v>0.26905030000000002</v>
      </c>
      <c r="Z6359">
        <v>8.827132E-2</v>
      </c>
      <c r="AA6359">
        <v>0.95907249999999999</v>
      </c>
      <c r="AB6359">
        <v>29</v>
      </c>
      <c r="AC6359">
        <v>3.10499999999996</v>
      </c>
      <c r="AD6359">
        <v>-1.100638</v>
      </c>
      <c r="AE6359">
        <v>-5.6199180000000002</v>
      </c>
      <c r="AF6359">
        <v>1.70982971048999</v>
      </c>
      <c r="AG6359">
        <v>-1.100638</v>
      </c>
      <c r="AH6359">
        <v>5.9984110521644096</v>
      </c>
      <c r="AI6359">
        <v>100.007359232054</v>
      </c>
      <c r="AJ6359">
        <v>74.089951885577094</v>
      </c>
      <c r="AK6359">
        <v>6.3337079816365396</v>
      </c>
      <c r="AL6359">
        <v>65.457582994166899</v>
      </c>
      <c r="AM6359">
        <v>79.905569309613895</v>
      </c>
      <c r="AN6359">
        <v>1.00000002836903</v>
      </c>
    </row>
    <row r="6360" spans="1:40" x14ac:dyDescent="0.25">
      <c r="A6360" t="str">
        <f>"20190304165010734"</f>
        <v>20190304165010734</v>
      </c>
      <c r="B6360" t="str">
        <f>"1551689410721464"</f>
        <v>1551689410721464</v>
      </c>
      <c r="C6360" t="s">
        <v>40</v>
      </c>
      <c r="D6360">
        <v>5.0828610000000003</v>
      </c>
      <c r="E6360">
        <v>0.56753920000000002</v>
      </c>
      <c r="F6360" t="s">
        <v>43</v>
      </c>
      <c r="G6360">
        <v>-303.03960000000001</v>
      </c>
      <c r="H6360">
        <v>-0.05</v>
      </c>
      <c r="I6360">
        <v>2.4460139999999999</v>
      </c>
      <c r="J6360">
        <v>-306.05259999999998</v>
      </c>
      <c r="K6360">
        <v>1.0504830000000001</v>
      </c>
      <c r="L6360">
        <v>8.0265810000000002</v>
      </c>
      <c r="M6360">
        <v>0.69680489999999995</v>
      </c>
      <c r="N6360">
        <v>-1.5734979999999999E-2</v>
      </c>
      <c r="O6360">
        <v>-0.71708830000000001</v>
      </c>
      <c r="P6360">
        <v>0.52265879999999998</v>
      </c>
      <c r="Q6360">
        <v>0.4043117</v>
      </c>
      <c r="R6360">
        <v>-0.7505735</v>
      </c>
      <c r="S6360">
        <v>1.7232970000000001</v>
      </c>
      <c r="T6360">
        <v>-0.59757019999999905</v>
      </c>
      <c r="U6360">
        <v>-3.126617</v>
      </c>
      <c r="V6360">
        <v>0.1591021</v>
      </c>
      <c r="W6360">
        <v>0.41445090000000001</v>
      </c>
      <c r="X6360">
        <v>0.89605639999999998</v>
      </c>
      <c r="Y6360">
        <v>0.26625199999999999</v>
      </c>
      <c r="Z6360">
        <v>9.0451820000000002E-2</v>
      </c>
      <c r="AA6360">
        <v>0.95965009999999995</v>
      </c>
      <c r="AB6360">
        <v>29</v>
      </c>
      <c r="AC6360">
        <v>3.0129999999999701</v>
      </c>
      <c r="AD6360">
        <v>-1.1004830000000001</v>
      </c>
      <c r="AE6360">
        <v>-5.5805669999999896</v>
      </c>
      <c r="AF6360">
        <v>1.6776777267424801</v>
      </c>
      <c r="AG6360">
        <v>-1.1004830000000001</v>
      </c>
      <c r="AH6360">
        <v>5.9236249685403797</v>
      </c>
      <c r="AI6360">
        <v>100.134475422191</v>
      </c>
      <c r="AJ6360">
        <v>74.186918717335999</v>
      </c>
      <c r="AK6360">
        <v>6.2541984423274997</v>
      </c>
      <c r="AL6360">
        <v>65.515259485667102</v>
      </c>
      <c r="AM6360">
        <v>79.931601728632302</v>
      </c>
      <c r="AN6360">
        <v>1.0000000493580801</v>
      </c>
    </row>
    <row r="6361" spans="1:40" x14ac:dyDescent="0.25">
      <c r="A6361" t="str">
        <f>"20190304165010749"</f>
        <v>20190304165010749</v>
      </c>
      <c r="B6361" t="str">
        <f>"1551689410741961"</f>
        <v>1551689410741961</v>
      </c>
      <c r="C6361" t="s">
        <v>40</v>
      </c>
      <c r="D6361">
        <v>5.0926470000000004</v>
      </c>
      <c r="E6361">
        <v>0.56358739999999996</v>
      </c>
      <c r="F6361" t="s">
        <v>41</v>
      </c>
      <c r="G6361">
        <v>-305.69690000000003</v>
      </c>
      <c r="H6361">
        <v>0.92369679999999998</v>
      </c>
      <c r="I6361">
        <v>7.3638389999999996</v>
      </c>
      <c r="J6361">
        <v>-305.91449999999998</v>
      </c>
      <c r="K6361">
        <v>1.0503530000000001</v>
      </c>
      <c r="L6361">
        <v>7.8701169999999996</v>
      </c>
      <c r="M6361">
        <v>0.68955369999999905</v>
      </c>
      <c r="N6361">
        <v>-1.5765520000000002E-2</v>
      </c>
      <c r="O6361">
        <v>-0.72406280000000001</v>
      </c>
      <c r="P6361">
        <v>0.51583250000000003</v>
      </c>
      <c r="Q6361">
        <v>0.40384150000000002</v>
      </c>
      <c r="R6361">
        <v>-0.75553219999999899</v>
      </c>
      <c r="S6361">
        <v>1.68808</v>
      </c>
      <c r="T6361">
        <v>-0.60088739999999996</v>
      </c>
      <c r="U6361">
        <v>-3.1451419999999999</v>
      </c>
      <c r="V6361">
        <v>0.15849820000000001</v>
      </c>
      <c r="W6361">
        <v>0.41398180000000001</v>
      </c>
      <c r="X6361">
        <v>0.89638019999999996</v>
      </c>
      <c r="Y6361">
        <v>0.26731339999999998</v>
      </c>
      <c r="Z6361">
        <v>9.2159229999999995E-2</v>
      </c>
      <c r="AA6361">
        <v>0.9591925</v>
      </c>
      <c r="AB6361">
        <v>29</v>
      </c>
      <c r="AC6361">
        <v>0.217599999999947</v>
      </c>
      <c r="AD6361">
        <v>-0.1266562</v>
      </c>
      <c r="AE6361">
        <v>-0.50627800000000001</v>
      </c>
      <c r="AF6361">
        <v>0.18196118788183199</v>
      </c>
      <c r="AG6361">
        <v>-0.1266562</v>
      </c>
      <c r="AH6361">
        <v>0.49076274933728897</v>
      </c>
      <c r="AI6361">
        <v>103.603103667005</v>
      </c>
      <c r="AJ6361">
        <v>69.656619524400199</v>
      </c>
      <c r="AK6361">
        <v>0.53851624212357996</v>
      </c>
      <c r="AL6361">
        <v>65.544789019191199</v>
      </c>
      <c r="AM6361">
        <v>79.972590482750206</v>
      </c>
      <c r="AN6361">
        <v>1.00000003654325</v>
      </c>
    </row>
    <row r="6362" spans="1:40" x14ac:dyDescent="0.25">
      <c r="A6362" t="str">
        <f>"20190304165010769"</f>
        <v>20190304165010769</v>
      </c>
      <c r="B6362" t="str">
        <f>"1551689410761480"</f>
        <v>1551689410761480</v>
      </c>
      <c r="C6362" t="s">
        <v>40</v>
      </c>
      <c r="D6362">
        <v>5.081709</v>
      </c>
      <c r="E6362">
        <v>0.56363680000000005</v>
      </c>
      <c r="F6362" t="s">
        <v>41</v>
      </c>
      <c r="G6362">
        <v>-305.53710000000001</v>
      </c>
      <c r="H6362">
        <v>0.90545109999999995</v>
      </c>
      <c r="I6362">
        <v>7.1683969999999997</v>
      </c>
      <c r="J6362">
        <v>-305.74950000000001</v>
      </c>
      <c r="K6362">
        <v>1.050176</v>
      </c>
      <c r="L6362">
        <v>7.6788639999999999</v>
      </c>
      <c r="M6362">
        <v>0.68053319999999995</v>
      </c>
      <c r="N6362">
        <v>-1.5805099999999999E-2</v>
      </c>
      <c r="O6362">
        <v>-0.73254680000000005</v>
      </c>
      <c r="P6362">
        <v>0.5077372</v>
      </c>
      <c r="Q6362">
        <v>0.40316079999999999</v>
      </c>
      <c r="R6362">
        <v>-0.76135719999999996</v>
      </c>
      <c r="S6362">
        <v>1.6990970000000001</v>
      </c>
      <c r="T6362">
        <v>-0.65199859999999998</v>
      </c>
      <c r="U6362">
        <v>-3.1591800000000001</v>
      </c>
      <c r="V6362">
        <v>0.15735270000000001</v>
      </c>
      <c r="W6362">
        <v>0.41331489999999999</v>
      </c>
      <c r="X6362">
        <v>0.89688959999999995</v>
      </c>
      <c r="Y6362">
        <v>0.25515779999999999</v>
      </c>
      <c r="Z6362">
        <v>0.1027841</v>
      </c>
      <c r="AA6362">
        <v>0.96142079999999996</v>
      </c>
      <c r="AB6362">
        <v>29</v>
      </c>
      <c r="AC6362">
        <v>0.212400000000002</v>
      </c>
      <c r="AD6362">
        <v>-0.14472489999999899</v>
      </c>
      <c r="AE6362">
        <v>-0.510467</v>
      </c>
      <c r="AF6362">
        <v>0.17952037435569701</v>
      </c>
      <c r="AG6362">
        <v>-0.14472489999999899</v>
      </c>
      <c r="AH6362">
        <v>0.48529923235112998</v>
      </c>
      <c r="AI6362">
        <v>105.62602556268401</v>
      </c>
      <c r="AJ6362">
        <v>69.699715728179498</v>
      </c>
      <c r="AK6362">
        <v>0.53729713046825001</v>
      </c>
      <c r="AL6362">
        <v>65.586757981192505</v>
      </c>
      <c r="AM6362">
        <v>80.049147265676297</v>
      </c>
      <c r="AN6362">
        <v>1.00000001667373</v>
      </c>
    </row>
    <row r="6363" spans="1:40" x14ac:dyDescent="0.25">
      <c r="A6363" t="str">
        <f>"20190304165010789"</f>
        <v>20190304165010789</v>
      </c>
      <c r="B6363" t="str">
        <f>"1551689410781976"</f>
        <v>1551689410781976</v>
      </c>
      <c r="C6363" t="s">
        <v>40</v>
      </c>
      <c r="D6363">
        <v>5.1722830000000002</v>
      </c>
      <c r="E6363">
        <v>0.56310550000000004</v>
      </c>
      <c r="F6363" t="s">
        <v>41</v>
      </c>
      <c r="G6363">
        <v>-305.3766</v>
      </c>
      <c r="H6363">
        <v>0.90310729999999995</v>
      </c>
      <c r="I6363">
        <v>6.9643810000000004</v>
      </c>
      <c r="J6363">
        <v>-305.57139999999998</v>
      </c>
      <c r="K6363">
        <v>1.0499700000000001</v>
      </c>
      <c r="L6363">
        <v>7.4666750000000004</v>
      </c>
      <c r="M6363">
        <v>0.67032190000000003</v>
      </c>
      <c r="N6363">
        <v>-1.5853490000000001E-2</v>
      </c>
      <c r="O6363">
        <v>-0.74190109999999998</v>
      </c>
      <c r="P6363">
        <v>0.4986488</v>
      </c>
      <c r="Q6363">
        <v>0.40198729999999999</v>
      </c>
      <c r="R6363">
        <v>-0.76795559999999996</v>
      </c>
      <c r="S6363">
        <v>1.659821</v>
      </c>
      <c r="T6363">
        <v>-0.65323909999999996</v>
      </c>
      <c r="U6363">
        <v>-3.1793209999999998</v>
      </c>
      <c r="V6363">
        <v>0.15615670000000001</v>
      </c>
      <c r="W6363">
        <v>0.41216140000000001</v>
      </c>
      <c r="X6363">
        <v>0.89762909999999996</v>
      </c>
      <c r="Y6363">
        <v>0.2536871</v>
      </c>
      <c r="Z6363">
        <v>0.1048627</v>
      </c>
      <c r="AA6363">
        <v>0.96158549999999998</v>
      </c>
      <c r="AB6363">
        <v>29</v>
      </c>
      <c r="AC6363">
        <v>0.19479999999998601</v>
      </c>
      <c r="AD6363">
        <v>-0.14686270000000001</v>
      </c>
      <c r="AE6363">
        <v>-0.50229400000000002</v>
      </c>
      <c r="AF6363">
        <v>0.17890572472510999</v>
      </c>
      <c r="AG6363">
        <v>-0.14686270000000001</v>
      </c>
      <c r="AH6363">
        <v>0.46848088170259899</v>
      </c>
      <c r="AI6363">
        <v>106.32313818754901</v>
      </c>
      <c r="AJ6363">
        <v>69.098903616315397</v>
      </c>
      <c r="AK6363">
        <v>0.522542101185686</v>
      </c>
      <c r="AL6363">
        <v>65.659316092526694</v>
      </c>
      <c r="AM6363">
        <v>80.131263092752306</v>
      </c>
      <c r="AN6363">
        <v>0.99999996788582901</v>
      </c>
    </row>
    <row r="6364" spans="1:40" x14ac:dyDescent="0.25">
      <c r="A6364" t="str">
        <f>"20190304165010812"</f>
        <v>20190304165010812</v>
      </c>
      <c r="B6364" t="str">
        <f>"1551689410801496"</f>
        <v>1551689410801496</v>
      </c>
      <c r="C6364" t="s">
        <v>40</v>
      </c>
      <c r="D6364">
        <v>5.1307869999999998</v>
      </c>
      <c r="E6364">
        <v>0.56247409999999998</v>
      </c>
      <c r="F6364" t="s">
        <v>41</v>
      </c>
      <c r="G6364">
        <v>-305.21359999999999</v>
      </c>
      <c r="H6364">
        <v>0.9036592</v>
      </c>
      <c r="I6364">
        <v>6.76186799999999</v>
      </c>
      <c r="J6364">
        <v>-305.39120000000003</v>
      </c>
      <c r="K6364">
        <v>1.0497620000000001</v>
      </c>
      <c r="L6364">
        <v>7.2453919999999998</v>
      </c>
      <c r="M6364">
        <v>0.65945200000000004</v>
      </c>
      <c r="N6364">
        <v>-1.590842E-2</v>
      </c>
      <c r="O6364">
        <v>-0.75157839999999998</v>
      </c>
      <c r="P6364">
        <v>0.48783490000000002</v>
      </c>
      <c r="Q6364">
        <v>0.40088560000000001</v>
      </c>
      <c r="R6364">
        <v>-0.77544049999999998</v>
      </c>
      <c r="S6364">
        <v>1.6239619999999999</v>
      </c>
      <c r="T6364">
        <v>-0.66415480000000005</v>
      </c>
      <c r="U6364">
        <v>-3.1996769999999999</v>
      </c>
      <c r="V6364">
        <v>0.15621669999999999</v>
      </c>
      <c r="W6364">
        <v>0.41104540000000001</v>
      </c>
      <c r="X6364">
        <v>0.89813029999999905</v>
      </c>
      <c r="Y6364">
        <v>0.25085010000000002</v>
      </c>
      <c r="Z6364">
        <v>0.108761</v>
      </c>
      <c r="AA6364">
        <v>0.96189669999999905</v>
      </c>
      <c r="AB6364">
        <v>29</v>
      </c>
      <c r="AC6364">
        <v>0.17760000000004</v>
      </c>
      <c r="AD6364">
        <v>-0.1461028</v>
      </c>
      <c r="AE6364">
        <v>-0.48352400000000101</v>
      </c>
      <c r="AF6364">
        <v>0.17159907835146801</v>
      </c>
      <c r="AG6364">
        <v>-0.1461028</v>
      </c>
      <c r="AH6364">
        <v>0.44480193282667202</v>
      </c>
      <c r="AI6364">
        <v>107.037830015578</v>
      </c>
      <c r="AJ6364">
        <v>68.904003075193003</v>
      </c>
      <c r="AK6364">
        <v>0.49863917947274999</v>
      </c>
      <c r="AL6364">
        <v>65.729478053248101</v>
      </c>
      <c r="AM6364">
        <v>80.132946821308295</v>
      </c>
      <c r="AN6364">
        <v>1.00000000699907</v>
      </c>
    </row>
    <row r="6365" spans="1:40" x14ac:dyDescent="0.25">
      <c r="A6365" t="str">
        <f>"20190304165010835"</f>
        <v>20190304165010835</v>
      </c>
      <c r="B6365" t="str">
        <f>"1551689410831752"</f>
        <v>1551689410831752</v>
      </c>
      <c r="C6365" t="s">
        <v>40</v>
      </c>
      <c r="D6365">
        <v>4.8991239999999996</v>
      </c>
      <c r="E6365">
        <v>0.56449159999999998</v>
      </c>
      <c r="F6365" t="s">
        <v>41</v>
      </c>
      <c r="G6365">
        <v>-305.05279999999999</v>
      </c>
      <c r="H6365">
        <v>0.90496589999999999</v>
      </c>
      <c r="I6365">
        <v>6.5576840000000001</v>
      </c>
      <c r="J6365">
        <v>-305.20530000000002</v>
      </c>
      <c r="K6365">
        <v>1.04955</v>
      </c>
      <c r="L6365">
        <v>7.0096740000000004</v>
      </c>
      <c r="M6365">
        <v>0.64763149999999903</v>
      </c>
      <c r="N6365">
        <v>-1.5968980000000001E-2</v>
      </c>
      <c r="O6365">
        <v>-0.76178639999999997</v>
      </c>
      <c r="P6365">
        <v>0.47566219999999998</v>
      </c>
      <c r="Q6365">
        <v>0.40030690000000002</v>
      </c>
      <c r="R6365">
        <v>-0.78326240000000003</v>
      </c>
      <c r="S6365">
        <v>1.585388</v>
      </c>
      <c r="T6365">
        <v>-0.67648909999999995</v>
      </c>
      <c r="U6365">
        <v>-3.2210999999999999</v>
      </c>
      <c r="V6365">
        <v>0.15660060000000001</v>
      </c>
      <c r="W6365">
        <v>0.4104411</v>
      </c>
      <c r="X6365">
        <v>0.89833980000000002</v>
      </c>
      <c r="Y6365">
        <v>0.24776570000000001</v>
      </c>
      <c r="Z6365">
        <v>0.1130905</v>
      </c>
      <c r="AA6365">
        <v>0.96219679999999996</v>
      </c>
      <c r="AB6365">
        <v>29</v>
      </c>
      <c r="AC6365">
        <v>0.152500000000031</v>
      </c>
      <c r="AD6365">
        <v>-0.14458409999999999</v>
      </c>
      <c r="AE6365">
        <v>-0.45199</v>
      </c>
      <c r="AF6365">
        <v>0.16171654744598099</v>
      </c>
      <c r="AG6365">
        <v>-0.14458409999999999</v>
      </c>
      <c r="AH6365">
        <v>0.40585521873442498</v>
      </c>
      <c r="AI6365">
        <v>108.311509762355</v>
      </c>
      <c r="AJ6365">
        <v>68.274759688561403</v>
      </c>
      <c r="AK6365">
        <v>0.46019046303093503</v>
      </c>
      <c r="AL6365">
        <v>65.7674535013997</v>
      </c>
      <c r="AM6365">
        <v>80.111438081531801</v>
      </c>
      <c r="AN6365">
        <v>1.0000000203768</v>
      </c>
    </row>
    <row r="6366" spans="1:40" x14ac:dyDescent="0.25">
      <c r="A6366" t="str">
        <f>"20190304165010858"</f>
        <v>20190304165010858</v>
      </c>
      <c r="B6366" t="str">
        <f>"1551689410852248"</f>
        <v>1551689410852248</v>
      </c>
      <c r="C6366" t="s">
        <v>40</v>
      </c>
      <c r="D6366">
        <v>5.1651669999999896</v>
      </c>
      <c r="E6366">
        <v>0.56420609999999904</v>
      </c>
      <c r="F6366" t="s">
        <v>41</v>
      </c>
      <c r="G6366">
        <v>-304.89519999999999</v>
      </c>
      <c r="H6366">
        <v>0.91576550000000001</v>
      </c>
      <c r="I6366">
        <v>6.3454499999999996</v>
      </c>
      <c r="J6366">
        <v>-305.02760000000001</v>
      </c>
      <c r="K6366">
        <v>1.049347</v>
      </c>
      <c r="L6366">
        <v>6.7760930000000004</v>
      </c>
      <c r="M6366">
        <v>0.63566669999999903</v>
      </c>
      <c r="N6366">
        <v>-1.6030019999999999E-2</v>
      </c>
      <c r="O6366">
        <v>-0.77179730000000002</v>
      </c>
      <c r="P6366">
        <v>0.46303070000000002</v>
      </c>
      <c r="Q6366">
        <v>0.39970889999999998</v>
      </c>
      <c r="R6366">
        <v>-0.79109779999999996</v>
      </c>
      <c r="S6366">
        <v>1.514648</v>
      </c>
      <c r="T6366">
        <v>-0.65286369999999905</v>
      </c>
      <c r="U6366">
        <v>-3.2439580000000001</v>
      </c>
      <c r="V6366">
        <v>0.1573764</v>
      </c>
      <c r="W6366">
        <v>0.40980919999999998</v>
      </c>
      <c r="X6366">
        <v>0.89849269999999903</v>
      </c>
      <c r="Y6366">
        <v>0.25222290000000003</v>
      </c>
      <c r="Z6366">
        <v>0.11069569999999999</v>
      </c>
      <c r="AA6366">
        <v>0.96131679999999997</v>
      </c>
      <c r="AB6366">
        <v>29</v>
      </c>
      <c r="AC6366">
        <v>0.132400000000018</v>
      </c>
      <c r="AD6366">
        <v>-0.13358149999999999</v>
      </c>
      <c r="AE6366">
        <v>-0.430642999999999</v>
      </c>
      <c r="AF6366">
        <v>0.15771678043298901</v>
      </c>
      <c r="AG6366">
        <v>-0.13358149999999999</v>
      </c>
      <c r="AH6366">
        <v>0.38292257699266702</v>
      </c>
      <c r="AI6366">
        <v>107.877560465006</v>
      </c>
      <c r="AJ6366">
        <v>67.6143922985177</v>
      </c>
      <c r="AK6366">
        <v>0.43514170099302502</v>
      </c>
      <c r="AL6366">
        <v>65.807150952975604</v>
      </c>
      <c r="AM6366">
        <v>80.065081396247294</v>
      </c>
      <c r="AN6366">
        <v>1.0000000218174401</v>
      </c>
    </row>
    <row r="6367" spans="1:40" x14ac:dyDescent="0.25">
      <c r="A6367" t="str">
        <f>"20190304165010880"</f>
        <v>20190304165010880</v>
      </c>
      <c r="B6367" t="str">
        <f>"1551689410871769"</f>
        <v>1551689410871769</v>
      </c>
      <c r="C6367" t="s">
        <v>40</v>
      </c>
      <c r="D6367">
        <v>5.072247</v>
      </c>
      <c r="E6367">
        <v>0.56384350000000005</v>
      </c>
      <c r="F6367" t="s">
        <v>41</v>
      </c>
      <c r="G6367">
        <v>-304.6395</v>
      </c>
      <c r="H6367">
        <v>0.87478650000000002</v>
      </c>
      <c r="I6367">
        <v>5.9101439999999998</v>
      </c>
      <c r="J6367">
        <v>-304.85399999999998</v>
      </c>
      <c r="K6367">
        <v>1.049153</v>
      </c>
      <c r="L6367">
        <v>6.5397339999999904</v>
      </c>
      <c r="M6367">
        <v>0.62332580000000004</v>
      </c>
      <c r="N6367">
        <v>-1.6092470000000001E-2</v>
      </c>
      <c r="O6367">
        <v>-0.78179670000000001</v>
      </c>
      <c r="P6367">
        <v>0.45038030000000001</v>
      </c>
      <c r="Q6367">
        <v>0.39914129999999998</v>
      </c>
      <c r="R6367">
        <v>-0.79865129999999995</v>
      </c>
      <c r="S6367">
        <v>1.4648129999999999</v>
      </c>
      <c r="T6367">
        <v>-0.65826619999999902</v>
      </c>
      <c r="U6367">
        <v>-3.2674560000000001</v>
      </c>
      <c r="V6367">
        <v>0.15775330000000001</v>
      </c>
      <c r="W6367">
        <v>0.40922409999999998</v>
      </c>
      <c r="X6367">
        <v>0.89869330000000003</v>
      </c>
      <c r="Y6367">
        <v>0.2517607</v>
      </c>
      <c r="Z6367">
        <v>0.11360679999999999</v>
      </c>
      <c r="AA6367">
        <v>0.96109840000000002</v>
      </c>
      <c r="AB6367">
        <v>29</v>
      </c>
      <c r="AC6367">
        <v>0.21450000000004299</v>
      </c>
      <c r="AD6367">
        <v>-0.17436649999999901</v>
      </c>
      <c r="AE6367">
        <v>-0.62958999999999898</v>
      </c>
      <c r="AF6367">
        <v>0.21031913422982601</v>
      </c>
      <c r="AG6367">
        <v>-0.17436649999999901</v>
      </c>
      <c r="AH6367">
        <v>0.58574056478799597</v>
      </c>
      <c r="AI6367">
        <v>105.65138144737099</v>
      </c>
      <c r="AJ6367">
        <v>70.2485458281501</v>
      </c>
      <c r="AK6367">
        <v>0.646320217681293</v>
      </c>
      <c r="AL6367">
        <v>65.843898187146607</v>
      </c>
      <c r="AM6367">
        <v>80.043942354950104</v>
      </c>
      <c r="AN6367">
        <v>1.0000000575732899</v>
      </c>
    </row>
    <row r="6368" spans="1:40" x14ac:dyDescent="0.25">
      <c r="A6368" t="str">
        <f>"20190304165010901"</f>
        <v>20190304165010901</v>
      </c>
      <c r="B6368" t="str">
        <f>"1551689410892264"</f>
        <v>1551689410892264</v>
      </c>
      <c r="C6368" t="s">
        <v>40</v>
      </c>
      <c r="D6368">
        <v>4.8880710000000001</v>
      </c>
      <c r="E6368">
        <v>0.56390580000000001</v>
      </c>
      <c r="F6368" t="s">
        <v>41</v>
      </c>
      <c r="G6368">
        <v>-304.49189999999999</v>
      </c>
      <c r="H6368">
        <v>0.87872159999999999</v>
      </c>
      <c r="I6368">
        <v>5.6970890000000001</v>
      </c>
      <c r="J6368">
        <v>-304.6909</v>
      </c>
      <c r="K6368">
        <v>1.0489820000000001</v>
      </c>
      <c r="L6368">
        <v>6.3099369999999997</v>
      </c>
      <c r="M6368">
        <v>0.61112849999999996</v>
      </c>
      <c r="N6368">
        <v>-1.6152219999999998E-2</v>
      </c>
      <c r="O6368">
        <v>-0.79136660000000003</v>
      </c>
      <c r="P6368">
        <v>0.43769649999999999</v>
      </c>
      <c r="Q6368">
        <v>0.39867960000000002</v>
      </c>
      <c r="R6368">
        <v>-0.80590150000000005</v>
      </c>
      <c r="S6368">
        <v>1.4143680000000001</v>
      </c>
      <c r="T6368">
        <v>-0.66435900000000003</v>
      </c>
      <c r="U6368">
        <v>-3.2907709999999999</v>
      </c>
      <c r="V6368">
        <v>0.15831999999999999</v>
      </c>
      <c r="W6368">
        <v>0.40874329999999998</v>
      </c>
      <c r="X6368">
        <v>0.89881239999999996</v>
      </c>
      <c r="Y6368">
        <v>0.25178210000000001</v>
      </c>
      <c r="Z6368">
        <v>0.1165601</v>
      </c>
      <c r="AA6368">
        <v>0.96073909999999996</v>
      </c>
      <c r="AB6368">
        <v>28</v>
      </c>
      <c r="AC6368">
        <v>0.199000000000012</v>
      </c>
      <c r="AD6368">
        <v>-0.17026040000000001</v>
      </c>
      <c r="AE6368">
        <v>-0.61284799999999995</v>
      </c>
      <c r="AF6368">
        <v>0.20290797153089299</v>
      </c>
      <c r="AG6368">
        <v>-0.17026040000000001</v>
      </c>
      <c r="AH6368">
        <v>0.56708650890904599</v>
      </c>
      <c r="AI6368">
        <v>105.784868606583</v>
      </c>
      <c r="AJ6368">
        <v>70.312394832219795</v>
      </c>
      <c r="AK6368">
        <v>0.62589724181018103</v>
      </c>
      <c r="AL6368">
        <v>65.874085199456701</v>
      </c>
      <c r="AM6368">
        <v>80.010193643505303</v>
      </c>
      <c r="AN6368">
        <v>1.0000000190443199</v>
      </c>
    </row>
    <row r="6369" spans="1:40" x14ac:dyDescent="0.25">
      <c r="A6369" t="str">
        <f>"20190304165010923"</f>
        <v>20190304165010923</v>
      </c>
      <c r="B6369" t="str">
        <f>"1551689410911784"</f>
        <v>1551689410911784</v>
      </c>
      <c r="C6369" t="s">
        <v>40</v>
      </c>
      <c r="D6369">
        <v>4.8615769999999996</v>
      </c>
      <c r="E6369">
        <v>0.56398219999999899</v>
      </c>
      <c r="F6369" t="s">
        <v>41</v>
      </c>
      <c r="G6369">
        <v>-304.35050000000001</v>
      </c>
      <c r="H6369">
        <v>0.88231380000000004</v>
      </c>
      <c r="I6369">
        <v>5.4800659999999999</v>
      </c>
      <c r="J6369">
        <v>-304.52929999999998</v>
      </c>
      <c r="K6369">
        <v>1.0488230000000001</v>
      </c>
      <c r="L6369">
        <v>6.0740360000000004</v>
      </c>
      <c r="M6369">
        <v>0.59840550000000003</v>
      </c>
      <c r="N6369">
        <v>-1.6210619999999999E-2</v>
      </c>
      <c r="O6369">
        <v>-0.80102989999999996</v>
      </c>
      <c r="P6369">
        <v>0.4236664</v>
      </c>
      <c r="Q6369">
        <v>0.39863880000000002</v>
      </c>
      <c r="R6369">
        <v>-0.81338480000000002</v>
      </c>
      <c r="S6369">
        <v>1.3595889999999999</v>
      </c>
      <c r="T6369">
        <v>-0.66468660000000002</v>
      </c>
      <c r="U6369">
        <v>-3.3129879999999998</v>
      </c>
      <c r="V6369">
        <v>0.1597044</v>
      </c>
      <c r="W6369">
        <v>0.40865659999999998</v>
      </c>
      <c r="X6369">
        <v>0.89860680000000004</v>
      </c>
      <c r="Y6369">
        <v>0.25223210000000001</v>
      </c>
      <c r="Z6369">
        <v>0.1184933</v>
      </c>
      <c r="AA6369">
        <v>0.96038440000000003</v>
      </c>
      <c r="AB6369">
        <v>28</v>
      </c>
      <c r="AC6369">
        <v>0.17879999999996701</v>
      </c>
      <c r="AD6369">
        <v>-0.1665092</v>
      </c>
      <c r="AE6369">
        <v>-0.593969999999999</v>
      </c>
      <c r="AF6369">
        <v>0.19797323442543899</v>
      </c>
      <c r="AG6369">
        <v>-0.1665092</v>
      </c>
      <c r="AH6369">
        <v>0.54368288443130897</v>
      </c>
      <c r="AI6369">
        <v>106.05458376535201</v>
      </c>
      <c r="AJ6369">
        <v>69.991732550447793</v>
      </c>
      <c r="AK6369">
        <v>0.60208786240635803</v>
      </c>
      <c r="AL6369">
        <v>65.8795262166974</v>
      </c>
      <c r="AM6369">
        <v>79.922363843764998</v>
      </c>
      <c r="AN6369">
        <v>0.99999994655457802</v>
      </c>
    </row>
    <row r="6370" spans="1:40" x14ac:dyDescent="0.25">
      <c r="A6370" t="str">
        <f>"20190304165010945"</f>
        <v>20190304165010945</v>
      </c>
      <c r="B6370" t="str">
        <f>"1551689410942040"</f>
        <v>1551689410942040</v>
      </c>
      <c r="C6370" t="s">
        <v>40</v>
      </c>
      <c r="D6370">
        <v>5.267976</v>
      </c>
      <c r="E6370">
        <v>0.56398380000000004</v>
      </c>
      <c r="F6370" t="s">
        <v>41</v>
      </c>
      <c r="G6370">
        <v>-304.21190000000001</v>
      </c>
      <c r="H6370">
        <v>0.88689509999999905</v>
      </c>
      <c r="I6370">
        <v>5.2612389999999998</v>
      </c>
      <c r="J6370">
        <v>-304.36919999999998</v>
      </c>
      <c r="K6370">
        <v>1.0486740000000001</v>
      </c>
      <c r="L6370">
        <v>5.8319400000000003</v>
      </c>
      <c r="M6370">
        <v>0.5851423</v>
      </c>
      <c r="N6370">
        <v>-1.626797E-2</v>
      </c>
      <c r="O6370">
        <v>-0.81076740000000003</v>
      </c>
      <c r="P6370">
        <v>0.40890409999999999</v>
      </c>
      <c r="Q6370">
        <v>0.39937519999999999</v>
      </c>
      <c r="R6370">
        <v>-0.82054660000000001</v>
      </c>
      <c r="S6370">
        <v>1.3024290000000001</v>
      </c>
      <c r="T6370">
        <v>-0.66384849999999995</v>
      </c>
      <c r="U6370">
        <v>-3.3352659999999998</v>
      </c>
      <c r="V6370">
        <v>0.16111729999999999</v>
      </c>
      <c r="W6370">
        <v>0.40934160000000003</v>
      </c>
      <c r="X6370">
        <v>0.89804269999999997</v>
      </c>
      <c r="Y6370">
        <v>0.2528051</v>
      </c>
      <c r="Z6370">
        <v>0.1202124</v>
      </c>
      <c r="AA6370">
        <v>0.96002010000000004</v>
      </c>
      <c r="AB6370">
        <v>28</v>
      </c>
      <c r="AC6370">
        <v>0.157299999999963</v>
      </c>
      <c r="AD6370">
        <v>-0.161778899999999</v>
      </c>
      <c r="AE6370">
        <v>-0.57070100000000001</v>
      </c>
      <c r="AF6370">
        <v>0.19208897216340401</v>
      </c>
      <c r="AG6370">
        <v>-0.161778899999999</v>
      </c>
      <c r="AH6370">
        <v>0.51626542014695898</v>
      </c>
      <c r="AI6370">
        <v>106.367156646312</v>
      </c>
      <c r="AJ6370">
        <v>69.591071427927403</v>
      </c>
      <c r="AK6370">
        <v>0.57410849998194502</v>
      </c>
      <c r="AL6370">
        <v>65.836518415745402</v>
      </c>
      <c r="AM6370">
        <v>79.828806687929799</v>
      </c>
      <c r="AN6370">
        <v>1.0000000104365601</v>
      </c>
    </row>
    <row r="6371" spans="1:40" x14ac:dyDescent="0.25">
      <c r="A6371" t="str">
        <f>"20190304165010969"</f>
        <v>20190304165010969</v>
      </c>
      <c r="B6371" t="str">
        <f>"1551689410961560"</f>
        <v>1551689410961560</v>
      </c>
      <c r="C6371" t="s">
        <v>40</v>
      </c>
      <c r="D6371">
        <v>5.1657129999999896</v>
      </c>
      <c r="E6371">
        <v>0.56337789999999999</v>
      </c>
      <c r="F6371" t="s">
        <v>41</v>
      </c>
      <c r="G6371">
        <v>-304.07600000000002</v>
      </c>
      <c r="H6371">
        <v>0.89297929999999903</v>
      </c>
      <c r="I6371">
        <v>5.0403370000000001</v>
      </c>
      <c r="J6371">
        <v>-304.20620000000002</v>
      </c>
      <c r="K6371">
        <v>1.0485359999999999</v>
      </c>
      <c r="L6371">
        <v>5.5758669999999997</v>
      </c>
      <c r="M6371">
        <v>0.57090249999999998</v>
      </c>
      <c r="N6371">
        <v>-1.632745E-2</v>
      </c>
      <c r="O6371">
        <v>-0.82085560000000002</v>
      </c>
      <c r="P6371">
        <v>0.39375979999999999</v>
      </c>
      <c r="Q6371">
        <v>0.40021410000000002</v>
      </c>
      <c r="R6371">
        <v>-0.82751559999999902</v>
      </c>
      <c r="S6371">
        <v>1.243652</v>
      </c>
      <c r="T6371">
        <v>-0.66106180000000003</v>
      </c>
      <c r="U6371">
        <v>-3.3580930000000002</v>
      </c>
      <c r="V6371">
        <v>0.161888</v>
      </c>
      <c r="W6371">
        <v>0.41015099999999999</v>
      </c>
      <c r="X6371">
        <v>0.89753459999999996</v>
      </c>
      <c r="Y6371">
        <v>0.25285089999999999</v>
      </c>
      <c r="Z6371">
        <v>0.1216115</v>
      </c>
      <c r="AA6371">
        <v>0.95983180000000001</v>
      </c>
      <c r="AB6371">
        <v>28</v>
      </c>
      <c r="AC6371">
        <v>0.13020000000005799</v>
      </c>
      <c r="AD6371">
        <v>-0.15555669999999999</v>
      </c>
      <c r="AE6371">
        <v>-0.53552999999999895</v>
      </c>
      <c r="AF6371">
        <v>0.184211268259626</v>
      </c>
      <c r="AG6371">
        <v>-0.15555669999999999</v>
      </c>
      <c r="AH6371">
        <v>0.476066780925959</v>
      </c>
      <c r="AI6371">
        <v>106.947864026703</v>
      </c>
      <c r="AJ6371">
        <v>68.846344417363895</v>
      </c>
      <c r="AK6371">
        <v>0.53363963324505304</v>
      </c>
      <c r="AL6371">
        <v>65.785678303476899</v>
      </c>
      <c r="AM6371">
        <v>79.775512995795097</v>
      </c>
      <c r="AN6371">
        <v>0.99999996277107905</v>
      </c>
    </row>
    <row r="6372" spans="1:40" x14ac:dyDescent="0.25">
      <c r="A6372" t="str">
        <f>"20190304165010991"</f>
        <v>20190304165010991</v>
      </c>
      <c r="B6372" t="str">
        <f>"1551689410982056"</f>
        <v>1551689410982056</v>
      </c>
      <c r="C6372" t="s">
        <v>40</v>
      </c>
      <c r="D6372">
        <v>4.4551150000000002</v>
      </c>
      <c r="E6372">
        <v>0.56509929999999997</v>
      </c>
      <c r="F6372" t="s">
        <v>41</v>
      </c>
      <c r="G6372">
        <v>-303.94040000000001</v>
      </c>
      <c r="H6372">
        <v>0.90003799999999901</v>
      </c>
      <c r="I6372">
        <v>4.8195819999999996</v>
      </c>
      <c r="J6372">
        <v>-304.05549999999999</v>
      </c>
      <c r="K6372">
        <v>1.0484070000000001</v>
      </c>
      <c r="L6372">
        <v>5.3297420000000004</v>
      </c>
      <c r="M6372">
        <v>0.55701599999999996</v>
      </c>
      <c r="N6372">
        <v>-1.6384019999999999E-2</v>
      </c>
      <c r="O6372">
        <v>-0.83034030000000003</v>
      </c>
      <c r="P6372">
        <v>0.37989970000000001</v>
      </c>
      <c r="Q6372">
        <v>0.4005397</v>
      </c>
      <c r="R6372">
        <v>-0.83381309999999997</v>
      </c>
      <c r="S6372">
        <v>1.1883539999999999</v>
      </c>
      <c r="T6372">
        <v>-0.66310780000000002</v>
      </c>
      <c r="U6372">
        <v>-3.3805540000000001</v>
      </c>
      <c r="V6372">
        <v>0.1618212</v>
      </c>
      <c r="W6372">
        <v>0.41048059999999997</v>
      </c>
      <c r="X6372">
        <v>0.89739599999999897</v>
      </c>
      <c r="Y6372">
        <v>0.25262380000000001</v>
      </c>
      <c r="Z6372">
        <v>0.1238132</v>
      </c>
      <c r="AA6372">
        <v>0.95961010000000002</v>
      </c>
      <c r="AB6372">
        <v>28</v>
      </c>
      <c r="AC6372">
        <v>0.11509999999998401</v>
      </c>
      <c r="AD6372">
        <v>-0.148368999999999</v>
      </c>
      <c r="AE6372">
        <v>-0.51015999999999995</v>
      </c>
      <c r="AF6372">
        <v>0.17457024247977901</v>
      </c>
      <c r="AG6372">
        <v>-0.148368999999999</v>
      </c>
      <c r="AH6372">
        <v>0.45144974001681398</v>
      </c>
      <c r="AI6372">
        <v>107.04191253240199</v>
      </c>
      <c r="AJ6372">
        <v>68.859106854912696</v>
      </c>
      <c r="AK6372">
        <v>0.50625586167638403</v>
      </c>
      <c r="AL6372">
        <v>65.764971142702294</v>
      </c>
      <c r="AM6372">
        <v>79.778097767886294</v>
      </c>
      <c r="AN6372">
        <v>1.0000000022808999</v>
      </c>
    </row>
    <row r="6373" spans="1:40" x14ac:dyDescent="0.25">
      <c r="A6373" t="str">
        <f>"20190304165011013"</f>
        <v>20190304165011013</v>
      </c>
      <c r="B6373" t="str">
        <f>"1551689411001576"</f>
        <v>1551689411001576</v>
      </c>
      <c r="C6373" t="s">
        <v>40</v>
      </c>
      <c r="D6373">
        <v>5.1674639999999998</v>
      </c>
      <c r="E6373">
        <v>0.56472230000000001</v>
      </c>
      <c r="F6373" t="s">
        <v>41</v>
      </c>
      <c r="G6373">
        <v>-303.81389999999999</v>
      </c>
      <c r="H6373">
        <v>0.90845909999999996</v>
      </c>
      <c r="I6373">
        <v>4.592244</v>
      </c>
      <c r="J6373">
        <v>-303.91449999999998</v>
      </c>
      <c r="K6373">
        <v>1.0482849999999999</v>
      </c>
      <c r="L6373">
        <v>5.0901180000000004</v>
      </c>
      <c r="M6373">
        <v>0.54331619999999903</v>
      </c>
      <c r="N6373">
        <v>-1.6437920000000002E-2</v>
      </c>
      <c r="O6373">
        <v>-0.83936730000000004</v>
      </c>
      <c r="P6373">
        <v>0.36689300000000002</v>
      </c>
      <c r="Q6373">
        <v>0.40074029999999999</v>
      </c>
      <c r="R6373">
        <v>-0.83952190000000004</v>
      </c>
      <c r="S6373">
        <v>1.1143799999999999</v>
      </c>
      <c r="T6373">
        <v>-0.64474480000000001</v>
      </c>
      <c r="U6373">
        <v>-3.3999329999999999</v>
      </c>
      <c r="V6373">
        <v>0.1611175</v>
      </c>
      <c r="W6373">
        <v>0.41070810000000002</v>
      </c>
      <c r="X6373">
        <v>0.89741859999999996</v>
      </c>
      <c r="Y6373">
        <v>0.25705699999999998</v>
      </c>
      <c r="Z6373">
        <v>0.12176629999999999</v>
      </c>
      <c r="AA6373">
        <v>0.9586943</v>
      </c>
      <c r="AB6373">
        <v>28</v>
      </c>
      <c r="AC6373">
        <v>0.10059999999998499</v>
      </c>
      <c r="AD6373">
        <v>-0.1398259</v>
      </c>
      <c r="AE6373">
        <v>-0.49787399999999998</v>
      </c>
      <c r="AF6373">
        <v>0.172979328117844</v>
      </c>
      <c r="AG6373">
        <v>-0.1398259</v>
      </c>
      <c r="AH6373">
        <v>0.43932808416532299</v>
      </c>
      <c r="AI6373">
        <v>106.496319238987</v>
      </c>
      <c r="AJ6373">
        <v>68.508649295263098</v>
      </c>
      <c r="AK6373">
        <v>0.49242491387345899</v>
      </c>
      <c r="AL6373">
        <v>65.750677453056099</v>
      </c>
      <c r="AM6373">
        <v>79.821868695007097</v>
      </c>
      <c r="AN6373">
        <v>1.0000000679189001</v>
      </c>
    </row>
    <row r="6374" spans="1:40" x14ac:dyDescent="0.25">
      <c r="A6374" t="str">
        <f>"20190304165011047"</f>
        <v>20190304165011047</v>
      </c>
      <c r="B6374" t="str">
        <f>"1551689411041596"</f>
        <v>1551689411041596</v>
      </c>
      <c r="C6374" t="s">
        <v>40</v>
      </c>
      <c r="D6374">
        <v>5.1791460000000002</v>
      </c>
      <c r="E6374">
        <v>0.56414409999999904</v>
      </c>
      <c r="F6374" t="s">
        <v>41</v>
      </c>
      <c r="G6374">
        <v>-303.68900000000002</v>
      </c>
      <c r="H6374">
        <v>0.91146360000000004</v>
      </c>
      <c r="I6374">
        <v>4.3677140000000003</v>
      </c>
      <c r="J6374">
        <v>-303.70420000000001</v>
      </c>
      <c r="K6374">
        <v>1.048103</v>
      </c>
      <c r="L6374">
        <v>4.7134090000000004</v>
      </c>
      <c r="M6374">
        <v>0.52143629999999996</v>
      </c>
      <c r="N6374">
        <v>-1.6519820000000001E-2</v>
      </c>
      <c r="O6374">
        <v>-0.85313039999999996</v>
      </c>
      <c r="P6374">
        <v>0.34634860000000001</v>
      </c>
      <c r="Q6374">
        <v>0.401972</v>
      </c>
      <c r="R6374">
        <v>-0.84762109999999902</v>
      </c>
      <c r="S6374">
        <v>1.0662229999999999</v>
      </c>
      <c r="T6374">
        <v>-0.64670039999999995</v>
      </c>
      <c r="U6374">
        <v>-3.4161679999999999</v>
      </c>
      <c r="V6374">
        <v>0.15966830000000001</v>
      </c>
      <c r="W6374">
        <v>0.41199150000000001</v>
      </c>
      <c r="X6374">
        <v>0.89708920000000003</v>
      </c>
      <c r="Y6374">
        <v>0.2458099</v>
      </c>
      <c r="Z6374">
        <v>0.12542980000000001</v>
      </c>
      <c r="AA6374">
        <v>0.96116849999999998</v>
      </c>
      <c r="AB6374">
        <v>28</v>
      </c>
      <c r="AC6374">
        <v>1.51999999999929E-2</v>
      </c>
      <c r="AD6374">
        <v>-0.13663939999999899</v>
      </c>
      <c r="AE6374">
        <v>-0.34569499999999898</v>
      </c>
      <c r="AF6374">
        <v>0.14474345347061601</v>
      </c>
      <c r="AG6374">
        <v>-0.13663939999999899</v>
      </c>
      <c r="AH6374">
        <v>0.262031707143427</v>
      </c>
      <c r="AI6374">
        <v>114.53439608674699</v>
      </c>
      <c r="AJ6374">
        <v>61.084218880457399</v>
      </c>
      <c r="AK6374">
        <v>0.32906170926356498</v>
      </c>
      <c r="AL6374">
        <v>65.6700006761791</v>
      </c>
      <c r="AM6374">
        <v>79.907900719760804</v>
      </c>
      <c r="AN6374">
        <v>0.99999999742688905</v>
      </c>
    </row>
    <row r="6375" spans="1:40" x14ac:dyDescent="0.25">
      <c r="A6375" t="str">
        <f>"20190304165011069"</f>
        <v>20190304165011069</v>
      </c>
      <c r="B6375" t="str">
        <f>"1551689411062091"</f>
        <v>1551689411062091</v>
      </c>
      <c r="C6375" t="s">
        <v>40</v>
      </c>
      <c r="D6375">
        <v>5.1411889999999998</v>
      </c>
      <c r="E6375">
        <v>0.56400309999999998</v>
      </c>
      <c r="F6375" t="s">
        <v>41</v>
      </c>
      <c r="G6375">
        <v>-303.47320000000002</v>
      </c>
      <c r="H6375">
        <v>0.89690590000000003</v>
      </c>
      <c r="I6375">
        <v>3.910358</v>
      </c>
      <c r="J6375">
        <v>-303.56670000000003</v>
      </c>
      <c r="K6375">
        <v>1.0479940000000001</v>
      </c>
      <c r="L6375">
        <v>4.4540100000000002</v>
      </c>
      <c r="M6375">
        <v>0.50614840000000005</v>
      </c>
      <c r="N6375">
        <v>-1.6573330000000001E-2</v>
      </c>
      <c r="O6375">
        <v>-0.86228729999999998</v>
      </c>
      <c r="P6375">
        <v>0.33263510000000002</v>
      </c>
      <c r="Q6375">
        <v>0.40347880000000003</v>
      </c>
      <c r="R6375">
        <v>-0.85238429999999998</v>
      </c>
      <c r="S6375">
        <v>0.99032589999999998</v>
      </c>
      <c r="T6375">
        <v>-0.64672299999999905</v>
      </c>
      <c r="U6375">
        <v>-3.4413450000000001</v>
      </c>
      <c r="V6375">
        <v>0.15793360000000001</v>
      </c>
      <c r="W6375">
        <v>0.41355720000000001</v>
      </c>
      <c r="X6375">
        <v>0.89667580000000002</v>
      </c>
      <c r="Y6375">
        <v>0.25000519999999998</v>
      </c>
      <c r="Z6375">
        <v>0.12691730000000001</v>
      </c>
      <c r="AA6375">
        <v>0.95989029999999997</v>
      </c>
      <c r="AB6375">
        <v>28</v>
      </c>
      <c r="AC6375">
        <v>9.3500000000005898E-2</v>
      </c>
      <c r="AD6375">
        <v>-0.151088099999999</v>
      </c>
      <c r="AE6375">
        <v>-0.54365200000000002</v>
      </c>
      <c r="AF6375">
        <v>0.180993834745691</v>
      </c>
      <c r="AG6375">
        <v>-0.151088099999999</v>
      </c>
      <c r="AH6375">
        <v>0.48015983112729999</v>
      </c>
      <c r="AI6375">
        <v>106.406463956397</v>
      </c>
      <c r="AJ6375">
        <v>69.346317570195595</v>
      </c>
      <c r="AK6375">
        <v>0.53492041053390205</v>
      </c>
      <c r="AL6375">
        <v>65.571511602818603</v>
      </c>
      <c r="AM6375">
        <v>80.010816600419602</v>
      </c>
      <c r="AN6375">
        <v>1.0000000349932101</v>
      </c>
    </row>
    <row r="6376" spans="1:40" x14ac:dyDescent="0.25">
      <c r="A6376" t="str">
        <f>"20190304165011090"</f>
        <v>20190304165011090</v>
      </c>
      <c r="B6376" t="str">
        <f>"1551689411081609"</f>
        <v>1551689411081609</v>
      </c>
      <c r="C6376" t="s">
        <v>40</v>
      </c>
      <c r="D6376">
        <v>4.5887630000000001</v>
      </c>
      <c r="E6376">
        <v>0.56535269999999904</v>
      </c>
      <c r="F6376" t="s">
        <v>41</v>
      </c>
      <c r="G6376">
        <v>-303.35770000000002</v>
      </c>
      <c r="H6376">
        <v>0.90435699999999997</v>
      </c>
      <c r="I6376">
        <v>3.6802800000000002</v>
      </c>
      <c r="J6376">
        <v>-303.44159999999999</v>
      </c>
      <c r="K6376">
        <v>1.047898</v>
      </c>
      <c r="L6376">
        <v>4.2073970000000003</v>
      </c>
      <c r="M6376">
        <v>0.49145759999999999</v>
      </c>
      <c r="N6376">
        <v>-1.662106E-2</v>
      </c>
      <c r="O6376">
        <v>-0.87074300000000004</v>
      </c>
      <c r="P6376">
        <v>0.31888159999999999</v>
      </c>
      <c r="Q6376">
        <v>0.40393829999999997</v>
      </c>
      <c r="R6376">
        <v>-0.8574079</v>
      </c>
      <c r="S6376">
        <v>0.93441770000000002</v>
      </c>
      <c r="T6376">
        <v>-0.64172209999999996</v>
      </c>
      <c r="U6376">
        <v>-3.4586489999999999</v>
      </c>
      <c r="V6376">
        <v>0.1571534</v>
      </c>
      <c r="W6376">
        <v>0.41405170000000002</v>
      </c>
      <c r="X6376">
        <v>0.89658459999999995</v>
      </c>
      <c r="Y6376">
        <v>0.24926699999999999</v>
      </c>
      <c r="Z6376">
        <v>0.12747749999999999</v>
      </c>
      <c r="AA6376">
        <v>0.96000810000000003</v>
      </c>
      <c r="AB6376">
        <v>28</v>
      </c>
      <c r="AC6376">
        <v>8.38999999999714E-2</v>
      </c>
      <c r="AD6376">
        <v>-0.143541</v>
      </c>
      <c r="AE6376">
        <v>-0.52711699999999995</v>
      </c>
      <c r="AF6376">
        <v>0.173479551999036</v>
      </c>
      <c r="AG6376">
        <v>-0.143541</v>
      </c>
      <c r="AH6376">
        <v>0.466544225497385</v>
      </c>
      <c r="AI6376">
        <v>106.08637688042499</v>
      </c>
      <c r="AJ6376">
        <v>69.602879584224496</v>
      </c>
      <c r="AK6376">
        <v>0.51803734227152098</v>
      </c>
      <c r="AL6376">
        <v>65.540387598450195</v>
      </c>
      <c r="AM6376">
        <v>80.058185946184096</v>
      </c>
      <c r="AN6376">
        <v>0.99999997318080402</v>
      </c>
    </row>
    <row r="6377" spans="1:40" x14ac:dyDescent="0.25">
      <c r="A6377" t="str">
        <f>"20190304165011113"</f>
        <v>20190304165011113</v>
      </c>
      <c r="B6377" t="str">
        <f>"1551689411102104"</f>
        <v>1551689411102104</v>
      </c>
      <c r="C6377" t="s">
        <v>40</v>
      </c>
      <c r="D6377">
        <v>5.1854809999999896</v>
      </c>
      <c r="E6377">
        <v>0.56504790000000005</v>
      </c>
      <c r="F6377" t="s">
        <v>41</v>
      </c>
      <c r="G6377">
        <v>-303.25139999999999</v>
      </c>
      <c r="H6377">
        <v>0.91005849999999999</v>
      </c>
      <c r="I6377">
        <v>3.4462959999999998</v>
      </c>
      <c r="J6377">
        <v>-303.31610000000001</v>
      </c>
      <c r="K6377">
        <v>1.0477970000000001</v>
      </c>
      <c r="L6377">
        <v>3.9488219999999998</v>
      </c>
      <c r="M6377">
        <v>0.47588989999999998</v>
      </c>
      <c r="N6377">
        <v>-1.66683E-2</v>
      </c>
      <c r="O6377">
        <v>-0.87934699999999999</v>
      </c>
      <c r="P6377">
        <v>0.30435889999999999</v>
      </c>
      <c r="Q6377">
        <v>0.40428190000000003</v>
      </c>
      <c r="R6377">
        <v>-0.86250939999999998</v>
      </c>
      <c r="S6377">
        <v>0.86770630000000004</v>
      </c>
      <c r="T6377">
        <v>-0.62738439999999995</v>
      </c>
      <c r="U6377">
        <v>-3.4717709999999999</v>
      </c>
      <c r="V6377">
        <v>0.15636539999999999</v>
      </c>
      <c r="W6377">
        <v>0.41443059999999998</v>
      </c>
      <c r="X6377">
        <v>0.89654739999999999</v>
      </c>
      <c r="Y6377">
        <v>0.25016909999999998</v>
      </c>
      <c r="Z6377">
        <v>0.1261409</v>
      </c>
      <c r="AA6377">
        <v>0.95994999999999997</v>
      </c>
      <c r="AB6377">
        <v>28</v>
      </c>
      <c r="AC6377">
        <v>6.4700000000016106E-2</v>
      </c>
      <c r="AD6377">
        <v>-0.13773850000000001</v>
      </c>
      <c r="AE6377">
        <v>-0.50252600000000003</v>
      </c>
      <c r="AF6377">
        <v>0.16973492886469799</v>
      </c>
      <c r="AG6377">
        <v>-0.13773850000000001</v>
      </c>
      <c r="AH6377">
        <v>0.44021767192474498</v>
      </c>
      <c r="AI6377">
        <v>106.27455358418899</v>
      </c>
      <c r="AJ6377">
        <v>68.914834381869497</v>
      </c>
      <c r="AK6377">
        <v>0.49150120969718503</v>
      </c>
      <c r="AL6377">
        <v>65.516537544594996</v>
      </c>
      <c r="AM6377">
        <v>80.106646601233805</v>
      </c>
      <c r="AN6377">
        <v>1.0000000504901301</v>
      </c>
    </row>
    <row r="6378" spans="1:40" x14ac:dyDescent="0.25">
      <c r="A6378" t="str">
        <f>"20190304165011136"</f>
        <v>20190304165011136</v>
      </c>
      <c r="B6378" t="str">
        <f>"1551689411132361"</f>
        <v>1551689411132361</v>
      </c>
      <c r="C6378" t="s">
        <v>40</v>
      </c>
      <c r="D6378">
        <v>5.1182910000000001</v>
      </c>
      <c r="E6378">
        <v>0.56485490000000005</v>
      </c>
      <c r="F6378" t="s">
        <v>41</v>
      </c>
      <c r="G6378">
        <v>-303.14490000000001</v>
      </c>
      <c r="H6378">
        <v>0.91493360000000001</v>
      </c>
      <c r="I6378">
        <v>3.213943</v>
      </c>
      <c r="J6378">
        <v>-303.19529999999997</v>
      </c>
      <c r="K6378">
        <v>1.0477099999999999</v>
      </c>
      <c r="L6378">
        <v>3.6880190000000002</v>
      </c>
      <c r="M6378">
        <v>0.46001940000000002</v>
      </c>
      <c r="N6378">
        <v>-1.6714710000000001E-2</v>
      </c>
      <c r="O6378">
        <v>-0.88775149999999903</v>
      </c>
      <c r="P6378">
        <v>0.28969099999999998</v>
      </c>
      <c r="Q6378">
        <v>0.4045261</v>
      </c>
      <c r="R6378">
        <v>-0.86743189999999903</v>
      </c>
      <c r="S6378">
        <v>0.81259159999999997</v>
      </c>
      <c r="T6378">
        <v>-0.62944449999999996</v>
      </c>
      <c r="U6378">
        <v>-3.486542</v>
      </c>
      <c r="V6378">
        <v>0.15550259999999999</v>
      </c>
      <c r="W6378">
        <v>0.41471570000000002</v>
      </c>
      <c r="X6378">
        <v>0.89656559999999896</v>
      </c>
      <c r="Y6378">
        <v>0.24812600000000001</v>
      </c>
      <c r="Z6378">
        <v>0.128279</v>
      </c>
      <c r="AA6378">
        <v>0.96019690000000002</v>
      </c>
      <c r="AB6378">
        <v>28</v>
      </c>
      <c r="AC6378">
        <v>5.0399999999967797E-2</v>
      </c>
      <c r="AD6378">
        <v>-0.13277639999999999</v>
      </c>
      <c r="AE6378">
        <v>-0.474076</v>
      </c>
      <c r="AF6378">
        <v>0.16088656501378601</v>
      </c>
      <c r="AG6378">
        <v>-0.13277639999999999</v>
      </c>
      <c r="AH6378">
        <v>0.412141057544478</v>
      </c>
      <c r="AI6378">
        <v>106.70485818793</v>
      </c>
      <c r="AJ6378">
        <v>68.675931346462093</v>
      </c>
      <c r="AK6378">
        <v>0.46192457231974199</v>
      </c>
      <c r="AL6378">
        <v>65.498586558263895</v>
      </c>
      <c r="AM6378">
        <v>80.160362500459001</v>
      </c>
      <c r="AN6378">
        <v>1.0000000227682999</v>
      </c>
    </row>
    <row r="6379" spans="1:40" x14ac:dyDescent="0.25">
      <c r="A6379" t="str">
        <f>"20190304165011159"</f>
        <v>20190304165011159</v>
      </c>
      <c r="B6379" t="str">
        <f>"1551689411151898"</f>
        <v>1551689411151898</v>
      </c>
      <c r="C6379" t="s">
        <v>40</v>
      </c>
      <c r="D6379">
        <v>5.1644230000000002</v>
      </c>
      <c r="E6379">
        <v>0.56476249999999995</v>
      </c>
      <c r="F6379" t="s">
        <v>41</v>
      </c>
      <c r="G6379">
        <v>-302.99189999999999</v>
      </c>
      <c r="H6379">
        <v>0.87747799999999998</v>
      </c>
      <c r="I6379">
        <v>2.7432159999999999</v>
      </c>
      <c r="J6379">
        <v>-303.07459999999998</v>
      </c>
      <c r="K6379">
        <v>1.047625</v>
      </c>
      <c r="L6379">
        <v>3.4125670000000001</v>
      </c>
      <c r="M6379">
        <v>0.44308219999999998</v>
      </c>
      <c r="N6379">
        <v>-1.6763420000000001E-2</v>
      </c>
      <c r="O6379">
        <v>-0.89632449999999997</v>
      </c>
      <c r="P6379">
        <v>0.27463650000000001</v>
      </c>
      <c r="Q6379">
        <v>0.405026</v>
      </c>
      <c r="R6379">
        <v>-0.87208289999999999</v>
      </c>
      <c r="S6379">
        <v>0.75353999999999999</v>
      </c>
      <c r="T6379">
        <v>-0.63043749999999998</v>
      </c>
      <c r="U6379">
        <v>-3.5008240000000002</v>
      </c>
      <c r="V6379">
        <v>0.15398789999999901</v>
      </c>
      <c r="W6379">
        <v>0.41527969999999997</v>
      </c>
      <c r="X6379">
        <v>0.89656599999999997</v>
      </c>
      <c r="Y6379">
        <v>0.24606449999999999</v>
      </c>
      <c r="Z6379">
        <v>0.13024469999999999</v>
      </c>
      <c r="AA6379">
        <v>0.9604627</v>
      </c>
      <c r="AB6379">
        <v>28</v>
      </c>
      <c r="AC6379">
        <v>8.2699999999988394E-2</v>
      </c>
      <c r="AD6379">
        <v>-0.17014699999999899</v>
      </c>
      <c r="AE6379">
        <v>-0.66935099999999903</v>
      </c>
      <c r="AF6379">
        <v>0.20917014815555299</v>
      </c>
      <c r="AG6379">
        <v>-0.17014699999999899</v>
      </c>
      <c r="AH6379">
        <v>0.59859086855903898</v>
      </c>
      <c r="AI6379">
        <v>105.02061651327899</v>
      </c>
      <c r="AJ6379">
        <v>70.738666113501097</v>
      </c>
      <c r="AK6379">
        <v>0.65651594071330899</v>
      </c>
      <c r="AL6379">
        <v>65.463069484056504</v>
      </c>
      <c r="AM6379">
        <v>80.254364724795806</v>
      </c>
      <c r="AN6379">
        <v>1.0000000474672399</v>
      </c>
    </row>
    <row r="6380" spans="1:40" x14ac:dyDescent="0.25">
      <c r="A6380" t="str">
        <f>"20190304165011180"</f>
        <v>20190304165011180</v>
      </c>
      <c r="B6380" t="str">
        <f>"1551689411172377"</f>
        <v>1551689411172377</v>
      </c>
      <c r="C6380" t="s">
        <v>40</v>
      </c>
      <c r="D6380">
        <v>5.1893900000000004</v>
      </c>
      <c r="E6380">
        <v>0.56518139999999994</v>
      </c>
      <c r="F6380" t="s">
        <v>41</v>
      </c>
      <c r="G6380">
        <v>-302.89690000000002</v>
      </c>
      <c r="H6380">
        <v>0.88534199999999996</v>
      </c>
      <c r="I6380">
        <v>2.5063759999999999</v>
      </c>
      <c r="J6380">
        <v>-302.97039999999998</v>
      </c>
      <c r="K6380">
        <v>1.0475570000000001</v>
      </c>
      <c r="L6380">
        <v>3.1626590000000001</v>
      </c>
      <c r="M6380">
        <v>0.4275736</v>
      </c>
      <c r="N6380">
        <v>-1.6805670000000002E-2</v>
      </c>
      <c r="O6380">
        <v>-0.90382439999999997</v>
      </c>
      <c r="P6380">
        <v>0.26130300000000001</v>
      </c>
      <c r="Q6380">
        <v>0.4054256</v>
      </c>
      <c r="R6380">
        <v>-0.87598560000000003</v>
      </c>
      <c r="S6380">
        <v>0.68984990000000002</v>
      </c>
      <c r="T6380">
        <v>-0.62889229999999996</v>
      </c>
      <c r="U6380">
        <v>-3.5148619999999999</v>
      </c>
      <c r="V6380">
        <v>0.15220889999999901</v>
      </c>
      <c r="W6380">
        <v>0.41575410000000002</v>
      </c>
      <c r="X6380">
        <v>0.8966499</v>
      </c>
      <c r="Y6380">
        <v>0.24686279999999999</v>
      </c>
      <c r="Z6380">
        <v>0.1313154</v>
      </c>
      <c r="AA6380">
        <v>0.96011199999999997</v>
      </c>
      <c r="AB6380">
        <v>28</v>
      </c>
      <c r="AC6380">
        <v>7.3499999999967203E-2</v>
      </c>
      <c r="AD6380">
        <v>-0.162215</v>
      </c>
      <c r="AE6380">
        <v>-0.65628299999999995</v>
      </c>
      <c r="AF6380">
        <v>0.20201912414855999</v>
      </c>
      <c r="AG6380">
        <v>-0.162215</v>
      </c>
      <c r="AH6380">
        <v>0.58913270316079303</v>
      </c>
      <c r="AI6380">
        <v>104.59877849808601</v>
      </c>
      <c r="AJ6380">
        <v>71.072677985503702</v>
      </c>
      <c r="AK6380">
        <v>0.643585872032858</v>
      </c>
      <c r="AL6380">
        <v>65.433186107976198</v>
      </c>
      <c r="AM6380">
        <v>80.365716657597901</v>
      </c>
      <c r="AN6380">
        <v>1.00000003203801</v>
      </c>
    </row>
    <row r="6381" spans="1:40" x14ac:dyDescent="0.25">
      <c r="A6381" t="str">
        <f>"20190304165011203"</f>
        <v>20190304165011203</v>
      </c>
      <c r="B6381" t="str">
        <f>"1551689411191896"</f>
        <v>1551689411191896</v>
      </c>
      <c r="C6381" t="s">
        <v>40</v>
      </c>
      <c r="D6381">
        <v>5.3004889999999998</v>
      </c>
      <c r="E6381">
        <v>0.56494029999999995</v>
      </c>
      <c r="F6381" t="s">
        <v>41</v>
      </c>
      <c r="G6381">
        <v>-302.81130000000002</v>
      </c>
      <c r="H6381">
        <v>0.88956499999999905</v>
      </c>
      <c r="I6381">
        <v>2.267299</v>
      </c>
      <c r="J6381">
        <v>-302.86500000000001</v>
      </c>
      <c r="K6381">
        <v>1.047499</v>
      </c>
      <c r="L6381">
        <v>2.89621</v>
      </c>
      <c r="M6381">
        <v>0.41090460000000001</v>
      </c>
      <c r="N6381">
        <v>-1.6847250000000001E-2</v>
      </c>
      <c r="O6381">
        <v>-0.91152270000000002</v>
      </c>
      <c r="P6381">
        <v>0.24749399999999999</v>
      </c>
      <c r="Q6381">
        <v>0.40672239999999998</v>
      </c>
      <c r="R6381">
        <v>-0.87938850000000002</v>
      </c>
      <c r="S6381">
        <v>0.62652589999999997</v>
      </c>
      <c r="T6381">
        <v>-0.62167989999999995</v>
      </c>
      <c r="U6381">
        <v>-3.5255429999999999</v>
      </c>
      <c r="V6381">
        <v>0.14969079999999901</v>
      </c>
      <c r="W6381">
        <v>0.4171475</v>
      </c>
      <c r="X6381">
        <v>0.89642659999999996</v>
      </c>
      <c r="Y6381">
        <v>0.24626919999999999</v>
      </c>
      <c r="Z6381">
        <v>0.1312692</v>
      </c>
      <c r="AA6381">
        <v>0.96027070000000003</v>
      </c>
      <c r="AB6381">
        <v>28</v>
      </c>
      <c r="AC6381">
        <v>5.3699999999991997E-2</v>
      </c>
      <c r="AD6381">
        <v>-0.15793399999999999</v>
      </c>
      <c r="AE6381">
        <v>-0.628911</v>
      </c>
      <c r="AF6381">
        <v>0.19715992800082499</v>
      </c>
      <c r="AG6381">
        <v>-0.15793399999999999</v>
      </c>
      <c r="AH6381">
        <v>0.56033614432281798</v>
      </c>
      <c r="AI6381">
        <v>104.88918927094799</v>
      </c>
      <c r="AJ6381">
        <v>70.615064141738898</v>
      </c>
      <c r="AK6381">
        <v>0.61464768786667801</v>
      </c>
      <c r="AL6381">
        <v>65.345372510241603</v>
      </c>
      <c r="AM6381">
        <v>80.519870059316403</v>
      </c>
      <c r="AN6381">
        <v>1.00000001077422</v>
      </c>
    </row>
    <row r="6382" spans="1:40" x14ac:dyDescent="0.25">
      <c r="A6382" t="str">
        <f>"20190304165011226"</f>
        <v>20190304165011226</v>
      </c>
      <c r="B6382" t="str">
        <f>"1551689411222153"</f>
        <v>1551689411222153</v>
      </c>
      <c r="C6382" t="s">
        <v>40</v>
      </c>
      <c r="D6382">
        <v>4.9820169999999999</v>
      </c>
      <c r="E6382">
        <v>0.56477999999999995</v>
      </c>
      <c r="F6382" t="s">
        <v>41</v>
      </c>
      <c r="G6382">
        <v>-302.72559999999999</v>
      </c>
      <c r="H6382">
        <v>0.89558599999999999</v>
      </c>
      <c r="I6382">
        <v>2.0284309999999999</v>
      </c>
      <c r="J6382">
        <v>-302.76240000000001</v>
      </c>
      <c r="K6382">
        <v>1.047461</v>
      </c>
      <c r="L6382">
        <v>2.6221009999999998</v>
      </c>
      <c r="M6382">
        <v>0.39362619999999998</v>
      </c>
      <c r="N6382">
        <v>-1.6885560000000001E-2</v>
      </c>
      <c r="O6382">
        <v>-0.91911549999999997</v>
      </c>
      <c r="P6382">
        <v>0.23334450000000001</v>
      </c>
      <c r="Q6382">
        <v>0.40852509999999997</v>
      </c>
      <c r="R6382">
        <v>-0.88241569999999903</v>
      </c>
      <c r="S6382">
        <v>0.56811519999999904</v>
      </c>
      <c r="T6382">
        <v>-0.61862729999999999</v>
      </c>
      <c r="U6382">
        <v>-3.5376889999999999</v>
      </c>
      <c r="V6382">
        <v>0.146929799999999</v>
      </c>
      <c r="W6382">
        <v>0.41905330000000002</v>
      </c>
      <c r="X6382">
        <v>0.89599439999999997</v>
      </c>
      <c r="Y6382">
        <v>0.24396880000000001</v>
      </c>
      <c r="Z6382">
        <v>0.13208549999999999</v>
      </c>
      <c r="AA6382">
        <v>0.96074590000000004</v>
      </c>
      <c r="AB6382">
        <v>28</v>
      </c>
      <c r="AC6382">
        <v>3.6800000000027901E-2</v>
      </c>
      <c r="AD6382">
        <v>-0.15187499999999901</v>
      </c>
      <c r="AE6382">
        <v>-0.59366999999999903</v>
      </c>
      <c r="AF6382">
        <v>0.187654881662633</v>
      </c>
      <c r="AG6382">
        <v>-0.15187499999999901</v>
      </c>
      <c r="AH6382">
        <v>0.52592850189352203</v>
      </c>
      <c r="AI6382">
        <v>105.215283778174</v>
      </c>
      <c r="AJ6382">
        <v>70.363252752806901</v>
      </c>
      <c r="AK6382">
        <v>0.57868917333987002</v>
      </c>
      <c r="AL6382">
        <v>65.225167207078101</v>
      </c>
      <c r="AM6382">
        <v>80.687228160754799</v>
      </c>
      <c r="AN6382">
        <v>0.99999999960014396</v>
      </c>
    </row>
    <row r="6383" spans="1:40" x14ac:dyDescent="0.25">
      <c r="A6383" t="str">
        <f>"20190304165011247"</f>
        <v>20190304165011247</v>
      </c>
      <c r="B6383" t="str">
        <f>"1551689411241672"</f>
        <v>1551689411241672</v>
      </c>
      <c r="C6383" t="s">
        <v>40</v>
      </c>
      <c r="D6383">
        <v>4.6753479999999996</v>
      </c>
      <c r="E6383">
        <v>0.56550529999999999</v>
      </c>
      <c r="F6383" t="s">
        <v>41</v>
      </c>
      <c r="G6383">
        <v>-302.64260000000002</v>
      </c>
      <c r="H6383">
        <v>0.90329530000000002</v>
      </c>
      <c r="I6383">
        <v>1.7881209999999901</v>
      </c>
      <c r="J6383">
        <v>-302.66930000000002</v>
      </c>
      <c r="K6383">
        <v>1.0474410000000001</v>
      </c>
      <c r="L6383">
        <v>2.3584589999999999</v>
      </c>
      <c r="M6383">
        <v>0.37689909999999999</v>
      </c>
      <c r="N6383">
        <v>-1.6918030000000001E-2</v>
      </c>
      <c r="O6383">
        <v>-0.92610000000000003</v>
      </c>
      <c r="P6383">
        <v>0.22006100000000001</v>
      </c>
      <c r="Q6383">
        <v>0.40989049999999999</v>
      </c>
      <c r="R6383">
        <v>-0.88519110000000001</v>
      </c>
      <c r="S6383">
        <v>0.50964359999999997</v>
      </c>
      <c r="T6383">
        <v>-0.61281090000000005</v>
      </c>
      <c r="U6383">
        <v>-3.5486759999999999</v>
      </c>
      <c r="V6383">
        <v>0.1439733</v>
      </c>
      <c r="W6383">
        <v>0.42053220000000002</v>
      </c>
      <c r="X6383">
        <v>0.89578150000000001</v>
      </c>
      <c r="Y6383">
        <v>0.24232229999999999</v>
      </c>
      <c r="Z6383">
        <v>0.13210629999999901</v>
      </c>
      <c r="AA6383">
        <v>0.9611596</v>
      </c>
      <c r="AB6383">
        <v>28</v>
      </c>
      <c r="AC6383">
        <v>2.6700000000005199E-2</v>
      </c>
      <c r="AD6383">
        <v>-0.14414569999999899</v>
      </c>
      <c r="AE6383">
        <v>-0.57033800000000001</v>
      </c>
      <c r="AF6383">
        <v>0.17886028139308299</v>
      </c>
      <c r="AG6383">
        <v>-0.14414569999999899</v>
      </c>
      <c r="AH6383">
        <v>0.50607475715433603</v>
      </c>
      <c r="AI6383">
        <v>105.03220881518</v>
      </c>
      <c r="AJ6383">
        <v>70.535236951662796</v>
      </c>
      <c r="AK6383">
        <v>0.55577031489395301</v>
      </c>
      <c r="AL6383">
        <v>65.131809776946795</v>
      </c>
      <c r="AM6383">
        <v>80.869298765470504</v>
      </c>
      <c r="AN6383">
        <v>1.00000006904598</v>
      </c>
    </row>
    <row r="6384" spans="1:40" x14ac:dyDescent="0.25">
      <c r="A6384" t="str">
        <f>"20190304165011270"</f>
        <v>20190304165011270</v>
      </c>
      <c r="B6384" t="str">
        <f>"1551689411262169"</f>
        <v>1551689411262169</v>
      </c>
      <c r="C6384" t="s">
        <v>40</v>
      </c>
      <c r="D6384">
        <v>4.9631169999999996</v>
      </c>
      <c r="E6384">
        <v>0.56535970000000002</v>
      </c>
      <c r="F6384" t="s">
        <v>41</v>
      </c>
      <c r="G6384">
        <v>-302.56700000000001</v>
      </c>
      <c r="H6384">
        <v>0.91039289999999995</v>
      </c>
      <c r="I6384">
        <v>1.5456529999999999</v>
      </c>
      <c r="J6384">
        <v>-302.57830000000001</v>
      </c>
      <c r="K6384">
        <v>1.0474129999999999</v>
      </c>
      <c r="L6384">
        <v>2.0846559999999998</v>
      </c>
      <c r="M6384">
        <v>0.35943120000000001</v>
      </c>
      <c r="N6384">
        <v>-1.6946880000000001E-2</v>
      </c>
      <c r="O6384">
        <v>-0.93301780000000001</v>
      </c>
      <c r="P6384">
        <v>0.2074648</v>
      </c>
      <c r="Q6384">
        <v>0.40950039999999999</v>
      </c>
      <c r="R6384">
        <v>-0.88840730000000001</v>
      </c>
      <c r="S6384">
        <v>0.44760129999999998</v>
      </c>
      <c r="T6384">
        <v>-0.59852079999999996</v>
      </c>
      <c r="U6384">
        <v>-3.5549620000000002</v>
      </c>
      <c r="V6384">
        <v>0.1399117</v>
      </c>
      <c r="W6384">
        <v>0.42030889999999999</v>
      </c>
      <c r="X6384">
        <v>0.89652949999999998</v>
      </c>
      <c r="Y6384">
        <v>0.24077699999999999</v>
      </c>
      <c r="Z6384">
        <v>0.13023860000000001</v>
      </c>
      <c r="AA6384">
        <v>0.96180270000000001</v>
      </c>
      <c r="AB6384">
        <v>28</v>
      </c>
      <c r="AC6384">
        <v>1.1300000000005601E-2</v>
      </c>
      <c r="AD6384">
        <v>-0.13702009999999901</v>
      </c>
      <c r="AE6384">
        <v>-0.53900300000000001</v>
      </c>
      <c r="AF6384">
        <v>0.172100919189588</v>
      </c>
      <c r="AG6384">
        <v>-0.13702009999999901</v>
      </c>
      <c r="AH6384">
        <v>0.47626936138620801</v>
      </c>
      <c r="AI6384">
        <v>105.140084958134</v>
      </c>
      <c r="AJ6384">
        <v>70.132573317919906</v>
      </c>
      <c r="AK6384">
        <v>0.52461961342017804</v>
      </c>
      <c r="AL6384">
        <v>65.145908823569698</v>
      </c>
      <c r="AM6384">
        <v>81.130011196743197</v>
      </c>
      <c r="AN6384">
        <v>0.999999999793175</v>
      </c>
    </row>
    <row r="6385" spans="1:40" x14ac:dyDescent="0.25">
      <c r="A6385" t="str">
        <f>"20190304165011293"</f>
        <v>20190304165011293</v>
      </c>
      <c r="B6385" t="str">
        <f>"1551689411281689"</f>
        <v>1551689411281689</v>
      </c>
      <c r="C6385" t="s">
        <v>40</v>
      </c>
      <c r="D6385">
        <v>4.943562</v>
      </c>
      <c r="E6385">
        <v>0.56518239999999997</v>
      </c>
      <c r="F6385" t="s">
        <v>41</v>
      </c>
      <c r="G6385">
        <v>-302.49149999999997</v>
      </c>
      <c r="H6385">
        <v>0.91559669999999904</v>
      </c>
      <c r="I6385">
        <v>1.3049580000000001</v>
      </c>
      <c r="J6385">
        <v>-302.49250000000001</v>
      </c>
      <c r="K6385">
        <v>1.0473779999999999</v>
      </c>
      <c r="L6385">
        <v>1.8091740000000001</v>
      </c>
      <c r="M6385">
        <v>0.34177950000000001</v>
      </c>
      <c r="N6385">
        <v>-1.697036E-2</v>
      </c>
      <c r="O6385">
        <v>-0.9396272</v>
      </c>
      <c r="P6385">
        <v>0.1953561</v>
      </c>
      <c r="Q6385">
        <v>0.4067172</v>
      </c>
      <c r="R6385">
        <v>-0.8924223</v>
      </c>
      <c r="S6385">
        <v>0.39672849999999998</v>
      </c>
      <c r="T6385">
        <v>-0.60148919999999995</v>
      </c>
      <c r="U6385">
        <v>-3.5614319999999999</v>
      </c>
      <c r="V6385">
        <v>0.13552719999999999</v>
      </c>
      <c r="W6385">
        <v>0.41772110000000001</v>
      </c>
      <c r="X6385">
        <v>0.8984105</v>
      </c>
      <c r="Y6385">
        <v>0.2362765</v>
      </c>
      <c r="Z6385">
        <v>0.1324234</v>
      </c>
      <c r="AA6385">
        <v>0.96262009999999998</v>
      </c>
      <c r="AB6385">
        <v>28</v>
      </c>
      <c r="AC6385">
        <v>1.0000000000331901E-3</v>
      </c>
      <c r="AD6385">
        <v>-0.13178129999999999</v>
      </c>
      <c r="AE6385">
        <v>-0.504216</v>
      </c>
      <c r="AF6385">
        <v>0.16045530060604299</v>
      </c>
      <c r="AG6385">
        <v>-0.13178129999999999</v>
      </c>
      <c r="AH6385">
        <v>0.44386538619052401</v>
      </c>
      <c r="AI6385">
        <v>105.60032944672901</v>
      </c>
      <c r="AJ6385">
        <v>70.125309263780906</v>
      </c>
      <c r="AK6385">
        <v>0.49002928032958198</v>
      </c>
      <c r="AL6385">
        <v>65.309205161965593</v>
      </c>
      <c r="AM6385">
        <v>81.421487376654397</v>
      </c>
      <c r="AN6385">
        <v>0.99999998291764902</v>
      </c>
    </row>
    <row r="6386" spans="1:40" x14ac:dyDescent="0.25">
      <c r="A6386" t="str">
        <f>"20190304165011318"</f>
        <v>20190304165011318</v>
      </c>
      <c r="B6386" t="str">
        <f>"1551689411311945"</f>
        <v>1551689411311945</v>
      </c>
      <c r="C6386" t="s">
        <v>40</v>
      </c>
      <c r="D6386">
        <v>4.9945680000000001</v>
      </c>
      <c r="E6386">
        <v>0.56503780000000003</v>
      </c>
      <c r="F6386" t="s">
        <v>41</v>
      </c>
      <c r="G6386">
        <v>-302.41980000000001</v>
      </c>
      <c r="H6386">
        <v>0.91884030000000005</v>
      </c>
      <c r="I6386">
        <v>1.0642959999999999</v>
      </c>
      <c r="J6386">
        <v>-302.40640000000002</v>
      </c>
      <c r="K6386">
        <v>1.047377</v>
      </c>
      <c r="L6386">
        <v>1.5112300000000001</v>
      </c>
      <c r="M6386">
        <v>0.3226349</v>
      </c>
      <c r="N6386">
        <v>-1.698827E-2</v>
      </c>
      <c r="O6386">
        <v>-0.94637099999999996</v>
      </c>
      <c r="P6386">
        <v>0.1821197</v>
      </c>
      <c r="Q6386">
        <v>0.40379779999999998</v>
      </c>
      <c r="R6386">
        <v>-0.89653780000000005</v>
      </c>
      <c r="S6386">
        <v>0.34808349999999999</v>
      </c>
      <c r="T6386">
        <v>-0.61451420000000001</v>
      </c>
      <c r="U6386">
        <v>-3.5654910000000002</v>
      </c>
      <c r="V6386">
        <v>0.13087190000000001</v>
      </c>
      <c r="W6386">
        <v>0.41500890000000001</v>
      </c>
      <c r="X6386">
        <v>0.90035560000000003</v>
      </c>
      <c r="Y6386">
        <v>0.2297225</v>
      </c>
      <c r="Z6386">
        <v>0.137242899999999</v>
      </c>
      <c r="AA6386">
        <v>0.96353100000000003</v>
      </c>
      <c r="AB6386">
        <v>28</v>
      </c>
      <c r="AC6386">
        <v>-1.339999999999E-2</v>
      </c>
      <c r="AD6386">
        <v>-0.128536699999999</v>
      </c>
      <c r="AE6386">
        <v>-0.446934</v>
      </c>
      <c r="AF6386">
        <v>0.14492433633858801</v>
      </c>
      <c r="AG6386">
        <v>-0.128536699999999</v>
      </c>
      <c r="AH6386">
        <v>0.386743018481849</v>
      </c>
      <c r="AI6386">
        <v>107.287344329166</v>
      </c>
      <c r="AJ6386">
        <v>69.457502360168405</v>
      </c>
      <c r="AK6386">
        <v>0.43254469000846801</v>
      </c>
      <c r="AL6386">
        <v>65.480123663908401</v>
      </c>
      <c r="AM6386">
        <v>81.729648259725593</v>
      </c>
      <c r="AN6386">
        <v>1.0000000238700799</v>
      </c>
    </row>
    <row r="6387" spans="1:40" x14ac:dyDescent="0.25">
      <c r="A6387" t="str">
        <f>"20190304165011339"</f>
        <v>20190304165011339</v>
      </c>
      <c r="B6387" t="str">
        <f>"1551689411332440"</f>
        <v>1551689411332440</v>
      </c>
      <c r="C6387" t="s">
        <v>40</v>
      </c>
      <c r="D6387">
        <v>5.0179720000000003</v>
      </c>
      <c r="E6387">
        <v>0.56560889999999997</v>
      </c>
      <c r="F6387" t="s">
        <v>41</v>
      </c>
      <c r="G6387">
        <v>-302.33080000000001</v>
      </c>
      <c r="H6387">
        <v>0.88443419999999895</v>
      </c>
      <c r="I6387">
        <v>0.58523849999999999</v>
      </c>
      <c r="J6387">
        <v>-302.3372</v>
      </c>
      <c r="K6387">
        <v>1.047466</v>
      </c>
      <c r="L6387">
        <v>1.2534479999999999</v>
      </c>
      <c r="M6387">
        <v>0.30598449999999999</v>
      </c>
      <c r="N6387">
        <v>-1.7062859999999999E-2</v>
      </c>
      <c r="O6387">
        <v>-0.9518837</v>
      </c>
      <c r="P6387">
        <v>0.1721829</v>
      </c>
      <c r="Q6387">
        <v>0.40073059999999999</v>
      </c>
      <c r="R6387">
        <v>-0.89987129999999904</v>
      </c>
      <c r="S6387">
        <v>0.29187010000000002</v>
      </c>
      <c r="T6387">
        <v>-0.62685100000000005</v>
      </c>
      <c r="U6387">
        <v>-3.5692439999999999</v>
      </c>
      <c r="V6387">
        <v>0.12523389999999901</v>
      </c>
      <c r="W6387">
        <v>0.41225519999999999</v>
      </c>
      <c r="X6387">
        <v>0.90242020000000001</v>
      </c>
      <c r="Y6387">
        <v>0.22784099999999999</v>
      </c>
      <c r="Z6387">
        <v>0.14150589999999999</v>
      </c>
      <c r="AA6387">
        <v>0.96336109999999997</v>
      </c>
      <c r="AB6387">
        <v>27</v>
      </c>
      <c r="AC6387">
        <v>6.39999999998508E-3</v>
      </c>
      <c r="AD6387">
        <v>-0.1630318</v>
      </c>
      <c r="AE6387">
        <v>-0.66820949999999901</v>
      </c>
      <c r="AF6387">
        <v>0.18725283911289101</v>
      </c>
      <c r="AG6387">
        <v>-0.1630318</v>
      </c>
      <c r="AH6387">
        <v>0.60226091468538301</v>
      </c>
      <c r="AI6387">
        <v>104.49334311790101</v>
      </c>
      <c r="AJ6387">
        <v>72.728670015802393</v>
      </c>
      <c r="AK6387">
        <v>0.65143012129065103</v>
      </c>
      <c r="AL6387">
        <v>65.653419372927203</v>
      </c>
      <c r="AM6387">
        <v>82.099205821659197</v>
      </c>
      <c r="AN6387">
        <v>1.0000000485021401</v>
      </c>
    </row>
    <row r="6388" spans="1:40" x14ac:dyDescent="0.25">
      <c r="A6388" t="str">
        <f>"20190304165011361"</f>
        <v>20190304165011361</v>
      </c>
      <c r="B6388" t="str">
        <f>"1551689411351961"</f>
        <v>1551689411351961</v>
      </c>
      <c r="C6388" t="s">
        <v>40</v>
      </c>
      <c r="D6388">
        <v>4.8722000000000003</v>
      </c>
      <c r="E6388">
        <v>0.56558050000000004</v>
      </c>
      <c r="F6388" t="s">
        <v>41</v>
      </c>
      <c r="G6388">
        <v>-302.27620000000002</v>
      </c>
      <c r="H6388">
        <v>0.88659169999999998</v>
      </c>
      <c r="I6388">
        <v>0.34295750000000003</v>
      </c>
      <c r="J6388">
        <v>-302.26949999999999</v>
      </c>
      <c r="K6388">
        <v>1.047944</v>
      </c>
      <c r="L6388">
        <v>0.98480219999999896</v>
      </c>
      <c r="M6388">
        <v>0.288043099999999</v>
      </c>
      <c r="N6388">
        <v>-1.743958E-2</v>
      </c>
      <c r="O6388">
        <v>-0.9574587</v>
      </c>
      <c r="P6388">
        <v>0.16052159999999999</v>
      </c>
      <c r="Q6388">
        <v>0.3972115</v>
      </c>
      <c r="R6388">
        <v>-0.90357960000000004</v>
      </c>
      <c r="S6388">
        <v>0.2389221</v>
      </c>
      <c r="T6388">
        <v>-0.63044239999999996</v>
      </c>
      <c r="U6388">
        <v>-3.568848</v>
      </c>
      <c r="V6388">
        <v>0.11992940000000001</v>
      </c>
      <c r="W6388">
        <v>0.40937420000000002</v>
      </c>
      <c r="X6388">
        <v>0.90444990000000003</v>
      </c>
      <c r="Y6388">
        <v>0.2237623</v>
      </c>
      <c r="Z6388">
        <v>0.14358360000000001</v>
      </c>
      <c r="AA6388">
        <v>0.96400940000000002</v>
      </c>
      <c r="AB6388">
        <v>27</v>
      </c>
      <c r="AC6388">
        <v>-6.7000000000234598E-3</v>
      </c>
      <c r="AD6388">
        <v>-0.1613523</v>
      </c>
      <c r="AE6388">
        <v>-0.64184469999999905</v>
      </c>
      <c r="AF6388">
        <v>0.179951967923342</v>
      </c>
      <c r="AG6388">
        <v>-0.1613523</v>
      </c>
      <c r="AH6388">
        <v>0.57628785693444695</v>
      </c>
      <c r="AI6388">
        <v>104.96309002012499</v>
      </c>
      <c r="AJ6388">
        <v>72.658474665169805</v>
      </c>
      <c r="AK6388">
        <v>0.62491997049612003</v>
      </c>
      <c r="AL6388">
        <v>65.834469862722301</v>
      </c>
      <c r="AM6388">
        <v>82.446684460733906</v>
      </c>
      <c r="AN6388">
        <v>0.99999995911000406</v>
      </c>
    </row>
    <row r="6389" spans="1:40" x14ac:dyDescent="0.25">
      <c r="A6389" t="str">
        <f>"20190304165011383"</f>
        <v>20190304165011383</v>
      </c>
      <c r="B6389" t="str">
        <f>"1551689411372457"</f>
        <v>1551689411372457</v>
      </c>
      <c r="C6389" t="s">
        <v>40</v>
      </c>
      <c r="D6389">
        <v>5.1770990000000001</v>
      </c>
      <c r="E6389">
        <v>0.56558019999999998</v>
      </c>
      <c r="F6389" t="s">
        <v>41</v>
      </c>
      <c r="G6389">
        <v>-302.22300000000001</v>
      </c>
      <c r="H6389">
        <v>0.8889184</v>
      </c>
      <c r="I6389">
        <v>0.1019983</v>
      </c>
      <c r="J6389">
        <v>-302.20760000000001</v>
      </c>
      <c r="K6389">
        <v>1.0483750000000001</v>
      </c>
      <c r="L6389">
        <v>0.72268679999999996</v>
      </c>
      <c r="M6389">
        <v>0.27035550000000003</v>
      </c>
      <c r="N6389">
        <v>-1.7860560000000001E-2</v>
      </c>
      <c r="O6389">
        <v>-0.96259479999999997</v>
      </c>
      <c r="P6389">
        <v>0.14946029999999999</v>
      </c>
      <c r="Q6389">
        <v>0.39497080000000001</v>
      </c>
      <c r="R6389">
        <v>-0.90645469999999895</v>
      </c>
      <c r="S6389">
        <v>0.1881409</v>
      </c>
      <c r="T6389">
        <v>-0.64242659999999996</v>
      </c>
      <c r="U6389">
        <v>-3.5691220000000001</v>
      </c>
      <c r="V6389">
        <v>0.114401</v>
      </c>
      <c r="W6389">
        <v>0.40774379999999999</v>
      </c>
      <c r="X6389">
        <v>0.90590139999999997</v>
      </c>
      <c r="Y6389">
        <v>0.2194991</v>
      </c>
      <c r="Z6389">
        <v>0.147582399999999</v>
      </c>
      <c r="AA6389">
        <v>0.96438559999999995</v>
      </c>
      <c r="AB6389">
        <v>27</v>
      </c>
      <c r="AC6389">
        <v>-1.53999999999996E-2</v>
      </c>
      <c r="AD6389">
        <v>-0.159456599999999</v>
      </c>
      <c r="AE6389">
        <v>-0.62068849999999998</v>
      </c>
      <c r="AF6389">
        <v>0.17135720732663201</v>
      </c>
      <c r="AG6389">
        <v>-0.159456599999999</v>
      </c>
      <c r="AH6389">
        <v>0.556684698169994</v>
      </c>
      <c r="AI6389">
        <v>105.31036167310801</v>
      </c>
      <c r="AJ6389">
        <v>72.890726605468004</v>
      </c>
      <c r="AK6389">
        <v>0.60389366031029001</v>
      </c>
      <c r="AL6389">
        <v>65.936816824648901</v>
      </c>
      <c r="AM6389">
        <v>82.802549977188406</v>
      </c>
      <c r="AN6389">
        <v>0.99999997088069903</v>
      </c>
    </row>
    <row r="6390" spans="1:40" x14ac:dyDescent="0.25">
      <c r="A6390" t="str">
        <f>"20190304165011407"</f>
        <v>20190304165011407</v>
      </c>
      <c r="B6390" t="str">
        <f>"1551689411401737"</f>
        <v>1551689411401737</v>
      </c>
      <c r="C6390" t="s">
        <v>40</v>
      </c>
      <c r="D6390">
        <v>4.986726</v>
      </c>
      <c r="E6390">
        <v>0.56552630000000004</v>
      </c>
      <c r="F6390" t="s">
        <v>41</v>
      </c>
      <c r="G6390">
        <v>-302.1739</v>
      </c>
      <c r="H6390">
        <v>0.89183880000000004</v>
      </c>
      <c r="I6390">
        <v>-0.13710339999999999</v>
      </c>
      <c r="J6390">
        <v>-302.14490000000001</v>
      </c>
      <c r="K6390">
        <v>1.0486850000000001</v>
      </c>
      <c r="L6390">
        <v>0.4359131</v>
      </c>
      <c r="M6390">
        <v>0.2530444</v>
      </c>
      <c r="N6390">
        <v>-1.8091650000000001E-2</v>
      </c>
      <c r="O6390">
        <v>-0.96728550000000002</v>
      </c>
      <c r="P6390">
        <v>0.13904359999999999</v>
      </c>
      <c r="Q6390">
        <v>0.393988</v>
      </c>
      <c r="R6390">
        <v>-0.90853740000000005</v>
      </c>
      <c r="S6390">
        <v>0.1398315</v>
      </c>
      <c r="T6390">
        <v>-0.64965859999999997</v>
      </c>
      <c r="U6390">
        <v>-3.5696110000000001</v>
      </c>
      <c r="V6390">
        <v>0.1089252</v>
      </c>
      <c r="W6390">
        <v>0.40708670000000002</v>
      </c>
      <c r="X6390">
        <v>0.90687139999999999</v>
      </c>
      <c r="Y6390">
        <v>0.21504380000000001</v>
      </c>
      <c r="Z6390">
        <v>0.15048230000000001</v>
      </c>
      <c r="AA6390">
        <v>0.9649411</v>
      </c>
      <c r="AB6390">
        <v>27</v>
      </c>
      <c r="AC6390">
        <v>-2.89999999999963E-2</v>
      </c>
      <c r="AD6390">
        <v>-0.15684619999999999</v>
      </c>
      <c r="AE6390">
        <v>-0.57301649999999904</v>
      </c>
      <c r="AF6390">
        <v>0.16104324347097901</v>
      </c>
      <c r="AG6390">
        <v>-0.15684619999999999</v>
      </c>
      <c r="AH6390">
        <v>0.50898467922586299</v>
      </c>
      <c r="AI6390">
        <v>106.37277126308</v>
      </c>
      <c r="AJ6390">
        <v>72.442578428601607</v>
      </c>
      <c r="AK6390">
        <v>0.55641806261906002</v>
      </c>
      <c r="AL6390">
        <v>65.978043455147699</v>
      </c>
      <c r="AM6390">
        <v>83.150959033323701</v>
      </c>
      <c r="AN6390">
        <v>1.0000000083249401</v>
      </c>
    </row>
    <row r="6391" spans="1:40" x14ac:dyDescent="0.25">
      <c r="A6391" t="str">
        <f>"20190304165011431"</f>
        <v>20190304165011431</v>
      </c>
      <c r="B6391" t="str">
        <f>"1551689411422233"</f>
        <v>1551689411422233</v>
      </c>
      <c r="C6391" t="s">
        <v>40</v>
      </c>
      <c r="D6391">
        <v>5.0094529999999997</v>
      </c>
      <c r="E6391">
        <v>0.56547250000000004</v>
      </c>
      <c r="F6391" t="s">
        <v>41</v>
      </c>
      <c r="G6391">
        <v>-302.12369999999999</v>
      </c>
      <c r="H6391">
        <v>0.90014490000000003</v>
      </c>
      <c r="I6391">
        <v>-0.3768531</v>
      </c>
      <c r="J6391">
        <v>-302.08879999999999</v>
      </c>
      <c r="K6391">
        <v>1.0489310000000001</v>
      </c>
      <c r="L6391">
        <v>0.15124509999999999</v>
      </c>
      <c r="M6391">
        <v>0.23712639999999999</v>
      </c>
      <c r="N6391">
        <v>-1.7204629999999999E-2</v>
      </c>
      <c r="O6391">
        <v>-0.97132649999999998</v>
      </c>
      <c r="P6391">
        <v>0.1300482</v>
      </c>
      <c r="Q6391">
        <v>0.39501170000000002</v>
      </c>
      <c r="R6391">
        <v>-0.90942480000000003</v>
      </c>
      <c r="S6391">
        <v>9.3353270000000002E-2</v>
      </c>
      <c r="T6391">
        <v>-0.65154669999999903</v>
      </c>
      <c r="U6391">
        <v>-3.5702509999999998</v>
      </c>
      <c r="V6391">
        <v>0.10341789999999899</v>
      </c>
      <c r="W6391">
        <v>0.40736709999999998</v>
      </c>
      <c r="X6391">
        <v>0.90739009999999998</v>
      </c>
      <c r="Y6391">
        <v>0.21159420000000001</v>
      </c>
      <c r="Z6391">
        <v>0.1529394</v>
      </c>
      <c r="AA6391">
        <v>0.96531719999999999</v>
      </c>
      <c r="AB6391">
        <v>27</v>
      </c>
      <c r="AC6391">
        <v>-3.48999999999932E-2</v>
      </c>
      <c r="AD6391">
        <v>-0.1487861</v>
      </c>
      <c r="AE6391">
        <v>-0.52809819999999996</v>
      </c>
      <c r="AF6391">
        <v>0.14749226516232999</v>
      </c>
      <c r="AG6391">
        <v>-0.1487861</v>
      </c>
      <c r="AH6391">
        <v>0.46778480017538998</v>
      </c>
      <c r="AI6391">
        <v>106.87486911853399</v>
      </c>
      <c r="AJ6391">
        <v>72.499968336684603</v>
      </c>
      <c r="AK6391">
        <v>0.51255623214536705</v>
      </c>
      <c r="AL6391">
        <v>65.960453023384801</v>
      </c>
      <c r="AM6391">
        <v>83.4978895567656</v>
      </c>
      <c r="AN6391">
        <v>1.0000000048904101</v>
      </c>
    </row>
    <row r="6392" spans="1:40" x14ac:dyDescent="0.25">
      <c r="A6392" t="str">
        <f>"20190304165011471"</f>
        <v>20190304165011471</v>
      </c>
      <c r="B6392" t="str">
        <f>"1551689411462248"</f>
        <v>1551689411462248</v>
      </c>
      <c r="C6392" t="s">
        <v>40</v>
      </c>
      <c r="D6392">
        <v>5.0257849999999999</v>
      </c>
      <c r="E6392">
        <v>0.56514699999999995</v>
      </c>
      <c r="F6392" t="s">
        <v>41</v>
      </c>
      <c r="G6392">
        <v>-302.07749999999999</v>
      </c>
      <c r="H6392">
        <v>0.90963070000000001</v>
      </c>
      <c r="I6392">
        <v>-0.61871160000000003</v>
      </c>
      <c r="J6392">
        <v>-302.00810000000001</v>
      </c>
      <c r="K6392">
        <v>1.05057</v>
      </c>
      <c r="L6392">
        <v>-0.33557130000000002</v>
      </c>
      <c r="M6392">
        <v>0.2091615</v>
      </c>
      <c r="N6392">
        <v>-1.370712E-2</v>
      </c>
      <c r="O6392">
        <v>-0.97778520000000002</v>
      </c>
      <c r="P6392">
        <v>0.1186074</v>
      </c>
      <c r="Q6392">
        <v>0.39948260000000002</v>
      </c>
      <c r="R6392">
        <v>-0.90903599999999996</v>
      </c>
      <c r="S6392">
        <v>5.2520749999999998E-2</v>
      </c>
      <c r="T6392">
        <v>-0.64560399999999996</v>
      </c>
      <c r="U6392">
        <v>-3.5716860000000001</v>
      </c>
      <c r="V6392">
        <v>8.8556999999999997E-2</v>
      </c>
      <c r="W6392">
        <v>0.4091188</v>
      </c>
      <c r="X6392">
        <v>0.90817369999999997</v>
      </c>
      <c r="Y6392">
        <v>0.19467400000000001</v>
      </c>
      <c r="Z6392">
        <v>0.15681249999999999</v>
      </c>
      <c r="AA6392">
        <v>0.96825190000000005</v>
      </c>
      <c r="AB6392">
        <v>27</v>
      </c>
      <c r="AC6392">
        <v>-6.9399999999973205E-2</v>
      </c>
      <c r="AD6392">
        <v>-0.14093929999999999</v>
      </c>
      <c r="AE6392">
        <v>-0.28314030000000001</v>
      </c>
      <c r="AF6392">
        <v>0.103014264171802</v>
      </c>
      <c r="AG6392">
        <v>-0.14093929999999999</v>
      </c>
      <c r="AH6392">
        <v>0.21265448172332799</v>
      </c>
      <c r="AI6392">
        <v>120.814498138004</v>
      </c>
      <c r="AJ6392">
        <v>64.153484828218396</v>
      </c>
      <c r="AK6392">
        <v>0.27513224730003</v>
      </c>
      <c r="AL6392">
        <v>65.850508844594003</v>
      </c>
      <c r="AM6392">
        <v>84.4306339582226</v>
      </c>
      <c r="AN6392">
        <v>1.0000000020670601</v>
      </c>
    </row>
    <row r="6393" spans="1:40" x14ac:dyDescent="0.25">
      <c r="A6393" t="str">
        <f>"20190304165011493"</f>
        <v>20190304165011493</v>
      </c>
      <c r="B6393" t="str">
        <f>"1551689411481769"</f>
        <v>1551689411481769</v>
      </c>
      <c r="C6393" t="s">
        <v>40</v>
      </c>
      <c r="D6393">
        <v>4.9687760000000001</v>
      </c>
      <c r="E6393">
        <v>0.56497540000000002</v>
      </c>
      <c r="F6393" t="s">
        <v>41</v>
      </c>
      <c r="G6393">
        <v>-302.00880000000001</v>
      </c>
      <c r="H6393">
        <v>0.91705780000000003</v>
      </c>
      <c r="I6393">
        <v>-1.1050279999999999</v>
      </c>
      <c r="J6393">
        <v>-301.96940000000001</v>
      </c>
      <c r="K6393">
        <v>1.0525500000000001</v>
      </c>
      <c r="L6393">
        <v>-0.61236569999999901</v>
      </c>
      <c r="M6393">
        <v>0.19237219999999999</v>
      </c>
      <c r="N6393">
        <v>-1.174938E-2</v>
      </c>
      <c r="O6393">
        <v>-0.98125180000000001</v>
      </c>
      <c r="P6393">
        <v>0.11186459999999999</v>
      </c>
      <c r="Q6393">
        <v>0.40289550000000002</v>
      </c>
      <c r="R6393">
        <v>-0.90838410000000003</v>
      </c>
      <c r="S6393">
        <v>-2.7770999999999998E-3</v>
      </c>
      <c r="T6393">
        <v>-0.61952439999999998</v>
      </c>
      <c r="U6393">
        <v>-3.5728149999999999</v>
      </c>
      <c r="V6393">
        <v>7.8924289999999994E-2</v>
      </c>
      <c r="W6393">
        <v>0.41116180000000002</v>
      </c>
      <c r="X6393">
        <v>0.90813920000000004</v>
      </c>
      <c r="Y6393">
        <v>0.1929014</v>
      </c>
      <c r="Z6393">
        <v>0.15289240000000001</v>
      </c>
      <c r="AA6393">
        <v>0.96923320000000002</v>
      </c>
      <c r="AB6393">
        <v>27</v>
      </c>
      <c r="AC6393">
        <v>-3.9400000000000497E-2</v>
      </c>
      <c r="AD6393">
        <v>-0.13549219999999901</v>
      </c>
      <c r="AE6393">
        <v>-0.4926623</v>
      </c>
      <c r="AF6393">
        <v>0.124116968506185</v>
      </c>
      <c r="AG6393">
        <v>-0.13549219999999901</v>
      </c>
      <c r="AH6393">
        <v>0.44261418572052802</v>
      </c>
      <c r="AI6393">
        <v>106.42281143187</v>
      </c>
      <c r="AJ6393">
        <v>74.335549410961093</v>
      </c>
      <c r="AK6393">
        <v>0.47923947618393398</v>
      </c>
      <c r="AL6393">
        <v>65.722160218131606</v>
      </c>
      <c r="AM6393">
        <v>85.033035517358201</v>
      </c>
      <c r="AN6393">
        <v>0.99999993795394004</v>
      </c>
    </row>
    <row r="6394" spans="1:40" x14ac:dyDescent="0.25">
      <c r="A6394" t="str">
        <f>"20190304165011517"</f>
        <v>20190304165011517</v>
      </c>
      <c r="B6394" t="str">
        <f>"1551689411512025"</f>
        <v>1551689411512025</v>
      </c>
      <c r="C6394" t="s">
        <v>40</v>
      </c>
      <c r="D6394">
        <v>5.028302</v>
      </c>
      <c r="E6394">
        <v>0.55852480000000004</v>
      </c>
      <c r="F6394" t="s">
        <v>41</v>
      </c>
      <c r="G6394">
        <v>-301.97680000000003</v>
      </c>
      <c r="H6394">
        <v>0.92816379999999998</v>
      </c>
      <c r="I6394">
        <v>-1.351558</v>
      </c>
      <c r="J6394">
        <v>-301.93400000000003</v>
      </c>
      <c r="K6394">
        <v>1.0550809999999999</v>
      </c>
      <c r="L6394">
        <v>-0.90075680000000002</v>
      </c>
      <c r="M6394">
        <v>0.17424609999999999</v>
      </c>
      <c r="N6394">
        <v>-9.9205890000000005E-3</v>
      </c>
      <c r="O6394">
        <v>-0.98465230000000004</v>
      </c>
      <c r="P6394">
        <v>0.1048075</v>
      </c>
      <c r="Q6394">
        <v>0.40601280000000001</v>
      </c>
      <c r="R6394">
        <v>-0.90783769999999997</v>
      </c>
      <c r="S6394">
        <v>-3.5644530000000001E-2</v>
      </c>
      <c r="T6394">
        <v>-0.60010529999999995</v>
      </c>
      <c r="U6394">
        <v>-3.5731199999999999</v>
      </c>
      <c r="V6394">
        <v>6.8150920000000004E-2</v>
      </c>
      <c r="W6394">
        <v>0.4130857</v>
      </c>
      <c r="X6394">
        <v>0.90813860000000002</v>
      </c>
      <c r="Y6394">
        <v>0.18376980000000001</v>
      </c>
      <c r="Z6394">
        <v>0.1506304</v>
      </c>
      <c r="AA6394">
        <v>0.97135939999999998</v>
      </c>
      <c r="AB6394">
        <v>27</v>
      </c>
      <c r="AC6394">
        <v>-4.2799999999999699E-2</v>
      </c>
      <c r="AD6394">
        <v>-0.12691719999999901</v>
      </c>
      <c r="AE6394">
        <v>-0.45080119999999901</v>
      </c>
      <c r="AF6394">
        <v>0.111908429641563</v>
      </c>
      <c r="AG6394">
        <v>-0.12691719999999901</v>
      </c>
      <c r="AH6394">
        <v>0.40465821115496697</v>
      </c>
      <c r="AI6394">
        <v>106.81973655143</v>
      </c>
      <c r="AJ6394">
        <v>74.541190514053696</v>
      </c>
      <c r="AK6394">
        <v>0.43861114912393501</v>
      </c>
      <c r="AL6394">
        <v>65.601179166758797</v>
      </c>
      <c r="AM6394">
        <v>85.708304200149797</v>
      </c>
      <c r="AN6394">
        <v>1.00000003012564</v>
      </c>
    </row>
    <row r="6395" spans="1:40" x14ac:dyDescent="0.25">
      <c r="A6395" t="str">
        <f>"20190304165011540"</f>
        <v>20190304165011540</v>
      </c>
      <c r="B6395" t="str">
        <f>"1551689411531544"</f>
        <v>1551689411531544</v>
      </c>
      <c r="C6395" t="s">
        <v>40</v>
      </c>
      <c r="D6395">
        <v>4.9450830000000003</v>
      </c>
      <c r="E6395">
        <v>0.55812399999999995</v>
      </c>
      <c r="F6395" t="s">
        <v>41</v>
      </c>
      <c r="G6395">
        <v>-301.94279999999998</v>
      </c>
      <c r="H6395">
        <v>0.94130329999999995</v>
      </c>
      <c r="I6395">
        <v>-1.844401</v>
      </c>
      <c r="J6395">
        <v>-301.90469999999999</v>
      </c>
      <c r="K6395">
        <v>1.0575129999999999</v>
      </c>
      <c r="L6395">
        <v>-1.1744079999999999</v>
      </c>
      <c r="M6395">
        <v>0.15690660000000001</v>
      </c>
      <c r="N6395">
        <v>-8.2894869999999999E-3</v>
      </c>
      <c r="O6395">
        <v>-0.98757879999999998</v>
      </c>
      <c r="P6395">
        <v>0.100143</v>
      </c>
      <c r="Q6395">
        <v>0.40748610000000002</v>
      </c>
      <c r="R6395">
        <v>-0.90770410000000001</v>
      </c>
      <c r="S6395">
        <v>-3.2348630000000003E-2</v>
      </c>
      <c r="T6395">
        <v>-0.42094239999999999</v>
      </c>
      <c r="U6395">
        <v>-3.4965519999999999</v>
      </c>
      <c r="V6395">
        <v>5.5911250000000003E-2</v>
      </c>
      <c r="W6395">
        <v>0.41354730000000001</v>
      </c>
      <c r="X6395">
        <v>0.90876429999999997</v>
      </c>
      <c r="Y6395">
        <v>0.16589019999999999</v>
      </c>
      <c r="Z6395">
        <v>0.1082378</v>
      </c>
      <c r="AA6395">
        <v>0.98018620000000001</v>
      </c>
      <c r="AB6395">
        <v>27</v>
      </c>
      <c r="AC6395">
        <v>-3.8099999999985798E-2</v>
      </c>
      <c r="AD6395">
        <v>-0.116209699999999</v>
      </c>
      <c r="AE6395">
        <v>-0.66999299999999895</v>
      </c>
      <c r="AF6395">
        <v>0.13860162691806799</v>
      </c>
      <c r="AG6395">
        <v>-0.116209699999999</v>
      </c>
      <c r="AH6395">
        <v>0.63662432584509898</v>
      </c>
      <c r="AI6395">
        <v>100.113059015122</v>
      </c>
      <c r="AJ6395">
        <v>77.717607206442395</v>
      </c>
      <c r="AK6395">
        <v>0.66181994350136697</v>
      </c>
      <c r="AL6395">
        <v>65.572133563025204</v>
      </c>
      <c r="AM6395">
        <v>86.479344747478507</v>
      </c>
      <c r="AN6395">
        <v>0.99999999508417103</v>
      </c>
    </row>
    <row r="6396" spans="1:40" x14ac:dyDescent="0.25">
      <c r="A6396" t="str">
        <f>"20190304165011562"</f>
        <v>20190304165011562</v>
      </c>
      <c r="B6396" t="str">
        <f>"1551689411552041"</f>
        <v>1551689411552041</v>
      </c>
      <c r="C6396" t="s">
        <v>40</v>
      </c>
      <c r="D6396">
        <v>4.9503409999999999</v>
      </c>
      <c r="E6396">
        <v>0.55722890000000003</v>
      </c>
      <c r="F6396" t="s">
        <v>41</v>
      </c>
      <c r="G6396">
        <v>-301.9187</v>
      </c>
      <c r="H6396">
        <v>0.94892719999999997</v>
      </c>
      <c r="I6396">
        <v>-2.0893099999999998</v>
      </c>
      <c r="J6396">
        <v>-301.87799999999999</v>
      </c>
      <c r="K6396">
        <v>1.059933</v>
      </c>
      <c r="L6396">
        <v>-1.4617610000000001</v>
      </c>
      <c r="M6396">
        <v>0.1386221</v>
      </c>
      <c r="N6396">
        <v>-6.7668420000000003E-3</v>
      </c>
      <c r="O6396">
        <v>-0.99032240000000005</v>
      </c>
      <c r="P6396">
        <v>9.5373429999999995E-2</v>
      </c>
      <c r="Q6396">
        <v>0.40800999999999998</v>
      </c>
      <c r="R6396">
        <v>-0.90798239999999997</v>
      </c>
      <c r="S6396">
        <v>-5.3802490000000001E-2</v>
      </c>
      <c r="T6396">
        <v>-0.41499409999999998</v>
      </c>
      <c r="U6396">
        <v>-3.4972840000000001</v>
      </c>
      <c r="V6396">
        <v>4.3069419999999997E-2</v>
      </c>
      <c r="W6396">
        <v>0.41312559999999898</v>
      </c>
      <c r="X6396">
        <v>0.90965499999999999</v>
      </c>
      <c r="Y6396">
        <v>0.15367939999999999</v>
      </c>
      <c r="Z6396">
        <v>0.1086954</v>
      </c>
      <c r="AA6396">
        <v>0.9821242</v>
      </c>
      <c r="AB6396">
        <v>27</v>
      </c>
      <c r="AC6396">
        <v>-4.0700000000015203E-2</v>
      </c>
      <c r="AD6396">
        <v>-0.1110058</v>
      </c>
      <c r="AE6396">
        <v>-0.62754899999999902</v>
      </c>
      <c r="AF6396">
        <v>0.12345454692935801</v>
      </c>
      <c r="AG6396">
        <v>-0.1110058</v>
      </c>
      <c r="AH6396">
        <v>0.59723898459327496</v>
      </c>
      <c r="AI6396">
        <v>100.315871692923</v>
      </c>
      <c r="AJ6396">
        <v>78.320947643866205</v>
      </c>
      <c r="AK6396">
        <v>0.61988524543594303</v>
      </c>
      <c r="AL6396">
        <v>65.598667488257803</v>
      </c>
      <c r="AM6396">
        <v>87.289242082603906</v>
      </c>
      <c r="AN6396">
        <v>0.99999997766974702</v>
      </c>
    </row>
    <row r="6397" spans="1:40" x14ac:dyDescent="0.25">
      <c r="A6397" t="str">
        <f>"20190304165011584"</f>
        <v>20190304165011584</v>
      </c>
      <c r="B6397" t="str">
        <f>"1551689411571561"</f>
        <v>1551689411571561</v>
      </c>
      <c r="C6397" t="s">
        <v>40</v>
      </c>
      <c r="D6397">
        <v>4.9078049999999998</v>
      </c>
      <c r="E6397">
        <v>0.55593219999999899</v>
      </c>
      <c r="F6397" t="s">
        <v>41</v>
      </c>
      <c r="G6397">
        <v>-301.89620000000002</v>
      </c>
      <c r="H6397">
        <v>0.96200319999999995</v>
      </c>
      <c r="I6397">
        <v>-2.3361700000000001</v>
      </c>
      <c r="J6397">
        <v>-301.8569</v>
      </c>
      <c r="K6397">
        <v>1.062271</v>
      </c>
      <c r="L6397">
        <v>-1.72235099999999</v>
      </c>
      <c r="M6397">
        <v>0.121547</v>
      </c>
      <c r="N6397">
        <v>-6.0085669999999898E-3</v>
      </c>
      <c r="O6397">
        <v>-0.99256770000000005</v>
      </c>
      <c r="P6397">
        <v>9.1378379999999995E-2</v>
      </c>
      <c r="Q6397">
        <v>0.4073503</v>
      </c>
      <c r="R6397">
        <v>-0.90868930000000003</v>
      </c>
      <c r="S6397">
        <v>-7.2113040000000003E-2</v>
      </c>
      <c r="T6397">
        <v>-0.38984059999999998</v>
      </c>
      <c r="U6397">
        <v>-3.4867859999999999</v>
      </c>
      <c r="V6397">
        <v>3.0738339999999999E-2</v>
      </c>
      <c r="W6397">
        <v>0.41215610000000003</v>
      </c>
      <c r="X6397">
        <v>0.91059460000000003</v>
      </c>
      <c r="Y6397">
        <v>0.1418817</v>
      </c>
      <c r="Z6397">
        <v>0.10332429999999999</v>
      </c>
      <c r="AA6397">
        <v>0.98447629999999997</v>
      </c>
      <c r="AB6397">
        <v>27</v>
      </c>
      <c r="AC6397">
        <v>-3.9300000000025599E-2</v>
      </c>
      <c r="AD6397">
        <v>-0.1002678</v>
      </c>
      <c r="AE6397">
        <v>-0.613819</v>
      </c>
      <c r="AF6397">
        <v>0.110676616380517</v>
      </c>
      <c r="AG6397">
        <v>-0.1002678</v>
      </c>
      <c r="AH6397">
        <v>0.58884268200477097</v>
      </c>
      <c r="AI6397">
        <v>99.500360553102794</v>
      </c>
      <c r="AJ6397">
        <v>79.355097747473096</v>
      </c>
      <c r="AK6397">
        <v>0.60748551363868097</v>
      </c>
      <c r="AL6397">
        <v>65.659650501614493</v>
      </c>
      <c r="AM6397">
        <v>88.066638370074699</v>
      </c>
      <c r="AN6397">
        <v>1.00000001093116</v>
      </c>
    </row>
    <row r="6398" spans="1:40" x14ac:dyDescent="0.25">
      <c r="A6398" t="str">
        <f>"20190304165011607"</f>
        <v>20190304165011607</v>
      </c>
      <c r="B6398" t="str">
        <f>"1551689411601817"</f>
        <v>1551689411601817</v>
      </c>
      <c r="C6398" t="s">
        <v>40</v>
      </c>
      <c r="D6398">
        <v>5.1569589999999996</v>
      </c>
      <c r="E6398">
        <v>0.55431430000000004</v>
      </c>
      <c r="F6398" t="s">
        <v>41</v>
      </c>
      <c r="G6398">
        <v>-301.87709999999998</v>
      </c>
      <c r="H6398">
        <v>0.96671309999999999</v>
      </c>
      <c r="I6398">
        <v>-2.5772870000000001</v>
      </c>
      <c r="J6398">
        <v>-301.83769999999998</v>
      </c>
      <c r="K6398">
        <v>1.0647819999999999</v>
      </c>
      <c r="L6398">
        <v>-2.0019529999999999</v>
      </c>
      <c r="M6398">
        <v>0.1036866</v>
      </c>
      <c r="N6398">
        <v>-6.0674980000000002E-3</v>
      </c>
      <c r="O6398">
        <v>-0.99459160000000002</v>
      </c>
      <c r="P6398">
        <v>8.494997E-2</v>
      </c>
      <c r="Q6398">
        <v>0.40664810000000001</v>
      </c>
      <c r="R6398">
        <v>-0.90962679999999996</v>
      </c>
      <c r="S6398">
        <v>-8.1878660000000006E-2</v>
      </c>
      <c r="T6398">
        <v>-0.38868209999999997</v>
      </c>
      <c r="U6398">
        <v>-3.4839479999999998</v>
      </c>
      <c r="V6398">
        <v>2.0517899999999999E-2</v>
      </c>
      <c r="W6398">
        <v>0.41178979999999998</v>
      </c>
      <c r="X6398">
        <v>0.91104779999999996</v>
      </c>
      <c r="Y6398">
        <v>0.12685379999999999</v>
      </c>
      <c r="Z6398">
        <v>0.10347820000000001</v>
      </c>
      <c r="AA6398">
        <v>0.98650919999999998</v>
      </c>
      <c r="AB6398">
        <v>27</v>
      </c>
      <c r="AC6398">
        <v>-3.9400000000000497E-2</v>
      </c>
      <c r="AD6398">
        <v>-9.8068899999999903E-2</v>
      </c>
      <c r="AE6398">
        <v>-0.57533400000000001</v>
      </c>
      <c r="AF6398">
        <v>9.6064995955697396E-2</v>
      </c>
      <c r="AG6398">
        <v>-9.8068899999999903E-2</v>
      </c>
      <c r="AH6398">
        <v>0.55217879364479205</v>
      </c>
      <c r="AI6398">
        <v>99.924870482278195</v>
      </c>
      <c r="AJ6398">
        <v>80.130778649643105</v>
      </c>
      <c r="AK6398">
        <v>0.56898806028439297</v>
      </c>
      <c r="AL6398">
        <v>65.682682002054804</v>
      </c>
      <c r="AM6398">
        <v>88.709847737883507</v>
      </c>
      <c r="AN6398">
        <v>0.99999995874464398</v>
      </c>
    </row>
    <row r="6399" spans="1:40" x14ac:dyDescent="0.25">
      <c r="A6399" t="str">
        <f>"20190304165011636"</f>
        <v>20190304165011636</v>
      </c>
      <c r="B6399" t="str">
        <f>"1551689411632074"</f>
        <v>1551689411632074</v>
      </c>
      <c r="C6399" t="s">
        <v>40</v>
      </c>
      <c r="D6399">
        <v>5.0502880000000001</v>
      </c>
      <c r="E6399">
        <v>0.5539094</v>
      </c>
      <c r="F6399" t="s">
        <v>41</v>
      </c>
      <c r="G6399">
        <v>-301.8603</v>
      </c>
      <c r="H6399">
        <v>0.97375869999999998</v>
      </c>
      <c r="I6399">
        <v>-2.8183259999999999</v>
      </c>
      <c r="J6399">
        <v>-301.81979999999999</v>
      </c>
      <c r="K6399">
        <v>1.0677479999999999</v>
      </c>
      <c r="L6399">
        <v>-2.3494259999999998</v>
      </c>
      <c r="M6399">
        <v>8.3436120000000003E-2</v>
      </c>
      <c r="N6399">
        <v>-6.3227500000000002E-3</v>
      </c>
      <c r="O6399">
        <v>-0.99649310000000002</v>
      </c>
      <c r="P6399">
        <v>7.3033000000000001E-2</v>
      </c>
      <c r="Q6399">
        <v>0.40664099999999997</v>
      </c>
      <c r="R6399">
        <v>-0.91066429999999998</v>
      </c>
      <c r="S6399">
        <v>-9.5916749999999995E-2</v>
      </c>
      <c r="T6399">
        <v>-0.38731270000000001</v>
      </c>
      <c r="U6399">
        <v>-3.4801639999999998</v>
      </c>
      <c r="V6399">
        <v>1.411142E-2</v>
      </c>
      <c r="W6399">
        <v>0.41218009999999999</v>
      </c>
      <c r="X6399">
        <v>0.9109931</v>
      </c>
      <c r="Y6399">
        <v>0.110669699999999</v>
      </c>
      <c r="Z6399">
        <v>0.103377</v>
      </c>
      <c r="AA6399">
        <v>0.98846619999999996</v>
      </c>
      <c r="AB6399">
        <v>26</v>
      </c>
      <c r="AC6399">
        <v>-4.0500000000008599E-2</v>
      </c>
      <c r="AD6399">
        <v>-9.3989299999999901E-2</v>
      </c>
      <c r="AE6399">
        <v>-0.46889999999999998</v>
      </c>
      <c r="AF6399">
        <v>7.6434453990928602E-2</v>
      </c>
      <c r="AG6399">
        <v>-9.3989299999999901E-2</v>
      </c>
      <c r="AH6399">
        <v>0.44609489956255099</v>
      </c>
      <c r="AI6399">
        <v>101.731706799766</v>
      </c>
      <c r="AJ6399">
        <v>80.277282298829206</v>
      </c>
      <c r="AK6399">
        <v>0.462251959094933</v>
      </c>
      <c r="AL6399">
        <v>65.658140896703003</v>
      </c>
      <c r="AM6399">
        <v>89.112550741438994</v>
      </c>
      <c r="AN6399">
        <v>0.99999999762901803</v>
      </c>
    </row>
    <row r="6400" spans="1:40" x14ac:dyDescent="0.25">
      <c r="A6400" t="str">
        <f>"20190304165011657"</f>
        <v>20190304165011657</v>
      </c>
      <c r="B6400" t="str">
        <f>"1551689411651595"</f>
        <v>1551689411651595</v>
      </c>
      <c r="C6400" t="s">
        <v>40</v>
      </c>
      <c r="D6400">
        <v>5.0706769999999999</v>
      </c>
      <c r="E6400">
        <v>0.55377200000000004</v>
      </c>
      <c r="F6400" t="s">
        <v>41</v>
      </c>
      <c r="G6400">
        <v>-301.8562</v>
      </c>
      <c r="H6400">
        <v>0.958395</v>
      </c>
      <c r="I6400">
        <v>-3.290403</v>
      </c>
      <c r="J6400">
        <v>-301.81119999999999</v>
      </c>
      <c r="K6400">
        <v>1.0702969999999901</v>
      </c>
      <c r="L6400">
        <v>-2.6055299999999999</v>
      </c>
      <c r="M6400">
        <v>6.9485710000000006E-2</v>
      </c>
      <c r="N6400">
        <v>-6.2350649999999997E-3</v>
      </c>
      <c r="O6400">
        <v>-0.99756339999999999</v>
      </c>
      <c r="P6400">
        <v>6.5062289999999995E-2</v>
      </c>
      <c r="Q6400">
        <v>0.40708929999999999</v>
      </c>
      <c r="R6400">
        <v>-0.9110684</v>
      </c>
      <c r="S6400">
        <v>-0.13436890000000001</v>
      </c>
      <c r="T6400">
        <v>-0.40440359999999997</v>
      </c>
      <c r="U6400">
        <v>-3.4856569999999998</v>
      </c>
      <c r="V6400">
        <v>9.2627960000000002E-3</v>
      </c>
      <c r="W6400">
        <v>0.41267569999999998</v>
      </c>
      <c r="X6400">
        <v>0.9108309</v>
      </c>
      <c r="Y6400">
        <v>0.1075937</v>
      </c>
      <c r="Z6400">
        <v>0.1082482</v>
      </c>
      <c r="AA6400">
        <v>0.9882843</v>
      </c>
      <c r="AB6400">
        <v>26</v>
      </c>
      <c r="AC6400">
        <v>-4.5000000000015902E-2</v>
      </c>
      <c r="AD6400">
        <v>-0.111901999999999</v>
      </c>
      <c r="AE6400">
        <v>-0.68487299999999995</v>
      </c>
      <c r="AF6400">
        <v>9.0086383101596501E-2</v>
      </c>
      <c r="AG6400">
        <v>-0.111901999999999</v>
      </c>
      <c r="AH6400">
        <v>0.66248070107853896</v>
      </c>
      <c r="AI6400">
        <v>99.501704896218797</v>
      </c>
      <c r="AJ6400">
        <v>82.256222874300207</v>
      </c>
      <c r="AK6400">
        <v>0.67787778642306895</v>
      </c>
      <c r="AL6400">
        <v>65.626970209266702</v>
      </c>
      <c r="AM6400">
        <v>89.417344292344595</v>
      </c>
      <c r="AN6400">
        <v>0.99999998057751804</v>
      </c>
    </row>
    <row r="6401" spans="1:40" x14ac:dyDescent="0.25">
      <c r="A6401" t="str">
        <f>"20190304165011676"</f>
        <v>20190304165011676</v>
      </c>
      <c r="B6401" t="str">
        <f>"1551689411672089"</f>
        <v>1551689411672089</v>
      </c>
      <c r="C6401" t="s">
        <v>40</v>
      </c>
      <c r="D6401">
        <v>5.014964</v>
      </c>
      <c r="E6401">
        <v>0.55348529999999996</v>
      </c>
      <c r="F6401" t="s">
        <v>41</v>
      </c>
      <c r="G6401">
        <v>-301.85359999999997</v>
      </c>
      <c r="H6401">
        <v>0.96101119999999995</v>
      </c>
      <c r="I6401">
        <v>-3.5323540000000002</v>
      </c>
      <c r="J6401">
        <v>-301.8064</v>
      </c>
      <c r="K6401">
        <v>1.0727880000000001</v>
      </c>
      <c r="L6401">
        <v>-2.8301699999999999</v>
      </c>
      <c r="M6401">
        <v>5.760055E-2</v>
      </c>
      <c r="N6401">
        <v>-6.182346E-3</v>
      </c>
      <c r="O6401">
        <v>-0.99832050000000006</v>
      </c>
      <c r="P6401">
        <v>5.9138450000000002E-2</v>
      </c>
      <c r="Q6401">
        <v>0.40561330000000001</v>
      </c>
      <c r="R6401">
        <v>-0.91212969999999904</v>
      </c>
      <c r="S6401">
        <v>-0.15969849999999999</v>
      </c>
      <c r="T6401">
        <v>-0.4112768</v>
      </c>
      <c r="U6401">
        <v>-3.4880070000000001</v>
      </c>
      <c r="V6401">
        <v>4.0838330000000003E-3</v>
      </c>
      <c r="W6401">
        <v>0.41128749999999997</v>
      </c>
      <c r="X6401">
        <v>0.91149650000000004</v>
      </c>
      <c r="Y6401">
        <v>0.1028826</v>
      </c>
      <c r="Z6401">
        <v>0.11028789999999999</v>
      </c>
      <c r="AA6401">
        <v>0.98856040000000001</v>
      </c>
      <c r="AB6401">
        <v>26</v>
      </c>
      <c r="AC6401">
        <v>-4.7199999999975199E-2</v>
      </c>
      <c r="AD6401">
        <v>-0.111776799999999</v>
      </c>
      <c r="AE6401">
        <v>-0.70218400000000003</v>
      </c>
      <c r="AF6401">
        <v>8.5413962746579294E-2</v>
      </c>
      <c r="AG6401">
        <v>-0.111776799999999</v>
      </c>
      <c r="AH6401">
        <v>0.681117643933422</v>
      </c>
      <c r="AI6401">
        <v>99.248450248829499</v>
      </c>
      <c r="AJ6401">
        <v>82.852269124026193</v>
      </c>
      <c r="AK6401">
        <v>0.69549323715456102</v>
      </c>
      <c r="AL6401">
        <v>65.714260184223903</v>
      </c>
      <c r="AM6401">
        <v>89.743295964929203</v>
      </c>
      <c r="AN6401">
        <v>0.99999997743023505</v>
      </c>
    </row>
    <row r="6402" spans="1:40" x14ac:dyDescent="0.25">
      <c r="A6402" t="str">
        <f>"20190304165011696"</f>
        <v>20190304165011696</v>
      </c>
      <c r="B6402" t="str">
        <f>"1551689411691609"</f>
        <v>1551689411691609</v>
      </c>
      <c r="C6402" t="s">
        <v>40</v>
      </c>
      <c r="D6402">
        <v>5.0321569999999998</v>
      </c>
      <c r="E6402">
        <v>0.55311109999999997</v>
      </c>
      <c r="F6402" t="s">
        <v>41</v>
      </c>
      <c r="G6402">
        <v>-301.85430000000002</v>
      </c>
      <c r="H6402">
        <v>0.95765900000000004</v>
      </c>
      <c r="I6402">
        <v>-3.771738</v>
      </c>
      <c r="J6402">
        <v>-301.80399999999997</v>
      </c>
      <c r="K6402">
        <v>1.0757399999999999</v>
      </c>
      <c r="L6402">
        <v>-3.078217</v>
      </c>
      <c r="M6402">
        <v>4.5003250000000002E-2</v>
      </c>
      <c r="N6402">
        <v>-6.3174310000000001E-3</v>
      </c>
      <c r="O6402">
        <v>-0.99896700000000005</v>
      </c>
      <c r="P6402">
        <v>5.1921990000000001E-2</v>
      </c>
      <c r="Q6402">
        <v>0.40333750000000002</v>
      </c>
      <c r="R6402">
        <v>-0.91357719999999998</v>
      </c>
      <c r="S6402">
        <v>-0.1769714</v>
      </c>
      <c r="T6402">
        <v>-0.42602869999999998</v>
      </c>
      <c r="U6402">
        <v>-3.4899290000000001</v>
      </c>
      <c r="V6402">
        <v>-6.1242930000000005E-4</v>
      </c>
      <c r="W6402">
        <v>0.40925060000000002</v>
      </c>
      <c r="X6402">
        <v>0.91242179999999995</v>
      </c>
      <c r="Y6402">
        <v>9.5167290000000002E-2</v>
      </c>
      <c r="Z6402">
        <v>0.11435819999999999</v>
      </c>
      <c r="AA6402">
        <v>0.98887069999999999</v>
      </c>
      <c r="AB6402">
        <v>27</v>
      </c>
      <c r="AC6402">
        <v>-5.0299999999992899E-2</v>
      </c>
      <c r="AD6402">
        <v>-0.11808099999999901</v>
      </c>
      <c r="AE6402">
        <v>-0.69352099999999905</v>
      </c>
      <c r="AF6402">
        <v>7.9177060732049498E-2</v>
      </c>
      <c r="AG6402">
        <v>-0.11808099999999901</v>
      </c>
      <c r="AH6402">
        <v>0.67119871657552999</v>
      </c>
      <c r="AI6402">
        <v>99.9103525144927</v>
      </c>
      <c r="AJ6402">
        <v>83.272271284949099</v>
      </c>
      <c r="AK6402">
        <v>0.68609026129205897</v>
      </c>
      <c r="AL6402">
        <v>65.842232255848998</v>
      </c>
      <c r="AM6402">
        <v>90.038457661654405</v>
      </c>
      <c r="AN6402">
        <v>0.99999998489262298</v>
      </c>
    </row>
    <row r="6403" spans="1:40" x14ac:dyDescent="0.25">
      <c r="A6403" t="str">
        <f>"20190304165011718"</f>
        <v>20190304165011718</v>
      </c>
      <c r="B6403" t="str">
        <f>"1551689411712105"</f>
        <v>1551689411712105</v>
      </c>
      <c r="C6403" t="s">
        <v>40</v>
      </c>
      <c r="D6403">
        <v>5.0417820000000004</v>
      </c>
      <c r="E6403">
        <v>0.5527552</v>
      </c>
      <c r="F6403" t="s">
        <v>41</v>
      </c>
      <c r="G6403">
        <v>-301.85640000000001</v>
      </c>
      <c r="H6403">
        <v>0.95812399999999998</v>
      </c>
      <c r="I6403">
        <v>-4.0127329999999999</v>
      </c>
      <c r="J6403">
        <v>-301.8048</v>
      </c>
      <c r="K6403">
        <v>1.079118</v>
      </c>
      <c r="L6403">
        <v>-3.3556210000000002</v>
      </c>
      <c r="M6403">
        <v>3.1669610000000001E-2</v>
      </c>
      <c r="N6403">
        <v>-6.722975E-3</v>
      </c>
      <c r="O6403">
        <v>-0.99947589999999997</v>
      </c>
      <c r="P6403">
        <v>4.4656260000000003E-2</v>
      </c>
      <c r="Q6403">
        <v>0.40059210000000001</v>
      </c>
      <c r="R6403">
        <v>-0.91516790000000003</v>
      </c>
      <c r="S6403">
        <v>-0.19549559999999999</v>
      </c>
      <c r="T6403">
        <v>-0.43894260000000002</v>
      </c>
      <c r="U6403">
        <v>-3.4887079999999999</v>
      </c>
      <c r="V6403">
        <v>-6.0723330000000001E-3</v>
      </c>
      <c r="W6403">
        <v>0.40699790000000002</v>
      </c>
      <c r="X6403">
        <v>0.91340889999999997</v>
      </c>
      <c r="Y6403">
        <v>8.7113049999999997E-2</v>
      </c>
      <c r="Z6403">
        <v>0.11772729999999999</v>
      </c>
      <c r="AA6403">
        <v>0.98921769999999998</v>
      </c>
      <c r="AB6403">
        <v>27</v>
      </c>
      <c r="AC6403">
        <v>-5.1600000000007598E-2</v>
      </c>
      <c r="AD6403">
        <v>-0.120994</v>
      </c>
      <c r="AE6403">
        <v>-0.65711200000000003</v>
      </c>
      <c r="AF6403">
        <v>7.0025481611717899E-2</v>
      </c>
      <c r="AG6403">
        <v>-0.120994</v>
      </c>
      <c r="AH6403">
        <v>0.633791893942662</v>
      </c>
      <c r="AI6403">
        <v>100.74415709289499</v>
      </c>
      <c r="AJ6403">
        <v>83.695158825997794</v>
      </c>
      <c r="AK6403">
        <v>0.64902641004690997</v>
      </c>
      <c r="AL6403">
        <v>65.983613210304895</v>
      </c>
      <c r="AM6403">
        <v>90.380896143356296</v>
      </c>
      <c r="AN6403">
        <v>0.99999999121584104</v>
      </c>
    </row>
    <row r="6404" spans="1:40" x14ac:dyDescent="0.25">
      <c r="A6404" t="str">
        <f>"20190304165011742"</f>
        <v>20190304165011742</v>
      </c>
      <c r="B6404" t="str">
        <f>"1551689411731625"</f>
        <v>1551689411731625</v>
      </c>
      <c r="C6404" t="s">
        <v>40</v>
      </c>
      <c r="D6404">
        <v>4.9727230000000002</v>
      </c>
      <c r="E6404">
        <v>0.55252639999999997</v>
      </c>
      <c r="F6404" t="s">
        <v>41</v>
      </c>
      <c r="G6404">
        <v>-301.8605</v>
      </c>
      <c r="H6404">
        <v>0.96073220000000004</v>
      </c>
      <c r="I6404">
        <v>-4.2544890000000004</v>
      </c>
      <c r="J6404">
        <v>-301.80889999999999</v>
      </c>
      <c r="K6404">
        <v>1.082498</v>
      </c>
      <c r="L6404">
        <v>-3.638763</v>
      </c>
      <c r="M6404">
        <v>1.8917050000000001E-2</v>
      </c>
      <c r="N6404">
        <v>-7.28297199999999E-3</v>
      </c>
      <c r="O6404">
        <v>-0.99979450000000003</v>
      </c>
      <c r="P6404">
        <v>3.8595909999999997E-2</v>
      </c>
      <c r="Q6404">
        <v>0.3980455</v>
      </c>
      <c r="R6404">
        <v>-0.91655370000000003</v>
      </c>
      <c r="S6404">
        <v>-0.2156372</v>
      </c>
      <c r="T6404">
        <v>-0.45872740000000001</v>
      </c>
      <c r="U6404">
        <v>-3.4894099999999999</v>
      </c>
      <c r="V6404">
        <v>-1.227791E-2</v>
      </c>
      <c r="W6404">
        <v>0.4050858</v>
      </c>
      <c r="X6404">
        <v>0.91419629999999996</v>
      </c>
      <c r="Y6404">
        <v>8.0043260000000005E-2</v>
      </c>
      <c r="Z6404">
        <v>0.12274649999999999</v>
      </c>
      <c r="AA6404">
        <v>0.98920490000000005</v>
      </c>
      <c r="AB6404">
        <v>27</v>
      </c>
      <c r="AC6404">
        <v>-5.1600000000007598E-2</v>
      </c>
      <c r="AD6404">
        <v>-0.12176579999999899</v>
      </c>
      <c r="AE6404">
        <v>-0.615726</v>
      </c>
      <c r="AF6404">
        <v>6.0874657004444901E-2</v>
      </c>
      <c r="AG6404">
        <v>-0.12176579999999899</v>
      </c>
      <c r="AH6404">
        <v>0.59166179699362798</v>
      </c>
      <c r="AI6404">
        <v>101.569857037562</v>
      </c>
      <c r="AJ6404">
        <v>84.125645435212704</v>
      </c>
      <c r="AK6404">
        <v>0.60712133543203595</v>
      </c>
      <c r="AL6404">
        <v>66.103497695439103</v>
      </c>
      <c r="AM6404">
        <v>90.769451958139896</v>
      </c>
      <c r="AN6404">
        <v>1.00000006368464</v>
      </c>
    </row>
    <row r="6405" spans="1:40" x14ac:dyDescent="0.25">
      <c r="A6405" t="str">
        <f>"20190304165011784"</f>
        <v>20190304165011784</v>
      </c>
      <c r="B6405" t="str">
        <f>"1551689411771641"</f>
        <v>1551689411771641</v>
      </c>
      <c r="C6405" t="s">
        <v>40</v>
      </c>
      <c r="D6405">
        <v>4.9653879999999999</v>
      </c>
      <c r="E6405">
        <v>0.55177100000000001</v>
      </c>
      <c r="F6405" t="s">
        <v>41</v>
      </c>
      <c r="G6405">
        <v>-301.86799999999999</v>
      </c>
      <c r="H6405">
        <v>0.96578439999999999</v>
      </c>
      <c r="I6405">
        <v>-4.4971230000000002</v>
      </c>
      <c r="J6405">
        <v>-301.82299999999998</v>
      </c>
      <c r="K6405">
        <v>1.0880879999999999</v>
      </c>
      <c r="L6405">
        <v>-4.1370849999999999</v>
      </c>
      <c r="M6405">
        <v>-1.0848590000000001E-3</v>
      </c>
      <c r="N6405">
        <v>-8.346638E-3</v>
      </c>
      <c r="O6405">
        <v>-0.99996470000000004</v>
      </c>
      <c r="P6405">
        <v>3.3836239999999997E-2</v>
      </c>
      <c r="Q6405">
        <v>0.3970226</v>
      </c>
      <c r="R6405">
        <v>-0.91718529999999998</v>
      </c>
      <c r="S6405">
        <v>-0.23925779999999999</v>
      </c>
      <c r="T6405">
        <v>-0.47363450000000001</v>
      </c>
      <c r="U6405">
        <v>-3.4888919999999999</v>
      </c>
      <c r="V6405">
        <v>-2.6964829999999999E-2</v>
      </c>
      <c r="W6405">
        <v>0.4052636</v>
      </c>
      <c r="X6405">
        <v>0.91380209999999995</v>
      </c>
      <c r="Y6405">
        <v>6.6749030000000001E-2</v>
      </c>
      <c r="Z6405">
        <v>0.125941</v>
      </c>
      <c r="AA6405">
        <v>0.98978960000000005</v>
      </c>
      <c r="AB6405">
        <v>27</v>
      </c>
      <c r="AC6405">
        <v>-4.5000000000015902E-2</v>
      </c>
      <c r="AD6405">
        <v>-0.122303599999999</v>
      </c>
      <c r="AE6405">
        <v>-0.36003800000000002</v>
      </c>
      <c r="AF6405">
        <v>4.0058028271699901E-2</v>
      </c>
      <c r="AG6405">
        <v>-0.122303599999999</v>
      </c>
      <c r="AH6405">
        <v>0.32334820477676501</v>
      </c>
      <c r="AI6405">
        <v>110.57470993020701</v>
      </c>
      <c r="AJ6405">
        <v>82.937887941096307</v>
      </c>
      <c r="AK6405">
        <v>0.348018502000013</v>
      </c>
      <c r="AL6405">
        <v>66.092352836141401</v>
      </c>
      <c r="AM6405">
        <v>91.690215817071405</v>
      </c>
      <c r="AN6405">
        <v>0.99999998275314905</v>
      </c>
    </row>
    <row r="6406" spans="1:40" x14ac:dyDescent="0.25">
      <c r="A6406" t="str">
        <f>"20190304165011808"</f>
        <v>20190304165011808</v>
      </c>
      <c r="B6406" t="str">
        <f>"1551689411801897"</f>
        <v>1551689411801897</v>
      </c>
      <c r="C6406" t="s">
        <v>40</v>
      </c>
      <c r="D6406">
        <v>5.0315510000000003</v>
      </c>
      <c r="E6406">
        <v>0.551129599999999</v>
      </c>
      <c r="F6406" t="s">
        <v>41</v>
      </c>
      <c r="G6406">
        <v>-301.88479999999998</v>
      </c>
      <c r="H6406">
        <v>0.97169760000000005</v>
      </c>
      <c r="I6406">
        <v>-4.9791730000000003</v>
      </c>
      <c r="J6406">
        <v>-301.83449999999999</v>
      </c>
      <c r="K6406">
        <v>1.091048</v>
      </c>
      <c r="L6406">
        <v>-4.4260859999999997</v>
      </c>
      <c r="M6406">
        <v>-1.1230189999999999E-2</v>
      </c>
      <c r="N6406">
        <v>-8.9448449999999999E-3</v>
      </c>
      <c r="O6406">
        <v>-0.99989700000000004</v>
      </c>
      <c r="P6406">
        <v>3.0664629999999998E-2</v>
      </c>
      <c r="Q6406">
        <v>0.39828829999999998</v>
      </c>
      <c r="R6406">
        <v>-0.9167478</v>
      </c>
      <c r="S6406">
        <v>-0.25570680000000001</v>
      </c>
      <c r="T6406">
        <v>-0.4819021</v>
      </c>
      <c r="U6406">
        <v>-3.4889220000000001</v>
      </c>
      <c r="V6406">
        <v>-3.375914E-2</v>
      </c>
      <c r="W6406">
        <v>0.4071303</v>
      </c>
      <c r="X6406">
        <v>0.91274599999999995</v>
      </c>
      <c r="Y6406">
        <v>6.1251609999999998E-2</v>
      </c>
      <c r="Z6406">
        <v>0.127641</v>
      </c>
      <c r="AA6406">
        <v>0.98992729999999995</v>
      </c>
      <c r="AB6406">
        <v>27</v>
      </c>
      <c r="AC6406">
        <v>-5.0299999999992899E-2</v>
      </c>
      <c r="AD6406">
        <v>-0.119350399999999</v>
      </c>
      <c r="AE6406">
        <v>-0.553087</v>
      </c>
      <c r="AF6406">
        <v>4.2139186792048297E-2</v>
      </c>
      <c r="AG6406">
        <v>-0.119350399999999</v>
      </c>
      <c r="AH6406">
        <v>0.52917791172519901</v>
      </c>
      <c r="AI6406">
        <v>102.670979279582</v>
      </c>
      <c r="AJ6406">
        <v>85.447063324607299</v>
      </c>
      <c r="AK6406">
        <v>0.54410430185902503</v>
      </c>
      <c r="AL6406">
        <v>65.975308511201803</v>
      </c>
      <c r="AM6406">
        <v>92.118196027087194</v>
      </c>
      <c r="AN6406">
        <v>1.0000000106138101</v>
      </c>
    </row>
    <row r="6407" spans="1:40" x14ac:dyDescent="0.25">
      <c r="A6407" t="str">
        <f>"20190304165011837"</f>
        <v>20190304165011837</v>
      </c>
      <c r="B6407" t="str">
        <f>"1551689411831685"</f>
        <v>1551689411831685</v>
      </c>
      <c r="C6407" t="s">
        <v>40</v>
      </c>
      <c r="D6407">
        <v>4.9685199999999998</v>
      </c>
      <c r="E6407">
        <v>0.55067270000000001</v>
      </c>
      <c r="F6407" t="s">
        <v>41</v>
      </c>
      <c r="G6407">
        <v>-301.89370000000002</v>
      </c>
      <c r="H6407">
        <v>0.98163869999999998</v>
      </c>
      <c r="I6407">
        <v>-5.2230759999999998</v>
      </c>
      <c r="J6407">
        <v>-301.85079999999999</v>
      </c>
      <c r="K6407">
        <v>1.09426</v>
      </c>
      <c r="L6407">
        <v>-4.7682500000000001</v>
      </c>
      <c r="M6407">
        <v>-2.1988980000000002E-2</v>
      </c>
      <c r="N6407">
        <v>-9.6060160000000002E-3</v>
      </c>
      <c r="O6407">
        <v>-0.99971200000000005</v>
      </c>
      <c r="P6407">
        <v>2.9985660000000001E-2</v>
      </c>
      <c r="Q6407">
        <v>0.39789390000000002</v>
      </c>
      <c r="R6407">
        <v>-0.91694140000000002</v>
      </c>
      <c r="S6407">
        <v>-0.25839230000000002</v>
      </c>
      <c r="T6407">
        <v>-0.47844059999999999</v>
      </c>
      <c r="U6407">
        <v>-3.488953</v>
      </c>
      <c r="V6407">
        <v>-4.3793029999999997E-2</v>
      </c>
      <c r="W6407">
        <v>0.4074081</v>
      </c>
      <c r="X6407">
        <v>0.9121956</v>
      </c>
      <c r="Y6407">
        <v>5.1284940000000001E-2</v>
      </c>
      <c r="Z6407">
        <v>0.12602279999999999</v>
      </c>
      <c r="AA6407">
        <v>0.99070080000000005</v>
      </c>
      <c r="AB6407">
        <v>27</v>
      </c>
      <c r="AC6407">
        <v>-4.2900000000031399E-2</v>
      </c>
      <c r="AD6407">
        <v>-0.11262129999999999</v>
      </c>
      <c r="AE6407">
        <v>-0.45482599999999901</v>
      </c>
      <c r="AF6407">
        <v>3.1003837855289301E-2</v>
      </c>
      <c r="AG6407">
        <v>-0.11262129999999999</v>
      </c>
      <c r="AH6407">
        <v>0.42955448535993201</v>
      </c>
      <c r="AI6407">
        <v>104.654762664684</v>
      </c>
      <c r="AJ6407">
        <v>85.871736796195094</v>
      </c>
      <c r="AK6407">
        <v>0.445153738688426</v>
      </c>
      <c r="AL6407">
        <v>65.957880668570795</v>
      </c>
      <c r="AM6407">
        <v>92.748567026852697</v>
      </c>
      <c r="AN6407">
        <v>1.0000000010407699</v>
      </c>
    </row>
    <row r="6408" spans="1:40" x14ac:dyDescent="0.25">
      <c r="A6408" t="str">
        <f>"20190304165011873"</f>
        <v>20190304165011873</v>
      </c>
      <c r="B6408" t="str">
        <f>"1551689411861941"</f>
        <v>1551689411861941</v>
      </c>
      <c r="C6408" t="s">
        <v>40</v>
      </c>
      <c r="D6408">
        <v>4.9593069999999999</v>
      </c>
      <c r="E6408">
        <v>0.54997549999999995</v>
      </c>
      <c r="F6408" t="s">
        <v>41</v>
      </c>
      <c r="G6408">
        <v>-301.92070000000001</v>
      </c>
      <c r="H6408">
        <v>0.96684890000000001</v>
      </c>
      <c r="I6408">
        <v>-5.6923750000000002</v>
      </c>
      <c r="J6408">
        <v>-301.87470000000002</v>
      </c>
      <c r="K6408">
        <v>1.097898</v>
      </c>
      <c r="L6408">
        <v>-5.2036740000000004</v>
      </c>
      <c r="M6408">
        <v>-3.3372390000000002E-2</v>
      </c>
      <c r="N6408">
        <v>-1.0329659999999999E-2</v>
      </c>
      <c r="O6408">
        <v>-0.99938959999999999</v>
      </c>
      <c r="P6408">
        <v>3.2984069999999997E-2</v>
      </c>
      <c r="Q6408">
        <v>0.39831919999999998</v>
      </c>
      <c r="R6408">
        <v>-0.91665390000000002</v>
      </c>
      <c r="S6408">
        <v>-0.26300050000000003</v>
      </c>
      <c r="T6408">
        <v>-0.48064459999999998</v>
      </c>
      <c r="U6408">
        <v>-3.4889220000000001</v>
      </c>
      <c r="V6408">
        <v>-5.8353250000000002E-2</v>
      </c>
      <c r="W6408">
        <v>0.40852739999999998</v>
      </c>
      <c r="X6408">
        <v>0.91087879999999999</v>
      </c>
      <c r="Y6408">
        <v>4.1216780000000001E-2</v>
      </c>
      <c r="Z6408">
        <v>0.125886</v>
      </c>
      <c r="AA6408">
        <v>0.99118810000000002</v>
      </c>
      <c r="AB6408">
        <v>26</v>
      </c>
      <c r="AC6408">
        <v>-4.59999999999922E-2</v>
      </c>
      <c r="AD6408">
        <v>-0.1310491</v>
      </c>
      <c r="AE6408">
        <v>-0.488701</v>
      </c>
      <c r="AF6408">
        <v>2.7690669995056299E-2</v>
      </c>
      <c r="AG6408">
        <v>-0.1310491</v>
      </c>
      <c r="AH6408">
        <v>0.45736431209205902</v>
      </c>
      <c r="AI6408">
        <v>105.960920871838</v>
      </c>
      <c r="AJ6408">
        <v>86.535312917589394</v>
      </c>
      <c r="AK6408">
        <v>0.47657397515079197</v>
      </c>
      <c r="AL6408">
        <v>65.887637171473401</v>
      </c>
      <c r="AM6408">
        <v>93.665506755442095</v>
      </c>
      <c r="AN6408">
        <v>0.99999996331287999</v>
      </c>
    </row>
    <row r="6409" spans="1:40" x14ac:dyDescent="0.25">
      <c r="A6409" t="str">
        <f>"20190304165011900"</f>
        <v>20190304165011900</v>
      </c>
      <c r="B6409" t="str">
        <f>"1551689411892197"</f>
        <v>1551689411892197</v>
      </c>
      <c r="C6409" t="s">
        <v>40</v>
      </c>
      <c r="D6409">
        <v>4.9610830000000004</v>
      </c>
      <c r="E6409">
        <v>0.54926430000000004</v>
      </c>
      <c r="F6409" t="s">
        <v>41</v>
      </c>
      <c r="G6409">
        <v>-301.92619999999999</v>
      </c>
      <c r="H6409">
        <v>0.99523649999999997</v>
      </c>
      <c r="I6409">
        <v>-5.9441499999999996</v>
      </c>
      <c r="J6409">
        <v>-301.89319999999998</v>
      </c>
      <c r="K6409">
        <v>1.100131</v>
      </c>
      <c r="L6409">
        <v>-5.5130309999999998</v>
      </c>
      <c r="M6409">
        <v>-4.0127049999999997E-2</v>
      </c>
      <c r="N6409">
        <v>-1.0774809999999999E-2</v>
      </c>
      <c r="O6409">
        <v>-0.99913660000000004</v>
      </c>
      <c r="P6409">
        <v>3.1590529999999999E-2</v>
      </c>
      <c r="Q6409">
        <v>0.39854970000000001</v>
      </c>
      <c r="R6409">
        <v>-0.91660280000000005</v>
      </c>
      <c r="S6409">
        <v>-0.24261469999999999</v>
      </c>
      <c r="T6409">
        <v>-0.48393229999999998</v>
      </c>
      <c r="U6409">
        <v>-3.4917910000000001</v>
      </c>
      <c r="V6409">
        <v>-6.3912440000000001E-2</v>
      </c>
      <c r="W6409">
        <v>0.40909879999999998</v>
      </c>
      <c r="X6409">
        <v>0.91024910000000003</v>
      </c>
      <c r="Y6409">
        <v>2.8647260000000001E-2</v>
      </c>
      <c r="Z6409">
        <v>0.1262586</v>
      </c>
      <c r="AA6409">
        <v>0.99158360000000001</v>
      </c>
      <c r="AB6409">
        <v>26</v>
      </c>
      <c r="AC6409">
        <v>-3.3000000000015399E-2</v>
      </c>
      <c r="AD6409">
        <v>-0.104894499999999</v>
      </c>
      <c r="AE6409">
        <v>-0.43111899999999898</v>
      </c>
      <c r="AF6409">
        <v>1.4801744429200601E-2</v>
      </c>
      <c r="AG6409">
        <v>-0.104894499999999</v>
      </c>
      <c r="AH6409">
        <v>0.40807902938086099</v>
      </c>
      <c r="AI6409">
        <v>104.406411946483</v>
      </c>
      <c r="AJ6409">
        <v>87.922691940046093</v>
      </c>
      <c r="AK6409">
        <v>0.42160460385155102</v>
      </c>
      <c r="AL6409">
        <v>65.851765279635501</v>
      </c>
      <c r="AM6409">
        <v>94.016387402442405</v>
      </c>
      <c r="AN6409">
        <v>1.0000000260994999</v>
      </c>
    </row>
    <row r="6410" spans="1:40" x14ac:dyDescent="0.25">
      <c r="A6410" t="str">
        <f>"20190304165011940"</f>
        <v>20190304165011940</v>
      </c>
      <c r="B6410" t="str">
        <f>"1551689411932285"</f>
        <v>1551689411932285</v>
      </c>
      <c r="C6410" t="s">
        <v>40</v>
      </c>
      <c r="D6410">
        <v>5.0036180000000003</v>
      </c>
      <c r="E6410">
        <v>0.54846099999999998</v>
      </c>
      <c r="F6410" t="s">
        <v>41</v>
      </c>
      <c r="G6410">
        <v>-301.95440000000002</v>
      </c>
      <c r="H6410">
        <v>0.97507069999999996</v>
      </c>
      <c r="I6410">
        <v>-6.4082350000000003</v>
      </c>
      <c r="J6410">
        <v>-301.92380000000003</v>
      </c>
      <c r="K6410">
        <v>1.1031230000000001</v>
      </c>
      <c r="L6410">
        <v>-5.9976200000000004</v>
      </c>
      <c r="M6410">
        <v>-4.8349709999999997E-2</v>
      </c>
      <c r="N6410">
        <v>-1.136553E-2</v>
      </c>
      <c r="O6410">
        <v>-0.99876580000000004</v>
      </c>
      <c r="P6410">
        <v>3.4115340000000001E-2</v>
      </c>
      <c r="Q6410">
        <v>0.40152149999999998</v>
      </c>
      <c r="R6410">
        <v>-0.91521399999999997</v>
      </c>
      <c r="S6410">
        <v>-0.23822019999999999</v>
      </c>
      <c r="T6410">
        <v>-0.48788700000000002</v>
      </c>
      <c r="U6410">
        <v>-3.4933169999999998</v>
      </c>
      <c r="V6410">
        <v>-7.5054380000000004E-2</v>
      </c>
      <c r="W6410">
        <v>0.41247549999999999</v>
      </c>
      <c r="X6410">
        <v>0.9078716</v>
      </c>
      <c r="Y6410">
        <v>1.9149389999999999E-2</v>
      </c>
      <c r="Z6410">
        <v>0.126663</v>
      </c>
      <c r="AA6410">
        <v>0.991761</v>
      </c>
      <c r="AB6410">
        <v>26</v>
      </c>
      <c r="AC6410">
        <v>-3.0599999999992598E-2</v>
      </c>
      <c r="AD6410">
        <v>-0.12805229999999901</v>
      </c>
      <c r="AE6410">
        <v>-0.41061500000000001</v>
      </c>
      <c r="AF6410">
        <v>9.7653408957579201E-3</v>
      </c>
      <c r="AG6410">
        <v>-0.12805229999999901</v>
      </c>
      <c r="AH6410">
        <v>0.37531518980418699</v>
      </c>
      <c r="AI6410">
        <v>108.832999898477</v>
      </c>
      <c r="AJ6410">
        <v>88.509555105462098</v>
      </c>
      <c r="AK6410">
        <v>0.39667902026179003</v>
      </c>
      <c r="AL6410">
        <v>65.639563528478703</v>
      </c>
      <c r="AM6410">
        <v>94.725935327412301</v>
      </c>
      <c r="AN6410">
        <v>1.0000000200719901</v>
      </c>
    </row>
    <row r="6411" spans="1:40" x14ac:dyDescent="0.25">
      <c r="A6411" t="str">
        <f>"20190304165011962"</f>
        <v>20190304165011962</v>
      </c>
      <c r="B6411" t="str">
        <f>"1551689411951806"</f>
        <v>1551689411951806</v>
      </c>
      <c r="C6411" t="s">
        <v>40</v>
      </c>
      <c r="D6411">
        <v>4.9416479999999998</v>
      </c>
      <c r="E6411">
        <v>0.54807910000000004</v>
      </c>
      <c r="F6411" t="s">
        <v>41</v>
      </c>
      <c r="G6411">
        <v>-301.98039999999997</v>
      </c>
      <c r="H6411">
        <v>0.9812573</v>
      </c>
      <c r="I6411">
        <v>-6.8833549999999999</v>
      </c>
      <c r="J6411">
        <v>-301.94110000000001</v>
      </c>
      <c r="K6411">
        <v>1.104511</v>
      </c>
      <c r="L6411">
        <v>-6.2648619999999999</v>
      </c>
      <c r="M6411">
        <v>-5.1806789999999998E-2</v>
      </c>
      <c r="N6411">
        <v>-1.1641429999999999E-2</v>
      </c>
      <c r="O6411">
        <v>-0.99858930000000001</v>
      </c>
      <c r="P6411">
        <v>3.3814660000000003E-2</v>
      </c>
      <c r="Q6411">
        <v>0.40302260000000001</v>
      </c>
      <c r="R6411">
        <v>-0.91456530000000003</v>
      </c>
      <c r="S6411">
        <v>-0.2236938</v>
      </c>
      <c r="T6411">
        <v>-0.48125299999999999</v>
      </c>
      <c r="U6411">
        <v>-3.4974059999999998</v>
      </c>
      <c r="V6411">
        <v>-7.8456330000000005E-2</v>
      </c>
      <c r="W6411">
        <v>0.41412759999999998</v>
      </c>
      <c r="X6411">
        <v>0.90683130000000001</v>
      </c>
      <c r="Y6411">
        <v>1.153242E-2</v>
      </c>
      <c r="Z6411">
        <v>0.1243817</v>
      </c>
      <c r="AA6411">
        <v>0.99216740000000003</v>
      </c>
      <c r="AB6411">
        <v>26</v>
      </c>
      <c r="AC6411">
        <v>-3.9299999999968797E-2</v>
      </c>
      <c r="AD6411">
        <v>-0.12325369999999999</v>
      </c>
      <c r="AE6411">
        <v>-0.61849299999999996</v>
      </c>
      <c r="AF6411">
        <v>6.9288528799534002E-3</v>
      </c>
      <c r="AG6411">
        <v>-0.12325369999999999</v>
      </c>
      <c r="AH6411">
        <v>0.59612008358097501</v>
      </c>
      <c r="AI6411">
        <v>101.681090794109</v>
      </c>
      <c r="AJ6411">
        <v>89.334066807486707</v>
      </c>
      <c r="AK6411">
        <v>0.60876813124087803</v>
      </c>
      <c r="AL6411">
        <v>65.535611622597102</v>
      </c>
      <c r="AM6411">
        <v>94.944746432087499</v>
      </c>
      <c r="AN6411">
        <v>1.00000003572925</v>
      </c>
    </row>
    <row r="6412" spans="1:40" x14ac:dyDescent="0.25">
      <c r="A6412" t="str">
        <f>"20190304165011986"</f>
        <v>20190304165011986</v>
      </c>
      <c r="B6412" t="str">
        <f>"1551689411982062"</f>
        <v>1551689411982062</v>
      </c>
      <c r="C6412" t="s">
        <v>40</v>
      </c>
      <c r="D6412">
        <v>4.9172510000000003</v>
      </c>
      <c r="E6412">
        <v>0.54756470000000002</v>
      </c>
      <c r="F6412" t="s">
        <v>41</v>
      </c>
      <c r="G6412">
        <v>-301.99349999999998</v>
      </c>
      <c r="H6412">
        <v>0.98705699999999996</v>
      </c>
      <c r="I6412">
        <v>-7.1216759999999999</v>
      </c>
      <c r="J6412">
        <v>-301.95999999999998</v>
      </c>
      <c r="K6412">
        <v>1.1058129999999999</v>
      </c>
      <c r="L6412">
        <v>-6.5534670000000004</v>
      </c>
      <c r="M6412">
        <v>-5.4772080000000001E-2</v>
      </c>
      <c r="N6412">
        <v>-1.1904949999999999E-2</v>
      </c>
      <c r="O6412">
        <v>-0.99842799999999998</v>
      </c>
      <c r="P6412">
        <v>3.8397140000000003E-2</v>
      </c>
      <c r="Q6412">
        <v>0.40172790000000003</v>
      </c>
      <c r="R6412">
        <v>-0.91495369999999998</v>
      </c>
      <c r="S6412">
        <v>-0.21298220000000001</v>
      </c>
      <c r="T6412">
        <v>-0.47960399999999997</v>
      </c>
      <c r="U6412">
        <v>-3.4994809999999998</v>
      </c>
      <c r="V6412">
        <v>-8.6341520000000005E-2</v>
      </c>
      <c r="W6412">
        <v>0.4129988</v>
      </c>
      <c r="X6412">
        <v>0.90662960000000004</v>
      </c>
      <c r="Y6412">
        <v>5.5111329999999997E-3</v>
      </c>
      <c r="Z6412">
        <v>0.1235682</v>
      </c>
      <c r="AA6412">
        <v>0.9923208</v>
      </c>
      <c r="AB6412">
        <v>26</v>
      </c>
      <c r="AC6412">
        <v>-3.3500000000003603E-2</v>
      </c>
      <c r="AD6412">
        <v>-0.118755999999999</v>
      </c>
      <c r="AE6412">
        <v>-0.56820899999999996</v>
      </c>
      <c r="AF6412">
        <v>2.22850703868906E-3</v>
      </c>
      <c r="AG6412">
        <v>-0.118755999999999</v>
      </c>
      <c r="AH6412">
        <v>0.54544763005104502</v>
      </c>
      <c r="AI6412">
        <v>102.282770641695</v>
      </c>
      <c r="AJ6412">
        <v>89.765910913443506</v>
      </c>
      <c r="AK6412">
        <v>0.55823030274961105</v>
      </c>
      <c r="AL6412">
        <v>65.606646818466501</v>
      </c>
      <c r="AM6412">
        <v>95.440071735333106</v>
      </c>
      <c r="AN6412">
        <v>1.00000004923675</v>
      </c>
    </row>
    <row r="6413" spans="1:40" x14ac:dyDescent="0.25">
      <c r="A6413" t="str">
        <f>"20190304165012010"</f>
        <v>20190304165012010</v>
      </c>
      <c r="B6413" t="str">
        <f>"1551689412001581"</f>
        <v>1551689412001581</v>
      </c>
      <c r="C6413" t="s">
        <v>40</v>
      </c>
      <c r="D6413">
        <v>5.186992</v>
      </c>
      <c r="E6413">
        <v>0.54715279999999999</v>
      </c>
      <c r="F6413" t="s">
        <v>41</v>
      </c>
      <c r="G6413">
        <v>-302.0061</v>
      </c>
      <c r="H6413">
        <v>0.99428749999999999</v>
      </c>
      <c r="I6413">
        <v>-7.3602289999999897</v>
      </c>
      <c r="J6413">
        <v>-301.97730000000001</v>
      </c>
      <c r="K6413">
        <v>1.1069230000000001</v>
      </c>
      <c r="L6413">
        <v>-6.8191220000000001</v>
      </c>
      <c r="M6413">
        <v>-5.6669120000000003E-2</v>
      </c>
      <c r="N6413">
        <v>-1.211892E-2</v>
      </c>
      <c r="O6413">
        <v>-0.99831970000000003</v>
      </c>
      <c r="P6413">
        <v>4.3789799999999997E-2</v>
      </c>
      <c r="Q6413">
        <v>0.4001921</v>
      </c>
      <c r="R6413">
        <v>-0.915385</v>
      </c>
      <c r="S6413">
        <v>-0.20007320000000001</v>
      </c>
      <c r="T6413">
        <v>-0.48378650000000001</v>
      </c>
      <c r="U6413">
        <v>-3.4996640000000001</v>
      </c>
      <c r="V6413">
        <v>-9.4041219999999995E-2</v>
      </c>
      <c r="W6413">
        <v>0.4115665</v>
      </c>
      <c r="X6413">
        <v>0.90651490000000001</v>
      </c>
      <c r="Y6413" s="1">
        <v>-4.1720600000000002E-5</v>
      </c>
      <c r="Z6413">
        <v>0.1245028</v>
      </c>
      <c r="AA6413">
        <v>0.99221930000000003</v>
      </c>
      <c r="AB6413">
        <v>26</v>
      </c>
      <c r="AC6413">
        <v>-2.8799999999989698E-2</v>
      </c>
      <c r="AD6413">
        <v>-0.112635499999999</v>
      </c>
      <c r="AE6413">
        <v>-0.54110699999999901</v>
      </c>
      <c r="AF6413">
        <v>-1.8333752109927399E-3</v>
      </c>
      <c r="AG6413">
        <v>-0.112635499999999</v>
      </c>
      <c r="AH6413">
        <v>0.51942656382141095</v>
      </c>
      <c r="AI6413">
        <v>102.234855056255</v>
      </c>
      <c r="AJ6413">
        <v>90.202231139013506</v>
      </c>
      <c r="AK6413">
        <v>0.53150171432294702</v>
      </c>
      <c r="AL6413">
        <v>65.696722051083</v>
      </c>
      <c r="AM6413">
        <v>95.922638450807099</v>
      </c>
      <c r="AN6413">
        <v>0.99999999945167395</v>
      </c>
    </row>
    <row r="6414" spans="1:40" x14ac:dyDescent="0.25">
      <c r="A6414" t="str">
        <f>"20190304165012036"</f>
        <v>20190304165012036</v>
      </c>
      <c r="B6414" t="str">
        <f>"1551689412031839"</f>
        <v>1551689412031839</v>
      </c>
      <c r="C6414" t="s">
        <v>40</v>
      </c>
      <c r="D6414">
        <v>5.0605079999999996</v>
      </c>
      <c r="E6414">
        <v>0.54672489999999996</v>
      </c>
      <c r="F6414" t="s">
        <v>41</v>
      </c>
      <c r="G6414">
        <v>-302.01819999999998</v>
      </c>
      <c r="H6414">
        <v>0.99843139999999997</v>
      </c>
      <c r="I6414">
        <v>-7.5967770000000003</v>
      </c>
      <c r="J6414">
        <v>-301.99709999999999</v>
      </c>
      <c r="K6414">
        <v>1.1081840000000001</v>
      </c>
      <c r="L6414">
        <v>-7.1303099999999997</v>
      </c>
      <c r="M6414">
        <v>-5.787925E-2</v>
      </c>
      <c r="N6414">
        <v>-1.2338729999999999E-2</v>
      </c>
      <c r="O6414">
        <v>-0.99824760000000001</v>
      </c>
      <c r="P6414">
        <v>4.5933740000000001E-2</v>
      </c>
      <c r="Q6414">
        <v>0.40016079999999998</v>
      </c>
      <c r="R6414">
        <v>-0.91529320000000003</v>
      </c>
      <c r="S6414">
        <v>-0.18313599999999999</v>
      </c>
      <c r="T6414">
        <v>-0.4882262</v>
      </c>
      <c r="U6414">
        <v>-3.4995120000000002</v>
      </c>
      <c r="V6414">
        <v>-9.7983780000000006E-2</v>
      </c>
      <c r="W6414">
        <v>0.41157650000000001</v>
      </c>
      <c r="X6414">
        <v>0.90609269999999997</v>
      </c>
      <c r="Y6414">
        <v>-6.0406009999999996E-3</v>
      </c>
      <c r="Z6414">
        <v>0.12552279999999999</v>
      </c>
      <c r="AA6414">
        <v>0.99207230000000002</v>
      </c>
      <c r="AB6414">
        <v>26</v>
      </c>
      <c r="AC6414">
        <v>-2.1099999999989901E-2</v>
      </c>
      <c r="AD6414">
        <v>-0.10975259999999901</v>
      </c>
      <c r="AE6414">
        <v>-0.46646699999999902</v>
      </c>
      <c r="AF6414">
        <v>-5.6254054756216098E-3</v>
      </c>
      <c r="AG6414">
        <v>-0.10975259999999901</v>
      </c>
      <c r="AH6414">
        <v>0.44246202191343698</v>
      </c>
      <c r="AI6414">
        <v>103.929946013492</v>
      </c>
      <c r="AJ6414">
        <v>90.728411956466402</v>
      </c>
      <c r="AK6414">
        <v>0.45590560341944902</v>
      </c>
      <c r="AL6414">
        <v>65.696093619202799</v>
      </c>
      <c r="AM6414">
        <v>96.171913461049797</v>
      </c>
      <c r="AN6414">
        <v>1.0000000087443099</v>
      </c>
    </row>
    <row r="6415" spans="1:40" x14ac:dyDescent="0.25">
      <c r="A6415" t="str">
        <f>"20190304165012062"</f>
        <v>20190304165012062</v>
      </c>
      <c r="B6415" t="str">
        <f>"1551689412052334"</f>
        <v>1551689412052334</v>
      </c>
      <c r="C6415" t="s">
        <v>40</v>
      </c>
      <c r="D6415">
        <v>4.9633419999999999</v>
      </c>
      <c r="E6415">
        <v>0.5464329</v>
      </c>
      <c r="F6415" t="s">
        <v>41</v>
      </c>
      <c r="G6415">
        <v>-302.04059999999998</v>
      </c>
      <c r="H6415">
        <v>0.97861980000000004</v>
      </c>
      <c r="I6415">
        <v>-8.054748</v>
      </c>
      <c r="J6415">
        <v>-302.01499999999999</v>
      </c>
      <c r="K6415">
        <v>1.1092949999999999</v>
      </c>
      <c r="L6415">
        <v>-7.4257509999999902</v>
      </c>
      <c r="M6415">
        <v>-5.7947060000000002E-2</v>
      </c>
      <c r="N6415">
        <v>-1.251934E-2</v>
      </c>
      <c r="O6415">
        <v>-0.9982413</v>
      </c>
      <c r="P6415">
        <v>4.962018E-2</v>
      </c>
      <c r="Q6415">
        <v>0.39974929999999997</v>
      </c>
      <c r="R6415">
        <v>-0.91528080000000001</v>
      </c>
      <c r="S6415">
        <v>-0.16369629999999999</v>
      </c>
      <c r="T6415">
        <v>-0.49066320000000002</v>
      </c>
      <c r="U6415">
        <v>-3.5003660000000001</v>
      </c>
      <c r="V6415">
        <v>-0.1024101</v>
      </c>
      <c r="W6415">
        <v>0.41116370000000002</v>
      </c>
      <c r="X6415">
        <v>0.9057906</v>
      </c>
      <c r="Y6415">
        <v>-1.1614630000000001E-2</v>
      </c>
      <c r="Z6415">
        <v>0.12599850000000001</v>
      </c>
      <c r="AA6415">
        <v>0.99196240000000002</v>
      </c>
      <c r="AB6415">
        <v>26</v>
      </c>
      <c r="AC6415">
        <v>-2.5599999999997101E-2</v>
      </c>
      <c r="AD6415">
        <v>-0.13067519999999999</v>
      </c>
      <c r="AE6415">
        <v>-0.62899700000000003</v>
      </c>
      <c r="AF6415">
        <v>-1.0444360655655601E-2</v>
      </c>
      <c r="AG6415">
        <v>-0.13067519999999999</v>
      </c>
      <c r="AH6415">
        <v>0.60342236016823603</v>
      </c>
      <c r="AI6415">
        <v>102.217333556177</v>
      </c>
      <c r="AJ6415">
        <v>90.9916073324476</v>
      </c>
      <c r="AK6415">
        <v>0.61749788446240905</v>
      </c>
      <c r="AL6415">
        <v>65.722042757629495</v>
      </c>
      <c r="AM6415">
        <v>96.450557745291704</v>
      </c>
      <c r="AN6415">
        <v>1.0000000139140299</v>
      </c>
    </row>
    <row r="6416" spans="1:40" x14ac:dyDescent="0.25">
      <c r="A6416" t="str">
        <f>"20190304165012086"</f>
        <v>20190304165012086</v>
      </c>
      <c r="B6416" t="str">
        <f>"1551689412082590"</f>
        <v>1551689412082590</v>
      </c>
      <c r="C6416" t="s">
        <v>40</v>
      </c>
      <c r="D6416">
        <v>4.9767299999999999</v>
      </c>
      <c r="E6416">
        <v>0.54604049999999904</v>
      </c>
      <c r="F6416" t="s">
        <v>41</v>
      </c>
      <c r="G6416">
        <v>-302.05079999999998</v>
      </c>
      <c r="H6416">
        <v>0.98684260000000001</v>
      </c>
      <c r="I6416">
        <v>-8.2918640000000003</v>
      </c>
      <c r="J6416">
        <v>-302.03070000000002</v>
      </c>
      <c r="K6416">
        <v>1.110182</v>
      </c>
      <c r="L6416">
        <v>-7.7027279999999996</v>
      </c>
      <c r="M6416">
        <v>-5.7303699999999902E-2</v>
      </c>
      <c r="N6416">
        <v>-1.266841E-2</v>
      </c>
      <c r="O6416">
        <v>-0.99827630000000001</v>
      </c>
      <c r="P6416">
        <v>5.5852989999999998E-2</v>
      </c>
      <c r="Q6416">
        <v>0.39891779999999999</v>
      </c>
      <c r="R6416">
        <v>-0.91528390000000004</v>
      </c>
      <c r="S6416">
        <v>-0.14486689999999999</v>
      </c>
      <c r="T6416">
        <v>-0.49506529999999999</v>
      </c>
      <c r="U6416">
        <v>-3.50177</v>
      </c>
      <c r="V6416">
        <v>-0.10860789999999999</v>
      </c>
      <c r="W6416">
        <v>0.4103176</v>
      </c>
      <c r="X6416">
        <v>0.90545229999999999</v>
      </c>
      <c r="Y6416">
        <v>-1.6312839999999999E-2</v>
      </c>
      <c r="Z6416">
        <v>0.1270326</v>
      </c>
      <c r="AA6416">
        <v>0.99176439999999999</v>
      </c>
      <c r="AB6416">
        <v>26</v>
      </c>
      <c r="AC6416">
        <v>-2.0099999999956701E-2</v>
      </c>
      <c r="AD6416">
        <v>-0.1233394</v>
      </c>
      <c r="AE6416">
        <v>-0.58913599999999999</v>
      </c>
      <c r="AF6416">
        <v>-1.3120993624305801E-2</v>
      </c>
      <c r="AG6416">
        <v>-0.1233394</v>
      </c>
      <c r="AH6416">
        <v>0.56460187951540397</v>
      </c>
      <c r="AI6416">
        <v>102.319663083584</v>
      </c>
      <c r="AJ6416">
        <v>91.331278360354503</v>
      </c>
      <c r="AK6416">
        <v>0.57806578381562801</v>
      </c>
      <c r="AL6416">
        <v>65.775213488039498</v>
      </c>
      <c r="AM6416">
        <v>96.839880443936806</v>
      </c>
      <c r="AN6416">
        <v>1.00000003819372</v>
      </c>
    </row>
    <row r="6417" spans="1:40" x14ac:dyDescent="0.25">
      <c r="A6417" t="str">
        <f>"20190304165012120"</f>
        <v>20190304165012120</v>
      </c>
      <c r="B6417" t="str">
        <f>"1551689412111869"</f>
        <v>1551689412111869</v>
      </c>
      <c r="C6417" t="s">
        <v>40</v>
      </c>
      <c r="D6417">
        <v>4.9835430000000001</v>
      </c>
      <c r="E6417">
        <v>0.5457052</v>
      </c>
      <c r="F6417" t="s">
        <v>41</v>
      </c>
      <c r="G6417">
        <v>-302.05970000000002</v>
      </c>
      <c r="H6417">
        <v>0.99238340000000003</v>
      </c>
      <c r="I6417">
        <v>-8.527336</v>
      </c>
      <c r="J6417">
        <v>-302.05180000000001</v>
      </c>
      <c r="K6417">
        <v>1.1112470000000001</v>
      </c>
      <c r="L6417">
        <v>-8.1037289999999995</v>
      </c>
      <c r="M6417">
        <v>-5.514281E-2</v>
      </c>
      <c r="N6417">
        <v>-1.2833280000000001E-2</v>
      </c>
      <c r="O6417">
        <v>-0.99839599999999995</v>
      </c>
      <c r="P6417">
        <v>6.1923329999999999E-2</v>
      </c>
      <c r="Q6417">
        <v>0.40009280000000003</v>
      </c>
      <c r="R6417">
        <v>-0.91438039999999998</v>
      </c>
      <c r="S6417">
        <v>-0.12231450000000001</v>
      </c>
      <c r="T6417">
        <v>-0.50058329999999995</v>
      </c>
      <c r="U6417">
        <v>-3.5032960000000002</v>
      </c>
      <c r="V6417">
        <v>-0.1133155</v>
      </c>
      <c r="W6417">
        <v>0.41144180000000002</v>
      </c>
      <c r="X6417">
        <v>0.90436450000000002</v>
      </c>
      <c r="Y6417">
        <v>-2.0542950000000001E-2</v>
      </c>
      <c r="Z6417">
        <v>0.1283706</v>
      </c>
      <c r="AA6417">
        <v>0.99151350000000005</v>
      </c>
      <c r="AB6417">
        <v>26</v>
      </c>
      <c r="AC6417">
        <v>-7.9000000000064505E-3</v>
      </c>
      <c r="AD6417">
        <v>-0.118863599999999</v>
      </c>
      <c r="AE6417">
        <v>-0.42360700000000001</v>
      </c>
      <c r="AF6417">
        <v>-1.4343846495003001E-2</v>
      </c>
      <c r="AG6417">
        <v>-0.118863599999999</v>
      </c>
      <c r="AH6417">
        <v>0.39250465943299601</v>
      </c>
      <c r="AI6417">
        <v>106.8374731376</v>
      </c>
      <c r="AJ6417">
        <v>92.092908414179803</v>
      </c>
      <c r="AK6417">
        <v>0.41035863462810701</v>
      </c>
      <c r="AL6417">
        <v>65.704560134371206</v>
      </c>
      <c r="AM6417">
        <v>97.141854445564405</v>
      </c>
      <c r="AN6417">
        <v>0.99999995309386902</v>
      </c>
    </row>
    <row r="6418" spans="1:40" x14ac:dyDescent="0.25">
      <c r="A6418" t="str">
        <f>"20190304165012143"</f>
        <v>20190304165012143</v>
      </c>
      <c r="B6418" t="str">
        <f>"1551689412132366"</f>
        <v>1551689412132366</v>
      </c>
      <c r="C6418" t="s">
        <v>40</v>
      </c>
      <c r="D6418">
        <v>5.0029839999999997</v>
      </c>
      <c r="E6418">
        <v>0.54549429999999999</v>
      </c>
      <c r="F6418" t="s">
        <v>41</v>
      </c>
      <c r="G6418">
        <v>-302.07490000000001</v>
      </c>
      <c r="H6418">
        <v>0.98523590000000005</v>
      </c>
      <c r="I6418">
        <v>-8.9883860000000002</v>
      </c>
      <c r="J6418">
        <v>-302.06450000000001</v>
      </c>
      <c r="K6418">
        <v>1.111796</v>
      </c>
      <c r="L6418">
        <v>-8.3684689999999993</v>
      </c>
      <c r="M6418">
        <v>-5.2988729999999998E-2</v>
      </c>
      <c r="N6418">
        <v>-1.290548E-2</v>
      </c>
      <c r="O6418">
        <v>-0.9985117</v>
      </c>
      <c r="P6418">
        <v>6.6968940000000005E-2</v>
      </c>
      <c r="Q6418">
        <v>0.39853139999999998</v>
      </c>
      <c r="R6418">
        <v>-0.91470669999999998</v>
      </c>
      <c r="S6418">
        <v>-9.0667719999999993E-2</v>
      </c>
      <c r="T6418">
        <v>-0.49943900000000002</v>
      </c>
      <c r="U6418">
        <v>-3.505585</v>
      </c>
      <c r="V6418">
        <v>-0.1167546</v>
      </c>
      <c r="W6418">
        <v>0.4098427</v>
      </c>
      <c r="X6418">
        <v>0.90465309999999999</v>
      </c>
      <c r="Y6418">
        <v>-2.7342129999999999E-2</v>
      </c>
      <c r="Z6418">
        <v>0.1279206</v>
      </c>
      <c r="AA6418">
        <v>0.9914075</v>
      </c>
      <c r="AB6418">
        <v>26</v>
      </c>
      <c r="AC6418">
        <v>-1.04000000000041E-2</v>
      </c>
      <c r="AD6418">
        <v>-0.12656009999999901</v>
      </c>
      <c r="AE6418">
        <v>-0.61991699999999905</v>
      </c>
      <c r="AF6418">
        <v>-2.1567294656442901E-2</v>
      </c>
      <c r="AG6418">
        <v>-0.12656009999999901</v>
      </c>
      <c r="AH6418">
        <v>0.59481233370111297</v>
      </c>
      <c r="AI6418">
        <v>102.004213784961</v>
      </c>
      <c r="AJ6418">
        <v>92.076577398814607</v>
      </c>
      <c r="AK6418">
        <v>0.60850991728464998</v>
      </c>
      <c r="AL6418">
        <v>65.805044953567105</v>
      </c>
      <c r="AM6418">
        <v>97.353947237289205</v>
      </c>
      <c r="AN6418">
        <v>0.99999995335202796</v>
      </c>
    </row>
    <row r="6419" spans="1:40" x14ac:dyDescent="0.25">
      <c r="A6419" t="str">
        <f>"20190304165012163"</f>
        <v>20190304165012163</v>
      </c>
      <c r="B6419" t="str">
        <f>"1551689412151886"</f>
        <v>1551689412151886</v>
      </c>
      <c r="C6419" t="s">
        <v>40</v>
      </c>
      <c r="D6419">
        <v>4.9834430000000003</v>
      </c>
      <c r="E6419">
        <v>0.54523369999999904</v>
      </c>
      <c r="F6419" t="s">
        <v>41</v>
      </c>
      <c r="G6419">
        <v>-302.08249999999998</v>
      </c>
      <c r="H6419">
        <v>0.9886085</v>
      </c>
      <c r="I6419">
        <v>-9.221743</v>
      </c>
      <c r="J6419">
        <v>-302.07479999999998</v>
      </c>
      <c r="K6419">
        <v>1.11219</v>
      </c>
      <c r="L6419">
        <v>-8.6033939999999998</v>
      </c>
      <c r="M6419">
        <v>-5.0773209999999999E-2</v>
      </c>
      <c r="N6419">
        <v>-1.295146E-2</v>
      </c>
      <c r="O6419">
        <v>-0.99862649999999997</v>
      </c>
      <c r="P6419">
        <v>7.2382059999999998E-2</v>
      </c>
      <c r="Q6419">
        <v>0.39625080000000001</v>
      </c>
      <c r="R6419">
        <v>-0.91528489999999996</v>
      </c>
      <c r="S6419">
        <v>-7.3394780000000007E-2</v>
      </c>
      <c r="T6419">
        <v>-0.5062333</v>
      </c>
      <c r="U6419">
        <v>-3.5056759999999998</v>
      </c>
      <c r="V6419">
        <v>-0.1204131</v>
      </c>
      <c r="W6419">
        <v>0.40752519999999998</v>
      </c>
      <c r="X6419">
        <v>0.90522029999999998</v>
      </c>
      <c r="Y6419">
        <v>-3.000879E-2</v>
      </c>
      <c r="Z6419">
        <v>0.1297751</v>
      </c>
      <c r="AA6419">
        <v>0.9910892</v>
      </c>
      <c r="AB6419">
        <v>26</v>
      </c>
      <c r="AC6419">
        <v>-7.6999999999998103E-3</v>
      </c>
      <c r="AD6419">
        <v>-0.1235815</v>
      </c>
      <c r="AE6419">
        <v>-0.61834900000000004</v>
      </c>
      <c r="AF6419">
        <v>-2.27976581861432E-2</v>
      </c>
      <c r="AG6419">
        <v>-0.1235815</v>
      </c>
      <c r="AH6419">
        <v>0.59421146233171995</v>
      </c>
      <c r="AI6419">
        <v>101.740247419242</v>
      </c>
      <c r="AJ6419">
        <v>92.197145873795293</v>
      </c>
      <c r="AK6419">
        <v>0.60735441245406496</v>
      </c>
      <c r="AL6419">
        <v>65.950532398237002</v>
      </c>
      <c r="AM6419">
        <v>97.577046819614097</v>
      </c>
      <c r="AN6419">
        <v>0.99999994740936804</v>
      </c>
    </row>
    <row r="6420" spans="1:40" x14ac:dyDescent="0.25">
      <c r="A6420" t="str">
        <f>"20190304165012187"</f>
        <v>20190304165012187</v>
      </c>
      <c r="B6420" t="str">
        <f>"1551689412182142"</f>
        <v>1551689412182142</v>
      </c>
      <c r="C6420" t="s">
        <v>40</v>
      </c>
      <c r="D6420">
        <v>4.939152</v>
      </c>
      <c r="E6420">
        <v>0.54485680000000003</v>
      </c>
      <c r="F6420" t="s">
        <v>41</v>
      </c>
      <c r="G6420">
        <v>-302.0883</v>
      </c>
      <c r="H6420">
        <v>0.98764110000000005</v>
      </c>
      <c r="I6420">
        <v>-9.4528479999999995</v>
      </c>
      <c r="J6420">
        <v>-302.0865</v>
      </c>
      <c r="K6420">
        <v>1.1125609999999999</v>
      </c>
      <c r="L6420">
        <v>-8.8924259999999897</v>
      </c>
      <c r="M6420">
        <v>-4.7751019999999998E-2</v>
      </c>
      <c r="N6420">
        <v>-1.297853E-2</v>
      </c>
      <c r="O6420">
        <v>-0.99877499999999997</v>
      </c>
      <c r="P6420">
        <v>7.7384410000000001E-2</v>
      </c>
      <c r="Q6420">
        <v>0.39486490000000002</v>
      </c>
      <c r="R6420">
        <v>-0.91547440000000002</v>
      </c>
      <c r="S6420">
        <v>-5.5297850000000003E-2</v>
      </c>
      <c r="T6420">
        <v>-0.51387539999999998</v>
      </c>
      <c r="U6420">
        <v>-3.5045169999999999</v>
      </c>
      <c r="V6420">
        <v>-0.122895699999999</v>
      </c>
      <c r="W6420">
        <v>0.40608729999999998</v>
      </c>
      <c r="X6420">
        <v>0.90553280000000003</v>
      </c>
      <c r="Y6420">
        <v>-3.2095029999999997E-2</v>
      </c>
      <c r="Z6420">
        <v>0.131939</v>
      </c>
      <c r="AA6420">
        <v>0.99073809999999995</v>
      </c>
      <c r="AB6420">
        <v>26</v>
      </c>
      <c r="AC6420">
        <v>-1.8000000000029099E-3</v>
      </c>
      <c r="AD6420">
        <v>-0.1249199</v>
      </c>
      <c r="AE6420">
        <v>-0.56042199999999998</v>
      </c>
      <c r="AF6420">
        <v>-2.3783344528940799E-2</v>
      </c>
      <c r="AG6420">
        <v>-0.1249199</v>
      </c>
      <c r="AH6420">
        <v>0.53336798168775501</v>
      </c>
      <c r="AI6420">
        <v>103.168997862523</v>
      </c>
      <c r="AJ6420">
        <v>92.553177587765902</v>
      </c>
      <c r="AK6420">
        <v>0.54831745620822803</v>
      </c>
      <c r="AL6420">
        <v>66.040717814791407</v>
      </c>
      <c r="AM6420">
        <v>97.728758945666797</v>
      </c>
      <c r="AN6420">
        <v>0.99999995008780795</v>
      </c>
    </row>
    <row r="6421" spans="1:40" x14ac:dyDescent="0.25">
      <c r="A6421" t="str">
        <f>"20190304165012211"</f>
        <v>20190304165012211</v>
      </c>
      <c r="B6421" t="str">
        <f>"1551689412201662"</f>
        <v>1551689412201662</v>
      </c>
      <c r="C6421" t="s">
        <v>40</v>
      </c>
      <c r="D6421">
        <v>5.0340189999999998</v>
      </c>
      <c r="E6421">
        <v>0.54470280000000004</v>
      </c>
      <c r="F6421" t="s">
        <v>41</v>
      </c>
      <c r="G6421">
        <v>-302.09339999999997</v>
      </c>
      <c r="H6421">
        <v>0.9952569</v>
      </c>
      <c r="I6421">
        <v>-9.6879399999999993</v>
      </c>
      <c r="J6421">
        <v>-302.09629999999999</v>
      </c>
      <c r="K6421">
        <v>1.1128</v>
      </c>
      <c r="L6421">
        <v>-9.1641539999999999</v>
      </c>
      <c r="M6421">
        <v>-4.4703659999999999E-2</v>
      </c>
      <c r="N6421">
        <v>-1.297393E-2</v>
      </c>
      <c r="O6421">
        <v>-0.99891600000000003</v>
      </c>
      <c r="P6421">
        <v>8.1840250000000003E-2</v>
      </c>
      <c r="Q6421">
        <v>0.3945997</v>
      </c>
      <c r="R6421">
        <v>-0.91520109999999999</v>
      </c>
      <c r="S6421">
        <v>-3.024292E-2</v>
      </c>
      <c r="T6421">
        <v>-0.51651369999999996</v>
      </c>
      <c r="U6421">
        <v>-3.502319</v>
      </c>
      <c r="V6421">
        <v>-0.1247133</v>
      </c>
      <c r="W6421">
        <v>0.40576000000000001</v>
      </c>
      <c r="X6421">
        <v>0.90543099999999999</v>
      </c>
      <c r="Y6421">
        <v>-3.6118619999999997E-2</v>
      </c>
      <c r="Z6421">
        <v>0.1327865</v>
      </c>
      <c r="AA6421">
        <v>0.99048630000000004</v>
      </c>
      <c r="AB6421">
        <v>26</v>
      </c>
      <c r="AC6421">
        <v>2.9000000000110001E-3</v>
      </c>
      <c r="AD6421">
        <v>-0.1175431</v>
      </c>
      <c r="AE6421">
        <v>-0.52378599999999897</v>
      </c>
      <c r="AF6421">
        <v>-2.5052610435818801E-2</v>
      </c>
      <c r="AG6421">
        <v>-0.1175431</v>
      </c>
      <c r="AH6421">
        <v>0.49805147797603799</v>
      </c>
      <c r="AI6421">
        <v>103.262983102017</v>
      </c>
      <c r="AJ6421">
        <v>92.8796221084461</v>
      </c>
      <c r="AK6421">
        <v>0.51234684380932305</v>
      </c>
      <c r="AL6421">
        <v>66.061237060243499</v>
      </c>
      <c r="AM6421">
        <v>97.842524337908998</v>
      </c>
      <c r="AN6421">
        <v>0.99999994027894301</v>
      </c>
    </row>
    <row r="6422" spans="1:40" x14ac:dyDescent="0.25">
      <c r="A6422" t="str">
        <f>"20190304165012238"</f>
        <v>20190304165012238</v>
      </c>
      <c r="B6422" t="str">
        <f>"1551689412231918"</f>
        <v>1551689412231918</v>
      </c>
      <c r="C6422" t="s">
        <v>40</v>
      </c>
      <c r="D6422">
        <v>5.2277879999999897</v>
      </c>
      <c r="E6422">
        <v>0.51897320000000002</v>
      </c>
      <c r="F6422" t="s">
        <v>41</v>
      </c>
      <c r="G6422">
        <v>-302.0976</v>
      </c>
      <c r="H6422">
        <v>1.000319</v>
      </c>
      <c r="I6422">
        <v>-9.9216960000000007</v>
      </c>
      <c r="J6422">
        <v>-302.10599999999999</v>
      </c>
      <c r="K6422">
        <v>1.1129599999999999</v>
      </c>
      <c r="L6422">
        <v>-9.4678339999999999</v>
      </c>
      <c r="M6422">
        <v>-4.1136819999999998E-2</v>
      </c>
      <c r="N6422">
        <v>-1.293823E-2</v>
      </c>
      <c r="O6422">
        <v>-0.99907000000000001</v>
      </c>
      <c r="P6422">
        <v>8.7034899999999998E-2</v>
      </c>
      <c r="Q6422">
        <v>0.39301350000000002</v>
      </c>
      <c r="R6422">
        <v>-0.91540489999999997</v>
      </c>
      <c r="S6422">
        <v>-5.3405759999999997E-3</v>
      </c>
      <c r="T6422">
        <v>-0.5202793</v>
      </c>
      <c r="U6422">
        <v>-3.502777</v>
      </c>
      <c r="V6422">
        <v>-0.12676009999999999</v>
      </c>
      <c r="W6422">
        <v>0.4041033</v>
      </c>
      <c r="X6422">
        <v>0.90588769999999996</v>
      </c>
      <c r="Y6422">
        <v>-3.9589220000000001E-2</v>
      </c>
      <c r="Z6422">
        <v>0.13386819999999999</v>
      </c>
      <c r="AA6422">
        <v>0.99020799999999998</v>
      </c>
      <c r="AB6422">
        <v>26</v>
      </c>
      <c r="AC6422">
        <v>8.3999999999946305E-3</v>
      </c>
      <c r="AD6422">
        <v>-0.11264100000000001</v>
      </c>
      <c r="AE6422">
        <v>-0.45386199999999999</v>
      </c>
      <c r="AF6422">
        <v>-2.54950561614764E-2</v>
      </c>
      <c r="AG6422">
        <v>-0.11264100000000001</v>
      </c>
      <c r="AH6422">
        <v>0.42684939493259799</v>
      </c>
      <c r="AI6422">
        <v>104.75759999454699</v>
      </c>
      <c r="AJ6422">
        <v>93.4181277097681</v>
      </c>
      <c r="AK6422">
        <v>0.442197239615991</v>
      </c>
      <c r="AL6422">
        <v>66.165054078099203</v>
      </c>
      <c r="AM6422">
        <v>97.965629241529399</v>
      </c>
      <c r="AN6422">
        <v>1.0000000625170899</v>
      </c>
    </row>
    <row r="6423" spans="1:40" x14ac:dyDescent="0.25">
      <c r="A6423" t="str">
        <f>"20190304165012262"</f>
        <v>20190304165012262</v>
      </c>
      <c r="B6423" t="str">
        <f>"1551689412252414"</f>
        <v>1551689412252414</v>
      </c>
      <c r="C6423" t="s">
        <v>40</v>
      </c>
      <c r="D6423">
        <v>5.0640660000000004</v>
      </c>
      <c r="E6423">
        <v>0.49212630000000002</v>
      </c>
      <c r="F6423" t="s">
        <v>42</v>
      </c>
      <c r="G6423">
        <v>-301.6345</v>
      </c>
      <c r="H6423" s="1">
        <v>-1.9443120000000001E-6</v>
      </c>
      <c r="I6423">
        <v>-16.892399999999999</v>
      </c>
      <c r="J6423">
        <v>-302.11360000000002</v>
      </c>
      <c r="K6423">
        <v>1.1130389999999999</v>
      </c>
      <c r="L6423">
        <v>-9.7434689999999993</v>
      </c>
      <c r="M6423">
        <v>-3.7806260000000001E-2</v>
      </c>
      <c r="N6423">
        <v>-1.287977E-2</v>
      </c>
      <c r="O6423">
        <v>-0.99920209999999998</v>
      </c>
      <c r="P6423">
        <v>9.2139280000000004E-2</v>
      </c>
      <c r="Q6423">
        <v>0.39013520000000002</v>
      </c>
      <c r="R6423">
        <v>-0.9161357</v>
      </c>
      <c r="S6423">
        <v>0.22100829999999999</v>
      </c>
      <c r="T6423">
        <v>-0.5216904</v>
      </c>
      <c r="U6423">
        <v>-3.480194</v>
      </c>
      <c r="V6423">
        <v>-0.12888549999999999</v>
      </c>
      <c r="W6423">
        <v>0.4011575</v>
      </c>
      <c r="X6423">
        <v>0.90689649999999999</v>
      </c>
      <c r="Y6423">
        <v>-0.10038</v>
      </c>
      <c r="Z6423">
        <v>0.13480220000000001</v>
      </c>
      <c r="AA6423">
        <v>0.98577490000000001</v>
      </c>
      <c r="AB6423">
        <v>26</v>
      </c>
      <c r="AC6423">
        <v>0.47910000000001601</v>
      </c>
      <c r="AD6423">
        <v>-1.113040944312</v>
      </c>
      <c r="AE6423">
        <v>-7.1489309999999904</v>
      </c>
      <c r="AF6423">
        <v>-0.73140392493274597</v>
      </c>
      <c r="AG6423">
        <v>-1.113040944312</v>
      </c>
      <c r="AH6423">
        <v>6.9577989822186401</v>
      </c>
      <c r="AI6423">
        <v>99.039637075087299</v>
      </c>
      <c r="AJ6423">
        <v>96.000894163418494</v>
      </c>
      <c r="AK6423">
        <v>7.08412157730828</v>
      </c>
      <c r="AL6423">
        <v>66.349441568097205</v>
      </c>
      <c r="AM6423">
        <v>98.088544714172997</v>
      </c>
      <c r="AN6423">
        <v>1.00000003681437</v>
      </c>
    </row>
    <row r="6424" spans="1:40" x14ac:dyDescent="0.25">
      <c r="A6424" t="str">
        <f>"20190304165012306"</f>
        <v>20190304165012306</v>
      </c>
      <c r="B6424" t="str">
        <f>"1551689412302190"</f>
        <v>1551689412302190</v>
      </c>
      <c r="C6424" t="s">
        <v>40</v>
      </c>
      <c r="D6424">
        <v>4.9758879999999897</v>
      </c>
      <c r="E6424">
        <v>0.4914753</v>
      </c>
      <c r="F6424" t="s">
        <v>42</v>
      </c>
      <c r="G6424">
        <v>-300.99360000000001</v>
      </c>
      <c r="H6424" s="1">
        <v>-1.1491229999999999E-6</v>
      </c>
      <c r="I6424">
        <v>-18.348500000000001</v>
      </c>
      <c r="J6424">
        <v>-302.12520000000001</v>
      </c>
      <c r="K6424">
        <v>1.1131500000000001</v>
      </c>
      <c r="L6424">
        <v>-10.25174</v>
      </c>
      <c r="M6424">
        <v>-3.1580990000000003E-2</v>
      </c>
      <c r="N6424">
        <v>-1.2736000000000001E-2</v>
      </c>
      <c r="O6424">
        <v>-0.99942010000000003</v>
      </c>
      <c r="P6424">
        <v>9.7176949999999998E-2</v>
      </c>
      <c r="Q6424">
        <v>0.38816519999999999</v>
      </c>
      <c r="R6424">
        <v>-0.9164523</v>
      </c>
      <c r="S6424">
        <v>0.44491579999999997</v>
      </c>
      <c r="T6424">
        <v>-0.44212970000000001</v>
      </c>
      <c r="U6424">
        <v>-3.4181520000000001</v>
      </c>
      <c r="V6424">
        <v>-0.12826480000000001</v>
      </c>
      <c r="W6424">
        <v>0.39906340000000001</v>
      </c>
      <c r="X6424">
        <v>0.90790780000000004</v>
      </c>
      <c r="Y6424">
        <v>-0.15934000000000001</v>
      </c>
      <c r="Z6424">
        <v>0.1141692</v>
      </c>
      <c r="AA6424">
        <v>0.98059989999999997</v>
      </c>
      <c r="AB6424">
        <v>26</v>
      </c>
      <c r="AC6424">
        <v>1.1315999999999899</v>
      </c>
      <c r="AD6424">
        <v>-1.1131511491229999</v>
      </c>
      <c r="AE6424">
        <v>-8.0967599999999997</v>
      </c>
      <c r="AF6424">
        <v>-1.3615187907397399</v>
      </c>
      <c r="AG6424">
        <v>-1.1131511491229999</v>
      </c>
      <c r="AH6424">
        <v>7.9103316534062103</v>
      </c>
      <c r="AI6424">
        <v>97.895529575617701</v>
      </c>
      <c r="AJ6424">
        <v>99.766006352799806</v>
      </c>
      <c r="AK6424">
        <v>8.1034675149106103</v>
      </c>
      <c r="AL6424">
        <v>66.480360228892295</v>
      </c>
      <c r="AM6424">
        <v>98.041253405892704</v>
      </c>
      <c r="AN6424">
        <v>1.0000000147197201</v>
      </c>
    </row>
    <row r="6425" spans="1:40" x14ac:dyDescent="0.25">
      <c r="A6425" t="str">
        <f>"20190304165012342"</f>
        <v>20190304165012342</v>
      </c>
      <c r="B6425" t="str">
        <f>"1551689412332446"</f>
        <v>1551689412332446</v>
      </c>
      <c r="C6425" t="s">
        <v>40</v>
      </c>
      <c r="D6425">
        <v>4.973287</v>
      </c>
      <c r="E6425">
        <v>0.49113689999999999</v>
      </c>
      <c r="F6425" t="s">
        <v>42</v>
      </c>
      <c r="G6425">
        <v>-300.9538</v>
      </c>
      <c r="H6425" s="1">
        <v>-9.1559909999999998E-7</v>
      </c>
      <c r="I6425">
        <v>-18.86816</v>
      </c>
      <c r="J6425">
        <v>-302.13229999999999</v>
      </c>
      <c r="K6425">
        <v>1.113202</v>
      </c>
      <c r="L6425">
        <v>-10.673030000000001</v>
      </c>
      <c r="M6425">
        <v>-2.6372550000000002E-2</v>
      </c>
      <c r="N6425">
        <v>-1.257581E-2</v>
      </c>
      <c r="O6425">
        <v>-0.99957320000000005</v>
      </c>
      <c r="P6425">
        <v>9.9773550000000003E-2</v>
      </c>
      <c r="Q6425">
        <v>0.38813910000000001</v>
      </c>
      <c r="R6425">
        <v>-0.91618390000000005</v>
      </c>
      <c r="S6425">
        <v>0.46371459999999998</v>
      </c>
      <c r="T6425">
        <v>-0.44065870000000001</v>
      </c>
      <c r="U6425">
        <v>-3.4109500000000001</v>
      </c>
      <c r="V6425">
        <v>-0.1261042</v>
      </c>
      <c r="W6425">
        <v>0.39890379999999998</v>
      </c>
      <c r="X6425">
        <v>0.90828059999999999</v>
      </c>
      <c r="Y6425">
        <v>-0.15977379999999999</v>
      </c>
      <c r="Z6425">
        <v>0.1141562</v>
      </c>
      <c r="AA6425">
        <v>0.98053080000000004</v>
      </c>
      <c r="AB6425">
        <v>26</v>
      </c>
      <c r="AC6425">
        <v>1.1784999999999799</v>
      </c>
      <c r="AD6425">
        <v>-1.1132029155990999</v>
      </c>
      <c r="AE6425">
        <v>-8.19512999999999</v>
      </c>
      <c r="AF6425">
        <v>-1.36947635013118</v>
      </c>
      <c r="AG6425">
        <v>-1.1132029155990999</v>
      </c>
      <c r="AH6425">
        <v>8.0162793329161293</v>
      </c>
      <c r="AI6425">
        <v>97.794470304041397</v>
      </c>
      <c r="AJ6425">
        <v>99.694643118595394</v>
      </c>
      <c r="AK6425">
        <v>8.2082531971306292</v>
      </c>
      <c r="AL6425">
        <v>66.490334392399802</v>
      </c>
      <c r="AM6425">
        <v>97.904323066599702</v>
      </c>
      <c r="AN6425">
        <v>1.0000000796242099</v>
      </c>
    </row>
    <row r="6426" spans="1:40" x14ac:dyDescent="0.25">
      <c r="A6426" t="str">
        <f>"20190304165012365"</f>
        <v>20190304165012365</v>
      </c>
      <c r="B6426" t="str">
        <f>"1551689412361727"</f>
        <v>1551689412361727</v>
      </c>
      <c r="C6426" t="s">
        <v>40</v>
      </c>
      <c r="D6426">
        <v>4.9786590000000004</v>
      </c>
      <c r="E6426">
        <v>0.49130489999999999</v>
      </c>
      <c r="F6426" t="s">
        <v>42</v>
      </c>
      <c r="G6426">
        <v>-300.9119</v>
      </c>
      <c r="H6426" s="1">
        <v>-6.4479780000000002E-7</v>
      </c>
      <c r="I6426">
        <v>-19.473400000000002</v>
      </c>
      <c r="J6426">
        <v>-302.13569999999999</v>
      </c>
      <c r="K6426">
        <v>1.113219</v>
      </c>
      <c r="L6426">
        <v>-10.940580000000001</v>
      </c>
      <c r="M6426">
        <v>-2.3047290000000002E-2</v>
      </c>
      <c r="N6426">
        <v>-1.246711E-2</v>
      </c>
      <c r="O6426">
        <v>-0.99965680000000001</v>
      </c>
      <c r="P6426">
        <v>0.10051930000000001</v>
      </c>
      <c r="Q6426">
        <v>0.38996380000000003</v>
      </c>
      <c r="R6426">
        <v>-0.91532749999999996</v>
      </c>
      <c r="S6426">
        <v>0.47228999999999999</v>
      </c>
      <c r="T6426">
        <v>-0.43078119999999998</v>
      </c>
      <c r="U6426">
        <v>-3.4055179999999998</v>
      </c>
      <c r="V6426">
        <v>-0.12380910000000001</v>
      </c>
      <c r="W6426">
        <v>0.4006342</v>
      </c>
      <c r="X6426">
        <v>0.90783449999999999</v>
      </c>
      <c r="Y6426">
        <v>-0.15916629999999901</v>
      </c>
      <c r="Z6426">
        <v>0.11166180000000001</v>
      </c>
      <c r="AA6426">
        <v>0.98091680000000003</v>
      </c>
      <c r="AB6426">
        <v>26</v>
      </c>
      <c r="AC6426">
        <v>1.22379999999998</v>
      </c>
      <c r="AD6426">
        <v>-1.1132196447978</v>
      </c>
      <c r="AE6426">
        <v>-8.5328199999999992</v>
      </c>
      <c r="AF6426">
        <v>-1.39685235478971</v>
      </c>
      <c r="AG6426">
        <v>-1.1132196447978</v>
      </c>
      <c r="AH6426">
        <v>8.3628729587899997</v>
      </c>
      <c r="AI6426">
        <v>97.479897876033604</v>
      </c>
      <c r="AJ6426">
        <v>99.482587073690794</v>
      </c>
      <c r="AK6426">
        <v>8.5514968633278698</v>
      </c>
      <c r="AL6426">
        <v>66.382167814704104</v>
      </c>
      <c r="AM6426">
        <v>97.766001637593206</v>
      </c>
      <c r="AN6426">
        <v>0.999999967421349</v>
      </c>
    </row>
    <row r="6427" spans="1:40" x14ac:dyDescent="0.25">
      <c r="A6427" t="str">
        <f>"20190304165012391"</f>
        <v>20190304165012391</v>
      </c>
      <c r="B6427" t="str">
        <f>"1551689412382222"</f>
        <v>1551689412382222</v>
      </c>
      <c r="C6427" t="s">
        <v>40</v>
      </c>
      <c r="D6427">
        <v>5.0362679999999997</v>
      </c>
      <c r="E6427">
        <v>0.4919598</v>
      </c>
      <c r="F6427" t="s">
        <v>42</v>
      </c>
      <c r="G6427">
        <v>-300.87079999999997</v>
      </c>
      <c r="H6427" s="1">
        <v>-4.1165390000000002E-7</v>
      </c>
      <c r="I6427">
        <v>-19.991430000000001</v>
      </c>
      <c r="J6427">
        <v>-302.13839999999999</v>
      </c>
      <c r="K6427">
        <v>1.1132299999999999</v>
      </c>
      <c r="L6427">
        <v>-11.236660000000001</v>
      </c>
      <c r="M6427">
        <v>-1.935127E-2</v>
      </c>
      <c r="N6427">
        <v>-1.2349479999999999E-2</v>
      </c>
      <c r="O6427">
        <v>-0.99973670000000003</v>
      </c>
      <c r="P6427">
        <v>0.1016196</v>
      </c>
      <c r="Q6427">
        <v>0.39149590000000001</v>
      </c>
      <c r="R6427">
        <v>-0.91455189999999997</v>
      </c>
      <c r="S6427">
        <v>0.47564699999999999</v>
      </c>
      <c r="T6427">
        <v>-0.41863270000000002</v>
      </c>
      <c r="U6427">
        <v>-3.4036249999999999</v>
      </c>
      <c r="V6427">
        <v>-0.121534199999999</v>
      </c>
      <c r="W6427">
        <v>0.4020649</v>
      </c>
      <c r="X6427">
        <v>0.90750940000000002</v>
      </c>
      <c r="Y6427">
        <v>-0.1565964</v>
      </c>
      <c r="Z6427">
        <v>0.1084273</v>
      </c>
      <c r="AA6427">
        <v>0.98169300000000004</v>
      </c>
      <c r="AB6427">
        <v>26</v>
      </c>
      <c r="AC6427">
        <v>1.2676000000000101</v>
      </c>
      <c r="AD6427">
        <v>-1.11323041165389</v>
      </c>
      <c r="AE6427">
        <v>-8.7547699999999899</v>
      </c>
      <c r="AF6427">
        <v>-1.4143918187614199</v>
      </c>
      <c r="AG6427">
        <v>-1.11323041165389</v>
      </c>
      <c r="AH6427">
        <v>8.5925199692188698</v>
      </c>
      <c r="AI6427">
        <v>97.285049148218206</v>
      </c>
      <c r="AJ6427">
        <v>99.347481981500295</v>
      </c>
      <c r="AK6427">
        <v>8.7790196256663702</v>
      </c>
      <c r="AL6427">
        <v>66.292671745036799</v>
      </c>
      <c r="AM6427">
        <v>97.627700778828299</v>
      </c>
      <c r="AN6427">
        <v>1.0000000283349999</v>
      </c>
    </row>
    <row r="6428" spans="1:40" x14ac:dyDescent="0.25">
      <c r="A6428" t="str">
        <f>"20190304165012417"</f>
        <v>20190304165012417</v>
      </c>
      <c r="B6428" t="str">
        <f>"1551689412412479"</f>
        <v>1551689412412479</v>
      </c>
      <c r="C6428" t="s">
        <v>40</v>
      </c>
      <c r="D6428">
        <v>5.046278</v>
      </c>
      <c r="E6428">
        <v>0.49255969999999999</v>
      </c>
      <c r="F6428" t="s">
        <v>42</v>
      </c>
      <c r="G6428">
        <v>-300.85390000000001</v>
      </c>
      <c r="H6428" s="1">
        <v>-2.39811E-7</v>
      </c>
      <c r="I6428">
        <v>-20.38147</v>
      </c>
      <c r="J6428">
        <v>-302.14</v>
      </c>
      <c r="K6428">
        <v>1.113232</v>
      </c>
      <c r="L6428">
        <v>-11.53665</v>
      </c>
      <c r="M6428">
        <v>-1.558909E-2</v>
      </c>
      <c r="N6428">
        <v>-1.223433E-2</v>
      </c>
      <c r="O6428">
        <v>-0.99980380000000002</v>
      </c>
      <c r="P6428">
        <v>0.1034042</v>
      </c>
      <c r="Q6428">
        <v>0.39143539999999999</v>
      </c>
      <c r="R6428">
        <v>-0.91437740000000001</v>
      </c>
      <c r="S6428">
        <v>0.47821039999999998</v>
      </c>
      <c r="T6428">
        <v>-0.41445080000000001</v>
      </c>
      <c r="U6428">
        <v>-3.4045719999999999</v>
      </c>
      <c r="V6428">
        <v>-0.11988550000000001</v>
      </c>
      <c r="W6428">
        <v>0.40191080000000001</v>
      </c>
      <c r="X6428">
        <v>0.90779690000000002</v>
      </c>
      <c r="Y6428">
        <v>-0.15358849999999999</v>
      </c>
      <c r="Z6428">
        <v>0.1073568</v>
      </c>
      <c r="AA6428">
        <v>0.98228559999999998</v>
      </c>
      <c r="AB6428">
        <v>26</v>
      </c>
      <c r="AC6428">
        <v>1.28609999999997</v>
      </c>
      <c r="AD6428">
        <v>-1.1132322398109999</v>
      </c>
      <c r="AE6428">
        <v>-8.8448200000000003</v>
      </c>
      <c r="AF6428">
        <v>-1.4020855761244699</v>
      </c>
      <c r="AG6428">
        <v>-1.1132322398109999</v>
      </c>
      <c r="AH6428">
        <v>8.6889000652435993</v>
      </c>
      <c r="AI6428">
        <v>97.208777460883596</v>
      </c>
      <c r="AJ6428">
        <v>99.166525033403701</v>
      </c>
      <c r="AK6428">
        <v>8.8714212123154894</v>
      </c>
      <c r="AL6428">
        <v>66.302314172378502</v>
      </c>
      <c r="AM6428">
        <v>97.523063399468001</v>
      </c>
      <c r="AN6428">
        <v>1.00000001795824</v>
      </c>
    </row>
    <row r="6429" spans="1:40" x14ac:dyDescent="0.25">
      <c r="A6429" t="str">
        <f>"20190304165012440"</f>
        <v>20190304165012440</v>
      </c>
      <c r="B6429" t="str">
        <f>"1551689412431997"</f>
        <v>1551689412431997</v>
      </c>
      <c r="C6429" t="s">
        <v>40</v>
      </c>
      <c r="D6429">
        <v>5.0181709999999997</v>
      </c>
      <c r="E6429">
        <v>0.49293330000000002</v>
      </c>
      <c r="F6429" t="s">
        <v>42</v>
      </c>
      <c r="G6429">
        <v>-300.84649999999999</v>
      </c>
      <c r="H6429" s="1">
        <v>-4.3556240000000001E-6</v>
      </c>
      <c r="I6429">
        <v>-20.65522</v>
      </c>
      <c r="J6429">
        <v>-302.14030000000002</v>
      </c>
      <c r="K6429">
        <v>1.113219</v>
      </c>
      <c r="L6429">
        <v>-11.82114</v>
      </c>
      <c r="M6429">
        <v>-1.2011890000000001E-2</v>
      </c>
      <c r="N6429">
        <v>-1.213447E-2</v>
      </c>
      <c r="O6429">
        <v>-0.99985420000000003</v>
      </c>
      <c r="P6429">
        <v>0.1044149</v>
      </c>
      <c r="Q6429">
        <v>0.39070110000000002</v>
      </c>
      <c r="R6429">
        <v>-0.91457650000000001</v>
      </c>
      <c r="S6429">
        <v>0.48291020000000001</v>
      </c>
      <c r="T6429">
        <v>-0.41560449999999999</v>
      </c>
      <c r="U6429">
        <v>-3.404236</v>
      </c>
      <c r="V6429">
        <v>-0.1176267</v>
      </c>
      <c r="W6429">
        <v>0.40110590000000002</v>
      </c>
      <c r="X6429">
        <v>0.90844820000000004</v>
      </c>
      <c r="Y6429">
        <v>-0.151392</v>
      </c>
      <c r="Z6429">
        <v>0.1078171</v>
      </c>
      <c r="AA6429">
        <v>0.98257620000000001</v>
      </c>
      <c r="AB6429">
        <v>26</v>
      </c>
      <c r="AC6429">
        <v>1.29380000000003</v>
      </c>
      <c r="AD6429">
        <v>-1.1132233556240001</v>
      </c>
      <c r="AE6429">
        <v>-8.8340800000000002</v>
      </c>
      <c r="AF6429">
        <v>-1.3783995369089601</v>
      </c>
      <c r="AG6429">
        <v>-1.1132233556240001</v>
      </c>
      <c r="AH6429">
        <v>8.6829138366589191</v>
      </c>
      <c r="AI6429">
        <v>97.216553313439206</v>
      </c>
      <c r="AJ6429">
        <v>99.020347413164998</v>
      </c>
      <c r="AK6429">
        <v>8.8618420329918095</v>
      </c>
      <c r="AL6429">
        <v>66.352669602082599</v>
      </c>
      <c r="AM6429">
        <v>97.377662828001803</v>
      </c>
      <c r="AN6429">
        <v>1.00000005782546</v>
      </c>
    </row>
    <row r="6430" spans="1:40" x14ac:dyDescent="0.25">
      <c r="A6430" t="str">
        <f>"20190304165012476"</f>
        <v>20190304165012476</v>
      </c>
      <c r="B6430" t="str">
        <f>"1551689412472018"</f>
        <v>1551689412472018</v>
      </c>
      <c r="C6430" t="s">
        <v>40</v>
      </c>
      <c r="D6430">
        <v>5.033379</v>
      </c>
      <c r="E6430">
        <v>0.49325469999999999</v>
      </c>
      <c r="F6430" t="s">
        <v>42</v>
      </c>
      <c r="G6430">
        <v>-300.84640000000002</v>
      </c>
      <c r="H6430" s="1">
        <v>-4.2865719999999998E-6</v>
      </c>
      <c r="I6430">
        <v>-20.85811</v>
      </c>
      <c r="J6430">
        <v>-302.13920000000002</v>
      </c>
      <c r="K6430">
        <v>1.1132150000000001</v>
      </c>
      <c r="L6430">
        <v>-12.22949</v>
      </c>
      <c r="M6430">
        <v>-6.8910780000000001E-3</v>
      </c>
      <c r="N6430">
        <v>-1.2008359999999999E-2</v>
      </c>
      <c r="O6430">
        <v>-0.99990440000000003</v>
      </c>
      <c r="P6430">
        <v>0.1046059</v>
      </c>
      <c r="Q6430">
        <v>0.38789990000000002</v>
      </c>
      <c r="R6430">
        <v>-0.91574670000000002</v>
      </c>
      <c r="S6430">
        <v>0.48733520000000002</v>
      </c>
      <c r="T6430">
        <v>-0.41928460000000001</v>
      </c>
      <c r="U6430">
        <v>-3.4036870000000001</v>
      </c>
      <c r="V6430">
        <v>-0.1131177</v>
      </c>
      <c r="W6430">
        <v>0.39824080000000001</v>
      </c>
      <c r="X6430">
        <v>0.91027950000000002</v>
      </c>
      <c r="Y6430">
        <v>-0.147588</v>
      </c>
      <c r="Z6430">
        <v>0.1090463</v>
      </c>
      <c r="AA6430">
        <v>0.98301919999999998</v>
      </c>
      <c r="AB6430">
        <v>26</v>
      </c>
      <c r="AC6430">
        <v>1.29279999999999</v>
      </c>
      <c r="AD6430">
        <v>-1.1132192865719901</v>
      </c>
      <c r="AE6430">
        <v>-8.6286199999999997</v>
      </c>
      <c r="AF6430">
        <v>-1.3305731787213</v>
      </c>
      <c r="AG6430">
        <v>-1.1132192865719901</v>
      </c>
      <c r="AH6430">
        <v>8.4814333153189008</v>
      </c>
      <c r="AI6430">
        <v>97.388189007239504</v>
      </c>
      <c r="AJ6430">
        <v>98.915930878594196</v>
      </c>
      <c r="AK6430">
        <v>8.6570429851150603</v>
      </c>
      <c r="AL6430">
        <v>66.531753090604795</v>
      </c>
      <c r="AM6430">
        <v>97.083660776097901</v>
      </c>
      <c r="AN6430">
        <v>1.00000005847908</v>
      </c>
    </row>
    <row r="6431" spans="1:40" x14ac:dyDescent="0.25">
      <c r="A6431" t="str">
        <f>"20190304165012502"</f>
        <v>20190304165012502</v>
      </c>
      <c r="B6431" t="str">
        <f>"1551689412491534"</f>
        <v>1551689412491534</v>
      </c>
      <c r="C6431" t="s">
        <v>40</v>
      </c>
      <c r="D6431">
        <v>5.0631329999999997</v>
      </c>
      <c r="E6431">
        <v>0.49341200000000002</v>
      </c>
      <c r="F6431" t="s">
        <v>42</v>
      </c>
      <c r="G6431">
        <v>-300.89089999999999</v>
      </c>
      <c r="H6431" s="1">
        <v>-4.2481320000000001E-6</v>
      </c>
      <c r="I6431">
        <v>-20.994250000000001</v>
      </c>
      <c r="J6431">
        <v>-302.137</v>
      </c>
      <c r="K6431">
        <v>1.113199</v>
      </c>
      <c r="L6431">
        <v>-12.531560000000001</v>
      </c>
      <c r="M6431">
        <v>-3.1663730000000001E-3</v>
      </c>
      <c r="N6431">
        <v>-1.19287E-2</v>
      </c>
      <c r="O6431">
        <v>-0.99992389999999998</v>
      </c>
      <c r="P6431">
        <v>0.1068789</v>
      </c>
      <c r="Q6431">
        <v>0.38755849999999997</v>
      </c>
      <c r="R6431">
        <v>-0.91562860000000001</v>
      </c>
      <c r="S6431">
        <v>0.48477170000000003</v>
      </c>
      <c r="T6431">
        <v>-0.43231639999999999</v>
      </c>
      <c r="U6431">
        <v>-3.403778</v>
      </c>
      <c r="V6431">
        <v>-0.1119488</v>
      </c>
      <c r="W6431">
        <v>0.3978449</v>
      </c>
      <c r="X6431">
        <v>0.91059699999999999</v>
      </c>
      <c r="Y6431">
        <v>-0.1431144</v>
      </c>
      <c r="Z6431">
        <v>0.1128839</v>
      </c>
      <c r="AA6431">
        <v>0.98324739999999999</v>
      </c>
      <c r="AB6431">
        <v>26</v>
      </c>
      <c r="AC6431">
        <v>1.24610000000001</v>
      </c>
      <c r="AD6431">
        <v>-1.113203248132</v>
      </c>
      <c r="AE6431">
        <v>-8.4626900000000003</v>
      </c>
      <c r="AF6431">
        <v>-1.2516927440584</v>
      </c>
      <c r="AG6431">
        <v>-1.113203248132</v>
      </c>
      <c r="AH6431">
        <v>8.3178290711470702</v>
      </c>
      <c r="AI6431">
        <v>97.538902748749607</v>
      </c>
      <c r="AJ6431">
        <v>98.557834464821497</v>
      </c>
      <c r="AK6431">
        <v>8.4848239023564496</v>
      </c>
      <c r="AL6431">
        <v>66.556478210117007</v>
      </c>
      <c r="AM6431">
        <v>97.008773864775506</v>
      </c>
      <c r="AN6431">
        <v>0.99999999734322498</v>
      </c>
    </row>
    <row r="6432" spans="1:40" x14ac:dyDescent="0.25">
      <c r="A6432" t="str">
        <f>"20190304165012524"</f>
        <v>20190304165012524</v>
      </c>
      <c r="B6432" t="str">
        <f>"1551689412521790"</f>
        <v>1551689412521790</v>
      </c>
      <c r="C6432" t="s">
        <v>40</v>
      </c>
      <c r="D6432">
        <v>5.0373489999999999</v>
      </c>
      <c r="E6432">
        <v>0.49363109999999999</v>
      </c>
      <c r="F6432" t="s">
        <v>42</v>
      </c>
      <c r="G6432">
        <v>-300.88459999999998</v>
      </c>
      <c r="H6432" s="1">
        <v>-4.1587679999999999E-6</v>
      </c>
      <c r="I6432">
        <v>-21.253550000000001</v>
      </c>
      <c r="J6432">
        <v>-302.1343</v>
      </c>
      <c r="K6432">
        <v>1.1131549999999999</v>
      </c>
      <c r="L6432">
        <v>-12.79266</v>
      </c>
      <c r="M6432" s="1">
        <v>-1.6873270000000001E-5</v>
      </c>
      <c r="N6432">
        <v>-1.186719E-2</v>
      </c>
      <c r="O6432">
        <v>-0.99992970000000003</v>
      </c>
      <c r="P6432">
        <v>0.10899979999999999</v>
      </c>
      <c r="Q6432">
        <v>0.38736199999999998</v>
      </c>
      <c r="R6432">
        <v>-0.91546150000000004</v>
      </c>
      <c r="S6432">
        <v>0.488678</v>
      </c>
      <c r="T6432">
        <v>-0.43436399999999997</v>
      </c>
      <c r="U6432">
        <v>-3.4032589999999998</v>
      </c>
      <c r="V6432">
        <v>-0.1111422</v>
      </c>
      <c r="W6432">
        <v>0.39761039999999997</v>
      </c>
      <c r="X6432">
        <v>0.9107982</v>
      </c>
      <c r="Y6432">
        <v>-0.1411152</v>
      </c>
      <c r="Z6432">
        <v>0.1135577</v>
      </c>
      <c r="AA6432">
        <v>0.98345879999999997</v>
      </c>
      <c r="AB6432">
        <v>26</v>
      </c>
      <c r="AC6432">
        <v>1.24970000000001</v>
      </c>
      <c r="AD6432">
        <v>-1.1131591587680001</v>
      </c>
      <c r="AE6432">
        <v>-8.4608899999999991</v>
      </c>
      <c r="AF6432">
        <v>-1.22902329863471</v>
      </c>
      <c r="AG6432">
        <v>-1.1131591587680001</v>
      </c>
      <c r="AH6432">
        <v>8.3199305103406793</v>
      </c>
      <c r="AI6432">
        <v>97.539728125256104</v>
      </c>
      <c r="AJ6432">
        <v>98.402984614467101</v>
      </c>
      <c r="AK6432">
        <v>8.4835644205860703</v>
      </c>
      <c r="AL6432">
        <v>66.571121960242806</v>
      </c>
      <c r="AM6432">
        <v>96.957249839810004</v>
      </c>
      <c r="AN6432">
        <v>0.99999998996611905</v>
      </c>
    </row>
    <row r="6433" spans="1:40" x14ac:dyDescent="0.25">
      <c r="A6433" t="str">
        <f>"20190304165012547"</f>
        <v>20190304165012547</v>
      </c>
      <c r="B6433" t="str">
        <f>"1551689412542286"</f>
        <v>1551689412542286</v>
      </c>
      <c r="C6433" t="s">
        <v>40</v>
      </c>
      <c r="D6433">
        <v>5.0027730000000004</v>
      </c>
      <c r="E6433">
        <v>0.49369020000000002</v>
      </c>
      <c r="F6433" t="s">
        <v>42</v>
      </c>
      <c r="G6433">
        <v>-300.87630000000001</v>
      </c>
      <c r="H6433" s="1">
        <v>-4.0683469999999999E-6</v>
      </c>
      <c r="I6433">
        <v>-21.470970000000001</v>
      </c>
      <c r="J6433">
        <v>-302.13099999999997</v>
      </c>
      <c r="K6433">
        <v>1.1130679999999999</v>
      </c>
      <c r="L6433">
        <v>-13.04355</v>
      </c>
      <c r="M6433">
        <v>2.8741159999999999E-3</v>
      </c>
      <c r="N6433">
        <v>-1.181371E-2</v>
      </c>
      <c r="O6433">
        <v>-0.99992610000000004</v>
      </c>
      <c r="P6433">
        <v>0.11097799999999999</v>
      </c>
      <c r="Q6433">
        <v>0.38774500000000001</v>
      </c>
      <c r="R6433">
        <v>-0.91506160000000003</v>
      </c>
      <c r="S6433">
        <v>0.49328610000000001</v>
      </c>
      <c r="T6433">
        <v>-0.4364982</v>
      </c>
      <c r="U6433">
        <v>-3.4029850000000001</v>
      </c>
      <c r="V6433">
        <v>-0.1103982</v>
      </c>
      <c r="W6433">
        <v>0.39796870000000001</v>
      </c>
      <c r="X6433">
        <v>0.91073219999999999</v>
      </c>
      <c r="Y6433">
        <v>-0.1395593</v>
      </c>
      <c r="Z6433">
        <v>0.11423129999999999</v>
      </c>
      <c r="AA6433">
        <v>0.9836028</v>
      </c>
      <c r="AB6433">
        <v>26</v>
      </c>
      <c r="AC6433">
        <v>1.25469999999995</v>
      </c>
      <c r="AD6433">
        <v>-1.1130720683469999</v>
      </c>
      <c r="AE6433">
        <v>-8.4274199999999997</v>
      </c>
      <c r="AF6433">
        <v>-1.2098246836987501</v>
      </c>
      <c r="AG6433">
        <v>-1.1130720683469999</v>
      </c>
      <c r="AH6433">
        <v>8.2895213024738297</v>
      </c>
      <c r="AI6433">
        <v>97.568389042341707</v>
      </c>
      <c r="AJ6433">
        <v>98.303480704762194</v>
      </c>
      <c r="AK6433">
        <v>8.4509625853383401</v>
      </c>
      <c r="AL6433">
        <v>66.548746485514201</v>
      </c>
      <c r="AM6433">
        <v>96.911625051325103</v>
      </c>
      <c r="AN6433">
        <v>0.99999999442988496</v>
      </c>
    </row>
    <row r="6434" spans="1:40" x14ac:dyDescent="0.25">
      <c r="A6434" t="str">
        <f>"20190304165012570"</f>
        <v>20190304165012570</v>
      </c>
      <c r="B6434" t="str">
        <f>"1551689412561806"</f>
        <v>1551689412561806</v>
      </c>
      <c r="C6434" t="s">
        <v>40</v>
      </c>
      <c r="D6434">
        <v>4.9955639999999999</v>
      </c>
      <c r="E6434">
        <v>0.49379499999999998</v>
      </c>
      <c r="F6434" t="s">
        <v>42</v>
      </c>
      <c r="G6434">
        <v>-300.84870000000001</v>
      </c>
      <c r="H6434" s="1">
        <v>-3.9484530000000002E-6</v>
      </c>
      <c r="I6434">
        <v>-21.733339999999998</v>
      </c>
      <c r="J6434">
        <v>-302.1268</v>
      </c>
      <c r="K6434">
        <v>1.11291299999999</v>
      </c>
      <c r="L6434">
        <v>-13.32339</v>
      </c>
      <c r="M6434">
        <v>5.8623520000000004E-3</v>
      </c>
      <c r="N6434">
        <v>-1.1759250000000001E-2</v>
      </c>
      <c r="O6434">
        <v>-0.99991379999999996</v>
      </c>
      <c r="P6434">
        <v>0.1130743</v>
      </c>
      <c r="Q6434">
        <v>0.38796740000000002</v>
      </c>
      <c r="R6434">
        <v>-0.91471060000000004</v>
      </c>
      <c r="S6434">
        <v>0.50204470000000001</v>
      </c>
      <c r="T6434">
        <v>-0.43579289999999998</v>
      </c>
      <c r="U6434">
        <v>-3.4022519999999998</v>
      </c>
      <c r="V6434">
        <v>-0.10961609999999999</v>
      </c>
      <c r="W6434">
        <v>0.39818439999999999</v>
      </c>
      <c r="X6434">
        <v>0.9107324</v>
      </c>
      <c r="Y6434">
        <v>-0.13911309999999999</v>
      </c>
      <c r="Z6434">
        <v>0.1140925</v>
      </c>
      <c r="AA6434">
        <v>0.9836821</v>
      </c>
      <c r="AB6434">
        <v>26</v>
      </c>
      <c r="AC6434">
        <v>1.27809999999999</v>
      </c>
      <c r="AD6434">
        <v>-1.1129169484529899</v>
      </c>
      <c r="AE6434">
        <v>-8.4099499999999896</v>
      </c>
      <c r="AF6434">
        <v>-1.2080938631371601</v>
      </c>
      <c r="AG6434">
        <v>-1.1129169484529899</v>
      </c>
      <c r="AH6434">
        <v>8.2756462092702794</v>
      </c>
      <c r="AI6434">
        <v>97.579848605602294</v>
      </c>
      <c r="AJ6434">
        <v>98.305475066818502</v>
      </c>
      <c r="AK6434">
        <v>8.4370845140553801</v>
      </c>
      <c r="AL6434">
        <v>66.535274608082204</v>
      </c>
      <c r="AM6434">
        <v>96.863127823063294</v>
      </c>
      <c r="AN6434">
        <v>1.0000000050961599</v>
      </c>
    </row>
    <row r="6435" spans="1:40" x14ac:dyDescent="0.25">
      <c r="A6435" t="str">
        <f>"20190304165012593"</f>
        <v>20190304165012593</v>
      </c>
      <c r="B6435" t="str">
        <f>"1551689412582303"</f>
        <v>1551689412582303</v>
      </c>
      <c r="C6435" t="s">
        <v>40</v>
      </c>
      <c r="D6435">
        <v>4.9699159999999996</v>
      </c>
      <c r="E6435">
        <v>0.49383179999999999</v>
      </c>
      <c r="F6435" t="s">
        <v>42</v>
      </c>
      <c r="G6435">
        <v>-300.8245</v>
      </c>
      <c r="H6435" s="1">
        <v>-3.8229700000000001E-6</v>
      </c>
      <c r="I6435">
        <v>-22.01079</v>
      </c>
      <c r="J6435">
        <v>-302.12240000000003</v>
      </c>
      <c r="K6435">
        <v>1.112714</v>
      </c>
      <c r="L6435">
        <v>-13.5818799999999</v>
      </c>
      <c r="M6435">
        <v>8.3278580000000005E-3</v>
      </c>
      <c r="N6435">
        <v>-1.171349E-2</v>
      </c>
      <c r="O6435">
        <v>-0.99989669999999997</v>
      </c>
      <c r="P6435">
        <v>0.114521</v>
      </c>
      <c r="Q6435">
        <v>0.38839669999999998</v>
      </c>
      <c r="R6435">
        <v>-0.91434839999999995</v>
      </c>
      <c r="S6435">
        <v>0.50991819999999999</v>
      </c>
      <c r="T6435">
        <v>-0.4357587</v>
      </c>
      <c r="U6435">
        <v>-3.4015200000000001</v>
      </c>
      <c r="V6435">
        <v>-0.10861609999999999</v>
      </c>
      <c r="W6435">
        <v>0.39862789999999998</v>
      </c>
      <c r="X6435">
        <v>0.91065819999999997</v>
      </c>
      <c r="Y6435">
        <v>-0.1389299</v>
      </c>
      <c r="Z6435">
        <v>0.11413429999999999</v>
      </c>
      <c r="AA6435">
        <v>0.98370310000000005</v>
      </c>
      <c r="AB6435">
        <v>26</v>
      </c>
      <c r="AC6435">
        <v>1.29790000000002</v>
      </c>
      <c r="AD6435">
        <v>-1.1127178229700001</v>
      </c>
      <c r="AE6435">
        <v>-8.4289100000000001</v>
      </c>
      <c r="AF6435">
        <v>-1.20710617167584</v>
      </c>
      <c r="AG6435">
        <v>-1.1127178229700001</v>
      </c>
      <c r="AH6435">
        <v>8.2981629481488994</v>
      </c>
      <c r="AI6435">
        <v>97.558731416300205</v>
      </c>
      <c r="AJ6435">
        <v>98.276573392005602</v>
      </c>
      <c r="AK6435">
        <v>8.4590043490522095</v>
      </c>
      <c r="AL6435">
        <v>66.507570347562094</v>
      </c>
      <c r="AM6435">
        <v>96.801655330457393</v>
      </c>
      <c r="AN6435">
        <v>1.0000000085324201</v>
      </c>
    </row>
    <row r="6436" spans="1:40" x14ac:dyDescent="0.25">
      <c r="A6436" t="str">
        <f>"20190304165012614"</f>
        <v>20190304165012614</v>
      </c>
      <c r="B6436" t="str">
        <f>"1551689412601822"</f>
        <v>1551689412601822</v>
      </c>
      <c r="C6436" t="s">
        <v>40</v>
      </c>
      <c r="D6436">
        <v>4.9278420000000001</v>
      </c>
      <c r="E6436">
        <v>0.49389300000000003</v>
      </c>
      <c r="F6436" t="s">
        <v>42</v>
      </c>
      <c r="G6436">
        <v>-300.79320000000001</v>
      </c>
      <c r="H6436" s="1">
        <v>-3.6892979999999999E-6</v>
      </c>
      <c r="I6436">
        <v>-22.302990000000001</v>
      </c>
      <c r="J6436">
        <v>-302.11799999999999</v>
      </c>
      <c r="K6436">
        <v>1.112482</v>
      </c>
      <c r="L6436">
        <v>-13.828580000000001</v>
      </c>
      <c r="M6436">
        <v>1.035252E-2</v>
      </c>
      <c r="N6436">
        <v>-1.167436E-2</v>
      </c>
      <c r="O6436">
        <v>-0.99987839999999995</v>
      </c>
      <c r="P6436">
        <v>0.115454</v>
      </c>
      <c r="Q6436">
        <v>0.38844649999999997</v>
      </c>
      <c r="R6436">
        <v>-0.91421010000000003</v>
      </c>
      <c r="S6436">
        <v>0.51827999999999996</v>
      </c>
      <c r="T6436">
        <v>-0.43385259999999998</v>
      </c>
      <c r="U6436">
        <v>-3.4003909999999999</v>
      </c>
      <c r="V6436">
        <v>-0.1074642</v>
      </c>
      <c r="W6436">
        <v>0.39871000000000001</v>
      </c>
      <c r="X6436">
        <v>0.91075890000000004</v>
      </c>
      <c r="Y6436">
        <v>-0.13934679999999999</v>
      </c>
      <c r="Z6436">
        <v>0.1136437</v>
      </c>
      <c r="AA6436">
        <v>0.98370089999999999</v>
      </c>
      <c r="AB6436">
        <v>26</v>
      </c>
      <c r="AC6436">
        <v>1.32479999999998</v>
      </c>
      <c r="AD6436">
        <v>-1.112485689298</v>
      </c>
      <c r="AE6436">
        <v>-8.47440999999999</v>
      </c>
      <c r="AF6436">
        <v>-1.2165268222558201</v>
      </c>
      <c r="AG6436">
        <v>-1.112485689298</v>
      </c>
      <c r="AH6436">
        <v>8.3472522637997102</v>
      </c>
      <c r="AI6436">
        <v>97.512949779550397</v>
      </c>
      <c r="AJ6436">
        <v>98.291897076558996</v>
      </c>
      <c r="AK6436">
        <v>8.5084770831018908</v>
      </c>
      <c r="AL6436">
        <v>66.502440817163404</v>
      </c>
      <c r="AM6436">
        <v>96.729450002360807</v>
      </c>
      <c r="AN6436">
        <v>0.99999999615542501</v>
      </c>
    </row>
    <row r="6437" spans="1:40" x14ac:dyDescent="0.25">
      <c r="A6437" t="str">
        <f>"20190304165012640"</f>
        <v>20190304165012640</v>
      </c>
      <c r="B6437" t="str">
        <f>"1551689412632078"</f>
        <v>1551689412632078</v>
      </c>
      <c r="C6437" t="s">
        <v>40</v>
      </c>
      <c r="D6437">
        <v>4.9890930000000004</v>
      </c>
      <c r="E6437">
        <v>0.49392740000000002</v>
      </c>
      <c r="F6437" t="s">
        <v>42</v>
      </c>
      <c r="G6437">
        <v>-300.76859999999999</v>
      </c>
      <c r="H6437" s="1">
        <v>-3.5739600000000002E-6</v>
      </c>
      <c r="I6437">
        <v>-22.5566</v>
      </c>
      <c r="J6437">
        <v>-302.11250000000001</v>
      </c>
      <c r="K6437">
        <v>1.112155</v>
      </c>
      <c r="L6437">
        <v>-14.1246299999999</v>
      </c>
      <c r="M6437">
        <v>1.227833E-2</v>
      </c>
      <c r="N6437">
        <v>-1.163369E-2</v>
      </c>
      <c r="O6437">
        <v>-0.9998572</v>
      </c>
      <c r="P6437">
        <v>0.1161402</v>
      </c>
      <c r="Q6437">
        <v>0.3878491</v>
      </c>
      <c r="R6437">
        <v>-0.914377</v>
      </c>
      <c r="S6437">
        <v>0.52554319999999999</v>
      </c>
      <c r="T6437">
        <v>-0.43327090000000001</v>
      </c>
      <c r="U6437">
        <v>-3.3992309999999999</v>
      </c>
      <c r="V6437">
        <v>-0.1060628</v>
      </c>
      <c r="W6437">
        <v>0.3981691</v>
      </c>
      <c r="X6437">
        <v>0.91115979999999996</v>
      </c>
      <c r="Y6437">
        <v>-0.13954569999999999</v>
      </c>
      <c r="Z6437">
        <v>0.11353630000000001</v>
      </c>
      <c r="AA6437">
        <v>0.98368509999999998</v>
      </c>
      <c r="AB6437">
        <v>26</v>
      </c>
      <c r="AC6437">
        <v>1.3439000000000101</v>
      </c>
      <c r="AD6437">
        <v>-1.11215857396</v>
      </c>
      <c r="AE6437">
        <v>-8.4319699999999997</v>
      </c>
      <c r="AF6437">
        <v>-1.2195698965102</v>
      </c>
      <c r="AG6437">
        <v>-1.11215857396</v>
      </c>
      <c r="AH6437">
        <v>8.3069008907196498</v>
      </c>
      <c r="AI6437">
        <v>97.545682854039796</v>
      </c>
      <c r="AJ6437">
        <v>98.352158931226697</v>
      </c>
      <c r="AK6437">
        <v>8.4692886262274403</v>
      </c>
      <c r="AL6437">
        <v>66.536231758048501</v>
      </c>
      <c r="AM6437">
        <v>96.639586592502695</v>
      </c>
      <c r="AN6437">
        <v>1.00000006543734</v>
      </c>
    </row>
    <row r="6438" spans="1:40" x14ac:dyDescent="0.25">
      <c r="A6438" t="str">
        <f>"20190304165012678"</f>
        <v>20190304165012678</v>
      </c>
      <c r="B6438" t="str">
        <f>"1551689412672098"</f>
        <v>1551689412672098</v>
      </c>
      <c r="C6438" t="s">
        <v>40</v>
      </c>
      <c r="D6438">
        <v>4.8667049999999996</v>
      </c>
      <c r="E6438">
        <v>0.55457190000000001</v>
      </c>
      <c r="F6438" t="s">
        <v>42</v>
      </c>
      <c r="G6438">
        <v>-300.75650000000002</v>
      </c>
      <c r="H6438" s="1">
        <v>-3.4643180000000001E-6</v>
      </c>
      <c r="I6438">
        <v>-22.804670000000002</v>
      </c>
      <c r="J6438">
        <v>-302.10430000000002</v>
      </c>
      <c r="K6438">
        <v>1.1116549999999901</v>
      </c>
      <c r="L6438">
        <v>-14.57593</v>
      </c>
      <c r="M6438">
        <v>1.424021E-2</v>
      </c>
      <c r="N6438">
        <v>-1.1583E-2</v>
      </c>
      <c r="O6438">
        <v>-0.99983180000000005</v>
      </c>
      <c r="P6438">
        <v>0.11609360000000001</v>
      </c>
      <c r="Q6438">
        <v>0.38758759999999998</v>
      </c>
      <c r="R6438">
        <v>-0.91449369999999996</v>
      </c>
      <c r="S6438">
        <v>0.53088380000000002</v>
      </c>
      <c r="T6438">
        <v>-0.43540099999999998</v>
      </c>
      <c r="U6438">
        <v>-3.3981629999999998</v>
      </c>
      <c r="V6438">
        <v>-0.1037431</v>
      </c>
      <c r="W6438">
        <v>0.39799449999999997</v>
      </c>
      <c r="X6438">
        <v>0.91150299999999995</v>
      </c>
      <c r="Y6438">
        <v>-0.13914749999999901</v>
      </c>
      <c r="Z6438">
        <v>0.11421679999999999</v>
      </c>
      <c r="AA6438">
        <v>0.98366279999999995</v>
      </c>
      <c r="AB6438">
        <v>26</v>
      </c>
      <c r="AC6438">
        <v>1.3478000000000001</v>
      </c>
      <c r="AD6438">
        <v>-1.1116584643180001</v>
      </c>
      <c r="AE6438">
        <v>-8.2287400000000002</v>
      </c>
      <c r="AF6438">
        <v>-1.20898827923713</v>
      </c>
      <c r="AG6438">
        <v>-1.1116584643180001</v>
      </c>
      <c r="AH6438">
        <v>8.1030778706689208</v>
      </c>
      <c r="AI6438">
        <v>97.727141202514801</v>
      </c>
      <c r="AJ6438">
        <v>98.485995037227696</v>
      </c>
      <c r="AK6438">
        <v>8.2678478565311604</v>
      </c>
      <c r="AL6438">
        <v>66.547134935642106</v>
      </c>
      <c r="AM6438">
        <v>96.493202073236603</v>
      </c>
      <c r="AN6438">
        <v>0.99999998591842898</v>
      </c>
    </row>
    <row r="6439" spans="1:40" x14ac:dyDescent="0.25">
      <c r="A6439" t="str">
        <f>"20190304165012703"</f>
        <v>20190304165012703</v>
      </c>
      <c r="B6439" t="str">
        <f>"1551689412691615"</f>
        <v>1551689412691615</v>
      </c>
      <c r="C6439" t="s">
        <v>40</v>
      </c>
      <c r="D6439">
        <v>4.825196</v>
      </c>
      <c r="E6439">
        <v>0.55462829999999996</v>
      </c>
      <c r="F6439" t="s">
        <v>41</v>
      </c>
      <c r="G6439">
        <v>-302.08929999999998</v>
      </c>
      <c r="H6439">
        <v>0.97068299999999996</v>
      </c>
      <c r="I6439">
        <v>-15.4755</v>
      </c>
      <c r="J6439">
        <v>-302.09910000000002</v>
      </c>
      <c r="K6439">
        <v>1.1113759999999999</v>
      </c>
      <c r="L6439">
        <v>-14.871219999999999</v>
      </c>
      <c r="M6439">
        <v>1.492388E-2</v>
      </c>
      <c r="N6439">
        <v>-1.15557E-2</v>
      </c>
      <c r="O6439">
        <v>-0.99982210000000005</v>
      </c>
      <c r="P6439">
        <v>0.116247</v>
      </c>
      <c r="Q6439">
        <v>0.38871679999999997</v>
      </c>
      <c r="R6439">
        <v>-0.91399490000000005</v>
      </c>
      <c r="S6439">
        <v>5.9997559999999998E-2</v>
      </c>
      <c r="T6439">
        <v>-0.54938500000000001</v>
      </c>
      <c r="U6439">
        <v>-3.5057369999999999</v>
      </c>
      <c r="V6439">
        <v>-0.1030247</v>
      </c>
      <c r="W6439">
        <v>0.39916040000000003</v>
      </c>
      <c r="X6439">
        <v>0.91107459999999996</v>
      </c>
      <c r="Y6439">
        <v>-2.0081249999999999E-3</v>
      </c>
      <c r="Z6439">
        <v>0.1433586</v>
      </c>
      <c r="AA6439">
        <v>0.98966880000000002</v>
      </c>
      <c r="AB6439">
        <v>26</v>
      </c>
      <c r="AC6439">
        <v>9.8000000000411092E-3</v>
      </c>
      <c r="AD6439">
        <v>-0.14069299999999901</v>
      </c>
      <c r="AE6439">
        <v>-0.60427999999999904</v>
      </c>
      <c r="AF6439">
        <v>-7.4000229756946703E-4</v>
      </c>
      <c r="AG6439">
        <v>-0.14069299999999901</v>
      </c>
      <c r="AH6439">
        <v>0.57328986351269295</v>
      </c>
      <c r="AI6439">
        <v>103.78863095257</v>
      </c>
      <c r="AJ6439">
        <v>90.073957325310204</v>
      </c>
      <c r="AK6439">
        <v>0.59030190196102394</v>
      </c>
      <c r="AL6439">
        <v>66.474298989379605</v>
      </c>
      <c r="AM6439">
        <v>96.451624692650896</v>
      </c>
      <c r="AN6439">
        <v>1.0000000202517001</v>
      </c>
    </row>
    <row r="6440" spans="1:40" x14ac:dyDescent="0.25">
      <c r="A6440" t="str">
        <f>"20190304165012723"</f>
        <v>20190304165012723</v>
      </c>
      <c r="B6440" t="str">
        <f>"1551689412712111"</f>
        <v>1551689412712111</v>
      </c>
      <c r="C6440" t="s">
        <v>40</v>
      </c>
      <c r="D6440">
        <v>4.798432</v>
      </c>
      <c r="E6440">
        <v>0.55475969999999997</v>
      </c>
      <c r="F6440" t="s">
        <v>41</v>
      </c>
      <c r="G6440">
        <v>-302.08530000000002</v>
      </c>
      <c r="H6440">
        <v>0.98069740000000005</v>
      </c>
      <c r="I6440">
        <v>-15.714370000000001</v>
      </c>
      <c r="J6440">
        <v>-302.0951</v>
      </c>
      <c r="K6440">
        <v>1.111197</v>
      </c>
      <c r="L6440">
        <v>-15.107670000000001</v>
      </c>
      <c r="M6440">
        <v>1.520471E-2</v>
      </c>
      <c r="N6440">
        <v>-1.1532519999999999E-2</v>
      </c>
      <c r="O6440">
        <v>-0.99981799999999998</v>
      </c>
      <c r="P6440">
        <v>0.1168051</v>
      </c>
      <c r="Q6440">
        <v>0.3901443</v>
      </c>
      <c r="R6440">
        <v>-0.91331530000000005</v>
      </c>
      <c r="S6440">
        <v>5.7739260000000001E-2</v>
      </c>
      <c r="T6440">
        <v>-0.54338129999999996</v>
      </c>
      <c r="U6440">
        <v>-3.5060419999999999</v>
      </c>
      <c r="V6440">
        <v>-0.1031653</v>
      </c>
      <c r="W6440">
        <v>0.4006036</v>
      </c>
      <c r="X6440">
        <v>0.91042500000000004</v>
      </c>
      <c r="Y6440">
        <v>-1.0933029999999999E-3</v>
      </c>
      <c r="Z6440">
        <v>0.14171400000000001</v>
      </c>
      <c r="AA6440">
        <v>0.98990699999999998</v>
      </c>
      <c r="AB6440">
        <v>26</v>
      </c>
      <c r="AC6440">
        <v>9.7999999999842605E-3</v>
      </c>
      <c r="AD6440">
        <v>-0.13049959999999899</v>
      </c>
      <c r="AE6440">
        <v>-0.60670000000000002</v>
      </c>
      <c r="AF6440">
        <v>-5.48200025825779E-4</v>
      </c>
      <c r="AG6440">
        <v>-0.13049959999999899</v>
      </c>
      <c r="AH6440">
        <v>0.57995323606020499</v>
      </c>
      <c r="AI6440">
        <v>102.68132980105599</v>
      </c>
      <c r="AJ6440">
        <v>90.054158743328003</v>
      </c>
      <c r="AK6440">
        <v>0.59445454169358702</v>
      </c>
      <c r="AL6440">
        <v>66.384082200003206</v>
      </c>
      <c r="AM6440">
        <v>96.4649255113153</v>
      </c>
      <c r="AN6440">
        <v>1.00000000204102</v>
      </c>
    </row>
    <row r="6441" spans="1:40" x14ac:dyDescent="0.25">
      <c r="A6441" t="str">
        <f>"20190304165012749"</f>
        <v>20190304165012749</v>
      </c>
      <c r="B6441" t="str">
        <f>"1551689412742367"</f>
        <v>1551689412742367</v>
      </c>
      <c r="C6441" t="s">
        <v>40</v>
      </c>
      <c r="D6441">
        <v>4.7525930000000001</v>
      </c>
      <c r="E6441">
        <v>0.55500269999999996</v>
      </c>
      <c r="F6441" t="s">
        <v>41</v>
      </c>
      <c r="G6441">
        <v>-302.08210000000003</v>
      </c>
      <c r="H6441">
        <v>0.98291390000000001</v>
      </c>
      <c r="I6441">
        <v>-15.94971</v>
      </c>
      <c r="J6441">
        <v>-302.09019999999998</v>
      </c>
      <c r="K6441">
        <v>1.110976</v>
      </c>
      <c r="L6441">
        <v>-15.40457</v>
      </c>
      <c r="M6441">
        <v>1.52122E-2</v>
      </c>
      <c r="N6441">
        <v>-1.148792E-2</v>
      </c>
      <c r="O6441">
        <v>-0.9998186</v>
      </c>
      <c r="P6441">
        <v>0.11846959999999999</v>
      </c>
      <c r="Q6441">
        <v>0.39119300000000001</v>
      </c>
      <c r="R6441">
        <v>-0.91265209999999997</v>
      </c>
      <c r="S6441">
        <v>5.5328370000000002E-2</v>
      </c>
      <c r="T6441">
        <v>-0.53400619999999999</v>
      </c>
      <c r="U6441">
        <v>-3.5057680000000002</v>
      </c>
      <c r="V6441">
        <v>-0.1046241</v>
      </c>
      <c r="W6441">
        <v>0.40165709999999999</v>
      </c>
      <c r="X6441">
        <v>0.9097942</v>
      </c>
      <c r="Y6441">
        <v>-4.1285840000000002E-4</v>
      </c>
      <c r="Z6441">
        <v>0.13918459999999999</v>
      </c>
      <c r="AA6441">
        <v>0.99026639999999999</v>
      </c>
      <c r="AB6441">
        <v>26</v>
      </c>
      <c r="AC6441">
        <v>8.0999999999562498E-3</v>
      </c>
      <c r="AD6441">
        <v>-0.12806209999999901</v>
      </c>
      <c r="AE6441">
        <v>-0.54513999999999996</v>
      </c>
      <c r="AF6441">
        <v>1.8410321788858101E-4</v>
      </c>
      <c r="AG6441">
        <v>-0.12806209999999901</v>
      </c>
      <c r="AH6441">
        <v>0.516692489422243</v>
      </c>
      <c r="AI6441">
        <v>103.920230453252</v>
      </c>
      <c r="AJ6441">
        <v>89.979584884337697</v>
      </c>
      <c r="AK6441">
        <v>0.53232608800974601</v>
      </c>
      <c r="AL6441">
        <v>66.318188691575202</v>
      </c>
      <c r="AM6441">
        <v>96.560057609216301</v>
      </c>
      <c r="AN6441">
        <v>1.0000000573174199</v>
      </c>
    </row>
    <row r="6442" spans="1:40" x14ac:dyDescent="0.25">
      <c r="A6442" t="str">
        <f>"20190304165012772"</f>
        <v>20190304165012772</v>
      </c>
      <c r="B6442" t="str">
        <f>"1551689412761887"</f>
        <v>1551689412761887</v>
      </c>
      <c r="C6442" t="s">
        <v>40</v>
      </c>
      <c r="D6442">
        <v>4.8145889999999998</v>
      </c>
      <c r="E6442">
        <v>0.55496140000000005</v>
      </c>
      <c r="F6442" t="s">
        <v>41</v>
      </c>
      <c r="G6442">
        <v>-302.07740000000001</v>
      </c>
      <c r="H6442">
        <v>0.99340680000000003</v>
      </c>
      <c r="I6442">
        <v>-16.189339999999898</v>
      </c>
      <c r="J6442">
        <v>-302.08609999999999</v>
      </c>
      <c r="K6442">
        <v>1.110765</v>
      </c>
      <c r="L6442">
        <v>-15.67624</v>
      </c>
      <c r="M6442">
        <v>1.491513E-2</v>
      </c>
      <c r="N6442">
        <v>-1.142986E-2</v>
      </c>
      <c r="O6442">
        <v>-0.99982349999999998</v>
      </c>
      <c r="P6442">
        <v>0.1199134</v>
      </c>
      <c r="Q6442">
        <v>0.39230939999999997</v>
      </c>
      <c r="R6442">
        <v>-0.91198349999999995</v>
      </c>
      <c r="S6442">
        <v>5.776978E-2</v>
      </c>
      <c r="T6442">
        <v>-0.52501439999999999</v>
      </c>
      <c r="U6442">
        <v>-3.5046689999999998</v>
      </c>
      <c r="V6442">
        <v>-0.1061492</v>
      </c>
      <c r="W6442">
        <v>0.4027656</v>
      </c>
      <c r="X6442">
        <v>0.90912720000000002</v>
      </c>
      <c r="Y6442">
        <v>-1.4090999999999999E-3</v>
      </c>
      <c r="Z6442">
        <v>0.1368047</v>
      </c>
      <c r="AA6442">
        <v>0.99059710000000001</v>
      </c>
      <c r="AB6442">
        <v>26</v>
      </c>
      <c r="AC6442">
        <v>8.6999999999761695E-3</v>
      </c>
      <c r="AD6442">
        <v>-0.117358199999999</v>
      </c>
      <c r="AE6442">
        <v>-0.513099999999997</v>
      </c>
      <c r="AF6442">
        <v>-9.9361391006205909E-4</v>
      </c>
      <c r="AG6442">
        <v>-0.117358199999999</v>
      </c>
      <c r="AH6442">
        <v>0.48766787337490303</v>
      </c>
      <c r="AI6442">
        <v>103.531017833541</v>
      </c>
      <c r="AJ6442">
        <v>90.1167388869397</v>
      </c>
      <c r="AK6442">
        <v>0.50159135668175403</v>
      </c>
      <c r="AL6442">
        <v>66.248816868234101</v>
      </c>
      <c r="AM6442">
        <v>96.659670203701396</v>
      </c>
      <c r="AN6442">
        <v>1.00000002349191</v>
      </c>
    </row>
    <row r="6443" spans="1:40" x14ac:dyDescent="0.25">
      <c r="A6443" t="str">
        <f>"20190304165012793"</f>
        <v>20190304165012793</v>
      </c>
      <c r="B6443" t="str">
        <f>"1551689412782383"</f>
        <v>1551689412782383</v>
      </c>
      <c r="C6443" t="s">
        <v>40</v>
      </c>
      <c r="D6443">
        <v>4.8587339999999903</v>
      </c>
      <c r="E6443">
        <v>0.55502819999999997</v>
      </c>
      <c r="F6443" t="s">
        <v>41</v>
      </c>
      <c r="G6443">
        <v>-302.07319999999999</v>
      </c>
      <c r="H6443">
        <v>0.99908669999999999</v>
      </c>
      <c r="I6443">
        <v>-16.426960000000001</v>
      </c>
      <c r="J6443">
        <v>-302.08260000000001</v>
      </c>
      <c r="K6443">
        <v>1.110554</v>
      </c>
      <c r="L6443">
        <v>-15.92944</v>
      </c>
      <c r="M6443">
        <v>1.440667E-2</v>
      </c>
      <c r="N6443">
        <v>-1.13588E-2</v>
      </c>
      <c r="O6443">
        <v>-0.99983160000000004</v>
      </c>
      <c r="P6443">
        <v>0.122125</v>
      </c>
      <c r="Q6443">
        <v>0.39227319999999999</v>
      </c>
      <c r="R6443">
        <v>-0.91170580000000001</v>
      </c>
      <c r="S6443">
        <v>6.2377929999999998E-2</v>
      </c>
      <c r="T6443">
        <v>-0.52132129999999999</v>
      </c>
      <c r="U6443">
        <v>-3.505585</v>
      </c>
      <c r="V6443">
        <v>-0.1086385</v>
      </c>
      <c r="W6443">
        <v>0.40271410000000002</v>
      </c>
      <c r="X6443">
        <v>0.90885590000000005</v>
      </c>
      <c r="Y6443">
        <v>-3.215968E-3</v>
      </c>
      <c r="Z6443">
        <v>0.1358162</v>
      </c>
      <c r="AA6443">
        <v>0.99072890000000002</v>
      </c>
      <c r="AB6443">
        <v>26</v>
      </c>
      <c r="AC6443">
        <v>9.4000000000278305E-3</v>
      </c>
      <c r="AD6443">
        <v>-0.11146730000000001</v>
      </c>
      <c r="AE6443">
        <v>-0.49752000000000102</v>
      </c>
      <c r="AF6443">
        <v>-2.1243573676220599E-3</v>
      </c>
      <c r="AG6443">
        <v>-0.11146730000000001</v>
      </c>
      <c r="AH6443">
        <v>0.47382775963145102</v>
      </c>
      <c r="AI6443">
        <v>103.237918412501</v>
      </c>
      <c r="AJ6443">
        <v>90.256877933683796</v>
      </c>
      <c r="AK6443">
        <v>0.48676710823644997</v>
      </c>
      <c r="AL6443">
        <v>66.252040226456501</v>
      </c>
      <c r="AM6443">
        <v>96.816408813946197</v>
      </c>
      <c r="AN6443">
        <v>1.0000000084929299</v>
      </c>
    </row>
    <row r="6444" spans="1:40" x14ac:dyDescent="0.25">
      <c r="A6444" t="str">
        <f>"20190304165012813"</f>
        <v>20190304165012813</v>
      </c>
      <c r="B6444" t="str">
        <f>"1551689412801903"</f>
        <v>1551689412801903</v>
      </c>
      <c r="C6444" t="s">
        <v>40</v>
      </c>
      <c r="D6444">
        <v>4.779407</v>
      </c>
      <c r="E6444">
        <v>0.55507259999999903</v>
      </c>
      <c r="F6444" t="s">
        <v>41</v>
      </c>
      <c r="G6444">
        <v>-302.06799999999998</v>
      </c>
      <c r="H6444">
        <v>1.0013339999999999</v>
      </c>
      <c r="I6444">
        <v>-16.663239999999998</v>
      </c>
      <c r="J6444">
        <v>-302.07979999999998</v>
      </c>
      <c r="K6444">
        <v>1.1103670000000001</v>
      </c>
      <c r="L6444">
        <v>-16.1629</v>
      </c>
      <c r="M6444">
        <v>1.3761010000000001E-2</v>
      </c>
      <c r="N6444">
        <v>-1.1271679999999999E-2</v>
      </c>
      <c r="O6444">
        <v>-0.99984209999999996</v>
      </c>
      <c r="P6444">
        <v>0.12359820000000001</v>
      </c>
      <c r="Q6444">
        <v>0.3932194</v>
      </c>
      <c r="R6444">
        <v>-0.91109989999999996</v>
      </c>
      <c r="S6444">
        <v>7.0281979999999994E-2</v>
      </c>
      <c r="T6444">
        <v>-0.5217311</v>
      </c>
      <c r="U6444">
        <v>-3.505585</v>
      </c>
      <c r="V6444">
        <v>-0.110541</v>
      </c>
      <c r="W6444">
        <v>0.40362179999999998</v>
      </c>
      <c r="X6444">
        <v>0.90822360000000002</v>
      </c>
      <c r="Y6444">
        <v>-6.0916039999999996E-3</v>
      </c>
      <c r="Z6444">
        <v>0.13601389999999999</v>
      </c>
      <c r="AA6444">
        <v>0.99068820000000002</v>
      </c>
      <c r="AB6444">
        <v>26</v>
      </c>
      <c r="AC6444">
        <v>1.17999999999938E-2</v>
      </c>
      <c r="AD6444">
        <v>-0.109033</v>
      </c>
      <c r="AE6444">
        <v>-0.50033999999999701</v>
      </c>
      <c r="AF6444">
        <v>-4.69063759710402E-3</v>
      </c>
      <c r="AG6444">
        <v>-0.109033</v>
      </c>
      <c r="AH6444">
        <v>0.47777877898277799</v>
      </c>
      <c r="AI6444">
        <v>102.854618935727</v>
      </c>
      <c r="AJ6444">
        <v>90.562488572618093</v>
      </c>
      <c r="AK6444">
        <v>0.49008444049606598</v>
      </c>
      <c r="AL6444">
        <v>66.195208887536396</v>
      </c>
      <c r="AM6444">
        <v>96.939407478805506</v>
      </c>
      <c r="AN6444">
        <v>0.99999998885659902</v>
      </c>
    </row>
    <row r="6445" spans="1:40" x14ac:dyDescent="0.25">
      <c r="A6445" t="str">
        <f>"20190304165012841"</f>
        <v>20190304165012841</v>
      </c>
      <c r="B6445" t="str">
        <f>"1551689412832158"</f>
        <v>1551689412832158</v>
      </c>
      <c r="C6445" t="s">
        <v>40</v>
      </c>
      <c r="D6445">
        <v>4.8182869999999998</v>
      </c>
      <c r="E6445">
        <v>0.55515890000000001</v>
      </c>
      <c r="F6445" t="s">
        <v>41</v>
      </c>
      <c r="G6445">
        <v>-302.06369999999998</v>
      </c>
      <c r="H6445">
        <v>1.00119</v>
      </c>
      <c r="I6445">
        <v>-16.898720000000001</v>
      </c>
      <c r="J6445">
        <v>-302.07639999999998</v>
      </c>
      <c r="K6445">
        <v>1.1101399999999999</v>
      </c>
      <c r="L6445">
        <v>-16.490300000000001</v>
      </c>
      <c r="M6445">
        <v>1.26006E-2</v>
      </c>
      <c r="N6445">
        <v>-1.111177E-2</v>
      </c>
      <c r="O6445">
        <v>-0.99985880000000005</v>
      </c>
      <c r="P6445">
        <v>0.1248187</v>
      </c>
      <c r="Q6445">
        <v>0.39445550000000001</v>
      </c>
      <c r="R6445">
        <v>-0.91039840000000005</v>
      </c>
      <c r="S6445">
        <v>7.7819819999999998E-2</v>
      </c>
      <c r="T6445">
        <v>-0.52017440000000004</v>
      </c>
      <c r="U6445">
        <v>-3.5066830000000002</v>
      </c>
      <c r="V6445">
        <v>-0.11263280000000001</v>
      </c>
      <c r="W6445">
        <v>0.40476050000000002</v>
      </c>
      <c r="X6445">
        <v>0.90745960000000003</v>
      </c>
      <c r="Y6445">
        <v>-9.3726910000000007E-3</v>
      </c>
      <c r="Z6445">
        <v>0.13569519999999999</v>
      </c>
      <c r="AA6445">
        <v>0.99070630000000004</v>
      </c>
      <c r="AB6445">
        <v>26</v>
      </c>
      <c r="AC6445">
        <v>1.26999999999952E-2</v>
      </c>
      <c r="AD6445">
        <v>-0.10894999999999901</v>
      </c>
      <c r="AE6445">
        <v>-0.40841999999999901</v>
      </c>
      <c r="AF6445">
        <v>-7.05106234324312E-3</v>
      </c>
      <c r="AG6445">
        <v>-0.10894999999999901</v>
      </c>
      <c r="AH6445">
        <v>0.381430921254586</v>
      </c>
      <c r="AI6445">
        <v>105.93860825796</v>
      </c>
      <c r="AJ6445">
        <v>91.059038692700298</v>
      </c>
      <c r="AK6445">
        <v>0.39674849422435199</v>
      </c>
      <c r="AL6445">
        <v>66.123882008728799</v>
      </c>
      <c r="AM6445">
        <v>97.075298894183604</v>
      </c>
      <c r="AN6445">
        <v>1.0000000678141201</v>
      </c>
    </row>
    <row r="6446" spans="1:40" x14ac:dyDescent="0.25">
      <c r="A6446" t="str">
        <f>"20190304165012879"</f>
        <v>20190304165012879</v>
      </c>
      <c r="B6446" t="str">
        <f>"1551689412872176"</f>
        <v>1551689412872176</v>
      </c>
      <c r="C6446" t="s">
        <v>40</v>
      </c>
      <c r="D6446">
        <v>4.7484679999999999</v>
      </c>
      <c r="E6446">
        <v>0.55539669999999997</v>
      </c>
      <c r="F6446" t="s">
        <v>41</v>
      </c>
      <c r="G6446">
        <v>-302.0557</v>
      </c>
      <c r="H6446">
        <v>0.981236</v>
      </c>
      <c r="I6446">
        <v>-17.361460000000001</v>
      </c>
      <c r="J6446">
        <v>-302.0729</v>
      </c>
      <c r="K6446">
        <v>1.109936</v>
      </c>
      <c r="L6446">
        <v>-16.94556</v>
      </c>
      <c r="M6446">
        <v>1.0625549999999999E-2</v>
      </c>
      <c r="N6446">
        <v>-1.0855780000000001E-2</v>
      </c>
      <c r="O6446">
        <v>-0.99988469999999996</v>
      </c>
      <c r="P6446">
        <v>0.12834089999999901</v>
      </c>
      <c r="Q6446">
        <v>0.39791599999999999</v>
      </c>
      <c r="R6446">
        <v>-0.9084004</v>
      </c>
      <c r="S6446">
        <v>8.4472660000000005E-2</v>
      </c>
      <c r="T6446">
        <v>-0.51903140000000003</v>
      </c>
      <c r="U6446">
        <v>-3.508575</v>
      </c>
      <c r="V6446">
        <v>-0.1178018</v>
      </c>
      <c r="W6446">
        <v>0.40802329999999998</v>
      </c>
      <c r="X6446">
        <v>0.90533949999999996</v>
      </c>
      <c r="Y6446">
        <v>-1.3210929999999999E-2</v>
      </c>
      <c r="Z6446">
        <v>0.13555410000000001</v>
      </c>
      <c r="AA6446">
        <v>0.9906819</v>
      </c>
      <c r="AB6446">
        <v>26</v>
      </c>
      <c r="AC6446">
        <v>1.7200000000002501E-2</v>
      </c>
      <c r="AD6446">
        <v>-0.12869999999999901</v>
      </c>
      <c r="AE6446">
        <v>-0.41589999999999999</v>
      </c>
      <c r="AF6446">
        <v>-1.1664527179728299E-2</v>
      </c>
      <c r="AG6446">
        <v>-0.12869999999999901</v>
      </c>
      <c r="AH6446">
        <v>0.37975632224811101</v>
      </c>
      <c r="AI6446">
        <v>108.71338771252</v>
      </c>
      <c r="AJ6446">
        <v>91.759333752992106</v>
      </c>
      <c r="AK6446">
        <v>0.40114164017431297</v>
      </c>
      <c r="AL6446">
        <v>65.919276619262007</v>
      </c>
      <c r="AM6446">
        <v>97.4136125304437</v>
      </c>
      <c r="AN6446">
        <v>0.99999994384318802</v>
      </c>
    </row>
    <row r="6447" spans="1:40" x14ac:dyDescent="0.25">
      <c r="A6447" t="str">
        <f>"20190304165012907"</f>
        <v>20190304165012907</v>
      </c>
      <c r="B6447" t="str">
        <f>"1551689412902431"</f>
        <v>1551689412902431</v>
      </c>
      <c r="C6447" t="s">
        <v>40</v>
      </c>
      <c r="D6447">
        <v>4.719627</v>
      </c>
      <c r="E6447">
        <v>0.55552539999999995</v>
      </c>
      <c r="F6447" t="s">
        <v>41</v>
      </c>
      <c r="G6447">
        <v>-302.04770000000002</v>
      </c>
      <c r="H6447">
        <v>0.98091879999999998</v>
      </c>
      <c r="I6447">
        <v>-17.835319999999999</v>
      </c>
      <c r="J6447">
        <v>-302.0711</v>
      </c>
      <c r="K6447">
        <v>1.1098479999999999</v>
      </c>
      <c r="L6447">
        <v>-17.266570000000002</v>
      </c>
      <c r="M6447">
        <v>9.0688880000000006E-3</v>
      </c>
      <c r="N6447">
        <v>-1.066537E-2</v>
      </c>
      <c r="O6447">
        <v>-0.99990210000000002</v>
      </c>
      <c r="P6447">
        <v>0.12970580000000001</v>
      </c>
      <c r="Q6447">
        <v>0.3995107</v>
      </c>
      <c r="R6447">
        <v>-0.90750649999999999</v>
      </c>
      <c r="S6447">
        <v>0.10046389999999999</v>
      </c>
      <c r="T6447">
        <v>-0.50903999999999905</v>
      </c>
      <c r="U6447">
        <v>-3.5112920000000001</v>
      </c>
      <c r="V6447">
        <v>-0.1205329</v>
      </c>
      <c r="W6447">
        <v>0.40945599999999999</v>
      </c>
      <c r="X6447">
        <v>0.90433269999999999</v>
      </c>
      <c r="Y6447">
        <v>-1.926342E-2</v>
      </c>
      <c r="Z6447">
        <v>0.1328598</v>
      </c>
      <c r="AA6447">
        <v>0.99094760000000004</v>
      </c>
      <c r="AB6447">
        <v>26</v>
      </c>
      <c r="AC6447">
        <v>2.3399999999980901E-2</v>
      </c>
      <c r="AD6447">
        <v>-0.12892919999999899</v>
      </c>
      <c r="AE6447">
        <v>-0.56874999999999698</v>
      </c>
      <c r="AF6447">
        <v>-1.7350707293438999E-2</v>
      </c>
      <c r="AG6447">
        <v>-0.12892919999999899</v>
      </c>
      <c r="AH6447">
        <v>0.54117600077045003</v>
      </c>
      <c r="AI6447">
        <v>103.39365579143799</v>
      </c>
      <c r="AJ6447">
        <v>91.836337685894406</v>
      </c>
      <c r="AK6447">
        <v>0.55659253450447999</v>
      </c>
      <c r="AL6447">
        <v>65.829334208699805</v>
      </c>
      <c r="AM6447">
        <v>97.5918549521611</v>
      </c>
      <c r="AN6447">
        <v>1.0000000141038401</v>
      </c>
    </row>
    <row r="6448" spans="1:40" x14ac:dyDescent="0.25">
      <c r="A6448" t="str">
        <f>"20190304165012927"</f>
        <v>20190304165012927</v>
      </c>
      <c r="B6448" t="str">
        <f>"1551689412921950"</f>
        <v>1551689412921950</v>
      </c>
      <c r="C6448" t="s">
        <v>40</v>
      </c>
      <c r="D6448">
        <v>4.6889849999999997</v>
      </c>
      <c r="E6448">
        <v>0.55573470000000003</v>
      </c>
      <c r="F6448" t="s">
        <v>41</v>
      </c>
      <c r="G6448">
        <v>-302.04579999999999</v>
      </c>
      <c r="H6448">
        <v>0.99280579999999996</v>
      </c>
      <c r="I6448">
        <v>-18.078610000000001</v>
      </c>
      <c r="J6448">
        <v>-302.07010000000002</v>
      </c>
      <c r="K6448">
        <v>1.1098079999999999</v>
      </c>
      <c r="L6448">
        <v>-17.511289999999999</v>
      </c>
      <c r="M6448">
        <v>7.8445129999999991E-3</v>
      </c>
      <c r="N6448">
        <v>-1.051732E-2</v>
      </c>
      <c r="O6448">
        <v>-0.99991390000000002</v>
      </c>
      <c r="P6448">
        <v>0.1323068</v>
      </c>
      <c r="Q6448">
        <v>0.39970689999999998</v>
      </c>
      <c r="R6448">
        <v>-0.90704410000000002</v>
      </c>
      <c r="S6448">
        <v>0.1102905</v>
      </c>
      <c r="T6448">
        <v>-0.50621530000000003</v>
      </c>
      <c r="U6448">
        <v>-3.512848</v>
      </c>
      <c r="V6448">
        <v>-0.1242287</v>
      </c>
      <c r="W6448">
        <v>0.40952729999999998</v>
      </c>
      <c r="X6448">
        <v>0.9038001</v>
      </c>
      <c r="Y6448">
        <v>-2.3244560000000001E-2</v>
      </c>
      <c r="Z6448">
        <v>0.1321541</v>
      </c>
      <c r="AA6448">
        <v>0.99095659999999997</v>
      </c>
      <c r="AB6448">
        <v>26</v>
      </c>
      <c r="AC6448">
        <v>2.43000000000392E-2</v>
      </c>
      <c r="AD6448">
        <v>-0.117002199999999</v>
      </c>
      <c r="AE6448">
        <v>-0.56732000000000204</v>
      </c>
      <c r="AF6448">
        <v>-1.90402884575635E-2</v>
      </c>
      <c r="AG6448">
        <v>-0.117002199999999</v>
      </c>
      <c r="AH6448">
        <v>0.54438110401380002</v>
      </c>
      <c r="AI6448">
        <v>102.122689300061</v>
      </c>
      <c r="AJ6448">
        <v>92.003162187663605</v>
      </c>
      <c r="AK6448">
        <v>0.55713807426586004</v>
      </c>
      <c r="AL6448">
        <v>65.8248560144838</v>
      </c>
      <c r="AM6448">
        <v>97.826350488490405</v>
      </c>
      <c r="AN6448">
        <v>1.00000000005449</v>
      </c>
    </row>
    <row r="6449" spans="1:40" x14ac:dyDescent="0.25">
      <c r="A6449" t="str">
        <f>"20190304165012949"</f>
        <v>20190304165012949</v>
      </c>
      <c r="B6449" t="str">
        <f>"1551689412942447"</f>
        <v>1551689412942447</v>
      </c>
      <c r="C6449" t="s">
        <v>40</v>
      </c>
      <c r="D6449">
        <v>4.4973720000000004</v>
      </c>
      <c r="E6449">
        <v>0.55622510000000003</v>
      </c>
      <c r="F6449" t="s">
        <v>41</v>
      </c>
      <c r="G6449">
        <v>-302.04140000000001</v>
      </c>
      <c r="H6449">
        <v>0.99323260000000002</v>
      </c>
      <c r="I6449">
        <v>-18.31692</v>
      </c>
      <c r="J6449">
        <v>-302.06939999999997</v>
      </c>
      <c r="K6449">
        <v>1.1097699999999999</v>
      </c>
      <c r="L6449">
        <v>-17.771850000000001</v>
      </c>
      <c r="M6449">
        <v>6.5310560000000004E-3</v>
      </c>
      <c r="N6449">
        <v>-1.035783E-2</v>
      </c>
      <c r="O6449">
        <v>-0.99992510000000001</v>
      </c>
      <c r="P6449">
        <v>0.13683529999999999</v>
      </c>
      <c r="Q6449">
        <v>0.3990572</v>
      </c>
      <c r="R6449">
        <v>-0.90665859999999998</v>
      </c>
      <c r="S6449">
        <v>0.12591550000000001</v>
      </c>
      <c r="T6449">
        <v>-0.50823949999999996</v>
      </c>
      <c r="U6449">
        <v>-3.5130309999999998</v>
      </c>
      <c r="V6449">
        <v>-0.12994249999999999</v>
      </c>
      <c r="W6449">
        <v>0.40874500000000002</v>
      </c>
      <c r="X6449">
        <v>0.90335069999999995</v>
      </c>
      <c r="Y6449">
        <v>-2.89506E-2</v>
      </c>
      <c r="Z6449">
        <v>0.13284480000000001</v>
      </c>
      <c r="AA6449">
        <v>0.99071399999999998</v>
      </c>
      <c r="AB6449">
        <v>27</v>
      </c>
      <c r="AC6449">
        <v>2.79999999999631E-2</v>
      </c>
      <c r="AD6449">
        <v>-0.1165374</v>
      </c>
      <c r="AE6449">
        <v>-0.54506999999999795</v>
      </c>
      <c r="AF6449">
        <v>-2.3373693286275699E-2</v>
      </c>
      <c r="AG6449">
        <v>-0.1165374</v>
      </c>
      <c r="AH6449">
        <v>0.52146692052183596</v>
      </c>
      <c r="AI6449">
        <v>102.585227557162</v>
      </c>
      <c r="AJ6449">
        <v>92.566448863937197</v>
      </c>
      <c r="AK6449">
        <v>0.53484113934431798</v>
      </c>
      <c r="AL6449">
        <v>65.873978184522102</v>
      </c>
      <c r="AM6449">
        <v>98.185563864038102</v>
      </c>
      <c r="AN6449">
        <v>1.0000000077608699</v>
      </c>
    </row>
    <row r="6450" spans="1:40" x14ac:dyDescent="0.25">
      <c r="A6450" t="str">
        <f>"20190304165012971"</f>
        <v>20190304165012971</v>
      </c>
      <c r="B6450" t="str">
        <f>"1551689412961966"</f>
        <v>1551689412961966</v>
      </c>
      <c r="C6450" t="s">
        <v>40</v>
      </c>
      <c r="D6450">
        <v>4.5100389999999999</v>
      </c>
      <c r="E6450">
        <v>0.55655909999999997</v>
      </c>
      <c r="F6450" t="s">
        <v>41</v>
      </c>
      <c r="G6450">
        <v>-302.03789999999998</v>
      </c>
      <c r="H6450">
        <v>0.9966161</v>
      </c>
      <c r="I6450">
        <v>-18.557110000000002</v>
      </c>
      <c r="J6450">
        <v>-302.06909999999999</v>
      </c>
      <c r="K6450">
        <v>1.1097429999999999</v>
      </c>
      <c r="L6450">
        <v>-18.03772</v>
      </c>
      <c r="M6450">
        <v>5.1972449999999996E-3</v>
      </c>
      <c r="N6450">
        <v>-1.019955E-2</v>
      </c>
      <c r="O6450">
        <v>-0.99993449999999995</v>
      </c>
      <c r="P6450">
        <v>0.14127960000000001</v>
      </c>
      <c r="Q6450">
        <v>0.40023989999999998</v>
      </c>
      <c r="R6450">
        <v>-0.90545450000000005</v>
      </c>
      <c r="S6450">
        <v>0.14135739999999999</v>
      </c>
      <c r="T6450">
        <v>-0.50570999999999999</v>
      </c>
      <c r="U6450">
        <v>-3.5101010000000001</v>
      </c>
      <c r="V6450">
        <v>-0.13559599999999999</v>
      </c>
      <c r="W6450">
        <v>0.40978569999999997</v>
      </c>
      <c r="X6450">
        <v>0.9020473</v>
      </c>
      <c r="Y6450">
        <v>-3.4663529999999998E-2</v>
      </c>
      <c r="Z6450">
        <v>0.1323965</v>
      </c>
      <c r="AA6450">
        <v>0.99059050000000004</v>
      </c>
      <c r="AB6450">
        <v>27</v>
      </c>
      <c r="AC6450">
        <v>3.1200000000012499E-2</v>
      </c>
      <c r="AD6450">
        <v>-0.113126899999999</v>
      </c>
      <c r="AE6450">
        <v>-0.51939000000000102</v>
      </c>
      <c r="AF6450">
        <v>-2.7213666837183799E-2</v>
      </c>
      <c r="AG6450">
        <v>-0.113126899999999</v>
      </c>
      <c r="AH6450">
        <v>0.496095022069027</v>
      </c>
      <c r="AI6450">
        <v>102.827129422965</v>
      </c>
      <c r="AJ6450">
        <v>93.139856312547494</v>
      </c>
      <c r="AK6450">
        <v>0.50955720982830099</v>
      </c>
      <c r="AL6450">
        <v>65.808625532218599</v>
      </c>
      <c r="AM6450">
        <v>98.548711485185606</v>
      </c>
      <c r="AN6450">
        <v>0.99999996328888896</v>
      </c>
    </row>
    <row r="6451" spans="1:40" x14ac:dyDescent="0.25">
      <c r="A6451" t="str">
        <f>"20190304165012994"</f>
        <v>20190304165012994</v>
      </c>
      <c r="B6451" t="str">
        <f>"1551689412982463"</f>
        <v>1551689412982463</v>
      </c>
      <c r="C6451" t="s">
        <v>40</v>
      </c>
      <c r="D6451">
        <v>4.6871130000000001</v>
      </c>
      <c r="E6451">
        <v>0.55673059999999996</v>
      </c>
      <c r="F6451" t="s">
        <v>41</v>
      </c>
      <c r="G6451">
        <v>-302.03559999999999</v>
      </c>
      <c r="H6451">
        <v>1.0016879999999999</v>
      </c>
      <c r="I6451">
        <v>-18.798549999999999</v>
      </c>
      <c r="J6451">
        <v>-302.06909999999999</v>
      </c>
      <c r="K6451">
        <v>1.1097250000000001</v>
      </c>
      <c r="L6451">
        <v>-18.308779999999999</v>
      </c>
      <c r="M6451">
        <v>3.8525690000000001E-3</v>
      </c>
      <c r="N6451">
        <v>-1.0046350000000001E-2</v>
      </c>
      <c r="O6451">
        <v>-0.99994209999999994</v>
      </c>
      <c r="P6451">
        <v>0.14544170000000001</v>
      </c>
      <c r="Q6451">
        <v>0.40103569999999999</v>
      </c>
      <c r="R6451">
        <v>-0.904443</v>
      </c>
      <c r="S6451">
        <v>0.15557860000000001</v>
      </c>
      <c r="T6451">
        <v>-0.49825720000000001</v>
      </c>
      <c r="U6451">
        <v>-3.5092159999999999</v>
      </c>
      <c r="V6451">
        <v>-0.14097889999999999</v>
      </c>
      <c r="W6451">
        <v>0.41044459999999999</v>
      </c>
      <c r="X6451">
        <v>0.90092190000000005</v>
      </c>
      <c r="Y6451">
        <v>-4.003205E-2</v>
      </c>
      <c r="Z6451">
        <v>0.1304971</v>
      </c>
      <c r="AA6451">
        <v>0.99064019999999997</v>
      </c>
      <c r="AB6451">
        <v>27</v>
      </c>
      <c r="AC6451">
        <v>3.3500000000003603E-2</v>
      </c>
      <c r="AD6451">
        <v>-0.10803699999999999</v>
      </c>
      <c r="AE6451">
        <v>-0.48976999999999998</v>
      </c>
      <c r="AF6451">
        <v>-3.0152436658469398E-2</v>
      </c>
      <c r="AG6451">
        <v>-0.10803699999999999</v>
      </c>
      <c r="AH6451">
        <v>0.46726480279513199</v>
      </c>
      <c r="AI6451">
        <v>102.99257055947</v>
      </c>
      <c r="AJ6451">
        <v>93.692157771441302</v>
      </c>
      <c r="AK6451">
        <v>0.48053882125861203</v>
      </c>
      <c r="AL6451">
        <v>65.767234221487499</v>
      </c>
      <c r="AM6451">
        <v>98.893686616890406</v>
      </c>
      <c r="AN6451">
        <v>1.0000000449069799</v>
      </c>
    </row>
    <row r="6452" spans="1:40" x14ac:dyDescent="0.25">
      <c r="A6452" t="str">
        <f>"20190304165013015"</f>
        <v>20190304165013015</v>
      </c>
      <c r="B6452" t="str">
        <f>"1551689413011742"</f>
        <v>1551689413011742</v>
      </c>
      <c r="C6452" t="s">
        <v>40</v>
      </c>
      <c r="D6452">
        <v>4.689146</v>
      </c>
      <c r="E6452">
        <v>0.55641030000000002</v>
      </c>
      <c r="F6452" t="s">
        <v>41</v>
      </c>
      <c r="G6452">
        <v>-302.03339999999997</v>
      </c>
      <c r="H6452">
        <v>1.0060129999999901</v>
      </c>
      <c r="I6452">
        <v>-19.040089999999999</v>
      </c>
      <c r="J6452">
        <v>-302.06939999999997</v>
      </c>
      <c r="K6452">
        <v>1.1097079999999999</v>
      </c>
      <c r="L6452">
        <v>-18.563839999999999</v>
      </c>
      <c r="M6452">
        <v>2.60568E-3</v>
      </c>
      <c r="N6452">
        <v>-9.9072580000000004E-3</v>
      </c>
      <c r="O6452">
        <v>-0.99994749999999999</v>
      </c>
      <c r="P6452">
        <v>0.1492137</v>
      </c>
      <c r="Q6452">
        <v>0.40123310000000001</v>
      </c>
      <c r="R6452">
        <v>-0.90374069999999995</v>
      </c>
      <c r="S6452">
        <v>0.17129520000000001</v>
      </c>
      <c r="T6452">
        <v>-0.49777729999999998</v>
      </c>
      <c r="U6452">
        <v>-3.510132</v>
      </c>
      <c r="V6452">
        <v>-0.1458856</v>
      </c>
      <c r="W6452">
        <v>0.4105181</v>
      </c>
      <c r="X6452">
        <v>0.90010679999999998</v>
      </c>
      <c r="Y6452">
        <v>-4.5688479999999997E-2</v>
      </c>
      <c r="Z6452">
        <v>0.13043550000000001</v>
      </c>
      <c r="AA6452">
        <v>0.99040349999999999</v>
      </c>
      <c r="AB6452">
        <v>27</v>
      </c>
      <c r="AC6452">
        <v>3.6000000000001302E-2</v>
      </c>
      <c r="AD6452">
        <v>-0.103695</v>
      </c>
      <c r="AE6452">
        <v>-0.47625000000000001</v>
      </c>
      <c r="AF6452">
        <v>-3.3194155502534198E-2</v>
      </c>
      <c r="AG6452">
        <v>-0.103695</v>
      </c>
      <c r="AH6452">
        <v>0.45489915404318498</v>
      </c>
      <c r="AI6452">
        <v>102.808320720419</v>
      </c>
      <c r="AJ6452">
        <v>94.173496702753297</v>
      </c>
      <c r="AK6452">
        <v>0.46774752306530898</v>
      </c>
      <c r="AL6452">
        <v>65.762614427122102</v>
      </c>
      <c r="AM6452">
        <v>99.206209434578199</v>
      </c>
      <c r="AN6452">
        <v>0.99999998506060495</v>
      </c>
    </row>
    <row r="6453" spans="1:40" x14ac:dyDescent="0.25">
      <c r="A6453" t="str">
        <f>"20190304165013039"</f>
        <v>20190304165013039</v>
      </c>
      <c r="B6453" t="str">
        <f>"1551689413032239"</f>
        <v>1551689413032239</v>
      </c>
      <c r="C6453" t="s">
        <v>40</v>
      </c>
      <c r="D6453">
        <v>4.5387329999999997</v>
      </c>
      <c r="E6453">
        <v>0.54405239999999999</v>
      </c>
      <c r="F6453" t="s">
        <v>41</v>
      </c>
      <c r="G6453">
        <v>-302.03129999999999</v>
      </c>
      <c r="H6453">
        <v>1.0086189999999999</v>
      </c>
      <c r="I6453">
        <v>-19.281320000000001</v>
      </c>
      <c r="J6453">
        <v>-302.07010000000002</v>
      </c>
      <c r="K6453">
        <v>1.109707</v>
      </c>
      <c r="L6453">
        <v>-18.83868</v>
      </c>
      <c r="M6453">
        <v>1.288855E-3</v>
      </c>
      <c r="N6453">
        <v>-9.7661190000000002E-3</v>
      </c>
      <c r="O6453">
        <v>-0.99995149999999999</v>
      </c>
      <c r="P6453">
        <v>0.15289539999999999</v>
      </c>
      <c r="Q6453">
        <v>0.40155590000000002</v>
      </c>
      <c r="R6453">
        <v>-0.90298179999999995</v>
      </c>
      <c r="S6453">
        <v>0.18692020000000001</v>
      </c>
      <c r="T6453">
        <v>-0.49422959999999999</v>
      </c>
      <c r="U6453">
        <v>-3.5080870000000002</v>
      </c>
      <c r="V6453">
        <v>-0.15076970000000001</v>
      </c>
      <c r="W6453">
        <v>0.41071150000000001</v>
      </c>
      <c r="X6453">
        <v>0.89921329999999999</v>
      </c>
      <c r="Y6453">
        <v>-5.1433119999999999E-2</v>
      </c>
      <c r="Z6453">
        <v>0.1296389</v>
      </c>
      <c r="AA6453">
        <v>0.99022639999999995</v>
      </c>
      <c r="AB6453">
        <v>27</v>
      </c>
      <c r="AC6453">
        <v>3.8800000000037402E-2</v>
      </c>
      <c r="AD6453">
        <v>-0.101087999999999</v>
      </c>
      <c r="AE6453">
        <v>-0.44263999999999998</v>
      </c>
      <c r="AF6453">
        <v>-3.6348150522052598E-2</v>
      </c>
      <c r="AG6453">
        <v>-0.101087999999999</v>
      </c>
      <c r="AH6453">
        <v>0.42090464824358498</v>
      </c>
      <c r="AI6453">
        <v>103.456604280101</v>
      </c>
      <c r="AJ6453">
        <v>94.935658554480199</v>
      </c>
      <c r="AK6453">
        <v>0.43439693219845599</v>
      </c>
      <c r="AL6453">
        <v>65.750462011261007</v>
      </c>
      <c r="AM6453">
        <v>99.518159766029996</v>
      </c>
      <c r="AN6453">
        <v>0.99999999878361401</v>
      </c>
    </row>
    <row r="6454" spans="1:40" x14ac:dyDescent="0.25">
      <c r="A6454" t="str">
        <f>"20190304165013063"</f>
        <v>20190304165013063</v>
      </c>
      <c r="B6454" t="str">
        <f>"1551689413051758"</f>
        <v>1551689413051758</v>
      </c>
      <c r="C6454" t="s">
        <v>40</v>
      </c>
      <c r="D6454">
        <v>4.8223539999999998</v>
      </c>
      <c r="E6454">
        <v>0.54455929999999997</v>
      </c>
      <c r="F6454" t="s">
        <v>42</v>
      </c>
      <c r="G6454">
        <v>-301.2509</v>
      </c>
      <c r="H6454" s="1">
        <v>-9.902238E-7</v>
      </c>
      <c r="I6454">
        <v>-28.878489999999999</v>
      </c>
      <c r="J6454">
        <v>-302.07130000000001</v>
      </c>
      <c r="K6454">
        <v>1.109715</v>
      </c>
      <c r="L6454">
        <v>-19.143039999999999</v>
      </c>
      <c r="M6454">
        <v>-1.396213E-4</v>
      </c>
      <c r="N6454">
        <v>-9.6198510000000004E-3</v>
      </c>
      <c r="O6454">
        <v>-0.99995369999999995</v>
      </c>
      <c r="P6454">
        <v>0.15545410000000001</v>
      </c>
      <c r="Q6454">
        <v>0.401866</v>
      </c>
      <c r="R6454">
        <v>-0.9024065</v>
      </c>
      <c r="S6454">
        <v>0.28100589999999998</v>
      </c>
      <c r="T6454">
        <v>-0.38067190000000001</v>
      </c>
      <c r="U6454">
        <v>-3.4440309999999998</v>
      </c>
      <c r="V6454">
        <v>-0.15463589999999999</v>
      </c>
      <c r="W6454">
        <v>0.410885</v>
      </c>
      <c r="X6454">
        <v>0.89847719999999898</v>
      </c>
      <c r="Y6454">
        <v>-8.1007250000000003E-2</v>
      </c>
      <c r="Z6454">
        <v>9.9934709999999996E-2</v>
      </c>
      <c r="AA6454">
        <v>0.99169090000000004</v>
      </c>
      <c r="AB6454">
        <v>27</v>
      </c>
      <c r="AC6454">
        <v>0.82040000000000601</v>
      </c>
      <c r="AD6454">
        <v>-1.1097159902238001</v>
      </c>
      <c r="AE6454">
        <v>-9.7354500000000002</v>
      </c>
      <c r="AF6454">
        <v>-0.81129248322932102</v>
      </c>
      <c r="AG6454">
        <v>-1.1097159902238001</v>
      </c>
      <c r="AH6454">
        <v>9.61133521188016</v>
      </c>
      <c r="AI6454">
        <v>96.563020773046503</v>
      </c>
      <c r="AJ6454">
        <v>94.824897321459005</v>
      </c>
      <c r="AK6454">
        <v>9.7091415494589608</v>
      </c>
      <c r="AL6454">
        <v>65.739559056842893</v>
      </c>
      <c r="AM6454">
        <v>99.765439984401397</v>
      </c>
      <c r="AN6454">
        <v>1.00000001185682</v>
      </c>
    </row>
    <row r="6455" spans="1:40" x14ac:dyDescent="0.25">
      <c r="A6455" t="str">
        <f>"20190304165013088"</f>
        <v>20190304165013088</v>
      </c>
      <c r="B6455" t="str">
        <f>"1551689413082015"</f>
        <v>1551689413082015</v>
      </c>
      <c r="C6455" t="s">
        <v>40</v>
      </c>
      <c r="D6455">
        <v>4.5514449999999904</v>
      </c>
      <c r="E6455">
        <v>0.54454799999999903</v>
      </c>
      <c r="F6455" t="s">
        <v>42</v>
      </c>
      <c r="G6455">
        <v>-301.20929999999998</v>
      </c>
      <c r="H6455" s="1">
        <v>-6.2065650000000001E-7</v>
      </c>
      <c r="I6455">
        <v>-29.71414</v>
      </c>
      <c r="J6455">
        <v>-302.07279999999997</v>
      </c>
      <c r="K6455">
        <v>1.109731</v>
      </c>
      <c r="L6455">
        <v>-19.449459999999998</v>
      </c>
      <c r="M6455">
        <v>-1.5492870000000001E-3</v>
      </c>
      <c r="N6455">
        <v>-9.4859349999999992E-3</v>
      </c>
      <c r="O6455">
        <v>-0.99995389999999995</v>
      </c>
      <c r="P6455">
        <v>0.15653320000000001</v>
      </c>
      <c r="Q6455">
        <v>0.40200249999999998</v>
      </c>
      <c r="R6455">
        <v>-0.90215959999999995</v>
      </c>
      <c r="S6455">
        <v>0.28024290000000002</v>
      </c>
      <c r="T6455">
        <v>-0.36078549999999998</v>
      </c>
      <c r="U6455">
        <v>-3.4368289999999999</v>
      </c>
      <c r="V6455">
        <v>-0.15700600000000001</v>
      </c>
      <c r="W6455">
        <v>0.4108946</v>
      </c>
      <c r="X6455">
        <v>0.89806169999999996</v>
      </c>
      <c r="Y6455">
        <v>-8.2406309999999997E-2</v>
      </c>
      <c r="Z6455">
        <v>9.4614599999999993E-2</v>
      </c>
      <c r="AA6455">
        <v>0.99209740000000002</v>
      </c>
      <c r="AB6455">
        <v>27</v>
      </c>
      <c r="AC6455">
        <v>0.86349999999998694</v>
      </c>
      <c r="AD6455">
        <v>-1.1097316206565</v>
      </c>
      <c r="AE6455">
        <v>-10.26468</v>
      </c>
      <c r="AF6455">
        <v>-0.86931336305719398</v>
      </c>
      <c r="AG6455">
        <v>-1.1097316206565</v>
      </c>
      <c r="AH6455">
        <v>10.145580218207799</v>
      </c>
      <c r="AI6455">
        <v>96.219632278052998</v>
      </c>
      <c r="AJ6455">
        <v>94.897366876971205</v>
      </c>
      <c r="AK6455">
        <v>10.243046810259401</v>
      </c>
      <c r="AL6455">
        <v>65.738956375920694</v>
      </c>
      <c r="AM6455">
        <v>99.916662706440107</v>
      </c>
      <c r="AN6455">
        <v>1.00000003667602</v>
      </c>
    </row>
    <row r="6456" spans="1:40" x14ac:dyDescent="0.25">
      <c r="A6456" t="str">
        <f>"20190304165013123"</f>
        <v>20190304165013123</v>
      </c>
      <c r="B6456" t="str">
        <f>"1551689413112270"</f>
        <v>1551689413112270</v>
      </c>
      <c r="C6456" t="s">
        <v>40</v>
      </c>
      <c r="D6456">
        <v>4.6416930000000001</v>
      </c>
      <c r="E6456">
        <v>0.54492229999999997</v>
      </c>
      <c r="F6456" t="s">
        <v>42</v>
      </c>
      <c r="G6456">
        <v>-301.15699999999998</v>
      </c>
      <c r="H6456" s="1">
        <v>-4.3995500000000001E-6</v>
      </c>
      <c r="I6456">
        <v>-30.688009999999998</v>
      </c>
      <c r="J6456">
        <v>-302.07569999999998</v>
      </c>
      <c r="K6456">
        <v>1.1097459999999999</v>
      </c>
      <c r="L6456">
        <v>-19.874600000000001</v>
      </c>
      <c r="M6456">
        <v>-3.4348130000000001E-3</v>
      </c>
      <c r="N6456">
        <v>-9.3257040000000006E-3</v>
      </c>
      <c r="O6456">
        <v>-0.99995060000000002</v>
      </c>
      <c r="P6456">
        <v>0.1601001</v>
      </c>
      <c r="Q6456">
        <v>0.40131070000000002</v>
      </c>
      <c r="R6456">
        <v>-0.90184120000000001</v>
      </c>
      <c r="S6456">
        <v>0.2793274</v>
      </c>
      <c r="T6456">
        <v>-0.33846409999999899</v>
      </c>
      <c r="U6456">
        <v>-3.4277039999999999</v>
      </c>
      <c r="V6456">
        <v>-0.16230720000000001</v>
      </c>
      <c r="W6456">
        <v>0.41005190000000002</v>
      </c>
      <c r="X6456">
        <v>0.89750419999999997</v>
      </c>
      <c r="Y6456">
        <v>-8.4282880000000004E-2</v>
      </c>
      <c r="Z6456">
        <v>8.8643130000000001E-2</v>
      </c>
      <c r="AA6456">
        <v>0.99249120000000002</v>
      </c>
      <c r="AB6456">
        <v>27</v>
      </c>
      <c r="AC6456">
        <v>0.91870000000000096</v>
      </c>
      <c r="AD6456">
        <v>-1.10975039955</v>
      </c>
      <c r="AE6456">
        <v>-10.8134099999999</v>
      </c>
      <c r="AF6456">
        <v>-0.94594659531040604</v>
      </c>
      <c r="AG6456">
        <v>-1.10975039955</v>
      </c>
      <c r="AH6456">
        <v>10.6983195552026</v>
      </c>
      <c r="AI6456">
        <v>95.899331334821795</v>
      </c>
      <c r="AJ6456">
        <v>95.052958282528195</v>
      </c>
      <c r="AK6456">
        <v>10.7972404907787</v>
      </c>
      <c r="AL6456">
        <v>65.791904582643397</v>
      </c>
      <c r="AM6456">
        <v>100.250741960879</v>
      </c>
      <c r="AN6456">
        <v>0.99999998844154403</v>
      </c>
    </row>
    <row r="6457" spans="1:40" x14ac:dyDescent="0.25">
      <c r="A6457" t="str">
        <f>"20190304165013148"</f>
        <v>20190304165013148</v>
      </c>
      <c r="B6457" t="str">
        <f>"1551689413141551"</f>
        <v>1551689413141551</v>
      </c>
      <c r="C6457" t="s">
        <v>40</v>
      </c>
      <c r="D6457">
        <v>4.8723130000000001</v>
      </c>
      <c r="E6457">
        <v>0.54604119999999901</v>
      </c>
      <c r="F6457" t="s">
        <v>42</v>
      </c>
      <c r="G6457">
        <v>-301.14170000000001</v>
      </c>
      <c r="H6457" s="1">
        <v>-4.2233029999999997E-6</v>
      </c>
      <c r="I6457">
        <v>-31.197959999999998</v>
      </c>
      <c r="J6457">
        <v>-302.07799999999997</v>
      </c>
      <c r="K6457">
        <v>1.109756</v>
      </c>
      <c r="L6457">
        <v>-20.17014</v>
      </c>
      <c r="M6457">
        <v>-4.6869549999999996E-3</v>
      </c>
      <c r="N6457">
        <v>-9.2249529999999993E-3</v>
      </c>
      <c r="O6457">
        <v>-0.99994660000000002</v>
      </c>
      <c r="P6457">
        <v>0.16319500000000001</v>
      </c>
      <c r="Q6457">
        <v>0.40075490000000002</v>
      </c>
      <c r="R6457">
        <v>-0.9015339</v>
      </c>
      <c r="S6457">
        <v>0.28256229999999999</v>
      </c>
      <c r="T6457">
        <v>-0.33574510000000002</v>
      </c>
      <c r="U6457">
        <v>-3.4257810000000002</v>
      </c>
      <c r="V6457">
        <v>-0.1665594</v>
      </c>
      <c r="W6457">
        <v>0.40939809999999999</v>
      </c>
      <c r="X6457">
        <v>0.89702349999999997</v>
      </c>
      <c r="Y6457">
        <v>-8.6510749999999997E-2</v>
      </c>
      <c r="Z6457">
        <v>8.8003239999999996E-2</v>
      </c>
      <c r="AA6457">
        <v>0.99235640000000003</v>
      </c>
      <c r="AB6457">
        <v>27</v>
      </c>
      <c r="AC6457">
        <v>0.93629999999996005</v>
      </c>
      <c r="AD6457">
        <v>-1.1097602233029999</v>
      </c>
      <c r="AE6457">
        <v>-11.027819999999901</v>
      </c>
      <c r="AF6457">
        <v>-0.97814407495617295</v>
      </c>
      <c r="AG6457">
        <v>-1.1097602233029999</v>
      </c>
      <c r="AH6457">
        <v>10.9135799256724</v>
      </c>
      <c r="AI6457">
        <v>95.783208006311796</v>
      </c>
      <c r="AJ6457">
        <v>95.121525948451094</v>
      </c>
      <c r="AK6457">
        <v>11.013380969467899</v>
      </c>
      <c r="AL6457">
        <v>65.832969975840896</v>
      </c>
      <c r="AM6457">
        <v>100.51889009395499</v>
      </c>
      <c r="AN6457">
        <v>0.99999999878210999</v>
      </c>
    </row>
    <row r="6458" spans="1:40" x14ac:dyDescent="0.25">
      <c r="A6458" t="str">
        <f>"20190304165013170"</f>
        <v>20190304165013170</v>
      </c>
      <c r="B6458" t="str">
        <f>"1551689413162047"</f>
        <v>1551689413162047</v>
      </c>
      <c r="C6458" t="s">
        <v>40</v>
      </c>
      <c r="D6458">
        <v>4.6580709999999996</v>
      </c>
      <c r="E6458">
        <v>0.54638520000000002</v>
      </c>
      <c r="F6458" t="s">
        <v>42</v>
      </c>
      <c r="G6458">
        <v>-301.20479999999998</v>
      </c>
      <c r="H6458" s="1">
        <v>-4.3803089999999998E-6</v>
      </c>
      <c r="I6458">
        <v>-30.769490000000001</v>
      </c>
      <c r="J6458">
        <v>-302.08049999999997</v>
      </c>
      <c r="K6458">
        <v>1.1097699999999999</v>
      </c>
      <c r="L6458">
        <v>-20.446010000000001</v>
      </c>
      <c r="M6458">
        <v>-5.8060969999999996E-3</v>
      </c>
      <c r="N6458">
        <v>-9.139477E-3</v>
      </c>
      <c r="O6458">
        <v>-0.99994159999999999</v>
      </c>
      <c r="P6458">
        <v>0.16666</v>
      </c>
      <c r="Q6458">
        <v>0.40061960000000002</v>
      </c>
      <c r="R6458">
        <v>-0.90096010000000004</v>
      </c>
      <c r="S6458">
        <v>0.28308109999999997</v>
      </c>
      <c r="T6458">
        <v>-0.35978759999999999</v>
      </c>
      <c r="U6458">
        <v>-3.43634</v>
      </c>
      <c r="V6458">
        <v>-0.17106170000000001</v>
      </c>
      <c r="W6458">
        <v>0.40917490000000001</v>
      </c>
      <c r="X6458">
        <v>0.89627769999999995</v>
      </c>
      <c r="Y6458">
        <v>-8.7471820000000006E-2</v>
      </c>
      <c r="Z6458">
        <v>9.4659160000000006E-2</v>
      </c>
      <c r="AA6458">
        <v>0.99165939999999997</v>
      </c>
      <c r="AB6458">
        <v>27</v>
      </c>
      <c r="AC6458">
        <v>0.87569999999999404</v>
      </c>
      <c r="AD6458">
        <v>-1.1097743803090001</v>
      </c>
      <c r="AE6458">
        <v>-10.32348</v>
      </c>
      <c r="AF6458">
        <v>-0.92501352958799998</v>
      </c>
      <c r="AG6458">
        <v>-1.1097743803090001</v>
      </c>
      <c r="AH6458">
        <v>10.201176159862801</v>
      </c>
      <c r="AI6458">
        <v>96.183554332592607</v>
      </c>
      <c r="AJ6458">
        <v>95.181248039869303</v>
      </c>
      <c r="AK6458">
        <v>10.3029725928814</v>
      </c>
      <c r="AL6458">
        <v>65.846985122980598</v>
      </c>
      <c r="AM6458">
        <v>100.80540228522401</v>
      </c>
      <c r="AN6458">
        <v>0.99999995975709399</v>
      </c>
    </row>
    <row r="6459" spans="1:40" x14ac:dyDescent="0.25">
      <c r="A6459" t="str">
        <f>"20190304165013194"</f>
        <v>20190304165013194</v>
      </c>
      <c r="B6459" t="str">
        <f>"1551689413192303"</f>
        <v>1551689413192303</v>
      </c>
      <c r="C6459" t="s">
        <v>40</v>
      </c>
      <c r="D6459">
        <v>4.9064639999999997</v>
      </c>
      <c r="E6459">
        <v>0.49456280000000002</v>
      </c>
      <c r="F6459" t="s">
        <v>42</v>
      </c>
      <c r="G6459">
        <v>-301.21249999999998</v>
      </c>
      <c r="H6459" s="1">
        <v>-4.4207839999999997E-6</v>
      </c>
      <c r="I6459">
        <v>-30.654540000000001</v>
      </c>
      <c r="J6459">
        <v>-302.08330000000001</v>
      </c>
      <c r="K6459">
        <v>1.1097999999999999</v>
      </c>
      <c r="L6459">
        <v>-20.733519999999999</v>
      </c>
      <c r="M6459">
        <v>-6.9036949999999996E-3</v>
      </c>
      <c r="N6459">
        <v>-9.0611149999999998E-3</v>
      </c>
      <c r="O6459">
        <v>-0.99993529999999997</v>
      </c>
      <c r="P6459">
        <v>0.1713102</v>
      </c>
      <c r="Q6459">
        <v>0.40018949999999998</v>
      </c>
      <c r="R6459">
        <v>-0.90027880000000005</v>
      </c>
      <c r="S6459">
        <v>0.29266360000000002</v>
      </c>
      <c r="T6459">
        <v>-0.37418699999999999</v>
      </c>
      <c r="U6459">
        <v>-3.4420470000000001</v>
      </c>
      <c r="V6459">
        <v>-0.17673889999999901</v>
      </c>
      <c r="W6459">
        <v>0.4086593</v>
      </c>
      <c r="X6459">
        <v>0.89541109999999902</v>
      </c>
      <c r="Y6459">
        <v>-9.1135759999999996E-2</v>
      </c>
      <c r="Z6459">
        <v>9.8637900000000001E-2</v>
      </c>
      <c r="AA6459">
        <v>0.99094139999999997</v>
      </c>
      <c r="AB6459">
        <v>27</v>
      </c>
      <c r="AC6459">
        <v>0.87080000000003099</v>
      </c>
      <c r="AD6459">
        <v>-1.1098044207840001</v>
      </c>
      <c r="AE6459">
        <v>-9.9210200000000004</v>
      </c>
      <c r="AF6459">
        <v>-0.92775302282731098</v>
      </c>
      <c r="AG6459">
        <v>-1.1098044207840001</v>
      </c>
      <c r="AH6459">
        <v>9.7931613396376207</v>
      </c>
      <c r="AI6459">
        <v>96.436852079703897</v>
      </c>
      <c r="AJ6459">
        <v>95.411752272593205</v>
      </c>
      <c r="AK6459">
        <v>9.8994141517531098</v>
      </c>
      <c r="AL6459">
        <v>65.879359375894495</v>
      </c>
      <c r="AM6459">
        <v>101.16568237309799</v>
      </c>
      <c r="AN6459">
        <v>1.0000000501264501</v>
      </c>
    </row>
    <row r="6460" spans="1:40" x14ac:dyDescent="0.25">
      <c r="A6460" t="str">
        <f>"20190304165013216"</f>
        <v>20190304165013216</v>
      </c>
      <c r="B6460" t="str">
        <f>"1551689413211824"</f>
        <v>1551689413211824</v>
      </c>
      <c r="C6460" t="s">
        <v>40</v>
      </c>
      <c r="D6460">
        <v>4.6985440000000001</v>
      </c>
      <c r="E6460">
        <v>0.42511650000000001</v>
      </c>
      <c r="F6460" t="s">
        <v>42</v>
      </c>
      <c r="G6460">
        <v>-299.8879</v>
      </c>
      <c r="H6460" s="1">
        <v>-4.0234149999999997E-6</v>
      </c>
      <c r="I6460">
        <v>-31.034890000000001</v>
      </c>
      <c r="J6460">
        <v>-302.08609999999999</v>
      </c>
      <c r="K6460">
        <v>1.10985</v>
      </c>
      <c r="L6460">
        <v>-20.997920000000001</v>
      </c>
      <c r="M6460">
        <v>-7.8337370000000003E-3</v>
      </c>
      <c r="N6460">
        <v>-8.9939389999999994E-3</v>
      </c>
      <c r="O6460">
        <v>-0.99992879999999995</v>
      </c>
      <c r="P6460">
        <v>0.17671589999999901</v>
      </c>
      <c r="Q6460">
        <v>0.39969749999999998</v>
      </c>
      <c r="R6460">
        <v>-0.89945200000000003</v>
      </c>
      <c r="S6460">
        <v>0.71542359999999905</v>
      </c>
      <c r="T6460">
        <v>-0.36165459999999999</v>
      </c>
      <c r="U6460">
        <v>-3.3569339999999999</v>
      </c>
      <c r="V6460">
        <v>-0.18302560000000001</v>
      </c>
      <c r="W6460">
        <v>0.40808689999999997</v>
      </c>
      <c r="X6460">
        <v>0.894408599999999</v>
      </c>
      <c r="Y6460">
        <v>-0.2150252</v>
      </c>
      <c r="Z6460">
        <v>9.5739210000000005E-2</v>
      </c>
      <c r="AA6460">
        <v>0.9719044</v>
      </c>
      <c r="AB6460">
        <v>27</v>
      </c>
      <c r="AC6460">
        <v>2.1981999999999799</v>
      </c>
      <c r="AD6460">
        <v>-1.1098540234150001</v>
      </c>
      <c r="AE6460">
        <v>-10.03697</v>
      </c>
      <c r="AF6460">
        <v>-2.2505048474304199</v>
      </c>
      <c r="AG6460">
        <v>-1.1098540234150001</v>
      </c>
      <c r="AH6460">
        <v>9.9038871339417405</v>
      </c>
      <c r="AI6460">
        <v>96.236348466416302</v>
      </c>
      <c r="AJ6460">
        <v>102.802183399098</v>
      </c>
      <c r="AK6460">
        <v>10.2168257489033</v>
      </c>
      <c r="AL6460">
        <v>65.915287029496795</v>
      </c>
      <c r="AM6460">
        <v>101.564950484877</v>
      </c>
      <c r="AN6460">
        <v>1.0000000159804601</v>
      </c>
    </row>
    <row r="6461" spans="1:40" x14ac:dyDescent="0.25">
      <c r="A6461" t="str">
        <f>"20190304165013239"</f>
        <v>20190304165013239</v>
      </c>
      <c r="B6461" t="str">
        <f>"1551689413232320"</f>
        <v>1551689413232320</v>
      </c>
      <c r="C6461" t="s">
        <v>40</v>
      </c>
      <c r="D6461">
        <v>4.7193670000000001</v>
      </c>
      <c r="E6461">
        <v>0.42114990000000002</v>
      </c>
      <c r="F6461" t="s">
        <v>42</v>
      </c>
      <c r="G6461">
        <v>-296.6354</v>
      </c>
      <c r="H6461" s="1">
        <v>-3.000803E-6</v>
      </c>
      <c r="I6461">
        <v>-34.763459999999903</v>
      </c>
      <c r="J6461">
        <v>-302.08940000000001</v>
      </c>
      <c r="K6461">
        <v>1.10991</v>
      </c>
      <c r="L6461">
        <v>-21.285769999999999</v>
      </c>
      <c r="M6461">
        <v>-8.7462830000000005E-3</v>
      </c>
      <c r="N6461">
        <v>-8.9255080000000004E-3</v>
      </c>
      <c r="O6461">
        <v>-0.99992190000000003</v>
      </c>
      <c r="P6461">
        <v>0.18166170000000001</v>
      </c>
      <c r="Q6461">
        <v>0.39981680000000003</v>
      </c>
      <c r="R6461">
        <v>-0.89841289999999996</v>
      </c>
      <c r="S6461">
        <v>1.267487</v>
      </c>
      <c r="T6461">
        <v>-0.25808379999999997</v>
      </c>
      <c r="U6461">
        <v>-3.2010190000000001</v>
      </c>
      <c r="V6461">
        <v>-0.18884529999999999</v>
      </c>
      <c r="W6461">
        <v>0.4081148</v>
      </c>
      <c r="X6461">
        <v>0.89318519999999901</v>
      </c>
      <c r="Y6461">
        <v>-0.37533929999999999</v>
      </c>
      <c r="Z6461">
        <v>6.5705520000000003E-2</v>
      </c>
      <c r="AA6461">
        <v>0.92455569999999998</v>
      </c>
      <c r="AB6461">
        <v>27</v>
      </c>
      <c r="AC6461">
        <v>5.4539999999999997</v>
      </c>
      <c r="AD6461">
        <v>-1.109913000803</v>
      </c>
      <c r="AE6461">
        <v>-13.4776899999999</v>
      </c>
      <c r="AF6461">
        <v>-5.5393947551845297</v>
      </c>
      <c r="AG6461">
        <v>-1.109913000803</v>
      </c>
      <c r="AH6461">
        <v>13.3516630628536</v>
      </c>
      <c r="AI6461">
        <v>94.390734748326693</v>
      </c>
      <c r="AJ6461">
        <v>112.532792346753</v>
      </c>
      <c r="AK6461">
        <v>14.4977138772665</v>
      </c>
      <c r="AL6461">
        <v>65.913536117443499</v>
      </c>
      <c r="AM6461">
        <v>101.938176845105</v>
      </c>
      <c r="AN6461">
        <v>1.00000001940508</v>
      </c>
    </row>
    <row r="6462" spans="1:40" x14ac:dyDescent="0.25">
      <c r="A6462" t="str">
        <f>"20190304165013264"</f>
        <v>20190304165013264</v>
      </c>
      <c r="B6462" t="str">
        <f>"1551689413251838"</f>
        <v>1551689413251838</v>
      </c>
      <c r="C6462" t="s">
        <v>40</v>
      </c>
      <c r="D6462">
        <v>4.6752459999999996</v>
      </c>
      <c r="E6462">
        <v>0.42062850000000002</v>
      </c>
      <c r="F6462" t="s">
        <v>42</v>
      </c>
      <c r="G6462">
        <v>-296.28219999999999</v>
      </c>
      <c r="H6462" s="1">
        <v>-2.7998829999999998E-6</v>
      </c>
      <c r="I6462">
        <v>-35.377859999999998</v>
      </c>
      <c r="J6462">
        <v>-302.09300000000002</v>
      </c>
      <c r="K6462">
        <v>1.1099669999999999</v>
      </c>
      <c r="L6462">
        <v>-21.59</v>
      </c>
      <c r="M6462">
        <v>-9.6197250000000008E-3</v>
      </c>
      <c r="N6462">
        <v>-8.8595410000000003E-3</v>
      </c>
      <c r="O6462">
        <v>-0.99991470000000005</v>
      </c>
      <c r="P6462">
        <v>0.18582389999999999</v>
      </c>
      <c r="Q6462">
        <v>0.40038069999999998</v>
      </c>
      <c r="R6462">
        <v>-0.89731019999999995</v>
      </c>
      <c r="S6462">
        <v>1.312683</v>
      </c>
      <c r="T6462">
        <v>-0.25089099999999998</v>
      </c>
      <c r="U6462">
        <v>-3.1854550000000001</v>
      </c>
      <c r="V6462">
        <v>-0.1938445</v>
      </c>
      <c r="W6462">
        <v>0.40858529999999998</v>
      </c>
      <c r="X6462">
        <v>0.89189819999999997</v>
      </c>
      <c r="Y6462">
        <v>-0.3889726</v>
      </c>
      <c r="Z6462">
        <v>6.3628809999999994E-2</v>
      </c>
      <c r="AA6462">
        <v>0.91904929999999996</v>
      </c>
      <c r="AB6462">
        <v>27</v>
      </c>
      <c r="AC6462">
        <v>5.8108000000000199</v>
      </c>
      <c r="AD6462">
        <v>-1.10996979988299</v>
      </c>
      <c r="AE6462">
        <v>-13.787859999999901</v>
      </c>
      <c r="AF6462">
        <v>-5.91064349074568</v>
      </c>
      <c r="AG6462">
        <v>-1.10996979988299</v>
      </c>
      <c r="AH6462">
        <v>13.6561671139473</v>
      </c>
      <c r="AI6462">
        <v>94.265945931291597</v>
      </c>
      <c r="AJ6462">
        <v>113.403859815321</v>
      </c>
      <c r="AK6462">
        <v>14.9217505566674</v>
      </c>
      <c r="AL6462">
        <v>65.8840039767219</v>
      </c>
      <c r="AM6462">
        <v>102.26192665890299</v>
      </c>
      <c r="AN6462">
        <v>1.0000000183597799</v>
      </c>
    </row>
    <row r="6463" spans="1:40" x14ac:dyDescent="0.25">
      <c r="A6463" t="str">
        <f>"20190304165013290"</f>
        <v>20190304165013290</v>
      </c>
      <c r="B6463" t="str">
        <f>"1551689413282095"</f>
        <v>1551689413282095</v>
      </c>
      <c r="C6463" t="s">
        <v>40</v>
      </c>
      <c r="D6463">
        <v>4.6681039999999996</v>
      </c>
      <c r="E6463">
        <v>0.42271130000000001</v>
      </c>
      <c r="F6463" t="s">
        <v>42</v>
      </c>
      <c r="G6463">
        <v>-296.22829999999999</v>
      </c>
      <c r="H6463" s="1">
        <v>-2.7086849999999998E-6</v>
      </c>
      <c r="I6463">
        <v>-35.612729999999999</v>
      </c>
      <c r="J6463">
        <v>-302.09710000000001</v>
      </c>
      <c r="K6463">
        <v>1.1100239999999999</v>
      </c>
      <c r="L6463">
        <v>-21.91919</v>
      </c>
      <c r="M6463">
        <v>-1.044991E-2</v>
      </c>
      <c r="N6463">
        <v>-8.7912589999999992E-3</v>
      </c>
      <c r="O6463">
        <v>-0.99990679999999998</v>
      </c>
      <c r="P6463">
        <v>0.1898968</v>
      </c>
      <c r="Q6463">
        <v>0.40023789999999998</v>
      </c>
      <c r="R6463">
        <v>-0.8965206</v>
      </c>
      <c r="S6463">
        <v>1.3300479999999999</v>
      </c>
      <c r="T6463">
        <v>-0.25172939999999999</v>
      </c>
      <c r="U6463">
        <v>-3.1802060000000001</v>
      </c>
      <c r="V6463">
        <v>-0.1987226</v>
      </c>
      <c r="W6463">
        <v>0.40834589999999998</v>
      </c>
      <c r="X6463">
        <v>0.8909338</v>
      </c>
      <c r="Y6463">
        <v>-0.394536</v>
      </c>
      <c r="Z6463">
        <v>6.3883239999999994E-2</v>
      </c>
      <c r="AA6463">
        <v>0.9166571</v>
      </c>
      <c r="AB6463">
        <v>27</v>
      </c>
      <c r="AC6463">
        <v>5.8688000000000198</v>
      </c>
      <c r="AD6463">
        <v>-1.110026708685</v>
      </c>
      <c r="AE6463">
        <v>-13.69354</v>
      </c>
      <c r="AF6463">
        <v>-5.97839303375501</v>
      </c>
      <c r="AG6463">
        <v>-1.110026708685</v>
      </c>
      <c r="AH6463">
        <v>13.5562059218513</v>
      </c>
      <c r="AI6463">
        <v>94.284660377893999</v>
      </c>
      <c r="AJ6463">
        <v>113.797855143261</v>
      </c>
      <c r="AK6463">
        <v>14.857458112196801</v>
      </c>
      <c r="AL6463">
        <v>65.899031947244595</v>
      </c>
      <c r="AM6463">
        <v>102.57398475983599</v>
      </c>
      <c r="AN6463">
        <v>1.0000000408900001</v>
      </c>
    </row>
    <row r="6464" spans="1:40" x14ac:dyDescent="0.25">
      <c r="A6464" t="str">
        <f>"20190304165013326"</f>
        <v>20190304165013326</v>
      </c>
      <c r="B6464" t="str">
        <f>"1551689413322111"</f>
        <v>1551689413322111</v>
      </c>
      <c r="C6464" t="s">
        <v>40</v>
      </c>
      <c r="D6464">
        <v>4.6474419999999999</v>
      </c>
      <c r="E6464">
        <v>0.42484949999999999</v>
      </c>
      <c r="F6464" t="s">
        <v>42</v>
      </c>
      <c r="G6464">
        <v>-296.22559999999999</v>
      </c>
      <c r="H6464" s="1">
        <v>-2.5553520000000001E-6</v>
      </c>
      <c r="I6464">
        <v>-35.97128</v>
      </c>
      <c r="J6464">
        <v>-302.10250000000002</v>
      </c>
      <c r="K6464">
        <v>1.11012</v>
      </c>
      <c r="L6464">
        <v>-22.347629999999999</v>
      </c>
      <c r="M6464">
        <v>-1.1285079999999999E-2</v>
      </c>
      <c r="N6464">
        <v>-8.704214E-3</v>
      </c>
      <c r="O6464">
        <v>-0.99989870000000003</v>
      </c>
      <c r="P6464">
        <v>0.20194970000000001</v>
      </c>
      <c r="Q6464">
        <v>0.39893390000000001</v>
      </c>
      <c r="R6464">
        <v>-0.89446559999999897</v>
      </c>
      <c r="S6464">
        <v>1.327515</v>
      </c>
      <c r="T6464">
        <v>-0.25097269999999999</v>
      </c>
      <c r="U6464">
        <v>-3.1771240000000001</v>
      </c>
      <c r="V6464">
        <v>-0.21160950000000001</v>
      </c>
      <c r="W6464">
        <v>0.40690379999999998</v>
      </c>
      <c r="X6464">
        <v>0.88862289999999899</v>
      </c>
      <c r="Y6464">
        <v>-0.39500069999999998</v>
      </c>
      <c r="Z6464">
        <v>6.3818070000000005E-2</v>
      </c>
      <c r="AA6464">
        <v>0.91646150000000004</v>
      </c>
      <c r="AB6464">
        <v>28</v>
      </c>
      <c r="AC6464">
        <v>5.8769000000000302</v>
      </c>
      <c r="AD6464">
        <v>-1.110122555352</v>
      </c>
      <c r="AE6464">
        <v>-13.62365</v>
      </c>
      <c r="AF6464">
        <v>-5.9967054470424097</v>
      </c>
      <c r="AG6464">
        <v>-1.110122555352</v>
      </c>
      <c r="AH6464">
        <v>13.4809909091897</v>
      </c>
      <c r="AI6464">
        <v>94.302781030827205</v>
      </c>
      <c r="AJ6464">
        <v>113.980778024304</v>
      </c>
      <c r="AK6464">
        <v>14.796282107345201</v>
      </c>
      <c r="AL6464">
        <v>65.989515069950599</v>
      </c>
      <c r="AM6464">
        <v>103.394488085582</v>
      </c>
      <c r="AN6464">
        <v>0.99999997067454904</v>
      </c>
    </row>
    <row r="6465" spans="1:40" x14ac:dyDescent="0.25">
      <c r="A6465" t="str">
        <f>"20190304165013351"</f>
        <v>20190304165013351</v>
      </c>
      <c r="B6465" t="str">
        <f>"1551689413342607"</f>
        <v>1551689413342607</v>
      </c>
      <c r="C6465" t="s">
        <v>40</v>
      </c>
      <c r="D6465">
        <v>4.6558120000000001</v>
      </c>
      <c r="E6465">
        <v>0.42558659999999998</v>
      </c>
      <c r="F6465" t="s">
        <v>42</v>
      </c>
      <c r="G6465">
        <v>-296.3759</v>
      </c>
      <c r="H6465" s="1">
        <v>-2.5977690000000001E-6</v>
      </c>
      <c r="I6465">
        <v>-35.810270000000003</v>
      </c>
      <c r="J6465">
        <v>-302.10660000000001</v>
      </c>
      <c r="K6465">
        <v>1.110195</v>
      </c>
      <c r="L6465">
        <v>-22.66452</v>
      </c>
      <c r="M6465">
        <v>-1.172687E-2</v>
      </c>
      <c r="N6465">
        <v>-8.6444869999999993E-3</v>
      </c>
      <c r="O6465">
        <v>-0.99989399999999995</v>
      </c>
      <c r="P6465">
        <v>0.20748900000000001</v>
      </c>
      <c r="Q6465">
        <v>0.39889780000000002</v>
      </c>
      <c r="R6465">
        <v>-0.89321269999999997</v>
      </c>
      <c r="S6465">
        <v>1.3468629999999999</v>
      </c>
      <c r="T6465">
        <v>-0.26109329999999997</v>
      </c>
      <c r="U6465">
        <v>-3.1663209999999999</v>
      </c>
      <c r="V6465">
        <v>-0.21762390000000001</v>
      </c>
      <c r="W6465">
        <v>0.40675699999999998</v>
      </c>
      <c r="X6465">
        <v>0.88723649999999998</v>
      </c>
      <c r="Y6465">
        <v>-0.40117779999999997</v>
      </c>
      <c r="Z6465">
        <v>6.6829379999999994E-2</v>
      </c>
      <c r="AA6465">
        <v>0.91355909999999996</v>
      </c>
      <c r="AB6465">
        <v>28</v>
      </c>
      <c r="AC6465">
        <v>5.7307000000000103</v>
      </c>
      <c r="AD6465">
        <v>-1.110197597769</v>
      </c>
      <c r="AE6465">
        <v>-13.14575</v>
      </c>
      <c r="AF6465">
        <v>-5.8494126851489199</v>
      </c>
      <c r="AG6465">
        <v>-1.110197597769</v>
      </c>
      <c r="AH6465">
        <v>12.999728637400001</v>
      </c>
      <c r="AI6465">
        <v>94.453240465416499</v>
      </c>
      <c r="AJ6465">
        <v>114.226040216</v>
      </c>
      <c r="AK6465">
        <v>14.2982905311548</v>
      </c>
      <c r="AL6465">
        <v>65.998723576812495</v>
      </c>
      <c r="AM6465">
        <v>103.78158827109201</v>
      </c>
      <c r="AN6465">
        <v>1.0000000129162201</v>
      </c>
    </row>
    <row r="6466" spans="1:40" x14ac:dyDescent="0.25">
      <c r="A6466" t="str">
        <f>"20190304165013372"</f>
        <v>20190304165013372</v>
      </c>
      <c r="B6466" t="str">
        <f>"1551689413362127"</f>
        <v>1551689413362127</v>
      </c>
      <c r="C6466" t="s">
        <v>40</v>
      </c>
      <c r="D6466">
        <v>4.6460080000000001</v>
      </c>
      <c r="E6466">
        <v>0.38543830000000001</v>
      </c>
      <c r="F6466" t="s">
        <v>42</v>
      </c>
      <c r="G6466">
        <v>-296.34309999999999</v>
      </c>
      <c r="H6466" s="1">
        <v>-2.4881899999999999E-6</v>
      </c>
      <c r="I6466">
        <v>-36.079250000000002</v>
      </c>
      <c r="J6466">
        <v>-302.11009999999999</v>
      </c>
      <c r="K6466">
        <v>1.110269</v>
      </c>
      <c r="L6466">
        <v>-22.937840000000001</v>
      </c>
      <c r="M6466">
        <v>-1.198404E-2</v>
      </c>
      <c r="N6466">
        <v>-8.5951159999999999E-3</v>
      </c>
      <c r="O6466">
        <v>-0.99989139999999999</v>
      </c>
      <c r="P6466">
        <v>0.2116304</v>
      </c>
      <c r="Q6466">
        <v>0.39850809999999998</v>
      </c>
      <c r="R6466">
        <v>-0.89241489999999901</v>
      </c>
      <c r="S6466">
        <v>1.3576969999999999</v>
      </c>
      <c r="T6466">
        <v>-0.26152560000000002</v>
      </c>
      <c r="U6466">
        <v>-3.1600649999999999</v>
      </c>
      <c r="V6466">
        <v>-0.22207289999999999</v>
      </c>
      <c r="W6466">
        <v>0.40627079999999999</v>
      </c>
      <c r="X6466">
        <v>0.88635640000000004</v>
      </c>
      <c r="Y6466">
        <v>-0.40470270000000003</v>
      </c>
      <c r="Z6466">
        <v>6.7028989999999997E-2</v>
      </c>
      <c r="AA6466">
        <v>0.91198840000000003</v>
      </c>
      <c r="AB6466">
        <v>28</v>
      </c>
      <c r="AC6466">
        <v>5.7669999999999897</v>
      </c>
      <c r="AD6466">
        <v>-1.11027148819</v>
      </c>
      <c r="AE6466">
        <v>-13.14141</v>
      </c>
      <c r="AF6466">
        <v>-5.8888323644167198</v>
      </c>
      <c r="AG6466">
        <v>-1.11027148819</v>
      </c>
      <c r="AH6466">
        <v>12.9935812071847</v>
      </c>
      <c r="AI6466">
        <v>94.450233221309801</v>
      </c>
      <c r="AJ6466">
        <v>114.380550814298</v>
      </c>
      <c r="AK6466">
        <v>14.308885420653599</v>
      </c>
      <c r="AL6466">
        <v>66.029213496257398</v>
      </c>
      <c r="AM6466">
        <v>104.065673813489</v>
      </c>
      <c r="AN6466">
        <v>1.0000000018340001</v>
      </c>
    </row>
    <row r="6467" spans="1:40" x14ac:dyDescent="0.25">
      <c r="A6467" t="str">
        <f>"20190304165013395"</f>
        <v>20190304165013395</v>
      </c>
      <c r="B6467" t="str">
        <f>"1551689413392383"</f>
        <v>1551689413392383</v>
      </c>
      <c r="C6467" t="s">
        <v>40</v>
      </c>
      <c r="D6467">
        <v>4.6323780000000001</v>
      </c>
      <c r="E6467">
        <v>0.35779519999999998</v>
      </c>
      <c r="F6467" t="s">
        <v>41</v>
      </c>
      <c r="G6467">
        <v>-301.68979999999999</v>
      </c>
      <c r="H6467">
        <v>1.053399</v>
      </c>
      <c r="I6467">
        <v>-23.705539999999999</v>
      </c>
      <c r="J6467">
        <v>-302.11360000000002</v>
      </c>
      <c r="K6467">
        <v>1.110357</v>
      </c>
      <c r="L6467">
        <v>-23.21088</v>
      </c>
      <c r="M6467">
        <v>-1.211712E-2</v>
      </c>
      <c r="N6467">
        <v>-8.5467459999999992E-3</v>
      </c>
      <c r="O6467">
        <v>-0.9998901</v>
      </c>
      <c r="P6467">
        <v>0.21572140000000001</v>
      </c>
      <c r="Q6467">
        <v>0.39788380000000001</v>
      </c>
      <c r="R6467">
        <v>-0.89171369999999905</v>
      </c>
      <c r="S6467">
        <v>1.6791689999999999</v>
      </c>
      <c r="T6467">
        <v>-0.2270489</v>
      </c>
      <c r="U6467">
        <v>-3.0648499999999999</v>
      </c>
      <c r="V6467">
        <v>-0.2263656</v>
      </c>
      <c r="W6467">
        <v>0.4055491</v>
      </c>
      <c r="X6467">
        <v>0.88560059999999996</v>
      </c>
      <c r="Y6467">
        <v>-0.49018099999999998</v>
      </c>
      <c r="Z6467">
        <v>5.6066119999999997E-2</v>
      </c>
      <c r="AA6467">
        <v>0.86981559999999902</v>
      </c>
      <c r="AB6467">
        <v>28</v>
      </c>
      <c r="AC6467">
        <v>0.42380000000002799</v>
      </c>
      <c r="AD6467">
        <v>-5.6958000000000002E-2</v>
      </c>
      <c r="AE6467">
        <v>-0.49465999999999899</v>
      </c>
      <c r="AF6467">
        <v>-0.42650186960028802</v>
      </c>
      <c r="AG6467">
        <v>-5.6958000000000002E-2</v>
      </c>
      <c r="AH6467">
        <v>0.48577396887991398</v>
      </c>
      <c r="AI6467">
        <v>95.035369570342496</v>
      </c>
      <c r="AJ6467">
        <v>131.28262147995801</v>
      </c>
      <c r="AK6467">
        <v>0.64894098913374598</v>
      </c>
      <c r="AL6467">
        <v>66.074457328837795</v>
      </c>
      <c r="AM6467">
        <v>104.338195399732</v>
      </c>
      <c r="AN6467">
        <v>0.999999940047263</v>
      </c>
    </row>
    <row r="6468" spans="1:40" x14ac:dyDescent="0.25">
      <c r="A6468" t="str">
        <f>"20190304165013417"</f>
        <v>20190304165013417</v>
      </c>
      <c r="B6468" t="str">
        <f>"1551689413411903"</f>
        <v>1551689413411903</v>
      </c>
      <c r="C6468" t="s">
        <v>40</v>
      </c>
      <c r="D6468">
        <v>4.5907939999999998</v>
      </c>
      <c r="E6468">
        <v>0.35252</v>
      </c>
      <c r="F6468" t="s">
        <v>41</v>
      </c>
      <c r="G6468">
        <v>-301.6463</v>
      </c>
      <c r="H6468">
        <v>1.060602</v>
      </c>
      <c r="I6468">
        <v>-23.945830000000001</v>
      </c>
      <c r="J6468">
        <v>-302.11709999999999</v>
      </c>
      <c r="K6468">
        <v>1.1104369999999999</v>
      </c>
      <c r="L6468">
        <v>-23.493839999999999</v>
      </c>
      <c r="M6468">
        <v>-1.2102450000000001E-2</v>
      </c>
      <c r="N6468">
        <v>-8.4957360000000003E-3</v>
      </c>
      <c r="O6468">
        <v>-0.99989079999999997</v>
      </c>
      <c r="P6468">
        <v>0.2199324</v>
      </c>
      <c r="Q6468">
        <v>0.39655509999999999</v>
      </c>
      <c r="R6468">
        <v>-0.89127679999999998</v>
      </c>
      <c r="S6468">
        <v>1.903961</v>
      </c>
      <c r="T6468">
        <v>-0.2027023</v>
      </c>
      <c r="U6468">
        <v>-2.9941710000000001</v>
      </c>
      <c r="V6468">
        <v>-0.23065920000000001</v>
      </c>
      <c r="W6468">
        <v>0.40411459999999999</v>
      </c>
      <c r="X6468">
        <v>0.88514839999999995</v>
      </c>
      <c r="Y6468">
        <v>-0.54599679999999995</v>
      </c>
      <c r="Z6468">
        <v>4.8312639999999997E-2</v>
      </c>
      <c r="AA6468">
        <v>0.8363931</v>
      </c>
      <c r="AB6468">
        <v>28</v>
      </c>
      <c r="AC6468">
        <v>0.470799999999997</v>
      </c>
      <c r="AD6468">
        <v>-4.9834999999999997E-2</v>
      </c>
      <c r="AE6468">
        <v>-0.451989999999998</v>
      </c>
      <c r="AF6468">
        <v>-0.47347525880215302</v>
      </c>
      <c r="AG6468">
        <v>-4.9834999999999997E-2</v>
      </c>
      <c r="AH6468">
        <v>0.44367198580703698</v>
      </c>
      <c r="AI6468">
        <v>94.391896397050502</v>
      </c>
      <c r="AJ6468">
        <v>136.861207229911</v>
      </c>
      <c r="AK6468">
        <v>0.65077429183452395</v>
      </c>
      <c r="AL6468">
        <v>66.164344260773603</v>
      </c>
      <c r="AM6468">
        <v>104.605777378729</v>
      </c>
      <c r="AN6468">
        <v>0.99999998325018002</v>
      </c>
    </row>
    <row r="6469" spans="1:40" x14ac:dyDescent="0.25">
      <c r="A6469" t="str">
        <f>"20190304165013441"</f>
        <v>20190304165013441</v>
      </c>
      <c r="B6469" t="str">
        <f>"1551689413432399"</f>
        <v>1551689413432399</v>
      </c>
      <c r="C6469" t="s">
        <v>40</v>
      </c>
      <c r="D6469">
        <v>4.568098</v>
      </c>
      <c r="E6469">
        <v>0.35043190000000002</v>
      </c>
      <c r="F6469" t="s">
        <v>42</v>
      </c>
      <c r="G6469">
        <v>-291.3854</v>
      </c>
      <c r="H6469" s="1">
        <v>-2.472247E-6</v>
      </c>
      <c r="I6469">
        <v>-39.822609999999997</v>
      </c>
      <c r="J6469">
        <v>-302.12060000000002</v>
      </c>
      <c r="K6469">
        <v>1.1105339999999999</v>
      </c>
      <c r="L6469">
        <v>-23.795100000000001</v>
      </c>
      <c r="M6469">
        <v>-1.191533E-2</v>
      </c>
      <c r="N6469">
        <v>-8.4435710000000004E-3</v>
      </c>
      <c r="O6469">
        <v>-0.99989340000000004</v>
      </c>
      <c r="P6469">
        <v>0.2245355</v>
      </c>
      <c r="Q6469">
        <v>0.39489350000000001</v>
      </c>
      <c r="R6469">
        <v>-0.8908663</v>
      </c>
      <c r="S6469">
        <v>1.9543759999999999</v>
      </c>
      <c r="T6469">
        <v>-0.2022263</v>
      </c>
      <c r="U6469">
        <v>-2.9736940000000001</v>
      </c>
      <c r="V6469">
        <v>-0.2352031</v>
      </c>
      <c r="W6469">
        <v>0.40233859999999999</v>
      </c>
      <c r="X6469">
        <v>0.88476160000000004</v>
      </c>
      <c r="Y6469">
        <v>-0.55836619999999904</v>
      </c>
      <c r="Z6469">
        <v>4.8067699999999998E-2</v>
      </c>
      <c r="AA6469">
        <v>0.82820090000000002</v>
      </c>
      <c r="AB6469">
        <v>28</v>
      </c>
      <c r="AC6469">
        <v>10.735200000000001</v>
      </c>
      <c r="AD6469">
        <v>-1.1105364722469999</v>
      </c>
      <c r="AE6469">
        <v>-16.0275099999999</v>
      </c>
      <c r="AF6469">
        <v>-10.8893285279573</v>
      </c>
      <c r="AG6469">
        <v>-1.1105364722469999</v>
      </c>
      <c r="AH6469">
        <v>15.8459378272414</v>
      </c>
      <c r="AI6469">
        <v>93.305714723209604</v>
      </c>
      <c r="AJ6469">
        <v>124.49684955789201</v>
      </c>
      <c r="AK6469">
        <v>19.258881397183401</v>
      </c>
      <c r="AL6469">
        <v>66.275541904415604</v>
      </c>
      <c r="AM6469">
        <v>104.887071749207</v>
      </c>
      <c r="AN6469">
        <v>0.99999996806706404</v>
      </c>
    </row>
    <row r="6470" spans="1:40" x14ac:dyDescent="0.25">
      <c r="A6470" t="str">
        <f>"20190304165013462"</f>
        <v>20190304165013462</v>
      </c>
      <c r="B6470" t="str">
        <f>"1551689413451919"</f>
        <v>1551689413451919</v>
      </c>
      <c r="C6470" t="s">
        <v>40</v>
      </c>
      <c r="D6470">
        <v>4.5368510000000004</v>
      </c>
      <c r="E6470">
        <v>0.34956569999999998</v>
      </c>
      <c r="F6470" t="s">
        <v>41</v>
      </c>
      <c r="G6470">
        <v>-301.53280000000001</v>
      </c>
      <c r="H6470">
        <v>1.0493129999999999</v>
      </c>
      <c r="I6470">
        <v>-24.672940000000001</v>
      </c>
      <c r="J6470">
        <v>-302.1234</v>
      </c>
      <c r="K6470">
        <v>1.1106199999999999</v>
      </c>
      <c r="L6470">
        <v>-24.0564</v>
      </c>
      <c r="M6470">
        <v>-1.1638859999999999E-2</v>
      </c>
      <c r="N6470">
        <v>-8.4025639999999995E-3</v>
      </c>
      <c r="O6470">
        <v>-0.99989709999999998</v>
      </c>
      <c r="P6470">
        <v>0.22942299999999999</v>
      </c>
      <c r="Q6470">
        <v>0.39368880000000001</v>
      </c>
      <c r="R6470">
        <v>-0.89015409999999995</v>
      </c>
      <c r="S6470">
        <v>1.9822390000000001</v>
      </c>
      <c r="T6470">
        <v>-0.20640059999999999</v>
      </c>
      <c r="U6470">
        <v>-2.9594119999999999</v>
      </c>
      <c r="V6470">
        <v>-0.2399269</v>
      </c>
      <c r="W6470">
        <v>0.40103689999999997</v>
      </c>
      <c r="X6470">
        <v>0.88408399999999998</v>
      </c>
      <c r="Y6470">
        <v>-0.56531969999999898</v>
      </c>
      <c r="Z6470">
        <v>4.9218030000000003E-2</v>
      </c>
      <c r="AA6470">
        <v>0.82340219999999897</v>
      </c>
      <c r="AB6470">
        <v>28</v>
      </c>
      <c r="AC6470">
        <v>0.59059999999999402</v>
      </c>
      <c r="AD6470">
        <v>-6.1307000000000202E-2</v>
      </c>
      <c r="AE6470">
        <v>-0.61653999999999998</v>
      </c>
      <c r="AF6470">
        <v>-0.59466979983302903</v>
      </c>
      <c r="AG6470">
        <v>-6.1307000000000202E-2</v>
      </c>
      <c r="AH6470">
        <v>0.606496831986436</v>
      </c>
      <c r="AI6470">
        <v>94.128296867052299</v>
      </c>
      <c r="AJ6470">
        <v>134.43586750498599</v>
      </c>
      <c r="AK6470">
        <v>0.85160385525902704</v>
      </c>
      <c r="AL6470">
        <v>66.356984275147894</v>
      </c>
      <c r="AM6470">
        <v>105.183497813931</v>
      </c>
      <c r="AN6470">
        <v>1.0000000157805999</v>
      </c>
    </row>
    <row r="6471" spans="1:40" x14ac:dyDescent="0.25">
      <c r="A6471" t="str">
        <f>"20190304165013490"</f>
        <v>20190304165013490</v>
      </c>
      <c r="B6471" t="str">
        <f>"1551689413482175"</f>
        <v>1551689413482175</v>
      </c>
      <c r="C6471" t="s">
        <v>40</v>
      </c>
      <c r="D6471">
        <v>4.55565</v>
      </c>
      <c r="E6471">
        <v>0.3495084</v>
      </c>
      <c r="F6471" t="s">
        <v>41</v>
      </c>
      <c r="G6471">
        <v>-301.5333</v>
      </c>
      <c r="H6471">
        <v>1.049388</v>
      </c>
      <c r="I6471">
        <v>-24.92408</v>
      </c>
      <c r="J6471">
        <v>-302.12700000000001</v>
      </c>
      <c r="K6471">
        <v>1.110738</v>
      </c>
      <c r="L6471">
        <v>-24.4162</v>
      </c>
      <c r="M6471">
        <v>-1.106858E-2</v>
      </c>
      <c r="N6471">
        <v>-8.3499939999999995E-3</v>
      </c>
      <c r="O6471">
        <v>-0.99990400000000002</v>
      </c>
      <c r="P6471">
        <v>0.23314960000000001</v>
      </c>
      <c r="Q6471">
        <v>0.39323609999999998</v>
      </c>
      <c r="R6471">
        <v>-0.88938549999999905</v>
      </c>
      <c r="S6471">
        <v>2.0034179999999999</v>
      </c>
      <c r="T6471">
        <v>-0.20788180000000001</v>
      </c>
      <c r="U6471">
        <v>-2.9458009999999999</v>
      </c>
      <c r="V6471">
        <v>-0.24326249999999999</v>
      </c>
      <c r="W6471">
        <v>0.40045550000000002</v>
      </c>
      <c r="X6471">
        <v>0.88343579999999999</v>
      </c>
      <c r="Y6471">
        <v>-0.57064099999999995</v>
      </c>
      <c r="Z6471">
        <v>4.9683440000000002E-2</v>
      </c>
      <c r="AA6471">
        <v>0.81969530000000002</v>
      </c>
      <c r="AB6471">
        <v>28</v>
      </c>
      <c r="AC6471">
        <v>0.593700000000012</v>
      </c>
      <c r="AD6471">
        <v>-6.1350000000000002E-2</v>
      </c>
      <c r="AE6471">
        <v>-0.50788</v>
      </c>
      <c r="AF6471">
        <v>-0.59561282257305603</v>
      </c>
      <c r="AG6471">
        <v>-6.1350000000000002E-2</v>
      </c>
      <c r="AH6471">
        <v>0.49820533865417399</v>
      </c>
      <c r="AI6471">
        <v>94.517421149395801</v>
      </c>
      <c r="AJ6471">
        <v>140.08892104717299</v>
      </c>
      <c r="AK6471">
        <v>0.77892683634405802</v>
      </c>
      <c r="AL6471">
        <v>66.393343733553905</v>
      </c>
      <c r="AM6471">
        <v>105.39540273614899</v>
      </c>
      <c r="AN6471">
        <v>1.0000000320540601</v>
      </c>
    </row>
    <row r="6472" spans="1:40" x14ac:dyDescent="0.25">
      <c r="A6472" t="str">
        <f>"20190304165013514"</f>
        <v>20190304165013514</v>
      </c>
      <c r="B6472" t="str">
        <f>"1551689413502671"</f>
        <v>1551689413502671</v>
      </c>
      <c r="C6472" t="s">
        <v>40</v>
      </c>
      <c r="D6472">
        <v>4.4604410000000003</v>
      </c>
      <c r="E6472">
        <v>0.3567207</v>
      </c>
      <c r="F6472" t="s">
        <v>41</v>
      </c>
      <c r="G6472">
        <v>-301.59660000000002</v>
      </c>
      <c r="H6472">
        <v>1.0561590000000001</v>
      </c>
      <c r="I6472">
        <v>-25.188479999999998</v>
      </c>
      <c r="J6472">
        <v>-302.12979999999999</v>
      </c>
      <c r="K6472">
        <v>1.1108370000000001</v>
      </c>
      <c r="L6472">
        <v>-24.712890000000002</v>
      </c>
      <c r="M6472">
        <v>-1.0420779999999999E-2</v>
      </c>
      <c r="N6472">
        <v>-8.3068529999999995E-3</v>
      </c>
      <c r="O6472">
        <v>-0.99991140000000001</v>
      </c>
      <c r="P6472">
        <v>0.23658409999999999</v>
      </c>
      <c r="Q6472">
        <v>0.39254450000000002</v>
      </c>
      <c r="R6472">
        <v>-0.88878409999999997</v>
      </c>
      <c r="S6472">
        <v>2.017029</v>
      </c>
      <c r="T6472">
        <v>-0.20750840000000001</v>
      </c>
      <c r="U6472">
        <v>-2.9361269999999999</v>
      </c>
      <c r="V6472">
        <v>-0.24622359999999999</v>
      </c>
      <c r="W6472">
        <v>0.39965309999999998</v>
      </c>
      <c r="X6472">
        <v>0.88297870000000001</v>
      </c>
      <c r="Y6472">
        <v>-0.5739476</v>
      </c>
      <c r="Z6472">
        <v>4.9639999999999997E-2</v>
      </c>
      <c r="AA6472">
        <v>0.81738599999999995</v>
      </c>
      <c r="AB6472">
        <v>28</v>
      </c>
      <c r="AC6472">
        <v>0.53319999999996504</v>
      </c>
      <c r="AD6472">
        <v>-5.4677999999999997E-2</v>
      </c>
      <c r="AE6472">
        <v>-0.47559000000000001</v>
      </c>
      <c r="AF6472">
        <v>-0.53499403195118</v>
      </c>
      <c r="AG6472">
        <v>-5.4677999999999997E-2</v>
      </c>
      <c r="AH6472">
        <v>0.46727104205846098</v>
      </c>
      <c r="AI6472">
        <v>94.401724925375404</v>
      </c>
      <c r="AJ6472">
        <v>138.86559642427201</v>
      </c>
      <c r="AK6472">
        <v>0.71242580291127899</v>
      </c>
      <c r="AL6472">
        <v>66.443506699612399</v>
      </c>
      <c r="AM6472">
        <v>105.58142872360099</v>
      </c>
      <c r="AN6472">
        <v>1.00000002309512</v>
      </c>
    </row>
    <row r="6473" spans="1:40" x14ac:dyDescent="0.25">
      <c r="A6473" t="str">
        <f>"20190304165013536"</f>
        <v>20190304165013536</v>
      </c>
      <c r="B6473" t="str">
        <f>"1551689413531952"</f>
        <v>1551689413531952</v>
      </c>
      <c r="C6473" t="s">
        <v>40</v>
      </c>
      <c r="D6473">
        <v>4.399813</v>
      </c>
      <c r="E6473">
        <v>0.36402250000000003</v>
      </c>
      <c r="F6473" t="s">
        <v>41</v>
      </c>
      <c r="G6473">
        <v>-301.63679999999999</v>
      </c>
      <c r="H6473">
        <v>1.056222</v>
      </c>
      <c r="I6473">
        <v>-25.44877</v>
      </c>
      <c r="J6473">
        <v>-302.13189999999997</v>
      </c>
      <c r="K6473">
        <v>1.1109420000000001</v>
      </c>
      <c r="L6473">
        <v>-24.985569999999999</v>
      </c>
      <c r="M6473">
        <v>-9.6612390000000003E-3</v>
      </c>
      <c r="N6473">
        <v>-8.270754E-3</v>
      </c>
      <c r="O6473">
        <v>-0.99991909999999895</v>
      </c>
      <c r="P6473">
        <v>0.2395217</v>
      </c>
      <c r="Q6473">
        <v>0.39174120000000001</v>
      </c>
      <c r="R6473">
        <v>-0.88835129999999995</v>
      </c>
      <c r="S6473">
        <v>1.973724</v>
      </c>
      <c r="T6473">
        <v>-0.21868850000000001</v>
      </c>
      <c r="U6473">
        <v>-2.9465940000000002</v>
      </c>
      <c r="V6473">
        <v>-0.24859490000000001</v>
      </c>
      <c r="W6473">
        <v>0.39874330000000002</v>
      </c>
      <c r="X6473">
        <v>0.88272549999999905</v>
      </c>
      <c r="Y6473">
        <v>-0.56358710000000001</v>
      </c>
      <c r="Z6473">
        <v>5.3079380000000002E-2</v>
      </c>
      <c r="AA6473">
        <v>0.82434949999999996</v>
      </c>
      <c r="AB6473">
        <v>28</v>
      </c>
      <c r="AC6473">
        <v>0.495099999999979</v>
      </c>
      <c r="AD6473">
        <v>-5.4720000000000102E-2</v>
      </c>
      <c r="AE6473">
        <v>-0.463199999999997</v>
      </c>
      <c r="AF6473">
        <v>-0.49631917858700098</v>
      </c>
      <c r="AG6473">
        <v>-5.4720000000000102E-2</v>
      </c>
      <c r="AH6473">
        <v>0.45542834231496598</v>
      </c>
      <c r="AI6473">
        <v>94.644178679119094</v>
      </c>
      <c r="AJ6473">
        <v>137.46014022821501</v>
      </c>
      <c r="AK6473">
        <v>0.67582688642657096</v>
      </c>
      <c r="AL6473">
        <v>66.500359830024394</v>
      </c>
      <c r="AM6473">
        <v>105.728386308927</v>
      </c>
      <c r="AN6473">
        <v>0.999999975975574</v>
      </c>
    </row>
    <row r="6474" spans="1:40" x14ac:dyDescent="0.25">
      <c r="A6474" t="str">
        <f>"20190304165013556"</f>
        <v>20190304165013556</v>
      </c>
      <c r="B6474" t="str">
        <f>"1551689413551979"</f>
        <v>1551689413551979</v>
      </c>
      <c r="C6474" t="s">
        <v>40</v>
      </c>
      <c r="D6474">
        <v>4.4205880000000004</v>
      </c>
      <c r="E6474">
        <v>0.3677455</v>
      </c>
      <c r="F6474" t="s">
        <v>42</v>
      </c>
      <c r="G6474">
        <v>-292.95519999999999</v>
      </c>
      <c r="H6474" s="1">
        <v>-2.3098750000000001E-6</v>
      </c>
      <c r="I6474">
        <v>-39.072380000000003</v>
      </c>
      <c r="J6474">
        <v>-302.13350000000003</v>
      </c>
      <c r="K6474">
        <v>1.1110610000000001</v>
      </c>
      <c r="L6474">
        <v>-25.24399</v>
      </c>
      <c r="M6474">
        <v>-8.7870299999999995E-3</v>
      </c>
      <c r="N6474">
        <v>-8.2413929999999996E-3</v>
      </c>
      <c r="O6474">
        <v>-0.99992760000000003</v>
      </c>
      <c r="P6474">
        <v>0.2417916</v>
      </c>
      <c r="Q6474">
        <v>0.39123530000000001</v>
      </c>
      <c r="R6474">
        <v>-0.88795939999999995</v>
      </c>
      <c r="S6474">
        <v>1.9282840000000001</v>
      </c>
      <c r="T6474">
        <v>-0.23344190000000001</v>
      </c>
      <c r="U6474">
        <v>-2.9600520000000001</v>
      </c>
      <c r="V6474">
        <v>-0.25020439999999999</v>
      </c>
      <c r="W6474">
        <v>0.39813359999999998</v>
      </c>
      <c r="X6474">
        <v>0.88254589999999999</v>
      </c>
      <c r="Y6474">
        <v>-0.55211650000000001</v>
      </c>
      <c r="Z6474">
        <v>5.7513670000000003E-2</v>
      </c>
      <c r="AA6474">
        <v>0.83178099999999999</v>
      </c>
      <c r="AB6474">
        <v>28</v>
      </c>
      <c r="AC6474">
        <v>9.1783000000000303</v>
      </c>
      <c r="AD6474">
        <v>-1.111063309875</v>
      </c>
      <c r="AE6474">
        <v>-13.828389999999899</v>
      </c>
      <c r="AF6474">
        <v>-9.2579718666474307</v>
      </c>
      <c r="AG6474">
        <v>-1.111063309875</v>
      </c>
      <c r="AH6474">
        <v>13.685871987141001</v>
      </c>
      <c r="AI6474">
        <v>93.846948524308402</v>
      </c>
      <c r="AJ6474">
        <v>124.076856344192</v>
      </c>
      <c r="AK6474">
        <v>16.560422603623302</v>
      </c>
      <c r="AL6474">
        <v>66.538445854207794</v>
      </c>
      <c r="AM6474">
        <v>105.828191710523</v>
      </c>
      <c r="AN6474">
        <v>0.99999993541756305</v>
      </c>
    </row>
    <row r="6475" spans="1:40" x14ac:dyDescent="0.25">
      <c r="A6475" t="str">
        <f>"20190304165013574"</f>
        <v>20190304165013574</v>
      </c>
      <c r="B6475" t="str">
        <f>"1551689413561739"</f>
        <v>1551689413561739</v>
      </c>
      <c r="C6475" t="s">
        <v>40</v>
      </c>
      <c r="D6475">
        <v>4.4012859999999998</v>
      </c>
      <c r="E6475">
        <v>0.36957060000000003</v>
      </c>
      <c r="F6475" t="s">
        <v>42</v>
      </c>
      <c r="G6475">
        <v>-293.28370000000001</v>
      </c>
      <c r="H6475" s="1">
        <v>-2.2499139999999998E-6</v>
      </c>
      <c r="I6475">
        <v>-38.991720000000001</v>
      </c>
      <c r="J6475">
        <v>-302.13470000000001</v>
      </c>
      <c r="K6475">
        <v>1.111164</v>
      </c>
      <c r="L6475">
        <v>-25.479679999999998</v>
      </c>
      <c r="M6475">
        <v>-7.8871069999999904E-3</v>
      </c>
      <c r="N6475">
        <v>-8.2180309999999902E-3</v>
      </c>
      <c r="O6475">
        <v>-0.99993520000000002</v>
      </c>
      <c r="P6475">
        <v>0.24420430000000001</v>
      </c>
      <c r="Q6475">
        <v>0.39123580000000002</v>
      </c>
      <c r="R6475">
        <v>-0.88729820000000004</v>
      </c>
      <c r="S6475">
        <v>1.9082950000000001</v>
      </c>
      <c r="T6475">
        <v>-0.2395805</v>
      </c>
      <c r="U6475">
        <v>-2.9644469999999998</v>
      </c>
      <c r="V6475">
        <v>-0.25191789999999997</v>
      </c>
      <c r="W6475">
        <v>0.39804220000000001</v>
      </c>
      <c r="X6475">
        <v>0.88209959999999898</v>
      </c>
      <c r="Y6475">
        <v>-0.54677619999999905</v>
      </c>
      <c r="Z6475">
        <v>5.9419300000000001E-2</v>
      </c>
      <c r="AA6475">
        <v>0.83516780000000002</v>
      </c>
      <c r="AB6475">
        <v>28</v>
      </c>
      <c r="AC6475">
        <v>8.8509999999999902</v>
      </c>
      <c r="AD6475">
        <v>-1.111166249914</v>
      </c>
      <c r="AE6475">
        <v>-13.512040000000001</v>
      </c>
      <c r="AF6475">
        <v>-8.9151115507034593</v>
      </c>
      <c r="AG6475">
        <v>-1.111166249914</v>
      </c>
      <c r="AH6475">
        <v>13.378499519746599</v>
      </c>
      <c r="AI6475">
        <v>93.953775213289703</v>
      </c>
      <c r="AJ6475">
        <v>123.678537950577</v>
      </c>
      <c r="AK6475">
        <v>16.115152925004899</v>
      </c>
      <c r="AL6475">
        <v>66.544155207403804</v>
      </c>
      <c r="AM6475">
        <v>105.938756538121</v>
      </c>
      <c r="AN6475">
        <v>0.99999996282070402</v>
      </c>
    </row>
    <row r="6476" spans="1:40" x14ac:dyDescent="0.25">
      <c r="A6476" t="str">
        <f>"20190304165013597"</f>
        <v>20190304165013597</v>
      </c>
      <c r="B6476" t="str">
        <f>"1551689413591996"</f>
        <v>1551689413591996</v>
      </c>
      <c r="C6476" t="s">
        <v>40</v>
      </c>
      <c r="D6476">
        <v>4.3910850000000003</v>
      </c>
      <c r="E6476">
        <v>0.37405949999999999</v>
      </c>
      <c r="F6476" t="s">
        <v>41</v>
      </c>
      <c r="G6476">
        <v>-301.66379999999998</v>
      </c>
      <c r="H6476">
        <v>1.0510949999999999</v>
      </c>
      <c r="I6476">
        <v>-26.21416</v>
      </c>
      <c r="J6476">
        <v>-302.13580000000002</v>
      </c>
      <c r="K6476">
        <v>1.111272</v>
      </c>
      <c r="L6476">
        <v>-25.76248</v>
      </c>
      <c r="M6476">
        <v>-6.6741429999999996E-3</v>
      </c>
      <c r="N6476">
        <v>-8.1934650000000005E-3</v>
      </c>
      <c r="O6476">
        <v>-0.99994430000000001</v>
      </c>
      <c r="P6476">
        <v>0.24788279999999999</v>
      </c>
      <c r="Q6476">
        <v>0.39049640000000002</v>
      </c>
      <c r="R6476">
        <v>-0.88660399999999995</v>
      </c>
      <c r="S6476">
        <v>1.901276</v>
      </c>
      <c r="T6476">
        <v>-0.24247489999999999</v>
      </c>
      <c r="U6476">
        <v>-2.9646910000000002</v>
      </c>
      <c r="V6476">
        <v>-0.25463190000000002</v>
      </c>
      <c r="W6476">
        <v>0.39719860000000001</v>
      </c>
      <c r="X6476">
        <v>0.881700499999999</v>
      </c>
      <c r="Y6476">
        <v>-0.54429759999999905</v>
      </c>
      <c r="Z6476">
        <v>6.0356239999999999E-2</v>
      </c>
      <c r="AA6476">
        <v>0.83671819999999897</v>
      </c>
      <c r="AB6476">
        <v>28</v>
      </c>
      <c r="AC6476">
        <v>0.472000000000036</v>
      </c>
      <c r="AD6476">
        <v>-6.0176999999999897E-2</v>
      </c>
      <c r="AE6476">
        <v>-0.45167999999999903</v>
      </c>
      <c r="AF6476">
        <v>-0.47100779208329402</v>
      </c>
      <c r="AG6476">
        <v>-6.0176999999999897E-2</v>
      </c>
      <c r="AH6476">
        <v>0.44474608957136103</v>
      </c>
      <c r="AI6476">
        <v>95.307210451712606</v>
      </c>
      <c r="AJ6476">
        <v>136.64266017455299</v>
      </c>
      <c r="AK6476">
        <v>0.65059103569077603</v>
      </c>
      <c r="AL6476">
        <v>66.596832966881806</v>
      </c>
      <c r="AM6476">
        <v>106.108525263308</v>
      </c>
      <c r="AN6476">
        <v>0.99999995201990799</v>
      </c>
    </row>
    <row r="6477" spans="1:40" x14ac:dyDescent="0.25">
      <c r="A6477" t="str">
        <f>"20190304165013620"</f>
        <v>20190304165013620</v>
      </c>
      <c r="B6477" t="str">
        <f>"1551689413612492"</f>
        <v>1551689413612492</v>
      </c>
      <c r="C6477" t="s">
        <v>40</v>
      </c>
      <c r="D6477">
        <v>4.3645239999999896</v>
      </c>
      <c r="E6477">
        <v>0.37644539999999999</v>
      </c>
      <c r="F6477" t="s">
        <v>41</v>
      </c>
      <c r="G6477">
        <v>-301.54419999999999</v>
      </c>
      <c r="H6477">
        <v>1.0320819999999999</v>
      </c>
      <c r="I6477">
        <v>-26.698740000000001</v>
      </c>
      <c r="J6477">
        <v>-302.13630000000001</v>
      </c>
      <c r="K6477">
        <v>1.111386</v>
      </c>
      <c r="L6477">
        <v>-26.05518</v>
      </c>
      <c r="M6477">
        <v>-5.2370610000000003E-3</v>
      </c>
      <c r="N6477">
        <v>-8.1723850000000008E-3</v>
      </c>
      <c r="O6477">
        <v>-0.99995290000000003</v>
      </c>
      <c r="P6477">
        <v>0.25106460000000003</v>
      </c>
      <c r="Q6477">
        <v>0.38926670000000002</v>
      </c>
      <c r="R6477">
        <v>-0.88624919999999996</v>
      </c>
      <c r="S6477">
        <v>1.876892</v>
      </c>
      <c r="T6477">
        <v>-0.25118210000000002</v>
      </c>
      <c r="U6477">
        <v>-2.9696039999999999</v>
      </c>
      <c r="V6477">
        <v>-0.25665739999999998</v>
      </c>
      <c r="W6477">
        <v>0.39586880000000002</v>
      </c>
      <c r="X6477">
        <v>0.88171139999999903</v>
      </c>
      <c r="Y6477">
        <v>-0.53746380000000005</v>
      </c>
      <c r="Z6477">
        <v>6.3044230000000007E-2</v>
      </c>
      <c r="AA6477">
        <v>0.84092690000000003</v>
      </c>
      <c r="AB6477">
        <v>29</v>
      </c>
      <c r="AC6477">
        <v>0.59210000000001595</v>
      </c>
      <c r="AD6477">
        <v>-7.9303999999999999E-2</v>
      </c>
      <c r="AE6477">
        <v>-0.64356000000000002</v>
      </c>
      <c r="AF6477">
        <v>-0.59060536731190305</v>
      </c>
      <c r="AG6477">
        <v>-7.9303999999999999E-2</v>
      </c>
      <c r="AH6477">
        <v>0.63522626781330205</v>
      </c>
      <c r="AI6477">
        <v>95.224064860527704</v>
      </c>
      <c r="AJ6477">
        <v>132.91532463153999</v>
      </c>
      <c r="AK6477">
        <v>0.87098578382981995</v>
      </c>
      <c r="AL6477">
        <v>66.6798315776431</v>
      </c>
      <c r="AM6477">
        <v>106.229751516394</v>
      </c>
      <c r="AN6477">
        <v>1.00000006033907</v>
      </c>
    </row>
    <row r="6478" spans="1:40" x14ac:dyDescent="0.25">
      <c r="A6478" t="str">
        <f>"20190304165013641"</f>
        <v>20190304165013641</v>
      </c>
      <c r="B6478" t="str">
        <f>"1551689413632012"</f>
        <v>1551689413632012</v>
      </c>
      <c r="C6478" t="s">
        <v>40</v>
      </c>
      <c r="D6478">
        <v>4.3632090000000003</v>
      </c>
      <c r="E6478">
        <v>0.37842229999999999</v>
      </c>
      <c r="F6478" t="s">
        <v>41</v>
      </c>
      <c r="G6478">
        <v>-301.56819999999999</v>
      </c>
      <c r="H6478">
        <v>1.0323519999999999</v>
      </c>
      <c r="I6478">
        <v>-26.959230000000002</v>
      </c>
      <c r="J6478">
        <v>-302.13619999999997</v>
      </c>
      <c r="K6478">
        <v>1.1114869999999999</v>
      </c>
      <c r="L6478">
        <v>-26.340389999999999</v>
      </c>
      <c r="M6478">
        <v>-3.694864E-3</v>
      </c>
      <c r="N6478">
        <v>-8.1556919999999904E-3</v>
      </c>
      <c r="O6478">
        <v>-0.99995999999999996</v>
      </c>
      <c r="P6478">
        <v>0.25317030000000001</v>
      </c>
      <c r="Q6478">
        <v>0.38844590000000001</v>
      </c>
      <c r="R6478">
        <v>-0.88601070000000004</v>
      </c>
      <c r="S6478">
        <v>1.8663940000000001</v>
      </c>
      <c r="T6478">
        <v>-0.25967319999999999</v>
      </c>
      <c r="U6478">
        <v>-2.9703979999999999</v>
      </c>
      <c r="V6478">
        <v>-0.25750420000000002</v>
      </c>
      <c r="W6478">
        <v>0.39496130000000002</v>
      </c>
      <c r="X6478">
        <v>0.88187139999999997</v>
      </c>
      <c r="Y6478">
        <v>-0.53384009999999904</v>
      </c>
      <c r="Z6478">
        <v>6.5597580000000003E-2</v>
      </c>
      <c r="AA6478">
        <v>0.84303719999999904</v>
      </c>
      <c r="AB6478">
        <v>29</v>
      </c>
      <c r="AC6478">
        <v>0.56799999999998296</v>
      </c>
      <c r="AD6478">
        <v>-7.9135000000000094E-2</v>
      </c>
      <c r="AE6478">
        <v>-0.61883999999999495</v>
      </c>
      <c r="AF6478">
        <v>-0.56526578266345295</v>
      </c>
      <c r="AG6478">
        <v>-7.9135000000000094E-2</v>
      </c>
      <c r="AH6478">
        <v>0.61131140559919195</v>
      </c>
      <c r="AI6478">
        <v>95.429387427781805</v>
      </c>
      <c r="AJ6478">
        <v>132.758859977741</v>
      </c>
      <c r="AK6478">
        <v>0.83635482176572995</v>
      </c>
      <c r="AL6478">
        <v>66.7364396303673</v>
      </c>
      <c r="AM6478">
        <v>106.277669767001</v>
      </c>
      <c r="AN6478">
        <v>1.0000000038266399</v>
      </c>
    </row>
    <row r="6479" spans="1:40" x14ac:dyDescent="0.25">
      <c r="A6479" t="str">
        <f>"20190304165013665"</f>
        <v>20190304165013665</v>
      </c>
      <c r="B6479" t="str">
        <f>"1551689413652507"</f>
        <v>1551689413652507</v>
      </c>
      <c r="C6479" t="s">
        <v>40</v>
      </c>
      <c r="D6479">
        <v>4.3546239999999896</v>
      </c>
      <c r="E6479">
        <v>0.38008540000000002</v>
      </c>
      <c r="F6479" t="s">
        <v>41</v>
      </c>
      <c r="G6479">
        <v>-301.58789999999999</v>
      </c>
      <c r="H6479">
        <v>1.032519</v>
      </c>
      <c r="I6479">
        <v>-27.2195</v>
      </c>
      <c r="J6479">
        <v>-302.13549999999998</v>
      </c>
      <c r="K6479">
        <v>1.111583</v>
      </c>
      <c r="L6479">
        <v>-26.629460000000002</v>
      </c>
      <c r="M6479">
        <v>-2.0030669999999999E-3</v>
      </c>
      <c r="N6479">
        <v>-8.1421180000000003E-3</v>
      </c>
      <c r="O6479">
        <v>-0.99996499999999999</v>
      </c>
      <c r="P6479">
        <v>0.25460319999999997</v>
      </c>
      <c r="Q6479">
        <v>0.38709260000000001</v>
      </c>
      <c r="R6479">
        <v>-0.88619230000000004</v>
      </c>
      <c r="S6479">
        <v>1.854919</v>
      </c>
      <c r="T6479">
        <v>-0.26706669999999999</v>
      </c>
      <c r="U6479">
        <v>-2.9730219999999998</v>
      </c>
      <c r="V6479">
        <v>-0.25753779999999998</v>
      </c>
      <c r="W6479">
        <v>0.39353450000000001</v>
      </c>
      <c r="X6479">
        <v>0.88249929999999999</v>
      </c>
      <c r="Y6479">
        <v>-0.52964999999999995</v>
      </c>
      <c r="Z6479">
        <v>6.7825220000000006E-2</v>
      </c>
      <c r="AA6479">
        <v>0.84550020000000004</v>
      </c>
      <c r="AB6479">
        <v>29</v>
      </c>
      <c r="AC6479">
        <v>0.54759999999998799</v>
      </c>
      <c r="AD6479">
        <v>-7.9063999999999995E-2</v>
      </c>
      <c r="AE6479">
        <v>-0.59004000000000101</v>
      </c>
      <c r="AF6479">
        <v>-0.54353754554105504</v>
      </c>
      <c r="AG6479">
        <v>-7.9063999999999995E-2</v>
      </c>
      <c r="AH6479">
        <v>0.58331490018820298</v>
      </c>
      <c r="AI6479">
        <v>95.663193772780701</v>
      </c>
      <c r="AJ6479">
        <v>132.97832569938299</v>
      </c>
      <c r="AK6479">
        <v>0.80121186479630202</v>
      </c>
      <c r="AL6479">
        <v>66.825395784101005</v>
      </c>
      <c r="AM6479">
        <v>106.26871104225999</v>
      </c>
      <c r="AN6479">
        <v>1.00000006780978</v>
      </c>
    </row>
    <row r="6480" spans="1:40" x14ac:dyDescent="0.25">
      <c r="A6480" t="str">
        <f>"20190304165013689"</f>
        <v>20190304165013689</v>
      </c>
      <c r="B6480" t="str">
        <f>"1551689413681789"</f>
        <v>1551689413681789</v>
      </c>
      <c r="C6480" t="s">
        <v>40</v>
      </c>
      <c r="D6480">
        <v>4.3361049999999999</v>
      </c>
      <c r="E6480">
        <v>0.3819824</v>
      </c>
      <c r="F6480" t="s">
        <v>41</v>
      </c>
      <c r="G6480">
        <v>-301.60820000000001</v>
      </c>
      <c r="H6480">
        <v>1.032923</v>
      </c>
      <c r="I6480">
        <v>-27.48058</v>
      </c>
      <c r="J6480">
        <v>-302.13420000000002</v>
      </c>
      <c r="K6480">
        <v>1.111675</v>
      </c>
      <c r="L6480">
        <v>-26.94641</v>
      </c>
      <c r="M6480" s="1">
        <v>-1.9194170000000001E-5</v>
      </c>
      <c r="N6480">
        <v>-8.1303909999999903E-3</v>
      </c>
      <c r="O6480">
        <v>-0.99996700000000005</v>
      </c>
      <c r="P6480">
        <v>0.25578679999999998</v>
      </c>
      <c r="Q6480">
        <v>0.38547130000000002</v>
      </c>
      <c r="R6480">
        <v>-0.88655790000000001</v>
      </c>
      <c r="S6480">
        <v>1.843567</v>
      </c>
      <c r="T6480">
        <v>-0.27501179999999997</v>
      </c>
      <c r="U6480">
        <v>-2.9757389999999999</v>
      </c>
      <c r="V6480">
        <v>-0.2570595</v>
      </c>
      <c r="W6480">
        <v>0.39184570000000002</v>
      </c>
      <c r="X6480">
        <v>0.88338969999999895</v>
      </c>
      <c r="Y6480">
        <v>-0.52519879999999997</v>
      </c>
      <c r="Z6480">
        <v>7.0215399999999997E-2</v>
      </c>
      <c r="AA6480">
        <v>0.84807779999999999</v>
      </c>
      <c r="AB6480">
        <v>29</v>
      </c>
      <c r="AC6480">
        <v>0.52600000000001002</v>
      </c>
      <c r="AD6480">
        <v>-7.8751999999999905E-2</v>
      </c>
      <c r="AE6480">
        <v>-0.53417000000000303</v>
      </c>
      <c r="AF6480">
        <v>-0.52026903115661904</v>
      </c>
      <c r="AG6480">
        <v>-7.8751999999999905E-2</v>
      </c>
      <c r="AH6480">
        <v>0.52832973075487299</v>
      </c>
      <c r="AI6480">
        <v>96.062503903706997</v>
      </c>
      <c r="AJ6480">
        <v>134.55956941115701</v>
      </c>
      <c r="AK6480">
        <v>0.74566349426813405</v>
      </c>
      <c r="AL6480">
        <v>66.930606922187394</v>
      </c>
      <c r="AM6480">
        <v>106.224583125346</v>
      </c>
      <c r="AN6480">
        <v>1.0000000006074099</v>
      </c>
    </row>
    <row r="6481" spans="1:40" x14ac:dyDescent="0.25">
      <c r="A6481" t="str">
        <f>"20190304165013713"</f>
        <v>20190304165013713</v>
      </c>
      <c r="B6481" t="str">
        <f>"1551689413702284"</f>
        <v>1551689413702284</v>
      </c>
      <c r="C6481" t="s">
        <v>40</v>
      </c>
      <c r="D6481">
        <v>4.3025449999999896</v>
      </c>
      <c r="E6481">
        <v>0.38283790000000001</v>
      </c>
      <c r="F6481" t="s">
        <v>41</v>
      </c>
      <c r="G6481">
        <v>-301.64359999999999</v>
      </c>
      <c r="H6481">
        <v>1.035768</v>
      </c>
      <c r="I6481">
        <v>-27.74559</v>
      </c>
      <c r="J6481">
        <v>-302.13209999999998</v>
      </c>
      <c r="K6481">
        <v>1.1117490000000001</v>
      </c>
      <c r="L6481">
        <v>-27.253630000000001</v>
      </c>
      <c r="M6481">
        <v>2.0027949999999999E-3</v>
      </c>
      <c r="N6481">
        <v>-8.1217230000000008E-3</v>
      </c>
      <c r="O6481">
        <v>-0.99996529999999995</v>
      </c>
      <c r="P6481">
        <v>0.25740459999999998</v>
      </c>
      <c r="Q6481">
        <v>0.38427030000000001</v>
      </c>
      <c r="R6481">
        <v>-0.88661109999999899</v>
      </c>
      <c r="S6481">
        <v>1.8293459999999999</v>
      </c>
      <c r="T6481">
        <v>-0.28296789999999999</v>
      </c>
      <c r="U6481">
        <v>-2.979095</v>
      </c>
      <c r="V6481">
        <v>-0.25696140000000001</v>
      </c>
      <c r="W6481">
        <v>0.39058880000000001</v>
      </c>
      <c r="X6481">
        <v>0.883974699999999</v>
      </c>
      <c r="Y6481">
        <v>-0.52001629999999999</v>
      </c>
      <c r="Z6481">
        <v>7.2632719999999998E-2</v>
      </c>
      <c r="AA6481">
        <v>0.8510626</v>
      </c>
      <c r="AB6481">
        <v>29</v>
      </c>
      <c r="AC6481">
        <v>0.488499999999987</v>
      </c>
      <c r="AD6481">
        <v>-7.5980999999999799E-2</v>
      </c>
      <c r="AE6481">
        <v>-0.491960000000006</v>
      </c>
      <c r="AF6481">
        <v>-0.481727719018611</v>
      </c>
      <c r="AG6481">
        <v>-7.5980999999999799E-2</v>
      </c>
      <c r="AH6481">
        <v>0.48708706619015402</v>
      </c>
      <c r="AI6481">
        <v>96.328836585756704</v>
      </c>
      <c r="AJ6481">
        <v>134.68305103681601</v>
      </c>
      <c r="AK6481">
        <v>0.68926665208872995</v>
      </c>
      <c r="AL6481">
        <v>67.008859295258205</v>
      </c>
      <c r="AM6481">
        <v>106.208547427415</v>
      </c>
      <c r="AN6481">
        <v>1.00000002100774</v>
      </c>
    </row>
    <row r="6482" spans="1:40" x14ac:dyDescent="0.25">
      <c r="A6482" t="str">
        <f>"20190304165013735"</f>
        <v>20190304165013735</v>
      </c>
      <c r="B6482" t="str">
        <f>"1551689413732540"</f>
        <v>1551689413732540</v>
      </c>
      <c r="C6482" t="s">
        <v>40</v>
      </c>
      <c r="D6482">
        <v>4.3076359999999996</v>
      </c>
      <c r="E6482">
        <v>0.38364549999999997</v>
      </c>
      <c r="F6482" t="s">
        <v>41</v>
      </c>
      <c r="G6482">
        <v>-301.66919999999999</v>
      </c>
      <c r="H6482">
        <v>1.0385409999999999</v>
      </c>
      <c r="I6482">
        <v>-28.009260000000001</v>
      </c>
      <c r="J6482">
        <v>-302.12959999999998</v>
      </c>
      <c r="K6482">
        <v>1.1117969999999999</v>
      </c>
      <c r="L6482">
        <v>-27.53952</v>
      </c>
      <c r="M6482">
        <v>3.9447370000000002E-3</v>
      </c>
      <c r="N6482">
        <v>-8.1156590000000008E-3</v>
      </c>
      <c r="O6482">
        <v>-0.9999595</v>
      </c>
      <c r="P6482">
        <v>0.26010169999999999</v>
      </c>
      <c r="Q6482">
        <v>0.38326169999999998</v>
      </c>
      <c r="R6482">
        <v>-0.88626059999999995</v>
      </c>
      <c r="S6482">
        <v>1.8253170000000001</v>
      </c>
      <c r="T6482">
        <v>-0.28860429999999998</v>
      </c>
      <c r="U6482">
        <v>-2.9788209999999999</v>
      </c>
      <c r="V6482">
        <v>-0.25799040000000001</v>
      </c>
      <c r="W6482">
        <v>0.38953510000000002</v>
      </c>
      <c r="X6482">
        <v>0.88413989999999998</v>
      </c>
      <c r="Y6482">
        <v>-0.51748830000000001</v>
      </c>
      <c r="Z6482">
        <v>7.4340110000000001E-2</v>
      </c>
      <c r="AA6482">
        <v>0.85245499999999996</v>
      </c>
      <c r="AB6482">
        <v>29</v>
      </c>
      <c r="AC6482">
        <v>0.46039999999999198</v>
      </c>
      <c r="AD6482">
        <v>-7.3255999999999905E-2</v>
      </c>
      <c r="AE6482">
        <v>-0.46973999999999799</v>
      </c>
      <c r="AF6482">
        <v>-0.45292508960274502</v>
      </c>
      <c r="AG6482">
        <v>-7.3255999999999905E-2</v>
      </c>
      <c r="AH6482">
        <v>0.465774900389201</v>
      </c>
      <c r="AI6482">
        <v>96.433305224140796</v>
      </c>
      <c r="AJ6482">
        <v>134.198659053135</v>
      </c>
      <c r="AK6482">
        <v>0.65379953820741199</v>
      </c>
      <c r="AL6482">
        <v>67.0744249794338</v>
      </c>
      <c r="AM6482">
        <v>106.267148048005</v>
      </c>
      <c r="AN6482">
        <v>1.0000000016980899</v>
      </c>
    </row>
    <row r="6483" spans="1:40" x14ac:dyDescent="0.25">
      <c r="A6483" t="str">
        <f>"20190304165013754"</f>
        <v>20190304165013754</v>
      </c>
      <c r="B6483" t="str">
        <f>"1551689413752060"</f>
        <v>1551689413752060</v>
      </c>
      <c r="C6483" t="s">
        <v>40</v>
      </c>
      <c r="D6483">
        <v>4.3324920000000002</v>
      </c>
      <c r="E6483">
        <v>0.38421509999999998</v>
      </c>
      <c r="F6483" t="s">
        <v>41</v>
      </c>
      <c r="G6483">
        <v>-301.68189999999998</v>
      </c>
      <c r="H6483">
        <v>1.0395289999999999</v>
      </c>
      <c r="I6483">
        <v>-28.270869999999999</v>
      </c>
      <c r="J6483">
        <v>-302.1268</v>
      </c>
      <c r="K6483">
        <v>1.1118380000000001</v>
      </c>
      <c r="L6483">
        <v>-27.795680000000001</v>
      </c>
      <c r="M6483">
        <v>5.7164149999999999E-3</v>
      </c>
      <c r="N6483">
        <v>-8.1115049999999998E-3</v>
      </c>
      <c r="O6483">
        <v>-0.99995080000000003</v>
      </c>
      <c r="P6483">
        <v>0.26336579999999998</v>
      </c>
      <c r="Q6483">
        <v>0.3837719</v>
      </c>
      <c r="R6483">
        <v>-0.88507499999999995</v>
      </c>
      <c r="S6483">
        <v>1.8235170000000001</v>
      </c>
      <c r="T6483">
        <v>-0.29418840000000002</v>
      </c>
      <c r="U6483">
        <v>-2.9770810000000001</v>
      </c>
      <c r="V6483">
        <v>-0.25972499999999998</v>
      </c>
      <c r="W6483">
        <v>0.39000629999999997</v>
      </c>
      <c r="X6483">
        <v>0.88342399999999999</v>
      </c>
      <c r="Y6483">
        <v>-0.51575139999999997</v>
      </c>
      <c r="Z6483">
        <v>7.6031219999999997E-2</v>
      </c>
      <c r="AA6483">
        <v>0.85335799999999995</v>
      </c>
      <c r="AB6483">
        <v>29</v>
      </c>
      <c r="AC6483">
        <v>0.444900000000018</v>
      </c>
      <c r="AD6483">
        <v>-7.2308999999999707E-2</v>
      </c>
      <c r="AE6483">
        <v>-0.475190000000004</v>
      </c>
      <c r="AF6483">
        <v>-0.43678670084953197</v>
      </c>
      <c r="AG6483">
        <v>-7.2308999999999707E-2</v>
      </c>
      <c r="AH6483">
        <v>0.47190269508676502</v>
      </c>
      <c r="AI6483">
        <v>96.416080580765296</v>
      </c>
      <c r="AJ6483">
        <v>132.78692522512</v>
      </c>
      <c r="AK6483">
        <v>0.64707292259077798</v>
      </c>
      <c r="AL6483">
        <v>67.045108028772503</v>
      </c>
      <c r="AM6483">
        <v>106.383237277319</v>
      </c>
      <c r="AN6483">
        <v>0.99999997672034402</v>
      </c>
    </row>
    <row r="6484" spans="1:40" x14ac:dyDescent="0.25">
      <c r="A6484" t="str">
        <f>"20190304165013777"</f>
        <v>20190304165013777</v>
      </c>
      <c r="B6484" t="str">
        <f>"1551689413772557"</f>
        <v>1551689413772557</v>
      </c>
      <c r="C6484" t="s">
        <v>40</v>
      </c>
      <c r="D6484">
        <v>4.5739749999999999</v>
      </c>
      <c r="E6484">
        <v>0.45043509999999998</v>
      </c>
      <c r="F6484" t="s">
        <v>41</v>
      </c>
      <c r="G6484">
        <v>-301.67630000000003</v>
      </c>
      <c r="H6484">
        <v>1.0394129999999999</v>
      </c>
      <c r="I6484">
        <v>-28.529229999999998</v>
      </c>
      <c r="J6484">
        <v>-302.12310000000002</v>
      </c>
      <c r="K6484">
        <v>1.1118600000000001</v>
      </c>
      <c r="L6484">
        <v>-28.084350000000001</v>
      </c>
      <c r="M6484">
        <v>7.7287290000000002E-3</v>
      </c>
      <c r="N6484">
        <v>-8.1082440000000006E-3</v>
      </c>
      <c r="O6484">
        <v>-0.99993739999999998</v>
      </c>
      <c r="P6484">
        <v>0.26647389999999999</v>
      </c>
      <c r="Q6484">
        <v>0.38413969999999997</v>
      </c>
      <c r="R6484">
        <v>-0.88398449999999995</v>
      </c>
      <c r="S6484">
        <v>1.8262020000000001</v>
      </c>
      <c r="T6484">
        <v>-0.29357430000000001</v>
      </c>
      <c r="U6484">
        <v>-2.9734500000000001</v>
      </c>
      <c r="V6484">
        <v>-0.26108379999999998</v>
      </c>
      <c r="W6484">
        <v>0.3903452</v>
      </c>
      <c r="X6484">
        <v>0.88287369999999898</v>
      </c>
      <c r="Y6484">
        <v>-0.51505710000000005</v>
      </c>
      <c r="Z6484">
        <v>7.5950589999999998E-2</v>
      </c>
      <c r="AA6484">
        <v>0.85378430000000005</v>
      </c>
      <c r="AB6484">
        <v>29</v>
      </c>
      <c r="AC6484">
        <v>0.44679999999999598</v>
      </c>
      <c r="AD6484">
        <v>-7.2447000000000095E-2</v>
      </c>
      <c r="AE6484">
        <v>-0.444879999999997</v>
      </c>
      <c r="AF6484">
        <v>-0.43757122320931502</v>
      </c>
      <c r="AG6484">
        <v>-7.2447000000000095E-2</v>
      </c>
      <c r="AH6484">
        <v>0.44247827467738099</v>
      </c>
      <c r="AI6484">
        <v>96.640389923386195</v>
      </c>
      <c r="AJ6484">
        <v>134.680528849826</v>
      </c>
      <c r="AK6484">
        <v>0.62650152972787598</v>
      </c>
      <c r="AL6484">
        <v>67.024020709502906</v>
      </c>
      <c r="AM6484">
        <v>106.474025379463</v>
      </c>
      <c r="AN6484">
        <v>1.00000004796858</v>
      </c>
    </row>
    <row r="6485" spans="1:40" x14ac:dyDescent="0.25">
      <c r="A6485" t="str">
        <f>"20190304165013797"</f>
        <v>20190304165013797</v>
      </c>
      <c r="B6485" t="str">
        <f>"1551689413792076"</f>
        <v>1551689413792076</v>
      </c>
      <c r="C6485" t="s">
        <v>40</v>
      </c>
      <c r="D6485">
        <v>4.4122260000000004</v>
      </c>
      <c r="E6485">
        <v>0.51984750000000002</v>
      </c>
      <c r="F6485" t="s">
        <v>41</v>
      </c>
      <c r="G6485">
        <v>-301.67349999999999</v>
      </c>
      <c r="H6485">
        <v>1.0021420000000001</v>
      </c>
      <c r="I6485">
        <v>-29.140630000000002</v>
      </c>
      <c r="J6485">
        <v>-302.11919999999998</v>
      </c>
      <c r="K6485">
        <v>1.1118779999999999</v>
      </c>
      <c r="L6485">
        <v>-28.350950000000001</v>
      </c>
      <c r="M6485">
        <v>9.5920850000000002E-3</v>
      </c>
      <c r="N6485">
        <v>-8.1064520000000001E-3</v>
      </c>
      <c r="O6485">
        <v>-0.99992130000000001</v>
      </c>
      <c r="P6485">
        <v>0.26955020000000002</v>
      </c>
      <c r="Q6485">
        <v>0.3841676</v>
      </c>
      <c r="R6485">
        <v>-0.88303940000000003</v>
      </c>
      <c r="S6485">
        <v>1.3335570000000001</v>
      </c>
      <c r="T6485">
        <v>-0.32543929999999999</v>
      </c>
      <c r="U6485">
        <v>-3.1331479999999998</v>
      </c>
      <c r="V6485">
        <v>-0.2625324</v>
      </c>
      <c r="W6485">
        <v>0.3903527</v>
      </c>
      <c r="X6485">
        <v>0.88244069999999997</v>
      </c>
      <c r="Y6485">
        <v>-0.38113999999999998</v>
      </c>
      <c r="Z6485">
        <v>8.7260809999999994E-2</v>
      </c>
      <c r="AA6485">
        <v>0.92039009999999999</v>
      </c>
      <c r="AB6485">
        <v>29</v>
      </c>
      <c r="AC6485">
        <v>0.44569999999998799</v>
      </c>
      <c r="AD6485">
        <v>-0.109736</v>
      </c>
      <c r="AE6485">
        <v>-0.78967999999999705</v>
      </c>
      <c r="AF6485">
        <v>-0.43178100937524599</v>
      </c>
      <c r="AG6485">
        <v>-0.109736</v>
      </c>
      <c r="AH6485">
        <v>0.782459649398492</v>
      </c>
      <c r="AI6485">
        <v>97.000311491436193</v>
      </c>
      <c r="AJ6485">
        <v>118.891023922233</v>
      </c>
      <c r="AK6485">
        <v>0.90039987377271202</v>
      </c>
      <c r="AL6485">
        <v>67.023553774804995</v>
      </c>
      <c r="AM6485">
        <v>106.56811694143801</v>
      </c>
      <c r="AN6485">
        <v>1.0000000402317599</v>
      </c>
    </row>
    <row r="6486" spans="1:40" x14ac:dyDescent="0.25">
      <c r="A6486" t="str">
        <f>"20190304165013822"</f>
        <v>20190304165013822</v>
      </c>
      <c r="B6486" t="str">
        <f>"1551689413812572"</f>
        <v>1551689413812572</v>
      </c>
      <c r="C6486" t="s">
        <v>40</v>
      </c>
      <c r="D6486">
        <v>4.4620689999999996</v>
      </c>
      <c r="E6486">
        <v>0.5287326</v>
      </c>
      <c r="F6486" t="s">
        <v>42</v>
      </c>
      <c r="G6486">
        <v>-300.20639999999997</v>
      </c>
      <c r="H6486" s="1">
        <v>-1.9249629999999998E-6</v>
      </c>
      <c r="I6486">
        <v>-36.051749999999998</v>
      </c>
      <c r="J6486">
        <v>-302.11369999999999</v>
      </c>
      <c r="K6486">
        <v>1.11189</v>
      </c>
      <c r="L6486">
        <v>-28.672730000000001</v>
      </c>
      <c r="M6486">
        <v>1.1836650000000001E-2</v>
      </c>
      <c r="N6486">
        <v>-8.1058999999999992E-3</v>
      </c>
      <c r="O6486">
        <v>-0.99989729999999999</v>
      </c>
      <c r="P6486">
        <v>0.2734917</v>
      </c>
      <c r="Q6486">
        <v>0.38376979999999999</v>
      </c>
      <c r="R6486">
        <v>-0.881999599999999</v>
      </c>
      <c r="S6486">
        <v>0.83303830000000001</v>
      </c>
      <c r="T6486">
        <v>-0.48422809999999999</v>
      </c>
      <c r="U6486">
        <v>-3.353729</v>
      </c>
      <c r="V6486">
        <v>-0.26450800000000002</v>
      </c>
      <c r="W6486">
        <v>0.38993519999999998</v>
      </c>
      <c r="X6486">
        <v>0.88203519999999902</v>
      </c>
      <c r="Y6486">
        <v>-0.22735240000000001</v>
      </c>
      <c r="Z6486">
        <v>0.1309322</v>
      </c>
      <c r="AA6486">
        <v>0.96497029999999995</v>
      </c>
      <c r="AB6486">
        <v>29</v>
      </c>
      <c r="AC6486">
        <v>1.90730000000002</v>
      </c>
      <c r="AD6486">
        <v>-1.1118919249629999</v>
      </c>
      <c r="AE6486">
        <v>-7.3790199999999997</v>
      </c>
      <c r="AF6486">
        <v>-1.78189586587247</v>
      </c>
      <c r="AG6486">
        <v>-1.1118919249629999</v>
      </c>
      <c r="AH6486">
        <v>7.2468424483878398</v>
      </c>
      <c r="AI6486">
        <v>98.474345023636701</v>
      </c>
      <c r="AJ6486">
        <v>103.81417114541</v>
      </c>
      <c r="AK6486">
        <v>7.5450766729945897</v>
      </c>
      <c r="AL6486">
        <v>67.049533023445406</v>
      </c>
      <c r="AM6486">
        <v>106.693131969674</v>
      </c>
      <c r="AN6486">
        <v>1.00000001815103</v>
      </c>
    </row>
    <row r="6487" spans="1:40" x14ac:dyDescent="0.25">
      <c r="A6487" t="str">
        <f>"20190304165013847"</f>
        <v>20190304165013847</v>
      </c>
      <c r="B6487" t="str">
        <f>"1551689413841852"</f>
        <v>1551689413841852</v>
      </c>
      <c r="C6487" t="s">
        <v>40</v>
      </c>
      <c r="D6487">
        <v>4.3847120000000004</v>
      </c>
      <c r="E6487">
        <v>0.53285859999999996</v>
      </c>
      <c r="F6487" t="s">
        <v>42</v>
      </c>
      <c r="G6487">
        <v>-300.38549999999998</v>
      </c>
      <c r="H6487" s="1">
        <v>-1.9381979999999999E-6</v>
      </c>
      <c r="I6487">
        <v>-36.131959999999999</v>
      </c>
      <c r="J6487">
        <v>-302.10730000000001</v>
      </c>
      <c r="K6487">
        <v>1.1118969999999999</v>
      </c>
      <c r="L6487">
        <v>-29.007110000000001</v>
      </c>
      <c r="M6487">
        <v>1.4159079999999999E-2</v>
      </c>
      <c r="N6487">
        <v>-8.1066939999999994E-3</v>
      </c>
      <c r="O6487">
        <v>-0.99986710000000001</v>
      </c>
      <c r="P6487">
        <v>0.27730349999999998</v>
      </c>
      <c r="Q6487">
        <v>0.38377699999999998</v>
      </c>
      <c r="R6487">
        <v>-0.88080550000000002</v>
      </c>
      <c r="S6487">
        <v>0.78262330000000002</v>
      </c>
      <c r="T6487">
        <v>-0.50350019999999995</v>
      </c>
      <c r="U6487">
        <v>-3.377777</v>
      </c>
      <c r="V6487">
        <v>-0.26629000000000003</v>
      </c>
      <c r="W6487">
        <v>0.38992510000000002</v>
      </c>
      <c r="X6487">
        <v>0.88150329999999999</v>
      </c>
      <c r="Y6487">
        <v>-0.2096797</v>
      </c>
      <c r="Z6487">
        <v>0.13589760000000001</v>
      </c>
      <c r="AA6487">
        <v>0.96828009999999998</v>
      </c>
      <c r="AB6487">
        <v>29</v>
      </c>
      <c r="AC6487">
        <v>1.72180000000003</v>
      </c>
      <c r="AD6487">
        <v>-1.111898938198</v>
      </c>
      <c r="AE6487">
        <v>-7.1248500000000003</v>
      </c>
      <c r="AF6487">
        <v>-1.5842872587594401</v>
      </c>
      <c r="AG6487">
        <v>-1.111898938198</v>
      </c>
      <c r="AH6487">
        <v>6.9877234179201597</v>
      </c>
      <c r="AI6487">
        <v>98.8209851158785</v>
      </c>
      <c r="AJ6487">
        <v>102.774387659794</v>
      </c>
      <c r="AK6487">
        <v>7.2508319476032002</v>
      </c>
      <c r="AL6487">
        <v>67.050161203752396</v>
      </c>
      <c r="AM6487">
        <v>106.808843200165</v>
      </c>
      <c r="AN6487">
        <v>1.0000000078104501</v>
      </c>
    </row>
    <row r="6488" spans="1:40" x14ac:dyDescent="0.25">
      <c r="A6488" t="str">
        <f>"20190304165013870"</f>
        <v>20190304165013870</v>
      </c>
      <c r="B6488" t="str">
        <f>"1551689413862347"</f>
        <v>1551689413862347</v>
      </c>
      <c r="C6488" t="s">
        <v>40</v>
      </c>
      <c r="D6488">
        <v>4.3464369999999999</v>
      </c>
      <c r="E6488">
        <v>0.53384600000000004</v>
      </c>
      <c r="F6488" t="s">
        <v>42</v>
      </c>
      <c r="G6488">
        <v>-300.4237</v>
      </c>
      <c r="H6488" s="1">
        <v>-1.8182569999999999E-6</v>
      </c>
      <c r="I6488">
        <v>-36.43526</v>
      </c>
      <c r="J6488">
        <v>-302.101</v>
      </c>
      <c r="K6488">
        <v>1.111907</v>
      </c>
      <c r="L6488">
        <v>-29.303039999999999</v>
      </c>
      <c r="M6488">
        <v>1.6205170000000001E-2</v>
      </c>
      <c r="N6488">
        <v>-8.1083419999999993E-3</v>
      </c>
      <c r="O6488">
        <v>-0.9998359</v>
      </c>
      <c r="P6488">
        <v>0.28052179999999999</v>
      </c>
      <c r="Q6488">
        <v>0.38366729999999999</v>
      </c>
      <c r="R6488">
        <v>-0.87983359999999899</v>
      </c>
      <c r="S6488">
        <v>0.76727290000000004</v>
      </c>
      <c r="T6488">
        <v>-0.50671940000000004</v>
      </c>
      <c r="U6488">
        <v>-3.3851930000000001</v>
      </c>
      <c r="V6488">
        <v>-0.26772069999999998</v>
      </c>
      <c r="W6488">
        <v>0.38980300000000001</v>
      </c>
      <c r="X6488">
        <v>0.88112380000000001</v>
      </c>
      <c r="Y6488">
        <v>-0.20301649999999999</v>
      </c>
      <c r="Z6488">
        <v>0.13666300000000001</v>
      </c>
      <c r="AA6488">
        <v>0.96959139999999999</v>
      </c>
      <c r="AB6488">
        <v>29</v>
      </c>
      <c r="AC6488">
        <v>1.6773</v>
      </c>
      <c r="AD6488">
        <v>-1.1119088182570001</v>
      </c>
      <c r="AE6488">
        <v>-7.1322199999999896</v>
      </c>
      <c r="AF6488">
        <v>-1.52634406487352</v>
      </c>
      <c r="AG6488">
        <v>-1.1119088182570001</v>
      </c>
      <c r="AH6488">
        <v>6.9973109978921402</v>
      </c>
      <c r="AI6488">
        <v>98.824967920446795</v>
      </c>
      <c r="AJ6488">
        <v>102.30534288283</v>
      </c>
      <c r="AK6488">
        <v>7.2476498691447899</v>
      </c>
      <c r="AL6488">
        <v>67.0577567796458</v>
      </c>
      <c r="AM6488">
        <v>106.900882303318</v>
      </c>
      <c r="AN6488">
        <v>0.99999995147196397</v>
      </c>
    </row>
    <row r="6489" spans="1:40" x14ac:dyDescent="0.25">
      <c r="A6489" t="str">
        <f>"20190304165013907"</f>
        <v>20190304165013907</v>
      </c>
      <c r="B6489" t="str">
        <f>"1551689413902364"</f>
        <v>1551689413902364</v>
      </c>
      <c r="C6489" t="s">
        <v>40</v>
      </c>
      <c r="D6489">
        <v>4.3623810000000001</v>
      </c>
      <c r="E6489">
        <v>0.53527329999999995</v>
      </c>
      <c r="F6489" t="s">
        <v>42</v>
      </c>
      <c r="G6489">
        <v>-300.40539999999999</v>
      </c>
      <c r="H6489" s="1">
        <v>-1.6853829999999999E-6</v>
      </c>
      <c r="I6489">
        <v>-36.733669999999996</v>
      </c>
      <c r="J6489">
        <v>-302.08969999999999</v>
      </c>
      <c r="K6489">
        <v>1.1119079999999999</v>
      </c>
      <c r="L6489">
        <v>-29.778500000000001</v>
      </c>
      <c r="M6489">
        <v>1.9479980000000001E-2</v>
      </c>
      <c r="N6489">
        <v>-8.1130190000000008E-3</v>
      </c>
      <c r="O6489">
        <v>-0.99977729999999998</v>
      </c>
      <c r="P6489">
        <v>0.28306360000000003</v>
      </c>
      <c r="Q6489">
        <v>0.38489630000000002</v>
      </c>
      <c r="R6489">
        <v>-0.87848110000000001</v>
      </c>
      <c r="S6489">
        <v>0.77227780000000001</v>
      </c>
      <c r="T6489">
        <v>-0.50642730000000002</v>
      </c>
      <c r="U6489">
        <v>-3.3843380000000001</v>
      </c>
      <c r="V6489">
        <v>-0.26740720000000001</v>
      </c>
      <c r="W6489">
        <v>0.39102520000000002</v>
      </c>
      <c r="X6489">
        <v>0.8806775</v>
      </c>
      <c r="Y6489">
        <v>-0.20122960000000001</v>
      </c>
      <c r="Z6489">
        <v>0.13660610000000001</v>
      </c>
      <c r="AA6489">
        <v>0.9699719</v>
      </c>
      <c r="AB6489">
        <v>29</v>
      </c>
      <c r="AC6489">
        <v>1.6842999999999999</v>
      </c>
      <c r="AD6489">
        <v>-1.1119096853829999</v>
      </c>
      <c r="AE6489">
        <v>-6.9551699999999999</v>
      </c>
      <c r="AF6489">
        <v>-1.51198692469496</v>
      </c>
      <c r="AG6489">
        <v>-1.1119096853829999</v>
      </c>
      <c r="AH6489">
        <v>6.8219653405376901</v>
      </c>
      <c r="AI6489">
        <v>99.041563251939294</v>
      </c>
      <c r="AJ6489">
        <v>102.49674677589</v>
      </c>
      <c r="AK6489">
        <v>7.0754263982034704</v>
      </c>
      <c r="AL6489">
        <v>66.981696761196204</v>
      </c>
      <c r="AM6489">
        <v>106.890286171163</v>
      </c>
      <c r="AN6489">
        <v>1.0000000883265601</v>
      </c>
    </row>
    <row r="6490" spans="1:40" x14ac:dyDescent="0.25">
      <c r="A6490" t="str">
        <f>"20190304165013936"</f>
        <v>20190304165013936</v>
      </c>
      <c r="B6490" t="str">
        <f>"1551689413932620"</f>
        <v>1551689413932620</v>
      </c>
      <c r="C6490" t="s">
        <v>40</v>
      </c>
      <c r="D6490">
        <v>4.3913250000000001</v>
      </c>
      <c r="E6490">
        <v>0.53583230000000004</v>
      </c>
      <c r="F6490" t="s">
        <v>42</v>
      </c>
      <c r="G6490">
        <v>-300.34460000000001</v>
      </c>
      <c r="H6490" s="1">
        <v>-1.3735380000000001E-6</v>
      </c>
      <c r="I6490">
        <v>-37.422890000000002</v>
      </c>
      <c r="J6490">
        <v>-302.07920000000001</v>
      </c>
      <c r="K6490">
        <v>1.1119129999999999</v>
      </c>
      <c r="L6490">
        <v>-30.17108</v>
      </c>
      <c r="M6490">
        <v>2.2178090000000001E-2</v>
      </c>
      <c r="N6490">
        <v>-8.1183580000000009E-3</v>
      </c>
      <c r="O6490">
        <v>-0.99972110000000003</v>
      </c>
      <c r="P6490">
        <v>0.28452850000000002</v>
      </c>
      <c r="Q6490">
        <v>0.38516010000000001</v>
      </c>
      <c r="R6490">
        <v>-0.87789240000000002</v>
      </c>
      <c r="S6490">
        <v>0.77197269999999996</v>
      </c>
      <c r="T6490">
        <v>-0.4918942</v>
      </c>
      <c r="U6490">
        <v>-3.3817750000000002</v>
      </c>
      <c r="V6490">
        <v>-0.26650859999999998</v>
      </c>
      <c r="W6490">
        <v>0.39129239999999998</v>
      </c>
      <c r="X6490">
        <v>0.88083109999999998</v>
      </c>
      <c r="Y6490">
        <v>-0.19878689999999999</v>
      </c>
      <c r="Z6490">
        <v>0.13266020000000001</v>
      </c>
      <c r="AA6490">
        <v>0.97102270000000002</v>
      </c>
      <c r="AB6490">
        <v>30</v>
      </c>
      <c r="AC6490">
        <v>1.7345999999999999</v>
      </c>
      <c r="AD6490">
        <v>-1.1119143735379999</v>
      </c>
      <c r="AE6490">
        <v>-7.2518099999999999</v>
      </c>
      <c r="AF6490">
        <v>-1.5391106948911299</v>
      </c>
      <c r="AG6490">
        <v>-1.1119143735379999</v>
      </c>
      <c r="AH6490">
        <v>7.1299451336245703</v>
      </c>
      <c r="AI6490">
        <v>98.667368395469097</v>
      </c>
      <c r="AJ6490">
        <v>102.181281931228</v>
      </c>
      <c r="AK6490">
        <v>7.3784370237676598</v>
      </c>
      <c r="AL6490">
        <v>66.965059802985905</v>
      </c>
      <c r="AM6490">
        <v>106.833974246466</v>
      </c>
      <c r="AN6490">
        <v>1.0000000014494601</v>
      </c>
    </row>
    <row r="6491" spans="1:40" x14ac:dyDescent="0.25">
      <c r="A6491" t="str">
        <f>"20190304165013956"</f>
        <v>20190304165013956</v>
      </c>
      <c r="B6491" t="str">
        <f>"1551689413952140"</f>
        <v>1551689413952140</v>
      </c>
      <c r="C6491" t="s">
        <v>40</v>
      </c>
      <c r="D6491">
        <v>4.4208559999999997</v>
      </c>
      <c r="E6491">
        <v>0.53609399999999996</v>
      </c>
      <c r="F6491" t="s">
        <v>42</v>
      </c>
      <c r="G6491">
        <v>-300.34640000000002</v>
      </c>
      <c r="H6491" s="1">
        <v>-1.2311069999999999E-6</v>
      </c>
      <c r="I6491">
        <v>-37.755989999999997</v>
      </c>
      <c r="J6491">
        <v>-302.07150000000001</v>
      </c>
      <c r="K6491">
        <v>1.1119239999999999</v>
      </c>
      <c r="L6491">
        <v>-30.434660000000001</v>
      </c>
      <c r="M6491">
        <v>2.3990330000000001E-2</v>
      </c>
      <c r="N6491">
        <v>-8.1226019999999996E-3</v>
      </c>
      <c r="O6491">
        <v>-0.9996794</v>
      </c>
      <c r="P6491">
        <v>0.28581000000000001</v>
      </c>
      <c r="Q6491">
        <v>0.38575150000000002</v>
      </c>
      <c r="R6491">
        <v>-0.87721659999999901</v>
      </c>
      <c r="S6491">
        <v>0.77316280000000004</v>
      </c>
      <c r="T6491">
        <v>-0.49612919999999999</v>
      </c>
      <c r="U6491">
        <v>-3.3843380000000001</v>
      </c>
      <c r="V6491">
        <v>-0.26621250000000002</v>
      </c>
      <c r="W6491">
        <v>0.39188250000000002</v>
      </c>
      <c r="X6491">
        <v>0.8806583</v>
      </c>
      <c r="Y6491">
        <v>-0.19714319999999999</v>
      </c>
      <c r="Z6491">
        <v>0.13375229999999999</v>
      </c>
      <c r="AA6491">
        <v>0.97120799999999996</v>
      </c>
      <c r="AB6491">
        <v>30</v>
      </c>
      <c r="AC6491">
        <v>1.7250999999999901</v>
      </c>
      <c r="AD6491">
        <v>-1.11192523110699</v>
      </c>
      <c r="AE6491">
        <v>-7.3213299999999997</v>
      </c>
      <c r="AF6491">
        <v>-1.5158315980333601</v>
      </c>
      <c r="AG6491">
        <v>-1.11192523110699</v>
      </c>
      <c r="AH6491">
        <v>7.20320052505103</v>
      </c>
      <c r="AI6491">
        <v>98.589982016018894</v>
      </c>
      <c r="AJ6491">
        <v>101.883846753546</v>
      </c>
      <c r="AK6491">
        <v>7.4444758685393104</v>
      </c>
      <c r="AL6491">
        <v>66.928315503758895</v>
      </c>
      <c r="AM6491">
        <v>106.81944074516601</v>
      </c>
      <c r="AN6491">
        <v>1.00000001516069</v>
      </c>
    </row>
    <row r="6492" spans="1:40" x14ac:dyDescent="0.25">
      <c r="A6492" t="str">
        <f>"20190304165013978"</f>
        <v>20190304165013978</v>
      </c>
      <c r="B6492" t="str">
        <f>"1551689413972637"</f>
        <v>1551689413972637</v>
      </c>
      <c r="C6492" t="s">
        <v>40</v>
      </c>
      <c r="D6492">
        <v>4.3984610000000002</v>
      </c>
      <c r="E6492">
        <v>0.53628609999999999</v>
      </c>
      <c r="F6492" t="s">
        <v>42</v>
      </c>
      <c r="G6492">
        <v>-300.33960000000002</v>
      </c>
      <c r="H6492" s="1">
        <v>-1.125788E-6</v>
      </c>
      <c r="I6492">
        <v>-37.997250000000001</v>
      </c>
      <c r="J6492">
        <v>-302.06240000000003</v>
      </c>
      <c r="K6492">
        <v>1.1119349999999999</v>
      </c>
      <c r="L6492">
        <v>-30.727720000000001</v>
      </c>
      <c r="M6492">
        <v>2.600796E-2</v>
      </c>
      <c r="N6492">
        <v>-8.127848E-3</v>
      </c>
      <c r="O6492">
        <v>-0.99962870000000004</v>
      </c>
      <c r="P6492">
        <v>0.28755910000000001</v>
      </c>
      <c r="Q6492">
        <v>0.38633800000000001</v>
      </c>
      <c r="R6492">
        <v>-0.876386</v>
      </c>
      <c r="S6492">
        <v>0.77548219999999901</v>
      </c>
      <c r="T6492">
        <v>-0.49786780000000003</v>
      </c>
      <c r="U6492">
        <v>-3.3861690000000002</v>
      </c>
      <c r="V6492">
        <v>-0.26620890000000003</v>
      </c>
      <c r="W6492">
        <v>0.39246589999999998</v>
      </c>
      <c r="X6492">
        <v>0.8803995</v>
      </c>
      <c r="Y6492">
        <v>-0.1956714</v>
      </c>
      <c r="Z6492">
        <v>0.13416259999999999</v>
      </c>
      <c r="AA6492">
        <v>0.97144900000000001</v>
      </c>
      <c r="AB6492">
        <v>30</v>
      </c>
      <c r="AC6492">
        <v>1.7228000000000001</v>
      </c>
      <c r="AD6492">
        <v>-1.1119361257879901</v>
      </c>
      <c r="AE6492">
        <v>-7.2695299999999996</v>
      </c>
      <c r="AF6492">
        <v>-1.4999188956828999</v>
      </c>
      <c r="AG6492">
        <v>-1.1119361257879901</v>
      </c>
      <c r="AH6492">
        <v>7.1534153441883701</v>
      </c>
      <c r="AI6492">
        <v>98.650250020297506</v>
      </c>
      <c r="AJ6492">
        <v>101.842146905275</v>
      </c>
      <c r="AK6492">
        <v>7.3930717383188398</v>
      </c>
      <c r="AL6492">
        <v>66.891977104019901</v>
      </c>
      <c r="AM6492">
        <v>106.823890984748</v>
      </c>
      <c r="AN6492">
        <v>0.99999997035113397</v>
      </c>
    </row>
    <row r="6493" spans="1:40" x14ac:dyDescent="0.25">
      <c r="A6493" t="str">
        <f>"20190304165013999"</f>
        <v>20190304165013999</v>
      </c>
      <c r="B6493" t="str">
        <f>"1551689413992155"</f>
        <v>1551689413992155</v>
      </c>
      <c r="C6493" t="s">
        <v>40</v>
      </c>
      <c r="D6493">
        <v>4.3787330000000004</v>
      </c>
      <c r="E6493">
        <v>0.53640129999999997</v>
      </c>
      <c r="F6493" t="s">
        <v>42</v>
      </c>
      <c r="G6493">
        <v>-300.32530000000003</v>
      </c>
      <c r="H6493" s="1">
        <v>-1.0101409999999999E-6</v>
      </c>
      <c r="I6493">
        <v>-38.257939999999998</v>
      </c>
      <c r="J6493">
        <v>-302.05270000000002</v>
      </c>
      <c r="K6493">
        <v>1.1119520000000001</v>
      </c>
      <c r="L6493">
        <v>-31.021000000000001</v>
      </c>
      <c r="M6493">
        <v>2.8038069999999998E-2</v>
      </c>
      <c r="N6493">
        <v>-8.1326239999999998E-3</v>
      </c>
      <c r="O6493">
        <v>-0.99957390000000002</v>
      </c>
      <c r="P6493">
        <v>0.29017209999999899</v>
      </c>
      <c r="Q6493">
        <v>0.386102</v>
      </c>
      <c r="R6493">
        <v>-0.87562879999999998</v>
      </c>
      <c r="S6493">
        <v>0.78140259999999995</v>
      </c>
      <c r="T6493">
        <v>-0.50017479999999903</v>
      </c>
      <c r="U6493">
        <v>-3.3872680000000002</v>
      </c>
      <c r="V6493">
        <v>-0.26705810000000002</v>
      </c>
      <c r="W6493">
        <v>0.3922216</v>
      </c>
      <c r="X6493">
        <v>0.88025119999999901</v>
      </c>
      <c r="Y6493">
        <v>-0.1952073</v>
      </c>
      <c r="Z6493">
        <v>0.1347295</v>
      </c>
      <c r="AA6493">
        <v>0.97146390000000005</v>
      </c>
      <c r="AB6493">
        <v>30</v>
      </c>
      <c r="AC6493">
        <v>1.7273999999999801</v>
      </c>
      <c r="AD6493">
        <v>-1.111953010141</v>
      </c>
      <c r="AE6493">
        <v>-7.2369399999999997</v>
      </c>
      <c r="AF6493">
        <v>-1.4905127469456101</v>
      </c>
      <c r="AG6493">
        <v>-1.111953010141</v>
      </c>
      <c r="AH6493">
        <v>7.12342290441938</v>
      </c>
      <c r="AI6493">
        <v>98.686997699821802</v>
      </c>
      <c r="AJ6493">
        <v>101.818126807418</v>
      </c>
      <c r="AK6493">
        <v>7.3621478945193397</v>
      </c>
      <c r="AL6493">
        <v>66.907195194796202</v>
      </c>
      <c r="AM6493">
        <v>106.877194511152</v>
      </c>
      <c r="AN6493">
        <v>0.99999999369180403</v>
      </c>
    </row>
    <row r="6494" spans="1:40" x14ac:dyDescent="0.25">
      <c r="A6494" t="str">
        <f>"20190304165014023"</f>
        <v>20190304165014023</v>
      </c>
      <c r="B6494" t="str">
        <f>"1551689414011676"</f>
        <v>1551689414011676</v>
      </c>
      <c r="C6494" t="s">
        <v>40</v>
      </c>
      <c r="D6494">
        <v>4.8218579999999998</v>
      </c>
      <c r="E6494">
        <v>0.53635730000000004</v>
      </c>
      <c r="F6494" t="s">
        <v>42</v>
      </c>
      <c r="G6494">
        <v>-300.30810000000002</v>
      </c>
      <c r="H6494" s="1">
        <v>-9.1046200000000002E-7</v>
      </c>
      <c r="I6494">
        <v>-38.479680000000002</v>
      </c>
      <c r="J6494">
        <v>-302.04180000000002</v>
      </c>
      <c r="K6494">
        <v>1.1119589999999999</v>
      </c>
      <c r="L6494">
        <v>-31.328980000000001</v>
      </c>
      <c r="M6494">
        <v>3.0191030000000001E-2</v>
      </c>
      <c r="N6494">
        <v>-8.1329439999999996E-3</v>
      </c>
      <c r="O6494">
        <v>-0.99951109999999999</v>
      </c>
      <c r="P6494">
        <v>0.29351290000000002</v>
      </c>
      <c r="Q6494">
        <v>0.38630100000000001</v>
      </c>
      <c r="R6494">
        <v>-0.87442659999999905</v>
      </c>
      <c r="S6494">
        <v>0.79202269999999997</v>
      </c>
      <c r="T6494">
        <v>-0.50482510000000003</v>
      </c>
      <c r="U6494">
        <v>-3.3862299999999999</v>
      </c>
      <c r="V6494">
        <v>-0.26855069999999998</v>
      </c>
      <c r="W6494">
        <v>0.39239750000000001</v>
      </c>
      <c r="X6494">
        <v>0.87971849999999996</v>
      </c>
      <c r="Y6494">
        <v>-0.19601070000000001</v>
      </c>
      <c r="Z6494">
        <v>0.13600009999999901</v>
      </c>
      <c r="AA6494">
        <v>0.97112500000000002</v>
      </c>
      <c r="AB6494">
        <v>30</v>
      </c>
      <c r="AC6494">
        <v>1.73369999999999</v>
      </c>
      <c r="AD6494">
        <v>-1.1119599104619999</v>
      </c>
      <c r="AE6494">
        <v>-7.1506999999999996</v>
      </c>
      <c r="AF6494">
        <v>-1.4831422421143501</v>
      </c>
      <c r="AG6494">
        <v>-1.1119599104619999</v>
      </c>
      <c r="AH6494">
        <v>7.0390208896793798</v>
      </c>
      <c r="AI6494">
        <v>98.787053210788997</v>
      </c>
      <c r="AJ6494">
        <v>101.898346827156</v>
      </c>
      <c r="AK6494">
        <v>7.2790096055824298</v>
      </c>
      <c r="AL6494">
        <v>66.896237629062099</v>
      </c>
      <c r="AM6494">
        <v>106.975800492498</v>
      </c>
      <c r="AN6494">
        <v>0.99999995785949403</v>
      </c>
    </row>
    <row r="6495" spans="1:40" x14ac:dyDescent="0.25">
      <c r="A6495" t="str">
        <f>"20190304165014046"</f>
        <v>20190304165014046</v>
      </c>
      <c r="B6495" t="str">
        <f>"1551689414041932"</f>
        <v>1551689414041932</v>
      </c>
      <c r="C6495" t="s">
        <v>40</v>
      </c>
      <c r="D6495">
        <v>4.3935259999999996</v>
      </c>
      <c r="E6495">
        <v>0.42237019999999997</v>
      </c>
      <c r="F6495" t="s">
        <v>42</v>
      </c>
      <c r="G6495">
        <v>-300.27109999999999</v>
      </c>
      <c r="H6495" s="1">
        <v>-7.8303269999999999E-7</v>
      </c>
      <c r="I6495">
        <v>-38.753749999999997</v>
      </c>
      <c r="J6495">
        <v>-302.0301</v>
      </c>
      <c r="K6495">
        <v>1.1119810000000001</v>
      </c>
      <c r="L6495">
        <v>-31.641570000000002</v>
      </c>
      <c r="M6495">
        <v>3.2408670000000001E-2</v>
      </c>
      <c r="N6495">
        <v>-8.1307710000000002E-3</v>
      </c>
      <c r="O6495">
        <v>-0.99944169999999999</v>
      </c>
      <c r="P6495">
        <v>0.29739310000000002</v>
      </c>
      <c r="Q6495">
        <v>0.38621820000000001</v>
      </c>
      <c r="R6495">
        <v>-0.87315109999999996</v>
      </c>
      <c r="S6495">
        <v>0.80700680000000002</v>
      </c>
      <c r="T6495">
        <v>-0.50676829999999995</v>
      </c>
      <c r="U6495">
        <v>-3.3837890000000002</v>
      </c>
      <c r="V6495">
        <v>-0.27053829999999901</v>
      </c>
      <c r="W6495">
        <v>0.39228079999999999</v>
      </c>
      <c r="X6495">
        <v>0.87916139999999998</v>
      </c>
      <c r="Y6495">
        <v>-0.19804530000000001</v>
      </c>
      <c r="Z6495">
        <v>0.13653170000000001</v>
      </c>
      <c r="AA6495">
        <v>0.97063750000000004</v>
      </c>
      <c r="AB6495">
        <v>30</v>
      </c>
      <c r="AC6495">
        <v>1.7590000000000101</v>
      </c>
      <c r="AD6495">
        <v>-1.1119817830326999</v>
      </c>
      <c r="AE6495">
        <v>-7.1121799999999897</v>
      </c>
      <c r="AF6495">
        <v>-1.4931753685714699</v>
      </c>
      <c r="AG6495">
        <v>-1.1119817830326999</v>
      </c>
      <c r="AH6495">
        <v>7.0041064109349902</v>
      </c>
      <c r="AI6495">
        <v>98.825962014809505</v>
      </c>
      <c r="AJ6495">
        <v>102.034484659277</v>
      </c>
      <c r="AK6495">
        <v>7.2473155570049403</v>
      </c>
      <c r="AL6495">
        <v>66.903507494656395</v>
      </c>
      <c r="AM6495">
        <v>107.104342341086</v>
      </c>
      <c r="AN6495">
        <v>0.99999998253274403</v>
      </c>
    </row>
    <row r="6496" spans="1:40" x14ac:dyDescent="0.25">
      <c r="A6496" t="str">
        <f>"20190304165014070"</f>
        <v>20190304165014070</v>
      </c>
      <c r="B6496" t="str">
        <f>"1551689414062429"</f>
        <v>1551689414062429</v>
      </c>
      <c r="C6496" t="s">
        <v>40</v>
      </c>
      <c r="D6496">
        <v>4.3785410000000002</v>
      </c>
      <c r="E6496">
        <v>0.4060859</v>
      </c>
      <c r="F6496" t="s">
        <v>41</v>
      </c>
      <c r="G6496">
        <v>-301.56380000000001</v>
      </c>
      <c r="H6496">
        <v>1.0660829999999999</v>
      </c>
      <c r="I6496">
        <v>-32.48001</v>
      </c>
      <c r="J6496">
        <v>-302.01749999999998</v>
      </c>
      <c r="K6496">
        <v>1.11202</v>
      </c>
      <c r="L6496">
        <v>-31.959379999999999</v>
      </c>
      <c r="M6496">
        <v>3.4709230000000001E-2</v>
      </c>
      <c r="N6496">
        <v>-8.1288300000000001E-3</v>
      </c>
      <c r="O6496">
        <v>-0.99936440000000004</v>
      </c>
      <c r="P6496">
        <v>0.30167579999999999</v>
      </c>
      <c r="Q6496">
        <v>0.38644970000000001</v>
      </c>
      <c r="R6496">
        <v>-0.87157809999999902</v>
      </c>
      <c r="S6496">
        <v>1.6407779999999901</v>
      </c>
      <c r="T6496">
        <v>-0.16140850000000001</v>
      </c>
      <c r="U6496">
        <v>-2.9483640000000002</v>
      </c>
      <c r="V6496">
        <v>-0.27288010000000001</v>
      </c>
      <c r="W6496">
        <v>0.39246809999999899</v>
      </c>
      <c r="X6496">
        <v>0.87835370000000002</v>
      </c>
      <c r="Y6496">
        <v>-0.45516699999999999</v>
      </c>
      <c r="Z6496">
        <v>4.0105090000000003E-2</v>
      </c>
      <c r="AA6496">
        <v>0.88950239999999903</v>
      </c>
      <c r="AB6496">
        <v>30</v>
      </c>
      <c r="AC6496">
        <v>0.45369999999996902</v>
      </c>
      <c r="AD6496">
        <v>-4.5937000000000103E-2</v>
      </c>
      <c r="AE6496">
        <v>-0.52063000000000004</v>
      </c>
      <c r="AF6496">
        <v>-0.43343744722432898</v>
      </c>
      <c r="AG6496">
        <v>-4.5937000000000103E-2</v>
      </c>
      <c r="AH6496">
        <v>0.53370281806696596</v>
      </c>
      <c r="AI6496">
        <v>93.822472564285306</v>
      </c>
      <c r="AJ6496">
        <v>129.08117614445899</v>
      </c>
      <c r="AK6496">
        <v>0.68906960942851403</v>
      </c>
      <c r="AL6496">
        <v>66.891840547653004</v>
      </c>
      <c r="AM6496">
        <v>107.258568422851</v>
      </c>
      <c r="AN6496">
        <v>0.99999999039865495</v>
      </c>
    </row>
    <row r="6497" spans="1:40" x14ac:dyDescent="0.25">
      <c r="A6497" t="str">
        <f>"20190304165014093"</f>
        <v>20190304165014093</v>
      </c>
      <c r="B6497" t="str">
        <f>"1551689414081948"</f>
        <v>1551689414081948</v>
      </c>
      <c r="C6497" t="s">
        <v>40</v>
      </c>
      <c r="D6497">
        <v>4.3226909999999998</v>
      </c>
      <c r="E6497">
        <v>0.39948889999999998</v>
      </c>
      <c r="F6497" t="s">
        <v>41</v>
      </c>
      <c r="G6497">
        <v>-301.53620000000001</v>
      </c>
      <c r="H6497">
        <v>1.067399</v>
      </c>
      <c r="I6497">
        <v>-32.743879999999997</v>
      </c>
      <c r="J6497">
        <v>-302.00420000000003</v>
      </c>
      <c r="K6497">
        <v>1.1120829999999999</v>
      </c>
      <c r="L6497">
        <v>-32.275300000000001</v>
      </c>
      <c r="M6497">
        <v>3.7058889999999997E-2</v>
      </c>
      <c r="N6497">
        <v>-8.1279850000000008E-3</v>
      </c>
      <c r="O6497">
        <v>-0.9992801</v>
      </c>
      <c r="P6497">
        <v>0.30496679999999998</v>
      </c>
      <c r="Q6497">
        <v>0.38744410000000001</v>
      </c>
      <c r="R6497">
        <v>-0.86998989999999998</v>
      </c>
      <c r="S6497">
        <v>1.779083</v>
      </c>
      <c r="T6497">
        <v>-0.16491310000000001</v>
      </c>
      <c r="U6497">
        <v>-2.8993530000000001</v>
      </c>
      <c r="V6497">
        <v>-0.2742077</v>
      </c>
      <c r="W6497">
        <v>0.39341569999999998</v>
      </c>
      <c r="X6497">
        <v>0.87751599999999996</v>
      </c>
      <c r="Y6497">
        <v>-0.4905177</v>
      </c>
      <c r="Z6497">
        <v>4.082583E-2</v>
      </c>
      <c r="AA6497">
        <v>0.87047439999999998</v>
      </c>
      <c r="AB6497">
        <v>30</v>
      </c>
      <c r="AC6497">
        <v>0.46800000000001701</v>
      </c>
      <c r="AD6497">
        <v>-4.4683999999999897E-2</v>
      </c>
      <c r="AE6497">
        <v>-0.468579999999995</v>
      </c>
      <c r="AF6497">
        <v>-0.448272143088077</v>
      </c>
      <c r="AG6497">
        <v>-4.4683999999999897E-2</v>
      </c>
      <c r="AH6497">
        <v>0.483401579282914</v>
      </c>
      <c r="AI6497">
        <v>93.877515979109404</v>
      </c>
      <c r="AJ6497">
        <v>132.840643854706</v>
      </c>
      <c r="AK6497">
        <v>0.66077353229226199</v>
      </c>
      <c r="AL6497">
        <v>66.832799398932593</v>
      </c>
      <c r="AM6497">
        <v>107.35306991073899</v>
      </c>
      <c r="AN6497">
        <v>1.0000000530008799</v>
      </c>
    </row>
    <row r="6498" spans="1:40" x14ac:dyDescent="0.25">
      <c r="A6498" t="str">
        <f>"20190304165014117"</f>
        <v>20190304165014117</v>
      </c>
      <c r="B6498" t="str">
        <f>"1551689414112204"</f>
        <v>1551689414112204</v>
      </c>
      <c r="C6498" t="s">
        <v>40</v>
      </c>
      <c r="D6498">
        <v>4.2976779999999897</v>
      </c>
      <c r="E6498">
        <v>0.39614100000000002</v>
      </c>
      <c r="F6498" t="s">
        <v>41</v>
      </c>
      <c r="G6498">
        <v>-301.53089999999997</v>
      </c>
      <c r="H6498">
        <v>1.0704959999999999</v>
      </c>
      <c r="I6498">
        <v>-33.015050000000002</v>
      </c>
      <c r="J6498">
        <v>-301.99009999999998</v>
      </c>
      <c r="K6498">
        <v>1.1121509999999999</v>
      </c>
      <c r="L6498">
        <v>-32.588470000000001</v>
      </c>
      <c r="M6498">
        <v>3.9474589999999997E-2</v>
      </c>
      <c r="N6498">
        <v>-8.1284849999999995E-3</v>
      </c>
      <c r="O6498">
        <v>-0.99918779999999996</v>
      </c>
      <c r="P6498">
        <v>0.30811270000000002</v>
      </c>
      <c r="Q6498">
        <v>0.38855650000000003</v>
      </c>
      <c r="R6498">
        <v>-0.86838409999999999</v>
      </c>
      <c r="S6498">
        <v>1.839569</v>
      </c>
      <c r="T6498">
        <v>-0.16164779999999901</v>
      </c>
      <c r="U6498">
        <v>-2.8754580000000001</v>
      </c>
      <c r="V6498">
        <v>-0.27535159999999997</v>
      </c>
      <c r="W6498">
        <v>0.39447330000000003</v>
      </c>
      <c r="X6498">
        <v>0.87668259999999898</v>
      </c>
      <c r="Y6498">
        <v>-0.50470219999999999</v>
      </c>
      <c r="Z6498">
        <v>3.9744219999999997E-2</v>
      </c>
      <c r="AA6498">
        <v>0.86237819999999898</v>
      </c>
      <c r="AB6498">
        <v>30</v>
      </c>
      <c r="AC6498">
        <v>0.45920000000000899</v>
      </c>
      <c r="AD6498">
        <v>-4.1655000000000199E-2</v>
      </c>
      <c r="AE6498">
        <v>-0.42658000000000101</v>
      </c>
      <c r="AF6498">
        <v>-0.44005871839743699</v>
      </c>
      <c r="AG6498">
        <v>-4.1655000000000199E-2</v>
      </c>
      <c r="AH6498">
        <v>0.442420659772435</v>
      </c>
      <c r="AI6498">
        <v>93.819045283363195</v>
      </c>
      <c r="AJ6498">
        <v>134.84664916546799</v>
      </c>
      <c r="AK6498">
        <v>0.62539815706162105</v>
      </c>
      <c r="AL6498">
        <v>66.766871668113595</v>
      </c>
      <c r="AM6498">
        <v>107.436646930602</v>
      </c>
      <c r="AN6498">
        <v>1.0000000345891</v>
      </c>
    </row>
    <row r="6499" spans="1:40" x14ac:dyDescent="0.25">
      <c r="A6499" t="str">
        <f>"20190304165014138"</f>
        <v>20190304165014138</v>
      </c>
      <c r="B6499" t="str">
        <f>"1551689414131723"</f>
        <v>1551689414131723</v>
      </c>
      <c r="C6499" t="s">
        <v>40</v>
      </c>
      <c r="D6499">
        <v>4.4224360000000003</v>
      </c>
      <c r="E6499">
        <v>0.39512510000000001</v>
      </c>
      <c r="F6499" t="s">
        <v>41</v>
      </c>
      <c r="G6499">
        <v>-301.37950000000001</v>
      </c>
      <c r="H6499">
        <v>1.0602739999999999</v>
      </c>
      <c r="I6499">
        <v>-33.520099999999999</v>
      </c>
      <c r="J6499">
        <v>-301.97559999999999</v>
      </c>
      <c r="K6499">
        <v>1.1122339999999999</v>
      </c>
      <c r="L6499">
        <v>-32.893159999999902</v>
      </c>
      <c r="M6499">
        <v>4.1928180000000002E-2</v>
      </c>
      <c r="N6499">
        <v>-8.1304540000000005E-3</v>
      </c>
      <c r="O6499">
        <v>-0.99908770000000002</v>
      </c>
      <c r="P6499">
        <v>0.31097269999999999</v>
      </c>
      <c r="Q6499">
        <v>0.38966770000000001</v>
      </c>
      <c r="R6499">
        <v>-0.86686529999999995</v>
      </c>
      <c r="S6499">
        <v>1.87558</v>
      </c>
      <c r="T6499">
        <v>-0.15929009999999999</v>
      </c>
      <c r="U6499">
        <v>-2.8605040000000002</v>
      </c>
      <c r="V6499">
        <v>-0.27619110000000002</v>
      </c>
      <c r="W6499">
        <v>0.39552500000000002</v>
      </c>
      <c r="X6499">
        <v>0.87594430000000001</v>
      </c>
      <c r="Y6499">
        <v>-0.51225920000000003</v>
      </c>
      <c r="Z6499">
        <v>3.8993600000000003E-2</v>
      </c>
      <c r="AA6499">
        <v>0.85794530000000002</v>
      </c>
      <c r="AB6499">
        <v>30</v>
      </c>
      <c r="AC6499">
        <v>0.59609999999997798</v>
      </c>
      <c r="AD6499">
        <v>-5.1959999999999999E-2</v>
      </c>
      <c r="AE6499">
        <v>-0.62694000000000405</v>
      </c>
      <c r="AF6499">
        <v>-0.56724210599201097</v>
      </c>
      <c r="AG6499">
        <v>-5.1959999999999999E-2</v>
      </c>
      <c r="AH6499">
        <v>0.64904141856826003</v>
      </c>
      <c r="AI6499">
        <v>93.449584646897193</v>
      </c>
      <c r="AJ6499">
        <v>131.152452711254</v>
      </c>
      <c r="AK6499">
        <v>0.86354977356684703</v>
      </c>
      <c r="AL6499">
        <v>66.701278593921899</v>
      </c>
      <c r="AM6499">
        <v>107.500411892416</v>
      </c>
      <c r="AN6499">
        <v>0.99999998302335003</v>
      </c>
    </row>
    <row r="6500" spans="1:40" x14ac:dyDescent="0.25">
      <c r="A6500" t="str">
        <f>"20190304165014159"</f>
        <v>20190304165014159</v>
      </c>
      <c r="B6500" t="str">
        <f>"1551689414152220"</f>
        <v>1551689414152220</v>
      </c>
      <c r="C6500" t="s">
        <v>40</v>
      </c>
      <c r="D6500">
        <v>4.2994019999999997</v>
      </c>
      <c r="E6500">
        <v>0.39463690000000001</v>
      </c>
      <c r="F6500" t="s">
        <v>41</v>
      </c>
      <c r="G6500">
        <v>-301.37819999999999</v>
      </c>
      <c r="H6500">
        <v>1.0629470000000001</v>
      </c>
      <c r="I6500">
        <v>-33.793080000000003</v>
      </c>
      <c r="J6500">
        <v>-301.96190000000001</v>
      </c>
      <c r="K6500">
        <v>1.112309</v>
      </c>
      <c r="L6500">
        <v>-33.165100000000002</v>
      </c>
      <c r="M6500">
        <v>4.4187549999999999E-2</v>
      </c>
      <c r="N6500">
        <v>-8.1330800000000009E-3</v>
      </c>
      <c r="O6500">
        <v>-0.99899039999999995</v>
      </c>
      <c r="P6500">
        <v>0.31451519999999999</v>
      </c>
      <c r="Q6500">
        <v>0.3911946</v>
      </c>
      <c r="R6500">
        <v>-0.86489729999999998</v>
      </c>
      <c r="S6500">
        <v>1.8931579999999999</v>
      </c>
      <c r="T6500">
        <v>-0.15618899999999999</v>
      </c>
      <c r="U6500">
        <v>-2.8518370000000002</v>
      </c>
      <c r="V6500">
        <v>-0.27790290000000001</v>
      </c>
      <c r="W6500">
        <v>0.39698899999999998</v>
      </c>
      <c r="X6500">
        <v>0.87473979999999996</v>
      </c>
      <c r="Y6500">
        <v>-0.51521059999999996</v>
      </c>
      <c r="Z6500">
        <v>3.8078609999999999E-2</v>
      </c>
      <c r="AA6500">
        <v>0.85621729999999996</v>
      </c>
      <c r="AB6500">
        <v>30</v>
      </c>
      <c r="AC6500">
        <v>0.58370000000002098</v>
      </c>
      <c r="AD6500">
        <v>-4.93620000000001E-2</v>
      </c>
      <c r="AE6500">
        <v>-0.62797999999999299</v>
      </c>
      <c r="AF6500">
        <v>-0.55354512433866898</v>
      </c>
      <c r="AG6500">
        <v>-4.93620000000001E-2</v>
      </c>
      <c r="AH6500">
        <v>0.65100174786640996</v>
      </c>
      <c r="AI6500">
        <v>93.306035428434996</v>
      </c>
      <c r="AJ6500">
        <v>130.37442915267701</v>
      </c>
      <c r="AK6500">
        <v>0.85595098425565996</v>
      </c>
      <c r="AL6500">
        <v>66.609919302891996</v>
      </c>
      <c r="AM6500">
        <v>107.624937392623</v>
      </c>
      <c r="AN6500">
        <v>1.00000000282672</v>
      </c>
    </row>
    <row r="6501" spans="1:40" x14ac:dyDescent="0.25">
      <c r="A6501" t="str">
        <f>"20190304165014179"</f>
        <v>20190304165014179</v>
      </c>
      <c r="B6501" t="str">
        <f>"1551689414171740"</f>
        <v>1551689414171740</v>
      </c>
      <c r="C6501" t="s">
        <v>40</v>
      </c>
      <c r="D6501">
        <v>4.3012100000000002</v>
      </c>
      <c r="E6501">
        <v>0.39391979999999999</v>
      </c>
      <c r="F6501" t="s">
        <v>41</v>
      </c>
      <c r="G6501">
        <v>-301.35980000000001</v>
      </c>
      <c r="H6501">
        <v>1.063914</v>
      </c>
      <c r="I6501">
        <v>-34.062269999999998</v>
      </c>
      <c r="J6501">
        <v>-301.94740000000002</v>
      </c>
      <c r="K6501">
        <v>1.1123799999999999</v>
      </c>
      <c r="L6501">
        <v>-33.441040000000001</v>
      </c>
      <c r="M6501">
        <v>4.6558210000000003E-2</v>
      </c>
      <c r="N6501">
        <v>-8.1363659999999904E-3</v>
      </c>
      <c r="O6501">
        <v>-0.99888250000000001</v>
      </c>
      <c r="P6501">
        <v>0.31866070000000002</v>
      </c>
      <c r="Q6501">
        <v>0.39307839999999999</v>
      </c>
      <c r="R6501">
        <v>-0.86252260000000003</v>
      </c>
      <c r="S6501">
        <v>1.909454</v>
      </c>
      <c r="T6501">
        <v>-0.15340019999999999</v>
      </c>
      <c r="U6501">
        <v>-2.8436279999999998</v>
      </c>
      <c r="V6501">
        <v>-0.28014990000000001</v>
      </c>
      <c r="W6501">
        <v>0.39880320000000002</v>
      </c>
      <c r="X6501">
        <v>0.87319639999999998</v>
      </c>
      <c r="Y6501">
        <v>-0.51772220000000002</v>
      </c>
      <c r="Z6501">
        <v>3.7259109999999998E-2</v>
      </c>
      <c r="AA6501">
        <v>0.85473699999999997</v>
      </c>
      <c r="AB6501">
        <v>30</v>
      </c>
      <c r="AC6501">
        <v>0.587600000000009</v>
      </c>
      <c r="AD6501">
        <v>-4.8465999999999898E-2</v>
      </c>
      <c r="AE6501">
        <v>-0.62122999999999695</v>
      </c>
      <c r="AF6501">
        <v>-0.55625150291311498</v>
      </c>
      <c r="AG6501">
        <v>-4.8465999999999898E-2</v>
      </c>
      <c r="AH6501">
        <v>0.64584005239808295</v>
      </c>
      <c r="AI6501">
        <v>93.254371342587305</v>
      </c>
      <c r="AJ6501">
        <v>130.737784034144</v>
      </c>
      <c r="AK6501">
        <v>0.85374121426264704</v>
      </c>
      <c r="AL6501">
        <v>66.496616873834498</v>
      </c>
      <c r="AM6501">
        <v>107.787936148954</v>
      </c>
      <c r="AN6501">
        <v>0.99999995588660395</v>
      </c>
    </row>
    <row r="6502" spans="1:40" x14ac:dyDescent="0.25">
      <c r="A6502" t="str">
        <f>"20190304165014200"</f>
        <v>20190304165014200</v>
      </c>
      <c r="B6502" t="str">
        <f>"1551689414192236"</f>
        <v>1551689414192236</v>
      </c>
      <c r="C6502" t="s">
        <v>40</v>
      </c>
      <c r="D6502">
        <v>4.3241809999999896</v>
      </c>
      <c r="E6502">
        <v>0.39328960000000002</v>
      </c>
      <c r="F6502" t="s">
        <v>41</v>
      </c>
      <c r="G6502">
        <v>-301.34100000000001</v>
      </c>
      <c r="H6502">
        <v>1.0656669999999999</v>
      </c>
      <c r="I6502">
        <v>-34.33202</v>
      </c>
      <c r="J6502">
        <v>-301.93150000000003</v>
      </c>
      <c r="K6502">
        <v>1.112447</v>
      </c>
      <c r="L6502">
        <v>-33.726039999999998</v>
      </c>
      <c r="M6502">
        <v>4.910022E-2</v>
      </c>
      <c r="N6502">
        <v>-8.1406959999999993E-3</v>
      </c>
      <c r="O6502">
        <v>-0.99876089999999995</v>
      </c>
      <c r="P6502">
        <v>0.323053599999999</v>
      </c>
      <c r="Q6502">
        <v>0.39386939999999998</v>
      </c>
      <c r="R6502">
        <v>-0.86052510000000004</v>
      </c>
      <c r="S6502">
        <v>1.9281010000000001</v>
      </c>
      <c r="T6502">
        <v>-0.14855499999999999</v>
      </c>
      <c r="U6502">
        <v>-2.8335270000000001</v>
      </c>
      <c r="V6502">
        <v>-0.28248450000000003</v>
      </c>
      <c r="W6502">
        <v>0.39952409999999999</v>
      </c>
      <c r="X6502">
        <v>0.8721141</v>
      </c>
      <c r="Y6502">
        <v>-0.52083840000000003</v>
      </c>
      <c r="Z6502">
        <v>3.5837809999999998E-2</v>
      </c>
      <c r="AA6502">
        <v>0.85290270000000001</v>
      </c>
      <c r="AB6502">
        <v>30</v>
      </c>
      <c r="AC6502">
        <v>0.59050000000002001</v>
      </c>
      <c r="AD6502">
        <v>-4.6780000000000002E-2</v>
      </c>
      <c r="AE6502">
        <v>-0.60597999999999497</v>
      </c>
      <c r="AF6502">
        <v>-0.55832630360156099</v>
      </c>
      <c r="AG6502">
        <v>-4.6780000000000002E-2</v>
      </c>
      <c r="AH6502">
        <v>0.63231084051361797</v>
      </c>
      <c r="AI6502">
        <v>93.174219465817998</v>
      </c>
      <c r="AJ6502">
        <v>131.44429165275801</v>
      </c>
      <c r="AK6502">
        <v>0.844827573368922</v>
      </c>
      <c r="AL6502">
        <v>66.451568988943094</v>
      </c>
      <c r="AM6502">
        <v>107.94753984202301</v>
      </c>
      <c r="AN6502">
        <v>1.0000000013199299</v>
      </c>
    </row>
    <row r="6503" spans="1:40" x14ac:dyDescent="0.25">
      <c r="A6503" t="str">
        <f>"20190304165014222"</f>
        <v>20190304165014222</v>
      </c>
      <c r="B6503" t="str">
        <f>"1551689414211756"</f>
        <v>1551689414211756</v>
      </c>
      <c r="C6503" t="s">
        <v>40</v>
      </c>
      <c r="D6503">
        <v>4.326352</v>
      </c>
      <c r="E6503">
        <v>0.39277260000000003</v>
      </c>
      <c r="F6503" t="s">
        <v>41</v>
      </c>
      <c r="G6503">
        <v>-301.32690000000002</v>
      </c>
      <c r="H6503">
        <v>1.0661389999999999</v>
      </c>
      <c r="I6503">
        <v>-34.60369</v>
      </c>
      <c r="J6503">
        <v>-301.91430000000003</v>
      </c>
      <c r="K6503">
        <v>1.1125419999999999</v>
      </c>
      <c r="L6503">
        <v>-34.02234</v>
      </c>
      <c r="M6503">
        <v>5.1847009999999999E-2</v>
      </c>
      <c r="N6503">
        <v>-8.1463769999999998E-3</v>
      </c>
      <c r="O6503">
        <v>-0.9986218</v>
      </c>
      <c r="P6503">
        <v>0.32739960000000001</v>
      </c>
      <c r="Q6503">
        <v>0.39456619999999998</v>
      </c>
      <c r="R6503">
        <v>-0.85856069999999995</v>
      </c>
      <c r="S6503">
        <v>1.946075</v>
      </c>
      <c r="T6503">
        <v>-0.14899870000000001</v>
      </c>
      <c r="U6503">
        <v>-2.8238530000000002</v>
      </c>
      <c r="V6503">
        <v>-0.28460669999999999</v>
      </c>
      <c r="W6503">
        <v>0.40014650000000002</v>
      </c>
      <c r="X6503">
        <v>0.87113819999999997</v>
      </c>
      <c r="Y6503">
        <v>-0.52353450000000001</v>
      </c>
      <c r="Z6503">
        <v>3.5974619999999999E-2</v>
      </c>
      <c r="AA6503">
        <v>0.85124469999999997</v>
      </c>
      <c r="AB6503">
        <v>31</v>
      </c>
      <c r="AC6503">
        <v>0.58740000000000203</v>
      </c>
      <c r="AD6503">
        <v>-4.6402999999999903E-2</v>
      </c>
      <c r="AE6503">
        <v>-0.58135000000000003</v>
      </c>
      <c r="AF6503">
        <v>-0.55471885772621599</v>
      </c>
      <c r="AG6503">
        <v>-4.6402999999999903E-2</v>
      </c>
      <c r="AH6503">
        <v>0.60910374659796396</v>
      </c>
      <c r="AI6503">
        <v>93.223774152843703</v>
      </c>
      <c r="AJ6503">
        <v>132.324541166915</v>
      </c>
      <c r="AK6503">
        <v>0.82515066723947705</v>
      </c>
      <c r="AL6503">
        <v>66.412662263792697</v>
      </c>
      <c r="AM6503">
        <v>108.09256271689</v>
      </c>
      <c r="AN6503">
        <v>0.99999997932318896</v>
      </c>
    </row>
    <row r="6504" spans="1:40" x14ac:dyDescent="0.25">
      <c r="A6504" t="str">
        <f>"20190304165014244"</f>
        <v>20190304165014244</v>
      </c>
      <c r="B6504" t="str">
        <f>"1551689414242013"</f>
        <v>1551689414242013</v>
      </c>
      <c r="C6504" t="s">
        <v>40</v>
      </c>
      <c r="D6504">
        <v>4.3438919999999897</v>
      </c>
      <c r="E6504">
        <v>0.3917252</v>
      </c>
      <c r="F6504" t="s">
        <v>41</v>
      </c>
      <c r="G6504">
        <v>-301.3177</v>
      </c>
      <c r="H6504">
        <v>1.066881</v>
      </c>
      <c r="I6504">
        <v>-34.87735</v>
      </c>
      <c r="J6504">
        <v>-301.89519999999999</v>
      </c>
      <c r="K6504">
        <v>1.112644</v>
      </c>
      <c r="L6504">
        <v>-34.332819999999998</v>
      </c>
      <c r="M6504">
        <v>5.4838240000000003E-2</v>
      </c>
      <c r="N6504">
        <v>-8.1535930000000006E-3</v>
      </c>
      <c r="O6504">
        <v>-0.99846210000000002</v>
      </c>
      <c r="P6504">
        <v>0.33117600000000003</v>
      </c>
      <c r="Q6504">
        <v>0.39472030000000002</v>
      </c>
      <c r="R6504">
        <v>-0.85704029999999998</v>
      </c>
      <c r="S6504">
        <v>1.963287</v>
      </c>
      <c r="T6504">
        <v>-0.1503102</v>
      </c>
      <c r="U6504">
        <v>-2.8146059999999999</v>
      </c>
      <c r="V6504">
        <v>-0.28593560000000001</v>
      </c>
      <c r="W6504">
        <v>0.4002291</v>
      </c>
      <c r="X6504">
        <v>0.87066499999999902</v>
      </c>
      <c r="Y6504">
        <v>-0.52578899999999995</v>
      </c>
      <c r="Z6504">
        <v>3.6367860000000002E-2</v>
      </c>
      <c r="AA6504">
        <v>0.84983719999999996</v>
      </c>
      <c r="AB6504">
        <v>31</v>
      </c>
      <c r="AC6504">
        <v>0.57749999999998602</v>
      </c>
      <c r="AD6504">
        <v>-4.5762999999999998E-2</v>
      </c>
      <c r="AE6504">
        <v>-0.54453000000000096</v>
      </c>
      <c r="AF6504">
        <v>-0.54495739730828696</v>
      </c>
      <c r="AG6504">
        <v>-4.5762999999999998E-2</v>
      </c>
      <c r="AH6504">
        <v>0.57347440576351405</v>
      </c>
      <c r="AI6504">
        <v>93.310684284893298</v>
      </c>
      <c r="AJ6504">
        <v>133.539427895193</v>
      </c>
      <c r="AK6504">
        <v>0.79243025631019204</v>
      </c>
      <c r="AL6504">
        <v>66.407499121142706</v>
      </c>
      <c r="AM6504">
        <v>108.1807274977</v>
      </c>
      <c r="AN6504">
        <v>1.0000000210295801</v>
      </c>
    </row>
    <row r="6505" spans="1:40" x14ac:dyDescent="0.25">
      <c r="A6505" t="str">
        <f>"20190304165014269"</f>
        <v>20190304165014269</v>
      </c>
      <c r="B6505" t="str">
        <f>"1551689414262507"</f>
        <v>1551689414262507</v>
      </c>
      <c r="C6505" t="s">
        <v>40</v>
      </c>
      <c r="D6505">
        <v>4.3366309999999997</v>
      </c>
      <c r="E6505">
        <v>0.3909108</v>
      </c>
      <c r="F6505" t="s">
        <v>41</v>
      </c>
      <c r="G6505">
        <v>-301.315</v>
      </c>
      <c r="H6505">
        <v>1.0672330000000001</v>
      </c>
      <c r="I6505">
        <v>-35.153480000000002</v>
      </c>
      <c r="J6505">
        <v>-301.87419999999997</v>
      </c>
      <c r="K6505">
        <v>1.1127419999999999</v>
      </c>
      <c r="L6505">
        <v>-34.656219999999998</v>
      </c>
      <c r="M6505">
        <v>5.8074550000000003E-2</v>
      </c>
      <c r="N6505">
        <v>-8.1621139999999998E-3</v>
      </c>
      <c r="O6505">
        <v>-0.99827900000000003</v>
      </c>
      <c r="P6505">
        <v>0.33488089999999998</v>
      </c>
      <c r="Q6505">
        <v>0.39440069999999999</v>
      </c>
      <c r="R6505">
        <v>-0.85574709999999998</v>
      </c>
      <c r="S6505">
        <v>1.983948</v>
      </c>
      <c r="T6505">
        <v>-0.1552318</v>
      </c>
      <c r="U6505">
        <v>-2.8052980000000001</v>
      </c>
      <c r="V6505">
        <v>-0.2869758</v>
      </c>
      <c r="W6505">
        <v>0.39983669999999999</v>
      </c>
      <c r="X6505">
        <v>0.87050309999999897</v>
      </c>
      <c r="Y6505">
        <v>-0.52850430000000004</v>
      </c>
      <c r="Z6505">
        <v>3.7801029999999999E-2</v>
      </c>
      <c r="AA6505">
        <v>0.84808859999999997</v>
      </c>
      <c r="AB6505">
        <v>31</v>
      </c>
      <c r="AC6505">
        <v>0.55919999999997505</v>
      </c>
      <c r="AD6505">
        <v>-4.55089999999998E-2</v>
      </c>
      <c r="AE6505">
        <v>-0.49725999999999698</v>
      </c>
      <c r="AF6505">
        <v>-0.52742633994479804</v>
      </c>
      <c r="AG6505">
        <v>-4.55089999999998E-2</v>
      </c>
      <c r="AH6505">
        <v>0.52694813051383604</v>
      </c>
      <c r="AI6505">
        <v>93.493023291715701</v>
      </c>
      <c r="AJ6505">
        <v>135.02598638435001</v>
      </c>
      <c r="AK6505">
        <v>0.74694306704098501</v>
      </c>
      <c r="AL6505">
        <v>66.432031589247899</v>
      </c>
      <c r="AM6505">
        <v>108.245661943424</v>
      </c>
      <c r="AN6505">
        <v>1.00000007178106</v>
      </c>
    </row>
    <row r="6506" spans="1:40" x14ac:dyDescent="0.25">
      <c r="A6506" t="str">
        <f>"20190304165014291"</f>
        <v>20190304165014291</v>
      </c>
      <c r="B6506" t="str">
        <f>"1551689414282028"</f>
        <v>1551689414282028</v>
      </c>
      <c r="C6506" t="s">
        <v>40</v>
      </c>
      <c r="D6506">
        <v>4.3351240000000004</v>
      </c>
      <c r="E6506">
        <v>0.39008009999999999</v>
      </c>
      <c r="F6506" t="s">
        <v>41</v>
      </c>
      <c r="G6506">
        <v>-301.31889999999999</v>
      </c>
      <c r="H6506">
        <v>1.0675840000000001</v>
      </c>
      <c r="I6506">
        <v>-35.432250000000003</v>
      </c>
      <c r="J6506">
        <v>-301.8528</v>
      </c>
      <c r="K6506">
        <v>1.1128450000000001</v>
      </c>
      <c r="L6506">
        <v>-34.968440000000001</v>
      </c>
      <c r="M6506">
        <v>6.1317599999999903E-2</v>
      </c>
      <c r="N6506">
        <v>-8.1711430000000005E-3</v>
      </c>
      <c r="O6506">
        <v>-0.998085</v>
      </c>
      <c r="P6506">
        <v>0.33902009999999899</v>
      </c>
      <c r="Q6506">
        <v>0.39390209999999998</v>
      </c>
      <c r="R6506">
        <v>-0.85434569999999999</v>
      </c>
      <c r="S6506">
        <v>2.0014340000000002</v>
      </c>
      <c r="T6506">
        <v>-0.1627876</v>
      </c>
      <c r="U6506">
        <v>-2.797485</v>
      </c>
      <c r="V6506">
        <v>-0.28845100000000001</v>
      </c>
      <c r="W6506">
        <v>0.39926270000000003</v>
      </c>
      <c r="X6506">
        <v>0.87027889999999997</v>
      </c>
      <c r="Y6506">
        <v>-0.53032380000000001</v>
      </c>
      <c r="Z6506">
        <v>4.0013E-2</v>
      </c>
      <c r="AA6506">
        <v>0.84685049999999995</v>
      </c>
      <c r="AB6506">
        <v>31</v>
      </c>
      <c r="AC6506">
        <v>0.53390000000001603</v>
      </c>
      <c r="AD6506">
        <v>-4.5261000000000003E-2</v>
      </c>
      <c r="AE6506">
        <v>-0.463810000000002</v>
      </c>
      <c r="AF6506">
        <v>-0.50239695146473295</v>
      </c>
      <c r="AG6506">
        <v>-4.5261000000000003E-2</v>
      </c>
      <c r="AH6506">
        <v>0.49365387398152699</v>
      </c>
      <c r="AI6506">
        <v>93.676773081513801</v>
      </c>
      <c r="AJ6506">
        <v>135.502914672526</v>
      </c>
      <c r="AK6506">
        <v>0.70579416422851404</v>
      </c>
      <c r="AL6506">
        <v>66.467906199303499</v>
      </c>
      <c r="AM6506">
        <v>108.337603185668</v>
      </c>
      <c r="AN6506">
        <v>1.0000000233987401</v>
      </c>
    </row>
    <row r="6507" spans="1:40" x14ac:dyDescent="0.25">
      <c r="A6507" t="str">
        <f>"20190304165014320"</f>
        <v>20190304165014320</v>
      </c>
      <c r="B6507" t="str">
        <f>"1551689414312283"</f>
        <v>1551689414312283</v>
      </c>
      <c r="C6507" t="s">
        <v>40</v>
      </c>
      <c r="D6507">
        <v>4.3477480000000002</v>
      </c>
      <c r="E6507">
        <v>0.3691952</v>
      </c>
      <c r="F6507" t="s">
        <v>41</v>
      </c>
      <c r="G6507">
        <v>-301.31560000000002</v>
      </c>
      <c r="H6507">
        <v>1.067599</v>
      </c>
      <c r="I6507">
        <v>-35.709829999999997</v>
      </c>
      <c r="J6507">
        <v>-301.82459999999998</v>
      </c>
      <c r="K6507">
        <v>1.1129739999999999</v>
      </c>
      <c r="L6507">
        <v>-35.357669999999999</v>
      </c>
      <c r="M6507">
        <v>6.5536010000000006E-2</v>
      </c>
      <c r="N6507">
        <v>-8.1836059999999995E-3</v>
      </c>
      <c r="O6507">
        <v>-0.99781699999999995</v>
      </c>
      <c r="P6507">
        <v>0.34432489999999999</v>
      </c>
      <c r="Q6507">
        <v>0.39314680000000002</v>
      </c>
      <c r="R6507">
        <v>-0.85257070000000001</v>
      </c>
      <c r="S6507">
        <v>2.0206599999999999</v>
      </c>
      <c r="T6507">
        <v>-0.1701599</v>
      </c>
      <c r="U6507">
        <v>-2.7880859999999998</v>
      </c>
      <c r="V6507">
        <v>-0.29028959999999998</v>
      </c>
      <c r="W6507">
        <v>0.39841270000000001</v>
      </c>
      <c r="X6507">
        <v>0.87005710000000003</v>
      </c>
      <c r="Y6507">
        <v>-0.53187479999999998</v>
      </c>
      <c r="Z6507">
        <v>4.2181040000000003E-2</v>
      </c>
      <c r="AA6507">
        <v>0.84577179999999996</v>
      </c>
      <c r="AB6507">
        <v>31</v>
      </c>
      <c r="AC6507">
        <v>0.50899999999995704</v>
      </c>
      <c r="AD6507">
        <v>-4.5374999999999902E-2</v>
      </c>
      <c r="AE6507">
        <v>-0.35215999999999698</v>
      </c>
      <c r="AF6507">
        <v>-0.482234073980708</v>
      </c>
      <c r="AG6507">
        <v>-4.5374999999999902E-2</v>
      </c>
      <c r="AH6507">
        <v>0.38270503183163102</v>
      </c>
      <c r="AI6507">
        <v>94.215292870393299</v>
      </c>
      <c r="AJ6507">
        <v>141.56418736340501</v>
      </c>
      <c r="AK6507">
        <v>0.61731007939469196</v>
      </c>
      <c r="AL6507">
        <v>66.521014975803595</v>
      </c>
      <c r="AM6507">
        <v>108.450983165262</v>
      </c>
      <c r="AN6507">
        <v>1.00000004432492</v>
      </c>
    </row>
    <row r="6508" spans="1:40" x14ac:dyDescent="0.25">
      <c r="A6508" t="str">
        <f>"20190304165014342"</f>
        <v>20190304165014342</v>
      </c>
      <c r="B6508" t="str">
        <f>"1551689414331804"</f>
        <v>1551689414331804</v>
      </c>
      <c r="C6508" t="s">
        <v>40</v>
      </c>
      <c r="D6508">
        <v>4.361002</v>
      </c>
      <c r="E6508">
        <v>0.36852570000000001</v>
      </c>
      <c r="F6508" t="s">
        <v>49</v>
      </c>
      <c r="G6508">
        <v>-292.12939999999998</v>
      </c>
      <c r="H6508" s="1">
        <v>-5.831178E-6</v>
      </c>
      <c r="I6508">
        <v>-47.435459999999999</v>
      </c>
      <c r="J6508">
        <v>-301.80110000000002</v>
      </c>
      <c r="K6508">
        <v>1.1130719999999901</v>
      </c>
      <c r="L6508">
        <v>-35.663539999999998</v>
      </c>
      <c r="M6508">
        <v>6.8987889999999996E-2</v>
      </c>
      <c r="N6508">
        <v>-8.1943729999999996E-3</v>
      </c>
      <c r="O6508">
        <v>-0.99758400000000003</v>
      </c>
      <c r="P6508">
        <v>0.34938799999999998</v>
      </c>
      <c r="Q6508">
        <v>0.39298919999999998</v>
      </c>
      <c r="R6508">
        <v>-0.85058129999999998</v>
      </c>
      <c r="S6508">
        <v>2.2037960000000001</v>
      </c>
      <c r="T6508">
        <v>-0.2529902</v>
      </c>
      <c r="U6508">
        <v>-2.7453919999999998</v>
      </c>
      <c r="V6508">
        <v>-0.2925565</v>
      </c>
      <c r="W6508">
        <v>0.3981691</v>
      </c>
      <c r="X6508">
        <v>0.86940910000000005</v>
      </c>
      <c r="Y6508">
        <v>-0.56921709999999903</v>
      </c>
      <c r="Z6508">
        <v>6.5076629999999996E-2</v>
      </c>
      <c r="AA6508">
        <v>0.81960769999999905</v>
      </c>
      <c r="AB6508">
        <v>31</v>
      </c>
      <c r="AC6508">
        <v>9.6717000000000404</v>
      </c>
      <c r="AD6508">
        <v>-1.1130778311780001</v>
      </c>
      <c r="AE6508">
        <v>-11.7719199999999</v>
      </c>
      <c r="AF6508">
        <v>-8.7895939966792103</v>
      </c>
      <c r="AG6508">
        <v>-1.1130778311780001</v>
      </c>
      <c r="AH6508">
        <v>12.345231167767301</v>
      </c>
      <c r="AI6508">
        <v>94.200729801856198</v>
      </c>
      <c r="AJ6508">
        <v>125.450217470618</v>
      </c>
      <c r="AK6508">
        <v>15.1954150147448</v>
      </c>
      <c r="AL6508">
        <v>66.536231635877698</v>
      </c>
      <c r="AM6508">
        <v>108.598106372888</v>
      </c>
      <c r="AN6508">
        <v>1.00000006052493</v>
      </c>
    </row>
    <row r="6509" spans="1:40" x14ac:dyDescent="0.25">
      <c r="A6509" t="str">
        <f>"20190304165014363"</f>
        <v>20190304165014363</v>
      </c>
      <c r="B6509" t="str">
        <f>"1551689414352300"</f>
        <v>1551689414352300</v>
      </c>
      <c r="C6509" t="s">
        <v>40</v>
      </c>
      <c r="D6509">
        <v>4.3401100000000001</v>
      </c>
      <c r="E6509">
        <v>0.36948760000000003</v>
      </c>
      <c r="F6509" t="s">
        <v>49</v>
      </c>
      <c r="G6509">
        <v>-292.01639999999998</v>
      </c>
      <c r="H6509" s="1">
        <v>-5.9319090000000004E-6</v>
      </c>
      <c r="I6509">
        <v>-47.654980000000002</v>
      </c>
      <c r="J6509">
        <v>-301.77800000000002</v>
      </c>
      <c r="K6509">
        <v>1.1131610000000001</v>
      </c>
      <c r="L6509">
        <v>-35.950740000000003</v>
      </c>
      <c r="M6509">
        <v>7.2321469999999999E-2</v>
      </c>
      <c r="N6509">
        <v>-8.2047700000000001E-3</v>
      </c>
      <c r="O6509">
        <v>-0.99734750000000005</v>
      </c>
      <c r="P6509">
        <v>0.35454419999999998</v>
      </c>
      <c r="Q6509">
        <v>0.3936287</v>
      </c>
      <c r="R6509">
        <v>-0.84814769999999995</v>
      </c>
      <c r="S6509">
        <v>2.22702</v>
      </c>
      <c r="T6509">
        <v>-0.25333909999999998</v>
      </c>
      <c r="U6509">
        <v>-2.729279</v>
      </c>
      <c r="V6509">
        <v>-0.2950545</v>
      </c>
      <c r="W6509">
        <v>0.39872449999999998</v>
      </c>
      <c r="X6509">
        <v>0.86830959999999902</v>
      </c>
      <c r="Y6509">
        <v>-0.57302109999999995</v>
      </c>
      <c r="Z6509">
        <v>6.5206849999999997E-2</v>
      </c>
      <c r="AA6509">
        <v>0.81694250000000002</v>
      </c>
      <c r="AB6509">
        <v>31</v>
      </c>
      <c r="AC6509">
        <v>9.7616000000000405</v>
      </c>
      <c r="AD6509">
        <v>-1.1131669319090001</v>
      </c>
      <c r="AE6509">
        <v>-11.70424</v>
      </c>
      <c r="AF6509">
        <v>-8.84236820790872</v>
      </c>
      <c r="AG6509">
        <v>-1.1131669319090001</v>
      </c>
      <c r="AH6509">
        <v>12.313894716548999</v>
      </c>
      <c r="AI6509">
        <v>94.199627647691202</v>
      </c>
      <c r="AJ6509">
        <v>125.68139193060399</v>
      </c>
      <c r="AK6509">
        <v>15.2006124624234</v>
      </c>
      <c r="AL6509">
        <v>66.501534331758293</v>
      </c>
      <c r="AM6509">
        <v>108.76793228062</v>
      </c>
      <c r="AN6509">
        <v>0.99999997316132905</v>
      </c>
    </row>
    <row r="6510" spans="1:40" x14ac:dyDescent="0.25">
      <c r="A6510" t="str">
        <f>"20190304165014399"</f>
        <v>20190304165014399</v>
      </c>
      <c r="B6510" t="str">
        <f>"1551689414392316"</f>
        <v>1551689414392316</v>
      </c>
      <c r="C6510" t="s">
        <v>40</v>
      </c>
      <c r="D6510">
        <v>4.3649149999999999</v>
      </c>
      <c r="E6510">
        <v>0.36948350000000002</v>
      </c>
      <c r="F6510" t="s">
        <v>49</v>
      </c>
      <c r="G6510">
        <v>-291.80779999999999</v>
      </c>
      <c r="H6510" s="1">
        <v>-6.1169179999999897E-6</v>
      </c>
      <c r="I6510">
        <v>-48.057749999999999</v>
      </c>
      <c r="J6510">
        <v>-301.7364</v>
      </c>
      <c r="K6510">
        <v>1.113334</v>
      </c>
      <c r="L6510">
        <v>-36.437469999999998</v>
      </c>
      <c r="M6510">
        <v>7.8195600000000004E-2</v>
      </c>
      <c r="N6510">
        <v>-8.2231730000000003E-3</v>
      </c>
      <c r="O6510">
        <v>-0.99690429999999997</v>
      </c>
      <c r="P6510">
        <v>0.36310930000000002</v>
      </c>
      <c r="Q6510">
        <v>0.39528380000000002</v>
      </c>
      <c r="R6510">
        <v>-0.84374309999999997</v>
      </c>
      <c r="S6510">
        <v>2.237946</v>
      </c>
      <c r="T6510">
        <v>-0.24986620000000001</v>
      </c>
      <c r="U6510">
        <v>-2.71759</v>
      </c>
      <c r="V6510">
        <v>-0.29897000000000001</v>
      </c>
      <c r="W6510">
        <v>0.40023300000000001</v>
      </c>
      <c r="X6510">
        <v>0.86627389999999904</v>
      </c>
      <c r="Y6510">
        <v>-0.57191499999999995</v>
      </c>
      <c r="Z6510">
        <v>6.4347360000000006E-2</v>
      </c>
      <c r="AA6510">
        <v>0.81778519999999999</v>
      </c>
      <c r="AB6510">
        <v>31</v>
      </c>
      <c r="AC6510">
        <v>9.9286000000000101</v>
      </c>
      <c r="AD6510">
        <v>-1.1133401169179999</v>
      </c>
      <c r="AE6510">
        <v>-11.6202799999999</v>
      </c>
      <c r="AF6510">
        <v>-8.9420649316186491</v>
      </c>
      <c r="AG6510">
        <v>-1.1133401169179999</v>
      </c>
      <c r="AH6510">
        <v>12.2958537608584</v>
      </c>
      <c r="AI6510">
        <v>94.188228909612704</v>
      </c>
      <c r="AJ6510">
        <v>126.026233005159</v>
      </c>
      <c r="AK6510">
        <v>15.2442799490707</v>
      </c>
      <c r="AL6510">
        <v>66.407254572735795</v>
      </c>
      <c r="AM6510">
        <v>109.040670012844</v>
      </c>
      <c r="AN6510">
        <v>0.99999999250510396</v>
      </c>
    </row>
    <row r="6511" spans="1:40" x14ac:dyDescent="0.25">
      <c r="A6511" t="str">
        <f>"20190304165014445"</f>
        <v>20190304165014445</v>
      </c>
      <c r="B6511" t="str">
        <f>"1551689414442092"</f>
        <v>1551689414442092</v>
      </c>
      <c r="C6511" t="s">
        <v>40</v>
      </c>
      <c r="D6511">
        <v>4.4822699999999998</v>
      </c>
      <c r="E6511">
        <v>0.51341250000000005</v>
      </c>
      <c r="F6511" t="s">
        <v>49</v>
      </c>
      <c r="G6511">
        <v>-291.4708</v>
      </c>
      <c r="H6511" s="1">
        <v>-6.387138E-6</v>
      </c>
      <c r="I6511">
        <v>-48.632680000000001</v>
      </c>
      <c r="J6511">
        <v>-301.67489999999998</v>
      </c>
      <c r="K6511">
        <v>1.1135729999999999</v>
      </c>
      <c r="L6511">
        <v>-37.096339999999998</v>
      </c>
      <c r="M6511">
        <v>8.6616029999999997E-2</v>
      </c>
      <c r="N6511">
        <v>-8.2513699999999992E-3</v>
      </c>
      <c r="O6511">
        <v>-0.99620770000000003</v>
      </c>
      <c r="P6511">
        <v>0.37233100000000002</v>
      </c>
      <c r="Q6511">
        <v>0.39864480000000002</v>
      </c>
      <c r="R6511">
        <v>-0.83812419999999999</v>
      </c>
      <c r="S6511">
        <v>2.2683110000000002</v>
      </c>
      <c r="T6511">
        <v>-0.24600540000000001</v>
      </c>
      <c r="U6511">
        <v>-2.6946720000000002</v>
      </c>
      <c r="V6511">
        <v>-0.30153609999999997</v>
      </c>
      <c r="W6511">
        <v>0.40341359999999998</v>
      </c>
      <c r="X6511">
        <v>0.8639059</v>
      </c>
      <c r="Y6511">
        <v>-0.57385830000000004</v>
      </c>
      <c r="Z6511">
        <v>6.334323E-2</v>
      </c>
      <c r="AA6511">
        <v>0.81650129999999999</v>
      </c>
      <c r="AB6511">
        <v>31</v>
      </c>
      <c r="AC6511">
        <v>10.204099999999899</v>
      </c>
      <c r="AD6511">
        <v>-1.113579387138</v>
      </c>
      <c r="AE6511">
        <v>-11.5363399999999</v>
      </c>
      <c r="AF6511">
        <v>-9.11881203151043</v>
      </c>
      <c r="AG6511">
        <v>-1.113579387138</v>
      </c>
      <c r="AH6511">
        <v>12.3124838927148</v>
      </c>
      <c r="AI6511">
        <v>94.156981116577398</v>
      </c>
      <c r="AJ6511">
        <v>126.52420849626201</v>
      </c>
      <c r="AK6511">
        <v>15.3619676970706</v>
      </c>
      <c r="AL6511">
        <v>66.208246156876399</v>
      </c>
      <c r="AM6511">
        <v>109.24093477118301</v>
      </c>
      <c r="AN6511">
        <v>0.999999978161489</v>
      </c>
    </row>
    <row r="6512" spans="1:40" x14ac:dyDescent="0.25">
      <c r="A6512" t="str">
        <f>"20190304165014468"</f>
        <v>20190304165014468</v>
      </c>
      <c r="B6512" t="str">
        <f>"1551689414462588"</f>
        <v>1551689414462588</v>
      </c>
      <c r="C6512" t="s">
        <v>40</v>
      </c>
      <c r="D6512">
        <v>4.4978850000000001</v>
      </c>
      <c r="E6512">
        <v>0.51934689999999994</v>
      </c>
      <c r="F6512" t="s">
        <v>49</v>
      </c>
      <c r="G6512">
        <v>-298.42689999999999</v>
      </c>
      <c r="H6512" s="1">
        <v>-3.4427180000000002E-6</v>
      </c>
      <c r="I6512">
        <v>-45.249690000000001</v>
      </c>
      <c r="J6512">
        <v>-301.64339999999999</v>
      </c>
      <c r="K6512">
        <v>1.1136950000000001</v>
      </c>
      <c r="L6512">
        <v>-37.411189999999998</v>
      </c>
      <c r="M6512">
        <v>9.0827939999999996E-2</v>
      </c>
      <c r="N6512">
        <v>-8.2655249999999993E-3</v>
      </c>
      <c r="O6512">
        <v>-0.9958323</v>
      </c>
      <c r="P6512">
        <v>0.37672309999999998</v>
      </c>
      <c r="Q6512">
        <v>0.400453</v>
      </c>
      <c r="R6512">
        <v>-0.83529449999999905</v>
      </c>
      <c r="S6512">
        <v>1.2822880000000001</v>
      </c>
      <c r="T6512">
        <v>-0.43963429999999998</v>
      </c>
      <c r="U6512">
        <v>-3.2189030000000001</v>
      </c>
      <c r="V6512">
        <v>-0.30262529999999999</v>
      </c>
      <c r="W6512">
        <v>0.40513149999999998</v>
      </c>
      <c r="X6512">
        <v>0.86272039999999905</v>
      </c>
      <c r="Y6512">
        <v>-0.28139009999999998</v>
      </c>
      <c r="Z6512">
        <v>0.1189433</v>
      </c>
      <c r="AA6512">
        <v>0.95219330000000002</v>
      </c>
      <c r="AB6512">
        <v>31</v>
      </c>
      <c r="AC6512">
        <v>3.2164999999999901</v>
      </c>
      <c r="AD6512">
        <v>-1.1136984427179999</v>
      </c>
      <c r="AE6512">
        <v>-7.83849999999999</v>
      </c>
      <c r="AF6512">
        <v>-2.4489135109200699</v>
      </c>
      <c r="AG6512">
        <v>-1.1136984427179999</v>
      </c>
      <c r="AH6512">
        <v>7.9607140694230001</v>
      </c>
      <c r="AI6512">
        <v>97.616148658251007</v>
      </c>
      <c r="AJ6512">
        <v>107.09919839406101</v>
      </c>
      <c r="AK6512">
        <v>8.4030036356286697</v>
      </c>
      <c r="AL6512">
        <v>66.100633312726401</v>
      </c>
      <c r="AM6512">
        <v>109.329864160211</v>
      </c>
      <c r="AN6512">
        <v>1.00000004653424</v>
      </c>
    </row>
    <row r="6513" spans="1:40" x14ac:dyDescent="0.25">
      <c r="A6513" t="str">
        <f>"20190304165014491"</f>
        <v>20190304165014491</v>
      </c>
      <c r="B6513" t="str">
        <f>"1551689414482108"</f>
        <v>1551689414482108</v>
      </c>
      <c r="C6513" t="s">
        <v>40</v>
      </c>
      <c r="D6513">
        <v>4.4747830000000004</v>
      </c>
      <c r="E6513">
        <v>0.52263440000000005</v>
      </c>
      <c r="F6513" t="s">
        <v>49</v>
      </c>
      <c r="G6513">
        <v>-298.57380000000001</v>
      </c>
      <c r="H6513" s="1">
        <v>-3.446431E-6</v>
      </c>
      <c r="I6513">
        <v>-45.316009999999999</v>
      </c>
      <c r="J6513">
        <v>-301.60919999999999</v>
      </c>
      <c r="K6513">
        <v>1.1138250000000001</v>
      </c>
      <c r="L6513">
        <v>-37.737789999999997</v>
      </c>
      <c r="M6513">
        <v>9.5347100000000004E-2</v>
      </c>
      <c r="N6513">
        <v>-8.2816319999999902E-3</v>
      </c>
      <c r="O6513">
        <v>-0.99540969999999995</v>
      </c>
      <c r="P6513">
        <v>0.3820423</v>
      </c>
      <c r="Q6513">
        <v>0.4017964</v>
      </c>
      <c r="R6513">
        <v>-0.83222809999999903</v>
      </c>
      <c r="S6513">
        <v>1.2592159999999999</v>
      </c>
      <c r="T6513">
        <v>-0.45685569999999998</v>
      </c>
      <c r="U6513">
        <v>-3.2426759999999999</v>
      </c>
      <c r="V6513">
        <v>-0.30441859999999998</v>
      </c>
      <c r="W6513">
        <v>0.40636830000000002</v>
      </c>
      <c r="X6513">
        <v>0.86150689999999996</v>
      </c>
      <c r="Y6513">
        <v>-0.26854800000000001</v>
      </c>
      <c r="Z6513">
        <v>0.12326330000000001</v>
      </c>
      <c r="AA6513">
        <v>0.9553471</v>
      </c>
      <c r="AB6513">
        <v>31</v>
      </c>
      <c r="AC6513">
        <v>3.0353999999999801</v>
      </c>
      <c r="AD6513">
        <v>-1.113828446431</v>
      </c>
      <c r="AE6513">
        <v>-7.5782199999999902</v>
      </c>
      <c r="AF6513">
        <v>-2.2569687295102501</v>
      </c>
      <c r="AG6513">
        <v>-1.113828446431</v>
      </c>
      <c r="AH6513">
        <v>7.6899636228357604</v>
      </c>
      <c r="AI6513">
        <v>97.912264374651599</v>
      </c>
      <c r="AJ6513">
        <v>106.356719715723</v>
      </c>
      <c r="AK6513">
        <v>8.0913572516978398</v>
      </c>
      <c r="AL6513">
        <v>66.023099912334999</v>
      </c>
      <c r="AM6513">
        <v>109.46116508934099</v>
      </c>
      <c r="AN6513">
        <v>1.00000000900923</v>
      </c>
    </row>
    <row r="6514" spans="1:40" x14ac:dyDescent="0.25">
      <c r="A6514" t="str">
        <f>"20190304165014531"</f>
        <v>20190304165014531</v>
      </c>
      <c r="B6514" t="str">
        <f>"1551689414522124"</f>
        <v>1551689414522124</v>
      </c>
      <c r="C6514" t="s">
        <v>40</v>
      </c>
      <c r="D6514">
        <v>4.4831059999999896</v>
      </c>
      <c r="E6514">
        <v>0.52482069999999903</v>
      </c>
      <c r="F6514" t="s">
        <v>49</v>
      </c>
      <c r="G6514">
        <v>-298.68389999999999</v>
      </c>
      <c r="H6514" s="1">
        <v>-3.4215460000000002E-6</v>
      </c>
      <c r="I6514">
        <v>-45.315159999999999</v>
      </c>
      <c r="J6514">
        <v>-301.5478</v>
      </c>
      <c r="K6514">
        <v>1.114074</v>
      </c>
      <c r="L6514">
        <v>-38.288020000000003</v>
      </c>
      <c r="M6514">
        <v>0.1033353</v>
      </c>
      <c r="N6514">
        <v>-8.3116509999999998E-3</v>
      </c>
      <c r="O6514">
        <v>-0.99461189999999999</v>
      </c>
      <c r="P6514">
        <v>0.3911829</v>
      </c>
      <c r="Q6514">
        <v>0.40291719999999998</v>
      </c>
      <c r="R6514">
        <v>-0.82742599999999999</v>
      </c>
      <c r="S6514">
        <v>1.2579959999999999</v>
      </c>
      <c r="T6514">
        <v>-0.4789871</v>
      </c>
      <c r="U6514">
        <v>-3.2585449999999998</v>
      </c>
      <c r="V6514">
        <v>-0.30730210000000002</v>
      </c>
      <c r="W6514">
        <v>0.40730060000000001</v>
      </c>
      <c r="X6514">
        <v>0.86004169999999902</v>
      </c>
      <c r="Y6514">
        <v>-0.25866339999999999</v>
      </c>
      <c r="Z6514">
        <v>0.1289119</v>
      </c>
      <c r="AA6514">
        <v>0.95732700000000004</v>
      </c>
      <c r="AB6514">
        <v>31</v>
      </c>
      <c r="AC6514">
        <v>2.8639000000000001</v>
      </c>
      <c r="AD6514">
        <v>-1.1140774215459901</v>
      </c>
      <c r="AE6514">
        <v>-7.0271399999999904</v>
      </c>
      <c r="AF6514">
        <v>-2.0776086500987399</v>
      </c>
      <c r="AG6514">
        <v>-1.1140774215459901</v>
      </c>
      <c r="AH6514">
        <v>7.1317485676007202</v>
      </c>
      <c r="AI6514">
        <v>98.529603954579002</v>
      </c>
      <c r="AJ6514">
        <v>106.241806286661</v>
      </c>
      <c r="AK6514">
        <v>7.5112890928014897</v>
      </c>
      <c r="AL6514">
        <v>65.964625951389095</v>
      </c>
      <c r="AM6514">
        <v>109.66235232171501</v>
      </c>
      <c r="AN6514">
        <v>1.0000000425818201</v>
      </c>
    </row>
    <row r="6515" spans="1:40" x14ac:dyDescent="0.25">
      <c r="A6515" t="str">
        <f>"20190304165014557"</f>
        <v>20190304165014557</v>
      </c>
      <c r="B6515" t="str">
        <f>"1551689414552380"</f>
        <v>1551689414552380</v>
      </c>
      <c r="C6515" t="s">
        <v>40</v>
      </c>
      <c r="D6515">
        <v>4.4757980000000002</v>
      </c>
      <c r="E6515">
        <v>0.52586250000000001</v>
      </c>
      <c r="F6515" t="s">
        <v>49</v>
      </c>
      <c r="G6515">
        <v>-298.66210000000001</v>
      </c>
      <c r="H6515" s="1">
        <v>-3.6137959999999999E-6</v>
      </c>
      <c r="I6515">
        <v>-45.677950000000003</v>
      </c>
      <c r="J6515">
        <v>-301.5059</v>
      </c>
      <c r="K6515">
        <v>1.1142209999999999</v>
      </c>
      <c r="L6515">
        <v>-38.640630000000002</v>
      </c>
      <c r="M6515">
        <v>0.1086766</v>
      </c>
      <c r="N6515">
        <v>-8.3314310000000003E-3</v>
      </c>
      <c r="O6515">
        <v>-0.9940426</v>
      </c>
      <c r="P6515">
        <v>0.39654489999999998</v>
      </c>
      <c r="Q6515">
        <v>0.4031324</v>
      </c>
      <c r="R6515">
        <v>-0.82476479999999996</v>
      </c>
      <c r="S6515">
        <v>1.2741089999999999</v>
      </c>
      <c r="T6515">
        <v>-0.49189959999999999</v>
      </c>
      <c r="U6515">
        <v>-3.2628780000000002</v>
      </c>
      <c r="V6515">
        <v>-0.30843320000000002</v>
      </c>
      <c r="W6515">
        <v>0.40740510000000002</v>
      </c>
      <c r="X6515">
        <v>0.85958709999999905</v>
      </c>
      <c r="Y6515">
        <v>-0.25700139999999999</v>
      </c>
      <c r="Z6515">
        <v>0.13214679999999901</v>
      </c>
      <c r="AA6515">
        <v>0.95733360000000001</v>
      </c>
      <c r="AB6515">
        <v>32</v>
      </c>
      <c r="AC6515">
        <v>2.8437999999999799</v>
      </c>
      <c r="AD6515">
        <v>-1.1142246137959999</v>
      </c>
      <c r="AE6515">
        <v>-7.0373200000000002</v>
      </c>
      <c r="AF6515">
        <v>-2.0186363380776502</v>
      </c>
      <c r="AG6515">
        <v>-1.1142246137959999</v>
      </c>
      <c r="AH6515">
        <v>7.1506084577378299</v>
      </c>
      <c r="AI6515">
        <v>98.528597840371901</v>
      </c>
      <c r="AJ6515">
        <v>105.76451840476</v>
      </c>
      <c r="AK6515">
        <v>7.5131611503592897</v>
      </c>
      <c r="AL6515">
        <v>65.958068050603401</v>
      </c>
      <c r="AM6515">
        <v>109.73877473199499</v>
      </c>
      <c r="AN6515">
        <v>0.99999996842732897</v>
      </c>
    </row>
    <row r="6516" spans="1:40" x14ac:dyDescent="0.25">
      <c r="A6516" t="str">
        <f>"20190304165014579"</f>
        <v>20190304165014579</v>
      </c>
      <c r="B6516" t="str">
        <f>"1551689414571901"</f>
        <v>1551689414571901</v>
      </c>
      <c r="C6516" t="s">
        <v>40</v>
      </c>
      <c r="D6516">
        <v>4.4818230000000003</v>
      </c>
      <c r="E6516">
        <v>0.526362199999999</v>
      </c>
      <c r="F6516" t="s">
        <v>49</v>
      </c>
      <c r="G6516">
        <v>-298.66840000000002</v>
      </c>
      <c r="H6516" s="1">
        <v>-3.6850950000000002E-6</v>
      </c>
      <c r="I6516">
        <v>-45.820619999999998</v>
      </c>
      <c r="J6516">
        <v>-301.46440000000001</v>
      </c>
      <c r="K6516">
        <v>1.1143730000000001</v>
      </c>
      <c r="L6516">
        <v>-38.971739999999997</v>
      </c>
      <c r="M6516">
        <v>0.11390110000000001</v>
      </c>
      <c r="N6516">
        <v>-8.3563079999999998E-3</v>
      </c>
      <c r="O6516">
        <v>-0.99345689999999998</v>
      </c>
      <c r="P6516">
        <v>0.40103739999999999</v>
      </c>
      <c r="Q6516">
        <v>0.40329419999999999</v>
      </c>
      <c r="R6516">
        <v>-0.82250970000000001</v>
      </c>
      <c r="S6516">
        <v>1.290192</v>
      </c>
      <c r="T6516">
        <v>-0.50663729999999996</v>
      </c>
      <c r="U6516">
        <v>-3.2647400000000002</v>
      </c>
      <c r="V6516">
        <v>-0.30876510000000001</v>
      </c>
      <c r="W6516">
        <v>0.40747080000000002</v>
      </c>
      <c r="X6516">
        <v>0.85943689999999995</v>
      </c>
      <c r="Y6516">
        <v>-0.25563150000000001</v>
      </c>
      <c r="Z6516">
        <v>0.1359513</v>
      </c>
      <c r="AA6516">
        <v>0.95716760000000001</v>
      </c>
      <c r="AB6516">
        <v>32</v>
      </c>
      <c r="AC6516">
        <v>2.79599999999999</v>
      </c>
      <c r="AD6516">
        <v>-1.1143766850949901</v>
      </c>
      <c r="AE6516">
        <v>-6.8488799999999896</v>
      </c>
      <c r="AF6516">
        <v>-1.9533541184332699</v>
      </c>
      <c r="AG6516">
        <v>-1.1143766850949901</v>
      </c>
      <c r="AH6516">
        <v>6.9647371438549399</v>
      </c>
      <c r="AI6516">
        <v>98.758034949060004</v>
      </c>
      <c r="AJ6516">
        <v>105.666866077248</v>
      </c>
      <c r="AK6516">
        <v>7.3188107771192099</v>
      </c>
      <c r="AL6516">
        <v>65.953948468817103</v>
      </c>
      <c r="AM6516">
        <v>109.76155742194101</v>
      </c>
      <c r="AN6516">
        <v>1.0000000624561201</v>
      </c>
    </row>
    <row r="6517" spans="1:40" x14ac:dyDescent="0.25">
      <c r="A6517" t="str">
        <f>"20190304165014603"</f>
        <v>20190304165014603</v>
      </c>
      <c r="B6517" t="str">
        <f>"1551689414592397"</f>
        <v>1551689414592397</v>
      </c>
      <c r="C6517" t="s">
        <v>40</v>
      </c>
      <c r="D6517">
        <v>4.4929959999999998</v>
      </c>
      <c r="E6517">
        <v>0.52678000000000003</v>
      </c>
      <c r="F6517" t="s">
        <v>49</v>
      </c>
      <c r="G6517">
        <v>-298.64089999999999</v>
      </c>
      <c r="H6517" s="1">
        <v>-3.790891E-6</v>
      </c>
      <c r="I6517">
        <v>-46.016269999999999</v>
      </c>
      <c r="J6517">
        <v>-301.42149999999998</v>
      </c>
      <c r="K6517">
        <v>1.1145259999999999</v>
      </c>
      <c r="L6517">
        <v>-39.300449999999998</v>
      </c>
      <c r="M6517">
        <v>0.1192645</v>
      </c>
      <c r="N6517">
        <v>-8.3890600000000003E-3</v>
      </c>
      <c r="O6517">
        <v>-0.99282720000000002</v>
      </c>
      <c r="P6517">
        <v>0.40648089999999998</v>
      </c>
      <c r="Q6517">
        <v>0.40333140000000001</v>
      </c>
      <c r="R6517">
        <v>-0.81981530000000002</v>
      </c>
      <c r="S6517">
        <v>1.3078000000000001</v>
      </c>
      <c r="T6517">
        <v>-0.51614669999999996</v>
      </c>
      <c r="U6517">
        <v>-3.2628170000000001</v>
      </c>
      <c r="V6517">
        <v>-0.30998160000000002</v>
      </c>
      <c r="W6517">
        <v>0.40740510000000002</v>
      </c>
      <c r="X6517">
        <v>0.85902999999999996</v>
      </c>
      <c r="Y6517">
        <v>-0.25493690000000002</v>
      </c>
      <c r="Z6517">
        <v>0.13839270000000001</v>
      </c>
      <c r="AA6517">
        <v>0.95700289999999999</v>
      </c>
      <c r="AB6517">
        <v>32</v>
      </c>
      <c r="AC6517">
        <v>2.78059999999999</v>
      </c>
      <c r="AD6517">
        <v>-1.1145297908909999</v>
      </c>
      <c r="AE6517">
        <v>-6.7158199999999999</v>
      </c>
      <c r="AF6517">
        <v>-1.91474759353218</v>
      </c>
      <c r="AG6517">
        <v>-1.1145297908909999</v>
      </c>
      <c r="AH6517">
        <v>6.8387359351931298</v>
      </c>
      <c r="AI6517">
        <v>98.9191233716532</v>
      </c>
      <c r="AJ6517">
        <v>105.64148145079</v>
      </c>
      <c r="AK6517">
        <v>7.1886538512452196</v>
      </c>
      <c r="AL6517">
        <v>65.958069480555594</v>
      </c>
      <c r="AM6517">
        <v>109.842015381248</v>
      </c>
      <c r="AN6517">
        <v>1.00000002437228</v>
      </c>
    </row>
    <row r="6518" spans="1:40" x14ac:dyDescent="0.25">
      <c r="A6518" t="str">
        <f>"20190304165014625"</f>
        <v>20190304165014625</v>
      </c>
      <c r="B6518" t="str">
        <f>"1551689414621676"</f>
        <v>1551689414621676</v>
      </c>
      <c r="C6518" t="s">
        <v>40</v>
      </c>
      <c r="D6518">
        <v>4.5410120000000003</v>
      </c>
      <c r="E6518">
        <v>0.52716059999999998</v>
      </c>
      <c r="F6518" t="s">
        <v>49</v>
      </c>
      <c r="G6518">
        <v>-298.60340000000002</v>
      </c>
      <c r="H6518" s="1">
        <v>-3.9024769999999999E-6</v>
      </c>
      <c r="I6518">
        <v>-46.218960000000003</v>
      </c>
      <c r="J6518">
        <v>-301.38049999999998</v>
      </c>
      <c r="K6518">
        <v>1.1146959999999999</v>
      </c>
      <c r="L6518">
        <v>-39.600490000000001</v>
      </c>
      <c r="M6518">
        <v>0.1243474</v>
      </c>
      <c r="N6518">
        <v>-8.4360049999999999E-3</v>
      </c>
      <c r="O6518">
        <v>-0.99220299999999995</v>
      </c>
      <c r="P6518">
        <v>0.41134389999999998</v>
      </c>
      <c r="Q6518">
        <v>0.40318799999999999</v>
      </c>
      <c r="R6518">
        <v>-0.81745679999999998</v>
      </c>
      <c r="S6518">
        <v>1.327637</v>
      </c>
      <c r="T6518">
        <v>-0.52506919999999901</v>
      </c>
      <c r="U6518">
        <v>-3.2593990000000002</v>
      </c>
      <c r="V6518">
        <v>-0.31083820000000001</v>
      </c>
      <c r="W6518">
        <v>0.40717160000000002</v>
      </c>
      <c r="X6518">
        <v>0.85883109999999996</v>
      </c>
      <c r="Y6518">
        <v>-0.255216</v>
      </c>
      <c r="Z6518">
        <v>0.14067249999999901</v>
      </c>
      <c r="AA6518">
        <v>0.95659609999999995</v>
      </c>
      <c r="AB6518">
        <v>32</v>
      </c>
      <c r="AC6518">
        <v>2.7770999999999599</v>
      </c>
      <c r="AD6518">
        <v>-1.1146999024769999</v>
      </c>
      <c r="AE6518">
        <v>-6.6184699999999896</v>
      </c>
      <c r="AF6518">
        <v>-1.8870119727005501</v>
      </c>
      <c r="AG6518">
        <v>-1.1146999024769999</v>
      </c>
      <c r="AH6518">
        <v>6.7496375276646301</v>
      </c>
      <c r="AI6518">
        <v>99.037239531458596</v>
      </c>
      <c r="AJ6518">
        <v>105.619522323263</v>
      </c>
      <c r="AK6518">
        <v>7.0965468231074302</v>
      </c>
      <c r="AL6518">
        <v>65.972716909366298</v>
      </c>
      <c r="AM6518">
        <v>109.89679601868001</v>
      </c>
      <c r="AN6518">
        <v>0.99999997837650401</v>
      </c>
    </row>
    <row r="6519" spans="1:40" x14ac:dyDescent="0.25">
      <c r="A6519" t="str">
        <f>"20190304165014648"</f>
        <v>20190304165014648</v>
      </c>
      <c r="B6519" t="str">
        <f>"1551689414642172"</f>
        <v>1551689414642172</v>
      </c>
      <c r="C6519" t="s">
        <v>40</v>
      </c>
      <c r="D6519">
        <v>4.5091539999999997</v>
      </c>
      <c r="E6519">
        <v>0.52737889999999998</v>
      </c>
      <c r="F6519" t="s">
        <v>49</v>
      </c>
      <c r="G6519">
        <v>-298.57929999999999</v>
      </c>
      <c r="H6519" s="1">
        <v>-3.9921000000000003E-6</v>
      </c>
      <c r="I6519">
        <v>-46.384369999999997</v>
      </c>
      <c r="J6519">
        <v>-301.334</v>
      </c>
      <c r="K6519">
        <v>1.114922</v>
      </c>
      <c r="L6519">
        <v>-39.926879999999997</v>
      </c>
      <c r="M6519">
        <v>0.13013050000000001</v>
      </c>
      <c r="N6519">
        <v>-8.5206399999999995E-3</v>
      </c>
      <c r="O6519">
        <v>-0.99146040000000002</v>
      </c>
      <c r="P6519">
        <v>0.41579159999999998</v>
      </c>
      <c r="Q6519">
        <v>0.40351749999999997</v>
      </c>
      <c r="R6519">
        <v>-0.81504069999999995</v>
      </c>
      <c r="S6519">
        <v>1.34494</v>
      </c>
      <c r="T6519">
        <v>-0.53520119999999904</v>
      </c>
      <c r="U6519">
        <v>-3.2571409999999998</v>
      </c>
      <c r="V6519">
        <v>-0.31074459999999998</v>
      </c>
      <c r="W6519">
        <v>0.407416</v>
      </c>
      <c r="X6519">
        <v>0.85874910000000004</v>
      </c>
      <c r="Y6519">
        <v>-0.25402019999999997</v>
      </c>
      <c r="Z6519">
        <v>0.1432166</v>
      </c>
      <c r="AA6519">
        <v>0.95653679999999996</v>
      </c>
      <c r="AB6519">
        <v>32</v>
      </c>
      <c r="AC6519">
        <v>2.7547000000000099</v>
      </c>
      <c r="AD6519">
        <v>-1.1149259921000001</v>
      </c>
      <c r="AE6519">
        <v>-6.45749</v>
      </c>
      <c r="AF6519">
        <v>-1.8444108576014999</v>
      </c>
      <c r="AG6519">
        <v>-1.1149259921000001</v>
      </c>
      <c r="AH6519">
        <v>6.5947375933440302</v>
      </c>
      <c r="AI6519">
        <v>99.247476017717801</v>
      </c>
      <c r="AJ6519">
        <v>105.625200200484</v>
      </c>
      <c r="AK6519">
        <v>6.9379734292200599</v>
      </c>
      <c r="AL6519">
        <v>65.957385264775098</v>
      </c>
      <c r="AM6519">
        <v>109.893025042327</v>
      </c>
      <c r="AN6519">
        <v>1.00000001011798</v>
      </c>
    </row>
    <row r="6520" spans="1:40" x14ac:dyDescent="0.25">
      <c r="A6520" t="str">
        <f>"20190304165014671"</f>
        <v>20190304165014671</v>
      </c>
      <c r="B6520" t="str">
        <f>"1551689414661693"</f>
        <v>1551689414661693</v>
      </c>
      <c r="C6520" t="s">
        <v>40</v>
      </c>
      <c r="D6520">
        <v>4.4941829999999996</v>
      </c>
      <c r="E6520">
        <v>0.52757749999999903</v>
      </c>
      <c r="F6520" t="s">
        <v>49</v>
      </c>
      <c r="G6520">
        <v>-298.53019999999998</v>
      </c>
      <c r="H6520" s="1">
        <v>-4.1177499999999997E-6</v>
      </c>
      <c r="I6520">
        <v>-46.609580000000001</v>
      </c>
      <c r="J6520">
        <v>-301.28500000000003</v>
      </c>
      <c r="K6520">
        <v>1.1151960000000001</v>
      </c>
      <c r="L6520">
        <v>-40.255279999999999</v>
      </c>
      <c r="M6520">
        <v>0.13625809999999999</v>
      </c>
      <c r="N6520">
        <v>-8.6509859999999994E-3</v>
      </c>
      <c r="O6520">
        <v>-0.99063579999999996</v>
      </c>
      <c r="P6520">
        <v>0.4205448</v>
      </c>
      <c r="Q6520">
        <v>0.40315980000000001</v>
      </c>
      <c r="R6520">
        <v>-0.8127759</v>
      </c>
      <c r="S6520">
        <v>1.3649290000000001</v>
      </c>
      <c r="T6520">
        <v>-0.54275669999999898</v>
      </c>
      <c r="U6520">
        <v>-3.2532040000000002</v>
      </c>
      <c r="V6520">
        <v>-0.31067660000000002</v>
      </c>
      <c r="W6520">
        <v>0.4069818</v>
      </c>
      <c r="X6520">
        <v>0.85897959999999995</v>
      </c>
      <c r="Y6520">
        <v>-0.253355</v>
      </c>
      <c r="Z6520">
        <v>0.1450139</v>
      </c>
      <c r="AA6520">
        <v>0.95644249999999997</v>
      </c>
      <c r="AB6520">
        <v>32</v>
      </c>
      <c r="AC6520">
        <v>2.7548000000000399</v>
      </c>
      <c r="AD6520">
        <v>-1.1152001177499999</v>
      </c>
      <c r="AE6520">
        <v>-6.3543000000000003</v>
      </c>
      <c r="AF6520">
        <v>-1.8161583712729199</v>
      </c>
      <c r="AG6520">
        <v>-1.1152001177499999</v>
      </c>
      <c r="AH6520">
        <v>6.50182872716573</v>
      </c>
      <c r="AI6520">
        <v>99.380385909194203</v>
      </c>
      <c r="AJ6520">
        <v>105.606663796037</v>
      </c>
      <c r="AK6520">
        <v>6.84221304327568</v>
      </c>
      <c r="AL6520">
        <v>65.984624449721593</v>
      </c>
      <c r="AM6520">
        <v>109.88409458797101</v>
      </c>
      <c r="AN6520">
        <v>1.0000000442674699</v>
      </c>
    </row>
    <row r="6521" spans="1:40" x14ac:dyDescent="0.25">
      <c r="A6521" t="str">
        <f>"20190304165014693"</f>
        <v>20190304165014693</v>
      </c>
      <c r="B6521" t="str">
        <f>"1551689414682189"</f>
        <v>1551689414682189</v>
      </c>
      <c r="C6521" t="s">
        <v>40</v>
      </c>
      <c r="D6521">
        <v>4.4808349999999999</v>
      </c>
      <c r="E6521">
        <v>0.52773269999999906</v>
      </c>
      <c r="F6521" t="s">
        <v>49</v>
      </c>
      <c r="G6521">
        <v>-298.48340000000002</v>
      </c>
      <c r="H6521" s="1">
        <v>-4.237643E-6</v>
      </c>
      <c r="I6521">
        <v>-46.824539999999999</v>
      </c>
      <c r="J6521">
        <v>-301.23599999999999</v>
      </c>
      <c r="K6521">
        <v>1.1154999999999999</v>
      </c>
      <c r="L6521">
        <v>-40.567839999999997</v>
      </c>
      <c r="M6521">
        <v>0.14242579999999999</v>
      </c>
      <c r="N6521">
        <v>-8.8197810000000005E-3</v>
      </c>
      <c r="O6521">
        <v>-0.98976640000000005</v>
      </c>
      <c r="P6521">
        <v>0.42588749999999997</v>
      </c>
      <c r="Q6521">
        <v>0.40236749999999999</v>
      </c>
      <c r="R6521">
        <v>-0.81038279999999996</v>
      </c>
      <c r="S6521">
        <v>1.3851009999999999</v>
      </c>
      <c r="T6521">
        <v>-0.55135919999999905</v>
      </c>
      <c r="U6521">
        <v>-3.2478639999999999</v>
      </c>
      <c r="V6521">
        <v>-0.311199</v>
      </c>
      <c r="W6521">
        <v>0.40612039999999999</v>
      </c>
      <c r="X6521">
        <v>0.85919809999999996</v>
      </c>
      <c r="Y6521">
        <v>-0.2528051</v>
      </c>
      <c r="Z6521">
        <v>0.14710029999999999</v>
      </c>
      <c r="AA6521">
        <v>0.95626940000000005</v>
      </c>
      <c r="AB6521">
        <v>32</v>
      </c>
      <c r="AC6521">
        <v>2.75259999999997</v>
      </c>
      <c r="AD6521">
        <v>-1.115504237643</v>
      </c>
      <c r="AE6521">
        <v>-6.2566999999999897</v>
      </c>
      <c r="AF6521">
        <v>-1.7858255385475199</v>
      </c>
      <c r="AG6521">
        <v>-1.115504237643</v>
      </c>
      <c r="AH6521">
        <v>6.4141432038582096</v>
      </c>
      <c r="AI6521">
        <v>99.511041207612806</v>
      </c>
      <c r="AJ6521">
        <v>105.558264337938</v>
      </c>
      <c r="AK6521">
        <v>6.7509077610295103</v>
      </c>
      <c r="AL6521">
        <v>66.038643400709702</v>
      </c>
      <c r="AM6521">
        <v>109.91023640211201</v>
      </c>
      <c r="AN6521">
        <v>0.99999998597038398</v>
      </c>
    </row>
    <row r="6522" spans="1:40" x14ac:dyDescent="0.25">
      <c r="A6522" t="str">
        <f>"20190304165014722"</f>
        <v>20190304165014722</v>
      </c>
      <c r="B6522" t="str">
        <f>"1551689414712445"</f>
        <v>1551689414712445</v>
      </c>
      <c r="C6522" t="s">
        <v>40</v>
      </c>
      <c r="D6522">
        <v>4.4549379999999896</v>
      </c>
      <c r="E6522">
        <v>0.52804079999999998</v>
      </c>
      <c r="F6522" t="s">
        <v>49</v>
      </c>
      <c r="G6522">
        <v>-298.43860000000001</v>
      </c>
      <c r="H6522" s="1">
        <v>-4.3424920000000001E-6</v>
      </c>
      <c r="I6522">
        <v>-47.010809999999999</v>
      </c>
      <c r="J6522">
        <v>-301.17160000000001</v>
      </c>
      <c r="K6522">
        <v>1.115947</v>
      </c>
      <c r="L6522">
        <v>-40.956629999999997</v>
      </c>
      <c r="M6522">
        <v>0.15065709999999999</v>
      </c>
      <c r="N6522">
        <v>-9.1045080000000007E-3</v>
      </c>
      <c r="O6522">
        <v>-0.98854430000000004</v>
      </c>
      <c r="P6522">
        <v>0.43307400000000001</v>
      </c>
      <c r="Q6522">
        <v>0.40197169999999999</v>
      </c>
      <c r="R6522">
        <v>-0.80676269999999894</v>
      </c>
      <c r="S6522">
        <v>1.4071959999999999</v>
      </c>
      <c r="T6522">
        <v>-0.56113559999999996</v>
      </c>
      <c r="U6522">
        <v>-3.241028</v>
      </c>
      <c r="V6522">
        <v>-0.3120484</v>
      </c>
      <c r="W6522">
        <v>0.40566239999999998</v>
      </c>
      <c r="X6522">
        <v>0.85910640000000005</v>
      </c>
      <c r="Y6522">
        <v>-0.2508399</v>
      </c>
      <c r="Z6522">
        <v>0.14938770000000001</v>
      </c>
      <c r="AA6522">
        <v>0.95643219999999995</v>
      </c>
      <c r="AB6522">
        <v>32</v>
      </c>
      <c r="AC6522">
        <v>2.7330000000000001</v>
      </c>
      <c r="AD6522">
        <v>-1.115951342492</v>
      </c>
      <c r="AE6522">
        <v>-6.0541799999999997</v>
      </c>
      <c r="AF6522">
        <v>-1.7405339897773899</v>
      </c>
      <c r="AG6522">
        <v>-1.115951342492</v>
      </c>
      <c r="AH6522">
        <v>6.2212416241858799</v>
      </c>
      <c r="AI6522">
        <v>99.800799060670002</v>
      </c>
      <c r="AJ6522">
        <v>105.630172828792</v>
      </c>
      <c r="AK6522">
        <v>6.5558106527631796</v>
      </c>
      <c r="AL6522">
        <v>66.067356720893201</v>
      </c>
      <c r="AM6522">
        <v>109.96225623872</v>
      </c>
      <c r="AN6522">
        <v>0.99999999661864003</v>
      </c>
    </row>
    <row r="6523" spans="1:40" x14ac:dyDescent="0.25">
      <c r="A6523" t="str">
        <f>"20190304165014745"</f>
        <v>20190304165014745</v>
      </c>
      <c r="B6523" t="str">
        <f>"1551689414741725"</f>
        <v>1551689414741725</v>
      </c>
      <c r="C6523" t="s">
        <v>40</v>
      </c>
      <c r="D6523">
        <v>4.3974460000000004</v>
      </c>
      <c r="E6523">
        <v>0.52826019999999996</v>
      </c>
      <c r="F6523" t="s">
        <v>49</v>
      </c>
      <c r="G6523">
        <v>-298.36500000000001</v>
      </c>
      <c r="H6523" s="1">
        <v>-4.4938860000000003E-6</v>
      </c>
      <c r="I6523">
        <v>-47.2759</v>
      </c>
      <c r="J6523">
        <v>-301.11290000000002</v>
      </c>
      <c r="K6523">
        <v>1.116355</v>
      </c>
      <c r="L6523">
        <v>-41.291690000000003</v>
      </c>
      <c r="M6523">
        <v>0.15821360000000001</v>
      </c>
      <c r="N6523">
        <v>-9.4148879999999997E-3</v>
      </c>
      <c r="O6523">
        <v>-0.98736009999999996</v>
      </c>
      <c r="P6523">
        <v>0.44023269999999998</v>
      </c>
      <c r="Q6523">
        <v>0.40254699999999999</v>
      </c>
      <c r="R6523">
        <v>-0.80259029999999998</v>
      </c>
      <c r="S6523">
        <v>1.4355770000000001</v>
      </c>
      <c r="T6523">
        <v>-0.57081400000000004</v>
      </c>
      <c r="U6523">
        <v>-3.2323300000000001</v>
      </c>
      <c r="V6523">
        <v>-0.31352679999999999</v>
      </c>
      <c r="W6523">
        <v>0.40621590000000002</v>
      </c>
      <c r="X6523">
        <v>0.85830620000000002</v>
      </c>
      <c r="Y6523">
        <v>-0.25127060000000001</v>
      </c>
      <c r="Z6523">
        <v>0.15159520000000001</v>
      </c>
      <c r="AA6523">
        <v>0.95597180000000004</v>
      </c>
      <c r="AB6523">
        <v>32</v>
      </c>
      <c r="AC6523">
        <v>2.7479000000000098</v>
      </c>
      <c r="AD6523">
        <v>-1.116359493886</v>
      </c>
      <c r="AE6523">
        <v>-5.9842099999999903</v>
      </c>
      <c r="AF6523">
        <v>-1.7171101385770799</v>
      </c>
      <c r="AG6523">
        <v>-1.116359493886</v>
      </c>
      <c r="AH6523">
        <v>6.1663782476045901</v>
      </c>
      <c r="AI6523">
        <v>99.893117538669003</v>
      </c>
      <c r="AJ6523">
        <v>105.560569385825</v>
      </c>
      <c r="AK6523">
        <v>6.4976108255361602</v>
      </c>
      <c r="AL6523">
        <v>66.032655138479697</v>
      </c>
      <c r="AM6523">
        <v>110.06651512446</v>
      </c>
      <c r="AN6523">
        <v>0.99999997234474403</v>
      </c>
    </row>
    <row r="6524" spans="1:40" x14ac:dyDescent="0.25">
      <c r="A6524" t="str">
        <f>"20190304165014769"</f>
        <v>20190304165014769</v>
      </c>
      <c r="B6524" t="str">
        <f>"1551689414762221"</f>
        <v>1551689414762221</v>
      </c>
      <c r="C6524" t="s">
        <v>40</v>
      </c>
      <c r="D6524">
        <v>4.3574219999999997</v>
      </c>
      <c r="E6524">
        <v>0.52840869999999995</v>
      </c>
      <c r="F6524" t="s">
        <v>49</v>
      </c>
      <c r="G6524">
        <v>-298.27519999999998</v>
      </c>
      <c r="H6524" s="1">
        <v>-4.6458280000000004E-6</v>
      </c>
      <c r="I6524">
        <v>-47.535040000000002</v>
      </c>
      <c r="J6524">
        <v>-301.05169999999998</v>
      </c>
      <c r="K6524">
        <v>1.116749</v>
      </c>
      <c r="L6524">
        <v>-41.624209999999998</v>
      </c>
      <c r="M6524">
        <v>0.1661067</v>
      </c>
      <c r="N6524">
        <v>-9.7771249999999994E-3</v>
      </c>
      <c r="O6524">
        <v>-0.98605949999999998</v>
      </c>
      <c r="P6524">
        <v>0.44704159999999998</v>
      </c>
      <c r="Q6524">
        <v>0.4035802</v>
      </c>
      <c r="R6524">
        <v>-0.79829659999999902</v>
      </c>
      <c r="S6524">
        <v>1.4650570000000001</v>
      </c>
      <c r="T6524">
        <v>-0.57636709999999902</v>
      </c>
      <c r="U6524">
        <v>-3.2233890000000001</v>
      </c>
      <c r="V6524">
        <v>-0.31439309999999998</v>
      </c>
      <c r="W6524">
        <v>0.40729359999999998</v>
      </c>
      <c r="X6524">
        <v>0.85747830000000003</v>
      </c>
      <c r="Y6524">
        <v>-0.25171379999999999</v>
      </c>
      <c r="Z6524">
        <v>0.15258469999999999</v>
      </c>
      <c r="AA6524">
        <v>0.95569769999999998</v>
      </c>
      <c r="AB6524">
        <v>32</v>
      </c>
      <c r="AC6524">
        <v>2.7764999999999902</v>
      </c>
      <c r="AD6524">
        <v>-1.1167536458280001</v>
      </c>
      <c r="AE6524">
        <v>-5.9108299999999998</v>
      </c>
      <c r="AF6524">
        <v>-1.7061555827352399</v>
      </c>
      <c r="AG6524">
        <v>-1.1167536458280001</v>
      </c>
      <c r="AH6524">
        <v>6.1112122769280104</v>
      </c>
      <c r="AI6524">
        <v>99.982262793455504</v>
      </c>
      <c r="AJ6524">
        <v>105.598908079285</v>
      </c>
      <c r="AK6524">
        <v>6.4424390623151799</v>
      </c>
      <c r="AL6524">
        <v>65.965065707551702</v>
      </c>
      <c r="AM6524">
        <v>110.135383991791</v>
      </c>
      <c r="AN6524">
        <v>1.0000000664497199</v>
      </c>
    </row>
    <row r="6525" spans="1:40" x14ac:dyDescent="0.25">
      <c r="A6525" t="str">
        <f>"20190304165014789"</f>
        <v>20190304165014789</v>
      </c>
      <c r="B6525" t="str">
        <f>"1551689414781741"</f>
        <v>1551689414781741</v>
      </c>
      <c r="C6525" t="s">
        <v>40</v>
      </c>
      <c r="D6525">
        <v>4.4406239999999997</v>
      </c>
      <c r="E6525">
        <v>0.52851040000000005</v>
      </c>
      <c r="F6525" t="s">
        <v>49</v>
      </c>
      <c r="G6525">
        <v>-298.15699999999998</v>
      </c>
      <c r="H6525" s="1">
        <v>-4.827978E-6</v>
      </c>
      <c r="I6525">
        <v>-47.841079999999998</v>
      </c>
      <c r="J6525">
        <v>-300.9973</v>
      </c>
      <c r="K6525">
        <v>1.117083</v>
      </c>
      <c r="L6525">
        <v>-41.90598</v>
      </c>
      <c r="M6525">
        <v>0.1731251</v>
      </c>
      <c r="N6525">
        <v>-1.015857E-2</v>
      </c>
      <c r="O6525">
        <v>-0.98484769999999999</v>
      </c>
      <c r="P6525">
        <v>0.45241749999999997</v>
      </c>
      <c r="Q6525">
        <v>0.40547250000000001</v>
      </c>
      <c r="R6525">
        <v>-0.79429919999999998</v>
      </c>
      <c r="S6525">
        <v>1.495636</v>
      </c>
      <c r="T6525">
        <v>-0.57701420000000003</v>
      </c>
      <c r="U6525">
        <v>-3.212189</v>
      </c>
      <c r="V6525">
        <v>-0.3145384</v>
      </c>
      <c r="W6525">
        <v>0.40929979999999999</v>
      </c>
      <c r="X6525">
        <v>0.85646909999999898</v>
      </c>
      <c r="Y6525">
        <v>-0.25359350000000003</v>
      </c>
      <c r="Z6525">
        <v>0.15228599999999901</v>
      </c>
      <c r="AA6525">
        <v>0.95524830000000005</v>
      </c>
      <c r="AB6525">
        <v>32</v>
      </c>
      <c r="AC6525">
        <v>2.8403000000000098</v>
      </c>
      <c r="AD6525">
        <v>-1.1170878279780001</v>
      </c>
      <c r="AE6525">
        <v>-5.9350999999999896</v>
      </c>
      <c r="AF6525">
        <v>-1.7202538015404101</v>
      </c>
      <c r="AG6525">
        <v>-1.1170878279780001</v>
      </c>
      <c r="AH6525">
        <v>6.1596735522711699</v>
      </c>
      <c r="AI6525">
        <v>99.907961886073707</v>
      </c>
      <c r="AJ6525">
        <v>105.603814359579</v>
      </c>
      <c r="AK6525">
        <v>6.4922058368230804</v>
      </c>
      <c r="AL6525">
        <v>65.839143730261199</v>
      </c>
      <c r="AM6525">
        <v>110.165766714819</v>
      </c>
      <c r="AN6525">
        <v>1.0000000253046999</v>
      </c>
    </row>
    <row r="6526" spans="1:40" x14ac:dyDescent="0.25">
      <c r="A6526" t="str">
        <f>"20190304165014809"</f>
        <v>20190304165014809</v>
      </c>
      <c r="B6526" t="str">
        <f>"1551689414802237"</f>
        <v>1551689414802237</v>
      </c>
      <c r="C6526" t="s">
        <v>40</v>
      </c>
      <c r="D6526">
        <v>4.4177549999999997</v>
      </c>
      <c r="E6526">
        <v>0.50735759999999996</v>
      </c>
      <c r="F6526" t="s">
        <v>49</v>
      </c>
      <c r="G6526">
        <v>-298.03390000000002</v>
      </c>
      <c r="H6526" s="1">
        <v>-5.0069100000000001E-6</v>
      </c>
      <c r="I6526">
        <v>-48.138680000000001</v>
      </c>
      <c r="J6526">
        <v>-300.94389999999999</v>
      </c>
      <c r="K6526">
        <v>1.1174010000000001</v>
      </c>
      <c r="L6526">
        <v>-42.171080000000003</v>
      </c>
      <c r="M6526">
        <v>0.18003129999999901</v>
      </c>
      <c r="N6526">
        <v>-1.056704E-2</v>
      </c>
      <c r="O6526">
        <v>-0.98360440000000005</v>
      </c>
      <c r="P6526">
        <v>0.4577755</v>
      </c>
      <c r="Q6526">
        <v>0.40514440000000002</v>
      </c>
      <c r="R6526">
        <v>-0.79139110000000001</v>
      </c>
      <c r="S6526">
        <v>1.522705</v>
      </c>
      <c r="T6526">
        <v>-0.57400850000000003</v>
      </c>
      <c r="U6526">
        <v>-3.2026370000000002</v>
      </c>
      <c r="V6526">
        <v>-0.31453959999999997</v>
      </c>
      <c r="W6526">
        <v>0.40913359999999999</v>
      </c>
      <c r="X6526">
        <v>0.85654799999999998</v>
      </c>
      <c r="Y6526">
        <v>-0.25458809999999998</v>
      </c>
      <c r="Z6526">
        <v>0.1509315</v>
      </c>
      <c r="AA6526">
        <v>0.95519869999999996</v>
      </c>
      <c r="AB6526">
        <v>32</v>
      </c>
      <c r="AC6526">
        <v>2.9099999999999602</v>
      </c>
      <c r="AD6526">
        <v>-1.11740600691</v>
      </c>
      <c r="AE6526">
        <v>-5.9676</v>
      </c>
      <c r="AF6526">
        <v>-1.73878157195052</v>
      </c>
      <c r="AG6526">
        <v>-1.11740600691</v>
      </c>
      <c r="AH6526">
        <v>6.2178796449883897</v>
      </c>
      <c r="AI6526">
        <v>99.818855226618297</v>
      </c>
      <c r="AJ6526">
        <v>105.623234894327</v>
      </c>
      <c r="AK6526">
        <v>6.5524029804945796</v>
      </c>
      <c r="AL6526">
        <v>65.849578693878598</v>
      </c>
      <c r="AM6526">
        <v>110.164129526568</v>
      </c>
      <c r="AN6526">
        <v>0.99999996946055902</v>
      </c>
    </row>
    <row r="6527" spans="1:40" x14ac:dyDescent="0.25">
      <c r="A6527" t="str">
        <f>"20190304165014832"</f>
        <v>20190304165014832</v>
      </c>
      <c r="B6527" t="str">
        <f>"1551689414822733"</f>
        <v>1551689414822733</v>
      </c>
      <c r="C6527" t="s">
        <v>40</v>
      </c>
      <c r="D6527">
        <v>4.3879380000000001</v>
      </c>
      <c r="E6527">
        <v>0.50235280000000004</v>
      </c>
      <c r="F6527" t="s">
        <v>49</v>
      </c>
      <c r="G6527">
        <v>-297.07799999999997</v>
      </c>
      <c r="H6527" s="1">
        <v>-5.7488750000000001E-6</v>
      </c>
      <c r="I6527">
        <v>-49.260280000000002</v>
      </c>
      <c r="J6527">
        <v>-300.87670000000003</v>
      </c>
      <c r="K6527">
        <v>1.1177760000000001</v>
      </c>
      <c r="L6527">
        <v>-42.490360000000003</v>
      </c>
      <c r="M6527">
        <v>0.18873119999999999</v>
      </c>
      <c r="N6527">
        <v>-1.1076910000000001E-2</v>
      </c>
      <c r="O6527">
        <v>-0.98196640000000002</v>
      </c>
      <c r="P6527">
        <v>0.46501999999999999</v>
      </c>
      <c r="Q6527">
        <v>0.40319240000000001</v>
      </c>
      <c r="R6527">
        <v>-0.78815760000000001</v>
      </c>
      <c r="S6527">
        <v>1.674194</v>
      </c>
      <c r="T6527">
        <v>-0.48391190000000001</v>
      </c>
      <c r="U6527">
        <v>-3.0700989999999999</v>
      </c>
      <c r="V6527">
        <v>-0.31492009999999998</v>
      </c>
      <c r="W6527">
        <v>0.40738410000000003</v>
      </c>
      <c r="X6527">
        <v>0.85724179999999905</v>
      </c>
      <c r="Y6527">
        <v>-0.30023519999999998</v>
      </c>
      <c r="Z6527">
        <v>0.1281677</v>
      </c>
      <c r="AA6527">
        <v>0.94521529999999998</v>
      </c>
      <c r="AB6527">
        <v>32</v>
      </c>
      <c r="AC6527">
        <v>3.7987000000000499</v>
      </c>
      <c r="AD6527">
        <v>-1.1177817488749999</v>
      </c>
      <c r="AE6527">
        <v>-6.7699199999999999</v>
      </c>
      <c r="AF6527">
        <v>-2.4028319735705201</v>
      </c>
      <c r="AG6527">
        <v>-1.1177817488749999</v>
      </c>
      <c r="AH6527">
        <v>7.2156140483108304</v>
      </c>
      <c r="AI6527">
        <v>98.361267191544499</v>
      </c>
      <c r="AJ6527">
        <v>108.41799064479601</v>
      </c>
      <c r="AK6527">
        <v>7.6868799668988803</v>
      </c>
      <c r="AL6527">
        <v>65.9593860779555</v>
      </c>
      <c r="AM6527">
        <v>110.171533759165</v>
      </c>
      <c r="AN6527">
        <v>0.99999998899202902</v>
      </c>
    </row>
    <row r="6528" spans="1:40" x14ac:dyDescent="0.25">
      <c r="A6528" t="str">
        <f>"20190304165014857"</f>
        <v>20190304165014857</v>
      </c>
      <c r="B6528" t="str">
        <f>"1551689414852013"</f>
        <v>1551689414852013</v>
      </c>
      <c r="C6528" t="s">
        <v>40</v>
      </c>
      <c r="D6528">
        <v>4.3720230000000004</v>
      </c>
      <c r="E6528">
        <v>0.50071049999999995</v>
      </c>
      <c r="F6528" t="s">
        <v>49</v>
      </c>
      <c r="G6528">
        <v>-296.798</v>
      </c>
      <c r="H6528" s="1">
        <v>-5.9251570000000003E-6</v>
      </c>
      <c r="I6528">
        <v>-49.61054</v>
      </c>
      <c r="J6528">
        <v>-300.8</v>
      </c>
      <c r="K6528">
        <v>1.1181840000000001</v>
      </c>
      <c r="L6528">
        <v>-42.836939999999998</v>
      </c>
      <c r="M6528">
        <v>0.1986308</v>
      </c>
      <c r="N6528">
        <v>-1.161184E-2</v>
      </c>
      <c r="O6528">
        <v>-0.98000569999999998</v>
      </c>
      <c r="P6528">
        <v>0.47392240000000002</v>
      </c>
      <c r="Q6528">
        <v>0.40089190000000002</v>
      </c>
      <c r="R6528">
        <v>-0.78401759999999998</v>
      </c>
      <c r="S6528">
        <v>1.733673</v>
      </c>
      <c r="T6528">
        <v>-0.47512189999999999</v>
      </c>
      <c r="U6528">
        <v>-3.0264890000000002</v>
      </c>
      <c r="V6528">
        <v>-0.31607170000000001</v>
      </c>
      <c r="W6528">
        <v>0.40526580000000001</v>
      </c>
      <c r="X6528">
        <v>0.85782179999999997</v>
      </c>
      <c r="Y6528">
        <v>-0.31055500000000003</v>
      </c>
      <c r="Z6528">
        <v>0.1256794</v>
      </c>
      <c r="AA6528">
        <v>0.94221029999999995</v>
      </c>
      <c r="AB6528">
        <v>32</v>
      </c>
      <c r="AC6528">
        <v>4.0019999999999998</v>
      </c>
      <c r="AD6528">
        <v>-1.118189925157</v>
      </c>
      <c r="AE6528">
        <v>-6.7735999999999903</v>
      </c>
      <c r="AF6528">
        <v>-2.5256910749943402</v>
      </c>
      <c r="AG6528">
        <v>-1.118189925157</v>
      </c>
      <c r="AH6528">
        <v>7.2864003269663602</v>
      </c>
      <c r="AI6528">
        <v>98.250310089604696</v>
      </c>
      <c r="AJ6528">
        <v>109.117893881386</v>
      </c>
      <c r="AK6528">
        <v>7.7923740823861998</v>
      </c>
      <c r="AL6528">
        <v>66.092214488304606</v>
      </c>
      <c r="AM6528">
        <v>110.226746580304</v>
      </c>
      <c r="AN6528">
        <v>0.99999996437288396</v>
      </c>
    </row>
    <row r="6529" spans="1:40" x14ac:dyDescent="0.25">
      <c r="A6529" t="str">
        <f>"20190304165014880"</f>
        <v>20190304165014880</v>
      </c>
      <c r="B6529" t="str">
        <f>"1551689414872509"</f>
        <v>1551689414872509</v>
      </c>
      <c r="C6529" t="s">
        <v>40</v>
      </c>
      <c r="D6529">
        <v>4.3605090000000004</v>
      </c>
      <c r="E6529">
        <v>0.50069560000000002</v>
      </c>
      <c r="F6529" t="s">
        <v>49</v>
      </c>
      <c r="G6529">
        <v>-296.6807</v>
      </c>
      <c r="H6529" s="1">
        <v>-6.018192E-6</v>
      </c>
      <c r="I6529">
        <v>-49.807949999999998</v>
      </c>
      <c r="J6529">
        <v>-300.72469999999998</v>
      </c>
      <c r="K6529">
        <v>1.1185400000000001</v>
      </c>
      <c r="L6529">
        <v>-43.158630000000002</v>
      </c>
      <c r="M6529">
        <v>0.2082389</v>
      </c>
      <c r="N6529">
        <v>-1.2072680000000001E-2</v>
      </c>
      <c r="O6529">
        <v>-0.97800370000000003</v>
      </c>
      <c r="P6529">
        <v>0.48190709999999998</v>
      </c>
      <c r="Q6529">
        <v>0.40120860000000003</v>
      </c>
      <c r="R6529">
        <v>-0.77897209999999995</v>
      </c>
      <c r="S6529">
        <v>1.773163</v>
      </c>
      <c r="T6529">
        <v>-0.4813347</v>
      </c>
      <c r="U6529">
        <v>-3.0007320000000002</v>
      </c>
      <c r="V6529">
        <v>-0.31677870000000002</v>
      </c>
      <c r="W6529">
        <v>0.40572170000000002</v>
      </c>
      <c r="X6529">
        <v>0.85734539999999904</v>
      </c>
      <c r="Y6529">
        <v>-0.31384380000000001</v>
      </c>
      <c r="Z6529">
        <v>0.12713360000000001</v>
      </c>
      <c r="AA6529">
        <v>0.9409246</v>
      </c>
      <c r="AB6529">
        <v>32</v>
      </c>
      <c r="AC6529">
        <v>4.0439999999999801</v>
      </c>
      <c r="AD6529">
        <v>-1.1185460181919999</v>
      </c>
      <c r="AE6529">
        <v>-6.6493199999999897</v>
      </c>
      <c r="AF6529">
        <v>-2.5185605743596899</v>
      </c>
      <c r="AG6529">
        <v>-1.1185460181919999</v>
      </c>
      <c r="AH6529">
        <v>7.19704161354126</v>
      </c>
      <c r="AI6529">
        <v>98.345461008358299</v>
      </c>
      <c r="AJ6529">
        <v>109.287180979929</v>
      </c>
      <c r="AK6529">
        <v>7.7066011022095102</v>
      </c>
      <c r="AL6529">
        <v>66.063639230921893</v>
      </c>
      <c r="AM6529">
        <v>110.278658339126</v>
      </c>
      <c r="AN6529">
        <v>0.999999988762869</v>
      </c>
    </row>
    <row r="6530" spans="1:40" x14ac:dyDescent="0.25">
      <c r="A6530" t="str">
        <f>"20190304165014904"</f>
        <v>20190304165014904</v>
      </c>
      <c r="B6530" t="str">
        <f>"1551689414892028"</f>
        <v>1551689414892028</v>
      </c>
      <c r="C6530" t="s">
        <v>40</v>
      </c>
      <c r="D6530">
        <v>4.3679500000000004</v>
      </c>
      <c r="E6530">
        <v>0.50074019999999997</v>
      </c>
      <c r="F6530" t="s">
        <v>49</v>
      </c>
      <c r="G6530">
        <v>-296.53120000000001</v>
      </c>
      <c r="H6530" s="1">
        <v>-6.1567879999999997E-6</v>
      </c>
      <c r="I6530">
        <v>-50.112459999999999</v>
      </c>
      <c r="J6530">
        <v>-300.64690000000002</v>
      </c>
      <c r="K6530">
        <v>1.118841</v>
      </c>
      <c r="L6530">
        <v>-43.475560000000002</v>
      </c>
      <c r="M6530">
        <v>0.2180183</v>
      </c>
      <c r="N6530">
        <v>-1.2488620000000001E-2</v>
      </c>
      <c r="O6530">
        <v>-0.97586479999999998</v>
      </c>
      <c r="P6530">
        <v>0.48918240000000002</v>
      </c>
      <c r="Q6530">
        <v>0.4017463</v>
      </c>
      <c r="R6530">
        <v>-0.77414510000000003</v>
      </c>
      <c r="S6530">
        <v>1.800049</v>
      </c>
      <c r="T6530">
        <v>-0.48013450000000002</v>
      </c>
      <c r="U6530">
        <v>-2.9849239999999999</v>
      </c>
      <c r="V6530">
        <v>-0.31657350000000001</v>
      </c>
      <c r="W6530">
        <v>0.406412</v>
      </c>
      <c r="X6530">
        <v>0.85709419999999903</v>
      </c>
      <c r="Y6530">
        <v>-0.3128087</v>
      </c>
      <c r="Z6530">
        <v>0.12635099999999999</v>
      </c>
      <c r="AA6530">
        <v>0.94137459999999995</v>
      </c>
      <c r="AB6530">
        <v>32</v>
      </c>
      <c r="AC6530">
        <v>4.1157000000000004</v>
      </c>
      <c r="AD6530">
        <v>-1.1188471567880001</v>
      </c>
      <c r="AE6530">
        <v>-6.6368999999999998</v>
      </c>
      <c r="AF6530">
        <v>-2.5179189928821701</v>
      </c>
      <c r="AG6530">
        <v>-1.1188471567880001</v>
      </c>
      <c r="AH6530">
        <v>7.2262646841792098</v>
      </c>
      <c r="AI6530">
        <v>98.318229304656597</v>
      </c>
      <c r="AJ6530">
        <v>109.210375660087</v>
      </c>
      <c r="AK6530">
        <v>7.73373365851094</v>
      </c>
      <c r="AL6530">
        <v>66.020358886833293</v>
      </c>
      <c r="AM6530">
        <v>110.272047721497</v>
      </c>
      <c r="AN6530">
        <v>0.99999998115994404</v>
      </c>
    </row>
    <row r="6531" spans="1:40" x14ac:dyDescent="0.25">
      <c r="A6531" t="str">
        <f>"20190304165014931"</f>
        <v>20190304165014931</v>
      </c>
      <c r="B6531" t="str">
        <f>"1551689414922285"</f>
        <v>1551689414922285</v>
      </c>
      <c r="C6531" t="s">
        <v>40</v>
      </c>
      <c r="D6531">
        <v>4.3422790000000004</v>
      </c>
      <c r="E6531">
        <v>0.50085900000000005</v>
      </c>
      <c r="F6531" t="s">
        <v>49</v>
      </c>
      <c r="G6531">
        <v>-296.39409999999998</v>
      </c>
      <c r="H6531" s="1">
        <v>-8.5374090000000002E-6</v>
      </c>
      <c r="I6531">
        <v>-50.387329999999999</v>
      </c>
      <c r="J6531">
        <v>-300.5564</v>
      </c>
      <c r="K6531">
        <v>1.119122</v>
      </c>
      <c r="L6531">
        <v>-43.827359999999999</v>
      </c>
      <c r="M6531">
        <v>0.2292312</v>
      </c>
      <c r="N6531">
        <v>-1.290292E-2</v>
      </c>
      <c r="O6531">
        <v>-0.97328669999999995</v>
      </c>
      <c r="P6531">
        <v>0.49817270000000002</v>
      </c>
      <c r="Q6531">
        <v>0.39994550000000001</v>
      </c>
      <c r="R6531">
        <v>-0.7693295</v>
      </c>
      <c r="S6531">
        <v>1.8274539999999999</v>
      </c>
      <c r="T6531">
        <v>-0.480767</v>
      </c>
      <c r="U6531">
        <v>-2.9699710000000001</v>
      </c>
      <c r="V6531">
        <v>-0.31671850000000001</v>
      </c>
      <c r="W6531">
        <v>0.40477659999999999</v>
      </c>
      <c r="X6531">
        <v>0.85781430000000003</v>
      </c>
      <c r="Y6531">
        <v>-0.31032270000000001</v>
      </c>
      <c r="Z6531">
        <v>0.1259932</v>
      </c>
      <c r="AA6531">
        <v>0.94224490000000005</v>
      </c>
      <c r="AB6531">
        <v>32</v>
      </c>
      <c r="AC6531">
        <v>4.1623000000000099</v>
      </c>
      <c r="AD6531">
        <v>-1.1191305374089999</v>
      </c>
      <c r="AE6531">
        <v>-6.5599699999999999</v>
      </c>
      <c r="AF6531">
        <v>-2.4957843753714002</v>
      </c>
      <c r="AG6531">
        <v>-1.1191305374089999</v>
      </c>
      <c r="AH6531">
        <v>7.19026884059911</v>
      </c>
      <c r="AI6531">
        <v>98.364784685820894</v>
      </c>
      <c r="AJ6531">
        <v>109.14218697224401</v>
      </c>
      <c r="AK6531">
        <v>7.6929421425225799</v>
      </c>
      <c r="AL6531">
        <v>66.122872475219907</v>
      </c>
      <c r="AM6531">
        <v>110.26493722489001</v>
      </c>
      <c r="AN6531">
        <v>1.0000000387171399</v>
      </c>
    </row>
    <row r="6532" spans="1:40" x14ac:dyDescent="0.25">
      <c r="A6532" t="str">
        <f>"20190304165014956"</f>
        <v>20190304165014956</v>
      </c>
      <c r="B6532" t="str">
        <f>"1551689414952541"</f>
        <v>1551689414952541</v>
      </c>
      <c r="C6532" t="s">
        <v>40</v>
      </c>
      <c r="D6532">
        <v>4.4709629999999896</v>
      </c>
      <c r="E6532">
        <v>0.50096830000000003</v>
      </c>
      <c r="F6532" t="s">
        <v>49</v>
      </c>
      <c r="G6532">
        <v>-296.31229999999999</v>
      </c>
      <c r="H6532" s="1">
        <v>-8.5468529999999992E-6</v>
      </c>
      <c r="I6532">
        <v>-50.55865</v>
      </c>
      <c r="J6532">
        <v>-300.46280000000002</v>
      </c>
      <c r="K6532">
        <v>1.119351</v>
      </c>
      <c r="L6532">
        <v>-44.174100000000003</v>
      </c>
      <c r="M6532">
        <v>0.24062649999999999</v>
      </c>
      <c r="N6532">
        <v>-1.326652E-2</v>
      </c>
      <c r="O6532">
        <v>-0.97052729999999998</v>
      </c>
      <c r="P6532">
        <v>0.50837479999999902</v>
      </c>
      <c r="Q6532">
        <v>0.39716050000000003</v>
      </c>
      <c r="R6532">
        <v>-0.76408039999999999</v>
      </c>
      <c r="S6532">
        <v>1.8600159999999999</v>
      </c>
      <c r="T6532">
        <v>-0.49046810000000002</v>
      </c>
      <c r="U6532">
        <v>-2.950043</v>
      </c>
      <c r="V6532">
        <v>-0.31791580000000003</v>
      </c>
      <c r="W6532">
        <v>0.4021208</v>
      </c>
      <c r="X6532">
        <v>0.858620099999999</v>
      </c>
      <c r="Y6532">
        <v>-0.30932459999999901</v>
      </c>
      <c r="Z6532">
        <v>0.12829460000000001</v>
      </c>
      <c r="AA6532">
        <v>0.94226259999999995</v>
      </c>
      <c r="AB6532">
        <v>32</v>
      </c>
      <c r="AC6532">
        <v>4.1505000000000196</v>
      </c>
      <c r="AD6532">
        <v>-1.119359546853</v>
      </c>
      <c r="AE6532">
        <v>-6.3845499999999902</v>
      </c>
      <c r="AF6532">
        <v>-2.43939277705296</v>
      </c>
      <c r="AG6532">
        <v>-1.119359546853</v>
      </c>
      <c r="AH6532">
        <v>7.0435431537942401</v>
      </c>
      <c r="AI6532">
        <v>98.540232330784406</v>
      </c>
      <c r="AJ6532">
        <v>109.10252241929101</v>
      </c>
      <c r="AK6532">
        <v>7.5375793909736597</v>
      </c>
      <c r="AL6532">
        <v>66.289173834928505</v>
      </c>
      <c r="AM6532">
        <v>110.317758891325</v>
      </c>
      <c r="AN6532">
        <v>1.0000000349031399</v>
      </c>
    </row>
    <row r="6533" spans="1:40" x14ac:dyDescent="0.25">
      <c r="A6533" t="str">
        <f>"20190304165014978"</f>
        <v>20190304165014978</v>
      </c>
      <c r="B6533" t="str">
        <f>"1551689414972061"</f>
        <v>1551689414972061</v>
      </c>
      <c r="C6533" t="s">
        <v>40</v>
      </c>
      <c r="D6533">
        <v>4.3811439999999999</v>
      </c>
      <c r="E6533">
        <v>0.51313039999999999</v>
      </c>
      <c r="F6533" t="s">
        <v>49</v>
      </c>
      <c r="G6533">
        <v>-296.24950000000001</v>
      </c>
      <c r="H6533" s="1">
        <v>-8.5536939999999994E-6</v>
      </c>
      <c r="I6533">
        <v>-50.6935</v>
      </c>
      <c r="J6533">
        <v>-300.37389999999999</v>
      </c>
      <c r="K6533">
        <v>1.1195409999999999</v>
      </c>
      <c r="L6533">
        <v>-44.486420000000003</v>
      </c>
      <c r="M6533">
        <v>0.25120350000000002</v>
      </c>
      <c r="N6533">
        <v>-1.3555589999999999E-2</v>
      </c>
      <c r="O6533">
        <v>-0.96783949999999996</v>
      </c>
      <c r="P6533">
        <v>0.52058579999999999</v>
      </c>
      <c r="Q6533">
        <v>0.39504329999999999</v>
      </c>
      <c r="R6533">
        <v>-0.75692230000000005</v>
      </c>
      <c r="S6533">
        <v>1.8925479999999999</v>
      </c>
      <c r="T6533">
        <v>-0.50280820000000004</v>
      </c>
      <c r="U6533">
        <v>-2.9284669999999999</v>
      </c>
      <c r="V6533">
        <v>-0.32222220000000001</v>
      </c>
      <c r="W6533">
        <v>0.40001720000000002</v>
      </c>
      <c r="X6533">
        <v>0.85799720000000002</v>
      </c>
      <c r="Y6533">
        <v>-0.30925639999999999</v>
      </c>
      <c r="Z6533">
        <v>0.1314477</v>
      </c>
      <c r="AA6533">
        <v>0.94185030000000003</v>
      </c>
      <c r="AB6533">
        <v>32</v>
      </c>
      <c r="AC6533">
        <v>4.1243999999999801</v>
      </c>
      <c r="AD6533">
        <v>-1.1195495536940001</v>
      </c>
      <c r="AE6533">
        <v>-6.2070799999999897</v>
      </c>
      <c r="AF6533">
        <v>-2.3790499214249898</v>
      </c>
      <c r="AG6533">
        <v>-1.1195495536940001</v>
      </c>
      <c r="AH6533">
        <v>6.8887032647065496</v>
      </c>
      <c r="AI6533">
        <v>98.733317679233195</v>
      </c>
      <c r="AJ6533">
        <v>109.052622320545</v>
      </c>
      <c r="AK6533">
        <v>7.3734321995246797</v>
      </c>
      <c r="AL6533">
        <v>66.420747533802697</v>
      </c>
      <c r="AM6533">
        <v>110.583746874618</v>
      </c>
      <c r="AN6533">
        <v>1.0000000508382501</v>
      </c>
    </row>
    <row r="6534" spans="1:40" x14ac:dyDescent="0.25">
      <c r="A6534" t="str">
        <f>"20190304165015026"</f>
        <v>20190304165015026</v>
      </c>
      <c r="B6534" t="str">
        <f>"1551689415021837"</f>
        <v>1551689415021837</v>
      </c>
      <c r="C6534" t="s">
        <v>40</v>
      </c>
      <c r="D6534">
        <v>4.4350610000000001</v>
      </c>
      <c r="E6534">
        <v>0.51436599999999999</v>
      </c>
      <c r="F6534" t="s">
        <v>49</v>
      </c>
      <c r="G6534">
        <v>-296.47250000000003</v>
      </c>
      <c r="H6534" s="1">
        <v>-8.4694470000000008E-6</v>
      </c>
      <c r="I6534">
        <v>-50.746780000000001</v>
      </c>
      <c r="J6534">
        <v>-300.18419999999998</v>
      </c>
      <c r="K6534">
        <v>1.1198349999999999</v>
      </c>
      <c r="L6534">
        <v>-45.112549999999999</v>
      </c>
      <c r="M6534">
        <v>0.27300750000000001</v>
      </c>
      <c r="N6534">
        <v>-1.4039569999999999E-2</v>
      </c>
      <c r="O6534">
        <v>-0.96190949999999997</v>
      </c>
      <c r="P6534">
        <v>0.53767540000000003</v>
      </c>
      <c r="Q6534">
        <v>0.39317400000000002</v>
      </c>
      <c r="R6534">
        <v>-0.74586809999999903</v>
      </c>
      <c r="S6534">
        <v>1.8497920000000001</v>
      </c>
      <c r="T6534">
        <v>-0.53081319999999999</v>
      </c>
      <c r="U6534">
        <v>-2.9682309999999998</v>
      </c>
      <c r="V6534">
        <v>-0.32234689999999999</v>
      </c>
      <c r="W6534">
        <v>0.39834710000000001</v>
      </c>
      <c r="X6534">
        <v>0.85872700000000002</v>
      </c>
      <c r="Y6534">
        <v>-0.2716344</v>
      </c>
      <c r="Z6534">
        <v>0.13727590000000001</v>
      </c>
      <c r="AA6534">
        <v>0.95255979999999996</v>
      </c>
      <c r="AB6534">
        <v>32</v>
      </c>
      <c r="AC6534">
        <v>3.7116999999999498</v>
      </c>
      <c r="AD6534">
        <v>-1.1198434694470001</v>
      </c>
      <c r="AE6534">
        <v>-5.6342299999999996</v>
      </c>
      <c r="AF6534">
        <v>-1.9778456792811601</v>
      </c>
      <c r="AG6534">
        <v>-1.1198434694470001</v>
      </c>
      <c r="AH6534">
        <v>6.2610905062077196</v>
      </c>
      <c r="AI6534">
        <v>99.678688262082503</v>
      </c>
      <c r="AJ6534">
        <v>107.53105361593001</v>
      </c>
      <c r="AK6534">
        <v>6.66086910650845</v>
      </c>
      <c r="AL6534">
        <v>66.525111648168206</v>
      </c>
      <c r="AM6534">
        <v>110.575011587283</v>
      </c>
      <c r="AN6534">
        <v>0.99999999827350905</v>
      </c>
    </row>
    <row r="6535" spans="1:40" x14ac:dyDescent="0.25">
      <c r="A6535" t="str">
        <f>"20190304165015050"</f>
        <v>20190304165015050</v>
      </c>
      <c r="B6535" t="str">
        <f>"1551689415042333"</f>
        <v>1551689415042333</v>
      </c>
      <c r="C6535" t="s">
        <v>40</v>
      </c>
      <c r="D6535">
        <v>4.3899480000000004</v>
      </c>
      <c r="E6535">
        <v>0.51467909999999994</v>
      </c>
      <c r="F6535" t="s">
        <v>49</v>
      </c>
      <c r="G6535">
        <v>-296.26929999999999</v>
      </c>
      <c r="H6535" s="1">
        <v>-8.4976550000000002E-6</v>
      </c>
      <c r="I6535">
        <v>-51.13026</v>
      </c>
      <c r="J6535">
        <v>-300.08139999999997</v>
      </c>
      <c r="K6535">
        <v>1.119947</v>
      </c>
      <c r="L6535">
        <v>-45.431609999999999</v>
      </c>
      <c r="M6535">
        <v>0.28438849999999999</v>
      </c>
      <c r="N6535">
        <v>-1.4241810000000001E-2</v>
      </c>
      <c r="O6535">
        <v>-0.95860339999999999</v>
      </c>
      <c r="P6535">
        <v>0.54651870000000002</v>
      </c>
      <c r="Q6535">
        <v>0.39150610000000002</v>
      </c>
      <c r="R6535">
        <v>-0.74029750000000005</v>
      </c>
      <c r="S6535">
        <v>1.908752</v>
      </c>
      <c r="T6535">
        <v>-0.54598449999999998</v>
      </c>
      <c r="U6535">
        <v>-2.9339599999999999</v>
      </c>
      <c r="V6535">
        <v>-0.32223380000000001</v>
      </c>
      <c r="W6535">
        <v>0.39676929999999999</v>
      </c>
      <c r="X6535">
        <v>0.85949959999999903</v>
      </c>
      <c r="Y6535">
        <v>-0.27845009999999998</v>
      </c>
      <c r="Z6535">
        <v>0.1411587</v>
      </c>
      <c r="AA6535">
        <v>0.950021</v>
      </c>
      <c r="AB6535">
        <v>31</v>
      </c>
      <c r="AC6535">
        <v>3.8120999999999801</v>
      </c>
      <c r="AD6535">
        <v>-1.1199554976549999</v>
      </c>
      <c r="AE6535">
        <v>-5.6986499999999998</v>
      </c>
      <c r="AF6535">
        <v>-1.9810075710074599</v>
      </c>
      <c r="AG6535">
        <v>-1.1199554976549999</v>
      </c>
      <c r="AH6535">
        <v>6.3773565739293199</v>
      </c>
      <c r="AI6535">
        <v>99.520440712511999</v>
      </c>
      <c r="AJ6535">
        <v>107.256438122066</v>
      </c>
      <c r="AK6535">
        <v>6.7712161525206103</v>
      </c>
      <c r="AL6535">
        <v>66.623634216377695</v>
      </c>
      <c r="AM6535">
        <v>110.551454367449</v>
      </c>
      <c r="AN6535">
        <v>1.0000000308425401</v>
      </c>
    </row>
    <row r="6536" spans="1:40" x14ac:dyDescent="0.25">
      <c r="A6536" t="str">
        <f>"20190304165015073"</f>
        <v>20190304165015073</v>
      </c>
      <c r="B6536" t="str">
        <f>"1551689415062360"</f>
        <v>1551689415062360</v>
      </c>
      <c r="C6536" t="s">
        <v>40</v>
      </c>
      <c r="D6536">
        <v>4.4131600000000004</v>
      </c>
      <c r="E6536">
        <v>0.51517630000000003</v>
      </c>
      <c r="F6536" t="s">
        <v>49</v>
      </c>
      <c r="G6536">
        <v>-296.15820000000002</v>
      </c>
      <c r="H6536" s="1">
        <v>-8.5152159999999998E-6</v>
      </c>
      <c r="I6536">
        <v>-51.320630000000001</v>
      </c>
      <c r="J6536">
        <v>-299.98219999999998</v>
      </c>
      <c r="K6536">
        <v>1.120058</v>
      </c>
      <c r="L6536">
        <v>-45.727600000000002</v>
      </c>
      <c r="M6536">
        <v>0.29510619999999999</v>
      </c>
      <c r="N6536">
        <v>-1.4407420000000001E-2</v>
      </c>
      <c r="O6536">
        <v>-0.95535590000000004</v>
      </c>
      <c r="P6536">
        <v>0.554539</v>
      </c>
      <c r="Q6536">
        <v>0.39105610000000002</v>
      </c>
      <c r="R6536">
        <v>-0.73454869999999906</v>
      </c>
      <c r="S6536">
        <v>1.940491</v>
      </c>
      <c r="T6536">
        <v>-0.55395559999999999</v>
      </c>
      <c r="U6536">
        <v>-2.9128419999999999</v>
      </c>
      <c r="V6536">
        <v>-0.32198520000000003</v>
      </c>
      <c r="W6536">
        <v>0.3963872</v>
      </c>
      <c r="X6536">
        <v>0.85976900000000001</v>
      </c>
      <c r="Y6536">
        <v>-0.27788249999999998</v>
      </c>
      <c r="Z6536">
        <v>0.14300929999999901</v>
      </c>
      <c r="AA6536">
        <v>0.94991029999999999</v>
      </c>
      <c r="AB6536">
        <v>31</v>
      </c>
      <c r="AC6536">
        <v>3.8239999999999501</v>
      </c>
      <c r="AD6536">
        <v>-1.1200665152159901</v>
      </c>
      <c r="AE6536">
        <v>-5.59302999999999</v>
      </c>
      <c r="AF6536">
        <v>-1.9496678863265799</v>
      </c>
      <c r="AG6536">
        <v>-1.1200665152159901</v>
      </c>
      <c r="AH6536">
        <v>6.3003088314161602</v>
      </c>
      <c r="AI6536">
        <v>99.638779936198603</v>
      </c>
      <c r="AJ6536">
        <v>107.19499161925199</v>
      </c>
      <c r="AK6536">
        <v>6.6895175638233999</v>
      </c>
      <c r="AL6536">
        <v>66.647481886715696</v>
      </c>
      <c r="AM6536">
        <v>110.531025043844</v>
      </c>
      <c r="AN6536">
        <v>1.0000000073519399</v>
      </c>
    </row>
    <row r="6537" spans="1:40" x14ac:dyDescent="0.25">
      <c r="A6537" t="str">
        <f>"20190304165015096"</f>
        <v>20190304165015096</v>
      </c>
      <c r="B6537" t="str">
        <f>"1551689415092617"</f>
        <v>1551689415092617</v>
      </c>
      <c r="C6537" t="s">
        <v>40</v>
      </c>
      <c r="D6537">
        <v>4.4077979999999997</v>
      </c>
      <c r="E6537">
        <v>0.51574089999999995</v>
      </c>
      <c r="F6537" t="s">
        <v>49</v>
      </c>
      <c r="G6537">
        <v>-296.02609999999999</v>
      </c>
      <c r="H6537" s="1">
        <v>-8.5366030000000004E-6</v>
      </c>
      <c r="I6537">
        <v>-51.54271</v>
      </c>
      <c r="J6537">
        <v>-299.87869999999998</v>
      </c>
      <c r="K6537">
        <v>1.1201700000000001</v>
      </c>
      <c r="L6537">
        <v>-46.02487</v>
      </c>
      <c r="M6537">
        <v>0.30602679999999999</v>
      </c>
      <c r="N6537">
        <v>-1.45556E-2</v>
      </c>
      <c r="O6537">
        <v>-0.95191190000000003</v>
      </c>
      <c r="P6537">
        <v>0.56269910000000001</v>
      </c>
      <c r="Q6537">
        <v>0.39122440000000003</v>
      </c>
      <c r="R6537">
        <v>-0.72822619999999905</v>
      </c>
      <c r="S6537">
        <v>1.9690859999999999</v>
      </c>
      <c r="T6537">
        <v>-0.55750059999999901</v>
      </c>
      <c r="U6537">
        <v>-2.894409</v>
      </c>
      <c r="V6537">
        <v>-0.3218722</v>
      </c>
      <c r="W6537">
        <v>0.39659990000000001</v>
      </c>
      <c r="X6537">
        <v>0.85971330000000001</v>
      </c>
      <c r="Y6537">
        <v>-0.27606350000000002</v>
      </c>
      <c r="Z6537">
        <v>0.14355279999999901</v>
      </c>
      <c r="AA6537">
        <v>0.95035860000000005</v>
      </c>
      <c r="AB6537">
        <v>31</v>
      </c>
      <c r="AC6537">
        <v>3.85259999999999</v>
      </c>
      <c r="AD6537">
        <v>-1.1201785366029999</v>
      </c>
      <c r="AE6537">
        <v>-5.5178399999999996</v>
      </c>
      <c r="AF6537">
        <v>-1.9255868033417001</v>
      </c>
      <c r="AG6537">
        <v>-1.1201785366029999</v>
      </c>
      <c r="AH6537">
        <v>6.2587678434854004</v>
      </c>
      <c r="AI6537">
        <v>99.707305747980001</v>
      </c>
      <c r="AJ6537">
        <v>107.101157448046</v>
      </c>
      <c r="AK6537">
        <v>6.6434072139013596</v>
      </c>
      <c r="AL6537">
        <v>66.634208733898902</v>
      </c>
      <c r="AM6537">
        <v>110.52563945908101</v>
      </c>
      <c r="AN6537">
        <v>1.00000007600486</v>
      </c>
    </row>
    <row r="6538" spans="1:40" x14ac:dyDescent="0.25">
      <c r="A6538" t="str">
        <f>"20190304165015120"</f>
        <v>20190304165015120</v>
      </c>
      <c r="B6538" t="str">
        <f>"1551689415112137"</f>
        <v>1551689415112137</v>
      </c>
      <c r="C6538" t="s">
        <v>40</v>
      </c>
      <c r="D6538">
        <v>4.4347640000000004</v>
      </c>
      <c r="E6538">
        <v>0.51592700000000002</v>
      </c>
      <c r="F6538" t="s">
        <v>49</v>
      </c>
      <c r="G6538">
        <v>-295.87709999999998</v>
      </c>
      <c r="H6538" s="1">
        <v>-8.5619690000000006E-6</v>
      </c>
      <c r="I6538">
        <v>-51.782150000000001</v>
      </c>
      <c r="J6538">
        <v>-299.75830000000002</v>
      </c>
      <c r="K6538">
        <v>1.120314</v>
      </c>
      <c r="L6538">
        <v>-46.355649999999997</v>
      </c>
      <c r="M6538">
        <v>0.3184051</v>
      </c>
      <c r="N6538">
        <v>-1.4701580000000001E-2</v>
      </c>
      <c r="O6538">
        <v>-0.94784069999999998</v>
      </c>
      <c r="P6538">
        <v>0.57150299999999998</v>
      </c>
      <c r="Q6538">
        <v>0.39276179999999999</v>
      </c>
      <c r="R6538">
        <v>-0.72050150000000002</v>
      </c>
      <c r="S6538">
        <v>1.9987790000000001</v>
      </c>
      <c r="T6538">
        <v>-0.55952409999999997</v>
      </c>
      <c r="U6538">
        <v>-2.8757320000000002</v>
      </c>
      <c r="V6538">
        <v>-0.32153700000000002</v>
      </c>
      <c r="W6538">
        <v>0.39816289999999999</v>
      </c>
      <c r="X6538">
        <v>0.85911599999999999</v>
      </c>
      <c r="Y6538">
        <v>-0.27304820000000002</v>
      </c>
      <c r="Z6538">
        <v>0.1435524</v>
      </c>
      <c r="AA6538">
        <v>0.9512294</v>
      </c>
      <c r="AB6538">
        <v>31</v>
      </c>
      <c r="AC6538">
        <v>3.88120000000003</v>
      </c>
      <c r="AD6538">
        <v>-1.120322561969</v>
      </c>
      <c r="AE6538">
        <v>-5.4264999999999999</v>
      </c>
      <c r="AF6538">
        <v>-1.8976349449511201</v>
      </c>
      <c r="AG6538">
        <v>-1.120322561969</v>
      </c>
      <c r="AH6538">
        <v>6.2049716356057703</v>
      </c>
      <c r="AI6538">
        <v>99.796026579772999</v>
      </c>
      <c r="AJ6538">
        <v>107.004937710333</v>
      </c>
      <c r="AK6538">
        <v>6.5846650655768801</v>
      </c>
      <c r="AL6538">
        <v>66.5366178672259</v>
      </c>
      <c r="AM6538">
        <v>110.51911293280099</v>
      </c>
      <c r="AN6538">
        <v>1.0000000193806999</v>
      </c>
    </row>
    <row r="6539" spans="1:40" x14ac:dyDescent="0.25">
      <c r="A6539" t="str">
        <f>"20190304165015158"</f>
        <v>20190304165015158</v>
      </c>
      <c r="B6539" t="str">
        <f>"1551689415152155"</f>
        <v>1551689415152155</v>
      </c>
      <c r="C6539" t="s">
        <v>40</v>
      </c>
      <c r="D6539">
        <v>4.4313510000000003</v>
      </c>
      <c r="E6539">
        <v>0.51719420000000005</v>
      </c>
      <c r="F6539" t="s">
        <v>49</v>
      </c>
      <c r="G6539">
        <v>-295.64109999999999</v>
      </c>
      <c r="H6539" s="1">
        <v>-8.6064189999999998E-6</v>
      </c>
      <c r="I6539">
        <v>-52.123379999999997</v>
      </c>
      <c r="J6539">
        <v>-299.57990000000001</v>
      </c>
      <c r="K6539">
        <v>1.120519</v>
      </c>
      <c r="L6539">
        <v>-46.823329999999999</v>
      </c>
      <c r="M6539">
        <v>0.33620879999999997</v>
      </c>
      <c r="N6539">
        <v>-1.4880819999999999E-2</v>
      </c>
      <c r="O6539">
        <v>-0.94167000000000001</v>
      </c>
      <c r="P6539">
        <v>0.58223630000000004</v>
      </c>
      <c r="Q6539">
        <v>0.39522960000000001</v>
      </c>
      <c r="R6539">
        <v>-0.71048900000000004</v>
      </c>
      <c r="S6539">
        <v>2.0353089999999998</v>
      </c>
      <c r="T6539">
        <v>-0.55383319999999903</v>
      </c>
      <c r="U6539">
        <v>-2.8512879999999998</v>
      </c>
      <c r="V6539">
        <v>-0.31889469999999998</v>
      </c>
      <c r="W6539">
        <v>0.40070800000000001</v>
      </c>
      <c r="X6539">
        <v>0.858917499999999</v>
      </c>
      <c r="Y6539">
        <v>-0.26705780000000001</v>
      </c>
      <c r="Z6539">
        <v>0.14116509999999999</v>
      </c>
      <c r="AA6539">
        <v>0.95328520000000005</v>
      </c>
      <c r="AB6539">
        <v>31</v>
      </c>
      <c r="AC6539">
        <v>3.9388000000000098</v>
      </c>
      <c r="AD6539">
        <v>-1.120527606419</v>
      </c>
      <c r="AE6539">
        <v>-5.3000499999999899</v>
      </c>
      <c r="AF6539">
        <v>-1.87339576549695</v>
      </c>
      <c r="AG6539">
        <v>-1.120527606419</v>
      </c>
      <c r="AH6539">
        <v>6.1390831902533103</v>
      </c>
      <c r="AI6539">
        <v>99.902676693093895</v>
      </c>
      <c r="AJ6539">
        <v>106.97003404844401</v>
      </c>
      <c r="AK6539">
        <v>6.5156378220232396</v>
      </c>
      <c r="AL6539">
        <v>66.377553595380206</v>
      </c>
      <c r="AM6539">
        <v>110.368708734347</v>
      </c>
      <c r="AN6539">
        <v>1.0000000013791699</v>
      </c>
    </row>
    <row r="6540" spans="1:40" x14ac:dyDescent="0.25">
      <c r="A6540" t="str">
        <f>"20190304165015182"</f>
        <v>20190304165015182</v>
      </c>
      <c r="B6540" t="str">
        <f>"1551689415171672"</f>
        <v>1551689415171672</v>
      </c>
      <c r="C6540" t="s">
        <v>40</v>
      </c>
      <c r="D6540">
        <v>4.4548139999999998</v>
      </c>
      <c r="E6540">
        <v>0.5177273</v>
      </c>
      <c r="F6540" t="s">
        <v>49</v>
      </c>
      <c r="G6540">
        <v>-295.33980000000003</v>
      </c>
      <c r="H6540" s="1">
        <v>-8.6616030000000001E-6</v>
      </c>
      <c r="I6540">
        <v>-52.573169999999998</v>
      </c>
      <c r="J6540">
        <v>-299.45490000000001</v>
      </c>
      <c r="K6540">
        <v>1.120655</v>
      </c>
      <c r="L6540">
        <v>-47.134610000000002</v>
      </c>
      <c r="M6540">
        <v>0.34833069999999999</v>
      </c>
      <c r="N6540">
        <v>-1.4984300000000001E-2</v>
      </c>
      <c r="O6540">
        <v>-0.93725190000000003</v>
      </c>
      <c r="P6540">
        <v>0.59135400000000005</v>
      </c>
      <c r="Q6540">
        <v>0.39529500000000001</v>
      </c>
      <c r="R6540">
        <v>-0.70288119999999998</v>
      </c>
      <c r="S6540">
        <v>2.081512</v>
      </c>
      <c r="T6540">
        <v>-0.55008020000000002</v>
      </c>
      <c r="U6540">
        <v>-2.8226619999999998</v>
      </c>
      <c r="V6540">
        <v>-0.3190347</v>
      </c>
      <c r="W6540">
        <v>0.40076210000000001</v>
      </c>
      <c r="X6540">
        <v>0.85884020000000005</v>
      </c>
      <c r="Y6540">
        <v>-0.26949770000000001</v>
      </c>
      <c r="Z6540">
        <v>0.13962479999999999</v>
      </c>
      <c r="AA6540">
        <v>0.95282520000000004</v>
      </c>
      <c r="AB6540">
        <v>31</v>
      </c>
      <c r="AC6540">
        <v>4.1150999999999804</v>
      </c>
      <c r="AD6540">
        <v>-1.1206636616029999</v>
      </c>
      <c r="AE6540">
        <v>-5.4385599999999998</v>
      </c>
      <c r="AF6540">
        <v>-1.9110863625007399</v>
      </c>
      <c r="AG6540">
        <v>-1.1206636616029999</v>
      </c>
      <c r="AH6540">
        <v>6.3597285244919997</v>
      </c>
      <c r="AI6540">
        <v>99.578858066581603</v>
      </c>
      <c r="AJ6540">
        <v>106.725423438947</v>
      </c>
      <c r="AK6540">
        <v>6.7345590080279996</v>
      </c>
      <c r="AL6540">
        <v>66.374168941765305</v>
      </c>
      <c r="AM6540">
        <v>110.378599119603</v>
      </c>
      <c r="AN6540">
        <v>0.99999994486826804</v>
      </c>
    </row>
    <row r="6541" spans="1:40" x14ac:dyDescent="0.25">
      <c r="A6541" t="str">
        <f>"20190304165015202"</f>
        <v>20190304165015202</v>
      </c>
      <c r="B6541" t="str">
        <f>"1551689415192168"</f>
        <v>1551689415192168</v>
      </c>
      <c r="C6541" t="s">
        <v>40</v>
      </c>
      <c r="D6541">
        <v>4.4406150000000002</v>
      </c>
      <c r="E6541">
        <v>0.51773480000000005</v>
      </c>
      <c r="F6541" t="s">
        <v>49</v>
      </c>
      <c r="G6541">
        <v>-295.16969999999998</v>
      </c>
      <c r="H6541" s="1">
        <v>-8.6955100000000007E-6</v>
      </c>
      <c r="I6541">
        <v>-52.802639999999997</v>
      </c>
      <c r="J6541">
        <v>-299.34879999999998</v>
      </c>
      <c r="K6541">
        <v>1.1207689999999999</v>
      </c>
      <c r="L6541">
        <v>-47.390009999999997</v>
      </c>
      <c r="M6541">
        <v>0.35842410000000002</v>
      </c>
      <c r="N6541">
        <v>-1.5062900000000001E-2</v>
      </c>
      <c r="O6541">
        <v>-0.93343750000000003</v>
      </c>
      <c r="P6541">
        <v>0.59914179999999995</v>
      </c>
      <c r="Q6541">
        <v>0.39575250000000001</v>
      </c>
      <c r="R6541">
        <v>-0.69599509999999998</v>
      </c>
      <c r="S6541">
        <v>2.1161500000000002</v>
      </c>
      <c r="T6541">
        <v>-0.55341169999999995</v>
      </c>
      <c r="U6541">
        <v>-2.7990110000000001</v>
      </c>
      <c r="V6541">
        <v>-0.31953910000000002</v>
      </c>
      <c r="W6541">
        <v>0.40118900000000002</v>
      </c>
      <c r="X6541">
        <v>0.85845329999999997</v>
      </c>
      <c r="Y6541">
        <v>-0.27043519999999999</v>
      </c>
      <c r="Z6541">
        <v>0.14012339999999901</v>
      </c>
      <c r="AA6541">
        <v>0.95248630000000001</v>
      </c>
      <c r="AB6541">
        <v>31</v>
      </c>
      <c r="AC6541">
        <v>4.1791</v>
      </c>
      <c r="AD6541">
        <v>-1.1207776955099999</v>
      </c>
      <c r="AE6541">
        <v>-5.4126300000000001</v>
      </c>
      <c r="AF6541">
        <v>-1.9098304570301701</v>
      </c>
      <c r="AG6541">
        <v>-1.1207776955099999</v>
      </c>
      <c r="AH6541">
        <v>6.3796101222386303</v>
      </c>
      <c r="AI6541">
        <v>99.553434757260305</v>
      </c>
      <c r="AJ6541">
        <v>106.66584708128499</v>
      </c>
      <c r="AK6541">
        <v>6.7530008388213902</v>
      </c>
      <c r="AL6541">
        <v>66.347469301304002</v>
      </c>
      <c r="AM6541">
        <v>110.416602042354</v>
      </c>
      <c r="AN6541">
        <v>0.99999995921534901</v>
      </c>
    </row>
    <row r="6542" spans="1:40" x14ac:dyDescent="0.25">
      <c r="A6542" t="str">
        <f>"20190304165015228"</f>
        <v>20190304165015228</v>
      </c>
      <c r="B6542" t="str">
        <f>"1551689415222424"</f>
        <v>1551689415222424</v>
      </c>
      <c r="C6542" t="s">
        <v>40</v>
      </c>
      <c r="D6542">
        <v>4.7663000000000002</v>
      </c>
      <c r="E6542">
        <v>0.52322369999999996</v>
      </c>
      <c r="F6542" t="s">
        <v>49</v>
      </c>
      <c r="G6542">
        <v>-294.96749999999997</v>
      </c>
      <c r="H6542" s="1">
        <v>-8.7391790000000002E-6</v>
      </c>
      <c r="I6542">
        <v>-53.045270000000002</v>
      </c>
      <c r="J6542">
        <v>-299.20729999999998</v>
      </c>
      <c r="K6542">
        <v>1.120932</v>
      </c>
      <c r="L6542">
        <v>-47.71857</v>
      </c>
      <c r="M6542">
        <v>0.3716605</v>
      </c>
      <c r="N6542">
        <v>-1.515679E-2</v>
      </c>
      <c r="O6542">
        <v>-0.92824499999999999</v>
      </c>
      <c r="P6542">
        <v>0.60922900000000002</v>
      </c>
      <c r="Q6542">
        <v>0.39712769999999997</v>
      </c>
      <c r="R6542">
        <v>-0.68638900000000003</v>
      </c>
      <c r="S6542">
        <v>2.1485599999999998</v>
      </c>
      <c r="T6542">
        <v>-0.54962440000000001</v>
      </c>
      <c r="U6542">
        <v>-2.7733150000000002</v>
      </c>
      <c r="V6542">
        <v>-0.3203377</v>
      </c>
      <c r="W6542">
        <v>0.40249449999999998</v>
      </c>
      <c r="X6542">
        <v>0.85754419999999898</v>
      </c>
      <c r="Y6542">
        <v>-0.26811020000000002</v>
      </c>
      <c r="Z6542">
        <v>0.13855809999999999</v>
      </c>
      <c r="AA6542">
        <v>0.9533722</v>
      </c>
      <c r="AB6542">
        <v>31</v>
      </c>
      <c r="AC6542">
        <v>4.2397999999999998</v>
      </c>
      <c r="AD6542">
        <v>-1.1209407391790001</v>
      </c>
      <c r="AE6542">
        <v>-5.32669999999999</v>
      </c>
      <c r="AF6542">
        <v>-1.9044455612200999</v>
      </c>
      <c r="AG6542">
        <v>-1.1209407391790001</v>
      </c>
      <c r="AH6542">
        <v>6.3488837274804002</v>
      </c>
      <c r="AI6542">
        <v>99.598626220603094</v>
      </c>
      <c r="AJ6542">
        <v>106.697426416703</v>
      </c>
      <c r="AK6542">
        <v>6.7224806151797498</v>
      </c>
      <c r="AL6542">
        <v>66.265786884921098</v>
      </c>
      <c r="AM6542">
        <v>110.483295263931</v>
      </c>
      <c r="AN6542">
        <v>1.00000005976258</v>
      </c>
    </row>
    <row r="6543" spans="1:40" x14ac:dyDescent="0.25">
      <c r="A6543" t="str">
        <f>"20190304165015249"</f>
        <v>20190304165015249</v>
      </c>
      <c r="B6543" t="str">
        <f>"1551689415241944"</f>
        <v>1551689415241944</v>
      </c>
      <c r="C6543" t="s">
        <v>40</v>
      </c>
      <c r="D6543">
        <v>4.4448800000000004</v>
      </c>
      <c r="E6543">
        <v>0.52322449999999998</v>
      </c>
      <c r="F6543" t="s">
        <v>49</v>
      </c>
      <c r="G6543">
        <v>-295.0222</v>
      </c>
      <c r="H6543" s="1">
        <v>-8.7160320000000001E-6</v>
      </c>
      <c r="I6543">
        <v>-53.080319999999901</v>
      </c>
      <c r="J6543">
        <v>-299.09050000000002</v>
      </c>
      <c r="K6543">
        <v>1.121086</v>
      </c>
      <c r="L6543">
        <v>-47.980069999999998</v>
      </c>
      <c r="M6543">
        <v>0.38241350000000002</v>
      </c>
      <c r="N6543">
        <v>-1.5228999999999999E-2</v>
      </c>
      <c r="O6543">
        <v>-0.92386579999999996</v>
      </c>
      <c r="P6543">
        <v>0.61725090000000005</v>
      </c>
      <c r="Q6543">
        <v>0.39952860000000001</v>
      </c>
      <c r="R6543">
        <v>-0.6777746</v>
      </c>
      <c r="S6543">
        <v>2.17041</v>
      </c>
      <c r="T6543">
        <v>-0.58132729999999999</v>
      </c>
      <c r="U6543">
        <v>-2.78064</v>
      </c>
      <c r="V6543">
        <v>-0.32119109999999901</v>
      </c>
      <c r="W6543">
        <v>0.40481109999999998</v>
      </c>
      <c r="X6543">
        <v>0.85613329999999999</v>
      </c>
      <c r="Y6543">
        <v>-0.25969419999999999</v>
      </c>
      <c r="Z6543">
        <v>0.14552419999999999</v>
      </c>
      <c r="AA6543">
        <v>0.95466309999999999</v>
      </c>
      <c r="AB6543">
        <v>31</v>
      </c>
      <c r="AC6543">
        <v>4.0683000000000202</v>
      </c>
      <c r="AD6543">
        <v>-1.1210947160319999</v>
      </c>
      <c r="AE6543">
        <v>-5.1002499999999902</v>
      </c>
      <c r="AF6543">
        <v>-1.7565010666015299</v>
      </c>
      <c r="AG6543">
        <v>-1.1210947160319999</v>
      </c>
      <c r="AH6543">
        <v>6.0886554367760803</v>
      </c>
      <c r="AI6543">
        <v>100.03260177833801</v>
      </c>
      <c r="AJ6543">
        <v>106.092190266297</v>
      </c>
      <c r="AK6543">
        <v>6.4353612475967497</v>
      </c>
      <c r="AL6543">
        <v>66.120709467285295</v>
      </c>
      <c r="AM6543">
        <v>110.564324265786</v>
      </c>
      <c r="AN6543">
        <v>0.99999998838565496</v>
      </c>
    </row>
    <row r="6544" spans="1:40" x14ac:dyDescent="0.25">
      <c r="A6544" t="str">
        <f>"20190304165015271"</f>
        <v>20190304165015271</v>
      </c>
      <c r="B6544" t="str">
        <f>"1551689415262440"</f>
        <v>1551689415262440</v>
      </c>
      <c r="C6544" t="s">
        <v>40</v>
      </c>
      <c r="D6544">
        <v>4.5019799999999996</v>
      </c>
      <c r="E6544">
        <v>0.52250980000000002</v>
      </c>
      <c r="F6544" t="s">
        <v>49</v>
      </c>
      <c r="G6544">
        <v>-294.65109999999999</v>
      </c>
      <c r="H6544" s="1">
        <v>-8.7968769999999992E-6</v>
      </c>
      <c r="I6544">
        <v>-53.51981</v>
      </c>
      <c r="J6544">
        <v>-298.96730000000002</v>
      </c>
      <c r="K6544">
        <v>1.1212500000000001</v>
      </c>
      <c r="L6544">
        <v>-48.247010000000003</v>
      </c>
      <c r="M6544">
        <v>0.39359959999999999</v>
      </c>
      <c r="N6544">
        <v>-1.5300889999999999E-2</v>
      </c>
      <c r="O6544">
        <v>-0.91915469999999999</v>
      </c>
      <c r="P6544">
        <v>0.62490749999999995</v>
      </c>
      <c r="Q6544">
        <v>0.40147159999999998</v>
      </c>
      <c r="R6544">
        <v>-0.6695603</v>
      </c>
      <c r="S6544">
        <v>2.2024539999999999</v>
      </c>
      <c r="T6544">
        <v>-0.55618679999999998</v>
      </c>
      <c r="U6544">
        <v>-2.7483219999999999</v>
      </c>
      <c r="V6544">
        <v>-0.32117230000000002</v>
      </c>
      <c r="W6544">
        <v>0.40668900000000002</v>
      </c>
      <c r="X6544">
        <v>0.85524990000000001</v>
      </c>
      <c r="Y6544">
        <v>-0.26087840000000001</v>
      </c>
      <c r="Z6544">
        <v>0.13861099999999901</v>
      </c>
      <c r="AA6544">
        <v>0.95536880000000002</v>
      </c>
      <c r="AB6544">
        <v>31</v>
      </c>
      <c r="AC6544">
        <v>4.3162000000000296</v>
      </c>
      <c r="AD6544">
        <v>-1.121258796877</v>
      </c>
      <c r="AE6544">
        <v>-5.2728000000000002</v>
      </c>
      <c r="AF6544">
        <v>-1.8422237503577701</v>
      </c>
      <c r="AG6544">
        <v>-1.121258796877</v>
      </c>
      <c r="AH6544">
        <v>6.3735648734376298</v>
      </c>
      <c r="AI6544">
        <v>99.592637829038694</v>
      </c>
      <c r="AJ6544">
        <v>106.121480039408</v>
      </c>
      <c r="AK6544">
        <v>6.7285465616189599</v>
      </c>
      <c r="AL6544">
        <v>66.002987796374001</v>
      </c>
      <c r="AM6544">
        <v>110.58268140577199</v>
      </c>
      <c r="AN6544">
        <v>0.99999999022914998</v>
      </c>
    </row>
    <row r="6545" spans="1:40" x14ac:dyDescent="0.25">
      <c r="A6545" t="str">
        <f>"20190304165015295"</f>
        <v>20190304165015295</v>
      </c>
      <c r="B6545" t="str">
        <f>"1551689415291720"</f>
        <v>1551689415291720</v>
      </c>
      <c r="C6545" t="s">
        <v>40</v>
      </c>
      <c r="D6545">
        <v>4.5159560000000001</v>
      </c>
      <c r="E6545">
        <v>0.4999402</v>
      </c>
      <c r="F6545" t="s">
        <v>49</v>
      </c>
      <c r="G6545">
        <v>-294.41550000000001</v>
      </c>
      <c r="H6545" s="1">
        <v>-8.8517560000000002E-6</v>
      </c>
      <c r="I6545">
        <v>-53.767029999999998</v>
      </c>
      <c r="J6545">
        <v>-298.82769999999999</v>
      </c>
      <c r="K6545">
        <v>1.1214230000000001</v>
      </c>
      <c r="L6545">
        <v>-48.53922</v>
      </c>
      <c r="M6545">
        <v>0.40607500000000002</v>
      </c>
      <c r="N6545">
        <v>-1.537648E-2</v>
      </c>
      <c r="O6545">
        <v>-0.91371069999999999</v>
      </c>
      <c r="P6545">
        <v>0.63277050000000001</v>
      </c>
      <c r="Q6545">
        <v>0.4021612</v>
      </c>
      <c r="R6545">
        <v>-0.66171599999999997</v>
      </c>
      <c r="S6545">
        <v>2.2421570000000002</v>
      </c>
      <c r="T6545">
        <v>-0.55232289999999995</v>
      </c>
      <c r="U6545">
        <v>-2.7191160000000001</v>
      </c>
      <c r="V6545">
        <v>-0.31997320000000001</v>
      </c>
      <c r="W6545">
        <v>0.40734930000000003</v>
      </c>
      <c r="X6545">
        <v>0.85538510000000001</v>
      </c>
      <c r="Y6545">
        <v>-0.26123499999999999</v>
      </c>
      <c r="Z6545">
        <v>0.13695660000000001</v>
      </c>
      <c r="AA6545">
        <v>0.95550990000000002</v>
      </c>
      <c r="AB6545">
        <v>31</v>
      </c>
      <c r="AC6545">
        <v>4.4121999999999799</v>
      </c>
      <c r="AD6545">
        <v>-1.121431851756</v>
      </c>
      <c r="AE6545">
        <v>-5.2278099999999998</v>
      </c>
      <c r="AF6545">
        <v>-1.8588625091286799</v>
      </c>
      <c r="AG6545">
        <v>-1.121431851756</v>
      </c>
      <c r="AH6545">
        <v>6.3972487656767703</v>
      </c>
      <c r="AI6545">
        <v>99.555388865197699</v>
      </c>
      <c r="AJ6545">
        <v>106.202394587279</v>
      </c>
      <c r="AK6545">
        <v>6.7555733284400103</v>
      </c>
      <c r="AL6545">
        <v>65.961569237694306</v>
      </c>
      <c r="AM6545">
        <v>110.509273871769</v>
      </c>
      <c r="AN6545">
        <v>0.99999998511536903</v>
      </c>
    </row>
    <row r="6546" spans="1:40" x14ac:dyDescent="0.25">
      <c r="A6546" t="str">
        <f>"20190304165015315"</f>
        <v>20190304165015315</v>
      </c>
      <c r="B6546" t="str">
        <f>"1551689415312215"</f>
        <v>1551689415312215</v>
      </c>
      <c r="C6546" t="s">
        <v>40</v>
      </c>
      <c r="D6546">
        <v>4.4739950000000004</v>
      </c>
      <c r="E6546">
        <v>0.50030730000000001</v>
      </c>
      <c r="F6546" t="s">
        <v>49</v>
      </c>
      <c r="G6546">
        <v>-293.52140000000003</v>
      </c>
      <c r="H6546" s="1">
        <v>-9.1211970000000001E-6</v>
      </c>
      <c r="I6546">
        <v>-54.188679999999998</v>
      </c>
      <c r="J6546">
        <v>-298.70760000000001</v>
      </c>
      <c r="K6546">
        <v>1.1215619999999999</v>
      </c>
      <c r="L6546">
        <v>-48.78192</v>
      </c>
      <c r="M6546">
        <v>0.41663070000000002</v>
      </c>
      <c r="N6546">
        <v>-1.543569E-2</v>
      </c>
      <c r="O6546">
        <v>-0.9089448</v>
      </c>
      <c r="P6546">
        <v>0.63891089999999995</v>
      </c>
      <c r="Q6546">
        <v>0.4028737</v>
      </c>
      <c r="R6546">
        <v>-0.65535120000000002</v>
      </c>
      <c r="S6546">
        <v>2.3956300000000001</v>
      </c>
      <c r="T6546">
        <v>-0.50629309999999905</v>
      </c>
      <c r="U6546">
        <v>-2.5505680000000002</v>
      </c>
      <c r="V6546">
        <v>-0.318357</v>
      </c>
      <c r="W6546">
        <v>0.40806029999999999</v>
      </c>
      <c r="X6546">
        <v>0.8556492</v>
      </c>
      <c r="Y6546">
        <v>-0.3122994</v>
      </c>
      <c r="Z6546">
        <v>0.1270191</v>
      </c>
      <c r="AA6546">
        <v>0.94145380000000001</v>
      </c>
      <c r="AB6546">
        <v>31</v>
      </c>
      <c r="AC6546">
        <v>5.1861999999999799</v>
      </c>
      <c r="AD6546">
        <v>-1.1215711211970001</v>
      </c>
      <c r="AE6546">
        <v>-5.4067600000000002</v>
      </c>
      <c r="AF6546">
        <v>-2.4076820308082199</v>
      </c>
      <c r="AG6546">
        <v>-1.1215711211970001</v>
      </c>
      <c r="AH6546">
        <v>6.9209149206703202</v>
      </c>
      <c r="AI6546">
        <v>98.702039965658301</v>
      </c>
      <c r="AJ6546">
        <v>109.18201576910801</v>
      </c>
      <c r="AK6546">
        <v>7.41309098018748</v>
      </c>
      <c r="AL6546">
        <v>65.916955258893907</v>
      </c>
      <c r="AM6546">
        <v>110.408465439038</v>
      </c>
      <c r="AN6546">
        <v>0.99999997067286395</v>
      </c>
    </row>
    <row r="6547" spans="1:40" x14ac:dyDescent="0.25">
      <c r="A6547" t="str">
        <f>"20190304165015359"</f>
        <v>20190304165015359</v>
      </c>
      <c r="B6547" t="str">
        <f>"1551689415352231"</f>
        <v>1551689415352231</v>
      </c>
      <c r="C6547" t="s">
        <v>40</v>
      </c>
      <c r="D6547">
        <v>4.471838</v>
      </c>
      <c r="E6547">
        <v>0.50214789999999998</v>
      </c>
      <c r="F6547" t="s">
        <v>49</v>
      </c>
      <c r="G6547">
        <v>-293.3528</v>
      </c>
      <c r="H6547" s="1">
        <v>-9.1640269999999995E-6</v>
      </c>
      <c r="I6547">
        <v>-54.373779999999996</v>
      </c>
      <c r="J6547">
        <v>-298.43560000000002</v>
      </c>
      <c r="K6547">
        <v>1.1217950000000001</v>
      </c>
      <c r="L6547">
        <v>-49.305540000000001</v>
      </c>
      <c r="M6547">
        <v>0.43988359999999899</v>
      </c>
      <c r="N6547">
        <v>-1.554665E-2</v>
      </c>
      <c r="O6547">
        <v>-0.89792019999999995</v>
      </c>
      <c r="P6547">
        <v>0.65632599999999996</v>
      </c>
      <c r="Q6547">
        <v>0.40410800000000002</v>
      </c>
      <c r="R6547">
        <v>-0.63712849999999999</v>
      </c>
      <c r="S6547">
        <v>2.4215089999999999</v>
      </c>
      <c r="T6547">
        <v>-0.50718399999999997</v>
      </c>
      <c r="U6547">
        <v>-2.5286870000000001</v>
      </c>
      <c r="V6547">
        <v>-0.31998179999999998</v>
      </c>
      <c r="W6547">
        <v>0.4091649</v>
      </c>
      <c r="X6547">
        <v>0.85451489999999997</v>
      </c>
      <c r="Y6547">
        <v>-0.29702489999999998</v>
      </c>
      <c r="Z6547">
        <v>0.1257093</v>
      </c>
      <c r="AA6547">
        <v>0.94655869999999998</v>
      </c>
      <c r="AB6547">
        <v>31</v>
      </c>
      <c r="AC6547">
        <v>5.0828000000000104</v>
      </c>
      <c r="AD6547">
        <v>-1.121804164027</v>
      </c>
      <c r="AE6547">
        <v>-5.0682400000000003</v>
      </c>
      <c r="AF6547">
        <v>-2.2791267137885298</v>
      </c>
      <c r="AG6547">
        <v>-1.121804164027</v>
      </c>
      <c r="AH6547">
        <v>6.6257003285871097</v>
      </c>
      <c r="AI6547">
        <v>99.096070905108206</v>
      </c>
      <c r="AJ6547">
        <v>108.982334011707</v>
      </c>
      <c r="AK6547">
        <v>7.0959684331437201</v>
      </c>
      <c r="AL6547">
        <v>65.847613854009793</v>
      </c>
      <c r="AM6547">
        <v>110.52892402316</v>
      </c>
      <c r="AN6547">
        <v>0.99999999102263004</v>
      </c>
    </row>
    <row r="6548" spans="1:40" x14ac:dyDescent="0.25">
      <c r="A6548" t="str">
        <f>"20190304165015380"</f>
        <v>20190304165015380</v>
      </c>
      <c r="B6548" t="str">
        <f>"1551689415371752"</f>
        <v>1551689415371752</v>
      </c>
      <c r="C6548" t="s">
        <v>40</v>
      </c>
      <c r="D6548">
        <v>4.5109669999999999</v>
      </c>
      <c r="E6548">
        <v>0.50899189999999905</v>
      </c>
      <c r="F6548" t="s">
        <v>49</v>
      </c>
      <c r="G6548">
        <v>-293.0471</v>
      </c>
      <c r="H6548" s="1">
        <v>-9.2414210000000001E-6</v>
      </c>
      <c r="I6548">
        <v>-54.711359999999999</v>
      </c>
      <c r="J6548">
        <v>-298.29219999999998</v>
      </c>
      <c r="K6548">
        <v>1.121872</v>
      </c>
      <c r="L6548">
        <v>-49.568480000000001</v>
      </c>
      <c r="M6548">
        <v>0.45174360000000002</v>
      </c>
      <c r="N6548">
        <v>-1.559191E-2</v>
      </c>
      <c r="O6548">
        <v>-0.89201160000000002</v>
      </c>
      <c r="P6548">
        <v>0.66524099999999997</v>
      </c>
      <c r="Q6548">
        <v>0.40459230000000002</v>
      </c>
      <c r="R6548">
        <v>-0.62750209999999995</v>
      </c>
      <c r="S6548">
        <v>2.4765320000000002</v>
      </c>
      <c r="T6548">
        <v>-0.51558400000000004</v>
      </c>
      <c r="U6548">
        <v>-2.4845280000000001</v>
      </c>
      <c r="V6548">
        <v>-0.32093440000000001</v>
      </c>
      <c r="W6548">
        <v>0.40959909999999999</v>
      </c>
      <c r="X6548">
        <v>0.85394950000000003</v>
      </c>
      <c r="Y6548">
        <v>-0.30314180000000002</v>
      </c>
      <c r="Z6548">
        <v>0.12742790000000001</v>
      </c>
      <c r="AA6548">
        <v>0.94438719999999998</v>
      </c>
      <c r="AB6548">
        <v>31</v>
      </c>
      <c r="AC6548">
        <v>5.2450999999999697</v>
      </c>
      <c r="AD6548">
        <v>-1.121881241421</v>
      </c>
      <c r="AE6548">
        <v>-5.1428799999999901</v>
      </c>
      <c r="AF6548">
        <v>-2.3020188591808202</v>
      </c>
      <c r="AG6548">
        <v>-1.121881241421</v>
      </c>
      <c r="AH6548">
        <v>6.7992038387440896</v>
      </c>
      <c r="AI6548">
        <v>98.882737306617798</v>
      </c>
      <c r="AJ6548">
        <v>108.704652145968</v>
      </c>
      <c r="AK6548">
        <v>7.2654718490039496</v>
      </c>
      <c r="AL6548">
        <v>65.820347396603793</v>
      </c>
      <c r="AM6548">
        <v>110.597406471209</v>
      </c>
      <c r="AN6548">
        <v>1.0000000301872001</v>
      </c>
    </row>
    <row r="6549" spans="1:40" x14ac:dyDescent="0.25">
      <c r="A6549" t="str">
        <f>"20190304165015402"</f>
        <v>20190304165015402</v>
      </c>
      <c r="B6549" t="str">
        <f>"1551689415392248"</f>
        <v>1551689415392248</v>
      </c>
      <c r="C6549" t="s">
        <v>40</v>
      </c>
      <c r="D6549">
        <v>4.4605399999999999</v>
      </c>
      <c r="E6549">
        <v>0.50898639999999995</v>
      </c>
      <c r="F6549" t="s">
        <v>49</v>
      </c>
      <c r="G6549">
        <v>-293.34699999999998</v>
      </c>
      <c r="H6549" s="1">
        <v>-9.1476089999999999E-6</v>
      </c>
      <c r="I6549">
        <v>-54.558919999999901</v>
      </c>
      <c r="J6549">
        <v>-298.15339999999998</v>
      </c>
      <c r="K6549">
        <v>1.1219250000000001</v>
      </c>
      <c r="L6549">
        <v>-49.815489999999997</v>
      </c>
      <c r="M6549">
        <v>0.46296179999999898</v>
      </c>
      <c r="N6549">
        <v>-1.562796E-2</v>
      </c>
      <c r="O6549">
        <v>-0.88624059999999905</v>
      </c>
      <c r="P6549">
        <v>0.67267330000000003</v>
      </c>
      <c r="Q6549">
        <v>0.4053445</v>
      </c>
      <c r="R6549">
        <v>-0.6190369</v>
      </c>
      <c r="S6549">
        <v>2.4861149999999999</v>
      </c>
      <c r="T6549">
        <v>-0.56401190000000001</v>
      </c>
      <c r="U6549">
        <v>-2.5088810000000001</v>
      </c>
      <c r="V6549">
        <v>-0.32063079999999999</v>
      </c>
      <c r="W6549">
        <v>0.41035070000000001</v>
      </c>
      <c r="X6549">
        <v>0.85370270000000004</v>
      </c>
      <c r="Y6549">
        <v>-0.28714919999999999</v>
      </c>
      <c r="Z6549">
        <v>0.13808790000000001</v>
      </c>
      <c r="AA6549">
        <v>0.94788030000000001</v>
      </c>
      <c r="AB6549">
        <v>31</v>
      </c>
      <c r="AC6549">
        <v>4.8063999999999902</v>
      </c>
      <c r="AD6549">
        <v>-1.1219341476089999</v>
      </c>
      <c r="AE6549">
        <v>-4.7434299999999796</v>
      </c>
      <c r="AF6549">
        <v>-2.0084136805786201</v>
      </c>
      <c r="AG6549">
        <v>-1.1219341476089999</v>
      </c>
      <c r="AH6549">
        <v>6.2570709855497197</v>
      </c>
      <c r="AI6549">
        <v>99.688533047128701</v>
      </c>
      <c r="AJ6549">
        <v>107.795749355426</v>
      </c>
      <c r="AK6549">
        <v>6.6665882625309001</v>
      </c>
      <c r="AL6549">
        <v>65.773134248649498</v>
      </c>
      <c r="AM6549">
        <v>110.58500595163601</v>
      </c>
      <c r="AN6549">
        <v>1.0000000534432001</v>
      </c>
    </row>
    <row r="6550" spans="1:40" x14ac:dyDescent="0.25">
      <c r="A6550" t="str">
        <f>"20190304165015425"</f>
        <v>20190304165015425</v>
      </c>
      <c r="B6550" t="str">
        <f>"1551689415422504"</f>
        <v>1551689415422504</v>
      </c>
      <c r="C6550" t="s">
        <v>40</v>
      </c>
      <c r="D6550">
        <v>4.4669569999999998</v>
      </c>
      <c r="E6550">
        <v>0.50977589999999995</v>
      </c>
      <c r="F6550" t="s">
        <v>49</v>
      </c>
      <c r="G6550">
        <v>-293.10430000000002</v>
      </c>
      <c r="H6550" s="1">
        <v>-9.2136439999999997E-6</v>
      </c>
      <c r="I6550">
        <v>-54.781359999999999</v>
      </c>
      <c r="J6550">
        <v>-297.99849999999998</v>
      </c>
      <c r="K6550">
        <v>1.1219600000000001</v>
      </c>
      <c r="L6550">
        <v>-50.082459999999998</v>
      </c>
      <c r="M6550">
        <v>0.47515649999999998</v>
      </c>
      <c r="N6550">
        <v>-1.566058E-2</v>
      </c>
      <c r="O6550">
        <v>-0.87976200000000004</v>
      </c>
      <c r="P6550">
        <v>0.68038109999999996</v>
      </c>
      <c r="Q6550">
        <v>0.40547549999999999</v>
      </c>
      <c r="R6550">
        <v>-0.61046809999999996</v>
      </c>
      <c r="S6550">
        <v>2.517944</v>
      </c>
      <c r="T6550">
        <v>-0.55950710000000003</v>
      </c>
      <c r="U6550">
        <v>-2.4764710000000001</v>
      </c>
      <c r="V6550">
        <v>-0.31961440000000002</v>
      </c>
      <c r="W6550">
        <v>0.4105163</v>
      </c>
      <c r="X6550">
        <v>0.85400409999999904</v>
      </c>
      <c r="Y6550">
        <v>-0.28629739999999998</v>
      </c>
      <c r="Z6550">
        <v>0.13626099999999999</v>
      </c>
      <c r="AA6550">
        <v>0.94840219999999997</v>
      </c>
      <c r="AB6550">
        <v>31</v>
      </c>
      <c r="AC6550">
        <v>4.8941999999999499</v>
      </c>
      <c r="AD6550">
        <v>-1.121969213644</v>
      </c>
      <c r="AE6550">
        <v>-4.6989000000000001</v>
      </c>
      <c r="AF6550">
        <v>-2.01808582687406</v>
      </c>
      <c r="AG6550">
        <v>-1.121969213644</v>
      </c>
      <c r="AH6550">
        <v>6.2882576710784299</v>
      </c>
      <c r="AI6550">
        <v>99.641830547243899</v>
      </c>
      <c r="AJ6550">
        <v>107.79295519911901</v>
      </c>
      <c r="AK6550">
        <v>6.6987812218993703</v>
      </c>
      <c r="AL6550">
        <v>65.762727915403801</v>
      </c>
      <c r="AM6550">
        <v>110.518560054104</v>
      </c>
      <c r="AN6550">
        <v>1.0000000000349201</v>
      </c>
    </row>
    <row r="6551" spans="1:40" x14ac:dyDescent="0.25">
      <c r="A6551" t="str">
        <f>"20190304165015447"</f>
        <v>20190304165015447</v>
      </c>
      <c r="B6551" t="str">
        <f>"1551689415442024"</f>
        <v>1551689415442024</v>
      </c>
      <c r="C6551" t="s">
        <v>40</v>
      </c>
      <c r="D6551">
        <v>4.4944600000000001</v>
      </c>
      <c r="E6551">
        <v>0.51013350000000002</v>
      </c>
      <c r="F6551" t="s">
        <v>49</v>
      </c>
      <c r="G6551">
        <v>-292.95800000000003</v>
      </c>
      <c r="H6551" s="1">
        <v>-9.2530430000000003E-6</v>
      </c>
      <c r="I6551">
        <v>-54.919330000000002</v>
      </c>
      <c r="J6551">
        <v>-297.84300000000002</v>
      </c>
      <c r="K6551">
        <v>1.1219749999999999</v>
      </c>
      <c r="L6551">
        <v>-50.342440000000003</v>
      </c>
      <c r="M6551">
        <v>0.48707859999999997</v>
      </c>
      <c r="N6551">
        <v>-1.5687059999999999E-2</v>
      </c>
      <c r="O6551">
        <v>-0.87321729999999997</v>
      </c>
      <c r="P6551">
        <v>0.68796599999999997</v>
      </c>
      <c r="Q6551">
        <v>0.40494049999999998</v>
      </c>
      <c r="R6551">
        <v>-0.60226740000000001</v>
      </c>
      <c r="S6551">
        <v>2.5511780000000002</v>
      </c>
      <c r="T6551">
        <v>-0.56787100000000001</v>
      </c>
      <c r="U6551">
        <v>-2.4481199999999999</v>
      </c>
      <c r="V6551">
        <v>-0.318507599999999</v>
      </c>
      <c r="W6551">
        <v>0.41002919999999998</v>
      </c>
      <c r="X6551">
        <v>0.8546513</v>
      </c>
      <c r="Y6551">
        <v>-0.28476689999999999</v>
      </c>
      <c r="Z6551">
        <v>0.13755819999999999</v>
      </c>
      <c r="AA6551">
        <v>0.94867570000000001</v>
      </c>
      <c r="AB6551">
        <v>31</v>
      </c>
      <c r="AC6551">
        <v>4.8850000000000398</v>
      </c>
      <c r="AD6551">
        <v>-1.121984253043</v>
      </c>
      <c r="AE6551">
        <v>-4.5768899999999899</v>
      </c>
      <c r="AF6551">
        <v>-1.9809620387494999</v>
      </c>
      <c r="AG6551">
        <v>-1.121984253043</v>
      </c>
      <c r="AH6551">
        <v>6.2025391746858602</v>
      </c>
      <c r="AI6551">
        <v>99.776970804651597</v>
      </c>
      <c r="AJ6551">
        <v>107.71240088390699</v>
      </c>
      <c r="AK6551">
        <v>6.6071591078583696</v>
      </c>
      <c r="AL6551">
        <v>65.793329350795403</v>
      </c>
      <c r="AM6551">
        <v>110.43919195802999</v>
      </c>
      <c r="AN6551">
        <v>0.999999940351043</v>
      </c>
    </row>
    <row r="6552" spans="1:40" x14ac:dyDescent="0.25">
      <c r="A6552" t="str">
        <f>"20190304165015469"</f>
        <v>20190304165015469</v>
      </c>
      <c r="B6552" t="str">
        <f>"1551689415462520"</f>
        <v>1551689415462520</v>
      </c>
      <c r="C6552" t="s">
        <v>40</v>
      </c>
      <c r="D6552">
        <v>4.5078860000000001</v>
      </c>
      <c r="E6552">
        <v>0.51037849999999996</v>
      </c>
      <c r="F6552" t="s">
        <v>49</v>
      </c>
      <c r="G6552">
        <v>-292.78269999999998</v>
      </c>
      <c r="H6552" s="1">
        <v>-9.3012029999999999E-6</v>
      </c>
      <c r="I6552">
        <v>-55.075319999999998</v>
      </c>
      <c r="J6552">
        <v>-297.6875</v>
      </c>
      <c r="K6552">
        <v>1.121977</v>
      </c>
      <c r="L6552">
        <v>-50.594670000000001</v>
      </c>
      <c r="M6552">
        <v>0.49867929999999999</v>
      </c>
      <c r="N6552">
        <v>-1.5708369999999999E-2</v>
      </c>
      <c r="O6552">
        <v>-0.86664430000000003</v>
      </c>
      <c r="P6552">
        <v>0.69487600000000005</v>
      </c>
      <c r="Q6552">
        <v>0.40534989999999999</v>
      </c>
      <c r="R6552">
        <v>-0.59400209999999998</v>
      </c>
      <c r="S6552">
        <v>2.582916</v>
      </c>
      <c r="T6552">
        <v>-0.57269419999999904</v>
      </c>
      <c r="U6552">
        <v>-2.4158019999999998</v>
      </c>
      <c r="V6552">
        <v>-0.31713180000000002</v>
      </c>
      <c r="W6552">
        <v>0.41049059999999998</v>
      </c>
      <c r="X6552">
        <v>0.85494139999999996</v>
      </c>
      <c r="Y6552">
        <v>-0.28404889999999999</v>
      </c>
      <c r="Z6552">
        <v>0.13808029999999999</v>
      </c>
      <c r="AA6552">
        <v>0.94881510000000002</v>
      </c>
      <c r="AB6552">
        <v>31</v>
      </c>
      <c r="AC6552">
        <v>4.9048000000000203</v>
      </c>
      <c r="AD6552">
        <v>-1.121986301203</v>
      </c>
      <c r="AE6552">
        <v>-4.48064999999999</v>
      </c>
      <c r="AF6552">
        <v>-1.9606333279038</v>
      </c>
      <c r="AG6552">
        <v>-1.121986301203</v>
      </c>
      <c r="AH6552">
        <v>6.1542882976041904</v>
      </c>
      <c r="AI6552">
        <v>99.854380648444504</v>
      </c>
      <c r="AJ6552">
        <v>107.670839983497</v>
      </c>
      <c r="AK6552">
        <v>6.5557761368584098</v>
      </c>
      <c r="AL6552">
        <v>65.764341571584296</v>
      </c>
      <c r="AM6552">
        <v>110.35182232267999</v>
      </c>
      <c r="AN6552">
        <v>0.99999995434677902</v>
      </c>
    </row>
    <row r="6553" spans="1:40" x14ac:dyDescent="0.25">
      <c r="A6553" t="str">
        <f>"20190304165015491"</f>
        <v>20190304165015491</v>
      </c>
      <c r="B6553" t="str">
        <f>"1551689415482040"</f>
        <v>1551689415482040</v>
      </c>
      <c r="C6553" t="s">
        <v>40</v>
      </c>
      <c r="D6553">
        <v>4.4775519999999904</v>
      </c>
      <c r="E6553">
        <v>0.51558850000000001</v>
      </c>
      <c r="F6553" t="s">
        <v>49</v>
      </c>
      <c r="G6553">
        <v>-292.57279999999997</v>
      </c>
      <c r="H6553" s="1">
        <v>-9.3585110000000004E-6</v>
      </c>
      <c r="I6553">
        <v>-55.265729999999998</v>
      </c>
      <c r="J6553">
        <v>-297.53149999999999</v>
      </c>
      <c r="K6553">
        <v>1.121985</v>
      </c>
      <c r="L6553">
        <v>-50.840269999999997</v>
      </c>
      <c r="M6553">
        <v>0.5100017</v>
      </c>
      <c r="N6553">
        <v>-1.5721010000000001E-2</v>
      </c>
      <c r="O6553">
        <v>-0.86002979999999996</v>
      </c>
      <c r="P6553">
        <v>0.70197799999999999</v>
      </c>
      <c r="Q6553">
        <v>0.4069275</v>
      </c>
      <c r="R6553">
        <v>-0.5844973</v>
      </c>
      <c r="S6553">
        <v>2.612244</v>
      </c>
      <c r="T6553">
        <v>-0.57303870000000001</v>
      </c>
      <c r="U6553">
        <v>-2.3856809999999999</v>
      </c>
      <c r="V6553">
        <v>-0.31681239999999999</v>
      </c>
      <c r="W6553">
        <v>0.41207490000000002</v>
      </c>
      <c r="X6553">
        <v>0.85429750000000004</v>
      </c>
      <c r="Y6553">
        <v>-0.28280359999999899</v>
      </c>
      <c r="Z6553">
        <v>0.13739699999999999</v>
      </c>
      <c r="AA6553">
        <v>0.94928619999999997</v>
      </c>
      <c r="AB6553">
        <v>30</v>
      </c>
      <c r="AC6553">
        <v>4.9587000000000199</v>
      </c>
      <c r="AD6553">
        <v>-1.1219943585109999</v>
      </c>
      <c r="AE6553">
        <v>-4.4254600000000002</v>
      </c>
      <c r="AF6553">
        <v>-1.9522496500692701</v>
      </c>
      <c r="AG6553">
        <v>-1.1219943585109999</v>
      </c>
      <c r="AH6553">
        <v>6.1601996100191601</v>
      </c>
      <c r="AI6553">
        <v>99.849822849485804</v>
      </c>
      <c r="AJ6553">
        <v>107.58410494487801</v>
      </c>
      <c r="AK6553">
        <v>6.5588268213154004</v>
      </c>
      <c r="AL6553">
        <v>65.664756914013097</v>
      </c>
      <c r="AM6553">
        <v>110.347073190939</v>
      </c>
      <c r="AN6553">
        <v>1.00000001925501</v>
      </c>
    </row>
    <row r="6554" spans="1:40" x14ac:dyDescent="0.25">
      <c r="A6554" t="str">
        <f>"20190304165015514"</f>
        <v>20190304165015514</v>
      </c>
      <c r="B6554" t="str">
        <f>"1551689415502536"</f>
        <v>1551689415502536</v>
      </c>
      <c r="C6554" t="s">
        <v>40</v>
      </c>
      <c r="D6554">
        <v>4.4829999999999997</v>
      </c>
      <c r="E6554">
        <v>0.5161905</v>
      </c>
      <c r="F6554" t="s">
        <v>49</v>
      </c>
      <c r="G6554">
        <v>-292.7038</v>
      </c>
      <c r="H6554" s="1">
        <v>-9.3131569999999999E-6</v>
      </c>
      <c r="I6554">
        <v>-55.242910000000002</v>
      </c>
      <c r="J6554">
        <v>-297.3655</v>
      </c>
      <c r="K6554">
        <v>1.1220000000000001</v>
      </c>
      <c r="L6554">
        <v>-51.094209999999997</v>
      </c>
      <c r="M6554">
        <v>0.52172689999999999</v>
      </c>
      <c r="N6554">
        <v>-1.5720830000000002E-2</v>
      </c>
      <c r="O6554">
        <v>-0.8529677</v>
      </c>
      <c r="P6554">
        <v>0.7085804</v>
      </c>
      <c r="Q6554">
        <v>0.409466</v>
      </c>
      <c r="R6554">
        <v>-0.5746753</v>
      </c>
      <c r="S6554">
        <v>2.6305540000000001</v>
      </c>
      <c r="T6554">
        <v>-0.61136409999999997</v>
      </c>
      <c r="U6554">
        <v>-2.3989560000000001</v>
      </c>
      <c r="V6554">
        <v>-0.31582749999999998</v>
      </c>
      <c r="W6554">
        <v>0.41462529999999997</v>
      </c>
      <c r="X6554">
        <v>0.85342770000000001</v>
      </c>
      <c r="Y6554">
        <v>-0.2693875</v>
      </c>
      <c r="Z6554">
        <v>0.1447512</v>
      </c>
      <c r="AA6554">
        <v>0.95209109999999997</v>
      </c>
      <c r="AB6554">
        <v>30</v>
      </c>
      <c r="AC6554">
        <v>4.66169999999999</v>
      </c>
      <c r="AD6554">
        <v>-1.1220093131569999</v>
      </c>
      <c r="AE6554">
        <v>-4.1486999999999901</v>
      </c>
      <c r="AF6554">
        <v>-1.7552728379654401</v>
      </c>
      <c r="AG6554">
        <v>-1.1220093131569999</v>
      </c>
      <c r="AH6554">
        <v>5.7845827212270198</v>
      </c>
      <c r="AI6554">
        <v>100.51492960789101</v>
      </c>
      <c r="AJ6554">
        <v>106.879887420766</v>
      </c>
      <c r="AK6554">
        <v>6.1482749526374096</v>
      </c>
      <c r="AL6554">
        <v>65.504277788722703</v>
      </c>
      <c r="AM6554">
        <v>110.307972513058</v>
      </c>
      <c r="AN6554">
        <v>0.99999999414181495</v>
      </c>
    </row>
    <row r="6555" spans="1:40" x14ac:dyDescent="0.25">
      <c r="A6555" t="str">
        <f>"20190304165015540"</f>
        <v>20190304165015540</v>
      </c>
      <c r="B6555" t="str">
        <f>"1551689415531816"</f>
        <v>1551689415531816</v>
      </c>
      <c r="C6555" t="s">
        <v>40</v>
      </c>
      <c r="D6555">
        <v>4.4774789999999998</v>
      </c>
      <c r="E6555">
        <v>0.51700029999999997</v>
      </c>
      <c r="F6555" t="s">
        <v>49</v>
      </c>
      <c r="G6555">
        <v>-292.44299999999998</v>
      </c>
      <c r="H6555" s="1">
        <v>-9.3845729999999994E-6</v>
      </c>
      <c r="I6555">
        <v>-55.47739</v>
      </c>
      <c r="J6555">
        <v>-297.17919999999998</v>
      </c>
      <c r="K6555">
        <v>1.122001</v>
      </c>
      <c r="L6555">
        <v>-51.369779999999999</v>
      </c>
      <c r="M6555">
        <v>0.53448709999999999</v>
      </c>
      <c r="N6555">
        <v>-1.568959E-2</v>
      </c>
      <c r="O6555">
        <v>-0.84503119999999998</v>
      </c>
      <c r="P6555">
        <v>0.71584729999999996</v>
      </c>
      <c r="Q6555">
        <v>0.41149629999999998</v>
      </c>
      <c r="R6555">
        <v>-0.56412209999999996</v>
      </c>
      <c r="S6555">
        <v>2.6620180000000002</v>
      </c>
      <c r="T6555">
        <v>-0.60676619999999903</v>
      </c>
      <c r="U6555">
        <v>-2.3703609999999999</v>
      </c>
      <c r="V6555">
        <v>-0.31470520000000002</v>
      </c>
      <c r="W6555">
        <v>0.4166512</v>
      </c>
      <c r="X6555">
        <v>0.85285540000000004</v>
      </c>
      <c r="Y6555">
        <v>-0.26647979999999999</v>
      </c>
      <c r="Z6555">
        <v>0.14241280000000001</v>
      </c>
      <c r="AA6555">
        <v>0.95326129999999998</v>
      </c>
      <c r="AB6555">
        <v>30</v>
      </c>
      <c r="AC6555">
        <v>4.7361999999999904</v>
      </c>
      <c r="AD6555">
        <v>-1.1220103845730001</v>
      </c>
      <c r="AE6555">
        <v>-4.1076100000000002</v>
      </c>
      <c r="AF6555">
        <v>-1.75091264735729</v>
      </c>
      <c r="AG6555">
        <v>-1.1220103845730001</v>
      </c>
      <c r="AH6555">
        <v>5.8169185951785396</v>
      </c>
      <c r="AI6555">
        <v>100.464682963252</v>
      </c>
      <c r="AJ6555">
        <v>106.751976679214</v>
      </c>
      <c r="AK6555">
        <v>6.1774707077168198</v>
      </c>
      <c r="AL6555">
        <v>65.376655402304394</v>
      </c>
      <c r="AM6555">
        <v>110.25415290634299</v>
      </c>
      <c r="AN6555">
        <v>0.99999995933881902</v>
      </c>
    </row>
    <row r="6556" spans="1:40" x14ac:dyDescent="0.25">
      <c r="A6556" t="str">
        <f>"20190304165015562"</f>
        <v>20190304165015562</v>
      </c>
      <c r="B6556" t="str">
        <f>"1551689415552312"</f>
        <v>1551689415552312</v>
      </c>
      <c r="C6556" t="s">
        <v>40</v>
      </c>
      <c r="D6556">
        <v>4.4493850000000004</v>
      </c>
      <c r="E6556">
        <v>0.51723920000000001</v>
      </c>
      <c r="F6556" t="s">
        <v>49</v>
      </c>
      <c r="G6556">
        <v>-292.16770000000002</v>
      </c>
      <c r="H6556" s="1">
        <v>-9.4608990000000001E-6</v>
      </c>
      <c r="I6556">
        <v>-55.715110000000003</v>
      </c>
      <c r="J6556">
        <v>-297.0077</v>
      </c>
      <c r="K6556">
        <v>1.1219859999999999</v>
      </c>
      <c r="L6556">
        <v>-51.615810000000003</v>
      </c>
      <c r="M6556">
        <v>0.54588999999999999</v>
      </c>
      <c r="N6556">
        <v>-1.5630950000000001E-2</v>
      </c>
      <c r="O6556">
        <v>-0.83771099999999998</v>
      </c>
      <c r="P6556">
        <v>0.72305719999999996</v>
      </c>
      <c r="Q6556">
        <v>0.41205419999999998</v>
      </c>
      <c r="R6556">
        <v>-0.55443629999999999</v>
      </c>
      <c r="S6556">
        <v>2.6957399999999998</v>
      </c>
      <c r="T6556">
        <v>-0.60354919999999901</v>
      </c>
      <c r="U6556">
        <v>-2.3374329999999999</v>
      </c>
      <c r="V6556">
        <v>-0.31436920000000002</v>
      </c>
      <c r="W6556">
        <v>0.41716910000000001</v>
      </c>
      <c r="X6556">
        <v>0.85272619999999899</v>
      </c>
      <c r="Y6556">
        <v>-0.26616669999999998</v>
      </c>
      <c r="Z6556">
        <v>0.14067360000000001</v>
      </c>
      <c r="AA6556">
        <v>0.95360699999999998</v>
      </c>
      <c r="AB6556">
        <v>30</v>
      </c>
      <c r="AC6556">
        <v>4.8399999999999697</v>
      </c>
      <c r="AD6556">
        <v>-1.1219954608989999</v>
      </c>
      <c r="AE6556">
        <v>-4.0993000000000004</v>
      </c>
      <c r="AF6556">
        <v>-1.7618447111609301</v>
      </c>
      <c r="AG6556">
        <v>-1.1219954608989999</v>
      </c>
      <c r="AH6556">
        <v>5.89249093136777</v>
      </c>
      <c r="AI6556">
        <v>100.338827794165</v>
      </c>
      <c r="AJ6556">
        <v>106.646574896178</v>
      </c>
      <c r="AK6556">
        <v>6.2517533522024902</v>
      </c>
      <c r="AL6556">
        <v>65.344010810632795</v>
      </c>
      <c r="AM6556">
        <v>110.23709983687699</v>
      </c>
      <c r="AN6556">
        <v>1.0000000120349399</v>
      </c>
    </row>
    <row r="6557" spans="1:40" x14ac:dyDescent="0.25">
      <c r="A6557" t="str">
        <f>"20190304165015580"</f>
        <v>20190304165015580</v>
      </c>
      <c r="B6557" t="str">
        <f>"1551689415571833"</f>
        <v>1551689415571833</v>
      </c>
      <c r="C6557" t="s">
        <v>40</v>
      </c>
      <c r="D6557">
        <v>4.3530249999999997</v>
      </c>
      <c r="E6557">
        <v>0.52050289999999999</v>
      </c>
      <c r="F6557" t="s">
        <v>49</v>
      </c>
      <c r="G6557">
        <v>-291.93130000000002</v>
      </c>
      <c r="H6557" s="1">
        <v>-9.5284399999999995E-6</v>
      </c>
      <c r="I6557">
        <v>-55.89949</v>
      </c>
      <c r="J6557">
        <v>-296.86</v>
      </c>
      <c r="K6557">
        <v>1.1219650000000001</v>
      </c>
      <c r="L6557">
        <v>-51.822299999999998</v>
      </c>
      <c r="M6557">
        <v>0.55546139999999999</v>
      </c>
      <c r="N6557">
        <v>-1.5566429999999999E-2</v>
      </c>
      <c r="O6557">
        <v>-0.83139669999999899</v>
      </c>
      <c r="P6557">
        <v>0.72947469999999903</v>
      </c>
      <c r="Q6557">
        <v>0.41285179999999999</v>
      </c>
      <c r="R6557">
        <v>-0.54536240000000002</v>
      </c>
      <c r="S6557">
        <v>2.7276609999999999</v>
      </c>
      <c r="T6557">
        <v>-0.60287590000000002</v>
      </c>
      <c r="U6557">
        <v>-2.3017270000000001</v>
      </c>
      <c r="V6557">
        <v>-0.31488290000000002</v>
      </c>
      <c r="W6557">
        <v>0.41789569999999998</v>
      </c>
      <c r="X6557">
        <v>0.85218069999999901</v>
      </c>
      <c r="Y6557">
        <v>-0.26797549999999998</v>
      </c>
      <c r="Z6557">
        <v>0.13990079999999999</v>
      </c>
      <c r="AA6557">
        <v>0.95321400000000001</v>
      </c>
      <c r="AB6557">
        <v>30</v>
      </c>
      <c r="AC6557">
        <v>4.9286999999999903</v>
      </c>
      <c r="AD6557">
        <v>-1.12197452843999</v>
      </c>
      <c r="AE6557">
        <v>-4.0771899999999999</v>
      </c>
      <c r="AF6557">
        <v>-1.7784874713171199</v>
      </c>
      <c r="AG6557">
        <v>-1.12197452843999</v>
      </c>
      <c r="AH6557">
        <v>5.9452914152695104</v>
      </c>
      <c r="AI6557">
        <v>100.248379227019</v>
      </c>
      <c r="AJ6557">
        <v>106.654142665956</v>
      </c>
      <c r="AK6557">
        <v>6.3062139624799798</v>
      </c>
      <c r="AL6557">
        <v>65.298194682832801</v>
      </c>
      <c r="AM6557">
        <v>110.279397446438</v>
      </c>
      <c r="AN6557">
        <v>1.0000000011216901</v>
      </c>
    </row>
    <row r="6558" spans="1:40" x14ac:dyDescent="0.25">
      <c r="A6558" t="str">
        <f>"20190304165015603"</f>
        <v>20190304165015603</v>
      </c>
      <c r="B6558" t="str">
        <f>"1551689415592328"</f>
        <v>1551689415592328</v>
      </c>
      <c r="C6558" t="s">
        <v>40</v>
      </c>
      <c r="D6558">
        <v>4.3910739999999997</v>
      </c>
      <c r="E6558">
        <v>0.51479090000000005</v>
      </c>
      <c r="F6558" t="s">
        <v>49</v>
      </c>
      <c r="G6558">
        <v>-291.9563</v>
      </c>
      <c r="H6558" s="1">
        <v>-9.5174050000000001E-6</v>
      </c>
      <c r="I6558">
        <v>-55.919159999999998</v>
      </c>
      <c r="J6558">
        <v>-296.68279999999999</v>
      </c>
      <c r="K6558">
        <v>1.121934</v>
      </c>
      <c r="L6558">
        <v>-52.063569999999999</v>
      </c>
      <c r="M6558">
        <v>0.56665030000000005</v>
      </c>
      <c r="N6558">
        <v>-1.546966E-2</v>
      </c>
      <c r="O6558">
        <v>-0.82381299999999902</v>
      </c>
      <c r="P6558">
        <v>0.73669530000000005</v>
      </c>
      <c r="Q6558">
        <v>0.41367419999999999</v>
      </c>
      <c r="R6558">
        <v>-0.53493299999999999</v>
      </c>
      <c r="S6558">
        <v>2.7506710000000001</v>
      </c>
      <c r="T6558">
        <v>-0.62935209999999997</v>
      </c>
      <c r="U6558">
        <v>-2.2980649999999998</v>
      </c>
      <c r="V6558">
        <v>-0.31510709999999997</v>
      </c>
      <c r="W6558">
        <v>0.41863590000000001</v>
      </c>
      <c r="X6558">
        <v>0.8517344</v>
      </c>
      <c r="Y6558">
        <v>-0.25898379999999999</v>
      </c>
      <c r="Z6558">
        <v>0.14441570000000001</v>
      </c>
      <c r="AA6558">
        <v>0.9550244</v>
      </c>
      <c r="AB6558">
        <v>30</v>
      </c>
      <c r="AC6558">
        <v>4.7264999999999802</v>
      </c>
      <c r="AD6558">
        <v>-1.1219435174050001</v>
      </c>
      <c r="AE6558">
        <v>-3.8555899999999999</v>
      </c>
      <c r="AF6558">
        <v>-1.6532517465480601</v>
      </c>
      <c r="AG6558">
        <v>-1.1219435174050001</v>
      </c>
      <c r="AH6558">
        <v>5.66364307500106</v>
      </c>
      <c r="AI6558">
        <v>100.766795990364</v>
      </c>
      <c r="AJ6558">
        <v>106.27284487526499</v>
      </c>
      <c r="AK6558">
        <v>6.0057348821537904</v>
      </c>
      <c r="AL6558">
        <v>65.251503787873006</v>
      </c>
      <c r="AM6558">
        <v>110.302424769526</v>
      </c>
      <c r="AN6558">
        <v>0.99999999469128997</v>
      </c>
    </row>
    <row r="6559" spans="1:40" x14ac:dyDescent="0.25">
      <c r="A6559" t="str">
        <f>"20190304165015626"</f>
        <v>20190304165015626</v>
      </c>
      <c r="B6559" t="str">
        <f>"1551689415622583"</f>
        <v>1551689415622583</v>
      </c>
      <c r="C6559" t="s">
        <v>40</v>
      </c>
      <c r="D6559">
        <v>4.464486</v>
      </c>
      <c r="E6559">
        <v>0.50052129999999995</v>
      </c>
      <c r="F6559" t="s">
        <v>49</v>
      </c>
      <c r="G6559">
        <v>-290.93459999999999</v>
      </c>
      <c r="H6559" s="1">
        <v>-9.8200639999999992E-6</v>
      </c>
      <c r="I6559">
        <v>-56.607799999999997</v>
      </c>
      <c r="J6559">
        <v>-296.50080000000003</v>
      </c>
      <c r="K6559">
        <v>1.1218809999999999</v>
      </c>
      <c r="L6559">
        <v>-52.30444</v>
      </c>
      <c r="M6559">
        <v>0.57781870000000002</v>
      </c>
      <c r="N6559">
        <v>-1.535239E-2</v>
      </c>
      <c r="O6559">
        <v>-0.81602089999999905</v>
      </c>
      <c r="P6559">
        <v>0.74355799999999905</v>
      </c>
      <c r="Q6559">
        <v>0.41423369999999998</v>
      </c>
      <c r="R6559">
        <v>-0.52491180000000004</v>
      </c>
      <c r="S6559">
        <v>2.7807309999999998</v>
      </c>
      <c r="T6559">
        <v>-0.54275509999999905</v>
      </c>
      <c r="U6559">
        <v>-2.198334</v>
      </c>
      <c r="V6559">
        <v>-0.31476779999999999</v>
      </c>
      <c r="W6559">
        <v>0.4191221</v>
      </c>
      <c r="X6559">
        <v>0.85162070000000001</v>
      </c>
      <c r="Y6559">
        <v>-0.27413199999999999</v>
      </c>
      <c r="Z6559">
        <v>0.12488349999999999</v>
      </c>
      <c r="AA6559">
        <v>0.95354899999999998</v>
      </c>
      <c r="AB6559">
        <v>30</v>
      </c>
      <c r="AC6559">
        <v>5.5662000000000296</v>
      </c>
      <c r="AD6559">
        <v>-1.1218908200640001</v>
      </c>
      <c r="AE6559">
        <v>-4.3033599999999899</v>
      </c>
      <c r="AF6559">
        <v>-2.0048400429502</v>
      </c>
      <c r="AG6559">
        <v>-1.1218908200640001</v>
      </c>
      <c r="AH6559">
        <v>6.5618352016806201</v>
      </c>
      <c r="AI6559">
        <v>99.286290512252805</v>
      </c>
      <c r="AJ6559">
        <v>106.98950432481401</v>
      </c>
      <c r="AK6559">
        <v>6.9523883539381996</v>
      </c>
      <c r="AL6559">
        <v>65.2208245367693</v>
      </c>
      <c r="AM6559">
        <v>110.284832745012</v>
      </c>
      <c r="AN6559">
        <v>0.99999995964686905</v>
      </c>
    </row>
    <row r="6560" spans="1:40" x14ac:dyDescent="0.25">
      <c r="A6560" t="str">
        <f>"20190304165015648"</f>
        <v>20190304165015648</v>
      </c>
      <c r="B6560" t="str">
        <f>"1551689415642104"</f>
        <v>1551689415642104</v>
      </c>
      <c r="C6560" t="s">
        <v>40</v>
      </c>
      <c r="D6560">
        <v>4.4032489999999997</v>
      </c>
      <c r="E6560">
        <v>0.48780440000000003</v>
      </c>
      <c r="F6560" t="s">
        <v>49</v>
      </c>
      <c r="G6560">
        <v>-290.01749999999998</v>
      </c>
      <c r="H6560" s="1">
        <v>-1.0118440000000001E-5</v>
      </c>
      <c r="I6560">
        <v>-56.959139999999998</v>
      </c>
      <c r="J6560">
        <v>-296.31810000000002</v>
      </c>
      <c r="K6560">
        <v>1.121823</v>
      </c>
      <c r="L6560">
        <v>-52.539790000000004</v>
      </c>
      <c r="M6560">
        <v>0.58872159999999996</v>
      </c>
      <c r="N6560">
        <v>-1.5222390000000001E-2</v>
      </c>
      <c r="O6560">
        <v>-0.80819249999999998</v>
      </c>
      <c r="P6560">
        <v>0.75024169999999901</v>
      </c>
      <c r="Q6560">
        <v>0.41390130000000003</v>
      </c>
      <c r="R6560">
        <v>-0.51558000000000004</v>
      </c>
      <c r="S6560">
        <v>2.8605960000000001</v>
      </c>
      <c r="T6560">
        <v>-0.49500660000000002</v>
      </c>
      <c r="U6560">
        <v>-2.0537719999999999</v>
      </c>
      <c r="V6560">
        <v>-0.3140734</v>
      </c>
      <c r="W6560">
        <v>0.41872730000000002</v>
      </c>
      <c r="X6560">
        <v>0.85207119999999903</v>
      </c>
      <c r="Y6560">
        <v>-0.30639480000000002</v>
      </c>
      <c r="Z6560">
        <v>0.1148361</v>
      </c>
      <c r="AA6560">
        <v>0.94495229999999997</v>
      </c>
      <c r="AB6560">
        <v>30</v>
      </c>
      <c r="AC6560">
        <v>6.3006000000000304</v>
      </c>
      <c r="AD6560">
        <v>-1.1218331184399899</v>
      </c>
      <c r="AE6560">
        <v>-4.4193499999999997</v>
      </c>
      <c r="AF6560">
        <v>-2.4387987267303299</v>
      </c>
      <c r="AG6560">
        <v>-1.1218331184399899</v>
      </c>
      <c r="AH6560">
        <v>7.13032023935315</v>
      </c>
      <c r="AI6560">
        <v>98.467208303347604</v>
      </c>
      <c r="AJ6560">
        <v>108.882336864107</v>
      </c>
      <c r="AK6560">
        <v>7.61890513727921</v>
      </c>
      <c r="AL6560">
        <v>65.245737099917903</v>
      </c>
      <c r="AM6560">
        <v>110.23388386227001</v>
      </c>
      <c r="AN6560">
        <v>0.99999999111114402</v>
      </c>
    </row>
    <row r="6561" spans="1:40" x14ac:dyDescent="0.25">
      <c r="A6561" t="str">
        <f>"20190304165015670"</f>
        <v>20190304165015670</v>
      </c>
      <c r="B6561" t="str">
        <f>"1551689415662600"</f>
        <v>1551689415662600</v>
      </c>
      <c r="C6561" t="s">
        <v>40</v>
      </c>
      <c r="D6561">
        <v>4.4178620000000004</v>
      </c>
      <c r="E6561">
        <v>0.48347410000000002</v>
      </c>
      <c r="F6561" t="s">
        <v>49</v>
      </c>
      <c r="G6561">
        <v>-288.89530000000002</v>
      </c>
      <c r="H6561" s="1">
        <v>-2.1649269999999999E-6</v>
      </c>
      <c r="I6561">
        <v>-57.402920000000002</v>
      </c>
      <c r="J6561">
        <v>-296.13709999999998</v>
      </c>
      <c r="K6561">
        <v>1.121761</v>
      </c>
      <c r="L6561">
        <v>-52.766599999999997</v>
      </c>
      <c r="M6561">
        <v>0.59921489999999999</v>
      </c>
      <c r="N6561">
        <v>-1.508546E-2</v>
      </c>
      <c r="O6561">
        <v>-0.80044609999999905</v>
      </c>
      <c r="P6561">
        <v>0.75696149999999995</v>
      </c>
      <c r="Q6561">
        <v>0.41243629999999998</v>
      </c>
      <c r="R6561">
        <v>-0.50685829999999998</v>
      </c>
      <c r="S6561">
        <v>2.9254760000000002</v>
      </c>
      <c r="T6561">
        <v>-0.44213400000000003</v>
      </c>
      <c r="U6561">
        <v>-1.9166559999999999</v>
      </c>
      <c r="V6561">
        <v>-0.3133782</v>
      </c>
      <c r="W6561">
        <v>0.41720459999999898</v>
      </c>
      <c r="X6561">
        <v>0.85307350000000004</v>
      </c>
      <c r="Y6561">
        <v>-0.33548549999999999</v>
      </c>
      <c r="Z6561">
        <v>0.1031488</v>
      </c>
      <c r="AA6561">
        <v>0.93638120000000002</v>
      </c>
      <c r="AB6561">
        <v>30</v>
      </c>
      <c r="AC6561">
        <v>7.2417999999999498</v>
      </c>
      <c r="AD6561">
        <v>-1.1217631649269999</v>
      </c>
      <c r="AE6561">
        <v>-4.6363199999999898</v>
      </c>
      <c r="AF6561">
        <v>-2.9683444707178102</v>
      </c>
      <c r="AG6561">
        <v>-1.1217631649269999</v>
      </c>
      <c r="AH6561">
        <v>7.9167023204467899</v>
      </c>
      <c r="AI6561">
        <v>97.557645972938303</v>
      </c>
      <c r="AJ6561">
        <v>110.55338723305201</v>
      </c>
      <c r="AK6561">
        <v>8.5289857032120509</v>
      </c>
      <c r="AL6561">
        <v>65.341772046077494</v>
      </c>
      <c r="AM6561">
        <v>110.170905583086</v>
      </c>
      <c r="AN6561">
        <v>0.999999985449325</v>
      </c>
    </row>
    <row r="6562" spans="1:40" x14ac:dyDescent="0.25">
      <c r="A6562" t="str">
        <f>"20190304165015692"</f>
        <v>20190304165015692</v>
      </c>
      <c r="B6562" t="str">
        <f>"1551689415682120"</f>
        <v>1551689415682120</v>
      </c>
      <c r="C6562" t="s">
        <v>40</v>
      </c>
      <c r="D6562">
        <v>4.3967039999999997</v>
      </c>
      <c r="E6562">
        <v>0.48241669999999998</v>
      </c>
      <c r="F6562" t="s">
        <v>49</v>
      </c>
      <c r="G6562">
        <v>-288.42579999999998</v>
      </c>
      <c r="H6562" s="1">
        <v>-2.4039629999999998E-6</v>
      </c>
      <c r="I6562">
        <v>-57.577590000000001</v>
      </c>
      <c r="J6562">
        <v>-295.94929999999999</v>
      </c>
      <c r="K6562">
        <v>1.121704</v>
      </c>
      <c r="L6562">
        <v>-52.995939999999997</v>
      </c>
      <c r="M6562">
        <v>0.60980699999999999</v>
      </c>
      <c r="N6562">
        <v>-1.4936359999999999E-2</v>
      </c>
      <c r="O6562">
        <v>-0.79240919999999904</v>
      </c>
      <c r="P6562">
        <v>0.76293659999999996</v>
      </c>
      <c r="Q6562">
        <v>0.41184939999999998</v>
      </c>
      <c r="R6562">
        <v>-0.49830459999999899</v>
      </c>
      <c r="S6562">
        <v>2.9609380000000001</v>
      </c>
      <c r="T6562">
        <v>-0.43072700000000003</v>
      </c>
      <c r="U6562">
        <v>-1.8472900000000001</v>
      </c>
      <c r="V6562">
        <v>-0.3118187</v>
      </c>
      <c r="W6562">
        <v>0.41657189999999999</v>
      </c>
      <c r="X6562">
        <v>0.85395370000000004</v>
      </c>
      <c r="Y6562">
        <v>-0.34401399999999999</v>
      </c>
      <c r="Z6562">
        <v>0.10037160000000001</v>
      </c>
      <c r="AA6562">
        <v>0.93358450000000004</v>
      </c>
      <c r="AB6562">
        <v>30</v>
      </c>
      <c r="AC6562">
        <v>7.5235000000000101</v>
      </c>
      <c r="AD6562">
        <v>-1.121706403963</v>
      </c>
      <c r="AE6562">
        <v>-4.58164999999999</v>
      </c>
      <c r="AF6562">
        <v>-3.1175692078852699</v>
      </c>
      <c r="AG6562">
        <v>-1.121706403963</v>
      </c>
      <c r="AH6562">
        <v>8.08818839139348</v>
      </c>
      <c r="AI6562">
        <v>97.373355642575405</v>
      </c>
      <c r="AJ6562">
        <v>111.079015047319</v>
      </c>
      <c r="AK6562">
        <v>8.7404950933753298</v>
      </c>
      <c r="AL6562">
        <v>65.381654038623097</v>
      </c>
      <c r="AM6562">
        <v>110.05951814805999</v>
      </c>
      <c r="AN6562">
        <v>0.99999998564149395</v>
      </c>
    </row>
    <row r="6563" spans="1:40" x14ac:dyDescent="0.25">
      <c r="A6563" t="str">
        <f>"20190304165015715"</f>
        <v>20190304165015715</v>
      </c>
      <c r="B6563" t="str">
        <f>"1551689415712376"</f>
        <v>1551689415712376</v>
      </c>
      <c r="C6563" t="s">
        <v>40</v>
      </c>
      <c r="D6563">
        <v>4.3742070000000002</v>
      </c>
      <c r="E6563">
        <v>0.48216100000000001</v>
      </c>
      <c r="F6563" t="s">
        <v>49</v>
      </c>
      <c r="G6563">
        <v>-288.08229999999998</v>
      </c>
      <c r="H6563" s="1">
        <v>-2.5688179999999999E-6</v>
      </c>
      <c r="I6563">
        <v>-57.750680000000003</v>
      </c>
      <c r="J6563">
        <v>-295.7611</v>
      </c>
      <c r="K6563">
        <v>1.1216410000000001</v>
      </c>
      <c r="L6563">
        <v>-53.219819999999999</v>
      </c>
      <c r="M6563">
        <v>0.62012599999999996</v>
      </c>
      <c r="N6563">
        <v>-1.478254E-2</v>
      </c>
      <c r="O6563">
        <v>-0.78436300000000003</v>
      </c>
      <c r="P6563">
        <v>0.76808520000000002</v>
      </c>
      <c r="Q6563">
        <v>0.41168949999999999</v>
      </c>
      <c r="R6563">
        <v>-0.49046640000000002</v>
      </c>
      <c r="S6563">
        <v>2.9839169999999999</v>
      </c>
      <c r="T6563">
        <v>-0.4254541</v>
      </c>
      <c r="U6563">
        <v>-1.803436</v>
      </c>
      <c r="V6563">
        <v>-0.30939290000000003</v>
      </c>
      <c r="W6563">
        <v>0.41638419999999998</v>
      </c>
      <c r="X6563">
        <v>0.85492710000000005</v>
      </c>
      <c r="Y6563">
        <v>-0.345109</v>
      </c>
      <c r="Z6563">
        <v>9.8688360000000003E-2</v>
      </c>
      <c r="AA6563">
        <v>0.93335970000000001</v>
      </c>
      <c r="AB6563">
        <v>30</v>
      </c>
      <c r="AC6563">
        <v>7.6788000000000203</v>
      </c>
      <c r="AD6563">
        <v>-1.121643568818</v>
      </c>
      <c r="AE6563">
        <v>-4.5308599999999997</v>
      </c>
      <c r="AF6563">
        <v>-3.1635458995477901</v>
      </c>
      <c r="AG6563">
        <v>-1.121643568818</v>
      </c>
      <c r="AH6563">
        <v>8.1869999045433506</v>
      </c>
      <c r="AI6563">
        <v>97.282589826712098</v>
      </c>
      <c r="AJ6563">
        <v>111.12707475860999</v>
      </c>
      <c r="AK6563">
        <v>8.84833738003978</v>
      </c>
      <c r="AL6563">
        <v>65.393485068763596</v>
      </c>
      <c r="AM6563">
        <v>109.894880918883</v>
      </c>
      <c r="AN6563">
        <v>1.0000000574472201</v>
      </c>
    </row>
    <row r="6564" spans="1:40" x14ac:dyDescent="0.25">
      <c r="A6564" t="str">
        <f>"20190304165015739"</f>
        <v>20190304165015739</v>
      </c>
      <c r="B6564" t="str">
        <f>"1551689415731896"</f>
        <v>1551689415731896</v>
      </c>
      <c r="C6564" t="s">
        <v>40</v>
      </c>
      <c r="D6564">
        <v>4.4018680000000003</v>
      </c>
      <c r="E6564">
        <v>0.4824001</v>
      </c>
      <c r="F6564" t="s">
        <v>49</v>
      </c>
      <c r="G6564">
        <v>-287.84390000000002</v>
      </c>
      <c r="H6564" s="1">
        <v>-2.6805910000000002E-6</v>
      </c>
      <c r="I6564">
        <v>-57.882440000000003</v>
      </c>
      <c r="J6564">
        <v>-295.55430000000001</v>
      </c>
      <c r="K6564">
        <v>1.121591</v>
      </c>
      <c r="L6564">
        <v>-53.458649999999999</v>
      </c>
      <c r="M6564">
        <v>0.63112159999999995</v>
      </c>
      <c r="N6564">
        <v>-1.4619699999999999E-2</v>
      </c>
      <c r="O6564">
        <v>-0.77554630000000002</v>
      </c>
      <c r="P6564">
        <v>0.77370799999999995</v>
      </c>
      <c r="Q6564">
        <v>0.4119428</v>
      </c>
      <c r="R6564">
        <v>-0.4813307</v>
      </c>
      <c r="S6564">
        <v>3.0042110000000002</v>
      </c>
      <c r="T6564">
        <v>-0.42561339999999998</v>
      </c>
      <c r="U6564">
        <v>-1.7692570000000001</v>
      </c>
      <c r="V6564">
        <v>-0.30732159999999997</v>
      </c>
      <c r="W6564">
        <v>0.41658659999999997</v>
      </c>
      <c r="X6564">
        <v>0.85557530000000004</v>
      </c>
      <c r="Y6564">
        <v>-0.34256599999999998</v>
      </c>
      <c r="Z6564">
        <v>9.8049609999999995E-2</v>
      </c>
      <c r="AA6564">
        <v>0.93436330000000001</v>
      </c>
      <c r="AB6564">
        <v>30</v>
      </c>
      <c r="AC6564">
        <v>7.7103999999999902</v>
      </c>
      <c r="AD6564">
        <v>-1.1215936805910001</v>
      </c>
      <c r="AE6564">
        <v>-4.4237900000000003</v>
      </c>
      <c r="AF6564">
        <v>-3.1382040066324799</v>
      </c>
      <c r="AG6564">
        <v>-1.1215936805910001</v>
      </c>
      <c r="AH6564">
        <v>8.1679095239096302</v>
      </c>
      <c r="AI6564">
        <v>97.304436500758001</v>
      </c>
      <c r="AJ6564">
        <v>111.01734482043</v>
      </c>
      <c r="AK6564">
        <v>8.8216235899271602</v>
      </c>
      <c r="AL6564">
        <v>65.380728674784294</v>
      </c>
      <c r="AM6564">
        <v>109.75822611814399</v>
      </c>
      <c r="AN6564">
        <v>1.0000000275481</v>
      </c>
    </row>
    <row r="6565" spans="1:40" x14ac:dyDescent="0.25">
      <c r="A6565" t="str">
        <f>"20190304165015761"</f>
        <v>20190304165015761</v>
      </c>
      <c r="B6565" t="str">
        <f>"1551689415752392"</f>
        <v>1551689415752392</v>
      </c>
      <c r="C6565" t="s">
        <v>40</v>
      </c>
      <c r="D6565">
        <v>4.3970710000000004</v>
      </c>
      <c r="E6565">
        <v>0.48286020000000002</v>
      </c>
      <c r="F6565" t="s">
        <v>49</v>
      </c>
      <c r="G6565">
        <v>-287.55079999999998</v>
      </c>
      <c r="H6565" s="1">
        <v>-2.8177600000000001E-6</v>
      </c>
      <c r="I6565">
        <v>-58.045859999999998</v>
      </c>
      <c r="J6565">
        <v>-295.3596</v>
      </c>
      <c r="K6565">
        <v>1.1215580000000001</v>
      </c>
      <c r="L6565">
        <v>-53.6776699999999</v>
      </c>
      <c r="M6565">
        <v>0.64118750000000002</v>
      </c>
      <c r="N6565">
        <v>-1.447421E-2</v>
      </c>
      <c r="O6565">
        <v>-0.76724780000000004</v>
      </c>
      <c r="P6565">
        <v>0.77826850000000003</v>
      </c>
      <c r="Q6565">
        <v>0.4128887</v>
      </c>
      <c r="R6565">
        <v>-0.4730972</v>
      </c>
      <c r="S6565">
        <v>3.0246580000000001</v>
      </c>
      <c r="T6565">
        <v>-0.42386879999999999</v>
      </c>
      <c r="U6565">
        <v>-1.733582</v>
      </c>
      <c r="V6565">
        <v>-0.30482749999999997</v>
      </c>
      <c r="W6565">
        <v>0.41749979999999998</v>
      </c>
      <c r="X6565">
        <v>0.85602230000000001</v>
      </c>
      <c r="Y6565">
        <v>-0.341418</v>
      </c>
      <c r="Z6565">
        <v>9.7022789999999998E-2</v>
      </c>
      <c r="AA6565">
        <v>0.93489060000000002</v>
      </c>
      <c r="AB6565">
        <v>30</v>
      </c>
      <c r="AC6565">
        <v>7.8088000000000104</v>
      </c>
      <c r="AD6565">
        <v>-1.1215608177600001</v>
      </c>
      <c r="AE6565">
        <v>-4.3681900000000002</v>
      </c>
      <c r="AF6565">
        <v>-3.14143092865414</v>
      </c>
      <c r="AG6565">
        <v>-1.1215608177600001</v>
      </c>
      <c r="AH6565">
        <v>8.2299532651135401</v>
      </c>
      <c r="AI6565">
        <v>97.255749635474203</v>
      </c>
      <c r="AJ6565">
        <v>110.89220652714801</v>
      </c>
      <c r="AK6565">
        <v>8.8802374795605701</v>
      </c>
      <c r="AL6565">
        <v>65.323161124247406</v>
      </c>
      <c r="AM6565">
        <v>109.600693210895</v>
      </c>
      <c r="AN6565">
        <v>1.00000003292678</v>
      </c>
    </row>
    <row r="6566" spans="1:40" x14ac:dyDescent="0.25">
      <c r="A6566" t="str">
        <f>"20190304165015782"</f>
        <v>20190304165015782</v>
      </c>
      <c r="B6566" t="str">
        <f>"1551689415771913"</f>
        <v>1551689415771913</v>
      </c>
      <c r="C6566" t="s">
        <v>40</v>
      </c>
      <c r="D6566">
        <v>4.3994359999999997</v>
      </c>
      <c r="E6566">
        <v>0.48334680000000002</v>
      </c>
      <c r="F6566" t="s">
        <v>49</v>
      </c>
      <c r="G6566">
        <v>-287.2638</v>
      </c>
      <c r="H6566" s="1">
        <v>-2.9513090000000001E-6</v>
      </c>
      <c r="I6566">
        <v>-58.209319999999998</v>
      </c>
      <c r="J6566">
        <v>-295.16149999999999</v>
      </c>
      <c r="K6566">
        <v>1.121534</v>
      </c>
      <c r="L6566">
        <v>-53.894710000000003</v>
      </c>
      <c r="M6566">
        <v>0.65115179999999995</v>
      </c>
      <c r="N6566">
        <v>-1.4335820000000001E-2</v>
      </c>
      <c r="O6566">
        <v>-0.75881219999999905</v>
      </c>
      <c r="P6566">
        <v>0.78320749999999995</v>
      </c>
      <c r="Q6566">
        <v>0.41322589999999998</v>
      </c>
      <c r="R6566">
        <v>-0.46457569999999998</v>
      </c>
      <c r="S6566">
        <v>3.0429689999999998</v>
      </c>
      <c r="T6566">
        <v>-0.42156080000000001</v>
      </c>
      <c r="U6566">
        <v>-1.703308</v>
      </c>
      <c r="V6566">
        <v>-0.30282819999999999</v>
      </c>
      <c r="W6566">
        <v>0.41779349999999998</v>
      </c>
      <c r="X6566">
        <v>0.85658840000000003</v>
      </c>
      <c r="Y6566">
        <v>-0.3387445</v>
      </c>
      <c r="Z6566">
        <v>9.5726329999999998E-2</v>
      </c>
      <c r="AA6566">
        <v>0.9359961</v>
      </c>
      <c r="AB6566">
        <v>30</v>
      </c>
      <c r="AC6566">
        <v>7.89769999999998</v>
      </c>
      <c r="AD6566">
        <v>-1.1215369513089899</v>
      </c>
      <c r="AE6566">
        <v>-4.3146100000000001</v>
      </c>
      <c r="AF6566">
        <v>-3.1350417849257299</v>
      </c>
      <c r="AG6566">
        <v>-1.1215369513089899</v>
      </c>
      <c r="AH6566">
        <v>8.2887130255233998</v>
      </c>
      <c r="AI6566">
        <v>97.212937731969504</v>
      </c>
      <c r="AJ6566">
        <v>110.718132996137</v>
      </c>
      <c r="AK6566">
        <v>8.9324742230729708</v>
      </c>
      <c r="AL6566">
        <v>65.304640092294704</v>
      </c>
      <c r="AM6566">
        <v>109.46994034206099</v>
      </c>
      <c r="AN6566">
        <v>1.00000000718602</v>
      </c>
    </row>
    <row r="6567" spans="1:40" x14ac:dyDescent="0.25">
      <c r="A6567" t="str">
        <f>"20190304165015804"</f>
        <v>20190304165015804</v>
      </c>
      <c r="B6567" t="str">
        <f>"1551689415792408"</f>
        <v>1551689415792408</v>
      </c>
      <c r="C6567" t="s">
        <v>40</v>
      </c>
      <c r="D6567">
        <v>4.426488</v>
      </c>
      <c r="E6567">
        <v>0.48397889999999999</v>
      </c>
      <c r="F6567" t="s">
        <v>49</v>
      </c>
      <c r="G6567">
        <v>-287.0335</v>
      </c>
      <c r="H6567" s="1">
        <v>-3.06025E-6</v>
      </c>
      <c r="I6567">
        <v>-58.3324199999999</v>
      </c>
      <c r="J6567">
        <v>-294.96730000000002</v>
      </c>
      <c r="K6567">
        <v>1.121513</v>
      </c>
      <c r="L6567">
        <v>-54.102290000000004</v>
      </c>
      <c r="M6567">
        <v>0.66067399999999998</v>
      </c>
      <c r="N6567">
        <v>-1.4206740000000001E-2</v>
      </c>
      <c r="O6567">
        <v>-0.75053840000000005</v>
      </c>
      <c r="P6567">
        <v>0.7880722</v>
      </c>
      <c r="Q6567">
        <v>0.4137169</v>
      </c>
      <c r="R6567">
        <v>-0.4558295</v>
      </c>
      <c r="S6567">
        <v>3.0617369999999999</v>
      </c>
      <c r="T6567">
        <v>-0.4224696</v>
      </c>
      <c r="U6567">
        <v>-1.6716310000000001</v>
      </c>
      <c r="V6567">
        <v>-0.3013479</v>
      </c>
      <c r="W6567">
        <v>0.41822710000000002</v>
      </c>
      <c r="X6567">
        <v>0.85689879999999996</v>
      </c>
      <c r="Y6567">
        <v>-0.3367771</v>
      </c>
      <c r="Z6567">
        <v>9.5253039999999997E-2</v>
      </c>
      <c r="AA6567">
        <v>0.93675399999999998</v>
      </c>
      <c r="AB6567">
        <v>30</v>
      </c>
      <c r="AC6567">
        <v>7.9338000000000104</v>
      </c>
      <c r="AD6567">
        <v>-1.1215160602500001</v>
      </c>
      <c r="AE6567">
        <v>-4.2301299999999804</v>
      </c>
      <c r="AF6567">
        <v>-3.1117866944880501</v>
      </c>
      <c r="AG6567">
        <v>-1.1215160602500001</v>
      </c>
      <c r="AH6567">
        <v>8.2884187743006894</v>
      </c>
      <c r="AI6567">
        <v>97.219637155363202</v>
      </c>
      <c r="AJ6567">
        <v>110.578039550721</v>
      </c>
      <c r="AK6567">
        <v>8.9240630031153199</v>
      </c>
      <c r="AL6567">
        <v>65.277292825844896</v>
      </c>
      <c r="AM6567">
        <v>109.375380423035</v>
      </c>
      <c r="AN6567">
        <v>1.00000000872513</v>
      </c>
    </row>
    <row r="6568" spans="1:40" x14ac:dyDescent="0.25">
      <c r="A6568" t="str">
        <f>"20190304165015829"</f>
        <v>20190304165015829</v>
      </c>
      <c r="B6568" t="str">
        <f>"1551689415822664"</f>
        <v>1551689415822664</v>
      </c>
      <c r="C6568" t="s">
        <v>40</v>
      </c>
      <c r="D6568">
        <v>4.4238499999999998</v>
      </c>
      <c r="E6568">
        <v>0.484898</v>
      </c>
      <c r="F6568" t="s">
        <v>49</v>
      </c>
      <c r="G6568">
        <v>-286.75439999999998</v>
      </c>
      <c r="H6568" s="1">
        <v>-3.1935119999999999E-6</v>
      </c>
      <c r="I6568">
        <v>-58.476170000000003</v>
      </c>
      <c r="J6568">
        <v>-294.74299999999999</v>
      </c>
      <c r="K6568">
        <v>1.1214900000000001</v>
      </c>
      <c r="L6568">
        <v>-54.335659999999997</v>
      </c>
      <c r="M6568">
        <v>0.67136809999999902</v>
      </c>
      <c r="N6568">
        <v>-1.406512E-2</v>
      </c>
      <c r="O6568">
        <v>-0.74099079999999995</v>
      </c>
      <c r="P6568">
        <v>0.7935489</v>
      </c>
      <c r="Q6568">
        <v>0.41415210000000002</v>
      </c>
      <c r="R6568">
        <v>-0.44582359999999999</v>
      </c>
      <c r="S6568">
        <v>3.0790410000000001</v>
      </c>
      <c r="T6568">
        <v>-0.42045830000000001</v>
      </c>
      <c r="U6568">
        <v>-1.6397710000000001</v>
      </c>
      <c r="V6568">
        <v>-0.29971700000000001</v>
      </c>
      <c r="W6568">
        <v>0.41859869999999999</v>
      </c>
      <c r="X6568">
        <v>0.85728930000000003</v>
      </c>
      <c r="Y6568">
        <v>-0.33312839999999999</v>
      </c>
      <c r="Z6568">
        <v>9.3910279999999999E-2</v>
      </c>
      <c r="AA6568">
        <v>0.9381931</v>
      </c>
      <c r="AB6568">
        <v>30</v>
      </c>
      <c r="AC6568">
        <v>7.9886000000000097</v>
      </c>
      <c r="AD6568">
        <v>-1.1214931935119901</v>
      </c>
      <c r="AE6568">
        <v>-4.1405099999999901</v>
      </c>
      <c r="AF6568">
        <v>-3.0919490926214301</v>
      </c>
      <c r="AG6568">
        <v>-1.1214931935119901</v>
      </c>
      <c r="AH6568">
        <v>8.3032124241692102</v>
      </c>
      <c r="AI6568">
        <v>97.213921204007903</v>
      </c>
      <c r="AJ6568">
        <v>110.424317401951</v>
      </c>
      <c r="AK6568">
        <v>8.9309144400410698</v>
      </c>
      <c r="AL6568">
        <v>65.253852130270005</v>
      </c>
      <c r="AM6568">
        <v>109.270142255278</v>
      </c>
      <c r="AN6568">
        <v>1.0000000478125799</v>
      </c>
    </row>
    <row r="6569" spans="1:40" x14ac:dyDescent="0.25">
      <c r="A6569" t="str">
        <f>"20190304165015849"</f>
        <v>20190304165015849</v>
      </c>
      <c r="B6569" t="str">
        <f>"1551689415842184"</f>
        <v>1551689415842184</v>
      </c>
      <c r="C6569" t="s">
        <v>40</v>
      </c>
      <c r="D6569">
        <v>4.3874750000000002</v>
      </c>
      <c r="E6569">
        <v>0.48545880000000002</v>
      </c>
      <c r="F6569" t="s">
        <v>49</v>
      </c>
      <c r="G6569">
        <v>-286.50540000000001</v>
      </c>
      <c r="H6569" s="1">
        <v>-3.3129180000000002E-6</v>
      </c>
      <c r="I6569">
        <v>-58.601939999999999</v>
      </c>
      <c r="J6569">
        <v>-294.54160000000002</v>
      </c>
      <c r="K6569">
        <v>1.121469</v>
      </c>
      <c r="L6569">
        <v>-54.539760000000001</v>
      </c>
      <c r="M6569">
        <v>0.68070050000000004</v>
      </c>
      <c r="N6569">
        <v>-1.3947849999999999E-2</v>
      </c>
      <c r="O6569">
        <v>-0.732429</v>
      </c>
      <c r="P6569">
        <v>0.79875030000000002</v>
      </c>
      <c r="Q6569">
        <v>0.41413309999999998</v>
      </c>
      <c r="R6569">
        <v>-0.4364538</v>
      </c>
      <c r="S6569">
        <v>3.0989990000000001</v>
      </c>
      <c r="T6569">
        <v>-0.42190749999999999</v>
      </c>
      <c r="U6569">
        <v>-1.6049800000000001</v>
      </c>
      <c r="V6569">
        <v>-0.29892990000000003</v>
      </c>
      <c r="W6569">
        <v>0.41851559999999999</v>
      </c>
      <c r="X6569">
        <v>0.85760460000000005</v>
      </c>
      <c r="Y6569">
        <v>-0.33197500000000002</v>
      </c>
      <c r="Z6569">
        <v>9.3541109999999997E-2</v>
      </c>
      <c r="AA6569">
        <v>0.93863869999999905</v>
      </c>
      <c r="AB6569">
        <v>30</v>
      </c>
      <c r="AC6569">
        <v>8.0361999999999991</v>
      </c>
      <c r="AD6569">
        <v>-1.121472312918</v>
      </c>
      <c r="AE6569">
        <v>-4.0621799999999899</v>
      </c>
      <c r="AF6569">
        <v>-3.0734478861266998</v>
      </c>
      <c r="AG6569">
        <v>-1.121472312918</v>
      </c>
      <c r="AH6569">
        <v>8.3173116816917201</v>
      </c>
      <c r="AI6569">
        <v>97.208326853545898</v>
      </c>
      <c r="AJ6569">
        <v>110.280490984789</v>
      </c>
      <c r="AK6569">
        <v>8.9376426236331401</v>
      </c>
      <c r="AL6569">
        <v>65.259094028593296</v>
      </c>
      <c r="AM6569">
        <v>109.216704355734</v>
      </c>
      <c r="AN6569">
        <v>1.0000000212492599</v>
      </c>
    </row>
    <row r="6570" spans="1:40" x14ac:dyDescent="0.25">
      <c r="A6570" t="str">
        <f>"20190304165015871"</f>
        <v>20190304165015871</v>
      </c>
      <c r="B6570" t="str">
        <f>"1551689415862680"</f>
        <v>1551689415862680</v>
      </c>
      <c r="C6570" t="s">
        <v>40</v>
      </c>
      <c r="D6570">
        <v>4.4136100000000003</v>
      </c>
      <c r="E6570">
        <v>0.48606379999999999</v>
      </c>
      <c r="F6570" t="s">
        <v>49</v>
      </c>
      <c r="G6570">
        <v>-286.30939999999998</v>
      </c>
      <c r="H6570" s="1">
        <v>-3.4093620000000001E-6</v>
      </c>
      <c r="I6570">
        <v>-58.689799999999998</v>
      </c>
      <c r="J6570">
        <v>-294.33940000000001</v>
      </c>
      <c r="K6570">
        <v>1.121432</v>
      </c>
      <c r="L6570">
        <v>-54.739559999999997</v>
      </c>
      <c r="M6570">
        <v>0.68981359999999903</v>
      </c>
      <c r="N6570">
        <v>-1.383677E-2</v>
      </c>
      <c r="O6570">
        <v>-0.72385480000000002</v>
      </c>
      <c r="P6570">
        <v>0.80315059999999905</v>
      </c>
      <c r="Q6570">
        <v>0.41533340000000002</v>
      </c>
      <c r="R6570">
        <v>-0.42713820000000002</v>
      </c>
      <c r="S6570">
        <v>3.11734</v>
      </c>
      <c r="T6570">
        <v>-0.42467899999999997</v>
      </c>
      <c r="U6570">
        <v>-1.5715330000000001</v>
      </c>
      <c r="V6570">
        <v>-0.29771690000000001</v>
      </c>
      <c r="W6570">
        <v>0.41966759999999997</v>
      </c>
      <c r="X6570">
        <v>0.85746350000000005</v>
      </c>
      <c r="Y6570">
        <v>-0.33040229999999998</v>
      </c>
      <c r="Z6570">
        <v>9.3456109999999995E-2</v>
      </c>
      <c r="AA6570">
        <v>0.93920199999999998</v>
      </c>
      <c r="AB6570">
        <v>30</v>
      </c>
      <c r="AC6570">
        <v>8.0300000000000296</v>
      </c>
      <c r="AD6570">
        <v>-1.121435409362</v>
      </c>
      <c r="AE6570">
        <v>-3.95024</v>
      </c>
      <c r="AF6570">
        <v>-3.0401789648276298</v>
      </c>
      <c r="AG6570">
        <v>-1.121435409362</v>
      </c>
      <c r="AH6570">
        <v>8.2695467494397992</v>
      </c>
      <c r="AI6570">
        <v>97.253681395985396</v>
      </c>
      <c r="AJ6570">
        <v>110.185219658443</v>
      </c>
      <c r="AK6570">
        <v>8.8817627167540092</v>
      </c>
      <c r="AL6570">
        <v>65.186395216903804</v>
      </c>
      <c r="AM6570">
        <v>109.14733351494399</v>
      </c>
      <c r="AN6570">
        <v>0.99999995043380796</v>
      </c>
    </row>
    <row r="6571" spans="1:40" x14ac:dyDescent="0.25">
      <c r="A6571" t="str">
        <f>"20190304165015894"</f>
        <v>20190304165015894</v>
      </c>
      <c r="B6571" t="str">
        <f>"1551689415882201"</f>
        <v>1551689415882201</v>
      </c>
      <c r="C6571" t="s">
        <v>40</v>
      </c>
      <c r="D6571">
        <v>4.3740540000000001</v>
      </c>
      <c r="E6571">
        <v>0.48633959999999998</v>
      </c>
      <c r="F6571" t="s">
        <v>49</v>
      </c>
      <c r="G6571">
        <v>-286.02420000000001</v>
      </c>
      <c r="H6571" s="1">
        <v>-3.5456209999999999E-6</v>
      </c>
      <c r="I6571">
        <v>-58.836359999999999</v>
      </c>
      <c r="J6571">
        <v>-294.12240000000003</v>
      </c>
      <c r="K6571">
        <v>1.121373</v>
      </c>
      <c r="L6571">
        <v>-54.9486699999999</v>
      </c>
      <c r="M6571">
        <v>0.69930829999999999</v>
      </c>
      <c r="N6571">
        <v>-1.372319E-2</v>
      </c>
      <c r="O6571">
        <v>-0.7146884</v>
      </c>
      <c r="P6571">
        <v>0.80764930000000001</v>
      </c>
      <c r="Q6571">
        <v>0.41624489999999997</v>
      </c>
      <c r="R6571">
        <v>-0.41766300000000001</v>
      </c>
      <c r="S6571">
        <v>3.1328429999999998</v>
      </c>
      <c r="T6571">
        <v>-0.42251440000000001</v>
      </c>
      <c r="U6571">
        <v>-1.5435179999999999</v>
      </c>
      <c r="V6571">
        <v>-0.29611929999999997</v>
      </c>
      <c r="W6571">
        <v>0.42055340000000002</v>
      </c>
      <c r="X6571">
        <v>0.85758279999999998</v>
      </c>
      <c r="Y6571">
        <v>-0.326675299999999</v>
      </c>
      <c r="Z6571">
        <v>9.202275E-2</v>
      </c>
      <c r="AA6571">
        <v>0.94064610000000004</v>
      </c>
      <c r="AB6571">
        <v>30</v>
      </c>
      <c r="AC6571">
        <v>8.0982000000000198</v>
      </c>
      <c r="AD6571">
        <v>-1.1213765456210001</v>
      </c>
      <c r="AE6571">
        <v>-3.8876900000000001</v>
      </c>
      <c r="AF6571">
        <v>-3.02218948421603</v>
      </c>
      <c r="AG6571">
        <v>-1.1213765456210001</v>
      </c>
      <c r="AH6571">
        <v>8.3128795009895597</v>
      </c>
      <c r="AI6571">
        <v>97.225296080673303</v>
      </c>
      <c r="AJ6571">
        <v>109.97899257838699</v>
      </c>
      <c r="AK6571">
        <v>8.9160013589920109</v>
      </c>
      <c r="AL6571">
        <v>65.130469937278207</v>
      </c>
      <c r="AM6571">
        <v>109.049552177629</v>
      </c>
      <c r="AN6571">
        <v>1.0000000304699399</v>
      </c>
    </row>
    <row r="6572" spans="1:40" x14ac:dyDescent="0.25">
      <c r="A6572" t="str">
        <f>"20190304165015917"</f>
        <v>20190304165015917</v>
      </c>
      <c r="B6572" t="str">
        <f>"1551689415912456"</f>
        <v>1551689415912456</v>
      </c>
      <c r="C6572" t="s">
        <v>40</v>
      </c>
      <c r="D6572">
        <v>4.3466680000000002</v>
      </c>
      <c r="E6572">
        <v>0.49597340000000001</v>
      </c>
      <c r="F6572" t="s">
        <v>49</v>
      </c>
      <c r="G6572">
        <v>-285.72190000000001</v>
      </c>
      <c r="H6572" s="1">
        <v>-3.6928809999999999E-6</v>
      </c>
      <c r="I6572">
        <v>-58.978679999999997</v>
      </c>
      <c r="J6572">
        <v>-293.90530000000001</v>
      </c>
      <c r="K6572">
        <v>1.1213029999999999</v>
      </c>
      <c r="L6572">
        <v>-55.1524</v>
      </c>
      <c r="M6572">
        <v>0.708499199999999</v>
      </c>
      <c r="N6572">
        <v>-1.3616899999999901E-2</v>
      </c>
      <c r="O6572">
        <v>-0.70558019999999999</v>
      </c>
      <c r="P6572">
        <v>0.8127761</v>
      </c>
      <c r="Q6572">
        <v>0.41592790000000002</v>
      </c>
      <c r="R6572">
        <v>-0.40792040000000002</v>
      </c>
      <c r="S6572">
        <v>3.14975</v>
      </c>
      <c r="T6572">
        <v>-0.42045900000000003</v>
      </c>
      <c r="U6572">
        <v>-1.511047</v>
      </c>
      <c r="V6572">
        <v>-0.29537029999999997</v>
      </c>
      <c r="W6572">
        <v>0.42021239999999999</v>
      </c>
      <c r="X6572">
        <v>0.85800810000000005</v>
      </c>
      <c r="Y6572">
        <v>-0.3244147</v>
      </c>
      <c r="Z6572">
        <v>9.0700959999999997E-2</v>
      </c>
      <c r="AA6572">
        <v>0.94155639999999996</v>
      </c>
      <c r="AB6572">
        <v>30</v>
      </c>
      <c r="AC6572">
        <v>8.1834000000000007</v>
      </c>
      <c r="AD6572">
        <v>-1.121306692881</v>
      </c>
      <c r="AE6572">
        <v>-3.8262800000000001</v>
      </c>
      <c r="AF6572">
        <v>-3.0169313903286401</v>
      </c>
      <c r="AG6572">
        <v>-1.121306692881</v>
      </c>
      <c r="AH6572">
        <v>8.3695199949975301</v>
      </c>
      <c r="AI6572">
        <v>97.183491960134901</v>
      </c>
      <c r="AJ6572">
        <v>109.822533590117</v>
      </c>
      <c r="AK6572">
        <v>8.9670546256902792</v>
      </c>
      <c r="AL6572">
        <v>65.152001753557897</v>
      </c>
      <c r="AM6572">
        <v>108.996084733535</v>
      </c>
      <c r="AN6572">
        <v>0.99999998745072904</v>
      </c>
    </row>
    <row r="6573" spans="1:40" x14ac:dyDescent="0.25">
      <c r="A6573" t="str">
        <f>"20190304165015940"</f>
        <v>20190304165015940</v>
      </c>
      <c r="B6573" t="str">
        <f>"1551689415931976"</f>
        <v>1551689415931976</v>
      </c>
      <c r="C6573" t="s">
        <v>40</v>
      </c>
      <c r="D6573">
        <v>4.3700850000000004</v>
      </c>
      <c r="E6573">
        <v>0.49728549999999999</v>
      </c>
      <c r="F6573" t="s">
        <v>49</v>
      </c>
      <c r="G6573">
        <v>-286.22609999999997</v>
      </c>
      <c r="H6573" s="1">
        <v>-3.4035039999999998E-6</v>
      </c>
      <c r="I6573">
        <v>-58.938040000000001</v>
      </c>
      <c r="J6573">
        <v>-293.67489999999998</v>
      </c>
      <c r="K6573">
        <v>1.1211990000000001</v>
      </c>
      <c r="L6573">
        <v>-55.362920000000003</v>
      </c>
      <c r="M6573">
        <v>0.71791369999999999</v>
      </c>
      <c r="N6573">
        <v>-1.351232E-2</v>
      </c>
      <c r="O6573">
        <v>-0.69600109999999904</v>
      </c>
      <c r="P6573">
        <v>0.81976559999999898</v>
      </c>
      <c r="Q6573">
        <v>0.41261639999999999</v>
      </c>
      <c r="R6573">
        <v>-0.39715529999999999</v>
      </c>
      <c r="S6573">
        <v>3.1475219999999999</v>
      </c>
      <c r="T6573">
        <v>-0.45959559999999999</v>
      </c>
      <c r="U6573">
        <v>-1.551636</v>
      </c>
      <c r="V6573">
        <v>-0.29616360000000003</v>
      </c>
      <c r="W6573">
        <v>0.41686620000000002</v>
      </c>
      <c r="X6573">
        <v>0.85936590000000002</v>
      </c>
      <c r="Y6573">
        <v>-0.30070910000000001</v>
      </c>
      <c r="Z6573">
        <v>9.7159110000000007E-2</v>
      </c>
      <c r="AA6573">
        <v>0.94875399999999999</v>
      </c>
      <c r="AB6573">
        <v>30</v>
      </c>
      <c r="AC6573">
        <v>7.4488000000000003</v>
      </c>
      <c r="AD6573">
        <v>-1.121202403504</v>
      </c>
      <c r="AE6573">
        <v>-3.5751200000000001</v>
      </c>
      <c r="AF6573">
        <v>-2.5706466241105601</v>
      </c>
      <c r="AG6573">
        <v>-1.121202403504</v>
      </c>
      <c r="AH6573">
        <v>7.6948990122777499</v>
      </c>
      <c r="AI6573">
        <v>97.868400646030196</v>
      </c>
      <c r="AJ6573">
        <v>108.473005971159</v>
      </c>
      <c r="AK6573">
        <v>8.1900421064135696</v>
      </c>
      <c r="AL6573">
        <v>65.363105664328899</v>
      </c>
      <c r="AM6573">
        <v>109.01550729138999</v>
      </c>
      <c r="AN6573">
        <v>1.0000000283751</v>
      </c>
    </row>
    <row r="6574" spans="1:40" x14ac:dyDescent="0.25">
      <c r="A6574" t="str">
        <f>"20190304165015961"</f>
        <v>20190304165015961</v>
      </c>
      <c r="B6574" t="str">
        <f>"1551689415952474"</f>
        <v>1551689415952474</v>
      </c>
      <c r="C6574" t="s">
        <v>40</v>
      </c>
      <c r="D6574">
        <v>4.3702769999999997</v>
      </c>
      <c r="E6574">
        <v>0.49921019999999999</v>
      </c>
      <c r="F6574" t="s">
        <v>49</v>
      </c>
      <c r="G6574">
        <v>-285.1345</v>
      </c>
      <c r="H6574" s="1">
        <v>-3.9063269999999999E-6</v>
      </c>
      <c r="I6574">
        <v>-59.470829999999999</v>
      </c>
      <c r="J6574">
        <v>-293.46809999999999</v>
      </c>
      <c r="K6574">
        <v>1.1211009999999999</v>
      </c>
      <c r="L6574">
        <v>-55.547449999999998</v>
      </c>
      <c r="M6574">
        <v>0.72609419999999902</v>
      </c>
      <c r="N6574">
        <v>-1.3426449999999999E-2</v>
      </c>
      <c r="O6574">
        <v>-0.68746419999999997</v>
      </c>
      <c r="P6574">
        <v>0.82633389999999995</v>
      </c>
      <c r="Q6574">
        <v>0.40881240000000002</v>
      </c>
      <c r="R6574">
        <v>-0.38735570000000002</v>
      </c>
      <c r="S6574">
        <v>3.1360169999999998</v>
      </c>
      <c r="T6574">
        <v>-0.41170449999999997</v>
      </c>
      <c r="U6574">
        <v>-1.5084229999999901</v>
      </c>
      <c r="V6574">
        <v>-0.2973672</v>
      </c>
      <c r="W6574">
        <v>0.41303230000000002</v>
      </c>
      <c r="X6574">
        <v>0.86080029999999996</v>
      </c>
      <c r="Y6574">
        <v>-0.29985469999999997</v>
      </c>
      <c r="Z6574">
        <v>8.6381840000000001E-2</v>
      </c>
      <c r="AA6574">
        <v>0.95006599999999997</v>
      </c>
      <c r="AB6574">
        <v>30</v>
      </c>
      <c r="AC6574">
        <v>8.3335999999999899</v>
      </c>
      <c r="AD6574">
        <v>-1.121104906327</v>
      </c>
      <c r="AE6574">
        <v>-3.9233799999999999</v>
      </c>
      <c r="AF6574">
        <v>-2.83851693936756</v>
      </c>
      <c r="AG6574">
        <v>-1.121104906327</v>
      </c>
      <c r="AH6574">
        <v>8.6212322134097299</v>
      </c>
      <c r="AI6574">
        <v>97.041357701223504</v>
      </c>
      <c r="AJ6574">
        <v>108.223987025692</v>
      </c>
      <c r="AK6574">
        <v>9.1454742634595299</v>
      </c>
      <c r="AL6574">
        <v>65.604539131466794</v>
      </c>
      <c r="AM6574">
        <v>109.057694022731</v>
      </c>
      <c r="AN6574">
        <v>1.0000000444796</v>
      </c>
    </row>
    <row r="6575" spans="1:40" x14ac:dyDescent="0.25">
      <c r="A6575" t="str">
        <f>"20190304165015983"</f>
        <v>20190304165015983</v>
      </c>
      <c r="B6575" t="str">
        <f>"1551689415971993"</f>
        <v>1551689415971993</v>
      </c>
      <c r="C6575" t="s">
        <v>40</v>
      </c>
      <c r="D6575">
        <v>4.3526530000000001</v>
      </c>
      <c r="E6575">
        <v>0.50020050000000005</v>
      </c>
      <c r="F6575" t="s">
        <v>49</v>
      </c>
      <c r="G6575">
        <v>-286.32920000000001</v>
      </c>
      <c r="H6575" s="1">
        <v>-3.346137E-6</v>
      </c>
      <c r="I6575">
        <v>-58.92163</v>
      </c>
      <c r="J6575">
        <v>-293.24619999999999</v>
      </c>
      <c r="K6575">
        <v>1.121</v>
      </c>
      <c r="L6575">
        <v>-55.740780000000001</v>
      </c>
      <c r="M6575">
        <v>0.73458540000000005</v>
      </c>
      <c r="N6575">
        <v>-1.334318E-2</v>
      </c>
      <c r="O6575">
        <v>-0.67838509999999996</v>
      </c>
      <c r="P6575">
        <v>0.8320708</v>
      </c>
      <c r="Q6575">
        <v>0.40642109999999998</v>
      </c>
      <c r="R6575">
        <v>-0.3774652</v>
      </c>
      <c r="S6575">
        <v>3.173889</v>
      </c>
      <c r="T6575">
        <v>-0.49843130000000002</v>
      </c>
      <c r="U6575">
        <v>-1.500122</v>
      </c>
      <c r="V6575">
        <v>-0.29758010000000001</v>
      </c>
      <c r="W6575">
        <v>0.4106398</v>
      </c>
      <c r="X6575">
        <v>0.86187060000000004</v>
      </c>
      <c r="Y6575">
        <v>-0.29224450000000002</v>
      </c>
      <c r="Z6575">
        <v>0.1036246</v>
      </c>
      <c r="AA6575">
        <v>0.95071300000000003</v>
      </c>
      <c r="AB6575">
        <v>30</v>
      </c>
      <c r="AC6575">
        <v>6.9169999999999696</v>
      </c>
      <c r="AD6575">
        <v>-1.1210033461369999</v>
      </c>
      <c r="AE6575">
        <v>-3.1808499999999902</v>
      </c>
      <c r="AF6575">
        <v>-2.3059986589255601</v>
      </c>
      <c r="AG6575">
        <v>-1.1210033461369999</v>
      </c>
      <c r="AH6575">
        <v>7.0859863231999096</v>
      </c>
      <c r="AI6575">
        <v>98.555115002623396</v>
      </c>
      <c r="AJ6575">
        <v>108.026487097528</v>
      </c>
      <c r="AK6575">
        <v>7.5356141415011999</v>
      </c>
      <c r="AL6575">
        <v>65.754966237627002</v>
      </c>
      <c r="AM6575">
        <v>109.048378662364</v>
      </c>
      <c r="AN6575">
        <v>0.99999994620220301</v>
      </c>
    </row>
    <row r="6576" spans="1:40" x14ac:dyDescent="0.25">
      <c r="A6576" t="str">
        <f>"20190304165015997"</f>
        <v>20190304165015997</v>
      </c>
      <c r="B6576" t="str">
        <f>"1551689415992489"</f>
        <v>1551689415992489</v>
      </c>
      <c r="C6576" t="s">
        <v>40</v>
      </c>
      <c r="D6576">
        <v>4.3388419999999996</v>
      </c>
      <c r="E6576">
        <v>0.5015115</v>
      </c>
      <c r="F6576" t="s">
        <v>49</v>
      </c>
      <c r="G6576">
        <v>-286.19749999999999</v>
      </c>
      <c r="H6576" s="1">
        <v>-3.4098270000000001E-6</v>
      </c>
      <c r="I6576">
        <v>-58.985599999999998</v>
      </c>
      <c r="J6576">
        <v>-293.1071</v>
      </c>
      <c r="K6576">
        <v>1.120935</v>
      </c>
      <c r="L6576">
        <v>-55.859949999999998</v>
      </c>
      <c r="M6576">
        <v>0.73976989999999998</v>
      </c>
      <c r="N6576">
        <v>-1.32946E-2</v>
      </c>
      <c r="O6576">
        <v>-0.67272880000000002</v>
      </c>
      <c r="P6576">
        <v>0.83524290000000001</v>
      </c>
      <c r="Q6576">
        <v>0.40539449999999999</v>
      </c>
      <c r="R6576">
        <v>-0.37151689999999998</v>
      </c>
      <c r="S6576">
        <v>3.187408</v>
      </c>
      <c r="T6576">
        <v>-0.50692079999999995</v>
      </c>
      <c r="U6576">
        <v>-1.4673160000000001</v>
      </c>
      <c r="V6576">
        <v>-0.2973652</v>
      </c>
      <c r="W6576">
        <v>0.4096243</v>
      </c>
      <c r="X6576">
        <v>0.86242790000000003</v>
      </c>
      <c r="Y6576">
        <v>-0.29426649999999999</v>
      </c>
      <c r="Z6576">
        <v>0.1050881</v>
      </c>
      <c r="AA6576">
        <v>0.94992829999999995</v>
      </c>
      <c r="AB6576">
        <v>30</v>
      </c>
      <c r="AC6576">
        <v>6.90960000000001</v>
      </c>
      <c r="AD6576">
        <v>-1.1209384098270001</v>
      </c>
      <c r="AE6576">
        <v>-3.1256499999999998</v>
      </c>
      <c r="AF6576">
        <v>-2.2862815711319202</v>
      </c>
      <c r="AG6576">
        <v>-1.1209384098270001</v>
      </c>
      <c r="AH6576">
        <v>7.0606083490911402</v>
      </c>
      <c r="AI6576">
        <v>98.588948765772997</v>
      </c>
      <c r="AJ6576">
        <v>107.942368822205</v>
      </c>
      <c r="AK6576">
        <v>7.5057162616487503</v>
      </c>
      <c r="AL6576">
        <v>65.818764052958301</v>
      </c>
      <c r="AM6576">
        <v>109.024196987062</v>
      </c>
      <c r="AN6576">
        <v>1.0000000060099701</v>
      </c>
    </row>
    <row r="6577" spans="1:40" x14ac:dyDescent="0.25">
      <c r="A6577" t="str">
        <f>"20190304165016011"</f>
        <v>20190304165016011</v>
      </c>
      <c r="B6577" t="str">
        <f>"1551689416002249"</f>
        <v>1551689416002249</v>
      </c>
      <c r="C6577" t="s">
        <v>40</v>
      </c>
      <c r="D6577">
        <v>4.3399070000000002</v>
      </c>
      <c r="E6577">
        <v>0.50192440000000005</v>
      </c>
      <c r="F6577" t="s">
        <v>49</v>
      </c>
      <c r="G6577">
        <v>-286.09379999999999</v>
      </c>
      <c r="H6577" s="1">
        <v>-3.4574659999999998E-6</v>
      </c>
      <c r="I6577">
        <v>-59.047569999999901</v>
      </c>
      <c r="J6577">
        <v>-292.95729999999998</v>
      </c>
      <c r="K6577">
        <v>1.1208610000000001</v>
      </c>
      <c r="L6577">
        <v>-55.985810000000001</v>
      </c>
      <c r="M6577">
        <v>0.74520649999999999</v>
      </c>
      <c r="N6577">
        <v>-1.324525E-2</v>
      </c>
      <c r="O6577">
        <v>-0.66670240000000003</v>
      </c>
      <c r="P6577">
        <v>0.83824169999999998</v>
      </c>
      <c r="Q6577">
        <v>0.40471439999999997</v>
      </c>
      <c r="R6577">
        <v>-0.36545440000000001</v>
      </c>
      <c r="S6577">
        <v>3.193848</v>
      </c>
      <c r="T6577">
        <v>-0.5104727</v>
      </c>
      <c r="U6577">
        <v>-1.45163</v>
      </c>
      <c r="V6577">
        <v>-0.29674640000000002</v>
      </c>
      <c r="W6577">
        <v>0.40896909999999997</v>
      </c>
      <c r="X6577">
        <v>0.86295180000000005</v>
      </c>
      <c r="Y6577">
        <v>-0.29105439999999999</v>
      </c>
      <c r="Z6577">
        <v>0.10505440000000001</v>
      </c>
      <c r="AA6577">
        <v>0.95092109999999996</v>
      </c>
      <c r="AB6577">
        <v>30</v>
      </c>
      <c r="AC6577">
        <v>6.8634999999999797</v>
      </c>
      <c r="AD6577">
        <v>-1.1208644574660001</v>
      </c>
      <c r="AE6577">
        <v>-3.0617599999999898</v>
      </c>
      <c r="AF6577">
        <v>-2.2445437537773398</v>
      </c>
      <c r="AG6577">
        <v>-1.1208644574660001</v>
      </c>
      <c r="AH6577">
        <v>7.0009121741067304</v>
      </c>
      <c r="AI6577">
        <v>98.668489527875806</v>
      </c>
      <c r="AJ6577">
        <v>107.77623118627599</v>
      </c>
      <c r="AK6577">
        <v>7.4368733392594004</v>
      </c>
      <c r="AL6577">
        <v>65.859907771357797</v>
      </c>
      <c r="AM6577">
        <v>108.976744386419</v>
      </c>
      <c r="AN6577">
        <v>0.99999997989550404</v>
      </c>
    </row>
    <row r="6578" spans="1:40" x14ac:dyDescent="0.25">
      <c r="A6578" t="str">
        <f>"20190304165016025"</f>
        <v>20190304165016025</v>
      </c>
      <c r="B6578" t="str">
        <f>"1551689416012009"</f>
        <v>1551689416012009</v>
      </c>
      <c r="C6578" t="s">
        <v>40</v>
      </c>
      <c r="D6578">
        <v>4.3410219999999997</v>
      </c>
      <c r="E6578">
        <v>0.5023628</v>
      </c>
      <c r="F6578" t="s">
        <v>49</v>
      </c>
      <c r="G6578">
        <v>-285.93259999999998</v>
      </c>
      <c r="H6578" s="1">
        <v>-3.5366850000000002E-6</v>
      </c>
      <c r="I6578">
        <v>-59.120220000000003</v>
      </c>
      <c r="J6578">
        <v>-292.82190000000003</v>
      </c>
      <c r="K6578">
        <v>1.120795</v>
      </c>
      <c r="L6578">
        <v>-56.097869999999901</v>
      </c>
      <c r="M6578">
        <v>0.75001189999999995</v>
      </c>
      <c r="N6578">
        <v>-1.320291E-2</v>
      </c>
      <c r="O6578">
        <v>-0.66129289999999996</v>
      </c>
      <c r="P6578">
        <v>0.84092809999999996</v>
      </c>
      <c r="Q6578">
        <v>0.40404279999999998</v>
      </c>
      <c r="R6578">
        <v>-0.35998570000000002</v>
      </c>
      <c r="S6578">
        <v>3.2026370000000002</v>
      </c>
      <c r="T6578">
        <v>-0.51101700000000005</v>
      </c>
      <c r="U6578">
        <v>-1.4290160000000001</v>
      </c>
      <c r="V6578">
        <v>-0.29625810000000002</v>
      </c>
      <c r="W6578">
        <v>0.4083194</v>
      </c>
      <c r="X6578">
        <v>0.86342719999999995</v>
      </c>
      <c r="Y6578">
        <v>-0.29072290000000001</v>
      </c>
      <c r="Z6578">
        <v>0.10462050000000001</v>
      </c>
      <c r="AA6578">
        <v>0.95107030000000004</v>
      </c>
      <c r="AB6578">
        <v>30</v>
      </c>
      <c r="AC6578">
        <v>6.8893000000000404</v>
      </c>
      <c r="AD6578">
        <v>-1.120798536685</v>
      </c>
      <c r="AE6578">
        <v>-3.0223499999999999</v>
      </c>
      <c r="AF6578">
        <v>-2.23953845346202</v>
      </c>
      <c r="AG6578">
        <v>-1.120798536685</v>
      </c>
      <c r="AH6578">
        <v>7.0107331211575099</v>
      </c>
      <c r="AI6578">
        <v>98.658907755105602</v>
      </c>
      <c r="AJ6578">
        <v>107.715783113444</v>
      </c>
      <c r="AK6578">
        <v>7.4446021210313997</v>
      </c>
      <c r="AL6578">
        <v>65.900695812179904</v>
      </c>
      <c r="AM6578">
        <v>108.938057970158</v>
      </c>
      <c r="AN6578">
        <v>1.0000000619659</v>
      </c>
    </row>
    <row r="6579" spans="1:40" x14ac:dyDescent="0.25">
      <c r="A6579" t="str">
        <f>"20190304165016039"</f>
        <v>20190304165016039</v>
      </c>
      <c r="B6579" t="str">
        <f>"1551689416032505"</f>
        <v>1551689416032505</v>
      </c>
      <c r="C6579" t="s">
        <v>40</v>
      </c>
      <c r="D6579">
        <v>4.3592599999999999</v>
      </c>
      <c r="E6579">
        <v>0.50319749999999996</v>
      </c>
      <c r="F6579" t="s">
        <v>49</v>
      </c>
      <c r="G6579">
        <v>-285.81760000000003</v>
      </c>
      <c r="H6579" s="1">
        <v>-3.5933360000000001E-6</v>
      </c>
      <c r="I6579">
        <v>-59.171719999999901</v>
      </c>
      <c r="J6579">
        <v>-292.67180000000002</v>
      </c>
      <c r="K6579">
        <v>1.1207149999999999</v>
      </c>
      <c r="L6579">
        <v>-56.220579999999998</v>
      </c>
      <c r="M6579">
        <v>0.75523300000000004</v>
      </c>
      <c r="N6579">
        <v>-1.315826E-2</v>
      </c>
      <c r="O6579">
        <v>-0.65532449999999998</v>
      </c>
      <c r="P6579">
        <v>0.84312559999999903</v>
      </c>
      <c r="Q6579">
        <v>0.40414909999999998</v>
      </c>
      <c r="R6579">
        <v>-0.35468660000000002</v>
      </c>
      <c r="S6579">
        <v>3.2111209999999999</v>
      </c>
      <c r="T6579">
        <v>-0.51383109999999999</v>
      </c>
      <c r="U6579">
        <v>-1.4092100000000001</v>
      </c>
      <c r="V6579">
        <v>-0.294738</v>
      </c>
      <c r="W6579">
        <v>0.40847600000000001</v>
      </c>
      <c r="X6579">
        <v>0.86387320000000001</v>
      </c>
      <c r="Y6579">
        <v>-0.28895179999999998</v>
      </c>
      <c r="Z6579">
        <v>0.1044843</v>
      </c>
      <c r="AA6579">
        <v>0.9516249</v>
      </c>
      <c r="AB6579">
        <v>30</v>
      </c>
      <c r="AC6579">
        <v>6.8541999999999899</v>
      </c>
      <c r="AD6579">
        <v>-1.120718593336</v>
      </c>
      <c r="AE6579">
        <v>-2.9511399999999801</v>
      </c>
      <c r="AF6579">
        <v>-2.2132061311825399</v>
      </c>
      <c r="AG6579">
        <v>-1.120718593336</v>
      </c>
      <c r="AH6579">
        <v>6.9542419799208703</v>
      </c>
      <c r="AI6579">
        <v>98.730518527820195</v>
      </c>
      <c r="AJ6579">
        <v>107.65381085222</v>
      </c>
      <c r="AK6579">
        <v>7.3834797392453604</v>
      </c>
      <c r="AL6579">
        <v>65.8908650752673</v>
      </c>
      <c r="AM6579">
        <v>108.83871816156901</v>
      </c>
      <c r="AN6579">
        <v>1.00000001844911</v>
      </c>
    </row>
    <row r="6580" spans="1:40" x14ac:dyDescent="0.25">
      <c r="A6580" t="str">
        <f>"20190304165016053"</f>
        <v>20190304165016053</v>
      </c>
      <c r="B6580" t="str">
        <f>"1551689416042265"</f>
        <v>1551689416042265</v>
      </c>
      <c r="C6580" t="s">
        <v>40</v>
      </c>
      <c r="D6580">
        <v>4.3553300000000004</v>
      </c>
      <c r="E6580">
        <v>0.50369209999999998</v>
      </c>
      <c r="F6580" t="s">
        <v>49</v>
      </c>
      <c r="G6580">
        <v>-285.60340000000002</v>
      </c>
      <c r="H6580" s="1">
        <v>-3.6971530000000001E-6</v>
      </c>
      <c r="I6580">
        <v>-59.274999999999999</v>
      </c>
      <c r="J6580">
        <v>-292.52769999999998</v>
      </c>
      <c r="K6580">
        <v>1.1206590000000001</v>
      </c>
      <c r="L6580">
        <v>-56.336550000000003</v>
      </c>
      <c r="M6580">
        <v>0.76013069999999905</v>
      </c>
      <c r="N6580">
        <v>-1.31179E-2</v>
      </c>
      <c r="O6580">
        <v>-0.64963780000000004</v>
      </c>
      <c r="P6580">
        <v>0.84556690000000001</v>
      </c>
      <c r="Q6580">
        <v>0.40431139999999999</v>
      </c>
      <c r="R6580">
        <v>-0.34863889999999997</v>
      </c>
      <c r="S6580">
        <v>3.2178339999999999</v>
      </c>
      <c r="T6580">
        <v>-0.51019970000000003</v>
      </c>
      <c r="U6580">
        <v>-1.390503</v>
      </c>
      <c r="V6580">
        <v>-0.29432950000000002</v>
      </c>
      <c r="W6580">
        <v>0.40865790000000002</v>
      </c>
      <c r="X6580">
        <v>0.86392639999999998</v>
      </c>
      <c r="Y6580">
        <v>-0.28731519999999999</v>
      </c>
      <c r="Z6580">
        <v>0.1030335</v>
      </c>
      <c r="AA6580">
        <v>0.95227839999999997</v>
      </c>
      <c r="AB6580">
        <v>30</v>
      </c>
      <c r="AC6580">
        <v>6.9242999999999597</v>
      </c>
      <c r="AD6580">
        <v>-1.120662697153</v>
      </c>
      <c r="AE6580">
        <v>-2.9384499999999898</v>
      </c>
      <c r="AF6580">
        <v>-2.2156952194183401</v>
      </c>
      <c r="AG6580">
        <v>-1.120662697153</v>
      </c>
      <c r="AH6580">
        <v>7.0171621250592198</v>
      </c>
      <c r="AI6580">
        <v>98.659137116401396</v>
      </c>
      <c r="AJ6580">
        <v>107.52370687705501</v>
      </c>
      <c r="AK6580">
        <v>7.44350417985435</v>
      </c>
      <c r="AL6580">
        <v>65.879445444383094</v>
      </c>
      <c r="AM6580">
        <v>108.813369080513</v>
      </c>
      <c r="AN6580">
        <v>0.99999997920980899</v>
      </c>
    </row>
    <row r="6581" spans="1:40" x14ac:dyDescent="0.25">
      <c r="A6581" t="str">
        <f>"20190304165016067"</f>
        <v>20190304165016067</v>
      </c>
      <c r="B6581" t="str">
        <f>"1551689416062760"</f>
        <v>1551689416062760</v>
      </c>
      <c r="C6581" t="s">
        <v>40</v>
      </c>
      <c r="D6581">
        <v>4.3206930000000003</v>
      </c>
      <c r="E6581">
        <v>0.50449160000000004</v>
      </c>
      <c r="F6581" t="s">
        <v>49</v>
      </c>
      <c r="G6581">
        <v>-285.43979999999999</v>
      </c>
      <c r="H6581" s="1">
        <v>-3.7747800000000001E-6</v>
      </c>
      <c r="I6581">
        <v>-59.34693</v>
      </c>
      <c r="J6581">
        <v>-292.38690000000003</v>
      </c>
      <c r="K6581">
        <v>1.120601</v>
      </c>
      <c r="L6581">
        <v>-56.447850000000003</v>
      </c>
      <c r="M6581">
        <v>0.7648026</v>
      </c>
      <c r="N6581">
        <v>-1.308117E-2</v>
      </c>
      <c r="O6581">
        <v>-0.64413149999999997</v>
      </c>
      <c r="P6581">
        <v>0.847697899999999</v>
      </c>
      <c r="Q6581">
        <v>0.40499790000000002</v>
      </c>
      <c r="R6581">
        <v>-0.34261429999999998</v>
      </c>
      <c r="S6581">
        <v>3.226807</v>
      </c>
      <c r="T6581">
        <v>-0.51018450000000004</v>
      </c>
      <c r="U6581">
        <v>-1.3704829999999999</v>
      </c>
      <c r="V6581">
        <v>-0.29398220000000003</v>
      </c>
      <c r="W6581">
        <v>0.40935890000000003</v>
      </c>
      <c r="X6581">
        <v>0.86371279999999995</v>
      </c>
      <c r="Y6581">
        <v>-0.28641070000000002</v>
      </c>
      <c r="Z6581">
        <v>0.102368</v>
      </c>
      <c r="AA6581">
        <v>0.95262250000000004</v>
      </c>
      <c r="AB6581">
        <v>30</v>
      </c>
      <c r="AC6581">
        <v>6.94710000000003</v>
      </c>
      <c r="AD6581">
        <v>-1.1206047747800001</v>
      </c>
      <c r="AE6581">
        <v>-2.8990800000000001</v>
      </c>
      <c r="AF6581">
        <v>-2.2088665832541898</v>
      </c>
      <c r="AG6581">
        <v>-1.1206047747800001</v>
      </c>
      <c r="AH6581">
        <v>7.0254782868688501</v>
      </c>
      <c r="AI6581">
        <v>98.651888131546997</v>
      </c>
      <c r="AJ6581">
        <v>107.45356484812299</v>
      </c>
      <c r="AK6581">
        <v>7.4493081425822698</v>
      </c>
      <c r="AL6581">
        <v>65.835432299326698</v>
      </c>
      <c r="AM6581">
        <v>108.79705010753599</v>
      </c>
      <c r="AN6581">
        <v>1.0000000219049401</v>
      </c>
    </row>
    <row r="6582" spans="1:40" x14ac:dyDescent="0.25">
      <c r="A6582" t="str">
        <f>"20190304165016080"</f>
        <v>20190304165016080</v>
      </c>
      <c r="B6582" t="str">
        <f>"1551689416072522"</f>
        <v>1551689416072522</v>
      </c>
      <c r="C6582" t="s">
        <v>40</v>
      </c>
      <c r="D6582">
        <v>4.3177450000000004</v>
      </c>
      <c r="E6582">
        <v>0.50493840000000001</v>
      </c>
      <c r="F6582" t="s">
        <v>49</v>
      </c>
      <c r="G6582">
        <v>-285.24329999999998</v>
      </c>
      <c r="H6582" s="1">
        <v>-3.8569180000000004E-6</v>
      </c>
      <c r="I6582">
        <v>-59.440739999999998</v>
      </c>
      <c r="J6582">
        <v>-292.24369999999999</v>
      </c>
      <c r="K6582">
        <v>1.120547</v>
      </c>
      <c r="L6582">
        <v>-56.559780000000003</v>
      </c>
      <c r="M6582">
        <v>0.76947100000000002</v>
      </c>
      <c r="N6582">
        <v>-1.3045940000000001E-2</v>
      </c>
      <c r="O6582">
        <v>-0.63854849999999996</v>
      </c>
      <c r="P6582">
        <v>0.85009999999999997</v>
      </c>
      <c r="Q6582">
        <v>0.40536369999999999</v>
      </c>
      <c r="R6582">
        <v>-0.33617000000000002</v>
      </c>
      <c r="S6582">
        <v>3.233765</v>
      </c>
      <c r="T6582">
        <v>-0.50727699999999998</v>
      </c>
      <c r="U6582">
        <v>-1.3548279999999999</v>
      </c>
      <c r="V6582">
        <v>-0.29409220000000003</v>
      </c>
      <c r="W6582">
        <v>0.40972920000000002</v>
      </c>
      <c r="X6582">
        <v>0.86349979999999904</v>
      </c>
      <c r="Y6582">
        <v>-0.28424440000000001</v>
      </c>
      <c r="Z6582">
        <v>0.1010026</v>
      </c>
      <c r="AA6582">
        <v>0.95341679999999995</v>
      </c>
      <c r="AB6582">
        <v>30</v>
      </c>
      <c r="AC6582">
        <v>7.0004000000000097</v>
      </c>
      <c r="AD6582">
        <v>-1.120550856918</v>
      </c>
      <c r="AE6582">
        <v>-2.88096</v>
      </c>
      <c r="AF6582">
        <v>-2.20515390091151</v>
      </c>
      <c r="AG6582">
        <v>-1.120550856918</v>
      </c>
      <c r="AH6582">
        <v>7.07189854093326</v>
      </c>
      <c r="AI6582">
        <v>98.601793145974398</v>
      </c>
      <c r="AJ6582">
        <v>107.31848230315801</v>
      </c>
      <c r="AK6582">
        <v>7.4920015298249103</v>
      </c>
      <c r="AL6582">
        <v>65.812177147655802</v>
      </c>
      <c r="AM6582">
        <v>108.807901513438</v>
      </c>
      <c r="AN6582">
        <v>1.0000000720167499</v>
      </c>
    </row>
    <row r="6583" spans="1:40" x14ac:dyDescent="0.25">
      <c r="A6583" t="str">
        <f>"20190304165016093"</f>
        <v>20190304165016093</v>
      </c>
      <c r="B6583" t="str">
        <f>"1551689416082281"</f>
        <v>1551689416082281</v>
      </c>
      <c r="C6583" t="s">
        <v>40</v>
      </c>
      <c r="D6583">
        <v>4.3393920000000001</v>
      </c>
      <c r="E6583">
        <v>0.50493840000000001</v>
      </c>
      <c r="F6583" t="s">
        <v>49</v>
      </c>
      <c r="G6583">
        <v>-285.0564</v>
      </c>
      <c r="H6583" s="1">
        <v>-3.9371760000000004E-6</v>
      </c>
      <c r="I6583">
        <v>-59.518270000000001</v>
      </c>
      <c r="J6583">
        <v>-292.10070000000002</v>
      </c>
      <c r="K6583">
        <v>1.1204970000000001</v>
      </c>
      <c r="L6583">
        <v>-56.67004</v>
      </c>
      <c r="M6583">
        <v>0.77403540000000004</v>
      </c>
      <c r="N6583">
        <v>-1.3013139999999999E-2</v>
      </c>
      <c r="O6583">
        <v>-0.63300869999999998</v>
      </c>
      <c r="P6583">
        <v>0.85225879999999998</v>
      </c>
      <c r="Q6583">
        <v>0.40568199999999999</v>
      </c>
      <c r="R6583">
        <v>-0.33026860000000002</v>
      </c>
      <c r="S6583">
        <v>3.2422789999999999</v>
      </c>
      <c r="T6583">
        <v>-0.50550039999999996</v>
      </c>
      <c r="U6583">
        <v>-1.334625</v>
      </c>
      <c r="V6583">
        <v>-0.29373290000000002</v>
      </c>
      <c r="W6583">
        <v>0.41006629999999999</v>
      </c>
      <c r="X6583">
        <v>0.86346199999999995</v>
      </c>
      <c r="Y6583">
        <v>-0.2834294</v>
      </c>
      <c r="Z6583">
        <v>9.9976029999999994E-2</v>
      </c>
      <c r="AA6583">
        <v>0.95376749999999999</v>
      </c>
      <c r="AB6583">
        <v>30</v>
      </c>
      <c r="AC6583">
        <v>7.0443000000000202</v>
      </c>
      <c r="AD6583">
        <v>-1.12050093717599</v>
      </c>
      <c r="AE6583">
        <v>-2.8482299999999898</v>
      </c>
      <c r="AF6583">
        <v>-2.2066757010460201</v>
      </c>
      <c r="AG6583">
        <v>-1.12050093717599</v>
      </c>
      <c r="AH6583">
        <v>7.1016696403759196</v>
      </c>
      <c r="AI6583">
        <v>98.568511048915894</v>
      </c>
      <c r="AJ6583">
        <v>107.26139508377599</v>
      </c>
      <c r="AK6583">
        <v>7.5205486289788901</v>
      </c>
      <c r="AL6583">
        <v>65.791000428141004</v>
      </c>
      <c r="AM6583">
        <v>108.787300884923</v>
      </c>
      <c r="AN6583">
        <v>1.0000000061910499</v>
      </c>
    </row>
    <row r="6584" spans="1:40" x14ac:dyDescent="0.25">
      <c r="A6584" t="str">
        <f>"20190304165016107"</f>
        <v>20190304165016107</v>
      </c>
      <c r="B6584" t="str">
        <f>"1551689416102777"</f>
        <v>1551689416102777</v>
      </c>
      <c r="C6584" t="s">
        <v>40</v>
      </c>
      <c r="D6584">
        <v>4.3144289999999996</v>
      </c>
      <c r="E6584">
        <v>0.51134079999999904</v>
      </c>
      <c r="F6584" t="s">
        <v>49</v>
      </c>
      <c r="G6584">
        <v>-284.87610000000001</v>
      </c>
      <c r="H6584" s="1">
        <v>-4.0124970000000003E-6</v>
      </c>
      <c r="I6584">
        <v>-59.587780000000002</v>
      </c>
      <c r="J6584">
        <v>-291.9597</v>
      </c>
      <c r="K6584">
        <v>1.1204529999999999</v>
      </c>
      <c r="L6584">
        <v>-56.776670000000003</v>
      </c>
      <c r="M6584">
        <v>0.77843209999999996</v>
      </c>
      <c r="N6584">
        <v>-1.298317E-2</v>
      </c>
      <c r="O6584">
        <v>-0.62759480000000001</v>
      </c>
      <c r="P6584">
        <v>0.85392309999999905</v>
      </c>
      <c r="Q6584">
        <v>0.40654020000000002</v>
      </c>
      <c r="R6584">
        <v>-0.32486989999999999</v>
      </c>
      <c r="S6584">
        <v>3.2512509999999999</v>
      </c>
      <c r="T6584">
        <v>-0.5042529</v>
      </c>
      <c r="U6584">
        <v>-1.3130489999999999</v>
      </c>
      <c r="V6584">
        <v>-0.29288150000000002</v>
      </c>
      <c r="W6584">
        <v>0.41095369999999998</v>
      </c>
      <c r="X6584">
        <v>0.86332940000000002</v>
      </c>
      <c r="Y6584">
        <v>-0.28318070000000001</v>
      </c>
      <c r="Z6584">
        <v>9.9109520000000007E-2</v>
      </c>
      <c r="AA6584">
        <v>0.95393190000000005</v>
      </c>
      <c r="AB6584">
        <v>30</v>
      </c>
      <c r="AC6584">
        <v>7.0835999999999899</v>
      </c>
      <c r="AD6584">
        <v>-1.1204570124969999</v>
      </c>
      <c r="AE6584">
        <v>-2.8111100000000002</v>
      </c>
      <c r="AF6584">
        <v>-2.2097962605687398</v>
      </c>
      <c r="AG6584">
        <v>-1.1204570124969999</v>
      </c>
      <c r="AH6584">
        <v>7.1249425606251604</v>
      </c>
      <c r="AI6584">
        <v>98.541981247140001</v>
      </c>
      <c r="AJ6584">
        <v>107.23124242618201</v>
      </c>
      <c r="AK6584">
        <v>7.5434362145036502</v>
      </c>
      <c r="AL6584">
        <v>65.735243354437401</v>
      </c>
      <c r="AM6584">
        <v>108.73932690080601</v>
      </c>
      <c r="AN6584">
        <v>1.00000008474514</v>
      </c>
    </row>
    <row r="6585" spans="1:40" x14ac:dyDescent="0.25">
      <c r="A6585" t="str">
        <f>"20190304165016121"</f>
        <v>20190304165016121</v>
      </c>
      <c r="B6585" t="str">
        <f>"1551689416112536"</f>
        <v>1551689416112536</v>
      </c>
      <c r="C6585" t="s">
        <v>40</v>
      </c>
      <c r="D6585">
        <v>4.3532679999999999</v>
      </c>
      <c r="E6585">
        <v>0.51225240000000005</v>
      </c>
      <c r="F6585" t="s">
        <v>49</v>
      </c>
      <c r="G6585">
        <v>-284.76209999999998</v>
      </c>
      <c r="H6585" s="1">
        <v>-4.0358910000000002E-6</v>
      </c>
      <c r="I6585">
        <v>-59.754820000000002</v>
      </c>
      <c r="J6585">
        <v>-291.81779999999998</v>
      </c>
      <c r="K6585">
        <v>1.1204000000000001</v>
      </c>
      <c r="L6585">
        <v>-56.882930000000002</v>
      </c>
      <c r="M6585">
        <v>0.78278159999999997</v>
      </c>
      <c r="N6585">
        <v>-1.295454E-2</v>
      </c>
      <c r="O6585">
        <v>-0.62216190000000005</v>
      </c>
      <c r="P6585">
        <v>0.85595980000000005</v>
      </c>
      <c r="Q6585">
        <v>0.40677980000000002</v>
      </c>
      <c r="R6585">
        <v>-0.31916030000000001</v>
      </c>
      <c r="S6585">
        <v>3.243042</v>
      </c>
      <c r="T6585">
        <v>-0.50484200000000001</v>
      </c>
      <c r="U6585">
        <v>-1.341858</v>
      </c>
      <c r="V6585">
        <v>-0.29251880000000002</v>
      </c>
      <c r="W6585">
        <v>0.41121239999999998</v>
      </c>
      <c r="X6585">
        <v>0.86332909999999996</v>
      </c>
      <c r="Y6585">
        <v>-0.2685381</v>
      </c>
      <c r="Z6585">
        <v>9.7590350000000006E-2</v>
      </c>
      <c r="AA6585">
        <v>0.95831279999999996</v>
      </c>
      <c r="AB6585">
        <v>30</v>
      </c>
      <c r="AC6585">
        <v>7.0556999999999999</v>
      </c>
      <c r="AD6585">
        <v>-1.1204040358909999</v>
      </c>
      <c r="AE6585">
        <v>-2.8718899999999898</v>
      </c>
      <c r="AF6585">
        <v>-2.0965523818416698</v>
      </c>
      <c r="AG6585">
        <v>-1.1204040358909999</v>
      </c>
      <c r="AH6585">
        <v>7.1556752355679603</v>
      </c>
      <c r="AI6585">
        <v>98.545274651589494</v>
      </c>
      <c r="AJ6585">
        <v>106.330138654091</v>
      </c>
      <c r="AK6585">
        <v>7.5401939743197204</v>
      </c>
      <c r="AL6585">
        <v>65.718981618744905</v>
      </c>
      <c r="AM6585">
        <v>108.717743584194</v>
      </c>
      <c r="AN6585">
        <v>1.0000000105869999</v>
      </c>
    </row>
    <row r="6586" spans="1:40" x14ac:dyDescent="0.25">
      <c r="A6586" t="str">
        <f>"20190304165016141"</f>
        <v>20190304165016141</v>
      </c>
      <c r="B6586" t="str">
        <f>"1551689416132058"</f>
        <v>1551689416132058</v>
      </c>
      <c r="C6586" t="s">
        <v>40</v>
      </c>
      <c r="D6586">
        <v>4.349564</v>
      </c>
      <c r="E6586">
        <v>0.51313750000000002</v>
      </c>
      <c r="F6586" t="s">
        <v>49</v>
      </c>
      <c r="G6586">
        <v>-284.64949999999999</v>
      </c>
      <c r="H6586" s="1">
        <v>-4.0784510000000001E-6</v>
      </c>
      <c r="I6586">
        <v>-59.8101699999999</v>
      </c>
      <c r="J6586">
        <v>-291.59679999999997</v>
      </c>
      <c r="K6586">
        <v>1.12032</v>
      </c>
      <c r="L6586">
        <v>-57.045259999999999</v>
      </c>
      <c r="M6586">
        <v>0.78938330000000001</v>
      </c>
      <c r="N6586">
        <v>-1.291322E-2</v>
      </c>
      <c r="O6586">
        <v>-0.6137648</v>
      </c>
      <c r="P6586">
        <v>0.85875889999999999</v>
      </c>
      <c r="Q6586">
        <v>0.40739419999999998</v>
      </c>
      <c r="R6586">
        <v>-0.31074639999999998</v>
      </c>
      <c r="S6586">
        <v>3.251312</v>
      </c>
      <c r="T6586">
        <v>-0.50817860000000004</v>
      </c>
      <c r="U6586">
        <v>-1.327698</v>
      </c>
      <c r="V6586">
        <v>-0.29151929999999998</v>
      </c>
      <c r="W6586">
        <v>0.41186899999999999</v>
      </c>
      <c r="X6586">
        <v>0.86335419999999996</v>
      </c>
      <c r="Y6586">
        <v>-0.26270510000000002</v>
      </c>
      <c r="Z6586">
        <v>9.6889829999999996E-2</v>
      </c>
      <c r="AA6586">
        <v>0.95999909999999999</v>
      </c>
      <c r="AB6586">
        <v>30</v>
      </c>
      <c r="AC6586">
        <v>6.9472999999999798</v>
      </c>
      <c r="AD6586">
        <v>-1.120324078451</v>
      </c>
      <c r="AE6586">
        <v>-2.7649099999999902</v>
      </c>
      <c r="AF6586">
        <v>-2.0359036711286902</v>
      </c>
      <c r="AG6586">
        <v>-1.120324078451</v>
      </c>
      <c r="AH6586">
        <v>7.0240029414737704</v>
      </c>
      <c r="AI6586">
        <v>98.709657737646097</v>
      </c>
      <c r="AJ6586">
        <v>106.16420409599699</v>
      </c>
      <c r="AK6586">
        <v>7.3984219344874198</v>
      </c>
      <c r="AL6586">
        <v>65.677703997379098</v>
      </c>
      <c r="AM6586">
        <v>108.657715869847</v>
      </c>
      <c r="AN6586">
        <v>1.0000000250455601</v>
      </c>
    </row>
    <row r="6587" spans="1:40" x14ac:dyDescent="0.25">
      <c r="A6587" t="str">
        <f>"20190304165016162"</f>
        <v>20190304165016162</v>
      </c>
      <c r="B6587" t="str">
        <f>"1551689416152552"</f>
        <v>1551689416152552</v>
      </c>
      <c r="C6587" t="s">
        <v>40</v>
      </c>
      <c r="D6587">
        <v>4.4033150000000001</v>
      </c>
      <c r="E6587">
        <v>0.51366389999999995</v>
      </c>
      <c r="F6587" t="s">
        <v>49</v>
      </c>
      <c r="G6587">
        <v>-284.36509999999998</v>
      </c>
      <c r="H6587" s="1">
        <v>-4.1888929999999998E-6</v>
      </c>
      <c r="I6587">
        <v>-59.934010000000001</v>
      </c>
      <c r="J6587">
        <v>-291.36840000000001</v>
      </c>
      <c r="K6587">
        <v>1.120242</v>
      </c>
      <c r="L6587">
        <v>-57.209350000000001</v>
      </c>
      <c r="M6587">
        <v>0.79600360000000003</v>
      </c>
      <c r="N6587">
        <v>-1.2874139999999999E-2</v>
      </c>
      <c r="O6587">
        <v>-0.6051552</v>
      </c>
      <c r="P6587">
        <v>0.86182209999999904</v>
      </c>
      <c r="Q6587">
        <v>0.40751090000000001</v>
      </c>
      <c r="R6587">
        <v>-0.30198970000000003</v>
      </c>
      <c r="S6587">
        <v>3.2616580000000002</v>
      </c>
      <c r="T6587">
        <v>-0.5052894</v>
      </c>
      <c r="U6587">
        <v>-1.3028869999999999</v>
      </c>
      <c r="V6587">
        <v>-0.29081699999999999</v>
      </c>
      <c r="W6587">
        <v>0.41202280000000002</v>
      </c>
      <c r="X6587">
        <v>0.8635176</v>
      </c>
      <c r="Y6587">
        <v>-0.25975130000000002</v>
      </c>
      <c r="Z6587">
        <v>9.5148759999999999E-2</v>
      </c>
      <c r="AA6587">
        <v>0.96097659999999996</v>
      </c>
      <c r="AB6587">
        <v>30</v>
      </c>
      <c r="AC6587">
        <v>7.0033000000000198</v>
      </c>
      <c r="AD6587">
        <v>-1.120246188893</v>
      </c>
      <c r="AE6587">
        <v>-2.7246599999999899</v>
      </c>
      <c r="AF6587">
        <v>-2.0244259434912402</v>
      </c>
      <c r="AG6587">
        <v>-1.120246188893</v>
      </c>
      <c r="AH6587">
        <v>7.0670386377092802</v>
      </c>
      <c r="AI6587">
        <v>98.664523571053707</v>
      </c>
      <c r="AJ6587">
        <v>105.984905171252</v>
      </c>
      <c r="AK6587">
        <v>7.4361473244742404</v>
      </c>
      <c r="AL6587">
        <v>65.668032064467297</v>
      </c>
      <c r="AM6587">
        <v>108.612588109859</v>
      </c>
      <c r="AN6587">
        <v>0.99999998035929905</v>
      </c>
    </row>
    <row r="6588" spans="1:40" x14ac:dyDescent="0.25">
      <c r="A6588" t="str">
        <f>"20190304165016177"</f>
        <v>20190304165016177</v>
      </c>
      <c r="B6588" t="str">
        <f>"1551689416172072"</f>
        <v>1551689416172072</v>
      </c>
      <c r="C6588" t="s">
        <v>40</v>
      </c>
      <c r="D6588">
        <v>4.3045090000000004</v>
      </c>
      <c r="E6588">
        <v>0.51468820000000004</v>
      </c>
      <c r="F6588" t="s">
        <v>49</v>
      </c>
      <c r="G6588">
        <v>-284.12</v>
      </c>
      <c r="H6588" s="1">
        <v>-4.2855979999999996E-6</v>
      </c>
      <c r="I6588">
        <v>-60.032200000000003</v>
      </c>
      <c r="J6588">
        <v>-291.19990000000001</v>
      </c>
      <c r="K6588">
        <v>1.120185</v>
      </c>
      <c r="L6588">
        <v>-57.328339999999997</v>
      </c>
      <c r="M6588">
        <v>0.8007687</v>
      </c>
      <c r="N6588">
        <v>-1.2847600000000001E-2</v>
      </c>
      <c r="O6588">
        <v>-0.59883619999999904</v>
      </c>
      <c r="P6588">
        <v>0.86411309999999997</v>
      </c>
      <c r="Q6588">
        <v>0.40710580000000002</v>
      </c>
      <c r="R6588">
        <v>-0.29592859999999999</v>
      </c>
      <c r="S6588">
        <v>3.2734990000000002</v>
      </c>
      <c r="T6588">
        <v>-0.50592020000000004</v>
      </c>
      <c r="U6588">
        <v>-1.2748409999999999</v>
      </c>
      <c r="V6588">
        <v>-0.29009239999999997</v>
      </c>
      <c r="W6588">
        <v>0.41165429999999997</v>
      </c>
      <c r="X6588">
        <v>0.86393699999999995</v>
      </c>
      <c r="Y6588">
        <v>-0.26046409999999998</v>
      </c>
      <c r="Z6588">
        <v>9.4592109999999993E-2</v>
      </c>
      <c r="AA6588">
        <v>0.96083859999999999</v>
      </c>
      <c r="AB6588">
        <v>30</v>
      </c>
      <c r="AC6588">
        <v>7.0799000000000003</v>
      </c>
      <c r="AD6588">
        <v>-1.120189285598</v>
      </c>
      <c r="AE6588">
        <v>-2.7038599999999899</v>
      </c>
      <c r="AF6588">
        <v>-2.0303469985174498</v>
      </c>
      <c r="AG6588">
        <v>-1.120189285598</v>
      </c>
      <c r="AH6588">
        <v>7.1332880106874503</v>
      </c>
      <c r="AI6588">
        <v>98.588915882748594</v>
      </c>
      <c r="AJ6588">
        <v>105.88793744236401</v>
      </c>
      <c r="AK6588">
        <v>7.5007286854928097</v>
      </c>
      <c r="AL6588">
        <v>65.691202257462507</v>
      </c>
      <c r="AM6588">
        <v>108.560999583401</v>
      </c>
      <c r="AN6588">
        <v>1.00000000160762</v>
      </c>
    </row>
    <row r="6589" spans="1:40" x14ac:dyDescent="0.25">
      <c r="A6589" t="str">
        <f>"20190304165016190"</f>
        <v>20190304165016190</v>
      </c>
      <c r="B6589" t="str">
        <f>"1551689416181833"</f>
        <v>1551689416181833</v>
      </c>
      <c r="C6589" t="s">
        <v>40</v>
      </c>
      <c r="D6589">
        <v>4.3833469999999997</v>
      </c>
      <c r="E6589">
        <v>0.51527939999999905</v>
      </c>
      <c r="F6589" t="s">
        <v>49</v>
      </c>
      <c r="G6589">
        <v>-283.93920000000003</v>
      </c>
      <c r="H6589" s="1">
        <v>-4.354707E-6</v>
      </c>
      <c r="I6589">
        <v>-60.117130000000003</v>
      </c>
      <c r="J6589">
        <v>-291.0471</v>
      </c>
      <c r="K6589">
        <v>1.120139</v>
      </c>
      <c r="L6589">
        <v>-57.434269999999998</v>
      </c>
      <c r="M6589">
        <v>0.80499240000000005</v>
      </c>
      <c r="N6589">
        <v>-1.2825359999999999E-2</v>
      </c>
      <c r="O6589">
        <v>-0.59314639999999996</v>
      </c>
      <c r="P6589">
        <v>0.86610279999999995</v>
      </c>
      <c r="Q6589">
        <v>0.40682380000000001</v>
      </c>
      <c r="R6589">
        <v>-0.2904484</v>
      </c>
      <c r="S6589">
        <v>3.2788089999999999</v>
      </c>
      <c r="T6589">
        <v>-0.50585909999999901</v>
      </c>
      <c r="U6589">
        <v>-1.259369</v>
      </c>
      <c r="V6589">
        <v>-0.28946230000000001</v>
      </c>
      <c r="W6589">
        <v>0.41140529999999997</v>
      </c>
      <c r="X6589">
        <v>0.86426689999999995</v>
      </c>
      <c r="Y6589">
        <v>-0.258158</v>
      </c>
      <c r="Z6589">
        <v>9.3804659999999998E-2</v>
      </c>
      <c r="AA6589">
        <v>0.96153789999999995</v>
      </c>
      <c r="AB6589">
        <v>30</v>
      </c>
      <c r="AC6589">
        <v>7.1078999999999697</v>
      </c>
      <c r="AD6589">
        <v>-1.1201433547069899</v>
      </c>
      <c r="AE6589">
        <v>-2.6828599999999998</v>
      </c>
      <c r="AF6589">
        <v>-2.0127591234258699</v>
      </c>
      <c r="AG6589">
        <v>-1.1201433547069899</v>
      </c>
      <c r="AH6589">
        <v>7.15813212020044</v>
      </c>
      <c r="AI6589">
        <v>98.566814877897102</v>
      </c>
      <c r="AJ6589">
        <v>105.70518463758199</v>
      </c>
      <c r="AK6589">
        <v>7.5196260461723501</v>
      </c>
      <c r="AL6589">
        <v>65.706856071640502</v>
      </c>
      <c r="AM6589">
        <v>108.516849208423</v>
      </c>
      <c r="AN6589">
        <v>1.0000000092124901</v>
      </c>
    </row>
    <row r="6590" spans="1:40" x14ac:dyDescent="0.25">
      <c r="A6590" t="str">
        <f>"20190304165016204"</f>
        <v>20190304165016204</v>
      </c>
      <c r="B6590" t="str">
        <f>"1551689416192569"</f>
        <v>1551689416192569</v>
      </c>
      <c r="C6590" t="s">
        <v>40</v>
      </c>
      <c r="D6590">
        <v>4.3960559999999997</v>
      </c>
      <c r="E6590">
        <v>0.51581869999999996</v>
      </c>
      <c r="F6590" t="s">
        <v>49</v>
      </c>
      <c r="G6590">
        <v>-283.84480000000002</v>
      </c>
      <c r="H6590" s="1">
        <v>-4.3914820000000001E-6</v>
      </c>
      <c r="I6590">
        <v>-60.157380000000003</v>
      </c>
      <c r="J6590">
        <v>-290.91000000000003</v>
      </c>
      <c r="K6590">
        <v>1.1200939999999999</v>
      </c>
      <c r="L6590">
        <v>-57.527799999999999</v>
      </c>
      <c r="M6590">
        <v>0.80870649999999999</v>
      </c>
      <c r="N6590">
        <v>-1.2806379999999999E-2</v>
      </c>
      <c r="O6590">
        <v>-0.58807310000000002</v>
      </c>
      <c r="P6590">
        <v>0.86785210000000002</v>
      </c>
      <c r="Q6590">
        <v>0.40631970000000001</v>
      </c>
      <c r="R6590">
        <v>-0.28589700000000001</v>
      </c>
      <c r="S6590">
        <v>3.2871700000000001</v>
      </c>
      <c r="T6590">
        <v>-0.51124550000000002</v>
      </c>
      <c r="U6590">
        <v>-1.2428589999999999</v>
      </c>
      <c r="V6590">
        <v>-0.28864309999999999</v>
      </c>
      <c r="W6590">
        <v>0.41093930000000001</v>
      </c>
      <c r="X6590">
        <v>0.86476239999999904</v>
      </c>
      <c r="Y6590">
        <v>-0.25702550000000002</v>
      </c>
      <c r="Z6590">
        <v>9.4145939999999997E-2</v>
      </c>
      <c r="AA6590">
        <v>0.96180790000000005</v>
      </c>
      <c r="AB6590">
        <v>30</v>
      </c>
      <c r="AC6590">
        <v>7.0651999999999999</v>
      </c>
      <c r="AD6590">
        <v>-1.120098391482</v>
      </c>
      <c r="AE6590">
        <v>-2.6295799999999998</v>
      </c>
      <c r="AF6590">
        <v>-1.9846485894788299</v>
      </c>
      <c r="AG6590">
        <v>-1.120098391482</v>
      </c>
      <c r="AH6590">
        <v>7.1038287106907303</v>
      </c>
      <c r="AI6590">
        <v>98.634972054277597</v>
      </c>
      <c r="AJ6590">
        <v>105.60915761893099</v>
      </c>
      <c r="AK6590">
        <v>7.46041773503031</v>
      </c>
      <c r="AL6590">
        <v>65.736145604532098</v>
      </c>
      <c r="AM6590">
        <v>108.45813996336</v>
      </c>
      <c r="AN6590">
        <v>0.99999997795792905</v>
      </c>
    </row>
    <row r="6591" spans="1:40" x14ac:dyDescent="0.25">
      <c r="A6591" t="str">
        <f>"20190304165016218"</f>
        <v>20190304165016218</v>
      </c>
      <c r="B6591" t="str">
        <f>"1551689416212088"</f>
        <v>1551689416212088</v>
      </c>
      <c r="C6591" t="s">
        <v>40</v>
      </c>
      <c r="D6591">
        <v>5.0601379999999896</v>
      </c>
      <c r="E6591">
        <v>0.51635719999999996</v>
      </c>
      <c r="F6591" t="s">
        <v>49</v>
      </c>
      <c r="G6591">
        <v>-283.7654</v>
      </c>
      <c r="H6591" s="1">
        <v>-4.4219939999999996E-6</v>
      </c>
      <c r="I6591">
        <v>-60.193890000000003</v>
      </c>
      <c r="J6591">
        <v>-290.7448</v>
      </c>
      <c r="K6591">
        <v>1.1200300000000001</v>
      </c>
      <c r="L6591">
        <v>-57.6393699999999</v>
      </c>
      <c r="M6591">
        <v>0.81310709999999997</v>
      </c>
      <c r="N6591">
        <v>-1.278436E-2</v>
      </c>
      <c r="O6591">
        <v>-0.58197390000000004</v>
      </c>
      <c r="P6591">
        <v>0.86991909999999895</v>
      </c>
      <c r="Q6591">
        <v>0.40554669999999998</v>
      </c>
      <c r="R6591">
        <v>-0.28066459999999999</v>
      </c>
      <c r="S6591">
        <v>3.2936709999999998</v>
      </c>
      <c r="T6591">
        <v>-0.51636340000000003</v>
      </c>
      <c r="U6591">
        <v>-1.2290650000000001</v>
      </c>
      <c r="V6591">
        <v>-0.28747739999999999</v>
      </c>
      <c r="W6591">
        <v>0.41021980000000002</v>
      </c>
      <c r="X6591">
        <v>0.86549200000000004</v>
      </c>
      <c r="Y6591">
        <v>-0.25385200000000002</v>
      </c>
      <c r="Z6591">
        <v>9.4179150000000003E-2</v>
      </c>
      <c r="AA6591">
        <v>0.96264709999999998</v>
      </c>
      <c r="AB6591">
        <v>30</v>
      </c>
      <c r="AC6591">
        <v>6.9793999999999903</v>
      </c>
      <c r="AD6591">
        <v>-1.1200344219939999</v>
      </c>
      <c r="AE6591">
        <v>-2.5545200000000099</v>
      </c>
      <c r="AF6591">
        <v>-1.94081527187063</v>
      </c>
      <c r="AG6591">
        <v>-1.1200344219939999</v>
      </c>
      <c r="AH6591">
        <v>7.0032015356847896</v>
      </c>
      <c r="AI6591">
        <v>98.761642506048901</v>
      </c>
      <c r="AJ6591">
        <v>105.489785965412</v>
      </c>
      <c r="AK6591">
        <v>7.3529635369281898</v>
      </c>
      <c r="AL6591">
        <v>65.781356210940004</v>
      </c>
      <c r="AM6591">
        <v>108.374159504907</v>
      </c>
      <c r="AN6591">
        <v>0.99999997094339899</v>
      </c>
    </row>
    <row r="6592" spans="1:40" x14ac:dyDescent="0.25">
      <c r="A6592" t="str">
        <f>"20190304165016230"</f>
        <v>20190304165016230</v>
      </c>
      <c r="B6592" t="str">
        <f>"1551689416221849"</f>
        <v>1551689416221849</v>
      </c>
      <c r="C6592" t="s">
        <v>40</v>
      </c>
      <c r="D6592">
        <v>4.4270300000000002</v>
      </c>
      <c r="E6592">
        <v>0.51676829999999996</v>
      </c>
      <c r="F6592" t="s">
        <v>49</v>
      </c>
      <c r="G6592">
        <v>-283.56529999999998</v>
      </c>
      <c r="H6592" s="1">
        <v>-4.5003389999999999E-6</v>
      </c>
      <c r="I6592">
        <v>-60.277439999999999</v>
      </c>
      <c r="J6592">
        <v>-290.60750000000002</v>
      </c>
      <c r="K6592">
        <v>1.1199760000000001</v>
      </c>
      <c r="L6592">
        <v>-57.730620000000002</v>
      </c>
      <c r="M6592">
        <v>0.81668830000000003</v>
      </c>
      <c r="N6592">
        <v>-1.276645E-2</v>
      </c>
      <c r="O6592">
        <v>-0.57693779999999995</v>
      </c>
      <c r="P6592">
        <v>0.87174859999999899</v>
      </c>
      <c r="Q6592">
        <v>0.40497709999999998</v>
      </c>
      <c r="R6592">
        <v>-0.27576840000000002</v>
      </c>
      <c r="S6592">
        <v>3.2975159999999999</v>
      </c>
      <c r="T6592">
        <v>-0.51442279999999996</v>
      </c>
      <c r="U6592">
        <v>-1.2116389999999999</v>
      </c>
      <c r="V6592">
        <v>-0.28708529999999999</v>
      </c>
      <c r="W6592">
        <v>0.40967999999999999</v>
      </c>
      <c r="X6592">
        <v>0.86587780000000003</v>
      </c>
      <c r="Y6592">
        <v>-0.25281429999999999</v>
      </c>
      <c r="Z6592">
        <v>9.3220739999999996E-2</v>
      </c>
      <c r="AA6592">
        <v>0.96301340000000002</v>
      </c>
      <c r="AB6592">
        <v>30</v>
      </c>
      <c r="AC6592">
        <v>7.0422000000000304</v>
      </c>
      <c r="AD6592">
        <v>-1.119980500339</v>
      </c>
      <c r="AE6592">
        <v>-2.5468200000000101</v>
      </c>
      <c r="AF6592">
        <v>-1.93972762772271</v>
      </c>
      <c r="AG6592">
        <v>-1.119980500339</v>
      </c>
      <c r="AH6592">
        <v>7.0632390840538202</v>
      </c>
      <c r="AI6592">
        <v>98.693403821368605</v>
      </c>
      <c r="AJ6592">
        <v>105.35616538628101</v>
      </c>
      <c r="AK6592">
        <v>7.4098748943147399</v>
      </c>
      <c r="AL6592">
        <v>65.815265979723094</v>
      </c>
      <c r="AM6592">
        <v>108.343149530071</v>
      </c>
      <c r="AN6592">
        <v>1.0000000182044599</v>
      </c>
    </row>
    <row r="6593" spans="1:40" x14ac:dyDescent="0.25">
      <c r="A6593" t="str">
        <f>"20190304165016252"</f>
        <v>20190304165016252</v>
      </c>
      <c r="B6593" t="str">
        <f>"1551689416242345"</f>
        <v>1551689416242345</v>
      </c>
      <c r="C6593" t="s">
        <v>40</v>
      </c>
      <c r="D6593">
        <v>4.423413</v>
      </c>
      <c r="E6593">
        <v>0.51759359999999999</v>
      </c>
      <c r="F6593" t="s">
        <v>49</v>
      </c>
      <c r="G6593">
        <v>-283.42989999999998</v>
      </c>
      <c r="H6593" s="1">
        <v>-4.5537150000000003E-6</v>
      </c>
      <c r="I6593">
        <v>-60.331870000000002</v>
      </c>
      <c r="J6593">
        <v>-290.37779999999998</v>
      </c>
      <c r="K6593">
        <v>1.1198950000000001</v>
      </c>
      <c r="L6593">
        <v>-57.880619999999901</v>
      </c>
      <c r="M6593">
        <v>0.82253310000000002</v>
      </c>
      <c r="N6593">
        <v>-1.2737139999999999E-2</v>
      </c>
      <c r="O6593">
        <v>-0.56857480000000005</v>
      </c>
      <c r="P6593">
        <v>0.87473789999999996</v>
      </c>
      <c r="Q6593">
        <v>0.40391260000000001</v>
      </c>
      <c r="R6593">
        <v>-0.26774629999999999</v>
      </c>
      <c r="S6593">
        <v>3.302155</v>
      </c>
      <c r="T6593">
        <v>-0.51526499999999997</v>
      </c>
      <c r="U6593">
        <v>-1.196747</v>
      </c>
      <c r="V6593">
        <v>-0.28637600000000002</v>
      </c>
      <c r="W6593">
        <v>0.40866930000000001</v>
      </c>
      <c r="X6593">
        <v>0.86658999999999997</v>
      </c>
      <c r="Y6593">
        <v>-0.2473041</v>
      </c>
      <c r="Z6593">
        <v>9.2048019999999994E-2</v>
      </c>
      <c r="AA6593">
        <v>0.96455579999999996</v>
      </c>
      <c r="AB6593">
        <v>30</v>
      </c>
      <c r="AC6593">
        <v>6.9478999999999997</v>
      </c>
      <c r="AD6593">
        <v>-1.1198995537150001</v>
      </c>
      <c r="AE6593">
        <v>-2.4512499999999999</v>
      </c>
      <c r="AF6593">
        <v>-1.89064035078643</v>
      </c>
      <c r="AG6593">
        <v>-1.1198995537150001</v>
      </c>
      <c r="AH6593">
        <v>6.94862574133042</v>
      </c>
      <c r="AI6593">
        <v>98.8395305086337</v>
      </c>
      <c r="AJ6593">
        <v>105.22104180248201</v>
      </c>
      <c r="AK6593">
        <v>7.2878045829668503</v>
      </c>
      <c r="AL6593">
        <v>65.878730808599798</v>
      </c>
      <c r="AM6593">
        <v>108.28681350541299</v>
      </c>
      <c r="AN6593">
        <v>1.00000001911924</v>
      </c>
    </row>
    <row r="6594" spans="1:40" x14ac:dyDescent="0.25">
      <c r="A6594" t="str">
        <f>"20190304165016264"</f>
        <v>20190304165016264</v>
      </c>
      <c r="B6594" t="str">
        <f>"1551689416252105"</f>
        <v>1551689416252105</v>
      </c>
      <c r="C6594" t="s">
        <v>40</v>
      </c>
      <c r="D6594">
        <v>4.3666150000000004</v>
      </c>
      <c r="E6594">
        <v>0.51761449999999998</v>
      </c>
      <c r="F6594" t="s">
        <v>49</v>
      </c>
      <c r="G6594">
        <v>-283.2226</v>
      </c>
      <c r="H6594" s="1">
        <v>-6.6271889999999997E-6</v>
      </c>
      <c r="I6594">
        <v>-60.41648</v>
      </c>
      <c r="J6594">
        <v>-290.2364</v>
      </c>
      <c r="K6594">
        <v>1.1198429999999999</v>
      </c>
      <c r="L6594">
        <v>-57.971249999999998</v>
      </c>
      <c r="M6594">
        <v>0.82603899999999997</v>
      </c>
      <c r="N6594">
        <v>-1.2719670000000001E-2</v>
      </c>
      <c r="O6594">
        <v>-0.56346949999999996</v>
      </c>
      <c r="P6594">
        <v>0.87650949999999905</v>
      </c>
      <c r="Q6594">
        <v>0.40341890000000002</v>
      </c>
      <c r="R6594">
        <v>-0.26264850000000001</v>
      </c>
      <c r="S6594">
        <v>3.3097530000000002</v>
      </c>
      <c r="T6594">
        <v>-0.51802780000000004</v>
      </c>
      <c r="U6594">
        <v>-1.1730039999999999</v>
      </c>
      <c r="V6594">
        <v>-0.2861165</v>
      </c>
      <c r="W6594">
        <v>0.40820620000000002</v>
      </c>
      <c r="X6594">
        <v>0.8668939</v>
      </c>
      <c r="Y6594">
        <v>-0.24810019999999999</v>
      </c>
      <c r="Z6594">
        <v>9.2043120000000006E-2</v>
      </c>
      <c r="AA6594">
        <v>0.96435179999999998</v>
      </c>
      <c r="AB6594">
        <v>30</v>
      </c>
      <c r="AC6594">
        <v>7.0137999999999998</v>
      </c>
      <c r="AD6594">
        <v>-1.1198496271889999</v>
      </c>
      <c r="AE6594">
        <v>-2.44523</v>
      </c>
      <c r="AF6594">
        <v>-1.88941711161366</v>
      </c>
      <c r="AG6594">
        <v>-1.1198496271889999</v>
      </c>
      <c r="AH6594">
        <v>7.0126678822558297</v>
      </c>
      <c r="AI6594">
        <v>98.765465110298607</v>
      </c>
      <c r="AJ6594">
        <v>105.079085534217</v>
      </c>
      <c r="AK6594">
        <v>7.3485693189896804</v>
      </c>
      <c r="AL6594">
        <v>65.907799037959904</v>
      </c>
      <c r="AM6594">
        <v>108.265364184521</v>
      </c>
      <c r="AN6594">
        <v>0.99999999357394997</v>
      </c>
    </row>
    <row r="6595" spans="1:40" x14ac:dyDescent="0.25">
      <c r="A6595" t="str">
        <f>"20190304165016277"</f>
        <v>20190304165016277</v>
      </c>
      <c r="B6595" t="str">
        <f>"1551689416272414"</f>
        <v>1551689416272414</v>
      </c>
      <c r="C6595" t="s">
        <v>40</v>
      </c>
      <c r="D6595">
        <v>4.449522</v>
      </c>
      <c r="E6595">
        <v>0.51838660000000003</v>
      </c>
      <c r="F6595" t="s">
        <v>49</v>
      </c>
      <c r="G6595">
        <v>-283.03039999999999</v>
      </c>
      <c r="H6595" s="1">
        <v>-6.6844729999999996E-6</v>
      </c>
      <c r="I6595">
        <v>-60.479410000000001</v>
      </c>
      <c r="J6595">
        <v>-290.09059999999999</v>
      </c>
      <c r="K6595">
        <v>1.119785</v>
      </c>
      <c r="L6595">
        <v>-58.063809999999997</v>
      </c>
      <c r="M6595">
        <v>0.82959430000000001</v>
      </c>
      <c r="N6595">
        <v>-1.270224E-2</v>
      </c>
      <c r="O6595">
        <v>-0.55822240000000001</v>
      </c>
      <c r="P6595">
        <v>0.87803199999999904</v>
      </c>
      <c r="Q6595">
        <v>0.40328000000000003</v>
      </c>
      <c r="R6595">
        <v>-0.2577314</v>
      </c>
      <c r="S6595">
        <v>3.3140559999999999</v>
      </c>
      <c r="T6595">
        <v>-0.51501920000000001</v>
      </c>
      <c r="U6595">
        <v>-1.1535029999999999</v>
      </c>
      <c r="V6595">
        <v>-0.28545350000000003</v>
      </c>
      <c r="W6595">
        <v>0.40810740000000001</v>
      </c>
      <c r="X6595">
        <v>0.86715889999999995</v>
      </c>
      <c r="Y6595">
        <v>-0.24753220000000001</v>
      </c>
      <c r="Z6595">
        <v>9.0891150000000004E-2</v>
      </c>
      <c r="AA6595">
        <v>0.96460690000000004</v>
      </c>
      <c r="AB6595">
        <v>30</v>
      </c>
      <c r="AC6595">
        <v>7.0602</v>
      </c>
      <c r="AD6595">
        <v>-1.119791684473</v>
      </c>
      <c r="AE6595">
        <v>-2.4155999999999902</v>
      </c>
      <c r="AF6595">
        <v>-1.89468207936345</v>
      </c>
      <c r="AG6595">
        <v>-1.119791684473</v>
      </c>
      <c r="AH6595">
        <v>7.0474180490976197</v>
      </c>
      <c r="AI6595">
        <v>98.723718705268297</v>
      </c>
      <c r="AJ6595">
        <v>105.048020930996</v>
      </c>
      <c r="AK6595">
        <v>7.3830789483265598</v>
      </c>
      <c r="AL6595">
        <v>65.913998873154796</v>
      </c>
      <c r="AM6595">
        <v>108.220638182466</v>
      </c>
      <c r="AN6595">
        <v>0.99999995422310795</v>
      </c>
    </row>
    <row r="6596" spans="1:40" x14ac:dyDescent="0.25">
      <c r="A6596" t="str">
        <f>"20190304165016289"</f>
        <v>20190304165016289</v>
      </c>
      <c r="B6596" t="str">
        <f>"1551689416282174"</f>
        <v>1551689416282174</v>
      </c>
      <c r="C6596" t="s">
        <v>40</v>
      </c>
      <c r="D6596">
        <v>4.4468059999999996</v>
      </c>
      <c r="E6596">
        <v>0.51869860000000001</v>
      </c>
      <c r="F6596" t="s">
        <v>49</v>
      </c>
      <c r="G6596">
        <v>-282.89080000000001</v>
      </c>
      <c r="H6596" s="1">
        <v>-6.7246500000000001E-6</v>
      </c>
      <c r="I6596">
        <v>-60.537419999999997</v>
      </c>
      <c r="J6596">
        <v>-289.94170000000003</v>
      </c>
      <c r="K6596">
        <v>1.1197220000000001</v>
      </c>
      <c r="L6596">
        <v>-58.156649999999999</v>
      </c>
      <c r="M6596">
        <v>0.83314009999999905</v>
      </c>
      <c r="N6596">
        <v>-1.268436E-2</v>
      </c>
      <c r="O6596">
        <v>-0.55291669999999904</v>
      </c>
      <c r="P6596">
        <v>0.87970599999999999</v>
      </c>
      <c r="Q6596">
        <v>0.40276630000000002</v>
      </c>
      <c r="R6596">
        <v>-0.25277850000000002</v>
      </c>
      <c r="S6596">
        <v>3.3191220000000001</v>
      </c>
      <c r="T6596">
        <v>-0.51623069999999904</v>
      </c>
      <c r="U6596">
        <v>-1.14035</v>
      </c>
      <c r="V6596">
        <v>-0.284862</v>
      </c>
      <c r="W6596">
        <v>0.40763709999999997</v>
      </c>
      <c r="X6596">
        <v>0.86757459999999997</v>
      </c>
      <c r="Y6596">
        <v>-0.24525540000000001</v>
      </c>
      <c r="Z6596">
        <v>9.0317090000000003E-2</v>
      </c>
      <c r="AA6596">
        <v>0.9652423</v>
      </c>
      <c r="AB6596">
        <v>30</v>
      </c>
      <c r="AC6596">
        <v>7.0509000000000102</v>
      </c>
      <c r="AD6596">
        <v>-1.1197287246499901</v>
      </c>
      <c r="AE6596">
        <v>-2.3807699999999898</v>
      </c>
      <c r="AF6596">
        <v>-1.8728019158229401</v>
      </c>
      <c r="AG6596">
        <v>-1.1197287246499901</v>
      </c>
      <c r="AH6596">
        <v>7.0321360287269696</v>
      </c>
      <c r="AI6596">
        <v>98.747333330552607</v>
      </c>
      <c r="AJ6596">
        <v>104.912897953594</v>
      </c>
      <c r="AK6596">
        <v>7.36288778667965</v>
      </c>
      <c r="AL6596">
        <v>65.943513352060094</v>
      </c>
      <c r="AM6596">
        <v>108.17722940110301</v>
      </c>
      <c r="AN6596">
        <v>1.0000000254527801</v>
      </c>
    </row>
    <row r="6597" spans="1:40" x14ac:dyDescent="0.25">
      <c r="A6597" t="str">
        <f>"20190304165016301"</f>
        <v>20190304165016301</v>
      </c>
      <c r="B6597" t="str">
        <f>"1551689416291933"</f>
        <v>1551689416291933</v>
      </c>
      <c r="C6597" t="s">
        <v>40</v>
      </c>
      <c r="D6597">
        <v>4.5087890000000002</v>
      </c>
      <c r="E6597">
        <v>0.51873709999999995</v>
      </c>
      <c r="F6597" t="s">
        <v>49</v>
      </c>
      <c r="G6597">
        <v>-282.76319999999998</v>
      </c>
      <c r="H6597" s="1">
        <v>-6.7624419999999997E-6</v>
      </c>
      <c r="I6597">
        <v>-60.581139999999998</v>
      </c>
      <c r="J6597">
        <v>-289.81270000000001</v>
      </c>
      <c r="K6597">
        <v>1.119667</v>
      </c>
      <c r="L6597">
        <v>-58.236109999999996</v>
      </c>
      <c r="M6597">
        <v>0.83615609999999996</v>
      </c>
      <c r="N6597">
        <v>-1.266919E-2</v>
      </c>
      <c r="O6597">
        <v>-0.54834530000000004</v>
      </c>
      <c r="P6597">
        <v>0.88104919999999998</v>
      </c>
      <c r="Q6597">
        <v>0.40242640000000002</v>
      </c>
      <c r="R6597">
        <v>-0.2486072</v>
      </c>
      <c r="S6597">
        <v>3.3250120000000001</v>
      </c>
      <c r="T6597">
        <v>-0.51865260000000002</v>
      </c>
      <c r="U6597">
        <v>-1.123016</v>
      </c>
      <c r="V6597">
        <v>-0.28424260000000001</v>
      </c>
      <c r="W6597">
        <v>0.4073367</v>
      </c>
      <c r="X6597">
        <v>0.86791879999999999</v>
      </c>
      <c r="Y6597">
        <v>-0.24495529999999999</v>
      </c>
      <c r="Z6597">
        <v>9.0196799999999994E-2</v>
      </c>
      <c r="AA6597">
        <v>0.96532969999999896</v>
      </c>
      <c r="AB6597">
        <v>30</v>
      </c>
      <c r="AC6597">
        <v>7.0495000000000196</v>
      </c>
      <c r="AD6597">
        <v>-1.1196737624419999</v>
      </c>
      <c r="AE6597">
        <v>-2.3450299999999999</v>
      </c>
      <c r="AF6597">
        <v>-1.86259555937096</v>
      </c>
      <c r="AG6597">
        <v>-1.1196737624419999</v>
      </c>
      <c r="AH6597">
        <v>7.0214617813247298</v>
      </c>
      <c r="AI6597">
        <v>98.762247433520002</v>
      </c>
      <c r="AJ6597">
        <v>104.856775342134</v>
      </c>
      <c r="AK6597">
        <v>7.3500923190592102</v>
      </c>
      <c r="AL6597">
        <v>65.962361200787399</v>
      </c>
      <c r="AM6597">
        <v>108.133573317087</v>
      </c>
      <c r="AN6597">
        <v>1.00000004310754</v>
      </c>
    </row>
    <row r="6598" spans="1:40" x14ac:dyDescent="0.25">
      <c r="A6598" t="str">
        <f>"20190304165016313"</f>
        <v>20190304165016313</v>
      </c>
      <c r="B6598" t="str">
        <f>"1551689416302669"</f>
        <v>1551689416302669</v>
      </c>
      <c r="C6598" t="s">
        <v>40</v>
      </c>
      <c r="D6598">
        <v>4.5293029999999996</v>
      </c>
      <c r="E6598">
        <v>0.51836099999999996</v>
      </c>
      <c r="F6598" t="s">
        <v>49</v>
      </c>
      <c r="G6598">
        <v>-282.64909999999998</v>
      </c>
      <c r="H6598" s="1">
        <v>-6.7965479999999997E-6</v>
      </c>
      <c r="I6598">
        <v>-60.617579999999997</v>
      </c>
      <c r="J6598">
        <v>-289.67860000000002</v>
      </c>
      <c r="K6598">
        <v>1.119613</v>
      </c>
      <c r="L6598">
        <v>-58.318049999999999</v>
      </c>
      <c r="M6598">
        <v>0.83924539999999903</v>
      </c>
      <c r="N6598">
        <v>-1.265376E-2</v>
      </c>
      <c r="O6598">
        <v>-0.54360589999999998</v>
      </c>
      <c r="P6598">
        <v>0.88242289999999901</v>
      </c>
      <c r="Q6598">
        <v>0.40213379999999999</v>
      </c>
      <c r="R6598">
        <v>-0.24416879999999999</v>
      </c>
      <c r="S6598">
        <v>3.3303829999999999</v>
      </c>
      <c r="T6598">
        <v>-0.52053899999999997</v>
      </c>
      <c r="U6598">
        <v>-1.1071470000000001</v>
      </c>
      <c r="V6598">
        <v>-0.28371020000000002</v>
      </c>
      <c r="W6598">
        <v>0.40708240000000001</v>
      </c>
      <c r="X6598">
        <v>0.86821219999999999</v>
      </c>
      <c r="Y6598">
        <v>-0.2440755</v>
      </c>
      <c r="Z6598">
        <v>8.9909589999999998E-2</v>
      </c>
      <c r="AA6598">
        <v>0.96557930000000003</v>
      </c>
      <c r="AB6598">
        <v>30</v>
      </c>
      <c r="AC6598">
        <v>7.0295000000000396</v>
      </c>
      <c r="AD6598">
        <v>-1.1196197965479999</v>
      </c>
      <c r="AE6598">
        <v>-2.2995299999999999</v>
      </c>
      <c r="AF6598">
        <v>-1.8491828126999501</v>
      </c>
      <c r="AG6598">
        <v>-1.1196197965479999</v>
      </c>
      <c r="AH6598">
        <v>6.9899037100385204</v>
      </c>
      <c r="AI6598">
        <v>98.802318470045904</v>
      </c>
      <c r="AJ6598">
        <v>104.818162090028</v>
      </c>
      <c r="AK6598">
        <v>7.3165414943959197</v>
      </c>
      <c r="AL6598">
        <v>65.978312748653195</v>
      </c>
      <c r="AM6598">
        <v>108.09610717914801</v>
      </c>
      <c r="AN6598">
        <v>0.99999999110131998</v>
      </c>
    </row>
    <row r="6599" spans="1:40" x14ac:dyDescent="0.25">
      <c r="A6599" t="str">
        <f>"20190304165016328"</f>
        <v>20190304165016328</v>
      </c>
      <c r="B6599" t="str">
        <f>"1551689416322189"</f>
        <v>1551689416322189</v>
      </c>
      <c r="C6599" t="s">
        <v>40</v>
      </c>
      <c r="D6599">
        <v>4.4298289999999998</v>
      </c>
      <c r="E6599">
        <v>0.50293169999999998</v>
      </c>
      <c r="F6599" t="s">
        <v>49</v>
      </c>
      <c r="G6599">
        <v>-282.4819</v>
      </c>
      <c r="H6599" s="1">
        <v>-6.8474389999999999E-6</v>
      </c>
      <c r="I6599">
        <v>-60.662779999999998</v>
      </c>
      <c r="J6599">
        <v>-289.52210000000002</v>
      </c>
      <c r="K6599">
        <v>1.1195520000000001</v>
      </c>
      <c r="L6599">
        <v>-58.411929999999998</v>
      </c>
      <c r="M6599">
        <v>0.84276319999999905</v>
      </c>
      <c r="N6599">
        <v>-1.2636079999999999E-2</v>
      </c>
      <c r="O6599">
        <v>-0.53813599999999995</v>
      </c>
      <c r="P6599">
        <v>0.88395040000000003</v>
      </c>
      <c r="Q6599">
        <v>0.40189380000000002</v>
      </c>
      <c r="R6599">
        <v>-0.23898369999999999</v>
      </c>
      <c r="S6599">
        <v>3.3355100000000002</v>
      </c>
      <c r="T6599">
        <v>-0.51891980000000004</v>
      </c>
      <c r="U6599">
        <v>-1.0867309999999999</v>
      </c>
      <c r="V6599">
        <v>-0.28314699999999998</v>
      </c>
      <c r="W6599">
        <v>0.40688550000000001</v>
      </c>
      <c r="X6599">
        <v>0.86848829999999999</v>
      </c>
      <c r="Y6599">
        <v>-0.24363799999999999</v>
      </c>
      <c r="Z6599">
        <v>8.8970880000000002E-2</v>
      </c>
      <c r="AA6599">
        <v>0.96577670000000004</v>
      </c>
      <c r="AB6599">
        <v>30</v>
      </c>
      <c r="AC6599">
        <v>7.04020000000002</v>
      </c>
      <c r="AD6599">
        <v>-1.1195588474389999</v>
      </c>
      <c r="AE6599">
        <v>-2.2508499999999998</v>
      </c>
      <c r="AF6599">
        <v>-1.84937193174297</v>
      </c>
      <c r="AG6599">
        <v>-1.1195588474389999</v>
      </c>
      <c r="AH6599">
        <v>6.9848012198804499</v>
      </c>
      <c r="AI6599">
        <v>98.807703397803806</v>
      </c>
      <c r="AJ6599">
        <v>104.829959888416</v>
      </c>
      <c r="AK6599">
        <v>7.3117054533153301</v>
      </c>
      <c r="AL6599">
        <v>65.990663148708094</v>
      </c>
      <c r="AM6599">
        <v>108.057150031549</v>
      </c>
      <c r="AN6599">
        <v>0.99999998047806904</v>
      </c>
    </row>
    <row r="6600" spans="1:40" x14ac:dyDescent="0.25">
      <c r="A6600" t="str">
        <f>"20190304165016341"</f>
        <v>20190304165016341</v>
      </c>
      <c r="B6600" t="str">
        <f>"1551689416331949"</f>
        <v>1551689416331949</v>
      </c>
      <c r="C6600" t="s">
        <v>40</v>
      </c>
      <c r="D6600">
        <v>4.507517</v>
      </c>
      <c r="E6600">
        <v>0.50377150000000004</v>
      </c>
      <c r="F6600" t="s">
        <v>49</v>
      </c>
      <c r="G6600">
        <v>-280.40989999999999</v>
      </c>
      <c r="H6600" s="1">
        <v>-7.5061029999999999E-6</v>
      </c>
      <c r="I6600">
        <v>-60.973179999999999</v>
      </c>
      <c r="J6600">
        <v>-289.35930000000002</v>
      </c>
      <c r="K6600">
        <v>1.1194839999999999</v>
      </c>
      <c r="L6600">
        <v>-58.508510000000001</v>
      </c>
      <c r="M6600">
        <v>0.84635190000000005</v>
      </c>
      <c r="N6600">
        <v>-1.26181E-2</v>
      </c>
      <c r="O6600">
        <v>-0.53247460000000002</v>
      </c>
      <c r="P6600">
        <v>0.88523349999999901</v>
      </c>
      <c r="Q6600">
        <v>0.40213110000000002</v>
      </c>
      <c r="R6600">
        <v>-0.2337775</v>
      </c>
      <c r="S6600">
        <v>3.3268740000000001</v>
      </c>
      <c r="T6600">
        <v>-0.40875470000000003</v>
      </c>
      <c r="U6600">
        <v>-0.93511960000000005</v>
      </c>
      <c r="V6600">
        <v>-0.28231230000000002</v>
      </c>
      <c r="W6600">
        <v>0.40717249999999999</v>
      </c>
      <c r="X6600">
        <v>0.86862549999999905</v>
      </c>
      <c r="Y6600">
        <v>-0.2789837</v>
      </c>
      <c r="Z6600">
        <v>7.1746530000000003E-2</v>
      </c>
      <c r="AA6600">
        <v>0.95761189999999996</v>
      </c>
      <c r="AB6600">
        <v>30</v>
      </c>
      <c r="AC6600">
        <v>8.9494000000000202</v>
      </c>
      <c r="AD6600">
        <v>-1.119491506103</v>
      </c>
      <c r="AE6600">
        <v>-2.4646699999999999</v>
      </c>
      <c r="AF6600">
        <v>-2.6411487952175698</v>
      </c>
      <c r="AG6600">
        <v>-1.119491506103</v>
      </c>
      <c r="AH6600">
        <v>8.7600121239294602</v>
      </c>
      <c r="AI6600">
        <v>96.975774283700005</v>
      </c>
      <c r="AJ6600">
        <v>106.778089865491</v>
      </c>
      <c r="AK6600">
        <v>9.2177405367100196</v>
      </c>
      <c r="AL6600">
        <v>65.9726602210648</v>
      </c>
      <c r="AM6600">
        <v>108.00469928873299</v>
      </c>
      <c r="AN6600">
        <v>0.99999996936889401</v>
      </c>
    </row>
    <row r="6601" spans="1:40" x14ac:dyDescent="0.25">
      <c r="A6601" t="str">
        <f>"20190304165016356"</f>
        <v>20190304165016356</v>
      </c>
      <c r="B6601" t="str">
        <f>"1551689416352444"</f>
        <v>1551689416352444</v>
      </c>
      <c r="C6601" t="s">
        <v>40</v>
      </c>
      <c r="D6601">
        <v>4.4672340000000004</v>
      </c>
      <c r="E6601">
        <v>0.50506629999999997</v>
      </c>
      <c r="F6601" t="s">
        <v>49</v>
      </c>
      <c r="G6601">
        <v>-280.31619999999998</v>
      </c>
      <c r="H6601" s="1">
        <v>-7.532605E-6</v>
      </c>
      <c r="I6601">
        <v>-61.016590000000001</v>
      </c>
      <c r="J6601">
        <v>-289.19560000000001</v>
      </c>
      <c r="K6601">
        <v>1.119416</v>
      </c>
      <c r="L6601">
        <v>-58.604340000000001</v>
      </c>
      <c r="M6601">
        <v>0.84988009999999903</v>
      </c>
      <c r="N6601">
        <v>-1.2600419999999999E-2</v>
      </c>
      <c r="O6601">
        <v>-0.5268254</v>
      </c>
      <c r="P6601">
        <v>0.88661179999999995</v>
      </c>
      <c r="Q6601">
        <v>0.40210849999999998</v>
      </c>
      <c r="R6601">
        <v>-0.22853509999999999</v>
      </c>
      <c r="S6601">
        <v>3.3322449999999999</v>
      </c>
      <c r="T6601">
        <v>-0.41251719999999997</v>
      </c>
      <c r="U6601">
        <v>-0.92419430000000002</v>
      </c>
      <c r="V6601">
        <v>-0.28159869999999998</v>
      </c>
      <c r="W6601">
        <v>0.40719820000000001</v>
      </c>
      <c r="X6601">
        <v>0.86884509999999904</v>
      </c>
      <c r="Y6601">
        <v>-0.27587009999999901</v>
      </c>
      <c r="Z6601">
        <v>7.1688870000000002E-2</v>
      </c>
      <c r="AA6601">
        <v>0.95851779999999998</v>
      </c>
      <c r="AB6601">
        <v>30</v>
      </c>
      <c r="AC6601">
        <v>8.8794000000000306</v>
      </c>
      <c r="AD6601">
        <v>-1.1194235326049999</v>
      </c>
      <c r="AE6601">
        <v>-2.4122499999999998</v>
      </c>
      <c r="AF6601">
        <v>-2.5896489738134498</v>
      </c>
      <c r="AG6601">
        <v>-1.1194235326049999</v>
      </c>
      <c r="AH6601">
        <v>8.6893474391653296</v>
      </c>
      <c r="AI6601">
        <v>97.038171436835796</v>
      </c>
      <c r="AJ6601">
        <v>106.59540970425</v>
      </c>
      <c r="AK6601">
        <v>9.1358715934196493</v>
      </c>
      <c r="AL6601">
        <v>65.971048921197294</v>
      </c>
      <c r="AM6601">
        <v>107.95786764987901</v>
      </c>
      <c r="AN6601">
        <v>1.0000000048594699</v>
      </c>
    </row>
    <row r="6602" spans="1:40" x14ac:dyDescent="0.25">
      <c r="A6602" t="str">
        <f>"20190304165016370"</f>
        <v>20190304165016370</v>
      </c>
      <c r="B6602" t="str">
        <f>"1551689416362204"</f>
        <v>1551689416362204</v>
      </c>
      <c r="C6602" t="s">
        <v>40</v>
      </c>
      <c r="D6602">
        <v>4.4628489999999896</v>
      </c>
      <c r="E6602">
        <v>0.50538779999999905</v>
      </c>
      <c r="F6602" t="s">
        <v>49</v>
      </c>
      <c r="G6602">
        <v>-280.1386</v>
      </c>
      <c r="H6602" s="1">
        <v>-7.5838979999999999E-6</v>
      </c>
      <c r="I6602">
        <v>-61.089109999999998</v>
      </c>
      <c r="J6602">
        <v>-289.02670000000001</v>
      </c>
      <c r="K6602">
        <v>1.1193439999999999</v>
      </c>
      <c r="L6602">
        <v>-58.7012</v>
      </c>
      <c r="M6602">
        <v>0.85342340000000005</v>
      </c>
      <c r="N6602">
        <v>-1.258214E-2</v>
      </c>
      <c r="O6602">
        <v>-0.52106649999999999</v>
      </c>
      <c r="P6602">
        <v>0.88795040000000003</v>
      </c>
      <c r="Q6602">
        <v>0.40217629999999999</v>
      </c>
      <c r="R6602">
        <v>-0.2231554</v>
      </c>
      <c r="S6602">
        <v>3.334778</v>
      </c>
      <c r="T6602">
        <v>-0.41216960000000002</v>
      </c>
      <c r="U6602">
        <v>-0.91488650000000005</v>
      </c>
      <c r="V6602">
        <v>-0.28090290000000001</v>
      </c>
      <c r="W6602">
        <v>0.40731410000000001</v>
      </c>
      <c r="X6602">
        <v>0.86901600000000001</v>
      </c>
      <c r="Y6602">
        <v>-0.27210800000000002</v>
      </c>
      <c r="Z6602">
        <v>7.0864220000000006E-2</v>
      </c>
      <c r="AA6602">
        <v>0.95965389999999995</v>
      </c>
      <c r="AB6602">
        <v>30</v>
      </c>
      <c r="AC6602">
        <v>8.8880999999999997</v>
      </c>
      <c r="AD6602">
        <v>-1.1193515838979999</v>
      </c>
      <c r="AE6602">
        <v>-2.38790999999999</v>
      </c>
      <c r="AF6602">
        <v>-2.5557910084678301</v>
      </c>
      <c r="AG6602">
        <v>-1.1193515838979999</v>
      </c>
      <c r="AH6602">
        <v>8.7015515185696106</v>
      </c>
      <c r="AI6602">
        <v>97.036112874313602</v>
      </c>
      <c r="AJ6602">
        <v>106.368394562265</v>
      </c>
      <c r="AK6602">
        <v>9.1379436678971206</v>
      </c>
      <c r="AL6602">
        <v>65.963778234845506</v>
      </c>
      <c r="AM6602">
        <v>107.913037051269</v>
      </c>
      <c r="AN6602">
        <v>1.0000000117716099</v>
      </c>
    </row>
    <row r="6603" spans="1:40" x14ac:dyDescent="0.25">
      <c r="A6603" t="str">
        <f>"20190304165016385"</f>
        <v>20190304165016385</v>
      </c>
      <c r="B6603" t="str">
        <f>"1551689416382701"</f>
        <v>1551689416382701</v>
      </c>
      <c r="C6603" t="s">
        <v>40</v>
      </c>
      <c r="D6603">
        <v>4.4915390000000004</v>
      </c>
      <c r="E6603">
        <v>0.50628260000000003</v>
      </c>
      <c r="F6603" t="s">
        <v>42</v>
      </c>
      <c r="G6603">
        <v>-279.91329999999999</v>
      </c>
      <c r="H6603" s="1">
        <v>-3.5133139999999999E-6</v>
      </c>
      <c r="I6603">
        <v>-61.148989999999998</v>
      </c>
      <c r="J6603">
        <v>-288.8417</v>
      </c>
      <c r="K6603">
        <v>1.1192770000000001</v>
      </c>
      <c r="L6603">
        <v>-58.805909999999997</v>
      </c>
      <c r="M6603">
        <v>0.85721780000000003</v>
      </c>
      <c r="N6603">
        <v>-1.256297E-2</v>
      </c>
      <c r="O6603">
        <v>-0.51480099999999995</v>
      </c>
      <c r="P6603">
        <v>0.8894339</v>
      </c>
      <c r="Q6603">
        <v>0.40184019999999998</v>
      </c>
      <c r="R6603">
        <v>-0.2177895</v>
      </c>
      <c r="S6603">
        <v>3.338959</v>
      </c>
      <c r="T6603">
        <v>-0.41010590000000002</v>
      </c>
      <c r="U6603">
        <v>-0.89682009999999901</v>
      </c>
      <c r="V6603">
        <v>-0.27977390000000002</v>
      </c>
      <c r="W6603">
        <v>0.40704099999999999</v>
      </c>
      <c r="X6603">
        <v>0.86950799999999995</v>
      </c>
      <c r="Y6603">
        <v>-0.27029530000000002</v>
      </c>
      <c r="Z6603">
        <v>6.9810540000000004E-2</v>
      </c>
      <c r="AA6603">
        <v>0.96024319999999996</v>
      </c>
      <c r="AB6603">
        <v>30</v>
      </c>
      <c r="AC6603">
        <v>8.9283999999999999</v>
      </c>
      <c r="AD6603">
        <v>-1.119280513314</v>
      </c>
      <c r="AE6603">
        <v>-2.3430800000000001</v>
      </c>
      <c r="AF6603">
        <v>-2.5505229401885301</v>
      </c>
      <c r="AG6603">
        <v>-1.119280513314</v>
      </c>
      <c r="AH6603">
        <v>8.73211320154312</v>
      </c>
      <c r="AI6603">
        <v>97.014347123854506</v>
      </c>
      <c r="AJ6603">
        <v>106.282313910648</v>
      </c>
      <c r="AK6603">
        <v>9.1655745646672901</v>
      </c>
      <c r="AL6603">
        <v>65.980909567904604</v>
      </c>
      <c r="AM6603">
        <v>107.836158573029</v>
      </c>
      <c r="AN6603">
        <v>0.99999998643310395</v>
      </c>
    </row>
    <row r="6604" spans="1:40" x14ac:dyDescent="0.25">
      <c r="A6604" t="str">
        <f>"20190304165016398"</f>
        <v>20190304165016398</v>
      </c>
      <c r="B6604" t="str">
        <f>"1551689416392461"</f>
        <v>1551689416392461</v>
      </c>
      <c r="C6604" t="s">
        <v>40</v>
      </c>
      <c r="D6604">
        <v>4.466456</v>
      </c>
      <c r="E6604">
        <v>0.50680069999999999</v>
      </c>
      <c r="F6604" t="s">
        <v>42</v>
      </c>
      <c r="G6604">
        <v>-279.84609999999998</v>
      </c>
      <c r="H6604" s="1">
        <v>-3.4949140000000002E-6</v>
      </c>
      <c r="I6604">
        <v>-61.182549999999999</v>
      </c>
      <c r="J6604">
        <v>-288.70159999999998</v>
      </c>
      <c r="K6604">
        <v>1.119219</v>
      </c>
      <c r="L6604">
        <v>-58.884309999999999</v>
      </c>
      <c r="M6604">
        <v>0.86003510000000005</v>
      </c>
      <c r="N6604">
        <v>-1.2548999999999999E-2</v>
      </c>
      <c r="O6604">
        <v>-0.5100806</v>
      </c>
      <c r="P6604">
        <v>0.89047999999999905</v>
      </c>
      <c r="Q6604">
        <v>0.40187270000000003</v>
      </c>
      <c r="R6604">
        <v>-0.21340970000000001</v>
      </c>
      <c r="S6604">
        <v>3.3445740000000002</v>
      </c>
      <c r="T6604">
        <v>-0.41614909999999999</v>
      </c>
      <c r="U6604">
        <v>-0.88363649999999905</v>
      </c>
      <c r="V6604">
        <v>-0.27920739999999999</v>
      </c>
      <c r="W6604">
        <v>0.40711160000000002</v>
      </c>
      <c r="X6604">
        <v>0.86965700000000001</v>
      </c>
      <c r="Y6604">
        <v>-0.26884219999999998</v>
      </c>
      <c r="Z6604">
        <v>7.0323700000000003E-2</v>
      </c>
      <c r="AA6604">
        <v>0.96061359999999996</v>
      </c>
      <c r="AB6604">
        <v>30</v>
      </c>
      <c r="AC6604">
        <v>8.8554999999999993</v>
      </c>
      <c r="AD6604">
        <v>-1.1192224949139999</v>
      </c>
      <c r="AE6604">
        <v>-2.2982399999999998</v>
      </c>
      <c r="AF6604">
        <v>-2.5031895741975601</v>
      </c>
      <c r="AG6604">
        <v>-1.1192224949139999</v>
      </c>
      <c r="AH6604">
        <v>8.6594255346140692</v>
      </c>
      <c r="AI6604">
        <v>97.0779257936764</v>
      </c>
      <c r="AJ6604">
        <v>106.123052970687</v>
      </c>
      <c r="AK6604">
        <v>9.0831859843900098</v>
      </c>
      <c r="AL6604">
        <v>65.976480326023307</v>
      </c>
      <c r="AM6604">
        <v>107.799467450463</v>
      </c>
      <c r="AN6604">
        <v>0.999999962359159</v>
      </c>
    </row>
    <row r="6605" spans="1:40" x14ac:dyDescent="0.25">
      <c r="A6605" t="str">
        <f>"20190304165016409"</f>
        <v>20190304165016409</v>
      </c>
      <c r="B6605" t="str">
        <f>"1551689416402221"</f>
        <v>1551689416402221</v>
      </c>
      <c r="C6605" t="s">
        <v>40</v>
      </c>
      <c r="D6605">
        <v>4.4616619999999996</v>
      </c>
      <c r="E6605">
        <v>0.50680069999999999</v>
      </c>
      <c r="F6605" t="s">
        <v>42</v>
      </c>
      <c r="G6605">
        <v>-279.76949999999999</v>
      </c>
      <c r="H6605" s="1">
        <v>-3.472246E-6</v>
      </c>
      <c r="I6605">
        <v>-61.20805</v>
      </c>
      <c r="J6605">
        <v>-288.56020000000001</v>
      </c>
      <c r="K6605">
        <v>1.119162</v>
      </c>
      <c r="L6605">
        <v>-58.962159999999997</v>
      </c>
      <c r="M6605">
        <v>0.86281409999999903</v>
      </c>
      <c r="N6605">
        <v>-1.253513E-2</v>
      </c>
      <c r="O6605">
        <v>-0.50536619999999999</v>
      </c>
      <c r="P6605">
        <v>0.89155329999999999</v>
      </c>
      <c r="Q6605">
        <v>0.40177550000000001</v>
      </c>
      <c r="R6605">
        <v>-0.20906749999999999</v>
      </c>
      <c r="S6605">
        <v>3.349548</v>
      </c>
      <c r="T6605">
        <v>-0.41970679999999999</v>
      </c>
      <c r="U6605">
        <v>-0.87139889999999998</v>
      </c>
      <c r="V6605">
        <v>-0.278647599999999</v>
      </c>
      <c r="W6605">
        <v>0.40705279999999999</v>
      </c>
      <c r="X6605">
        <v>0.86986409999999903</v>
      </c>
      <c r="Y6605">
        <v>-0.26716760000000001</v>
      </c>
      <c r="Z6605">
        <v>7.0369550000000003E-2</v>
      </c>
      <c r="AA6605">
        <v>0.96107730000000002</v>
      </c>
      <c r="AB6605">
        <v>30</v>
      </c>
      <c r="AC6605">
        <v>8.79070000000001</v>
      </c>
      <c r="AD6605">
        <v>-1.119165472246</v>
      </c>
      <c r="AE6605">
        <v>-2.2458900000000002</v>
      </c>
      <c r="AF6605">
        <v>-2.4673913903909801</v>
      </c>
      <c r="AG6605">
        <v>-1.119165472246</v>
      </c>
      <c r="AH6605">
        <v>8.5897252676102909</v>
      </c>
      <c r="AI6605">
        <v>97.137833049319099</v>
      </c>
      <c r="AJ6605">
        <v>106.026667735484</v>
      </c>
      <c r="AK6605">
        <v>9.0068824684607591</v>
      </c>
      <c r="AL6605">
        <v>65.980169977687595</v>
      </c>
      <c r="AM6605">
        <v>107.762062207406</v>
      </c>
      <c r="AN6605">
        <v>1.0000000097212001</v>
      </c>
    </row>
    <row r="6606" spans="1:40" x14ac:dyDescent="0.25">
      <c r="A6606" t="str">
        <f>"20190304165016420"</f>
        <v>20190304165016420</v>
      </c>
      <c r="B6606" t="str">
        <f>"1551689416411981"</f>
        <v>1551689416411981</v>
      </c>
      <c r="C6606" t="s">
        <v>40</v>
      </c>
      <c r="D6606">
        <v>4.4993610000000004</v>
      </c>
      <c r="E6606">
        <v>0.51309589999999905</v>
      </c>
      <c r="F6606" t="s">
        <v>42</v>
      </c>
      <c r="G6606">
        <v>-279.62619999999998</v>
      </c>
      <c r="H6606" s="1">
        <v>-3.4277810000000001E-6</v>
      </c>
      <c r="I6606">
        <v>-61.2401699999999</v>
      </c>
      <c r="J6606">
        <v>-288.42959999999999</v>
      </c>
      <c r="K6606">
        <v>1.119102</v>
      </c>
      <c r="L6606">
        <v>-59.033259999999999</v>
      </c>
      <c r="M6606">
        <v>0.86533599999999999</v>
      </c>
      <c r="N6606">
        <v>-1.252263E-2</v>
      </c>
      <c r="O6606">
        <v>-0.50103589999999998</v>
      </c>
      <c r="P6606">
        <v>0.89237299999999997</v>
      </c>
      <c r="Q6606">
        <v>0.40189750000000002</v>
      </c>
      <c r="R6606">
        <v>-0.20530209999999999</v>
      </c>
      <c r="S6606">
        <v>3.3536990000000002</v>
      </c>
      <c r="T6606">
        <v>-0.42011949999999998</v>
      </c>
      <c r="U6606">
        <v>-0.85513309999999998</v>
      </c>
      <c r="V6606">
        <v>-0.27788089999999999</v>
      </c>
      <c r="W6606">
        <v>0.40721570000000001</v>
      </c>
      <c r="X6606">
        <v>0.8700331</v>
      </c>
      <c r="Y6606">
        <v>-0.267016799999999</v>
      </c>
      <c r="Z6606">
        <v>7.0016839999999997E-2</v>
      </c>
      <c r="AA6606">
        <v>0.96114500000000003</v>
      </c>
      <c r="AB6606">
        <v>30</v>
      </c>
      <c r="AC6606">
        <v>8.8033999999999999</v>
      </c>
      <c r="AD6606">
        <v>-1.119105427781</v>
      </c>
      <c r="AE6606">
        <v>-2.2069099999999899</v>
      </c>
      <c r="AF6606">
        <v>-2.46383535670109</v>
      </c>
      <c r="AG6606">
        <v>-1.119105427781</v>
      </c>
      <c r="AH6606">
        <v>8.5936612889116599</v>
      </c>
      <c r="AI6606">
        <v>97.135239713618404</v>
      </c>
      <c r="AJ6606">
        <v>105.99779837133001</v>
      </c>
      <c r="AK6606">
        <v>9.0096557077370107</v>
      </c>
      <c r="AL6606">
        <v>65.969951184033505</v>
      </c>
      <c r="AM6606">
        <v>107.713023515046</v>
      </c>
      <c r="AN6606">
        <v>1.0000000080034499</v>
      </c>
    </row>
    <row r="6607" spans="1:40" x14ac:dyDescent="0.25">
      <c r="A6607" t="str">
        <f>"20190304165016433"</f>
        <v>20190304165016433</v>
      </c>
      <c r="B6607" t="str">
        <f>"1551689416422718"</f>
        <v>1551689416422718</v>
      </c>
      <c r="C6607" t="s">
        <v>40</v>
      </c>
      <c r="D6607">
        <v>4.4835469999999997</v>
      </c>
      <c r="E6607">
        <v>0.51311879999999999</v>
      </c>
      <c r="F6607" t="s">
        <v>49</v>
      </c>
      <c r="G6607">
        <v>-280.21199999999999</v>
      </c>
      <c r="H6607" s="1">
        <v>-7.5448969999999997E-6</v>
      </c>
      <c r="I6607">
        <v>-61.217329999999997</v>
      </c>
      <c r="J6607">
        <v>-288.28140000000002</v>
      </c>
      <c r="K6607">
        <v>1.119043</v>
      </c>
      <c r="L6607">
        <v>-59.113160000000001</v>
      </c>
      <c r="M6607">
        <v>0.86814829999999998</v>
      </c>
      <c r="N6607">
        <v>-1.2508790000000001E-2</v>
      </c>
      <c r="O6607">
        <v>-0.49614730000000001</v>
      </c>
      <c r="P6607">
        <v>0.89330330000000002</v>
      </c>
      <c r="Q6607">
        <v>0.40213169999999998</v>
      </c>
      <c r="R6607">
        <v>-0.2007468</v>
      </c>
      <c r="S6607">
        <v>3.362457</v>
      </c>
      <c r="T6607">
        <v>-0.45791720000000002</v>
      </c>
      <c r="U6607">
        <v>-0.89367680000000005</v>
      </c>
      <c r="V6607">
        <v>-0.27730549999999998</v>
      </c>
      <c r="W6607">
        <v>0.4074874</v>
      </c>
      <c r="X6607">
        <v>0.87008949999999996</v>
      </c>
      <c r="Y6607">
        <v>-0.25113010000000002</v>
      </c>
      <c r="Z6607">
        <v>7.4701820000000002E-2</v>
      </c>
      <c r="AA6607">
        <v>0.96506650000000005</v>
      </c>
      <c r="AB6607">
        <v>30</v>
      </c>
      <c r="AC6607">
        <v>8.0694000000000301</v>
      </c>
      <c r="AD6607">
        <v>-1.1190505448970001</v>
      </c>
      <c r="AE6607">
        <v>-2.1041699999999999</v>
      </c>
      <c r="AF6607">
        <v>-2.1385404044246199</v>
      </c>
      <c r="AG6607">
        <v>-1.1190505448970001</v>
      </c>
      <c r="AH6607">
        <v>7.9076485783970796</v>
      </c>
      <c r="AI6607">
        <v>97.778884803248005</v>
      </c>
      <c r="AJ6607">
        <v>105.133042188921</v>
      </c>
      <c r="AK6607">
        <v>8.2678011117113996</v>
      </c>
      <c r="AL6607">
        <v>65.952906135995903</v>
      </c>
      <c r="AM6607">
        <v>107.677557187394</v>
      </c>
      <c r="AN6607">
        <v>1.0000000297496201</v>
      </c>
    </row>
    <row r="6608" spans="1:40" x14ac:dyDescent="0.25">
      <c r="A6608" t="str">
        <f>"20190304165016446"</f>
        <v>20190304165016446</v>
      </c>
      <c r="B6608" t="str">
        <f>"1551689416442237"</f>
        <v>1551689416442237</v>
      </c>
      <c r="C6608" t="s">
        <v>40</v>
      </c>
      <c r="D6608">
        <v>4.4916320000000001</v>
      </c>
      <c r="E6608">
        <v>0.51334250000000003</v>
      </c>
      <c r="F6608" t="s">
        <v>49</v>
      </c>
      <c r="G6608">
        <v>-279.96609999999998</v>
      </c>
      <c r="H6608" s="1">
        <v>-7.620524E-6</v>
      </c>
      <c r="I6608">
        <v>-61.276870000000002</v>
      </c>
      <c r="J6608">
        <v>-288.1386</v>
      </c>
      <c r="K6608">
        <v>1.1189929999999999</v>
      </c>
      <c r="L6608">
        <v>-59.188809999999997</v>
      </c>
      <c r="M6608">
        <v>0.87079819999999997</v>
      </c>
      <c r="N6608">
        <v>-1.249576E-2</v>
      </c>
      <c r="O6608">
        <v>-0.49148199999999997</v>
      </c>
      <c r="P6608">
        <v>0.89439999999999997</v>
      </c>
      <c r="Q6608">
        <v>0.402196</v>
      </c>
      <c r="R6608">
        <v>-0.19567010000000001</v>
      </c>
      <c r="S6608">
        <v>3.3653870000000001</v>
      </c>
      <c r="T6608">
        <v>-0.45290370000000002</v>
      </c>
      <c r="U6608">
        <v>-0.87570190000000003</v>
      </c>
      <c r="V6608">
        <v>-0.27751510000000001</v>
      </c>
      <c r="W6608">
        <v>0.40756920000000002</v>
      </c>
      <c r="X6608">
        <v>0.86998430000000004</v>
      </c>
      <c r="Y6608">
        <v>-0.2511157</v>
      </c>
      <c r="Z6608">
        <v>7.3385039999999999E-2</v>
      </c>
      <c r="AA6608">
        <v>0.96517129999999995</v>
      </c>
      <c r="AB6608">
        <v>30</v>
      </c>
      <c r="AC6608">
        <v>8.1725000000000101</v>
      </c>
      <c r="AD6608">
        <v>-1.119000620524</v>
      </c>
      <c r="AE6608">
        <v>-2.0880599999999898</v>
      </c>
      <c r="AF6608">
        <v>-2.1605064892501602</v>
      </c>
      <c r="AG6608">
        <v>-1.119000620524</v>
      </c>
      <c r="AH6608">
        <v>8.0026389507830995</v>
      </c>
      <c r="AI6608">
        <v>97.688212096337907</v>
      </c>
      <c r="AJ6608">
        <v>105.10820026357</v>
      </c>
      <c r="AK6608">
        <v>8.36433983380733</v>
      </c>
      <c r="AL6608">
        <v>65.947772619587198</v>
      </c>
      <c r="AM6608">
        <v>107.69209158898801</v>
      </c>
      <c r="AN6608">
        <v>0.99999998288156999</v>
      </c>
    </row>
    <row r="6609" spans="1:40" x14ac:dyDescent="0.25">
      <c r="A6609" t="str">
        <f>"20190304165016457"</f>
        <v>20190304165016457</v>
      </c>
      <c r="B6609" t="str">
        <f>"1551689416451997"</f>
        <v>1551689416451997</v>
      </c>
      <c r="C6609" t="s">
        <v>40</v>
      </c>
      <c r="D6609">
        <v>4.5281089999999997</v>
      </c>
      <c r="E6609">
        <v>0.51381750000000004</v>
      </c>
      <c r="F6609" t="s">
        <v>42</v>
      </c>
      <c r="G6609">
        <v>-279.78019999999998</v>
      </c>
      <c r="H6609" s="1">
        <v>-3.4903880000000002E-6</v>
      </c>
      <c r="I6609">
        <v>-61.316389999999998</v>
      </c>
      <c r="J6609">
        <v>-288.00060000000002</v>
      </c>
      <c r="K6609">
        <v>1.1189469999999999</v>
      </c>
      <c r="L6609">
        <v>-59.26144</v>
      </c>
      <c r="M6609">
        <v>0.87332330000000002</v>
      </c>
      <c r="N6609">
        <v>-1.248373E-2</v>
      </c>
      <c r="O6609">
        <v>-0.4869812</v>
      </c>
      <c r="P6609">
        <v>0.89518940000000002</v>
      </c>
      <c r="Q6609">
        <v>0.40252890000000002</v>
      </c>
      <c r="R6609">
        <v>-0.19132779999999999</v>
      </c>
      <c r="S6609">
        <v>3.369415</v>
      </c>
      <c r="T6609">
        <v>-0.45108870000000001</v>
      </c>
      <c r="U6609">
        <v>-0.85766600000000004</v>
      </c>
      <c r="V6609">
        <v>-0.27712969999999998</v>
      </c>
      <c r="W6609">
        <v>0.40793109999999999</v>
      </c>
      <c r="X6609">
        <v>0.86993759999999998</v>
      </c>
      <c r="Y6609">
        <v>-0.25131829999999999</v>
      </c>
      <c r="Z6609">
        <v>7.2627419999999998E-2</v>
      </c>
      <c r="AA6609">
        <v>0.96517580000000003</v>
      </c>
      <c r="AB6609">
        <v>30</v>
      </c>
      <c r="AC6609">
        <v>8.2204000000000406</v>
      </c>
      <c r="AD6609">
        <v>-1.1189504903880001</v>
      </c>
      <c r="AE6609">
        <v>-2.0549499999999998</v>
      </c>
      <c r="AF6609">
        <v>-2.1708598527315801</v>
      </c>
      <c r="AG6609">
        <v>-1.1189504903880001</v>
      </c>
      <c r="AH6609">
        <v>8.0402160498894499</v>
      </c>
      <c r="AI6609">
        <v>97.652318818076907</v>
      </c>
      <c r="AJ6609">
        <v>105.109585213199</v>
      </c>
      <c r="AK6609">
        <v>8.4029611940697002</v>
      </c>
      <c r="AL6609">
        <v>65.925065200147898</v>
      </c>
      <c r="AM6609">
        <v>107.669940477235</v>
      </c>
      <c r="AN6609">
        <v>1.0000000404315199</v>
      </c>
    </row>
    <row r="6610" spans="1:40" x14ac:dyDescent="0.25">
      <c r="A6610" t="str">
        <f>"20190304165016468"</f>
        <v>20190304165016468</v>
      </c>
      <c r="B6610" t="str">
        <f>"1551689416462733"</f>
        <v>1551689416462733</v>
      </c>
      <c r="C6610" t="s">
        <v>40</v>
      </c>
      <c r="D6610">
        <v>4.4812709999999996</v>
      </c>
      <c r="E6610">
        <v>0.514013099999999</v>
      </c>
      <c r="F6610" t="s">
        <v>42</v>
      </c>
      <c r="G6610">
        <v>-279.68790000000001</v>
      </c>
      <c r="H6610" s="1">
        <v>-3.462725E-6</v>
      </c>
      <c r="I6610">
        <v>-61.34451</v>
      </c>
      <c r="J6610">
        <v>-287.85640000000001</v>
      </c>
      <c r="K6610">
        <v>1.1189020000000001</v>
      </c>
      <c r="L6610">
        <v>-59.335970000000003</v>
      </c>
      <c r="M6610">
        <v>0.8759072</v>
      </c>
      <c r="N6610">
        <v>-1.247171E-2</v>
      </c>
      <c r="O6610">
        <v>-0.48231869999999999</v>
      </c>
      <c r="P6610">
        <v>0.89609399999999995</v>
      </c>
      <c r="Q6610">
        <v>0.40271319999999999</v>
      </c>
      <c r="R6610">
        <v>-0.18664919999999999</v>
      </c>
      <c r="S6610">
        <v>3.3747560000000001</v>
      </c>
      <c r="T6610">
        <v>-0.45426729999999998</v>
      </c>
      <c r="U6610">
        <v>-0.8456726</v>
      </c>
      <c r="V6610">
        <v>-0.27695310000000001</v>
      </c>
      <c r="W6610">
        <v>0.40813830000000001</v>
      </c>
      <c r="X6610">
        <v>0.86989669999999897</v>
      </c>
      <c r="Y6610">
        <v>-0.24972369999999999</v>
      </c>
      <c r="Z6610">
        <v>7.2517709999999999E-2</v>
      </c>
      <c r="AA6610">
        <v>0.96559790000000001</v>
      </c>
      <c r="AB6610">
        <v>30</v>
      </c>
      <c r="AC6610">
        <v>8.1684999999999892</v>
      </c>
      <c r="AD6610">
        <v>-1.1189054627249999</v>
      </c>
      <c r="AE6610">
        <v>-2.00854</v>
      </c>
      <c r="AF6610">
        <v>-2.1427821727789902</v>
      </c>
      <c r="AG6610">
        <v>-1.1189054627249999</v>
      </c>
      <c r="AH6610">
        <v>7.9829900575468997</v>
      </c>
      <c r="AI6610">
        <v>97.709234516533499</v>
      </c>
      <c r="AJ6610">
        <v>105.02508485932999</v>
      </c>
      <c r="AK6610">
        <v>8.3409588857269892</v>
      </c>
      <c r="AL6610">
        <v>65.912062797129096</v>
      </c>
      <c r="AM6610">
        <v>107.660158946818</v>
      </c>
      <c r="AN6610">
        <v>1.0000000800986899</v>
      </c>
    </row>
    <row r="6611" spans="1:40" x14ac:dyDescent="0.25">
      <c r="A6611" t="str">
        <f>"20190304165016480"</f>
        <v>20190304165016480</v>
      </c>
      <c r="B6611" t="str">
        <f>"1551689416472493"</f>
        <v>1551689416472493</v>
      </c>
      <c r="C6611" t="s">
        <v>40</v>
      </c>
      <c r="D6611">
        <v>4.5021069999999996</v>
      </c>
      <c r="E6611">
        <v>0.51458499999999996</v>
      </c>
      <c r="F6611" t="s">
        <v>42</v>
      </c>
      <c r="G6611">
        <v>-279.45940000000002</v>
      </c>
      <c r="H6611" s="1">
        <v>-3.3920010000000001E-6</v>
      </c>
      <c r="I6611">
        <v>-61.39723</v>
      </c>
      <c r="J6611">
        <v>-287.72750000000002</v>
      </c>
      <c r="K6611">
        <v>1.1188689999999999</v>
      </c>
      <c r="L6611">
        <v>-59.40204</v>
      </c>
      <c r="M6611">
        <v>0.87818449999999904</v>
      </c>
      <c r="N6611">
        <v>-1.246164E-2</v>
      </c>
      <c r="O6611">
        <v>-0.47815960000000002</v>
      </c>
      <c r="P6611">
        <v>0.89686619999999995</v>
      </c>
      <c r="Q6611">
        <v>0.40298400000000001</v>
      </c>
      <c r="R6611">
        <v>-0.18230469999999999</v>
      </c>
      <c r="S6611">
        <v>3.3774109999999999</v>
      </c>
      <c r="T6611">
        <v>-0.4500402</v>
      </c>
      <c r="U6611">
        <v>-0.829070999999999</v>
      </c>
      <c r="V6611">
        <v>-0.2769529</v>
      </c>
      <c r="W6611">
        <v>0.40842339999999999</v>
      </c>
      <c r="X6611">
        <v>0.86976290000000001</v>
      </c>
      <c r="Y6611">
        <v>-0.2499063</v>
      </c>
      <c r="Z6611">
        <v>7.1410769999999998E-2</v>
      </c>
      <c r="AA6611">
        <v>0.96563319999999997</v>
      </c>
      <c r="AB6611">
        <v>30</v>
      </c>
      <c r="AC6611">
        <v>8.2681000000000004</v>
      </c>
      <c r="AD6611">
        <v>-1.118872392001</v>
      </c>
      <c r="AE6611">
        <v>-1.99519</v>
      </c>
      <c r="AF6611">
        <v>-2.1640488538937901</v>
      </c>
      <c r="AG6611">
        <v>-1.118872392001</v>
      </c>
      <c r="AH6611">
        <v>8.0758235126028701</v>
      </c>
      <c r="AI6611">
        <v>97.622292247166499</v>
      </c>
      <c r="AJ6611">
        <v>105.000916564451</v>
      </c>
      <c r="AK6611">
        <v>8.4352776052913896</v>
      </c>
      <c r="AL6611">
        <v>65.894167420323996</v>
      </c>
      <c r="AM6611">
        <v>107.662694870715</v>
      </c>
      <c r="AN6611">
        <v>1.0000000423511799</v>
      </c>
    </row>
    <row r="6612" spans="1:40" x14ac:dyDescent="0.25">
      <c r="A6612" t="str">
        <f>"20190304165016491"</f>
        <v>20190304165016491</v>
      </c>
      <c r="B6612" t="str">
        <f>"1551689416482253"</f>
        <v>1551689416482253</v>
      </c>
      <c r="C6612" t="s">
        <v>40</v>
      </c>
      <c r="D6612">
        <v>4.5013969999999999</v>
      </c>
      <c r="E6612">
        <v>0.51502979999999998</v>
      </c>
      <c r="F6612" t="s">
        <v>42</v>
      </c>
      <c r="G6612">
        <v>-279.3689</v>
      </c>
      <c r="H6612" s="1">
        <v>-3.3645020000000002E-6</v>
      </c>
      <c r="I6612">
        <v>-61.421790000000001</v>
      </c>
      <c r="J6612">
        <v>-287.5849</v>
      </c>
      <c r="K6612">
        <v>1.1188340000000001</v>
      </c>
      <c r="L6612">
        <v>-59.474209999999999</v>
      </c>
      <c r="M6612">
        <v>0.88066460000000002</v>
      </c>
      <c r="N6612">
        <v>-1.2451250000000001E-2</v>
      </c>
      <c r="O6612">
        <v>-0.47357650000000001</v>
      </c>
      <c r="P6612">
        <v>0.89753139999999998</v>
      </c>
      <c r="Q6612">
        <v>0.4034469</v>
      </c>
      <c r="R6612">
        <v>-0.177955</v>
      </c>
      <c r="S6612">
        <v>3.3822939999999999</v>
      </c>
      <c r="T6612">
        <v>-0.45275100000000001</v>
      </c>
      <c r="U6612">
        <v>-0.81729130000000005</v>
      </c>
      <c r="V6612">
        <v>-0.27650730000000001</v>
      </c>
      <c r="W6612">
        <v>0.40890989999999999</v>
      </c>
      <c r="X6612">
        <v>0.869676</v>
      </c>
      <c r="Y6612">
        <v>-0.24834349999999999</v>
      </c>
      <c r="Z6612">
        <v>7.1232039999999996E-2</v>
      </c>
      <c r="AA6612">
        <v>0.96604939999999995</v>
      </c>
      <c r="AB6612">
        <v>30</v>
      </c>
      <c r="AC6612">
        <v>8.2159999999999993</v>
      </c>
      <c r="AD6612">
        <v>-1.118837364502</v>
      </c>
      <c r="AE6612">
        <v>-1.9475800000000001</v>
      </c>
      <c r="AF6612">
        <v>-2.1383635870878299</v>
      </c>
      <c r="AG6612">
        <v>-1.118837364502</v>
      </c>
      <c r="AH6612">
        <v>8.0177276685069696</v>
      </c>
      <c r="AI6612">
        <v>97.679017518957593</v>
      </c>
      <c r="AJ6612">
        <v>104.933437854896</v>
      </c>
      <c r="AK6612">
        <v>8.3730730825146296</v>
      </c>
      <c r="AL6612">
        <v>65.863624406208103</v>
      </c>
      <c r="AM6612">
        <v>107.63769225380101</v>
      </c>
      <c r="AN6612">
        <v>0.99999996912364897</v>
      </c>
    </row>
    <row r="6613" spans="1:40" x14ac:dyDescent="0.25">
      <c r="A6613" t="str">
        <f>"20190304165016502"</f>
        <v>20190304165016502</v>
      </c>
      <c r="B6613" t="str">
        <f>"1551689416492013"</f>
        <v>1551689416492013</v>
      </c>
      <c r="C6613" t="s">
        <v>40</v>
      </c>
      <c r="D6613">
        <v>4.5356870000000002</v>
      </c>
      <c r="E6613">
        <v>0.51526839999999996</v>
      </c>
      <c r="F6613" t="s">
        <v>42</v>
      </c>
      <c r="G6613">
        <v>-279.21480000000003</v>
      </c>
      <c r="H6613" s="1">
        <v>-3.3173189999999999E-6</v>
      </c>
      <c r="I6613">
        <v>-61.460999999999999</v>
      </c>
      <c r="J6613">
        <v>-287.45089999999999</v>
      </c>
      <c r="K6613">
        <v>1.1188070000000001</v>
      </c>
      <c r="L6613">
        <v>-59.541020000000003</v>
      </c>
      <c r="M6613">
        <v>0.88295749999999995</v>
      </c>
      <c r="N6613">
        <v>-1.2442480000000001E-2</v>
      </c>
      <c r="O6613">
        <v>-0.46928809999999899</v>
      </c>
      <c r="P6613">
        <v>0.89800029999999997</v>
      </c>
      <c r="Q6613">
        <v>0.40418330000000002</v>
      </c>
      <c r="R6613">
        <v>-0.17387139999999901</v>
      </c>
      <c r="S6613">
        <v>3.3865660000000002</v>
      </c>
      <c r="T6613">
        <v>-0.45268710000000001</v>
      </c>
      <c r="U6613">
        <v>-0.80386349999999995</v>
      </c>
      <c r="V6613">
        <v>-0.2760608</v>
      </c>
      <c r="W6613">
        <v>0.40966429999999998</v>
      </c>
      <c r="X6613">
        <v>0.86946279999999998</v>
      </c>
      <c r="Y6613">
        <v>-0.24757460000000001</v>
      </c>
      <c r="Z6613">
        <v>7.0692030000000003E-2</v>
      </c>
      <c r="AA6613">
        <v>0.96628639999999999</v>
      </c>
      <c r="AB6613">
        <v>30</v>
      </c>
      <c r="AC6613">
        <v>8.2360999999999596</v>
      </c>
      <c r="AD6613">
        <v>-1.1188103173189901</v>
      </c>
      <c r="AE6613">
        <v>-1.91998</v>
      </c>
      <c r="AF6613">
        <v>-2.1326846450235601</v>
      </c>
      <c r="AG6613">
        <v>-1.1188103173189901</v>
      </c>
      <c r="AH6613">
        <v>8.03318569080486</v>
      </c>
      <c r="AI6613">
        <v>97.666530294308501</v>
      </c>
      <c r="AJ6613">
        <v>104.868151296595</v>
      </c>
      <c r="AK6613">
        <v>8.3864266922337496</v>
      </c>
      <c r="AL6613">
        <v>65.816251145627405</v>
      </c>
      <c r="AM6613">
        <v>107.61502408973</v>
      </c>
      <c r="AN6613">
        <v>0.99999998228748499</v>
      </c>
    </row>
    <row r="6614" spans="1:40" x14ac:dyDescent="0.25">
      <c r="A6614" t="str">
        <f>"20190304165016513"</f>
        <v>20190304165016513</v>
      </c>
      <c r="B6614" t="str">
        <f>"1551689416501774"</f>
        <v>1551689416501774</v>
      </c>
      <c r="C6614" t="s">
        <v>40</v>
      </c>
      <c r="D6614">
        <v>4.6038290000000002</v>
      </c>
      <c r="E6614">
        <v>0.51537179999999905</v>
      </c>
      <c r="F6614" t="s">
        <v>42</v>
      </c>
      <c r="G6614">
        <v>-278.98559999999998</v>
      </c>
      <c r="H6614" s="1">
        <v>-3.245963E-6</v>
      </c>
      <c r="I6614">
        <v>-61.510820000000002</v>
      </c>
      <c r="J6614">
        <v>-287.31869999999998</v>
      </c>
      <c r="K6614">
        <v>1.1187849999999999</v>
      </c>
      <c r="L6614">
        <v>-59.606540000000003</v>
      </c>
      <c r="M6614">
        <v>0.88519380000000003</v>
      </c>
      <c r="N6614">
        <v>-1.24344E-2</v>
      </c>
      <c r="O6614">
        <v>-0.46505619999999998</v>
      </c>
      <c r="P6614">
        <v>0.89855370000000001</v>
      </c>
      <c r="Q6614">
        <v>0.40457559999999998</v>
      </c>
      <c r="R6614">
        <v>-0.17005819999999999</v>
      </c>
      <c r="S6614">
        <v>3.3897089999999999</v>
      </c>
      <c r="T6614">
        <v>-0.44799830000000002</v>
      </c>
      <c r="U6614">
        <v>-0.78875729999999999</v>
      </c>
      <c r="V6614">
        <v>-0.275485799999999</v>
      </c>
      <c r="W6614">
        <v>0.41007840000000001</v>
      </c>
      <c r="X6614">
        <v>0.86944999999999995</v>
      </c>
      <c r="Y6614">
        <v>-0.24735869999999999</v>
      </c>
      <c r="Z6614">
        <v>6.9468470000000004E-2</v>
      </c>
      <c r="AA6614">
        <v>0.96643040000000002</v>
      </c>
      <c r="AB6614">
        <v>30</v>
      </c>
      <c r="AC6614">
        <v>8.3331</v>
      </c>
      <c r="AD6614">
        <v>-1.1187882459630001</v>
      </c>
      <c r="AE6614">
        <v>-1.90427999999999</v>
      </c>
      <c r="AF6614">
        <v>-2.1529900699169402</v>
      </c>
      <c r="AG6614">
        <v>-1.1187882459630001</v>
      </c>
      <c r="AH6614">
        <v>8.1234836021669992</v>
      </c>
      <c r="AI6614">
        <v>97.582999258548995</v>
      </c>
      <c r="AJ6614">
        <v>104.843986095975</v>
      </c>
      <c r="AK6614">
        <v>8.4780917201420998</v>
      </c>
      <c r="AL6614">
        <v>65.790240430284896</v>
      </c>
      <c r="AM6614">
        <v>107.580839145933</v>
      </c>
      <c r="AN6614">
        <v>1.0000000113240901</v>
      </c>
    </row>
    <row r="6615" spans="1:40" x14ac:dyDescent="0.25">
      <c r="A6615" t="str">
        <f>"20190304165016525"</f>
        <v>20190304165016525</v>
      </c>
      <c r="B6615" t="str">
        <f>"1551689416522268"</f>
        <v>1551689416522268</v>
      </c>
      <c r="C6615" t="s">
        <v>40</v>
      </c>
      <c r="D6615">
        <v>4.5262390000000003</v>
      </c>
      <c r="E6615">
        <v>0.51558479999999995</v>
      </c>
      <c r="F6615" t="s">
        <v>42</v>
      </c>
      <c r="G6615">
        <v>-278.8603</v>
      </c>
      <c r="H6615" s="1">
        <v>-3.2064080000000001E-6</v>
      </c>
      <c r="I6615">
        <v>-61.533969999999997</v>
      </c>
      <c r="J6615">
        <v>-287.18380000000002</v>
      </c>
      <c r="K6615">
        <v>1.1187769999999999</v>
      </c>
      <c r="L6615">
        <v>-59.672029999999999</v>
      </c>
      <c r="M6615">
        <v>0.88743729999999998</v>
      </c>
      <c r="N6615">
        <v>-1.2427270000000001E-2</v>
      </c>
      <c r="O6615">
        <v>-0.46076089999999997</v>
      </c>
      <c r="P6615">
        <v>0.89908739999999998</v>
      </c>
      <c r="Q6615">
        <v>0.40493879999999999</v>
      </c>
      <c r="R6615">
        <v>-0.16633249999999999</v>
      </c>
      <c r="S6615">
        <v>3.3944399999999999</v>
      </c>
      <c r="T6615">
        <v>-0.44898090000000002</v>
      </c>
      <c r="U6615">
        <v>-0.77349849999999998</v>
      </c>
      <c r="V6615">
        <v>-0.27478360000000002</v>
      </c>
      <c r="W6615">
        <v>0.41046290000000002</v>
      </c>
      <c r="X6615">
        <v>0.86949080000000001</v>
      </c>
      <c r="Y6615">
        <v>-0.2470984</v>
      </c>
      <c r="Z6615">
        <v>6.9132070000000004E-2</v>
      </c>
      <c r="AA6615">
        <v>0.96652110000000002</v>
      </c>
      <c r="AB6615">
        <v>30</v>
      </c>
      <c r="AC6615">
        <v>8.3235000000000205</v>
      </c>
      <c r="AD6615">
        <v>-1.1187802064079999</v>
      </c>
      <c r="AE6615">
        <v>-1.8619399999999899</v>
      </c>
      <c r="AF6615">
        <v>-2.1460329708343</v>
      </c>
      <c r="AG6615">
        <v>-1.1187802064079999</v>
      </c>
      <c r="AH6615">
        <v>8.1056667527595501</v>
      </c>
      <c r="AI6615">
        <v>97.599931322082099</v>
      </c>
      <c r="AJ6615">
        <v>104.82922330936999</v>
      </c>
      <c r="AK6615">
        <v>8.4592529320827001</v>
      </c>
      <c r="AL6615">
        <v>65.766084136515801</v>
      </c>
      <c r="AM6615">
        <v>107.538004462624</v>
      </c>
      <c r="AN6615">
        <v>1.000000035195</v>
      </c>
    </row>
    <row r="6616" spans="1:40" x14ac:dyDescent="0.25">
      <c r="A6616" t="str">
        <f>"20190304165016537"</f>
        <v>20190304165016537</v>
      </c>
      <c r="B6616" t="str">
        <f>"1551689416532030"</f>
        <v>1551689416532030</v>
      </c>
      <c r="C6616" t="s">
        <v>40</v>
      </c>
      <c r="D6616">
        <v>4.5445849999999997</v>
      </c>
      <c r="E6616">
        <v>0.51611700000000005</v>
      </c>
      <c r="F6616" t="s">
        <v>42</v>
      </c>
      <c r="G6616">
        <v>-278.65809999999999</v>
      </c>
      <c r="H6616" s="1">
        <v>-3.1341019999999998E-6</v>
      </c>
      <c r="I6616">
        <v>-61.5777199999999</v>
      </c>
      <c r="J6616">
        <v>-287.03530000000001</v>
      </c>
      <c r="K6616">
        <v>1.118762</v>
      </c>
      <c r="L6616">
        <v>-59.74371</v>
      </c>
      <c r="M6616">
        <v>0.88987749999999999</v>
      </c>
      <c r="N6616">
        <v>-1.2419950000000001E-2</v>
      </c>
      <c r="O6616">
        <v>-0.45603060000000001</v>
      </c>
      <c r="P6616">
        <v>0.89962819999999899</v>
      </c>
      <c r="Q6616">
        <v>0.40544940000000002</v>
      </c>
      <c r="R6616">
        <v>-0.16211049999999999</v>
      </c>
      <c r="S6616">
        <v>3.396973</v>
      </c>
      <c r="T6616">
        <v>-0.4457682</v>
      </c>
      <c r="U6616">
        <v>-0.75930790000000004</v>
      </c>
      <c r="V6616">
        <v>-0.27411799999999997</v>
      </c>
      <c r="W6616">
        <v>0.41099279999999999</v>
      </c>
      <c r="X6616">
        <v>0.86945059999999996</v>
      </c>
      <c r="Y6616">
        <v>-0.2460513</v>
      </c>
      <c r="Z6616">
        <v>6.8057980000000004E-2</v>
      </c>
      <c r="AA6616">
        <v>0.96686450000000002</v>
      </c>
      <c r="AB6616">
        <v>30</v>
      </c>
      <c r="AC6616">
        <v>8.3772000000000109</v>
      </c>
      <c r="AD6616">
        <v>-1.118765134102</v>
      </c>
      <c r="AE6616">
        <v>-1.8340099999999899</v>
      </c>
      <c r="AF6616">
        <v>-2.1517619549044502</v>
      </c>
      <c r="AG6616">
        <v>-1.118765134102</v>
      </c>
      <c r="AH6616">
        <v>8.1529264048187802</v>
      </c>
      <c r="AI6616">
        <v>97.557822635069101</v>
      </c>
      <c r="AJ6616">
        <v>104.784665946735</v>
      </c>
      <c r="AK6616">
        <v>8.5059934104281893</v>
      </c>
      <c r="AL6616">
        <v>65.732785146183403</v>
      </c>
      <c r="AM6616">
        <v>107.49887784617199</v>
      </c>
      <c r="AN6616">
        <v>1.0000000527080899</v>
      </c>
    </row>
    <row r="6617" spans="1:40" x14ac:dyDescent="0.25">
      <c r="A6617" t="str">
        <f>"20190304165016565"</f>
        <v>20190304165016565</v>
      </c>
      <c r="B6617" t="str">
        <f>"1551689416552527"</f>
        <v>1551689416552527</v>
      </c>
      <c r="C6617" t="s">
        <v>40</v>
      </c>
      <c r="D6617">
        <v>4.6323999999999996</v>
      </c>
      <c r="E6617">
        <v>0.51633779999999996</v>
      </c>
      <c r="F6617" t="s">
        <v>42</v>
      </c>
      <c r="G6617">
        <v>-278.51409999999998</v>
      </c>
      <c r="H6617" s="1">
        <v>-3.0807579999999999E-6</v>
      </c>
      <c r="I6617">
        <v>-61.6156199999999</v>
      </c>
      <c r="J6617">
        <v>-286.70080000000002</v>
      </c>
      <c r="K6617">
        <v>1.118743</v>
      </c>
      <c r="L6617">
        <v>-59.901060000000001</v>
      </c>
      <c r="M6617">
        <v>0.89524879999999996</v>
      </c>
      <c r="N6617">
        <v>-1.240636E-2</v>
      </c>
      <c r="O6617">
        <v>-0.44539390000000001</v>
      </c>
      <c r="P6617">
        <v>0.90045520000000001</v>
      </c>
      <c r="Q6617">
        <v>0.4070722</v>
      </c>
      <c r="R6617">
        <v>-0.15320729999999999</v>
      </c>
      <c r="S6617">
        <v>3.4013369999999998</v>
      </c>
      <c r="T6617">
        <v>-0.44656810000000002</v>
      </c>
      <c r="U6617">
        <v>-0.74719239999999998</v>
      </c>
      <c r="V6617">
        <v>-0.27202120000000002</v>
      </c>
      <c r="W6617">
        <v>0.41266140000000001</v>
      </c>
      <c r="X6617">
        <v>0.8693187</v>
      </c>
      <c r="Y6617">
        <v>-0.23816190000000001</v>
      </c>
      <c r="Z6617">
        <v>6.6508739999999997E-2</v>
      </c>
      <c r="AA6617">
        <v>0.96894559999999996</v>
      </c>
      <c r="AB6617">
        <v>30</v>
      </c>
      <c r="AC6617">
        <v>8.1867000000000303</v>
      </c>
      <c r="AD6617">
        <v>-1.1187460807580001</v>
      </c>
      <c r="AE6617">
        <v>-1.7145599999999901</v>
      </c>
      <c r="AF6617">
        <v>-2.0744005687067402</v>
      </c>
      <c r="AG6617">
        <v>-1.1187460807580001</v>
      </c>
      <c r="AH6617">
        <v>7.9511668418711698</v>
      </c>
      <c r="AI6617">
        <v>97.752869749803196</v>
      </c>
      <c r="AJ6617">
        <v>104.62210953789599</v>
      </c>
      <c r="AK6617">
        <v>8.2931167036243796</v>
      </c>
      <c r="AL6617">
        <v>65.627869769423498</v>
      </c>
      <c r="AM6617">
        <v>107.375584654644</v>
      </c>
      <c r="AN6617">
        <v>0.99999998323454398</v>
      </c>
    </row>
    <row r="6618" spans="1:40" x14ac:dyDescent="0.25">
      <c r="A6618" t="str">
        <f>"20190304165016579"</f>
        <v>20190304165016579</v>
      </c>
      <c r="B6618" t="str">
        <f>"1551689416572229"</f>
        <v>1551689416572229</v>
      </c>
      <c r="C6618" t="s">
        <v>40</v>
      </c>
      <c r="D6618">
        <v>4.6904029999999999</v>
      </c>
      <c r="E6618">
        <v>0.51694960000000001</v>
      </c>
      <c r="F6618" t="s">
        <v>42</v>
      </c>
      <c r="G6618">
        <v>-278.10739999999998</v>
      </c>
      <c r="H6618" s="1">
        <v>-2.9261249999999999E-6</v>
      </c>
      <c r="I6618">
        <v>-61.704909999999998</v>
      </c>
      <c r="J6618">
        <v>-286.5351</v>
      </c>
      <c r="K6618">
        <v>1.118738</v>
      </c>
      <c r="L6618">
        <v>-59.97748</v>
      </c>
      <c r="M6618">
        <v>0.89785280000000001</v>
      </c>
      <c r="N6618">
        <v>-1.2400599999999999E-2</v>
      </c>
      <c r="O6618">
        <v>-0.44012099999999998</v>
      </c>
      <c r="P6618">
        <v>0.90080819999999995</v>
      </c>
      <c r="Q6618">
        <v>0.40801189999999998</v>
      </c>
      <c r="R6618">
        <v>-0.14856220000000001</v>
      </c>
      <c r="S6618">
        <v>3.4105530000000002</v>
      </c>
      <c r="T6618">
        <v>-0.44400810000000002</v>
      </c>
      <c r="U6618">
        <v>-0.71591190000000005</v>
      </c>
      <c r="V6618">
        <v>-0.27121030000000002</v>
      </c>
      <c r="W6618">
        <v>0.41361500000000001</v>
      </c>
      <c r="X6618">
        <v>0.86911890000000003</v>
      </c>
      <c r="Y6618">
        <v>-0.24156549999999999</v>
      </c>
      <c r="Z6618">
        <v>6.5724359999999996E-2</v>
      </c>
      <c r="AA6618">
        <v>0.96815620000000002</v>
      </c>
      <c r="AB6618">
        <v>30</v>
      </c>
      <c r="AC6618">
        <v>8.4277000000000104</v>
      </c>
      <c r="AD6618">
        <v>-1.1187409261249901</v>
      </c>
      <c r="AE6618">
        <v>-1.72742999999999</v>
      </c>
      <c r="AF6618">
        <v>-2.1225024190414601</v>
      </c>
      <c r="AG6618">
        <v>-1.1187409261249901</v>
      </c>
      <c r="AH6618">
        <v>8.1892647329616999</v>
      </c>
      <c r="AI6618">
        <v>97.533153779190698</v>
      </c>
      <c r="AJ6618">
        <v>104.5302573913</v>
      </c>
      <c r="AK6618">
        <v>8.5335018981162793</v>
      </c>
      <c r="AL6618">
        <v>65.567874071278496</v>
      </c>
      <c r="AM6618">
        <v>107.33063736224901</v>
      </c>
      <c r="AN6618">
        <v>1.00000002869414</v>
      </c>
    </row>
    <row r="6619" spans="1:40" x14ac:dyDescent="0.25">
      <c r="A6619" t="str">
        <f>"20190304165016590"</f>
        <v>20190304165016590</v>
      </c>
      <c r="B6619" t="str">
        <f>"1551689416581988"</f>
        <v>1551689416581988</v>
      </c>
      <c r="C6619" t="s">
        <v>40</v>
      </c>
      <c r="D6619">
        <v>4.6754499999999997</v>
      </c>
      <c r="E6619">
        <v>0.51723799999999998</v>
      </c>
      <c r="F6619" t="s">
        <v>42</v>
      </c>
      <c r="G6619">
        <v>-277.98169999999999</v>
      </c>
      <c r="H6619" s="1">
        <v>-2.880269E-6</v>
      </c>
      <c r="I6619">
        <v>-61.741289999999999</v>
      </c>
      <c r="J6619">
        <v>-286.3809</v>
      </c>
      <c r="K6619">
        <v>1.118736</v>
      </c>
      <c r="L6619">
        <v>-60.047330000000002</v>
      </c>
      <c r="M6619">
        <v>0.90024169999999903</v>
      </c>
      <c r="N6619">
        <v>-1.239615E-2</v>
      </c>
      <c r="O6619">
        <v>-0.4352143</v>
      </c>
      <c r="P6619">
        <v>0.90124360000000003</v>
      </c>
      <c r="Q6619">
        <v>0.40859289999999998</v>
      </c>
      <c r="R6619">
        <v>-0.14426410000000001</v>
      </c>
      <c r="S6619">
        <v>3.4165339999999902</v>
      </c>
      <c r="T6619">
        <v>-0.4468627</v>
      </c>
      <c r="U6619">
        <v>-0.70452879999999996</v>
      </c>
      <c r="V6619">
        <v>-0.27050190000000002</v>
      </c>
      <c r="W6619">
        <v>0.41420699999999999</v>
      </c>
      <c r="X6619">
        <v>0.86905769999999904</v>
      </c>
      <c r="Y6619">
        <v>-0.23969689999999999</v>
      </c>
      <c r="Z6619">
        <v>6.5453780000000003E-2</v>
      </c>
      <c r="AA6619">
        <v>0.96863880000000002</v>
      </c>
      <c r="AB6619">
        <v>30</v>
      </c>
      <c r="AC6619">
        <v>8.3992000000000004</v>
      </c>
      <c r="AD6619">
        <v>-1.1187388802689999</v>
      </c>
      <c r="AE6619">
        <v>-1.6939599999999899</v>
      </c>
      <c r="AF6619">
        <v>-2.0949281836185301</v>
      </c>
      <c r="AG6619">
        <v>-1.1187388802689999</v>
      </c>
      <c r="AH6619">
        <v>8.1600716103700695</v>
      </c>
      <c r="AI6619">
        <v>97.564211819170296</v>
      </c>
      <c r="AJ6619">
        <v>104.39853694535999</v>
      </c>
      <c r="AK6619">
        <v>8.4986510378478499</v>
      </c>
      <c r="AL6619">
        <v>65.530612614725996</v>
      </c>
      <c r="AM6619">
        <v>107.289215838467</v>
      </c>
      <c r="AN6619">
        <v>1.00000000134095</v>
      </c>
    </row>
    <row r="6620" spans="1:40" x14ac:dyDescent="0.25">
      <c r="A6620" t="str">
        <f>"20190304165016602"</f>
        <v>20190304165016602</v>
      </c>
      <c r="B6620" t="str">
        <f>"1551689416592724"</f>
        <v>1551689416592724</v>
      </c>
      <c r="C6620" t="s">
        <v>40</v>
      </c>
      <c r="D6620">
        <v>4.5607639999999998</v>
      </c>
      <c r="E6620">
        <v>0.51768649999999905</v>
      </c>
      <c r="F6620" t="s">
        <v>42</v>
      </c>
      <c r="G6620">
        <v>-277.84050000000002</v>
      </c>
      <c r="H6620" s="1">
        <v>-2.8268350000000001E-6</v>
      </c>
      <c r="I6620">
        <v>-61.773380000000003</v>
      </c>
      <c r="J6620">
        <v>-286.24329999999998</v>
      </c>
      <c r="K6620">
        <v>1.118738</v>
      </c>
      <c r="L6620">
        <v>-60.108759999999997</v>
      </c>
      <c r="M6620">
        <v>0.90234789999999998</v>
      </c>
      <c r="N6620">
        <v>-1.2392780000000001E-2</v>
      </c>
      <c r="O6620">
        <v>-0.43083070000000001</v>
      </c>
      <c r="P6620">
        <v>0.90156760000000002</v>
      </c>
      <c r="Q6620">
        <v>0.40917239999999999</v>
      </c>
      <c r="R6620">
        <v>-0.14055000000000001</v>
      </c>
      <c r="S6620">
        <v>3.4212039999999999</v>
      </c>
      <c r="T6620">
        <v>-0.44815470000000002</v>
      </c>
      <c r="U6620">
        <v>-0.69143679999999996</v>
      </c>
      <c r="V6620">
        <v>-0.26974900000000002</v>
      </c>
      <c r="W6620">
        <v>0.41479850000000001</v>
      </c>
      <c r="X6620">
        <v>0.86900959999999905</v>
      </c>
      <c r="Y6620">
        <v>-0.2388092</v>
      </c>
      <c r="Z6620">
        <v>6.5087199999999998E-2</v>
      </c>
      <c r="AA6620">
        <v>0.96888269999999999</v>
      </c>
      <c r="AB6620">
        <v>30</v>
      </c>
      <c r="AC6620">
        <v>8.4027999999999494</v>
      </c>
      <c r="AD6620">
        <v>-1.1187408268350001</v>
      </c>
      <c r="AE6620">
        <v>-1.66462</v>
      </c>
      <c r="AF6620">
        <v>-2.0827553120812001</v>
      </c>
      <c r="AG6620">
        <v>-1.1187408268350001</v>
      </c>
      <c r="AH6620">
        <v>8.1608573695696798</v>
      </c>
      <c r="AI6620">
        <v>97.566228689902999</v>
      </c>
      <c r="AJ6620">
        <v>104.316999735948</v>
      </c>
      <c r="AK6620">
        <v>8.4964135806874204</v>
      </c>
      <c r="AL6620">
        <v>65.493372334413294</v>
      </c>
      <c r="AM6620">
        <v>107.24484915663299</v>
      </c>
      <c r="AN6620">
        <v>1.0000000017477</v>
      </c>
    </row>
    <row r="6621" spans="1:40" x14ac:dyDescent="0.25">
      <c r="A6621" t="str">
        <f>"20190304165016613"</f>
        <v>20190304165016613</v>
      </c>
      <c r="B6621" t="str">
        <f>"1551689416602485"</f>
        <v>1551689416602485</v>
      </c>
      <c r="C6621" t="s">
        <v>40</v>
      </c>
      <c r="D6621">
        <v>4.5635139999999996</v>
      </c>
      <c r="E6621">
        <v>0.51814189999999904</v>
      </c>
      <c r="F6621" t="s">
        <v>42</v>
      </c>
      <c r="G6621">
        <v>-277.71080000000001</v>
      </c>
      <c r="H6621" s="1">
        <v>-2.7782910000000001E-6</v>
      </c>
      <c r="I6621">
        <v>-61.805259999999997</v>
      </c>
      <c r="J6621">
        <v>-286.10849999999999</v>
      </c>
      <c r="K6621">
        <v>1.118741</v>
      </c>
      <c r="L6621">
        <v>-60.168430000000001</v>
      </c>
      <c r="M6621">
        <v>0.90438929999999995</v>
      </c>
      <c r="N6621">
        <v>-1.2389829999999999E-2</v>
      </c>
      <c r="O6621">
        <v>-0.42652869999999998</v>
      </c>
      <c r="P6621">
        <v>0.9021131</v>
      </c>
      <c r="Q6621">
        <v>0.40927720000000001</v>
      </c>
      <c r="R6621">
        <v>-0.13668920000000001</v>
      </c>
      <c r="S6621">
        <v>3.4252319999999998</v>
      </c>
      <c r="T6621">
        <v>-0.44910129999999998</v>
      </c>
      <c r="U6621">
        <v>-0.68103029999999998</v>
      </c>
      <c r="V6621">
        <v>-0.26930999999999999</v>
      </c>
      <c r="W6621">
        <v>0.41491050000000002</v>
      </c>
      <c r="X6621">
        <v>0.86909230000000004</v>
      </c>
      <c r="Y6621">
        <v>-0.23726269999999999</v>
      </c>
      <c r="Z6621">
        <v>6.463054E-2</v>
      </c>
      <c r="AA6621">
        <v>0.96929319999999997</v>
      </c>
      <c r="AB6621">
        <v>30</v>
      </c>
      <c r="AC6621">
        <v>8.3976999999999808</v>
      </c>
      <c r="AD6621">
        <v>-1.1187437782909999</v>
      </c>
      <c r="AE6621">
        <v>-1.63682999999998</v>
      </c>
      <c r="AF6621">
        <v>-2.0663588655379299</v>
      </c>
      <c r="AG6621">
        <v>-1.1187437782909999</v>
      </c>
      <c r="AH6621">
        <v>8.1541602707837306</v>
      </c>
      <c r="AI6621">
        <v>97.575611392703394</v>
      </c>
      <c r="AJ6621">
        <v>104.22006773237</v>
      </c>
      <c r="AK6621">
        <v>8.4859740940141801</v>
      </c>
      <c r="AL6621">
        <v>65.4863199576467</v>
      </c>
      <c r="AM6621">
        <v>107.216903325728</v>
      </c>
      <c r="AN6621">
        <v>1.0000000125147701</v>
      </c>
    </row>
    <row r="6622" spans="1:40" x14ac:dyDescent="0.25">
      <c r="A6622" t="str">
        <f>"20190304165016623"</f>
        <v>20190304165016623</v>
      </c>
      <c r="B6622" t="str">
        <f>"1551689416612244"</f>
        <v>1551689416612244</v>
      </c>
      <c r="C6622" t="s">
        <v>40</v>
      </c>
      <c r="D6622">
        <v>4.4536709999999999</v>
      </c>
      <c r="E6622">
        <v>0.51840909999999996</v>
      </c>
      <c r="F6622" t="s">
        <v>42</v>
      </c>
      <c r="G6622">
        <v>-277.60890000000001</v>
      </c>
      <c r="H6622" s="1">
        <v>-2.7400929999999998E-6</v>
      </c>
      <c r="I6622">
        <v>-61.830010000000001</v>
      </c>
      <c r="J6622">
        <v>-285.97629999999998</v>
      </c>
      <c r="K6622">
        <v>1.1187370000000001</v>
      </c>
      <c r="L6622">
        <v>-60.2258</v>
      </c>
      <c r="M6622">
        <v>0.90636810000000001</v>
      </c>
      <c r="N6622">
        <v>-1.2387509999999999E-2</v>
      </c>
      <c r="O6622">
        <v>-0.4223075</v>
      </c>
      <c r="P6622">
        <v>0.90269860000000002</v>
      </c>
      <c r="Q6622">
        <v>0.40913699999999997</v>
      </c>
      <c r="R6622">
        <v>-0.13320109999999999</v>
      </c>
      <c r="S6622">
        <v>3.428741</v>
      </c>
      <c r="T6622">
        <v>-0.45130419999999999</v>
      </c>
      <c r="U6622">
        <v>-0.67028809999999905</v>
      </c>
      <c r="V6622">
        <v>-0.26863999999999999</v>
      </c>
      <c r="W6622">
        <v>0.41478290000000001</v>
      </c>
      <c r="X6622">
        <v>0.86936059999999904</v>
      </c>
      <c r="Y6622">
        <v>-0.23584289999999999</v>
      </c>
      <c r="Z6622">
        <v>6.4386799999999994E-2</v>
      </c>
      <c r="AA6622">
        <v>0.96965590000000002</v>
      </c>
      <c r="AB6622">
        <v>30</v>
      </c>
      <c r="AC6622">
        <v>8.3673999999999698</v>
      </c>
      <c r="AD6622">
        <v>-1.1187397400929999</v>
      </c>
      <c r="AE6622">
        <v>-1.6042099999999899</v>
      </c>
      <c r="AF6622">
        <v>-2.04451778415944</v>
      </c>
      <c r="AG6622">
        <v>-1.1187397400929999</v>
      </c>
      <c r="AH6622">
        <v>8.12200383774492</v>
      </c>
      <c r="AI6622">
        <v>97.608236021098506</v>
      </c>
      <c r="AJ6622">
        <v>104.129269275211</v>
      </c>
      <c r="AK6622">
        <v>8.44976792084557</v>
      </c>
      <c r="AL6622">
        <v>65.494356636463394</v>
      </c>
      <c r="AM6622">
        <v>107.171604713337</v>
      </c>
      <c r="AN6622">
        <v>1.0000000782823799</v>
      </c>
    </row>
    <row r="6623" spans="1:40" x14ac:dyDescent="0.25">
      <c r="A6623" t="str">
        <f>"20190304165016635"</f>
        <v>20190304165016635</v>
      </c>
      <c r="B6623" t="str">
        <f>"1551689416632741"</f>
        <v>1551689416632741</v>
      </c>
      <c r="C6623" t="s">
        <v>40</v>
      </c>
      <c r="D6623">
        <v>4.527647</v>
      </c>
      <c r="E6623">
        <v>0.51914839999999995</v>
      </c>
      <c r="F6623" t="s">
        <v>42</v>
      </c>
      <c r="G6623">
        <v>-277.53390000000002</v>
      </c>
      <c r="H6623" s="1">
        <v>-2.711324E-6</v>
      </c>
      <c r="I6623">
        <v>-61.84525</v>
      </c>
      <c r="J6623">
        <v>-285.83539999999999</v>
      </c>
      <c r="K6623">
        <v>1.1187400000000001</v>
      </c>
      <c r="L6623">
        <v>-60.286650000000002</v>
      </c>
      <c r="M6623">
        <v>0.90845390000000004</v>
      </c>
      <c r="N6623">
        <v>-1.2385129999999999E-2</v>
      </c>
      <c r="O6623">
        <v>-0.4178017</v>
      </c>
      <c r="P6623">
        <v>0.903416</v>
      </c>
      <c r="Q6623">
        <v>0.40880660000000002</v>
      </c>
      <c r="R6623">
        <v>-0.1292933</v>
      </c>
      <c r="S6623">
        <v>3.4323730000000001</v>
      </c>
      <c r="T6623">
        <v>-0.45484400000000003</v>
      </c>
      <c r="U6623">
        <v>-0.65841669999999997</v>
      </c>
      <c r="V6623">
        <v>-0.26814120000000002</v>
      </c>
      <c r="W6623">
        <v>0.4144622</v>
      </c>
      <c r="X6623">
        <v>0.86966739999999998</v>
      </c>
      <c r="Y6623">
        <v>-0.23441310000000001</v>
      </c>
      <c r="Z6623">
        <v>6.4304689999999998E-2</v>
      </c>
      <c r="AA6623">
        <v>0.97000799999999998</v>
      </c>
      <c r="AB6623">
        <v>30</v>
      </c>
      <c r="AC6623">
        <v>8.3014999999999706</v>
      </c>
      <c r="AD6623">
        <v>-1.118742711324</v>
      </c>
      <c r="AE6623">
        <v>-1.55859999999999</v>
      </c>
      <c r="AF6623">
        <v>-2.0172336624456899</v>
      </c>
      <c r="AG6623">
        <v>-1.118742711324</v>
      </c>
      <c r="AH6623">
        <v>8.0520864277068398</v>
      </c>
      <c r="AI6623">
        <v>97.675690149329796</v>
      </c>
      <c r="AJ6623">
        <v>104.06444845253</v>
      </c>
      <c r="AK6623">
        <v>8.3759723460805002</v>
      </c>
      <c r="AL6623">
        <v>65.514546841826501</v>
      </c>
      <c r="AM6623">
        <v>107.13589858581101</v>
      </c>
      <c r="AN6623">
        <v>1.0000000024945199</v>
      </c>
    </row>
    <row r="6624" spans="1:40" x14ac:dyDescent="0.25">
      <c r="A6624" t="str">
        <f>"20190304165016645"</f>
        <v>20190304165016645</v>
      </c>
      <c r="B6624" t="str">
        <f>"1551689416642500"</f>
        <v>1551689416642500</v>
      </c>
      <c r="C6624" t="s">
        <v>40</v>
      </c>
      <c r="D6624">
        <v>4.5734399999999997</v>
      </c>
      <c r="E6624">
        <v>0.51909070000000002</v>
      </c>
      <c r="F6624" t="s">
        <v>42</v>
      </c>
      <c r="G6624">
        <v>-277.52179999999998</v>
      </c>
      <c r="H6624" s="1">
        <v>-2.708339E-6</v>
      </c>
      <c r="I6624">
        <v>-61.855220000000003</v>
      </c>
      <c r="J6624">
        <v>-285.70870000000002</v>
      </c>
      <c r="K6624">
        <v>1.118744</v>
      </c>
      <c r="L6624">
        <v>-60.340119999999999</v>
      </c>
      <c r="M6624">
        <v>0.91030929999999999</v>
      </c>
      <c r="N6624">
        <v>-1.238354E-2</v>
      </c>
      <c r="O6624">
        <v>-0.41374369999999999</v>
      </c>
      <c r="P6624">
        <v>0.90413770000000004</v>
      </c>
      <c r="Q6624">
        <v>0.40826970000000001</v>
      </c>
      <c r="R6624">
        <v>-0.12590129999999999</v>
      </c>
      <c r="S6624">
        <v>3.4372859999999998</v>
      </c>
      <c r="T6624">
        <v>-0.46254800000000001</v>
      </c>
      <c r="U6624">
        <v>-0.64852909999999997</v>
      </c>
      <c r="V6624">
        <v>-0.26761509999999999</v>
      </c>
      <c r="W6624">
        <v>0.41393659999999999</v>
      </c>
      <c r="X6624">
        <v>0.87007959999999995</v>
      </c>
      <c r="Y6624">
        <v>-0.23290620000000001</v>
      </c>
      <c r="Z6624">
        <v>6.4835959999999998E-2</v>
      </c>
      <c r="AA6624">
        <v>0.97033550000000002</v>
      </c>
      <c r="AB6624">
        <v>30</v>
      </c>
      <c r="AC6624">
        <v>8.1869000000000298</v>
      </c>
      <c r="AD6624">
        <v>-1.1187467083389999</v>
      </c>
      <c r="AE6624">
        <v>-1.5150999999999899</v>
      </c>
      <c r="AF6624">
        <v>-1.9726068519384301</v>
      </c>
      <c r="AG6624">
        <v>-1.1187467083389999</v>
      </c>
      <c r="AH6624">
        <v>7.9367934585109401</v>
      </c>
      <c r="AI6624">
        <v>97.789443896285206</v>
      </c>
      <c r="AJ6624">
        <v>103.957459522932</v>
      </c>
      <c r="AK6624">
        <v>8.2544207787582504</v>
      </c>
      <c r="AL6624">
        <v>65.547631231615597</v>
      </c>
      <c r="AM6624">
        <v>107.096610907494</v>
      </c>
      <c r="AN6624">
        <v>0.99999993045186197</v>
      </c>
    </row>
    <row r="6625" spans="1:40" x14ac:dyDescent="0.25">
      <c r="A6625" t="str">
        <f>"20190304165016656"</f>
        <v>20190304165016656</v>
      </c>
      <c r="B6625" t="str">
        <f>"1551689416652260"</f>
        <v>1551689416652260</v>
      </c>
      <c r="C6625" t="s">
        <v>40</v>
      </c>
      <c r="D6625">
        <v>4.4867599999999896</v>
      </c>
      <c r="E6625">
        <v>0.51909070000000002</v>
      </c>
      <c r="F6625" t="s">
        <v>42</v>
      </c>
      <c r="G6625">
        <v>-277.42059999999998</v>
      </c>
      <c r="H6625" s="1">
        <v>-2.667651E-6</v>
      </c>
      <c r="I6625">
        <v>-61.867600000000003</v>
      </c>
      <c r="J6625">
        <v>-285.58179999999999</v>
      </c>
      <c r="K6625">
        <v>1.118754</v>
      </c>
      <c r="L6625">
        <v>-60.393590000000003</v>
      </c>
      <c r="M6625">
        <v>0.91214819999999996</v>
      </c>
      <c r="N6625">
        <v>-1.2381929999999999E-2</v>
      </c>
      <c r="O6625">
        <v>-0.40967350000000002</v>
      </c>
      <c r="P6625">
        <v>0.90489819999999999</v>
      </c>
      <c r="Q6625">
        <v>0.40771000000000002</v>
      </c>
      <c r="R6625">
        <v>-0.1221962</v>
      </c>
      <c r="S6625">
        <v>3.4394529999999999</v>
      </c>
      <c r="T6625">
        <v>-0.46426420000000002</v>
      </c>
      <c r="U6625">
        <v>-0.63388059999999902</v>
      </c>
      <c r="V6625">
        <v>-0.2673875</v>
      </c>
      <c r="W6625">
        <v>0.41338140000000001</v>
      </c>
      <c r="X6625">
        <v>0.87041349999999995</v>
      </c>
      <c r="Y6625">
        <v>-0.23266020000000001</v>
      </c>
      <c r="Z6625">
        <v>6.4627379999999998E-2</v>
      </c>
      <c r="AA6625">
        <v>0.97040839999999995</v>
      </c>
      <c r="AB6625">
        <v>30</v>
      </c>
      <c r="AC6625">
        <v>8.1611999999999991</v>
      </c>
      <c r="AD6625">
        <v>-1.1187566676509999</v>
      </c>
      <c r="AE6625">
        <v>-1.4740099999999901</v>
      </c>
      <c r="AF6625">
        <v>-1.9633363264218</v>
      </c>
      <c r="AG6625">
        <v>-1.1187566676509999</v>
      </c>
      <c r="AH6625">
        <v>7.9048515433060498</v>
      </c>
      <c r="AI6625">
        <v>97.820904013205293</v>
      </c>
      <c r="AJ6625">
        <v>103.94836834217401</v>
      </c>
      <c r="AK6625">
        <v>8.22149523710676</v>
      </c>
      <c r="AL6625">
        <v>65.582572116948199</v>
      </c>
      <c r="AM6625">
        <v>107.07674562958201</v>
      </c>
      <c r="AN6625">
        <v>0.99999995900222904</v>
      </c>
    </row>
    <row r="6626" spans="1:40" x14ac:dyDescent="0.25">
      <c r="A6626" t="str">
        <f>"20190304165016667"</f>
        <v>20190304165016667</v>
      </c>
      <c r="B6626" t="str">
        <f>"1551689416662391"</f>
        <v>1551689416662391</v>
      </c>
      <c r="C6626" t="s">
        <v>40</v>
      </c>
      <c r="D6626">
        <v>4.5763480000000003</v>
      </c>
      <c r="E6626">
        <v>0.50670999999999999</v>
      </c>
      <c r="F6626" t="s">
        <v>42</v>
      </c>
      <c r="G6626">
        <v>-277.32600000000002</v>
      </c>
      <c r="H6626" s="1">
        <v>-2.6296100000000001E-6</v>
      </c>
      <c r="I6626">
        <v>-61.878970000000002</v>
      </c>
      <c r="J6626">
        <v>-285.43700000000001</v>
      </c>
      <c r="K6626">
        <v>1.118754</v>
      </c>
      <c r="L6626">
        <v>-60.453130000000002</v>
      </c>
      <c r="M6626">
        <v>0.91422049999999999</v>
      </c>
      <c r="N6626">
        <v>-1.23804E-2</v>
      </c>
      <c r="O6626">
        <v>-0.4050281</v>
      </c>
      <c r="P6626">
        <v>0.90562659999999995</v>
      </c>
      <c r="Q6626">
        <v>0.40736240000000001</v>
      </c>
      <c r="R6626">
        <v>-0.1178819</v>
      </c>
      <c r="S6626">
        <v>3.4418639999999998</v>
      </c>
      <c r="T6626">
        <v>-0.46641450000000001</v>
      </c>
      <c r="U6626">
        <v>-0.61926269999999894</v>
      </c>
      <c r="V6626">
        <v>-0.2671674</v>
      </c>
      <c r="W6626">
        <v>0.41303699999999999</v>
      </c>
      <c r="X6626">
        <v>0.87064459999999999</v>
      </c>
      <c r="Y6626">
        <v>-0.2318172</v>
      </c>
      <c r="Z6626">
        <v>6.4365160000000005E-2</v>
      </c>
      <c r="AA6626">
        <v>0.97062760000000003</v>
      </c>
      <c r="AB6626">
        <v>30</v>
      </c>
      <c r="AC6626">
        <v>8.1110000000000397</v>
      </c>
      <c r="AD6626">
        <v>-1.11875662961</v>
      </c>
      <c r="AE6626">
        <v>-1.42583999999999</v>
      </c>
      <c r="AF6626">
        <v>-1.94589181495804</v>
      </c>
      <c r="AG6626">
        <v>-1.11875662961</v>
      </c>
      <c r="AH6626">
        <v>7.84851837292487</v>
      </c>
      <c r="AI6626">
        <v>97.877136530308306</v>
      </c>
      <c r="AJ6626">
        <v>103.924623077421</v>
      </c>
      <c r="AK6626">
        <v>8.1631704626300792</v>
      </c>
      <c r="AL6626">
        <v>65.604242317328598</v>
      </c>
      <c r="AM6626">
        <v>107.059239494094</v>
      </c>
      <c r="AN6626">
        <v>1.00000000125046</v>
      </c>
    </row>
    <row r="6627" spans="1:40" x14ac:dyDescent="0.25">
      <c r="A6627" t="str">
        <f>"20190304165016678"</f>
        <v>20190304165016678</v>
      </c>
      <c r="B6627" t="str">
        <f>"1551689416672150"</f>
        <v>1551689416672150</v>
      </c>
      <c r="C6627" t="s">
        <v>40</v>
      </c>
      <c r="D6627">
        <v>4.5601830000000003</v>
      </c>
      <c r="E6627">
        <v>0.50754179999999904</v>
      </c>
      <c r="F6627" t="s">
        <v>42</v>
      </c>
      <c r="G6627">
        <v>-275.16669999999999</v>
      </c>
      <c r="H6627" s="1">
        <v>-1.72025E-6</v>
      </c>
      <c r="I6627">
        <v>-61.955219999999997</v>
      </c>
      <c r="J6627">
        <v>-285.30680000000001</v>
      </c>
      <c r="K6627">
        <v>1.1187560000000001</v>
      </c>
      <c r="L6627">
        <v>-60.50638</v>
      </c>
      <c r="M6627">
        <v>0.91606259999999995</v>
      </c>
      <c r="N6627">
        <v>-1.2379039999999999E-2</v>
      </c>
      <c r="O6627">
        <v>-0.40084429999999999</v>
      </c>
      <c r="P6627">
        <v>0.90622659999999999</v>
      </c>
      <c r="Q6627">
        <v>0.40716140000000001</v>
      </c>
      <c r="R6627">
        <v>-0.1138995</v>
      </c>
      <c r="S6627">
        <v>3.4148860000000001</v>
      </c>
      <c r="T6627">
        <v>-0.37198930000000002</v>
      </c>
      <c r="U6627">
        <v>-0.49945070000000003</v>
      </c>
      <c r="V6627">
        <v>-0.26705000000000001</v>
      </c>
      <c r="W6627">
        <v>0.41283599999999998</v>
      </c>
      <c r="X6627">
        <v>0.87077590000000005</v>
      </c>
      <c r="Y6627">
        <v>-0.26072770000000001</v>
      </c>
      <c r="Z6627">
        <v>5.2692000000000003E-2</v>
      </c>
      <c r="AA6627">
        <v>0.96397330000000003</v>
      </c>
      <c r="AB6627">
        <v>30</v>
      </c>
      <c r="AC6627">
        <v>10.1401</v>
      </c>
      <c r="AD6627">
        <v>-1.1187577202500001</v>
      </c>
      <c r="AE6627">
        <v>-1.4488399999999899</v>
      </c>
      <c r="AF6627">
        <v>-2.7053106597671701</v>
      </c>
      <c r="AG6627">
        <v>-1.1187577202500001</v>
      </c>
      <c r="AH6627">
        <v>9.7541228363235994</v>
      </c>
      <c r="AI6627">
        <v>96.306944229124596</v>
      </c>
      <c r="AJ6627">
        <v>105.501379934395</v>
      </c>
      <c r="AK6627">
        <v>10.183969604655999</v>
      </c>
      <c r="AL6627">
        <v>65.616886303657594</v>
      </c>
      <c r="AM6627">
        <v>107.049756127113</v>
      </c>
      <c r="AN6627">
        <v>0.99999996670840396</v>
      </c>
    </row>
    <row r="6628" spans="1:40" x14ac:dyDescent="0.25">
      <c r="A6628" t="str">
        <f>"20190304165016688"</f>
        <v>20190304165016688</v>
      </c>
      <c r="B6628" t="str">
        <f>"1551689416681910"</f>
        <v>1551689416681910</v>
      </c>
      <c r="C6628" t="s">
        <v>40</v>
      </c>
      <c r="D6628">
        <v>4.5469619999999997</v>
      </c>
      <c r="E6628">
        <v>0.50818679999999905</v>
      </c>
      <c r="F6628" t="s">
        <v>42</v>
      </c>
      <c r="G6628">
        <v>-275.31139999999999</v>
      </c>
      <c r="H6628" s="1">
        <v>-1.7796019999999999E-6</v>
      </c>
      <c r="I6628">
        <v>-61.942979999999999</v>
      </c>
      <c r="J6628">
        <v>-285.16550000000001</v>
      </c>
      <c r="K6628">
        <v>1.118752</v>
      </c>
      <c r="L6628">
        <v>-60.563079999999999</v>
      </c>
      <c r="M6628">
        <v>0.91803749999999995</v>
      </c>
      <c r="N6628">
        <v>-1.237769E-2</v>
      </c>
      <c r="O6628">
        <v>-0.3963004</v>
      </c>
      <c r="P6628">
        <v>0.90675479999999997</v>
      </c>
      <c r="Q6628">
        <v>0.40712979999999999</v>
      </c>
      <c r="R6628">
        <v>-0.10973289999999999</v>
      </c>
      <c r="S6628">
        <v>3.4206539999999999</v>
      </c>
      <c r="T6628">
        <v>-0.38286439999999999</v>
      </c>
      <c r="U6628">
        <v>-0.49163820000000003</v>
      </c>
      <c r="V6628">
        <v>-0.26674419999999999</v>
      </c>
      <c r="W6628">
        <v>0.41280899999999998</v>
      </c>
      <c r="X6628">
        <v>0.8708825</v>
      </c>
      <c r="Y6628">
        <v>-0.25817449999999997</v>
      </c>
      <c r="Z6628">
        <v>5.3682870000000001E-2</v>
      </c>
      <c r="AA6628">
        <v>0.96460559999999995</v>
      </c>
      <c r="AB6628">
        <v>30</v>
      </c>
      <c r="AC6628">
        <v>9.8541000000000096</v>
      </c>
      <c r="AD6628">
        <v>-1.118753779602</v>
      </c>
      <c r="AE6628">
        <v>-1.3798999999999899</v>
      </c>
      <c r="AF6628">
        <v>-2.6056463866861899</v>
      </c>
      <c r="AG6628">
        <v>-1.118753779602</v>
      </c>
      <c r="AH6628">
        <v>9.4742533767643309</v>
      </c>
      <c r="AI6628">
        <v>96.495504568095797</v>
      </c>
      <c r="AJ6628">
        <v>105.37752586986799</v>
      </c>
      <c r="AK6628">
        <v>9.8895136462292701</v>
      </c>
      <c r="AL6628">
        <v>65.618586514988095</v>
      </c>
      <c r="AM6628">
        <v>107.029398806053</v>
      </c>
      <c r="AN6628">
        <v>1.00000003376044</v>
      </c>
    </row>
    <row r="6629" spans="1:40" x14ac:dyDescent="0.25">
      <c r="A6629" t="str">
        <f>"20190304165016699"</f>
        <v>20190304165016699</v>
      </c>
      <c r="B6629" t="str">
        <f>"1551689416692646"</f>
        <v>1551689416692646</v>
      </c>
      <c r="C6629" t="s">
        <v>40</v>
      </c>
      <c r="D6629">
        <v>4.5657719999999999</v>
      </c>
      <c r="E6629">
        <v>0.50876069999999995</v>
      </c>
      <c r="F6629" t="s">
        <v>42</v>
      </c>
      <c r="G6629">
        <v>-275.27120000000002</v>
      </c>
      <c r="H6629" s="1">
        <v>-1.7646410000000001E-6</v>
      </c>
      <c r="I6629">
        <v>-61.953209999999999</v>
      </c>
      <c r="J6629">
        <v>-285.0428</v>
      </c>
      <c r="K6629">
        <v>1.1187560000000001</v>
      </c>
      <c r="L6629">
        <v>-60.611820000000002</v>
      </c>
      <c r="M6629">
        <v>0.91973170000000004</v>
      </c>
      <c r="N6629">
        <v>-1.237651E-2</v>
      </c>
      <c r="O6629">
        <v>-0.39235249999999999</v>
      </c>
      <c r="P6629">
        <v>0.90722040000000004</v>
      </c>
      <c r="Q6629">
        <v>0.40706569999999997</v>
      </c>
      <c r="R6629">
        <v>-0.106058399999999</v>
      </c>
      <c r="S6629">
        <v>3.4240719999999998</v>
      </c>
      <c r="T6629">
        <v>-0.38716349999999999</v>
      </c>
      <c r="U6629">
        <v>-0.48107909999999998</v>
      </c>
      <c r="V6629">
        <v>-0.26654220000000001</v>
      </c>
      <c r="W6629">
        <v>0.41274739999999999</v>
      </c>
      <c r="X6629">
        <v>0.87097349999999996</v>
      </c>
      <c r="Y6629">
        <v>-0.25702459999999999</v>
      </c>
      <c r="Z6629">
        <v>5.3855899999999998E-2</v>
      </c>
      <c r="AA6629">
        <v>0.96490310000000001</v>
      </c>
      <c r="AB6629">
        <v>30</v>
      </c>
      <c r="AC6629">
        <v>9.7715999999999692</v>
      </c>
      <c r="AD6629">
        <v>-1.1187577646410001</v>
      </c>
      <c r="AE6629">
        <v>-1.3413900000000001</v>
      </c>
      <c r="AF6629">
        <v>-2.5673610100399098</v>
      </c>
      <c r="AG6629">
        <v>-1.1187577646410001</v>
      </c>
      <c r="AH6629">
        <v>9.3934235770696706</v>
      </c>
      <c r="AI6629">
        <v>96.553768295069801</v>
      </c>
      <c r="AJ6629">
        <v>105.286442518854</v>
      </c>
      <c r="AK6629">
        <v>9.8020083651293692</v>
      </c>
      <c r="AL6629">
        <v>65.622460558635893</v>
      </c>
      <c r="AM6629">
        <v>107.015572914187</v>
      </c>
      <c r="AN6629">
        <v>0.99999999914492499</v>
      </c>
    </row>
    <row r="6630" spans="1:40" x14ac:dyDescent="0.25">
      <c r="A6630" t="str">
        <f>"20190304165016709"</f>
        <v>20190304165016709</v>
      </c>
      <c r="B6630" t="str">
        <f>"1551689416702407"</f>
        <v>1551689416702407</v>
      </c>
      <c r="C6630" t="s">
        <v>40</v>
      </c>
      <c r="D6630">
        <v>4.5294949999999998</v>
      </c>
      <c r="E6630">
        <v>0.50934740000000001</v>
      </c>
      <c r="F6630" t="s">
        <v>42</v>
      </c>
      <c r="G6630">
        <v>-275.2525</v>
      </c>
      <c r="H6630" s="1">
        <v>-1.7583819999999999E-6</v>
      </c>
      <c r="I6630">
        <v>-61.961199999999998</v>
      </c>
      <c r="J6630">
        <v>-284.90949999999998</v>
      </c>
      <c r="K6630">
        <v>1.1187579999999999</v>
      </c>
      <c r="L6630">
        <v>-60.6639699999999</v>
      </c>
      <c r="M6630">
        <v>0.92155180000000003</v>
      </c>
      <c r="N6630">
        <v>-1.2375239999999999E-2</v>
      </c>
      <c r="O6630">
        <v>-0.38805830000000002</v>
      </c>
      <c r="P6630">
        <v>0.9074816</v>
      </c>
      <c r="Q6630">
        <v>0.4074043</v>
      </c>
      <c r="R6630">
        <v>-0.1024646</v>
      </c>
      <c r="S6630">
        <v>3.4273069999999999</v>
      </c>
      <c r="T6630">
        <v>-0.3916441</v>
      </c>
      <c r="U6630">
        <v>-0.47238160000000001</v>
      </c>
      <c r="V6630">
        <v>-0.26587549999999999</v>
      </c>
      <c r="W6630">
        <v>0.41309649999999998</v>
      </c>
      <c r="X6630">
        <v>0.87101170000000006</v>
      </c>
      <c r="Y6630">
        <v>-0.25499840000000001</v>
      </c>
      <c r="Z6630">
        <v>5.3956579999999997E-2</v>
      </c>
      <c r="AA6630">
        <v>0.96543489999999998</v>
      </c>
      <c r="AB6630">
        <v>30</v>
      </c>
      <c r="AC6630">
        <v>9.6569999999999805</v>
      </c>
      <c r="AD6630">
        <v>-1.1187597583819999</v>
      </c>
      <c r="AE6630">
        <v>-1.2972300000000001</v>
      </c>
      <c r="AF6630">
        <v>-2.51900104745968</v>
      </c>
      <c r="AG6630">
        <v>-1.1187597583819999</v>
      </c>
      <c r="AH6630">
        <v>9.2811899548071093</v>
      </c>
      <c r="AI6630">
        <v>96.635506637497699</v>
      </c>
      <c r="AJ6630">
        <v>105.18480757919301</v>
      </c>
      <c r="AK6630">
        <v>9.6818116409735193</v>
      </c>
      <c r="AL6630">
        <v>65.6004973630845</v>
      </c>
      <c r="AM6630">
        <v>106.97476040866</v>
      </c>
      <c r="AN6630">
        <v>0.999999940674693</v>
      </c>
    </row>
    <row r="6631" spans="1:40" x14ac:dyDescent="0.25">
      <c r="A6631" t="str">
        <f>"20190304165016720"</f>
        <v>20190304165016720</v>
      </c>
      <c r="B6631" t="str">
        <f>"1551689416712167"</f>
        <v>1551689416712167</v>
      </c>
      <c r="C6631" t="s">
        <v>40</v>
      </c>
      <c r="D6631">
        <v>4.5352800000000002</v>
      </c>
      <c r="E6631">
        <v>0.50979079999999999</v>
      </c>
      <c r="F6631" t="s">
        <v>42</v>
      </c>
      <c r="G6631">
        <v>-275.17419999999998</v>
      </c>
      <c r="H6631" s="1">
        <v>-1.728489E-6</v>
      </c>
      <c r="I6631">
        <v>-61.977930000000001</v>
      </c>
      <c r="J6631">
        <v>-284.77050000000003</v>
      </c>
      <c r="K6631">
        <v>1.1187640000000001</v>
      </c>
      <c r="L6631">
        <v>-60.717619999999997</v>
      </c>
      <c r="M6631">
        <v>0.9234251</v>
      </c>
      <c r="N6631">
        <v>-1.237398E-2</v>
      </c>
      <c r="O6631">
        <v>-0.38357930000000001</v>
      </c>
      <c r="P6631">
        <v>0.90768539999999998</v>
      </c>
      <c r="Q6631">
        <v>0.40784150000000002</v>
      </c>
      <c r="R6631">
        <v>-9.8855819999999997E-2</v>
      </c>
      <c r="S6631">
        <v>3.430542</v>
      </c>
      <c r="T6631">
        <v>-0.39422829999999998</v>
      </c>
      <c r="U6631">
        <v>-0.4630127</v>
      </c>
      <c r="V6631">
        <v>-0.26504070000000002</v>
      </c>
      <c r="W6631">
        <v>0.41354809999999997</v>
      </c>
      <c r="X6631">
        <v>0.87105189999999999</v>
      </c>
      <c r="Y6631">
        <v>-0.25300679999999998</v>
      </c>
      <c r="Z6631">
        <v>5.3756499999999999E-2</v>
      </c>
      <c r="AA6631">
        <v>0.96596990000000005</v>
      </c>
      <c r="AB6631">
        <v>30</v>
      </c>
      <c r="AC6631">
        <v>9.5963000000000402</v>
      </c>
      <c r="AD6631">
        <v>-1.11876572848899</v>
      </c>
      <c r="AE6631">
        <v>-1.26031000000001</v>
      </c>
      <c r="AF6631">
        <v>-2.4841417597014601</v>
      </c>
      <c r="AG6631">
        <v>-1.11876572848899</v>
      </c>
      <c r="AH6631">
        <v>9.2223864599629799</v>
      </c>
      <c r="AI6631">
        <v>96.680887826718305</v>
      </c>
      <c r="AJ6631">
        <v>105.07539038980801</v>
      </c>
      <c r="AK6631">
        <v>9.6163927256764392</v>
      </c>
      <c r="AL6631">
        <v>65.572083558053393</v>
      </c>
      <c r="AM6631">
        <v>106.923777363635</v>
      </c>
      <c r="AN6631">
        <v>1.0000000080818501</v>
      </c>
    </row>
    <row r="6632" spans="1:40" x14ac:dyDescent="0.25">
      <c r="A6632" t="str">
        <f>"20190304165016731"</f>
        <v>20190304165016731</v>
      </c>
      <c r="B6632" t="str">
        <f>"1551689416721926"</f>
        <v>1551689416721926</v>
      </c>
      <c r="C6632" t="s">
        <v>40</v>
      </c>
      <c r="D6632">
        <v>4.5430270000000004</v>
      </c>
      <c r="E6632">
        <v>0.51019110000000001</v>
      </c>
      <c r="F6632" t="s">
        <v>42</v>
      </c>
      <c r="G6632">
        <v>-275.09769999999997</v>
      </c>
      <c r="H6632" s="1">
        <v>-1.69877E-6</v>
      </c>
      <c r="I6632">
        <v>-61.991790000000002</v>
      </c>
      <c r="J6632">
        <v>-284.63380000000001</v>
      </c>
      <c r="K6632">
        <v>1.11877</v>
      </c>
      <c r="L6632">
        <v>-60.769739999999999</v>
      </c>
      <c r="M6632">
        <v>0.92524499999999998</v>
      </c>
      <c r="N6632">
        <v>-1.237279E-2</v>
      </c>
      <c r="O6632">
        <v>-0.37916820000000001</v>
      </c>
      <c r="P6632">
        <v>0.90801529999999997</v>
      </c>
      <c r="Q6632">
        <v>0.40797820000000001</v>
      </c>
      <c r="R6632">
        <v>-9.5193769999999997E-2</v>
      </c>
      <c r="S6632">
        <v>3.434326</v>
      </c>
      <c r="T6632">
        <v>-0.3972176</v>
      </c>
      <c r="U6632">
        <v>-0.45239259999999898</v>
      </c>
      <c r="V6632">
        <v>-0.26437470000000002</v>
      </c>
      <c r="W6632">
        <v>0.41369739999999999</v>
      </c>
      <c r="X6632">
        <v>0.87118340000000005</v>
      </c>
      <c r="Y6632">
        <v>-0.25144830000000001</v>
      </c>
      <c r="Z6632">
        <v>5.3632199999999998E-2</v>
      </c>
      <c r="AA6632">
        <v>0.96638360000000001</v>
      </c>
      <c r="AB6632">
        <v>30</v>
      </c>
      <c r="AC6632">
        <v>9.5361000000000296</v>
      </c>
      <c r="AD6632">
        <v>-1.11877169877</v>
      </c>
      <c r="AE6632">
        <v>-1.2220499999999901</v>
      </c>
      <c r="AF6632">
        <v>-2.45207574671009</v>
      </c>
      <c r="AG6632">
        <v>-1.11877169877</v>
      </c>
      <c r="AH6632">
        <v>9.1632187923727901</v>
      </c>
      <c r="AI6632">
        <v>96.726605950897607</v>
      </c>
      <c r="AJ6632">
        <v>104.981322001812</v>
      </c>
      <c r="AK6632">
        <v>9.5513823197726992</v>
      </c>
      <c r="AL6632">
        <v>65.562688175717</v>
      </c>
      <c r="AM6632">
        <v>106.881269589162</v>
      </c>
      <c r="AN6632">
        <v>1.0000000186011999</v>
      </c>
    </row>
    <row r="6633" spans="1:40" x14ac:dyDescent="0.25">
      <c r="A6633" t="str">
        <f>"20190304165016743"</f>
        <v>20190304165016743</v>
      </c>
      <c r="B6633" t="str">
        <f>"1551689416732663"</f>
        <v>1551689416732663</v>
      </c>
      <c r="C6633" t="s">
        <v>40</v>
      </c>
      <c r="D6633">
        <v>4.5485369999999996</v>
      </c>
      <c r="E6633">
        <v>0.51068139999999995</v>
      </c>
      <c r="F6633" t="s">
        <v>42</v>
      </c>
      <c r="G6633">
        <v>-275.0188</v>
      </c>
      <c r="H6633" s="1">
        <v>-1.667848E-6</v>
      </c>
      <c r="I6633">
        <v>-62.00488</v>
      </c>
      <c r="J6633">
        <v>-284.49540000000002</v>
      </c>
      <c r="K6633">
        <v>1.1187739999999999</v>
      </c>
      <c r="L6633">
        <v>-60.821530000000003</v>
      </c>
      <c r="M6633">
        <v>0.92706080000000002</v>
      </c>
      <c r="N6633">
        <v>-1.2371709999999999E-2</v>
      </c>
      <c r="O6633">
        <v>-0.37470710000000002</v>
      </c>
      <c r="P6633">
        <v>0.90827630000000004</v>
      </c>
      <c r="Q6633">
        <v>0.40819519999999998</v>
      </c>
      <c r="R6633">
        <v>-9.1710819999999998E-2</v>
      </c>
      <c r="S6633">
        <v>3.4373170000000002</v>
      </c>
      <c r="T6633">
        <v>-0.3999588</v>
      </c>
      <c r="U6633">
        <v>-0.44155879999999997</v>
      </c>
      <c r="V6633">
        <v>-0.26348379999999999</v>
      </c>
      <c r="W6633">
        <v>0.41393190000000002</v>
      </c>
      <c r="X6633">
        <v>0.8713419</v>
      </c>
      <c r="Y6633">
        <v>-0.2498765</v>
      </c>
      <c r="Z6633">
        <v>5.3471009999999999E-2</v>
      </c>
      <c r="AA6633">
        <v>0.9668002</v>
      </c>
      <c r="AB6633">
        <v>30</v>
      </c>
      <c r="AC6633">
        <v>9.4766000000000101</v>
      </c>
      <c r="AD6633">
        <v>-1.1187756678480001</v>
      </c>
      <c r="AE6633">
        <v>-1.1833499999999999</v>
      </c>
      <c r="AF6633">
        <v>-2.4208768497630002</v>
      </c>
      <c r="AG6633">
        <v>-1.1187756678480001</v>
      </c>
      <c r="AH6633">
        <v>9.1045541397896308</v>
      </c>
      <c r="AI6633">
        <v>96.772415267810104</v>
      </c>
      <c r="AJ6633">
        <v>104.89025726619001</v>
      </c>
      <c r="AK6633">
        <v>9.4871075571560599</v>
      </c>
      <c r="AL6633">
        <v>65.547929354269797</v>
      </c>
      <c r="AM6633">
        <v>106.824714699773</v>
      </c>
      <c r="AN6633">
        <v>1.00000001869782</v>
      </c>
    </row>
    <row r="6634" spans="1:40" x14ac:dyDescent="0.25">
      <c r="A6634" t="str">
        <f>"20190304165016768"</f>
        <v>20190304165016768</v>
      </c>
      <c r="B6634" t="str">
        <f>"1551689416762451"</f>
        <v>1551689416762451</v>
      </c>
      <c r="C6634" t="s">
        <v>40</v>
      </c>
      <c r="D6634">
        <v>4.5238379999999996</v>
      </c>
      <c r="E6634">
        <v>0.5111116</v>
      </c>
      <c r="F6634" t="s">
        <v>42</v>
      </c>
      <c r="G6634">
        <v>-274.89670000000001</v>
      </c>
      <c r="H6634" s="1">
        <v>-1.61991E-6</v>
      </c>
      <c r="I6634">
        <v>-62.024909999999998</v>
      </c>
      <c r="J6634">
        <v>-284.18419999999998</v>
      </c>
      <c r="K6634">
        <v>1.118781</v>
      </c>
      <c r="L6634">
        <v>-60.935490000000001</v>
      </c>
      <c r="M6634">
        <v>0.93105729999999998</v>
      </c>
      <c r="N6634">
        <v>-1.236963E-2</v>
      </c>
      <c r="O6634">
        <v>-0.36466300000000001</v>
      </c>
      <c r="P6634">
        <v>0.90878639999999999</v>
      </c>
      <c r="Q6634">
        <v>0.40884379999999998</v>
      </c>
      <c r="R6634">
        <v>-8.3391560000000003E-2</v>
      </c>
      <c r="S6634">
        <v>3.439575</v>
      </c>
      <c r="T6634">
        <v>-0.4008988</v>
      </c>
      <c r="U6634">
        <v>-0.43121340000000002</v>
      </c>
      <c r="V6634">
        <v>-0.26194299999999998</v>
      </c>
      <c r="W6634">
        <v>0.41460849999999999</v>
      </c>
      <c r="X6634">
        <v>0.87148479999999995</v>
      </c>
      <c r="Y6634">
        <v>-0.24243580000000001</v>
      </c>
      <c r="Z6634">
        <v>5.2156670000000002E-2</v>
      </c>
      <c r="AA6634">
        <v>0.96876450000000003</v>
      </c>
      <c r="AB6634">
        <v>30</v>
      </c>
      <c r="AC6634">
        <v>9.2874999999999606</v>
      </c>
      <c r="AD6634">
        <v>-1.1187826199099999</v>
      </c>
      <c r="AE6634">
        <v>-1.0894199999999901</v>
      </c>
      <c r="AF6634">
        <v>-2.3391938605878</v>
      </c>
      <c r="AG6634">
        <v>-1.1187826199099999</v>
      </c>
      <c r="AH6634">
        <v>8.9175140342501393</v>
      </c>
      <c r="AI6634">
        <v>96.919203245072296</v>
      </c>
      <c r="AJ6634">
        <v>104.698363989377</v>
      </c>
      <c r="AK6634">
        <v>9.2868487130496895</v>
      </c>
      <c r="AL6634">
        <v>65.505337021700598</v>
      </c>
      <c r="AM6634">
        <v>106.729250606642</v>
      </c>
      <c r="AN6634">
        <v>1.0000000500761399</v>
      </c>
    </row>
    <row r="6635" spans="1:40" x14ac:dyDescent="0.25">
      <c r="A6635" t="str">
        <f>"20190304165016780"</f>
        <v>20190304165016780</v>
      </c>
      <c r="B6635" t="str">
        <f>"1551689416772211"</f>
        <v>1551689416772211</v>
      </c>
      <c r="C6635" t="s">
        <v>40</v>
      </c>
      <c r="D6635">
        <v>4.5475000000000003</v>
      </c>
      <c r="E6635">
        <v>0.51172129999999905</v>
      </c>
      <c r="F6635" t="s">
        <v>42</v>
      </c>
      <c r="G6635">
        <v>-274.62299999999999</v>
      </c>
      <c r="H6635" s="1">
        <v>-1.5085879999999999E-6</v>
      </c>
      <c r="I6635">
        <v>-62.052309999999999</v>
      </c>
      <c r="J6635">
        <v>-284.02629999999999</v>
      </c>
      <c r="K6635">
        <v>1.1187849999999999</v>
      </c>
      <c r="L6635">
        <v>-60.99194</v>
      </c>
      <c r="M6635">
        <v>0.9330387</v>
      </c>
      <c r="N6635">
        <v>-1.236875E-2</v>
      </c>
      <c r="O6635">
        <v>-0.35956349999999998</v>
      </c>
      <c r="P6635">
        <v>0.90912570000000004</v>
      </c>
      <c r="Q6635">
        <v>0.40892509999999999</v>
      </c>
      <c r="R6635">
        <v>-7.9186960000000001E-2</v>
      </c>
      <c r="S6635">
        <v>3.445557</v>
      </c>
      <c r="T6635">
        <v>-0.40317320000000001</v>
      </c>
      <c r="U6635">
        <v>-0.40246579999999998</v>
      </c>
      <c r="V6635">
        <v>-0.26119189999999998</v>
      </c>
      <c r="W6635">
        <v>0.41470479999999998</v>
      </c>
      <c r="X6635">
        <v>0.87166429999999995</v>
      </c>
      <c r="Y6635">
        <v>-0.24527170000000001</v>
      </c>
      <c r="Z6635">
        <v>5.2110829999999997E-2</v>
      </c>
      <c r="AA6635">
        <v>0.96805280000000005</v>
      </c>
      <c r="AB6635">
        <v>30</v>
      </c>
      <c r="AC6635">
        <v>9.4032999999999998</v>
      </c>
      <c r="AD6635">
        <v>-1.118786508588</v>
      </c>
      <c r="AE6635">
        <v>-1.06036999999999</v>
      </c>
      <c r="AF6635">
        <v>-2.3589268858945802</v>
      </c>
      <c r="AG6635">
        <v>-1.118786508588</v>
      </c>
      <c r="AH6635">
        <v>9.0293997395402794</v>
      </c>
      <c r="AI6635">
        <v>96.836071551360703</v>
      </c>
      <c r="AJ6635">
        <v>104.641257995225</v>
      </c>
      <c r="AK6635">
        <v>9.3992701291751892</v>
      </c>
      <c r="AL6635">
        <v>65.499271396670693</v>
      </c>
      <c r="AM6635">
        <v>106.68070555651001</v>
      </c>
      <c r="AN6635">
        <v>0.99999996583156903</v>
      </c>
    </row>
    <row r="6636" spans="1:40" x14ac:dyDescent="0.25">
      <c r="A6636" t="str">
        <f>"20190304165016791"</f>
        <v>20190304165016791</v>
      </c>
      <c r="B6636" t="str">
        <f>"1551689416782947"</f>
        <v>1551689416782947</v>
      </c>
      <c r="C6636" t="s">
        <v>40</v>
      </c>
      <c r="D6636">
        <v>4.5421839999999998</v>
      </c>
      <c r="E6636">
        <v>0.51231579999999999</v>
      </c>
      <c r="F6636" t="s">
        <v>42</v>
      </c>
      <c r="G6636">
        <v>-274.46260000000001</v>
      </c>
      <c r="H6636" s="1">
        <v>-1.4450440000000001E-6</v>
      </c>
      <c r="I6636">
        <v>-62.07591</v>
      </c>
      <c r="J6636">
        <v>-283.86860000000001</v>
      </c>
      <c r="K6636">
        <v>1.118792</v>
      </c>
      <c r="L6636">
        <v>-61.047359999999998</v>
      </c>
      <c r="M6636">
        <v>0.9349864</v>
      </c>
      <c r="N6636">
        <v>-1.2367990000000001E-2</v>
      </c>
      <c r="O6636">
        <v>-0.3544678</v>
      </c>
      <c r="P6636">
        <v>0.90928319999999996</v>
      </c>
      <c r="Q6636">
        <v>0.40938859999999999</v>
      </c>
      <c r="R6636">
        <v>-7.4867619999999996E-2</v>
      </c>
      <c r="S6636">
        <v>3.447235</v>
      </c>
      <c r="T6636">
        <v>-0.4032676</v>
      </c>
      <c r="U6636">
        <v>-0.39071660000000002</v>
      </c>
      <c r="V6636">
        <v>-0.26051099999999999</v>
      </c>
      <c r="W6636">
        <v>0.41517979999999999</v>
      </c>
      <c r="X6636">
        <v>0.87164200000000003</v>
      </c>
      <c r="Y6636">
        <v>-0.24333440000000001</v>
      </c>
      <c r="Z6636">
        <v>5.1501169999999999E-2</v>
      </c>
      <c r="AA6636">
        <v>0.96857420000000005</v>
      </c>
      <c r="AB6636">
        <v>30</v>
      </c>
      <c r="AC6636">
        <v>9.4060000000000006</v>
      </c>
      <c r="AD6636">
        <v>-1.118793445044</v>
      </c>
      <c r="AE6636">
        <v>-1.0285500000000001</v>
      </c>
      <c r="AF6636">
        <v>-2.3399118836388002</v>
      </c>
      <c r="AG6636">
        <v>-1.118793445044</v>
      </c>
      <c r="AH6636">
        <v>9.0334767862393406</v>
      </c>
      <c r="AI6636">
        <v>96.836724140165401</v>
      </c>
      <c r="AJ6636">
        <v>104.521970127014</v>
      </c>
      <c r="AK6636">
        <v>9.3984354678527495</v>
      </c>
      <c r="AL6636">
        <v>65.469360454125507</v>
      </c>
      <c r="AM6636">
        <v>106.64002987786201</v>
      </c>
      <c r="AN6636">
        <v>1.00000001180652</v>
      </c>
    </row>
    <row r="6637" spans="1:40" x14ac:dyDescent="0.25">
      <c r="A6637" t="str">
        <f>"20190304165016802"</f>
        <v>20190304165016802</v>
      </c>
      <c r="B6637" t="str">
        <f>"1551689416792706"</f>
        <v>1551689416792706</v>
      </c>
      <c r="C6637" t="s">
        <v>40</v>
      </c>
      <c r="D6637">
        <v>4.5403640000000003</v>
      </c>
      <c r="E6637">
        <v>0.51292689999999996</v>
      </c>
      <c r="F6637" t="s">
        <v>42</v>
      </c>
      <c r="G6637">
        <v>-274.31799999999998</v>
      </c>
      <c r="H6637" s="1">
        <v>-1.387798E-6</v>
      </c>
      <c r="I6637">
        <v>-62.097639999999998</v>
      </c>
      <c r="J6637">
        <v>-283.74040000000002</v>
      </c>
      <c r="K6637">
        <v>1.118795</v>
      </c>
      <c r="L6637">
        <v>-61.091520000000003</v>
      </c>
      <c r="M6637">
        <v>0.9365462</v>
      </c>
      <c r="N6637">
        <v>-1.236581E-2</v>
      </c>
      <c r="O6637">
        <v>-0.35032609999999997</v>
      </c>
      <c r="P6637">
        <v>0.90935619999999995</v>
      </c>
      <c r="Q6637">
        <v>0.40980270000000002</v>
      </c>
      <c r="R6637">
        <v>-7.1645230000000004E-2</v>
      </c>
      <c r="S6637">
        <v>3.4500120000000001</v>
      </c>
      <c r="T6637">
        <v>-0.40414600000000001</v>
      </c>
      <c r="U6637">
        <v>-0.37939450000000002</v>
      </c>
      <c r="V6637">
        <v>-0.25968160000000001</v>
      </c>
      <c r="W6637">
        <v>0.41560750000000002</v>
      </c>
      <c r="X6637">
        <v>0.87168559999999995</v>
      </c>
      <c r="Y6637">
        <v>-0.2422859</v>
      </c>
      <c r="Z6637">
        <v>5.11256E-2</v>
      </c>
      <c r="AA6637">
        <v>0.96885690000000002</v>
      </c>
      <c r="AB6637">
        <v>30</v>
      </c>
      <c r="AC6637">
        <v>9.4224000000000299</v>
      </c>
      <c r="AD6637">
        <v>-1.1187963877980001</v>
      </c>
      <c r="AE6637">
        <v>-1.0061200000000099</v>
      </c>
      <c r="AF6637">
        <v>-2.32638578980613</v>
      </c>
      <c r="AG6637">
        <v>-1.1187963877980001</v>
      </c>
      <c r="AH6637">
        <v>9.05150853919762</v>
      </c>
      <c r="AI6637">
        <v>96.826538723666602</v>
      </c>
      <c r="AJ6637">
        <v>104.41397475828499</v>
      </c>
      <c r="AK6637">
        <v>9.4124164291391903</v>
      </c>
      <c r="AL6637">
        <v>65.442419380017796</v>
      </c>
      <c r="AM6637">
        <v>106.589184157388</v>
      </c>
      <c r="AN6637">
        <v>0.99999995634108396</v>
      </c>
    </row>
    <row r="6638" spans="1:40" x14ac:dyDescent="0.25">
      <c r="A6638" t="str">
        <f>"20190304165016812"</f>
        <v>20190304165016812</v>
      </c>
      <c r="B6638" t="str">
        <f>"1551689416802466"</f>
        <v>1551689416802466</v>
      </c>
      <c r="C6638" t="s">
        <v>40</v>
      </c>
      <c r="D6638">
        <v>4.4977239999999998</v>
      </c>
      <c r="E6638">
        <v>0.51322719999999999</v>
      </c>
      <c r="F6638" t="s">
        <v>42</v>
      </c>
      <c r="G6638">
        <v>-274.19929999999999</v>
      </c>
      <c r="H6638" s="1">
        <v>-1.341852E-6</v>
      </c>
      <c r="I6638">
        <v>-62.11983</v>
      </c>
      <c r="J6638">
        <v>-283.60820000000001</v>
      </c>
      <c r="K6638">
        <v>1.118798</v>
      </c>
      <c r="L6638">
        <v>-61.136659999999999</v>
      </c>
      <c r="M6638">
        <v>0.93813369999999996</v>
      </c>
      <c r="N6638">
        <v>-1.236285E-2</v>
      </c>
      <c r="O6638">
        <v>-0.3460531</v>
      </c>
      <c r="P6638">
        <v>0.9095702</v>
      </c>
      <c r="Q6638">
        <v>0.40993540000000001</v>
      </c>
      <c r="R6638">
        <v>-6.8081500000000003E-2</v>
      </c>
      <c r="S6638">
        <v>3.4521790000000001</v>
      </c>
      <c r="T6638">
        <v>-0.40480899999999997</v>
      </c>
      <c r="U6638">
        <v>-0.37207030000000002</v>
      </c>
      <c r="V6638">
        <v>-0.259104</v>
      </c>
      <c r="W6638">
        <v>0.41574929999999899</v>
      </c>
      <c r="X6638">
        <v>0.87178989999999901</v>
      </c>
      <c r="Y6638">
        <v>-0.2399915</v>
      </c>
      <c r="Z6638">
        <v>5.0630109999999999E-2</v>
      </c>
      <c r="AA6638">
        <v>0.96945380000000003</v>
      </c>
      <c r="AB6638">
        <v>31</v>
      </c>
      <c r="AC6638">
        <v>9.4089000000000098</v>
      </c>
      <c r="AD6638">
        <v>-1.1187993418519999</v>
      </c>
      <c r="AE6638">
        <v>-0.98317000000000798</v>
      </c>
      <c r="AF6638">
        <v>-2.3016202511257902</v>
      </c>
      <c r="AG6638">
        <v>-1.1187993418519999</v>
      </c>
      <c r="AH6638">
        <v>9.0412776473934198</v>
      </c>
      <c r="AI6638">
        <v>96.838188635201206</v>
      </c>
      <c r="AJ6638">
        <v>104.282310568569</v>
      </c>
      <c r="AK6638">
        <v>9.3964817482383705</v>
      </c>
      <c r="AL6638">
        <v>65.433487570183402</v>
      </c>
      <c r="AM6638">
        <v>106.55243485017699</v>
      </c>
      <c r="AN6638">
        <v>0.99999999650424898</v>
      </c>
    </row>
    <row r="6639" spans="1:40" x14ac:dyDescent="0.25">
      <c r="A6639" t="str">
        <f>"20190304165016824"</f>
        <v>20190304165016824</v>
      </c>
      <c r="B6639" t="str">
        <f>"1551689416812227"</f>
        <v>1551689416812227</v>
      </c>
      <c r="C6639" t="s">
        <v>40</v>
      </c>
      <c r="D6639">
        <v>4.6944790000000003</v>
      </c>
      <c r="E6639">
        <v>0.51350189999999996</v>
      </c>
      <c r="F6639" t="s">
        <v>42</v>
      </c>
      <c r="G6639">
        <v>-274.03960000000001</v>
      </c>
      <c r="H6639" s="1">
        <v>-1.2771E-6</v>
      </c>
      <c r="I6639">
        <v>-62.13693</v>
      </c>
      <c r="J6639">
        <v>-283.45479999999998</v>
      </c>
      <c r="K6639">
        <v>1.1187990000000001</v>
      </c>
      <c r="L6639">
        <v>-61.187840000000001</v>
      </c>
      <c r="M6639">
        <v>0.93994619999999995</v>
      </c>
      <c r="N6639">
        <v>-1.2358040000000001E-2</v>
      </c>
      <c r="O6639">
        <v>-0.34109899999999999</v>
      </c>
      <c r="P6639">
        <v>0.90976579999999996</v>
      </c>
      <c r="Q6639">
        <v>0.41016979999999997</v>
      </c>
      <c r="R6639">
        <v>-6.3929849999999996E-2</v>
      </c>
      <c r="S6639">
        <v>3.4532470000000002</v>
      </c>
      <c r="T6639">
        <v>-0.40376719999999999</v>
      </c>
      <c r="U6639">
        <v>-0.36099239999999999</v>
      </c>
      <c r="V6639">
        <v>-0.25845050000000003</v>
      </c>
      <c r="W6639">
        <v>0.41599180000000002</v>
      </c>
      <c r="X6639">
        <v>0.87186830000000004</v>
      </c>
      <c r="Y6639">
        <v>-0.23803750000000001</v>
      </c>
      <c r="Z6639">
        <v>4.9888549999999997E-2</v>
      </c>
      <c r="AA6639">
        <v>0.96997390000000006</v>
      </c>
      <c r="AB6639">
        <v>31</v>
      </c>
      <c r="AC6639">
        <v>9.4151999999999703</v>
      </c>
      <c r="AD6639">
        <v>-1.1188002771000001</v>
      </c>
      <c r="AE6639">
        <v>-0.94909000000000499</v>
      </c>
      <c r="AF6639">
        <v>-2.28762164674098</v>
      </c>
      <c r="AG6639">
        <v>-1.1188002771000001</v>
      </c>
      <c r="AH6639">
        <v>9.0477428712245302</v>
      </c>
      <c r="AI6639">
        <v>96.8361444601356</v>
      </c>
      <c r="AJ6639">
        <v>104.18923157934</v>
      </c>
      <c r="AK6639">
        <v>9.3992860325915899</v>
      </c>
      <c r="AL6639">
        <v>65.418211850434901</v>
      </c>
      <c r="AM6639">
        <v>106.511559363053</v>
      </c>
      <c r="AN6639">
        <v>1.0000000855811799</v>
      </c>
    </row>
    <row r="6640" spans="1:40" x14ac:dyDescent="0.25">
      <c r="A6640" t="str">
        <f>"20190304165016836"</f>
        <v>20190304165016836</v>
      </c>
      <c r="B6640" t="str">
        <f>"1551689416832723"</f>
        <v>1551689416832723</v>
      </c>
      <c r="C6640" t="s">
        <v>40</v>
      </c>
      <c r="D6640">
        <v>4.5051290000000002</v>
      </c>
      <c r="E6640">
        <v>0.51454579999999905</v>
      </c>
      <c r="F6640" t="s">
        <v>42</v>
      </c>
      <c r="G6640">
        <v>-273.9332</v>
      </c>
      <c r="H6640" s="1">
        <v>-1.2333140000000001E-6</v>
      </c>
      <c r="I6640">
        <v>-62.14526</v>
      </c>
      <c r="J6640">
        <v>-283.30360000000002</v>
      </c>
      <c r="K6640">
        <v>1.1187990000000001</v>
      </c>
      <c r="L6640">
        <v>-61.2378199999999</v>
      </c>
      <c r="M6640">
        <v>0.94170589999999998</v>
      </c>
      <c r="N6640">
        <v>-1.235287E-2</v>
      </c>
      <c r="O6640">
        <v>-0.33621060000000003</v>
      </c>
      <c r="P6640">
        <v>0.91002320000000003</v>
      </c>
      <c r="Q6640">
        <v>0.4102382</v>
      </c>
      <c r="R6640">
        <v>-5.9688959999999999E-2</v>
      </c>
      <c r="S6640">
        <v>3.4562379999999999</v>
      </c>
      <c r="T6640">
        <v>-0.40611199999999997</v>
      </c>
      <c r="U6640">
        <v>-0.34753420000000002</v>
      </c>
      <c r="V6640">
        <v>-0.25797500000000001</v>
      </c>
      <c r="W6640">
        <v>0.41606460000000001</v>
      </c>
      <c r="X6640">
        <v>0.87197429999999998</v>
      </c>
      <c r="Y6640">
        <v>-0.236813</v>
      </c>
      <c r="Z6640">
        <v>4.9610300000000003E-2</v>
      </c>
      <c r="AA6640">
        <v>0.97028780000000003</v>
      </c>
      <c r="AB6640">
        <v>31</v>
      </c>
      <c r="AC6640">
        <v>9.3704000000000107</v>
      </c>
      <c r="AD6640">
        <v>-1.1188002333139999</v>
      </c>
      <c r="AE6640">
        <v>-0.90744000000000802</v>
      </c>
      <c r="AF6640">
        <v>-2.2640849482771901</v>
      </c>
      <c r="AG6640">
        <v>-1.1188002333139999</v>
      </c>
      <c r="AH6640">
        <v>9.0027989211264199</v>
      </c>
      <c r="AI6640">
        <v>96.872128009687898</v>
      </c>
      <c r="AJ6640">
        <v>104.11639086186899</v>
      </c>
      <c r="AK6640">
        <v>9.3503039003721096</v>
      </c>
      <c r="AL6640">
        <v>65.4136230948356</v>
      </c>
      <c r="AM6640">
        <v>106.480936149779</v>
      </c>
      <c r="AN6640">
        <v>1.0000000159293201</v>
      </c>
    </row>
    <row r="6641" spans="1:40" x14ac:dyDescent="0.25">
      <c r="A6641" t="str">
        <f>"20190304165016848"</f>
        <v>20190304165016848</v>
      </c>
      <c r="B6641" t="str">
        <f>"1551689416842483"</f>
        <v>1551689416842483</v>
      </c>
      <c r="C6641" t="s">
        <v>40</v>
      </c>
      <c r="D6641">
        <v>4.4850830000000004</v>
      </c>
      <c r="E6641">
        <v>0.51494259999999903</v>
      </c>
      <c r="F6641" t="s">
        <v>42</v>
      </c>
      <c r="G6641">
        <v>-273.88850000000002</v>
      </c>
      <c r="H6641" s="1">
        <v>-1.2183010000000001E-6</v>
      </c>
      <c r="I6641">
        <v>-62.163930000000001</v>
      </c>
      <c r="J6641">
        <v>-283.15440000000001</v>
      </c>
      <c r="K6641">
        <v>1.1187959999999999</v>
      </c>
      <c r="L6641">
        <v>-61.285890000000002</v>
      </c>
      <c r="M6641">
        <v>0.94341399999999997</v>
      </c>
      <c r="N6641">
        <v>-1.2347479999999999E-2</v>
      </c>
      <c r="O6641">
        <v>-0.3313874</v>
      </c>
      <c r="P6641">
        <v>0.91018650000000001</v>
      </c>
      <c r="Q6641">
        <v>0.41043590000000002</v>
      </c>
      <c r="R6641">
        <v>-5.5702139999999997E-2</v>
      </c>
      <c r="S6641">
        <v>3.459625</v>
      </c>
      <c r="T6641">
        <v>-0.41110619999999998</v>
      </c>
      <c r="U6641">
        <v>-0.34030149999999998</v>
      </c>
      <c r="V6641">
        <v>-0.25730550000000002</v>
      </c>
      <c r="W6641">
        <v>0.41627019999999998</v>
      </c>
      <c r="X6641">
        <v>0.87207400000000002</v>
      </c>
      <c r="Y6641">
        <v>-0.23390929999999999</v>
      </c>
      <c r="Z6641">
        <v>4.9542740000000002E-2</v>
      </c>
      <c r="AA6641">
        <v>0.97099539999999995</v>
      </c>
      <c r="AB6641">
        <v>31</v>
      </c>
      <c r="AC6641">
        <v>9.2658999999999807</v>
      </c>
      <c r="AD6641">
        <v>-1.118797218301</v>
      </c>
      <c r="AE6641">
        <v>-0.87804000000000504</v>
      </c>
      <c r="AF6641">
        <v>-2.21047843091598</v>
      </c>
      <c r="AG6641">
        <v>-1.118797218301</v>
      </c>
      <c r="AH6641">
        <v>8.9045752078431093</v>
      </c>
      <c r="AI6641">
        <v>96.952430664481099</v>
      </c>
      <c r="AJ6641">
        <v>103.941335956559</v>
      </c>
      <c r="AK6641">
        <v>9.2428016175484995</v>
      </c>
      <c r="AL6641">
        <v>65.400668275472697</v>
      </c>
      <c r="AM6641">
        <v>106.43869863581</v>
      </c>
      <c r="AN6641">
        <v>1.0000000306071399</v>
      </c>
    </row>
    <row r="6642" spans="1:40" x14ac:dyDescent="0.25">
      <c r="A6642" t="str">
        <f>"20190304165016859"</f>
        <v>20190304165016859</v>
      </c>
      <c r="B6642" t="str">
        <f>"1551689416852243"</f>
        <v>1551689416852243</v>
      </c>
      <c r="C6642" t="s">
        <v>40</v>
      </c>
      <c r="D6642">
        <v>4.4906430000000004</v>
      </c>
      <c r="E6642">
        <v>0.51539230000000003</v>
      </c>
      <c r="F6642" t="s">
        <v>42</v>
      </c>
      <c r="G6642">
        <v>-273.75400000000002</v>
      </c>
      <c r="H6642" s="1">
        <v>-1.163331E-6</v>
      </c>
      <c r="I6642">
        <v>-62.176160000000003</v>
      </c>
      <c r="J6642">
        <v>-283.01319999999998</v>
      </c>
      <c r="K6642">
        <v>1.1187959999999999</v>
      </c>
      <c r="L6642">
        <v>-61.330840000000002</v>
      </c>
      <c r="M6642">
        <v>0.94500399999999996</v>
      </c>
      <c r="N6642">
        <v>-1.234243E-2</v>
      </c>
      <c r="O6642">
        <v>-0.32682610000000001</v>
      </c>
      <c r="P6642">
        <v>0.91029320000000002</v>
      </c>
      <c r="Q6642">
        <v>0.41068559999999998</v>
      </c>
      <c r="R6642">
        <v>-5.199699E-2</v>
      </c>
      <c r="S6642">
        <v>3.4617610000000001</v>
      </c>
      <c r="T6642">
        <v>-0.41200700000000001</v>
      </c>
      <c r="U6642">
        <v>-0.32785029999999998</v>
      </c>
      <c r="V6642">
        <v>-0.25660870000000002</v>
      </c>
      <c r="W6642">
        <v>0.41652889999999998</v>
      </c>
      <c r="X6642">
        <v>0.87215569999999898</v>
      </c>
      <c r="Y6642">
        <v>-0.23275209999999999</v>
      </c>
      <c r="Z6642">
        <v>4.9111830000000002E-2</v>
      </c>
      <c r="AA6642">
        <v>0.97129520000000003</v>
      </c>
      <c r="AB6642">
        <v>31</v>
      </c>
      <c r="AC6642">
        <v>9.2591999999999608</v>
      </c>
      <c r="AD6642">
        <v>-1.1187971633310001</v>
      </c>
      <c r="AE6642">
        <v>-0.84531999999999297</v>
      </c>
      <c r="AF6642">
        <v>-2.1956945226639202</v>
      </c>
      <c r="AG6642">
        <v>-1.1187971633310001</v>
      </c>
      <c r="AH6642">
        <v>8.8981010814675194</v>
      </c>
      <c r="AI6642">
        <v>96.959818890102</v>
      </c>
      <c r="AJ6642">
        <v>103.86138682410601</v>
      </c>
      <c r="AK6642">
        <v>9.2330376575397501</v>
      </c>
      <c r="AL6642">
        <v>65.384363318915803</v>
      </c>
      <c r="AM6642">
        <v>106.39512206737901</v>
      </c>
      <c r="AN6642">
        <v>0.99999995724669399</v>
      </c>
    </row>
    <row r="6643" spans="1:40" x14ac:dyDescent="0.25">
      <c r="A6643" t="str">
        <f>"20190304165016870"</f>
        <v>20190304165016870</v>
      </c>
      <c r="B6643" t="str">
        <f>"1551689416862511"</f>
        <v>1551689416862511</v>
      </c>
      <c r="C6643" t="s">
        <v>40</v>
      </c>
      <c r="D6643">
        <v>4.6547140000000002</v>
      </c>
      <c r="E6643">
        <v>0.51561859999999904</v>
      </c>
      <c r="F6643" t="s">
        <v>42</v>
      </c>
      <c r="G6643">
        <v>-273.64589999999998</v>
      </c>
      <c r="H6643" s="1">
        <v>-1.1194029999999999E-6</v>
      </c>
      <c r="I6643">
        <v>-62.187159999999999</v>
      </c>
      <c r="J6643">
        <v>-282.86</v>
      </c>
      <c r="K6643">
        <v>1.118798</v>
      </c>
      <c r="L6643">
        <v>-61.378720000000001</v>
      </c>
      <c r="M6643">
        <v>0.94670240000000005</v>
      </c>
      <c r="N6643">
        <v>-1.2337030000000001E-2</v>
      </c>
      <c r="O6643">
        <v>-0.32187300000000002</v>
      </c>
      <c r="P6643">
        <v>0.91049159999999996</v>
      </c>
      <c r="Q6643">
        <v>0.4107497</v>
      </c>
      <c r="R6643">
        <v>-4.7849599999999999E-2</v>
      </c>
      <c r="S6643">
        <v>3.464172</v>
      </c>
      <c r="T6643">
        <v>-0.41374729999999998</v>
      </c>
      <c r="U6643">
        <v>-0.31668089999999999</v>
      </c>
      <c r="V6643">
        <v>-0.25600509999999999</v>
      </c>
      <c r="W6643">
        <v>0.41660049999999998</v>
      </c>
      <c r="X6643">
        <v>0.87229899999999905</v>
      </c>
      <c r="Y6643">
        <v>-0.23084279999999999</v>
      </c>
      <c r="Z6643">
        <v>4.8687080000000001E-2</v>
      </c>
      <c r="AA6643">
        <v>0.97177219999999997</v>
      </c>
      <c r="AB6643">
        <v>31</v>
      </c>
      <c r="AC6643">
        <v>9.2141000000000304</v>
      </c>
      <c r="AD6643">
        <v>-1.118799119403</v>
      </c>
      <c r="AE6643">
        <v>-0.80844000000000404</v>
      </c>
      <c r="AF6643">
        <v>-2.1688534943339102</v>
      </c>
      <c r="AG6643">
        <v>-1.118799119403</v>
      </c>
      <c r="AH6643">
        <v>8.8543635412078299</v>
      </c>
      <c r="AI6643">
        <v>96.996780821447402</v>
      </c>
      <c r="AJ6643">
        <v>103.76345856498899</v>
      </c>
      <c r="AK6643">
        <v>9.1845190766491296</v>
      </c>
      <c r="AL6643">
        <v>65.379853649938397</v>
      </c>
      <c r="AM6643">
        <v>106.356077537437</v>
      </c>
      <c r="AN6643">
        <v>1.00000006661362</v>
      </c>
    </row>
    <row r="6644" spans="1:40" x14ac:dyDescent="0.25">
      <c r="A6644" t="str">
        <f>"20190304165016882"</f>
        <v>20190304165016882</v>
      </c>
      <c r="B6644" t="str">
        <f>"1551689416872270"</f>
        <v>1551689416872270</v>
      </c>
      <c r="C6644" t="s">
        <v>40</v>
      </c>
      <c r="D6644">
        <v>4.4782169999999999</v>
      </c>
      <c r="E6644">
        <v>0.51605570000000001</v>
      </c>
      <c r="F6644" t="s">
        <v>42</v>
      </c>
      <c r="G6644">
        <v>-273.52019999999999</v>
      </c>
      <c r="H6644" s="1">
        <v>-1.0666859999999999E-6</v>
      </c>
      <c r="I6644">
        <v>-62.192590000000003</v>
      </c>
      <c r="J6644">
        <v>-282.72340000000003</v>
      </c>
      <c r="K6644">
        <v>1.1188</v>
      </c>
      <c r="L6644">
        <v>-61.420560000000002</v>
      </c>
      <c r="M6644">
        <v>0.94819249999999999</v>
      </c>
      <c r="N6644">
        <v>-1.2331079999999999E-2</v>
      </c>
      <c r="O6644">
        <v>-0.3174575</v>
      </c>
      <c r="P6644">
        <v>0.91066800000000003</v>
      </c>
      <c r="Q6644">
        <v>0.41071940000000001</v>
      </c>
      <c r="R6644">
        <v>-4.4650099999999998E-2</v>
      </c>
      <c r="S6644">
        <v>3.4664000000000001</v>
      </c>
      <c r="T6644">
        <v>-0.41523579999999999</v>
      </c>
      <c r="U6644">
        <v>-0.30206300000000003</v>
      </c>
      <c r="V6644">
        <v>-0.25500499999999998</v>
      </c>
      <c r="W6644">
        <v>0.4165875</v>
      </c>
      <c r="X6644">
        <v>0.87259809999999904</v>
      </c>
      <c r="Y6644">
        <v>-0.23043540000000001</v>
      </c>
      <c r="Z6644">
        <v>4.8384179999999999E-2</v>
      </c>
      <c r="AA6644">
        <v>0.97188399999999997</v>
      </c>
      <c r="AB6644">
        <v>31</v>
      </c>
      <c r="AC6644">
        <v>9.2032000000000291</v>
      </c>
      <c r="AD6644">
        <v>-1.118801066686</v>
      </c>
      <c r="AE6644">
        <v>-0.77203000000000699</v>
      </c>
      <c r="AF6644">
        <v>-2.15808766600319</v>
      </c>
      <c r="AG6644">
        <v>-1.118801066686</v>
      </c>
      <c r="AH6644">
        <v>8.84240889395819</v>
      </c>
      <c r="AI6644">
        <v>97.007576980942005</v>
      </c>
      <c r="AJ6644">
        <v>103.715538578417</v>
      </c>
      <c r="AK6644">
        <v>9.1704554548246797</v>
      </c>
      <c r="AL6644">
        <v>65.380673057738903</v>
      </c>
      <c r="AM6644">
        <v>106.290288571038</v>
      </c>
      <c r="AN6644">
        <v>1.0000000696524201</v>
      </c>
    </row>
    <row r="6645" spans="1:40" x14ac:dyDescent="0.25">
      <c r="A6645" t="str">
        <f>"20190304165016892"</f>
        <v>20190304165016892</v>
      </c>
      <c r="B6645" t="str">
        <f>"1551689416882031"</f>
        <v>1551689416882031</v>
      </c>
      <c r="C6645" t="s">
        <v>40</v>
      </c>
      <c r="D6645">
        <v>4.4602789999999999</v>
      </c>
      <c r="E6645">
        <v>0.51647259999999995</v>
      </c>
      <c r="F6645" t="s">
        <v>42</v>
      </c>
      <c r="G6645">
        <v>-273.4178</v>
      </c>
      <c r="H6645" s="1">
        <v>-1.0253350000000001E-6</v>
      </c>
      <c r="I6645">
        <v>-62.204300000000003</v>
      </c>
      <c r="J6645">
        <v>-282.57310000000001</v>
      </c>
      <c r="K6645">
        <v>1.1187990000000001</v>
      </c>
      <c r="L6645">
        <v>-61.466059999999999</v>
      </c>
      <c r="M6645">
        <v>0.94980710000000002</v>
      </c>
      <c r="N6645">
        <v>-1.232368E-2</v>
      </c>
      <c r="O6645">
        <v>-0.31259419999999999</v>
      </c>
      <c r="P6645">
        <v>0.91088860000000005</v>
      </c>
      <c r="Q6645">
        <v>0.4106339</v>
      </c>
      <c r="R6645">
        <v>-4.0765620000000002E-2</v>
      </c>
      <c r="S6645">
        <v>3.4680179999999998</v>
      </c>
      <c r="T6645">
        <v>-0.4169543</v>
      </c>
      <c r="U6645">
        <v>-0.2920837</v>
      </c>
      <c r="V6645">
        <v>-0.2542623</v>
      </c>
      <c r="W6645">
        <v>0.41651199999999999</v>
      </c>
      <c r="X6645">
        <v>0.87285069999999998</v>
      </c>
      <c r="Y6645">
        <v>-0.2282806</v>
      </c>
      <c r="Z6645">
        <v>4.7947910000000003E-2</v>
      </c>
      <c r="AA6645">
        <v>0.972414</v>
      </c>
      <c r="AB6645">
        <v>31</v>
      </c>
      <c r="AC6645">
        <v>9.1553000000000093</v>
      </c>
      <c r="AD6645">
        <v>-1.1188000253349999</v>
      </c>
      <c r="AE6645">
        <v>-0.738240000000004</v>
      </c>
      <c r="AF6645">
        <v>-2.1292795546742398</v>
      </c>
      <c r="AG6645">
        <v>-1.1188000253349999</v>
      </c>
      <c r="AH6645">
        <v>8.7966977191775904</v>
      </c>
      <c r="AI6645">
        <v>97.046831709554795</v>
      </c>
      <c r="AJ6645">
        <v>103.60698000277399</v>
      </c>
      <c r="AK6645">
        <v>9.1196181762849893</v>
      </c>
      <c r="AL6645">
        <v>65.385428318613094</v>
      </c>
      <c r="AM6645">
        <v>106.240895328587</v>
      </c>
      <c r="AN6645">
        <v>0.99999995391788798</v>
      </c>
    </row>
    <row r="6646" spans="1:40" x14ac:dyDescent="0.25">
      <c r="A6646" t="str">
        <f>"20190304165016904"</f>
        <v>20190304165016904</v>
      </c>
      <c r="B6646" t="str">
        <f>"1551689416891790"</f>
        <v>1551689416891790</v>
      </c>
      <c r="C6646" t="s">
        <v>40</v>
      </c>
      <c r="D6646">
        <v>4.4727959999999998</v>
      </c>
      <c r="E6646">
        <v>0.51686019999999999</v>
      </c>
      <c r="F6646" t="s">
        <v>42</v>
      </c>
      <c r="G6646">
        <v>-273.30720000000002</v>
      </c>
      <c r="H6646" s="1">
        <v>-9.7978860000000007E-7</v>
      </c>
      <c r="I6646">
        <v>-62.212800000000001</v>
      </c>
      <c r="J6646">
        <v>-282.43</v>
      </c>
      <c r="K6646">
        <v>1.118795</v>
      </c>
      <c r="L6646">
        <v>-61.508240000000001</v>
      </c>
      <c r="M6646">
        <v>0.95131730000000003</v>
      </c>
      <c r="N6646">
        <v>-1.2315329999999999E-2</v>
      </c>
      <c r="O6646">
        <v>-0.3079673</v>
      </c>
      <c r="P6646">
        <v>0.91100939999999997</v>
      </c>
      <c r="Q6646">
        <v>0.41071639999999998</v>
      </c>
      <c r="R6646">
        <v>-3.7067589999999997E-2</v>
      </c>
      <c r="S6646">
        <v>3.469849</v>
      </c>
      <c r="T6646">
        <v>-0.41896270000000002</v>
      </c>
      <c r="U6646">
        <v>-0.27963259999999901</v>
      </c>
      <c r="V6646">
        <v>-0.25354579999999999</v>
      </c>
      <c r="W6646">
        <v>0.41660130000000001</v>
      </c>
      <c r="X6646">
        <v>0.87301649999999997</v>
      </c>
      <c r="Y6646">
        <v>-0.22705449999999999</v>
      </c>
      <c r="Z6646">
        <v>4.7624439999999997E-2</v>
      </c>
      <c r="AA6646">
        <v>0.9727169</v>
      </c>
      <c r="AB6646">
        <v>31</v>
      </c>
      <c r="AC6646">
        <v>9.1227999999999803</v>
      </c>
      <c r="AD6646">
        <v>-1.1187959797886</v>
      </c>
      <c r="AE6646">
        <v>-0.70455999999999996</v>
      </c>
      <c r="AF6646">
        <v>-2.1079112339088502</v>
      </c>
      <c r="AG6646">
        <v>-1.1187959797886</v>
      </c>
      <c r="AH6646">
        <v>8.7652854551744195</v>
      </c>
      <c r="AI6646">
        <v>97.074311771382796</v>
      </c>
      <c r="AJ6646">
        <v>103.521953254007</v>
      </c>
      <c r="AK6646">
        <v>9.0843394545295695</v>
      </c>
      <c r="AL6646">
        <v>65.379800497646301</v>
      </c>
      <c r="AM6646">
        <v>106.19461711068899</v>
      </c>
      <c r="AN6646">
        <v>0.99999996256578905</v>
      </c>
    </row>
    <row r="6647" spans="1:40" x14ac:dyDescent="0.25">
      <c r="A6647" t="str">
        <f>"20190304165016916"</f>
        <v>20190304165016916</v>
      </c>
      <c r="B6647" t="str">
        <f>"1551689416912287"</f>
        <v>1551689416912287</v>
      </c>
      <c r="C6647" t="s">
        <v>40</v>
      </c>
      <c r="D6647">
        <v>4.4425679999999996</v>
      </c>
      <c r="E6647">
        <v>0.51754480000000003</v>
      </c>
      <c r="F6647" t="s">
        <v>42</v>
      </c>
      <c r="G6647">
        <v>-273.19369999999998</v>
      </c>
      <c r="H6647" s="1">
        <v>-9.3323340000000005E-7</v>
      </c>
      <c r="I6647">
        <v>-62.22231</v>
      </c>
      <c r="J6647">
        <v>-282.2801</v>
      </c>
      <c r="K6647">
        <v>1.1187929999999999</v>
      </c>
      <c r="L6647">
        <v>-61.552120000000002</v>
      </c>
      <c r="M6647">
        <v>0.95287469999999996</v>
      </c>
      <c r="N6647">
        <v>-1.2306249999999999E-2</v>
      </c>
      <c r="O6647">
        <v>-0.30311450000000001</v>
      </c>
      <c r="P6647">
        <v>0.91126879999999999</v>
      </c>
      <c r="Q6647">
        <v>0.4104524</v>
      </c>
      <c r="R6647">
        <v>-3.3437080000000001E-2</v>
      </c>
      <c r="S6647">
        <v>3.4717099999999999</v>
      </c>
      <c r="T6647">
        <v>-0.42052980000000001</v>
      </c>
      <c r="U6647">
        <v>-0.26840209999999998</v>
      </c>
      <c r="V6647">
        <v>-0.2526024</v>
      </c>
      <c r="W6647">
        <v>0.41635159999999999</v>
      </c>
      <c r="X6647">
        <v>0.87340899999999999</v>
      </c>
      <c r="Y6647">
        <v>-0.22527749999999999</v>
      </c>
      <c r="Z6647">
        <v>4.7181109999999998E-2</v>
      </c>
      <c r="AA6647">
        <v>0.97315160000000001</v>
      </c>
      <c r="AB6647">
        <v>31</v>
      </c>
      <c r="AC6647">
        <v>9.0864000000000207</v>
      </c>
      <c r="AD6647">
        <v>-1.11879393323339</v>
      </c>
      <c r="AE6647">
        <v>-0.67019000000000495</v>
      </c>
      <c r="AF6647">
        <v>-2.0843437426236799</v>
      </c>
      <c r="AG6647">
        <v>-1.11879393323339</v>
      </c>
      <c r="AH6647">
        <v>8.7303742925157692</v>
      </c>
      <c r="AI6647">
        <v>97.105068305282401</v>
      </c>
      <c r="AJ6647">
        <v>103.42778935670501</v>
      </c>
      <c r="AK6647">
        <v>9.0451989469483003</v>
      </c>
      <c r="AL6647">
        <v>65.395536750822501</v>
      </c>
      <c r="AM6647">
        <v>106.130626917171</v>
      </c>
      <c r="AN6647">
        <v>0.99999995429465804</v>
      </c>
    </row>
    <row r="6648" spans="1:40" x14ac:dyDescent="0.25">
      <c r="A6648" t="str">
        <f>"20190304165016925"</f>
        <v>20190304165016925</v>
      </c>
      <c r="B6648" t="str">
        <f>"1551689416922046"</f>
        <v>1551689416922046</v>
      </c>
      <c r="C6648" t="s">
        <v>40</v>
      </c>
      <c r="D6648">
        <v>4.4775010000000002</v>
      </c>
      <c r="E6648">
        <v>0.51786399999999999</v>
      </c>
      <c r="F6648" t="s">
        <v>42</v>
      </c>
      <c r="G6648">
        <v>-273.07139999999998</v>
      </c>
      <c r="H6648" s="1">
        <v>-8.8482240000000003E-7</v>
      </c>
      <c r="I6648">
        <v>-62.240560000000002</v>
      </c>
      <c r="J6648">
        <v>-282.14210000000003</v>
      </c>
      <c r="K6648">
        <v>1.118795</v>
      </c>
      <c r="L6648">
        <v>-61.591250000000002</v>
      </c>
      <c r="M6648">
        <v>0.95428279999999999</v>
      </c>
      <c r="N6648">
        <v>-1.229796E-2</v>
      </c>
      <c r="O6648">
        <v>-0.29865209999999998</v>
      </c>
      <c r="P6648">
        <v>0.9116784</v>
      </c>
      <c r="Q6648">
        <v>0.40982249999999998</v>
      </c>
      <c r="R6648">
        <v>-2.9798249999999998E-2</v>
      </c>
      <c r="S6648">
        <v>3.472626</v>
      </c>
      <c r="T6648">
        <v>-0.42190179999999999</v>
      </c>
      <c r="U6648">
        <v>-0.25961299999999998</v>
      </c>
      <c r="V6648">
        <v>-0.25207380000000001</v>
      </c>
      <c r="W6648">
        <v>0.41572900000000002</v>
      </c>
      <c r="X6648">
        <v>0.87385829999999998</v>
      </c>
      <c r="Y6648">
        <v>-0.22320699999999999</v>
      </c>
      <c r="Z6648">
        <v>4.674085E-2</v>
      </c>
      <c r="AA6648">
        <v>0.97364980000000001</v>
      </c>
      <c r="AB6648">
        <v>31</v>
      </c>
      <c r="AC6648">
        <v>9.0707000000000395</v>
      </c>
      <c r="AD6648">
        <v>-1.1187958848224</v>
      </c>
      <c r="AE6648">
        <v>-0.64930999999999195</v>
      </c>
      <c r="AF6648">
        <v>-2.05836168192265</v>
      </c>
      <c r="AG6648">
        <v>-1.1187958848224</v>
      </c>
      <c r="AH6648">
        <v>8.7186381383578802</v>
      </c>
      <c r="AI6648">
        <v>97.118755613552196</v>
      </c>
      <c r="AJ6648">
        <v>103.28358634382001</v>
      </c>
      <c r="AK6648">
        <v>9.0279127174076894</v>
      </c>
      <c r="AL6648">
        <v>65.434768233430702</v>
      </c>
      <c r="AM6648">
        <v>106.090773395995</v>
      </c>
      <c r="AN6648">
        <v>1.00000006528316</v>
      </c>
    </row>
    <row r="6649" spans="1:40" x14ac:dyDescent="0.25">
      <c r="A6649" t="str">
        <f>"20190304165016936"</f>
        <v>20190304165016936</v>
      </c>
      <c r="B6649" t="str">
        <f>"1551689416931806"</f>
        <v>1551689416931806</v>
      </c>
      <c r="C6649" t="s">
        <v>40</v>
      </c>
      <c r="D6649">
        <v>4.6226219999999998</v>
      </c>
      <c r="E6649">
        <v>0.51815789999999995</v>
      </c>
      <c r="F6649" t="s">
        <v>42</v>
      </c>
      <c r="G6649">
        <v>-272.95049999999998</v>
      </c>
      <c r="H6649" s="1">
        <v>-8.3461019999999901E-7</v>
      </c>
      <c r="I6649">
        <v>-62.247970000000002</v>
      </c>
      <c r="J6649">
        <v>-282.01819999999998</v>
      </c>
      <c r="K6649">
        <v>1.1187940000000001</v>
      </c>
      <c r="L6649">
        <v>-61.626249999999999</v>
      </c>
      <c r="M6649">
        <v>0.95552820000000005</v>
      </c>
      <c r="N6649">
        <v>-1.2290540000000001E-2</v>
      </c>
      <c r="O6649">
        <v>-0.29464410000000002</v>
      </c>
      <c r="P6649">
        <v>0.91206509999999996</v>
      </c>
      <c r="Q6649">
        <v>0.40918149999999998</v>
      </c>
      <c r="R6649">
        <v>-2.6606100000000001E-2</v>
      </c>
      <c r="S6649">
        <v>3.472534</v>
      </c>
      <c r="T6649">
        <v>-0.42267850000000001</v>
      </c>
      <c r="U6649">
        <v>-0.24810789999999999</v>
      </c>
      <c r="V6649">
        <v>-0.25153560000000003</v>
      </c>
      <c r="W6649">
        <v>0.41509620000000003</v>
      </c>
      <c r="X6649">
        <v>0.87431409999999998</v>
      </c>
      <c r="Y6649">
        <v>-0.2223387</v>
      </c>
      <c r="Z6649">
        <v>4.6370920000000003E-2</v>
      </c>
      <c r="AA6649">
        <v>0.97386609999999996</v>
      </c>
      <c r="AB6649">
        <v>31</v>
      </c>
      <c r="AC6649">
        <v>9.0677000000000003</v>
      </c>
      <c r="AD6649">
        <v>-1.1187948346101999</v>
      </c>
      <c r="AE6649">
        <v>-0.62171999999999605</v>
      </c>
      <c r="AF6649">
        <v>-2.04681654737916</v>
      </c>
      <c r="AG6649">
        <v>-1.1187948346101999</v>
      </c>
      <c r="AH6649">
        <v>8.7162277703705797</v>
      </c>
      <c r="AI6649">
        <v>97.122677550446099</v>
      </c>
      <c r="AJ6649">
        <v>103.21522549724401</v>
      </c>
      <c r="AK6649">
        <v>9.0229588498205509</v>
      </c>
      <c r="AL6649">
        <v>65.474627274587604</v>
      </c>
      <c r="AM6649">
        <v>106.05025065977399</v>
      </c>
      <c r="AN6649">
        <v>1.0000000793902999</v>
      </c>
    </row>
    <row r="6650" spans="1:40" x14ac:dyDescent="0.25">
      <c r="A6650" t="str">
        <f>"20190304165016947"</f>
        <v>20190304165016947</v>
      </c>
      <c r="B6650" t="str">
        <f>"1551689416942542"</f>
        <v>1551689416942542</v>
      </c>
      <c r="C6650" t="s">
        <v>40</v>
      </c>
      <c r="D6650">
        <v>4.4655579999999997</v>
      </c>
      <c r="E6650">
        <v>0.51848450000000001</v>
      </c>
      <c r="F6650" t="s">
        <v>42</v>
      </c>
      <c r="G6650">
        <v>-272.858</v>
      </c>
      <c r="H6650" s="1">
        <v>-7.9661240000000001E-7</v>
      </c>
      <c r="I6650">
        <v>-62.255619999999901</v>
      </c>
      <c r="J6650">
        <v>-281.87299999999999</v>
      </c>
      <c r="K6650">
        <v>1.1187860000000001</v>
      </c>
      <c r="L6650">
        <v>-61.666080000000001</v>
      </c>
      <c r="M6650">
        <v>0.95696380000000003</v>
      </c>
      <c r="N6650">
        <v>-1.2282319999999999E-2</v>
      </c>
      <c r="O6650">
        <v>-0.28994720000000002</v>
      </c>
      <c r="P6650">
        <v>0.9123481</v>
      </c>
      <c r="Q6650">
        <v>0.40877340000000001</v>
      </c>
      <c r="R6650">
        <v>-2.292895E-2</v>
      </c>
      <c r="S6650">
        <v>3.4725649999999999</v>
      </c>
      <c r="T6650">
        <v>-0.42412470000000002</v>
      </c>
      <c r="U6650">
        <v>-0.2385864</v>
      </c>
      <c r="V6650">
        <v>-0.25080920000000001</v>
      </c>
      <c r="W6650">
        <v>0.41469869999999998</v>
      </c>
      <c r="X6650">
        <v>0.87471119999999902</v>
      </c>
      <c r="Y6650">
        <v>-0.22022739999999999</v>
      </c>
      <c r="Z6650">
        <v>4.5915539999999998E-2</v>
      </c>
      <c r="AA6650">
        <v>0.97436730000000005</v>
      </c>
      <c r="AB6650">
        <v>31</v>
      </c>
      <c r="AC6650">
        <v>9.0149999999999793</v>
      </c>
      <c r="AD6650">
        <v>-1.1187867966123901</v>
      </c>
      <c r="AE6650">
        <v>-0.58953999999998496</v>
      </c>
      <c r="AF6650">
        <v>-2.01889857415095</v>
      </c>
      <c r="AG6650">
        <v>-1.1187867966123901</v>
      </c>
      <c r="AH6650">
        <v>8.6657310697070908</v>
      </c>
      <c r="AI6650">
        <v>97.166615947561596</v>
      </c>
      <c r="AJ6650">
        <v>103.114549094105</v>
      </c>
      <c r="AK6650">
        <v>8.9678609668900293</v>
      </c>
      <c r="AL6650">
        <v>65.499655724574495</v>
      </c>
      <c r="AM6650">
        <v>105.99938260542299</v>
      </c>
      <c r="AN6650">
        <v>0.999999974995884</v>
      </c>
    </row>
    <row r="6651" spans="1:40" x14ac:dyDescent="0.25">
      <c r="A6651" t="str">
        <f>"20190304165016959"</f>
        <v>20190304165016959</v>
      </c>
      <c r="B6651" t="str">
        <f>"1551689416952302"</f>
        <v>1551689416952302</v>
      </c>
      <c r="C6651" t="s">
        <v>40</v>
      </c>
      <c r="D6651">
        <v>4.4375470000000004</v>
      </c>
      <c r="E6651">
        <v>0.51875369999999998</v>
      </c>
      <c r="F6651" t="s">
        <v>42</v>
      </c>
      <c r="G6651">
        <v>-272.72250000000003</v>
      </c>
      <c r="H6651" s="1">
        <v>-7.4030940000000004E-7</v>
      </c>
      <c r="I6651">
        <v>-62.263869999999997</v>
      </c>
      <c r="J6651">
        <v>-281.72199999999998</v>
      </c>
      <c r="K6651">
        <v>1.118787</v>
      </c>
      <c r="L6651">
        <v>-61.707000000000001</v>
      </c>
      <c r="M6651">
        <v>0.95843080000000003</v>
      </c>
      <c r="N6651">
        <v>-1.2273920000000001E-2</v>
      </c>
      <c r="O6651">
        <v>-0.28506150000000002</v>
      </c>
      <c r="P6651">
        <v>0.91245500000000002</v>
      </c>
      <c r="Q6651">
        <v>0.40872940000000002</v>
      </c>
      <c r="R6651">
        <v>-1.9142909999999999E-2</v>
      </c>
      <c r="S6651">
        <v>3.4727169999999998</v>
      </c>
      <c r="T6651">
        <v>-0.42459209999999897</v>
      </c>
      <c r="U6651">
        <v>-0.22686770000000001</v>
      </c>
      <c r="V6651">
        <v>-0.2499787</v>
      </c>
      <c r="W6651">
        <v>0.41466530000000001</v>
      </c>
      <c r="X6651">
        <v>0.87496479999999999</v>
      </c>
      <c r="Y6651">
        <v>-0.2185617</v>
      </c>
      <c r="Z6651">
        <v>4.5355659999999999E-2</v>
      </c>
      <c r="AA6651">
        <v>0.97476850000000004</v>
      </c>
      <c r="AB6651">
        <v>31</v>
      </c>
      <c r="AC6651">
        <v>8.9994999999999497</v>
      </c>
      <c r="AD6651">
        <v>-1.1187877403094</v>
      </c>
      <c r="AE6651">
        <v>-0.55686999999999598</v>
      </c>
      <c r="AF6651">
        <v>-2.0010350511243602</v>
      </c>
      <c r="AG6651">
        <v>-1.1187877403094</v>
      </c>
      <c r="AH6651">
        <v>8.6516032344997402</v>
      </c>
      <c r="AI6651">
        <v>97.180838625947601</v>
      </c>
      <c r="AJ6651">
        <v>103.022978856846</v>
      </c>
      <c r="AK6651">
        <v>8.9501992050960197</v>
      </c>
      <c r="AL6651">
        <v>65.501760217869403</v>
      </c>
      <c r="AM6651">
        <v>105.944715240612</v>
      </c>
      <c r="AN6651">
        <v>1.0000000313584001</v>
      </c>
    </row>
    <row r="6652" spans="1:40" x14ac:dyDescent="0.25">
      <c r="A6652" t="str">
        <f>"20190304165016971"</f>
        <v>20190304165016971</v>
      </c>
      <c r="B6652" t="str">
        <f>"1551689416962568"</f>
        <v>1551689416962568</v>
      </c>
      <c r="C6652" t="s">
        <v>40</v>
      </c>
      <c r="D6652">
        <v>4.3978900000000003</v>
      </c>
      <c r="E6652">
        <v>0.51875369999999998</v>
      </c>
      <c r="F6652" t="s">
        <v>42</v>
      </c>
      <c r="G6652">
        <v>-272.55349999999999</v>
      </c>
      <c r="H6652" s="1">
        <v>-6.6972020000000003E-7</v>
      </c>
      <c r="I6652">
        <v>-62.272460000000002</v>
      </c>
      <c r="J6652">
        <v>-281.55189999999999</v>
      </c>
      <c r="K6652">
        <v>1.118789</v>
      </c>
      <c r="L6652">
        <v>-61.752040000000001</v>
      </c>
      <c r="M6652">
        <v>0.96005119999999999</v>
      </c>
      <c r="N6652">
        <v>-1.2264860000000001E-2</v>
      </c>
      <c r="O6652">
        <v>-0.27955570000000002</v>
      </c>
      <c r="P6652">
        <v>0.91247920000000005</v>
      </c>
      <c r="Q6652">
        <v>0.4088485</v>
      </c>
      <c r="R6652">
        <v>-1.499051E-2</v>
      </c>
      <c r="S6652">
        <v>3.4731749999999999</v>
      </c>
      <c r="T6652">
        <v>-0.42381180000000002</v>
      </c>
      <c r="U6652">
        <v>-0.2142029</v>
      </c>
      <c r="V6652">
        <v>-0.2489217</v>
      </c>
      <c r="W6652">
        <v>0.41479890000000003</v>
      </c>
      <c r="X6652">
        <v>0.87520279999999995</v>
      </c>
      <c r="Y6652">
        <v>-0.21657129999999999</v>
      </c>
      <c r="Z6652">
        <v>4.4566219999999997E-2</v>
      </c>
      <c r="AA6652">
        <v>0.97524909999999998</v>
      </c>
      <c r="AB6652">
        <v>31</v>
      </c>
      <c r="AC6652">
        <v>8.9984000000000002</v>
      </c>
      <c r="AD6652">
        <v>-1.1187896697202</v>
      </c>
      <c r="AE6652">
        <v>-0.520419999999994</v>
      </c>
      <c r="AF6652">
        <v>-1.98548545004731</v>
      </c>
      <c r="AG6652">
        <v>-1.1187896697202</v>
      </c>
      <c r="AH6652">
        <v>8.6517740681206092</v>
      </c>
      <c r="AI6652">
        <v>97.183512203215997</v>
      </c>
      <c r="AJ6652">
        <v>102.92494464633999</v>
      </c>
      <c r="AK6652">
        <v>8.9469009899085403</v>
      </c>
      <c r="AL6652">
        <v>65.493348163149903</v>
      </c>
      <c r="AM6652">
        <v>105.87660134634</v>
      </c>
      <c r="AN6652">
        <v>1.0000000406499601</v>
      </c>
    </row>
    <row r="6653" spans="1:40" x14ac:dyDescent="0.25">
      <c r="A6653" t="str">
        <f>"20190304165016984"</f>
        <v>20190304165016984</v>
      </c>
      <c r="B6653" t="str">
        <f>"1551689416972328"</f>
        <v>1551689416972328</v>
      </c>
      <c r="C6653" t="s">
        <v>40</v>
      </c>
      <c r="D6653">
        <v>4.430828</v>
      </c>
      <c r="E6653">
        <v>0.52916490000000005</v>
      </c>
      <c r="F6653" t="s">
        <v>42</v>
      </c>
      <c r="G6653">
        <v>-272.37270000000001</v>
      </c>
      <c r="H6653" s="1">
        <v>-5.9221159999999996E-7</v>
      </c>
      <c r="I6653">
        <v>-62.272590000000001</v>
      </c>
      <c r="J6653">
        <v>-281.40800000000002</v>
      </c>
      <c r="K6653">
        <v>1.1187940000000001</v>
      </c>
      <c r="L6653">
        <v>-61.789219999999901</v>
      </c>
      <c r="M6653">
        <v>0.96139529999999995</v>
      </c>
      <c r="N6653">
        <v>-1.2256049999999999E-2</v>
      </c>
      <c r="O6653">
        <v>-0.27489829999999998</v>
      </c>
      <c r="P6653">
        <v>0.91266060000000004</v>
      </c>
      <c r="Q6653">
        <v>0.40855370000000002</v>
      </c>
      <c r="R6653">
        <v>-1.16042E-2</v>
      </c>
      <c r="S6653">
        <v>3.474243</v>
      </c>
      <c r="T6653">
        <v>-0.42345460000000001</v>
      </c>
      <c r="U6653">
        <v>-0.19702149999999999</v>
      </c>
      <c r="V6653">
        <v>-0.24795349999999999</v>
      </c>
      <c r="W6653">
        <v>0.41451860000000001</v>
      </c>
      <c r="X6653">
        <v>0.87561029999999995</v>
      </c>
      <c r="Y6653">
        <v>-0.2166969</v>
      </c>
      <c r="Z6653">
        <v>4.404864E-2</v>
      </c>
      <c r="AA6653">
        <v>0.97524460000000002</v>
      </c>
      <c r="AB6653">
        <v>31</v>
      </c>
      <c r="AC6653">
        <v>9.0352999999999994</v>
      </c>
      <c r="AD6653">
        <v>-1.1187945922116</v>
      </c>
      <c r="AE6653">
        <v>-0.48337000000000702</v>
      </c>
      <c r="AF6653">
        <v>-1.9888236188130499</v>
      </c>
      <c r="AG6653">
        <v>-1.1187945922116</v>
      </c>
      <c r="AH6653">
        <v>8.6872166644052609</v>
      </c>
      <c r="AI6653">
        <v>97.155391186132704</v>
      </c>
      <c r="AJ6653">
        <v>102.894895034847</v>
      </c>
      <c r="AK6653">
        <v>8.9819181749017893</v>
      </c>
      <c r="AL6653">
        <v>65.510995977260706</v>
      </c>
      <c r="AM6653">
        <v>105.810950587124</v>
      </c>
      <c r="AN6653">
        <v>1.0000000026871501</v>
      </c>
    </row>
    <row r="6654" spans="1:40" x14ac:dyDescent="0.25">
      <c r="A6654" t="str">
        <f>"20190304165016993"</f>
        <v>20190304165016993</v>
      </c>
      <c r="B6654" t="str">
        <f>"1551689416982088"</f>
        <v>1551689416982088</v>
      </c>
      <c r="C6654" t="s">
        <v>40</v>
      </c>
      <c r="D6654">
        <v>4.464836</v>
      </c>
      <c r="E6654">
        <v>0.52981109999999998</v>
      </c>
      <c r="F6654" t="s">
        <v>42</v>
      </c>
      <c r="G6654">
        <v>-272.44549999999998</v>
      </c>
      <c r="H6654" s="1">
        <v>-6.6828190000000001E-7</v>
      </c>
      <c r="I6654">
        <v>-62.474240000000002</v>
      </c>
      <c r="J6654">
        <v>-281.26130000000001</v>
      </c>
      <c r="K6654">
        <v>1.118795</v>
      </c>
      <c r="L6654">
        <v>-61.826659999999997</v>
      </c>
      <c r="M6654">
        <v>0.96274099999999996</v>
      </c>
      <c r="N6654">
        <v>-1.224652E-2</v>
      </c>
      <c r="O6654">
        <v>-0.2701479</v>
      </c>
      <c r="P6654">
        <v>0.91275989999999996</v>
      </c>
      <c r="Q6654">
        <v>0.40840919999999997</v>
      </c>
      <c r="R6654">
        <v>-8.4378939999999996E-3</v>
      </c>
      <c r="S6654">
        <v>3.4780579999999999</v>
      </c>
      <c r="T6654">
        <v>-0.43417240000000001</v>
      </c>
      <c r="U6654">
        <v>-0.26583859999999998</v>
      </c>
      <c r="V6654">
        <v>-0.24667700000000001</v>
      </c>
      <c r="W6654">
        <v>0.41439540000000002</v>
      </c>
      <c r="X6654">
        <v>0.87602909999999901</v>
      </c>
      <c r="Y6654">
        <v>-0.19273560000000001</v>
      </c>
      <c r="Z6654">
        <v>4.2960699999999998E-2</v>
      </c>
      <c r="AA6654">
        <v>0.98030980000000001</v>
      </c>
      <c r="AB6654">
        <v>31</v>
      </c>
      <c r="AC6654">
        <v>8.8158000000000207</v>
      </c>
      <c r="AD6654">
        <v>-1.11879566828189</v>
      </c>
      <c r="AE6654">
        <v>-0.64758000000000404</v>
      </c>
      <c r="AF6654">
        <v>-1.7305281208557901</v>
      </c>
      <c r="AG6654">
        <v>-1.11879566828189</v>
      </c>
      <c r="AH6654">
        <v>8.5263385308980002</v>
      </c>
      <c r="AI6654">
        <v>97.327707340308393</v>
      </c>
      <c r="AJ6654">
        <v>101.47305677369199</v>
      </c>
      <c r="AK6654">
        <v>8.7718230755023203</v>
      </c>
      <c r="AL6654">
        <v>65.518753251173806</v>
      </c>
      <c r="AM6654">
        <v>105.726444334165</v>
      </c>
      <c r="AN6654">
        <v>1.0000000369584801</v>
      </c>
    </row>
    <row r="6655" spans="1:40" x14ac:dyDescent="0.25">
      <c r="A6655" t="str">
        <f>"20190304165017003"</f>
        <v>20190304165017003</v>
      </c>
      <c r="B6655" t="str">
        <f>"1551689416991848"</f>
        <v>1551689416991848</v>
      </c>
      <c r="C6655" t="s">
        <v>40</v>
      </c>
      <c r="D6655">
        <v>4.4436669999999996</v>
      </c>
      <c r="E6655">
        <v>0.53020019999999901</v>
      </c>
      <c r="F6655" t="s">
        <v>42</v>
      </c>
      <c r="G6655">
        <v>-272.62</v>
      </c>
      <c r="H6655" s="1">
        <v>-7.4090939999999998E-7</v>
      </c>
      <c r="I6655">
        <v>-62.464329999999997</v>
      </c>
      <c r="J6655">
        <v>-281.13330000000002</v>
      </c>
      <c r="K6655">
        <v>1.1187940000000001</v>
      </c>
      <c r="L6655">
        <v>-61.858310000000003</v>
      </c>
      <c r="M6655">
        <v>0.96389360000000002</v>
      </c>
      <c r="N6655">
        <v>-1.223724E-2</v>
      </c>
      <c r="O6655">
        <v>-0.26600639999999998</v>
      </c>
      <c r="P6655">
        <v>0.91291250000000002</v>
      </c>
      <c r="Q6655">
        <v>0.40811740000000002</v>
      </c>
      <c r="R6655">
        <v>-5.5822880000000004E-3</v>
      </c>
      <c r="S6655">
        <v>3.4862980000000001</v>
      </c>
      <c r="T6655">
        <v>-0.45137109999999903</v>
      </c>
      <c r="U6655">
        <v>-0.25726320000000003</v>
      </c>
      <c r="V6655">
        <v>-0.24567610000000001</v>
      </c>
      <c r="W6655">
        <v>0.4141185</v>
      </c>
      <c r="X6655">
        <v>0.87644120000000003</v>
      </c>
      <c r="Y6655">
        <v>-0.1908792</v>
      </c>
      <c r="Z6655">
        <v>4.4039219999999997E-2</v>
      </c>
      <c r="AA6655">
        <v>0.98062519999999997</v>
      </c>
      <c r="AB6655">
        <v>31</v>
      </c>
      <c r="AC6655">
        <v>8.5133000000000099</v>
      </c>
      <c r="AD6655">
        <v>-1.1187947409093999</v>
      </c>
      <c r="AE6655">
        <v>-0.606020000000007</v>
      </c>
      <c r="AF6655">
        <v>-1.6521890299129001</v>
      </c>
      <c r="AG6655">
        <v>-1.1187947409093999</v>
      </c>
      <c r="AH6655">
        <v>8.2263894585184101</v>
      </c>
      <c r="AI6655">
        <v>97.594910270328597</v>
      </c>
      <c r="AJ6655">
        <v>101.35620885107799</v>
      </c>
      <c r="AK6655">
        <v>8.46492255050652</v>
      </c>
      <c r="AL6655">
        <v>65.536184229545498</v>
      </c>
      <c r="AM6655">
        <v>105.65876810592999</v>
      </c>
      <c r="AN6655">
        <v>1.0000000276054399</v>
      </c>
    </row>
    <row r="6656" spans="1:40" x14ac:dyDescent="0.25">
      <c r="A6656" t="str">
        <f>"20190304165017013"</f>
        <v>20190304165017013</v>
      </c>
      <c r="B6656" t="str">
        <f>"1551689417002585"</f>
        <v>1551689417002585</v>
      </c>
      <c r="C6656" t="s">
        <v>40</v>
      </c>
      <c r="D6656">
        <v>4.425611</v>
      </c>
      <c r="E6656">
        <v>0.53042040000000001</v>
      </c>
      <c r="F6656" t="s">
        <v>42</v>
      </c>
      <c r="G6656">
        <v>-272.70940000000002</v>
      </c>
      <c r="H6656" s="1">
        <v>-7.7763779999999998E-7</v>
      </c>
      <c r="I6656">
        <v>-62.456969999999998</v>
      </c>
      <c r="J6656">
        <v>-281.00839999999999</v>
      </c>
      <c r="K6656">
        <v>1.1188</v>
      </c>
      <c r="L6656">
        <v>-61.889040000000001</v>
      </c>
      <c r="M6656">
        <v>0.96500109999999995</v>
      </c>
      <c r="N6656">
        <v>-1.2228019999999999E-2</v>
      </c>
      <c r="O6656">
        <v>-0.26196049999999999</v>
      </c>
      <c r="P6656">
        <v>0.91309359999999995</v>
      </c>
      <c r="Q6656">
        <v>0.4077404</v>
      </c>
      <c r="R6656">
        <v>-2.7720330000000001E-3</v>
      </c>
      <c r="S6656">
        <v>3.4920040000000001</v>
      </c>
      <c r="T6656">
        <v>-0.46377990000000002</v>
      </c>
      <c r="U6656">
        <v>-0.2481689</v>
      </c>
      <c r="V6656">
        <v>-0.24473020000000001</v>
      </c>
      <c r="W6656">
        <v>0.41375600000000001</v>
      </c>
      <c r="X6656">
        <v>0.87687689999999996</v>
      </c>
      <c r="Y6656">
        <v>-0.189275</v>
      </c>
      <c r="Z6656">
        <v>4.4648130000000001E-2</v>
      </c>
      <c r="AA6656">
        <v>0.98090849999999996</v>
      </c>
      <c r="AB6656">
        <v>31</v>
      </c>
      <c r="AC6656">
        <v>8.2989999999999693</v>
      </c>
      <c r="AD6656">
        <v>-1.1188007776377999</v>
      </c>
      <c r="AE6656">
        <v>-0.56792999999999605</v>
      </c>
      <c r="AF6656">
        <v>-1.59718653513452</v>
      </c>
      <c r="AG6656">
        <v>-1.1188007776377999</v>
      </c>
      <c r="AH6656">
        <v>8.0129792595712299</v>
      </c>
      <c r="AI6656">
        <v>97.797017117979905</v>
      </c>
      <c r="AJ6656">
        <v>101.272736664676</v>
      </c>
      <c r="AK6656">
        <v>8.2468513156462802</v>
      </c>
      <c r="AL6656">
        <v>65.558999669721999</v>
      </c>
      <c r="AM6656">
        <v>105.59404559958099</v>
      </c>
      <c r="AN6656">
        <v>0.99999999804082496</v>
      </c>
    </row>
    <row r="6657" spans="1:40" x14ac:dyDescent="0.25">
      <c r="A6657" t="str">
        <f>"20190304165017024"</f>
        <v>20190304165017024</v>
      </c>
      <c r="B6657" t="str">
        <f>"1551689417012344"</f>
        <v>1551689417012344</v>
      </c>
      <c r="C6657" t="s">
        <v>40</v>
      </c>
      <c r="D6657">
        <v>4.4495769999999997</v>
      </c>
      <c r="E6657">
        <v>0.53059820000000002</v>
      </c>
      <c r="F6657" t="s">
        <v>42</v>
      </c>
      <c r="G6657">
        <v>-272.68020000000001</v>
      </c>
      <c r="H6657" s="1">
        <v>-7.6490259999999903E-7</v>
      </c>
      <c r="I6657">
        <v>-62.455979999999997</v>
      </c>
      <c r="J6657">
        <v>-280.8759</v>
      </c>
      <c r="K6657">
        <v>1.1187959999999999</v>
      </c>
      <c r="L6657">
        <v>-61.9206199999999</v>
      </c>
      <c r="M6657">
        <v>0.96615490000000004</v>
      </c>
      <c r="N6657">
        <v>-1.2216589999999999E-2</v>
      </c>
      <c r="O6657">
        <v>-0.2576735</v>
      </c>
      <c r="P6657">
        <v>0.91323540000000003</v>
      </c>
      <c r="Q6657">
        <v>0.40743230000000002</v>
      </c>
      <c r="R6657">
        <v>2.8090549999999998E-4</v>
      </c>
      <c r="S6657">
        <v>3.4944459999999999</v>
      </c>
      <c r="T6657">
        <v>-0.46944200000000003</v>
      </c>
      <c r="U6657">
        <v>-0.2378845</v>
      </c>
      <c r="V6657">
        <v>-0.24379429999999999</v>
      </c>
      <c r="W6657">
        <v>0.41346090000000002</v>
      </c>
      <c r="X6657">
        <v>0.87727670000000002</v>
      </c>
      <c r="Y6657">
        <v>-0.1877952</v>
      </c>
      <c r="Z6657">
        <v>4.4582040000000003E-2</v>
      </c>
      <c r="AA6657">
        <v>0.98119590000000001</v>
      </c>
      <c r="AB6657">
        <v>31</v>
      </c>
      <c r="AC6657">
        <v>8.1956999999999791</v>
      </c>
      <c r="AD6657">
        <v>-1.1187967649025901</v>
      </c>
      <c r="AE6657">
        <v>-0.53536000000001105</v>
      </c>
      <c r="AF6657">
        <v>-1.5656410682600399</v>
      </c>
      <c r="AG6657">
        <v>-1.1187967649025901</v>
      </c>
      <c r="AH6657">
        <v>7.9100859090210003</v>
      </c>
      <c r="AI6657">
        <v>97.899219272367304</v>
      </c>
      <c r="AJ6657">
        <v>101.195830988087</v>
      </c>
      <c r="AK6657">
        <v>8.1407860335394897</v>
      </c>
      <c r="AL6657">
        <v>65.577570444696804</v>
      </c>
      <c r="AM6657">
        <v>105.53055771637401</v>
      </c>
      <c r="AN6657">
        <v>0.99999999245209503</v>
      </c>
    </row>
    <row r="6658" spans="1:40" x14ac:dyDescent="0.25">
      <c r="A6658" t="str">
        <f>"20190304165017033"</f>
        <v>20190304165017033</v>
      </c>
      <c r="B6658" t="str">
        <f>"1551689417022105"</f>
        <v>1551689417022105</v>
      </c>
      <c r="C6658" t="s">
        <v>40</v>
      </c>
      <c r="D6658">
        <v>4.4036059999999999</v>
      </c>
      <c r="E6658">
        <v>0.53061599999999998</v>
      </c>
      <c r="F6658" t="s">
        <v>42</v>
      </c>
      <c r="G6658">
        <v>-272.68180000000001</v>
      </c>
      <c r="H6658" s="1">
        <v>-7.6458540000000004E-7</v>
      </c>
      <c r="I6658">
        <v>-62.451450000000001</v>
      </c>
      <c r="J6658">
        <v>-280.73750000000001</v>
      </c>
      <c r="K6658">
        <v>1.1187929999999999</v>
      </c>
      <c r="L6658">
        <v>-61.9533699999999</v>
      </c>
      <c r="M6658">
        <v>0.96733880000000005</v>
      </c>
      <c r="N6658">
        <v>-1.220424E-2</v>
      </c>
      <c r="O6658">
        <v>-0.25319350000000002</v>
      </c>
      <c r="P6658">
        <v>0.91348850000000004</v>
      </c>
      <c r="Q6658">
        <v>0.4068483</v>
      </c>
      <c r="R6658">
        <v>3.653552E-3</v>
      </c>
      <c r="S6658">
        <v>3.4981990000000001</v>
      </c>
      <c r="T6658">
        <v>-0.47763810000000001</v>
      </c>
      <c r="U6658">
        <v>-0.22662350000000001</v>
      </c>
      <c r="V6658">
        <v>-0.24301919999999999</v>
      </c>
      <c r="W6658">
        <v>0.41288589999999997</v>
      </c>
      <c r="X6658">
        <v>0.87776239999999905</v>
      </c>
      <c r="Y6658">
        <v>-0.18638209999999999</v>
      </c>
      <c r="Z6658">
        <v>4.4710430000000002E-2</v>
      </c>
      <c r="AA6658">
        <v>0.98145939999999998</v>
      </c>
      <c r="AB6658">
        <v>31</v>
      </c>
      <c r="AC6658">
        <v>8.0556999999999999</v>
      </c>
      <c r="AD6658">
        <v>-1.1187937645854</v>
      </c>
      <c r="AE6658">
        <v>-0.49808000000000802</v>
      </c>
      <c r="AF6658">
        <v>-1.52858314856179</v>
      </c>
      <c r="AG6658">
        <v>-1.1187937645854</v>
      </c>
      <c r="AH6658">
        <v>7.7699915801969901</v>
      </c>
      <c r="AI6658">
        <v>98.041585924481694</v>
      </c>
      <c r="AJ6658">
        <v>101.12961676835501</v>
      </c>
      <c r="AK6658">
        <v>7.9975643220967196</v>
      </c>
      <c r="AL6658">
        <v>65.613747159768806</v>
      </c>
      <c r="AM6658">
        <v>105.47539678737699</v>
      </c>
      <c r="AN6658">
        <v>0.99999996442060402</v>
      </c>
    </row>
    <row r="6659" spans="1:40" x14ac:dyDescent="0.25">
      <c r="A6659" t="str">
        <f>"20190304165017044"</f>
        <v>20190304165017044</v>
      </c>
      <c r="B6659" t="str">
        <f>"1551689417031865"</f>
        <v>1551689417031865</v>
      </c>
      <c r="C6659" t="s">
        <v>40</v>
      </c>
      <c r="D6659">
        <v>4.3835100000000002</v>
      </c>
      <c r="E6659">
        <v>0.53047789999999995</v>
      </c>
      <c r="F6659" t="s">
        <v>42</v>
      </c>
      <c r="G6659">
        <v>-272.64769999999999</v>
      </c>
      <c r="H6659" s="1">
        <v>-7.4888680000000002E-7</v>
      </c>
      <c r="I6659">
        <v>-62.446770000000001</v>
      </c>
      <c r="J6659">
        <v>-280.60120000000001</v>
      </c>
      <c r="K6659">
        <v>1.11879</v>
      </c>
      <c r="L6659">
        <v>-61.984529999999999</v>
      </c>
      <c r="M6659">
        <v>0.96848100000000004</v>
      </c>
      <c r="N6659">
        <v>-1.2188859999999999E-2</v>
      </c>
      <c r="O6659">
        <v>-0.24878929999999999</v>
      </c>
      <c r="P6659">
        <v>0.91362569999999999</v>
      </c>
      <c r="Q6659">
        <v>0.40649829999999998</v>
      </c>
      <c r="R6659">
        <v>6.8678480000000002E-3</v>
      </c>
      <c r="S6659">
        <v>3.5005799999999998</v>
      </c>
      <c r="T6659">
        <v>-0.4841201</v>
      </c>
      <c r="U6659">
        <v>-0.213501</v>
      </c>
      <c r="V6659">
        <v>-0.24213970000000001</v>
      </c>
      <c r="W6659">
        <v>0.41254489999999999</v>
      </c>
      <c r="X6659">
        <v>0.87816569999999905</v>
      </c>
      <c r="Y6659">
        <v>-0.18556120000000001</v>
      </c>
      <c r="Z6659">
        <v>4.4723779999999998E-2</v>
      </c>
      <c r="AA6659">
        <v>0.9816144</v>
      </c>
      <c r="AB6659">
        <v>31</v>
      </c>
      <c r="AC6659">
        <v>7.9535000000000098</v>
      </c>
      <c r="AD6659">
        <v>-1.1187907488868001</v>
      </c>
      <c r="AE6659">
        <v>-0.46223999999998699</v>
      </c>
      <c r="AF6659">
        <v>-1.5015769205877101</v>
      </c>
      <c r="AG6659">
        <v>-1.1187907488868001</v>
      </c>
      <c r="AH6659">
        <v>7.6671938106320896</v>
      </c>
      <c r="AI6659">
        <v>98.149287506779302</v>
      </c>
      <c r="AJ6659">
        <v>101.08080951075701</v>
      </c>
      <c r="AK6659">
        <v>7.8925462886214</v>
      </c>
      <c r="AL6659">
        <v>65.6351970220108</v>
      </c>
      <c r="AM6659">
        <v>105.41531545325201</v>
      </c>
      <c r="AN6659">
        <v>0.99999996274429404</v>
      </c>
    </row>
    <row r="6660" spans="1:40" x14ac:dyDescent="0.25">
      <c r="A6660" t="str">
        <f>"20190304165017056"</f>
        <v>20190304165017056</v>
      </c>
      <c r="B6660" t="str">
        <f>"1551689417052360"</f>
        <v>1551689417052360</v>
      </c>
      <c r="C6660" t="s">
        <v>40</v>
      </c>
      <c r="D6660">
        <v>4.4447269999999897</v>
      </c>
      <c r="E6660">
        <v>0.53106850000000005</v>
      </c>
      <c r="F6660" t="s">
        <v>42</v>
      </c>
      <c r="G6660">
        <v>-272.52359999999999</v>
      </c>
      <c r="H6660" s="1">
        <v>-6.9492380000000005E-7</v>
      </c>
      <c r="I6660">
        <v>-62.443559999999998</v>
      </c>
      <c r="J6660">
        <v>-280.45190000000002</v>
      </c>
      <c r="K6660">
        <v>1.118784</v>
      </c>
      <c r="L6660">
        <v>-62.018430000000002</v>
      </c>
      <c r="M6660">
        <v>0.96970840000000003</v>
      </c>
      <c r="N6660">
        <v>-1.2171380000000001E-2</v>
      </c>
      <c r="O6660">
        <v>-0.2439625</v>
      </c>
      <c r="P6660">
        <v>0.91366539999999996</v>
      </c>
      <c r="Q6660">
        <v>0.4063331</v>
      </c>
      <c r="R6660">
        <v>1.0452019999999999E-2</v>
      </c>
      <c r="S6660">
        <v>3.5008539999999999</v>
      </c>
      <c r="T6660">
        <v>-0.48488589999999998</v>
      </c>
      <c r="U6660">
        <v>-0.19894410000000001</v>
      </c>
      <c r="V6660">
        <v>-0.24121890000000001</v>
      </c>
      <c r="W6660">
        <v>0.4123869</v>
      </c>
      <c r="X6660">
        <v>0.87849330000000003</v>
      </c>
      <c r="Y6660">
        <v>-0.1847724</v>
      </c>
      <c r="Z6660">
        <v>4.4160289999999998E-2</v>
      </c>
      <c r="AA6660">
        <v>0.98178869999999896</v>
      </c>
      <c r="AB6660">
        <v>31</v>
      </c>
      <c r="AC6660">
        <v>7.9283000000000303</v>
      </c>
      <c r="AD6660">
        <v>-1.1187846949238001</v>
      </c>
      <c r="AE6660">
        <v>-0.42512999999999501</v>
      </c>
      <c r="AF6660">
        <v>-1.4924349398871299</v>
      </c>
      <c r="AG6660">
        <v>-1.1187846949238001</v>
      </c>
      <c r="AH6660">
        <v>7.6407191382188397</v>
      </c>
      <c r="AI6660">
        <v>98.177886474614198</v>
      </c>
      <c r="AJ6660">
        <v>101.052229785555</v>
      </c>
      <c r="AK6660">
        <v>7.8650893315038299</v>
      </c>
      <c r="AL6660">
        <v>65.6451353065913</v>
      </c>
      <c r="AM6660">
        <v>105.354010539686</v>
      </c>
      <c r="AN6660">
        <v>0.99999999557685504</v>
      </c>
    </row>
    <row r="6661" spans="1:40" x14ac:dyDescent="0.25">
      <c r="A6661" t="str">
        <f>"20190304165017067"</f>
        <v>20190304165017067</v>
      </c>
      <c r="B6661" t="str">
        <f>"1551689417062120"</f>
        <v>1551689417062120</v>
      </c>
      <c r="C6661" t="s">
        <v>40</v>
      </c>
      <c r="D6661">
        <v>4.4107269999999996</v>
      </c>
      <c r="E6661">
        <v>0.53130909999999998</v>
      </c>
      <c r="F6661" t="s">
        <v>42</v>
      </c>
      <c r="G6661">
        <v>-272.47620000000001</v>
      </c>
      <c r="H6661" s="1">
        <v>-6.7539609999999996E-7</v>
      </c>
      <c r="I6661">
        <v>-62.44706</v>
      </c>
      <c r="J6661">
        <v>-280.28960000000001</v>
      </c>
      <c r="K6661">
        <v>1.1187739999999999</v>
      </c>
      <c r="L6661">
        <v>-62.053890000000003</v>
      </c>
      <c r="M6661">
        <v>0.97101159999999997</v>
      </c>
      <c r="N6661">
        <v>-1.2147760000000001E-2</v>
      </c>
      <c r="O6661">
        <v>-0.2387233</v>
      </c>
      <c r="P6661">
        <v>0.91376840000000004</v>
      </c>
      <c r="Q6661">
        <v>0.40597810000000001</v>
      </c>
      <c r="R6661">
        <v>1.445395E-2</v>
      </c>
      <c r="S6661">
        <v>3.5042110000000002</v>
      </c>
      <c r="T6661">
        <v>-0.49155280000000001</v>
      </c>
      <c r="U6661">
        <v>-0.18832399999999999</v>
      </c>
      <c r="V6661">
        <v>-0.24034539999999999</v>
      </c>
      <c r="W6661">
        <v>0.4120354</v>
      </c>
      <c r="X6661">
        <v>0.8788975</v>
      </c>
      <c r="Y6661">
        <v>-0.1824519</v>
      </c>
      <c r="Z6661">
        <v>4.393097E-2</v>
      </c>
      <c r="AA6661">
        <v>0.98223289999999996</v>
      </c>
      <c r="AB6661">
        <v>31</v>
      </c>
      <c r="AC6661">
        <v>7.8133999999999997</v>
      </c>
      <c r="AD6661">
        <v>-1.1187746753961001</v>
      </c>
      <c r="AE6661">
        <v>-0.39316999999999702</v>
      </c>
      <c r="AF6661">
        <v>-1.45384547032348</v>
      </c>
      <c r="AG6661">
        <v>-1.1187746753961001</v>
      </c>
      <c r="AH6661">
        <v>7.5273881177716904</v>
      </c>
      <c r="AI6661">
        <v>98.302584068173999</v>
      </c>
      <c r="AJ6661">
        <v>100.93154900335399</v>
      </c>
      <c r="AK6661">
        <v>7.7477025821502901</v>
      </c>
      <c r="AL6661">
        <v>65.667238940648403</v>
      </c>
      <c r="AM6661">
        <v>105.294313898978</v>
      </c>
      <c r="AN6661">
        <v>0.99999994883028298</v>
      </c>
    </row>
    <row r="6662" spans="1:40" x14ac:dyDescent="0.25">
      <c r="A6662" t="str">
        <f>"20190304165017078"</f>
        <v>20190304165017078</v>
      </c>
      <c r="B6662" t="str">
        <f>"1551689417071880"</f>
        <v>1551689417071880</v>
      </c>
      <c r="C6662" t="s">
        <v>40</v>
      </c>
      <c r="D6662">
        <v>4.407038</v>
      </c>
      <c r="E6662">
        <v>0.53160280000000004</v>
      </c>
      <c r="F6662" t="s">
        <v>42</v>
      </c>
      <c r="G6662">
        <v>-272.40980000000002</v>
      </c>
      <c r="H6662" s="1">
        <v>-6.4642340000000004E-7</v>
      </c>
      <c r="I6662">
        <v>-62.444929999999999</v>
      </c>
      <c r="J6662">
        <v>-280.14370000000002</v>
      </c>
      <c r="K6662">
        <v>1.118765</v>
      </c>
      <c r="L6662">
        <v>-62.085329999999999</v>
      </c>
      <c r="M6662">
        <v>0.97215660000000004</v>
      </c>
      <c r="N6662">
        <v>-1.2125199999999999E-2</v>
      </c>
      <c r="O6662">
        <v>-0.23401820000000001</v>
      </c>
      <c r="P6662">
        <v>0.91377019999999998</v>
      </c>
      <c r="Q6662">
        <v>0.40584369999999997</v>
      </c>
      <c r="R6662">
        <v>1.7743269999999998E-2</v>
      </c>
      <c r="S6662">
        <v>3.5070800000000002</v>
      </c>
      <c r="T6662">
        <v>-0.49793710000000002</v>
      </c>
      <c r="U6662">
        <v>-0.17404169999999999</v>
      </c>
      <c r="V6662">
        <v>-0.2392534</v>
      </c>
      <c r="W6662">
        <v>0.41190900000000003</v>
      </c>
      <c r="X6662">
        <v>0.87925469999999895</v>
      </c>
      <c r="Y6662">
        <v>-0.18167369999999999</v>
      </c>
      <c r="Z6662">
        <v>4.3844950000000001E-2</v>
      </c>
      <c r="AA6662">
        <v>0.9823809</v>
      </c>
      <c r="AB6662">
        <v>31</v>
      </c>
      <c r="AC6662">
        <v>7.7339000000000002</v>
      </c>
      <c r="AD6662">
        <v>-1.1187656464233999</v>
      </c>
      <c r="AE6662">
        <v>-0.35959999999999998</v>
      </c>
      <c r="AF6662">
        <v>-1.4305230094033801</v>
      </c>
      <c r="AG6662">
        <v>-1.1187656464233999</v>
      </c>
      <c r="AH6662">
        <v>7.4477600450176</v>
      </c>
      <c r="AI6662">
        <v>98.391666076091099</v>
      </c>
      <c r="AJ6662">
        <v>100.87262887135699</v>
      </c>
      <c r="AK6662">
        <v>7.6659743242597802</v>
      </c>
      <c r="AL6662">
        <v>65.675188796694499</v>
      </c>
      <c r="AM6662">
        <v>105.222158733143</v>
      </c>
      <c r="AN6662">
        <v>1.0000000205823201</v>
      </c>
    </row>
    <row r="6663" spans="1:40" x14ac:dyDescent="0.25">
      <c r="A6663" t="str">
        <f>"20190304165017089"</f>
        <v>20190304165017089</v>
      </c>
      <c r="B6663" t="str">
        <f>"1551689417082616"</f>
        <v>1551689417082616</v>
      </c>
      <c r="C6663" t="s">
        <v>40</v>
      </c>
      <c r="D6663">
        <v>4.5660740000000004</v>
      </c>
      <c r="E6663">
        <v>0.53165600000000002</v>
      </c>
      <c r="F6663" t="s">
        <v>42</v>
      </c>
      <c r="G6663">
        <v>-272.29930000000002</v>
      </c>
      <c r="H6663" s="1">
        <v>-5.9982950000000003E-7</v>
      </c>
      <c r="I6663">
        <v>-62.448599999999999</v>
      </c>
      <c r="J6663">
        <v>-280.0016</v>
      </c>
      <c r="K6663">
        <v>1.1187499999999999</v>
      </c>
      <c r="L6663">
        <v>-62.115020000000001</v>
      </c>
      <c r="M6663">
        <v>0.97324730000000004</v>
      </c>
      <c r="N6663">
        <v>-1.210053E-2</v>
      </c>
      <c r="O6663">
        <v>-0.22944220000000001</v>
      </c>
      <c r="P6663">
        <v>0.91390079999999996</v>
      </c>
      <c r="Q6663">
        <v>0.40540189999999998</v>
      </c>
      <c r="R6663">
        <v>2.0855410000000001E-2</v>
      </c>
      <c r="S6663">
        <v>3.5084840000000002</v>
      </c>
      <c r="T6663">
        <v>-0.5003784</v>
      </c>
      <c r="U6663">
        <v>-0.1624756</v>
      </c>
      <c r="V6663">
        <v>-0.23813580000000001</v>
      </c>
      <c r="W6663">
        <v>0.41147660000000003</v>
      </c>
      <c r="X6663">
        <v>0.879760399999999</v>
      </c>
      <c r="Y6663">
        <v>-0.180315</v>
      </c>
      <c r="Z6663">
        <v>4.3376739999999997E-2</v>
      </c>
      <c r="AA6663">
        <v>0.98265199999999997</v>
      </c>
      <c r="AB6663">
        <v>31</v>
      </c>
      <c r="AC6663">
        <v>7.7022999999999797</v>
      </c>
      <c r="AD6663">
        <v>-1.1187505998295</v>
      </c>
      <c r="AE6663">
        <v>-0.33358000000000398</v>
      </c>
      <c r="AF6663">
        <v>-1.41292902130286</v>
      </c>
      <c r="AG6663">
        <v>-1.1187505998295</v>
      </c>
      <c r="AH6663">
        <v>7.4171444296719704</v>
      </c>
      <c r="AI6663">
        <v>98.428116805501205</v>
      </c>
      <c r="AJ6663">
        <v>100.78533853331599</v>
      </c>
      <c r="AK6663">
        <v>7.6329550512545703</v>
      </c>
      <c r="AL6663">
        <v>65.702373857703094</v>
      </c>
      <c r="AM6663">
        <v>105.146019585106</v>
      </c>
      <c r="AN6663">
        <v>1.00000000649867</v>
      </c>
    </row>
    <row r="6664" spans="1:40" x14ac:dyDescent="0.25">
      <c r="A6664" t="str">
        <f>"20190304165017100"</f>
        <v>20190304165017100</v>
      </c>
      <c r="B6664" t="str">
        <f>"1551689417092377"</f>
        <v>1551689417092377</v>
      </c>
      <c r="C6664" t="s">
        <v>40</v>
      </c>
      <c r="D6664">
        <v>4.358034</v>
      </c>
      <c r="E6664">
        <v>0.53165600000000002</v>
      </c>
      <c r="F6664" t="s">
        <v>42</v>
      </c>
      <c r="G6664">
        <v>-272.2208</v>
      </c>
      <c r="H6664" s="1">
        <v>-5.6587699999999995E-7</v>
      </c>
      <c r="I6664">
        <v>-62.447249999999997</v>
      </c>
      <c r="J6664">
        <v>-279.86189999999999</v>
      </c>
      <c r="K6664">
        <v>1.118736</v>
      </c>
      <c r="L6664">
        <v>-62.143650000000001</v>
      </c>
      <c r="M6664">
        <v>0.97429460000000001</v>
      </c>
      <c r="N6664">
        <v>-1.207448E-2</v>
      </c>
      <c r="O6664">
        <v>-0.22495390000000001</v>
      </c>
      <c r="P6664">
        <v>0.9138809</v>
      </c>
      <c r="Q6664">
        <v>0.40528839999999999</v>
      </c>
      <c r="R6664">
        <v>2.3731490000000001E-2</v>
      </c>
      <c r="S6664">
        <v>3.5099490000000002</v>
      </c>
      <c r="T6664">
        <v>-0.50467659999999903</v>
      </c>
      <c r="U6664">
        <v>-0.149871799999999</v>
      </c>
      <c r="V6664">
        <v>-0.23684369999999999</v>
      </c>
      <c r="W6664">
        <v>0.41137439999999997</v>
      </c>
      <c r="X6664">
        <v>0.88015689999999902</v>
      </c>
      <c r="Y6664">
        <v>-0.17930599999999999</v>
      </c>
      <c r="Z6664">
        <v>4.3101710000000001E-2</v>
      </c>
      <c r="AA6664">
        <v>0.98284870000000002</v>
      </c>
      <c r="AB6664">
        <v>31</v>
      </c>
      <c r="AC6664">
        <v>7.64109999999999</v>
      </c>
      <c r="AD6664">
        <v>-1.1187365658770001</v>
      </c>
      <c r="AE6664">
        <v>-0.30359999999999498</v>
      </c>
      <c r="AF6664">
        <v>-1.3933816806139701</v>
      </c>
      <c r="AG6664">
        <v>-1.1187365658770001</v>
      </c>
      <c r="AH6664">
        <v>7.3560894868460798</v>
      </c>
      <c r="AI6664">
        <v>98.498599641820803</v>
      </c>
      <c r="AJ6664">
        <v>100.725823895327</v>
      </c>
      <c r="AK6664">
        <v>7.57001562417069</v>
      </c>
      <c r="AL6664">
        <v>65.708798305509305</v>
      </c>
      <c r="AM6664">
        <v>105.061105913061</v>
      </c>
      <c r="AN6664">
        <v>1.00000000191132</v>
      </c>
    </row>
    <row r="6665" spans="1:40" x14ac:dyDescent="0.25">
      <c r="A6665" t="str">
        <f>"20190304165017110"</f>
        <v>20190304165017110</v>
      </c>
      <c r="B6665" t="str">
        <f>"1551689417102136"</f>
        <v>1551689417102136</v>
      </c>
      <c r="C6665" t="s">
        <v>40</v>
      </c>
      <c r="D6665">
        <v>4.734197</v>
      </c>
      <c r="E6665">
        <v>0.53288080000000004</v>
      </c>
      <c r="F6665" t="s">
        <v>42</v>
      </c>
      <c r="G6665">
        <v>-272.09050000000002</v>
      </c>
      <c r="H6665" s="1">
        <v>-5.1005200000000005E-7</v>
      </c>
      <c r="I6665">
        <v>-62.447609999999997</v>
      </c>
      <c r="J6665">
        <v>-279.71460000000002</v>
      </c>
      <c r="K6665">
        <v>1.1187210000000001</v>
      </c>
      <c r="L6665">
        <v>-62.173160000000003</v>
      </c>
      <c r="M6665">
        <v>0.97537459999999998</v>
      </c>
      <c r="N6665">
        <v>-1.20448E-2</v>
      </c>
      <c r="O6665">
        <v>-0.22022620000000001</v>
      </c>
      <c r="P6665">
        <v>0.91392899999999999</v>
      </c>
      <c r="Q6665">
        <v>0.40501809999999999</v>
      </c>
      <c r="R6665">
        <v>2.6347800000000001E-2</v>
      </c>
      <c r="S6665">
        <v>3.5103759999999999</v>
      </c>
      <c r="T6665">
        <v>-0.50533640000000002</v>
      </c>
      <c r="U6665">
        <v>-0.13729859999999999</v>
      </c>
      <c r="V6665">
        <v>-0.2350952</v>
      </c>
      <c r="W6665">
        <v>0.41112490000000002</v>
      </c>
      <c r="X6665">
        <v>0.88074200000000002</v>
      </c>
      <c r="Y6665">
        <v>-0.1780987</v>
      </c>
      <c r="Z6665">
        <v>4.2466660000000003E-2</v>
      </c>
      <c r="AA6665">
        <v>0.98309579999999996</v>
      </c>
      <c r="AB6665">
        <v>31</v>
      </c>
      <c r="AC6665">
        <v>7.6240999999999897</v>
      </c>
      <c r="AD6665">
        <v>-1.1187215100519901</v>
      </c>
      <c r="AE6665">
        <v>-0.27445000000000103</v>
      </c>
      <c r="AF6665">
        <v>-1.3817256003735801</v>
      </c>
      <c r="AG6665">
        <v>-1.1187215100519901</v>
      </c>
      <c r="AH6665">
        <v>7.3395139244701202</v>
      </c>
      <c r="AI6665">
        <v>98.519174520836899</v>
      </c>
      <c r="AJ6665">
        <v>100.661630264932</v>
      </c>
      <c r="AK6665">
        <v>7.5517658927744504</v>
      </c>
      <c r="AL6665">
        <v>65.724479929515695</v>
      </c>
      <c r="AM6665">
        <v>104.94542581622299</v>
      </c>
      <c r="AN6665">
        <v>0.999999953513523</v>
      </c>
    </row>
    <row r="6666" spans="1:40" x14ac:dyDescent="0.25">
      <c r="A6666" t="str">
        <f>"20190304165017122"</f>
        <v>20190304165017122</v>
      </c>
      <c r="B6666" t="str">
        <f>"1551689417112872"</f>
        <v>1551689417112872</v>
      </c>
      <c r="C6666" t="s">
        <v>40</v>
      </c>
      <c r="D6666">
        <v>4.4462519999999897</v>
      </c>
      <c r="E6666">
        <v>0.53405979999999997</v>
      </c>
      <c r="F6666" t="s">
        <v>42</v>
      </c>
      <c r="G6666">
        <v>-268.84399999999999</v>
      </c>
      <c r="H6666" s="1">
        <v>-3.2933540000000001E-6</v>
      </c>
      <c r="I6666">
        <v>-62.612000000000002</v>
      </c>
      <c r="J6666">
        <v>-279.5652</v>
      </c>
      <c r="K6666">
        <v>1.1187009999999999</v>
      </c>
      <c r="L6666">
        <v>-62.202240000000003</v>
      </c>
      <c r="M6666">
        <v>0.9764408</v>
      </c>
      <c r="N6666">
        <v>-1.2011920000000001E-2</v>
      </c>
      <c r="O6666">
        <v>-0.2154509</v>
      </c>
      <c r="P6666">
        <v>0.91395179999999998</v>
      </c>
      <c r="Q6666">
        <v>0.40476580000000001</v>
      </c>
      <c r="R6666">
        <v>2.927708E-2</v>
      </c>
      <c r="S6666">
        <v>3.4436040000000001</v>
      </c>
      <c r="T6666">
        <v>-0.3543888</v>
      </c>
      <c r="U6666">
        <v>-0.1390381</v>
      </c>
      <c r="V6666">
        <v>-0.2336046</v>
      </c>
      <c r="W6666">
        <v>0.41088669999999999</v>
      </c>
      <c r="X6666">
        <v>0.88124969999999903</v>
      </c>
      <c r="Y6666">
        <v>-0.1740033</v>
      </c>
      <c r="Z6666">
        <v>2.9325360000000002E-2</v>
      </c>
      <c r="AA6666">
        <v>0.98430830000000002</v>
      </c>
      <c r="AB6666">
        <v>31</v>
      </c>
      <c r="AC6666">
        <v>10.7212</v>
      </c>
      <c r="AD6666">
        <v>-1.1187042933539999</v>
      </c>
      <c r="AE6666">
        <v>-0.40975999999999102</v>
      </c>
      <c r="AF6666">
        <v>-1.8893822035257</v>
      </c>
      <c r="AG6666">
        <v>-1.1187042933539999</v>
      </c>
      <c r="AH6666">
        <v>10.444113373719899</v>
      </c>
      <c r="AI6666">
        <v>96.016904863383004</v>
      </c>
      <c r="AJ6666">
        <v>100.254137371274</v>
      </c>
      <c r="AK6666">
        <v>10.672430302891801</v>
      </c>
      <c r="AL6666">
        <v>65.739452211250807</v>
      </c>
      <c r="AM6666">
        <v>104.846687831373</v>
      </c>
      <c r="AN6666">
        <v>1.0000000115640699</v>
      </c>
    </row>
    <row r="6667" spans="1:40" x14ac:dyDescent="0.25">
      <c r="A6667" t="str">
        <f>"20190304165017133"</f>
        <v>20190304165017133</v>
      </c>
      <c r="B6667" t="str">
        <f>"1551689417122633"</f>
        <v>1551689417122633</v>
      </c>
      <c r="C6667" t="s">
        <v>40</v>
      </c>
      <c r="D6667">
        <v>4.4217339999999998</v>
      </c>
      <c r="E6667">
        <v>0.53517879999999995</v>
      </c>
      <c r="F6667" t="s">
        <v>42</v>
      </c>
      <c r="G6667">
        <v>-269.49669999999998</v>
      </c>
      <c r="H6667" s="1">
        <v>-3.5119639999999999E-6</v>
      </c>
      <c r="I6667">
        <v>-62.592120000000001</v>
      </c>
      <c r="J6667">
        <v>-279.41930000000002</v>
      </c>
      <c r="K6667">
        <v>1.118676</v>
      </c>
      <c r="L6667">
        <v>-62.230159999999998</v>
      </c>
      <c r="M6667">
        <v>0.97745689999999996</v>
      </c>
      <c r="N6667">
        <v>-1.197841E-2</v>
      </c>
      <c r="O6667">
        <v>-0.2107956</v>
      </c>
      <c r="P6667">
        <v>0.91385110000000003</v>
      </c>
      <c r="Q6667">
        <v>0.4048042</v>
      </c>
      <c r="R6667">
        <v>3.1779990000000001E-2</v>
      </c>
      <c r="S6667">
        <v>3.4568479999999999</v>
      </c>
      <c r="T6667">
        <v>-0.38408819999999999</v>
      </c>
      <c r="U6667">
        <v>-0.13388059999999999</v>
      </c>
      <c r="V6667">
        <v>-0.23178840000000001</v>
      </c>
      <c r="W6667">
        <v>0.41094589999999998</v>
      </c>
      <c r="X6667">
        <v>0.88170159999999997</v>
      </c>
      <c r="Y6667">
        <v>-0.17064969999999999</v>
      </c>
      <c r="Z6667">
        <v>3.112374E-2</v>
      </c>
      <c r="AA6667">
        <v>0.9848401</v>
      </c>
      <c r="AB6667">
        <v>31</v>
      </c>
      <c r="AC6667">
        <v>9.9226000000000401</v>
      </c>
      <c r="AD6667">
        <v>-1.1186795119640001</v>
      </c>
      <c r="AE6667">
        <v>-0.36195999999999601</v>
      </c>
      <c r="AF6667">
        <v>-1.7161801763067801</v>
      </c>
      <c r="AG6667">
        <v>-1.1186795119640001</v>
      </c>
      <c r="AH6667">
        <v>9.6533779331022398</v>
      </c>
      <c r="AI6667">
        <v>96.509057911336498</v>
      </c>
      <c r="AJ6667">
        <v>100.08073664216199</v>
      </c>
      <c r="AK6667">
        <v>9.8683546636377901</v>
      </c>
      <c r="AL6667">
        <v>65.735732755065797</v>
      </c>
      <c r="AM6667">
        <v>104.729077087126</v>
      </c>
      <c r="AN6667">
        <v>1.00000005327196</v>
      </c>
    </row>
    <row r="6668" spans="1:40" x14ac:dyDescent="0.25">
      <c r="A6668" t="str">
        <f>"20190304165017145"</f>
        <v>20190304165017145</v>
      </c>
      <c r="B6668" t="str">
        <f>"1551689417142152"</f>
        <v>1551689417142152</v>
      </c>
      <c r="C6668" t="s">
        <v>40</v>
      </c>
      <c r="D6668">
        <v>4.4616920000000002</v>
      </c>
      <c r="E6668">
        <v>0.52908279999999996</v>
      </c>
      <c r="F6668" t="s">
        <v>42</v>
      </c>
      <c r="G6668">
        <v>-270.09429999999998</v>
      </c>
      <c r="H6668" s="1">
        <v>3.1712830000000001E-7</v>
      </c>
      <c r="I6668">
        <v>-62.578769999999999</v>
      </c>
      <c r="J6668">
        <v>-279.2654</v>
      </c>
      <c r="K6668">
        <v>1.118641</v>
      </c>
      <c r="L6668">
        <v>-62.258479999999999</v>
      </c>
      <c r="M6668">
        <v>0.9784948</v>
      </c>
      <c r="N6668">
        <v>-1.1939160000000001E-2</v>
      </c>
      <c r="O6668">
        <v>-0.20592569999999999</v>
      </c>
      <c r="P6668">
        <v>0.91374889999999998</v>
      </c>
      <c r="Q6668">
        <v>0.40481630000000002</v>
      </c>
      <c r="R6668">
        <v>3.4451199999999897E-2</v>
      </c>
      <c r="S6668">
        <v>3.471832</v>
      </c>
      <c r="T6668">
        <v>-0.41650199999999998</v>
      </c>
      <c r="U6668">
        <v>-0.1297913</v>
      </c>
      <c r="V6668">
        <v>-0.22993759999999999</v>
      </c>
      <c r="W6668">
        <v>0.41097889999999998</v>
      </c>
      <c r="X6668">
        <v>0.88217069999999997</v>
      </c>
      <c r="Y6668">
        <v>-0.1667525</v>
      </c>
      <c r="Z6668">
        <v>3.294735E-2</v>
      </c>
      <c r="AA6668">
        <v>0.9854482</v>
      </c>
      <c r="AB6668">
        <v>31</v>
      </c>
      <c r="AC6668">
        <v>9.1711000000000205</v>
      </c>
      <c r="AD6668">
        <v>-1.1186406828716999</v>
      </c>
      <c r="AE6668">
        <v>-0.32028999999999203</v>
      </c>
      <c r="AF6668">
        <v>-1.5522100362668301</v>
      </c>
      <c r="AG6668">
        <v>-1.1186406828716999</v>
      </c>
      <c r="AH6668">
        <v>8.9081024970550295</v>
      </c>
      <c r="AI6668">
        <v>97.052321650402106</v>
      </c>
      <c r="AJ6668">
        <v>99.884377832471998</v>
      </c>
      <c r="AK6668">
        <v>9.1112569424915897</v>
      </c>
      <c r="AL6668">
        <v>65.733658678414699</v>
      </c>
      <c r="AM6668">
        <v>104.609083029635</v>
      </c>
      <c r="AN6668">
        <v>1.0000000500387201</v>
      </c>
    </row>
    <row r="6669" spans="1:40" x14ac:dyDescent="0.25">
      <c r="A6669" t="str">
        <f>"20190304165017156"</f>
        <v>20190304165017156</v>
      </c>
      <c r="B6669" t="str">
        <f>"1551689417151912"</f>
        <v>1551689417151912</v>
      </c>
      <c r="C6669" t="s">
        <v>40</v>
      </c>
      <c r="D6669">
        <v>4.4143619999999997</v>
      </c>
      <c r="E6669">
        <v>0.52478539999999996</v>
      </c>
      <c r="F6669" t="s">
        <v>42</v>
      </c>
      <c r="G6669">
        <v>-270.00029999999998</v>
      </c>
      <c r="H6669" s="1">
        <v>3.8760149999999999E-7</v>
      </c>
      <c r="I6669">
        <v>-62.443210000000001</v>
      </c>
      <c r="J6669">
        <v>-279.1103</v>
      </c>
      <c r="K6669">
        <v>1.1186069999999999</v>
      </c>
      <c r="L6669">
        <v>-62.286679999999997</v>
      </c>
      <c r="M6669">
        <v>0.979514</v>
      </c>
      <c r="N6669">
        <v>-1.1898499999999999E-2</v>
      </c>
      <c r="O6669">
        <v>-0.20102419999999999</v>
      </c>
      <c r="P6669">
        <v>0.91372869999999995</v>
      </c>
      <c r="Q6669">
        <v>0.40457399999999999</v>
      </c>
      <c r="R6669">
        <v>3.7678679999999999E-2</v>
      </c>
      <c r="S6669">
        <v>3.4714659999999999</v>
      </c>
      <c r="T6669">
        <v>-0.41913430000000002</v>
      </c>
      <c r="U6669">
        <v>-6.9213869999999997E-2</v>
      </c>
      <c r="V6669">
        <v>-0.2286166</v>
      </c>
      <c r="W6669">
        <v>0.41074670000000002</v>
      </c>
      <c r="X6669">
        <v>0.88262199999999902</v>
      </c>
      <c r="Y6669">
        <v>-0.17887729999999999</v>
      </c>
      <c r="Z6669">
        <v>3.347319E-2</v>
      </c>
      <c r="AA6669">
        <v>0.9833018</v>
      </c>
      <c r="AB6669">
        <v>31</v>
      </c>
      <c r="AC6669">
        <v>9.1100000000000101</v>
      </c>
      <c r="AD6669">
        <v>-1.1186066123984999</v>
      </c>
      <c r="AE6669">
        <v>-0.15652999999999601</v>
      </c>
      <c r="AF6669">
        <v>-1.6532077141008401</v>
      </c>
      <c r="AG6669">
        <v>-1.1186066123984999</v>
      </c>
      <c r="AH6669">
        <v>8.8224944725884402</v>
      </c>
      <c r="AI6669">
        <v>97.103647348614004</v>
      </c>
      <c r="AJ6669">
        <v>100.61331868779</v>
      </c>
      <c r="AK6669">
        <v>9.0454842445342702</v>
      </c>
      <c r="AL6669">
        <v>65.748249989736706</v>
      </c>
      <c r="AM6669">
        <v>104.52160002817701</v>
      </c>
      <c r="AN6669">
        <v>0.999999998120224</v>
      </c>
    </row>
    <row r="6670" spans="1:40" x14ac:dyDescent="0.25">
      <c r="A6670" t="str">
        <f>"20190304165017169"</f>
        <v>20190304165017169</v>
      </c>
      <c r="B6670" t="str">
        <f>"1551689417162648"</f>
        <v>1551689417162648</v>
      </c>
      <c r="C6670" t="s">
        <v>40</v>
      </c>
      <c r="D6670">
        <v>4.4027240000000001</v>
      </c>
      <c r="E6670">
        <v>0.52200530000000001</v>
      </c>
      <c r="F6670" t="s">
        <v>42</v>
      </c>
      <c r="G6670">
        <v>-269.6875</v>
      </c>
      <c r="H6670" s="1">
        <v>-3.5337830000000001E-6</v>
      </c>
      <c r="I6670">
        <v>-62.349159999999998</v>
      </c>
      <c r="J6670">
        <v>-278.93849999999998</v>
      </c>
      <c r="K6670">
        <v>1.1185560000000001</v>
      </c>
      <c r="L6670">
        <v>-62.316589999999998</v>
      </c>
      <c r="M6670">
        <v>0.98060139999999996</v>
      </c>
      <c r="N6670">
        <v>-1.184871E-2</v>
      </c>
      <c r="O6670">
        <v>-0.19565460000000001</v>
      </c>
      <c r="P6670">
        <v>0.91349930000000001</v>
      </c>
      <c r="Q6670">
        <v>0.40472259999999999</v>
      </c>
      <c r="R6670">
        <v>4.1458710000000003E-2</v>
      </c>
      <c r="S6670">
        <v>3.4664000000000001</v>
      </c>
      <c r="T6670">
        <v>-0.4115067</v>
      </c>
      <c r="U6670">
        <v>-2.3010249999999999E-2</v>
      </c>
      <c r="V6670">
        <v>-0.2273722</v>
      </c>
      <c r="W6670">
        <v>0.41090149999999998</v>
      </c>
      <c r="X6670">
        <v>0.88287139999999997</v>
      </c>
      <c r="Y6670">
        <v>-0.1866148</v>
      </c>
      <c r="Z6670">
        <v>3.2853279999999999E-2</v>
      </c>
      <c r="AA6670">
        <v>0.98188370000000003</v>
      </c>
      <c r="AB6670">
        <v>31</v>
      </c>
      <c r="AC6670">
        <v>9.2509999999999692</v>
      </c>
      <c r="AD6670">
        <v>-1.1185595337830001</v>
      </c>
      <c r="AE6670">
        <v>-3.2569999999992598E-2</v>
      </c>
      <c r="AF6670">
        <v>-1.7525653445610501</v>
      </c>
      <c r="AG6670">
        <v>-1.1185595337830001</v>
      </c>
      <c r="AH6670">
        <v>8.9477399519848309</v>
      </c>
      <c r="AI6670">
        <v>96.994053535558393</v>
      </c>
      <c r="AJ6670">
        <v>101.08204683320299</v>
      </c>
      <c r="AK6670">
        <v>9.1861151182596608</v>
      </c>
      <c r="AL6670">
        <v>65.738522680057301</v>
      </c>
      <c r="AM6670">
        <v>104.441962245423</v>
      </c>
      <c r="AN6670">
        <v>1.0000000344865201</v>
      </c>
    </row>
    <row r="6671" spans="1:40" x14ac:dyDescent="0.25">
      <c r="A6671" t="str">
        <f>"20190304165017180"</f>
        <v>20190304165017180</v>
      </c>
      <c r="B6671" t="str">
        <f>"1551689417172408"</f>
        <v>1551689417172408</v>
      </c>
      <c r="C6671" t="s">
        <v>40</v>
      </c>
      <c r="D6671">
        <v>4.3934559999999996</v>
      </c>
      <c r="E6671">
        <v>0.51953199999999999</v>
      </c>
      <c r="F6671" t="s">
        <v>42</v>
      </c>
      <c r="G6671">
        <v>-269.46390000000002</v>
      </c>
      <c r="H6671" s="1">
        <v>-3.445596E-6</v>
      </c>
      <c r="I6671">
        <v>-62.280970000000003</v>
      </c>
      <c r="J6671">
        <v>-278.7955</v>
      </c>
      <c r="K6671">
        <v>1.1185149999999999</v>
      </c>
      <c r="L6671">
        <v>-62.340969999999999</v>
      </c>
      <c r="M6671">
        <v>0.98147770000000001</v>
      </c>
      <c r="N6671">
        <v>-1.1806799999999999E-2</v>
      </c>
      <c r="O6671">
        <v>-0.19121299999999999</v>
      </c>
      <c r="P6671">
        <v>0.9131823</v>
      </c>
      <c r="Q6671">
        <v>0.40513399999999999</v>
      </c>
      <c r="R6671">
        <v>4.4326039999999997E-2</v>
      </c>
      <c r="S6671">
        <v>3.4646910000000002</v>
      </c>
      <c r="T6671">
        <v>-0.40903719999999999</v>
      </c>
      <c r="U6671">
        <v>1.300049E-2</v>
      </c>
      <c r="V6671">
        <v>-0.22607189999999999</v>
      </c>
      <c r="W6671">
        <v>0.41132350000000001</v>
      </c>
      <c r="X6671">
        <v>0.88300879999999904</v>
      </c>
      <c r="Y6671">
        <v>-0.19237509999999999</v>
      </c>
      <c r="Z6671">
        <v>3.2588609999999997E-2</v>
      </c>
      <c r="AA6671">
        <v>0.98078019999999999</v>
      </c>
      <c r="AB6671">
        <v>31</v>
      </c>
      <c r="AC6671">
        <v>9.3315999999999804</v>
      </c>
      <c r="AD6671">
        <v>-1.118518445596</v>
      </c>
      <c r="AE6671">
        <v>6.0000000000002197E-2</v>
      </c>
      <c r="AF6671">
        <v>-1.8172325333552</v>
      </c>
      <c r="AG6671">
        <v>-1.118518445596</v>
      </c>
      <c r="AH6671">
        <v>9.0183570842832896</v>
      </c>
      <c r="AI6671">
        <v>96.932171049253199</v>
      </c>
      <c r="AJ6671">
        <v>101.392751752016</v>
      </c>
      <c r="AK6671">
        <v>9.2673719086408592</v>
      </c>
      <c r="AL6671">
        <v>65.711998705185593</v>
      </c>
      <c r="AM6671">
        <v>104.36065476651601</v>
      </c>
      <c r="AN6671">
        <v>1.0000000332496399</v>
      </c>
    </row>
    <row r="6672" spans="1:40" x14ac:dyDescent="0.25">
      <c r="A6672" t="str">
        <f>"20190304165017190"</f>
        <v>20190304165017190</v>
      </c>
      <c r="B6672" t="str">
        <f>"1551689417182168"</f>
        <v>1551689417182168</v>
      </c>
      <c r="C6672" t="s">
        <v>40</v>
      </c>
      <c r="D6672">
        <v>4.4189429999999996</v>
      </c>
      <c r="E6672">
        <v>0.51763119999999996</v>
      </c>
      <c r="F6672" t="s">
        <v>42</v>
      </c>
      <c r="G6672">
        <v>-269.21390000000002</v>
      </c>
      <c r="H6672" s="1">
        <v>-3.3497930000000001E-6</v>
      </c>
      <c r="I6672">
        <v>-62.220390000000002</v>
      </c>
      <c r="J6672">
        <v>-278.64339999999999</v>
      </c>
      <c r="K6672">
        <v>1.1184609999999999</v>
      </c>
      <c r="L6672">
        <v>-62.366210000000002</v>
      </c>
      <c r="M6672">
        <v>0.98238060000000005</v>
      </c>
      <c r="N6672">
        <v>-1.1761499999999999E-2</v>
      </c>
      <c r="O6672">
        <v>-0.18652089999999999</v>
      </c>
      <c r="P6672">
        <v>0.91290210000000005</v>
      </c>
      <c r="Q6672">
        <v>0.40544989999999997</v>
      </c>
      <c r="R6672">
        <v>4.7116770000000002E-2</v>
      </c>
      <c r="S6672">
        <v>3.4624329999999999</v>
      </c>
      <c r="T6672">
        <v>-0.40419090000000002</v>
      </c>
      <c r="U6672">
        <v>4.3548580000000003E-2</v>
      </c>
      <c r="V6672">
        <v>-0.2244748</v>
      </c>
      <c r="W6672">
        <v>0.41165780000000002</v>
      </c>
      <c r="X6672">
        <v>0.88326039999999995</v>
      </c>
      <c r="Y6672">
        <v>-0.19639290000000001</v>
      </c>
      <c r="Z6672">
        <v>3.1996179999999999E-2</v>
      </c>
      <c r="AA6672">
        <v>0.98000310000000002</v>
      </c>
      <c r="AB6672">
        <v>31</v>
      </c>
      <c r="AC6672">
        <v>9.42949999999996</v>
      </c>
      <c r="AD6672">
        <v>-1.118464349793</v>
      </c>
      <c r="AE6672">
        <v>0.14581999999999301</v>
      </c>
      <c r="AF6672">
        <v>-1.8757966163606501</v>
      </c>
      <c r="AG6672">
        <v>-1.118464349793</v>
      </c>
      <c r="AH6672">
        <v>9.10867773637551</v>
      </c>
      <c r="AI6672">
        <v>96.857872482509507</v>
      </c>
      <c r="AJ6672">
        <v>101.636534199267</v>
      </c>
      <c r="AK6672">
        <v>9.3668343399918701</v>
      </c>
      <c r="AL6672">
        <v>65.690982356940907</v>
      </c>
      <c r="AM6672">
        <v>104.259459317032</v>
      </c>
      <c r="AN6672">
        <v>1.0000000071720101</v>
      </c>
    </row>
    <row r="6673" spans="1:40" x14ac:dyDescent="0.25">
      <c r="A6673" t="str">
        <f>"20190304165017200"</f>
        <v>20190304165017200</v>
      </c>
      <c r="B6673" t="str">
        <f>"1551689417191929"</f>
        <v>1551689417191929</v>
      </c>
      <c r="C6673" t="s">
        <v>40</v>
      </c>
      <c r="D6673">
        <v>4.4058840000000004</v>
      </c>
      <c r="E6673">
        <v>0.51633260000000003</v>
      </c>
      <c r="F6673" t="s">
        <v>42</v>
      </c>
      <c r="G6673">
        <v>-268.94409999999999</v>
      </c>
      <c r="H6673" s="1">
        <v>-3.2491049999999999E-6</v>
      </c>
      <c r="I6673">
        <v>-62.170479999999998</v>
      </c>
      <c r="J6673">
        <v>-278.51819999999998</v>
      </c>
      <c r="K6673">
        <v>1.118411</v>
      </c>
      <c r="L6673">
        <v>-62.386380000000003</v>
      </c>
      <c r="M6673">
        <v>0.98309959999999996</v>
      </c>
      <c r="N6673">
        <v>-1.1723290000000001E-2</v>
      </c>
      <c r="O6673">
        <v>-0.182696</v>
      </c>
      <c r="P6673">
        <v>0.91277960000000002</v>
      </c>
      <c r="Q6673">
        <v>0.40549809999999997</v>
      </c>
      <c r="R6673">
        <v>4.9038869999999998E-2</v>
      </c>
      <c r="S6673">
        <v>3.4598390000000001</v>
      </c>
      <c r="T6673">
        <v>-0.39896540000000003</v>
      </c>
      <c r="U6673">
        <v>6.97937E-2</v>
      </c>
      <c r="V6673">
        <v>-0.22284019999999999</v>
      </c>
      <c r="W6673">
        <v>0.41173080000000001</v>
      </c>
      <c r="X6673">
        <v>0.88364019999999999</v>
      </c>
      <c r="Y6673">
        <v>-0.200072</v>
      </c>
      <c r="Z6673">
        <v>3.1445849999999997E-2</v>
      </c>
      <c r="AA6673">
        <v>0.97927640000000005</v>
      </c>
      <c r="AB6673">
        <v>31</v>
      </c>
      <c r="AC6673">
        <v>9.5740999999999801</v>
      </c>
      <c r="AD6673">
        <v>-1.118414249105</v>
      </c>
      <c r="AE6673">
        <v>0.21589999999999701</v>
      </c>
      <c r="AF6673">
        <v>-1.9351419145192399</v>
      </c>
      <c r="AG6673">
        <v>-1.118414249105</v>
      </c>
      <c r="AH6673">
        <v>9.2473669300453807</v>
      </c>
      <c r="AI6673">
        <v>96.751245093815797</v>
      </c>
      <c r="AJ6673">
        <v>101.81939005828499</v>
      </c>
      <c r="AK6673">
        <v>9.5136438760775199</v>
      </c>
      <c r="AL6673">
        <v>65.686392706486401</v>
      </c>
      <c r="AM6673">
        <v>104.153973029597</v>
      </c>
      <c r="AN6673">
        <v>1.0000000047303499</v>
      </c>
    </row>
    <row r="6674" spans="1:40" x14ac:dyDescent="0.25">
      <c r="A6674" t="str">
        <f>"20190304165017211"</f>
        <v>20190304165017211</v>
      </c>
      <c r="B6674" t="str">
        <f>"1551689417202664"</f>
        <v>1551689417202664</v>
      </c>
      <c r="C6674" t="s">
        <v>40</v>
      </c>
      <c r="D6674">
        <v>4.392652</v>
      </c>
      <c r="E6674">
        <v>0.51530690000000001</v>
      </c>
      <c r="F6674" t="s">
        <v>42</v>
      </c>
      <c r="G6674">
        <v>-268.78699999999998</v>
      </c>
      <c r="H6674" s="1">
        <v>-3.1896809999999998E-6</v>
      </c>
      <c r="I6674">
        <v>-62.136789999999998</v>
      </c>
      <c r="J6674">
        <v>-278.37079999999997</v>
      </c>
      <c r="K6674">
        <v>1.118347</v>
      </c>
      <c r="L6674">
        <v>-62.409610000000001</v>
      </c>
      <c r="M6674">
        <v>0.98391930000000005</v>
      </c>
      <c r="N6674">
        <v>-1.167786E-2</v>
      </c>
      <c r="O6674">
        <v>-0.17823159999999999</v>
      </c>
      <c r="P6674">
        <v>0.91268039999999995</v>
      </c>
      <c r="Q6674">
        <v>0.40536480000000003</v>
      </c>
      <c r="R6674">
        <v>5.190144E-2</v>
      </c>
      <c r="S6674">
        <v>3.4584959999999998</v>
      </c>
      <c r="T6674">
        <v>-0.39748990000000001</v>
      </c>
      <c r="U6674">
        <v>8.8684079999999998E-2</v>
      </c>
      <c r="V6674">
        <v>-0.2215434</v>
      </c>
      <c r="W6674">
        <v>0.41161609999999998</v>
      </c>
      <c r="X6674">
        <v>0.88401960000000002</v>
      </c>
      <c r="Y6674">
        <v>-0.20101240000000001</v>
      </c>
      <c r="Z6674">
        <v>3.0950419999999999E-2</v>
      </c>
      <c r="AA6674">
        <v>0.97909959999999996</v>
      </c>
      <c r="AB6674">
        <v>31</v>
      </c>
      <c r="AC6674">
        <v>9.5837999999999397</v>
      </c>
      <c r="AD6674">
        <v>-1.118350189681</v>
      </c>
      <c r="AE6674">
        <v>0.27281999999999501</v>
      </c>
      <c r="AF6674">
        <v>-1.95016971600639</v>
      </c>
      <c r="AG6674">
        <v>-1.118350189681</v>
      </c>
      <c r="AH6674">
        <v>9.2557667138374597</v>
      </c>
      <c r="AI6674">
        <v>96.742865319014101</v>
      </c>
      <c r="AJ6674">
        <v>101.898066236242</v>
      </c>
      <c r="AK6674">
        <v>9.5248667459954302</v>
      </c>
      <c r="AL6674">
        <v>65.693603108915894</v>
      </c>
      <c r="AM6674">
        <v>104.069087405427</v>
      </c>
      <c r="AN6674">
        <v>0.99999997252346395</v>
      </c>
    </row>
    <row r="6675" spans="1:40" x14ac:dyDescent="0.25">
      <c r="A6675" t="str">
        <f>"20190304165017223"</f>
        <v>20190304165017223</v>
      </c>
      <c r="B6675" t="str">
        <f>"1551689417212425"</f>
        <v>1551689417212425</v>
      </c>
      <c r="C6675" t="s">
        <v>40</v>
      </c>
      <c r="D6675">
        <v>4.3930339999999903</v>
      </c>
      <c r="E6675">
        <v>0.51442949999999998</v>
      </c>
      <c r="F6675" t="s">
        <v>42</v>
      </c>
      <c r="G6675">
        <v>-268.62459999999999</v>
      </c>
      <c r="H6675" s="1">
        <v>-3.1286040000000001E-6</v>
      </c>
      <c r="I6675">
        <v>-62.104030000000002</v>
      </c>
      <c r="J6675">
        <v>-278.22000000000003</v>
      </c>
      <c r="K6675">
        <v>1.118271</v>
      </c>
      <c r="L6675">
        <v>-62.432619999999901</v>
      </c>
      <c r="M6675">
        <v>0.98472479999999996</v>
      </c>
      <c r="N6675">
        <v>-1.162879E-2</v>
      </c>
      <c r="O6675">
        <v>-0.17372969999999999</v>
      </c>
      <c r="P6675">
        <v>0.91257319999999997</v>
      </c>
      <c r="Q6675">
        <v>0.40521010000000002</v>
      </c>
      <c r="R6675">
        <v>5.4912049999999997E-2</v>
      </c>
      <c r="S6675">
        <v>3.4570620000000001</v>
      </c>
      <c r="T6675">
        <v>-0.39668829999999999</v>
      </c>
      <c r="U6675">
        <v>0.1083679</v>
      </c>
      <c r="V6675">
        <v>-0.2203504</v>
      </c>
      <c r="W6675">
        <v>0.4114796</v>
      </c>
      <c r="X6675">
        <v>0.88438130000000004</v>
      </c>
      <c r="Y6675">
        <v>-0.2021375</v>
      </c>
      <c r="Z6675">
        <v>3.051835E-2</v>
      </c>
      <c r="AA6675">
        <v>0.97888149999999996</v>
      </c>
      <c r="AB6675">
        <v>31</v>
      </c>
      <c r="AC6675">
        <v>9.5954000000000299</v>
      </c>
      <c r="AD6675">
        <v>-1.1182741286040001</v>
      </c>
      <c r="AE6675">
        <v>0.328589999999991</v>
      </c>
      <c r="AF6675">
        <v>-1.9640660148850799</v>
      </c>
      <c r="AG6675">
        <v>-1.1182741286040001</v>
      </c>
      <c r="AH6675">
        <v>9.2666624739662495</v>
      </c>
      <c r="AI6675">
        <v>96.732866485140406</v>
      </c>
      <c r="AJ6675">
        <v>101.96672645108799</v>
      </c>
      <c r="AK6675">
        <v>9.5382978431136092</v>
      </c>
      <c r="AL6675">
        <v>65.702185662945396</v>
      </c>
      <c r="AM6675">
        <v>103.99081242746399</v>
      </c>
      <c r="AN6675">
        <v>1.0000000218930001</v>
      </c>
    </row>
    <row r="6676" spans="1:40" x14ac:dyDescent="0.25">
      <c r="A6676" t="str">
        <f>"20190304165017233"</f>
        <v>20190304165017233</v>
      </c>
      <c r="B6676" t="str">
        <f>"1551689417222185"</f>
        <v>1551689417222185</v>
      </c>
      <c r="C6676" t="s">
        <v>40</v>
      </c>
      <c r="D6676">
        <v>4.3807790000000004</v>
      </c>
      <c r="E6676">
        <v>0.51374140000000001</v>
      </c>
      <c r="F6676" t="s">
        <v>42</v>
      </c>
      <c r="G6676">
        <v>-268.43830000000003</v>
      </c>
      <c r="H6676" s="1">
        <v>-3.0599070000000001E-6</v>
      </c>
      <c r="I6676">
        <v>-62.074269999999999</v>
      </c>
      <c r="J6676">
        <v>-278.06670000000003</v>
      </c>
      <c r="K6676">
        <v>1.1181859999999999</v>
      </c>
      <c r="L6676">
        <v>-62.455629999999999</v>
      </c>
      <c r="M6676">
        <v>0.98551619999999995</v>
      </c>
      <c r="N6676">
        <v>-1.15782E-2</v>
      </c>
      <c r="O6676">
        <v>-0.16918620000000001</v>
      </c>
      <c r="P6676">
        <v>0.91236399999999995</v>
      </c>
      <c r="Q6676">
        <v>0.40522540000000001</v>
      </c>
      <c r="R6676">
        <v>5.8176940000000003E-2</v>
      </c>
      <c r="S6676">
        <v>3.4552</v>
      </c>
      <c r="T6676">
        <v>-0.39500859999999999</v>
      </c>
      <c r="U6676">
        <v>0.12655640000000001</v>
      </c>
      <c r="V6676">
        <v>-0.2193551</v>
      </c>
      <c r="W6676">
        <v>0.41150999999999999</v>
      </c>
      <c r="X6676">
        <v>0.88461449999999997</v>
      </c>
      <c r="Y6676">
        <v>-0.20282210000000001</v>
      </c>
      <c r="Z6676">
        <v>2.999013E-2</v>
      </c>
      <c r="AA6676">
        <v>0.97875619999999997</v>
      </c>
      <c r="AB6676">
        <v>31</v>
      </c>
      <c r="AC6676">
        <v>9.6283999999999992</v>
      </c>
      <c r="AD6676">
        <v>-1.1181890599069999</v>
      </c>
      <c r="AE6676">
        <v>0.38136000000000703</v>
      </c>
      <c r="AF6676">
        <v>-1.97832278317203</v>
      </c>
      <c r="AG6676">
        <v>-1.1181890599069999</v>
      </c>
      <c r="AH6676">
        <v>9.2998218994284105</v>
      </c>
      <c r="AI6676">
        <v>96.707523570612395</v>
      </c>
      <c r="AJ6676">
        <v>102.00934040690601</v>
      </c>
      <c r="AK6676">
        <v>9.5734421797596596</v>
      </c>
      <c r="AL6676">
        <v>65.700273405290901</v>
      </c>
      <c r="AM6676">
        <v>103.926554387374</v>
      </c>
      <c r="AN6676">
        <v>0.99999997680312902</v>
      </c>
    </row>
    <row r="6677" spans="1:40" x14ac:dyDescent="0.25">
      <c r="A6677" t="str">
        <f>"20190304165017245"</f>
        <v>20190304165017245</v>
      </c>
      <c r="B6677" t="str">
        <f>"1551689417242681"</f>
        <v>1551689417242681</v>
      </c>
      <c r="C6677" t="s">
        <v>40</v>
      </c>
      <c r="D6677">
        <v>4.403473</v>
      </c>
      <c r="E6677">
        <v>0.51274560000000002</v>
      </c>
      <c r="F6677" t="s">
        <v>52</v>
      </c>
      <c r="G6677">
        <v>-268.26850000000002</v>
      </c>
      <c r="H6677" s="1">
        <v>-2.9947809999999998E-6</v>
      </c>
      <c r="I6677">
        <v>-62.046250000000001</v>
      </c>
      <c r="J6677">
        <v>-277.91399999999999</v>
      </c>
      <c r="K6677">
        <v>1.118088</v>
      </c>
      <c r="L6677">
        <v>-62.47748</v>
      </c>
      <c r="M6677">
        <v>0.98626409999999998</v>
      </c>
      <c r="N6677">
        <v>-1.152371E-2</v>
      </c>
      <c r="O6677">
        <v>-0.1647737</v>
      </c>
      <c r="P6677">
        <v>0.91230540000000004</v>
      </c>
      <c r="Q6677">
        <v>0.40484949999999997</v>
      </c>
      <c r="R6677">
        <v>6.1611819999999998E-2</v>
      </c>
      <c r="S6677">
        <v>3.4540709999999999</v>
      </c>
      <c r="T6677">
        <v>-0.3941847</v>
      </c>
      <c r="U6677">
        <v>0.1442871</v>
      </c>
      <c r="V6677">
        <v>-0.21865580000000001</v>
      </c>
      <c r="W6677">
        <v>0.41114669999999998</v>
      </c>
      <c r="X6677">
        <v>0.88495650000000003</v>
      </c>
      <c r="Y6677">
        <v>-0.2034958</v>
      </c>
      <c r="Z6677">
        <v>2.953565E-2</v>
      </c>
      <c r="AA6677">
        <v>0.97863020000000001</v>
      </c>
      <c r="AB6677">
        <v>31</v>
      </c>
      <c r="AC6677">
        <v>9.64549999999997</v>
      </c>
      <c r="AD6677">
        <v>-1.118090994781</v>
      </c>
      <c r="AE6677">
        <v>0.431230000000006</v>
      </c>
      <c r="AF6677">
        <v>-1.98810411028179</v>
      </c>
      <c r="AG6677">
        <v>-1.118090994781</v>
      </c>
      <c r="AH6677">
        <v>9.3176298425055197</v>
      </c>
      <c r="AI6677">
        <v>96.693369275494007</v>
      </c>
      <c r="AJ6677">
        <v>102.044592938332</v>
      </c>
      <c r="AK6677">
        <v>9.5927530619671</v>
      </c>
      <c r="AL6677">
        <v>65.723110593639205</v>
      </c>
      <c r="AM6677">
        <v>103.878718962497</v>
      </c>
      <c r="AN6677">
        <v>0.99999998734339002</v>
      </c>
    </row>
    <row r="6678" spans="1:40" x14ac:dyDescent="0.25">
      <c r="A6678" t="str">
        <f>"20190304165017257"</f>
        <v>20190304165017257</v>
      </c>
      <c r="B6678" t="str">
        <f>"1551689417252440"</f>
        <v>1551689417252440</v>
      </c>
      <c r="C6678" t="s">
        <v>40</v>
      </c>
      <c r="D6678">
        <v>4.3937989999999996</v>
      </c>
      <c r="E6678">
        <v>0.5123607</v>
      </c>
      <c r="F6678" t="s">
        <v>42</v>
      </c>
      <c r="G6678">
        <v>-268.12439999999998</v>
      </c>
      <c r="H6678" s="1">
        <v>-2.9236630000000001E-6</v>
      </c>
      <c r="I6678">
        <v>-62.011229999999998</v>
      </c>
      <c r="J6678">
        <v>-277.75709999999998</v>
      </c>
      <c r="K6678">
        <v>1.1179870000000001</v>
      </c>
      <c r="L6678">
        <v>-62.499659999999999</v>
      </c>
      <c r="M6678">
        <v>0.98700670000000001</v>
      </c>
      <c r="N6678">
        <v>-1.1467359999999999E-2</v>
      </c>
      <c r="O6678">
        <v>-0.16026979999999999</v>
      </c>
      <c r="P6678">
        <v>0.91216649999999999</v>
      </c>
      <c r="Q6678">
        <v>0.40460879999999999</v>
      </c>
      <c r="R6678">
        <v>6.5146339999999997E-2</v>
      </c>
      <c r="S6678">
        <v>3.4522400000000002</v>
      </c>
      <c r="T6678">
        <v>-0.3942889</v>
      </c>
      <c r="U6678">
        <v>0.16439819999999999</v>
      </c>
      <c r="V6678">
        <v>-0.21796070000000001</v>
      </c>
      <c r="W6678">
        <v>0.41091929999999999</v>
      </c>
      <c r="X6678">
        <v>0.88523349999999901</v>
      </c>
      <c r="Y6678">
        <v>-0.20475009999999999</v>
      </c>
      <c r="Z6678">
        <v>2.9184290000000002E-2</v>
      </c>
      <c r="AA6678">
        <v>0.97837909999999995</v>
      </c>
      <c r="AB6678">
        <v>31</v>
      </c>
      <c r="AC6678">
        <v>9.6326999999999998</v>
      </c>
      <c r="AD6678">
        <v>-1.117989923663</v>
      </c>
      <c r="AE6678">
        <v>0.48842999999999298</v>
      </c>
      <c r="AF6678">
        <v>-1.9991869265458599</v>
      </c>
      <c r="AG6678">
        <v>-1.117989923663</v>
      </c>
      <c r="AH6678">
        <v>9.3048597316995103</v>
      </c>
      <c r="AI6678">
        <v>96.699854276420893</v>
      </c>
      <c r="AJ6678">
        <v>102.125887837788</v>
      </c>
      <c r="AK6678">
        <v>9.5826439182141705</v>
      </c>
      <c r="AL6678">
        <v>65.7374016646326</v>
      </c>
      <c r="AM6678">
        <v>103.832133640327</v>
      </c>
      <c r="AN6678">
        <v>0.99999994368961298</v>
      </c>
    </row>
    <row r="6679" spans="1:40" x14ac:dyDescent="0.25">
      <c r="A6679" t="str">
        <f>"20190304165017268"</f>
        <v>20190304165017268</v>
      </c>
      <c r="B6679" t="str">
        <f>"1551689417262200"</f>
        <v>1551689417262200</v>
      </c>
      <c r="C6679" t="s">
        <v>40</v>
      </c>
      <c r="D6679">
        <v>4.3865619999999996</v>
      </c>
      <c r="E6679">
        <v>0.51205219999999996</v>
      </c>
      <c r="F6679" t="s">
        <v>42</v>
      </c>
      <c r="G6679">
        <v>-267.98360000000002</v>
      </c>
      <c r="H6679" s="1">
        <v>-2.8570619999999999E-6</v>
      </c>
      <c r="I6679">
        <v>-61.987870000000001</v>
      </c>
      <c r="J6679">
        <v>-277.601</v>
      </c>
      <c r="K6679">
        <v>1.1178709999999901</v>
      </c>
      <c r="L6679">
        <v>-62.520780000000002</v>
      </c>
      <c r="M6679">
        <v>0.98770619999999998</v>
      </c>
      <c r="N6679">
        <v>-1.1408079999999999E-2</v>
      </c>
      <c r="O6679">
        <v>-0.15590519999999999</v>
      </c>
      <c r="P6679">
        <v>0.91193829999999998</v>
      </c>
      <c r="Q6679">
        <v>0.4045723</v>
      </c>
      <c r="R6679">
        <v>6.8482609999999999E-2</v>
      </c>
      <c r="S6679">
        <v>3.4510800000000001</v>
      </c>
      <c r="T6679">
        <v>-0.39477109999999999</v>
      </c>
      <c r="U6679">
        <v>0.18069460000000001</v>
      </c>
      <c r="V6679">
        <v>-0.21717929999999999</v>
      </c>
      <c r="W6679">
        <v>0.41089979999999998</v>
      </c>
      <c r="X6679">
        <v>0.88543459999999996</v>
      </c>
      <c r="Y6679">
        <v>-0.20506260000000001</v>
      </c>
      <c r="Z6679">
        <v>2.8808710000000001E-2</v>
      </c>
      <c r="AA6679">
        <v>0.97832479999999999</v>
      </c>
      <c r="AB6679">
        <v>31</v>
      </c>
      <c r="AC6679">
        <v>9.6173999999999698</v>
      </c>
      <c r="AD6679">
        <v>-1.1178738570619999</v>
      </c>
      <c r="AE6679">
        <v>0.53291000000000799</v>
      </c>
      <c r="AF6679">
        <v>-1.9989685767721499</v>
      </c>
      <c r="AG6679">
        <v>-1.1178738570619999</v>
      </c>
      <c r="AH6679">
        <v>9.2915455885530704</v>
      </c>
      <c r="AI6679">
        <v>96.708288589885598</v>
      </c>
      <c r="AJ6679">
        <v>102.141461251461</v>
      </c>
      <c r="AK6679">
        <v>9.5696570866141908</v>
      </c>
      <c r="AL6679">
        <v>65.738627658186999</v>
      </c>
      <c r="AM6679">
        <v>103.781428059389</v>
      </c>
      <c r="AN6679">
        <v>0.99999996243284395</v>
      </c>
    </row>
    <row r="6680" spans="1:40" x14ac:dyDescent="0.25">
      <c r="A6680" t="str">
        <f>"20190304165017279"</f>
        <v>20190304165017279</v>
      </c>
      <c r="B6680" t="str">
        <f>"1551689417271960"</f>
        <v>1551689417271960</v>
      </c>
      <c r="C6680" t="s">
        <v>40</v>
      </c>
      <c r="D6680">
        <v>4.3923920000000001</v>
      </c>
      <c r="E6680">
        <v>0.51180239999999999</v>
      </c>
      <c r="F6680" t="s">
        <v>42</v>
      </c>
      <c r="G6680">
        <v>-267.83449999999999</v>
      </c>
      <c r="H6680" s="1">
        <v>-2.7871890000000001E-6</v>
      </c>
      <c r="I6680">
        <v>-61.965679999999999</v>
      </c>
      <c r="J6680">
        <v>-277.45519999999999</v>
      </c>
      <c r="K6680">
        <v>1.117772</v>
      </c>
      <c r="L6680">
        <v>-62.540129999999998</v>
      </c>
      <c r="M6680">
        <v>0.98833479999999996</v>
      </c>
      <c r="N6680">
        <v>-1.1353159999999999E-2</v>
      </c>
      <c r="O6680">
        <v>-0.15187339999999999</v>
      </c>
      <c r="P6680">
        <v>0.9119292</v>
      </c>
      <c r="Q6680">
        <v>0.4041228</v>
      </c>
      <c r="R6680">
        <v>7.120319E-2</v>
      </c>
      <c r="S6680">
        <v>3.4501650000000001</v>
      </c>
      <c r="T6680">
        <v>-0.39490649999999999</v>
      </c>
      <c r="U6680">
        <v>0.19607540000000001</v>
      </c>
      <c r="V6680">
        <v>-0.2161264</v>
      </c>
      <c r="W6680">
        <v>0.41047460000000002</v>
      </c>
      <c r="X6680">
        <v>0.88588940000000005</v>
      </c>
      <c r="Y6680">
        <v>-0.20544809999999999</v>
      </c>
      <c r="Z6680">
        <v>2.8441569999999999E-2</v>
      </c>
      <c r="AA6680">
        <v>0.97825470000000003</v>
      </c>
      <c r="AB6680">
        <v>31</v>
      </c>
      <c r="AC6680">
        <v>9.6206999999999994</v>
      </c>
      <c r="AD6680">
        <v>-1.117774787189</v>
      </c>
      <c r="AE6680">
        <v>0.57444999999999802</v>
      </c>
      <c r="AF6680">
        <v>-2.00207835986</v>
      </c>
      <c r="AG6680">
        <v>-1.117774787189</v>
      </c>
      <c r="AH6680">
        <v>9.2967860377388494</v>
      </c>
      <c r="AI6680">
        <v>96.703661513809905</v>
      </c>
      <c r="AJ6680">
        <v>102.153137509787</v>
      </c>
      <c r="AK6680">
        <v>9.5753834839859593</v>
      </c>
      <c r="AL6680">
        <v>65.765348690049194</v>
      </c>
      <c r="AM6680">
        <v>103.71036813407601</v>
      </c>
      <c r="AN6680">
        <v>1.0000000235272299</v>
      </c>
    </row>
    <row r="6681" spans="1:40" x14ac:dyDescent="0.25">
      <c r="A6681" t="str">
        <f>"20190304165017289"</f>
        <v>20190304165017289</v>
      </c>
      <c r="B6681" t="str">
        <f>"1551689417282697"</f>
        <v>1551689417282697</v>
      </c>
      <c r="C6681" t="s">
        <v>40</v>
      </c>
      <c r="D6681">
        <v>4.399966</v>
      </c>
      <c r="E6681">
        <v>0.51165919999999998</v>
      </c>
      <c r="F6681" t="s">
        <v>42</v>
      </c>
      <c r="G6681">
        <v>-267.73480000000001</v>
      </c>
      <c r="H6681" s="1">
        <v>-2.7395280000000001E-6</v>
      </c>
      <c r="I6681">
        <v>-61.947389999999999</v>
      </c>
      <c r="J6681">
        <v>-277.31009999999998</v>
      </c>
      <c r="K6681">
        <v>1.117666</v>
      </c>
      <c r="L6681">
        <v>-62.558779999999999</v>
      </c>
      <c r="M6681">
        <v>0.98893200000000003</v>
      </c>
      <c r="N6681">
        <v>-1.129868E-2</v>
      </c>
      <c r="O6681">
        <v>-0.14793909999999999</v>
      </c>
      <c r="P6681">
        <v>0.91180399999999995</v>
      </c>
      <c r="Q6681">
        <v>0.40391070000000001</v>
      </c>
      <c r="R6681">
        <v>7.395968E-2</v>
      </c>
      <c r="S6681">
        <v>3.4490660000000002</v>
      </c>
      <c r="T6681">
        <v>-0.39661610000000003</v>
      </c>
      <c r="U6681">
        <v>0.2102966</v>
      </c>
      <c r="V6681">
        <v>-0.21518409999999999</v>
      </c>
      <c r="W6681">
        <v>0.4102845</v>
      </c>
      <c r="X6681">
        <v>0.88620669999999901</v>
      </c>
      <c r="Y6681">
        <v>-0.205591</v>
      </c>
      <c r="Z6681">
        <v>2.818242E-2</v>
      </c>
      <c r="AA6681">
        <v>0.97823210000000005</v>
      </c>
      <c r="AB6681">
        <v>31</v>
      </c>
      <c r="AC6681">
        <v>9.5752999999999702</v>
      </c>
      <c r="AD6681">
        <v>-1.1176687395280001</v>
      </c>
      <c r="AE6681">
        <v>0.61138999999999999</v>
      </c>
      <c r="AF6681">
        <v>-1.9942528563747099</v>
      </c>
      <c r="AG6681">
        <v>-1.1176687395280001</v>
      </c>
      <c r="AH6681">
        <v>9.2539020508086693</v>
      </c>
      <c r="AI6681">
        <v>96.733600328280403</v>
      </c>
      <c r="AJ6681">
        <v>102.161478214314</v>
      </c>
      <c r="AK6681">
        <v>9.5321000326495593</v>
      </c>
      <c r="AL6681">
        <v>65.777290593609493</v>
      </c>
      <c r="AM6681">
        <v>103.648128004765</v>
      </c>
      <c r="AN6681">
        <v>0.99999994147897298</v>
      </c>
    </row>
    <row r="6682" spans="1:40" x14ac:dyDescent="0.25">
      <c r="A6682" t="str">
        <f>"20190304165017301"</f>
        <v>20190304165017301</v>
      </c>
      <c r="B6682" t="str">
        <f>"1551689417292457"</f>
        <v>1551689417292457</v>
      </c>
      <c r="C6682" t="s">
        <v>40</v>
      </c>
      <c r="D6682">
        <v>4.3112409999999999</v>
      </c>
      <c r="E6682">
        <v>0.51123589999999997</v>
      </c>
      <c r="F6682" t="s">
        <v>42</v>
      </c>
      <c r="G6682">
        <v>-267.6241</v>
      </c>
      <c r="H6682" s="1">
        <v>-2.6876759999999999E-6</v>
      </c>
      <c r="I6682">
        <v>-61.930889999999998</v>
      </c>
      <c r="J6682">
        <v>-277.15370000000001</v>
      </c>
      <c r="K6682">
        <v>1.117551</v>
      </c>
      <c r="L6682">
        <v>-62.578249999999997</v>
      </c>
      <c r="M6682">
        <v>0.9895465</v>
      </c>
      <c r="N6682">
        <v>-1.124021E-2</v>
      </c>
      <c r="O6682">
        <v>-0.14377590000000001</v>
      </c>
      <c r="P6682">
        <v>0.91159380000000001</v>
      </c>
      <c r="Q6682">
        <v>0.40382899999999999</v>
      </c>
      <c r="R6682">
        <v>7.6935809999999993E-2</v>
      </c>
      <c r="S6682">
        <v>3.4483030000000001</v>
      </c>
      <c r="T6682">
        <v>-0.39790300000000001</v>
      </c>
      <c r="U6682">
        <v>0.22351070000000001</v>
      </c>
      <c r="V6682">
        <v>-0.21423690000000001</v>
      </c>
      <c r="W6682">
        <v>0.41022540000000002</v>
      </c>
      <c r="X6682">
        <v>0.88646360000000002</v>
      </c>
      <c r="Y6682">
        <v>-0.20523050000000001</v>
      </c>
      <c r="Z6682">
        <v>2.7830669999999998E-2</v>
      </c>
      <c r="AA6682">
        <v>0.97831789999999996</v>
      </c>
      <c r="AB6682">
        <v>31</v>
      </c>
      <c r="AC6682">
        <v>9.5296000000000092</v>
      </c>
      <c r="AD6682">
        <v>-1.1175536876759999</v>
      </c>
      <c r="AE6682">
        <v>0.64735999999999105</v>
      </c>
      <c r="AF6682">
        <v>-1.9836907861036499</v>
      </c>
      <c r="AG6682">
        <v>-1.1175536876759999</v>
      </c>
      <c r="AH6682">
        <v>9.2113973220782004</v>
      </c>
      <c r="AI6682">
        <v>96.763904464589004</v>
      </c>
      <c r="AJ6682">
        <v>102.153143623037</v>
      </c>
      <c r="AK6682">
        <v>9.4886140191758308</v>
      </c>
      <c r="AL6682">
        <v>65.781005682447301</v>
      </c>
      <c r="AM6682">
        <v>103.58649175748</v>
      </c>
      <c r="AN6682">
        <v>1.00000002112586</v>
      </c>
    </row>
    <row r="6683" spans="1:40" x14ac:dyDescent="0.25">
      <c r="A6683" t="str">
        <f>"20190304165017311"</f>
        <v>20190304165017311</v>
      </c>
      <c r="B6683" t="str">
        <f>"1551689417302217"</f>
        <v>1551689417302217</v>
      </c>
      <c r="C6683" t="s">
        <v>40</v>
      </c>
      <c r="D6683">
        <v>4.4162239999999997</v>
      </c>
      <c r="E6683">
        <v>0.51121839999999996</v>
      </c>
      <c r="F6683" t="s">
        <v>42</v>
      </c>
      <c r="G6683">
        <v>-267.37349999999998</v>
      </c>
      <c r="H6683" s="1">
        <v>-2.5712550000000001E-6</v>
      </c>
      <c r="I6683">
        <v>-61.897399999999998</v>
      </c>
      <c r="J6683">
        <v>-277.00599999999997</v>
      </c>
      <c r="K6683">
        <v>1.11744</v>
      </c>
      <c r="L6683">
        <v>-62.596249999999998</v>
      </c>
      <c r="M6683">
        <v>0.99010160000000003</v>
      </c>
      <c r="N6683">
        <v>-1.118541E-2</v>
      </c>
      <c r="O6683">
        <v>-0.1399059</v>
      </c>
      <c r="P6683">
        <v>0.91149409999999997</v>
      </c>
      <c r="Q6683">
        <v>0.4035686</v>
      </c>
      <c r="R6683">
        <v>7.9441609999999996E-2</v>
      </c>
      <c r="S6683">
        <v>3.4450989999999999</v>
      </c>
      <c r="T6683">
        <v>-0.3936635</v>
      </c>
      <c r="U6683">
        <v>0.2398071</v>
      </c>
      <c r="V6683">
        <v>-0.2131094</v>
      </c>
      <c r="W6683">
        <v>0.40999190000000002</v>
      </c>
      <c r="X6683">
        <v>0.8868433</v>
      </c>
      <c r="Y6683">
        <v>-0.20612949999999999</v>
      </c>
      <c r="Z6683">
        <v>2.7218280000000001E-2</v>
      </c>
      <c r="AA6683">
        <v>0.97814610000000002</v>
      </c>
      <c r="AB6683">
        <v>31</v>
      </c>
      <c r="AC6683">
        <v>9.6324999999999896</v>
      </c>
      <c r="AD6683">
        <v>-1.117442571255</v>
      </c>
      <c r="AE6683">
        <v>0.69884999999999997</v>
      </c>
      <c r="AF6683">
        <v>-2.01275837147262</v>
      </c>
      <c r="AG6683">
        <v>-1.117442571255</v>
      </c>
      <c r="AH6683">
        <v>9.3152651230103398</v>
      </c>
      <c r="AI6683">
        <v>96.687530774823699</v>
      </c>
      <c r="AJ6683">
        <v>102.19251817007</v>
      </c>
      <c r="AK6683">
        <v>9.5955217926884497</v>
      </c>
      <c r="AL6683">
        <v>65.795674196639098</v>
      </c>
      <c r="AM6683">
        <v>103.512043090414</v>
      </c>
      <c r="AN6683">
        <v>1.0000000065944299</v>
      </c>
    </row>
    <row r="6684" spans="1:40" x14ac:dyDescent="0.25">
      <c r="A6684" t="str">
        <f>"20190304165017324"</f>
        <v>20190304165017324</v>
      </c>
      <c r="B6684" t="str">
        <f>"1551689417311977"</f>
        <v>1551689417311977</v>
      </c>
      <c r="C6684" t="s">
        <v>40</v>
      </c>
      <c r="D6684">
        <v>4.3846949999999998</v>
      </c>
      <c r="E6684">
        <v>0.5111907</v>
      </c>
      <c r="F6684" t="s">
        <v>42</v>
      </c>
      <c r="G6684">
        <v>-267.24450000000002</v>
      </c>
      <c r="H6684" s="1">
        <v>-2.512443E-6</v>
      </c>
      <c r="I6684">
        <v>-61.884309999999999</v>
      </c>
      <c r="J6684">
        <v>-276.84840000000003</v>
      </c>
      <c r="K6684">
        <v>1.1173230000000001</v>
      </c>
      <c r="L6684">
        <v>-62.614690000000003</v>
      </c>
      <c r="M6684">
        <v>0.99066189999999998</v>
      </c>
      <c r="N6684">
        <v>-1.112573E-2</v>
      </c>
      <c r="O6684">
        <v>-0.1358869</v>
      </c>
      <c r="P6684">
        <v>0.91138209999999997</v>
      </c>
      <c r="Q6684">
        <v>0.40326139999999999</v>
      </c>
      <c r="R6684">
        <v>8.2235669999999997E-2</v>
      </c>
      <c r="S6684">
        <v>3.444</v>
      </c>
      <c r="T6684">
        <v>-0.39425130000000003</v>
      </c>
      <c r="U6684">
        <v>0.25115969999999999</v>
      </c>
      <c r="V6684">
        <v>-0.21212439999999999</v>
      </c>
      <c r="W6684">
        <v>0.40970869999999998</v>
      </c>
      <c r="X6684">
        <v>0.88721019999999995</v>
      </c>
      <c r="Y6684">
        <v>-0.20540849999999999</v>
      </c>
      <c r="Z6684">
        <v>2.681213E-2</v>
      </c>
      <c r="AA6684">
        <v>0.97830899999999998</v>
      </c>
      <c r="AB6684">
        <v>31</v>
      </c>
      <c r="AC6684">
        <v>9.6039000000000101</v>
      </c>
      <c r="AD6684">
        <v>-1.1173255124429999</v>
      </c>
      <c r="AE6684">
        <v>0.73038000000000303</v>
      </c>
      <c r="AF6684">
        <v>-2.0017905698186902</v>
      </c>
      <c r="AG6684">
        <v>-1.1173255124429999</v>
      </c>
      <c r="AH6684">
        <v>9.2905254864927596</v>
      </c>
      <c r="AI6684">
        <v>96.705309906232898</v>
      </c>
      <c r="AJ6684">
        <v>102.159387312159</v>
      </c>
      <c r="AK6684">
        <v>9.5691925260882194</v>
      </c>
      <c r="AL6684">
        <v>65.813461850508602</v>
      </c>
      <c r="AM6684">
        <v>103.446503827886</v>
      </c>
      <c r="AN6684">
        <v>0.99999995945754405</v>
      </c>
    </row>
    <row r="6685" spans="1:40" x14ac:dyDescent="0.25">
      <c r="A6685" t="str">
        <f>"20190304165017335"</f>
        <v>20190304165017335</v>
      </c>
      <c r="B6685" t="str">
        <f>"1551689417332473"</f>
        <v>1551689417332473</v>
      </c>
      <c r="C6685" t="s">
        <v>40</v>
      </c>
      <c r="D6685">
        <v>4.4076000000000004</v>
      </c>
      <c r="E6685">
        <v>0.5112141</v>
      </c>
      <c r="F6685" t="s">
        <v>42</v>
      </c>
      <c r="G6685">
        <v>-267.11790000000002</v>
      </c>
      <c r="H6685" s="1">
        <v>-2.4539130000000001E-6</v>
      </c>
      <c r="I6685">
        <v>-61.868540000000003</v>
      </c>
      <c r="J6685">
        <v>-276.69589999999999</v>
      </c>
      <c r="K6685">
        <v>1.117205</v>
      </c>
      <c r="L6685">
        <v>-62.632260000000002</v>
      </c>
      <c r="M6685">
        <v>0.99118360000000005</v>
      </c>
      <c r="N6685">
        <v>-1.1068349999999999E-2</v>
      </c>
      <c r="O6685">
        <v>-0.13203389999999901</v>
      </c>
      <c r="P6685">
        <v>0.9112114</v>
      </c>
      <c r="Q6685">
        <v>0.40315010000000001</v>
      </c>
      <c r="R6685">
        <v>8.4640010000000002E-2</v>
      </c>
      <c r="S6685">
        <v>3.442841</v>
      </c>
      <c r="T6685">
        <v>-0.39533279999999998</v>
      </c>
      <c r="U6685">
        <v>0.26397710000000002</v>
      </c>
      <c r="V6685">
        <v>-0.21090439999999999</v>
      </c>
      <c r="W6685">
        <v>0.4096244</v>
      </c>
      <c r="X6685">
        <v>0.88754</v>
      </c>
      <c r="Y6685">
        <v>-0.20525889999999999</v>
      </c>
      <c r="Z6685">
        <v>2.6489680000000002E-2</v>
      </c>
      <c r="AA6685">
        <v>0.97834909999999997</v>
      </c>
      <c r="AB6685">
        <v>31</v>
      </c>
      <c r="AC6685">
        <v>9.5779999999999692</v>
      </c>
      <c r="AD6685">
        <v>-1.1172074539129999</v>
      </c>
      <c r="AE6685">
        <v>0.76371999999999196</v>
      </c>
      <c r="AF6685">
        <v>-1.9947623921127899</v>
      </c>
      <c r="AG6685">
        <v>-1.1172074539129999</v>
      </c>
      <c r="AH6685">
        <v>9.2679931284137105</v>
      </c>
      <c r="AI6685">
        <v>96.721080559191904</v>
      </c>
      <c r="AJ6685">
        <v>102.14654763032399</v>
      </c>
      <c r="AK6685">
        <v>9.5458329193627804</v>
      </c>
      <c r="AL6685">
        <v>65.818758474563097</v>
      </c>
      <c r="AM6685">
        <v>103.367163259599</v>
      </c>
      <c r="AN6685">
        <v>1.00000003330735</v>
      </c>
    </row>
    <row r="6686" spans="1:40" x14ac:dyDescent="0.25">
      <c r="A6686" t="str">
        <f>"20190304165017346"</f>
        <v>20190304165017346</v>
      </c>
      <c r="B6686" t="str">
        <f>"1551689417342232"</f>
        <v>1551689417342232</v>
      </c>
      <c r="C6686" t="s">
        <v>40</v>
      </c>
      <c r="D6686">
        <v>4.4126940000000001</v>
      </c>
      <c r="E6686">
        <v>0.51135240000000004</v>
      </c>
      <c r="F6686" t="s">
        <v>42</v>
      </c>
      <c r="G6686">
        <v>-267.00909999999999</v>
      </c>
      <c r="H6686" s="1">
        <v>-2.404836E-6</v>
      </c>
      <c r="I6686">
        <v>-61.859580000000001</v>
      </c>
      <c r="J6686">
        <v>-276.5471</v>
      </c>
      <c r="K6686">
        <v>1.1170910000000001</v>
      </c>
      <c r="L6686">
        <v>-62.648530000000001</v>
      </c>
      <c r="M6686">
        <v>0.99165910000000002</v>
      </c>
      <c r="N6686">
        <v>-1.100988E-2</v>
      </c>
      <c r="O6686">
        <v>-0.12841849999999999</v>
      </c>
      <c r="P6686">
        <v>0.91106790000000004</v>
      </c>
      <c r="Q6686">
        <v>0.40300350000000001</v>
      </c>
      <c r="R6686">
        <v>8.6854470000000003E-2</v>
      </c>
      <c r="S6686">
        <v>3.4424739999999998</v>
      </c>
      <c r="T6686">
        <v>-0.39702900000000002</v>
      </c>
      <c r="U6686">
        <v>0.2745667</v>
      </c>
      <c r="V6686">
        <v>-0.20971480000000001</v>
      </c>
      <c r="W6686">
        <v>0.4095029</v>
      </c>
      <c r="X6686">
        <v>0.88787780000000005</v>
      </c>
      <c r="Y6686">
        <v>-0.20469519999999999</v>
      </c>
      <c r="Z6686">
        <v>2.6197439999999999E-2</v>
      </c>
      <c r="AA6686">
        <v>0.97847519999999999</v>
      </c>
      <c r="AB6686">
        <v>31</v>
      </c>
      <c r="AC6686">
        <v>9.5380000000000091</v>
      </c>
      <c r="AD6686">
        <v>-1.1170934048359999</v>
      </c>
      <c r="AE6686">
        <v>0.78895000000000604</v>
      </c>
      <c r="AF6686">
        <v>-1.9803660599419599</v>
      </c>
      <c r="AG6686">
        <v>-1.1170934048359999</v>
      </c>
      <c r="AH6686">
        <v>9.2319192982139597</v>
      </c>
      <c r="AI6686">
        <v>96.747405505160899</v>
      </c>
      <c r="AJ6686">
        <v>102.107203465353</v>
      </c>
      <c r="AK6686">
        <v>9.5077905601266508</v>
      </c>
      <c r="AL6686">
        <v>65.826387261797294</v>
      </c>
      <c r="AM6686">
        <v>103.289572062498</v>
      </c>
      <c r="AN6686">
        <v>0.99999995509014294</v>
      </c>
    </row>
    <row r="6687" spans="1:40" x14ac:dyDescent="0.25">
      <c r="A6687" t="str">
        <f>"20190304165017358"</f>
        <v>20190304165017358</v>
      </c>
      <c r="B6687" t="str">
        <f>"1551689417351992"</f>
        <v>1551689417351992</v>
      </c>
      <c r="C6687" t="s">
        <v>40</v>
      </c>
      <c r="D6687">
        <v>4.3921890000000001</v>
      </c>
      <c r="E6687">
        <v>0.51142659999999995</v>
      </c>
      <c r="F6687" t="s">
        <v>42</v>
      </c>
      <c r="G6687">
        <v>-266.88869999999997</v>
      </c>
      <c r="H6687" s="1">
        <v>-2.3513759999999998E-6</v>
      </c>
      <c r="I6687">
        <v>-61.852649999999997</v>
      </c>
      <c r="J6687">
        <v>-276.3784</v>
      </c>
      <c r="K6687">
        <v>1.11696</v>
      </c>
      <c r="L6687">
        <v>-62.666719999999998</v>
      </c>
      <c r="M6687">
        <v>0.99217670000000002</v>
      </c>
      <c r="N6687">
        <v>-1.094379E-2</v>
      </c>
      <c r="O6687">
        <v>-0.1243621</v>
      </c>
      <c r="P6687">
        <v>0.91071400000000002</v>
      </c>
      <c r="Q6687">
        <v>0.40328229999999998</v>
      </c>
      <c r="R6687">
        <v>8.923702E-2</v>
      </c>
      <c r="S6687">
        <v>3.4419249999999999</v>
      </c>
      <c r="T6687">
        <v>-0.3980958</v>
      </c>
      <c r="U6687">
        <v>0.28359990000000002</v>
      </c>
      <c r="V6687">
        <v>-0.20826259999999999</v>
      </c>
      <c r="W6687">
        <v>0.40981010000000001</v>
      </c>
      <c r="X6687">
        <v>0.88807789999999998</v>
      </c>
      <c r="Y6687">
        <v>-0.2032776</v>
      </c>
      <c r="Z6687">
        <v>2.5761940000000001E-2</v>
      </c>
      <c r="AA6687">
        <v>0.97878220000000005</v>
      </c>
      <c r="AB6687">
        <v>31</v>
      </c>
      <c r="AC6687">
        <v>9.4897000000000205</v>
      </c>
      <c r="AD6687">
        <v>-1.1169623513760001</v>
      </c>
      <c r="AE6687">
        <v>0.81407000000000096</v>
      </c>
      <c r="AF6687">
        <v>-1.9610098838593999</v>
      </c>
      <c r="AG6687">
        <v>-1.1169623513760001</v>
      </c>
      <c r="AH6687">
        <v>9.1884107648848392</v>
      </c>
      <c r="AI6687">
        <v>96.779769853272498</v>
      </c>
      <c r="AJ6687">
        <v>102.04743939630001</v>
      </c>
      <c r="AK6687">
        <v>9.4615039525033904</v>
      </c>
      <c r="AL6687">
        <v>65.807093668174105</v>
      </c>
      <c r="AM6687">
        <v>103.197909122544</v>
      </c>
      <c r="AN6687">
        <v>0.99999999254459004</v>
      </c>
    </row>
    <row r="6688" spans="1:40" x14ac:dyDescent="0.25">
      <c r="A6688" t="str">
        <f>"20190304165017370"</f>
        <v>20190304165017370</v>
      </c>
      <c r="B6688" t="str">
        <f>"1551689417362728"</f>
        <v>1551689417362728</v>
      </c>
      <c r="C6688" t="s">
        <v>40</v>
      </c>
      <c r="D6688">
        <v>4.3564499999999997</v>
      </c>
      <c r="E6688">
        <v>0.51152399999999998</v>
      </c>
      <c r="F6688" t="s">
        <v>42</v>
      </c>
      <c r="G6688">
        <v>-266.71280000000002</v>
      </c>
      <c r="H6688" s="1">
        <v>-2.2726850000000001E-6</v>
      </c>
      <c r="I6688">
        <v>-61.840629999999997</v>
      </c>
      <c r="J6688">
        <v>-276.21699999999998</v>
      </c>
      <c r="K6688">
        <v>1.116835</v>
      </c>
      <c r="L6688">
        <v>-62.68338</v>
      </c>
      <c r="M6688">
        <v>0.99264200000000002</v>
      </c>
      <c r="N6688">
        <v>-1.087893E-2</v>
      </c>
      <c r="O6688">
        <v>-0.1205971</v>
      </c>
      <c r="P6688">
        <v>0.91049809999999998</v>
      </c>
      <c r="Q6688">
        <v>0.40332069999999998</v>
      </c>
      <c r="R6688">
        <v>9.1245259999999995E-2</v>
      </c>
      <c r="S6688">
        <v>3.4414060000000002</v>
      </c>
      <c r="T6688">
        <v>-0.39768710000000002</v>
      </c>
      <c r="U6688">
        <v>0.29409790000000002</v>
      </c>
      <c r="V6688">
        <v>-0.2067204</v>
      </c>
      <c r="W6688">
        <v>0.40987750000000001</v>
      </c>
      <c r="X6688">
        <v>0.88840710000000001</v>
      </c>
      <c r="Y6688">
        <v>-0.20257120000000001</v>
      </c>
      <c r="Z6688">
        <v>2.5303369999999999E-2</v>
      </c>
      <c r="AA6688">
        <v>0.97894060000000005</v>
      </c>
      <c r="AB6688">
        <v>31</v>
      </c>
      <c r="AC6688">
        <v>9.50419999999996</v>
      </c>
      <c r="AD6688">
        <v>-1.116837272685</v>
      </c>
      <c r="AE6688">
        <v>0.842750000000002</v>
      </c>
      <c r="AF6688">
        <v>-1.9560457142732</v>
      </c>
      <c r="AG6688">
        <v>-1.116837272685</v>
      </c>
      <c r="AH6688">
        <v>9.2070422416121502</v>
      </c>
      <c r="AI6688">
        <v>96.766752849949498</v>
      </c>
      <c r="AJ6688">
        <v>101.994215366943</v>
      </c>
      <c r="AK6688">
        <v>9.4785582853520296</v>
      </c>
      <c r="AL6688">
        <v>65.802861049154302</v>
      </c>
      <c r="AM6688">
        <v>103.09887378354399</v>
      </c>
      <c r="AN6688">
        <v>1.0000000320564</v>
      </c>
    </row>
    <row r="6689" spans="1:40" x14ac:dyDescent="0.25">
      <c r="A6689" t="str">
        <f>"20190304165017381"</f>
        <v>20190304165017381</v>
      </c>
      <c r="B6689" t="str">
        <f>"1551689417372488"</f>
        <v>1551689417372488</v>
      </c>
      <c r="C6689" t="s">
        <v>40</v>
      </c>
      <c r="D6689">
        <v>4.3952419999999996</v>
      </c>
      <c r="E6689">
        <v>0.51167429999999903</v>
      </c>
      <c r="F6689" t="s">
        <v>42</v>
      </c>
      <c r="G6689">
        <v>-266.57369999999997</v>
      </c>
      <c r="H6689" s="1">
        <v>-2.211297E-6</v>
      </c>
      <c r="I6689">
        <v>-61.834159999999997</v>
      </c>
      <c r="J6689">
        <v>-276.07240000000002</v>
      </c>
      <c r="K6689">
        <v>1.1167320000000001</v>
      </c>
      <c r="L6689">
        <v>-62.69791</v>
      </c>
      <c r="M6689">
        <v>0.9930388</v>
      </c>
      <c r="N6689">
        <v>-1.0820690000000001E-2</v>
      </c>
      <c r="O6689">
        <v>-0.1172894</v>
      </c>
      <c r="P6689">
        <v>0.91010460000000004</v>
      </c>
      <c r="Q6689">
        <v>0.40389839999999999</v>
      </c>
      <c r="R6689">
        <v>9.2605720000000002E-2</v>
      </c>
      <c r="S6689">
        <v>3.441071</v>
      </c>
      <c r="T6689">
        <v>-0.39852690000000002</v>
      </c>
      <c r="U6689">
        <v>0.30300899999999997</v>
      </c>
      <c r="V6689">
        <v>-0.2049511</v>
      </c>
      <c r="W6689">
        <v>0.41048370000000001</v>
      </c>
      <c r="X6689">
        <v>0.88853709999999997</v>
      </c>
      <c r="Y6689">
        <v>-0.20184859999999999</v>
      </c>
      <c r="Z6689">
        <v>2.496862E-2</v>
      </c>
      <c r="AA6689">
        <v>0.97909840000000004</v>
      </c>
      <c r="AB6689">
        <v>31</v>
      </c>
      <c r="AC6689">
        <v>9.4987000000000403</v>
      </c>
      <c r="AD6689">
        <v>-1.116734211297</v>
      </c>
      <c r="AE6689">
        <v>0.86375000000000302</v>
      </c>
      <c r="AF6689">
        <v>-1.94528237620893</v>
      </c>
      <c r="AG6689">
        <v>-1.116734211297</v>
      </c>
      <c r="AH6689">
        <v>9.2056188271079709</v>
      </c>
      <c r="AI6689">
        <v>96.768715790967605</v>
      </c>
      <c r="AJ6689">
        <v>101.931903951894</v>
      </c>
      <c r="AK6689">
        <v>9.4749478527258901</v>
      </c>
      <c r="AL6689">
        <v>65.764776293117606</v>
      </c>
      <c r="AM6689">
        <v>102.988743965819</v>
      </c>
      <c r="AN6689">
        <v>0.99999999971665499</v>
      </c>
    </row>
    <row r="6690" spans="1:40" x14ac:dyDescent="0.25">
      <c r="A6690" t="str">
        <f>"20190304165017391"</f>
        <v>20190304165017391</v>
      </c>
      <c r="B6690" t="str">
        <f>"1551689417382249"</f>
        <v>1551689417382249</v>
      </c>
      <c r="C6690" t="s">
        <v>40</v>
      </c>
      <c r="D6690">
        <v>4.4195060000000002</v>
      </c>
      <c r="E6690">
        <v>0.51176739999999998</v>
      </c>
      <c r="F6690" t="s">
        <v>42</v>
      </c>
      <c r="G6690">
        <v>-266.3845</v>
      </c>
      <c r="H6690" s="1">
        <v>-2.1281209999999999E-6</v>
      </c>
      <c r="I6690">
        <v>-61.826650000000001</v>
      </c>
      <c r="J6690">
        <v>-275.92110000000002</v>
      </c>
      <c r="K6690">
        <v>1.1166210000000001</v>
      </c>
      <c r="L6690">
        <v>-62.712710000000001</v>
      </c>
      <c r="M6690">
        <v>0.99343530000000002</v>
      </c>
      <c r="N6690">
        <v>-1.075943E-2</v>
      </c>
      <c r="O6690">
        <v>-0.11388819999999999</v>
      </c>
      <c r="P6690">
        <v>0.90984849999999995</v>
      </c>
      <c r="Q6690">
        <v>0.40413149999999998</v>
      </c>
      <c r="R6690">
        <v>9.4091960000000002E-2</v>
      </c>
      <c r="S6690">
        <v>3.4408569999999998</v>
      </c>
      <c r="T6690">
        <v>-0.39662809999999998</v>
      </c>
      <c r="U6690">
        <v>0.30941770000000002</v>
      </c>
      <c r="V6690">
        <v>-0.2032323</v>
      </c>
      <c r="W6690">
        <v>0.410744</v>
      </c>
      <c r="X6690">
        <v>0.88881149999999998</v>
      </c>
      <c r="Y6690">
        <v>-0.2003596</v>
      </c>
      <c r="Z6690">
        <v>2.4404680000000002E-2</v>
      </c>
      <c r="AA6690">
        <v>0.97941849999999997</v>
      </c>
      <c r="AB6690">
        <v>31</v>
      </c>
      <c r="AC6690">
        <v>9.5366000000000195</v>
      </c>
      <c r="AD6690">
        <v>-1.116623128121</v>
      </c>
      <c r="AE6690">
        <v>0.88605999999999296</v>
      </c>
      <c r="AF6690">
        <v>-1.94009299792455</v>
      </c>
      <c r="AG6690">
        <v>-1.116623128121</v>
      </c>
      <c r="AH6690">
        <v>9.24792534500531</v>
      </c>
      <c r="AI6690">
        <v>96.739428752619901</v>
      </c>
      <c r="AJ6690">
        <v>101.848081084749</v>
      </c>
      <c r="AK6690">
        <v>9.5149845631846492</v>
      </c>
      <c r="AL6690">
        <v>65.7484182111547</v>
      </c>
      <c r="AM6690">
        <v>102.87961980697</v>
      </c>
      <c r="AN6690">
        <v>0.99999994191576802</v>
      </c>
    </row>
    <row r="6691" spans="1:40" x14ac:dyDescent="0.25">
      <c r="A6691" t="str">
        <f>"20190304165017401"</f>
        <v>20190304165017401</v>
      </c>
      <c r="B6691" t="str">
        <f>"1551689417392009"</f>
        <v>1551689417392009</v>
      </c>
      <c r="C6691" t="s">
        <v>40</v>
      </c>
      <c r="D6691">
        <v>4.3859399999999997</v>
      </c>
      <c r="E6691">
        <v>0.5119456</v>
      </c>
      <c r="F6691" t="s">
        <v>42</v>
      </c>
      <c r="G6691">
        <v>-266.18540000000002</v>
      </c>
      <c r="H6691" s="1">
        <v>-2.0401979999999999E-6</v>
      </c>
      <c r="I6691">
        <v>-61.81711</v>
      </c>
      <c r="J6691">
        <v>-275.7774</v>
      </c>
      <c r="K6691">
        <v>1.116514</v>
      </c>
      <c r="L6691">
        <v>-62.726199999999999</v>
      </c>
      <c r="M6691">
        <v>0.9937918</v>
      </c>
      <c r="N6691">
        <v>-1.0700990000000001E-2</v>
      </c>
      <c r="O6691">
        <v>-0.1107408</v>
      </c>
      <c r="P6691">
        <v>0.90955989999999998</v>
      </c>
      <c r="Q6691">
        <v>0.40446029999999999</v>
      </c>
      <c r="R6691">
        <v>9.5460359999999994E-2</v>
      </c>
      <c r="S6691">
        <v>3.4397579999999999</v>
      </c>
      <c r="T6691">
        <v>-0.39452090000000001</v>
      </c>
      <c r="U6691">
        <v>0.31640629999999997</v>
      </c>
      <c r="V6691">
        <v>-0.2016318</v>
      </c>
      <c r="W6691">
        <v>0.41109590000000001</v>
      </c>
      <c r="X6691">
        <v>0.88901339999999995</v>
      </c>
      <c r="Y6691">
        <v>-0.19930390000000001</v>
      </c>
      <c r="Z6691">
        <v>2.3891349999999999E-2</v>
      </c>
      <c r="AA6691">
        <v>0.97964640000000003</v>
      </c>
      <c r="AB6691">
        <v>31</v>
      </c>
      <c r="AC6691">
        <v>9.5919999999999792</v>
      </c>
      <c r="AD6691">
        <v>-1.1165160401980001</v>
      </c>
      <c r="AE6691">
        <v>0.90908999999999895</v>
      </c>
      <c r="AF6691">
        <v>-1.93973654129672</v>
      </c>
      <c r="AG6691">
        <v>-1.1165160401980001</v>
      </c>
      <c r="AH6691">
        <v>9.3073331627117906</v>
      </c>
      <c r="AI6691">
        <v>96.697998337435294</v>
      </c>
      <c r="AJ6691">
        <v>101.772470719089</v>
      </c>
      <c r="AK6691">
        <v>9.5726504438099997</v>
      </c>
      <c r="AL6691">
        <v>65.726304473429494</v>
      </c>
      <c r="AM6691">
        <v>102.77872674288101</v>
      </c>
      <c r="AN6691">
        <v>1.0000000235738</v>
      </c>
    </row>
    <row r="6692" spans="1:40" x14ac:dyDescent="0.25">
      <c r="A6692" t="str">
        <f>"20190304165017412"</f>
        <v>20190304165017412</v>
      </c>
      <c r="B6692" t="str">
        <f>"1551689417402745"</f>
        <v>1551689417402745</v>
      </c>
      <c r="C6692" t="s">
        <v>40</v>
      </c>
      <c r="D6692">
        <v>4.4100820000000001</v>
      </c>
      <c r="E6692">
        <v>0.51211059999999997</v>
      </c>
      <c r="F6692" t="s">
        <v>52</v>
      </c>
      <c r="G6692">
        <v>-265.98239999999998</v>
      </c>
      <c r="H6692" s="1">
        <v>-1.9508149999999998E-6</v>
      </c>
      <c r="I6692">
        <v>-61.808450000000001</v>
      </c>
      <c r="J6692">
        <v>-275.62709999999998</v>
      </c>
      <c r="K6692">
        <v>1.1164080000000001</v>
      </c>
      <c r="L6692">
        <v>-62.740079999999999</v>
      </c>
      <c r="M6692">
        <v>0.99414899999999995</v>
      </c>
      <c r="N6692">
        <v>-1.064004E-2</v>
      </c>
      <c r="O6692">
        <v>-0.1074923</v>
      </c>
      <c r="P6692">
        <v>0.90942789999999996</v>
      </c>
      <c r="Q6692">
        <v>0.40443059999999997</v>
      </c>
      <c r="R6692">
        <v>9.6832390000000004E-2</v>
      </c>
      <c r="S6692">
        <v>3.4387819999999998</v>
      </c>
      <c r="T6692">
        <v>-0.39198290000000002</v>
      </c>
      <c r="U6692">
        <v>0.32217410000000002</v>
      </c>
      <c r="V6692">
        <v>-0.19995379999999999</v>
      </c>
      <c r="W6692">
        <v>0.4110897</v>
      </c>
      <c r="X6692">
        <v>0.88939509999999899</v>
      </c>
      <c r="Y6692">
        <v>-0.19780929999999999</v>
      </c>
      <c r="Z6692">
        <v>2.3318019999999998E-2</v>
      </c>
      <c r="AA6692">
        <v>0.97996309999999998</v>
      </c>
      <c r="AB6692">
        <v>31</v>
      </c>
      <c r="AC6692">
        <v>9.6447000000000003</v>
      </c>
      <c r="AD6692">
        <v>-1.1164099508149901</v>
      </c>
      <c r="AE6692">
        <v>0.93163000000000495</v>
      </c>
      <c r="AF6692">
        <v>-1.93730328215676</v>
      </c>
      <c r="AG6692">
        <v>-1.1164099508149901</v>
      </c>
      <c r="AH6692">
        <v>9.3643504267018205</v>
      </c>
      <c r="AI6692">
        <v>96.6589641333603</v>
      </c>
      <c r="AJ6692">
        <v>101.68849769489</v>
      </c>
      <c r="AK6692">
        <v>9.6275944087505394</v>
      </c>
      <c r="AL6692">
        <v>65.726692353590806</v>
      </c>
      <c r="AM6692">
        <v>102.670566431542</v>
      </c>
      <c r="AN6692">
        <v>0.99999995374226802</v>
      </c>
    </row>
    <row r="6693" spans="1:40" x14ac:dyDescent="0.25">
      <c r="A6693" t="str">
        <f>"20190304165017424"</f>
        <v>20190304165017424</v>
      </c>
      <c r="B6693" t="str">
        <f>"1551689417412505"</f>
        <v>1551689417412505</v>
      </c>
      <c r="C6693" t="s">
        <v>40</v>
      </c>
      <c r="D6693">
        <v>4.4004209999999997</v>
      </c>
      <c r="E6693">
        <v>0.51225029999999905</v>
      </c>
      <c r="F6693" t="s">
        <v>42</v>
      </c>
      <c r="G6693">
        <v>-265.80070000000001</v>
      </c>
      <c r="H6693" s="1">
        <v>-1.8712059999999999E-6</v>
      </c>
      <c r="I6693">
        <v>-61.802309999999999</v>
      </c>
      <c r="J6693">
        <v>-275.47410000000002</v>
      </c>
      <c r="K6693">
        <v>1.116295</v>
      </c>
      <c r="L6693">
        <v>-62.753570000000003</v>
      </c>
      <c r="M6693">
        <v>0.99449089999999996</v>
      </c>
      <c r="N6693">
        <v>-1.057518E-2</v>
      </c>
      <c r="O6693">
        <v>-0.1042893</v>
      </c>
      <c r="P6693">
        <v>0.90935750000000004</v>
      </c>
      <c r="Q6693">
        <v>0.40424529999999997</v>
      </c>
      <c r="R6693">
        <v>9.8259059999999995E-2</v>
      </c>
      <c r="S6693">
        <v>3.4375309999999999</v>
      </c>
      <c r="T6693">
        <v>-0.39054660000000002</v>
      </c>
      <c r="U6693">
        <v>0.32803339999999998</v>
      </c>
      <c r="V6693">
        <v>-0.19837469999999999</v>
      </c>
      <c r="W6693">
        <v>0.4109237</v>
      </c>
      <c r="X6693">
        <v>0.88982539999999999</v>
      </c>
      <c r="Y6693">
        <v>-0.19638140000000001</v>
      </c>
      <c r="Z6693">
        <v>2.2824489999999999E-2</v>
      </c>
      <c r="AA6693">
        <v>0.98026190000000002</v>
      </c>
      <c r="AB6693">
        <v>31</v>
      </c>
      <c r="AC6693">
        <v>9.6734000000000098</v>
      </c>
      <c r="AD6693">
        <v>-1.116296871206</v>
      </c>
      <c r="AE6693">
        <v>0.951259999999997</v>
      </c>
      <c r="AF6693">
        <v>-1.92951171327216</v>
      </c>
      <c r="AG6693">
        <v>-1.116296871206</v>
      </c>
      <c r="AH6693">
        <v>9.3974870869371703</v>
      </c>
      <c r="AI6693">
        <v>96.637054060109904</v>
      </c>
      <c r="AJ6693">
        <v>101.602835371021</v>
      </c>
      <c r="AK6693">
        <v>9.6582554172826498</v>
      </c>
      <c r="AL6693">
        <v>65.737127254515499</v>
      </c>
      <c r="AM6693">
        <v>102.56780959011699</v>
      </c>
      <c r="AN6693">
        <v>1.00000002565346</v>
      </c>
    </row>
    <row r="6694" spans="1:40" x14ac:dyDescent="0.25">
      <c r="A6694" t="str">
        <f>"20190304165017435"</f>
        <v>20190304165017435</v>
      </c>
      <c r="B6694" t="str">
        <f>"1551689417432025"</f>
        <v>1551689417432025</v>
      </c>
      <c r="C6694" t="s">
        <v>40</v>
      </c>
      <c r="D6694">
        <v>4.4089229999999997</v>
      </c>
      <c r="E6694">
        <v>0.5126233</v>
      </c>
      <c r="F6694" t="s">
        <v>42</v>
      </c>
      <c r="G6694">
        <v>-265.63510000000002</v>
      </c>
      <c r="H6694" s="1">
        <v>-1.798562E-6</v>
      </c>
      <c r="I6694">
        <v>-61.796320000000001</v>
      </c>
      <c r="J6694">
        <v>-275.31389999999999</v>
      </c>
      <c r="K6694">
        <v>1.1161749999999999</v>
      </c>
      <c r="L6694">
        <v>-62.767490000000002</v>
      </c>
      <c r="M6694">
        <v>0.99483410000000005</v>
      </c>
      <c r="N6694">
        <v>-1.050704E-2</v>
      </c>
      <c r="O6694">
        <v>-0.10096910000000001</v>
      </c>
      <c r="P6694">
        <v>0.90914729999999999</v>
      </c>
      <c r="Q6694">
        <v>0.40429959999999998</v>
      </c>
      <c r="R6694">
        <v>9.9965899999999996E-2</v>
      </c>
      <c r="S6694">
        <v>3.4362180000000002</v>
      </c>
      <c r="T6694">
        <v>-0.38985809999999999</v>
      </c>
      <c r="U6694">
        <v>0.33428960000000002</v>
      </c>
      <c r="V6694">
        <v>-0.19695309999999999</v>
      </c>
      <c r="W6694">
        <v>0.41099279999999999</v>
      </c>
      <c r="X6694">
        <v>0.89010919999999905</v>
      </c>
      <c r="Y6694">
        <v>-0.19494600000000001</v>
      </c>
      <c r="Z6694">
        <v>2.2364040000000002E-2</v>
      </c>
      <c r="AA6694">
        <v>0.98055899999999996</v>
      </c>
      <c r="AB6694">
        <v>31</v>
      </c>
      <c r="AC6694">
        <v>9.6787999999999599</v>
      </c>
      <c r="AD6694">
        <v>-1.1161767985619999</v>
      </c>
      <c r="AE6694">
        <v>0.97117000000000797</v>
      </c>
      <c r="AF6694">
        <v>-1.9182630745925799</v>
      </c>
      <c r="AG6694">
        <v>-1.1161767985619999</v>
      </c>
      <c r="AH6694">
        <v>9.4074048959356595</v>
      </c>
      <c r="AI6694">
        <v>96.631234932800695</v>
      </c>
      <c r="AJ6694">
        <v>101.525174689895</v>
      </c>
      <c r="AK6694">
        <v>9.6656531463252797</v>
      </c>
      <c r="AL6694">
        <v>65.732783696569996</v>
      </c>
      <c r="AM6694">
        <v>102.476722752076</v>
      </c>
      <c r="AN6694">
        <v>0.99999999658804395</v>
      </c>
    </row>
    <row r="6695" spans="1:40" x14ac:dyDescent="0.25">
      <c r="A6695" t="str">
        <f>"20190304165017447"</f>
        <v>20190304165017447</v>
      </c>
      <c r="B6695" t="str">
        <f>"1551689417441798"</f>
        <v>1551689417441798</v>
      </c>
      <c r="C6695" t="s">
        <v>40</v>
      </c>
      <c r="D6695">
        <v>4.3940229999999998</v>
      </c>
      <c r="E6695">
        <v>0.51281750000000004</v>
      </c>
      <c r="F6695" t="s">
        <v>52</v>
      </c>
      <c r="G6695">
        <v>-265.39420000000001</v>
      </c>
      <c r="H6695" s="1">
        <v>-1.692897E-6</v>
      </c>
      <c r="I6695">
        <v>-61.787489999999998</v>
      </c>
      <c r="J6695">
        <v>-275.15249999999997</v>
      </c>
      <c r="K6695">
        <v>1.116045</v>
      </c>
      <c r="L6695">
        <v>-62.780700000000003</v>
      </c>
      <c r="M6695">
        <v>0.99515520000000002</v>
      </c>
      <c r="N6695">
        <v>-1.043489E-2</v>
      </c>
      <c r="O6695">
        <v>-9.7762489999999994E-2</v>
      </c>
      <c r="P6695">
        <v>0.90902640000000001</v>
      </c>
      <c r="Q6695">
        <v>0.4041458</v>
      </c>
      <c r="R6695">
        <v>0.1016724</v>
      </c>
      <c r="S6695">
        <v>3.4343569999999999</v>
      </c>
      <c r="T6695">
        <v>-0.38643830000000001</v>
      </c>
      <c r="U6695">
        <v>0.33926390000000001</v>
      </c>
      <c r="V6695">
        <v>-0.1956369</v>
      </c>
      <c r="W6695">
        <v>0.41085060000000001</v>
      </c>
      <c r="X6695">
        <v>0.89046499999999995</v>
      </c>
      <c r="Y6695">
        <v>-0.1933028</v>
      </c>
      <c r="Z6695">
        <v>2.175409E-2</v>
      </c>
      <c r="AA6695">
        <v>0.98089800000000005</v>
      </c>
      <c r="AB6695">
        <v>31</v>
      </c>
      <c r="AC6695">
        <v>9.7582999999999593</v>
      </c>
      <c r="AD6695">
        <v>-1.1160466928970001</v>
      </c>
      <c r="AE6695">
        <v>0.99320999999999704</v>
      </c>
      <c r="AF6695">
        <v>-1.9176728321266701</v>
      </c>
      <c r="AG6695">
        <v>-1.1160466928970001</v>
      </c>
      <c r="AH6695">
        <v>9.4915672755575908</v>
      </c>
      <c r="AI6695">
        <v>96.574568312729497</v>
      </c>
      <c r="AJ6695">
        <v>101.422256295458</v>
      </c>
      <c r="AK6695">
        <v>9.7474549836477191</v>
      </c>
      <c r="AL6695">
        <v>65.741719705904501</v>
      </c>
      <c r="AM6695">
        <v>102.39112906183701</v>
      </c>
      <c r="AN6695">
        <v>0.99999996419348403</v>
      </c>
    </row>
    <row r="6696" spans="1:40" x14ac:dyDescent="0.25">
      <c r="A6696" t="str">
        <f>"20190304165017458"</f>
        <v>20190304165017458</v>
      </c>
      <c r="B6696" t="str">
        <f>"1551689417452520"</f>
        <v>1551689417452520</v>
      </c>
      <c r="C6696" t="s">
        <v>40</v>
      </c>
      <c r="D6696">
        <v>4.3805160000000001</v>
      </c>
      <c r="E6696">
        <v>0.5130017</v>
      </c>
      <c r="F6696" t="s">
        <v>42</v>
      </c>
      <c r="G6696">
        <v>-265.22699999999998</v>
      </c>
      <c r="H6696" s="1">
        <v>-1.619857E-6</v>
      </c>
      <c r="I6696">
        <v>-61.782629999999997</v>
      </c>
      <c r="J6696">
        <v>-274.99279999999999</v>
      </c>
      <c r="K6696">
        <v>1.1159220000000001</v>
      </c>
      <c r="L6696">
        <v>-62.793550000000003</v>
      </c>
      <c r="M6696">
        <v>0.99545850000000002</v>
      </c>
      <c r="N6696">
        <v>-1.0364379999999999E-2</v>
      </c>
      <c r="O6696">
        <v>-9.4630199999999998E-2</v>
      </c>
      <c r="P6696">
        <v>0.9087674</v>
      </c>
      <c r="Q6696">
        <v>0.40424520000000003</v>
      </c>
      <c r="R6696">
        <v>0.1035744</v>
      </c>
      <c r="S6696">
        <v>3.4332889999999998</v>
      </c>
      <c r="T6696">
        <v>-0.38604630000000001</v>
      </c>
      <c r="U6696">
        <v>0.34521479999999999</v>
      </c>
      <c r="V6696">
        <v>-0.19457450000000001</v>
      </c>
      <c r="W6696">
        <v>0.41095589999999999</v>
      </c>
      <c r="X6696">
        <v>0.89064920000000003</v>
      </c>
      <c r="Y6696">
        <v>-0.19195760000000001</v>
      </c>
      <c r="Z6696">
        <v>2.1337700000000001E-2</v>
      </c>
      <c r="AA6696">
        <v>0.98117129999999997</v>
      </c>
      <c r="AB6696">
        <v>31</v>
      </c>
      <c r="AC6696">
        <v>9.7657999999999507</v>
      </c>
      <c r="AD6696">
        <v>-1.1159236198569999</v>
      </c>
      <c r="AE6696">
        <v>1.01091999999999</v>
      </c>
      <c r="AF6696">
        <v>-1.9059495828524899</v>
      </c>
      <c r="AG6696">
        <v>-1.1159236198569999</v>
      </c>
      <c r="AH6696">
        <v>9.5035277095383996</v>
      </c>
      <c r="AI6696">
        <v>96.567522136733103</v>
      </c>
      <c r="AJ6696">
        <v>101.34032903130201</v>
      </c>
      <c r="AK6696">
        <v>9.7567908793667595</v>
      </c>
      <c r="AL6696">
        <v>65.735102709567201</v>
      </c>
      <c r="AM6696">
        <v>102.323430456739</v>
      </c>
      <c r="AN6696">
        <v>0.99999999262785</v>
      </c>
    </row>
    <row r="6697" spans="1:40" x14ac:dyDescent="0.25">
      <c r="A6697" t="str">
        <f>"20190304165017469"</f>
        <v>20190304165017469</v>
      </c>
      <c r="B6697" t="str">
        <f>"1551689417462281"</f>
        <v>1551689417462281</v>
      </c>
      <c r="C6697" t="s">
        <v>40</v>
      </c>
      <c r="D6697">
        <v>4.3785170000000004</v>
      </c>
      <c r="E6697">
        <v>0.51318039999999998</v>
      </c>
      <c r="F6697" t="s">
        <v>42</v>
      </c>
      <c r="G6697">
        <v>-265.03370000000001</v>
      </c>
      <c r="H6697" s="1">
        <v>-1.535149E-6</v>
      </c>
      <c r="I6697">
        <v>-61.775860000000002</v>
      </c>
      <c r="J6697">
        <v>-274.84100000000001</v>
      </c>
      <c r="K6697">
        <v>1.1158079999999999</v>
      </c>
      <c r="L6697">
        <v>-62.805269999999901</v>
      </c>
      <c r="M6697">
        <v>0.99572989999999995</v>
      </c>
      <c r="N6697">
        <v>-1.0298089999999999E-2</v>
      </c>
      <c r="O6697">
        <v>-9.1739130000000002E-2</v>
      </c>
      <c r="P6697">
        <v>0.90836870000000003</v>
      </c>
      <c r="Q6697">
        <v>0.40462799999999999</v>
      </c>
      <c r="R6697">
        <v>0.10555779999999999</v>
      </c>
      <c r="S6697">
        <v>3.4322509999999999</v>
      </c>
      <c r="T6697">
        <v>-0.38458550000000002</v>
      </c>
      <c r="U6697">
        <v>0.35070800000000002</v>
      </c>
      <c r="V6697">
        <v>-0.1938088</v>
      </c>
      <c r="W6697">
        <v>0.41133969999999997</v>
      </c>
      <c r="X6697">
        <v>0.89063899999999996</v>
      </c>
      <c r="Y6697">
        <v>-0.19072839999999999</v>
      </c>
      <c r="Z6697">
        <v>2.089537E-2</v>
      </c>
      <c r="AA6697">
        <v>0.98142050000000003</v>
      </c>
      <c r="AB6697">
        <v>31</v>
      </c>
      <c r="AC6697">
        <v>9.8072999999999908</v>
      </c>
      <c r="AD6697">
        <v>-1.1158095351489901</v>
      </c>
      <c r="AE6697">
        <v>1.0294099999999899</v>
      </c>
      <c r="AF6697">
        <v>-1.9004967388715801</v>
      </c>
      <c r="AG6697">
        <v>-1.1158095351489901</v>
      </c>
      <c r="AH6697">
        <v>9.5492348716859503</v>
      </c>
      <c r="AI6697">
        <v>96.537603042209497</v>
      </c>
      <c r="AJ6697">
        <v>101.25597831562</v>
      </c>
      <c r="AK6697">
        <v>9.8002451708012899</v>
      </c>
      <c r="AL6697">
        <v>65.7109798802977</v>
      </c>
      <c r="AM6697">
        <v>102.27654442164101</v>
      </c>
      <c r="AN6697">
        <v>1.00000001403726</v>
      </c>
    </row>
    <row r="6698" spans="1:40" x14ac:dyDescent="0.25">
      <c r="A6698" t="str">
        <f>"20190304165017479"</f>
        <v>20190304165017479</v>
      </c>
      <c r="B6698" t="str">
        <f>"1551689417472041"</f>
        <v>1551689417472041</v>
      </c>
      <c r="C6698" t="s">
        <v>40</v>
      </c>
      <c r="D6698">
        <v>4.4024049999999999</v>
      </c>
      <c r="E6698">
        <v>0.51342310000000002</v>
      </c>
      <c r="F6698" t="s">
        <v>52</v>
      </c>
      <c r="G6698">
        <v>-264.82100000000003</v>
      </c>
      <c r="H6698" s="1">
        <v>-1.441358E-6</v>
      </c>
      <c r="I6698">
        <v>-61.766240000000003</v>
      </c>
      <c r="J6698">
        <v>-274.69670000000002</v>
      </c>
      <c r="K6698">
        <v>1.1156969999999999</v>
      </c>
      <c r="L6698">
        <v>-62.816130000000001</v>
      </c>
      <c r="M6698">
        <v>0.99597469999999999</v>
      </c>
      <c r="N6698">
        <v>-1.023581E-2</v>
      </c>
      <c r="O6698">
        <v>-8.9048619999999995E-2</v>
      </c>
      <c r="P6698">
        <v>0.90805230000000003</v>
      </c>
      <c r="Q6698">
        <v>0.40489409999999998</v>
      </c>
      <c r="R6698">
        <v>0.1072481</v>
      </c>
      <c r="S6698">
        <v>3.4314879999999999</v>
      </c>
      <c r="T6698">
        <v>-0.38212479999999999</v>
      </c>
      <c r="U6698">
        <v>0.35580440000000002</v>
      </c>
      <c r="V6698">
        <v>-0.19294330000000001</v>
      </c>
      <c r="W6698">
        <v>0.41160999999999998</v>
      </c>
      <c r="X6698">
        <v>0.89070199999999999</v>
      </c>
      <c r="Y6698">
        <v>-0.18958449999999999</v>
      </c>
      <c r="Z6698">
        <v>2.042629E-2</v>
      </c>
      <c r="AA6698">
        <v>0.98165190000000002</v>
      </c>
      <c r="AB6698">
        <v>31</v>
      </c>
      <c r="AC6698">
        <v>9.8757000000000499</v>
      </c>
      <c r="AD6698">
        <v>-1.115698441358</v>
      </c>
      <c r="AE6698">
        <v>1.04988999999999</v>
      </c>
      <c r="AF6698">
        <v>-1.9011881865554201</v>
      </c>
      <c r="AG6698">
        <v>-1.115698441358</v>
      </c>
      <c r="AH6698">
        <v>9.6215375914369101</v>
      </c>
      <c r="AI6698">
        <v>96.490002855601105</v>
      </c>
      <c r="AJ6698">
        <v>101.17749220778001</v>
      </c>
      <c r="AK6698">
        <v>9.87083001353888</v>
      </c>
      <c r="AL6698">
        <v>65.693986825242703</v>
      </c>
      <c r="AM6698">
        <v>102.22253388683001</v>
      </c>
      <c r="AN6698">
        <v>0.99999998095944398</v>
      </c>
    </row>
    <row r="6699" spans="1:40" x14ac:dyDescent="0.25">
      <c r="A6699" t="str">
        <f>"20190304165017491"</f>
        <v>20190304165017491</v>
      </c>
      <c r="B6699" t="str">
        <f>"1551689417481800"</f>
        <v>1551689417481800</v>
      </c>
      <c r="C6699" t="s">
        <v>40</v>
      </c>
      <c r="D6699">
        <v>4.3687170000000002</v>
      </c>
      <c r="E6699">
        <v>0.51364209999999999</v>
      </c>
      <c r="F6699" t="s">
        <v>42</v>
      </c>
      <c r="G6699">
        <v>-264.64319999999998</v>
      </c>
      <c r="H6699" s="1">
        <v>-1.3640730000000001E-6</v>
      </c>
      <c r="I6699">
        <v>-61.762520000000002</v>
      </c>
      <c r="J6699">
        <v>-274.53579999999999</v>
      </c>
      <c r="K6699">
        <v>1.115569</v>
      </c>
      <c r="L6699">
        <v>-62.82779</v>
      </c>
      <c r="M6699">
        <v>0.99623260000000002</v>
      </c>
      <c r="N6699">
        <v>-1.0167229999999999E-2</v>
      </c>
      <c r="O6699">
        <v>-8.6124309999999996E-2</v>
      </c>
      <c r="P6699">
        <v>0.9076651</v>
      </c>
      <c r="Q6699">
        <v>0.40524579999999999</v>
      </c>
      <c r="R6699">
        <v>0.1091782</v>
      </c>
      <c r="S6699">
        <v>3.4310909999999999</v>
      </c>
      <c r="T6699">
        <v>-0.38076979999999999</v>
      </c>
      <c r="U6699">
        <v>0.35955809999999999</v>
      </c>
      <c r="V6699">
        <v>-0.19208790000000001</v>
      </c>
      <c r="W6699">
        <v>0.41196630000000001</v>
      </c>
      <c r="X6699">
        <v>0.89072220000000002</v>
      </c>
      <c r="Y6699">
        <v>-0.18781510000000001</v>
      </c>
      <c r="Z6699">
        <v>1.9955919999999999E-2</v>
      </c>
      <c r="AA6699">
        <v>0.98200169999999998</v>
      </c>
      <c r="AB6699">
        <v>31</v>
      </c>
      <c r="AC6699">
        <v>9.8926000000000105</v>
      </c>
      <c r="AD6699">
        <v>-1.1155703640729999</v>
      </c>
      <c r="AE6699">
        <v>1.0652699999999999</v>
      </c>
      <c r="AF6699">
        <v>-1.88959490098493</v>
      </c>
      <c r="AG6699">
        <v>-1.1155703640729999</v>
      </c>
      <c r="AH6699">
        <v>9.64286940717699</v>
      </c>
      <c r="AI6699">
        <v>96.477024942750205</v>
      </c>
      <c r="AJ6699">
        <v>101.08706380147601</v>
      </c>
      <c r="AK6699">
        <v>9.8893880766656199</v>
      </c>
      <c r="AL6699">
        <v>65.671585721722195</v>
      </c>
      <c r="AM6699">
        <v>102.16969702481801</v>
      </c>
      <c r="AN6699">
        <v>1.00000001561746</v>
      </c>
    </row>
    <row r="6700" spans="1:40" x14ac:dyDescent="0.25">
      <c r="A6700" t="str">
        <f>"20190304165017502"</f>
        <v>20190304165017502</v>
      </c>
      <c r="B6700" t="str">
        <f>"1551689417492537"</f>
        <v>1551689417492537</v>
      </c>
      <c r="C6700" t="s">
        <v>40</v>
      </c>
      <c r="D6700">
        <v>4.368843</v>
      </c>
      <c r="E6700">
        <v>0.51387799999999995</v>
      </c>
      <c r="F6700" t="s">
        <v>52</v>
      </c>
      <c r="G6700">
        <v>-264.43490000000003</v>
      </c>
      <c r="H6700" s="1">
        <v>-1.272619E-6</v>
      </c>
      <c r="I6700">
        <v>-61.754660000000001</v>
      </c>
      <c r="J6700">
        <v>-274.38600000000002</v>
      </c>
      <c r="K6700">
        <v>1.1154470000000001</v>
      </c>
      <c r="L6700">
        <v>-62.838259999999998</v>
      </c>
      <c r="M6700">
        <v>0.99645669999999997</v>
      </c>
      <c r="N6700">
        <v>-1.010486E-2</v>
      </c>
      <c r="O6700">
        <v>-8.3497600000000005E-2</v>
      </c>
      <c r="P6700">
        <v>0.90767370000000003</v>
      </c>
      <c r="Q6700">
        <v>0.4048311</v>
      </c>
      <c r="R6700">
        <v>0.11063679999999999</v>
      </c>
      <c r="S6700">
        <v>3.430542</v>
      </c>
      <c r="T6700">
        <v>-0.37887920000000003</v>
      </c>
      <c r="U6700">
        <v>0.36444090000000001</v>
      </c>
      <c r="V6700">
        <v>-0.19106010000000001</v>
      </c>
      <c r="W6700">
        <v>0.41156520000000002</v>
      </c>
      <c r="X6700">
        <v>0.89112849999999999</v>
      </c>
      <c r="Y6700">
        <v>-0.18666199999999999</v>
      </c>
      <c r="Z6700">
        <v>1.9528190000000001E-2</v>
      </c>
      <c r="AA6700">
        <v>0.98223009999999999</v>
      </c>
      <c r="AB6700">
        <v>31</v>
      </c>
      <c r="AC6700">
        <v>9.9510999999999399</v>
      </c>
      <c r="AD6700">
        <v>-1.11544827261899</v>
      </c>
      <c r="AE6700">
        <v>1.0835999999999899</v>
      </c>
      <c r="AF6700">
        <v>-1.88731517997562</v>
      </c>
      <c r="AG6700">
        <v>-1.11544827261899</v>
      </c>
      <c r="AH6700">
        <v>9.7053473415769993</v>
      </c>
      <c r="AI6700">
        <v>96.436777510469696</v>
      </c>
      <c r="AJ6700">
        <v>101.004475507332</v>
      </c>
      <c r="AK6700">
        <v>9.94987188149228</v>
      </c>
      <c r="AL6700">
        <v>65.6968022293415</v>
      </c>
      <c r="AM6700">
        <v>102.101149678542</v>
      </c>
      <c r="AN6700">
        <v>0.99999993958764799</v>
      </c>
    </row>
    <row r="6701" spans="1:40" x14ac:dyDescent="0.25">
      <c r="A6701" t="str">
        <f>"20190304165017513"</f>
        <v>20190304165017513</v>
      </c>
      <c r="B6701" t="str">
        <f>"1551689417502297"</f>
        <v>1551689417502297</v>
      </c>
      <c r="C6701" t="s">
        <v>40</v>
      </c>
      <c r="D6701">
        <v>4.3572449999999998</v>
      </c>
      <c r="E6701">
        <v>0.51407530000000001</v>
      </c>
      <c r="F6701" t="s">
        <v>42</v>
      </c>
      <c r="G6701">
        <v>-264.32569999999998</v>
      </c>
      <c r="H6701" s="1">
        <v>-1.2265250000000001E-6</v>
      </c>
      <c r="I6701">
        <v>-61.757579999999997</v>
      </c>
      <c r="J6701">
        <v>-274.23309999999998</v>
      </c>
      <c r="K6701">
        <v>1.115316</v>
      </c>
      <c r="L6701">
        <v>-62.848750000000003</v>
      </c>
      <c r="M6701">
        <v>0.99667470000000002</v>
      </c>
      <c r="N6701">
        <v>-1.0042239999999999E-2</v>
      </c>
      <c r="O6701">
        <v>-8.0861489999999994E-2</v>
      </c>
      <c r="P6701">
        <v>0.90769370000000005</v>
      </c>
      <c r="Q6701">
        <v>0.4043987</v>
      </c>
      <c r="R6701">
        <v>0.11204260000000001</v>
      </c>
      <c r="S6701">
        <v>3.42984</v>
      </c>
      <c r="T6701">
        <v>-0.38028380000000001</v>
      </c>
      <c r="U6701">
        <v>0.36840820000000002</v>
      </c>
      <c r="V6701">
        <v>-0.18996660000000001</v>
      </c>
      <c r="W6701">
        <v>0.41114879999999998</v>
      </c>
      <c r="X6701">
        <v>0.89155439999999997</v>
      </c>
      <c r="Y6701">
        <v>-0.18521869999999999</v>
      </c>
      <c r="Z6701">
        <v>1.925114E-2</v>
      </c>
      <c r="AA6701">
        <v>0.98250870000000001</v>
      </c>
      <c r="AB6701">
        <v>31</v>
      </c>
      <c r="AC6701">
        <v>9.9073999999999902</v>
      </c>
      <c r="AD6701">
        <v>-1.115317226525</v>
      </c>
      <c r="AE6701">
        <v>1.09116999999999</v>
      </c>
      <c r="AF6701">
        <v>-1.86540713403476</v>
      </c>
      <c r="AG6701">
        <v>-1.115317226525</v>
      </c>
      <c r="AH6701">
        <v>9.6656906596875398</v>
      </c>
      <c r="AI6701">
        <v>96.463968101089407</v>
      </c>
      <c r="AJ6701">
        <v>100.92336712464299</v>
      </c>
      <c r="AK6701">
        <v>9.9070304440968702</v>
      </c>
      <c r="AL6701">
        <v>65.722977544867604</v>
      </c>
      <c r="AM6701">
        <v>102.028334070338</v>
      </c>
      <c r="AN6701">
        <v>0.99999994650817803</v>
      </c>
    </row>
    <row r="6702" spans="1:40" x14ac:dyDescent="0.25">
      <c r="A6702" t="str">
        <f>"20190304165017524"</f>
        <v>20190304165017524</v>
      </c>
      <c r="B6702" t="str">
        <f>"1551689417512057"</f>
        <v>1551689417512057</v>
      </c>
      <c r="C6702" t="s">
        <v>40</v>
      </c>
      <c r="D6702">
        <v>4.3511509999999998</v>
      </c>
      <c r="E6702">
        <v>0.5142987</v>
      </c>
      <c r="F6702" t="s">
        <v>42</v>
      </c>
      <c r="G6702">
        <v>-264.2029</v>
      </c>
      <c r="H6702" s="1">
        <v>-1.1735409999999999E-6</v>
      </c>
      <c r="I6702">
        <v>-61.756279999999997</v>
      </c>
      <c r="J6702">
        <v>-274.07810000000001</v>
      </c>
      <c r="K6702">
        <v>1.115178</v>
      </c>
      <c r="L6702">
        <v>-62.858890000000002</v>
      </c>
      <c r="M6702">
        <v>0.99687870000000001</v>
      </c>
      <c r="N6702">
        <v>-9.9794510000000003E-3</v>
      </c>
      <c r="O6702">
        <v>-7.8315159999999995E-2</v>
      </c>
      <c r="P6702">
        <v>0.90782030000000002</v>
      </c>
      <c r="Q6702">
        <v>0.4038486</v>
      </c>
      <c r="R6702">
        <v>0.112999</v>
      </c>
      <c r="S6702">
        <v>3.428833</v>
      </c>
      <c r="T6702">
        <v>-0.38127420000000001</v>
      </c>
      <c r="U6702">
        <v>0.37344359999999999</v>
      </c>
      <c r="V6702">
        <v>-0.18850620000000001</v>
      </c>
      <c r="W6702">
        <v>0.41062280000000001</v>
      </c>
      <c r="X6702">
        <v>0.89210669999999903</v>
      </c>
      <c r="Y6702">
        <v>-0.1841767</v>
      </c>
      <c r="Z6702">
        <v>1.89853E-2</v>
      </c>
      <c r="AA6702">
        <v>0.98270979999999997</v>
      </c>
      <c r="AB6702">
        <v>31</v>
      </c>
      <c r="AC6702">
        <v>9.8751999999999995</v>
      </c>
      <c r="AD6702">
        <v>-1.1151791735409999</v>
      </c>
      <c r="AE6702">
        <v>1.1026099999999901</v>
      </c>
      <c r="AF6702">
        <v>-1.8493460353519899</v>
      </c>
      <c r="AG6702">
        <v>-1.1151791735409999</v>
      </c>
      <c r="AH6702">
        <v>9.6371266116156509</v>
      </c>
      <c r="AI6702">
        <v>96.483474131136305</v>
      </c>
      <c r="AJ6702">
        <v>100.86289293159901</v>
      </c>
      <c r="AK6702">
        <v>9.8761285266992296</v>
      </c>
      <c r="AL6702">
        <v>65.7560363298238</v>
      </c>
      <c r="AM6702">
        <v>101.931348181039</v>
      </c>
      <c r="AN6702">
        <v>1.00000001775158</v>
      </c>
    </row>
    <row r="6703" spans="1:40" x14ac:dyDescent="0.25">
      <c r="A6703" t="str">
        <f>"20190304165017536"</f>
        <v>20190304165017536</v>
      </c>
      <c r="B6703" t="str">
        <f>"1551689417532553"</f>
        <v>1551689417532553</v>
      </c>
      <c r="C6703" t="s">
        <v>40</v>
      </c>
      <c r="D6703">
        <v>4.3634979999999999</v>
      </c>
      <c r="E6703">
        <v>0.51474299999999995</v>
      </c>
      <c r="F6703" t="s">
        <v>52</v>
      </c>
      <c r="G6703">
        <v>-264.0924</v>
      </c>
      <c r="H6703" s="1">
        <v>-1.1272030000000001E-6</v>
      </c>
      <c r="I6703">
        <v>-61.760309999999997</v>
      </c>
      <c r="J6703">
        <v>-273.91090000000003</v>
      </c>
      <c r="K6703">
        <v>1.1150310000000001</v>
      </c>
      <c r="L6703">
        <v>-62.869599999999998</v>
      </c>
      <c r="M6703">
        <v>0.99708810000000003</v>
      </c>
      <c r="N6703">
        <v>-9.9127309999999993E-3</v>
      </c>
      <c r="O6703">
        <v>-7.5611609999999996E-2</v>
      </c>
      <c r="P6703">
        <v>0.90790939999999998</v>
      </c>
      <c r="Q6703">
        <v>0.40319189999999999</v>
      </c>
      <c r="R6703">
        <v>0.1146168</v>
      </c>
      <c r="S6703">
        <v>3.4279790000000001</v>
      </c>
      <c r="T6703">
        <v>-0.38282969999999999</v>
      </c>
      <c r="U6703">
        <v>0.37710569999999999</v>
      </c>
      <c r="V6703">
        <v>-0.1875463</v>
      </c>
      <c r="W6703">
        <v>0.40998440000000003</v>
      </c>
      <c r="X6703">
        <v>0.89260239999999902</v>
      </c>
      <c r="Y6703">
        <v>-0.18258659999999999</v>
      </c>
      <c r="Z6703">
        <v>1.8694909999999999E-2</v>
      </c>
      <c r="AA6703">
        <v>0.983012</v>
      </c>
      <c r="AB6703">
        <v>32</v>
      </c>
      <c r="AC6703">
        <v>9.8185000000000198</v>
      </c>
      <c r="AD6703">
        <v>-1.1150321272029999</v>
      </c>
      <c r="AE6703">
        <v>1.1092900000000001</v>
      </c>
      <c r="AF6703">
        <v>-1.8252992612355099</v>
      </c>
      <c r="AG6703">
        <v>-1.1150321272029999</v>
      </c>
      <c r="AH6703">
        <v>9.5844592801150199</v>
      </c>
      <c r="AI6703">
        <v>96.519676891207496</v>
      </c>
      <c r="AJ6703">
        <v>100.782497850366</v>
      </c>
      <c r="AK6703">
        <v>9.8202277840152306</v>
      </c>
      <c r="AL6703">
        <v>65.796143454399399</v>
      </c>
      <c r="AM6703">
        <v>101.865914280382</v>
      </c>
      <c r="AN6703">
        <v>0.99999993368640205</v>
      </c>
    </row>
    <row r="6704" spans="1:40" x14ac:dyDescent="0.25">
      <c r="A6704" t="str">
        <f>"20190304165017549"</f>
        <v>20190304165017549</v>
      </c>
      <c r="B6704" t="str">
        <f>"1551689417542313"</f>
        <v>1551689417542313</v>
      </c>
      <c r="C6704" t="s">
        <v>40</v>
      </c>
      <c r="D6704">
        <v>4.33223</v>
      </c>
      <c r="E6704">
        <v>0.51497159999999997</v>
      </c>
      <c r="F6704" t="s">
        <v>52</v>
      </c>
      <c r="G6704">
        <v>-263.9864</v>
      </c>
      <c r="H6704" s="1">
        <v>-1.0829330000000001E-6</v>
      </c>
      <c r="I6704">
        <v>-61.76484</v>
      </c>
      <c r="J6704">
        <v>-273.73200000000003</v>
      </c>
      <c r="K6704">
        <v>1.11487</v>
      </c>
      <c r="L6704">
        <v>-62.880490000000002</v>
      </c>
      <c r="M6704">
        <v>0.99729230000000002</v>
      </c>
      <c r="N6704">
        <v>-9.8437650000000008E-3</v>
      </c>
      <c r="O6704">
        <v>-7.2877919999999999E-2</v>
      </c>
      <c r="P6704">
        <v>0.90809209999999996</v>
      </c>
      <c r="Q6704">
        <v>0.40236319999999998</v>
      </c>
      <c r="R6704">
        <v>0.1160701</v>
      </c>
      <c r="S6704">
        <v>3.4271240000000001</v>
      </c>
      <c r="T6704">
        <v>-0.3850422</v>
      </c>
      <c r="U6704">
        <v>0.38146970000000002</v>
      </c>
      <c r="V6704">
        <v>-0.18638589999999999</v>
      </c>
      <c r="W6704">
        <v>0.40918189999999999</v>
      </c>
      <c r="X6704">
        <v>0.89321360000000005</v>
      </c>
      <c r="Y6704">
        <v>-0.18116009999999999</v>
      </c>
      <c r="Z6704">
        <v>1.8438590000000001E-2</v>
      </c>
      <c r="AA6704">
        <v>0.98328079999999995</v>
      </c>
      <c r="AB6704">
        <v>32</v>
      </c>
      <c r="AC6704">
        <v>9.7456000000000191</v>
      </c>
      <c r="AD6704">
        <v>-1.114871082933</v>
      </c>
      <c r="AE6704">
        <v>1.11565</v>
      </c>
      <c r="AF6704">
        <v>-1.79970882006945</v>
      </c>
      <c r="AG6704">
        <v>-1.114871082933</v>
      </c>
      <c r="AH6704">
        <v>9.5154567850114002</v>
      </c>
      <c r="AI6704">
        <v>96.5671635987228</v>
      </c>
      <c r="AJ6704">
        <v>100.71014233510201</v>
      </c>
      <c r="AK6704">
        <v>9.7481181361335292</v>
      </c>
      <c r="AL6704">
        <v>65.846547456589903</v>
      </c>
      <c r="AM6704">
        <v>101.786714515431</v>
      </c>
      <c r="AN6704">
        <v>1.00000003311568</v>
      </c>
    </row>
    <row r="6705" spans="1:40" x14ac:dyDescent="0.25">
      <c r="A6705" t="str">
        <f>"20190304165017560"</f>
        <v>20190304165017560</v>
      </c>
      <c r="B6705" t="str">
        <f>"1551689417552073"</f>
        <v>1551689417552073</v>
      </c>
      <c r="C6705" t="s">
        <v>40</v>
      </c>
      <c r="D6705">
        <v>4.3670390000000001</v>
      </c>
      <c r="E6705">
        <v>0.51520900000000003</v>
      </c>
      <c r="F6705" t="s">
        <v>42</v>
      </c>
      <c r="G6705">
        <v>-263.8929</v>
      </c>
      <c r="H6705" s="1">
        <v>-1.043282E-6</v>
      </c>
      <c r="I6705">
        <v>-61.766579999999998</v>
      </c>
      <c r="J6705">
        <v>-273.5772</v>
      </c>
      <c r="K6705">
        <v>1.1147320000000001</v>
      </c>
      <c r="L6705">
        <v>-62.889710000000001</v>
      </c>
      <c r="M6705">
        <v>0.99745839999999997</v>
      </c>
      <c r="N6705">
        <v>-9.7863570000000007E-3</v>
      </c>
      <c r="O6705">
        <v>-7.0574440000000002E-2</v>
      </c>
      <c r="P6705">
        <v>0.90821149999999995</v>
      </c>
      <c r="Q6705">
        <v>0.40178659999999999</v>
      </c>
      <c r="R6705">
        <v>0.1171295</v>
      </c>
      <c r="S6705">
        <v>3.4260250000000001</v>
      </c>
      <c r="T6705">
        <v>-0.38820470000000001</v>
      </c>
      <c r="U6705">
        <v>0.38784790000000002</v>
      </c>
      <c r="V6705">
        <v>-0.1852413</v>
      </c>
      <c r="W6705">
        <v>0.40862880000000001</v>
      </c>
      <c r="X6705">
        <v>0.89370479999999997</v>
      </c>
      <c r="Y6705">
        <v>-0.1807204</v>
      </c>
      <c r="Z6705">
        <v>1.8326950000000002E-2</v>
      </c>
      <c r="AA6705">
        <v>0.98336369999999895</v>
      </c>
      <c r="AB6705">
        <v>32</v>
      </c>
      <c r="AC6705">
        <v>9.6843000000000004</v>
      </c>
      <c r="AD6705">
        <v>-1.114733043282</v>
      </c>
      <c r="AE6705">
        <v>1.12312999999999</v>
      </c>
      <c r="AF6705">
        <v>-1.78054749682328</v>
      </c>
      <c r="AG6705">
        <v>-1.114733043282</v>
      </c>
      <c r="AH6705">
        <v>9.4572395797164699</v>
      </c>
      <c r="AI6705">
        <v>96.607451106629</v>
      </c>
      <c r="AJ6705">
        <v>100.66246182645099</v>
      </c>
      <c r="AK6705">
        <v>9.6877427512493401</v>
      </c>
      <c r="AL6705">
        <v>65.881274121212201</v>
      </c>
      <c r="AM6705">
        <v>101.710077268825</v>
      </c>
      <c r="AN6705">
        <v>1.00000005247908</v>
      </c>
    </row>
    <row r="6706" spans="1:40" x14ac:dyDescent="0.25">
      <c r="A6706" t="str">
        <f>"20190304165017570"</f>
        <v>20190304165017570</v>
      </c>
      <c r="B6706" t="str">
        <f>"1551689417561833"</f>
        <v>1551689417561833</v>
      </c>
      <c r="C6706" t="s">
        <v>40</v>
      </c>
      <c r="D6706">
        <v>4.3652449999999998</v>
      </c>
      <c r="E6706">
        <v>0.5154339</v>
      </c>
      <c r="F6706" t="s">
        <v>42</v>
      </c>
      <c r="G6706">
        <v>-263.79309999999998</v>
      </c>
      <c r="H6706" s="1">
        <v>-1.0019830000000001E-6</v>
      </c>
      <c r="I6706">
        <v>-61.772319999999901</v>
      </c>
      <c r="J6706">
        <v>-273.42200000000003</v>
      </c>
      <c r="K6706">
        <v>1.1145989999999999</v>
      </c>
      <c r="L6706">
        <v>-62.898650000000004</v>
      </c>
      <c r="M6706">
        <v>0.99761480000000002</v>
      </c>
      <c r="N6706">
        <v>-9.731221E-3</v>
      </c>
      <c r="O6706">
        <v>-6.8339079999999996E-2</v>
      </c>
      <c r="P6706">
        <v>0.90832080000000004</v>
      </c>
      <c r="Q6706">
        <v>0.40113100000000002</v>
      </c>
      <c r="R6706">
        <v>0.118522</v>
      </c>
      <c r="S6706">
        <v>3.4254150000000001</v>
      </c>
      <c r="T6706">
        <v>-0.39026749999999999</v>
      </c>
      <c r="U6706">
        <v>0.39117429999999997</v>
      </c>
      <c r="V6706">
        <v>-0.18449119999999999</v>
      </c>
      <c r="W6706">
        <v>0.40799160000000001</v>
      </c>
      <c r="X6706">
        <v>0.89415089999999997</v>
      </c>
      <c r="Y6706">
        <v>-0.17948259999999999</v>
      </c>
      <c r="Z6706">
        <v>1.811633E-2</v>
      </c>
      <c r="AA6706">
        <v>0.98359430000000003</v>
      </c>
      <c r="AB6706">
        <v>32</v>
      </c>
      <c r="AC6706">
        <v>9.6289000000000406</v>
      </c>
      <c r="AD6706">
        <v>-1.11460000198299</v>
      </c>
      <c r="AE6706">
        <v>1.12633000000001</v>
      </c>
      <c r="AF6706">
        <v>-1.7585128923319799</v>
      </c>
      <c r="AG6706">
        <v>-1.11460000198299</v>
      </c>
      <c r="AH6706">
        <v>9.4050896744920802</v>
      </c>
      <c r="AI6706">
        <v>96.644526085405005</v>
      </c>
      <c r="AJ6706">
        <v>100.590571754679</v>
      </c>
      <c r="AK6706">
        <v>9.6327780282821696</v>
      </c>
      <c r="AL6706">
        <v>65.921267204104794</v>
      </c>
      <c r="AM6706">
        <v>101.658301365453</v>
      </c>
      <c r="AN6706">
        <v>0.999999990259405</v>
      </c>
    </row>
    <row r="6707" spans="1:40" x14ac:dyDescent="0.25">
      <c r="A6707" t="str">
        <f>"20190304165017582"</f>
        <v>20190304165017582</v>
      </c>
      <c r="B6707" t="str">
        <f>"1551689417572569"</f>
        <v>1551689417572569</v>
      </c>
      <c r="C6707" t="s">
        <v>40</v>
      </c>
      <c r="D6707">
        <v>4.3382769999999997</v>
      </c>
      <c r="E6707">
        <v>0.51563809999999999</v>
      </c>
      <c r="F6707" t="s">
        <v>42</v>
      </c>
      <c r="G6707">
        <v>-263.69139999999999</v>
      </c>
      <c r="H6707" s="1">
        <v>-9.5918199999999999E-7</v>
      </c>
      <c r="I6707">
        <v>-61.775449999999999</v>
      </c>
      <c r="J6707">
        <v>-273.27260000000001</v>
      </c>
      <c r="K6707">
        <v>1.1144719999999999</v>
      </c>
      <c r="L6707">
        <v>-62.906950000000002</v>
      </c>
      <c r="M6707">
        <v>0.9977549</v>
      </c>
      <c r="N6707">
        <v>-9.6797580000000001E-3</v>
      </c>
      <c r="O6707">
        <v>-6.6271140000000006E-2</v>
      </c>
      <c r="P6707">
        <v>0.908466</v>
      </c>
      <c r="Q6707">
        <v>0.40040769999999998</v>
      </c>
      <c r="R6707">
        <v>0.1198476</v>
      </c>
      <c r="S6707">
        <v>3.4245000000000001</v>
      </c>
      <c r="T6707">
        <v>-0.39226250000000001</v>
      </c>
      <c r="U6707">
        <v>0.3952637</v>
      </c>
      <c r="V6707">
        <v>-0.18383440000000001</v>
      </c>
      <c r="W6707">
        <v>0.40728609999999998</v>
      </c>
      <c r="X6707">
        <v>0.89460769999999901</v>
      </c>
      <c r="Y6707">
        <v>-0.178633399999999</v>
      </c>
      <c r="Z6707">
        <v>1.7941909999999998E-2</v>
      </c>
      <c r="AA6707">
        <v>0.98375210000000002</v>
      </c>
      <c r="AB6707">
        <v>32</v>
      </c>
      <c r="AC6707">
        <v>9.5812000000000204</v>
      </c>
      <c r="AD6707">
        <v>-1.114472959182</v>
      </c>
      <c r="AE6707">
        <v>1.1315</v>
      </c>
      <c r="AF6707">
        <v>-1.74077026605581</v>
      </c>
      <c r="AG6707">
        <v>-1.114472959182</v>
      </c>
      <c r="AH6707">
        <v>9.3602433744693094</v>
      </c>
      <c r="AI6707">
        <v>96.676512070923096</v>
      </c>
      <c r="AJ6707">
        <v>100.53521755015799</v>
      </c>
      <c r="AK6707">
        <v>9.5857439526219608</v>
      </c>
      <c r="AL6707">
        <v>65.965534404063007</v>
      </c>
      <c r="AM6707">
        <v>101.612156239553</v>
      </c>
      <c r="AN6707">
        <v>0.99999999538792905</v>
      </c>
    </row>
    <row r="6708" spans="1:40" x14ac:dyDescent="0.25">
      <c r="A6708" t="str">
        <f>"20190304165017592"</f>
        <v>20190304165017592</v>
      </c>
      <c r="B6708" t="str">
        <f>"1551689417582330"</f>
        <v>1551689417582330</v>
      </c>
      <c r="C6708" t="s">
        <v>40</v>
      </c>
      <c r="D6708">
        <v>4.3839969999999999</v>
      </c>
      <c r="E6708">
        <v>0.51585559999999997</v>
      </c>
      <c r="F6708" t="s">
        <v>42</v>
      </c>
      <c r="G6708">
        <v>-263.60390000000001</v>
      </c>
      <c r="H6708" s="1">
        <v>-9.2352840000000003E-7</v>
      </c>
      <c r="I6708">
        <v>-61.782449999999997</v>
      </c>
      <c r="J6708">
        <v>-273.1225</v>
      </c>
      <c r="K6708">
        <v>1.114347</v>
      </c>
      <c r="L6708">
        <v>-62.915100000000002</v>
      </c>
      <c r="M6708">
        <v>0.99788779999999999</v>
      </c>
      <c r="N6708">
        <v>-9.6292270000000006E-3</v>
      </c>
      <c r="O6708">
        <v>-6.4243880000000003E-2</v>
      </c>
      <c r="P6708">
        <v>0.90865090000000004</v>
      </c>
      <c r="Q6708">
        <v>0.39959359999999999</v>
      </c>
      <c r="R6708">
        <v>0.12115629999999999</v>
      </c>
      <c r="S6708">
        <v>3.4236759999999999</v>
      </c>
      <c r="T6708">
        <v>-0.3946364</v>
      </c>
      <c r="U6708">
        <v>0.39816279999999998</v>
      </c>
      <c r="V6708">
        <v>-0.18320040000000001</v>
      </c>
      <c r="W6708">
        <v>0.40648909999999999</v>
      </c>
      <c r="X6708">
        <v>0.89510009999999995</v>
      </c>
      <c r="Y6708">
        <v>-0.17748340000000001</v>
      </c>
      <c r="Z6708">
        <v>1.7766520000000001E-2</v>
      </c>
      <c r="AA6708">
        <v>0.98396340000000004</v>
      </c>
      <c r="AB6708">
        <v>32</v>
      </c>
      <c r="AC6708">
        <v>9.5185999999999904</v>
      </c>
      <c r="AD6708">
        <v>-1.1143479235284</v>
      </c>
      <c r="AE6708">
        <v>1.1326499999999999</v>
      </c>
      <c r="AF6708">
        <v>-1.71862434285007</v>
      </c>
      <c r="AG6708">
        <v>-1.1143479235284</v>
      </c>
      <c r="AH6708">
        <v>9.30047752524362</v>
      </c>
      <c r="AI6708">
        <v>96.719693271694695</v>
      </c>
      <c r="AJ6708">
        <v>100.46951883852699</v>
      </c>
      <c r="AK6708">
        <v>9.5233567151540903</v>
      </c>
      <c r="AL6708">
        <v>66.015524021177299</v>
      </c>
      <c r="AM6708">
        <v>101.566996115539</v>
      </c>
      <c r="AN6708">
        <v>0.99999998199948903</v>
      </c>
    </row>
    <row r="6709" spans="1:40" x14ac:dyDescent="0.25">
      <c r="A6709" t="str">
        <f>"20190304165017603"</f>
        <v>20190304165017603</v>
      </c>
      <c r="B6709" t="str">
        <f>"1551689417592089"</f>
        <v>1551689417592089</v>
      </c>
      <c r="C6709" t="s">
        <v>40</v>
      </c>
      <c r="D6709">
        <v>4.3609059999999999</v>
      </c>
      <c r="E6709">
        <v>0.51607239999999999</v>
      </c>
      <c r="F6709" t="s">
        <v>42</v>
      </c>
      <c r="G6709">
        <v>-263.52600000000001</v>
      </c>
      <c r="H6709" s="1">
        <v>-8.9199259999999898E-7</v>
      </c>
      <c r="I6709">
        <v>-61.789589999999997</v>
      </c>
      <c r="J6709">
        <v>-272.96589999999998</v>
      </c>
      <c r="K6709">
        <v>1.1142209999999999</v>
      </c>
      <c r="L6709">
        <v>-62.923279999999998</v>
      </c>
      <c r="M6709">
        <v>0.99801580000000001</v>
      </c>
      <c r="N6709">
        <v>-9.5784640000000001E-3</v>
      </c>
      <c r="O6709">
        <v>-6.223335E-2</v>
      </c>
      <c r="P6709">
        <v>0.90865399999999996</v>
      </c>
      <c r="Q6709">
        <v>0.39904149999999999</v>
      </c>
      <c r="R6709">
        <v>0.1229387</v>
      </c>
      <c r="S6709">
        <v>3.4229129999999999</v>
      </c>
      <c r="T6709">
        <v>-0.39746920000000002</v>
      </c>
      <c r="U6709">
        <v>0.40142820000000001</v>
      </c>
      <c r="V6709">
        <v>-0.1830437</v>
      </c>
      <c r="W6709">
        <v>0.40594789999999997</v>
      </c>
      <c r="X6709">
        <v>0.8953778</v>
      </c>
      <c r="Y6709">
        <v>-0.17644789999999999</v>
      </c>
      <c r="Z6709">
        <v>1.7615740000000001E-2</v>
      </c>
      <c r="AA6709">
        <v>0.98415229999999998</v>
      </c>
      <c r="AB6709">
        <v>32</v>
      </c>
      <c r="AC6709">
        <v>9.4398999999999607</v>
      </c>
      <c r="AD6709">
        <v>-1.1142218919925999</v>
      </c>
      <c r="AE6709">
        <v>1.1336900000000001</v>
      </c>
      <c r="AF6709">
        <v>-1.69570731461661</v>
      </c>
      <c r="AG6709">
        <v>-1.1142218919925999</v>
      </c>
      <c r="AH6709">
        <v>9.22435857071215</v>
      </c>
      <c r="AI6709">
        <v>96.775019404638101</v>
      </c>
      <c r="AJ6709">
        <v>100.41634774356601</v>
      </c>
      <c r="AK6709">
        <v>9.4448771703241601</v>
      </c>
      <c r="AL6709">
        <v>66.049460172345306</v>
      </c>
      <c r="AM6709">
        <v>101.553880525748</v>
      </c>
      <c r="AN6709">
        <v>1.00000004917846</v>
      </c>
    </row>
    <row r="6710" spans="1:40" x14ac:dyDescent="0.25">
      <c r="A6710" t="str">
        <f>"20190304165017614"</f>
        <v>20190304165017614</v>
      </c>
      <c r="B6710" t="str">
        <f>"1551689417601849"</f>
        <v>1551689417601849</v>
      </c>
      <c r="C6710" t="s">
        <v>40</v>
      </c>
      <c r="D6710">
        <v>4.3910179999999999</v>
      </c>
      <c r="E6710">
        <v>0.51629979999999998</v>
      </c>
      <c r="F6710" t="s">
        <v>42</v>
      </c>
      <c r="G6710">
        <v>-263.41359999999997</v>
      </c>
      <c r="H6710" s="1">
        <v>-8.4371960000000002E-7</v>
      </c>
      <c r="I6710">
        <v>-61.789340000000003</v>
      </c>
      <c r="J6710">
        <v>-272.80959999999999</v>
      </c>
      <c r="K6710">
        <v>1.1140920000000001</v>
      </c>
      <c r="L6710">
        <v>-62.9313</v>
      </c>
      <c r="M6710">
        <v>0.99813730000000001</v>
      </c>
      <c r="N6710">
        <v>-9.5288030000000006E-3</v>
      </c>
      <c r="O6710">
        <v>-6.0260649999999999E-2</v>
      </c>
      <c r="P6710">
        <v>0.90867169999999997</v>
      </c>
      <c r="Q6710">
        <v>0.39859489999999997</v>
      </c>
      <c r="R6710">
        <v>0.1242499</v>
      </c>
      <c r="S6710">
        <v>3.4219360000000001</v>
      </c>
      <c r="T6710">
        <v>-0.3991497</v>
      </c>
      <c r="U6710">
        <v>0.40618900000000002</v>
      </c>
      <c r="V6710">
        <v>-0.1824547</v>
      </c>
      <c r="W6710">
        <v>0.4055164</v>
      </c>
      <c r="X6710">
        <v>0.89569339999999997</v>
      </c>
      <c r="Y6710">
        <v>-0.17588709999999999</v>
      </c>
      <c r="Z6710">
        <v>1.7445909999999999E-2</v>
      </c>
      <c r="AA6710">
        <v>0.98425569999999896</v>
      </c>
      <c r="AB6710">
        <v>32</v>
      </c>
      <c r="AC6710">
        <v>9.3960000000000097</v>
      </c>
      <c r="AD6710">
        <v>-1.1140928437196</v>
      </c>
      <c r="AE6710">
        <v>1.1419599999999901</v>
      </c>
      <c r="AF6710">
        <v>-1.6828049135729899</v>
      </c>
      <c r="AG6710">
        <v>-1.1140928437196</v>
      </c>
      <c r="AH6710">
        <v>9.1828809350347402</v>
      </c>
      <c r="AI6710">
        <v>96.805241856614998</v>
      </c>
      <c r="AJ6710">
        <v>100.38449179535399</v>
      </c>
      <c r="AK6710">
        <v>9.4020390080342207</v>
      </c>
      <c r="AL6710">
        <v>66.076507706480896</v>
      </c>
      <c r="AM6710">
        <v>101.513747472014</v>
      </c>
      <c r="AN6710">
        <v>0.99999996751230402</v>
      </c>
    </row>
    <row r="6711" spans="1:40" x14ac:dyDescent="0.25">
      <c r="A6711" t="str">
        <f>"20190304165017627"</f>
        <v>20190304165017627</v>
      </c>
      <c r="B6711" t="str">
        <f>"1551689417622345"</f>
        <v>1551689417622345</v>
      </c>
      <c r="C6711" t="s">
        <v>40</v>
      </c>
      <c r="D6711">
        <v>4.3470909999999998</v>
      </c>
      <c r="E6711">
        <v>0.51675850000000001</v>
      </c>
      <c r="F6711" t="s">
        <v>42</v>
      </c>
      <c r="G6711">
        <v>-263.2903</v>
      </c>
      <c r="H6711" s="1">
        <v>-7.9130399999999995E-7</v>
      </c>
      <c r="I6711">
        <v>-61.791249999999998</v>
      </c>
      <c r="J6711">
        <v>-272.63729999999998</v>
      </c>
      <c r="K6711">
        <v>1.113964</v>
      </c>
      <c r="L6711">
        <v>-62.939700000000002</v>
      </c>
      <c r="M6711">
        <v>0.99825889999999995</v>
      </c>
      <c r="N6711">
        <v>-9.4752710000000004E-3</v>
      </c>
      <c r="O6711">
        <v>-5.8218970000000002E-2</v>
      </c>
      <c r="P6711">
        <v>0.90855399999999997</v>
      </c>
      <c r="Q6711">
        <v>0.3983891</v>
      </c>
      <c r="R6711">
        <v>0.1257616</v>
      </c>
      <c r="S6711">
        <v>3.4211429999999998</v>
      </c>
      <c r="T6711">
        <v>-0.40039190000000002</v>
      </c>
      <c r="U6711">
        <v>0.40969850000000002</v>
      </c>
      <c r="V6711">
        <v>-0.18199180000000001</v>
      </c>
      <c r="W6711">
        <v>0.40532200000000002</v>
      </c>
      <c r="X6711">
        <v>0.89587559999999999</v>
      </c>
      <c r="Y6711">
        <v>-0.174905</v>
      </c>
      <c r="Z6711">
        <v>1.7220590000000001E-2</v>
      </c>
      <c r="AA6711">
        <v>0.9844347</v>
      </c>
      <c r="AB6711">
        <v>32</v>
      </c>
      <c r="AC6711">
        <v>9.34699999999998</v>
      </c>
      <c r="AD6711">
        <v>-1.1139647913040001</v>
      </c>
      <c r="AE6711">
        <v>1.14845</v>
      </c>
      <c r="AF6711">
        <v>-1.6673685666640901</v>
      </c>
      <c r="AG6711">
        <v>-1.1139647913040001</v>
      </c>
      <c r="AH6711">
        <v>9.1364395886973995</v>
      </c>
      <c r="AI6711">
        <v>96.839636694797804</v>
      </c>
      <c r="AJ6711">
        <v>100.342465006539</v>
      </c>
      <c r="AK6711">
        <v>9.3539063418061605</v>
      </c>
      <c r="AL6711">
        <v>66.088693487133</v>
      </c>
      <c r="AM6711">
        <v>101.48303972801899</v>
      </c>
      <c r="AN6711">
        <v>1.0000000148132999</v>
      </c>
    </row>
    <row r="6712" spans="1:40" x14ac:dyDescent="0.25">
      <c r="A6712" t="str">
        <f>"20190304165017638"</f>
        <v>20190304165017638</v>
      </c>
      <c r="B6712" t="str">
        <f>"1551689417632105"</f>
        <v>1551689417632105</v>
      </c>
      <c r="C6712" t="s">
        <v>40</v>
      </c>
      <c r="D6712">
        <v>4.339188</v>
      </c>
      <c r="E6712">
        <v>0.51675850000000001</v>
      </c>
      <c r="F6712" t="s">
        <v>42</v>
      </c>
      <c r="G6712">
        <v>-263.11410000000001</v>
      </c>
      <c r="H6712" s="1">
        <v>-7.1598030000000001E-7</v>
      </c>
      <c r="I6712">
        <v>-61.79213</v>
      </c>
      <c r="J6712">
        <v>-272.47379999999998</v>
      </c>
      <c r="K6712">
        <v>1.1138459999999999</v>
      </c>
      <c r="L6712">
        <v>-62.947479999999999</v>
      </c>
      <c r="M6712">
        <v>0.99836820000000004</v>
      </c>
      <c r="N6712">
        <v>-9.4249380000000008E-3</v>
      </c>
      <c r="O6712">
        <v>-5.632156E-2</v>
      </c>
      <c r="P6712">
        <v>0.90840350000000003</v>
      </c>
      <c r="Q6712">
        <v>0.39836840000000001</v>
      </c>
      <c r="R6712">
        <v>0.12690750000000001</v>
      </c>
      <c r="S6712">
        <v>3.4203489999999999</v>
      </c>
      <c r="T6712">
        <v>-0.4000937</v>
      </c>
      <c r="U6712">
        <v>0.4121399</v>
      </c>
      <c r="V6712">
        <v>-0.18130299999999999</v>
      </c>
      <c r="W6712">
        <v>0.4053137</v>
      </c>
      <c r="X6712">
        <v>0.89601900000000001</v>
      </c>
      <c r="Y6712">
        <v>-0.17377479999999901</v>
      </c>
      <c r="Z6712">
        <v>1.6936030000000001E-2</v>
      </c>
      <c r="AA6712">
        <v>0.98463979999999995</v>
      </c>
      <c r="AB6712">
        <v>32</v>
      </c>
      <c r="AC6712">
        <v>9.3596999999999699</v>
      </c>
      <c r="AD6712">
        <v>-1.1138467159802901</v>
      </c>
      <c r="AE6712">
        <v>1.1553499999999901</v>
      </c>
      <c r="AF6712">
        <v>-1.6575699277299101</v>
      </c>
      <c r="AG6712">
        <v>-1.1138467159802901</v>
      </c>
      <c r="AH6712">
        <v>9.1521003685349402</v>
      </c>
      <c r="AI6712">
        <v>96.828972742035205</v>
      </c>
      <c r="AJ6712">
        <v>100.26576438951101</v>
      </c>
      <c r="AK6712">
        <v>9.3674507592915592</v>
      </c>
      <c r="AL6712">
        <v>66.089213585662506</v>
      </c>
      <c r="AM6712">
        <v>101.438944303825</v>
      </c>
      <c r="AN6712">
        <v>1.00000001078884</v>
      </c>
    </row>
    <row r="6713" spans="1:40" x14ac:dyDescent="0.25">
      <c r="A6713" t="str">
        <f>"20190304165017649"</f>
        <v>20190304165017649</v>
      </c>
      <c r="B6713" t="str">
        <f>"1551689417641865"</f>
        <v>1551689417641865</v>
      </c>
      <c r="C6713" t="s">
        <v>40</v>
      </c>
      <c r="D6713">
        <v>4.3654449999999896</v>
      </c>
      <c r="E6713">
        <v>0.52780439999999995</v>
      </c>
      <c r="F6713" t="s">
        <v>42</v>
      </c>
      <c r="G6713">
        <v>-262.95729999999998</v>
      </c>
      <c r="H6713" s="1">
        <v>-6.4663110000000003E-7</v>
      </c>
      <c r="I6713">
        <v>-61.784410000000001</v>
      </c>
      <c r="J6713">
        <v>-272.31009999999998</v>
      </c>
      <c r="K6713">
        <v>1.113731</v>
      </c>
      <c r="L6713">
        <v>-62.954990000000002</v>
      </c>
      <c r="M6713">
        <v>0.99846950000000001</v>
      </c>
      <c r="N6713">
        <v>-9.3745689999999993E-3</v>
      </c>
      <c r="O6713">
        <v>-5.4508099999999997E-2</v>
      </c>
      <c r="P6713">
        <v>0.90818710000000002</v>
      </c>
      <c r="Q6713">
        <v>0.39846219999999999</v>
      </c>
      <c r="R6713">
        <v>0.1281573</v>
      </c>
      <c r="S6713">
        <v>3.4196469999999999</v>
      </c>
      <c r="T6713">
        <v>-0.4002445</v>
      </c>
      <c r="U6713">
        <v>0.41790769999999999</v>
      </c>
      <c r="V6713">
        <v>-0.18079590000000001</v>
      </c>
      <c r="W6713">
        <v>0.40541480000000002</v>
      </c>
      <c r="X6713">
        <v>0.89607569999999903</v>
      </c>
      <c r="Y6713">
        <v>-0.17365720000000001</v>
      </c>
      <c r="Z6713">
        <v>1.6741209999999999E-2</v>
      </c>
      <c r="AA6713">
        <v>0.98466379999999998</v>
      </c>
      <c r="AB6713">
        <v>32</v>
      </c>
      <c r="AC6713">
        <v>9.3528000000000002</v>
      </c>
      <c r="AD6713">
        <v>-1.1137316466311</v>
      </c>
      <c r="AE6713">
        <v>1.17058</v>
      </c>
      <c r="AF6713">
        <v>-1.6555515093923301</v>
      </c>
      <c r="AG6713">
        <v>-1.1137316466311</v>
      </c>
      <c r="AH6713">
        <v>9.1473756135388999</v>
      </c>
      <c r="AI6713">
        <v>96.831918285764203</v>
      </c>
      <c r="AJ6713">
        <v>100.25871280555501</v>
      </c>
      <c r="AK6713">
        <v>9.3624638635417394</v>
      </c>
      <c r="AL6713">
        <v>66.082876463527896</v>
      </c>
      <c r="AM6713">
        <v>101.407086948241</v>
      </c>
      <c r="AN6713">
        <v>0.99999998882316898</v>
      </c>
    </row>
    <row r="6714" spans="1:40" x14ac:dyDescent="0.25">
      <c r="A6714" t="str">
        <f>"20190304165017660"</f>
        <v>20190304165017660</v>
      </c>
      <c r="B6714" t="str">
        <f>"1551689417652601"</f>
        <v>1551689417652601</v>
      </c>
      <c r="C6714" t="s">
        <v>40</v>
      </c>
      <c r="D6714">
        <v>4.3502710000000002</v>
      </c>
      <c r="E6714">
        <v>0.52796869999999996</v>
      </c>
      <c r="F6714" t="s">
        <v>52</v>
      </c>
      <c r="G6714">
        <v>-262.03710000000001</v>
      </c>
      <c r="H6714" s="1">
        <v>-2.9658490000000001E-7</v>
      </c>
      <c r="I6714">
        <v>-61.952359999999999</v>
      </c>
      <c r="J6714">
        <v>-272.1696</v>
      </c>
      <c r="K6714">
        <v>1.11364</v>
      </c>
      <c r="L6714">
        <v>-62.961239999999997</v>
      </c>
      <c r="M6714">
        <v>0.99855150000000004</v>
      </c>
      <c r="N6714">
        <v>-9.3313609999999998E-3</v>
      </c>
      <c r="O6714">
        <v>-5.29904E-2</v>
      </c>
      <c r="P6714">
        <v>0.90800479999999995</v>
      </c>
      <c r="Q6714">
        <v>0.39844469999999998</v>
      </c>
      <c r="R6714">
        <v>0.12949639999999901</v>
      </c>
      <c r="S6714">
        <v>3.4188230000000002</v>
      </c>
      <c r="T6714">
        <v>-0.37064740000000002</v>
      </c>
      <c r="U6714">
        <v>0.33364870000000002</v>
      </c>
      <c r="V6714">
        <v>-0.1806662</v>
      </c>
      <c r="W6714">
        <v>0.40539829999999999</v>
      </c>
      <c r="X6714">
        <v>0.8961093</v>
      </c>
      <c r="Y6714">
        <v>-0.14854039999999999</v>
      </c>
      <c r="Z6714">
        <v>1.393086E-2</v>
      </c>
      <c r="AA6714">
        <v>0.98880820000000003</v>
      </c>
      <c r="AB6714">
        <v>32</v>
      </c>
      <c r="AC6714">
        <v>10.132499999999901</v>
      </c>
      <c r="AD6714">
        <v>-1.1136402965848999</v>
      </c>
      <c r="AE6714">
        <v>1.00888</v>
      </c>
      <c r="AF6714">
        <v>-1.5261564277086299</v>
      </c>
      <c r="AG6714">
        <v>-1.1136402965848999</v>
      </c>
      <c r="AH6714">
        <v>9.9458360819876894</v>
      </c>
      <c r="AI6714">
        <v>96.315514388391307</v>
      </c>
      <c r="AJ6714">
        <v>98.723807033624198</v>
      </c>
      <c r="AK6714">
        <v>10.123685273742</v>
      </c>
      <c r="AL6714">
        <v>66.083910100445394</v>
      </c>
      <c r="AM6714">
        <v>101.398701776446</v>
      </c>
      <c r="AN6714">
        <v>0.99999996750590903</v>
      </c>
    </row>
    <row r="6715" spans="1:40" x14ac:dyDescent="0.25">
      <c r="A6715" t="str">
        <f>"20190304165017670"</f>
        <v>20190304165017670</v>
      </c>
      <c r="B6715" t="str">
        <f>"1551689417662361"</f>
        <v>1551689417662361</v>
      </c>
      <c r="C6715" t="s">
        <v>40</v>
      </c>
      <c r="D6715">
        <v>4.3664209999999999</v>
      </c>
      <c r="E6715">
        <v>0.52780090000000002</v>
      </c>
      <c r="F6715" t="s">
        <v>42</v>
      </c>
      <c r="G6715">
        <v>-261.69690000000003</v>
      </c>
      <c r="H6715" s="1">
        <v>-1.4414679999999999E-7</v>
      </c>
      <c r="I6715">
        <v>-61.928040000000003</v>
      </c>
      <c r="J6715">
        <v>-272.01440000000002</v>
      </c>
      <c r="K6715">
        <v>1.1135440000000001</v>
      </c>
      <c r="L6715">
        <v>-62.96799</v>
      </c>
      <c r="M6715">
        <v>0.99863679999999999</v>
      </c>
      <c r="N6715">
        <v>-9.2835439999999995E-3</v>
      </c>
      <c r="O6715">
        <v>-5.1365319999999999E-2</v>
      </c>
      <c r="P6715">
        <v>0.90777180000000002</v>
      </c>
      <c r="Q6715">
        <v>0.3985649</v>
      </c>
      <c r="R6715">
        <v>0.13075290000000001</v>
      </c>
      <c r="S6715">
        <v>3.4152529999999999</v>
      </c>
      <c r="T6715">
        <v>-0.36316850000000001</v>
      </c>
      <c r="U6715">
        <v>0.33691409999999899</v>
      </c>
      <c r="V6715">
        <v>-0.18035309999999999</v>
      </c>
      <c r="W6715">
        <v>0.40551860000000001</v>
      </c>
      <c r="X6715">
        <v>0.89611799999999997</v>
      </c>
      <c r="Y6715">
        <v>-0.1480234</v>
      </c>
      <c r="Z6715">
        <v>1.348097E-2</v>
      </c>
      <c r="AA6715">
        <v>0.98889199999999999</v>
      </c>
      <c r="AB6715">
        <v>32</v>
      </c>
      <c r="AC6715">
        <v>10.3174999999999</v>
      </c>
      <c r="AD6715">
        <v>-1.1135441441467999</v>
      </c>
      <c r="AE6715">
        <v>1.0399499999999899</v>
      </c>
      <c r="AF6715">
        <v>-1.55068032923615</v>
      </c>
      <c r="AG6715">
        <v>-1.1135441441467999</v>
      </c>
      <c r="AH6715">
        <v>10.133606319473699</v>
      </c>
      <c r="AI6715">
        <v>96.199269686349496</v>
      </c>
      <c r="AJ6715">
        <v>98.700114137556497</v>
      </c>
      <c r="AK6715">
        <v>10.3118653541695</v>
      </c>
      <c r="AL6715">
        <v>66.076371213253793</v>
      </c>
      <c r="AM6715">
        <v>101.3793557108</v>
      </c>
      <c r="AN6715">
        <v>1.0000000227747801</v>
      </c>
    </row>
    <row r="6716" spans="1:40" x14ac:dyDescent="0.25">
      <c r="A6716" t="str">
        <f>"20190304165017681"</f>
        <v>20190304165017681</v>
      </c>
      <c r="B6716" t="str">
        <f>"1551689417672121"</f>
        <v>1551689417672121</v>
      </c>
      <c r="C6716" t="s">
        <v>40</v>
      </c>
      <c r="D6716">
        <v>4.3727119999999999</v>
      </c>
      <c r="E6716">
        <v>0.52802090000000002</v>
      </c>
      <c r="F6716" t="s">
        <v>42</v>
      </c>
      <c r="G6716">
        <v>-261.52460000000002</v>
      </c>
      <c r="H6716" s="1">
        <v>-6.6237929999999998E-8</v>
      </c>
      <c r="I6716">
        <v>-61.912990000000001</v>
      </c>
      <c r="J6716">
        <v>-271.85719999999998</v>
      </c>
      <c r="K6716">
        <v>1.1134539999999999</v>
      </c>
      <c r="L6716">
        <v>-62.974550000000001</v>
      </c>
      <c r="M6716">
        <v>0.99871799999999999</v>
      </c>
      <c r="N6716">
        <v>-9.2363020000000001E-3</v>
      </c>
      <c r="O6716">
        <v>-4.9770179999999997E-2</v>
      </c>
      <c r="P6716">
        <v>0.90744130000000001</v>
      </c>
      <c r="Q6716">
        <v>0.39879819999999999</v>
      </c>
      <c r="R6716">
        <v>0.1323262</v>
      </c>
      <c r="S6716">
        <v>3.4144899999999998</v>
      </c>
      <c r="T6716">
        <v>-0.36246469999999997</v>
      </c>
      <c r="U6716">
        <v>0.34338380000000002</v>
      </c>
      <c r="V6716">
        <v>-0.1803845</v>
      </c>
      <c r="W6716">
        <v>0.4057461</v>
      </c>
      <c r="X6716">
        <v>0.89600869999999999</v>
      </c>
      <c r="Y6716">
        <v>-0.14833060000000001</v>
      </c>
      <c r="Z6716">
        <v>1.331999E-2</v>
      </c>
      <c r="AA6716">
        <v>0.98884810000000001</v>
      </c>
      <c r="AB6716">
        <v>32</v>
      </c>
      <c r="AC6716">
        <v>10.3325999999999</v>
      </c>
      <c r="AD6716">
        <v>-1.11345406623793</v>
      </c>
      <c r="AE6716">
        <v>1.0615600000000001</v>
      </c>
      <c r="AF6716">
        <v>-1.55663399627666</v>
      </c>
      <c r="AG6716">
        <v>-1.11345406623793</v>
      </c>
      <c r="AH6716">
        <v>10.1503180831091</v>
      </c>
      <c r="AI6716">
        <v>96.188338005344406</v>
      </c>
      <c r="AJ6716">
        <v>98.718846149567099</v>
      </c>
      <c r="AK6716">
        <v>10.329174533537399</v>
      </c>
      <c r="AL6716">
        <v>66.062110654922705</v>
      </c>
      <c r="AM6716">
        <v>101.382637298345</v>
      </c>
      <c r="AN6716">
        <v>1.0000000279905701</v>
      </c>
    </row>
    <row r="6717" spans="1:40" x14ac:dyDescent="0.25">
      <c r="A6717" t="str">
        <f>"20190304165017692"</f>
        <v>20190304165017692</v>
      </c>
      <c r="B6717" t="str">
        <f>"1551689417681882"</f>
        <v>1551689417681882</v>
      </c>
      <c r="C6717" t="s">
        <v>40</v>
      </c>
      <c r="D6717">
        <v>4.3811799999999996</v>
      </c>
      <c r="E6717">
        <v>0.52823229999999999</v>
      </c>
      <c r="F6717" t="s">
        <v>42</v>
      </c>
      <c r="G6717">
        <v>-261.30079999999998</v>
      </c>
      <c r="H6717" s="1">
        <v>3.3322639999999998E-8</v>
      </c>
      <c r="I6717">
        <v>-61.899729999999998</v>
      </c>
      <c r="J6717">
        <v>-271.69889999999998</v>
      </c>
      <c r="K6717">
        <v>1.113361</v>
      </c>
      <c r="L6717">
        <v>-62.981050000000003</v>
      </c>
      <c r="M6717">
        <v>0.9987954</v>
      </c>
      <c r="N6717">
        <v>-9.1896559999999992E-3</v>
      </c>
      <c r="O6717">
        <v>-4.8199369999999998E-2</v>
      </c>
      <c r="P6717">
        <v>0.90710329999999995</v>
      </c>
      <c r="Q6717">
        <v>0.39903749999999999</v>
      </c>
      <c r="R6717">
        <v>0.1339128</v>
      </c>
      <c r="S6717">
        <v>3.4135439999999999</v>
      </c>
      <c r="T6717">
        <v>-0.36004819999999998</v>
      </c>
      <c r="U6717">
        <v>0.34753420000000002</v>
      </c>
      <c r="V6717">
        <v>-0.1804547</v>
      </c>
      <c r="W6717">
        <v>0.40597889999999998</v>
      </c>
      <c r="X6717">
        <v>0.89588909999999999</v>
      </c>
      <c r="Y6717">
        <v>-0.1480165</v>
      </c>
      <c r="Z6717">
        <v>1.306646E-2</v>
      </c>
      <c r="AA6717">
        <v>0.98889859999999896</v>
      </c>
      <c r="AB6717">
        <v>32</v>
      </c>
      <c r="AC6717">
        <v>10.398099999999999</v>
      </c>
      <c r="AD6717">
        <v>-1.1133609666773601</v>
      </c>
      <c r="AE6717">
        <v>1.0813199999999901</v>
      </c>
      <c r="AF6717">
        <v>-1.56353246995385</v>
      </c>
      <c r="AG6717">
        <v>-1.1133609666773601</v>
      </c>
      <c r="AH6717">
        <v>10.217999145797</v>
      </c>
      <c r="AI6717">
        <v>96.147464119887005</v>
      </c>
      <c r="AJ6717">
        <v>98.699774719146902</v>
      </c>
      <c r="AK6717">
        <v>10.396716451371899</v>
      </c>
      <c r="AL6717">
        <v>66.047515972111995</v>
      </c>
      <c r="AM6717">
        <v>101.388431783049</v>
      </c>
      <c r="AN6717">
        <v>1.0000000227480501</v>
      </c>
    </row>
    <row r="6718" spans="1:40" x14ac:dyDescent="0.25">
      <c r="A6718" t="str">
        <f>"20190304165017704"</f>
        <v>20190304165017704</v>
      </c>
      <c r="B6718" t="str">
        <f>"1551689417702377"</f>
        <v>1551689417702377</v>
      </c>
      <c r="C6718" t="s">
        <v>40</v>
      </c>
      <c r="D6718">
        <v>4.3820139999999999</v>
      </c>
      <c r="E6718">
        <v>0.52865249999999997</v>
      </c>
      <c r="F6718" t="s">
        <v>42</v>
      </c>
      <c r="G6718">
        <v>-261.13240000000002</v>
      </c>
      <c r="H6718" s="1">
        <v>1.073842E-7</v>
      </c>
      <c r="I6718">
        <v>-61.892740000000003</v>
      </c>
      <c r="J6718">
        <v>-271.53800000000001</v>
      </c>
      <c r="K6718">
        <v>1.113275</v>
      </c>
      <c r="L6718">
        <v>-62.987340000000003</v>
      </c>
      <c r="M6718">
        <v>0.9988688</v>
      </c>
      <c r="N6718">
        <v>-9.1431489999999997E-3</v>
      </c>
      <c r="O6718">
        <v>-4.666551E-2</v>
      </c>
      <c r="P6718">
        <v>0.90692159999999999</v>
      </c>
      <c r="Q6718">
        <v>0.39895259999999999</v>
      </c>
      <c r="R6718">
        <v>0.13538910000000001</v>
      </c>
      <c r="S6718">
        <v>3.4135439999999999</v>
      </c>
      <c r="T6718">
        <v>-0.359676</v>
      </c>
      <c r="U6718">
        <v>0.3515625</v>
      </c>
      <c r="V6718">
        <v>-0.18045890000000001</v>
      </c>
      <c r="W6718">
        <v>0.40588689999999999</v>
      </c>
      <c r="X6718">
        <v>0.89592989999999995</v>
      </c>
      <c r="Y6718">
        <v>-0.1476645</v>
      </c>
      <c r="Z6718">
        <v>1.288446E-2</v>
      </c>
      <c r="AA6718">
        <v>0.98895359999999999</v>
      </c>
      <c r="AB6718">
        <v>32</v>
      </c>
      <c r="AC6718">
        <v>10.4055999999999</v>
      </c>
      <c r="AD6718">
        <v>-1.1132748926158</v>
      </c>
      <c r="AE6718">
        <v>1.09459999999999</v>
      </c>
      <c r="AF6718">
        <v>-1.5613341793387701</v>
      </c>
      <c r="AG6718">
        <v>-1.1132748926158</v>
      </c>
      <c r="AH6718">
        <v>10.227394649587101</v>
      </c>
      <c r="AI6718">
        <v>96.141712271483101</v>
      </c>
      <c r="AJ6718">
        <v>98.679870318382001</v>
      </c>
      <c r="AK6718">
        <v>10.405611309505201</v>
      </c>
      <c r="AL6718">
        <v>66.053282889338902</v>
      </c>
      <c r="AM6718">
        <v>101.388184836465</v>
      </c>
      <c r="AN6718">
        <v>0.99999998794741496</v>
      </c>
    </row>
    <row r="6719" spans="1:40" x14ac:dyDescent="0.25">
      <c r="A6719" t="str">
        <f>"20190304165017715"</f>
        <v>20190304165017715</v>
      </c>
      <c r="B6719" t="str">
        <f>"1551689417712137"</f>
        <v>1551689417712137</v>
      </c>
      <c r="C6719" t="s">
        <v>40</v>
      </c>
      <c r="D6719">
        <v>4.3730460000000004</v>
      </c>
      <c r="E6719">
        <v>0.52886299999999997</v>
      </c>
      <c r="F6719" t="s">
        <v>42</v>
      </c>
      <c r="G6719">
        <v>-260.99639999999999</v>
      </c>
      <c r="H6719" s="1">
        <v>1.656108E-7</v>
      </c>
      <c r="I6719">
        <v>-61.89331</v>
      </c>
      <c r="J6719">
        <v>-271.37970000000001</v>
      </c>
      <c r="K6719">
        <v>1.113194</v>
      </c>
      <c r="L6719">
        <v>-62.993409999999997</v>
      </c>
      <c r="M6719">
        <v>0.99893779999999999</v>
      </c>
      <c r="N6719">
        <v>-9.0978510000000005E-3</v>
      </c>
      <c r="O6719">
        <v>-4.517351E-2</v>
      </c>
      <c r="P6719">
        <v>0.90668709999999997</v>
      </c>
      <c r="Q6719">
        <v>0.39903309999999997</v>
      </c>
      <c r="R6719">
        <v>0.13671649999999999</v>
      </c>
      <c r="S6719">
        <v>3.413605</v>
      </c>
      <c r="T6719">
        <v>-0.36050199999999999</v>
      </c>
      <c r="U6719">
        <v>0.35424800000000001</v>
      </c>
      <c r="V6719">
        <v>-0.18035409999999999</v>
      </c>
      <c r="W6719">
        <v>0.40596100000000002</v>
      </c>
      <c r="X6719">
        <v>0.89591739999999997</v>
      </c>
      <c r="Y6719">
        <v>-0.14696189999999901</v>
      </c>
      <c r="Z6719">
        <v>1.2728E-2</v>
      </c>
      <c r="AA6719">
        <v>0.9890603</v>
      </c>
      <c r="AB6719">
        <v>32</v>
      </c>
      <c r="AC6719">
        <v>10.3833</v>
      </c>
      <c r="AD6719">
        <v>-1.1131938343891901</v>
      </c>
      <c r="AE6719">
        <v>1.1000999999999901</v>
      </c>
      <c r="AF6719">
        <v>-1.5504236281814801</v>
      </c>
      <c r="AG6719">
        <v>-1.1131938343891901</v>
      </c>
      <c r="AH6719">
        <v>10.206985293040301</v>
      </c>
      <c r="AI6719">
        <v>96.154148207707493</v>
      </c>
      <c r="AJ6719">
        <v>98.637106627959199</v>
      </c>
      <c r="AK6719">
        <v>10.383908835890599</v>
      </c>
      <c r="AL6719">
        <v>66.048636641291793</v>
      </c>
      <c r="AM6719">
        <v>101.38189856619</v>
      </c>
      <c r="AN6719">
        <v>0.99999996126528401</v>
      </c>
    </row>
    <row r="6720" spans="1:40" x14ac:dyDescent="0.25">
      <c r="A6720" t="str">
        <f>"20190304165017726"</f>
        <v>20190304165017726</v>
      </c>
      <c r="B6720" t="str">
        <f>"1551689417721904"</f>
        <v>1551689417721904</v>
      </c>
      <c r="C6720" t="s">
        <v>40</v>
      </c>
      <c r="D6720">
        <v>4.3487159999999996</v>
      </c>
      <c r="E6720">
        <v>0.52900939999999996</v>
      </c>
      <c r="F6720" t="s">
        <v>52</v>
      </c>
      <c r="G6720">
        <v>-260.84750000000003</v>
      </c>
      <c r="H6720" s="1">
        <v>2.3097899999999999E-7</v>
      </c>
      <c r="I6720">
        <v>-61.887619999999998</v>
      </c>
      <c r="J6720">
        <v>-271.21699999999998</v>
      </c>
      <c r="K6720">
        <v>1.113113</v>
      </c>
      <c r="L6720">
        <v>-62.999299999999998</v>
      </c>
      <c r="M6720">
        <v>0.99900339999999999</v>
      </c>
      <c r="N6720">
        <v>-9.0508250000000002E-3</v>
      </c>
      <c r="O6720">
        <v>-4.3709869999999998E-2</v>
      </c>
      <c r="P6720">
        <v>0.90669690000000003</v>
      </c>
      <c r="Q6720">
        <v>0.39864359999999999</v>
      </c>
      <c r="R6720">
        <v>0.1377835</v>
      </c>
      <c r="S6720">
        <v>3.413513</v>
      </c>
      <c r="T6720">
        <v>-0.36078830000000001</v>
      </c>
      <c r="U6720">
        <v>0.35836790000000002</v>
      </c>
      <c r="V6720">
        <v>-0.1800282</v>
      </c>
      <c r="W6720">
        <v>0.4055648</v>
      </c>
      <c r="X6720">
        <v>0.89616249999999997</v>
      </c>
      <c r="Y6720">
        <v>-0.14670329999999901</v>
      </c>
      <c r="Z6720">
        <v>1.2580640000000001E-2</v>
      </c>
      <c r="AA6720">
        <v>0.98910050000000005</v>
      </c>
      <c r="AB6720">
        <v>32</v>
      </c>
      <c r="AC6720">
        <v>10.369499999999899</v>
      </c>
      <c r="AD6720">
        <v>-1.1131127690209901</v>
      </c>
      <c r="AE6720">
        <v>1.11167999999999</v>
      </c>
      <c r="AF6720">
        <v>-1.5462703463468801</v>
      </c>
      <c r="AG6720">
        <v>-1.1131127690209901</v>
      </c>
      <c r="AH6720">
        <v>10.1948556235241</v>
      </c>
      <c r="AI6720">
        <v>96.161174386655702</v>
      </c>
      <c r="AJ6720">
        <v>98.624412205702001</v>
      </c>
      <c r="AK6720">
        <v>10.3713573463193</v>
      </c>
      <c r="AL6720">
        <v>66.073477111249602</v>
      </c>
      <c r="AM6720">
        <v>101.35884021794401</v>
      </c>
      <c r="AN6720">
        <v>1.0000000931002599</v>
      </c>
    </row>
    <row r="6721" spans="1:40" x14ac:dyDescent="0.25">
      <c r="A6721" t="str">
        <f>"20190304165017738"</f>
        <v>20190304165017738</v>
      </c>
      <c r="B6721" t="str">
        <f>"1551689417732633"</f>
        <v>1551689417732633</v>
      </c>
      <c r="C6721" t="s">
        <v>40</v>
      </c>
      <c r="D6721">
        <v>4.3448699999999896</v>
      </c>
      <c r="E6721">
        <v>0.52914419999999995</v>
      </c>
      <c r="F6721" t="s">
        <v>42</v>
      </c>
      <c r="G6721">
        <v>-260.79109999999997</v>
      </c>
      <c r="H6721" s="1">
        <v>2.541809E-7</v>
      </c>
      <c r="I6721">
        <v>-61.891359999999999</v>
      </c>
      <c r="J6721">
        <v>-271.04480000000001</v>
      </c>
      <c r="K6721">
        <v>1.1130310000000001</v>
      </c>
      <c r="L6721">
        <v>-63.005429999999997</v>
      </c>
      <c r="M6721">
        <v>0.9990696</v>
      </c>
      <c r="N6721">
        <v>-9.0017009999999904E-3</v>
      </c>
      <c r="O6721">
        <v>-4.2179380000000002E-2</v>
      </c>
      <c r="P6721">
        <v>0.90671159999999995</v>
      </c>
      <c r="Q6721">
        <v>0.39821600000000001</v>
      </c>
      <c r="R6721">
        <v>0.13891779999999901</v>
      </c>
      <c r="S6721">
        <v>3.4138489999999999</v>
      </c>
      <c r="T6721">
        <v>-0.36447689999999999</v>
      </c>
      <c r="U6721">
        <v>0.36276249999999999</v>
      </c>
      <c r="V6721">
        <v>-0.1797059</v>
      </c>
      <c r="W6721">
        <v>0.40512979999999998</v>
      </c>
      <c r="X6721">
        <v>0.89642379999999999</v>
      </c>
      <c r="Y6721">
        <v>-0.1464249</v>
      </c>
      <c r="Z6721">
        <v>1.253749E-2</v>
      </c>
      <c r="AA6721">
        <v>0.98914239999999998</v>
      </c>
      <c r="AB6721">
        <v>32</v>
      </c>
      <c r="AC6721">
        <v>10.2537</v>
      </c>
      <c r="AD6721">
        <v>-1.11303074581909</v>
      </c>
      <c r="AE6721">
        <v>1.1140699999999999</v>
      </c>
      <c r="AF6721">
        <v>-1.52779874212825</v>
      </c>
      <c r="AG6721">
        <v>-1.11303074581909</v>
      </c>
      <c r="AH6721">
        <v>10.0801929475004</v>
      </c>
      <c r="AI6721">
        <v>96.230352562105793</v>
      </c>
      <c r="AJ6721">
        <v>98.618408493448001</v>
      </c>
      <c r="AK6721">
        <v>10.2558908095018</v>
      </c>
      <c r="AL6721">
        <v>66.100738599539</v>
      </c>
      <c r="AM6721">
        <v>101.335812406729</v>
      </c>
      <c r="AN6721">
        <v>0.99999999727464495</v>
      </c>
    </row>
    <row r="6722" spans="1:40" x14ac:dyDescent="0.25">
      <c r="A6722" t="str">
        <f>"20190304165017749"</f>
        <v>20190304165017749</v>
      </c>
      <c r="B6722" t="str">
        <f>"1551689417742393"</f>
        <v>1551689417742393</v>
      </c>
      <c r="C6722" t="s">
        <v>40</v>
      </c>
      <c r="D6722">
        <v>4.3513780000000004</v>
      </c>
      <c r="E6722">
        <v>0.52927639999999998</v>
      </c>
      <c r="F6722" t="s">
        <v>42</v>
      </c>
      <c r="G6722">
        <v>-260.71609999999998</v>
      </c>
      <c r="H6722" s="1">
        <v>2.8547690000000002E-7</v>
      </c>
      <c r="I6722">
        <v>-61.894669999999998</v>
      </c>
      <c r="J6722">
        <v>-270.8895</v>
      </c>
      <c r="K6722">
        <v>1.1129659999999999</v>
      </c>
      <c r="L6722">
        <v>-63.010739999999998</v>
      </c>
      <c r="M6722">
        <v>0.9991255</v>
      </c>
      <c r="N6722">
        <v>-8.9584639999999993E-3</v>
      </c>
      <c r="O6722">
        <v>-4.0841509999999998E-2</v>
      </c>
      <c r="P6722">
        <v>0.90681619999999996</v>
      </c>
      <c r="Q6722">
        <v>0.39764280000000002</v>
      </c>
      <c r="R6722">
        <v>0.13987269999999999</v>
      </c>
      <c r="S6722">
        <v>3.4140009999999998</v>
      </c>
      <c r="T6722">
        <v>-0.36789640000000001</v>
      </c>
      <c r="U6722">
        <v>0.36712650000000002</v>
      </c>
      <c r="V6722">
        <v>-0.17939289999999999</v>
      </c>
      <c r="W6722">
        <v>0.40454990000000002</v>
      </c>
      <c r="X6722">
        <v>0.8967484</v>
      </c>
      <c r="Y6722">
        <v>-0.1463332</v>
      </c>
      <c r="Z6722">
        <v>1.251238E-2</v>
      </c>
      <c r="AA6722">
        <v>0.98915620000000004</v>
      </c>
      <c r="AB6722">
        <v>32</v>
      </c>
      <c r="AC6722">
        <v>10.173400000000001</v>
      </c>
      <c r="AD6722">
        <v>-1.1129657145231</v>
      </c>
      <c r="AE6722">
        <v>1.1160699999999999</v>
      </c>
      <c r="AF6722">
        <v>-1.5127625575828401</v>
      </c>
      <c r="AG6722">
        <v>-1.1129657145231</v>
      </c>
      <c r="AH6722">
        <v>10.001055302823699</v>
      </c>
      <c r="AI6722">
        <v>96.279177084613295</v>
      </c>
      <c r="AJ6722">
        <v>98.601373040569101</v>
      </c>
      <c r="AK6722">
        <v>10.1758660765296</v>
      </c>
      <c r="AL6722">
        <v>66.137076973801101</v>
      </c>
      <c r="AM6722">
        <v>101.31258768734899</v>
      </c>
      <c r="AN6722">
        <v>1.0000000635314801</v>
      </c>
    </row>
    <row r="6723" spans="1:40" x14ac:dyDescent="0.25">
      <c r="A6723" t="str">
        <f>"20190304165017759"</f>
        <v>20190304165017759</v>
      </c>
      <c r="B6723" t="str">
        <f>"1551689417752152"</f>
        <v>1551689417752152</v>
      </c>
      <c r="C6723" t="s">
        <v>40</v>
      </c>
      <c r="D6723">
        <v>4.3495359999999996</v>
      </c>
      <c r="E6723">
        <v>0.52945259999999905</v>
      </c>
      <c r="F6723" t="s">
        <v>42</v>
      </c>
      <c r="G6723">
        <v>-260.64060000000001</v>
      </c>
      <c r="H6723" s="1">
        <v>3.1742050000000001E-7</v>
      </c>
      <c r="I6723">
        <v>-61.896329999999999</v>
      </c>
      <c r="J6723">
        <v>-270.73579999999998</v>
      </c>
      <c r="K6723">
        <v>1.1129</v>
      </c>
      <c r="L6723">
        <v>-63.015810000000002</v>
      </c>
      <c r="M6723">
        <v>0.99917829999999996</v>
      </c>
      <c r="N6723">
        <v>-8.9162330000000008E-3</v>
      </c>
      <c r="O6723">
        <v>-3.953856E-2</v>
      </c>
      <c r="P6723">
        <v>0.90694330000000001</v>
      </c>
      <c r="Q6723">
        <v>0.39708830000000001</v>
      </c>
      <c r="R6723">
        <v>0.14062330000000001</v>
      </c>
      <c r="S6723">
        <v>3.4135740000000001</v>
      </c>
      <c r="T6723">
        <v>-0.37069439999999998</v>
      </c>
      <c r="U6723">
        <v>0.37115480000000001</v>
      </c>
      <c r="V6723">
        <v>-0.17891279999999901</v>
      </c>
      <c r="W6723">
        <v>0.40398859999999998</v>
      </c>
      <c r="X6723">
        <v>0.89709719999999904</v>
      </c>
      <c r="Y6723">
        <v>-0.146201</v>
      </c>
      <c r="Z6723">
        <v>1.246733E-2</v>
      </c>
      <c r="AA6723">
        <v>0.98917630000000001</v>
      </c>
      <c r="AB6723">
        <v>32</v>
      </c>
      <c r="AC6723">
        <v>10.095199999999901</v>
      </c>
      <c r="AD6723">
        <v>-1.1128996825794999</v>
      </c>
      <c r="AE6723">
        <v>1.11947999999998</v>
      </c>
      <c r="AF6723">
        <v>-1.4997648953642899</v>
      </c>
      <c r="AG6723">
        <v>-1.1128996825794999</v>
      </c>
      <c r="AH6723">
        <v>9.9239012664948998</v>
      </c>
      <c r="AI6723">
        <v>96.327352214038797</v>
      </c>
      <c r="AJ6723">
        <v>98.593881003914802</v>
      </c>
      <c r="AK6723">
        <v>10.098101642981799</v>
      </c>
      <c r="AL6723">
        <v>66.172236430295598</v>
      </c>
      <c r="AM6723">
        <v>101.278815569009</v>
      </c>
      <c r="AN6723">
        <v>0.99999998259081901</v>
      </c>
    </row>
    <row r="6724" spans="1:40" x14ac:dyDescent="0.25">
      <c r="A6724" t="str">
        <f>"20190304165017772"</f>
        <v>20190304165017772</v>
      </c>
      <c r="B6724" t="str">
        <f>"1551689417761913"</f>
        <v>1551689417761913</v>
      </c>
      <c r="C6724" t="s">
        <v>40</v>
      </c>
      <c r="D6724">
        <v>4.3503210000000001</v>
      </c>
      <c r="E6724">
        <v>0.52966579999999996</v>
      </c>
      <c r="F6724" t="s">
        <v>42</v>
      </c>
      <c r="G6724">
        <v>-260.5591</v>
      </c>
      <c r="H6724" s="1">
        <v>3.5089409999999998E-7</v>
      </c>
      <c r="I6724">
        <v>-61.901879999999998</v>
      </c>
      <c r="J6724">
        <v>-270.56009999999998</v>
      </c>
      <c r="K6724">
        <v>1.1128290000000001</v>
      </c>
      <c r="L6724">
        <v>-63.0214199999999</v>
      </c>
      <c r="M6724">
        <v>0.9992356</v>
      </c>
      <c r="N6724">
        <v>-8.8686330000000008E-3</v>
      </c>
      <c r="O6724">
        <v>-3.8076359999999997E-2</v>
      </c>
      <c r="P6724">
        <v>0.90701909999999997</v>
      </c>
      <c r="Q6724">
        <v>0.39659290000000003</v>
      </c>
      <c r="R6724">
        <v>0.14152970000000001</v>
      </c>
      <c r="S6724">
        <v>3.4133</v>
      </c>
      <c r="T6724">
        <v>-0.37327169999999998</v>
      </c>
      <c r="U6724">
        <v>0.37359619999999999</v>
      </c>
      <c r="V6724">
        <v>-0.17843919999999999</v>
      </c>
      <c r="W6724">
        <v>0.40348210000000001</v>
      </c>
      <c r="X6724">
        <v>0.89741949999999904</v>
      </c>
      <c r="Y6724">
        <v>-0.14545820000000001</v>
      </c>
      <c r="Z6724">
        <v>1.236053E-2</v>
      </c>
      <c r="AA6724">
        <v>0.98928720000000003</v>
      </c>
      <c r="AB6724">
        <v>32</v>
      </c>
      <c r="AC6724">
        <v>10.0009999999999</v>
      </c>
      <c r="AD6724">
        <v>-1.1128286491058901</v>
      </c>
      <c r="AE6724">
        <v>1.11953999999998</v>
      </c>
      <c r="AF6724">
        <v>-1.4814295218678699</v>
      </c>
      <c r="AG6724">
        <v>-1.1128286491058901</v>
      </c>
      <c r="AH6724">
        <v>9.8309034310147698</v>
      </c>
      <c r="AI6724">
        <v>96.386717722711793</v>
      </c>
      <c r="AJ6724">
        <v>98.569486719719706</v>
      </c>
      <c r="AK6724">
        <v>10.003983371661</v>
      </c>
      <c r="AL6724">
        <v>66.203958780845696</v>
      </c>
      <c r="AM6724">
        <v>101.24578457454299</v>
      </c>
      <c r="AN6724">
        <v>1.00000005604864</v>
      </c>
    </row>
    <row r="6725" spans="1:40" x14ac:dyDescent="0.25">
      <c r="A6725" t="str">
        <f>"20190304165017783"</f>
        <v>20190304165017783</v>
      </c>
      <c r="B6725" t="str">
        <f>"1551689417772649"</f>
        <v>1551689417772649</v>
      </c>
      <c r="C6725" t="s">
        <v>40</v>
      </c>
      <c r="D6725">
        <v>4.3682290000000004</v>
      </c>
      <c r="E6725">
        <v>0.52989469999999905</v>
      </c>
      <c r="F6725" t="s">
        <v>52</v>
      </c>
      <c r="G6725">
        <v>-260.44830000000002</v>
      </c>
      <c r="H6725" s="1">
        <v>3.9650770000000002E-7</v>
      </c>
      <c r="I6725">
        <v>-61.909140000000001</v>
      </c>
      <c r="J6725">
        <v>-270.4101</v>
      </c>
      <c r="K6725">
        <v>1.112776</v>
      </c>
      <c r="L6725">
        <v>-63.025970000000001</v>
      </c>
      <c r="M6725">
        <v>0.99928159999999999</v>
      </c>
      <c r="N6725">
        <v>-8.8296929999999996E-3</v>
      </c>
      <c r="O6725">
        <v>-3.6854930000000001E-2</v>
      </c>
      <c r="P6725">
        <v>0.90710040000000003</v>
      </c>
      <c r="Q6725">
        <v>0.39612199999999997</v>
      </c>
      <c r="R6725">
        <v>0.14232449999999999</v>
      </c>
      <c r="S6725">
        <v>3.413208</v>
      </c>
      <c r="T6725">
        <v>-0.37563400000000002</v>
      </c>
      <c r="U6725">
        <v>0.37542720000000002</v>
      </c>
      <c r="V6725">
        <v>-0.17808640000000001</v>
      </c>
      <c r="W6725">
        <v>0.40300079999999999</v>
      </c>
      <c r="X6725">
        <v>0.89770569999999905</v>
      </c>
      <c r="Y6725">
        <v>-0.14477319999999999</v>
      </c>
      <c r="Z6725">
        <v>1.2271509999999999E-2</v>
      </c>
      <c r="AA6725">
        <v>0.98938879999999996</v>
      </c>
      <c r="AB6725">
        <v>32</v>
      </c>
      <c r="AC6725">
        <v>9.9617999999999807</v>
      </c>
      <c r="AD6725">
        <v>-1.1127756034923</v>
      </c>
      <c r="AE6725">
        <v>1.11682999999999</v>
      </c>
      <c r="AF6725">
        <v>-1.4651717076626201</v>
      </c>
      <c r="AG6725">
        <v>-1.1127756034923</v>
      </c>
      <c r="AH6725">
        <v>9.7931883451590096</v>
      </c>
      <c r="AI6725">
        <v>96.411814586516499</v>
      </c>
      <c r="AJ6725">
        <v>98.508983957742998</v>
      </c>
      <c r="AK6725">
        <v>9.9645138185674096</v>
      </c>
      <c r="AL6725">
        <v>66.234091661615807</v>
      </c>
      <c r="AM6725">
        <v>101.22062748895399</v>
      </c>
      <c r="AN6725">
        <v>0.99999996723904405</v>
      </c>
    </row>
    <row r="6726" spans="1:40" x14ac:dyDescent="0.25">
      <c r="A6726" t="str">
        <f>"20190304165017794"</f>
        <v>20190304165017794</v>
      </c>
      <c r="B6726" t="str">
        <f>"1551689417782410"</f>
        <v>1551689417782410</v>
      </c>
      <c r="C6726" t="s">
        <v>40</v>
      </c>
      <c r="D6726">
        <v>4.3761029999999996</v>
      </c>
      <c r="E6726">
        <v>0.53010259999999998</v>
      </c>
      <c r="F6726" t="s">
        <v>42</v>
      </c>
      <c r="G6726">
        <v>-260.36930000000001</v>
      </c>
      <c r="H6726" s="1">
        <v>4.2864920000000003E-7</v>
      </c>
      <c r="I6726">
        <v>-61.91574</v>
      </c>
      <c r="J6726">
        <v>-270.24419999999998</v>
      </c>
      <c r="K6726">
        <v>1.112722</v>
      </c>
      <c r="L6726">
        <v>-63.030909999999999</v>
      </c>
      <c r="M6726">
        <v>0.99933059999999996</v>
      </c>
      <c r="N6726">
        <v>-8.7873999999999904E-3</v>
      </c>
      <c r="O6726">
        <v>-3.5514299999999999E-2</v>
      </c>
      <c r="P6726">
        <v>0.90725489999999998</v>
      </c>
      <c r="Q6726">
        <v>0.39553909999999998</v>
      </c>
      <c r="R6726">
        <v>0.14295949999999999</v>
      </c>
      <c r="S6726">
        <v>3.413208</v>
      </c>
      <c r="T6726">
        <v>-0.37826900000000002</v>
      </c>
      <c r="U6726">
        <v>0.3773804</v>
      </c>
      <c r="V6726">
        <v>-0.1774657</v>
      </c>
      <c r="W6726">
        <v>0.40240809999999999</v>
      </c>
      <c r="X6726">
        <v>0.89809450000000002</v>
      </c>
      <c r="Y6726">
        <v>-0.14400209999999999</v>
      </c>
      <c r="Z6726">
        <v>1.2171090000000001E-2</v>
      </c>
      <c r="AA6726">
        <v>0.98950249999999995</v>
      </c>
      <c r="AB6726">
        <v>32</v>
      </c>
      <c r="AC6726">
        <v>9.8748999999999594</v>
      </c>
      <c r="AD6726">
        <v>-1.1127215713508001</v>
      </c>
      <c r="AE6726">
        <v>1.11516999999999</v>
      </c>
      <c r="AF6726">
        <v>-1.44703818860404</v>
      </c>
      <c r="AG6726">
        <v>-1.1127215713508001</v>
      </c>
      <c r="AH6726">
        <v>9.7073600286532393</v>
      </c>
      <c r="AI6726">
        <v>96.468226152194006</v>
      </c>
      <c r="AJ6726">
        <v>98.478426727202205</v>
      </c>
      <c r="AK6726">
        <v>9.8774950033154898</v>
      </c>
      <c r="AL6726">
        <v>66.271194059922493</v>
      </c>
      <c r="AM6726">
        <v>101.17778735082599</v>
      </c>
      <c r="AN6726">
        <v>1.0000000422761699</v>
      </c>
    </row>
    <row r="6727" spans="1:40" x14ac:dyDescent="0.25">
      <c r="A6727" t="str">
        <f>"20190304165017804"</f>
        <v>20190304165017804</v>
      </c>
      <c r="B6727" t="str">
        <f>"1551689417801929"</f>
        <v>1551689417801929</v>
      </c>
      <c r="C6727" t="s">
        <v>40</v>
      </c>
      <c r="D6727">
        <v>4.3791169999999999</v>
      </c>
      <c r="E6727">
        <v>0.53053809999999901</v>
      </c>
      <c r="F6727" t="s">
        <v>52</v>
      </c>
      <c r="G6727">
        <v>-260.28149999999999</v>
      </c>
      <c r="H6727" s="1">
        <v>4.6378090000000002E-7</v>
      </c>
      <c r="I6727">
        <v>-61.925220000000003</v>
      </c>
      <c r="J6727">
        <v>-270.09690000000001</v>
      </c>
      <c r="K6727">
        <v>1.1126799999999999</v>
      </c>
      <c r="L6727">
        <v>-63.034999999999997</v>
      </c>
      <c r="M6727">
        <v>0.99937169999999997</v>
      </c>
      <c r="N6727">
        <v>-8.7526099999999992E-3</v>
      </c>
      <c r="O6727">
        <v>-3.4349230000000001E-2</v>
      </c>
      <c r="P6727">
        <v>0.90743850000000004</v>
      </c>
      <c r="Q6727">
        <v>0.39500279999999999</v>
      </c>
      <c r="R6727">
        <v>0.14327679999999901</v>
      </c>
      <c r="S6727">
        <v>3.4131770000000001</v>
      </c>
      <c r="T6727">
        <v>-0.38121310000000003</v>
      </c>
      <c r="U6727">
        <v>0.37878420000000002</v>
      </c>
      <c r="V6727">
        <v>-0.17669979999999999</v>
      </c>
      <c r="W6727">
        <v>0.40186319999999998</v>
      </c>
      <c r="X6727">
        <v>0.89848939999999999</v>
      </c>
      <c r="Y6727">
        <v>-0.1432456</v>
      </c>
      <c r="Z6727">
        <v>1.209676E-2</v>
      </c>
      <c r="AA6727">
        <v>0.98961319999999997</v>
      </c>
      <c r="AB6727">
        <v>32</v>
      </c>
      <c r="AC6727">
        <v>9.8154000000000092</v>
      </c>
      <c r="AD6727">
        <v>-1.1126795362191</v>
      </c>
      <c r="AE6727">
        <v>1.10978</v>
      </c>
      <c r="AF6727">
        <v>-1.42816816546058</v>
      </c>
      <c r="AG6727">
        <v>-1.1126795362191</v>
      </c>
      <c r="AH6727">
        <v>9.6490546207064902</v>
      </c>
      <c r="AI6727">
        <v>96.507722217904202</v>
      </c>
      <c r="AJ6727">
        <v>98.419290905519603</v>
      </c>
      <c r="AK6727">
        <v>9.8174322066685598</v>
      </c>
      <c r="AL6727">
        <v>66.305292773189393</v>
      </c>
      <c r="AM6727">
        <v>101.125983727269</v>
      </c>
      <c r="AN6727">
        <v>1.00000002637331</v>
      </c>
    </row>
    <row r="6728" spans="1:40" x14ac:dyDescent="0.25">
      <c r="A6728" t="str">
        <f>"20190304165017816"</f>
        <v>20190304165017816</v>
      </c>
      <c r="B6728" t="str">
        <f>"1551689417812665"</f>
        <v>1551689417812665</v>
      </c>
      <c r="C6728" t="s">
        <v>40</v>
      </c>
      <c r="D6728">
        <v>4.3621129999999999</v>
      </c>
      <c r="E6728">
        <v>0.53068009999999999</v>
      </c>
      <c r="F6728" t="s">
        <v>42</v>
      </c>
      <c r="G6728">
        <v>-260.1848</v>
      </c>
      <c r="H6728" s="1">
        <v>5.0113899999999997E-7</v>
      </c>
      <c r="I6728">
        <v>-61.940730000000002</v>
      </c>
      <c r="J6728">
        <v>-269.9325</v>
      </c>
      <c r="K6728">
        <v>1.112633</v>
      </c>
      <c r="L6728">
        <v>-63.039549999999998</v>
      </c>
      <c r="M6728">
        <v>0.99941570000000002</v>
      </c>
      <c r="N6728">
        <v>-8.7142859999999999E-3</v>
      </c>
      <c r="O6728">
        <v>-3.3053399999999997E-2</v>
      </c>
      <c r="P6728">
        <v>0.90764299999999998</v>
      </c>
      <c r="Q6728">
        <v>0.39421450000000002</v>
      </c>
      <c r="R6728">
        <v>0.14415069999999999</v>
      </c>
      <c r="S6728">
        <v>3.4133</v>
      </c>
      <c r="T6728">
        <v>-0.38315880000000002</v>
      </c>
      <c r="U6728">
        <v>0.37680049999999998</v>
      </c>
      <c r="V6728">
        <v>-0.1763681</v>
      </c>
      <c r="W6728">
        <v>0.40106229999999998</v>
      </c>
      <c r="X6728">
        <v>0.8989123</v>
      </c>
      <c r="Y6728">
        <v>-0.14139839999999901</v>
      </c>
      <c r="Z6728">
        <v>1.191036E-2</v>
      </c>
      <c r="AA6728">
        <v>0.98988109999999996</v>
      </c>
      <c r="AB6728">
        <v>32</v>
      </c>
      <c r="AC6728">
        <v>9.7477</v>
      </c>
      <c r="AD6728">
        <v>-1.1126324988609999</v>
      </c>
      <c r="AE6728">
        <v>1.0988199999999899</v>
      </c>
      <c r="AF6728">
        <v>-1.4023844684815101</v>
      </c>
      <c r="AG6728">
        <v>-1.1126324988609999</v>
      </c>
      <c r="AH6728">
        <v>9.5827683396384593</v>
      </c>
      <c r="AI6728">
        <v>96.553632714231298</v>
      </c>
      <c r="AJ6728">
        <v>98.325814971551495</v>
      </c>
      <c r="AK6728">
        <v>9.7485425744640004</v>
      </c>
      <c r="AL6728">
        <v>66.355395185906204</v>
      </c>
      <c r="AM6728">
        <v>101.100522823898</v>
      </c>
      <c r="AN6728">
        <v>0.99999999913509496</v>
      </c>
    </row>
    <row r="6729" spans="1:40" x14ac:dyDescent="0.25">
      <c r="A6729" t="str">
        <f>"20190304165017827"</f>
        <v>20190304165017827</v>
      </c>
      <c r="B6729" t="str">
        <f>"1551689417822424"</f>
        <v>1551689417822424</v>
      </c>
      <c r="C6729" t="s">
        <v>40</v>
      </c>
      <c r="D6729">
        <v>4.3704280000000004</v>
      </c>
      <c r="E6729">
        <v>0.5308233</v>
      </c>
      <c r="F6729" t="s">
        <v>42</v>
      </c>
      <c r="G6729">
        <v>-260.101</v>
      </c>
      <c r="H6729" s="1">
        <v>5.3476319999999997E-7</v>
      </c>
      <c r="I6729">
        <v>-61.949489999999997</v>
      </c>
      <c r="J6729">
        <v>-269.76389999999998</v>
      </c>
      <c r="K6729">
        <v>1.1125969999999901</v>
      </c>
      <c r="L6729">
        <v>-63.043880000000001</v>
      </c>
      <c r="M6729">
        <v>0.99945830000000002</v>
      </c>
      <c r="N6729">
        <v>-8.6763429999999996E-3</v>
      </c>
      <c r="O6729">
        <v>-3.1747289999999997E-2</v>
      </c>
      <c r="P6729">
        <v>0.90783780000000003</v>
      </c>
      <c r="Q6729">
        <v>0.3935149</v>
      </c>
      <c r="R6729">
        <v>0.144833399999999</v>
      </c>
      <c r="S6729">
        <v>3.4129640000000001</v>
      </c>
      <c r="T6729">
        <v>-0.38624510000000001</v>
      </c>
      <c r="U6729">
        <v>0.37838749999999999</v>
      </c>
      <c r="V6729">
        <v>-0.17584339999999901</v>
      </c>
      <c r="W6729">
        <v>0.40034750000000002</v>
      </c>
      <c r="X6729">
        <v>0.89933359999999996</v>
      </c>
      <c r="Y6729">
        <v>-0.1405651</v>
      </c>
      <c r="Z6729">
        <v>1.181628E-2</v>
      </c>
      <c r="AA6729">
        <v>0.99000089999999996</v>
      </c>
      <c r="AB6729">
        <v>32</v>
      </c>
      <c r="AC6729">
        <v>9.6628999999999792</v>
      </c>
      <c r="AD6729">
        <v>-1.1125964652367999</v>
      </c>
      <c r="AE6729">
        <v>1.09438999999999</v>
      </c>
      <c r="AF6729">
        <v>-1.3825241005186899</v>
      </c>
      <c r="AG6729">
        <v>-1.1125964652367999</v>
      </c>
      <c r="AH6729">
        <v>9.49894657621474</v>
      </c>
      <c r="AI6729">
        <v>96.611490706091104</v>
      </c>
      <c r="AJ6729">
        <v>98.280967581282198</v>
      </c>
      <c r="AK6729">
        <v>9.6632929087736006</v>
      </c>
      <c r="AL6729">
        <v>66.400095149672794</v>
      </c>
      <c r="AM6729">
        <v>101.063258028913</v>
      </c>
      <c r="AN6729">
        <v>0.99999997308438404</v>
      </c>
    </row>
    <row r="6730" spans="1:40" x14ac:dyDescent="0.25">
      <c r="A6730" t="str">
        <f>"20190304165017839"</f>
        <v>20190304165017839</v>
      </c>
      <c r="B6730" t="str">
        <f>"1551689417832186"</f>
        <v>1551689417832186</v>
      </c>
      <c r="C6730" t="s">
        <v>40</v>
      </c>
      <c r="D6730">
        <v>4.3544960000000001</v>
      </c>
      <c r="E6730">
        <v>0.53096129999999997</v>
      </c>
      <c r="F6730" t="s">
        <v>42</v>
      </c>
      <c r="G6730">
        <v>-260.01679999999999</v>
      </c>
      <c r="H6730" s="1">
        <v>5.6758709999999998E-7</v>
      </c>
      <c r="I6730">
        <v>-61.961959999999998</v>
      </c>
      <c r="J6730">
        <v>-269.59640000000002</v>
      </c>
      <c r="K6730">
        <v>1.112563</v>
      </c>
      <c r="L6730">
        <v>-63.048029999999997</v>
      </c>
      <c r="M6730">
        <v>0.99949900000000003</v>
      </c>
      <c r="N6730">
        <v>-8.6393449999999997E-3</v>
      </c>
      <c r="O6730">
        <v>-3.045488E-2</v>
      </c>
      <c r="P6730">
        <v>0.90787739999999995</v>
      </c>
      <c r="Q6730">
        <v>0.39316060000000003</v>
      </c>
      <c r="R6730">
        <v>0.14554619999999999</v>
      </c>
      <c r="S6730">
        <v>3.4129640000000001</v>
      </c>
      <c r="T6730">
        <v>-0.38957550000000002</v>
      </c>
      <c r="U6730">
        <v>0.3788147</v>
      </c>
      <c r="V6730">
        <v>-0.17536019999999999</v>
      </c>
      <c r="W6730">
        <v>0.39997650000000001</v>
      </c>
      <c r="X6730">
        <v>0.89959299999999998</v>
      </c>
      <c r="Y6730">
        <v>-0.13940359999999999</v>
      </c>
      <c r="Z6730">
        <v>1.1706619999999999E-2</v>
      </c>
      <c r="AA6730">
        <v>0.9901664</v>
      </c>
      <c r="AB6730">
        <v>32</v>
      </c>
      <c r="AC6730">
        <v>9.5796000000000205</v>
      </c>
      <c r="AD6730">
        <v>-1.1125624324129</v>
      </c>
      <c r="AE6730">
        <v>1.0860700000000001</v>
      </c>
      <c r="AF6730">
        <v>-1.3592217825561499</v>
      </c>
      <c r="AG6730">
        <v>-1.1125624324129</v>
      </c>
      <c r="AH6730">
        <v>9.4166765695488301</v>
      </c>
      <c r="AI6730">
        <v>96.669661350124301</v>
      </c>
      <c r="AJ6730">
        <v>98.213458618319194</v>
      </c>
      <c r="AK6730">
        <v>9.5790958151425496</v>
      </c>
      <c r="AL6730">
        <v>66.423290186108005</v>
      </c>
      <c r="AM6730">
        <v>101.030500806589</v>
      </c>
      <c r="AN6730">
        <v>0.99999998297264403</v>
      </c>
    </row>
    <row r="6731" spans="1:40" x14ac:dyDescent="0.25">
      <c r="A6731" t="str">
        <f>"20190304165017849"</f>
        <v>20190304165017849</v>
      </c>
      <c r="B6731" t="str">
        <f>"1551689417841945"</f>
        <v>1551689417841945</v>
      </c>
      <c r="C6731" t="s">
        <v>40</v>
      </c>
      <c r="D6731">
        <v>4.3691709999999997</v>
      </c>
      <c r="E6731">
        <v>0.531163099999999</v>
      </c>
      <c r="F6731" t="s">
        <v>53</v>
      </c>
      <c r="G6731">
        <v>-259.87400000000002</v>
      </c>
      <c r="H6731" s="1">
        <v>-3.5949789999999999E-6</v>
      </c>
      <c r="I6731">
        <v>-61.96754</v>
      </c>
      <c r="J6731">
        <v>-269.43729999999999</v>
      </c>
      <c r="K6731">
        <v>1.112541</v>
      </c>
      <c r="L6731">
        <v>-63.051760000000002</v>
      </c>
      <c r="M6731">
        <v>0.99953550000000002</v>
      </c>
      <c r="N6731">
        <v>-8.6054749999999996E-3</v>
      </c>
      <c r="O6731">
        <v>-2.9237559999999999E-2</v>
      </c>
      <c r="P6731">
        <v>0.90784659999999995</v>
      </c>
      <c r="Q6731">
        <v>0.3929802</v>
      </c>
      <c r="R6731">
        <v>0.14622360000000001</v>
      </c>
      <c r="S6731">
        <v>3.4127200000000002</v>
      </c>
      <c r="T6731">
        <v>-0.39052989999999999</v>
      </c>
      <c r="U6731">
        <v>0.37927250000000001</v>
      </c>
      <c r="V6731">
        <v>-0.17491470000000001</v>
      </c>
      <c r="W6731">
        <v>0.39977849999999998</v>
      </c>
      <c r="X6731">
        <v>0.89976780000000001</v>
      </c>
      <c r="Y6731">
        <v>-0.13834540000000001</v>
      </c>
      <c r="Z6731">
        <v>1.154083E-2</v>
      </c>
      <c r="AA6731">
        <v>0.9903168</v>
      </c>
      <c r="AB6731">
        <v>33</v>
      </c>
      <c r="AC6731">
        <v>9.5632999999999697</v>
      </c>
      <c r="AD6731">
        <v>-1.112544594979</v>
      </c>
      <c r="AE6731">
        <v>1.08421999999999</v>
      </c>
      <c r="AF6731">
        <v>-1.34539710188579</v>
      </c>
      <c r="AG6731">
        <v>-1.112544594979</v>
      </c>
      <c r="AH6731">
        <v>9.4018818832610194</v>
      </c>
      <c r="AI6731">
        <v>96.681114719998305</v>
      </c>
      <c r="AJ6731">
        <v>98.143665456200495</v>
      </c>
      <c r="AK6731">
        <v>9.5625954523011902</v>
      </c>
      <c r="AL6731">
        <v>66.435669014699002</v>
      </c>
      <c r="AM6731">
        <v>101.001077286423</v>
      </c>
      <c r="AN6731">
        <v>1.0000000476275801</v>
      </c>
    </row>
    <row r="6732" spans="1:40" x14ac:dyDescent="0.25">
      <c r="A6732" t="str">
        <f>"20190304165017860"</f>
        <v>20190304165017860</v>
      </c>
      <c r="B6732" t="str">
        <f>"1551689417852682"</f>
        <v>1551689417852682</v>
      </c>
      <c r="C6732" t="s">
        <v>40</v>
      </c>
      <c r="D6732">
        <v>4.3477980000000001</v>
      </c>
      <c r="E6732">
        <v>0.531163099999999</v>
      </c>
      <c r="F6732" t="s">
        <v>53</v>
      </c>
      <c r="G6732">
        <v>-259.714</v>
      </c>
      <c r="H6732" s="1">
        <v>-3.5410870000000001E-6</v>
      </c>
      <c r="I6732">
        <v>-61.971699999999998</v>
      </c>
      <c r="J6732">
        <v>-269.2867</v>
      </c>
      <c r="K6732">
        <v>1.11252</v>
      </c>
      <c r="L6732">
        <v>-63.055149999999998</v>
      </c>
      <c r="M6732">
        <v>0.99956869999999998</v>
      </c>
      <c r="N6732">
        <v>-8.5748149999999995E-3</v>
      </c>
      <c r="O6732">
        <v>-2.8090070000000002E-2</v>
      </c>
      <c r="P6732">
        <v>0.90788159999999896</v>
      </c>
      <c r="Q6732">
        <v>0.39266259999999997</v>
      </c>
      <c r="R6732">
        <v>0.14685709999999999</v>
      </c>
      <c r="S6732">
        <v>3.412506</v>
      </c>
      <c r="T6732">
        <v>-0.3904608</v>
      </c>
      <c r="U6732">
        <v>0.37905879999999997</v>
      </c>
      <c r="V6732">
        <v>-0.17449310000000001</v>
      </c>
      <c r="W6732">
        <v>0.39944499999999999</v>
      </c>
      <c r="X6732">
        <v>0.89999769999999901</v>
      </c>
      <c r="Y6732">
        <v>-0.13716900000000001</v>
      </c>
      <c r="Z6732">
        <v>1.1345630000000001E-2</v>
      </c>
      <c r="AA6732">
        <v>0.99048270000000005</v>
      </c>
      <c r="AB6732">
        <v>33</v>
      </c>
      <c r="AC6732">
        <v>9.5726999999999904</v>
      </c>
      <c r="AD6732">
        <v>-1.112523541087</v>
      </c>
      <c r="AE6732">
        <v>1.08344999999999</v>
      </c>
      <c r="AF6732">
        <v>-1.3341382105628501</v>
      </c>
      <c r="AG6732">
        <v>-1.112523541087</v>
      </c>
      <c r="AH6732">
        <v>9.4129569698781506</v>
      </c>
      <c r="AI6732">
        <v>96.674459287159294</v>
      </c>
      <c r="AJ6732">
        <v>98.067041076167598</v>
      </c>
      <c r="AK6732">
        <v>9.57190640944291</v>
      </c>
      <c r="AL6732">
        <v>66.456512790329896</v>
      </c>
      <c r="AM6732">
        <v>100.97247032212501</v>
      </c>
      <c r="AN6732">
        <v>1.0000000049889499</v>
      </c>
    </row>
    <row r="6733" spans="1:40" x14ac:dyDescent="0.25">
      <c r="A6733" t="str">
        <f>"20190304165017871"</f>
        <v>20190304165017871</v>
      </c>
      <c r="B6733" t="str">
        <f>"1551689417862441"</f>
        <v>1551689417862441</v>
      </c>
      <c r="C6733" t="s">
        <v>40</v>
      </c>
      <c r="D6733">
        <v>4.360995</v>
      </c>
      <c r="E6733">
        <v>0.53172989999999998</v>
      </c>
      <c r="F6733" t="s">
        <v>53</v>
      </c>
      <c r="G6733">
        <v>-259.5917</v>
      </c>
      <c r="H6733" s="1">
        <v>-3.4998290000000001E-6</v>
      </c>
      <c r="I6733">
        <v>-61.974409999999999</v>
      </c>
      <c r="J6733">
        <v>-269.12419999999997</v>
      </c>
      <c r="K6733">
        <v>1.112498</v>
      </c>
      <c r="L6733">
        <v>-63.058590000000002</v>
      </c>
      <c r="M6733">
        <v>0.99960289999999996</v>
      </c>
      <c r="N6733">
        <v>-8.5432310000000001E-3</v>
      </c>
      <c r="O6733">
        <v>-2.685568E-2</v>
      </c>
      <c r="P6733">
        <v>0.90782240000000003</v>
      </c>
      <c r="Q6733">
        <v>0.39244050000000003</v>
      </c>
      <c r="R6733">
        <v>0.14781349999999999</v>
      </c>
      <c r="S6733">
        <v>3.4122309999999998</v>
      </c>
      <c r="T6733">
        <v>-0.39156089999999999</v>
      </c>
      <c r="U6733">
        <v>0.38037110000000002</v>
      </c>
      <c r="V6733">
        <v>-0.17431569999999999</v>
      </c>
      <c r="W6733">
        <v>0.39920280000000002</v>
      </c>
      <c r="X6733">
        <v>0.90013960000000004</v>
      </c>
      <c r="Y6733">
        <v>-0.1363375</v>
      </c>
      <c r="Z6733">
        <v>1.119446E-2</v>
      </c>
      <c r="AA6733">
        <v>0.99059920000000001</v>
      </c>
      <c r="AB6733">
        <v>33</v>
      </c>
      <c r="AC6733">
        <v>9.5324999999999704</v>
      </c>
      <c r="AD6733">
        <v>-1.1125014998289999</v>
      </c>
      <c r="AE6733">
        <v>1.0841799999999999</v>
      </c>
      <c r="AF6733">
        <v>-1.3220235761661301</v>
      </c>
      <c r="AG6733">
        <v>-1.1125014998289999</v>
      </c>
      <c r="AH6733">
        <v>9.3738990221594598</v>
      </c>
      <c r="AI6733">
        <v>96.702531587517001</v>
      </c>
      <c r="AJ6733">
        <v>98.027617816630297</v>
      </c>
      <c r="AK6733">
        <v>9.5318093141177993</v>
      </c>
      <c r="AL6733">
        <v>66.471650612006599</v>
      </c>
      <c r="AM6733">
        <v>100.959899247481</v>
      </c>
      <c r="AN6733">
        <v>1.0000000691412401</v>
      </c>
    </row>
    <row r="6734" spans="1:40" x14ac:dyDescent="0.25">
      <c r="A6734" t="str">
        <f>"20190304165017881"</f>
        <v>20190304165017881</v>
      </c>
      <c r="B6734" t="str">
        <f>"1551689417872202"</f>
        <v>1551689417872202</v>
      </c>
      <c r="C6734" t="s">
        <v>40</v>
      </c>
      <c r="D6734">
        <v>4.4173</v>
      </c>
      <c r="E6734">
        <v>0.53226309999999999</v>
      </c>
      <c r="F6734" t="s">
        <v>53</v>
      </c>
      <c r="G6734">
        <v>-259.3707</v>
      </c>
      <c r="H6734" s="1">
        <v>-3.4248849999999998E-6</v>
      </c>
      <c r="I6734">
        <v>-61.976419999999997</v>
      </c>
      <c r="J6734">
        <v>-268.97019999999998</v>
      </c>
      <c r="K6734">
        <v>1.1124780000000001</v>
      </c>
      <c r="L6734">
        <v>-63.061680000000003</v>
      </c>
      <c r="M6734">
        <v>0.99963369999999996</v>
      </c>
      <c r="N6734">
        <v>-8.5154080000000004E-3</v>
      </c>
      <c r="O6734">
        <v>-2.568995E-2</v>
      </c>
      <c r="P6734">
        <v>0.9078039</v>
      </c>
      <c r="Q6734">
        <v>0.39222849999999998</v>
      </c>
      <c r="R6734">
        <v>0.14848889999999901</v>
      </c>
      <c r="S6734">
        <v>3.4111940000000001</v>
      </c>
      <c r="T6734">
        <v>-0.38908680000000001</v>
      </c>
      <c r="U6734">
        <v>0.37847900000000001</v>
      </c>
      <c r="V6734">
        <v>-0.1739243</v>
      </c>
      <c r="W6734">
        <v>0.3989742</v>
      </c>
      <c r="X6734">
        <v>0.90031659999999902</v>
      </c>
      <c r="Y6734">
        <v>-0.1347033</v>
      </c>
      <c r="Z6734">
        <v>1.0906809999999999E-2</v>
      </c>
      <c r="AA6734">
        <v>0.99082599999999998</v>
      </c>
      <c r="AB6734">
        <v>33</v>
      </c>
      <c r="AC6734">
        <v>9.5994999999999706</v>
      </c>
      <c r="AD6734">
        <v>-1.1124814248849999</v>
      </c>
      <c r="AE6734">
        <v>1.0852599999999999</v>
      </c>
      <c r="AF6734">
        <v>-1.3140953330962299</v>
      </c>
      <c r="AG6734">
        <v>-1.1124814248849999</v>
      </c>
      <c r="AH6734">
        <v>9.4432246833389009</v>
      </c>
      <c r="AI6734">
        <v>96.655348939050498</v>
      </c>
      <c r="AJ6734">
        <v>97.922259946203198</v>
      </c>
      <c r="AK6734">
        <v>9.5989037855997097</v>
      </c>
      <c r="AL6734">
        <v>66.485934264360395</v>
      </c>
      <c r="AM6734">
        <v>100.933786250157</v>
      </c>
      <c r="AN6734">
        <v>1.00000002731584</v>
      </c>
    </row>
    <row r="6735" spans="1:40" x14ac:dyDescent="0.25">
      <c r="A6735" t="str">
        <f>"20190304165017893"</f>
        <v>20190304165017893</v>
      </c>
      <c r="B6735" t="str">
        <f>"1551689417881962"</f>
        <v>1551689417881962</v>
      </c>
      <c r="C6735" t="s">
        <v>40</v>
      </c>
      <c r="D6735">
        <v>4.3992639999999996</v>
      </c>
      <c r="E6735">
        <v>0.5328254</v>
      </c>
      <c r="F6735" t="s">
        <v>53</v>
      </c>
      <c r="G6735">
        <v>-259.21699999999998</v>
      </c>
      <c r="H6735" s="1">
        <v>-3.3737610000000002E-6</v>
      </c>
      <c r="I6735">
        <v>-61.985230000000001</v>
      </c>
      <c r="J6735">
        <v>-268.80489999999998</v>
      </c>
      <c r="K6735">
        <v>1.1124639999999999</v>
      </c>
      <c r="L6735">
        <v>-63.06485</v>
      </c>
      <c r="M6735">
        <v>0.99966520000000003</v>
      </c>
      <c r="N6735">
        <v>-8.4867810000000005E-3</v>
      </c>
      <c r="O6735">
        <v>-2.444172E-2</v>
      </c>
      <c r="P6735">
        <v>0.90769180000000005</v>
      </c>
      <c r="Q6735">
        <v>0.39204080000000002</v>
      </c>
      <c r="R6735">
        <v>0.1496642</v>
      </c>
      <c r="S6735">
        <v>3.4112239999999998</v>
      </c>
      <c r="T6735">
        <v>-0.38909779999999999</v>
      </c>
      <c r="U6735">
        <v>0.37649539999999998</v>
      </c>
      <c r="V6735">
        <v>-0.17395559999999999</v>
      </c>
      <c r="W6735">
        <v>0.3987656</v>
      </c>
      <c r="X6735">
        <v>0.90040299999999995</v>
      </c>
      <c r="Y6735">
        <v>-0.13291510000000001</v>
      </c>
      <c r="Z6735">
        <v>1.066609E-2</v>
      </c>
      <c r="AA6735">
        <v>0.99107000000000001</v>
      </c>
      <c r="AB6735">
        <v>33</v>
      </c>
      <c r="AC6735">
        <v>9.5878999999999905</v>
      </c>
      <c r="AD6735">
        <v>-1.11246737376099</v>
      </c>
      <c r="AE6735">
        <v>1.07961999999999</v>
      </c>
      <c r="AF6735">
        <v>-1.29641610731751</v>
      </c>
      <c r="AG6735">
        <v>-1.11246737376099</v>
      </c>
      <c r="AH6735">
        <v>9.4332412488598294</v>
      </c>
      <c r="AI6735">
        <v>96.663793113969504</v>
      </c>
      <c r="AJ6735">
        <v>97.825174540177898</v>
      </c>
      <c r="AK6735">
        <v>9.58667402388261</v>
      </c>
      <c r="AL6735">
        <v>66.498968629395193</v>
      </c>
      <c r="AM6735">
        <v>100.934682433082</v>
      </c>
      <c r="AN6735">
        <v>1.00000005846185</v>
      </c>
    </row>
    <row r="6736" spans="1:40" x14ac:dyDescent="0.25">
      <c r="A6736" t="str">
        <f>"20190304165017904"</f>
        <v>20190304165017904</v>
      </c>
      <c r="B6736" t="str">
        <f>"1551689417902457"</f>
        <v>1551689417902457</v>
      </c>
      <c r="C6736" t="s">
        <v>40</v>
      </c>
      <c r="D6736">
        <v>4.8784900000000002</v>
      </c>
      <c r="E6736">
        <v>0.53384609999999899</v>
      </c>
      <c r="F6736" t="s">
        <v>53</v>
      </c>
      <c r="G6736">
        <v>-259.05439999999999</v>
      </c>
      <c r="H6736" s="1">
        <v>-3.3192290000000001E-6</v>
      </c>
      <c r="I6736">
        <v>-61.991329999999998</v>
      </c>
      <c r="J6736">
        <v>-268.64609999999999</v>
      </c>
      <c r="K6736">
        <v>1.112455</v>
      </c>
      <c r="L6736">
        <v>-63.067599999999999</v>
      </c>
      <c r="M6736">
        <v>0.99969399999999997</v>
      </c>
      <c r="N6736">
        <v>-8.4617770000000002E-3</v>
      </c>
      <c r="O6736">
        <v>-2.3245459999999999E-2</v>
      </c>
      <c r="P6736">
        <v>0.90752440000000001</v>
      </c>
      <c r="Q6736">
        <v>0.39212269999999999</v>
      </c>
      <c r="R6736">
        <v>0.15046279999999901</v>
      </c>
      <c r="S6736">
        <v>3.4112849999999999</v>
      </c>
      <c r="T6736">
        <v>-0.38920450000000001</v>
      </c>
      <c r="U6736">
        <v>0.37557980000000002</v>
      </c>
      <c r="V6736">
        <v>-0.17366139999999999</v>
      </c>
      <c r="W6736">
        <v>0.39883030000000003</v>
      </c>
      <c r="X6736">
        <v>0.90043109999999904</v>
      </c>
      <c r="Y6736">
        <v>-0.1314804</v>
      </c>
      <c r="Z6736">
        <v>1.0454700000000001E-2</v>
      </c>
      <c r="AA6736">
        <v>0.99126360000000002</v>
      </c>
      <c r="AB6736">
        <v>33</v>
      </c>
      <c r="AC6736">
        <v>9.5916999999999994</v>
      </c>
      <c r="AD6736">
        <v>-1.1124583192290001</v>
      </c>
      <c r="AE6736">
        <v>1.0762699999999901</v>
      </c>
      <c r="AF6736">
        <v>-1.28192104540559</v>
      </c>
      <c r="AG6736">
        <v>-1.1124583192290001</v>
      </c>
      <c r="AH6736">
        <v>9.4387011292045209</v>
      </c>
      <c r="AI6736">
        <v>96.661349245898805</v>
      </c>
      <c r="AJ6736">
        <v>97.734326018884303</v>
      </c>
      <c r="AK6736">
        <v>9.5900971885128605</v>
      </c>
      <c r="AL6736">
        <v>66.494925470149994</v>
      </c>
      <c r="AM6736">
        <v>100.91630149314</v>
      </c>
      <c r="AN6736">
        <v>1.00000002794762</v>
      </c>
    </row>
    <row r="6737" spans="1:40" x14ac:dyDescent="0.25">
      <c r="A6737" t="str">
        <f>"20190304165017916"</f>
        <v>20190304165017916</v>
      </c>
      <c r="B6737" t="str">
        <f>"1551689417912218"</f>
        <v>1551689417912218</v>
      </c>
      <c r="C6737" t="s">
        <v>40</v>
      </c>
      <c r="D6737">
        <v>4.2851819999999998</v>
      </c>
      <c r="E6737">
        <v>0.53432659999999998</v>
      </c>
      <c r="F6737" t="s">
        <v>53</v>
      </c>
      <c r="G6737">
        <v>-258.85120000000001</v>
      </c>
      <c r="H6737" s="1">
        <v>-3.2522450000000001E-6</v>
      </c>
      <c r="I6737">
        <v>-62.007420000000003</v>
      </c>
      <c r="J6737">
        <v>-268.4812</v>
      </c>
      <c r="K6737">
        <v>1.1124480000000001</v>
      </c>
      <c r="L6737">
        <v>-63.070369999999997</v>
      </c>
      <c r="M6737">
        <v>0.99972249999999996</v>
      </c>
      <c r="N6737">
        <v>-8.4364439999999995E-3</v>
      </c>
      <c r="O6737">
        <v>-2.20033E-2</v>
      </c>
      <c r="P6737">
        <v>0.90735259999999995</v>
      </c>
      <c r="Q6737">
        <v>0.39217639999999998</v>
      </c>
      <c r="R6737">
        <v>0.15135770000000001</v>
      </c>
      <c r="S6737">
        <v>3.411896</v>
      </c>
      <c r="T6737">
        <v>-0.38750699999999999</v>
      </c>
      <c r="U6737">
        <v>0.36929319999999999</v>
      </c>
      <c r="V6737">
        <v>-0.1734223</v>
      </c>
      <c r="W6737">
        <v>0.39886529999999998</v>
      </c>
      <c r="X6737">
        <v>0.90046170000000003</v>
      </c>
      <c r="Y6737">
        <v>-0.1284604</v>
      </c>
      <c r="Z6737">
        <v>1.009584E-2</v>
      </c>
      <c r="AA6737">
        <v>0.99166319999999997</v>
      </c>
      <c r="AB6737">
        <v>33</v>
      </c>
      <c r="AC6737">
        <v>9.6299999999999901</v>
      </c>
      <c r="AD6737">
        <v>-1.1124512522450001</v>
      </c>
      <c r="AE6737">
        <v>1.0629500000000001</v>
      </c>
      <c r="AF6737">
        <v>-1.2580062507267999</v>
      </c>
      <c r="AG6737">
        <v>-1.1124512522450001</v>
      </c>
      <c r="AH6737">
        <v>9.4793031777822705</v>
      </c>
      <c r="AI6737">
        <v>96.635722387964506</v>
      </c>
      <c r="AJ6737">
        <v>97.559597047845102</v>
      </c>
      <c r="AK6737">
        <v>9.6269058503655405</v>
      </c>
      <c r="AL6737">
        <v>66.492739134664902</v>
      </c>
      <c r="AM6737">
        <v>100.901270516198</v>
      </c>
      <c r="AN6737">
        <v>1.00000004742413</v>
      </c>
    </row>
    <row r="6738" spans="1:40" x14ac:dyDescent="0.25">
      <c r="A6738" t="str">
        <f>"20190304165017927"</f>
        <v>20190304165017927</v>
      </c>
      <c r="B6738" t="str">
        <f>"1551689417921980"</f>
        <v>1551689417921980</v>
      </c>
      <c r="C6738" t="s">
        <v>40</v>
      </c>
      <c r="D6738">
        <v>4.3649709999999997</v>
      </c>
      <c r="E6738">
        <v>0.53483819999999904</v>
      </c>
      <c r="F6738" t="s">
        <v>53</v>
      </c>
      <c r="G6738">
        <v>-258.64400000000001</v>
      </c>
      <c r="H6738" s="1">
        <v>-3.1820990000000002E-6</v>
      </c>
      <c r="I6738">
        <v>-62.01023</v>
      </c>
      <c r="J6738">
        <v>-268.30349999999999</v>
      </c>
      <c r="K6738">
        <v>1.1124400000000001</v>
      </c>
      <c r="L6738">
        <v>-63.073030000000003</v>
      </c>
      <c r="M6738">
        <v>0.9997511</v>
      </c>
      <c r="N6738">
        <v>-8.4125169999999996E-3</v>
      </c>
      <c r="O6738">
        <v>-2.0669710000000001E-2</v>
      </c>
      <c r="P6738">
        <v>0.90723770000000004</v>
      </c>
      <c r="Q6738">
        <v>0.3920399</v>
      </c>
      <c r="R6738">
        <v>0.15239610000000001</v>
      </c>
      <c r="S6738">
        <v>3.4117130000000002</v>
      </c>
      <c r="T6738">
        <v>-0.38581799999999999</v>
      </c>
      <c r="U6738">
        <v>0.3676758</v>
      </c>
      <c r="V6738">
        <v>-0.17324510000000001</v>
      </c>
      <c r="W6738">
        <v>0.39871180000000001</v>
      </c>
      <c r="X6738">
        <v>0.90056369999999897</v>
      </c>
      <c r="Y6738">
        <v>-0.12670600000000001</v>
      </c>
      <c r="Z6738">
        <v>9.8085350000000002E-3</v>
      </c>
      <c r="AA6738">
        <v>0.99189179999999999</v>
      </c>
      <c r="AB6738">
        <v>33</v>
      </c>
      <c r="AC6738">
        <v>9.65949999999998</v>
      </c>
      <c r="AD6738">
        <v>-1.1124431820989999</v>
      </c>
      <c r="AE6738">
        <v>1.06279999999999</v>
      </c>
      <c r="AF6738">
        <v>-1.2459119743607101</v>
      </c>
      <c r="AG6738">
        <v>-1.1124431820989999</v>
      </c>
      <c r="AH6738">
        <v>9.5108329309813495</v>
      </c>
      <c r="AI6738">
        <v>96.615325975913706</v>
      </c>
      <c r="AJ6738">
        <v>97.463206196274299</v>
      </c>
      <c r="AK6738">
        <v>9.6563849095970298</v>
      </c>
      <c r="AL6738">
        <v>66.502327731402801</v>
      </c>
      <c r="AM6738">
        <v>100.88919427613401</v>
      </c>
      <c r="AN6738">
        <v>0.999999970945469</v>
      </c>
    </row>
    <row r="6739" spans="1:40" x14ac:dyDescent="0.25">
      <c r="A6739" t="str">
        <f>"20190304165017938"</f>
        <v>20190304165017938</v>
      </c>
      <c r="B6739" t="str">
        <f>"1551689417932713"</f>
        <v>1551689417932713</v>
      </c>
      <c r="C6739" t="s">
        <v>40</v>
      </c>
      <c r="D6739">
        <v>4.3760909999999997</v>
      </c>
      <c r="E6739">
        <v>0.53529669999999996</v>
      </c>
      <c r="F6739" t="s">
        <v>53</v>
      </c>
      <c r="G6739">
        <v>-258.55700000000002</v>
      </c>
      <c r="H6739" s="1">
        <v>-3.154505E-6</v>
      </c>
      <c r="I6739">
        <v>-62.025359999999999</v>
      </c>
      <c r="J6739">
        <v>-268.14060000000001</v>
      </c>
      <c r="K6739">
        <v>1.112428</v>
      </c>
      <c r="L6739">
        <v>-63.075319999999998</v>
      </c>
      <c r="M6739">
        <v>0.99977559999999999</v>
      </c>
      <c r="N6739">
        <v>-8.3914719999999901E-3</v>
      </c>
      <c r="O6739">
        <v>-1.9447699999999998E-2</v>
      </c>
      <c r="P6739">
        <v>0.90710440000000003</v>
      </c>
      <c r="Q6739">
        <v>0.39195780000000002</v>
      </c>
      <c r="R6739">
        <v>0.15339749999999999</v>
      </c>
      <c r="S6739">
        <v>3.4134220000000002</v>
      </c>
      <c r="T6739">
        <v>-0.38959860000000002</v>
      </c>
      <c r="U6739">
        <v>0.36691279999999998</v>
      </c>
      <c r="V6739">
        <v>-0.17313290000000001</v>
      </c>
      <c r="W6739">
        <v>0.39861429999999998</v>
      </c>
      <c r="X6739">
        <v>0.9006284</v>
      </c>
      <c r="Y6739">
        <v>-0.125221</v>
      </c>
      <c r="Z6739">
        <v>9.6760130000000007E-3</v>
      </c>
      <c r="AA6739">
        <v>0.99208169999999996</v>
      </c>
      <c r="AB6739">
        <v>33</v>
      </c>
      <c r="AC6739">
        <v>9.5835999999999899</v>
      </c>
      <c r="AD6739">
        <v>-1.1124311545050001</v>
      </c>
      <c r="AE6739">
        <v>1.04995999999999</v>
      </c>
      <c r="AF6739">
        <v>-1.21990519897483</v>
      </c>
      <c r="AG6739">
        <v>-1.1124311545050001</v>
      </c>
      <c r="AH6739">
        <v>9.4357403119614798</v>
      </c>
      <c r="AI6739">
        <v>96.668878435762807</v>
      </c>
      <c r="AJ6739">
        <v>97.366655721897502</v>
      </c>
      <c r="AK6739">
        <v>9.5790848729288403</v>
      </c>
      <c r="AL6739">
        <v>66.508418237315396</v>
      </c>
      <c r="AM6739">
        <v>100.88154735570301</v>
      </c>
      <c r="AN6739">
        <v>0.99999993805672804</v>
      </c>
    </row>
    <row r="6740" spans="1:40" x14ac:dyDescent="0.25">
      <c r="A6740" t="str">
        <f>"20190304165017949"</f>
        <v>20190304165017949</v>
      </c>
      <c r="B6740" t="str">
        <f>"1551689417942473"</f>
        <v>1551689417942473</v>
      </c>
      <c r="C6740" t="s">
        <v>40</v>
      </c>
      <c r="D6740">
        <v>4.7624219999999999</v>
      </c>
      <c r="E6740">
        <v>0.53573950000000004</v>
      </c>
      <c r="F6740" t="s">
        <v>53</v>
      </c>
      <c r="G6740">
        <v>-258.48849999999999</v>
      </c>
      <c r="H6740" s="1">
        <v>-3.133133E-6</v>
      </c>
      <c r="I6740">
        <v>-62.039679999999997</v>
      </c>
      <c r="J6740">
        <v>-267.9821</v>
      </c>
      <c r="K6740">
        <v>1.112422</v>
      </c>
      <c r="L6740">
        <v>-63.077359999999999</v>
      </c>
      <c r="M6740">
        <v>0.99979819999999997</v>
      </c>
      <c r="N6740">
        <v>-8.3727519999999903E-3</v>
      </c>
      <c r="O6740">
        <v>-1.8260970000000001E-2</v>
      </c>
      <c r="P6740">
        <v>0.90713600000000005</v>
      </c>
      <c r="Q6740">
        <v>0.39165739999999999</v>
      </c>
      <c r="R6740">
        <v>0.15397629999999901</v>
      </c>
      <c r="S6740">
        <v>3.4153440000000002</v>
      </c>
      <c r="T6740">
        <v>-0.39362970000000003</v>
      </c>
      <c r="U6740">
        <v>0.36645509999999998</v>
      </c>
      <c r="V6740">
        <v>-0.1726326</v>
      </c>
      <c r="W6740">
        <v>0.39830379999999999</v>
      </c>
      <c r="X6740">
        <v>0.90086189999999999</v>
      </c>
      <c r="Y6740">
        <v>-0.1238504</v>
      </c>
      <c r="Z6740">
        <v>9.5553760000000008E-3</v>
      </c>
      <c r="AA6740">
        <v>0.99225490000000005</v>
      </c>
      <c r="AB6740">
        <v>33</v>
      </c>
      <c r="AC6740">
        <v>9.4936000000000096</v>
      </c>
      <c r="AD6740">
        <v>-1.112425133133</v>
      </c>
      <c r="AE6740">
        <v>1.0376799999999899</v>
      </c>
      <c r="AF6740">
        <v>-1.1946659274759399</v>
      </c>
      <c r="AG6740">
        <v>-1.112425133133</v>
      </c>
      <c r="AH6740">
        <v>9.3462554070224595</v>
      </c>
      <c r="AI6740">
        <v>96.733343537278301</v>
      </c>
      <c r="AJ6740">
        <v>97.284215331085406</v>
      </c>
      <c r="AK6740">
        <v>9.4877397987294394</v>
      </c>
      <c r="AL6740">
        <v>66.527817607639093</v>
      </c>
      <c r="AM6740">
        <v>100.848104844432</v>
      </c>
      <c r="AN6740">
        <v>1.0000000472744</v>
      </c>
    </row>
    <row r="6741" spans="1:40" x14ac:dyDescent="0.25">
      <c r="A6741" t="str">
        <f>"20190304165017960"</f>
        <v>20190304165017960</v>
      </c>
      <c r="B6741" t="str">
        <f>"1551689417952233"</f>
        <v>1551689417952233</v>
      </c>
      <c r="C6741" t="s">
        <v>40</v>
      </c>
      <c r="D6741">
        <v>4.3514400000000002</v>
      </c>
      <c r="E6741">
        <v>0.53615369999999996</v>
      </c>
      <c r="F6741" t="s">
        <v>53</v>
      </c>
      <c r="G6741">
        <v>-258.34320000000002</v>
      </c>
      <c r="H6741" s="1">
        <v>-3.0850780000000001E-6</v>
      </c>
      <c r="I6741">
        <v>-62.050170000000001</v>
      </c>
      <c r="J6741">
        <v>-267.8252</v>
      </c>
      <c r="K6741">
        <v>1.112417</v>
      </c>
      <c r="L6741">
        <v>-63.079189999999997</v>
      </c>
      <c r="M6741">
        <v>0.99981920000000002</v>
      </c>
      <c r="N6741">
        <v>-8.3554149999999997E-3</v>
      </c>
      <c r="O6741">
        <v>-1.7089750000000001E-2</v>
      </c>
      <c r="P6741">
        <v>0.9072152</v>
      </c>
      <c r="Q6741">
        <v>0.39126250000000001</v>
      </c>
      <c r="R6741">
        <v>0.1545146</v>
      </c>
      <c r="S6741">
        <v>3.4155269999999902</v>
      </c>
      <c r="T6741">
        <v>-0.3941866</v>
      </c>
      <c r="U6741">
        <v>0.36398320000000001</v>
      </c>
      <c r="V6741">
        <v>-0.1721057</v>
      </c>
      <c r="W6741">
        <v>0.39789999999999998</v>
      </c>
      <c r="X6741">
        <v>0.90114099999999997</v>
      </c>
      <c r="Y6741">
        <v>-0.1219894</v>
      </c>
      <c r="Z6741">
        <v>9.3281340000000001E-3</v>
      </c>
      <c r="AA6741">
        <v>0.99248749999999997</v>
      </c>
      <c r="AB6741">
        <v>33</v>
      </c>
      <c r="AC6741">
        <v>9.4819999999999691</v>
      </c>
      <c r="AD6741">
        <v>-1.1124200850779999</v>
      </c>
      <c r="AE6741">
        <v>1.02902</v>
      </c>
      <c r="AF6741">
        <v>-1.1749370185438901</v>
      </c>
      <c r="AG6741">
        <v>-1.1124200850779999</v>
      </c>
      <c r="AH6741">
        <v>9.3360255967150891</v>
      </c>
      <c r="AI6741">
        <v>96.742268497809306</v>
      </c>
      <c r="AJ6741">
        <v>97.172952590371494</v>
      </c>
      <c r="AK6741">
        <v>9.4751954800810907</v>
      </c>
      <c r="AL6741">
        <v>66.553035741605299</v>
      </c>
      <c r="AM6741">
        <v>100.812506106764</v>
      </c>
      <c r="AN6741">
        <v>0.99999994192674302</v>
      </c>
    </row>
    <row r="6742" spans="1:40" x14ac:dyDescent="0.25">
      <c r="A6742" t="str">
        <f>"20190304165017971"</f>
        <v>20190304165017971</v>
      </c>
      <c r="B6742" t="str">
        <f>"1551689417961993"</f>
        <v>1551689417961993</v>
      </c>
      <c r="C6742" t="s">
        <v>40</v>
      </c>
      <c r="D6742">
        <v>4.9904039999999998</v>
      </c>
      <c r="E6742">
        <v>0.53655759999999997</v>
      </c>
      <c r="F6742" t="s">
        <v>53</v>
      </c>
      <c r="G6742">
        <v>-258.19940000000003</v>
      </c>
      <c r="H6742" s="1">
        <v>-3.0261289999999999E-6</v>
      </c>
      <c r="I6742">
        <v>-62.058689999999999</v>
      </c>
      <c r="J6742">
        <v>-267.6499</v>
      </c>
      <c r="K6742">
        <v>1.1124099999999999</v>
      </c>
      <c r="L6742">
        <v>-63.081049999999998</v>
      </c>
      <c r="M6742">
        <v>0.99984070000000003</v>
      </c>
      <c r="N6742">
        <v>-8.3374769999999994E-3</v>
      </c>
      <c r="O6742">
        <v>-1.5785250000000001E-2</v>
      </c>
      <c r="P6742">
        <v>0.90737860000000004</v>
      </c>
      <c r="Q6742">
        <v>0.39076050000000001</v>
      </c>
      <c r="R6742">
        <v>0.1548233</v>
      </c>
      <c r="S6742">
        <v>3.415375</v>
      </c>
      <c r="T6742">
        <v>-0.39470179999999999</v>
      </c>
      <c r="U6742">
        <v>0.3620911</v>
      </c>
      <c r="V6742">
        <v>-0.17122799999999999</v>
      </c>
      <c r="W6742">
        <v>0.39739210000000003</v>
      </c>
      <c r="X6742">
        <v>0.90153229999999995</v>
      </c>
      <c r="Y6742">
        <v>-0.1201731</v>
      </c>
      <c r="Z6742">
        <v>9.0885949999999997E-3</v>
      </c>
      <c r="AA6742">
        <v>0.99271140000000002</v>
      </c>
      <c r="AB6742">
        <v>33</v>
      </c>
      <c r="AC6742">
        <v>9.4504999999999697</v>
      </c>
      <c r="AD6742">
        <v>-1.1124130261289999</v>
      </c>
      <c r="AE6742">
        <v>1.0223599999999899</v>
      </c>
      <c r="AF6742">
        <v>-1.1555902120313399</v>
      </c>
      <c r="AG6742">
        <v>-1.1124130261289999</v>
      </c>
      <c r="AH6742">
        <v>9.3057393728964399</v>
      </c>
      <c r="AI6742">
        <v>96.7653434067403</v>
      </c>
      <c r="AJ6742">
        <v>97.078773161291295</v>
      </c>
      <c r="AK6742">
        <v>9.4429675820220407</v>
      </c>
      <c r="AL6742">
        <v>66.584752999582903</v>
      </c>
      <c r="AM6742">
        <v>100.75409425167599</v>
      </c>
      <c r="AN6742">
        <v>0.99999999853485</v>
      </c>
    </row>
    <row r="6743" spans="1:40" x14ac:dyDescent="0.25">
      <c r="A6743" t="str">
        <f>"20190304165017983"</f>
        <v>20190304165017983</v>
      </c>
      <c r="B6743" t="str">
        <f>"1551689417972729"</f>
        <v>1551689417972729</v>
      </c>
      <c r="C6743" t="s">
        <v>40</v>
      </c>
      <c r="D6743">
        <v>4.403594</v>
      </c>
      <c r="E6743">
        <v>0.5369775</v>
      </c>
      <c r="F6743" t="s">
        <v>53</v>
      </c>
      <c r="G6743">
        <v>-258.0446</v>
      </c>
      <c r="H6743" s="1">
        <v>-2.9624779999999998E-6</v>
      </c>
      <c r="I6743">
        <v>-62.071100000000001</v>
      </c>
      <c r="J6743">
        <v>-267.49040000000002</v>
      </c>
      <c r="K6743">
        <v>1.112398</v>
      </c>
      <c r="L6743">
        <v>-63.08249</v>
      </c>
      <c r="M6743">
        <v>0.99985889999999999</v>
      </c>
      <c r="N6743">
        <v>-8.3228139999999996E-3</v>
      </c>
      <c r="O6743">
        <v>-1.46069999999999E-2</v>
      </c>
      <c r="P6743">
        <v>0.90751959999999998</v>
      </c>
      <c r="Q6743">
        <v>0.39035160000000002</v>
      </c>
      <c r="R6743">
        <v>0.155028799999999</v>
      </c>
      <c r="S6743">
        <v>3.4152830000000001</v>
      </c>
      <c r="T6743">
        <v>-0.39553070000000001</v>
      </c>
      <c r="U6743">
        <v>0.35910029999999998</v>
      </c>
      <c r="V6743">
        <v>-0.17035989999999901</v>
      </c>
      <c r="W6743">
        <v>0.39698070000000002</v>
      </c>
      <c r="X6743">
        <v>0.90187790000000001</v>
      </c>
      <c r="Y6743">
        <v>-0.1181633</v>
      </c>
      <c r="Z6743">
        <v>8.8567049999999994E-3</v>
      </c>
      <c r="AA6743">
        <v>0.99295469999999997</v>
      </c>
      <c r="AB6743">
        <v>33</v>
      </c>
      <c r="AC6743">
        <v>9.4458000000000197</v>
      </c>
      <c r="AD6743">
        <v>-1.112400962478</v>
      </c>
      <c r="AE6743">
        <v>1.01138999999999</v>
      </c>
      <c r="AF6743">
        <v>-1.1337163441014899</v>
      </c>
      <c r="AG6743">
        <v>-1.112400962478</v>
      </c>
      <c r="AH6743">
        <v>9.3024647444152109</v>
      </c>
      <c r="AI6743">
        <v>96.769505556064004</v>
      </c>
      <c r="AJ6743">
        <v>96.948523600222501</v>
      </c>
      <c r="AK6743">
        <v>9.4370863602752308</v>
      </c>
      <c r="AL6743">
        <v>66.610436351794903</v>
      </c>
      <c r="AM6743">
        <v>100.696828821773</v>
      </c>
      <c r="AN6743">
        <v>0.99999995910445405</v>
      </c>
    </row>
    <row r="6744" spans="1:40" x14ac:dyDescent="0.25">
      <c r="A6744" t="str">
        <f>"20190304165017994"</f>
        <v>20190304165017994</v>
      </c>
      <c r="B6744" t="str">
        <f>"1551689417982489"</f>
        <v>1551689417982489</v>
      </c>
      <c r="C6744" t="s">
        <v>40</v>
      </c>
      <c r="D6744">
        <v>4.4059819999999998</v>
      </c>
      <c r="E6744">
        <v>0.5373772</v>
      </c>
      <c r="F6744" t="s">
        <v>53</v>
      </c>
      <c r="G6744">
        <v>-257.98489999999998</v>
      </c>
      <c r="H6744" s="1">
        <v>-2.9409699999999999E-6</v>
      </c>
      <c r="I6744">
        <v>-62.089469999999999</v>
      </c>
      <c r="J6744">
        <v>-267.32580000000002</v>
      </c>
      <c r="K6744">
        <v>1.112385</v>
      </c>
      <c r="L6744">
        <v>-63.083860000000001</v>
      </c>
      <c r="M6744">
        <v>0.99987599999999999</v>
      </c>
      <c r="N6744">
        <v>-8.3083380000000002E-3</v>
      </c>
      <c r="O6744">
        <v>-1.3394659999999999E-2</v>
      </c>
      <c r="P6744">
        <v>0.90775530000000004</v>
      </c>
      <c r="Q6744">
        <v>0.38974199999999998</v>
      </c>
      <c r="R6744">
        <v>0.1551826</v>
      </c>
      <c r="S6744">
        <v>3.4167179999999999</v>
      </c>
      <c r="T6744">
        <v>-0.3998467</v>
      </c>
      <c r="U6744">
        <v>0.35693360000000002</v>
      </c>
      <c r="V6744">
        <v>-0.16940820000000001</v>
      </c>
      <c r="W6744">
        <v>0.3963701</v>
      </c>
      <c r="X6744">
        <v>0.90232559999999995</v>
      </c>
      <c r="Y6744">
        <v>-0.1162947</v>
      </c>
      <c r="Z6744">
        <v>8.6972119999999993E-3</v>
      </c>
      <c r="AA6744">
        <v>0.99317670000000002</v>
      </c>
      <c r="AB6744">
        <v>33</v>
      </c>
      <c r="AC6744">
        <v>9.3409000000000297</v>
      </c>
      <c r="AD6744">
        <v>-1.1123879409699999</v>
      </c>
      <c r="AE6744">
        <v>0.994389999999995</v>
      </c>
      <c r="AF6744">
        <v>-1.10394266302994</v>
      </c>
      <c r="AG6744">
        <v>-1.1123879409699999</v>
      </c>
      <c r="AH6744">
        <v>9.1977617364119606</v>
      </c>
      <c r="AI6744">
        <v>96.847255067891396</v>
      </c>
      <c r="AJ6744">
        <v>96.844070700494996</v>
      </c>
      <c r="AK6744">
        <v>9.3303224646459597</v>
      </c>
      <c r="AL6744">
        <v>66.648547428536602</v>
      </c>
      <c r="AM6744">
        <v>100.633281652755</v>
      </c>
      <c r="AN6744">
        <v>0.99999994140830295</v>
      </c>
    </row>
    <row r="6745" spans="1:40" x14ac:dyDescent="0.25">
      <c r="A6745" t="str">
        <f>"20190304165018005"</f>
        <v>20190304165018005</v>
      </c>
      <c r="B6745" t="str">
        <f>"1551689418002010"</f>
        <v>1551689418002010</v>
      </c>
      <c r="C6745" t="s">
        <v>40</v>
      </c>
      <c r="D6745">
        <v>4.3510450000000001</v>
      </c>
      <c r="E6745">
        <v>0.53813080000000002</v>
      </c>
      <c r="F6745" t="s">
        <v>53</v>
      </c>
      <c r="G6745">
        <v>-257.93310000000002</v>
      </c>
      <c r="H6745" s="1">
        <v>-2.9233090000000001E-6</v>
      </c>
      <c r="I6745">
        <v>-62.110059999999997</v>
      </c>
      <c r="J6745">
        <v>-267.1651</v>
      </c>
      <c r="K6745">
        <v>1.112366</v>
      </c>
      <c r="L6745">
        <v>-63.08493</v>
      </c>
      <c r="M6745">
        <v>0.99989090000000003</v>
      </c>
      <c r="N6745">
        <v>-8.29592E-3</v>
      </c>
      <c r="O6745">
        <v>-1.2230390000000001E-2</v>
      </c>
      <c r="P6745">
        <v>0.90782989999999997</v>
      </c>
      <c r="Q6745">
        <v>0.38950390000000001</v>
      </c>
      <c r="R6745">
        <v>0.15534389999999901</v>
      </c>
      <c r="S6745">
        <v>3.4180600000000001</v>
      </c>
      <c r="T6745">
        <v>-0.40480319999999997</v>
      </c>
      <c r="U6745">
        <v>0.35437010000000002</v>
      </c>
      <c r="V6745">
        <v>-0.16850190000000001</v>
      </c>
      <c r="W6745">
        <v>0.39613290000000001</v>
      </c>
      <c r="X6745">
        <v>0.9025995</v>
      </c>
      <c r="Y6745">
        <v>-0.11436060000000001</v>
      </c>
      <c r="Z6745">
        <v>8.5467939999999999E-3</v>
      </c>
      <c r="AA6745">
        <v>0.99340249999999997</v>
      </c>
      <c r="AB6745">
        <v>33</v>
      </c>
      <c r="AC6745">
        <v>9.2319999999999691</v>
      </c>
      <c r="AD6745">
        <v>-1.1123689233089999</v>
      </c>
      <c r="AE6745">
        <v>0.97487000000001001</v>
      </c>
      <c r="AF6745">
        <v>-1.0723157372554899</v>
      </c>
      <c r="AG6745">
        <v>-1.1123689233089999</v>
      </c>
      <c r="AH6745">
        <v>9.0888888593279091</v>
      </c>
      <c r="AI6745">
        <v>96.9300103962523</v>
      </c>
      <c r="AJ6745">
        <v>96.728705433325899</v>
      </c>
      <c r="AK6745">
        <v>9.2192801432174996</v>
      </c>
      <c r="AL6745">
        <v>66.663351392492203</v>
      </c>
      <c r="AM6745">
        <v>100.57454536002901</v>
      </c>
      <c r="AN6745">
        <v>1.00000001108313</v>
      </c>
    </row>
    <row r="6746" spans="1:40" x14ac:dyDescent="0.25">
      <c r="A6746" t="str">
        <f>"20190304165018017"</f>
        <v>20190304165018017</v>
      </c>
      <c r="B6746" t="str">
        <f>"1551689418012745"</f>
        <v>1551689418012745</v>
      </c>
      <c r="C6746" t="s">
        <v>40</v>
      </c>
      <c r="D6746">
        <v>4.2808619999999999</v>
      </c>
      <c r="E6746">
        <v>0.53843069999999904</v>
      </c>
      <c r="F6746" t="s">
        <v>53</v>
      </c>
      <c r="G6746">
        <v>-257.81670000000003</v>
      </c>
      <c r="H6746" s="1">
        <v>-2.8782700000000001E-6</v>
      </c>
      <c r="I6746">
        <v>-62.132080000000002</v>
      </c>
      <c r="J6746">
        <v>-266.99160000000001</v>
      </c>
      <c r="K6746">
        <v>1.1123499999999999</v>
      </c>
      <c r="L6746">
        <v>-63.085999999999999</v>
      </c>
      <c r="M6746">
        <v>0.99990540000000006</v>
      </c>
      <c r="N6746">
        <v>-8.2829559999999993E-3</v>
      </c>
      <c r="O6746">
        <v>-1.0979330000000001E-2</v>
      </c>
      <c r="P6746">
        <v>0.90816370000000002</v>
      </c>
      <c r="Q6746">
        <v>0.38871349999999999</v>
      </c>
      <c r="R6746">
        <v>0.15537119999999999</v>
      </c>
      <c r="S6746">
        <v>3.419556</v>
      </c>
      <c r="T6746">
        <v>-0.40689130000000001</v>
      </c>
      <c r="U6746">
        <v>0.3485413</v>
      </c>
      <c r="V6746">
        <v>-0.16738069999999999</v>
      </c>
      <c r="W6746">
        <v>0.39534760000000002</v>
      </c>
      <c r="X6746">
        <v>0.90315219999999896</v>
      </c>
      <c r="Y6746">
        <v>-0.111418</v>
      </c>
      <c r="Z6746">
        <v>8.2612209999999991E-3</v>
      </c>
      <c r="AA6746">
        <v>0.99373929999999999</v>
      </c>
      <c r="AB6746">
        <v>33</v>
      </c>
      <c r="AC6746">
        <v>9.1748999999999796</v>
      </c>
      <c r="AD6746">
        <v>-1.1123528782699901</v>
      </c>
      <c r="AE6746">
        <v>0.95392000000000299</v>
      </c>
      <c r="AF6746">
        <v>-1.03948441650626</v>
      </c>
      <c r="AG6746">
        <v>-1.1123528782699901</v>
      </c>
      <c r="AH6746">
        <v>9.0325255671169007</v>
      </c>
      <c r="AI6746">
        <v>96.9750310798416</v>
      </c>
      <c r="AJ6746">
        <v>96.564854004654904</v>
      </c>
      <c r="AK6746">
        <v>9.1599331274074007</v>
      </c>
      <c r="AL6746">
        <v>66.712344268542196</v>
      </c>
      <c r="AM6746">
        <v>100.49946847686</v>
      </c>
      <c r="AN6746">
        <v>0.999999959961544</v>
      </c>
    </row>
    <row r="6747" spans="1:40" x14ac:dyDescent="0.25">
      <c r="A6747" t="str">
        <f>"20190304165018028"</f>
        <v>20190304165018028</v>
      </c>
      <c r="B6747" t="str">
        <f>"1551689418022505"</f>
        <v>1551689418022505</v>
      </c>
      <c r="C6747" t="s">
        <v>40</v>
      </c>
      <c r="D6747">
        <v>4.3322310000000002</v>
      </c>
      <c r="E6747">
        <v>0.53872019999999998</v>
      </c>
      <c r="F6747" t="s">
        <v>53</v>
      </c>
      <c r="G6747">
        <v>-257.68009999999998</v>
      </c>
      <c r="H6747" s="1">
        <v>-2.822613E-6</v>
      </c>
      <c r="I6747">
        <v>-62.145169999999901</v>
      </c>
      <c r="J6747">
        <v>-266.82350000000002</v>
      </c>
      <c r="K6747">
        <v>1.112322</v>
      </c>
      <c r="L6747">
        <v>-63.086759999999998</v>
      </c>
      <c r="M6747">
        <v>0.99991790000000003</v>
      </c>
      <c r="N6747">
        <v>-8.2717750000000003E-3</v>
      </c>
      <c r="O6747">
        <v>-9.7937519999999993E-3</v>
      </c>
      <c r="P6747">
        <v>0.90841320000000003</v>
      </c>
      <c r="Q6747">
        <v>0.38821159999999999</v>
      </c>
      <c r="R6747">
        <v>0.155169</v>
      </c>
      <c r="S6747">
        <v>3.4190670000000001</v>
      </c>
      <c r="T6747">
        <v>-0.40844249999999999</v>
      </c>
      <c r="U6747">
        <v>0.34545900000000002</v>
      </c>
      <c r="V6747">
        <v>-0.1660838</v>
      </c>
      <c r="W6747">
        <v>0.39485399999999998</v>
      </c>
      <c r="X6747">
        <v>0.90360750000000001</v>
      </c>
      <c r="Y6747">
        <v>-0.1093828</v>
      </c>
      <c r="Z6747">
        <v>8.0316810000000006E-3</v>
      </c>
      <c r="AA6747">
        <v>0.99396719999999905</v>
      </c>
      <c r="AB6747">
        <v>33</v>
      </c>
      <c r="AC6747">
        <v>9.1434000000000406</v>
      </c>
      <c r="AD6747">
        <v>-1.112324822613</v>
      </c>
      <c r="AE6747">
        <v>0.94159000000000503</v>
      </c>
      <c r="AF6747">
        <v>-1.0162144146402401</v>
      </c>
      <c r="AG6747">
        <v>-1.112324822613</v>
      </c>
      <c r="AH6747">
        <v>9.00191339144342</v>
      </c>
      <c r="AI6747">
        <v>97.000051507077899</v>
      </c>
      <c r="AJ6747">
        <v>96.440779024867894</v>
      </c>
      <c r="AK6747">
        <v>9.12712457209674</v>
      </c>
      <c r="AL6747">
        <v>66.743131567482493</v>
      </c>
      <c r="AM6747">
        <v>100.414769712523</v>
      </c>
      <c r="AN6747">
        <v>1.00000001199734</v>
      </c>
    </row>
    <row r="6748" spans="1:40" x14ac:dyDescent="0.25">
      <c r="A6748" t="str">
        <f>"20190304165018039"</f>
        <v>20190304165018039</v>
      </c>
      <c r="B6748" t="str">
        <f>"1551689418032265"</f>
        <v>1551689418032265</v>
      </c>
      <c r="C6748" t="s">
        <v>40</v>
      </c>
      <c r="D6748">
        <v>4.3501070000000004</v>
      </c>
      <c r="E6748">
        <v>0.53900619999999999</v>
      </c>
      <c r="F6748" t="s">
        <v>53</v>
      </c>
      <c r="G6748">
        <v>-257.524</v>
      </c>
      <c r="H6748" s="1">
        <v>-2.7585489999999998E-6</v>
      </c>
      <c r="I6748">
        <v>-62.1584</v>
      </c>
      <c r="J6748">
        <v>-266.6651</v>
      </c>
      <c r="K6748">
        <v>1.112296</v>
      </c>
      <c r="L6748">
        <v>-63.0873699999999</v>
      </c>
      <c r="M6748">
        <v>0.99992820000000004</v>
      </c>
      <c r="N6748">
        <v>-8.2617909999999992E-3</v>
      </c>
      <c r="O6748">
        <v>-8.6886399999999992E-3</v>
      </c>
      <c r="P6748">
        <v>0.90870079999999998</v>
      </c>
      <c r="Q6748">
        <v>0.38772899999999999</v>
      </c>
      <c r="R6748">
        <v>0.15469040000000001</v>
      </c>
      <c r="S6748">
        <v>3.4189150000000001</v>
      </c>
      <c r="T6748">
        <v>-0.40894059999999999</v>
      </c>
      <c r="U6748">
        <v>0.34130860000000002</v>
      </c>
      <c r="V6748">
        <v>-0.16458210000000001</v>
      </c>
      <c r="W6748">
        <v>0.39438260000000003</v>
      </c>
      <c r="X6748">
        <v>0.904088</v>
      </c>
      <c r="Y6748">
        <v>-0.10711560000000001</v>
      </c>
      <c r="Z6748">
        <v>7.774726E-3</v>
      </c>
      <c r="AA6748">
        <v>0.99421610000000005</v>
      </c>
      <c r="AB6748">
        <v>33</v>
      </c>
      <c r="AC6748">
        <v>9.1410999999999891</v>
      </c>
      <c r="AD6748">
        <v>-1.1122987585489901</v>
      </c>
      <c r="AE6748">
        <v>0.92896999999999197</v>
      </c>
      <c r="AF6748">
        <v>-0.99379733493043598</v>
      </c>
      <c r="AG6748">
        <v>-1.1122987585489901</v>
      </c>
      <c r="AH6748">
        <v>9.0007774200569202</v>
      </c>
      <c r="AI6748">
        <v>97.002656822562301</v>
      </c>
      <c r="AJ6748">
        <v>96.3006430905575</v>
      </c>
      <c r="AK6748">
        <v>9.1235319825488101</v>
      </c>
      <c r="AL6748">
        <v>66.772526209478599</v>
      </c>
      <c r="AM6748">
        <v>100.31726634288</v>
      </c>
      <c r="AN6748">
        <v>1.00000000728358</v>
      </c>
    </row>
    <row r="6749" spans="1:40" x14ac:dyDescent="0.25">
      <c r="A6749" t="str">
        <f>"20190304165018049"</f>
        <v>20190304165018049</v>
      </c>
      <c r="B6749" t="str">
        <f>"1551689418042025"</f>
        <v>1551689418042025</v>
      </c>
      <c r="C6749" t="s">
        <v>40</v>
      </c>
      <c r="D6749">
        <v>4.3461369999999997</v>
      </c>
      <c r="E6749">
        <v>0.53927609999999904</v>
      </c>
      <c r="F6749" t="s">
        <v>53</v>
      </c>
      <c r="G6749">
        <v>-257.44729999999998</v>
      </c>
      <c r="H6749" s="1">
        <v>-2.7304269999999998E-6</v>
      </c>
      <c r="I6749">
        <v>-62.179839999999999</v>
      </c>
      <c r="J6749">
        <v>-266.4973</v>
      </c>
      <c r="K6749">
        <v>1.112266</v>
      </c>
      <c r="L6749">
        <v>-63.087829999999997</v>
      </c>
      <c r="M6749">
        <v>0.99993750000000003</v>
      </c>
      <c r="N6749">
        <v>-8.2522329999999994E-3</v>
      </c>
      <c r="O6749">
        <v>-7.5400369999999899E-3</v>
      </c>
      <c r="P6749">
        <v>0.90904320000000005</v>
      </c>
      <c r="Q6749">
        <v>0.38703660000000001</v>
      </c>
      <c r="R6749">
        <v>0.1544131</v>
      </c>
      <c r="S6749">
        <v>3.4201969999999999</v>
      </c>
      <c r="T6749">
        <v>-0.4127094</v>
      </c>
      <c r="U6749">
        <v>0.336731</v>
      </c>
      <c r="V6749">
        <v>-0.16323689999999999</v>
      </c>
      <c r="W6749">
        <v>0.39370280000000002</v>
      </c>
      <c r="X6749">
        <v>0.90462799999999999</v>
      </c>
      <c r="Y6749">
        <v>-0.1046301</v>
      </c>
      <c r="Z6749">
        <v>7.5519749999999998E-3</v>
      </c>
      <c r="AA6749">
        <v>0.99448250000000005</v>
      </c>
      <c r="AB6749">
        <v>33</v>
      </c>
      <c r="AC6749">
        <v>9.0500000000000096</v>
      </c>
      <c r="AD6749">
        <v>-1.112268730427</v>
      </c>
      <c r="AE6749">
        <v>0.90798999999999797</v>
      </c>
      <c r="AF6749">
        <v>-0.96182028694531496</v>
      </c>
      <c r="AG6749">
        <v>-1.112268730427</v>
      </c>
      <c r="AH6749">
        <v>8.9096565778660697</v>
      </c>
      <c r="AI6749">
        <v>97.0752220198044</v>
      </c>
      <c r="AJ6749">
        <v>96.161365977892999</v>
      </c>
      <c r="AK6749">
        <v>9.0301838479943104</v>
      </c>
      <c r="AL6749">
        <v>66.814904433417595</v>
      </c>
      <c r="AM6749">
        <v>100.22874803481901</v>
      </c>
      <c r="AN6749">
        <v>0.99999999931672401</v>
      </c>
    </row>
    <row r="6750" spans="1:40" x14ac:dyDescent="0.25">
      <c r="A6750" t="str">
        <f>"20190304165018060"</f>
        <v>20190304165018060</v>
      </c>
      <c r="B6750" t="str">
        <f>"1551689418052761"</f>
        <v>1551689418052761</v>
      </c>
      <c r="C6750" t="s">
        <v>40</v>
      </c>
      <c r="D6750">
        <v>4.3308239999999998</v>
      </c>
      <c r="E6750">
        <v>0.53957440000000001</v>
      </c>
      <c r="F6750" t="s">
        <v>53</v>
      </c>
      <c r="G6750">
        <v>-257.37209999999999</v>
      </c>
      <c r="H6750" s="1">
        <v>-2.7027540000000002E-6</v>
      </c>
      <c r="I6750">
        <v>-62.200510000000001</v>
      </c>
      <c r="J6750">
        <v>-266.33940000000001</v>
      </c>
      <c r="K6750">
        <v>1.1122339999999999</v>
      </c>
      <c r="L6750">
        <v>-63.088099999999997</v>
      </c>
      <c r="M6750">
        <v>0.99994519999999998</v>
      </c>
      <c r="N6750">
        <v>-8.2439739999999994E-3</v>
      </c>
      <c r="O6750">
        <v>-6.4810880000000003E-3</v>
      </c>
      <c r="P6750">
        <v>0.90939510000000001</v>
      </c>
      <c r="Q6750">
        <v>0.3864205</v>
      </c>
      <c r="R6750">
        <v>0.15388309999999999</v>
      </c>
      <c r="S6750">
        <v>3.4212039999999999</v>
      </c>
      <c r="T6750">
        <v>-0.41700900000000002</v>
      </c>
      <c r="U6750">
        <v>0.33267210000000003</v>
      </c>
      <c r="V6750">
        <v>-0.16171769999999999</v>
      </c>
      <c r="W6750">
        <v>0.3931018</v>
      </c>
      <c r="X6750">
        <v>0.90516200000000002</v>
      </c>
      <c r="Y6750">
        <v>-0.10238700000000001</v>
      </c>
      <c r="Z6750">
        <v>7.3593399999999998E-3</v>
      </c>
      <c r="AA6750">
        <v>0.99471739999999997</v>
      </c>
      <c r="AB6750">
        <v>33</v>
      </c>
      <c r="AC6750">
        <v>8.9673000000000194</v>
      </c>
      <c r="AD6750">
        <v>-1.1122367027540001</v>
      </c>
      <c r="AE6750">
        <v>0.88759000000000299</v>
      </c>
      <c r="AF6750">
        <v>-0.93149996190524798</v>
      </c>
      <c r="AG6750">
        <v>-1.1122367027540001</v>
      </c>
      <c r="AH6750">
        <v>8.8268830693729292</v>
      </c>
      <c r="AI6750">
        <v>97.142491301688295</v>
      </c>
      <c r="AJ6750">
        <v>96.024120440096695</v>
      </c>
      <c r="AK6750">
        <v>8.9453131517216899</v>
      </c>
      <c r="AL6750">
        <v>66.8523579383737</v>
      </c>
      <c r="AM6750">
        <v>100.12967890542301</v>
      </c>
      <c r="AN6750">
        <v>0.99999994295026295</v>
      </c>
    </row>
    <row r="6751" spans="1:40" x14ac:dyDescent="0.25">
      <c r="A6751" t="str">
        <f>"20190304165018071"</f>
        <v>20190304165018071</v>
      </c>
      <c r="B6751" t="str">
        <f>"1551689418062521"</f>
        <v>1551689418062521</v>
      </c>
      <c r="C6751" t="s">
        <v>40</v>
      </c>
      <c r="D6751">
        <v>4.7602060000000002</v>
      </c>
      <c r="E6751">
        <v>0.53982129999999995</v>
      </c>
      <c r="F6751" t="s">
        <v>53</v>
      </c>
      <c r="G6751">
        <v>-257.2971</v>
      </c>
      <c r="H6751" s="1">
        <v>-2.675514E-6</v>
      </c>
      <c r="I6751">
        <v>-62.222520000000003</v>
      </c>
      <c r="J6751">
        <v>-266.17739999999998</v>
      </c>
      <c r="K6751">
        <v>1.112198</v>
      </c>
      <c r="L6751">
        <v>-63.088259999999998</v>
      </c>
      <c r="M6751">
        <v>0.99995149999999999</v>
      </c>
      <c r="N6751">
        <v>-8.2361729999999994E-3</v>
      </c>
      <c r="O6751">
        <v>-5.4134530000000004E-3</v>
      </c>
      <c r="P6751">
        <v>0.90978870000000001</v>
      </c>
      <c r="Q6751">
        <v>0.38566980000000001</v>
      </c>
      <c r="R6751">
        <v>0.15343889999999999</v>
      </c>
      <c r="S6751">
        <v>3.4223330000000001</v>
      </c>
      <c r="T6751">
        <v>-0.42096159999999999</v>
      </c>
      <c r="U6751">
        <v>0.32760620000000001</v>
      </c>
      <c r="V6751">
        <v>-0.16027269999999999</v>
      </c>
      <c r="W6751">
        <v>0.3923681</v>
      </c>
      <c r="X6751">
        <v>0.90573720000000002</v>
      </c>
      <c r="Y6751">
        <v>-9.9846340000000006E-2</v>
      </c>
      <c r="Z6751">
        <v>7.1352639999999997E-3</v>
      </c>
      <c r="AA6751">
        <v>0.99497729999999995</v>
      </c>
      <c r="AB6751">
        <v>33</v>
      </c>
      <c r="AC6751">
        <v>8.8802999999999699</v>
      </c>
      <c r="AD6751">
        <v>-1.1122006755139999</v>
      </c>
      <c r="AE6751">
        <v>0.86574000000000195</v>
      </c>
      <c r="AF6751">
        <v>-0.89982036911185903</v>
      </c>
      <c r="AG6751">
        <v>-1.1122006755139999</v>
      </c>
      <c r="AH6751">
        <v>8.7396834441594304</v>
      </c>
      <c r="AI6751">
        <v>97.214670018388105</v>
      </c>
      <c r="AJ6751">
        <v>95.878346681237502</v>
      </c>
      <c r="AK6751">
        <v>8.8559998725946691</v>
      </c>
      <c r="AL6751">
        <v>66.898069290485395</v>
      </c>
      <c r="AM6751">
        <v>100.034769802382</v>
      </c>
      <c r="AN6751">
        <v>0.99999996986336903</v>
      </c>
    </row>
    <row r="6752" spans="1:40" x14ac:dyDescent="0.25">
      <c r="A6752" t="str">
        <f>"20190304165018083"</f>
        <v>20190304165018083</v>
      </c>
      <c r="B6752" t="str">
        <f>"1551689418072281"</f>
        <v>1551689418072281</v>
      </c>
      <c r="C6752" t="s">
        <v>40</v>
      </c>
      <c r="D6752">
        <v>4.3989750000000001</v>
      </c>
      <c r="E6752">
        <v>0.54004490000000005</v>
      </c>
      <c r="F6752" t="s">
        <v>53</v>
      </c>
      <c r="G6752">
        <v>-257.16840000000002</v>
      </c>
      <c r="H6752" s="1">
        <v>-2.6239040000000001E-6</v>
      </c>
      <c r="I6752">
        <v>-62.238759999999999</v>
      </c>
      <c r="J6752">
        <v>-266.01060000000001</v>
      </c>
      <c r="K6752">
        <v>1.112158</v>
      </c>
      <c r="L6752">
        <v>-63.088200000000001</v>
      </c>
      <c r="M6752">
        <v>0.99995670000000003</v>
      </c>
      <c r="N6752">
        <v>-8.2289679999999997E-3</v>
      </c>
      <c r="O6752">
        <v>-4.3503739999999997E-3</v>
      </c>
      <c r="P6752">
        <v>0.91045069999999995</v>
      </c>
      <c r="Q6752">
        <v>0.38442860000000001</v>
      </c>
      <c r="R6752">
        <v>0.1526247</v>
      </c>
      <c r="S6752">
        <v>3.4221499999999998</v>
      </c>
      <c r="T6752">
        <v>-0.42248269999999999</v>
      </c>
      <c r="U6752">
        <v>0.3226929</v>
      </c>
      <c r="V6752">
        <v>-0.1584544</v>
      </c>
      <c r="W6752">
        <v>0.39114929999999998</v>
      </c>
      <c r="X6752">
        <v>0.9065839</v>
      </c>
      <c r="Y6752">
        <v>-9.7398250000000006E-2</v>
      </c>
      <c r="Z6752">
        <v>6.8778750000000003E-3</v>
      </c>
      <c r="AA6752">
        <v>0.99522169999999999</v>
      </c>
      <c r="AB6752">
        <v>33</v>
      </c>
      <c r="AC6752">
        <v>8.8421999999999894</v>
      </c>
      <c r="AD6752">
        <v>-1.1121606239040001</v>
      </c>
      <c r="AE6752">
        <v>0.84944000000000097</v>
      </c>
      <c r="AF6752">
        <v>-0.87419656658658795</v>
      </c>
      <c r="AG6752">
        <v>-1.1121606239040001</v>
      </c>
      <c r="AH6752">
        <v>8.7020113895504103</v>
      </c>
      <c r="AI6752">
        <v>97.247117262164807</v>
      </c>
      <c r="AJ6752">
        <v>95.736638182243297</v>
      </c>
      <c r="AK6752">
        <v>8.8162420063346296</v>
      </c>
      <c r="AL6752">
        <v>66.973968141604601</v>
      </c>
      <c r="AM6752">
        <v>99.914116704796001</v>
      </c>
      <c r="AN6752">
        <v>0.99999996975452898</v>
      </c>
    </row>
    <row r="6753" spans="1:40" x14ac:dyDescent="0.25">
      <c r="A6753" t="str">
        <f>"20190304165018093"</f>
        <v>20190304165018093</v>
      </c>
      <c r="B6753" t="str">
        <f>"1551689418082041"</f>
        <v>1551689418082041</v>
      </c>
      <c r="C6753" t="s">
        <v>40</v>
      </c>
      <c r="D6753">
        <v>4.3708210000000003</v>
      </c>
      <c r="E6753">
        <v>0.54027219999999998</v>
      </c>
      <c r="F6753" t="s">
        <v>53</v>
      </c>
      <c r="G6753">
        <v>-257.07639999999998</v>
      </c>
      <c r="H6753" s="1">
        <v>-2.5889190000000002E-6</v>
      </c>
      <c r="I6753">
        <v>-62.25909</v>
      </c>
      <c r="J6753">
        <v>-265.84829999999999</v>
      </c>
      <c r="K6753">
        <v>1.1121160000000001</v>
      </c>
      <c r="L6753">
        <v>-63.088039999999999</v>
      </c>
      <c r="M6753">
        <v>0.99996079999999998</v>
      </c>
      <c r="N6753">
        <v>-8.2223639999999994E-3</v>
      </c>
      <c r="O6753">
        <v>-3.3315279999999998E-3</v>
      </c>
      <c r="P6753">
        <v>0.91102110000000003</v>
      </c>
      <c r="Q6753">
        <v>0.38340059999999998</v>
      </c>
      <c r="R6753">
        <v>0.1518061</v>
      </c>
      <c r="S6753">
        <v>3.4216920000000002</v>
      </c>
      <c r="T6753">
        <v>-0.42594359999999998</v>
      </c>
      <c r="U6753">
        <v>0.31753540000000002</v>
      </c>
      <c r="V6753">
        <v>-0.15667130000000001</v>
      </c>
      <c r="W6753">
        <v>0.39014369999999998</v>
      </c>
      <c r="X6753">
        <v>0.90732679999999999</v>
      </c>
      <c r="Y6753">
        <v>-9.4923149999999998E-2</v>
      </c>
      <c r="Z6753">
        <v>6.6506959999999898E-3</v>
      </c>
      <c r="AA6753">
        <v>0.99546239999999997</v>
      </c>
      <c r="AB6753">
        <v>33</v>
      </c>
      <c r="AC6753">
        <v>8.7719000000000094</v>
      </c>
      <c r="AD6753">
        <v>-1.112118588919</v>
      </c>
      <c r="AE6753">
        <v>0.82894999999999897</v>
      </c>
      <c r="AF6753">
        <v>-0.84471276500229597</v>
      </c>
      <c r="AG6753">
        <v>-1.112118588919</v>
      </c>
      <c r="AH6753">
        <v>8.6315765436013994</v>
      </c>
      <c r="AI6753">
        <v>97.307187628227695</v>
      </c>
      <c r="AJ6753">
        <v>95.589344062456505</v>
      </c>
      <c r="AK6753">
        <v>8.7438241656169495</v>
      </c>
      <c r="AL6753">
        <v>67.036557959232894</v>
      </c>
      <c r="AM6753">
        <v>99.796857303553494</v>
      </c>
      <c r="AN6753">
        <v>0.99999996244580902</v>
      </c>
    </row>
    <row r="6754" spans="1:40" x14ac:dyDescent="0.25">
      <c r="A6754" t="str">
        <f>"20190304165018105"</f>
        <v>20190304165018105</v>
      </c>
      <c r="B6754" t="str">
        <f>"1551689418102538"</f>
        <v>1551689418102538</v>
      </c>
      <c r="C6754" t="s">
        <v>40</v>
      </c>
      <c r="D6754">
        <v>4.3858350000000002</v>
      </c>
      <c r="E6754">
        <v>0.5406706</v>
      </c>
      <c r="F6754" t="s">
        <v>53</v>
      </c>
      <c r="G6754">
        <v>-257.0093</v>
      </c>
      <c r="H6754" s="1">
        <v>-2.5649089999999998E-6</v>
      </c>
      <c r="I6754">
        <v>-62.2804199999999</v>
      </c>
      <c r="J6754">
        <v>-265.67919999999998</v>
      </c>
      <c r="K6754">
        <v>1.1120680000000001</v>
      </c>
      <c r="L6754">
        <v>-63.087679999999999</v>
      </c>
      <c r="M6754">
        <v>0.99996359999999995</v>
      </c>
      <c r="N6754">
        <v>-8.2165499999999995E-3</v>
      </c>
      <c r="O6754">
        <v>-2.3216579999999999E-3</v>
      </c>
      <c r="P6754">
        <v>0.91170669999999998</v>
      </c>
      <c r="Q6754">
        <v>0.38217220000000002</v>
      </c>
      <c r="R6754">
        <v>0.15078150000000001</v>
      </c>
      <c r="S6754">
        <v>3.4221189999999999</v>
      </c>
      <c r="T6754">
        <v>-0.43057079999999998</v>
      </c>
      <c r="U6754">
        <v>0.31268309999999999</v>
      </c>
      <c r="V6754">
        <v>-0.15468119999999999</v>
      </c>
      <c r="W6754">
        <v>0.38894299999999998</v>
      </c>
      <c r="X6754">
        <v>0.90818339999999997</v>
      </c>
      <c r="Y6754">
        <v>-9.2516769999999998E-2</v>
      </c>
      <c r="Z6754">
        <v>6.4393300000000001E-3</v>
      </c>
      <c r="AA6754">
        <v>0.99569030000000003</v>
      </c>
      <c r="AB6754">
        <v>33</v>
      </c>
      <c r="AC6754">
        <v>8.6698999999999806</v>
      </c>
      <c r="AD6754">
        <v>-1.1120705649089999</v>
      </c>
      <c r="AE6754">
        <v>0.80726000000001297</v>
      </c>
      <c r="AF6754">
        <v>-0.81410791717520004</v>
      </c>
      <c r="AG6754">
        <v>-1.1120705649089999</v>
      </c>
      <c r="AH6754">
        <v>8.5288854947478896</v>
      </c>
      <c r="AI6754">
        <v>97.395573053184506</v>
      </c>
      <c r="AJ6754">
        <v>95.452535637614105</v>
      </c>
      <c r="AK6754">
        <v>8.6395231595653108</v>
      </c>
      <c r="AL6754">
        <v>67.111254477128696</v>
      </c>
      <c r="AM6754">
        <v>99.665827451817407</v>
      </c>
      <c r="AN6754">
        <v>1.00000000945899</v>
      </c>
    </row>
    <row r="6755" spans="1:40" x14ac:dyDescent="0.25">
      <c r="A6755" t="str">
        <f>"20190304165018117"</f>
        <v>20190304165018117</v>
      </c>
      <c r="B6755" t="str">
        <f>"1551689418112297"</f>
        <v>1551689418112297</v>
      </c>
      <c r="C6755" t="s">
        <v>40</v>
      </c>
      <c r="D6755">
        <v>4.367858</v>
      </c>
      <c r="E6755">
        <v>0.54085209999999995</v>
      </c>
      <c r="F6755" t="s">
        <v>53</v>
      </c>
      <c r="G6755">
        <v>-256.94319999999999</v>
      </c>
      <c r="H6755" s="1">
        <v>-2.5423420000000001E-6</v>
      </c>
      <c r="I6755">
        <v>-62.306460000000001</v>
      </c>
      <c r="J6755">
        <v>-265.50049999999999</v>
      </c>
      <c r="K6755">
        <v>1.112015</v>
      </c>
      <c r="L6755">
        <v>-63.087220000000002</v>
      </c>
      <c r="M6755">
        <v>0.99996560000000001</v>
      </c>
      <c r="N6755">
        <v>-8.210808E-3</v>
      </c>
      <c r="O6755">
        <v>-1.272832E-3</v>
      </c>
      <c r="P6755">
        <v>0.91231689999999999</v>
      </c>
      <c r="Q6755">
        <v>0.38124190000000002</v>
      </c>
      <c r="R6755">
        <v>0.14944209999999999</v>
      </c>
      <c r="S6755">
        <v>3.4225460000000001</v>
      </c>
      <c r="T6755">
        <v>-0.43568230000000002</v>
      </c>
      <c r="U6755">
        <v>0.30606080000000002</v>
      </c>
      <c r="V6755">
        <v>-0.1523378</v>
      </c>
      <c r="W6755">
        <v>0.3880419</v>
      </c>
      <c r="X6755">
        <v>0.90896460000000001</v>
      </c>
      <c r="Y6755">
        <v>-8.9564299999999999E-2</v>
      </c>
      <c r="Z6755">
        <v>6.1872539999999997E-3</v>
      </c>
      <c r="AA6755">
        <v>0.99596180000000001</v>
      </c>
      <c r="AB6755">
        <v>33</v>
      </c>
      <c r="AC6755">
        <v>8.5572999999999908</v>
      </c>
      <c r="AD6755">
        <v>-1.112017542342</v>
      </c>
      <c r="AE6755">
        <v>0.78076000000000001</v>
      </c>
      <c r="AF6755">
        <v>-0.77861195218647505</v>
      </c>
      <c r="AG6755">
        <v>-1.112017542342</v>
      </c>
      <c r="AH6755">
        <v>8.4153631496091101</v>
      </c>
      <c r="AI6755">
        <v>97.4958815760655</v>
      </c>
      <c r="AJ6755">
        <v>95.286109536636005</v>
      </c>
      <c r="AK6755">
        <v>8.52415136693166</v>
      </c>
      <c r="AL6755">
        <v>67.167284135993697</v>
      </c>
      <c r="AM6755">
        <v>99.514058941602897</v>
      </c>
      <c r="AN6755">
        <v>0.99999998275880497</v>
      </c>
    </row>
    <row r="6756" spans="1:40" x14ac:dyDescent="0.25">
      <c r="A6756" t="str">
        <f>"20190304165018128"</f>
        <v>20190304165018128</v>
      </c>
      <c r="B6756" t="str">
        <f>"1551689418122057"</f>
        <v>1551689418122057</v>
      </c>
      <c r="C6756" t="s">
        <v>40</v>
      </c>
      <c r="D6756">
        <v>4.2983149999999997</v>
      </c>
      <c r="E6756">
        <v>0.5410007</v>
      </c>
      <c r="F6756" t="s">
        <v>53</v>
      </c>
      <c r="G6756">
        <v>-256.86290000000002</v>
      </c>
      <c r="H6756" s="1">
        <v>-2.5125620000000001E-6</v>
      </c>
      <c r="I6756">
        <v>-62.327509999999997</v>
      </c>
      <c r="J6756">
        <v>-265.32909999999998</v>
      </c>
      <c r="K6756">
        <v>1.1119600000000001</v>
      </c>
      <c r="L6756">
        <v>-63.086579999999998</v>
      </c>
      <c r="M6756">
        <v>0.99996629999999997</v>
      </c>
      <c r="N6756">
        <v>-8.2061400000000007E-3</v>
      </c>
      <c r="O6756">
        <v>-3.2034430000000002E-4</v>
      </c>
      <c r="P6756">
        <v>0.91285070000000001</v>
      </c>
      <c r="Q6756">
        <v>0.38051829999999998</v>
      </c>
      <c r="R6756">
        <v>0.1480186</v>
      </c>
      <c r="S6756">
        <v>3.423187</v>
      </c>
      <c r="T6756">
        <v>-0.44070819999999999</v>
      </c>
      <c r="U6756">
        <v>0.30108639999999998</v>
      </c>
      <c r="V6756">
        <v>-0.1499953</v>
      </c>
      <c r="W6756">
        <v>0.38734780000000002</v>
      </c>
      <c r="X6756">
        <v>0.90964999999999996</v>
      </c>
      <c r="Y6756">
        <v>-8.7173429999999996E-2</v>
      </c>
      <c r="Z6756">
        <v>5.9760550000000001E-3</v>
      </c>
      <c r="AA6756">
        <v>0.99617520000000004</v>
      </c>
      <c r="AB6756">
        <v>33</v>
      </c>
      <c r="AC6756">
        <v>8.4661999999999509</v>
      </c>
      <c r="AD6756">
        <v>-1.1119625125620001</v>
      </c>
      <c r="AE6756">
        <v>0.75907000000000802</v>
      </c>
      <c r="AF6756">
        <v>-0.74896511467933502</v>
      </c>
      <c r="AG6756">
        <v>-1.1119625125620001</v>
      </c>
      <c r="AH6756">
        <v>8.3235161010878098</v>
      </c>
      <c r="AI6756">
        <v>97.578991628595006</v>
      </c>
      <c r="AJ6756">
        <v>95.141731200348005</v>
      </c>
      <c r="AK6756">
        <v>8.4307965019574507</v>
      </c>
      <c r="AL6756">
        <v>67.210428259735295</v>
      </c>
      <c r="AM6756">
        <v>99.363440286540893</v>
      </c>
      <c r="AN6756">
        <v>1.0000000153434601</v>
      </c>
    </row>
    <row r="6757" spans="1:40" x14ac:dyDescent="0.25">
      <c r="A6757" t="str">
        <f>"20190304165018139"</f>
        <v>20190304165018139</v>
      </c>
      <c r="B6757" t="str">
        <f>"1551689418132793"</f>
        <v>1551689418132793</v>
      </c>
      <c r="C6757" t="s">
        <v>40</v>
      </c>
      <c r="D6757">
        <v>4.3926980000000002</v>
      </c>
      <c r="E6757">
        <v>0.54115400000000002</v>
      </c>
      <c r="F6757" t="s">
        <v>53</v>
      </c>
      <c r="G6757">
        <v>-256.73180000000002</v>
      </c>
      <c r="H6757" s="1">
        <v>-2.4600070000000001E-6</v>
      </c>
      <c r="I6757">
        <v>-62.344149999999999</v>
      </c>
      <c r="J6757">
        <v>-265.17259999999999</v>
      </c>
      <c r="K6757">
        <v>1.11191</v>
      </c>
      <c r="L6757">
        <v>-63.085909999999998</v>
      </c>
      <c r="M6757">
        <v>0.99996629999999997</v>
      </c>
      <c r="N6757">
        <v>-8.2022669999999992E-3</v>
      </c>
      <c r="O6757">
        <v>5.2874119999999996E-4</v>
      </c>
      <c r="P6757">
        <v>0.91334919999999997</v>
      </c>
      <c r="Q6757">
        <v>0.3799285</v>
      </c>
      <c r="R6757">
        <v>0.14644969999999999</v>
      </c>
      <c r="S6757">
        <v>3.4230040000000002</v>
      </c>
      <c r="T6757">
        <v>-0.44272420000000001</v>
      </c>
      <c r="U6757">
        <v>0.2955933</v>
      </c>
      <c r="V6757">
        <v>-0.1476056</v>
      </c>
      <c r="W6757">
        <v>0.38678679999999999</v>
      </c>
      <c r="X6757">
        <v>0.91027939999999996</v>
      </c>
      <c r="Y6757">
        <v>-8.476583E-2</v>
      </c>
      <c r="Z6757">
        <v>5.7351149999999998E-3</v>
      </c>
      <c r="AA6757">
        <v>0.99638439999999995</v>
      </c>
      <c r="AB6757">
        <v>33</v>
      </c>
      <c r="AC6757">
        <v>8.4407999999999603</v>
      </c>
      <c r="AD6757">
        <v>-1.1119124600070001</v>
      </c>
      <c r="AE6757">
        <v>0.74175999999999898</v>
      </c>
      <c r="AF6757">
        <v>-0.72481543016473204</v>
      </c>
      <c r="AG6757">
        <v>-1.1119124600070001</v>
      </c>
      <c r="AH6757">
        <v>8.2982944484668408</v>
      </c>
      <c r="AI6757">
        <v>97.603162670347501</v>
      </c>
      <c r="AJ6757">
        <v>94.991837288266893</v>
      </c>
      <c r="AK6757">
        <v>8.4037728122539903</v>
      </c>
      <c r="AL6757">
        <v>67.245288462742394</v>
      </c>
      <c r="AM6757">
        <v>99.210580320929793</v>
      </c>
      <c r="AN6757">
        <v>1.0000000139349701</v>
      </c>
    </row>
    <row r="6758" spans="1:40" x14ac:dyDescent="0.25">
      <c r="A6758" t="str">
        <f>"20190304165018149"</f>
        <v>20190304165018149</v>
      </c>
      <c r="B6758" t="str">
        <f>"1551689418142553"</f>
        <v>1551689418142553</v>
      </c>
      <c r="C6758" t="s">
        <v>40</v>
      </c>
      <c r="D6758">
        <v>4.3968740000000004</v>
      </c>
      <c r="E6758">
        <v>0.54130999999999996</v>
      </c>
      <c r="F6758" t="s">
        <v>41</v>
      </c>
      <c r="G6758">
        <v>-264.21839999999997</v>
      </c>
      <c r="H6758">
        <v>0.98750910000000003</v>
      </c>
      <c r="I6758">
        <v>-63.0051699999999</v>
      </c>
      <c r="J6758">
        <v>-265.01010000000002</v>
      </c>
      <c r="K6758">
        <v>1.111856</v>
      </c>
      <c r="L6758">
        <v>-63.085079999999998</v>
      </c>
      <c r="M6758">
        <v>0.99996549999999995</v>
      </c>
      <c r="N6758">
        <v>-8.1988349999999998E-3</v>
      </c>
      <c r="O6758">
        <v>1.3750660000000001E-3</v>
      </c>
      <c r="P6758">
        <v>0.91375050000000002</v>
      </c>
      <c r="Q6758">
        <v>0.37956099999999998</v>
      </c>
      <c r="R6758">
        <v>0.1448914</v>
      </c>
      <c r="S6758">
        <v>3.4237669999999998</v>
      </c>
      <c r="T6758">
        <v>-0.44636229999999899</v>
      </c>
      <c r="U6758">
        <v>0.29016110000000001</v>
      </c>
      <c r="V6758">
        <v>-0.14522639999999901</v>
      </c>
      <c r="W6758">
        <v>0.38644729999999999</v>
      </c>
      <c r="X6758">
        <v>0.91080609999999995</v>
      </c>
      <c r="Y6758">
        <v>-8.2350179999999995E-2</v>
      </c>
      <c r="Z6758">
        <v>5.5087169999999998E-3</v>
      </c>
      <c r="AA6758">
        <v>0.99658820000000004</v>
      </c>
      <c r="AB6758">
        <v>34</v>
      </c>
      <c r="AC6758">
        <v>0.79170000000004803</v>
      </c>
      <c r="AD6758">
        <v>-0.124346899999999</v>
      </c>
      <c r="AE6758">
        <v>7.9910000000012305E-2</v>
      </c>
      <c r="AF6758">
        <v>-7.6942313195714193E-2</v>
      </c>
      <c r="AG6758">
        <v>-0.124346899999999</v>
      </c>
      <c r="AH6758">
        <v>0.77293405019593997</v>
      </c>
      <c r="AI6758">
        <v>99.095039519236494</v>
      </c>
      <c r="AJ6758">
        <v>95.684824050150496</v>
      </c>
      <c r="AK6758">
        <v>0.78664433961722302</v>
      </c>
      <c r="AL6758">
        <v>67.266379850494701</v>
      </c>
      <c r="AM6758">
        <v>99.059448038483893</v>
      </c>
      <c r="AN6758">
        <v>0.99999998736572904</v>
      </c>
    </row>
    <row r="6759" spans="1:40" x14ac:dyDescent="0.25">
      <c r="A6759" t="str">
        <f>"20190304165018161"</f>
        <v>20190304165018161</v>
      </c>
      <c r="B6759" t="str">
        <f>"1551689418152315"</f>
        <v>1551689418152315</v>
      </c>
      <c r="C6759" t="s">
        <v>40</v>
      </c>
      <c r="D6759">
        <v>4.3741110000000001</v>
      </c>
      <c r="E6759">
        <v>0.541444699999999</v>
      </c>
      <c r="F6759" t="s">
        <v>53</v>
      </c>
      <c r="G6759">
        <v>-256.53399999999999</v>
      </c>
      <c r="H6759" s="1">
        <v>-2.3831929999999999E-6</v>
      </c>
      <c r="I6759">
        <v>-62.380220000000001</v>
      </c>
      <c r="J6759">
        <v>-264.8442</v>
      </c>
      <c r="K6759">
        <v>1.111804</v>
      </c>
      <c r="L6759">
        <v>-63.084139999999998</v>
      </c>
      <c r="M6759">
        <v>0.99996410000000002</v>
      </c>
      <c r="N6759">
        <v>-8.1958199999999995E-3</v>
      </c>
      <c r="O6759">
        <v>2.2074310000000001E-3</v>
      </c>
      <c r="P6759">
        <v>0.91423310000000002</v>
      </c>
      <c r="Q6759">
        <v>0.37906580000000001</v>
      </c>
      <c r="R6759">
        <v>0.14313310000000001</v>
      </c>
      <c r="S6759">
        <v>3.4246219999999998</v>
      </c>
      <c r="T6759">
        <v>-0.4492276</v>
      </c>
      <c r="U6759">
        <v>0.28478999999999999</v>
      </c>
      <c r="V6759">
        <v>-0.14265829999999999</v>
      </c>
      <c r="W6759">
        <v>0.38598149999999998</v>
      </c>
      <c r="X6759">
        <v>0.91140929999999998</v>
      </c>
      <c r="Y6759">
        <v>-7.9966460000000003E-2</v>
      </c>
      <c r="Z6759">
        <v>5.2734820000000003E-3</v>
      </c>
      <c r="AA6759">
        <v>0.99678359999999999</v>
      </c>
      <c r="AB6759">
        <v>34</v>
      </c>
      <c r="AC6759">
        <v>8.3102</v>
      </c>
      <c r="AD6759">
        <v>-1.1118063831930001</v>
      </c>
      <c r="AE6759">
        <v>0.70392000000000998</v>
      </c>
      <c r="AF6759">
        <v>-0.67360237850113902</v>
      </c>
      <c r="AG6759">
        <v>-1.1118063831930001</v>
      </c>
      <c r="AH6759">
        <v>8.1665988293136795</v>
      </c>
      <c r="AI6759">
        <v>97.726704106201794</v>
      </c>
      <c r="AJ6759">
        <v>94.715231540944899</v>
      </c>
      <c r="AK6759">
        <v>8.2694129197288593</v>
      </c>
      <c r="AL6759">
        <v>67.295313746016902</v>
      </c>
      <c r="AM6759">
        <v>98.896036839488801</v>
      </c>
      <c r="AN6759">
        <v>1.00000001051381</v>
      </c>
    </row>
    <row r="6760" spans="1:40" x14ac:dyDescent="0.25">
      <c r="A6760" t="str">
        <f>"20190304165018172"</f>
        <v>20190304165018172</v>
      </c>
      <c r="B6760" t="str">
        <f>"1551689418162074"</f>
        <v>1551689418162074</v>
      </c>
      <c r="C6760" t="s">
        <v>40</v>
      </c>
      <c r="D6760">
        <v>4.3838679999999997</v>
      </c>
      <c r="E6760">
        <v>0.54157140000000004</v>
      </c>
      <c r="F6760" t="s">
        <v>41</v>
      </c>
      <c r="G6760">
        <v>-263.92309999999998</v>
      </c>
      <c r="H6760">
        <v>0.99033550000000004</v>
      </c>
      <c r="I6760">
        <v>-63.009270000000001</v>
      </c>
      <c r="J6760">
        <v>-264.66699999999997</v>
      </c>
      <c r="K6760">
        <v>1.1117490000000001</v>
      </c>
      <c r="L6760">
        <v>-63.083010000000002</v>
      </c>
      <c r="M6760">
        <v>0.99996169999999995</v>
      </c>
      <c r="N6760">
        <v>-8.1930749999999993E-3</v>
      </c>
      <c r="O6760">
        <v>3.0673050000000002E-3</v>
      </c>
      <c r="P6760">
        <v>0.91474299999999997</v>
      </c>
      <c r="Q6760">
        <v>0.37843729999999998</v>
      </c>
      <c r="R6760">
        <v>0.14152970000000001</v>
      </c>
      <c r="S6760">
        <v>3.4250180000000001</v>
      </c>
      <c r="T6760">
        <v>-0.45164080000000001</v>
      </c>
      <c r="U6760">
        <v>0.27899170000000001</v>
      </c>
      <c r="V6760">
        <v>-0.1402147</v>
      </c>
      <c r="W6760">
        <v>0.38538359999999999</v>
      </c>
      <c r="X6760">
        <v>0.91204130000000005</v>
      </c>
      <c r="Y6760">
        <v>-7.7445689999999998E-2</v>
      </c>
      <c r="Z6760">
        <v>5.0180570000000002E-3</v>
      </c>
      <c r="AA6760">
        <v>0.99698390000000003</v>
      </c>
      <c r="AB6760">
        <v>34</v>
      </c>
      <c r="AC6760">
        <v>0.74390000000005296</v>
      </c>
      <c r="AD6760">
        <v>-0.12141349999999899</v>
      </c>
      <c r="AE6760">
        <v>7.3740000000000805E-2</v>
      </c>
      <c r="AF6760">
        <v>-6.9621268954961693E-2</v>
      </c>
      <c r="AG6760">
        <v>-0.12141349999999899</v>
      </c>
      <c r="AH6760">
        <v>0.72499797125922805</v>
      </c>
      <c r="AI6760">
        <v>99.464208274212098</v>
      </c>
      <c r="AJ6760">
        <v>95.485271203153502</v>
      </c>
      <c r="AK6760">
        <v>0.73838365190674804</v>
      </c>
      <c r="AL6760">
        <v>67.332443487870293</v>
      </c>
      <c r="AM6760">
        <v>98.740065393112403</v>
      </c>
      <c r="AN6760">
        <v>1.0000000070753701</v>
      </c>
    </row>
    <row r="6761" spans="1:40" x14ac:dyDescent="0.25">
      <c r="A6761" t="str">
        <f>"20190304165018184"</f>
        <v>20190304165018184</v>
      </c>
      <c r="B6761" t="str">
        <f>"1551689418172809"</f>
        <v>1551689418172809</v>
      </c>
      <c r="C6761" t="s">
        <v>40</v>
      </c>
      <c r="D6761">
        <v>4.365742</v>
      </c>
      <c r="E6761">
        <v>0.5416995</v>
      </c>
      <c r="F6761" t="s">
        <v>53</v>
      </c>
      <c r="G6761">
        <v>-256.2987</v>
      </c>
      <c r="H6761" s="1">
        <v>-2.289966E-6</v>
      </c>
      <c r="I6761">
        <v>-62.414879999999997</v>
      </c>
      <c r="J6761">
        <v>-264.49970000000002</v>
      </c>
      <c r="K6761">
        <v>1.111693</v>
      </c>
      <c r="L6761">
        <v>-63.081819999999901</v>
      </c>
      <c r="M6761">
        <v>0.99995909999999999</v>
      </c>
      <c r="N6761">
        <v>-8.1910290000000007E-3</v>
      </c>
      <c r="O6761">
        <v>3.828892E-3</v>
      </c>
      <c r="P6761">
        <v>0.91520230000000002</v>
      </c>
      <c r="Q6761">
        <v>0.37803439999999999</v>
      </c>
      <c r="R6761">
        <v>0.139624</v>
      </c>
      <c r="S6761">
        <v>3.4255680000000002</v>
      </c>
      <c r="T6761">
        <v>-0.4550961</v>
      </c>
      <c r="U6761">
        <v>0.27349849999999998</v>
      </c>
      <c r="V6761">
        <v>-0.13756090000000001</v>
      </c>
      <c r="W6761">
        <v>0.38501039999999997</v>
      </c>
      <c r="X6761">
        <v>0.91260280000000005</v>
      </c>
      <c r="Y6761">
        <v>-7.5102429999999998E-2</v>
      </c>
      <c r="Z6761">
        <v>4.7942189999999997E-3</v>
      </c>
      <c r="AA6761">
        <v>0.9971643</v>
      </c>
      <c r="AB6761">
        <v>34</v>
      </c>
      <c r="AC6761">
        <v>8.2010000000000201</v>
      </c>
      <c r="AD6761">
        <v>-1.111695289966</v>
      </c>
      <c r="AE6761">
        <v>0.66693999999998899</v>
      </c>
      <c r="AF6761">
        <v>-0.624139817767281</v>
      </c>
      <c r="AG6761">
        <v>-1.111695289966</v>
      </c>
      <c r="AH6761">
        <v>8.0564258352936395</v>
      </c>
      <c r="AI6761">
        <v>97.833373350723505</v>
      </c>
      <c r="AJ6761">
        <v>94.429916249928695</v>
      </c>
      <c r="AK6761">
        <v>8.1566791140415695</v>
      </c>
      <c r="AL6761">
        <v>67.355612655493005</v>
      </c>
      <c r="AM6761">
        <v>98.571929505415198</v>
      </c>
      <c r="AN6761">
        <v>0.99999993994240299</v>
      </c>
    </row>
    <row r="6762" spans="1:40" x14ac:dyDescent="0.25">
      <c r="A6762" t="str">
        <f>"20190304165018196"</f>
        <v>20190304165018196</v>
      </c>
      <c r="B6762" t="str">
        <f>"1551689418192329"</f>
        <v>1551689418192329</v>
      </c>
      <c r="C6762" t="s">
        <v>40</v>
      </c>
      <c r="D6762">
        <v>4.2780800000000001</v>
      </c>
      <c r="E6762">
        <v>0.54185169999999905</v>
      </c>
      <c r="F6762" t="s">
        <v>41</v>
      </c>
      <c r="G6762">
        <v>-263.62169999999998</v>
      </c>
      <c r="H6762">
        <v>0.99434440000000002</v>
      </c>
      <c r="I6762">
        <v>-63.013350000000003</v>
      </c>
      <c r="J6762">
        <v>-264.32589999999999</v>
      </c>
      <c r="K6762">
        <v>1.111642</v>
      </c>
      <c r="L6762">
        <v>-63.080509999999997</v>
      </c>
      <c r="M6762">
        <v>0.99995590000000001</v>
      </c>
      <c r="N6762">
        <v>-8.1891429999999994E-3</v>
      </c>
      <c r="O6762">
        <v>4.6044659999999998E-3</v>
      </c>
      <c r="P6762">
        <v>0.91568640000000001</v>
      </c>
      <c r="Q6762">
        <v>0.37758380000000002</v>
      </c>
      <c r="R6762">
        <v>0.137655</v>
      </c>
      <c r="S6762">
        <v>3.426361</v>
      </c>
      <c r="T6762">
        <v>-0.45795849999999999</v>
      </c>
      <c r="U6762">
        <v>0.26718140000000001</v>
      </c>
      <c r="V6762">
        <v>-0.13482739999999999</v>
      </c>
      <c r="W6762">
        <v>0.38459070000000001</v>
      </c>
      <c r="X6762">
        <v>0.91318759999999999</v>
      </c>
      <c r="Y6762">
        <v>-7.2505910000000007E-2</v>
      </c>
      <c r="Z6762">
        <v>4.5412789999999996E-3</v>
      </c>
      <c r="AA6762">
        <v>0.99735770000000001</v>
      </c>
      <c r="AB6762">
        <v>34</v>
      </c>
      <c r="AC6762">
        <v>0.70420000000001404</v>
      </c>
      <c r="AD6762">
        <v>-0.1172976</v>
      </c>
      <c r="AE6762">
        <v>6.7159999999994099E-2</v>
      </c>
      <c r="AF6762">
        <v>-6.2206350080995398E-2</v>
      </c>
      <c r="AG6762">
        <v>-0.1172976</v>
      </c>
      <c r="AH6762">
        <v>0.68564983039842398</v>
      </c>
      <c r="AI6762">
        <v>99.668944169652306</v>
      </c>
      <c r="AJ6762">
        <v>95.184031312398304</v>
      </c>
      <c r="AK6762">
        <v>0.69838674592345096</v>
      </c>
      <c r="AL6762">
        <v>67.381667551650295</v>
      </c>
      <c r="AM6762">
        <v>98.398746581871805</v>
      </c>
      <c r="AN6762">
        <v>1.0000000135555001</v>
      </c>
    </row>
    <row r="6763" spans="1:40" x14ac:dyDescent="0.25">
      <c r="A6763" t="str">
        <f>"20190304165018206"</f>
        <v>20190304165018206</v>
      </c>
      <c r="B6763" t="str">
        <f>"1551689418202090"</f>
        <v>1551689418202090</v>
      </c>
      <c r="C6763" t="s">
        <v>40</v>
      </c>
      <c r="D6763">
        <v>4.357424</v>
      </c>
      <c r="E6763">
        <v>0.54195309999999997</v>
      </c>
      <c r="F6763" t="s">
        <v>41</v>
      </c>
      <c r="G6763">
        <v>-263.3288</v>
      </c>
      <c r="H6763">
        <v>0.9787496</v>
      </c>
      <c r="I6763">
        <v>-63.004989999999999</v>
      </c>
      <c r="J6763">
        <v>-264.1515</v>
      </c>
      <c r="K6763">
        <v>1.111585</v>
      </c>
      <c r="L6763">
        <v>-63.079039999999999</v>
      </c>
      <c r="M6763">
        <v>0.99995239999999996</v>
      </c>
      <c r="N6763">
        <v>-8.1879569999999992E-3</v>
      </c>
      <c r="O6763">
        <v>5.3175499999999999E-3</v>
      </c>
      <c r="P6763">
        <v>0.91612959999999999</v>
      </c>
      <c r="Q6763">
        <v>0.37722719999999998</v>
      </c>
      <c r="R6763">
        <v>0.1356697</v>
      </c>
      <c r="S6763">
        <v>3.4253849999999999</v>
      </c>
      <c r="T6763">
        <v>-0.45657900000000001</v>
      </c>
      <c r="U6763">
        <v>0.26022339999999999</v>
      </c>
      <c r="V6763">
        <v>-0.132133</v>
      </c>
      <c r="W6763">
        <v>0.38426450000000001</v>
      </c>
      <c r="X6763">
        <v>0.91371860000000005</v>
      </c>
      <c r="Y6763">
        <v>-6.9836209999999996E-2</v>
      </c>
      <c r="Z6763">
        <v>4.2535840000000004E-3</v>
      </c>
      <c r="AA6763">
        <v>0.99754940000000003</v>
      </c>
      <c r="AB6763">
        <v>34</v>
      </c>
      <c r="AC6763">
        <v>0.82269999999999699</v>
      </c>
      <c r="AD6763">
        <v>-0.13283539999999999</v>
      </c>
      <c r="AE6763">
        <v>7.4049999999999699E-2</v>
      </c>
      <c r="AF6763">
        <v>-6.79176595521159E-2</v>
      </c>
      <c r="AG6763">
        <v>-0.13283539999999999</v>
      </c>
      <c r="AH6763">
        <v>0.802333240907949</v>
      </c>
      <c r="AI6763">
        <v>99.367788349147702</v>
      </c>
      <c r="AJ6763">
        <v>94.838563342125497</v>
      </c>
      <c r="AK6763">
        <v>0.816086197308869</v>
      </c>
      <c r="AL6763">
        <v>67.401913072593999</v>
      </c>
      <c r="AM6763">
        <v>98.228510213583803</v>
      </c>
      <c r="AN6763">
        <v>1.0000000078175999</v>
      </c>
    </row>
    <row r="6764" spans="1:40" x14ac:dyDescent="0.25">
      <c r="A6764" t="str">
        <f>"20190304165018218"</f>
        <v>20190304165018218</v>
      </c>
      <c r="B6764" t="str">
        <f>"1551689418212829"</f>
        <v>1551689418212829</v>
      </c>
      <c r="C6764" t="s">
        <v>40</v>
      </c>
      <c r="D6764">
        <v>4.3699370000000002</v>
      </c>
      <c r="E6764">
        <v>0.542037199999999</v>
      </c>
      <c r="F6764" t="s">
        <v>41</v>
      </c>
      <c r="G6764">
        <v>-263.31819999999999</v>
      </c>
      <c r="H6764">
        <v>1.000032</v>
      </c>
      <c r="I6764">
        <v>-63.017629999999997</v>
      </c>
      <c r="J6764">
        <v>-263.97120000000001</v>
      </c>
      <c r="K6764">
        <v>1.111521</v>
      </c>
      <c r="L6764">
        <v>-63.077449999999999</v>
      </c>
      <c r="M6764">
        <v>0.99994839999999996</v>
      </c>
      <c r="N6764">
        <v>-8.1869979999999992E-3</v>
      </c>
      <c r="O6764">
        <v>6.0333540000000003E-3</v>
      </c>
      <c r="P6764">
        <v>0.91654250000000004</v>
      </c>
      <c r="Q6764">
        <v>0.37688440000000001</v>
      </c>
      <c r="R6764">
        <v>0.13382160000000001</v>
      </c>
      <c r="S6764">
        <v>3.425964</v>
      </c>
      <c r="T6764">
        <v>-0.45862170000000002</v>
      </c>
      <c r="U6764">
        <v>0.25344850000000002</v>
      </c>
      <c r="V6764">
        <v>-0.12957099999999999</v>
      </c>
      <c r="W6764">
        <v>0.38395180000000001</v>
      </c>
      <c r="X6764">
        <v>0.91421680000000005</v>
      </c>
      <c r="Y6764">
        <v>-6.7173010000000005E-2</v>
      </c>
      <c r="Z6764">
        <v>3.9929379999999997E-3</v>
      </c>
      <c r="AA6764">
        <v>0.99773339999999999</v>
      </c>
      <c r="AB6764">
        <v>34</v>
      </c>
      <c r="AC6764">
        <v>0.65300000000002001</v>
      </c>
      <c r="AD6764">
        <v>-0.11148899999999901</v>
      </c>
      <c r="AE6764">
        <v>5.9819999999994801E-2</v>
      </c>
      <c r="AF6764">
        <v>-5.43090681719983E-2</v>
      </c>
      <c r="AG6764">
        <v>-0.11148899999999901</v>
      </c>
      <c r="AH6764">
        <v>0.63499307441724595</v>
      </c>
      <c r="AI6764">
        <v>99.922714743517403</v>
      </c>
      <c r="AJ6764">
        <v>94.888441253912006</v>
      </c>
      <c r="AK6764">
        <v>0.64698954903814099</v>
      </c>
      <c r="AL6764">
        <v>67.421317704757897</v>
      </c>
      <c r="AM6764">
        <v>98.066745287700599</v>
      </c>
      <c r="AN6764">
        <v>0.99999999308323995</v>
      </c>
    </row>
    <row r="6765" spans="1:40" x14ac:dyDescent="0.25">
      <c r="A6765" t="str">
        <f>"20190304165018229"</f>
        <v>20190304165018229</v>
      </c>
      <c r="B6765" t="str">
        <f>"1551689418222585"</f>
        <v>1551689418222585</v>
      </c>
      <c r="C6765" t="s">
        <v>40</v>
      </c>
      <c r="D6765">
        <v>4.3695250000000003</v>
      </c>
      <c r="E6765">
        <v>0.54211619999999905</v>
      </c>
      <c r="F6765" t="s">
        <v>41</v>
      </c>
      <c r="G6765">
        <v>-263.02440000000001</v>
      </c>
      <c r="H6765">
        <v>0.98421530000000002</v>
      </c>
      <c r="I6765">
        <v>-63.009360000000001</v>
      </c>
      <c r="J6765">
        <v>-263.80489999999998</v>
      </c>
      <c r="K6765">
        <v>1.1114630000000001</v>
      </c>
      <c r="L6765">
        <v>-63.075899999999997</v>
      </c>
      <c r="M6765">
        <v>0.99994430000000001</v>
      </c>
      <c r="N6765">
        <v>-8.1865129999999994E-3</v>
      </c>
      <c r="O6765">
        <v>6.6538049999999996E-3</v>
      </c>
      <c r="P6765">
        <v>0.91686080000000003</v>
      </c>
      <c r="Q6765">
        <v>0.3766852</v>
      </c>
      <c r="R6765">
        <v>0.13219040000000001</v>
      </c>
      <c r="S6765">
        <v>3.4265439999999998</v>
      </c>
      <c r="T6765">
        <v>-0.46065709999999999</v>
      </c>
      <c r="U6765">
        <v>0.24691769999999999</v>
      </c>
      <c r="V6765">
        <v>-0.1273175</v>
      </c>
      <c r="W6765">
        <v>0.3837797</v>
      </c>
      <c r="X6765">
        <v>0.91460560000000002</v>
      </c>
      <c r="Y6765">
        <v>-6.4673540000000002E-2</v>
      </c>
      <c r="Z6765">
        <v>3.7534690000000002E-3</v>
      </c>
      <c r="AA6765">
        <v>0.99789939999999999</v>
      </c>
      <c r="AB6765">
        <v>34</v>
      </c>
      <c r="AC6765">
        <v>0.78049999999996</v>
      </c>
      <c r="AD6765">
        <v>-0.12724769999999899</v>
      </c>
      <c r="AE6765">
        <v>6.6539999999996199E-2</v>
      </c>
      <c r="AF6765">
        <v>-5.9767893484767597E-2</v>
      </c>
      <c r="AG6765">
        <v>-0.12724769999999899</v>
      </c>
      <c r="AH6765">
        <v>0.76084810383896695</v>
      </c>
      <c r="AI6765">
        <v>99.465903728624696</v>
      </c>
      <c r="AJ6765">
        <v>94.491606350785304</v>
      </c>
      <c r="AK6765">
        <v>0.77372735208356702</v>
      </c>
      <c r="AL6765">
        <v>67.431996670075804</v>
      </c>
      <c r="AM6765">
        <v>97.9249203982654</v>
      </c>
      <c r="AN6765">
        <v>1.00000000374485</v>
      </c>
    </row>
    <row r="6766" spans="1:40" x14ac:dyDescent="0.25">
      <c r="A6766" t="str">
        <f>"20190304165018240"</f>
        <v>20190304165018240</v>
      </c>
      <c r="B6766" t="str">
        <f>"1551689418232346"</f>
        <v>1551689418232346</v>
      </c>
      <c r="C6766" t="s">
        <v>40</v>
      </c>
      <c r="D6766">
        <v>4.3244920000000002</v>
      </c>
      <c r="E6766">
        <v>0.54222040000000005</v>
      </c>
      <c r="F6766" t="s">
        <v>41</v>
      </c>
      <c r="G6766">
        <v>-263.01420000000002</v>
      </c>
      <c r="H6766">
        <v>1.0049129999999999</v>
      </c>
      <c r="I6766">
        <v>-63.020539999999997</v>
      </c>
      <c r="J6766">
        <v>-263.64859999999999</v>
      </c>
      <c r="K6766">
        <v>1.111408</v>
      </c>
      <c r="L6766">
        <v>-63.074370000000002</v>
      </c>
      <c r="M6766">
        <v>0.99994059999999996</v>
      </c>
      <c r="N6766">
        <v>-8.1863530000000004E-3</v>
      </c>
      <c r="O6766">
        <v>7.2058319999999997E-3</v>
      </c>
      <c r="P6766">
        <v>0.91724470000000002</v>
      </c>
      <c r="Q6766">
        <v>0.37639810000000001</v>
      </c>
      <c r="R6766">
        <v>0.130333</v>
      </c>
      <c r="S6766">
        <v>3.4270629999999902</v>
      </c>
      <c r="T6766">
        <v>-0.46177859999999998</v>
      </c>
      <c r="U6766">
        <v>0.24053959999999999</v>
      </c>
      <c r="V6766">
        <v>-0.12490080000000001</v>
      </c>
      <c r="W6766">
        <v>0.38351940000000001</v>
      </c>
      <c r="X6766">
        <v>0.91504790000000003</v>
      </c>
      <c r="Y6766">
        <v>-6.2288379999999997E-2</v>
      </c>
      <c r="Z6766">
        <v>3.522393E-3</v>
      </c>
      <c r="AA6766">
        <v>0.99805200000000005</v>
      </c>
      <c r="AB6766">
        <v>34</v>
      </c>
      <c r="AC6766">
        <v>0.63439999999997099</v>
      </c>
      <c r="AD6766">
        <v>-0.10649500000000001</v>
      </c>
      <c r="AE6766">
        <v>5.3829999999990698E-2</v>
      </c>
      <c r="AF6766">
        <v>-4.7916463548705997E-2</v>
      </c>
      <c r="AG6766">
        <v>-0.10649500000000001</v>
      </c>
      <c r="AH6766">
        <v>0.61749516058954501</v>
      </c>
      <c r="AI6766">
        <v>99.756375246651004</v>
      </c>
      <c r="AJ6766">
        <v>94.437152969310802</v>
      </c>
      <c r="AK6766">
        <v>0.62844048712310296</v>
      </c>
      <c r="AL6766">
        <v>67.448146474695093</v>
      </c>
      <c r="AM6766">
        <v>97.772637246624697</v>
      </c>
      <c r="AN6766">
        <v>0.99999999965570496</v>
      </c>
    </row>
    <row r="6767" spans="1:40" x14ac:dyDescent="0.25">
      <c r="A6767" t="str">
        <f>"20190304165018250"</f>
        <v>20190304165018250</v>
      </c>
      <c r="B6767" t="str">
        <f>"1551689418242106"</f>
        <v>1551689418242106</v>
      </c>
      <c r="C6767" t="s">
        <v>40</v>
      </c>
      <c r="D6767">
        <v>4.392347</v>
      </c>
      <c r="E6767">
        <v>0.54229469999999902</v>
      </c>
      <c r="F6767" t="s">
        <v>41</v>
      </c>
      <c r="G6767">
        <v>-262.7208</v>
      </c>
      <c r="H6767">
        <v>0.98608490000000004</v>
      </c>
      <c r="I6767">
        <v>-63.011629999999997</v>
      </c>
      <c r="J6767">
        <v>-263.47890000000001</v>
      </c>
      <c r="K6767">
        <v>1.111348</v>
      </c>
      <c r="L6767">
        <v>-63.072629999999997</v>
      </c>
      <c r="M6767">
        <v>0.99993639999999995</v>
      </c>
      <c r="N6767">
        <v>-8.1864929999999995E-3</v>
      </c>
      <c r="O6767">
        <v>7.7712800000000002E-3</v>
      </c>
      <c r="P6767">
        <v>0.91745880000000002</v>
      </c>
      <c r="Q6767">
        <v>0.3763068</v>
      </c>
      <c r="R6767">
        <v>0.1290849</v>
      </c>
      <c r="S6767">
        <v>3.427673</v>
      </c>
      <c r="T6767">
        <v>-0.46303800000000001</v>
      </c>
      <c r="U6767">
        <v>0.2325439</v>
      </c>
      <c r="V6767">
        <v>-0.1230773</v>
      </c>
      <c r="W6767">
        <v>0.3834533</v>
      </c>
      <c r="X6767">
        <v>0.91532270000000004</v>
      </c>
      <c r="Y6767">
        <v>-5.9423530000000002E-2</v>
      </c>
      <c r="Z6767">
        <v>3.255197E-3</v>
      </c>
      <c r="AA6767">
        <v>0.99822750000000005</v>
      </c>
      <c r="AB6767">
        <v>34</v>
      </c>
      <c r="AC6767">
        <v>0.75810000000001299</v>
      </c>
      <c r="AD6767">
        <v>-0.12526309999999899</v>
      </c>
      <c r="AE6767">
        <v>6.0999999999999902E-2</v>
      </c>
      <c r="AF6767">
        <v>-5.36511953615103E-2</v>
      </c>
      <c r="AG6767">
        <v>-0.12526309999999899</v>
      </c>
      <c r="AH6767">
        <v>0.73851791270760303</v>
      </c>
      <c r="AI6767">
        <v>99.601727440148807</v>
      </c>
      <c r="AJ6767">
        <v>94.155073703165897</v>
      </c>
      <c r="AK6767">
        <v>0.75098468850924205</v>
      </c>
      <c r="AL6767">
        <v>67.452248443584494</v>
      </c>
      <c r="AM6767">
        <v>97.658244713717906</v>
      </c>
      <c r="AN6767">
        <v>1.00000005009573</v>
      </c>
    </row>
    <row r="6768" spans="1:40" x14ac:dyDescent="0.25">
      <c r="A6768" t="str">
        <f>"20190304165018263"</f>
        <v>20190304165018263</v>
      </c>
      <c r="B6768" t="str">
        <f>"1551689418252841"</f>
        <v>1551689418252841</v>
      </c>
      <c r="C6768" t="s">
        <v>40</v>
      </c>
      <c r="D6768">
        <v>4.3947139999999996</v>
      </c>
      <c r="E6768">
        <v>0.54236099999999998</v>
      </c>
      <c r="F6768" t="s">
        <v>41</v>
      </c>
      <c r="G6768">
        <v>-262.71089999999998</v>
      </c>
      <c r="H6768">
        <v>1.0074559999999999</v>
      </c>
      <c r="I6768">
        <v>-63.02214</v>
      </c>
      <c r="J6768">
        <v>-263.3098</v>
      </c>
      <c r="K6768">
        <v>1.1112850000000001</v>
      </c>
      <c r="L6768">
        <v>-63.070860000000003</v>
      </c>
      <c r="M6768">
        <v>0.99993220000000005</v>
      </c>
      <c r="N6768">
        <v>-8.1868749999999997E-3</v>
      </c>
      <c r="O6768">
        <v>8.2839980000000007E-3</v>
      </c>
      <c r="P6768">
        <v>0.91767310000000002</v>
      </c>
      <c r="Q6768">
        <v>0.3762355</v>
      </c>
      <c r="R6768">
        <v>0.12776199999999999</v>
      </c>
      <c r="S6768">
        <v>3.4282840000000001</v>
      </c>
      <c r="T6768">
        <v>-0.4637463</v>
      </c>
      <c r="U6768">
        <v>0.22625729999999999</v>
      </c>
      <c r="V6768">
        <v>-0.12122280000000001</v>
      </c>
      <c r="W6768">
        <v>0.38340800000000003</v>
      </c>
      <c r="X6768">
        <v>0.91558910000000004</v>
      </c>
      <c r="Y6768">
        <v>-5.710225E-2</v>
      </c>
      <c r="Z6768">
        <v>3.0288670000000002E-3</v>
      </c>
      <c r="AA6768">
        <v>0.99836369999999997</v>
      </c>
      <c r="AB6768">
        <v>34</v>
      </c>
      <c r="AC6768">
        <v>0.59890000000001398</v>
      </c>
      <c r="AD6768">
        <v>-0.103829</v>
      </c>
      <c r="AE6768">
        <v>4.8719999999995801E-2</v>
      </c>
      <c r="AF6768">
        <v>-4.2488251343180398E-2</v>
      </c>
      <c r="AG6768">
        <v>-0.103829</v>
      </c>
      <c r="AH6768">
        <v>0.58190830250507997</v>
      </c>
      <c r="AI6768">
        <v>100.09042549841701</v>
      </c>
      <c r="AJ6768">
        <v>94.176061989984802</v>
      </c>
      <c r="AK6768">
        <v>0.59262381429330402</v>
      </c>
      <c r="AL6768">
        <v>67.455058276379205</v>
      </c>
      <c r="AM6768">
        <v>97.542021371343907</v>
      </c>
      <c r="AN6768">
        <v>1.0000000308713199</v>
      </c>
    </row>
    <row r="6769" spans="1:40" x14ac:dyDescent="0.25">
      <c r="A6769" t="str">
        <f>"20190304165018274"</f>
        <v>20190304165018274</v>
      </c>
      <c r="B6769" t="str">
        <f>"1551689418262601"</f>
        <v>1551689418262601</v>
      </c>
      <c r="C6769" t="s">
        <v>40</v>
      </c>
      <c r="D6769">
        <v>4.3195040000000002</v>
      </c>
      <c r="E6769">
        <v>0.542439</v>
      </c>
      <c r="F6769" t="s">
        <v>41</v>
      </c>
      <c r="G6769">
        <v>-262.41559999999998</v>
      </c>
      <c r="H6769">
        <v>0.99022290000000002</v>
      </c>
      <c r="I6769">
        <v>-63.013599999999997</v>
      </c>
      <c r="J6769">
        <v>-263.1386</v>
      </c>
      <c r="K6769">
        <v>1.1112169999999999</v>
      </c>
      <c r="L6769">
        <v>-63.069029999999998</v>
      </c>
      <c r="M6769">
        <v>0.99992800000000004</v>
      </c>
      <c r="N6769">
        <v>-8.1874269999999902E-3</v>
      </c>
      <c r="O6769">
        <v>8.7780870000000004E-3</v>
      </c>
      <c r="P6769">
        <v>0.91790590000000005</v>
      </c>
      <c r="Q6769">
        <v>0.3760965</v>
      </c>
      <c r="R6769">
        <v>0.12649299999999999</v>
      </c>
      <c r="S6769">
        <v>3.4288940000000001</v>
      </c>
      <c r="T6769">
        <v>-0.4642464</v>
      </c>
      <c r="U6769">
        <v>0.21975710000000001</v>
      </c>
      <c r="V6769">
        <v>-0.119436</v>
      </c>
      <c r="W6769">
        <v>0.38329619999999998</v>
      </c>
      <c r="X6769">
        <v>0.91587070000000004</v>
      </c>
      <c r="Y6769">
        <v>-5.4738309999999998E-2</v>
      </c>
      <c r="Z6769">
        <v>2.8001100000000002E-3</v>
      </c>
      <c r="AA6769">
        <v>0.99849679999999996</v>
      </c>
      <c r="AB6769">
        <v>34</v>
      </c>
      <c r="AC6769">
        <v>0.72300000000001297</v>
      </c>
      <c r="AD6769">
        <v>-0.12099409999999999</v>
      </c>
      <c r="AE6769">
        <v>5.5430000000008299E-2</v>
      </c>
      <c r="AF6769">
        <v>-4.7751576687133299E-2</v>
      </c>
      <c r="AG6769">
        <v>-0.12099409999999999</v>
      </c>
      <c r="AH6769">
        <v>0.70386153751476699</v>
      </c>
      <c r="AI6769">
        <v>99.731899116271293</v>
      </c>
      <c r="AJ6769">
        <v>93.881129630645106</v>
      </c>
      <c r="AK6769">
        <v>0.715779888864984</v>
      </c>
      <c r="AL6769">
        <v>67.461993950211394</v>
      </c>
      <c r="AM6769">
        <v>97.429845821011895</v>
      </c>
      <c r="AN6769">
        <v>1.0000000370744599</v>
      </c>
    </row>
    <row r="6770" spans="1:40" x14ac:dyDescent="0.25">
      <c r="A6770" t="str">
        <f>"20190304165018286"</f>
        <v>20190304165018286</v>
      </c>
      <c r="B6770" t="str">
        <f>"1551689418282121"</f>
        <v>1551689418282121</v>
      </c>
      <c r="C6770" t="s">
        <v>40</v>
      </c>
      <c r="D6770">
        <v>4.3798870000000001</v>
      </c>
      <c r="E6770">
        <v>0.54252319999999998</v>
      </c>
      <c r="F6770" t="s">
        <v>41</v>
      </c>
      <c r="G6770">
        <v>-262.40539999999999</v>
      </c>
      <c r="H6770">
        <v>1.0118879999999999</v>
      </c>
      <c r="I6770">
        <v>-63.023440000000001</v>
      </c>
      <c r="J6770">
        <v>-262.96809999999999</v>
      </c>
      <c r="K6770">
        <v>1.111145</v>
      </c>
      <c r="L6770">
        <v>-63.06711</v>
      </c>
      <c r="M6770">
        <v>0.99992429999999999</v>
      </c>
      <c r="N6770">
        <v>-8.1883200000000007E-3</v>
      </c>
      <c r="O6770">
        <v>9.1934310000000002E-3</v>
      </c>
      <c r="P6770">
        <v>0.91824439999999996</v>
      </c>
      <c r="Q6770">
        <v>0.37571700000000002</v>
      </c>
      <c r="R6770">
        <v>0.125157399999999</v>
      </c>
      <c r="S6770">
        <v>3.4292600000000002</v>
      </c>
      <c r="T6770">
        <v>-0.46461459999999999</v>
      </c>
      <c r="U6770">
        <v>0.21343989999999999</v>
      </c>
      <c r="V6770">
        <v>-0.11764570000000001</v>
      </c>
      <c r="W6770">
        <v>0.38294650000000002</v>
      </c>
      <c r="X6770">
        <v>0.91624859999999997</v>
      </c>
      <c r="Y6770">
        <v>-5.2508770000000003E-2</v>
      </c>
      <c r="Z6770">
        <v>2.5900229999999999E-3</v>
      </c>
      <c r="AA6770">
        <v>0.99861710000000004</v>
      </c>
      <c r="AB6770">
        <v>34</v>
      </c>
      <c r="AC6770">
        <v>0.56270000000000597</v>
      </c>
      <c r="AD6770">
        <v>-9.9257000000000095E-2</v>
      </c>
      <c r="AE6770">
        <v>4.3669999999998703E-2</v>
      </c>
      <c r="AF6770">
        <v>-3.73399641668649E-2</v>
      </c>
      <c r="AG6770">
        <v>-9.9257000000000095E-2</v>
      </c>
      <c r="AH6770">
        <v>0.546184961541475</v>
      </c>
      <c r="AI6770">
        <v>100.27636059952199</v>
      </c>
      <c r="AJ6770">
        <v>93.9109436482577</v>
      </c>
      <c r="AK6770">
        <v>0.55638497210748405</v>
      </c>
      <c r="AL6770">
        <v>67.483684853746496</v>
      </c>
      <c r="AM6770">
        <v>97.316705886236093</v>
      </c>
      <c r="AN6770">
        <v>1.0000000147963499</v>
      </c>
    </row>
    <row r="6771" spans="1:40" x14ac:dyDescent="0.25">
      <c r="A6771" t="str">
        <f>"20190304165018296"</f>
        <v>20190304165018296</v>
      </c>
      <c r="B6771" t="str">
        <f>"1551689418292858"</f>
        <v>1551689418292858</v>
      </c>
      <c r="C6771" t="s">
        <v>40</v>
      </c>
      <c r="D6771">
        <v>4.3884759999999998</v>
      </c>
      <c r="E6771">
        <v>0.54255240000000005</v>
      </c>
      <c r="F6771" t="s">
        <v>41</v>
      </c>
      <c r="G6771">
        <v>-262.10969999999998</v>
      </c>
      <c r="H6771">
        <v>0.99417149999999999</v>
      </c>
      <c r="I6771">
        <v>-63.015349999999998</v>
      </c>
      <c r="J6771">
        <v>-262.7953</v>
      </c>
      <c r="K6771">
        <v>1.111067</v>
      </c>
      <c r="L6771">
        <v>-63.065159999999999</v>
      </c>
      <c r="M6771">
        <v>0.99992049999999999</v>
      </c>
      <c r="N6771">
        <v>-8.1893750000000005E-3</v>
      </c>
      <c r="O6771">
        <v>9.5940709999999992E-3</v>
      </c>
      <c r="P6771">
        <v>0.91844669999999895</v>
      </c>
      <c r="Q6771">
        <v>0.37555509999999998</v>
      </c>
      <c r="R6771">
        <v>0.124153399999999</v>
      </c>
      <c r="S6771">
        <v>3.4298709999999999</v>
      </c>
      <c r="T6771">
        <v>-0.4673059</v>
      </c>
      <c r="U6771">
        <v>0.20858760000000001</v>
      </c>
      <c r="V6771">
        <v>-0.11619939999999999</v>
      </c>
      <c r="W6771">
        <v>0.3828125</v>
      </c>
      <c r="X6771">
        <v>0.91648909999999995</v>
      </c>
      <c r="Y6771">
        <v>-5.0706300000000003E-2</v>
      </c>
      <c r="Z6771">
        <v>2.4223980000000001E-3</v>
      </c>
      <c r="AA6771">
        <v>0.99871069999999995</v>
      </c>
      <c r="AB6771">
        <v>34</v>
      </c>
      <c r="AC6771">
        <v>0.68560000000002197</v>
      </c>
      <c r="AD6771">
        <v>-0.1168955</v>
      </c>
      <c r="AE6771">
        <v>4.9810000000000798E-2</v>
      </c>
      <c r="AF6771">
        <v>-4.2014809475699001E-2</v>
      </c>
      <c r="AG6771">
        <v>-0.1168955</v>
      </c>
      <c r="AH6771">
        <v>0.666764859914315</v>
      </c>
      <c r="AI6771">
        <v>99.924599956350093</v>
      </c>
      <c r="AJ6771">
        <v>93.605607982698402</v>
      </c>
      <c r="AK6771">
        <v>0.67823681745544095</v>
      </c>
      <c r="AL6771">
        <v>67.491995220820797</v>
      </c>
      <c r="AM6771">
        <v>97.225836989174695</v>
      </c>
      <c r="AN6771">
        <v>0.99999999056770905</v>
      </c>
    </row>
    <row r="6772" spans="1:40" x14ac:dyDescent="0.25">
      <c r="A6772" t="str">
        <f>"20190304165018308"</f>
        <v>20190304165018308</v>
      </c>
      <c r="B6772" t="str">
        <f>"1551689418302621"</f>
        <v>1551689418302621</v>
      </c>
      <c r="C6772" t="s">
        <v>40</v>
      </c>
      <c r="D6772">
        <v>4.4051109999999998</v>
      </c>
      <c r="E6772">
        <v>0.54258099999999998</v>
      </c>
      <c r="F6772" t="s">
        <v>41</v>
      </c>
      <c r="G6772">
        <v>-261.81279999999998</v>
      </c>
      <c r="H6772">
        <v>0.97686770000000001</v>
      </c>
      <c r="I6772">
        <v>-63.00658</v>
      </c>
      <c r="J6772">
        <v>-262.60660000000001</v>
      </c>
      <c r="K6772">
        <v>1.1109739999999999</v>
      </c>
      <c r="L6772">
        <v>-63.063020000000002</v>
      </c>
      <c r="M6772">
        <v>0.99991699999999994</v>
      </c>
      <c r="N6772">
        <v>-8.1909410000000002E-3</v>
      </c>
      <c r="O6772">
        <v>9.9405099999999996E-3</v>
      </c>
      <c r="P6772">
        <v>0.91878689999999996</v>
      </c>
      <c r="Q6772">
        <v>0.375083</v>
      </c>
      <c r="R6772">
        <v>0.12305869999999999</v>
      </c>
      <c r="S6772">
        <v>3.4303279999999998</v>
      </c>
      <c r="T6772">
        <v>-0.46858909999999998</v>
      </c>
      <c r="U6772">
        <v>0.20468140000000001</v>
      </c>
      <c r="V6772">
        <v>-0.1146949</v>
      </c>
      <c r="W6772">
        <v>0.38237409999999999</v>
      </c>
      <c r="X6772">
        <v>0.9168615</v>
      </c>
      <c r="Y6772">
        <v>-4.9234159999999999E-2</v>
      </c>
      <c r="Z6772">
        <v>2.277758E-3</v>
      </c>
      <c r="AA6772">
        <v>0.99878469999999997</v>
      </c>
      <c r="AB6772">
        <v>34</v>
      </c>
      <c r="AC6772">
        <v>0.79380000000003204</v>
      </c>
      <c r="AD6772">
        <v>-0.13410629999999901</v>
      </c>
      <c r="AE6772">
        <v>5.6439999999987799E-2</v>
      </c>
      <c r="AF6772">
        <v>-4.7205628708874799E-2</v>
      </c>
      <c r="AG6772">
        <v>-0.13410629999999901</v>
      </c>
      <c r="AH6772">
        <v>0.77238765296316803</v>
      </c>
      <c r="AI6772">
        <v>99.831836588453498</v>
      </c>
      <c r="AJ6772">
        <v>93.497367256137693</v>
      </c>
      <c r="AK6772">
        <v>0.78536332835919997</v>
      </c>
      <c r="AL6772">
        <v>67.519180990838706</v>
      </c>
      <c r="AM6772">
        <v>97.130382453866503</v>
      </c>
      <c r="AN6772">
        <v>0.99999994130953296</v>
      </c>
    </row>
    <row r="6773" spans="1:40" x14ac:dyDescent="0.25">
      <c r="A6773" t="str">
        <f>"20190304165018319"</f>
        <v>20190304165018319</v>
      </c>
      <c r="B6773" t="str">
        <f>"1551689418312377"</f>
        <v>1551689418312377</v>
      </c>
      <c r="C6773" t="s">
        <v>40</v>
      </c>
      <c r="D6773">
        <v>4.3981349999999999</v>
      </c>
      <c r="E6773">
        <v>0.54260609999999998</v>
      </c>
      <c r="F6773" t="s">
        <v>41</v>
      </c>
      <c r="G6773">
        <v>-261.80189999999999</v>
      </c>
      <c r="H6773">
        <v>1.000545</v>
      </c>
      <c r="I6773">
        <v>-63.015900000000002</v>
      </c>
      <c r="J6773">
        <v>-262.44760000000002</v>
      </c>
      <c r="K6773">
        <v>1.1108899999999999</v>
      </c>
      <c r="L6773">
        <v>-63.061160000000001</v>
      </c>
      <c r="M6773">
        <v>0.99991439999999998</v>
      </c>
      <c r="N6773">
        <v>-8.1924749999999994E-3</v>
      </c>
      <c r="O6773">
        <v>1.019834E-2</v>
      </c>
      <c r="P6773">
        <v>0.9191087</v>
      </c>
      <c r="Q6773">
        <v>0.37459759999999998</v>
      </c>
      <c r="R6773">
        <v>0.1221299</v>
      </c>
      <c r="S6773">
        <v>3.43045</v>
      </c>
      <c r="T6773">
        <v>-0.47080369999999999</v>
      </c>
      <c r="U6773">
        <v>0.20108029999999999</v>
      </c>
      <c r="V6773">
        <v>-0.1134501</v>
      </c>
      <c r="W6773">
        <v>0.38191720000000001</v>
      </c>
      <c r="X6773">
        <v>0.91720679999999999</v>
      </c>
      <c r="Y6773">
        <v>-4.7940980000000001E-2</v>
      </c>
      <c r="Z6773">
        <v>2.160478E-3</v>
      </c>
      <c r="AA6773">
        <v>0.99884779999999995</v>
      </c>
      <c r="AB6773">
        <v>34</v>
      </c>
      <c r="AC6773">
        <v>0.64570000000003303</v>
      </c>
      <c r="AD6773">
        <v>-0.110344999999999</v>
      </c>
      <c r="AE6773">
        <v>4.5259999999998898E-2</v>
      </c>
      <c r="AF6773">
        <v>-3.75802261758309E-2</v>
      </c>
      <c r="AG6773">
        <v>-0.110344999999999</v>
      </c>
      <c r="AH6773">
        <v>0.62788096775057101</v>
      </c>
      <c r="AI6773">
        <v>99.950036051526794</v>
      </c>
      <c r="AJ6773">
        <v>93.425207707494593</v>
      </c>
      <c r="AK6773">
        <v>0.63861005479699395</v>
      </c>
      <c r="AL6773">
        <v>67.547510743109896</v>
      </c>
      <c r="AM6773">
        <v>97.0511503934475</v>
      </c>
      <c r="AN6773">
        <v>0.99999999340604495</v>
      </c>
    </row>
    <row r="6774" spans="1:40" x14ac:dyDescent="0.25">
      <c r="A6774" t="str">
        <f>"20190304165018329"</f>
        <v>20190304165018329</v>
      </c>
      <c r="B6774" t="str">
        <f>"1551689418322137"</f>
        <v>1551689418322137</v>
      </c>
      <c r="C6774" t="s">
        <v>40</v>
      </c>
      <c r="D6774">
        <v>4.4049769999999997</v>
      </c>
      <c r="E6774">
        <v>0.54262049999999995</v>
      </c>
      <c r="F6774" t="s">
        <v>41</v>
      </c>
      <c r="G6774">
        <v>-261.50560000000002</v>
      </c>
      <c r="H6774">
        <v>0.98088600000000004</v>
      </c>
      <c r="I6774">
        <v>-63.006860000000003</v>
      </c>
      <c r="J6774">
        <v>-262.286</v>
      </c>
      <c r="K6774">
        <v>1.1108049999999901</v>
      </c>
      <c r="L6774">
        <v>-63.059330000000003</v>
      </c>
      <c r="M6774">
        <v>0.99991220000000003</v>
      </c>
      <c r="N6774">
        <v>-8.1943099999999998E-3</v>
      </c>
      <c r="O6774">
        <v>1.0409679999999999E-2</v>
      </c>
      <c r="P6774">
        <v>0.91946910000000004</v>
      </c>
      <c r="Q6774">
        <v>0.37393349999999997</v>
      </c>
      <c r="R6774">
        <v>0.1214509</v>
      </c>
      <c r="S6774">
        <v>3.4305729999999999</v>
      </c>
      <c r="T6774">
        <v>-0.47339930000000002</v>
      </c>
      <c r="U6774">
        <v>0.1986694</v>
      </c>
      <c r="V6774">
        <v>-0.11249480000000001</v>
      </c>
      <c r="W6774">
        <v>0.38128250000000002</v>
      </c>
      <c r="X6774">
        <v>0.91758850000000003</v>
      </c>
      <c r="Y6774">
        <v>-4.7034930000000003E-2</v>
      </c>
      <c r="Z6774">
        <v>2.0776039999999998E-3</v>
      </c>
      <c r="AA6774">
        <v>0.99889110000000003</v>
      </c>
      <c r="AB6774">
        <v>34</v>
      </c>
      <c r="AC6774">
        <v>0.78039999999998599</v>
      </c>
      <c r="AD6774">
        <v>-0.12991899999999901</v>
      </c>
      <c r="AE6774">
        <v>5.2470000000006602E-2</v>
      </c>
      <c r="AF6774">
        <v>-4.3152588736686502E-2</v>
      </c>
      <c r="AG6774">
        <v>-0.12991899999999901</v>
      </c>
      <c r="AH6774">
        <v>0.75993724425785403</v>
      </c>
      <c r="AI6774">
        <v>99.686197688942201</v>
      </c>
      <c r="AJ6774">
        <v>93.250016892082101</v>
      </c>
      <c r="AK6774">
        <v>0.77216948119302098</v>
      </c>
      <c r="AL6774">
        <v>67.586854641599402</v>
      </c>
      <c r="AM6774">
        <v>96.989486903975802</v>
      </c>
      <c r="AN6774">
        <v>1.00000004008276</v>
      </c>
    </row>
    <row r="6775" spans="1:40" x14ac:dyDescent="0.25">
      <c r="A6775" t="str">
        <f>"20190304165018340"</f>
        <v>20190304165018340</v>
      </c>
      <c r="B6775" t="str">
        <f>"1551689418332874"</f>
        <v>1551689418332874</v>
      </c>
      <c r="C6775" t="s">
        <v>40</v>
      </c>
      <c r="D6775">
        <v>4.3457929999999996</v>
      </c>
      <c r="E6775">
        <v>0.54264650000000003</v>
      </c>
      <c r="F6775" t="s">
        <v>41</v>
      </c>
      <c r="G6775">
        <v>-261.49619999999999</v>
      </c>
      <c r="H6775">
        <v>1.0011589999999999</v>
      </c>
      <c r="I6775">
        <v>-63.014339999999997</v>
      </c>
      <c r="J6775">
        <v>-262.11849999999998</v>
      </c>
      <c r="K6775">
        <v>1.110717</v>
      </c>
      <c r="L6775">
        <v>-63.057369999999999</v>
      </c>
      <c r="M6775">
        <v>0.99991050000000004</v>
      </c>
      <c r="N6775">
        <v>-8.196442E-3</v>
      </c>
      <c r="O6775">
        <v>1.058541E-2</v>
      </c>
      <c r="P6775">
        <v>0.91980309999999998</v>
      </c>
      <c r="Q6775">
        <v>0.37331809999999999</v>
      </c>
      <c r="R6775">
        <v>0.1208148</v>
      </c>
      <c r="S6775">
        <v>3.43045</v>
      </c>
      <c r="T6775">
        <v>-0.47615400000000002</v>
      </c>
      <c r="U6775">
        <v>0.19653319999999999</v>
      </c>
      <c r="V6775">
        <v>-0.1116138</v>
      </c>
      <c r="W6775">
        <v>0.38069619999999998</v>
      </c>
      <c r="X6775">
        <v>0.91793939999999996</v>
      </c>
      <c r="Y6775">
        <v>-4.6246620000000002E-2</v>
      </c>
      <c r="Z6775">
        <v>2.0076730000000002E-3</v>
      </c>
      <c r="AA6775">
        <v>0.99892800000000004</v>
      </c>
      <c r="AB6775">
        <v>34</v>
      </c>
      <c r="AC6775">
        <v>0.62229999999999497</v>
      </c>
      <c r="AD6775">
        <v>-0.109558</v>
      </c>
      <c r="AE6775">
        <v>4.3029999999994503E-2</v>
      </c>
      <c r="AF6775">
        <v>-3.5349627541712003E-2</v>
      </c>
      <c r="AG6775">
        <v>-0.109558</v>
      </c>
      <c r="AH6775">
        <v>0.604086213054848</v>
      </c>
      <c r="AI6775">
        <v>100.262335837577</v>
      </c>
      <c r="AJ6775">
        <v>93.348987807619096</v>
      </c>
      <c r="AK6775">
        <v>0.61495748172884701</v>
      </c>
      <c r="AL6775">
        <v>67.623186201605094</v>
      </c>
      <c r="AM6775">
        <v>96.932658754882297</v>
      </c>
      <c r="AN6775">
        <v>0.99999998955861902</v>
      </c>
    </row>
    <row r="6776" spans="1:40" x14ac:dyDescent="0.25">
      <c r="A6776" t="str">
        <f>"20190304165018351"</f>
        <v>20190304165018351</v>
      </c>
      <c r="B6776" t="str">
        <f>"1551689418342633"</f>
        <v>1551689418342633</v>
      </c>
      <c r="C6776" t="s">
        <v>40</v>
      </c>
      <c r="D6776">
        <v>4.3949730000000002</v>
      </c>
      <c r="E6776">
        <v>0.54264290000000004</v>
      </c>
      <c r="F6776" t="s">
        <v>41</v>
      </c>
      <c r="G6776">
        <v>-261.19880000000001</v>
      </c>
      <c r="H6776">
        <v>0.98240130000000003</v>
      </c>
      <c r="I6776">
        <v>-63.005310000000001</v>
      </c>
      <c r="J6776">
        <v>-261.94589999999999</v>
      </c>
      <c r="K6776">
        <v>1.1106210000000001</v>
      </c>
      <c r="L6776">
        <v>-63.055419999999998</v>
      </c>
      <c r="M6776">
        <v>0.99990869999999998</v>
      </c>
      <c r="N6776">
        <v>-8.1988349999999998E-3</v>
      </c>
      <c r="O6776">
        <v>1.072671E-2</v>
      </c>
      <c r="P6776">
        <v>0.92019580000000001</v>
      </c>
      <c r="Q6776">
        <v>0.37245210000000001</v>
      </c>
      <c r="R6776">
        <v>0.12049509999999999</v>
      </c>
      <c r="S6776">
        <v>3.4302980000000001</v>
      </c>
      <c r="T6776">
        <v>-0.47856569999999998</v>
      </c>
      <c r="U6776">
        <v>0.1942749</v>
      </c>
      <c r="V6776">
        <v>-0.1110782</v>
      </c>
      <c r="W6776">
        <v>0.37985999999999998</v>
      </c>
      <c r="X6776">
        <v>0.91835069999999996</v>
      </c>
      <c r="Y6776">
        <v>-4.5458039999999998E-2</v>
      </c>
      <c r="Z6776">
        <v>1.940149E-3</v>
      </c>
      <c r="AA6776">
        <v>0.99896439999999997</v>
      </c>
      <c r="AB6776">
        <v>34</v>
      </c>
      <c r="AC6776">
        <v>0.747099999999989</v>
      </c>
      <c r="AD6776">
        <v>-0.12821969999999899</v>
      </c>
      <c r="AE6776">
        <v>5.0110000000003603E-2</v>
      </c>
      <c r="AF6776">
        <v>-4.08938079631316E-2</v>
      </c>
      <c r="AG6776">
        <v>-0.12821969999999899</v>
      </c>
      <c r="AH6776">
        <v>0.72629760562863199</v>
      </c>
      <c r="AI6776">
        <v>99.996256950110805</v>
      </c>
      <c r="AJ6776">
        <v>93.222606433687702</v>
      </c>
      <c r="AK6776">
        <v>0.73866149685745697</v>
      </c>
      <c r="AL6776">
        <v>67.674988926000296</v>
      </c>
      <c r="AM6776">
        <v>96.896652136915804</v>
      </c>
      <c r="AN6776">
        <v>0.99999999715286403</v>
      </c>
    </row>
    <row r="6777" spans="1:40" x14ac:dyDescent="0.25">
      <c r="A6777" t="str">
        <f>"20190304165018363"</f>
        <v>20190304165018363</v>
      </c>
      <c r="B6777" t="str">
        <f>"1551689418352394"</f>
        <v>1551689418352394</v>
      </c>
      <c r="C6777" t="s">
        <v>40</v>
      </c>
      <c r="D6777">
        <v>4.3688750000000001</v>
      </c>
      <c r="E6777">
        <v>0.54266689999999995</v>
      </c>
      <c r="F6777" t="s">
        <v>41</v>
      </c>
      <c r="G6777">
        <v>-261.18869999999998</v>
      </c>
      <c r="H6777">
        <v>1.004162</v>
      </c>
      <c r="I6777">
        <v>-63.012790000000003</v>
      </c>
      <c r="J6777">
        <v>-261.77710000000002</v>
      </c>
      <c r="K6777">
        <v>1.110535</v>
      </c>
      <c r="L6777">
        <v>-63.0535</v>
      </c>
      <c r="M6777">
        <v>0.99990809999999997</v>
      </c>
      <c r="N6777">
        <v>-8.2014029999999995E-3</v>
      </c>
      <c r="O6777">
        <v>1.08021E-2</v>
      </c>
      <c r="P6777">
        <v>0.92056260000000001</v>
      </c>
      <c r="Q6777">
        <v>0.37164989999999998</v>
      </c>
      <c r="R6777">
        <v>0.120169899999999</v>
      </c>
      <c r="S6777">
        <v>3.4300540000000002</v>
      </c>
      <c r="T6777">
        <v>-0.48220590000000002</v>
      </c>
      <c r="U6777">
        <v>0.19320680000000001</v>
      </c>
      <c r="V6777">
        <v>-0.1106024</v>
      </c>
      <c r="W6777">
        <v>0.37908570000000003</v>
      </c>
      <c r="X6777">
        <v>0.91872799999999999</v>
      </c>
      <c r="Y6777">
        <v>-4.5075820000000003E-2</v>
      </c>
      <c r="Z6777">
        <v>1.9147050000000001E-3</v>
      </c>
      <c r="AA6777">
        <v>0.99898169999999997</v>
      </c>
      <c r="AB6777">
        <v>34</v>
      </c>
      <c r="AC6777">
        <v>0.58840000000003501</v>
      </c>
      <c r="AD6777">
        <v>-0.106373</v>
      </c>
      <c r="AE6777">
        <v>4.0709999999997103E-2</v>
      </c>
      <c r="AF6777">
        <v>-3.3269306246470599E-2</v>
      </c>
      <c r="AG6777">
        <v>-0.106373</v>
      </c>
      <c r="AH6777">
        <v>0.57025671716950199</v>
      </c>
      <c r="AI6777">
        <v>100.548715866609</v>
      </c>
      <c r="AJ6777">
        <v>93.3389042271275</v>
      </c>
      <c r="AK6777">
        <v>0.58104628502732802</v>
      </c>
      <c r="AL6777">
        <v>67.722939654113603</v>
      </c>
      <c r="AM6777">
        <v>96.864599900064704</v>
      </c>
      <c r="AN6777">
        <v>0.99999999840712495</v>
      </c>
    </row>
    <row r="6778" spans="1:40" x14ac:dyDescent="0.25">
      <c r="A6778" t="str">
        <f>"20190304165018374"</f>
        <v>20190304165018374</v>
      </c>
      <c r="B6778" t="str">
        <f>"1551689418362153"</f>
        <v>1551689418362153</v>
      </c>
      <c r="C6778" t="s">
        <v>40</v>
      </c>
      <c r="D6778">
        <v>4.3840729999999999</v>
      </c>
      <c r="E6778">
        <v>0.54266599999999998</v>
      </c>
      <c r="F6778" t="s">
        <v>41</v>
      </c>
      <c r="G6778">
        <v>-260.89080000000001</v>
      </c>
      <c r="H6778">
        <v>0.98510629999999999</v>
      </c>
      <c r="I6778">
        <v>-63.004100000000001</v>
      </c>
      <c r="J6778">
        <v>-261.60489999999999</v>
      </c>
      <c r="K6778">
        <v>1.1104449999999999</v>
      </c>
      <c r="L6778">
        <v>-63.051569999999998</v>
      </c>
      <c r="M6778">
        <v>0.99990749999999995</v>
      </c>
      <c r="N6778">
        <v>-8.20410699999999E-3</v>
      </c>
      <c r="O6778">
        <v>1.085583E-2</v>
      </c>
      <c r="P6778">
        <v>0.92092300000000005</v>
      </c>
      <c r="Q6778">
        <v>0.3708747</v>
      </c>
      <c r="R6778">
        <v>0.1198028</v>
      </c>
      <c r="S6778">
        <v>3.4297490000000002</v>
      </c>
      <c r="T6778">
        <v>-0.48531439999999998</v>
      </c>
      <c r="U6778">
        <v>0.1918945</v>
      </c>
      <c r="V6778">
        <v>-0.1101043</v>
      </c>
      <c r="W6778">
        <v>0.37833899999999998</v>
      </c>
      <c r="X6778">
        <v>0.91909549999999995</v>
      </c>
      <c r="Y6778">
        <v>-4.4646430000000001E-2</v>
      </c>
      <c r="Z6778">
        <v>1.8863389999999999E-3</v>
      </c>
      <c r="AA6778">
        <v>0.99900109999999998</v>
      </c>
      <c r="AB6778">
        <v>34</v>
      </c>
      <c r="AC6778">
        <v>0.71409999999997298</v>
      </c>
      <c r="AD6778">
        <v>-0.1253387</v>
      </c>
      <c r="AE6778">
        <v>4.7469999999997001E-2</v>
      </c>
      <c r="AF6778">
        <v>-3.8532925014028697E-2</v>
      </c>
      <c r="AG6778">
        <v>-0.1253387</v>
      </c>
      <c r="AH6778">
        <v>0.69330833795166702</v>
      </c>
      <c r="AI6778">
        <v>100.231993021474</v>
      </c>
      <c r="AJ6778">
        <v>93.181131428929504</v>
      </c>
      <c r="AK6778">
        <v>0.70559976438568195</v>
      </c>
      <c r="AL6778">
        <v>67.769164374175006</v>
      </c>
      <c r="AM6778">
        <v>96.831271336315396</v>
      </c>
      <c r="AN6778">
        <v>0.99999994695986805</v>
      </c>
    </row>
    <row r="6779" spans="1:40" x14ac:dyDescent="0.25">
      <c r="A6779" t="str">
        <f>"20190304165018386"</f>
        <v>20190304165018386</v>
      </c>
      <c r="B6779" t="str">
        <f>"1551689418382650"</f>
        <v>1551689418382650</v>
      </c>
      <c r="C6779" t="s">
        <v>40</v>
      </c>
      <c r="D6779">
        <v>4.3596149999999998</v>
      </c>
      <c r="E6779">
        <v>0.54269780000000001</v>
      </c>
      <c r="F6779" t="s">
        <v>41</v>
      </c>
      <c r="G6779">
        <v>-260.88049999999998</v>
      </c>
      <c r="H6779">
        <v>1.00718</v>
      </c>
      <c r="I6779">
        <v>-63.011319999999998</v>
      </c>
      <c r="J6779">
        <v>-261.42660000000001</v>
      </c>
      <c r="K6779">
        <v>1.110347</v>
      </c>
      <c r="L6779">
        <v>-63.04965</v>
      </c>
      <c r="M6779">
        <v>0.99990789999999996</v>
      </c>
      <c r="N6779">
        <v>-8.2071639999999994E-3</v>
      </c>
      <c r="O6779">
        <v>1.0825E-2</v>
      </c>
      <c r="P6779">
        <v>0.92132119999999995</v>
      </c>
      <c r="Q6779">
        <v>0.36993589999999998</v>
      </c>
      <c r="R6779">
        <v>0.1196441</v>
      </c>
      <c r="S6779">
        <v>3.429535</v>
      </c>
      <c r="T6779">
        <v>-0.48881790000000003</v>
      </c>
      <c r="U6779">
        <v>0.1914978</v>
      </c>
      <c r="V6779">
        <v>-0.10989069999999999</v>
      </c>
      <c r="W6779">
        <v>0.37742870000000001</v>
      </c>
      <c r="X6779">
        <v>0.91949530000000002</v>
      </c>
      <c r="Y6779">
        <v>-4.4560969999999998E-2</v>
      </c>
      <c r="Z6779">
        <v>1.8957920000000001E-3</v>
      </c>
      <c r="AA6779">
        <v>0.99900480000000003</v>
      </c>
      <c r="AB6779">
        <v>34</v>
      </c>
      <c r="AC6779">
        <v>0.54610000000002401</v>
      </c>
      <c r="AD6779">
        <v>-0.10316699999999999</v>
      </c>
      <c r="AE6779">
        <v>3.8330000000001897E-2</v>
      </c>
      <c r="AF6779">
        <v>-3.1304274754541103E-2</v>
      </c>
      <c r="AG6779">
        <v>-0.10316699999999999</v>
      </c>
      <c r="AH6779">
        <v>0.52774061068509703</v>
      </c>
      <c r="AI6779">
        <v>101.04221609377601</v>
      </c>
      <c r="AJ6779">
        <v>93.3946669603896</v>
      </c>
      <c r="AK6779">
        <v>0.53864045491699397</v>
      </c>
      <c r="AL6779">
        <v>67.825498868057196</v>
      </c>
      <c r="AM6779">
        <v>96.815207026810697</v>
      </c>
      <c r="AN6779">
        <v>0.99999999812613505</v>
      </c>
    </row>
    <row r="6780" spans="1:40" x14ac:dyDescent="0.25">
      <c r="A6780" t="str">
        <f>"20190304165018398"</f>
        <v>20190304165018398</v>
      </c>
      <c r="B6780" t="str">
        <f>"1551689418392409"</f>
        <v>1551689418392409</v>
      </c>
      <c r="C6780" t="s">
        <v>40</v>
      </c>
      <c r="D6780">
        <v>4.4190290000000001</v>
      </c>
      <c r="E6780">
        <v>0.54270629999999997</v>
      </c>
      <c r="F6780" t="s">
        <v>41</v>
      </c>
      <c r="G6780">
        <v>-260.58159999999998</v>
      </c>
      <c r="H6780">
        <v>0.98895920000000004</v>
      </c>
      <c r="I6780">
        <v>-63.002499999999998</v>
      </c>
      <c r="J6780">
        <v>-261.25490000000002</v>
      </c>
      <c r="K6780">
        <v>1.110257</v>
      </c>
      <c r="L6780">
        <v>-63.047789999999999</v>
      </c>
      <c r="M6780">
        <v>0.99990829999999997</v>
      </c>
      <c r="N6780">
        <v>-8.2105570000000003E-3</v>
      </c>
      <c r="O6780">
        <v>1.0774280000000001E-2</v>
      </c>
      <c r="P6780">
        <v>0.92166510000000001</v>
      </c>
      <c r="Q6780">
        <v>0.36917539999999999</v>
      </c>
      <c r="R6780">
        <v>0.119343</v>
      </c>
      <c r="S6780">
        <v>3.4290769999999902</v>
      </c>
      <c r="T6780">
        <v>-0.49255169999999998</v>
      </c>
      <c r="U6780">
        <v>0.19161990000000001</v>
      </c>
      <c r="V6780">
        <v>-0.10955719999999999</v>
      </c>
      <c r="W6780">
        <v>0.37669599999999998</v>
      </c>
      <c r="X6780">
        <v>0.91983550000000003</v>
      </c>
      <c r="Y6780">
        <v>-4.4647529999999998E-2</v>
      </c>
      <c r="Z6780">
        <v>1.9217679999999999E-3</v>
      </c>
      <c r="AA6780">
        <v>0.99900100000000003</v>
      </c>
      <c r="AB6780">
        <v>34</v>
      </c>
      <c r="AC6780">
        <v>0.67330000000003998</v>
      </c>
      <c r="AD6780">
        <v>-0.1212978</v>
      </c>
      <c r="AE6780">
        <v>4.5290000000001301E-2</v>
      </c>
      <c r="AF6780">
        <v>-3.6842449126410597E-2</v>
      </c>
      <c r="AG6780">
        <v>-0.1212978</v>
      </c>
      <c r="AH6780">
        <v>0.65266183048109405</v>
      </c>
      <c r="AI6780">
        <v>100.51199028326</v>
      </c>
      <c r="AJ6780">
        <v>93.230890548204101</v>
      </c>
      <c r="AK6780">
        <v>0.66485937408553097</v>
      </c>
      <c r="AL6780">
        <v>67.870825198843406</v>
      </c>
      <c r="AM6780">
        <v>96.792228135600794</v>
      </c>
      <c r="AN6780">
        <v>1.00000000177404</v>
      </c>
    </row>
    <row r="6781" spans="1:40" x14ac:dyDescent="0.25">
      <c r="A6781" t="str">
        <f>"20190304165018409"</f>
        <v>20190304165018409</v>
      </c>
      <c r="B6781" t="str">
        <f>"1551689418402170"</f>
        <v>1551689418402170</v>
      </c>
      <c r="C6781" t="s">
        <v>40</v>
      </c>
      <c r="D6781">
        <v>4.3868140000000002</v>
      </c>
      <c r="E6781">
        <v>0.54272659999999995</v>
      </c>
      <c r="F6781" t="s">
        <v>41</v>
      </c>
      <c r="G6781">
        <v>-260.2824</v>
      </c>
      <c r="H6781">
        <v>0.96964660000000003</v>
      </c>
      <c r="I6781">
        <v>-62.993630000000003</v>
      </c>
      <c r="J6781">
        <v>-261.07780000000002</v>
      </c>
      <c r="K6781">
        <v>1.1101669999999999</v>
      </c>
      <c r="L6781">
        <v>-63.045960000000001</v>
      </c>
      <c r="M6781">
        <v>0.99990959999999995</v>
      </c>
      <c r="N6781">
        <v>-8.2160459999999994E-3</v>
      </c>
      <c r="O6781">
        <v>1.064971E-2</v>
      </c>
      <c r="P6781">
        <v>0.92207689999999998</v>
      </c>
      <c r="Q6781">
        <v>0.36823210000000001</v>
      </c>
      <c r="R6781">
        <v>0.119078</v>
      </c>
      <c r="S6781">
        <v>3.428741</v>
      </c>
      <c r="T6781">
        <v>-0.4957106</v>
      </c>
      <c r="U6781">
        <v>0.1914063</v>
      </c>
      <c r="V6781">
        <v>-0.1093264</v>
      </c>
      <c r="W6781">
        <v>0.3757837</v>
      </c>
      <c r="X6781">
        <v>0.9202361</v>
      </c>
      <c r="Y6781">
        <v>-4.4708770000000002E-2</v>
      </c>
      <c r="Z6781">
        <v>1.9541239999999998E-3</v>
      </c>
      <c r="AA6781">
        <v>0.99899819999999995</v>
      </c>
      <c r="AB6781">
        <v>34</v>
      </c>
      <c r="AC6781">
        <v>0.79540000000002897</v>
      </c>
      <c r="AD6781">
        <v>-0.14052039999999899</v>
      </c>
      <c r="AE6781">
        <v>5.2329999999997698E-2</v>
      </c>
      <c r="AF6781">
        <v>-4.2534155618104898E-2</v>
      </c>
      <c r="AG6781">
        <v>-0.14052039999999899</v>
      </c>
      <c r="AH6781">
        <v>0.77192354137177499</v>
      </c>
      <c r="AI6781">
        <v>100.30181635631099</v>
      </c>
      <c r="AJ6781">
        <v>93.153894834633803</v>
      </c>
      <c r="AK6781">
        <v>0.78576147203476898</v>
      </c>
      <c r="AL6781">
        <v>67.927242956745005</v>
      </c>
      <c r="AM6781">
        <v>96.775129262818893</v>
      </c>
      <c r="AN6781">
        <v>1.00000006533292</v>
      </c>
    </row>
    <row r="6782" spans="1:40" x14ac:dyDescent="0.25">
      <c r="A6782" t="str">
        <f>"20190304165018419"</f>
        <v>20190304165018419</v>
      </c>
      <c r="B6782" t="str">
        <f>"1551689418412905"</f>
        <v>1551689418412905</v>
      </c>
      <c r="C6782" t="s">
        <v>40</v>
      </c>
      <c r="D6782">
        <v>4.3911280000000001</v>
      </c>
      <c r="E6782">
        <v>0.54273389999999999</v>
      </c>
      <c r="F6782" t="s">
        <v>41</v>
      </c>
      <c r="G6782">
        <v>-260.27179999999998</v>
      </c>
      <c r="H6782">
        <v>0.99272850000000001</v>
      </c>
      <c r="I6782">
        <v>-63.001109999999997</v>
      </c>
      <c r="J6782">
        <v>-260.9128</v>
      </c>
      <c r="K6782">
        <v>1.1100909999999999</v>
      </c>
      <c r="L6782">
        <v>-63.044249999999998</v>
      </c>
      <c r="M6782">
        <v>0.99991099999999999</v>
      </c>
      <c r="N6782">
        <v>-8.2219709999999998E-3</v>
      </c>
      <c r="O6782">
        <v>1.050558E-2</v>
      </c>
      <c r="P6782">
        <v>0.92243189999999997</v>
      </c>
      <c r="Q6782">
        <v>0.36730469999999998</v>
      </c>
      <c r="R6782">
        <v>0.1191918</v>
      </c>
      <c r="S6782">
        <v>3.4282530000000002</v>
      </c>
      <c r="T6782">
        <v>-0.49941609999999997</v>
      </c>
      <c r="U6782">
        <v>0.19128419999999999</v>
      </c>
      <c r="V6782">
        <v>-0.1094992</v>
      </c>
      <c r="W6782">
        <v>0.37488519999999997</v>
      </c>
      <c r="X6782">
        <v>0.92058189999999995</v>
      </c>
      <c r="Y6782">
        <v>-4.4816960000000003E-2</v>
      </c>
      <c r="Z6782">
        <v>1.9949820000000002E-3</v>
      </c>
      <c r="AA6782">
        <v>0.99899320000000003</v>
      </c>
      <c r="AB6782">
        <v>34</v>
      </c>
      <c r="AC6782">
        <v>0.641000000000019</v>
      </c>
      <c r="AD6782">
        <v>-0.117362499999999</v>
      </c>
      <c r="AE6782">
        <v>4.3140000000000997E-2</v>
      </c>
      <c r="AF6782">
        <v>-3.5227701909037498E-2</v>
      </c>
      <c r="AG6782">
        <v>-0.117362499999999</v>
      </c>
      <c r="AH6782">
        <v>0.62070382947537595</v>
      </c>
      <c r="AI6782">
        <v>100.690261188891</v>
      </c>
      <c r="AJ6782">
        <v>93.248305539223907</v>
      </c>
      <c r="AK6782">
        <v>0.63268332624895196</v>
      </c>
      <c r="AL6782">
        <v>67.982782586137404</v>
      </c>
      <c r="AM6782">
        <v>96.783212987237604</v>
      </c>
      <c r="AN6782">
        <v>1.00000001129364</v>
      </c>
    </row>
    <row r="6783" spans="1:40" x14ac:dyDescent="0.25">
      <c r="A6783" t="str">
        <f>"20190304165018429"</f>
        <v>20190304165018429</v>
      </c>
      <c r="B6783" t="str">
        <f>"1551689418422665"</f>
        <v>1551689418422665</v>
      </c>
      <c r="C6783" t="s">
        <v>40</v>
      </c>
      <c r="D6783">
        <v>4.4762820000000003</v>
      </c>
      <c r="E6783">
        <v>0.54276499999999905</v>
      </c>
      <c r="F6783" t="s">
        <v>41</v>
      </c>
      <c r="G6783">
        <v>-259.9726</v>
      </c>
      <c r="H6783">
        <v>0.97214780000000001</v>
      </c>
      <c r="I6783">
        <v>-62.991729999999997</v>
      </c>
      <c r="J6783">
        <v>-260.74650000000003</v>
      </c>
      <c r="K6783">
        <v>1.110012</v>
      </c>
      <c r="L6783">
        <v>-63.042630000000003</v>
      </c>
      <c r="M6783">
        <v>0.99991300000000005</v>
      </c>
      <c r="N6783">
        <v>-8.229185E-3</v>
      </c>
      <c r="O6783">
        <v>1.0317099999999999E-2</v>
      </c>
      <c r="P6783">
        <v>0.92276639999999999</v>
      </c>
      <c r="Q6783">
        <v>0.36639880000000002</v>
      </c>
      <c r="R6783">
        <v>0.11938989999999999</v>
      </c>
      <c r="S6783">
        <v>3.4276119999999999</v>
      </c>
      <c r="T6783">
        <v>-0.50278029999999996</v>
      </c>
      <c r="U6783">
        <v>0.19250490000000001</v>
      </c>
      <c r="V6783">
        <v>-0.1097993</v>
      </c>
      <c r="W6783">
        <v>0.37400840000000002</v>
      </c>
      <c r="X6783">
        <v>0.92090269999999996</v>
      </c>
      <c r="Y6783">
        <v>-4.5357149999999999E-2</v>
      </c>
      <c r="Z6783">
        <v>2.0745690000000001E-3</v>
      </c>
      <c r="AA6783">
        <v>0.99896870000000004</v>
      </c>
      <c r="AB6783">
        <v>34</v>
      </c>
      <c r="AC6783">
        <v>0.77390000000002501</v>
      </c>
      <c r="AD6783">
        <v>-0.13786419999999899</v>
      </c>
      <c r="AE6783">
        <v>5.0899999999998599E-2</v>
      </c>
      <c r="AF6783">
        <v>-4.15982001846762E-2</v>
      </c>
      <c r="AG6783">
        <v>-0.13786419999999899</v>
      </c>
      <c r="AH6783">
        <v>0.75066451774943899</v>
      </c>
      <c r="AI6783">
        <v>100.391160168323</v>
      </c>
      <c r="AJ6783">
        <v>93.171811179172096</v>
      </c>
      <c r="AK6783">
        <v>0.764352121805286</v>
      </c>
      <c r="AL6783">
        <v>68.036960290793402</v>
      </c>
      <c r="AM6783">
        <v>96.799282346380807</v>
      </c>
      <c r="AN6783">
        <v>0.99999997620916903</v>
      </c>
    </row>
    <row r="6784" spans="1:40" x14ac:dyDescent="0.25">
      <c r="A6784" t="str">
        <f>"20190304165018441"</f>
        <v>20190304165018441</v>
      </c>
      <c r="B6784" t="str">
        <f>"1551689418432426"</f>
        <v>1551689418432426</v>
      </c>
      <c r="C6784" t="s">
        <v>40</v>
      </c>
      <c r="D6784">
        <v>4.7240890000000002</v>
      </c>
      <c r="E6784">
        <v>0.54276499999999905</v>
      </c>
      <c r="F6784" t="s">
        <v>41</v>
      </c>
      <c r="G6784">
        <v>-259.96230000000003</v>
      </c>
      <c r="H6784">
        <v>0.99445459999999997</v>
      </c>
      <c r="I6784">
        <v>-62.998869999999997</v>
      </c>
      <c r="J6784">
        <v>-260.57889999999998</v>
      </c>
      <c r="K6784">
        <v>1.1099380000000001</v>
      </c>
      <c r="L6784">
        <v>-63.041080000000001</v>
      </c>
      <c r="M6784">
        <v>0.9999152</v>
      </c>
      <c r="N6784">
        <v>-8.2369060000000004E-3</v>
      </c>
      <c r="O6784">
        <v>1.0093100000000001E-2</v>
      </c>
      <c r="P6784">
        <v>0.92324030000000001</v>
      </c>
      <c r="Q6784">
        <v>0.36502859999999998</v>
      </c>
      <c r="R6784">
        <v>0.1199238</v>
      </c>
      <c r="S6784">
        <v>3.4266359999999998</v>
      </c>
      <c r="T6784">
        <v>-0.50480509999999901</v>
      </c>
      <c r="U6784">
        <v>0.19247439999999999</v>
      </c>
      <c r="V6784">
        <v>-0.11046980000000001</v>
      </c>
      <c r="W6784">
        <v>0.37266899999999997</v>
      </c>
      <c r="X6784">
        <v>0.9213654</v>
      </c>
      <c r="Y6784">
        <v>-4.55799E-2</v>
      </c>
      <c r="Z6784">
        <v>2.1307069999999999E-3</v>
      </c>
      <c r="AA6784">
        <v>0.99895840000000002</v>
      </c>
      <c r="AB6784">
        <v>34</v>
      </c>
      <c r="AC6784">
        <v>0.61659999999994797</v>
      </c>
      <c r="AD6784">
        <v>-0.115483399999999</v>
      </c>
      <c r="AE6784">
        <v>4.2210000000011398E-2</v>
      </c>
      <c r="AF6784">
        <v>-3.4770259130428402E-2</v>
      </c>
      <c r="AG6784">
        <v>-0.115483399999999</v>
      </c>
      <c r="AH6784">
        <v>0.59617952552820197</v>
      </c>
      <c r="AI6784">
        <v>100.944605225274</v>
      </c>
      <c r="AJ6784">
        <v>93.337811597367704</v>
      </c>
      <c r="AK6784">
        <v>0.60825604251383203</v>
      </c>
      <c r="AL6784">
        <v>68.119683661422201</v>
      </c>
      <c r="AM6784">
        <v>96.837007921614301</v>
      </c>
      <c r="AN6784">
        <v>0.99999998029509896</v>
      </c>
    </row>
    <row r="6785" spans="1:40" x14ac:dyDescent="0.25">
      <c r="A6785" t="str">
        <f>"20190304165018451"</f>
        <v>20190304165018451</v>
      </c>
      <c r="B6785" t="str">
        <f>"1551689418442186"</f>
        <v>1551689418442186</v>
      </c>
      <c r="C6785" t="s">
        <v>40</v>
      </c>
      <c r="D6785">
        <v>4.7220440000000004</v>
      </c>
      <c r="E6785">
        <v>0.54935889999999998</v>
      </c>
      <c r="F6785" t="s">
        <v>41</v>
      </c>
      <c r="G6785">
        <v>-259.6626</v>
      </c>
      <c r="H6785">
        <v>0.97356900000000002</v>
      </c>
      <c r="I6785">
        <v>-62.989820000000002</v>
      </c>
      <c r="J6785">
        <v>-260.40719999999999</v>
      </c>
      <c r="K6785">
        <v>1.109866</v>
      </c>
      <c r="L6785">
        <v>-63.039520000000003</v>
      </c>
      <c r="M6785">
        <v>0.99991759999999996</v>
      </c>
      <c r="N6785">
        <v>-8.2452010000000006E-3</v>
      </c>
      <c r="O6785">
        <v>9.8341520000000005E-3</v>
      </c>
      <c r="P6785">
        <v>0.92355449999999994</v>
      </c>
      <c r="Q6785">
        <v>0.36408839999999998</v>
      </c>
      <c r="R6785">
        <v>0.1203617</v>
      </c>
      <c r="S6785">
        <v>3.4259029999999999</v>
      </c>
      <c r="T6785">
        <v>-0.50971350000000004</v>
      </c>
      <c r="U6785">
        <v>0.1929932</v>
      </c>
      <c r="V6785">
        <v>-0.11107889999999999</v>
      </c>
      <c r="W6785">
        <v>0.37175859999999999</v>
      </c>
      <c r="X6785">
        <v>0.92165989999999998</v>
      </c>
      <c r="Y6785">
        <v>-4.598609E-2</v>
      </c>
      <c r="Z6785">
        <v>2.2171320000000001E-3</v>
      </c>
      <c r="AA6785">
        <v>0.99893960000000004</v>
      </c>
      <c r="AB6785">
        <v>35</v>
      </c>
      <c r="AC6785">
        <v>0.74459999999999105</v>
      </c>
      <c r="AD6785">
        <v>-0.136297</v>
      </c>
      <c r="AE6785">
        <v>4.9700000000001403E-2</v>
      </c>
      <c r="AF6785">
        <v>-4.1006940864649101E-2</v>
      </c>
      <c r="AG6785">
        <v>-0.136297</v>
      </c>
      <c r="AH6785">
        <v>0.72100181087050597</v>
      </c>
      <c r="AI6785">
        <v>100.687905948474</v>
      </c>
      <c r="AJ6785">
        <v>93.255187615210502</v>
      </c>
      <c r="AK6785">
        <v>0.73491635761263796</v>
      </c>
      <c r="AL6785">
        <v>68.1758837760961</v>
      </c>
      <c r="AM6785">
        <v>96.872169972111394</v>
      </c>
      <c r="AN6785">
        <v>0.99999997498358895</v>
      </c>
    </row>
    <row r="6786" spans="1:40" x14ac:dyDescent="0.25">
      <c r="A6786" t="str">
        <f>"20190304165018463"</f>
        <v>20190304165018463</v>
      </c>
      <c r="B6786" t="str">
        <f>"1551689418451946"</f>
        <v>1551689418451946</v>
      </c>
      <c r="C6786" t="s">
        <v>40</v>
      </c>
      <c r="D6786">
        <v>4.6095709999999999</v>
      </c>
      <c r="E6786">
        <v>0.54935889999999998</v>
      </c>
      <c r="F6786" t="s">
        <v>41</v>
      </c>
      <c r="G6786">
        <v>-259.68099999999998</v>
      </c>
      <c r="H6786">
        <v>0.93310369999999998</v>
      </c>
      <c r="I6786">
        <v>-63.003450000000001</v>
      </c>
      <c r="J6786">
        <v>-260.23660000000001</v>
      </c>
      <c r="K6786">
        <v>1.109799</v>
      </c>
      <c r="L6786">
        <v>-63.038060000000002</v>
      </c>
      <c r="M6786">
        <v>0.99992049999999999</v>
      </c>
      <c r="N6786">
        <v>-8.2550460000000003E-3</v>
      </c>
      <c r="O6786">
        <v>9.5364400000000002E-3</v>
      </c>
      <c r="P6786">
        <v>0.9238556</v>
      </c>
      <c r="Q6786">
        <v>0.3631452</v>
      </c>
      <c r="R6786">
        <v>0.1208989</v>
      </c>
      <c r="S6786">
        <v>3.5672299999999999</v>
      </c>
      <c r="T6786">
        <v>-0.86814009999999997</v>
      </c>
      <c r="U6786">
        <v>0.17901610000000001</v>
      </c>
      <c r="V6786">
        <v>-0.1118282</v>
      </c>
      <c r="W6786">
        <v>0.3708456</v>
      </c>
      <c r="X6786">
        <v>0.92193700000000001</v>
      </c>
      <c r="Y6786">
        <v>-3.9657570000000003E-2</v>
      </c>
      <c r="Z6786">
        <v>2.7112600000000001E-3</v>
      </c>
      <c r="AA6786">
        <v>0.99920960000000003</v>
      </c>
      <c r="AB6786">
        <v>35</v>
      </c>
      <c r="AC6786">
        <v>0.55560000000002596</v>
      </c>
      <c r="AD6786">
        <v>-0.1766953</v>
      </c>
      <c r="AE6786">
        <v>3.46099999999935E-2</v>
      </c>
      <c r="AF6786">
        <v>-2.6627126137796799E-2</v>
      </c>
      <c r="AG6786">
        <v>-0.1766953</v>
      </c>
      <c r="AH6786">
        <v>0.50502382805420198</v>
      </c>
      <c r="AI6786">
        <v>109.25889803504499</v>
      </c>
      <c r="AJ6786">
        <v>93.018096451569093</v>
      </c>
      <c r="AK6786">
        <v>0.53570448923914005</v>
      </c>
      <c r="AL6786">
        <v>68.232221064448595</v>
      </c>
      <c r="AM6786">
        <v>96.916020321679994</v>
      </c>
      <c r="AN6786">
        <v>0.99999991866179605</v>
      </c>
    </row>
    <row r="6787" spans="1:40" x14ac:dyDescent="0.25">
      <c r="A6787" t="str">
        <f>"20190304165018474"</f>
        <v>20190304165018474</v>
      </c>
      <c r="B6787" t="str">
        <f>"1551689418462681"</f>
        <v>1551689418462681</v>
      </c>
      <c r="C6787" t="s">
        <v>40</v>
      </c>
      <c r="D6787">
        <v>4.5835889999999999</v>
      </c>
      <c r="E6787">
        <v>0.52874900000000002</v>
      </c>
      <c r="F6787" t="s">
        <v>41</v>
      </c>
      <c r="G6787">
        <v>-259.38440000000003</v>
      </c>
      <c r="H6787">
        <v>0.9015244</v>
      </c>
      <c r="I6787">
        <v>-62.995240000000003</v>
      </c>
      <c r="J6787">
        <v>-260.06380000000001</v>
      </c>
      <c r="K6787">
        <v>1.1097330000000001</v>
      </c>
      <c r="L6787">
        <v>-63.0366199999999</v>
      </c>
      <c r="M6787">
        <v>0.99992340000000002</v>
      </c>
      <c r="N6787">
        <v>-8.2656050000000005E-3</v>
      </c>
      <c r="O6787">
        <v>9.2195260000000005E-3</v>
      </c>
      <c r="P6787">
        <v>0.92413199999999995</v>
      </c>
      <c r="Q6787">
        <v>0.36226140000000001</v>
      </c>
      <c r="R6787">
        <v>0.12143569999999999</v>
      </c>
      <c r="S6787">
        <v>3.5664060000000002</v>
      </c>
      <c r="T6787">
        <v>-0.87160649999999995</v>
      </c>
      <c r="U6787">
        <v>0.17916869999999999</v>
      </c>
      <c r="V6787">
        <v>-0.1125961</v>
      </c>
      <c r="W6787">
        <v>0.3699925</v>
      </c>
      <c r="X6787">
        <v>0.92218630000000001</v>
      </c>
      <c r="Y6787">
        <v>-4.0001660000000001E-2</v>
      </c>
      <c r="Z6787">
        <v>2.8382529999999998E-3</v>
      </c>
      <c r="AA6787">
        <v>0.99919559999999996</v>
      </c>
      <c r="AB6787">
        <v>35</v>
      </c>
      <c r="AC6787">
        <v>0.67939999999998602</v>
      </c>
      <c r="AD6787">
        <v>-0.20820859999999999</v>
      </c>
      <c r="AE6787">
        <v>4.1379999999989502E-2</v>
      </c>
      <c r="AF6787">
        <v>-3.2109760781307201E-2</v>
      </c>
      <c r="AG6787">
        <v>-0.20820859999999999</v>
      </c>
      <c r="AH6787">
        <v>0.62159023728767104</v>
      </c>
      <c r="AI6787">
        <v>108.49586915322701</v>
      </c>
      <c r="AJ6787">
        <v>92.957124844064793</v>
      </c>
      <c r="AK6787">
        <v>0.65632025790976101</v>
      </c>
      <c r="AL6787">
        <v>68.284844161584502</v>
      </c>
      <c r="AM6787">
        <v>96.961182591679304</v>
      </c>
      <c r="AN6787">
        <v>0.99999995184957302</v>
      </c>
    </row>
    <row r="6788" spans="1:40" x14ac:dyDescent="0.25">
      <c r="A6788" t="str">
        <f>"20190304165018486"</f>
        <v>20190304165018486</v>
      </c>
      <c r="B6788" t="str">
        <f>"1551689418482201"</f>
        <v>1551689418482201</v>
      </c>
      <c r="C6788" t="s">
        <v>40</v>
      </c>
      <c r="D6788">
        <v>4.5977379999999997</v>
      </c>
      <c r="E6788">
        <v>0.52798659999999997</v>
      </c>
      <c r="F6788" t="s">
        <v>41</v>
      </c>
      <c r="G6788">
        <v>-259.4015</v>
      </c>
      <c r="H6788">
        <v>0.85899439999999905</v>
      </c>
      <c r="I6788">
        <v>-62.966030000000003</v>
      </c>
      <c r="J6788">
        <v>-259.8843</v>
      </c>
      <c r="K6788">
        <v>1.109677</v>
      </c>
      <c r="L6788">
        <v>-63.03528</v>
      </c>
      <c r="M6788">
        <v>0.9999266</v>
      </c>
      <c r="N6788">
        <v>-8.2781929999999997E-3</v>
      </c>
      <c r="O6788">
        <v>8.8465639999999995E-3</v>
      </c>
      <c r="P6788">
        <v>0.92436130000000005</v>
      </c>
      <c r="Q6788">
        <v>0.3616067</v>
      </c>
      <c r="R6788">
        <v>0.12164179999999999</v>
      </c>
      <c r="S6788">
        <v>3.7503359999999999</v>
      </c>
      <c r="T6788">
        <v>-1.419859</v>
      </c>
      <c r="U6788">
        <v>0.3997192</v>
      </c>
      <c r="V6788">
        <v>-0.1130916</v>
      </c>
      <c r="W6788">
        <v>0.36936780000000002</v>
      </c>
      <c r="X6788">
        <v>0.92237610000000003</v>
      </c>
      <c r="Y6788">
        <v>-9.1355270000000002E-2</v>
      </c>
      <c r="Z6788">
        <v>1.390596E-2</v>
      </c>
      <c r="AA6788">
        <v>0.99572130000000003</v>
      </c>
      <c r="AB6788">
        <v>35</v>
      </c>
      <c r="AC6788">
        <v>0.48279999999999701</v>
      </c>
      <c r="AD6788">
        <v>-0.25068259999999998</v>
      </c>
      <c r="AE6788">
        <v>6.9250000000003795E-2</v>
      </c>
      <c r="AF6788">
        <v>-5.13985111731479E-2</v>
      </c>
      <c r="AG6788">
        <v>-0.25068259999999998</v>
      </c>
      <c r="AH6788">
        <v>0.382382888135052</v>
      </c>
      <c r="AI6788">
        <v>123.01326113779</v>
      </c>
      <c r="AJ6788">
        <v>97.655602957897699</v>
      </c>
      <c r="AK6788">
        <v>0.46010895017602099</v>
      </c>
      <c r="AL6788">
        <v>68.323366286970497</v>
      </c>
      <c r="AM6788">
        <v>96.990089598852506</v>
      </c>
      <c r="AN6788">
        <v>0.99999997575930399</v>
      </c>
    </row>
    <row r="6789" spans="1:40" x14ac:dyDescent="0.25">
      <c r="A6789" t="str">
        <f>"20190304165018497"</f>
        <v>20190304165018497</v>
      </c>
      <c r="B6789" t="str">
        <f>"1551689418491965"</f>
        <v>1551689418491965</v>
      </c>
      <c r="C6789" t="s">
        <v>40</v>
      </c>
      <c r="D6789">
        <v>4.5822900000000004</v>
      </c>
      <c r="E6789">
        <v>0.52783990000000003</v>
      </c>
      <c r="F6789" t="s">
        <v>41</v>
      </c>
      <c r="G6789">
        <v>-259.10829999999999</v>
      </c>
      <c r="H6789">
        <v>0.81241049999999904</v>
      </c>
      <c r="I6789">
        <v>-62.951340000000002</v>
      </c>
      <c r="J6789">
        <v>-259.70119999999997</v>
      </c>
      <c r="K6789">
        <v>1.109612</v>
      </c>
      <c r="L6789">
        <v>-63.033940000000001</v>
      </c>
      <c r="M6789">
        <v>0.99992999999999999</v>
      </c>
      <c r="N6789">
        <v>-8.2912179999999995E-3</v>
      </c>
      <c r="O6789">
        <v>8.4545909999999991E-3</v>
      </c>
      <c r="P6789">
        <v>0.92438969999999998</v>
      </c>
      <c r="Q6789">
        <v>0.36146279999999997</v>
      </c>
      <c r="R6789">
        <v>0.1218547</v>
      </c>
      <c r="S6789">
        <v>3.7545470000000001</v>
      </c>
      <c r="T6789">
        <v>-1.438148</v>
      </c>
      <c r="U6789">
        <v>0.40679929999999997</v>
      </c>
      <c r="V6789">
        <v>-0.1136139</v>
      </c>
      <c r="W6789">
        <v>0.3692531</v>
      </c>
      <c r="X6789">
        <v>0.92235789999999995</v>
      </c>
      <c r="Y6789">
        <v>-9.3195310000000003E-2</v>
      </c>
      <c r="Z6789">
        <v>1.454218E-2</v>
      </c>
      <c r="AA6789">
        <v>0.99554160000000003</v>
      </c>
      <c r="AB6789">
        <v>35</v>
      </c>
      <c r="AC6789">
        <v>0.59289999999998599</v>
      </c>
      <c r="AD6789">
        <v>-0.29720150000000001</v>
      </c>
      <c r="AE6789">
        <v>8.2599999999999299E-2</v>
      </c>
      <c r="AF6789">
        <v>-6.2242337541020799E-2</v>
      </c>
      <c r="AG6789">
        <v>-0.29720150000000001</v>
      </c>
      <c r="AH6789">
        <v>0.47620076770442499</v>
      </c>
      <c r="AI6789">
        <v>121.75112132490401</v>
      </c>
      <c r="AJ6789">
        <v>97.446691826454696</v>
      </c>
      <c r="AK6789">
        <v>0.56477430124528905</v>
      </c>
      <c r="AL6789">
        <v>68.330439344362802</v>
      </c>
      <c r="AM6789">
        <v>97.022188095852499</v>
      </c>
      <c r="AN6789">
        <v>1.00000003291261</v>
      </c>
    </row>
    <row r="6790" spans="1:40" x14ac:dyDescent="0.25">
      <c r="A6790" t="str">
        <f>"20190304165018508"</f>
        <v>20190304165018508</v>
      </c>
      <c r="B6790" t="str">
        <f>"1551689418502701"</f>
        <v>1551689418502701</v>
      </c>
      <c r="C6790" t="s">
        <v>40</v>
      </c>
      <c r="D6790">
        <v>4.7768550000000003</v>
      </c>
      <c r="E6790">
        <v>0.52834799999999904</v>
      </c>
      <c r="F6790" t="s">
        <v>53</v>
      </c>
      <c r="G6790">
        <v>-256.81299999999999</v>
      </c>
      <c r="H6790" s="1">
        <v>-2.578486E-6</v>
      </c>
      <c r="I6790">
        <v>-62.720309999999998</v>
      </c>
      <c r="J6790">
        <v>-259.52949999999998</v>
      </c>
      <c r="K6790">
        <v>1.109564</v>
      </c>
      <c r="L6790">
        <v>-63.032809999999998</v>
      </c>
      <c r="M6790">
        <v>0.99993299999999996</v>
      </c>
      <c r="N6790">
        <v>-8.3037700000000002E-3</v>
      </c>
      <c r="O6790">
        <v>8.0599360000000002E-3</v>
      </c>
      <c r="P6790">
        <v>0.92459029999999998</v>
      </c>
      <c r="Q6790">
        <v>0.36094500000000002</v>
      </c>
      <c r="R6790">
        <v>0.1218664</v>
      </c>
      <c r="S6790">
        <v>3.7558440000000002</v>
      </c>
      <c r="T6790">
        <v>-1.4429190000000001</v>
      </c>
      <c r="U6790">
        <v>0.4078369</v>
      </c>
      <c r="V6790">
        <v>-0.11394609999999999</v>
      </c>
      <c r="W6790">
        <v>0.36876150000000002</v>
      </c>
      <c r="X6790">
        <v>0.92251349999999999</v>
      </c>
      <c r="Y6790">
        <v>-9.3723490000000007E-2</v>
      </c>
      <c r="Z6790">
        <v>1.482465E-2</v>
      </c>
      <c r="AA6790">
        <v>0.99548789999999998</v>
      </c>
      <c r="AB6790">
        <v>35</v>
      </c>
      <c r="AC6790">
        <v>2.7164999999999901</v>
      </c>
      <c r="AD6790">
        <v>-1.109566578486</v>
      </c>
      <c r="AE6790">
        <v>0.3125</v>
      </c>
      <c r="AF6790">
        <v>-0.249510811682224</v>
      </c>
      <c r="AG6790">
        <v>-1.109566578486</v>
      </c>
      <c r="AH6790">
        <v>2.3345352216043298</v>
      </c>
      <c r="AI6790">
        <v>115.29505210885701</v>
      </c>
      <c r="AJ6790">
        <v>96.100508822210699</v>
      </c>
      <c r="AK6790">
        <v>2.5968150373391299</v>
      </c>
      <c r="AL6790">
        <v>68.360742993317402</v>
      </c>
      <c r="AM6790">
        <v>97.041338720767598</v>
      </c>
      <c r="AN6790">
        <v>0.99999995763485405</v>
      </c>
    </row>
    <row r="6791" spans="1:40" x14ac:dyDescent="0.25">
      <c r="A6791" t="str">
        <f>"20190304165018519"</f>
        <v>20190304165018519</v>
      </c>
      <c r="B6791" t="str">
        <f>"1551689418512457"</f>
        <v>1551689418512457</v>
      </c>
      <c r="C6791" t="s">
        <v>40</v>
      </c>
      <c r="D6791">
        <v>4.5664530000000001</v>
      </c>
      <c r="E6791">
        <v>0.52827100000000005</v>
      </c>
      <c r="F6791" t="s">
        <v>41</v>
      </c>
      <c r="G6791">
        <v>-258.79259999999999</v>
      </c>
      <c r="H6791">
        <v>0.82825289999999996</v>
      </c>
      <c r="I6791">
        <v>-62.954189999999997</v>
      </c>
      <c r="J6791">
        <v>-259.3623</v>
      </c>
      <c r="K6791">
        <v>1.1095219999999999</v>
      </c>
      <c r="L6791">
        <v>-63.031770000000002</v>
      </c>
      <c r="M6791">
        <v>0.99993600000000005</v>
      </c>
      <c r="N6791">
        <v>-8.3158580000000006E-3</v>
      </c>
      <c r="O6791">
        <v>7.6665850000000001E-3</v>
      </c>
      <c r="P6791">
        <v>0.92454669999999906</v>
      </c>
      <c r="Q6791">
        <v>0.36104609999999998</v>
      </c>
      <c r="R6791">
        <v>0.1218978</v>
      </c>
      <c r="S6791">
        <v>3.750702</v>
      </c>
      <c r="T6791">
        <v>-1.4317770000000001</v>
      </c>
      <c r="U6791">
        <v>0.40151979999999998</v>
      </c>
      <c r="V6791">
        <v>-0.1143034</v>
      </c>
      <c r="W6791">
        <v>0.36888569999999998</v>
      </c>
      <c r="X6791">
        <v>0.92241969999999995</v>
      </c>
      <c r="Y6791">
        <v>-9.2722750000000007E-2</v>
      </c>
      <c r="Z6791">
        <v>1.469401E-2</v>
      </c>
      <c r="AA6791">
        <v>0.99558349999999995</v>
      </c>
      <c r="AB6791">
        <v>35</v>
      </c>
      <c r="AC6791">
        <v>0.56970000000001098</v>
      </c>
      <c r="AD6791">
        <v>-0.28126909999999899</v>
      </c>
      <c r="AE6791">
        <v>7.7579999999990407E-2</v>
      </c>
      <c r="AF6791">
        <v>-5.9072839267081602E-2</v>
      </c>
      <c r="AG6791">
        <v>-0.28126909999999899</v>
      </c>
      <c r="AH6791">
        <v>0.46015547899414699</v>
      </c>
      <c r="AI6791">
        <v>121.22728478616099</v>
      </c>
      <c r="AJ6791">
        <v>97.315381381396605</v>
      </c>
      <c r="AK6791">
        <v>0.54253568712317601</v>
      </c>
      <c r="AL6791">
        <v>68.353088415963697</v>
      </c>
      <c r="AM6791">
        <v>97.0639065196589</v>
      </c>
      <c r="AN6791">
        <v>1.00000001493206</v>
      </c>
    </row>
    <row r="6792" spans="1:40" x14ac:dyDescent="0.25">
      <c r="A6792" t="str">
        <f>"20190304165018530"</f>
        <v>20190304165018530</v>
      </c>
      <c r="B6792" t="str">
        <f>"1551689418522218"</f>
        <v>1551689418522218</v>
      </c>
      <c r="C6792" t="s">
        <v>40</v>
      </c>
      <c r="D6792">
        <v>4.4047559999999999</v>
      </c>
      <c r="E6792">
        <v>0.52971919999999995</v>
      </c>
      <c r="F6792" t="s">
        <v>53</v>
      </c>
      <c r="G6792">
        <v>-256.45710000000003</v>
      </c>
      <c r="H6792" s="1">
        <v>-2.4258920000000001E-6</v>
      </c>
      <c r="I6792">
        <v>-62.720579999999998</v>
      </c>
      <c r="J6792">
        <v>-259.19459999999998</v>
      </c>
      <c r="K6792">
        <v>1.109486</v>
      </c>
      <c r="L6792">
        <v>-63.030760000000001</v>
      </c>
      <c r="M6792">
        <v>0.99993900000000002</v>
      </c>
      <c r="N6792">
        <v>-8.327826E-3</v>
      </c>
      <c r="O6792">
        <v>7.2583329999999996E-3</v>
      </c>
      <c r="P6792">
        <v>0.92451819999999896</v>
      </c>
      <c r="Q6792">
        <v>0.361174</v>
      </c>
      <c r="R6792">
        <v>0.1217351</v>
      </c>
      <c r="S6792">
        <v>3.751328</v>
      </c>
      <c r="T6792">
        <v>-1.4326779999999999</v>
      </c>
      <c r="U6792">
        <v>0.40182499999999999</v>
      </c>
      <c r="V6792">
        <v>-0.1144849</v>
      </c>
      <c r="W6792">
        <v>0.36903459999999899</v>
      </c>
      <c r="X6792">
        <v>0.92233770000000004</v>
      </c>
      <c r="Y6792">
        <v>-9.3129630000000005E-2</v>
      </c>
      <c r="Z6792">
        <v>1.492433E-2</v>
      </c>
      <c r="AA6792">
        <v>0.99554209999999999</v>
      </c>
      <c r="AB6792">
        <v>35</v>
      </c>
      <c r="AC6792">
        <v>2.7374999999999501</v>
      </c>
      <c r="AD6792">
        <v>-1.1094884258919999</v>
      </c>
      <c r="AE6792">
        <v>0.31017999999999502</v>
      </c>
      <c r="AF6792">
        <v>-0.24979046114766201</v>
      </c>
      <c r="AG6792">
        <v>-1.1094884258919999</v>
      </c>
      <c r="AH6792">
        <v>2.3573625296006</v>
      </c>
      <c r="AI6792">
        <v>115.080912083637</v>
      </c>
      <c r="AJ6792">
        <v>96.048595664316295</v>
      </c>
      <c r="AK6792">
        <v>2.6173494106889099</v>
      </c>
      <c r="AL6792">
        <v>68.343910948462295</v>
      </c>
      <c r="AM6792">
        <v>97.0756321916611</v>
      </c>
      <c r="AN6792">
        <v>1.0000000805832201</v>
      </c>
    </row>
    <row r="6793" spans="1:40" x14ac:dyDescent="0.25">
      <c r="A6793" t="str">
        <f>"20190304165018541"</f>
        <v>20190304165018541</v>
      </c>
      <c r="B6793" t="str">
        <f>"1551689418531978"</f>
        <v>1551689418531978</v>
      </c>
      <c r="C6793" t="s">
        <v>40</v>
      </c>
      <c r="D6793">
        <v>4.4122339999999998</v>
      </c>
      <c r="E6793">
        <v>0.53089580000000003</v>
      </c>
      <c r="F6793" t="s">
        <v>41</v>
      </c>
      <c r="G6793">
        <v>-258.47609999999997</v>
      </c>
      <c r="H6793">
        <v>0.84007389999999904</v>
      </c>
      <c r="I6793">
        <v>-62.95673</v>
      </c>
      <c r="J6793">
        <v>-259.0224</v>
      </c>
      <c r="K6793">
        <v>1.1094520000000001</v>
      </c>
      <c r="L6793">
        <v>-63.029850000000003</v>
      </c>
      <c r="M6793">
        <v>0.99994190000000005</v>
      </c>
      <c r="N6793">
        <v>-8.3410129999999996E-3</v>
      </c>
      <c r="O6793">
        <v>6.8309819999999898E-3</v>
      </c>
      <c r="P6793">
        <v>0.92427709999999996</v>
      </c>
      <c r="Q6793">
        <v>0.36190359999999999</v>
      </c>
      <c r="R6793">
        <v>0.1213984</v>
      </c>
      <c r="S6793">
        <v>3.7422029999999999</v>
      </c>
      <c r="T6793">
        <v>-1.403186</v>
      </c>
      <c r="U6793">
        <v>0.38677980000000001</v>
      </c>
      <c r="V6793">
        <v>-0.1145132</v>
      </c>
      <c r="W6793">
        <v>0.36978339999999998</v>
      </c>
      <c r="X6793">
        <v>0.92203409999999997</v>
      </c>
      <c r="Y6793">
        <v>-9.0234149999999999E-2</v>
      </c>
      <c r="Z6793">
        <v>1.429559E-2</v>
      </c>
      <c r="AA6793">
        <v>0.99581799999999998</v>
      </c>
      <c r="AB6793">
        <v>35</v>
      </c>
      <c r="AC6793">
        <v>0.54630000000002998</v>
      </c>
      <c r="AD6793">
        <v>-0.26937810000000001</v>
      </c>
      <c r="AE6793">
        <v>7.3119999999995799E-2</v>
      </c>
      <c r="AF6793">
        <v>-5.6008081878453297E-2</v>
      </c>
      <c r="AG6793">
        <v>-0.26937810000000001</v>
      </c>
      <c r="AH6793">
        <v>0.44136138722261897</v>
      </c>
      <c r="AI6793">
        <v>121.19402195595499</v>
      </c>
      <c r="AJ6793">
        <v>97.232091705029205</v>
      </c>
      <c r="AK6793">
        <v>0.52009743330109603</v>
      </c>
      <c r="AL6793">
        <v>68.297739435060194</v>
      </c>
      <c r="AM6793">
        <v>97.0796702453124</v>
      </c>
      <c r="AN6793">
        <v>0.99999995872630398</v>
      </c>
    </row>
    <row r="6794" spans="1:40" x14ac:dyDescent="0.25">
      <c r="A6794" t="str">
        <f>"20190304165018552"</f>
        <v>20190304165018552</v>
      </c>
      <c r="B6794" t="str">
        <f>"1551689418542714"</f>
        <v>1551689418542714</v>
      </c>
      <c r="C6794" t="s">
        <v>40</v>
      </c>
      <c r="D6794">
        <v>4.4119979999999996</v>
      </c>
      <c r="E6794">
        <v>0.53190919999999997</v>
      </c>
      <c r="F6794" t="s">
        <v>41</v>
      </c>
      <c r="G6794">
        <v>-258.17099999999999</v>
      </c>
      <c r="H6794">
        <v>0.79562580000000005</v>
      </c>
      <c r="I6794">
        <v>-62.944499999999998</v>
      </c>
      <c r="J6794">
        <v>-258.84379999999999</v>
      </c>
      <c r="K6794">
        <v>1.1094219999999999</v>
      </c>
      <c r="L6794">
        <v>-63.028959999999998</v>
      </c>
      <c r="M6794">
        <v>0.99994479999999997</v>
      </c>
      <c r="N6794">
        <v>-8.3554349999999996E-3</v>
      </c>
      <c r="O6794">
        <v>6.3804079999999997E-3</v>
      </c>
      <c r="P6794">
        <v>0.92424830000000002</v>
      </c>
      <c r="Q6794">
        <v>0.36209609999999998</v>
      </c>
      <c r="R6794">
        <v>0.121044</v>
      </c>
      <c r="S6794">
        <v>3.7356259999999999</v>
      </c>
      <c r="T6794">
        <v>-1.3768210000000001</v>
      </c>
      <c r="U6794">
        <v>0.37481690000000001</v>
      </c>
      <c r="V6794">
        <v>-0.114548</v>
      </c>
      <c r="W6794">
        <v>0.36999739999999998</v>
      </c>
      <c r="X6794">
        <v>0.92194399999999999</v>
      </c>
      <c r="Y6794">
        <v>-8.8010450000000004E-2</v>
      </c>
      <c r="Z6794">
        <v>1.382742E-2</v>
      </c>
      <c r="AA6794">
        <v>0.99602360000000001</v>
      </c>
      <c r="AB6794">
        <v>35</v>
      </c>
      <c r="AC6794">
        <v>0.67279999999999496</v>
      </c>
      <c r="AD6794">
        <v>-0.31379619999999903</v>
      </c>
      <c r="AE6794">
        <v>8.4459999999999896E-2</v>
      </c>
      <c r="AF6794">
        <v>-6.6025546139332994E-2</v>
      </c>
      <c r="AG6794">
        <v>-0.31379619999999903</v>
      </c>
      <c r="AH6794">
        <v>0.55456180552530498</v>
      </c>
      <c r="AI6794">
        <v>119.33063133827</v>
      </c>
      <c r="AJ6794">
        <v>96.7896147030919</v>
      </c>
      <c r="AK6794">
        <v>0.64059833283027101</v>
      </c>
      <c r="AL6794">
        <v>68.284543743586198</v>
      </c>
      <c r="AM6794">
        <v>97.082484944036693</v>
      </c>
      <c r="AN6794">
        <v>1.00000002972337</v>
      </c>
    </row>
    <row r="6795" spans="1:40" x14ac:dyDescent="0.25">
      <c r="A6795" t="str">
        <f>"20190304165018564"</f>
        <v>20190304165018564</v>
      </c>
      <c r="B6795" t="str">
        <f>"1551689418552474"</f>
        <v>1551689418552474</v>
      </c>
      <c r="C6795" t="s">
        <v>40</v>
      </c>
      <c r="D6795">
        <v>4.4156810000000002</v>
      </c>
      <c r="E6795">
        <v>0.53270490000000004</v>
      </c>
      <c r="F6795" t="s">
        <v>41</v>
      </c>
      <c r="G6795">
        <v>-258.15600000000001</v>
      </c>
      <c r="H6795">
        <v>0.85937019999999997</v>
      </c>
      <c r="I6795">
        <v>-62.962009999999999</v>
      </c>
      <c r="J6795">
        <v>-258.67079999999999</v>
      </c>
      <c r="K6795">
        <v>1.1094010000000001</v>
      </c>
      <c r="L6795">
        <v>-63.028230000000001</v>
      </c>
      <c r="M6795">
        <v>0.99994749999999999</v>
      </c>
      <c r="N6795">
        <v>-8.3704199999999999E-3</v>
      </c>
      <c r="O6795">
        <v>5.9371759999999997E-3</v>
      </c>
      <c r="P6795">
        <v>0.92422040000000005</v>
      </c>
      <c r="Q6795">
        <v>0.3623075</v>
      </c>
      <c r="R6795">
        <v>0.1206224</v>
      </c>
      <c r="S6795">
        <v>3.7294619999999998</v>
      </c>
      <c r="T6795">
        <v>-1.3558250000000001</v>
      </c>
      <c r="U6795">
        <v>0.36346440000000002</v>
      </c>
      <c r="V6795">
        <v>-0.1145138</v>
      </c>
      <c r="W6795">
        <v>0.37022909999999998</v>
      </c>
      <c r="X6795">
        <v>0.92185519999999999</v>
      </c>
      <c r="Y6795">
        <v>-8.5864869999999996E-2</v>
      </c>
      <c r="Z6795">
        <v>1.3423910000000001E-2</v>
      </c>
      <c r="AA6795">
        <v>0.9962164</v>
      </c>
      <c r="AB6795">
        <v>35</v>
      </c>
      <c r="AC6795">
        <v>0.51479999999997905</v>
      </c>
      <c r="AD6795">
        <v>-0.2500308</v>
      </c>
      <c r="AE6795">
        <v>6.62200000000083E-2</v>
      </c>
      <c r="AF6795">
        <v>-5.1265967344526903E-2</v>
      </c>
      <c r="AG6795">
        <v>-0.2500308</v>
      </c>
      <c r="AH6795">
        <v>0.41815172353487801</v>
      </c>
      <c r="AI6795">
        <v>120.689085997799</v>
      </c>
      <c r="AJ6795">
        <v>96.989658672576496</v>
      </c>
      <c r="AK6795">
        <v>0.48989229862450301</v>
      </c>
      <c r="AL6795">
        <v>68.270252911874195</v>
      </c>
      <c r="AM6795">
        <v>97.081066941775106</v>
      </c>
      <c r="AN6795">
        <v>1.0000000033221399</v>
      </c>
    </row>
    <row r="6796" spans="1:40" x14ac:dyDescent="0.25">
      <c r="A6796" t="str">
        <f>"20190304165018574"</f>
        <v>20190304165018574</v>
      </c>
      <c r="B6796" t="str">
        <f>"1551689418562234"</f>
        <v>1551689418562234</v>
      </c>
      <c r="C6796" t="s">
        <v>40</v>
      </c>
      <c r="D6796">
        <v>4.421481</v>
      </c>
      <c r="E6796">
        <v>0.53340529999999997</v>
      </c>
      <c r="F6796" t="s">
        <v>41</v>
      </c>
      <c r="G6796">
        <v>-257.86040000000003</v>
      </c>
      <c r="H6796">
        <v>0.81802209999999997</v>
      </c>
      <c r="I6796">
        <v>-62.951469999999901</v>
      </c>
      <c r="J6796">
        <v>-258.4973</v>
      </c>
      <c r="K6796">
        <v>1.109381</v>
      </c>
      <c r="L6796">
        <v>-63.027500000000003</v>
      </c>
      <c r="M6796">
        <v>0.9999498</v>
      </c>
      <c r="N6796">
        <v>-8.3857250000000001E-3</v>
      </c>
      <c r="O6796">
        <v>5.4908580000000004E-3</v>
      </c>
      <c r="P6796">
        <v>0.92411759999999998</v>
      </c>
      <c r="Q6796">
        <v>0.36264459999999998</v>
      </c>
      <c r="R6796">
        <v>0.1203974</v>
      </c>
      <c r="S6796">
        <v>3.7247309999999998</v>
      </c>
      <c r="T6796">
        <v>-1.3391029999999999</v>
      </c>
      <c r="U6796">
        <v>0.35391240000000002</v>
      </c>
      <c r="V6796">
        <v>-0.1146808</v>
      </c>
      <c r="W6796">
        <v>0.37058560000000001</v>
      </c>
      <c r="X6796">
        <v>0.92169120000000004</v>
      </c>
      <c r="Y6796">
        <v>-8.4094760000000005E-2</v>
      </c>
      <c r="Z6796">
        <v>1.3126280000000001E-2</v>
      </c>
      <c r="AA6796">
        <v>0.99637129999999996</v>
      </c>
      <c r="AB6796">
        <v>35</v>
      </c>
      <c r="AC6796">
        <v>0.63689999999996805</v>
      </c>
      <c r="AD6796">
        <v>-0.29135889999999998</v>
      </c>
      <c r="AE6796">
        <v>7.6030000000010006E-2</v>
      </c>
      <c r="AF6796">
        <v>-6.0125684989049501E-2</v>
      </c>
      <c r="AG6796">
        <v>-0.29135889999999998</v>
      </c>
      <c r="AH6796">
        <v>0.52830174932653695</v>
      </c>
      <c r="AI6796">
        <v>118.721135927145</v>
      </c>
      <c r="AJ6796">
        <v>96.492859209062104</v>
      </c>
      <c r="AK6796">
        <v>0.60630672513678396</v>
      </c>
      <c r="AL6796">
        <v>68.248263189065497</v>
      </c>
      <c r="AM6796">
        <v>97.092537413904594</v>
      </c>
      <c r="AN6796">
        <v>1.0000000204867101</v>
      </c>
    </row>
    <row r="6797" spans="1:40" x14ac:dyDescent="0.25">
      <c r="A6797" t="str">
        <f>"20190304165018587"</f>
        <v>20190304165018587</v>
      </c>
      <c r="B6797" t="str">
        <f>"1551689418582729"</f>
        <v>1551689418582729</v>
      </c>
      <c r="C6797" t="s">
        <v>40</v>
      </c>
      <c r="D6797">
        <v>4.3297480000000004</v>
      </c>
      <c r="E6797">
        <v>0.53301790000000004</v>
      </c>
      <c r="F6797" t="s">
        <v>41</v>
      </c>
      <c r="G6797">
        <v>-257.83699999999999</v>
      </c>
      <c r="H6797">
        <v>0.87450490000000003</v>
      </c>
      <c r="I6797">
        <v>-62.9666</v>
      </c>
      <c r="J6797">
        <v>-258.30579999999998</v>
      </c>
      <c r="K6797">
        <v>1.1093599999999999</v>
      </c>
      <c r="L6797">
        <v>-63.026859999999999</v>
      </c>
      <c r="M6797">
        <v>0.99995239999999996</v>
      </c>
      <c r="N6797">
        <v>-8.4049520000000003E-3</v>
      </c>
      <c r="O6797">
        <v>4.9941289999999999E-3</v>
      </c>
      <c r="P6797">
        <v>0.92403849999999998</v>
      </c>
      <c r="Q6797">
        <v>0.36288229999999999</v>
      </c>
      <c r="R6797">
        <v>0.1202893</v>
      </c>
      <c r="S6797">
        <v>3.7208559999999999</v>
      </c>
      <c r="T6797">
        <v>-1.323591</v>
      </c>
      <c r="U6797">
        <v>0.3445435</v>
      </c>
      <c r="V6797">
        <v>-0.1150134</v>
      </c>
      <c r="W6797">
        <v>0.37084650000000002</v>
      </c>
      <c r="X6797">
        <v>0.92154480000000005</v>
      </c>
      <c r="Y6797">
        <v>-8.2378030000000005E-2</v>
      </c>
      <c r="Z6797">
        <v>1.2865730000000001E-2</v>
      </c>
      <c r="AA6797">
        <v>0.99651809999999996</v>
      </c>
      <c r="AB6797">
        <v>35</v>
      </c>
      <c r="AC6797">
        <v>0.468799999999987</v>
      </c>
      <c r="AD6797">
        <v>-0.23485510000000001</v>
      </c>
      <c r="AE6797">
        <v>6.0259999999999501E-2</v>
      </c>
      <c r="AF6797">
        <v>-4.6449813853162401E-2</v>
      </c>
      <c r="AG6797">
        <v>-0.23485510000000001</v>
      </c>
      <c r="AH6797">
        <v>0.37621138835074502</v>
      </c>
      <c r="AI6797">
        <v>121.78066553451499</v>
      </c>
      <c r="AJ6797">
        <v>97.038535319469602</v>
      </c>
      <c r="AK6797">
        <v>0.44592545557278801</v>
      </c>
      <c r="AL6797">
        <v>68.232167710503006</v>
      </c>
      <c r="AM6797">
        <v>97.114015371013096</v>
      </c>
      <c r="AN6797">
        <v>1.00000001357442</v>
      </c>
    </row>
    <row r="6798" spans="1:40" x14ac:dyDescent="0.25">
      <c r="A6798" t="str">
        <f>"20190304165018599"</f>
        <v>20190304165018599</v>
      </c>
      <c r="B6798" t="str">
        <f>"1551689418592489"</f>
        <v>1551689418592489</v>
      </c>
      <c r="C6798" t="s">
        <v>40</v>
      </c>
      <c r="D6798">
        <v>4.6463869999999998</v>
      </c>
      <c r="E6798">
        <v>0.53234199999999998</v>
      </c>
      <c r="F6798" t="s">
        <v>41</v>
      </c>
      <c r="G6798">
        <v>-257.53980000000001</v>
      </c>
      <c r="H6798">
        <v>0.83600739999999996</v>
      </c>
      <c r="I6798">
        <v>-62.955800000000004</v>
      </c>
      <c r="J6798">
        <v>-258.12220000000002</v>
      </c>
      <c r="K6798">
        <v>1.1093500000000001</v>
      </c>
      <c r="L6798">
        <v>-63.02628</v>
      </c>
      <c r="M6798">
        <v>0.99995440000000002</v>
      </c>
      <c r="N6798">
        <v>-8.4245320000000002E-3</v>
      </c>
      <c r="O6798">
        <v>4.51733E-3</v>
      </c>
      <c r="P6798">
        <v>0.92400099999999996</v>
      </c>
      <c r="Q6798">
        <v>0.36288369999999998</v>
      </c>
      <c r="R6798">
        <v>0.1205725</v>
      </c>
      <c r="S6798">
        <v>3.7233429999999998</v>
      </c>
      <c r="T6798">
        <v>-1.328624</v>
      </c>
      <c r="U6798">
        <v>0.3459778</v>
      </c>
      <c r="V6798">
        <v>-0.1157209</v>
      </c>
      <c r="W6798">
        <v>0.37087120000000001</v>
      </c>
      <c r="X6798">
        <v>0.92144630000000005</v>
      </c>
      <c r="Y6798">
        <v>-8.307175E-2</v>
      </c>
      <c r="Z6798">
        <v>1.3187000000000001E-2</v>
      </c>
      <c r="AA6798">
        <v>0.99645629999999996</v>
      </c>
      <c r="AB6798">
        <v>35</v>
      </c>
      <c r="AC6798">
        <v>0.58240000000000602</v>
      </c>
      <c r="AD6798">
        <v>-0.27334259999999999</v>
      </c>
      <c r="AE6798">
        <v>7.0480000000003401E-2</v>
      </c>
      <c r="AF6798">
        <v>-5.5745913441064901E-2</v>
      </c>
      <c r="AG6798">
        <v>-0.27334259999999999</v>
      </c>
      <c r="AH6798">
        <v>0.47877161738975499</v>
      </c>
      <c r="AI6798">
        <v>119.55729763459</v>
      </c>
      <c r="AJ6798">
        <v>96.641345966262804</v>
      </c>
      <c r="AK6798">
        <v>0.55411735711682997</v>
      </c>
      <c r="AL6798">
        <v>68.230644183030094</v>
      </c>
      <c r="AM6798">
        <v>97.158081618609401</v>
      </c>
      <c r="AN6798">
        <v>1.00000002873496</v>
      </c>
    </row>
    <row r="6799" spans="1:40" x14ac:dyDescent="0.25">
      <c r="A6799" t="str">
        <f>"20190304165018609"</f>
        <v>20190304165018609</v>
      </c>
      <c r="B6799" t="str">
        <f>"1551689418602249"</f>
        <v>1551689418602249</v>
      </c>
      <c r="C6799" t="s">
        <v>40</v>
      </c>
      <c r="D6799">
        <v>4.352163</v>
      </c>
      <c r="E6799">
        <v>0.53371499999999905</v>
      </c>
      <c r="F6799" t="s">
        <v>53</v>
      </c>
      <c r="G6799">
        <v>-255.0264</v>
      </c>
      <c r="H6799" s="1">
        <v>-1.8154269999999999E-6</v>
      </c>
      <c r="I6799">
        <v>-62.73545</v>
      </c>
      <c r="J6799">
        <v>-257.9547</v>
      </c>
      <c r="K6799">
        <v>1.1093409999999999</v>
      </c>
      <c r="L6799">
        <v>-63.025880000000001</v>
      </c>
      <c r="M6799">
        <v>0.99995610000000001</v>
      </c>
      <c r="N6799">
        <v>-8.4445960000000004E-3</v>
      </c>
      <c r="O6799">
        <v>4.0817040000000002E-3</v>
      </c>
      <c r="P6799">
        <v>0.92383939999999998</v>
      </c>
      <c r="Q6799">
        <v>0.36318699999999998</v>
      </c>
      <c r="R6799">
        <v>0.1208969</v>
      </c>
      <c r="S6799">
        <v>3.7253569999999998</v>
      </c>
      <c r="T6799">
        <v>-1.3349549999999999</v>
      </c>
      <c r="U6799">
        <v>0.3499756</v>
      </c>
      <c r="V6799">
        <v>-0.11643530000000001</v>
      </c>
      <c r="W6799">
        <v>0.37119679999999999</v>
      </c>
      <c r="X6799">
        <v>0.92122519999999997</v>
      </c>
      <c r="Y6799">
        <v>-8.4368390000000001E-2</v>
      </c>
      <c r="Z6799">
        <v>1.3616349999999999E-2</v>
      </c>
      <c r="AA6799">
        <v>0.99634160000000005</v>
      </c>
      <c r="AB6799">
        <v>35</v>
      </c>
      <c r="AC6799">
        <v>2.9283000000000001</v>
      </c>
      <c r="AD6799">
        <v>-1.109342815427</v>
      </c>
      <c r="AE6799">
        <v>0.29043000000000702</v>
      </c>
      <c r="AF6799">
        <v>-0.24382304557406501</v>
      </c>
      <c r="AG6799">
        <v>-1.109342815427</v>
      </c>
      <c r="AH6799">
        <v>2.5649372188939301</v>
      </c>
      <c r="AI6799">
        <v>113.294870845761</v>
      </c>
      <c r="AJ6799">
        <v>95.430221991616406</v>
      </c>
      <c r="AK6799">
        <v>2.8051727391659602</v>
      </c>
      <c r="AL6799">
        <v>68.210555304706205</v>
      </c>
      <c r="AM6799">
        <v>97.203519595554994</v>
      </c>
      <c r="AN6799">
        <v>1.0000000562656799</v>
      </c>
    </row>
    <row r="6800" spans="1:40" x14ac:dyDescent="0.25">
      <c r="A6800" t="str">
        <f>"20190304165018620"</f>
        <v>20190304165018620</v>
      </c>
      <c r="B6800" t="str">
        <f>"1551689418612010"</f>
        <v>1551689418612010</v>
      </c>
      <c r="C6800" t="s">
        <v>40</v>
      </c>
      <c r="D6800">
        <v>4.3276779999999997</v>
      </c>
      <c r="E6800">
        <v>0.53499240000000003</v>
      </c>
      <c r="F6800" t="s">
        <v>41</v>
      </c>
      <c r="G6800">
        <v>-257.22000000000003</v>
      </c>
      <c r="H6800">
        <v>0.85093030000000003</v>
      </c>
      <c r="I6800">
        <v>-62.959940000000003</v>
      </c>
      <c r="J6800">
        <v>-257.78059999999999</v>
      </c>
      <c r="K6800">
        <v>1.1093360000000001</v>
      </c>
      <c r="L6800">
        <v>-63.025509999999997</v>
      </c>
      <c r="M6800">
        <v>0.99995769999999995</v>
      </c>
      <c r="N6800">
        <v>-8.4673170000000002E-3</v>
      </c>
      <c r="O6800">
        <v>3.6298580000000001E-3</v>
      </c>
      <c r="P6800">
        <v>0.92378780000000005</v>
      </c>
      <c r="Q6800">
        <v>0.36334880000000003</v>
      </c>
      <c r="R6800">
        <v>0.1208056</v>
      </c>
      <c r="S6800">
        <v>3.7174529999999999</v>
      </c>
      <c r="T6800">
        <v>-1.307423</v>
      </c>
      <c r="U6800">
        <v>0.33508300000000002</v>
      </c>
      <c r="V6800">
        <v>-0.1167492</v>
      </c>
      <c r="W6800">
        <v>0.37138320000000002</v>
      </c>
      <c r="X6800">
        <v>0.92111030000000005</v>
      </c>
      <c r="Y6800">
        <v>-8.139101E-2</v>
      </c>
      <c r="Z6800">
        <v>1.3017890000000001E-2</v>
      </c>
      <c r="AA6800">
        <v>0.99659719999999996</v>
      </c>
      <c r="AB6800">
        <v>35</v>
      </c>
      <c r="AC6800">
        <v>0.56059999999996502</v>
      </c>
      <c r="AD6800">
        <v>-0.25840570000000002</v>
      </c>
      <c r="AE6800">
        <v>6.5569999999993897E-2</v>
      </c>
      <c r="AF6800">
        <v>-5.2525177900514801E-2</v>
      </c>
      <c r="AG6800">
        <v>-0.25840570000000002</v>
      </c>
      <c r="AH6800">
        <v>0.463651681246877</v>
      </c>
      <c r="AI6800">
        <v>118.977025917573</v>
      </c>
      <c r="AJ6800">
        <v>96.463246368033097</v>
      </c>
      <c r="AK6800">
        <v>0.53339036514454097</v>
      </c>
      <c r="AL6800">
        <v>68.199052352491606</v>
      </c>
      <c r="AM6800">
        <v>97.223626329571005</v>
      </c>
      <c r="AN6800">
        <v>1.0000000208544799</v>
      </c>
    </row>
    <row r="6801" spans="1:40" x14ac:dyDescent="0.25">
      <c r="A6801" t="str">
        <f>"20190304165018630"</f>
        <v>20190304165018630</v>
      </c>
      <c r="B6801" t="str">
        <f>"1551689418622746"</f>
        <v>1551689418622746</v>
      </c>
      <c r="C6801" t="s">
        <v>40</v>
      </c>
      <c r="D6801">
        <v>4.3558960000000004</v>
      </c>
      <c r="E6801">
        <v>0.53604589999999996</v>
      </c>
      <c r="F6801" t="s">
        <v>41</v>
      </c>
      <c r="G6801">
        <v>-256.92129999999997</v>
      </c>
      <c r="H6801">
        <v>0.8122587</v>
      </c>
      <c r="I6801">
        <v>-62.951340000000002</v>
      </c>
      <c r="J6801">
        <v>-257.62119999999999</v>
      </c>
      <c r="K6801">
        <v>1.109329</v>
      </c>
      <c r="L6801">
        <v>-63.0252699999999</v>
      </c>
      <c r="M6801">
        <v>0.99995880000000004</v>
      </c>
      <c r="N6801">
        <v>-8.4898939999999996E-3</v>
      </c>
      <c r="O6801">
        <v>3.2166040000000001E-3</v>
      </c>
      <c r="P6801">
        <v>0.92368859999999997</v>
      </c>
      <c r="Q6801">
        <v>0.36348629999999998</v>
      </c>
      <c r="R6801">
        <v>0.12114900000000001</v>
      </c>
      <c r="S6801">
        <v>3.709991</v>
      </c>
      <c r="T6801">
        <v>-1.282597</v>
      </c>
      <c r="U6801">
        <v>0.32107540000000001</v>
      </c>
      <c r="V6801">
        <v>-0.11746429999999999</v>
      </c>
      <c r="W6801">
        <v>0.37154470000000001</v>
      </c>
      <c r="X6801">
        <v>0.92095419999999995</v>
      </c>
      <c r="Y6801">
        <v>-7.8545950000000003E-2</v>
      </c>
      <c r="Z6801">
        <v>1.2462900000000001E-2</v>
      </c>
      <c r="AA6801">
        <v>0.99683259999999996</v>
      </c>
      <c r="AB6801">
        <v>35</v>
      </c>
      <c r="AC6801">
        <v>0.69990000000001296</v>
      </c>
      <c r="AD6801">
        <v>-0.29707030000000001</v>
      </c>
      <c r="AE6801">
        <v>7.3929999999990004E-2</v>
      </c>
      <c r="AF6801">
        <v>-6.0838765456918402E-2</v>
      </c>
      <c r="AG6801">
        <v>-0.29707030000000001</v>
      </c>
      <c r="AH6801">
        <v>0.59425709467086896</v>
      </c>
      <c r="AI6801">
        <v>116.441278397049</v>
      </c>
      <c r="AJ6801">
        <v>95.845453156723195</v>
      </c>
      <c r="AK6801">
        <v>0.66715336549482696</v>
      </c>
      <c r="AL6801">
        <v>68.189085076344995</v>
      </c>
      <c r="AM6801">
        <v>97.268618750164094</v>
      </c>
      <c r="AN6801">
        <v>0.99999998218510899</v>
      </c>
    </row>
    <row r="6802" spans="1:40" x14ac:dyDescent="0.25">
      <c r="A6802" t="str">
        <f>"20190304165018642"</f>
        <v>20190304165018642</v>
      </c>
      <c r="B6802" t="str">
        <f>"1551689418632506"</f>
        <v>1551689418632506</v>
      </c>
      <c r="C6802" t="s">
        <v>40</v>
      </c>
      <c r="D6802">
        <v>4.3472489999999997</v>
      </c>
      <c r="E6802">
        <v>0.53701350000000003</v>
      </c>
      <c r="F6802" t="s">
        <v>41</v>
      </c>
      <c r="G6802">
        <v>-256.90050000000002</v>
      </c>
      <c r="H6802">
        <v>0.86378529999999998</v>
      </c>
      <c r="I6802">
        <v>-62.964770000000001</v>
      </c>
      <c r="J6802">
        <v>-257.44540000000001</v>
      </c>
      <c r="K6802">
        <v>1.1093189999999999</v>
      </c>
      <c r="L6802">
        <v>-63.02505</v>
      </c>
      <c r="M6802">
        <v>0.99995999999999996</v>
      </c>
      <c r="N6802">
        <v>-8.519614E-3</v>
      </c>
      <c r="O6802">
        <v>2.7616490000000001E-3</v>
      </c>
      <c r="P6802">
        <v>0.923628</v>
      </c>
      <c r="Q6802">
        <v>0.36361739999999998</v>
      </c>
      <c r="R6802">
        <v>0.12121850000000001</v>
      </c>
      <c r="S6802">
        <v>3.7034150000000001</v>
      </c>
      <c r="T6802">
        <v>-1.2616099999999999</v>
      </c>
      <c r="U6802">
        <v>0.3118591</v>
      </c>
      <c r="V6802">
        <v>-0.1179441</v>
      </c>
      <c r="W6802">
        <v>0.37170589999999998</v>
      </c>
      <c r="X6802">
        <v>0.92082790000000003</v>
      </c>
      <c r="Y6802">
        <v>-7.6883119999999999E-2</v>
      </c>
      <c r="Z6802">
        <v>1.216212E-2</v>
      </c>
      <c r="AA6802">
        <v>0.99696589999999996</v>
      </c>
      <c r="AB6802">
        <v>35</v>
      </c>
      <c r="AC6802">
        <v>0.54489999999998395</v>
      </c>
      <c r="AD6802">
        <v>-0.24553369999999899</v>
      </c>
      <c r="AE6802">
        <v>6.0280000000005801E-2</v>
      </c>
      <c r="AF6802">
        <v>-4.8955071025522497E-2</v>
      </c>
      <c r="AG6802">
        <v>-0.24553369999999899</v>
      </c>
      <c r="AH6802">
        <v>0.45399770222726299</v>
      </c>
      <c r="AI6802">
        <v>118.267309843118</v>
      </c>
      <c r="AJ6802">
        <v>96.154486512163899</v>
      </c>
      <c r="AK6802">
        <v>0.51845666206775498</v>
      </c>
      <c r="AL6802">
        <v>68.179138158162999</v>
      </c>
      <c r="AM6802">
        <v>97.298979225664098</v>
      </c>
      <c r="AN6802">
        <v>1.0000000541190099</v>
      </c>
    </row>
    <row r="6803" spans="1:40" x14ac:dyDescent="0.25">
      <c r="A6803" t="str">
        <f>"20190304165018653"</f>
        <v>20190304165018653</v>
      </c>
      <c r="B6803" t="str">
        <f>"1551689418642266"</f>
        <v>1551689418642266</v>
      </c>
      <c r="C6803" t="s">
        <v>40</v>
      </c>
      <c r="D6803">
        <v>4.3517659999999996</v>
      </c>
      <c r="E6803">
        <v>0.53781409999999996</v>
      </c>
      <c r="F6803" t="s">
        <v>41</v>
      </c>
      <c r="G6803">
        <v>-256.60180000000003</v>
      </c>
      <c r="H6803">
        <v>0.82576000000000005</v>
      </c>
      <c r="I6803">
        <v>-62.956060000000001</v>
      </c>
      <c r="J6803">
        <v>-257.2697</v>
      </c>
      <c r="K6803">
        <v>1.1093120000000001</v>
      </c>
      <c r="L6803">
        <v>-63.024929999999998</v>
      </c>
      <c r="M6803">
        <v>0.99996079999999998</v>
      </c>
      <c r="N6803">
        <v>-8.5524339999999994E-3</v>
      </c>
      <c r="O6803">
        <v>2.3075790000000001E-3</v>
      </c>
      <c r="P6803">
        <v>0.92369590000000001</v>
      </c>
      <c r="Q6803">
        <v>0.36329889999999998</v>
      </c>
      <c r="R6803">
        <v>0.12165430000000001</v>
      </c>
      <c r="S6803">
        <v>3.6975709999999999</v>
      </c>
      <c r="T6803">
        <v>-1.2427539999999999</v>
      </c>
      <c r="U6803">
        <v>0.30282589999999998</v>
      </c>
      <c r="V6803">
        <v>-0.1187901</v>
      </c>
      <c r="W6803">
        <v>0.371423</v>
      </c>
      <c r="X6803">
        <v>0.92083320000000002</v>
      </c>
      <c r="Y6803">
        <v>-7.5225790000000001E-2</v>
      </c>
      <c r="Z6803">
        <v>1.188111E-2</v>
      </c>
      <c r="AA6803">
        <v>0.99709579999999998</v>
      </c>
      <c r="AB6803">
        <v>35</v>
      </c>
      <c r="AC6803">
        <v>0.66789999999997396</v>
      </c>
      <c r="AD6803">
        <v>-0.28355199999999903</v>
      </c>
      <c r="AE6803">
        <v>6.88700000000039E-2</v>
      </c>
      <c r="AF6803">
        <v>-5.7138446077895901E-2</v>
      </c>
      <c r="AG6803">
        <v>-0.28355199999999903</v>
      </c>
      <c r="AH6803">
        <v>0.566947599054758</v>
      </c>
      <c r="AI6803">
        <v>116.455724680415</v>
      </c>
      <c r="AJ6803">
        <v>95.754984706554296</v>
      </c>
      <c r="AK6803">
        <v>0.63647161664771201</v>
      </c>
      <c r="AL6803">
        <v>68.196594851551794</v>
      </c>
      <c r="AM6803">
        <v>97.350721550606494</v>
      </c>
      <c r="AN6803">
        <v>0.999999957504624</v>
      </c>
    </row>
    <row r="6804" spans="1:40" x14ac:dyDescent="0.25">
      <c r="A6804" t="str">
        <f>"20190304165018664"</f>
        <v>20190304165018664</v>
      </c>
      <c r="B6804" t="str">
        <f>"1551689418652026"</f>
        <v>1551689418652026</v>
      </c>
      <c r="C6804" t="s">
        <v>40</v>
      </c>
      <c r="D6804">
        <v>4.6574249999999999</v>
      </c>
      <c r="E6804">
        <v>0.53699849999999905</v>
      </c>
      <c r="F6804" t="s">
        <v>41</v>
      </c>
      <c r="G6804">
        <v>-256.57929999999999</v>
      </c>
      <c r="H6804">
        <v>0.87959929999999997</v>
      </c>
      <c r="I6804">
        <v>-62.969630000000002</v>
      </c>
      <c r="J6804">
        <v>-257.096</v>
      </c>
      <c r="K6804">
        <v>1.109307</v>
      </c>
      <c r="L6804">
        <v>-63.024900000000002</v>
      </c>
      <c r="M6804">
        <v>0.9999614</v>
      </c>
      <c r="N6804">
        <v>-8.5923730000000004E-3</v>
      </c>
      <c r="O6804">
        <v>1.8599249999999999E-3</v>
      </c>
      <c r="P6804">
        <v>0.92374089999999998</v>
      </c>
      <c r="Q6804">
        <v>0.36299530000000002</v>
      </c>
      <c r="R6804">
        <v>0.12221890000000001</v>
      </c>
      <c r="S6804">
        <v>3.69191</v>
      </c>
      <c r="T6804">
        <v>-1.228307</v>
      </c>
      <c r="U6804">
        <v>0.2962341</v>
      </c>
      <c r="V6804">
        <v>-0.1197608</v>
      </c>
      <c r="W6804">
        <v>0.3711604</v>
      </c>
      <c r="X6804">
        <v>0.9208134</v>
      </c>
      <c r="Y6804">
        <v>-7.4142659999999999E-2</v>
      </c>
      <c r="Z6804">
        <v>1.1733749999999999E-2</v>
      </c>
      <c r="AA6804">
        <v>0.99717860000000003</v>
      </c>
      <c r="AB6804">
        <v>35</v>
      </c>
      <c r="AC6804">
        <v>0.51670000000001404</v>
      </c>
      <c r="AD6804">
        <v>-0.22970769999999999</v>
      </c>
      <c r="AE6804">
        <v>5.5270000000000097E-2</v>
      </c>
      <c r="AF6804">
        <v>-4.5431377870169203E-2</v>
      </c>
      <c r="AG6804">
        <v>-0.22970769999999999</v>
      </c>
      <c r="AH6804">
        <v>0.43232409861011201</v>
      </c>
      <c r="AI6804">
        <v>117.85297863376201</v>
      </c>
      <c r="AJ6804">
        <v>95.998988585098999</v>
      </c>
      <c r="AK6804">
        <v>0.49166427953789599</v>
      </c>
      <c r="AL6804">
        <v>68.212800141791405</v>
      </c>
      <c r="AM6804">
        <v>97.410281042037596</v>
      </c>
      <c r="AN6804">
        <v>1.00000000468218</v>
      </c>
    </row>
    <row r="6805" spans="1:40" x14ac:dyDescent="0.25">
      <c r="A6805" t="str">
        <f>"20190304165018676"</f>
        <v>20190304165018676</v>
      </c>
      <c r="B6805" t="str">
        <f>"1551689418672521"</f>
        <v>1551689418672521</v>
      </c>
      <c r="C6805" t="s">
        <v>40</v>
      </c>
      <c r="D6805">
        <v>4.3906369999999999</v>
      </c>
      <c r="E6805">
        <v>0.53697379999999995</v>
      </c>
      <c r="F6805" t="s">
        <v>41</v>
      </c>
      <c r="G6805">
        <v>-256.2824</v>
      </c>
      <c r="H6805">
        <v>0.8362328</v>
      </c>
      <c r="I6805">
        <v>-62.957700000000003</v>
      </c>
      <c r="J6805">
        <v>-256.91739999999999</v>
      </c>
      <c r="K6805">
        <v>1.1093040000000001</v>
      </c>
      <c r="L6805">
        <v>-63.024900000000002</v>
      </c>
      <c r="M6805">
        <v>0.99996189999999996</v>
      </c>
      <c r="N6805">
        <v>-8.6356419999999903E-3</v>
      </c>
      <c r="O6805">
        <v>1.3997339999999999E-3</v>
      </c>
      <c r="P6805">
        <v>0.92381389999999997</v>
      </c>
      <c r="Q6805">
        <v>0.36262899999999998</v>
      </c>
      <c r="R6805">
        <v>0.12275270000000001</v>
      </c>
      <c r="S6805">
        <v>3.6945649999999999</v>
      </c>
      <c r="T6805">
        <v>-1.240011</v>
      </c>
      <c r="U6805">
        <v>0.3051758</v>
      </c>
      <c r="V6805">
        <v>-0.12071179999999999</v>
      </c>
      <c r="W6805">
        <v>0.37083890000000003</v>
      </c>
      <c r="X6805">
        <v>0.92081869999999999</v>
      </c>
      <c r="Y6805">
        <v>-7.6706860000000002E-2</v>
      </c>
      <c r="Z6805">
        <v>1.240552E-2</v>
      </c>
      <c r="AA6805">
        <v>0.99697650000000004</v>
      </c>
      <c r="AB6805">
        <v>35</v>
      </c>
      <c r="AC6805">
        <v>0.63499999999999002</v>
      </c>
      <c r="AD6805">
        <v>-0.27307120000000001</v>
      </c>
      <c r="AE6805">
        <v>6.7199999999999704E-2</v>
      </c>
      <c r="AF6805">
        <v>-5.6058972768053703E-2</v>
      </c>
      <c r="AG6805">
        <v>-0.27307120000000001</v>
      </c>
      <c r="AH6805">
        <v>0.53690410985969295</v>
      </c>
      <c r="AI6805">
        <v>116.832723647888</v>
      </c>
      <c r="AJ6805">
        <v>95.9607410234198</v>
      </c>
      <c r="AK6805">
        <v>0.60495992584755498</v>
      </c>
      <c r="AL6805">
        <v>68.232635213597803</v>
      </c>
      <c r="AM6805">
        <v>97.468420604136995</v>
      </c>
      <c r="AN6805">
        <v>0.99999995334106895</v>
      </c>
    </row>
    <row r="6806" spans="1:40" x14ac:dyDescent="0.25">
      <c r="A6806" t="str">
        <f>"20190304165018687"</f>
        <v>20190304165018687</v>
      </c>
      <c r="B6806" t="str">
        <f>"1551689418682281"</f>
        <v>1551689418682281</v>
      </c>
      <c r="C6806" t="s">
        <v>40</v>
      </c>
      <c r="D6806">
        <v>4.6587199999999998</v>
      </c>
      <c r="E6806">
        <v>0.53632519999999995</v>
      </c>
      <c r="F6806" t="s">
        <v>41</v>
      </c>
      <c r="G6806">
        <v>-255.9742</v>
      </c>
      <c r="H6806">
        <v>0.79314090000000004</v>
      </c>
      <c r="I6806">
        <v>-62.94688</v>
      </c>
      <c r="J6806">
        <v>-256.72949999999997</v>
      </c>
      <c r="K6806">
        <v>1.1093040000000001</v>
      </c>
      <c r="L6806">
        <v>-63.02505</v>
      </c>
      <c r="M6806">
        <v>0.99996180000000001</v>
      </c>
      <c r="N6806">
        <v>-8.6966030000000007E-3</v>
      </c>
      <c r="O6806">
        <v>9.1692810000000005E-4</v>
      </c>
      <c r="P6806">
        <v>0.92383610000000005</v>
      </c>
      <c r="Q6806">
        <v>0.36242829999999998</v>
      </c>
      <c r="R6806">
        <v>0.1231782</v>
      </c>
      <c r="S6806">
        <v>3.69252</v>
      </c>
      <c r="T6806">
        <v>-1.237616</v>
      </c>
      <c r="U6806">
        <v>0.30630489999999999</v>
      </c>
      <c r="V6806">
        <v>-0.1215762</v>
      </c>
      <c r="W6806">
        <v>0.37069859999999999</v>
      </c>
      <c r="X6806">
        <v>0.92076150000000001</v>
      </c>
      <c r="Y6806">
        <v>-7.7478669999999999E-2</v>
      </c>
      <c r="Z6806">
        <v>1.2674410000000001E-2</v>
      </c>
      <c r="AA6806">
        <v>0.99691339999999995</v>
      </c>
      <c r="AB6806">
        <v>35</v>
      </c>
      <c r="AC6806">
        <v>0.75529999999997699</v>
      </c>
      <c r="AD6806">
        <v>-0.31616309999999997</v>
      </c>
      <c r="AE6806">
        <v>7.8169999999992898E-2</v>
      </c>
      <c r="AF6806">
        <v>-6.6030195820845503E-2</v>
      </c>
      <c r="AG6806">
        <v>-0.31616309999999997</v>
      </c>
      <c r="AH6806">
        <v>0.64376616220887795</v>
      </c>
      <c r="AI6806">
        <v>116.03789962908</v>
      </c>
      <c r="AJ6806">
        <v>95.856268748623904</v>
      </c>
      <c r="AK6806">
        <v>0.72024576650397398</v>
      </c>
      <c r="AL6806">
        <v>68.241291391262905</v>
      </c>
      <c r="AM6806">
        <v>97.521752655616396</v>
      </c>
      <c r="AN6806">
        <v>0.99999998216532404</v>
      </c>
    </row>
    <row r="6807" spans="1:40" x14ac:dyDescent="0.25">
      <c r="A6807" t="str">
        <f>"20190304165018698"</f>
        <v>20190304165018698</v>
      </c>
      <c r="B6807" t="str">
        <f>"1551689418692045"</f>
        <v>1551689418692045</v>
      </c>
      <c r="C6807" t="s">
        <v>40</v>
      </c>
      <c r="D6807">
        <v>4.6309740000000001</v>
      </c>
      <c r="E6807">
        <v>0.53577849999999905</v>
      </c>
      <c r="F6807" t="s">
        <v>41</v>
      </c>
      <c r="G6807">
        <v>-255.96129999999999</v>
      </c>
      <c r="H6807">
        <v>0.84996329999999998</v>
      </c>
      <c r="I6807">
        <v>-62.960059999999999</v>
      </c>
      <c r="J6807">
        <v>-256.55430000000001</v>
      </c>
      <c r="K6807">
        <v>1.1093040000000001</v>
      </c>
      <c r="L6807">
        <v>-63.0252699999999</v>
      </c>
      <c r="M6807">
        <v>0.99996160000000001</v>
      </c>
      <c r="N6807">
        <v>-8.7573809999999998E-3</v>
      </c>
      <c r="O6807">
        <v>4.6691449999999998E-4</v>
      </c>
      <c r="P6807">
        <v>0.92381080000000004</v>
      </c>
      <c r="Q6807">
        <v>0.36235610000000001</v>
      </c>
      <c r="R6807">
        <v>0.1235791</v>
      </c>
      <c r="S6807">
        <v>3.6948699999999999</v>
      </c>
      <c r="T6807">
        <v>-1.2473099999999999</v>
      </c>
      <c r="U6807">
        <v>0.31369019999999997</v>
      </c>
      <c r="V6807">
        <v>-0.12238640000000001</v>
      </c>
      <c r="W6807">
        <v>0.3706853</v>
      </c>
      <c r="X6807">
        <v>0.92065949999999996</v>
      </c>
      <c r="Y6807">
        <v>-7.9647809999999999E-2</v>
      </c>
      <c r="Z6807">
        <v>1.326927E-2</v>
      </c>
      <c r="AA6807">
        <v>0.99673469999999997</v>
      </c>
      <c r="AB6807">
        <v>35</v>
      </c>
      <c r="AC6807">
        <v>0.59300000000001696</v>
      </c>
      <c r="AD6807">
        <v>-0.25934069999999998</v>
      </c>
      <c r="AE6807">
        <v>6.5209999999993301E-2</v>
      </c>
      <c r="AF6807">
        <v>-5.4612524843055399E-2</v>
      </c>
      <c r="AG6807">
        <v>-0.25934069999999998</v>
      </c>
      <c r="AH6807">
        <v>0.49877313091512898</v>
      </c>
      <c r="AI6807">
        <v>117.333001740879</v>
      </c>
      <c r="AJ6807">
        <v>96.248635925491499</v>
      </c>
      <c r="AK6807">
        <v>0.56481391862196895</v>
      </c>
      <c r="AL6807">
        <v>68.242111573165005</v>
      </c>
      <c r="AM6807">
        <v>97.572128099304805</v>
      </c>
      <c r="AN6807">
        <v>0.999999968740649</v>
      </c>
    </row>
    <row r="6808" spans="1:40" x14ac:dyDescent="0.25">
      <c r="A6808" t="str">
        <f>"20190304165018708"</f>
        <v>20190304165018708</v>
      </c>
      <c r="B6808" t="str">
        <f>"1551689418702778"</f>
        <v>1551689418702778</v>
      </c>
      <c r="C6808" t="s">
        <v>40</v>
      </c>
      <c r="D6808">
        <v>4.5996119999999996</v>
      </c>
      <c r="E6808">
        <v>0.53522209999999903</v>
      </c>
      <c r="F6808" t="s">
        <v>41</v>
      </c>
      <c r="G6808">
        <v>-255.66069999999999</v>
      </c>
      <c r="H6808">
        <v>0.80598630000000004</v>
      </c>
      <c r="I6808">
        <v>-62.948009999999996</v>
      </c>
      <c r="J6808">
        <v>-256.38659999999999</v>
      </c>
      <c r="K6808">
        <v>1.1093109999999999</v>
      </c>
      <c r="L6808">
        <v>-63.025539999999999</v>
      </c>
      <c r="M6808">
        <v>0.99996110000000005</v>
      </c>
      <c r="N6808">
        <v>-8.8241900000000009E-3</v>
      </c>
      <c r="O6808" s="1">
        <v>3.6967430000000003E-5</v>
      </c>
      <c r="P6808">
        <v>0.92378419999999895</v>
      </c>
      <c r="Q6808">
        <v>0.36239729999999998</v>
      </c>
      <c r="R6808">
        <v>0.1236575</v>
      </c>
      <c r="S6808">
        <v>3.696869</v>
      </c>
      <c r="T6808">
        <v>-1.2549030000000001</v>
      </c>
      <c r="U6808">
        <v>0.31979370000000001</v>
      </c>
      <c r="V6808">
        <v>-0.1228563</v>
      </c>
      <c r="W6808">
        <v>0.3707898</v>
      </c>
      <c r="X6808">
        <v>0.92055489999999995</v>
      </c>
      <c r="Y6808">
        <v>-8.1488210000000005E-2</v>
      </c>
      <c r="Z6808">
        <v>1.378884E-2</v>
      </c>
      <c r="AA6808">
        <v>0.99657890000000005</v>
      </c>
      <c r="AB6808">
        <v>35</v>
      </c>
      <c r="AC6808">
        <v>0.72589999999999499</v>
      </c>
      <c r="AD6808">
        <v>-0.3033247</v>
      </c>
      <c r="AE6808">
        <v>7.7530000000002902E-2</v>
      </c>
      <c r="AF6808">
        <v>-6.6093013199374703E-2</v>
      </c>
      <c r="AG6808">
        <v>-0.3033247</v>
      </c>
      <c r="AH6808">
        <v>0.61903417945749295</v>
      </c>
      <c r="AI6808">
        <v>115.97661770427899</v>
      </c>
      <c r="AJ6808">
        <v>96.094266180181407</v>
      </c>
      <c r="AK6808">
        <v>0.69251532500044699</v>
      </c>
      <c r="AL6808">
        <v>68.235666265645605</v>
      </c>
      <c r="AM6808">
        <v>97.601715428710605</v>
      </c>
      <c r="AN6808">
        <v>1.00000003507386</v>
      </c>
    </row>
    <row r="6809" spans="1:40" x14ac:dyDescent="0.25">
      <c r="A6809" t="str">
        <f>"20190304165018720"</f>
        <v>20190304165018720</v>
      </c>
      <c r="B6809" t="str">
        <f>"1551689418712537"</f>
        <v>1551689418712537</v>
      </c>
      <c r="C6809" t="s">
        <v>40</v>
      </c>
      <c r="D6809">
        <v>4.6134329999999997</v>
      </c>
      <c r="E6809">
        <v>0.53469330000000004</v>
      </c>
      <c r="F6809" t="s">
        <v>41</v>
      </c>
      <c r="G6809">
        <v>-255.6431</v>
      </c>
      <c r="H6809">
        <v>0.8556745</v>
      </c>
      <c r="I6809">
        <v>-62.960209999999996</v>
      </c>
      <c r="J6809">
        <v>-256.21660000000003</v>
      </c>
      <c r="K6809">
        <v>1.1093200000000001</v>
      </c>
      <c r="L6809">
        <v>-63.025910000000003</v>
      </c>
      <c r="M6809">
        <v>0.99996030000000002</v>
      </c>
      <c r="N6809">
        <v>-8.8985069999999999E-3</v>
      </c>
      <c r="O6809">
        <v>-3.9837999999999999E-4</v>
      </c>
      <c r="P6809">
        <v>0.92360120000000001</v>
      </c>
      <c r="Q6809">
        <v>0.36273719999999998</v>
      </c>
      <c r="R6809">
        <v>0.1240266</v>
      </c>
      <c r="S6809">
        <v>3.699036</v>
      </c>
      <c r="T6809">
        <v>-1.2619370000000001</v>
      </c>
      <c r="U6809">
        <v>0.32522579999999901</v>
      </c>
      <c r="V6809">
        <v>-0.1236215</v>
      </c>
      <c r="W6809">
        <v>0.37119940000000001</v>
      </c>
      <c r="X6809">
        <v>0.92028730000000003</v>
      </c>
      <c r="Y6809">
        <v>-8.3159049999999998E-2</v>
      </c>
      <c r="Z6809">
        <v>1.4279790000000001E-2</v>
      </c>
      <c r="AA6809">
        <v>0.99643400000000004</v>
      </c>
      <c r="AB6809">
        <v>35</v>
      </c>
      <c r="AC6809">
        <v>0.57350000000002399</v>
      </c>
      <c r="AD6809">
        <v>-0.25364550000000002</v>
      </c>
      <c r="AE6809">
        <v>6.5699999999999606E-2</v>
      </c>
      <c r="AF6809">
        <v>-5.5259311209227398E-2</v>
      </c>
      <c r="AG6809">
        <v>-0.25364550000000002</v>
      </c>
      <c r="AH6809">
        <v>0.480668879178275</v>
      </c>
      <c r="AI6809">
        <v>117.66531845042</v>
      </c>
      <c r="AJ6809">
        <v>96.558124688796696</v>
      </c>
      <c r="AK6809">
        <v>0.54628948603837102</v>
      </c>
      <c r="AL6809">
        <v>68.210393405657101</v>
      </c>
      <c r="AM6809">
        <v>97.650700974740502</v>
      </c>
      <c r="AN6809">
        <v>0.99999999218195001</v>
      </c>
    </row>
    <row r="6810" spans="1:40" x14ac:dyDescent="0.25">
      <c r="A6810" t="str">
        <f>"20190304165018731"</f>
        <v>20190304165018731</v>
      </c>
      <c r="B6810" t="str">
        <f>"1551689418722298"</f>
        <v>1551689418722298</v>
      </c>
      <c r="C6810" t="s">
        <v>40</v>
      </c>
      <c r="D6810">
        <v>4.6046199999999997</v>
      </c>
      <c r="E6810">
        <v>0.53419719999999904</v>
      </c>
      <c r="F6810" t="s">
        <v>41</v>
      </c>
      <c r="G6810">
        <v>-255.3434</v>
      </c>
      <c r="H6810">
        <v>0.81026819999999999</v>
      </c>
      <c r="I6810">
        <v>-62.9482</v>
      </c>
      <c r="J6810">
        <v>-256.04050000000001</v>
      </c>
      <c r="K6810">
        <v>1.1093329999999999</v>
      </c>
      <c r="L6810">
        <v>-63.026339999999998</v>
      </c>
      <c r="M6810">
        <v>0.99995919999999905</v>
      </c>
      <c r="N6810">
        <v>-8.9839410000000005E-3</v>
      </c>
      <c r="O6810">
        <v>-8.4796860000000004E-4</v>
      </c>
      <c r="P6810">
        <v>0.92358269999999998</v>
      </c>
      <c r="Q6810">
        <v>0.36270449999999999</v>
      </c>
      <c r="R6810">
        <v>0.1242591</v>
      </c>
      <c r="S6810">
        <v>3.7016450000000001</v>
      </c>
      <c r="T6810">
        <v>-1.267779</v>
      </c>
      <c r="U6810">
        <v>0.33078000000000002</v>
      </c>
      <c r="V6810">
        <v>-0.124264899999999</v>
      </c>
      <c r="W6810">
        <v>0.37124760000000001</v>
      </c>
      <c r="X6810">
        <v>0.92018120000000003</v>
      </c>
      <c r="Y6810">
        <v>-8.486842E-2</v>
      </c>
      <c r="Z6810">
        <v>1.477181E-2</v>
      </c>
      <c r="AA6810">
        <v>0.99628260000000002</v>
      </c>
      <c r="AB6810">
        <v>35</v>
      </c>
      <c r="AC6810">
        <v>0.69710000000000505</v>
      </c>
      <c r="AD6810">
        <v>-0.29906479999999902</v>
      </c>
      <c r="AE6810">
        <v>7.8140000000004706E-2</v>
      </c>
      <c r="AF6810">
        <v>-6.6621460474118002E-2</v>
      </c>
      <c r="AG6810">
        <v>-0.29906479999999902</v>
      </c>
      <c r="AH6810">
        <v>0.58982257558686502</v>
      </c>
      <c r="AI6810">
        <v>116.740708781091</v>
      </c>
      <c r="AJ6810">
        <v>96.444342288398403</v>
      </c>
      <c r="AK6810">
        <v>0.66465693727416097</v>
      </c>
      <c r="AL6810">
        <v>68.207419251508995</v>
      </c>
      <c r="AM6810">
        <v>97.690920590774795</v>
      </c>
      <c r="AN6810">
        <v>0.99999999335560497</v>
      </c>
    </row>
    <row r="6811" spans="1:40" x14ac:dyDescent="0.25">
      <c r="A6811" t="str">
        <f>"20190304165018742"</f>
        <v>20190304165018742</v>
      </c>
      <c r="B6811" t="str">
        <f>"1551689418732059"</f>
        <v>1551689418732059</v>
      </c>
      <c r="C6811" t="s">
        <v>40</v>
      </c>
      <c r="D6811">
        <v>4.5448409999999999</v>
      </c>
      <c r="E6811">
        <v>0.53386579999999995</v>
      </c>
      <c r="F6811" t="s">
        <v>41</v>
      </c>
      <c r="G6811">
        <v>-255.32429999999999</v>
      </c>
      <c r="H6811">
        <v>0.86287760000000002</v>
      </c>
      <c r="I6811">
        <v>-62.961860000000001</v>
      </c>
      <c r="J6811">
        <v>-255.85570000000001</v>
      </c>
      <c r="K6811">
        <v>1.1093489999999999</v>
      </c>
      <c r="L6811">
        <v>-63.026890000000002</v>
      </c>
      <c r="M6811">
        <v>0.99995800000000001</v>
      </c>
      <c r="N6811">
        <v>-9.0861599999999994E-3</v>
      </c>
      <c r="O6811">
        <v>-1.317187E-3</v>
      </c>
      <c r="P6811">
        <v>0.9236029</v>
      </c>
      <c r="Q6811">
        <v>0.36262430000000001</v>
      </c>
      <c r="R6811">
        <v>0.12434530000000001</v>
      </c>
      <c r="S6811">
        <v>3.7036129999999998</v>
      </c>
      <c r="T6811">
        <v>-1.2743910000000001</v>
      </c>
      <c r="U6811">
        <v>0.33505249999999998</v>
      </c>
      <c r="V6811">
        <v>-0.124781</v>
      </c>
      <c r="W6811">
        <v>0.3712627</v>
      </c>
      <c r="X6811">
        <v>0.92010530000000001</v>
      </c>
      <c r="Y6811">
        <v>-8.6274939999999994E-2</v>
      </c>
      <c r="Z6811">
        <v>1.523325E-2</v>
      </c>
      <c r="AA6811">
        <v>0.99615489999999995</v>
      </c>
      <c r="AB6811">
        <v>35</v>
      </c>
      <c r="AC6811">
        <v>0.53140000000001897</v>
      </c>
      <c r="AD6811">
        <v>-0.24647139999999901</v>
      </c>
      <c r="AE6811">
        <v>6.5030000000007193E-2</v>
      </c>
      <c r="AF6811">
        <v>-5.4234828755579799E-2</v>
      </c>
      <c r="AG6811">
        <v>-0.24647139999999901</v>
      </c>
      <c r="AH6811">
        <v>0.43839570776657999</v>
      </c>
      <c r="AI6811">
        <v>119.159712325642</v>
      </c>
      <c r="AJ6811">
        <v>97.052345681539194</v>
      </c>
      <c r="AK6811">
        <v>0.50584618636129697</v>
      </c>
      <c r="AL6811">
        <v>68.206488257885198</v>
      </c>
      <c r="AM6811">
        <v>97.723107389207399</v>
      </c>
      <c r="AN6811">
        <v>1.0000000267301801</v>
      </c>
    </row>
    <row r="6812" spans="1:40" x14ac:dyDescent="0.25">
      <c r="A6812" t="str">
        <f>"20190304165018753"</f>
        <v>20190304165018753</v>
      </c>
      <c r="B6812" t="str">
        <f>"1551689418742794"</f>
        <v>1551689418742794</v>
      </c>
      <c r="C6812" t="s">
        <v>40</v>
      </c>
      <c r="D6812">
        <v>4.487387</v>
      </c>
      <c r="E6812">
        <v>0.5346052</v>
      </c>
      <c r="F6812" t="s">
        <v>41</v>
      </c>
      <c r="G6812">
        <v>-255.02459999999999</v>
      </c>
      <c r="H6812">
        <v>0.82254640000000001</v>
      </c>
      <c r="I6812">
        <v>-62.951320000000003</v>
      </c>
      <c r="J6812">
        <v>-255.68469999999999</v>
      </c>
      <c r="K6812">
        <v>1.109361</v>
      </c>
      <c r="L6812">
        <v>-63.027500000000003</v>
      </c>
      <c r="M6812">
        <v>0.99995630000000002</v>
      </c>
      <c r="N6812">
        <v>-9.1868790000000002E-3</v>
      </c>
      <c r="O6812">
        <v>-1.749434E-3</v>
      </c>
      <c r="P6812">
        <v>0.92358240000000003</v>
      </c>
      <c r="Q6812">
        <v>0.3625717</v>
      </c>
      <c r="R6812">
        <v>0.1246485</v>
      </c>
      <c r="S6812">
        <v>3.704666</v>
      </c>
      <c r="T6812">
        <v>-1.27841</v>
      </c>
      <c r="U6812">
        <v>0.33728029999999998</v>
      </c>
      <c r="V6812">
        <v>-0.12548110000000001</v>
      </c>
      <c r="W6812">
        <v>0.37130479999999999</v>
      </c>
      <c r="X6812">
        <v>0.91999310000000001</v>
      </c>
      <c r="Y6812">
        <v>-8.7168239999999994E-2</v>
      </c>
      <c r="Z6812">
        <v>1.557216E-2</v>
      </c>
      <c r="AA6812">
        <v>0.99607190000000001</v>
      </c>
      <c r="AB6812">
        <v>35</v>
      </c>
      <c r="AC6812">
        <v>0.66009999999999902</v>
      </c>
      <c r="AD6812">
        <v>-0.28681459999999998</v>
      </c>
      <c r="AE6812">
        <v>7.6180000000007894E-2</v>
      </c>
      <c r="AF6812">
        <v>-6.5189293496751205E-2</v>
      </c>
      <c r="AG6812">
        <v>-0.28681459999999998</v>
      </c>
      <c r="AH6812">
        <v>0.55631792559576598</v>
      </c>
      <c r="AI6812">
        <v>117.11495367662199</v>
      </c>
      <c r="AJ6812">
        <v>96.683436042726697</v>
      </c>
      <c r="AK6812">
        <v>0.62928681306614298</v>
      </c>
      <c r="AL6812">
        <v>68.203890542351004</v>
      </c>
      <c r="AM6812">
        <v>97.766847126640997</v>
      </c>
      <c r="AN6812">
        <v>1.00000003250392</v>
      </c>
    </row>
    <row r="6813" spans="1:40" x14ac:dyDescent="0.25">
      <c r="A6813" t="str">
        <f>"20190304165018765"</f>
        <v>20190304165018765</v>
      </c>
      <c r="B6813" t="str">
        <f>"1551689418762314"</f>
        <v>1551689418762314</v>
      </c>
      <c r="C6813" t="s">
        <v>40</v>
      </c>
      <c r="D6813">
        <v>5.0931100000000002</v>
      </c>
      <c r="E6813">
        <v>0.53436079999999997</v>
      </c>
      <c r="F6813" t="s">
        <v>41</v>
      </c>
      <c r="G6813">
        <v>-255.00290000000001</v>
      </c>
      <c r="H6813">
        <v>0.87614989999999904</v>
      </c>
      <c r="I6813">
        <v>-62.966669999999901</v>
      </c>
      <c r="J6813">
        <v>-255.5069</v>
      </c>
      <c r="K6813">
        <v>1.1093839999999999</v>
      </c>
      <c r="L6813">
        <v>-63.028199999999998</v>
      </c>
      <c r="M6813">
        <v>0.99995429999999996</v>
      </c>
      <c r="N6813">
        <v>-9.308462E-3</v>
      </c>
      <c r="O6813">
        <v>-2.1950160000000002E-3</v>
      </c>
      <c r="P6813">
        <v>0.92355589999999999</v>
      </c>
      <c r="Q6813">
        <v>0.36251879999999997</v>
      </c>
      <c r="R6813">
        <v>0.124999</v>
      </c>
      <c r="S6813">
        <v>3.7004389999999998</v>
      </c>
      <c r="T6813">
        <v>-1.26563799999999</v>
      </c>
      <c r="U6813">
        <v>0.33062740000000002</v>
      </c>
      <c r="V6813">
        <v>-0.1262424</v>
      </c>
      <c r="W6813">
        <v>0.37136449999999999</v>
      </c>
      <c r="X6813">
        <v>0.91986480000000004</v>
      </c>
      <c r="Y6813">
        <v>-8.6064749999999995E-2</v>
      </c>
      <c r="Z6813">
        <v>1.540646E-2</v>
      </c>
      <c r="AA6813">
        <v>0.99617040000000001</v>
      </c>
      <c r="AB6813">
        <v>35</v>
      </c>
      <c r="AC6813">
        <v>0.50399999999999001</v>
      </c>
      <c r="AD6813">
        <v>-0.2332341</v>
      </c>
      <c r="AE6813">
        <v>6.1530000000004699E-2</v>
      </c>
      <c r="AF6813">
        <v>-5.1722377642877598E-2</v>
      </c>
      <c r="AG6813">
        <v>-0.2332341</v>
      </c>
      <c r="AH6813">
        <v>0.41606985650018702</v>
      </c>
      <c r="AI6813">
        <v>119.086443881272</v>
      </c>
      <c r="AJ6813">
        <v>97.0861866869555</v>
      </c>
      <c r="AK6813">
        <v>0.47977856896690202</v>
      </c>
      <c r="AL6813">
        <v>68.200205668887804</v>
      </c>
      <c r="AM6813">
        <v>97.814464979970097</v>
      </c>
      <c r="AN6813">
        <v>0.99999999284852403</v>
      </c>
    </row>
    <row r="6814" spans="1:40" x14ac:dyDescent="0.25">
      <c r="A6814" t="str">
        <f>"20190304165018777"</f>
        <v>20190304165018777</v>
      </c>
      <c r="B6814" t="str">
        <f>"1551689418772583"</f>
        <v>1551689418772583</v>
      </c>
      <c r="C6814" t="s">
        <v>40</v>
      </c>
      <c r="D6814">
        <v>4.9006100000000004</v>
      </c>
      <c r="E6814">
        <v>0.53436079999999997</v>
      </c>
      <c r="F6814" t="s">
        <v>41</v>
      </c>
      <c r="G6814">
        <v>-254.70419999999999</v>
      </c>
      <c r="H6814">
        <v>0.83431520000000003</v>
      </c>
      <c r="I6814">
        <v>-62.95646</v>
      </c>
      <c r="J6814">
        <v>-255.32499999999999</v>
      </c>
      <c r="K6814">
        <v>1.109407</v>
      </c>
      <c r="L6814">
        <v>-63.028959999999998</v>
      </c>
      <c r="M6814">
        <v>0.99995199999999995</v>
      </c>
      <c r="N6814">
        <v>-9.4375469999999993E-3</v>
      </c>
      <c r="O6814">
        <v>-2.6488689999999999E-3</v>
      </c>
      <c r="P6814">
        <v>0.92348169999999996</v>
      </c>
      <c r="Q6814">
        <v>0.36266189999999998</v>
      </c>
      <c r="R6814">
        <v>0.12513099999999999</v>
      </c>
      <c r="S6814">
        <v>3.7012019999999999</v>
      </c>
      <c r="T6814">
        <v>-1.268332</v>
      </c>
      <c r="U6814">
        <v>0.33221440000000002</v>
      </c>
      <c r="V6814">
        <v>-0.12679169999999901</v>
      </c>
      <c r="W6814">
        <v>0.37162659999999997</v>
      </c>
      <c r="X6814">
        <v>0.91968340000000004</v>
      </c>
      <c r="Y6814">
        <v>-8.6832519999999996E-2</v>
      </c>
      <c r="Z6814">
        <v>1.5717180000000001E-2</v>
      </c>
      <c r="AA6814">
        <v>0.99609890000000001</v>
      </c>
      <c r="AB6814">
        <v>35</v>
      </c>
      <c r="AC6814">
        <v>0.62080000000000202</v>
      </c>
      <c r="AD6814">
        <v>-0.275091799999999</v>
      </c>
      <c r="AE6814">
        <v>7.2499999999997997E-2</v>
      </c>
      <c r="AF6814">
        <v>-6.21120500530178E-2</v>
      </c>
      <c r="AG6814">
        <v>-0.275091799999999</v>
      </c>
      <c r="AH6814">
        <v>0.51989336462807401</v>
      </c>
      <c r="AI6814">
        <v>117.717208803823</v>
      </c>
      <c r="AJ6814">
        <v>96.812878201142894</v>
      </c>
      <c r="AK6814">
        <v>0.59145795773945598</v>
      </c>
      <c r="AL6814">
        <v>68.184031300459793</v>
      </c>
      <c r="AM6814">
        <v>97.84957277817</v>
      </c>
      <c r="AN6814">
        <v>1.0000000106260001</v>
      </c>
    </row>
    <row r="6815" spans="1:40" x14ac:dyDescent="0.25">
      <c r="A6815" t="str">
        <f>"20190304165018788"</f>
        <v>20190304165018788</v>
      </c>
      <c r="B6815" t="str">
        <f>"1551689418782343"</f>
        <v>1551689418782343</v>
      </c>
      <c r="C6815" t="s">
        <v>40</v>
      </c>
      <c r="D6815">
        <v>4.4631069999999999</v>
      </c>
      <c r="E6815">
        <v>0.5345337</v>
      </c>
      <c r="F6815" t="s">
        <v>53</v>
      </c>
      <c r="G6815">
        <v>-252.0856</v>
      </c>
      <c r="H6815" s="1">
        <v>-5.5452449999999998E-7</v>
      </c>
      <c r="I6815">
        <v>-62.738639999999997</v>
      </c>
      <c r="J6815">
        <v>-255.13650000000001</v>
      </c>
      <c r="K6815">
        <v>1.109437</v>
      </c>
      <c r="L6815">
        <v>-63.029910000000001</v>
      </c>
      <c r="M6815">
        <v>0.99994919999999998</v>
      </c>
      <c r="N6815">
        <v>-9.5888280000000006E-3</v>
      </c>
      <c r="O6815">
        <v>-3.1140479999999999E-3</v>
      </c>
      <c r="P6815">
        <v>0.92345949999999999</v>
      </c>
      <c r="Q6815">
        <v>0.36269040000000002</v>
      </c>
      <c r="R6815">
        <v>0.12521199999999999</v>
      </c>
      <c r="S6815">
        <v>3.7014469999999999</v>
      </c>
      <c r="T6815">
        <v>-1.267636</v>
      </c>
      <c r="U6815">
        <v>0.33172610000000002</v>
      </c>
      <c r="V6815">
        <v>-0.12730250000000001</v>
      </c>
      <c r="W6815">
        <v>0.37179440000000002</v>
      </c>
      <c r="X6815">
        <v>0.91954499999999995</v>
      </c>
      <c r="Y6815">
        <v>-8.7121669999999998E-2</v>
      </c>
      <c r="Z6815">
        <v>1.5914500000000002E-2</v>
      </c>
      <c r="AA6815">
        <v>0.99607060000000003</v>
      </c>
      <c r="AB6815">
        <v>35</v>
      </c>
      <c r="AC6815">
        <v>3.0509000000000102</v>
      </c>
      <c r="AD6815">
        <v>-1.1094375545245001</v>
      </c>
      <c r="AE6815">
        <v>0.29126999999999698</v>
      </c>
      <c r="AF6815">
        <v>-0.26592272423869801</v>
      </c>
      <c r="AG6815">
        <v>-1.1094375545245001</v>
      </c>
      <c r="AH6815">
        <v>2.6966099538247499</v>
      </c>
      <c r="AI6815">
        <v>112.26583070605299</v>
      </c>
      <c r="AJ6815">
        <v>95.631940504724597</v>
      </c>
      <c r="AK6815">
        <v>2.9280149975234999</v>
      </c>
      <c r="AL6815">
        <v>68.173674892417495</v>
      </c>
      <c r="AM6815">
        <v>97.881970660979803</v>
      </c>
      <c r="AN6815">
        <v>1.0000000047013</v>
      </c>
    </row>
    <row r="6816" spans="1:40" x14ac:dyDescent="0.25">
      <c r="A6816" t="str">
        <f>"20190304165018799"</f>
        <v>20190304165018799</v>
      </c>
      <c r="B6816" t="str">
        <f>"1551689418792103"</f>
        <v>1551689418792103</v>
      </c>
      <c r="C6816" t="s">
        <v>40</v>
      </c>
      <c r="D6816">
        <v>4.4832919999999996</v>
      </c>
      <c r="E6816">
        <v>0.52990740000000003</v>
      </c>
      <c r="F6816" t="s">
        <v>41</v>
      </c>
      <c r="G6816">
        <v>-254.33840000000001</v>
      </c>
      <c r="H6816">
        <v>0.95130150000000002</v>
      </c>
      <c r="I6816">
        <v>-62.967140000000001</v>
      </c>
      <c r="J6816">
        <v>-254.95490000000001</v>
      </c>
      <c r="K6816">
        <v>1.1094649999999999</v>
      </c>
      <c r="L6816">
        <v>-63.030880000000003</v>
      </c>
      <c r="M6816">
        <v>0.99994620000000001</v>
      </c>
      <c r="N6816">
        <v>-9.7399889999999992E-3</v>
      </c>
      <c r="O6816">
        <v>-3.5593209999999998E-3</v>
      </c>
      <c r="P6816">
        <v>0.92337979999999997</v>
      </c>
      <c r="Q6816">
        <v>0.36284070000000002</v>
      </c>
      <c r="R6816">
        <v>0.1253648</v>
      </c>
      <c r="S6816">
        <v>3.4824519999999999</v>
      </c>
      <c r="T6816">
        <v>-0.68993040000000005</v>
      </c>
      <c r="U6816">
        <v>0.27432250000000002</v>
      </c>
      <c r="V6816">
        <v>-0.1278667</v>
      </c>
      <c r="W6816">
        <v>0.372083</v>
      </c>
      <c r="X6816">
        <v>0.91935</v>
      </c>
      <c r="Y6816">
        <v>-8.0384220000000006E-2</v>
      </c>
      <c r="Z6816">
        <v>8.9332909999999995E-3</v>
      </c>
      <c r="AA6816">
        <v>0.9967239</v>
      </c>
      <c r="AB6816">
        <v>35</v>
      </c>
      <c r="AC6816">
        <v>0.61650000000000205</v>
      </c>
      <c r="AD6816">
        <v>-0.15816350000000001</v>
      </c>
      <c r="AE6816">
        <v>6.3740000000002794E-2</v>
      </c>
      <c r="AF6816">
        <v>-6.1902780689756499E-2</v>
      </c>
      <c r="AG6816">
        <v>-0.15816350000000001</v>
      </c>
      <c r="AH6816">
        <v>0.57859018595417699</v>
      </c>
      <c r="AI6816">
        <v>105.20613266498</v>
      </c>
      <c r="AJ6816">
        <v>96.106787646000896</v>
      </c>
      <c r="AK6816">
        <v>0.60300435344354197</v>
      </c>
      <c r="AL6816">
        <v>68.1558620837706</v>
      </c>
      <c r="AM6816">
        <v>97.918119166584603</v>
      </c>
      <c r="AN6816">
        <v>1.0000000371789399</v>
      </c>
    </row>
    <row r="6817" spans="1:40" x14ac:dyDescent="0.25">
      <c r="A6817" t="str">
        <f>"20190304165018810"</f>
        <v>20190304165018810</v>
      </c>
      <c r="B6817" t="str">
        <f>"1551689418802840"</f>
        <v>1551689418802840</v>
      </c>
      <c r="C6817" t="s">
        <v>40</v>
      </c>
      <c r="D6817">
        <v>4.4683190000000002</v>
      </c>
      <c r="E6817">
        <v>0.52681739999999999</v>
      </c>
      <c r="F6817" t="s">
        <v>41</v>
      </c>
      <c r="G6817">
        <v>-254.02029999999999</v>
      </c>
      <c r="H6817">
        <v>0.95098879999999997</v>
      </c>
      <c r="I6817">
        <v>-62.949269999999999</v>
      </c>
      <c r="J6817">
        <v>-254.78059999999999</v>
      </c>
      <c r="K6817">
        <v>1.1094949999999999</v>
      </c>
      <c r="L6817">
        <v>-63.031860000000002</v>
      </c>
      <c r="M6817">
        <v>0.99994320000000003</v>
      </c>
      <c r="N6817">
        <v>-9.8924640000000001E-3</v>
      </c>
      <c r="O6817">
        <v>-3.9823089999999998E-3</v>
      </c>
      <c r="P6817">
        <v>0.92336180000000001</v>
      </c>
      <c r="Q6817">
        <v>0.36288740000000003</v>
      </c>
      <c r="R6817">
        <v>0.12536269999999999</v>
      </c>
      <c r="S6817">
        <v>3.437103</v>
      </c>
      <c r="T6817">
        <v>-0.58274159999999997</v>
      </c>
      <c r="U6817">
        <v>0.30059809999999998</v>
      </c>
      <c r="V6817">
        <v>-0.12825610000000001</v>
      </c>
      <c r="W6817">
        <v>0.37226969999999998</v>
      </c>
      <c r="X6817">
        <v>0.91922009999999998</v>
      </c>
      <c r="Y6817">
        <v>-8.969481E-2</v>
      </c>
      <c r="Z6817">
        <v>8.6136019999999997E-3</v>
      </c>
      <c r="AA6817">
        <v>0.99593200000000004</v>
      </c>
      <c r="AB6817">
        <v>35</v>
      </c>
      <c r="AC6817">
        <v>0.76029999999999998</v>
      </c>
      <c r="AD6817">
        <v>-0.15850620000000001</v>
      </c>
      <c r="AE6817">
        <v>8.2589999999996097E-2</v>
      </c>
      <c r="AF6817">
        <v>-8.2090912940816302E-2</v>
      </c>
      <c r="AG6817">
        <v>-0.15850620000000001</v>
      </c>
      <c r="AH6817">
        <v>0.72866426628523995</v>
      </c>
      <c r="AI6817">
        <v>102.197520420392</v>
      </c>
      <c r="AJ6817">
        <v>96.427808005653603</v>
      </c>
      <c r="AK6817">
        <v>0.75020980158013395</v>
      </c>
      <c r="AL6817">
        <v>68.144335584647195</v>
      </c>
      <c r="AM6817">
        <v>97.943033447268206</v>
      </c>
      <c r="AN6817">
        <v>0.99999997448465405</v>
      </c>
    </row>
    <row r="6818" spans="1:40" x14ac:dyDescent="0.25">
      <c r="A6818" t="str">
        <f>"20190304165018822"</f>
        <v>20190304165018822</v>
      </c>
      <c r="B6818" t="str">
        <f>"1551689418812599"</f>
        <v>1551689418812599</v>
      </c>
      <c r="C6818" t="s">
        <v>40</v>
      </c>
      <c r="D6818">
        <v>4.4438599999999999</v>
      </c>
      <c r="E6818">
        <v>0.52505990000000002</v>
      </c>
      <c r="F6818" t="s">
        <v>54</v>
      </c>
      <c r="G6818">
        <v>-247.40870000000001</v>
      </c>
      <c r="H6818" s="1">
        <v>-2.6868369999999998E-6</v>
      </c>
      <c r="I6818">
        <v>-62.343220000000002</v>
      </c>
      <c r="J6818">
        <v>-254.608</v>
      </c>
      <c r="K6818">
        <v>1.109529</v>
      </c>
      <c r="L6818">
        <v>-63.032960000000003</v>
      </c>
      <c r="M6818">
        <v>0.99993969999999999</v>
      </c>
      <c r="N6818">
        <v>-1.005754E-2</v>
      </c>
      <c r="O6818">
        <v>-4.3959439999999997E-3</v>
      </c>
      <c r="P6818">
        <v>0.92329680000000003</v>
      </c>
      <c r="Q6818">
        <v>0.36313099999999998</v>
      </c>
      <c r="R6818">
        <v>0.1251351</v>
      </c>
      <c r="S6818">
        <v>3.407349</v>
      </c>
      <c r="T6818">
        <v>-0.5128161</v>
      </c>
      <c r="U6818">
        <v>0.31826779999999999</v>
      </c>
      <c r="V6818">
        <v>-0.1284122</v>
      </c>
      <c r="W6818">
        <v>0.37266319999999997</v>
      </c>
      <c r="X6818">
        <v>0.91903889999999999</v>
      </c>
      <c r="Y6818">
        <v>-9.6187809999999999E-2</v>
      </c>
      <c r="Z6818">
        <v>8.2826480000000001E-3</v>
      </c>
      <c r="AA6818">
        <v>0.99532869999999996</v>
      </c>
      <c r="AB6818">
        <v>35</v>
      </c>
      <c r="AC6818">
        <v>7.1992999999999903</v>
      </c>
      <c r="AD6818">
        <v>-1.109531686837</v>
      </c>
      <c r="AE6818">
        <v>0.68974000000000002</v>
      </c>
      <c r="AF6818">
        <v>-0.70479468350691199</v>
      </c>
      <c r="AG6818">
        <v>-1.109531686837</v>
      </c>
      <c r="AH6818">
        <v>7.0307238416064397</v>
      </c>
      <c r="AI6818">
        <v>98.923992614564099</v>
      </c>
      <c r="AJ6818">
        <v>95.724489441739493</v>
      </c>
      <c r="AK6818">
        <v>7.1525431733704403</v>
      </c>
      <c r="AL6818">
        <v>68.120042841764104</v>
      </c>
      <c r="AM6818">
        <v>97.954125154784094</v>
      </c>
      <c r="AN6818">
        <v>1.0000000267281399</v>
      </c>
    </row>
    <row r="6819" spans="1:40" x14ac:dyDescent="0.25">
      <c r="A6819" t="str">
        <f>"20190304165018835"</f>
        <v>20190304165018835</v>
      </c>
      <c r="B6819" t="str">
        <f>"1551689418822360"</f>
        <v>1551689418822360</v>
      </c>
      <c r="C6819" t="s">
        <v>40</v>
      </c>
      <c r="D6819">
        <v>4.4194620000000002</v>
      </c>
      <c r="E6819">
        <v>0.52422230000000003</v>
      </c>
      <c r="F6819" t="s">
        <v>54</v>
      </c>
      <c r="G6819">
        <v>-246.54339999999999</v>
      </c>
      <c r="H6819" s="1">
        <v>-2.2919590000000002E-6</v>
      </c>
      <c r="I6819">
        <v>-62.25423</v>
      </c>
      <c r="J6819">
        <v>-254.4059</v>
      </c>
      <c r="K6819">
        <v>1.109569</v>
      </c>
      <c r="L6819">
        <v>-63.0342699999999</v>
      </c>
      <c r="M6819">
        <v>0.99993560000000004</v>
      </c>
      <c r="N6819">
        <v>-1.0261279999999999E-2</v>
      </c>
      <c r="O6819">
        <v>-4.8763180000000001E-3</v>
      </c>
      <c r="P6819">
        <v>0.92320310000000005</v>
      </c>
      <c r="Q6819">
        <v>0.36344179999999998</v>
      </c>
      <c r="R6819">
        <v>0.1249258</v>
      </c>
      <c r="S6819">
        <v>3.3882289999999999</v>
      </c>
      <c r="T6819">
        <v>-0.46615719999999999</v>
      </c>
      <c r="U6819">
        <v>0.32714840000000001</v>
      </c>
      <c r="V6819">
        <v>-0.12864980000000001</v>
      </c>
      <c r="W6819">
        <v>0.3731583</v>
      </c>
      <c r="X6819">
        <v>0.91880479999999998</v>
      </c>
      <c r="Y6819">
        <v>-9.9917909999999999E-2</v>
      </c>
      <c r="Z6819">
        <v>7.9585070000000001E-3</v>
      </c>
      <c r="AA6819">
        <v>0.99496390000000001</v>
      </c>
      <c r="AB6819">
        <v>35</v>
      </c>
      <c r="AC6819">
        <v>7.8625000000000096</v>
      </c>
      <c r="AD6819">
        <v>-1.109571291959</v>
      </c>
      <c r="AE6819">
        <v>0.78003999999998497</v>
      </c>
      <c r="AF6819">
        <v>-0.80254555222449397</v>
      </c>
      <c r="AG6819">
        <v>-1.109571291959</v>
      </c>
      <c r="AH6819">
        <v>7.7066181109393899</v>
      </c>
      <c r="AI6819">
        <v>98.149466980001705</v>
      </c>
      <c r="AJ6819">
        <v>95.945192272645698</v>
      </c>
      <c r="AK6819">
        <v>7.8273361064409297</v>
      </c>
      <c r="AL6819">
        <v>68.089471522466596</v>
      </c>
      <c r="AM6819">
        <v>97.970657945121303</v>
      </c>
      <c r="AN6819">
        <v>1.00000007420098</v>
      </c>
    </row>
    <row r="6820" spans="1:40" x14ac:dyDescent="0.25">
      <c r="A6820" t="str">
        <f>"20190304165018844"</f>
        <v>20190304165018844</v>
      </c>
      <c r="B6820" t="str">
        <f>"1551689418832120"</f>
        <v>1551689418832120</v>
      </c>
      <c r="C6820" t="s">
        <v>40</v>
      </c>
      <c r="D6820">
        <v>4.4136839999999999</v>
      </c>
      <c r="E6820">
        <v>0.52401039999999999</v>
      </c>
      <c r="F6820" t="s">
        <v>54</v>
      </c>
      <c r="G6820">
        <v>-245.81030000000001</v>
      </c>
      <c r="H6820" s="1">
        <v>-1.961271E-6</v>
      </c>
      <c r="I6820">
        <v>-62.193370000000002</v>
      </c>
      <c r="J6820">
        <v>-254.25640000000001</v>
      </c>
      <c r="K6820">
        <v>1.109607</v>
      </c>
      <c r="L6820">
        <v>-63.035369999999901</v>
      </c>
      <c r="M6820">
        <v>0.99993189999999998</v>
      </c>
      <c r="N6820">
        <v>-1.0434819999999999E-2</v>
      </c>
      <c r="O6820">
        <v>-5.2272849999999999E-3</v>
      </c>
      <c r="P6820">
        <v>0.92320230000000003</v>
      </c>
      <c r="Q6820">
        <v>0.3634984</v>
      </c>
      <c r="R6820">
        <v>0.124764899999999</v>
      </c>
      <c r="S6820">
        <v>3.3764500000000002</v>
      </c>
      <c r="T6820">
        <v>-0.4358535</v>
      </c>
      <c r="U6820">
        <v>0.33029170000000002</v>
      </c>
      <c r="V6820">
        <v>-0.12881790000000001</v>
      </c>
      <c r="W6820">
        <v>0.37337229999999999</v>
      </c>
      <c r="X6820">
        <v>0.91869420000000002</v>
      </c>
      <c r="Y6820">
        <v>-0.10161870000000001</v>
      </c>
      <c r="Z6820">
        <v>7.6663819999999898E-3</v>
      </c>
      <c r="AA6820">
        <v>0.99479390000000001</v>
      </c>
      <c r="AB6820">
        <v>35</v>
      </c>
      <c r="AC6820">
        <v>8.4460999999999995</v>
      </c>
      <c r="AD6820">
        <v>-1.1096089612710001</v>
      </c>
      <c r="AE6820">
        <v>0.84199999999999797</v>
      </c>
      <c r="AF6820">
        <v>-0.87125170208838898</v>
      </c>
      <c r="AG6820">
        <v>-1.1096089612710001</v>
      </c>
      <c r="AH6820">
        <v>8.2997434442695699</v>
      </c>
      <c r="AI6820">
        <v>97.573703742744897</v>
      </c>
      <c r="AJ6820">
        <v>95.992581492947195</v>
      </c>
      <c r="AK6820">
        <v>8.4187916482129701</v>
      </c>
      <c r="AL6820">
        <v>68.076252812430099</v>
      </c>
      <c r="AM6820">
        <v>97.981887108217194</v>
      </c>
      <c r="AN6820">
        <v>0.99999997944066898</v>
      </c>
    </row>
    <row r="6821" spans="1:40" x14ac:dyDescent="0.25">
      <c r="A6821" t="str">
        <f>"20190304165018854"</f>
        <v>20190304165018854</v>
      </c>
      <c r="B6821" t="str">
        <f>"1551689418842856"</f>
        <v>1551689418842856</v>
      </c>
      <c r="C6821" t="s">
        <v>40</v>
      </c>
      <c r="D6821">
        <v>4.3729180000000003</v>
      </c>
      <c r="E6821">
        <v>0.52386460000000001</v>
      </c>
      <c r="F6821" t="s">
        <v>54</v>
      </c>
      <c r="G6821">
        <v>-245.28659999999999</v>
      </c>
      <c r="H6821" s="1">
        <v>-1.7271590000000001E-6</v>
      </c>
      <c r="I6821">
        <v>-62.157829999999997</v>
      </c>
      <c r="J6821">
        <v>-254.09729999999999</v>
      </c>
      <c r="K6821">
        <v>1.10965</v>
      </c>
      <c r="L6821">
        <v>-63.036529999999999</v>
      </c>
      <c r="M6821">
        <v>0.99992809999999999</v>
      </c>
      <c r="N6821">
        <v>-1.0620930000000001E-2</v>
      </c>
      <c r="O6821">
        <v>-5.6003869999999897E-3</v>
      </c>
      <c r="P6821">
        <v>0.92318299999999998</v>
      </c>
      <c r="Q6821">
        <v>0.36360399999999998</v>
      </c>
      <c r="R6821">
        <v>0.1246032</v>
      </c>
      <c r="S6821">
        <v>3.3691249999999999</v>
      </c>
      <c r="T6821">
        <v>-0.41677900000000001</v>
      </c>
      <c r="U6821">
        <v>0.32958979999999999</v>
      </c>
      <c r="V6821">
        <v>-0.1290058</v>
      </c>
      <c r="W6821">
        <v>0.3736466</v>
      </c>
      <c r="X6821">
        <v>0.91855629999999999</v>
      </c>
      <c r="Y6821">
        <v>-0.1020611</v>
      </c>
      <c r="Z6821">
        <v>7.4489489999999998E-3</v>
      </c>
      <c r="AA6821">
        <v>0.99475029999999998</v>
      </c>
      <c r="AB6821">
        <v>35</v>
      </c>
      <c r="AC6821">
        <v>8.81069999999999</v>
      </c>
      <c r="AD6821">
        <v>-1.1096517271590001</v>
      </c>
      <c r="AE6821">
        <v>0.87870000000000203</v>
      </c>
      <c r="AF6821">
        <v>-0.91368240002935397</v>
      </c>
      <c r="AG6821">
        <v>-1.1096517271590001</v>
      </c>
      <c r="AH6821">
        <v>8.6694811493821593</v>
      </c>
      <c r="AI6821">
        <v>97.254180064924697</v>
      </c>
      <c r="AJ6821">
        <v>96.016231526742004</v>
      </c>
      <c r="AK6821">
        <v>8.7878351078751393</v>
      </c>
      <c r="AL6821">
        <v>68.059310343739199</v>
      </c>
      <c r="AM6821">
        <v>97.994564004510806</v>
      </c>
      <c r="AN6821">
        <v>0.99999997719744405</v>
      </c>
    </row>
    <row r="6822" spans="1:40" x14ac:dyDescent="0.25">
      <c r="A6822" t="str">
        <f>"20190304165018866"</f>
        <v>20190304165018866</v>
      </c>
      <c r="B6822" t="str">
        <f>"1551689418862376"</f>
        <v>1551689418862376</v>
      </c>
      <c r="C6822" t="s">
        <v>40</v>
      </c>
      <c r="D6822">
        <v>4.3825149999999997</v>
      </c>
      <c r="E6822">
        <v>0.52400740000000001</v>
      </c>
      <c r="F6822" t="s">
        <v>54</v>
      </c>
      <c r="G6822">
        <v>-244.8407</v>
      </c>
      <c r="H6822" s="1">
        <v>-1.528827E-6</v>
      </c>
      <c r="I6822">
        <v>-62.131480000000003</v>
      </c>
      <c r="J6822">
        <v>-253.91730000000001</v>
      </c>
      <c r="K6822">
        <v>1.1096950000000001</v>
      </c>
      <c r="L6822">
        <v>-63.037959999999998</v>
      </c>
      <c r="M6822">
        <v>0.99992320000000001</v>
      </c>
      <c r="N6822">
        <v>-1.084095E-2</v>
      </c>
      <c r="O6822">
        <v>-6.0222000000000001E-3</v>
      </c>
      <c r="P6822">
        <v>0.92317210000000005</v>
      </c>
      <c r="Q6822">
        <v>0.3637436</v>
      </c>
      <c r="R6822">
        <v>0.124275</v>
      </c>
      <c r="S6822">
        <v>3.3640590000000001</v>
      </c>
      <c r="T6822">
        <v>-0.4032693</v>
      </c>
      <c r="U6822">
        <v>0.32888790000000001</v>
      </c>
      <c r="V6822">
        <v>-0.12907439999999901</v>
      </c>
      <c r="W6822">
        <v>0.3739845</v>
      </c>
      <c r="X6822">
        <v>0.91840920000000004</v>
      </c>
      <c r="Y6822">
        <v>-0.10246470000000001</v>
      </c>
      <c r="Z6822">
        <v>7.3168790000000001E-3</v>
      </c>
      <c r="AA6822">
        <v>0.99470970000000003</v>
      </c>
      <c r="AB6822">
        <v>35</v>
      </c>
      <c r="AC6822">
        <v>9.0766000000000098</v>
      </c>
      <c r="AD6822">
        <v>-1.109696528827</v>
      </c>
      <c r="AE6822">
        <v>0.90647999999999396</v>
      </c>
      <c r="AF6822">
        <v>-0.94711094382618499</v>
      </c>
      <c r="AG6822">
        <v>-1.109696528827</v>
      </c>
      <c r="AH6822">
        <v>8.9386865065282297</v>
      </c>
      <c r="AI6822">
        <v>97.037800615809502</v>
      </c>
      <c r="AJ6822">
        <v>96.048287048692004</v>
      </c>
      <c r="AK6822">
        <v>9.0569620727921691</v>
      </c>
      <c r="AL6822">
        <v>68.038438118545997</v>
      </c>
      <c r="AM6822">
        <v>98.000024742251</v>
      </c>
      <c r="AN6822">
        <v>1.00000003281012</v>
      </c>
    </row>
    <row r="6823" spans="1:40" x14ac:dyDescent="0.25">
      <c r="A6823" t="str">
        <f>"20190304165018877"</f>
        <v>20190304165018877</v>
      </c>
      <c r="B6823" t="str">
        <f>"1551689418872645"</f>
        <v>1551689418872645</v>
      </c>
      <c r="C6823" t="s">
        <v>40</v>
      </c>
      <c r="D6823">
        <v>4.3594559999999998</v>
      </c>
      <c r="E6823">
        <v>0.52403339999999998</v>
      </c>
      <c r="F6823" t="s">
        <v>54</v>
      </c>
      <c r="G6823">
        <v>-244.28489999999999</v>
      </c>
      <c r="H6823" s="1">
        <v>-1.2832679999999901E-6</v>
      </c>
      <c r="I6823">
        <v>-62.104719999999901</v>
      </c>
      <c r="J6823">
        <v>-253.7406</v>
      </c>
      <c r="K6823">
        <v>1.1097379999999999</v>
      </c>
      <c r="L6823">
        <v>-63.039400000000001</v>
      </c>
      <c r="M6823">
        <v>0.99991830000000004</v>
      </c>
      <c r="N6823">
        <v>-1.105664E-2</v>
      </c>
      <c r="O6823">
        <v>-6.4360210000000001E-3</v>
      </c>
      <c r="P6823">
        <v>0.92327110000000001</v>
      </c>
      <c r="Q6823">
        <v>0.36361369999999998</v>
      </c>
      <c r="R6823">
        <v>0.1239186</v>
      </c>
      <c r="S6823">
        <v>3.3583219999999998</v>
      </c>
      <c r="T6823">
        <v>-0.38689050000000003</v>
      </c>
      <c r="U6823">
        <v>0.32534790000000002</v>
      </c>
      <c r="V6823">
        <v>-0.12910839999999901</v>
      </c>
      <c r="W6823">
        <v>0.3740503</v>
      </c>
      <c r="X6823">
        <v>0.91837760000000002</v>
      </c>
      <c r="Y6823">
        <v>-0.1020626</v>
      </c>
      <c r="Z6823">
        <v>7.0802219999999997E-3</v>
      </c>
      <c r="AA6823">
        <v>0.99475279999999999</v>
      </c>
      <c r="AB6823">
        <v>35</v>
      </c>
      <c r="AC6823">
        <v>9.4557000000000002</v>
      </c>
      <c r="AD6823">
        <v>-1.109739283268</v>
      </c>
      <c r="AE6823">
        <v>0.93468000000000695</v>
      </c>
      <c r="AF6823">
        <v>-0.98212472009669205</v>
      </c>
      <c r="AG6823">
        <v>-1.109739283268</v>
      </c>
      <c r="AH6823">
        <v>9.3223265517285796</v>
      </c>
      <c r="AI6823">
        <v>96.751585057703494</v>
      </c>
      <c r="AJ6823">
        <v>96.014034163319707</v>
      </c>
      <c r="AK6823">
        <v>9.4393782941312807</v>
      </c>
      <c r="AL6823">
        <v>68.034372514984994</v>
      </c>
      <c r="AM6823">
        <v>98.002376541230902</v>
      </c>
      <c r="AN6823">
        <v>1.0000000110312</v>
      </c>
    </row>
    <row r="6824" spans="1:40" x14ac:dyDescent="0.25">
      <c r="A6824" t="str">
        <f>"20190304165018888"</f>
        <v>20190304165018888</v>
      </c>
      <c r="B6824" t="str">
        <f>"1551689418882405"</f>
        <v>1551689418882405</v>
      </c>
      <c r="C6824" t="s">
        <v>40</v>
      </c>
      <c r="D6824">
        <v>4.3471549999999999</v>
      </c>
      <c r="E6824">
        <v>0.52402499999999996</v>
      </c>
      <c r="F6824" t="s">
        <v>54</v>
      </c>
      <c r="G6824">
        <v>-243.9837</v>
      </c>
      <c r="H6824" s="1">
        <v>-1.152624E-6</v>
      </c>
      <c r="I6824">
        <v>-62.099209999999999</v>
      </c>
      <c r="J6824">
        <v>-253.55680000000001</v>
      </c>
      <c r="K6824">
        <v>1.109775</v>
      </c>
      <c r="L6824">
        <v>-63.040990000000001</v>
      </c>
      <c r="M6824">
        <v>0.99991289999999999</v>
      </c>
      <c r="N6824">
        <v>-1.1274350000000001E-2</v>
      </c>
      <c r="O6824">
        <v>-6.8660969999999998E-3</v>
      </c>
      <c r="P6824">
        <v>0.92330500000000004</v>
      </c>
      <c r="Q6824">
        <v>0.36365609999999998</v>
      </c>
      <c r="R6824">
        <v>0.12354080000000001</v>
      </c>
      <c r="S6824">
        <v>3.3562620000000001</v>
      </c>
      <c r="T6824">
        <v>-0.3817393</v>
      </c>
      <c r="U6824">
        <v>0.32339479999999998</v>
      </c>
      <c r="V6824">
        <v>-0.12913479999999999</v>
      </c>
      <c r="W6824">
        <v>0.37429010000000001</v>
      </c>
      <c r="X6824">
        <v>0.91827619999999999</v>
      </c>
      <c r="Y6824">
        <v>-0.10199129999999999</v>
      </c>
      <c r="Z6824">
        <v>7.0463590000000003E-3</v>
      </c>
      <c r="AA6824">
        <v>0.99476030000000004</v>
      </c>
      <c r="AB6824">
        <v>35</v>
      </c>
      <c r="AC6824">
        <v>9.5731000000000002</v>
      </c>
      <c r="AD6824">
        <v>-1.109776152624</v>
      </c>
      <c r="AE6824">
        <v>0.94178000000000095</v>
      </c>
      <c r="AF6824">
        <v>-0.99425809254054998</v>
      </c>
      <c r="AG6824">
        <v>-1.109776152624</v>
      </c>
      <c r="AH6824">
        <v>9.4407498518031208</v>
      </c>
      <c r="AI6824">
        <v>96.667906070169394</v>
      </c>
      <c r="AJ6824">
        <v>96.011976868568397</v>
      </c>
      <c r="AK6824">
        <v>9.5576100583689794</v>
      </c>
      <c r="AL6824">
        <v>68.019557153407405</v>
      </c>
      <c r="AM6824">
        <v>98.004864037798896</v>
      </c>
      <c r="AN6824">
        <v>1.0000000275077401</v>
      </c>
    </row>
    <row r="6825" spans="1:40" x14ac:dyDescent="0.25">
      <c r="A6825" t="str">
        <f>"20190304165018899"</f>
        <v>20190304165018899</v>
      </c>
      <c r="B6825" t="str">
        <f>"1551689418892165"</f>
        <v>1551689418892165</v>
      </c>
      <c r="C6825" t="s">
        <v>40</v>
      </c>
      <c r="D6825">
        <v>4.3757710000000003</v>
      </c>
      <c r="E6825">
        <v>0.5240437</v>
      </c>
      <c r="F6825" t="s">
        <v>54</v>
      </c>
      <c r="G6825">
        <v>-243.69210000000001</v>
      </c>
      <c r="H6825" s="1">
        <v>-1.025915E-6</v>
      </c>
      <c r="I6825">
        <v>-62.093200000000003</v>
      </c>
      <c r="J6825">
        <v>-253.37960000000001</v>
      </c>
      <c r="K6825">
        <v>1.1098079999999999</v>
      </c>
      <c r="L6825">
        <v>-63.0426</v>
      </c>
      <c r="M6825">
        <v>0.99990769999999995</v>
      </c>
      <c r="N6825">
        <v>-1.147807E-2</v>
      </c>
      <c r="O6825">
        <v>-7.2790769999999897E-3</v>
      </c>
      <c r="P6825">
        <v>0.92359760000000002</v>
      </c>
      <c r="Q6825">
        <v>0.36303360000000001</v>
      </c>
      <c r="R6825">
        <v>0.1231833</v>
      </c>
      <c r="S6825">
        <v>3.3547359999999999</v>
      </c>
      <c r="T6825">
        <v>-0.37740780000000002</v>
      </c>
      <c r="U6825">
        <v>0.32229609999999997</v>
      </c>
      <c r="V6825">
        <v>-0.12916749999999999</v>
      </c>
      <c r="W6825">
        <v>0.3738554</v>
      </c>
      <c r="X6825">
        <v>0.91844870000000001</v>
      </c>
      <c r="Y6825">
        <v>-0.10213410000000001</v>
      </c>
      <c r="Z6825">
        <v>7.0348859999999997E-3</v>
      </c>
      <c r="AA6825">
        <v>0.99474580000000001</v>
      </c>
      <c r="AB6825">
        <v>35</v>
      </c>
      <c r="AC6825">
        <v>9.6875</v>
      </c>
      <c r="AD6825">
        <v>-1.109809025915</v>
      </c>
      <c r="AE6825">
        <v>0.94939999999999702</v>
      </c>
      <c r="AF6825">
        <v>-1.0068076931627301</v>
      </c>
      <c r="AG6825">
        <v>-1.109809025915</v>
      </c>
      <c r="AH6825">
        <v>9.5561088578542002</v>
      </c>
      <c r="AI6825">
        <v>96.588289541806006</v>
      </c>
      <c r="AJ6825">
        <v>96.0143518003634</v>
      </c>
      <c r="AK6825">
        <v>9.6728772507550005</v>
      </c>
      <c r="AL6825">
        <v>68.046414133441303</v>
      </c>
      <c r="AM6825">
        <v>98.0053804494177</v>
      </c>
      <c r="AN6825">
        <v>1.00000005884854</v>
      </c>
    </row>
    <row r="6826" spans="1:40" x14ac:dyDescent="0.25">
      <c r="A6826" t="str">
        <f>"20190304165018909"</f>
        <v>20190304165018909</v>
      </c>
      <c r="B6826" t="str">
        <f>"1551689418901926"</f>
        <v>1551689418901926</v>
      </c>
      <c r="C6826" t="s">
        <v>40</v>
      </c>
      <c r="D6826">
        <v>4.3653120000000003</v>
      </c>
      <c r="E6826">
        <v>0.52401409999999904</v>
      </c>
      <c r="F6826" t="s">
        <v>54</v>
      </c>
      <c r="G6826">
        <v>-243.53</v>
      </c>
      <c r="H6826" s="1">
        <v>-9.5817520000000003E-7</v>
      </c>
      <c r="I6826">
        <v>-62.099890000000002</v>
      </c>
      <c r="J6826">
        <v>-253.21520000000001</v>
      </c>
      <c r="K6826">
        <v>1.1098319999999999</v>
      </c>
      <c r="L6826">
        <v>-63.044130000000003</v>
      </c>
      <c r="M6826">
        <v>0.99990270000000003</v>
      </c>
      <c r="N6826">
        <v>-1.165918E-2</v>
      </c>
      <c r="O6826">
        <v>-7.6607200000000002E-3</v>
      </c>
      <c r="P6826">
        <v>0.92376329999999995</v>
      </c>
      <c r="Q6826">
        <v>0.36272450000000001</v>
      </c>
      <c r="R6826">
        <v>0.1228511</v>
      </c>
      <c r="S6826">
        <v>3.353882</v>
      </c>
      <c r="T6826">
        <v>-0.37790319999999999</v>
      </c>
      <c r="U6826">
        <v>0.32098389999999999</v>
      </c>
      <c r="V6826">
        <v>-0.12919310000000001</v>
      </c>
      <c r="W6826">
        <v>0.3737125</v>
      </c>
      <c r="X6826">
        <v>0.91850319999999996</v>
      </c>
      <c r="Y6826">
        <v>-0.102147</v>
      </c>
      <c r="Z6826">
        <v>7.0923109999999996E-3</v>
      </c>
      <c r="AA6826">
        <v>0.99474399999999996</v>
      </c>
      <c r="AB6826">
        <v>35</v>
      </c>
      <c r="AC6826">
        <v>9.6852</v>
      </c>
      <c r="AD6826">
        <v>-1.1098329581752</v>
      </c>
      <c r="AE6826">
        <v>0.94423999999999997</v>
      </c>
      <c r="AF6826">
        <v>-1.0053361532707501</v>
      </c>
      <c r="AG6826">
        <v>-1.1098329581752</v>
      </c>
      <c r="AH6826">
        <v>9.5534168486241402</v>
      </c>
      <c r="AI6826">
        <v>96.590355145721205</v>
      </c>
      <c r="AJ6826">
        <v>96.007305498206193</v>
      </c>
      <c r="AK6826">
        <v>9.67006739685411</v>
      </c>
      <c r="AL6826">
        <v>68.055240398897098</v>
      </c>
      <c r="AM6826">
        <v>98.006477542937901</v>
      </c>
      <c r="AN6826">
        <v>1.00000000907704</v>
      </c>
    </row>
    <row r="6827" spans="1:40" x14ac:dyDescent="0.25">
      <c r="A6827" t="str">
        <f>"20190304165018920"</f>
        <v>20190304165018920</v>
      </c>
      <c r="B6827" t="str">
        <f>"1551689418912662"</f>
        <v>1551689418912662</v>
      </c>
      <c r="C6827" t="s">
        <v>40</v>
      </c>
      <c r="D6827">
        <v>4.3791019999999996</v>
      </c>
      <c r="E6827">
        <v>0.52400059999999904</v>
      </c>
      <c r="F6827" t="s">
        <v>54</v>
      </c>
      <c r="G6827">
        <v>-243.3657</v>
      </c>
      <c r="H6827" s="1">
        <v>-8.8878329999999995E-7</v>
      </c>
      <c r="I6827">
        <v>-62.104059999999997</v>
      </c>
      <c r="J6827">
        <v>-253.05510000000001</v>
      </c>
      <c r="K6827">
        <v>1.1098429999999999</v>
      </c>
      <c r="L6827">
        <v>-63.045720000000003</v>
      </c>
      <c r="M6827">
        <v>0.99989799999999995</v>
      </c>
      <c r="N6827">
        <v>-1.1828079999999999E-2</v>
      </c>
      <c r="O6827">
        <v>-8.0294359999999992E-3</v>
      </c>
      <c r="P6827">
        <v>0.9240157</v>
      </c>
      <c r="Q6827">
        <v>0.36204180000000002</v>
      </c>
      <c r="R6827">
        <v>0.1229667</v>
      </c>
      <c r="S6827">
        <v>3.3533780000000002</v>
      </c>
      <c r="T6827">
        <v>-0.37785590000000002</v>
      </c>
      <c r="U6827">
        <v>0.32003779999999998</v>
      </c>
      <c r="V6827">
        <v>-0.1296553</v>
      </c>
      <c r="W6827">
        <v>0.37318750000000001</v>
      </c>
      <c r="X6827">
        <v>0.91865149999999995</v>
      </c>
      <c r="Y6827">
        <v>-0.1022464</v>
      </c>
      <c r="Z6827">
        <v>7.143094E-3</v>
      </c>
      <c r="AA6827">
        <v>0.99473350000000005</v>
      </c>
      <c r="AB6827">
        <v>35</v>
      </c>
      <c r="AC6827">
        <v>9.6893999999999991</v>
      </c>
      <c r="AD6827">
        <v>-1.1098438887833</v>
      </c>
      <c r="AE6827">
        <v>0.94165999999999805</v>
      </c>
      <c r="AF6827">
        <v>-1.0063557495309501</v>
      </c>
      <c r="AG6827">
        <v>-1.1098438887833</v>
      </c>
      <c r="AH6827">
        <v>9.5573085070146799</v>
      </c>
      <c r="AI6827">
        <v>96.5877161153022</v>
      </c>
      <c r="AJ6827">
        <v>96.010922736752605</v>
      </c>
      <c r="AK6827">
        <v>9.6740193947675603</v>
      </c>
      <c r="AL6827">
        <v>68.087666340387003</v>
      </c>
      <c r="AM6827">
        <v>98.033467907810007</v>
      </c>
      <c r="AN6827">
        <v>0.99999999271329398</v>
      </c>
    </row>
    <row r="6828" spans="1:40" x14ac:dyDescent="0.25">
      <c r="A6828" t="str">
        <f>"20190304165018931"</f>
        <v>20190304165018931</v>
      </c>
      <c r="B6828" t="str">
        <f>"1551689418922422"</f>
        <v>1551689418922422</v>
      </c>
      <c r="C6828" t="s">
        <v>40</v>
      </c>
      <c r="D6828">
        <v>4.4052160000000002</v>
      </c>
      <c r="E6828">
        <v>0.52399770000000001</v>
      </c>
      <c r="F6828" t="s">
        <v>54</v>
      </c>
      <c r="G6828">
        <v>-243.22669999999999</v>
      </c>
      <c r="H6828" s="1">
        <v>-8.2991899999999998E-7</v>
      </c>
      <c r="I6828">
        <v>-62.107010000000002</v>
      </c>
      <c r="J6828">
        <v>-252.8794</v>
      </c>
      <c r="K6828">
        <v>1.1098629999999901</v>
      </c>
      <c r="L6828">
        <v>-63.047490000000003</v>
      </c>
      <c r="M6828">
        <v>0.99989249999999996</v>
      </c>
      <c r="N6828">
        <v>-1.200623E-2</v>
      </c>
      <c r="O6828">
        <v>-8.4314950000000007E-3</v>
      </c>
      <c r="P6828">
        <v>0.92412689999999997</v>
      </c>
      <c r="Q6828">
        <v>0.36181360000000001</v>
      </c>
      <c r="R6828">
        <v>0.122803</v>
      </c>
      <c r="S6828">
        <v>3.3524020000000001</v>
      </c>
      <c r="T6828">
        <v>-0.37855729999999999</v>
      </c>
      <c r="U6828">
        <v>0.3201599</v>
      </c>
      <c r="V6828">
        <v>-0.1298666</v>
      </c>
      <c r="W6828">
        <v>0.37312279999999998</v>
      </c>
      <c r="X6828">
        <v>0.91864789999999996</v>
      </c>
      <c r="Y6828">
        <v>-0.1027006</v>
      </c>
      <c r="Z6828">
        <v>7.2335809999999898E-3</v>
      </c>
      <c r="AA6828">
        <v>0.99468599999999996</v>
      </c>
      <c r="AB6828">
        <v>35</v>
      </c>
      <c r="AC6828">
        <v>9.65270000000001</v>
      </c>
      <c r="AD6828">
        <v>-1.10986382991899</v>
      </c>
      <c r="AE6828">
        <v>0.94048000000000698</v>
      </c>
      <c r="AF6828">
        <v>-1.00863009903514</v>
      </c>
      <c r="AG6828">
        <v>-1.10986382991899</v>
      </c>
      <c r="AH6828">
        <v>9.5197559438989607</v>
      </c>
      <c r="AI6828">
        <v>96.6131426991507</v>
      </c>
      <c r="AJ6828">
        <v>96.047996219343602</v>
      </c>
      <c r="AK6828">
        <v>9.6371616998492708</v>
      </c>
      <c r="AL6828">
        <v>68.091661254608297</v>
      </c>
      <c r="AM6828">
        <v>98.0464198925375</v>
      </c>
      <c r="AN6828">
        <v>0.99999996092490395</v>
      </c>
    </row>
    <row r="6829" spans="1:40" x14ac:dyDescent="0.25">
      <c r="A6829" t="str">
        <f>"20190304165018942"</f>
        <v>20190304165018942</v>
      </c>
      <c r="B6829" t="str">
        <f>"1551689418932182"</f>
        <v>1551689418932182</v>
      </c>
      <c r="C6829" t="s">
        <v>40</v>
      </c>
      <c r="D6829">
        <v>4.3831089999999904</v>
      </c>
      <c r="E6829">
        <v>0.52397749999999998</v>
      </c>
      <c r="F6829" t="s">
        <v>54</v>
      </c>
      <c r="G6829">
        <v>-243.04079999999999</v>
      </c>
      <c r="H6829" s="1">
        <v>-7.5077719999999996E-7</v>
      </c>
      <c r="I6829">
        <v>-62.109279999999998</v>
      </c>
      <c r="J6829">
        <v>-252.7054</v>
      </c>
      <c r="K6829">
        <v>1.109882</v>
      </c>
      <c r="L6829">
        <v>-63.049320000000002</v>
      </c>
      <c r="M6829">
        <v>0.99988690000000002</v>
      </c>
      <c r="N6829">
        <v>-1.2172240000000001E-2</v>
      </c>
      <c r="O6829">
        <v>-8.8245379999999998E-3</v>
      </c>
      <c r="P6829">
        <v>0.92417000000000005</v>
      </c>
      <c r="Q6829">
        <v>0.36170049999999998</v>
      </c>
      <c r="R6829">
        <v>0.122811</v>
      </c>
      <c r="S6829">
        <v>3.3518520000000001</v>
      </c>
      <c r="T6829">
        <v>-0.37811109999999998</v>
      </c>
      <c r="U6829">
        <v>0.31961060000000002</v>
      </c>
      <c r="V6829">
        <v>-0.1302411</v>
      </c>
      <c r="W6829">
        <v>0.37316179999999999</v>
      </c>
      <c r="X6829">
        <v>0.91857909999999998</v>
      </c>
      <c r="Y6829">
        <v>-0.1029424</v>
      </c>
      <c r="Z6829">
        <v>7.2884250000000003E-3</v>
      </c>
      <c r="AA6829">
        <v>0.99466060000000001</v>
      </c>
      <c r="AB6829">
        <v>35</v>
      </c>
      <c r="AC6829">
        <v>9.6646000000000001</v>
      </c>
      <c r="AD6829">
        <v>-1.1098827507772</v>
      </c>
      <c r="AE6829">
        <v>0.940039999999989</v>
      </c>
      <c r="AF6829">
        <v>-1.01207299164141</v>
      </c>
      <c r="AG6829">
        <v>-1.1098827507772</v>
      </c>
      <c r="AH6829">
        <v>9.5314033729214902</v>
      </c>
      <c r="AI6829">
        <v>96.605085330166602</v>
      </c>
      <c r="AJ6829">
        <v>96.0611263788592</v>
      </c>
      <c r="AK6829">
        <v>9.6490300920984708</v>
      </c>
      <c r="AL6829">
        <v>68.0892540798026</v>
      </c>
      <c r="AM6829">
        <v>98.069914816592899</v>
      </c>
      <c r="AN6829">
        <v>1.0000000180326201</v>
      </c>
    </row>
    <row r="6830" spans="1:40" x14ac:dyDescent="0.25">
      <c r="A6830" t="str">
        <f>"20190304165018954"</f>
        <v>20190304165018954</v>
      </c>
      <c r="B6830" t="str">
        <f>"1551689418941942"</f>
        <v>1551689418941942</v>
      </c>
      <c r="C6830" t="s">
        <v>40</v>
      </c>
      <c r="D6830">
        <v>4.4030139999999998</v>
      </c>
      <c r="E6830">
        <v>0.52403350000000004</v>
      </c>
      <c r="F6830" t="s">
        <v>54</v>
      </c>
      <c r="G6830">
        <v>-242.84180000000001</v>
      </c>
      <c r="H6830" s="1">
        <v>-6.6581360000000004E-7</v>
      </c>
      <c r="I6830">
        <v>-62.11083</v>
      </c>
      <c r="J6830">
        <v>-252.5284</v>
      </c>
      <c r="K6830">
        <v>1.1099000000000001</v>
      </c>
      <c r="L6830">
        <v>-63.05124</v>
      </c>
      <c r="M6830">
        <v>0.99988149999999998</v>
      </c>
      <c r="N6830">
        <v>-1.233647E-2</v>
      </c>
      <c r="O6830">
        <v>-9.2224660000000003E-3</v>
      </c>
      <c r="P6830">
        <v>0.92413190000000001</v>
      </c>
      <c r="Q6830">
        <v>0.36178280000000002</v>
      </c>
      <c r="R6830">
        <v>0.12285600000000001</v>
      </c>
      <c r="S6830">
        <v>3.3513639999999998</v>
      </c>
      <c r="T6830">
        <v>-0.37710379999999999</v>
      </c>
      <c r="U6830">
        <v>0.31884770000000001</v>
      </c>
      <c r="V6830">
        <v>-0.13065539999999901</v>
      </c>
      <c r="W6830">
        <v>0.37339359999999999</v>
      </c>
      <c r="X6830">
        <v>0.91842599999999996</v>
      </c>
      <c r="Y6830">
        <v>-0.1031271</v>
      </c>
      <c r="Z6830">
        <v>7.3297479999999996E-3</v>
      </c>
      <c r="AA6830">
        <v>0.9946412</v>
      </c>
      <c r="AB6830">
        <v>35</v>
      </c>
      <c r="AC6830">
        <v>9.6866000000000003</v>
      </c>
      <c r="AD6830">
        <v>-1.1099006658135999</v>
      </c>
      <c r="AE6830">
        <v>0.94040999999999197</v>
      </c>
      <c r="AF6830">
        <v>-1.01649042120573</v>
      </c>
      <c r="AG6830">
        <v>-1.1099006658135999</v>
      </c>
      <c r="AH6830">
        <v>9.5532625256615091</v>
      </c>
      <c r="AI6830">
        <v>96.590059874202495</v>
      </c>
      <c r="AJ6830">
        <v>96.073558848380898</v>
      </c>
      <c r="AK6830">
        <v>9.6710887261251592</v>
      </c>
      <c r="AL6830">
        <v>68.074936953415801</v>
      </c>
      <c r="AM6830">
        <v>98.096577233418301</v>
      </c>
      <c r="AN6830">
        <v>0.99999996577305905</v>
      </c>
    </row>
    <row r="6831" spans="1:40" x14ac:dyDescent="0.25">
      <c r="A6831" t="str">
        <f>"20190304165018965"</f>
        <v>20190304165018965</v>
      </c>
      <c r="B6831" t="str">
        <f>"1551689418962437"</f>
        <v>1551689418962437</v>
      </c>
      <c r="C6831" t="s">
        <v>40</v>
      </c>
      <c r="D6831">
        <v>4.4045579999999998</v>
      </c>
      <c r="E6831">
        <v>0.52406940000000002</v>
      </c>
      <c r="F6831" t="s">
        <v>54</v>
      </c>
      <c r="G6831">
        <v>-242.62629999999999</v>
      </c>
      <c r="H6831" s="1">
        <v>-5.7313399999999995E-7</v>
      </c>
      <c r="I6831">
        <v>-62.10989</v>
      </c>
      <c r="J6831">
        <v>-252.3537</v>
      </c>
      <c r="K6831">
        <v>1.1099209999999999</v>
      </c>
      <c r="L6831">
        <v>-63.053249999999998</v>
      </c>
      <c r="M6831">
        <v>0.99987599999999999</v>
      </c>
      <c r="N6831">
        <v>-1.248493E-2</v>
      </c>
      <c r="O6831">
        <v>-9.6082170000000005E-3</v>
      </c>
      <c r="P6831">
        <v>0.92408809999999997</v>
      </c>
      <c r="Q6831">
        <v>0.36185040000000002</v>
      </c>
      <c r="R6831">
        <v>0.122985999999999</v>
      </c>
      <c r="S6831">
        <v>3.3509669999999998</v>
      </c>
      <c r="T6831">
        <v>-0.37560189999999999</v>
      </c>
      <c r="U6831">
        <v>0.31854250000000001</v>
      </c>
      <c r="V6831">
        <v>-0.13114619999999999</v>
      </c>
      <c r="W6831">
        <v>0.37359569999999998</v>
      </c>
      <c r="X6831">
        <v>0.91827389999999998</v>
      </c>
      <c r="Y6831">
        <v>-0.1034331</v>
      </c>
      <c r="Z6831">
        <v>7.3671569999999896E-3</v>
      </c>
      <c r="AA6831">
        <v>0.99460910000000002</v>
      </c>
      <c r="AB6831">
        <v>35</v>
      </c>
      <c r="AC6831">
        <v>9.72740000000001</v>
      </c>
      <c r="AD6831">
        <v>-1.109921573134</v>
      </c>
      <c r="AE6831">
        <v>0.94335999999999798</v>
      </c>
      <c r="AF6831">
        <v>-1.0235844046245699</v>
      </c>
      <c r="AG6831">
        <v>-1.109921573134</v>
      </c>
      <c r="AH6831">
        <v>9.5941400734122109</v>
      </c>
      <c r="AI6831">
        <v>96.562153664029196</v>
      </c>
      <c r="AJ6831">
        <v>96.089764985431501</v>
      </c>
      <c r="AK6831">
        <v>9.7122178044024992</v>
      </c>
      <c r="AL6831">
        <v>68.062455238377296</v>
      </c>
      <c r="AM6831">
        <v>98.127914146531296</v>
      </c>
      <c r="AN6831">
        <v>1.00000001412707</v>
      </c>
    </row>
    <row r="6832" spans="1:40" x14ac:dyDescent="0.25">
      <c r="A6832" t="str">
        <f>"20190304165018977"</f>
        <v>20190304165018977</v>
      </c>
      <c r="B6832" t="str">
        <f>"1551689418972710"</f>
        <v>1551689418972710</v>
      </c>
      <c r="C6832" t="s">
        <v>40</v>
      </c>
      <c r="D6832">
        <v>4.4210900000000004</v>
      </c>
      <c r="E6832">
        <v>0.52403149999999998</v>
      </c>
      <c r="F6832" t="s">
        <v>54</v>
      </c>
      <c r="G6832">
        <v>-242.4118</v>
      </c>
      <c r="H6832" s="1">
        <v>-4.8062319999999999E-7</v>
      </c>
      <c r="I6832">
        <v>-62.107999999999997</v>
      </c>
      <c r="J6832">
        <v>-252.16659999999999</v>
      </c>
      <c r="K6832">
        <v>1.1099429999999999</v>
      </c>
      <c r="L6832">
        <v>-63.055419999999998</v>
      </c>
      <c r="M6832">
        <v>0.99986989999999998</v>
      </c>
      <c r="N6832">
        <v>-1.263969E-2</v>
      </c>
      <c r="O6832">
        <v>-1.001867E-2</v>
      </c>
      <c r="P6832">
        <v>0.92397470000000004</v>
      </c>
      <c r="Q6832">
        <v>0.36216350000000003</v>
      </c>
      <c r="R6832">
        <v>0.12291680000000001</v>
      </c>
      <c r="S6832">
        <v>3.3505250000000002</v>
      </c>
      <c r="T6832">
        <v>-0.37405850000000002</v>
      </c>
      <c r="U6832">
        <v>0.31854250000000001</v>
      </c>
      <c r="V6832">
        <v>-0.1314602</v>
      </c>
      <c r="W6832">
        <v>0.37404690000000002</v>
      </c>
      <c r="X6832">
        <v>0.91804529999999995</v>
      </c>
      <c r="Y6832">
        <v>-0.1038539</v>
      </c>
      <c r="Z6832">
        <v>7.4131459999999998E-3</v>
      </c>
      <c r="AA6832">
        <v>0.99456500000000003</v>
      </c>
      <c r="AB6832">
        <v>35</v>
      </c>
      <c r="AC6832">
        <v>9.7547999999999799</v>
      </c>
      <c r="AD6832">
        <v>-1.1099434806232</v>
      </c>
      <c r="AE6832">
        <v>0.94741999999999404</v>
      </c>
      <c r="AF6832">
        <v>-1.0318756518630601</v>
      </c>
      <c r="AG6832">
        <v>-1.1099434806232</v>
      </c>
      <c r="AH6832">
        <v>9.62141449722305</v>
      </c>
      <c r="AI6832">
        <v>96.543457410830399</v>
      </c>
      <c r="AJ6832">
        <v>96.1214487140969</v>
      </c>
      <c r="AK6832">
        <v>9.7400389536418004</v>
      </c>
      <c r="AL6832">
        <v>68.034582780906803</v>
      </c>
      <c r="AM6832">
        <v>98.149115098187707</v>
      </c>
      <c r="AN6832">
        <v>1.00000002021787</v>
      </c>
    </row>
    <row r="6833" spans="1:40" x14ac:dyDescent="0.25">
      <c r="A6833" t="str">
        <f>"20190304165018988"</f>
        <v>20190304165018988</v>
      </c>
      <c r="B6833" t="str">
        <f>"1551689418982467"</f>
        <v>1551689418982467</v>
      </c>
      <c r="C6833" t="s">
        <v>40</v>
      </c>
      <c r="D6833">
        <v>4.4139549999999996</v>
      </c>
      <c r="E6833">
        <v>0.5239779</v>
      </c>
      <c r="F6833" t="s">
        <v>54</v>
      </c>
      <c r="G6833">
        <v>-242.2116</v>
      </c>
      <c r="H6833" s="1">
        <v>-3.9459180000000001E-7</v>
      </c>
      <c r="I6833">
        <v>-62.107460000000003</v>
      </c>
      <c r="J6833">
        <v>-251.9906</v>
      </c>
      <c r="K6833">
        <v>1.109964</v>
      </c>
      <c r="L6833">
        <v>-63.057560000000002</v>
      </c>
      <c r="M6833">
        <v>0.99986439999999999</v>
      </c>
      <c r="N6833">
        <v>-1.27732E-2</v>
      </c>
      <c r="O6833">
        <v>-1.0397709999999999E-2</v>
      </c>
      <c r="P6833">
        <v>0.9237805</v>
      </c>
      <c r="Q6833">
        <v>0.36264010000000002</v>
      </c>
      <c r="R6833">
        <v>0.12297130000000001</v>
      </c>
      <c r="S6833">
        <v>3.3508300000000002</v>
      </c>
      <c r="T6833">
        <v>-0.37360670000000001</v>
      </c>
      <c r="U6833">
        <v>0.31906129999999999</v>
      </c>
      <c r="V6833">
        <v>-0.1318696</v>
      </c>
      <c r="W6833">
        <v>0.37464069999999999</v>
      </c>
      <c r="X6833">
        <v>0.91774440000000002</v>
      </c>
      <c r="Y6833">
        <v>-0.1043708</v>
      </c>
      <c r="Z6833">
        <v>7.4790789999999996E-3</v>
      </c>
      <c r="AA6833">
        <v>0.99451040000000002</v>
      </c>
      <c r="AB6833">
        <v>35</v>
      </c>
      <c r="AC6833">
        <v>9.7789999999999893</v>
      </c>
      <c r="AD6833">
        <v>-1.1099643945918001</v>
      </c>
      <c r="AE6833">
        <v>0.95009999999999895</v>
      </c>
      <c r="AF6833">
        <v>-1.0384820999372599</v>
      </c>
      <c r="AG6833">
        <v>-1.1099643945918001</v>
      </c>
      <c r="AH6833">
        <v>9.6454873555162397</v>
      </c>
      <c r="AI6833">
        <v>96.527102693214999</v>
      </c>
      <c r="AJ6833">
        <v>96.145083110248294</v>
      </c>
      <c r="AK6833">
        <v>9.7645221262781394</v>
      </c>
      <c r="AL6833">
        <v>67.997892689683496</v>
      </c>
      <c r="AM6833">
        <v>98.1767948600952</v>
      </c>
      <c r="AN6833">
        <v>1.000000014616</v>
      </c>
    </row>
    <row r="6834" spans="1:40" x14ac:dyDescent="0.25">
      <c r="A6834" t="str">
        <f>"20190304165019001"</f>
        <v>20190304165019001</v>
      </c>
      <c r="B6834" t="str">
        <f>"1551689418992227"</f>
        <v>1551689418992227</v>
      </c>
      <c r="C6834" t="s">
        <v>40</v>
      </c>
      <c r="D6834">
        <v>4.4198469999999999</v>
      </c>
      <c r="E6834">
        <v>0.52392179999999999</v>
      </c>
      <c r="F6834" t="s">
        <v>54</v>
      </c>
      <c r="G6834">
        <v>-241.99590000000001</v>
      </c>
      <c r="H6834" s="1">
        <v>-3.0045119999999998E-7</v>
      </c>
      <c r="I6834">
        <v>-62.101390000000002</v>
      </c>
      <c r="J6834">
        <v>-251.80719999999999</v>
      </c>
      <c r="K6834">
        <v>1.1099840000000001</v>
      </c>
      <c r="L6834">
        <v>-63.05988</v>
      </c>
      <c r="M6834">
        <v>0.99985860000000004</v>
      </c>
      <c r="N6834">
        <v>-1.2905990000000001E-2</v>
      </c>
      <c r="O6834">
        <v>-1.078816E-2</v>
      </c>
      <c r="P6834">
        <v>0.92374429999999996</v>
      </c>
      <c r="Q6834">
        <v>0.36284749999999999</v>
      </c>
      <c r="R6834">
        <v>0.1226304</v>
      </c>
      <c r="S6834">
        <v>3.3509519999999902</v>
      </c>
      <c r="T6834">
        <v>-0.37214120000000001</v>
      </c>
      <c r="U6834">
        <v>0.32055660000000002</v>
      </c>
      <c r="V6834">
        <v>-0.13189819999999999</v>
      </c>
      <c r="W6834">
        <v>0.3749651</v>
      </c>
      <c r="X6834">
        <v>0.91760779999999997</v>
      </c>
      <c r="Y6834">
        <v>-0.1051933</v>
      </c>
      <c r="Z6834">
        <v>7.54611E-3</v>
      </c>
      <c r="AA6834">
        <v>0.99442319999999995</v>
      </c>
      <c r="AB6834">
        <v>35</v>
      </c>
      <c r="AC6834">
        <v>9.8112999999999797</v>
      </c>
      <c r="AD6834">
        <v>-1.1099843004512</v>
      </c>
      <c r="AE6834">
        <v>0.95849000000000395</v>
      </c>
      <c r="AF6834">
        <v>-1.05096462202852</v>
      </c>
      <c r="AG6834">
        <v>-1.1099843004512</v>
      </c>
      <c r="AH6834">
        <v>9.6776926447555205</v>
      </c>
      <c r="AI6834">
        <v>96.505041926375199</v>
      </c>
      <c r="AJ6834">
        <v>96.197839453621796</v>
      </c>
      <c r="AK6834">
        <v>9.7976694530055894</v>
      </c>
      <c r="AL6834">
        <v>67.977844596268199</v>
      </c>
      <c r="AM6834">
        <v>98.179745289693898</v>
      </c>
      <c r="AN6834">
        <v>1.00000001800104</v>
      </c>
    </row>
    <row r="6835" spans="1:40" x14ac:dyDescent="0.25">
      <c r="A6835" t="str">
        <f>"20190304165019011"</f>
        <v>20190304165019011</v>
      </c>
      <c r="B6835" t="str">
        <f>"1551689419001987"</f>
        <v>1551689419001987</v>
      </c>
      <c r="C6835" t="s">
        <v>40</v>
      </c>
      <c r="D6835">
        <v>4.4322189999999999</v>
      </c>
      <c r="E6835">
        <v>0.52390000000000003</v>
      </c>
      <c r="F6835" t="s">
        <v>54</v>
      </c>
      <c r="G6835">
        <v>-241.8133</v>
      </c>
      <c r="H6835" s="1">
        <v>-2.2247540000000001E-7</v>
      </c>
      <c r="I6835">
        <v>-62.102870000000003</v>
      </c>
      <c r="J6835">
        <v>-251.6371</v>
      </c>
      <c r="K6835">
        <v>1.110004</v>
      </c>
      <c r="L6835">
        <v>-63.062040000000003</v>
      </c>
      <c r="M6835">
        <v>0.99985329999999994</v>
      </c>
      <c r="N6835">
        <v>-1.302146E-2</v>
      </c>
      <c r="O6835">
        <v>-1.114473E-2</v>
      </c>
      <c r="P6835">
        <v>0.92378610000000005</v>
      </c>
      <c r="Q6835">
        <v>0.36273050000000001</v>
      </c>
      <c r="R6835">
        <v>0.12266340000000001</v>
      </c>
      <c r="S6835">
        <v>3.3512729999999999</v>
      </c>
      <c r="T6835">
        <v>-0.37221340000000003</v>
      </c>
      <c r="U6835">
        <v>0.32089230000000002</v>
      </c>
      <c r="V6835">
        <v>-0.13227130000000001</v>
      </c>
      <c r="W6835">
        <v>0.37495099999999998</v>
      </c>
      <c r="X6835">
        <v>0.91755980000000004</v>
      </c>
      <c r="Y6835">
        <v>-0.1056322</v>
      </c>
      <c r="Z6835">
        <v>7.6135389999999999E-3</v>
      </c>
      <c r="AA6835">
        <v>0.99437609999999999</v>
      </c>
      <c r="AB6835">
        <v>35</v>
      </c>
      <c r="AC6835">
        <v>9.8238000000000003</v>
      </c>
      <c r="AD6835">
        <v>-1.1100042224753901</v>
      </c>
      <c r="AE6835">
        <v>0.95917000000000696</v>
      </c>
      <c r="AF6835">
        <v>-1.05525798188451</v>
      </c>
      <c r="AG6835">
        <v>-1.1100042224753901</v>
      </c>
      <c r="AH6835">
        <v>9.6899553645832093</v>
      </c>
      <c r="AI6835">
        <v>96.496784179633295</v>
      </c>
      <c r="AJ6835">
        <v>96.215146840504801</v>
      </c>
      <c r="AK6835">
        <v>9.8102453460583305</v>
      </c>
      <c r="AL6835">
        <v>67.978714884924202</v>
      </c>
      <c r="AM6835">
        <v>98.202992147376307</v>
      </c>
      <c r="AN6835">
        <v>0.99999996789036405</v>
      </c>
    </row>
    <row r="6836" spans="1:40" x14ac:dyDescent="0.25">
      <c r="A6836" t="str">
        <f>"20190304165019023"</f>
        <v>20190304165019023</v>
      </c>
      <c r="B6836" t="str">
        <f>"1551689419012723"</f>
        <v>1551689419012723</v>
      </c>
      <c r="C6836" t="s">
        <v>40</v>
      </c>
      <c r="D6836">
        <v>4.4313949999999904</v>
      </c>
      <c r="E6836">
        <v>0.52388270000000003</v>
      </c>
      <c r="F6836" t="s">
        <v>54</v>
      </c>
      <c r="G6836">
        <v>-241.6703</v>
      </c>
      <c r="H6836" s="1">
        <v>-1.61641799999999E-7</v>
      </c>
      <c r="I6836">
        <v>-62.104660000000003</v>
      </c>
      <c r="J6836">
        <v>-251.46250000000001</v>
      </c>
      <c r="K6836">
        <v>1.1100289999999999</v>
      </c>
      <c r="L6836">
        <v>-63.064360000000001</v>
      </c>
      <c r="M6836">
        <v>0.99984770000000001</v>
      </c>
      <c r="N6836">
        <v>-1.3131530000000001E-2</v>
      </c>
      <c r="O6836">
        <v>-1.150135E-2</v>
      </c>
      <c r="P6836">
        <v>0.92380320000000005</v>
      </c>
      <c r="Q6836">
        <v>0.36273689999999997</v>
      </c>
      <c r="R6836">
        <v>0.1225147</v>
      </c>
      <c r="S6836">
        <v>3.351318</v>
      </c>
      <c r="T6836">
        <v>-0.37324069999999998</v>
      </c>
      <c r="U6836">
        <v>0.3218994</v>
      </c>
      <c r="V6836">
        <v>-0.13246440000000001</v>
      </c>
      <c r="W6836">
        <v>0.375054</v>
      </c>
      <c r="X6836">
        <v>0.91748989999999997</v>
      </c>
      <c r="Y6836">
        <v>-0.106271</v>
      </c>
      <c r="Z6836">
        <v>7.7118350000000002E-3</v>
      </c>
      <c r="AA6836">
        <v>0.99430730000000001</v>
      </c>
      <c r="AB6836">
        <v>35</v>
      </c>
      <c r="AC6836">
        <v>9.7921999999999993</v>
      </c>
      <c r="AD6836">
        <v>-1.1100291616418001</v>
      </c>
      <c r="AE6836">
        <v>0.95970000000000499</v>
      </c>
      <c r="AF6836">
        <v>-1.0587935213438</v>
      </c>
      <c r="AG6836">
        <v>-1.1100291616418001</v>
      </c>
      <c r="AH6836">
        <v>9.6575925776175406</v>
      </c>
      <c r="AI6836">
        <v>96.518003078526604</v>
      </c>
      <c r="AJ6836">
        <v>96.256537179547607</v>
      </c>
      <c r="AK6836">
        <v>9.7786656991528407</v>
      </c>
      <c r="AL6836">
        <v>67.972350021100695</v>
      </c>
      <c r="AM6836">
        <v>98.215421504469404</v>
      </c>
      <c r="AN6836">
        <v>1.00000001839268</v>
      </c>
    </row>
    <row r="6837" spans="1:40" x14ac:dyDescent="0.25">
      <c r="A6837" t="str">
        <f>"20190304165019034"</f>
        <v>20190304165019034</v>
      </c>
      <c r="B6837" t="str">
        <f>"1551689419022483"</f>
        <v>1551689419022483</v>
      </c>
      <c r="C6837" t="s">
        <v>40</v>
      </c>
      <c r="D6837">
        <v>4.425967</v>
      </c>
      <c r="E6837">
        <v>0.52385219999999999</v>
      </c>
      <c r="F6837" t="s">
        <v>54</v>
      </c>
      <c r="G6837">
        <v>-241.50899999999999</v>
      </c>
      <c r="H6837" s="1">
        <v>-9.3232980000000005E-8</v>
      </c>
      <c r="I6837">
        <v>-62.107669999999999</v>
      </c>
      <c r="J6837">
        <v>-251.28620000000001</v>
      </c>
      <c r="K6837">
        <v>1.110053</v>
      </c>
      <c r="L6837">
        <v>-63.06671</v>
      </c>
      <c r="M6837">
        <v>0.99984220000000001</v>
      </c>
      <c r="N6837">
        <v>-1.3238079999999999E-2</v>
      </c>
      <c r="O6837">
        <v>-1.185637E-2</v>
      </c>
      <c r="P6837">
        <v>0.92385669999999998</v>
      </c>
      <c r="Q6837">
        <v>0.3626182</v>
      </c>
      <c r="R6837">
        <v>0.1224626</v>
      </c>
      <c r="S6837">
        <v>3.3514710000000001</v>
      </c>
      <c r="T6837">
        <v>-0.37376330000000002</v>
      </c>
      <c r="U6837">
        <v>0.32211299999999998</v>
      </c>
      <c r="V6837">
        <v>-0.13275509999999999</v>
      </c>
      <c r="W6837">
        <v>0.37502829999999998</v>
      </c>
      <c r="X6837">
        <v>0.91745840000000001</v>
      </c>
      <c r="Y6837">
        <v>-0.10667550000000001</v>
      </c>
      <c r="Z6837">
        <v>7.7857839999999996E-3</v>
      </c>
      <c r="AA6837">
        <v>0.99426340000000002</v>
      </c>
      <c r="AB6837">
        <v>35</v>
      </c>
      <c r="AC6837">
        <v>9.7771999999999899</v>
      </c>
      <c r="AD6837">
        <v>-1.11005309323298</v>
      </c>
      <c r="AE6837">
        <v>0.959040000000001</v>
      </c>
      <c r="AF6837">
        <v>-1.0613541702429401</v>
      </c>
      <c r="AG6837">
        <v>-1.11005309323298</v>
      </c>
      <c r="AH6837">
        <v>9.6420378926635895</v>
      </c>
      <c r="AI6837">
        <v>96.528256042340004</v>
      </c>
      <c r="AJ6837">
        <v>96.281584476888497</v>
      </c>
      <c r="AK6837">
        <v>9.76358465257759</v>
      </c>
      <c r="AL6837">
        <v>67.973938713237203</v>
      </c>
      <c r="AM6837">
        <v>98.233482578362299</v>
      </c>
      <c r="AN6837">
        <v>1.0000000290537201</v>
      </c>
    </row>
    <row r="6838" spans="1:40" x14ac:dyDescent="0.25">
      <c r="A6838" t="str">
        <f>"20190304165019043"</f>
        <v>20190304165019043</v>
      </c>
      <c r="B6838" t="str">
        <f>"1551689419032243"</f>
        <v>1551689419032243</v>
      </c>
      <c r="C6838" t="s">
        <v>40</v>
      </c>
      <c r="D6838">
        <v>4.4608829999999999</v>
      </c>
      <c r="E6838">
        <v>0.52385219999999999</v>
      </c>
      <c r="F6838" t="s">
        <v>54</v>
      </c>
      <c r="G6838">
        <v>-241.3629</v>
      </c>
      <c r="H6838" s="1">
        <v>-3.1746369999999997E-8</v>
      </c>
      <c r="I6838">
        <v>-62.112160000000003</v>
      </c>
      <c r="J6838">
        <v>-251.1343</v>
      </c>
      <c r="K6838">
        <v>1.1100760000000001</v>
      </c>
      <c r="L6838">
        <v>-63.06879</v>
      </c>
      <c r="M6838">
        <v>0.99983750000000005</v>
      </c>
      <c r="N6838">
        <v>-1.332089E-2</v>
      </c>
      <c r="O6838">
        <v>-1.2146830000000001E-2</v>
      </c>
      <c r="P6838">
        <v>0.92378329999999997</v>
      </c>
      <c r="Q6838">
        <v>0.36276999999999998</v>
      </c>
      <c r="R6838">
        <v>0.12256599999999999</v>
      </c>
      <c r="S6838">
        <v>3.3516689999999998</v>
      </c>
      <c r="T6838">
        <v>-0.37493029999999999</v>
      </c>
      <c r="U6838">
        <v>0.3223877</v>
      </c>
      <c r="V6838">
        <v>-0.13313989999999901</v>
      </c>
      <c r="W6838">
        <v>0.37524990000000003</v>
      </c>
      <c r="X6838">
        <v>0.91731200000000002</v>
      </c>
      <c r="Y6838">
        <v>-0.1070306</v>
      </c>
      <c r="Z6838">
        <v>7.8618679999999993E-3</v>
      </c>
      <c r="AA6838">
        <v>0.99422469999999996</v>
      </c>
      <c r="AB6838">
        <v>35</v>
      </c>
      <c r="AC6838">
        <v>9.7713999999999999</v>
      </c>
      <c r="AD6838">
        <v>-1.11007603174637</v>
      </c>
      <c r="AE6838">
        <v>0.95663000000000398</v>
      </c>
      <c r="AF6838">
        <v>-1.0616893906699501</v>
      </c>
      <c r="AG6838">
        <v>-1.11007603174637</v>
      </c>
      <c r="AH6838">
        <v>9.6358778633932598</v>
      </c>
      <c r="AI6838">
        <v>96.532453090470298</v>
      </c>
      <c r="AJ6838">
        <v>96.2875373903628</v>
      </c>
      <c r="AK6838">
        <v>9.7575404358245503</v>
      </c>
      <c r="AL6838">
        <v>67.960241277309507</v>
      </c>
      <c r="AM6838">
        <v>98.258318932536397</v>
      </c>
      <c r="AN6838">
        <v>1.00000001288301</v>
      </c>
    </row>
    <row r="6839" spans="1:40" x14ac:dyDescent="0.25">
      <c r="A6839" t="str">
        <f>"20190304165019054"</f>
        <v>20190304165019054</v>
      </c>
      <c r="B6839" t="str">
        <f>"1551689419042003"</f>
        <v>1551689419042003</v>
      </c>
      <c r="C6839" t="s">
        <v>40</v>
      </c>
      <c r="D6839">
        <v>4.4408089999999998</v>
      </c>
      <c r="E6839">
        <v>0.52384770000000003</v>
      </c>
      <c r="F6839" t="s">
        <v>54</v>
      </c>
      <c r="G6839">
        <v>-241.2226</v>
      </c>
      <c r="H6839" s="1">
        <v>2.815329E-8</v>
      </c>
      <c r="I6839">
        <v>-62.113289999999999</v>
      </c>
      <c r="J6839">
        <v>-250.95590000000001</v>
      </c>
      <c r="K6839">
        <v>1.110098</v>
      </c>
      <c r="L6839">
        <v>-63.071260000000002</v>
      </c>
      <c r="M6839">
        <v>0.99983219999999995</v>
      </c>
      <c r="N6839">
        <v>-1.341646E-2</v>
      </c>
      <c r="O6839">
        <v>-1.248549E-2</v>
      </c>
      <c r="P6839">
        <v>0.9237573</v>
      </c>
      <c r="Q6839">
        <v>0.36283159999999998</v>
      </c>
      <c r="R6839">
        <v>0.1225798</v>
      </c>
      <c r="S6839">
        <v>3.3520509999999999</v>
      </c>
      <c r="T6839">
        <v>-0.37541619999999998</v>
      </c>
      <c r="U6839">
        <v>0.32312010000000002</v>
      </c>
      <c r="V6839">
        <v>-0.13348279999999901</v>
      </c>
      <c r="W6839">
        <v>0.37539260000000002</v>
      </c>
      <c r="X6839">
        <v>0.91720380000000001</v>
      </c>
      <c r="Y6839">
        <v>-0.1075641</v>
      </c>
      <c r="Z6839">
        <v>7.9409140000000003E-3</v>
      </c>
      <c r="AA6839">
        <v>0.99416640000000001</v>
      </c>
      <c r="AB6839">
        <v>35</v>
      </c>
      <c r="AC6839">
        <v>9.7333000000000105</v>
      </c>
      <c r="AD6839">
        <v>-1.1100979718466999</v>
      </c>
      <c r="AE6839">
        <v>0.95796999999999599</v>
      </c>
      <c r="AF6839">
        <v>-1.06570185985651</v>
      </c>
      <c r="AG6839">
        <v>-1.1100979718466999</v>
      </c>
      <c r="AH6839">
        <v>9.5969423514567893</v>
      </c>
      <c r="AI6839">
        <v>96.558239167516405</v>
      </c>
      <c r="AJ6839">
        <v>96.336505440270201</v>
      </c>
      <c r="AK6839">
        <v>9.7195339630244</v>
      </c>
      <c r="AL6839">
        <v>67.951420856453396</v>
      </c>
      <c r="AM6839">
        <v>98.2802567943166</v>
      </c>
      <c r="AN6839">
        <v>1.0000000363825099</v>
      </c>
    </row>
    <row r="6840" spans="1:40" x14ac:dyDescent="0.25">
      <c r="A6840" t="str">
        <f>"20190304165019066"</f>
        <v>20190304165019066</v>
      </c>
      <c r="B6840" t="str">
        <f>"1551689419062499"</f>
        <v>1551689419062499</v>
      </c>
      <c r="C6840" t="s">
        <v>40</v>
      </c>
      <c r="D6840">
        <v>4.4618890000000002</v>
      </c>
      <c r="E6840">
        <v>0.52380280000000001</v>
      </c>
      <c r="F6840" t="s">
        <v>54</v>
      </c>
      <c r="G6840">
        <v>-241.04660000000001</v>
      </c>
      <c r="H6840" s="1">
        <v>1.024433E-7</v>
      </c>
      <c r="I6840">
        <v>-62.11788</v>
      </c>
      <c r="J6840">
        <v>-250.77809999999999</v>
      </c>
      <c r="K6840">
        <v>1.1101270000000001</v>
      </c>
      <c r="L6840">
        <v>-63.073790000000002</v>
      </c>
      <c r="M6840">
        <v>0.99982700000000002</v>
      </c>
      <c r="N6840">
        <v>-1.350084E-2</v>
      </c>
      <c r="O6840">
        <v>-1.279694E-2</v>
      </c>
      <c r="P6840">
        <v>0.9237611</v>
      </c>
      <c r="Q6840">
        <v>0.36280050000000003</v>
      </c>
      <c r="R6840">
        <v>0.12264269999999999</v>
      </c>
      <c r="S6840">
        <v>3.352325</v>
      </c>
      <c r="T6840">
        <v>-0.37554690000000002</v>
      </c>
      <c r="U6840">
        <v>0.32250980000000001</v>
      </c>
      <c r="V6840">
        <v>-0.133854</v>
      </c>
      <c r="W6840">
        <v>0.37543189999999999</v>
      </c>
      <c r="X6840">
        <v>0.91713359999999999</v>
      </c>
      <c r="Y6840">
        <v>-0.1076835</v>
      </c>
      <c r="Z6840">
        <v>7.9844359999999993E-3</v>
      </c>
      <c r="AA6840">
        <v>0.99415310000000001</v>
      </c>
      <c r="AB6840">
        <v>35</v>
      </c>
      <c r="AC6840">
        <v>9.7314999999999792</v>
      </c>
      <c r="AD6840">
        <v>-1.1101268975567</v>
      </c>
      <c r="AE6840">
        <v>0.95590999999999504</v>
      </c>
      <c r="AF6840">
        <v>-1.0666288247484199</v>
      </c>
      <c r="AG6840">
        <v>-1.1101268975567</v>
      </c>
      <c r="AH6840">
        <v>9.5948028552609497</v>
      </c>
      <c r="AI6840">
        <v>96.559771626350198</v>
      </c>
      <c r="AJ6840">
        <v>96.343374785054294</v>
      </c>
      <c r="AK6840">
        <v>9.7175264656077402</v>
      </c>
      <c r="AL6840">
        <v>67.948991118883001</v>
      </c>
      <c r="AM6840">
        <v>98.3035893030777</v>
      </c>
      <c r="AN6840">
        <v>1.00000002255128</v>
      </c>
    </row>
    <row r="6841" spans="1:40" x14ac:dyDescent="0.25">
      <c r="A6841" t="str">
        <f>"20190304165019078"</f>
        <v>20190304165019078</v>
      </c>
      <c r="B6841" t="str">
        <f>"1551689419072772"</f>
        <v>1551689419072772</v>
      </c>
      <c r="C6841" t="s">
        <v>40</v>
      </c>
      <c r="D6841">
        <v>4.4495930000000001</v>
      </c>
      <c r="E6841">
        <v>0.52379209999999998</v>
      </c>
      <c r="F6841" t="s">
        <v>54</v>
      </c>
      <c r="G6841">
        <v>-240.90260000000001</v>
      </c>
      <c r="H6841" s="1">
        <v>1.6289959999999999E-7</v>
      </c>
      <c r="I6841">
        <v>-62.122700000000002</v>
      </c>
      <c r="J6841">
        <v>-250.59610000000001</v>
      </c>
      <c r="K6841">
        <v>1.110155</v>
      </c>
      <c r="L6841">
        <v>-63.076419999999999</v>
      </c>
      <c r="M6841">
        <v>0.99982179999999998</v>
      </c>
      <c r="N6841">
        <v>-1.3584519999999999E-2</v>
      </c>
      <c r="O6841">
        <v>-1.3107880000000001E-2</v>
      </c>
      <c r="P6841">
        <v>0.92364440000000003</v>
      </c>
      <c r="Q6841">
        <v>0.36307830000000002</v>
      </c>
      <c r="R6841">
        <v>0.12269910000000001</v>
      </c>
      <c r="S6841">
        <v>3.3527529999999999</v>
      </c>
      <c r="T6841">
        <v>-0.37689129999999998</v>
      </c>
      <c r="U6841">
        <v>0.322876</v>
      </c>
      <c r="V6841">
        <v>-0.13421720000000001</v>
      </c>
      <c r="W6841">
        <v>0.37577660000000002</v>
      </c>
      <c r="X6841">
        <v>0.91693930000000001</v>
      </c>
      <c r="Y6841">
        <v>-0.1080782</v>
      </c>
      <c r="Z6841">
        <v>8.0686939999999995E-3</v>
      </c>
      <c r="AA6841">
        <v>0.99410960000000004</v>
      </c>
      <c r="AB6841">
        <v>35</v>
      </c>
      <c r="AC6841">
        <v>9.6935000000000002</v>
      </c>
      <c r="AD6841">
        <v>-1.1101548371004</v>
      </c>
      <c r="AE6841">
        <v>0.95371999999999701</v>
      </c>
      <c r="AF6841">
        <v>-1.066852187586</v>
      </c>
      <c r="AG6841">
        <v>-1.1101548371004</v>
      </c>
      <c r="AH6841">
        <v>9.5560281569967795</v>
      </c>
      <c r="AI6841">
        <v>96.585978755225895</v>
      </c>
      <c r="AJ6841">
        <v>96.370225439121299</v>
      </c>
      <c r="AK6841">
        <v>9.6792712272055805</v>
      </c>
      <c r="AL6841">
        <v>67.9276802928227</v>
      </c>
      <c r="AM6841">
        <v>98.3275443828704</v>
      </c>
      <c r="AN6841">
        <v>0.99999999488394498</v>
      </c>
    </row>
    <row r="6842" spans="1:40" x14ac:dyDescent="0.25">
      <c r="A6842" t="str">
        <f>"20190304165019088"</f>
        <v>20190304165019088</v>
      </c>
      <c r="B6842" t="str">
        <f>"1551689419082529"</f>
        <v>1551689419082529</v>
      </c>
      <c r="C6842" t="s">
        <v>40</v>
      </c>
      <c r="D6842">
        <v>4.4402350000000004</v>
      </c>
      <c r="E6842">
        <v>0.52374690000000002</v>
      </c>
      <c r="F6842" t="s">
        <v>54</v>
      </c>
      <c r="G6842">
        <v>-240.70160000000001</v>
      </c>
      <c r="H6842" s="1">
        <v>2.4913050000000002E-7</v>
      </c>
      <c r="I6842">
        <v>-62.12274</v>
      </c>
      <c r="J6842">
        <v>-250.42490000000001</v>
      </c>
      <c r="K6842">
        <v>1.110185</v>
      </c>
      <c r="L6842">
        <v>-63.078949999999999</v>
      </c>
      <c r="M6842">
        <v>0.99981730000000002</v>
      </c>
      <c r="N6842">
        <v>-1.3656140000000001E-2</v>
      </c>
      <c r="O6842">
        <v>-1.337937E-2</v>
      </c>
      <c r="P6842">
        <v>0.92367880000000002</v>
      </c>
      <c r="Q6842">
        <v>0.36296210000000001</v>
      </c>
      <c r="R6842">
        <v>0.12278500000000001</v>
      </c>
      <c r="S6842">
        <v>3.352951</v>
      </c>
      <c r="T6842">
        <v>-0.37619849999999999</v>
      </c>
      <c r="U6842">
        <v>0.32315060000000001</v>
      </c>
      <c r="V6842">
        <v>-0.1345779</v>
      </c>
      <c r="W6842">
        <v>0.37571789999999999</v>
      </c>
      <c r="X6842">
        <v>0.91691049999999996</v>
      </c>
      <c r="Y6842">
        <v>-0.10842209999999999</v>
      </c>
      <c r="Z6842">
        <v>8.1056329999999992E-3</v>
      </c>
      <c r="AA6842">
        <v>0.99407190000000001</v>
      </c>
      <c r="AB6842">
        <v>35</v>
      </c>
      <c r="AC6842">
        <v>9.7232999999999894</v>
      </c>
      <c r="AD6842">
        <v>-1.1101847508695</v>
      </c>
      <c r="AE6842">
        <v>0.95620999999999801</v>
      </c>
      <c r="AF6842">
        <v>-1.0723818822053801</v>
      </c>
      <c r="AG6842">
        <v>-1.1101847508695</v>
      </c>
      <c r="AH6842">
        <v>9.5858651010759903</v>
      </c>
      <c r="AI6842">
        <v>96.565669113704502</v>
      </c>
      <c r="AJ6842">
        <v>96.383204874234593</v>
      </c>
      <c r="AK6842">
        <v>9.7093420383861293</v>
      </c>
      <c r="AL6842">
        <v>67.931309806289093</v>
      </c>
      <c r="AM6842">
        <v>98.349867587962507</v>
      </c>
      <c r="AN6842">
        <v>1.00000000827953</v>
      </c>
    </row>
    <row r="6843" spans="1:40" x14ac:dyDescent="0.25">
      <c r="A6843" t="str">
        <f>"20190304165019100"</f>
        <v>20190304165019100</v>
      </c>
      <c r="B6843" t="str">
        <f>"1551689419092289"</f>
        <v>1551689419092289</v>
      </c>
      <c r="C6843" t="s">
        <v>40</v>
      </c>
      <c r="D6843">
        <v>4.4136660000000001</v>
      </c>
      <c r="E6843">
        <v>0.5236807</v>
      </c>
      <c r="F6843" t="s">
        <v>54</v>
      </c>
      <c r="G6843">
        <v>-240.54169999999999</v>
      </c>
      <c r="H6843" s="1">
        <v>3.1678390000000002E-7</v>
      </c>
      <c r="I6843">
        <v>-62.126350000000002</v>
      </c>
      <c r="J6843">
        <v>-250.2567</v>
      </c>
      <c r="K6843">
        <v>1.1102160000000001</v>
      </c>
      <c r="L6843">
        <v>-63.081420000000001</v>
      </c>
      <c r="M6843">
        <v>0.9998129</v>
      </c>
      <c r="N6843">
        <v>-1.3722710000000001E-2</v>
      </c>
      <c r="O6843">
        <v>-1.3633899999999999E-2</v>
      </c>
      <c r="P6843">
        <v>0.9236124</v>
      </c>
      <c r="Q6843">
        <v>0.36293750000000002</v>
      </c>
      <c r="R6843">
        <v>0.1233556</v>
      </c>
      <c r="S6843">
        <v>3.3529049999999998</v>
      </c>
      <c r="T6843">
        <v>-0.37663350000000001</v>
      </c>
      <c r="U6843">
        <v>0.32315060000000001</v>
      </c>
      <c r="V6843">
        <v>-0.1354052</v>
      </c>
      <c r="W6843">
        <v>0.37574610000000003</v>
      </c>
      <c r="X6843">
        <v>0.91677710000000001</v>
      </c>
      <c r="Y6843">
        <v>-0.1086714</v>
      </c>
      <c r="Z6843">
        <v>8.1577669999999998E-3</v>
      </c>
      <c r="AA6843">
        <v>0.99404420000000004</v>
      </c>
      <c r="AB6843">
        <v>35</v>
      </c>
      <c r="AC6843">
        <v>9.7149999999999999</v>
      </c>
      <c r="AD6843">
        <v>-1.1102156832161001</v>
      </c>
      <c r="AE6843">
        <v>0.95506999999999198</v>
      </c>
      <c r="AF6843">
        <v>-1.07356097426127</v>
      </c>
      <c r="AG6843">
        <v>-1.1102156832161001</v>
      </c>
      <c r="AH6843">
        <v>9.57719738327493</v>
      </c>
      <c r="AI6843">
        <v>96.571579191168397</v>
      </c>
      <c r="AJ6843">
        <v>96.395900664656594</v>
      </c>
      <c r="AK6843">
        <v>9.7009186032521697</v>
      </c>
      <c r="AL6843">
        <v>67.929565554777994</v>
      </c>
      <c r="AM6843">
        <v>98.401671955672896</v>
      </c>
      <c r="AN6843">
        <v>0.99999997546832897</v>
      </c>
    </row>
    <row r="6844" spans="1:40" x14ac:dyDescent="0.25">
      <c r="A6844" t="str">
        <f>"20190304165019109"</f>
        <v>20190304165019109</v>
      </c>
      <c r="B6844" t="str">
        <f>"1551689419102049"</f>
        <v>1551689419102049</v>
      </c>
      <c r="C6844" t="s">
        <v>40</v>
      </c>
      <c r="D6844">
        <v>4.4818730000000002</v>
      </c>
      <c r="E6844">
        <v>0.52366539999999995</v>
      </c>
      <c r="F6844" t="s">
        <v>54</v>
      </c>
      <c r="G6844">
        <v>-240.37899999999999</v>
      </c>
      <c r="H6844" s="1">
        <v>3.8719449999999998E-7</v>
      </c>
      <c r="I6844">
        <v>-62.123930000000001</v>
      </c>
      <c r="J6844">
        <v>-250.0941</v>
      </c>
      <c r="K6844">
        <v>1.1102449999999999</v>
      </c>
      <c r="L6844">
        <v>-63.083889999999997</v>
      </c>
      <c r="M6844">
        <v>0.99980899999999995</v>
      </c>
      <c r="N6844">
        <v>-1.3782569999999999E-2</v>
      </c>
      <c r="O6844">
        <v>-1.3866089999999999E-2</v>
      </c>
      <c r="P6844">
        <v>0.92348350000000001</v>
      </c>
      <c r="Q6844">
        <v>0.3632455</v>
      </c>
      <c r="R6844">
        <v>0.1234143</v>
      </c>
      <c r="S6844">
        <v>3.3527979999999999</v>
      </c>
      <c r="T6844">
        <v>-0.37684200000000001</v>
      </c>
      <c r="U6844">
        <v>0.32498169999999998</v>
      </c>
      <c r="V6844">
        <v>-0.13569899999999999</v>
      </c>
      <c r="W6844">
        <v>0.37609880000000001</v>
      </c>
      <c r="X6844">
        <v>0.91658910000000005</v>
      </c>
      <c r="Y6844">
        <v>-0.1094354</v>
      </c>
      <c r="Z6844">
        <v>8.2352559999999998E-3</v>
      </c>
      <c r="AA6844">
        <v>0.99395979999999995</v>
      </c>
      <c r="AB6844">
        <v>35</v>
      </c>
      <c r="AC6844">
        <v>9.7150999999999694</v>
      </c>
      <c r="AD6844">
        <v>-1.1102446128054999</v>
      </c>
      <c r="AE6844">
        <v>0.95996000000000203</v>
      </c>
      <c r="AF6844">
        <v>-1.08061456887575</v>
      </c>
      <c r="AG6844">
        <v>-1.1102446128054999</v>
      </c>
      <c r="AH6844">
        <v>9.57698770203252</v>
      </c>
      <c r="AI6844">
        <v>96.571356941778106</v>
      </c>
      <c r="AJ6844">
        <v>96.437711638197598</v>
      </c>
      <c r="AK6844">
        <v>9.7014980488382498</v>
      </c>
      <c r="AL6844">
        <v>67.907759537245596</v>
      </c>
      <c r="AM6844">
        <v>98.421342908766405</v>
      </c>
      <c r="AN6844">
        <v>1.00000005210062</v>
      </c>
    </row>
    <row r="6845" spans="1:40" x14ac:dyDescent="0.25">
      <c r="A6845" t="str">
        <f>"20190304165019121"</f>
        <v>20190304165019121</v>
      </c>
      <c r="B6845" t="str">
        <f>"1551689419112785"</f>
        <v>1551689419112785</v>
      </c>
      <c r="C6845" t="s">
        <v>40</v>
      </c>
      <c r="D6845">
        <v>4.4504010000000003</v>
      </c>
      <c r="E6845">
        <v>0.52363009999999999</v>
      </c>
      <c r="F6845" t="s">
        <v>54</v>
      </c>
      <c r="G6845">
        <v>-240.19309999999999</v>
      </c>
      <c r="H6845" s="1">
        <v>4.6680729999999998E-7</v>
      </c>
      <c r="I6845">
        <v>-62.124479999999998</v>
      </c>
      <c r="J6845">
        <v>-249.92089999999999</v>
      </c>
      <c r="K6845">
        <v>1.110276</v>
      </c>
      <c r="L6845">
        <v>-63.086519999999901</v>
      </c>
      <c r="M6845">
        <v>0.9998049</v>
      </c>
      <c r="N6845">
        <v>-1.384181E-2</v>
      </c>
      <c r="O6845">
        <v>-1.4097409999999999E-2</v>
      </c>
      <c r="P6845">
        <v>0.92343220000000004</v>
      </c>
      <c r="Q6845">
        <v>0.36331380000000002</v>
      </c>
      <c r="R6845">
        <v>0.1235972</v>
      </c>
      <c r="S6845">
        <v>3.353043</v>
      </c>
      <c r="T6845">
        <v>-0.3759921</v>
      </c>
      <c r="U6845">
        <v>0.32489010000000001</v>
      </c>
      <c r="V6845">
        <v>-0.13611879999999901</v>
      </c>
      <c r="W6845">
        <v>0.37621139999999997</v>
      </c>
      <c r="X6845">
        <v>0.91648059999999998</v>
      </c>
      <c r="Y6845">
        <v>-0.10963249999999999</v>
      </c>
      <c r="Z6845">
        <v>8.254941E-3</v>
      </c>
      <c r="AA6845">
        <v>0.99393790000000004</v>
      </c>
      <c r="AB6845">
        <v>35</v>
      </c>
      <c r="AC6845">
        <v>9.7278000000000002</v>
      </c>
      <c r="AD6845">
        <v>-1.1102755331926999</v>
      </c>
      <c r="AE6845">
        <v>0.96203999999998702</v>
      </c>
      <c r="AF6845">
        <v>-1.08509605049469</v>
      </c>
      <c r="AG6845">
        <v>-1.1102755331926999</v>
      </c>
      <c r="AH6845">
        <v>9.58955978834984</v>
      </c>
      <c r="AI6845">
        <v>96.562766328469195</v>
      </c>
      <c r="AJ6845">
        <v>96.455781269613595</v>
      </c>
      <c r="AK6845">
        <v>9.7144120837414398</v>
      </c>
      <c r="AL6845">
        <v>67.900795855415495</v>
      </c>
      <c r="AM6845">
        <v>98.448005569075704</v>
      </c>
      <c r="AN6845">
        <v>1.00000001768987</v>
      </c>
    </row>
    <row r="6846" spans="1:40" x14ac:dyDescent="0.25">
      <c r="A6846" t="str">
        <f>"20190304165019133"</f>
        <v>20190304165019133</v>
      </c>
      <c r="B6846" t="str">
        <f>"1551689419122545"</f>
        <v>1551689419122545</v>
      </c>
      <c r="C6846" t="s">
        <v>40</v>
      </c>
      <c r="D6846">
        <v>4.4677009999999999</v>
      </c>
      <c r="E6846">
        <v>0.52359149999999999</v>
      </c>
      <c r="F6846" t="s">
        <v>54</v>
      </c>
      <c r="G6846">
        <v>-240.03309999999999</v>
      </c>
      <c r="H6846" s="1">
        <v>5.3501050000000004E-7</v>
      </c>
      <c r="I6846">
        <v>-62.12621</v>
      </c>
      <c r="J6846">
        <v>-249.74189999999999</v>
      </c>
      <c r="K6846">
        <v>1.1103069999999999</v>
      </c>
      <c r="L6846">
        <v>-63.089260000000003</v>
      </c>
      <c r="M6846">
        <v>0.99980089999999999</v>
      </c>
      <c r="N6846">
        <v>-1.3899669999999999E-2</v>
      </c>
      <c r="O6846">
        <v>-1.4325009999999999E-2</v>
      </c>
      <c r="P6846">
        <v>0.92335120000000004</v>
      </c>
      <c r="Q6846">
        <v>0.36334100000000003</v>
      </c>
      <c r="R6846">
        <v>0.1241213</v>
      </c>
      <c r="S6846">
        <v>3.3533170000000001</v>
      </c>
      <c r="T6846">
        <v>-0.37653330000000002</v>
      </c>
      <c r="U6846">
        <v>0.32565309999999997</v>
      </c>
      <c r="V6846">
        <v>-0.1368771</v>
      </c>
      <c r="W6846">
        <v>0.37628159999999999</v>
      </c>
      <c r="X6846">
        <v>0.91633880000000001</v>
      </c>
      <c r="Y6846">
        <v>-0.11006829999999999</v>
      </c>
      <c r="Z6846">
        <v>8.3172880000000008E-3</v>
      </c>
      <c r="AA6846">
        <v>0.99388920000000003</v>
      </c>
      <c r="AB6846">
        <v>35</v>
      </c>
      <c r="AC6846">
        <v>9.7087999999999894</v>
      </c>
      <c r="AD6846">
        <v>-1.1103064649895</v>
      </c>
      <c r="AE6846">
        <v>0.96304999999999497</v>
      </c>
      <c r="AF6846">
        <v>-1.0879531906320401</v>
      </c>
      <c r="AG6846">
        <v>-1.1103064649895</v>
      </c>
      <c r="AH6846">
        <v>9.5700649379255101</v>
      </c>
      <c r="AI6846">
        <v>96.575813572844893</v>
      </c>
      <c r="AJ6846">
        <v>96.485708715416706</v>
      </c>
      <c r="AK6846">
        <v>9.6954920198675403</v>
      </c>
      <c r="AL6846">
        <v>67.8964540506514</v>
      </c>
      <c r="AM6846">
        <v>98.495678866102594</v>
      </c>
      <c r="AN6846">
        <v>0.99999998969420401</v>
      </c>
    </row>
    <row r="6847" spans="1:40" x14ac:dyDescent="0.25">
      <c r="A6847" t="str">
        <f>"20190304165019144"</f>
        <v>20190304165019144</v>
      </c>
      <c r="B6847" t="str">
        <f>"1551689419132305"</f>
        <v>1551689419132305</v>
      </c>
      <c r="C6847" t="s">
        <v>40</v>
      </c>
      <c r="D6847">
        <v>4.4660640000000003</v>
      </c>
      <c r="E6847">
        <v>0.52355180000000001</v>
      </c>
      <c r="F6847" t="s">
        <v>55</v>
      </c>
      <c r="G6847">
        <v>-239.8664</v>
      </c>
      <c r="H6847" s="1">
        <v>-3.5404780000000001E-6</v>
      </c>
      <c r="I6847">
        <v>-62.124679999999998</v>
      </c>
      <c r="J6847">
        <v>-249.577</v>
      </c>
      <c r="K6847">
        <v>1.110336</v>
      </c>
      <c r="L6847">
        <v>-63.091799999999999</v>
      </c>
      <c r="M6847">
        <v>0.99979750000000001</v>
      </c>
      <c r="N6847">
        <v>-1.3947569999999999E-2</v>
      </c>
      <c r="O6847">
        <v>-1.451504E-2</v>
      </c>
      <c r="P6847">
        <v>0.92317899999999997</v>
      </c>
      <c r="Q6847">
        <v>0.363624</v>
      </c>
      <c r="R6847">
        <v>0.12457260000000001</v>
      </c>
      <c r="S6847">
        <v>3.3533629999999999</v>
      </c>
      <c r="T6847">
        <v>-0.37702000000000002</v>
      </c>
      <c r="U6847">
        <v>0.32751459999999999</v>
      </c>
      <c r="V6847">
        <v>-0.13752300000000001</v>
      </c>
      <c r="W6847">
        <v>0.3765984</v>
      </c>
      <c r="X6847">
        <v>0.91611189999999998</v>
      </c>
      <c r="Y6847">
        <v>-0.1107942</v>
      </c>
      <c r="Z6847">
        <v>8.3932239999999995E-3</v>
      </c>
      <c r="AA6847">
        <v>0.99380789999999997</v>
      </c>
      <c r="AB6847">
        <v>35</v>
      </c>
      <c r="AC6847">
        <v>9.7105999999999995</v>
      </c>
      <c r="AD6847">
        <v>-1.1103395404780001</v>
      </c>
      <c r="AE6847">
        <v>0.96711999999999398</v>
      </c>
      <c r="AF6847">
        <v>-1.0938210162900399</v>
      </c>
      <c r="AG6847">
        <v>-1.1103395404780001</v>
      </c>
      <c r="AH6847">
        <v>9.57162416801396</v>
      </c>
      <c r="AI6847">
        <v>96.574509922042296</v>
      </c>
      <c r="AJ6847">
        <v>96.519335611952002</v>
      </c>
      <c r="AK6847">
        <v>9.6976949593465491</v>
      </c>
      <c r="AL6847">
        <v>67.876861126759906</v>
      </c>
      <c r="AM6847">
        <v>98.537262256745606</v>
      </c>
      <c r="AN6847">
        <v>0.99999997186658396</v>
      </c>
    </row>
    <row r="6848" spans="1:40" x14ac:dyDescent="0.25">
      <c r="A6848" t="str">
        <f>"20190304165019155"</f>
        <v>20190304165019155</v>
      </c>
      <c r="B6848" t="str">
        <f>"1551689419152801"</f>
        <v>1551689419152801</v>
      </c>
      <c r="C6848" t="s">
        <v>40</v>
      </c>
      <c r="D6848">
        <v>4.5214160000000003</v>
      </c>
      <c r="E6848">
        <v>0.52350379999999996</v>
      </c>
      <c r="F6848" t="s">
        <v>55</v>
      </c>
      <c r="G6848">
        <v>-239.68360000000001</v>
      </c>
      <c r="H6848" s="1">
        <v>-3.4775819999999999E-6</v>
      </c>
      <c r="I6848">
        <v>-62.120730000000002</v>
      </c>
      <c r="J6848">
        <v>-249.3998</v>
      </c>
      <c r="K6848">
        <v>1.110368</v>
      </c>
      <c r="L6848">
        <v>-63.094569999999997</v>
      </c>
      <c r="M6848">
        <v>0.99979379999999995</v>
      </c>
      <c r="N6848">
        <v>-1.399766E-2</v>
      </c>
      <c r="O6848">
        <v>-1.4714120000000001E-2</v>
      </c>
      <c r="P6848">
        <v>0.92302680000000004</v>
      </c>
      <c r="Q6848">
        <v>0.36386930000000001</v>
      </c>
      <c r="R6848">
        <v>0.1249839</v>
      </c>
      <c r="S6848">
        <v>3.3534549999999999</v>
      </c>
      <c r="T6848">
        <v>-0.37636009999999998</v>
      </c>
      <c r="U6848">
        <v>0.32913209999999998</v>
      </c>
      <c r="V6848">
        <v>-0.13813889999999901</v>
      </c>
      <c r="W6848">
        <v>0.37687890000000002</v>
      </c>
      <c r="X6848">
        <v>0.91590389999999999</v>
      </c>
      <c r="Y6848">
        <v>-0.1114613</v>
      </c>
      <c r="Z6848">
        <v>8.4426950000000001E-3</v>
      </c>
      <c r="AA6848">
        <v>0.99373290000000003</v>
      </c>
      <c r="AB6848">
        <v>35</v>
      </c>
      <c r="AC6848">
        <v>9.7161999999999793</v>
      </c>
      <c r="AD6848">
        <v>-1.1103714775819999</v>
      </c>
      <c r="AE6848">
        <v>0.97383999999999504</v>
      </c>
      <c r="AF6848">
        <v>-1.1024589577166599</v>
      </c>
      <c r="AG6848">
        <v>-1.1103714775819999</v>
      </c>
      <c r="AH6848">
        <v>9.5769857265189895</v>
      </c>
      <c r="AI6848">
        <v>96.570430928951396</v>
      </c>
      <c r="AJ6848">
        <v>96.566724396965995</v>
      </c>
      <c r="AK6848">
        <v>9.7039680635101906</v>
      </c>
      <c r="AL6848">
        <v>67.859512149742699</v>
      </c>
      <c r="AM6848">
        <v>98.576847844619294</v>
      </c>
      <c r="AN6848">
        <v>1.0000000074968101</v>
      </c>
    </row>
    <row r="6849" spans="1:40" x14ac:dyDescent="0.25">
      <c r="A6849" t="str">
        <f>"20190304165019166"</f>
        <v>20190304165019166</v>
      </c>
      <c r="B6849" t="str">
        <f>"1551689419162564"</f>
        <v>1551689419162564</v>
      </c>
      <c r="C6849" t="s">
        <v>40</v>
      </c>
      <c r="D6849">
        <v>4.4690430000000001</v>
      </c>
      <c r="E6849">
        <v>0.5234432</v>
      </c>
      <c r="F6849" t="s">
        <v>55</v>
      </c>
      <c r="G6849">
        <v>-239.49019999999999</v>
      </c>
      <c r="H6849" s="1">
        <v>-3.4111089999999999E-6</v>
      </c>
      <c r="I6849">
        <v>-62.117150000000002</v>
      </c>
      <c r="J6849">
        <v>-249.21729999999999</v>
      </c>
      <c r="K6849">
        <v>1.110398</v>
      </c>
      <c r="L6849">
        <v>-63.097439999999999</v>
      </c>
      <c r="M6849">
        <v>0.99979039999999997</v>
      </c>
      <c r="N6849">
        <v>-1.4042890000000001E-2</v>
      </c>
      <c r="O6849">
        <v>-1.489555E-2</v>
      </c>
      <c r="P6849">
        <v>0.92275070000000003</v>
      </c>
      <c r="Q6849">
        <v>0.36437789999999998</v>
      </c>
      <c r="R6849">
        <v>0.1255387</v>
      </c>
      <c r="S6849">
        <v>3.3535159999999999</v>
      </c>
      <c r="T6849">
        <v>-0.37575920000000002</v>
      </c>
      <c r="U6849">
        <v>0.33074949999999997</v>
      </c>
      <c r="V6849">
        <v>-0.13887859999999999</v>
      </c>
      <c r="W6849">
        <v>0.3774168</v>
      </c>
      <c r="X6849">
        <v>0.91557049999999995</v>
      </c>
      <c r="Y6849">
        <v>-0.11211160000000001</v>
      </c>
      <c r="Z6849">
        <v>8.4902999999999992E-3</v>
      </c>
      <c r="AA6849">
        <v>0.99365939999999997</v>
      </c>
      <c r="AB6849">
        <v>35</v>
      </c>
      <c r="AC6849">
        <v>9.7271000000000001</v>
      </c>
      <c r="AD6849">
        <v>-1.1104014111089999</v>
      </c>
      <c r="AE6849">
        <v>0.980289999999996</v>
      </c>
      <c r="AF6849">
        <v>-1.1107567651900401</v>
      </c>
      <c r="AG6849">
        <v>-1.1104014111089999</v>
      </c>
      <c r="AH6849">
        <v>9.5877312417283704</v>
      </c>
      <c r="AI6849">
        <v>96.562760725158299</v>
      </c>
      <c r="AJ6849">
        <v>96.6083642328596</v>
      </c>
      <c r="AK6849">
        <v>9.7155217177886293</v>
      </c>
      <c r="AL6849">
        <v>67.826235733558093</v>
      </c>
      <c r="AM6849">
        <v>98.625178813662004</v>
      </c>
      <c r="AN6849">
        <v>1.00000002346522</v>
      </c>
    </row>
    <row r="6850" spans="1:40" x14ac:dyDescent="0.25">
      <c r="A6850" t="str">
        <f>"20190304165019178"</f>
        <v>20190304165019178</v>
      </c>
      <c r="B6850" t="str">
        <f>"1551689419172832"</f>
        <v>1551689419172832</v>
      </c>
      <c r="C6850" t="s">
        <v>40</v>
      </c>
      <c r="D6850">
        <v>4.480289</v>
      </c>
      <c r="E6850">
        <v>0.52342650000000002</v>
      </c>
      <c r="F6850" t="s">
        <v>55</v>
      </c>
      <c r="G6850">
        <v>-239.2679</v>
      </c>
      <c r="H6850" s="1">
        <v>-3.334187E-6</v>
      </c>
      <c r="I6850">
        <v>-62.109990000000003</v>
      </c>
      <c r="J6850">
        <v>-249.03919999999999</v>
      </c>
      <c r="K6850">
        <v>1.110428</v>
      </c>
      <c r="L6850">
        <v>-63.100279999999998</v>
      </c>
      <c r="M6850">
        <v>0.99978730000000005</v>
      </c>
      <c r="N6850">
        <v>-1.408531E-2</v>
      </c>
      <c r="O6850">
        <v>-1.5066970000000001E-2</v>
      </c>
      <c r="P6850">
        <v>0.92265779999999997</v>
      </c>
      <c r="Q6850">
        <v>0.36442150000000001</v>
      </c>
      <c r="R6850">
        <v>0.1260946</v>
      </c>
      <c r="S6850">
        <v>3.3536830000000002</v>
      </c>
      <c r="T6850">
        <v>-0.37428679999999998</v>
      </c>
      <c r="U6850">
        <v>0.33282469999999997</v>
      </c>
      <c r="V6850">
        <v>-0.13961229999999999</v>
      </c>
      <c r="W6850">
        <v>0.37749050000000001</v>
      </c>
      <c r="X6850">
        <v>0.91542849999999998</v>
      </c>
      <c r="Y6850">
        <v>-0.1128861</v>
      </c>
      <c r="Z6850">
        <v>8.5257479999999997E-3</v>
      </c>
      <c r="AA6850">
        <v>0.99357130000000005</v>
      </c>
      <c r="AB6850">
        <v>35</v>
      </c>
      <c r="AC6850">
        <v>9.7712999999999894</v>
      </c>
      <c r="AD6850">
        <v>-1.110431334187</v>
      </c>
      <c r="AE6850">
        <v>0.990290000000001</v>
      </c>
      <c r="AF6850">
        <v>-1.1230597172166401</v>
      </c>
      <c r="AG6850">
        <v>-1.110431334187</v>
      </c>
      <c r="AH6850">
        <v>9.6321385710663705</v>
      </c>
      <c r="AI6850">
        <v>96.532388988207103</v>
      </c>
      <c r="AJ6850">
        <v>96.650377009217706</v>
      </c>
      <c r="AK6850">
        <v>9.7607589012639604</v>
      </c>
      <c r="AL6850">
        <v>67.821675298578199</v>
      </c>
      <c r="AM6850">
        <v>98.671379705722302</v>
      </c>
      <c r="AN6850">
        <v>1.00000000525689</v>
      </c>
    </row>
    <row r="6851" spans="1:40" x14ac:dyDescent="0.25">
      <c r="A6851" t="str">
        <f>"20190304165019189"</f>
        <v>20190304165019189</v>
      </c>
      <c r="B6851" t="str">
        <f>"1551689419182589"</f>
        <v>1551689419182589</v>
      </c>
      <c r="C6851" t="s">
        <v>40</v>
      </c>
      <c r="D6851">
        <v>4.5023989999999996</v>
      </c>
      <c r="E6851">
        <v>0.52339939999999996</v>
      </c>
      <c r="F6851" t="s">
        <v>55</v>
      </c>
      <c r="G6851">
        <v>-239.1063</v>
      </c>
      <c r="H6851" s="1">
        <v>-3.2789250000000001E-6</v>
      </c>
      <c r="I6851">
        <v>-62.108350000000002</v>
      </c>
      <c r="J6851">
        <v>-248.86930000000001</v>
      </c>
      <c r="K6851">
        <v>1.110457</v>
      </c>
      <c r="L6851">
        <v>-63.103000000000002</v>
      </c>
      <c r="M6851">
        <v>0.99978460000000002</v>
      </c>
      <c r="N6851">
        <v>-1.41221E-2</v>
      </c>
      <c r="O6851">
        <v>-1.521779E-2</v>
      </c>
      <c r="P6851">
        <v>0.92246450000000002</v>
      </c>
      <c r="Q6851">
        <v>0.36477490000000001</v>
      </c>
      <c r="R6851">
        <v>0.12648570000000001</v>
      </c>
      <c r="S6851">
        <v>3.3538060000000001</v>
      </c>
      <c r="T6851">
        <v>-0.3749324</v>
      </c>
      <c r="U6851">
        <v>0.33489989999999997</v>
      </c>
      <c r="V6851">
        <v>-0.1401577</v>
      </c>
      <c r="W6851">
        <v>0.37786799999999998</v>
      </c>
      <c r="X6851">
        <v>0.91518940000000004</v>
      </c>
      <c r="Y6851">
        <v>-0.113632399999999</v>
      </c>
      <c r="Z6851">
        <v>8.6018420000000002E-3</v>
      </c>
      <c r="AA6851">
        <v>0.99348559999999997</v>
      </c>
      <c r="AB6851">
        <v>35</v>
      </c>
      <c r="AC6851">
        <v>9.7629999999999999</v>
      </c>
      <c r="AD6851">
        <v>-1.110460278925</v>
      </c>
      <c r="AE6851">
        <v>0.99465000000000003</v>
      </c>
      <c r="AF6851">
        <v>-1.12866909201719</v>
      </c>
      <c r="AG6851">
        <v>-1.110460278925</v>
      </c>
      <c r="AH6851">
        <v>9.6235093083913696</v>
      </c>
      <c r="AI6851">
        <v>96.537850740595303</v>
      </c>
      <c r="AJ6851">
        <v>96.689232598063796</v>
      </c>
      <c r="AK6851">
        <v>9.7528943067707097</v>
      </c>
      <c r="AL6851">
        <v>67.798316469146201</v>
      </c>
      <c r="AM6851">
        <v>98.706976189356894</v>
      </c>
      <c r="AN6851">
        <v>1.00000002208282</v>
      </c>
    </row>
    <row r="6852" spans="1:40" x14ac:dyDescent="0.25">
      <c r="A6852" t="str">
        <f>"20190304165019200"</f>
        <v>20190304165019200</v>
      </c>
      <c r="B6852" t="str">
        <f>"1551689419192349"</f>
        <v>1551689419192349</v>
      </c>
      <c r="C6852" t="s">
        <v>40</v>
      </c>
      <c r="D6852">
        <v>4.4967689999999996</v>
      </c>
      <c r="E6852">
        <v>0.52337999999999996</v>
      </c>
      <c r="F6852" t="s">
        <v>55</v>
      </c>
      <c r="G6852">
        <v>-238.91200000000001</v>
      </c>
      <c r="H6852" s="1">
        <v>-3.212255E-6</v>
      </c>
      <c r="I6852">
        <v>-62.105350000000001</v>
      </c>
      <c r="J6852">
        <v>-248.709</v>
      </c>
      <c r="K6852">
        <v>1.1104810000000001</v>
      </c>
      <c r="L6852">
        <v>-63.105559999999997</v>
      </c>
      <c r="M6852">
        <v>0.9997819</v>
      </c>
      <c r="N6852">
        <v>-1.415464E-2</v>
      </c>
      <c r="O6852">
        <v>-1.5353E-2</v>
      </c>
      <c r="P6852">
        <v>0.92221399999999998</v>
      </c>
      <c r="Q6852">
        <v>0.36510049999999999</v>
      </c>
      <c r="R6852">
        <v>0.12736910000000001</v>
      </c>
      <c r="S6852">
        <v>3.3540190000000001</v>
      </c>
      <c r="T6852">
        <v>-0.37404860000000001</v>
      </c>
      <c r="U6852">
        <v>0.33602910000000002</v>
      </c>
      <c r="V6852">
        <v>-0.14117779999999999</v>
      </c>
      <c r="W6852">
        <v>0.3782141</v>
      </c>
      <c r="X6852">
        <v>0.91488959999999997</v>
      </c>
      <c r="Y6852">
        <v>-0.1140916</v>
      </c>
      <c r="Z6852">
        <v>8.6256470000000002E-3</v>
      </c>
      <c r="AA6852">
        <v>0.9934328</v>
      </c>
      <c r="AB6852">
        <v>35</v>
      </c>
      <c r="AC6852">
        <v>9.7969999999999899</v>
      </c>
      <c r="AD6852">
        <v>-1.110484212255</v>
      </c>
      <c r="AE6852">
        <v>1.0002099999999901</v>
      </c>
      <c r="AF6852">
        <v>-1.1360746853586901</v>
      </c>
      <c r="AG6852">
        <v>-1.110484212255</v>
      </c>
      <c r="AH6852">
        <v>9.6576844761755396</v>
      </c>
      <c r="AI6852">
        <v>96.514790773761604</v>
      </c>
      <c r="AJ6852">
        <v>96.7091141938253</v>
      </c>
      <c r="AK6852">
        <v>9.7874772192706807</v>
      </c>
      <c r="AL6852">
        <v>67.7768969716371</v>
      </c>
      <c r="AM6852">
        <v>98.772194930246599</v>
      </c>
      <c r="AN6852">
        <v>1.0000000284199</v>
      </c>
    </row>
    <row r="6853" spans="1:40" x14ac:dyDescent="0.25">
      <c r="A6853" t="str">
        <f>"20190304165019211"</f>
        <v>20190304165019211</v>
      </c>
      <c r="B6853" t="str">
        <f>"1551689419202108"</f>
        <v>1551689419202108</v>
      </c>
      <c r="C6853" t="s">
        <v>40</v>
      </c>
      <c r="D6853">
        <v>4.5535449999999997</v>
      </c>
      <c r="E6853">
        <v>0.52348050000000002</v>
      </c>
      <c r="F6853" t="s">
        <v>55</v>
      </c>
      <c r="G6853">
        <v>-238.73990000000001</v>
      </c>
      <c r="H6853" s="1">
        <v>-3.1523179999999999E-6</v>
      </c>
      <c r="I6853">
        <v>-62.09769</v>
      </c>
      <c r="J6853">
        <v>-248.52619999999999</v>
      </c>
      <c r="K6853">
        <v>1.1105069999999999</v>
      </c>
      <c r="L6853">
        <v>-63.108519999999999</v>
      </c>
      <c r="M6853">
        <v>0.99977919999999998</v>
      </c>
      <c r="N6853">
        <v>-1.418903E-2</v>
      </c>
      <c r="O6853">
        <v>-1.549844E-2</v>
      </c>
      <c r="P6853">
        <v>0.92201540000000004</v>
      </c>
      <c r="Q6853">
        <v>0.36539270000000001</v>
      </c>
      <c r="R6853">
        <v>0.1279681</v>
      </c>
      <c r="S6853">
        <v>3.3541259999999999</v>
      </c>
      <c r="T6853">
        <v>-0.37362489999999998</v>
      </c>
      <c r="U6853">
        <v>0.33908080000000002</v>
      </c>
      <c r="V6853">
        <v>-0.141925</v>
      </c>
      <c r="W6853">
        <v>0.37852839999999999</v>
      </c>
      <c r="X6853">
        <v>0.91464400000000001</v>
      </c>
      <c r="Y6853">
        <v>-0.1151218</v>
      </c>
      <c r="Z6853">
        <v>8.6959589999999996E-3</v>
      </c>
      <c r="AA6853">
        <v>0.99331329999999995</v>
      </c>
      <c r="AB6853">
        <v>34</v>
      </c>
      <c r="AC6853">
        <v>9.7862999999999793</v>
      </c>
      <c r="AD6853">
        <v>-1.1105101523180001</v>
      </c>
      <c r="AE6853">
        <v>1.0108299999999899</v>
      </c>
      <c r="AF6853">
        <v>-1.14777259935654</v>
      </c>
      <c r="AG6853">
        <v>-1.1105101523180001</v>
      </c>
      <c r="AH6853">
        <v>9.6465510220758901</v>
      </c>
      <c r="AI6853">
        <v>96.521378804548803</v>
      </c>
      <c r="AJ6853">
        <v>96.785306428479899</v>
      </c>
      <c r="AK6853">
        <v>9.7778607762510301</v>
      </c>
      <c r="AL6853">
        <v>67.757443077412901</v>
      </c>
      <c r="AM6853">
        <v>98.820225572718897</v>
      </c>
      <c r="AN6853">
        <v>1.0000000509837701</v>
      </c>
    </row>
    <row r="6854" spans="1:40" x14ac:dyDescent="0.25">
      <c r="A6854" t="str">
        <f>"20190304165019224"</f>
        <v>20190304165019224</v>
      </c>
      <c r="B6854" t="str">
        <f>"1551689419212844"</f>
        <v>1551689419212844</v>
      </c>
      <c r="C6854" t="s">
        <v>40</v>
      </c>
      <c r="D6854">
        <v>4.5445449999999896</v>
      </c>
      <c r="E6854">
        <v>0.52348050000000002</v>
      </c>
      <c r="F6854" t="s">
        <v>55</v>
      </c>
      <c r="G6854">
        <v>-238.5472</v>
      </c>
      <c r="H6854" s="1">
        <v>-3.0863079999999998E-6</v>
      </c>
      <c r="I6854">
        <v>-62.095179999999999</v>
      </c>
      <c r="J6854">
        <v>-248.3494</v>
      </c>
      <c r="K6854">
        <v>1.110528</v>
      </c>
      <c r="L6854">
        <v>-63.11139</v>
      </c>
      <c r="M6854">
        <v>0.99977680000000002</v>
      </c>
      <c r="N6854">
        <v>-1.421918E-2</v>
      </c>
      <c r="O6854">
        <v>-1.562887E-2</v>
      </c>
      <c r="P6854">
        <v>0.92192850000000004</v>
      </c>
      <c r="Q6854">
        <v>0.36538949999999998</v>
      </c>
      <c r="R6854">
        <v>0.12860239999999901</v>
      </c>
      <c r="S6854">
        <v>3.3544010000000002</v>
      </c>
      <c r="T6854">
        <v>-0.37329240000000002</v>
      </c>
      <c r="U6854">
        <v>0.34060669999999998</v>
      </c>
      <c r="V6854">
        <v>-0.14269399999999999</v>
      </c>
      <c r="W6854">
        <v>0.37854559999999998</v>
      </c>
      <c r="X6854">
        <v>0.91451720000000003</v>
      </c>
      <c r="Y6854">
        <v>-0.1156875</v>
      </c>
      <c r="Z6854">
        <v>8.737201E-3</v>
      </c>
      <c r="AA6854">
        <v>0.9932472</v>
      </c>
      <c r="AB6854">
        <v>34</v>
      </c>
      <c r="AC6854">
        <v>9.8021999999999991</v>
      </c>
      <c r="AD6854">
        <v>-1.110531086308</v>
      </c>
      <c r="AE6854">
        <v>1.0162099999999901</v>
      </c>
      <c r="AF6854">
        <v>-1.15463586037807</v>
      </c>
      <c r="AG6854">
        <v>-1.110531086308</v>
      </c>
      <c r="AH6854">
        <v>9.6624151430975296</v>
      </c>
      <c r="AI6854">
        <v>96.510494655328003</v>
      </c>
      <c r="AJ6854">
        <v>96.814397529995304</v>
      </c>
      <c r="AK6854">
        <v>9.7943212966130506</v>
      </c>
      <c r="AL6854">
        <v>67.756377845369101</v>
      </c>
      <c r="AM6854">
        <v>98.868469136925398</v>
      </c>
      <c r="AN6854">
        <v>1.0000000290055899</v>
      </c>
    </row>
    <row r="6855" spans="1:40" x14ac:dyDescent="0.25">
      <c r="A6855" t="str">
        <f>"20190304165019235"</f>
        <v>20190304165019235</v>
      </c>
      <c r="B6855" t="str">
        <f>"1551689419222604"</f>
        <v>1551689419222604</v>
      </c>
      <c r="C6855" t="s">
        <v>40</v>
      </c>
      <c r="D6855">
        <v>4.549696</v>
      </c>
      <c r="E6855">
        <v>0.53282989999999997</v>
      </c>
      <c r="F6855" t="s">
        <v>55</v>
      </c>
      <c r="G6855">
        <v>-238.37100000000001</v>
      </c>
      <c r="H6855" s="1">
        <v>-3.0257640000000002E-6</v>
      </c>
      <c r="I6855">
        <v>-62.091790000000003</v>
      </c>
      <c r="J6855">
        <v>-248.17400000000001</v>
      </c>
      <c r="K6855">
        <v>1.1105510000000001</v>
      </c>
      <c r="L6855">
        <v>-63.114289999999997</v>
      </c>
      <c r="M6855">
        <v>0.99977439999999995</v>
      </c>
      <c r="N6855">
        <v>-1.4247940000000001E-2</v>
      </c>
      <c r="O6855">
        <v>-1.575406E-2</v>
      </c>
      <c r="P6855">
        <v>0.92166990000000004</v>
      </c>
      <c r="Q6855">
        <v>0.36593039999999999</v>
      </c>
      <c r="R6855">
        <v>0.1289177</v>
      </c>
      <c r="S6855">
        <v>3.3541720000000002</v>
      </c>
      <c r="T6855">
        <v>-0.37329760000000001</v>
      </c>
      <c r="U6855">
        <v>0.34271239999999997</v>
      </c>
      <c r="V6855">
        <v>-0.14313580000000001</v>
      </c>
      <c r="W6855">
        <v>0.37910300000000002</v>
      </c>
      <c r="X6855">
        <v>0.91421719999999895</v>
      </c>
      <c r="Y6855">
        <v>-0.1164299</v>
      </c>
      <c r="Z6855">
        <v>8.7973510000000001E-3</v>
      </c>
      <c r="AA6855">
        <v>0.99315989999999998</v>
      </c>
      <c r="AB6855">
        <v>34</v>
      </c>
      <c r="AC6855">
        <v>9.8030000000000204</v>
      </c>
      <c r="AD6855">
        <v>-1.1105540257639901</v>
      </c>
      <c r="AE6855">
        <v>1.0225</v>
      </c>
      <c r="AF6855">
        <v>-1.1620723010826799</v>
      </c>
      <c r="AG6855">
        <v>-1.1105540257639901</v>
      </c>
      <c r="AH6855">
        <v>9.6629930421300507</v>
      </c>
      <c r="AI6855">
        <v>96.509660413773204</v>
      </c>
      <c r="AJ6855">
        <v>96.857462822542999</v>
      </c>
      <c r="AK6855">
        <v>9.7957734155776599</v>
      </c>
      <c r="AL6855">
        <v>67.721868879622093</v>
      </c>
      <c r="AM6855">
        <v>98.898361013768294</v>
      </c>
      <c r="AN6855">
        <v>1.00000001531323</v>
      </c>
    </row>
    <row r="6856" spans="1:40" x14ac:dyDescent="0.25">
      <c r="A6856" t="str">
        <f>"20190304165019245"</f>
        <v>20190304165019245</v>
      </c>
      <c r="B6856" t="str">
        <f>"1551689419242124"</f>
        <v>1551689419242124</v>
      </c>
      <c r="C6856" t="s">
        <v>40</v>
      </c>
      <c r="D6856">
        <v>4.5317590000000001</v>
      </c>
      <c r="E6856">
        <v>0.53354259999999998</v>
      </c>
      <c r="F6856" t="s">
        <v>55</v>
      </c>
      <c r="G6856">
        <v>-238.29750000000001</v>
      </c>
      <c r="H6856" s="1">
        <v>-3.0408979999999999E-6</v>
      </c>
      <c r="I6856">
        <v>-62.318129999999996</v>
      </c>
      <c r="J6856">
        <v>-248.0247</v>
      </c>
      <c r="K6856">
        <v>1.1105689999999999</v>
      </c>
      <c r="L6856">
        <v>-63.116729999999997</v>
      </c>
      <c r="M6856">
        <v>0.99977249999999995</v>
      </c>
      <c r="N6856">
        <v>-1.42693E-2</v>
      </c>
      <c r="O6856">
        <v>-1.5849680000000001E-2</v>
      </c>
      <c r="P6856">
        <v>0.92152179999999995</v>
      </c>
      <c r="Q6856">
        <v>0.36598930000000002</v>
      </c>
      <c r="R6856">
        <v>0.1298047</v>
      </c>
      <c r="S6856">
        <v>3.3673099999999998</v>
      </c>
      <c r="T6856">
        <v>-0.3786371</v>
      </c>
      <c r="U6856">
        <v>0.27142329999999998</v>
      </c>
      <c r="V6856">
        <v>-0.14412069999999999</v>
      </c>
      <c r="W6856">
        <v>0.37917529999999999</v>
      </c>
      <c r="X6856">
        <v>0.91403250000000003</v>
      </c>
      <c r="Y6856">
        <v>-9.5384960000000005E-2</v>
      </c>
      <c r="Z6856">
        <v>7.5702640000000002E-3</v>
      </c>
      <c r="AA6856">
        <v>0.99541170000000001</v>
      </c>
      <c r="AB6856">
        <v>34</v>
      </c>
      <c r="AC6856">
        <v>9.7271999999999803</v>
      </c>
      <c r="AD6856">
        <v>-1.110572040898</v>
      </c>
      <c r="AE6856">
        <v>0.79859999999999998</v>
      </c>
      <c r="AF6856">
        <v>-0.94051071340959402</v>
      </c>
      <c r="AG6856">
        <v>-1.110572040898</v>
      </c>
      <c r="AH6856">
        <v>9.5891592823226599</v>
      </c>
      <c r="AI6856">
        <v>96.575028335842305</v>
      </c>
      <c r="AJ6856">
        <v>95.601689187062505</v>
      </c>
      <c r="AK6856">
        <v>9.6989641922123599</v>
      </c>
      <c r="AL6856">
        <v>67.717392921449303</v>
      </c>
      <c r="AM6856">
        <v>98.960380710580296</v>
      </c>
      <c r="AN6856">
        <v>1.00000004767741</v>
      </c>
    </row>
    <row r="6857" spans="1:40" x14ac:dyDescent="0.25">
      <c r="A6857" t="str">
        <f>"20190304165019256"</f>
        <v>20190304165019256</v>
      </c>
      <c r="B6857" t="str">
        <f>"1551689419252860"</f>
        <v>1551689419252860</v>
      </c>
      <c r="C6857" t="s">
        <v>40</v>
      </c>
      <c r="D6857">
        <v>4.5321420000000003</v>
      </c>
      <c r="E6857">
        <v>0.53363260000000001</v>
      </c>
      <c r="F6857" t="s">
        <v>55</v>
      </c>
      <c r="G6857">
        <v>-237.98439999999999</v>
      </c>
      <c r="H6857" s="1">
        <v>-2.9264469999999999E-6</v>
      </c>
      <c r="I6857">
        <v>-62.315570000000001</v>
      </c>
      <c r="J6857">
        <v>-247.84800000000001</v>
      </c>
      <c r="K6857">
        <v>1.1105910000000001</v>
      </c>
      <c r="L6857">
        <v>-63.119630000000001</v>
      </c>
      <c r="M6857">
        <v>0.99977059999999995</v>
      </c>
      <c r="N6857">
        <v>-1.429422E-2</v>
      </c>
      <c r="O6857">
        <v>-1.59615E-2</v>
      </c>
      <c r="P6857">
        <v>0.92127309999999996</v>
      </c>
      <c r="Q6857">
        <v>0.36640889999999998</v>
      </c>
      <c r="R6857">
        <v>0.130386</v>
      </c>
      <c r="S6857">
        <v>3.3654790000000001</v>
      </c>
      <c r="T6857">
        <v>-0.37225740000000002</v>
      </c>
      <c r="U6857">
        <v>0.26852419999999999</v>
      </c>
      <c r="V6857">
        <v>-0.1448159</v>
      </c>
      <c r="W6857">
        <v>0.3796081</v>
      </c>
      <c r="X6857">
        <v>0.91374290000000002</v>
      </c>
      <c r="Y6857">
        <v>-9.4714909999999999E-2</v>
      </c>
      <c r="Z6857">
        <v>7.4248780000000002E-3</v>
      </c>
      <c r="AA6857">
        <v>0.99547669999999999</v>
      </c>
      <c r="AB6857">
        <v>34</v>
      </c>
      <c r="AC6857">
        <v>9.8635999999999893</v>
      </c>
      <c r="AD6857">
        <v>-1.1105939264469999</v>
      </c>
      <c r="AE6857">
        <v>0.80406000000001399</v>
      </c>
      <c r="AF6857">
        <v>-0.94945404564132596</v>
      </c>
      <c r="AG6857">
        <v>-1.1105939264469999</v>
      </c>
      <c r="AH6857">
        <v>9.7270060819921191</v>
      </c>
      <c r="AI6857">
        <v>96.483068542951301</v>
      </c>
      <c r="AJ6857">
        <v>95.574985927715502</v>
      </c>
      <c r="AK6857">
        <v>9.8361338529605895</v>
      </c>
      <c r="AL6857">
        <v>67.690590904518302</v>
      </c>
      <c r="AM6857">
        <v>99.005703534265194</v>
      </c>
      <c r="AN6857">
        <v>1.00000002088941</v>
      </c>
    </row>
    <row r="6858" spans="1:40" x14ac:dyDescent="0.25">
      <c r="A6858" t="str">
        <f>"20190304165019268"</f>
        <v>20190304165019268</v>
      </c>
      <c r="B6858" t="str">
        <f>"1551689419262624"</f>
        <v>1551689419262624</v>
      </c>
      <c r="C6858" t="s">
        <v>40</v>
      </c>
      <c r="D6858">
        <v>4.5114299999999998</v>
      </c>
      <c r="E6858">
        <v>0.53373970000000004</v>
      </c>
      <c r="F6858" t="s">
        <v>55</v>
      </c>
      <c r="G6858">
        <v>-237.68010000000001</v>
      </c>
      <c r="H6858" s="1">
        <v>-2.7930230000000002E-6</v>
      </c>
      <c r="I6858">
        <v>-62.3046199999999</v>
      </c>
      <c r="J6858">
        <v>-247.65620000000001</v>
      </c>
      <c r="K6858">
        <v>1.110616</v>
      </c>
      <c r="L6858">
        <v>-63.12283</v>
      </c>
      <c r="M6858">
        <v>0.9997684</v>
      </c>
      <c r="N6858">
        <v>-1.431793E-2</v>
      </c>
      <c r="O6858">
        <v>-1.6068619999999999E-2</v>
      </c>
      <c r="P6858">
        <v>0.921095</v>
      </c>
      <c r="Q6858">
        <v>0.36651420000000001</v>
      </c>
      <c r="R6858">
        <v>0.1313455</v>
      </c>
      <c r="S6858">
        <v>3.3643649999999998</v>
      </c>
      <c r="T6858">
        <v>-0.36747600000000002</v>
      </c>
      <c r="U6858">
        <v>0.26965329999999998</v>
      </c>
      <c r="V6858">
        <v>-0.14588779999999901</v>
      </c>
      <c r="W6858">
        <v>0.37972630000000002</v>
      </c>
      <c r="X6858">
        <v>0.91352319999999998</v>
      </c>
      <c r="Y6858">
        <v>-9.5193189999999997E-2</v>
      </c>
      <c r="Z6858">
        <v>7.37829E-3</v>
      </c>
      <c r="AA6858">
        <v>0.99543150000000002</v>
      </c>
      <c r="AB6858">
        <v>34</v>
      </c>
      <c r="AC6858">
        <v>9.9761000000000006</v>
      </c>
      <c r="AD6858">
        <v>-1.110618793023</v>
      </c>
      <c r="AE6858">
        <v>0.81821000000001398</v>
      </c>
      <c r="AF6858">
        <v>-0.96652395745123598</v>
      </c>
      <c r="AG6858">
        <v>-1.110618793023</v>
      </c>
      <c r="AH6858">
        <v>9.8405153246858994</v>
      </c>
      <c r="AI6858">
        <v>96.408679953795001</v>
      </c>
      <c r="AJ6858">
        <v>95.609532648194104</v>
      </c>
      <c r="AK6858">
        <v>9.9500444480977599</v>
      </c>
      <c r="AL6858">
        <v>67.683269328911905</v>
      </c>
      <c r="AM6858">
        <v>99.073402997177794</v>
      </c>
      <c r="AN6858">
        <v>0.99999997501938398</v>
      </c>
    </row>
    <row r="6859" spans="1:40" x14ac:dyDescent="0.25">
      <c r="A6859" t="str">
        <f>"20190304165019279"</f>
        <v>20190304165019279</v>
      </c>
      <c r="B6859" t="str">
        <f>"1551689419272694"</f>
        <v>1551689419272694</v>
      </c>
      <c r="C6859" t="s">
        <v>40</v>
      </c>
      <c r="D6859">
        <v>4.5217700000000001</v>
      </c>
      <c r="E6859">
        <v>0.533692099999999</v>
      </c>
      <c r="F6859" t="s">
        <v>55</v>
      </c>
      <c r="G6859">
        <v>-237.47550000000001</v>
      </c>
      <c r="H6859" s="1">
        <v>-2.7040880000000002E-6</v>
      </c>
      <c r="I6859">
        <v>-62.30039</v>
      </c>
      <c r="J6859">
        <v>-247.49299999999999</v>
      </c>
      <c r="K6859">
        <v>1.1106339999999999</v>
      </c>
      <c r="L6859">
        <v>-63.125549999999997</v>
      </c>
      <c r="M6859">
        <v>0.99976679999999996</v>
      </c>
      <c r="N6859">
        <v>-1.433706E-2</v>
      </c>
      <c r="O6859">
        <v>-1.615513E-2</v>
      </c>
      <c r="P6859">
        <v>0.92074529999999999</v>
      </c>
      <c r="Q6859">
        <v>0.36699730000000003</v>
      </c>
      <c r="R6859">
        <v>0.1324438</v>
      </c>
      <c r="S6859">
        <v>3.364258</v>
      </c>
      <c r="T6859">
        <v>-0.3670079</v>
      </c>
      <c r="U6859">
        <v>0.27175899999999997</v>
      </c>
      <c r="V6859">
        <v>-0.14707410000000001</v>
      </c>
      <c r="W6859">
        <v>0.38021680000000002</v>
      </c>
      <c r="X6859">
        <v>0.91312890000000002</v>
      </c>
      <c r="Y6859">
        <v>-9.589744E-2</v>
      </c>
      <c r="Z6859">
        <v>7.42167E-3</v>
      </c>
      <c r="AA6859">
        <v>0.99536349999999996</v>
      </c>
      <c r="AB6859">
        <v>34</v>
      </c>
      <c r="AC6859">
        <v>10.017499999999901</v>
      </c>
      <c r="AD6859">
        <v>-1.1106367040880001</v>
      </c>
      <c r="AE6859">
        <v>0.82515999999999601</v>
      </c>
      <c r="AF6859">
        <v>-0.97499893274585503</v>
      </c>
      <c r="AG6859">
        <v>-1.1106367040880001</v>
      </c>
      <c r="AH6859">
        <v>9.8822062788772396</v>
      </c>
      <c r="AI6859">
        <v>96.381695178681895</v>
      </c>
      <c r="AJ6859">
        <v>95.634684400975502</v>
      </c>
      <c r="AK6859">
        <v>9.9921037697575894</v>
      </c>
      <c r="AL6859">
        <v>67.652887535657896</v>
      </c>
      <c r="AM6859">
        <v>99.149824676845697</v>
      </c>
      <c r="AN6859">
        <v>0.99999999695413</v>
      </c>
    </row>
    <row r="6860" spans="1:40" x14ac:dyDescent="0.25">
      <c r="A6860" t="str">
        <f>"20190304165019290"</f>
        <v>20190304165019290</v>
      </c>
      <c r="B6860" t="str">
        <f>"1551689419282454"</f>
        <v>1551689419282454</v>
      </c>
      <c r="C6860" t="s">
        <v>40</v>
      </c>
      <c r="D6860">
        <v>4.5485860000000002</v>
      </c>
      <c r="E6860">
        <v>0.53376829999999997</v>
      </c>
      <c r="F6860" t="s">
        <v>55</v>
      </c>
      <c r="G6860">
        <v>-237.26480000000001</v>
      </c>
      <c r="H6860" s="1">
        <v>-2.6105740000000002E-6</v>
      </c>
      <c r="I6860">
        <v>-62.288510000000002</v>
      </c>
      <c r="J6860">
        <v>-247.32689999999999</v>
      </c>
      <c r="K6860">
        <v>1.1106560000000001</v>
      </c>
      <c r="L6860">
        <v>-63.128329999999998</v>
      </c>
      <c r="M6860">
        <v>0.99976529999999997</v>
      </c>
      <c r="N6860">
        <v>-1.4354820000000001E-2</v>
      </c>
      <c r="O6860">
        <v>-1.6234829999999999E-2</v>
      </c>
      <c r="P6860">
        <v>0.92047749999999995</v>
      </c>
      <c r="Q6860">
        <v>0.36736229999999997</v>
      </c>
      <c r="R6860">
        <v>0.13329059999999901</v>
      </c>
      <c r="S6860">
        <v>3.3642729999999998</v>
      </c>
      <c r="T6860">
        <v>-0.36531200000000003</v>
      </c>
      <c r="U6860">
        <v>0.27529910000000002</v>
      </c>
      <c r="V6860">
        <v>-0.14800479999999899</v>
      </c>
      <c r="W6860">
        <v>0.38058819999999999</v>
      </c>
      <c r="X6860">
        <v>0.91282379999999996</v>
      </c>
      <c r="Y6860">
        <v>-9.7015409999999996E-2</v>
      </c>
      <c r="Z6860">
        <v>7.4659169999999999E-3</v>
      </c>
      <c r="AA6860">
        <v>0.99525490000000005</v>
      </c>
      <c r="AB6860">
        <v>34</v>
      </c>
      <c r="AC6860">
        <v>10.0620999999999</v>
      </c>
      <c r="AD6860">
        <v>-1.1106586105739999</v>
      </c>
      <c r="AE6860">
        <v>0.83982000000001</v>
      </c>
      <c r="AF6860">
        <v>-0.99109083931627895</v>
      </c>
      <c r="AG6860">
        <v>-1.1106586105739999</v>
      </c>
      <c r="AH6860">
        <v>9.9270253816376393</v>
      </c>
      <c r="AI6860">
        <v>96.3525151403461</v>
      </c>
      <c r="AJ6860">
        <v>95.701382853982196</v>
      </c>
      <c r="AK6860">
        <v>10.038010586201599</v>
      </c>
      <c r="AL6860">
        <v>67.629879170729595</v>
      </c>
      <c r="AM6860">
        <v>99.209761694986497</v>
      </c>
      <c r="AN6860">
        <v>1.00000004432435</v>
      </c>
    </row>
    <row r="6861" spans="1:40" x14ac:dyDescent="0.25">
      <c r="A6861" t="str">
        <f>"20190304165019300"</f>
        <v>20190304165019300</v>
      </c>
      <c r="B6861" t="str">
        <f>"1551689419292214"</f>
        <v>1551689419292214</v>
      </c>
      <c r="C6861" t="s">
        <v>40</v>
      </c>
      <c r="D6861">
        <v>4.5287769999999998</v>
      </c>
      <c r="E6861">
        <v>0.53382050000000003</v>
      </c>
      <c r="F6861" t="s">
        <v>55</v>
      </c>
      <c r="G6861">
        <v>-237.0489</v>
      </c>
      <c r="H6861" s="1">
        <v>-2.5162850000000002E-6</v>
      </c>
      <c r="I6861">
        <v>-62.282339999999998</v>
      </c>
      <c r="J6861">
        <v>-247.1533</v>
      </c>
      <c r="K6861">
        <v>1.1106799999999999</v>
      </c>
      <c r="L6861">
        <v>-63.1312</v>
      </c>
      <c r="M6861">
        <v>0.99976379999999998</v>
      </c>
      <c r="N6861">
        <v>-1.437196E-2</v>
      </c>
      <c r="O6861">
        <v>-1.6308659999999999E-2</v>
      </c>
      <c r="P6861">
        <v>0.92012899999999997</v>
      </c>
      <c r="Q6861">
        <v>0.36792740000000002</v>
      </c>
      <c r="R6861">
        <v>0.13413549999999999</v>
      </c>
      <c r="S6861">
        <v>3.364166</v>
      </c>
      <c r="T6861">
        <v>-0.36353679999999999</v>
      </c>
      <c r="U6861">
        <v>0.27688600000000002</v>
      </c>
      <c r="V6861">
        <v>-0.14892759999999999</v>
      </c>
      <c r="W6861">
        <v>0.38115739999999998</v>
      </c>
      <c r="X6861">
        <v>0.91243609999999997</v>
      </c>
      <c r="Y6861">
        <v>-9.7560439999999998E-2</v>
      </c>
      <c r="Z6861">
        <v>7.4728800000000003E-3</v>
      </c>
      <c r="AA6861">
        <v>0.99520149999999996</v>
      </c>
      <c r="AB6861">
        <v>34</v>
      </c>
      <c r="AC6861">
        <v>10.104399999999901</v>
      </c>
      <c r="AD6861">
        <v>-1.11068251628499</v>
      </c>
      <c r="AE6861">
        <v>0.84885999999999395</v>
      </c>
      <c r="AF6861">
        <v>-1.0015369917922901</v>
      </c>
      <c r="AG6861">
        <v>-1.11068251628499</v>
      </c>
      <c r="AH6861">
        <v>9.9695966578415192</v>
      </c>
      <c r="AI6861">
        <v>96.325357962086301</v>
      </c>
      <c r="AJ6861">
        <v>95.736637620665505</v>
      </c>
      <c r="AK6861">
        <v>10.0811482241833</v>
      </c>
      <c r="AL6861">
        <v>67.594607240069806</v>
      </c>
      <c r="AM6861">
        <v>99.270059835632694</v>
      </c>
      <c r="AN6861">
        <v>1.00000001509986</v>
      </c>
    </row>
    <row r="6862" spans="1:40" x14ac:dyDescent="0.25">
      <c r="A6862" t="str">
        <f>"20190304165019312"</f>
        <v>20190304165019312</v>
      </c>
      <c r="B6862" t="str">
        <f>"1551689419301973"</f>
        <v>1551689419301973</v>
      </c>
      <c r="C6862" t="s">
        <v>40</v>
      </c>
      <c r="D6862">
        <v>4.5419029999999996</v>
      </c>
      <c r="E6862">
        <v>0.53388349999999996</v>
      </c>
      <c r="F6862" t="s">
        <v>55</v>
      </c>
      <c r="G6862">
        <v>-236.80690000000001</v>
      </c>
      <c r="H6862" s="1">
        <v>-2.409822E-6</v>
      </c>
      <c r="I6862">
        <v>-62.27243</v>
      </c>
      <c r="J6862">
        <v>-246.98009999999999</v>
      </c>
      <c r="K6862">
        <v>1.110708</v>
      </c>
      <c r="L6862">
        <v>-63.13409</v>
      </c>
      <c r="M6862">
        <v>0.9997625</v>
      </c>
      <c r="N6862">
        <v>-1.438788E-2</v>
      </c>
      <c r="O6862">
        <v>-1.6374240000000002E-2</v>
      </c>
      <c r="P6862">
        <v>0.91977140000000002</v>
      </c>
      <c r="Q6862">
        <v>0.36847619999999998</v>
      </c>
      <c r="R6862">
        <v>0.135077799999999</v>
      </c>
      <c r="S6862">
        <v>3.3641200000000002</v>
      </c>
      <c r="T6862">
        <v>-0.3611356</v>
      </c>
      <c r="U6862">
        <v>0.27920529999999999</v>
      </c>
      <c r="V6862">
        <v>-0.149941299999999</v>
      </c>
      <c r="W6862">
        <v>0.38170959999999998</v>
      </c>
      <c r="X6862">
        <v>0.91203909999999999</v>
      </c>
      <c r="Y6862">
        <v>-9.8312090000000005E-2</v>
      </c>
      <c r="Z6862">
        <v>7.4789749999999997E-3</v>
      </c>
      <c r="AA6862">
        <v>0.99512750000000005</v>
      </c>
      <c r="AB6862">
        <v>34</v>
      </c>
      <c r="AC6862">
        <v>10.1731999999999</v>
      </c>
      <c r="AD6862">
        <v>-1.110710409822</v>
      </c>
      <c r="AE6862">
        <v>0.86165999999999299</v>
      </c>
      <c r="AF6862">
        <v>-1.0161140125916399</v>
      </c>
      <c r="AG6862">
        <v>-1.110710409822</v>
      </c>
      <c r="AH6862">
        <v>10.0389110585733</v>
      </c>
      <c r="AI6862">
        <v>96.281719144554899</v>
      </c>
      <c r="AJ6862">
        <v>95.779654730023296</v>
      </c>
      <c r="AK6862">
        <v>10.151152670658499</v>
      </c>
      <c r="AL6862">
        <v>67.560379709050594</v>
      </c>
      <c r="AM6862">
        <v>99.336042266643204</v>
      </c>
      <c r="AN6862">
        <v>0.99999996605332897</v>
      </c>
    </row>
    <row r="6863" spans="1:40" x14ac:dyDescent="0.25">
      <c r="A6863" t="str">
        <f>"20190304165019324"</f>
        <v>20190304165019324</v>
      </c>
      <c r="B6863" t="str">
        <f>"1551689419312710"</f>
        <v>1551689419312710</v>
      </c>
      <c r="C6863" t="s">
        <v>40</v>
      </c>
      <c r="D6863">
        <v>4.534732</v>
      </c>
      <c r="E6863">
        <v>0.53389770000000003</v>
      </c>
      <c r="F6863" t="s">
        <v>55</v>
      </c>
      <c r="G6863">
        <v>-236.57640000000001</v>
      </c>
      <c r="H6863" s="1">
        <v>-2.3085590000000002E-6</v>
      </c>
      <c r="I6863">
        <v>-62.263339999999999</v>
      </c>
      <c r="J6863">
        <v>-246.8117</v>
      </c>
      <c r="K6863">
        <v>1.1107320000000001</v>
      </c>
      <c r="L6863">
        <v>-63.13693</v>
      </c>
      <c r="M6863">
        <v>0.99976140000000002</v>
      </c>
      <c r="N6863">
        <v>-1.440174E-2</v>
      </c>
      <c r="O6863">
        <v>-1.6423589999999998E-2</v>
      </c>
      <c r="P6863">
        <v>0.91944090000000001</v>
      </c>
      <c r="Q6863">
        <v>0.36909199999999998</v>
      </c>
      <c r="R6863">
        <v>0.13564409999999999</v>
      </c>
      <c r="S6863">
        <v>3.3642270000000001</v>
      </c>
      <c r="T6863">
        <v>-0.3591702</v>
      </c>
      <c r="U6863">
        <v>0.28155520000000001</v>
      </c>
      <c r="V6863">
        <v>-0.1505647</v>
      </c>
      <c r="W6863">
        <v>0.3823261</v>
      </c>
      <c r="X6863">
        <v>0.91167810000000005</v>
      </c>
      <c r="Y6863">
        <v>-9.9051310000000004E-2</v>
      </c>
      <c r="Z6863">
        <v>7.4902880000000003E-3</v>
      </c>
      <c r="AA6863">
        <v>0.99505410000000005</v>
      </c>
      <c r="AB6863">
        <v>34</v>
      </c>
      <c r="AC6863">
        <v>10.235299999999899</v>
      </c>
      <c r="AD6863">
        <v>-1.110734308559</v>
      </c>
      <c r="AE6863">
        <v>0.87359000000000697</v>
      </c>
      <c r="AF6863">
        <v>-1.0295530265903099</v>
      </c>
      <c r="AG6863">
        <v>-1.110734308559</v>
      </c>
      <c r="AH6863">
        <v>10.101469797428701</v>
      </c>
      <c r="AI6863">
        <v>96.242819576783603</v>
      </c>
      <c r="AJ6863">
        <v>95.819554027514002</v>
      </c>
      <c r="AK6863">
        <v>10.214372335446599</v>
      </c>
      <c r="AL6863">
        <v>67.522157943550098</v>
      </c>
      <c r="AM6863">
        <v>99.377816439223096</v>
      </c>
      <c r="AN6863">
        <v>0.99999996682345405</v>
      </c>
    </row>
    <row r="6864" spans="1:40" x14ac:dyDescent="0.25">
      <c r="A6864" t="str">
        <f>"20190304165019336"</f>
        <v>20190304165019336</v>
      </c>
      <c r="B6864" t="str">
        <f>"1551689419332230"</f>
        <v>1551689419332230</v>
      </c>
      <c r="C6864" t="s">
        <v>40</v>
      </c>
      <c r="D6864">
        <v>4.5269919999999999</v>
      </c>
      <c r="E6864">
        <v>0.533861699999999</v>
      </c>
      <c r="F6864" t="s">
        <v>55</v>
      </c>
      <c r="G6864">
        <v>-236.35599999999999</v>
      </c>
      <c r="H6864" s="1">
        <v>-2.2117910000000001E-6</v>
      </c>
      <c r="I6864">
        <v>-62.255070000000003</v>
      </c>
      <c r="J6864">
        <v>-246.6335</v>
      </c>
      <c r="K6864">
        <v>1.1107549999999999</v>
      </c>
      <c r="L6864">
        <v>-63.139890000000001</v>
      </c>
      <c r="M6864">
        <v>0.9997606</v>
      </c>
      <c r="N6864">
        <v>-1.4415880000000001E-2</v>
      </c>
      <c r="O6864">
        <v>-1.6471599999999999E-2</v>
      </c>
      <c r="P6864">
        <v>0.91910329999999996</v>
      </c>
      <c r="Q6864">
        <v>0.36969059999999998</v>
      </c>
      <c r="R6864">
        <v>0.13630229999999999</v>
      </c>
      <c r="S6864">
        <v>3.364487</v>
      </c>
      <c r="T6864">
        <v>-0.35741889999999998</v>
      </c>
      <c r="U6864">
        <v>0.28375240000000002</v>
      </c>
      <c r="V6864">
        <v>-0.15128</v>
      </c>
      <c r="W6864">
        <v>0.3829244</v>
      </c>
      <c r="X6864">
        <v>0.91130849999999997</v>
      </c>
      <c r="Y6864">
        <v>-9.974007E-2</v>
      </c>
      <c r="Z6864">
        <v>7.5018480000000002E-3</v>
      </c>
      <c r="AA6864">
        <v>0.99498520000000001</v>
      </c>
      <c r="AB6864">
        <v>34</v>
      </c>
      <c r="AC6864">
        <v>10.2775</v>
      </c>
      <c r="AD6864">
        <v>-1.1107572117909901</v>
      </c>
      <c r="AE6864">
        <v>0.88482000000000405</v>
      </c>
      <c r="AF6864">
        <v>-1.04192366437339</v>
      </c>
      <c r="AG6864">
        <v>-1.1107572117909901</v>
      </c>
      <c r="AH6864">
        <v>10.143914741198101</v>
      </c>
      <c r="AI6864">
        <v>96.216534740566601</v>
      </c>
      <c r="AJ6864">
        <v>95.864521515737195</v>
      </c>
      <c r="AK6864">
        <v>10.2576017071547</v>
      </c>
      <c r="AL6864">
        <v>67.485054232658101</v>
      </c>
      <c r="AM6864">
        <v>99.425324012563195</v>
      </c>
      <c r="AN6864">
        <v>0.99999995834380395</v>
      </c>
    </row>
    <row r="6865" spans="1:40" x14ac:dyDescent="0.25">
      <c r="A6865" t="str">
        <f>"20190304165019346"</f>
        <v>20190304165019346</v>
      </c>
      <c r="B6865" t="str">
        <f>"1551689419341990"</f>
        <v>1551689419341990</v>
      </c>
      <c r="C6865" t="s">
        <v>40</v>
      </c>
      <c r="D6865">
        <v>4.5465549999999997</v>
      </c>
      <c r="E6865">
        <v>0.53380569999999905</v>
      </c>
      <c r="F6865" t="s">
        <v>55</v>
      </c>
      <c r="G6865">
        <v>-236.20939999999999</v>
      </c>
      <c r="H6865" s="1">
        <v>-2.1477799999999999E-6</v>
      </c>
      <c r="I6865">
        <v>-62.250900000000001</v>
      </c>
      <c r="J6865">
        <v>-246.4649</v>
      </c>
      <c r="K6865">
        <v>1.1107800000000001</v>
      </c>
      <c r="L6865">
        <v>-63.14273</v>
      </c>
      <c r="M6865">
        <v>0.99975970000000003</v>
      </c>
      <c r="N6865">
        <v>-1.442738E-2</v>
      </c>
      <c r="O6865">
        <v>-1.650151E-2</v>
      </c>
      <c r="P6865">
        <v>0.91882940000000002</v>
      </c>
      <c r="Q6865">
        <v>0.37017169999999999</v>
      </c>
      <c r="R6865">
        <v>0.13684089999999999</v>
      </c>
      <c r="S6865">
        <v>3.3657379999999999</v>
      </c>
      <c r="T6865">
        <v>-0.35864000000000001</v>
      </c>
      <c r="U6865">
        <v>0.28701779999999999</v>
      </c>
      <c r="V6865">
        <v>-0.1518581</v>
      </c>
      <c r="W6865">
        <v>0.38340580000000002</v>
      </c>
      <c r="X6865">
        <v>0.91100990000000004</v>
      </c>
      <c r="Y6865">
        <v>-0.100687</v>
      </c>
      <c r="Z6865">
        <v>7.5830759999999898E-3</v>
      </c>
      <c r="AA6865">
        <v>0.99488929999999998</v>
      </c>
      <c r="AB6865">
        <v>34</v>
      </c>
      <c r="AC6865">
        <v>10.2555</v>
      </c>
      <c r="AD6865">
        <v>-1.11078214778</v>
      </c>
      <c r="AE6865">
        <v>0.89183000000000501</v>
      </c>
      <c r="AF6865">
        <v>-1.04874663993448</v>
      </c>
      <c r="AG6865">
        <v>-1.11078214778</v>
      </c>
      <c r="AH6865">
        <v>10.121538197858399</v>
      </c>
      <c r="AI6865">
        <v>96.229740365820504</v>
      </c>
      <c r="AJ6865">
        <v>95.915611772582395</v>
      </c>
      <c r="AK6865">
        <v>10.236173210008999</v>
      </c>
      <c r="AL6865">
        <v>67.455193165352199</v>
      </c>
      <c r="AM6865">
        <v>99.463736775721998</v>
      </c>
      <c r="AN6865">
        <v>0.999999963953629</v>
      </c>
    </row>
    <row r="6866" spans="1:40" x14ac:dyDescent="0.25">
      <c r="A6866" t="str">
        <f>"20190304165019358"</f>
        <v>20190304165019358</v>
      </c>
      <c r="B6866" t="str">
        <f>"1551689419352725"</f>
        <v>1551689419352725</v>
      </c>
      <c r="C6866" t="s">
        <v>40</v>
      </c>
      <c r="D6866">
        <v>4.5506909999999996</v>
      </c>
      <c r="E6866">
        <v>0.53380859999999997</v>
      </c>
      <c r="F6866" t="s">
        <v>55</v>
      </c>
      <c r="G6866">
        <v>-236.03899999999999</v>
      </c>
      <c r="H6866" s="1">
        <v>-2.0731429999999998E-6</v>
      </c>
      <c r="I6866">
        <v>-62.245060000000002</v>
      </c>
      <c r="J6866">
        <v>-246.2722</v>
      </c>
      <c r="K6866">
        <v>1.110806</v>
      </c>
      <c r="L6866">
        <v>-63.145940000000003</v>
      </c>
      <c r="M6866">
        <v>0.99975899999999995</v>
      </c>
      <c r="N6866">
        <v>-1.443994E-2</v>
      </c>
      <c r="O6866">
        <v>-1.6530429999999999E-2</v>
      </c>
      <c r="P6866">
        <v>0.91855010000000004</v>
      </c>
      <c r="Q6866">
        <v>0.37066359999999998</v>
      </c>
      <c r="R6866">
        <v>0.13738330000000001</v>
      </c>
      <c r="S6866">
        <v>3.3663639999999999</v>
      </c>
      <c r="T6866">
        <v>-0.35865550000000002</v>
      </c>
      <c r="U6866">
        <v>0.28982540000000001</v>
      </c>
      <c r="V6866">
        <v>-0.15244160000000001</v>
      </c>
      <c r="W6866">
        <v>0.38389719999999999</v>
      </c>
      <c r="X6866">
        <v>0.91070549999999995</v>
      </c>
      <c r="Y6866">
        <v>-0.1015186</v>
      </c>
      <c r="Z6866">
        <v>7.6350699999999999E-3</v>
      </c>
      <c r="AA6866">
        <v>0.99480429999999997</v>
      </c>
      <c r="AB6866">
        <v>34</v>
      </c>
      <c r="AC6866">
        <v>10.233199999999901</v>
      </c>
      <c r="AD6866">
        <v>-1.1108080731429999</v>
      </c>
      <c r="AE6866">
        <v>0.90088000000000801</v>
      </c>
      <c r="AF6866">
        <v>-1.0575682596229199</v>
      </c>
      <c r="AG6866">
        <v>-1.1108080731429999</v>
      </c>
      <c r="AH6866">
        <v>10.098828825255801</v>
      </c>
      <c r="AI6866">
        <v>96.243077017972098</v>
      </c>
      <c r="AJ6866">
        <v>95.978330707543805</v>
      </c>
      <c r="AK6866">
        <v>10.214631116243901</v>
      </c>
      <c r="AL6866">
        <v>67.424705970321398</v>
      </c>
      <c r="AM6866">
        <v>99.502556023036604</v>
      </c>
      <c r="AN6866">
        <v>1.00000000465432</v>
      </c>
    </row>
    <row r="6867" spans="1:40" x14ac:dyDescent="0.25">
      <c r="A6867" t="str">
        <f>"20190304165019369"</f>
        <v>20190304165019369</v>
      </c>
      <c r="B6867" t="str">
        <f>"1551689419362485"</f>
        <v>1551689419362485</v>
      </c>
      <c r="C6867" t="s">
        <v>40</v>
      </c>
      <c r="D6867">
        <v>4.552467</v>
      </c>
      <c r="E6867">
        <v>0.53390119999999996</v>
      </c>
      <c r="F6867" t="s">
        <v>55</v>
      </c>
      <c r="G6867">
        <v>-235.82749999999999</v>
      </c>
      <c r="H6867" s="1">
        <v>-1.981077E-6</v>
      </c>
      <c r="I6867">
        <v>-62.24015</v>
      </c>
      <c r="J6867">
        <v>-246.1071</v>
      </c>
      <c r="K6867">
        <v>1.11083</v>
      </c>
      <c r="L6867">
        <v>-63.148679999999999</v>
      </c>
      <c r="M6867">
        <v>0.9997587</v>
      </c>
      <c r="N6867">
        <v>-1.444956E-2</v>
      </c>
      <c r="O6867">
        <v>-1.654475E-2</v>
      </c>
      <c r="P6867">
        <v>0.91826450000000004</v>
      </c>
      <c r="Q6867">
        <v>0.37117240000000001</v>
      </c>
      <c r="R6867">
        <v>0.13791829999999999</v>
      </c>
      <c r="S6867">
        <v>3.3668520000000002</v>
      </c>
      <c r="T6867">
        <v>-0.35806969999999999</v>
      </c>
      <c r="U6867">
        <v>0.29196169999999999</v>
      </c>
      <c r="V6867">
        <v>-0.1530011</v>
      </c>
      <c r="W6867">
        <v>0.38440479999999999</v>
      </c>
      <c r="X6867">
        <v>0.91039749999999997</v>
      </c>
      <c r="Y6867">
        <v>-0.1021454</v>
      </c>
      <c r="Z6867">
        <v>7.6616509999999898E-3</v>
      </c>
      <c r="AA6867">
        <v>0.99473990000000001</v>
      </c>
      <c r="AB6867">
        <v>34</v>
      </c>
      <c r="AC6867">
        <v>10.2796</v>
      </c>
      <c r="AD6867">
        <v>-1.110831981077</v>
      </c>
      <c r="AE6867">
        <v>0.90853000000000494</v>
      </c>
      <c r="AF6867">
        <v>-1.0661435551993601</v>
      </c>
      <c r="AG6867">
        <v>-1.110831981077</v>
      </c>
      <c r="AH6867">
        <v>10.1456042176713</v>
      </c>
      <c r="AI6867">
        <v>96.214420447460199</v>
      </c>
      <c r="AJ6867">
        <v>95.998869365658905</v>
      </c>
      <c r="AK6867">
        <v>10.26176859572</v>
      </c>
      <c r="AL6867">
        <v>67.393205446869402</v>
      </c>
      <c r="AM6867">
        <v>99.539960511304301</v>
      </c>
      <c r="AN6867">
        <v>0.99999999743525003</v>
      </c>
    </row>
    <row r="6868" spans="1:40" x14ac:dyDescent="0.25">
      <c r="A6868" t="str">
        <f>"20190304165019380"</f>
        <v>20190304165019380</v>
      </c>
      <c r="B6868" t="str">
        <f>"1551689419372246"</f>
        <v>1551689419372246</v>
      </c>
      <c r="C6868" t="s">
        <v>40</v>
      </c>
      <c r="D6868">
        <v>4.5259910000000003</v>
      </c>
      <c r="E6868">
        <v>0.53394229999999998</v>
      </c>
      <c r="F6868" t="s">
        <v>55</v>
      </c>
      <c r="G6868">
        <v>-235.64089999999999</v>
      </c>
      <c r="H6868" s="1">
        <v>-1.9000739999999999E-6</v>
      </c>
      <c r="I6868">
        <v>-62.236530000000002</v>
      </c>
      <c r="J6868">
        <v>-245.9563</v>
      </c>
      <c r="K6868">
        <v>1.110851</v>
      </c>
      <c r="L6868">
        <v>-63.151209999999999</v>
      </c>
      <c r="M6868">
        <v>0.99975860000000005</v>
      </c>
      <c r="N6868">
        <v>-1.445775E-2</v>
      </c>
      <c r="O6868">
        <v>-1.654893E-2</v>
      </c>
      <c r="P6868">
        <v>0.918068</v>
      </c>
      <c r="Q6868">
        <v>0.37142619999999998</v>
      </c>
      <c r="R6868">
        <v>0.13854229999999901</v>
      </c>
      <c r="S6868">
        <v>3.367432</v>
      </c>
      <c r="T6868">
        <v>-0.35740300000000003</v>
      </c>
      <c r="U6868">
        <v>0.29345700000000002</v>
      </c>
      <c r="V6868">
        <v>-0.15364</v>
      </c>
      <c r="W6868">
        <v>0.38465709999999997</v>
      </c>
      <c r="X6868">
        <v>0.91018330000000003</v>
      </c>
      <c r="Y6868">
        <v>-0.10257330000000001</v>
      </c>
      <c r="Z6868">
        <v>7.6734309999999997E-3</v>
      </c>
      <c r="AA6868">
        <v>0.99469580000000002</v>
      </c>
      <c r="AB6868">
        <v>34</v>
      </c>
      <c r="AC6868">
        <v>10.3154</v>
      </c>
      <c r="AD6868">
        <v>-1.1108529000739999</v>
      </c>
      <c r="AE6868">
        <v>0.91467999999999705</v>
      </c>
      <c r="AF6868">
        <v>-1.0729357460816999</v>
      </c>
      <c r="AG6868">
        <v>-1.1108529000739999</v>
      </c>
      <c r="AH6868">
        <v>10.181693841621099</v>
      </c>
      <c r="AI6868">
        <v>96.192491800929503</v>
      </c>
      <c r="AJ6868">
        <v>96.015565010467498</v>
      </c>
      <c r="AK6868">
        <v>10.298158804627599</v>
      </c>
      <c r="AL6868">
        <v>67.377545422784607</v>
      </c>
      <c r="AM6868">
        <v>99.581273179448999</v>
      </c>
      <c r="AN6868">
        <v>0.99999998688964997</v>
      </c>
    </row>
    <row r="6869" spans="1:40" x14ac:dyDescent="0.25">
      <c r="A6869" t="str">
        <f>"20190304165019390"</f>
        <v>20190304165019390</v>
      </c>
      <c r="B6869" t="str">
        <f>"1551689419382007"</f>
        <v>1551689419382007</v>
      </c>
      <c r="C6869" t="s">
        <v>40</v>
      </c>
      <c r="D6869">
        <v>4.5357629999999904</v>
      </c>
      <c r="E6869">
        <v>0.53400669999999995</v>
      </c>
      <c r="F6869" t="s">
        <v>55</v>
      </c>
      <c r="G6869">
        <v>-235.50810000000001</v>
      </c>
      <c r="H6869" s="1">
        <v>-1.842596E-6</v>
      </c>
      <c r="I6869">
        <v>-62.234650000000002</v>
      </c>
      <c r="J6869">
        <v>-245.78450000000001</v>
      </c>
      <c r="K6869">
        <v>1.110876</v>
      </c>
      <c r="L6869">
        <v>-63.154049999999998</v>
      </c>
      <c r="M6869">
        <v>0.99975849999999999</v>
      </c>
      <c r="N6869">
        <v>-1.446629E-2</v>
      </c>
      <c r="O6869">
        <v>-1.654127E-2</v>
      </c>
      <c r="P6869">
        <v>0.91784759999999999</v>
      </c>
      <c r="Q6869">
        <v>0.37177389999999999</v>
      </c>
      <c r="R6869">
        <v>0.1390672</v>
      </c>
      <c r="S6869">
        <v>3.368042</v>
      </c>
      <c r="T6869">
        <v>-0.35808859999999998</v>
      </c>
      <c r="U6869">
        <v>0.2954407</v>
      </c>
      <c r="V6869">
        <v>-0.1541719</v>
      </c>
      <c r="W6869">
        <v>0.38500220000000002</v>
      </c>
      <c r="X6869">
        <v>0.90994750000000002</v>
      </c>
      <c r="Y6869">
        <v>-0.10312549999999999</v>
      </c>
      <c r="Z6869">
        <v>7.7185019999999899E-3</v>
      </c>
      <c r="AA6869">
        <v>0.99463840000000003</v>
      </c>
      <c r="AB6869">
        <v>34</v>
      </c>
      <c r="AC6869">
        <v>10.276399999999899</v>
      </c>
      <c r="AD6869">
        <v>-1.110877842596</v>
      </c>
      <c r="AE6869">
        <v>0.919399999999996</v>
      </c>
      <c r="AF6869">
        <v>-1.0767936369945701</v>
      </c>
      <c r="AG6869">
        <v>-1.110877842596</v>
      </c>
      <c r="AH6869">
        <v>10.142207549017099</v>
      </c>
      <c r="AI6869">
        <v>96.216040807477299</v>
      </c>
      <c r="AJ6869">
        <v>96.060364559402998</v>
      </c>
      <c r="AK6869">
        <v>10.2595276735911</v>
      </c>
      <c r="AL6869">
        <v>67.3561246105197</v>
      </c>
      <c r="AM6869">
        <v>99.616270152230499</v>
      </c>
      <c r="AN6869">
        <v>1.0000000607553401</v>
      </c>
    </row>
    <row r="6870" spans="1:40" x14ac:dyDescent="0.25">
      <c r="A6870" t="str">
        <f>"20190304165019402"</f>
        <v>20190304165019402</v>
      </c>
      <c r="B6870" t="str">
        <f>"1551689419392742"</f>
        <v>1551689419392742</v>
      </c>
      <c r="C6870" t="s">
        <v>40</v>
      </c>
      <c r="D6870">
        <v>4.5178459999999996</v>
      </c>
      <c r="E6870">
        <v>0.53408619999999996</v>
      </c>
      <c r="F6870" t="s">
        <v>55</v>
      </c>
      <c r="G6870">
        <v>-235.3486</v>
      </c>
      <c r="H6870" s="1">
        <v>-1.7741089999999999E-6</v>
      </c>
      <c r="I6870">
        <v>-62.234419999999901</v>
      </c>
      <c r="J6870">
        <v>-245.61089999999999</v>
      </c>
      <c r="K6870">
        <v>1.110905</v>
      </c>
      <c r="L6870">
        <v>-63.1569199999999</v>
      </c>
      <c r="M6870">
        <v>0.99975879999999995</v>
      </c>
      <c r="N6870">
        <v>-1.447412E-2</v>
      </c>
      <c r="O6870">
        <v>-1.6514709999999998E-2</v>
      </c>
      <c r="P6870">
        <v>0.91762010000000005</v>
      </c>
      <c r="Q6870">
        <v>0.37219989999999997</v>
      </c>
      <c r="R6870">
        <v>0.139429</v>
      </c>
      <c r="S6870">
        <v>3.3687900000000002</v>
      </c>
      <c r="T6870">
        <v>-0.35860069999999999</v>
      </c>
      <c r="U6870">
        <v>0.29684450000000001</v>
      </c>
      <c r="V6870">
        <v>-0.154526</v>
      </c>
      <c r="W6870">
        <v>0.38542369999999998</v>
      </c>
      <c r="X6870">
        <v>0.90970890000000004</v>
      </c>
      <c r="Y6870">
        <v>-0.1034873</v>
      </c>
      <c r="Z6870">
        <v>7.7467009999999999E-3</v>
      </c>
      <c r="AA6870">
        <v>0.99460059999999995</v>
      </c>
      <c r="AB6870">
        <v>34</v>
      </c>
      <c r="AC6870">
        <v>10.2622999999999</v>
      </c>
      <c r="AD6870">
        <v>-1.110906774109</v>
      </c>
      <c r="AE6870">
        <v>0.92249999999999899</v>
      </c>
      <c r="AF6870">
        <v>-1.07932434051794</v>
      </c>
      <c r="AG6870">
        <v>-1.110906774109</v>
      </c>
      <c r="AH6870">
        <v>10.127932602454299</v>
      </c>
      <c r="AI6870">
        <v>96.224634684547695</v>
      </c>
      <c r="AJ6870">
        <v>96.082999027198099</v>
      </c>
      <c r="AK6870">
        <v>10.245685613596301</v>
      </c>
      <c r="AL6870">
        <v>67.329953358775697</v>
      </c>
      <c r="AM6870">
        <v>99.640423270586993</v>
      </c>
      <c r="AN6870">
        <v>0.99999999796844996</v>
      </c>
    </row>
    <row r="6871" spans="1:40" x14ac:dyDescent="0.25">
      <c r="A6871" t="str">
        <f>"20190304165019413"</f>
        <v>20190304165019413</v>
      </c>
      <c r="B6871" t="str">
        <f>"1551689419402503"</f>
        <v>1551689419402503</v>
      </c>
      <c r="C6871" t="s">
        <v>40</v>
      </c>
      <c r="D6871">
        <v>4.497662</v>
      </c>
      <c r="E6871">
        <v>0.53411850000000005</v>
      </c>
      <c r="F6871" t="s">
        <v>55</v>
      </c>
      <c r="G6871">
        <v>-235.17740000000001</v>
      </c>
      <c r="H6871" s="1">
        <v>-1.7007390000000001E-6</v>
      </c>
      <c r="I6871">
        <v>-62.2346</v>
      </c>
      <c r="J6871">
        <v>-245.43860000000001</v>
      </c>
      <c r="K6871">
        <v>1.1109279999999999</v>
      </c>
      <c r="L6871">
        <v>-63.159759999999999</v>
      </c>
      <c r="M6871">
        <v>0.99975950000000002</v>
      </c>
      <c r="N6871">
        <v>-1.448141E-2</v>
      </c>
      <c r="O6871">
        <v>-1.6477269999999999E-2</v>
      </c>
      <c r="P6871">
        <v>0.91738090000000005</v>
      </c>
      <c r="Q6871">
        <v>0.37258849999999999</v>
      </c>
      <c r="R6871">
        <v>0.13996610000000001</v>
      </c>
      <c r="S6871">
        <v>3.3695979999999999</v>
      </c>
      <c r="T6871">
        <v>-0.3587784</v>
      </c>
      <c r="U6871">
        <v>0.29785159999999899</v>
      </c>
      <c r="V6871">
        <v>-0.15504689999999999</v>
      </c>
      <c r="W6871">
        <v>0.38580639999999999</v>
      </c>
      <c r="X6871">
        <v>0.90945799999999999</v>
      </c>
      <c r="Y6871">
        <v>-0.10372240000000001</v>
      </c>
      <c r="Z6871">
        <v>7.759462E-3</v>
      </c>
      <c r="AA6871">
        <v>0.99457600000000002</v>
      </c>
      <c r="AB6871">
        <v>34</v>
      </c>
      <c r="AC6871">
        <v>10.261200000000001</v>
      </c>
      <c r="AD6871">
        <v>-1.110929700739</v>
      </c>
      <c r="AE6871">
        <v>0.92515999999999798</v>
      </c>
      <c r="AF6871">
        <v>-1.0815536227864799</v>
      </c>
      <c r="AG6871">
        <v>-1.110929700739</v>
      </c>
      <c r="AH6871">
        <v>10.126818308626</v>
      </c>
      <c r="AI6871">
        <v>96.225290632123205</v>
      </c>
      <c r="AJ6871">
        <v>96.096134280408194</v>
      </c>
      <c r="AK6871">
        <v>10.24482172099</v>
      </c>
      <c r="AL6871">
        <v>67.306187993810795</v>
      </c>
      <c r="AM6871">
        <v>99.674925747633395</v>
      </c>
      <c r="AN6871">
        <v>0.99999998662228495</v>
      </c>
    </row>
    <row r="6872" spans="1:40" x14ac:dyDescent="0.25">
      <c r="A6872" t="str">
        <f>"20190304165019424"</f>
        <v>20190304165019424</v>
      </c>
      <c r="B6872" t="str">
        <f>"1551689419422021"</f>
        <v>1551689419422021</v>
      </c>
      <c r="C6872" t="s">
        <v>40</v>
      </c>
      <c r="D6872">
        <v>4.5333500000000004</v>
      </c>
      <c r="E6872">
        <v>0.53419240000000001</v>
      </c>
      <c r="F6872" t="s">
        <v>55</v>
      </c>
      <c r="G6872">
        <v>-235.00450000000001</v>
      </c>
      <c r="H6872" s="1">
        <v>-1.625718E-6</v>
      </c>
      <c r="I6872">
        <v>-62.2314199999999</v>
      </c>
      <c r="J6872">
        <v>-245.26920000000001</v>
      </c>
      <c r="K6872">
        <v>1.110962</v>
      </c>
      <c r="L6872">
        <v>-63.162480000000002</v>
      </c>
      <c r="M6872">
        <v>0.99976039999999999</v>
      </c>
      <c r="N6872">
        <v>-1.448764E-2</v>
      </c>
      <c r="O6872">
        <v>-1.6411370000000002E-2</v>
      </c>
      <c r="P6872">
        <v>0.91721470000000005</v>
      </c>
      <c r="Q6872">
        <v>0.37281510000000001</v>
      </c>
      <c r="R6872">
        <v>0.1404504</v>
      </c>
      <c r="S6872">
        <v>3.370193</v>
      </c>
      <c r="T6872">
        <v>-0.3588307</v>
      </c>
      <c r="U6872">
        <v>0.29983520000000002</v>
      </c>
      <c r="V6872">
        <v>-0.1554951</v>
      </c>
      <c r="W6872">
        <v>0.38602500000000001</v>
      </c>
      <c r="X6872">
        <v>0.90928869999999895</v>
      </c>
      <c r="Y6872">
        <v>-0.10421950000000001</v>
      </c>
      <c r="Z6872">
        <v>7.7832279999999997E-3</v>
      </c>
      <c r="AA6872">
        <v>0.99452390000000002</v>
      </c>
      <c r="AB6872">
        <v>34</v>
      </c>
      <c r="AC6872">
        <v>10.264699999999999</v>
      </c>
      <c r="AD6872">
        <v>-1.110963625718</v>
      </c>
      <c r="AE6872">
        <v>0.93106000000000899</v>
      </c>
      <c r="AF6872">
        <v>-1.0867832961055199</v>
      </c>
      <c r="AG6872">
        <v>-1.110963625718</v>
      </c>
      <c r="AH6872">
        <v>10.130336793856101</v>
      </c>
      <c r="AI6872">
        <v>96.223020887638</v>
      </c>
      <c r="AJ6872">
        <v>96.123276257491099</v>
      </c>
      <c r="AK6872">
        <v>10.248856602924899</v>
      </c>
      <c r="AL6872">
        <v>67.2926113349709</v>
      </c>
      <c r="AM6872">
        <v>99.704134701460504</v>
      </c>
      <c r="AN6872">
        <v>0.99999998334834905</v>
      </c>
    </row>
    <row r="6873" spans="1:40" x14ac:dyDescent="0.25">
      <c r="A6873" t="str">
        <f>"20190304165019437"</f>
        <v>20190304165019437</v>
      </c>
      <c r="B6873" t="str">
        <f>"1551689419432758"</f>
        <v>1551689419432758</v>
      </c>
      <c r="C6873" t="s">
        <v>40</v>
      </c>
      <c r="D6873">
        <v>4.5170519999999996</v>
      </c>
      <c r="E6873">
        <v>0.53641280000000002</v>
      </c>
      <c r="F6873" t="s">
        <v>55</v>
      </c>
      <c r="G6873">
        <v>-234.84129999999999</v>
      </c>
      <c r="H6873" s="1">
        <v>-1.5560419999999999E-6</v>
      </c>
      <c r="I6873">
        <v>-62.232660000000003</v>
      </c>
      <c r="J6873">
        <v>-245.09270000000001</v>
      </c>
      <c r="K6873">
        <v>1.1109979999999999</v>
      </c>
      <c r="L6873">
        <v>-63.16534</v>
      </c>
      <c r="M6873">
        <v>0.99976149999999997</v>
      </c>
      <c r="N6873">
        <v>-1.4493870000000001E-2</v>
      </c>
      <c r="O6873">
        <v>-1.6333980000000001E-2</v>
      </c>
      <c r="P6873">
        <v>0.91695610000000005</v>
      </c>
      <c r="Q6873">
        <v>0.37326399999999998</v>
      </c>
      <c r="R6873">
        <v>0.1409445</v>
      </c>
      <c r="S6873">
        <v>3.3707120000000002</v>
      </c>
      <c r="T6873">
        <v>-0.3591105</v>
      </c>
      <c r="U6873">
        <v>0.300537099999999</v>
      </c>
      <c r="V6873">
        <v>-0.155943</v>
      </c>
      <c r="W6873">
        <v>0.38646449999999999</v>
      </c>
      <c r="X6873">
        <v>0.90902530000000004</v>
      </c>
      <c r="Y6873">
        <v>-0.1043332</v>
      </c>
      <c r="Z6873">
        <v>7.7876859999999899E-3</v>
      </c>
      <c r="AA6873">
        <v>0.9945119</v>
      </c>
      <c r="AB6873">
        <v>34</v>
      </c>
      <c r="AC6873">
        <v>10.2514</v>
      </c>
      <c r="AD6873">
        <v>-1.1109995560419901</v>
      </c>
      <c r="AE6873">
        <v>0.93268000000000395</v>
      </c>
      <c r="AF6873">
        <v>-1.0873529444971</v>
      </c>
      <c r="AG6873">
        <v>-1.1109995560419901</v>
      </c>
      <c r="AH6873">
        <v>10.116945794235599</v>
      </c>
      <c r="AI6873">
        <v>96.231262851541999</v>
      </c>
      <c r="AJ6873">
        <v>96.134508754124596</v>
      </c>
      <c r="AK6873">
        <v>10.2356850597766</v>
      </c>
      <c r="AL6873">
        <v>67.265311952945893</v>
      </c>
      <c r="AM6873">
        <v>99.734319366429105</v>
      </c>
      <c r="AN6873">
        <v>1.00000001252467</v>
      </c>
    </row>
    <row r="6874" spans="1:40" x14ac:dyDescent="0.25">
      <c r="A6874" t="str">
        <f>"20190304165019446"</f>
        <v>20190304165019446</v>
      </c>
      <c r="B6874" t="str">
        <f>"1551689419442518"</f>
        <v>1551689419442518</v>
      </c>
      <c r="C6874" t="s">
        <v>40</v>
      </c>
      <c r="D6874">
        <v>4.559291</v>
      </c>
      <c r="E6874">
        <v>0.53621989999999997</v>
      </c>
      <c r="F6874" t="s">
        <v>55</v>
      </c>
      <c r="G6874">
        <v>-235.41730000000001</v>
      </c>
      <c r="H6874" s="1">
        <v>-1.832552E-6</v>
      </c>
      <c r="I6874">
        <v>-62.343319999999999</v>
      </c>
      <c r="J6874">
        <v>-244.9365</v>
      </c>
      <c r="K6874">
        <v>1.1110329999999999</v>
      </c>
      <c r="L6874">
        <v>-63.167789999999997</v>
      </c>
      <c r="M6874">
        <v>0.99976319999999996</v>
      </c>
      <c r="N6874">
        <v>-1.44986E-2</v>
      </c>
      <c r="O6874">
        <v>-1.6236069999999998E-2</v>
      </c>
      <c r="P6874">
        <v>0.91672739999999997</v>
      </c>
      <c r="Q6874">
        <v>0.37363849999999998</v>
      </c>
      <c r="R6874">
        <v>0.14144019999999999</v>
      </c>
      <c r="S6874">
        <v>3.3857119999999998</v>
      </c>
      <c r="T6874">
        <v>-0.38877139999999999</v>
      </c>
      <c r="U6874">
        <v>0.2876282</v>
      </c>
      <c r="V6874">
        <v>-0.15637529999999999</v>
      </c>
      <c r="W6874">
        <v>0.38682820000000001</v>
      </c>
      <c r="X6874">
        <v>0.9087963</v>
      </c>
      <c r="Y6874">
        <v>-0.1</v>
      </c>
      <c r="Z6874">
        <v>8.0621949999999994E-3</v>
      </c>
      <c r="AA6874">
        <v>0.99495480000000003</v>
      </c>
      <c r="AB6874">
        <v>34</v>
      </c>
      <c r="AC6874">
        <v>9.5191999999999801</v>
      </c>
      <c r="AD6874">
        <v>-1.1110348325520001</v>
      </c>
      <c r="AE6874">
        <v>0.82447000000000503</v>
      </c>
      <c r="AF6874">
        <v>-0.96587236589147596</v>
      </c>
      <c r="AG6874">
        <v>-1.1110348325520001</v>
      </c>
      <c r="AH6874">
        <v>9.3777607361288293</v>
      </c>
      <c r="AI6874">
        <v>96.721421002639204</v>
      </c>
      <c r="AJ6874">
        <v>95.880503959140498</v>
      </c>
      <c r="AK6874">
        <v>9.4926131413018293</v>
      </c>
      <c r="AL6874">
        <v>67.242715926383894</v>
      </c>
      <c r="AM6874">
        <v>99.763198345697802</v>
      </c>
      <c r="AN6874">
        <v>1.00000000282951</v>
      </c>
    </row>
    <row r="6875" spans="1:40" x14ac:dyDescent="0.25">
      <c r="A6875" t="str">
        <f>"20190304165019458"</f>
        <v>20190304165019458</v>
      </c>
      <c r="B6875" t="str">
        <f>"1551689419452278"</f>
        <v>1551689419452278</v>
      </c>
      <c r="C6875" t="s">
        <v>40</v>
      </c>
      <c r="D6875">
        <v>4.5402969999999998</v>
      </c>
      <c r="E6875">
        <v>0.53604719999999995</v>
      </c>
      <c r="F6875" t="s">
        <v>55</v>
      </c>
      <c r="G6875">
        <v>-235.24979999999999</v>
      </c>
      <c r="H6875" s="1">
        <v>-1.7587579999999999E-6</v>
      </c>
      <c r="I6875">
        <v>-62.33596</v>
      </c>
      <c r="J6875">
        <v>-244.76689999999999</v>
      </c>
      <c r="K6875">
        <v>1.1110719999999901</v>
      </c>
      <c r="L6875">
        <v>-63.170439999999999</v>
      </c>
      <c r="M6875">
        <v>0.99976489999999996</v>
      </c>
      <c r="N6875">
        <v>-1.450355E-2</v>
      </c>
      <c r="O6875">
        <v>-1.6121670000000001E-2</v>
      </c>
      <c r="P6875">
        <v>0.916435</v>
      </c>
      <c r="Q6875">
        <v>0.37410850000000001</v>
      </c>
      <c r="R6875">
        <v>0.1420912</v>
      </c>
      <c r="S6875">
        <v>3.3859560000000002</v>
      </c>
      <c r="T6875">
        <v>-0.38835940000000002</v>
      </c>
      <c r="U6875">
        <v>0.29074100000000003</v>
      </c>
      <c r="V6875">
        <v>-0.156949799999999</v>
      </c>
      <c r="W6875">
        <v>0.38728449999999998</v>
      </c>
      <c r="X6875">
        <v>0.9085029</v>
      </c>
      <c r="Y6875">
        <v>-0.10078479999999999</v>
      </c>
      <c r="Z6875">
        <v>8.0926880000000007E-3</v>
      </c>
      <c r="AA6875">
        <v>0.99487530000000002</v>
      </c>
      <c r="AB6875">
        <v>34</v>
      </c>
      <c r="AC6875">
        <v>9.5170999999999992</v>
      </c>
      <c r="AD6875">
        <v>-1.11107375875799</v>
      </c>
      <c r="AE6875">
        <v>0.834479999999999</v>
      </c>
      <c r="AF6875">
        <v>-0.97463684212865898</v>
      </c>
      <c r="AG6875">
        <v>-1.11107375875799</v>
      </c>
      <c r="AH6875">
        <v>9.3755994444987092</v>
      </c>
      <c r="AI6875">
        <v>96.722535933060399</v>
      </c>
      <c r="AJ6875">
        <v>95.934843612572294</v>
      </c>
      <c r="AK6875">
        <v>9.4913785518816898</v>
      </c>
      <c r="AL6875">
        <v>67.214362281097493</v>
      </c>
      <c r="AM6875">
        <v>99.801475895075399</v>
      </c>
      <c r="AN6875">
        <v>1.0000000214843401</v>
      </c>
    </row>
    <row r="6876" spans="1:40" x14ac:dyDescent="0.25">
      <c r="A6876" t="str">
        <f>"20190304165019468"</f>
        <v>20190304165019468</v>
      </c>
      <c r="B6876" t="str">
        <f>"1551689419462038"</f>
        <v>1551689419462038</v>
      </c>
      <c r="C6876" t="s">
        <v>40</v>
      </c>
      <c r="D6876">
        <v>4.5484030000000004</v>
      </c>
      <c r="E6876">
        <v>0.53593669999999904</v>
      </c>
      <c r="F6876" t="s">
        <v>55</v>
      </c>
      <c r="G6876">
        <v>-235.0787</v>
      </c>
      <c r="H6876" s="1">
        <v>-1.6833959999999999E-6</v>
      </c>
      <c r="I6876">
        <v>-62.3285699999999</v>
      </c>
      <c r="J6876">
        <v>-244.59299999999999</v>
      </c>
      <c r="K6876">
        <v>1.111113</v>
      </c>
      <c r="L6876">
        <v>-63.173160000000003</v>
      </c>
      <c r="M6876">
        <v>0.99976710000000002</v>
      </c>
      <c r="N6876">
        <v>-1.450804E-2</v>
      </c>
      <c r="O6876">
        <v>-1.597778E-2</v>
      </c>
      <c r="P6876">
        <v>0.91599649999999999</v>
      </c>
      <c r="Q6876">
        <v>0.37497160000000002</v>
      </c>
      <c r="R6876">
        <v>0.14264309999999999</v>
      </c>
      <c r="S6876">
        <v>3.3864749999999999</v>
      </c>
      <c r="T6876">
        <v>-0.38837189999999999</v>
      </c>
      <c r="U6876">
        <v>0.29425050000000003</v>
      </c>
      <c r="V6876">
        <v>-0.15739800000000001</v>
      </c>
      <c r="W6876">
        <v>0.38813150000000002</v>
      </c>
      <c r="X6876">
        <v>0.90806379999999998</v>
      </c>
      <c r="Y6876">
        <v>-0.1016466</v>
      </c>
      <c r="Z6876">
        <v>8.1327550000000002E-3</v>
      </c>
      <c r="AA6876">
        <v>0.99478730000000004</v>
      </c>
      <c r="AB6876">
        <v>34</v>
      </c>
      <c r="AC6876">
        <v>9.5142999999999898</v>
      </c>
      <c r="AD6876">
        <v>-1.1111146833959999</v>
      </c>
      <c r="AE6876">
        <v>0.84459000000000295</v>
      </c>
      <c r="AF6876">
        <v>-0.98321095253756297</v>
      </c>
      <c r="AG6876">
        <v>-1.1111146833959999</v>
      </c>
      <c r="AH6876">
        <v>9.3727589405127603</v>
      </c>
      <c r="AI6876">
        <v>96.724148706090602</v>
      </c>
      <c r="AJ6876">
        <v>95.9884774270256</v>
      </c>
      <c r="AK6876">
        <v>9.4894620381668595</v>
      </c>
      <c r="AL6876">
        <v>67.161714949601404</v>
      </c>
      <c r="AM6876">
        <v>99.833580789252295</v>
      </c>
      <c r="AN6876">
        <v>1.0000000282833399</v>
      </c>
    </row>
    <row r="6877" spans="1:40" x14ac:dyDescent="0.25">
      <c r="A6877" t="str">
        <f>"20190304165019479"</f>
        <v>20190304165019479</v>
      </c>
      <c r="B6877" t="str">
        <f>"1551689419472774"</f>
        <v>1551689419472774</v>
      </c>
      <c r="C6877" t="s">
        <v>40</v>
      </c>
      <c r="D6877">
        <v>4.5464320000000003</v>
      </c>
      <c r="E6877">
        <v>0.53593669999999904</v>
      </c>
      <c r="F6877" t="s">
        <v>55</v>
      </c>
      <c r="G6877">
        <v>-234.8775</v>
      </c>
      <c r="H6877" s="1">
        <v>-1.5951059999999999E-6</v>
      </c>
      <c r="I6877">
        <v>-62.321190000000001</v>
      </c>
      <c r="J6877">
        <v>-244.4375</v>
      </c>
      <c r="K6877">
        <v>1.1111500000000001</v>
      </c>
      <c r="L6877">
        <v>-63.175510000000003</v>
      </c>
      <c r="M6877">
        <v>0.99976929999999997</v>
      </c>
      <c r="N6877">
        <v>-1.451177E-2</v>
      </c>
      <c r="O6877">
        <v>-1.5835640000000002E-2</v>
      </c>
      <c r="P6877">
        <v>0.91566809999999998</v>
      </c>
      <c r="Q6877">
        <v>0.37549100000000002</v>
      </c>
      <c r="R6877">
        <v>0.14338219999999999</v>
      </c>
      <c r="S6877">
        <v>3.3874360000000001</v>
      </c>
      <c r="T6877">
        <v>-0.3874031</v>
      </c>
      <c r="U6877">
        <v>0.2970276</v>
      </c>
      <c r="V6877">
        <v>-0.1580329</v>
      </c>
      <c r="W6877">
        <v>0.38863720000000002</v>
      </c>
      <c r="X6877">
        <v>0.90773709999999996</v>
      </c>
      <c r="Y6877">
        <v>-0.1022907</v>
      </c>
      <c r="Z6877">
        <v>8.1388250000000006E-3</v>
      </c>
      <c r="AA6877">
        <v>0.99472119999999997</v>
      </c>
      <c r="AB6877">
        <v>34</v>
      </c>
      <c r="AC6877">
        <v>9.56</v>
      </c>
      <c r="AD6877">
        <v>-1.111151595106</v>
      </c>
      <c r="AE6877">
        <v>0.85431999999999397</v>
      </c>
      <c r="AF6877">
        <v>-0.99231825713814603</v>
      </c>
      <c r="AG6877">
        <v>-1.111151595106</v>
      </c>
      <c r="AH6877">
        <v>9.4190350027979708</v>
      </c>
      <c r="AI6877">
        <v>96.691321991453194</v>
      </c>
      <c r="AJ6877">
        <v>96.014064960000397</v>
      </c>
      <c r="AK6877">
        <v>9.5361194295525493</v>
      </c>
      <c r="AL6877">
        <v>67.130270404204495</v>
      </c>
      <c r="AM6877">
        <v>99.875950999504994</v>
      </c>
      <c r="AN6877">
        <v>0.99999995671132902</v>
      </c>
    </row>
    <row r="6878" spans="1:40" x14ac:dyDescent="0.25">
      <c r="A6878" t="str">
        <f>"20190304165019490"</f>
        <v>20190304165019490</v>
      </c>
      <c r="B6878" t="str">
        <f>"1551689419482534"</f>
        <v>1551689419482534</v>
      </c>
      <c r="C6878" t="s">
        <v>40</v>
      </c>
      <c r="D6878">
        <v>4.3901079999999997</v>
      </c>
      <c r="E6878">
        <v>0.53578809999999999</v>
      </c>
      <c r="F6878" t="s">
        <v>55</v>
      </c>
      <c r="G6878">
        <v>-234.67060000000001</v>
      </c>
      <c r="H6878" s="1">
        <v>-1.504232E-6</v>
      </c>
      <c r="I6878">
        <v>-62.31324</v>
      </c>
      <c r="J6878">
        <v>-244.27010000000001</v>
      </c>
      <c r="K6878">
        <v>1.1111879999999901</v>
      </c>
      <c r="L6878">
        <v>-63.17801</v>
      </c>
      <c r="M6878">
        <v>0.99977190000000005</v>
      </c>
      <c r="N6878">
        <v>-1.451538E-2</v>
      </c>
      <c r="O6878">
        <v>-1.5663659999999999E-2</v>
      </c>
      <c r="P6878">
        <v>0.91533019999999998</v>
      </c>
      <c r="Q6878">
        <v>0.37609209999999998</v>
      </c>
      <c r="R6878">
        <v>0.14396289999999901</v>
      </c>
      <c r="S6878">
        <v>3.3875120000000001</v>
      </c>
      <c r="T6878">
        <v>-0.38538529999999999</v>
      </c>
      <c r="U6878">
        <v>0.29904170000000002</v>
      </c>
      <c r="V6878">
        <v>-0.15848370000000001</v>
      </c>
      <c r="W6878">
        <v>0.38922370000000001</v>
      </c>
      <c r="X6878">
        <v>0.90740719999999997</v>
      </c>
      <c r="Y6878">
        <v>-0.1027106</v>
      </c>
      <c r="Z6878">
        <v>8.1089839999999996E-3</v>
      </c>
      <c r="AA6878">
        <v>0.99467819999999996</v>
      </c>
      <c r="AB6878">
        <v>34</v>
      </c>
      <c r="AC6878">
        <v>9.5995000000000008</v>
      </c>
      <c r="AD6878">
        <v>-1.1111895042319999</v>
      </c>
      <c r="AE6878">
        <v>0.86477000000000004</v>
      </c>
      <c r="AF6878">
        <v>-1.00172872110123</v>
      </c>
      <c r="AG6878">
        <v>-1.1111895042319999</v>
      </c>
      <c r="AH6878">
        <v>9.4590516773246502</v>
      </c>
      <c r="AI6878">
        <v>96.663115793619397</v>
      </c>
      <c r="AJ6878">
        <v>96.045182792857801</v>
      </c>
      <c r="AK6878">
        <v>9.5766309931673099</v>
      </c>
      <c r="AL6878">
        <v>67.093795609120903</v>
      </c>
      <c r="AM6878">
        <v>99.907095076986295</v>
      </c>
      <c r="AN6878">
        <v>0.99999999920961002</v>
      </c>
    </row>
    <row r="6879" spans="1:40" x14ac:dyDescent="0.25">
      <c r="A6879" t="str">
        <f>"20190304165019502"</f>
        <v>20190304165019502</v>
      </c>
      <c r="B6879" t="str">
        <f>"1551689419492294"</f>
        <v>1551689419492294</v>
      </c>
      <c r="C6879" t="s">
        <v>40</v>
      </c>
      <c r="D6879">
        <v>4.5517580000000004</v>
      </c>
      <c r="E6879">
        <v>0.53578599999999998</v>
      </c>
      <c r="F6879" t="s">
        <v>55</v>
      </c>
      <c r="G6879">
        <v>-234.06989999999999</v>
      </c>
      <c r="H6879" s="1">
        <v>-1.2357450000000001E-6</v>
      </c>
      <c r="I6879">
        <v>-62.272629999999999</v>
      </c>
      <c r="J6879">
        <v>-244.09729999999999</v>
      </c>
      <c r="K6879">
        <v>1.111226</v>
      </c>
      <c r="L6879">
        <v>-63.180509999999998</v>
      </c>
      <c r="M6879">
        <v>0.99977499999999997</v>
      </c>
      <c r="N6879">
        <v>-1.4518700000000001E-2</v>
      </c>
      <c r="O6879">
        <v>-1.546547E-2</v>
      </c>
      <c r="P6879">
        <v>0.91505170000000002</v>
      </c>
      <c r="Q6879">
        <v>0.3764786</v>
      </c>
      <c r="R6879">
        <v>0.1447215</v>
      </c>
      <c r="S6879">
        <v>3.3816679999999999</v>
      </c>
      <c r="T6879">
        <v>-0.36839179999999999</v>
      </c>
      <c r="U6879">
        <v>0.30014039999999997</v>
      </c>
      <c r="V6879">
        <v>-0.1590896</v>
      </c>
      <c r="W6879">
        <v>0.38959529999999998</v>
      </c>
      <c r="X6879">
        <v>0.90714170000000005</v>
      </c>
      <c r="Y6879">
        <v>-0.1030486</v>
      </c>
      <c r="Z6879">
        <v>7.7908379999999996E-3</v>
      </c>
      <c r="AA6879">
        <v>0.99464580000000002</v>
      </c>
      <c r="AB6879">
        <v>34</v>
      </c>
      <c r="AC6879">
        <v>10.0274</v>
      </c>
      <c r="AD6879">
        <v>-1.1112272357449999</v>
      </c>
      <c r="AE6879">
        <v>0.90787999999999103</v>
      </c>
      <c r="AF6879">
        <v>-1.0500752145256</v>
      </c>
      <c r="AG6879">
        <v>-1.1112272357449999</v>
      </c>
      <c r="AH6879">
        <v>9.8916676742524796</v>
      </c>
      <c r="AI6879">
        <v>96.374199412177205</v>
      </c>
      <c r="AJ6879">
        <v>96.059684580824197</v>
      </c>
      <c r="AK6879">
        <v>10.0091245023465</v>
      </c>
      <c r="AL6879">
        <v>67.070680624898102</v>
      </c>
      <c r="AM6879">
        <v>99.947068624474298</v>
      </c>
      <c r="AN6879">
        <v>1.0000000312445601</v>
      </c>
    </row>
    <row r="6880" spans="1:40" x14ac:dyDescent="0.25">
      <c r="A6880" t="str">
        <f>"20190304165019512"</f>
        <v>20190304165019512</v>
      </c>
      <c r="B6880" t="str">
        <f>"1551689419502055"</f>
        <v>1551689419502055</v>
      </c>
      <c r="C6880" t="s">
        <v>40</v>
      </c>
      <c r="D6880">
        <v>4.5752470000000001</v>
      </c>
      <c r="E6880">
        <v>0.53585890000000003</v>
      </c>
      <c r="F6880" t="s">
        <v>55</v>
      </c>
      <c r="G6880">
        <v>-233.9615</v>
      </c>
      <c r="H6880" s="1">
        <v>-1.18936E-6</v>
      </c>
      <c r="I6880">
        <v>-62.273119999999999</v>
      </c>
      <c r="J6880">
        <v>-243.93430000000001</v>
      </c>
      <c r="K6880">
        <v>1.111262</v>
      </c>
      <c r="L6880">
        <v>-63.18289</v>
      </c>
      <c r="M6880">
        <v>0.99977800000000006</v>
      </c>
      <c r="N6880">
        <v>-1.4521569999999999E-2</v>
      </c>
      <c r="O6880">
        <v>-1.5265539999999999E-2</v>
      </c>
      <c r="P6880">
        <v>0.91474469999999997</v>
      </c>
      <c r="Q6880">
        <v>0.37694440000000001</v>
      </c>
      <c r="R6880">
        <v>0.1454472</v>
      </c>
      <c r="S6880">
        <v>3.3832089999999901</v>
      </c>
      <c r="T6880">
        <v>-0.37091489999999999</v>
      </c>
      <c r="U6880">
        <v>0.30285640000000003</v>
      </c>
      <c r="V6880">
        <v>-0.1596572</v>
      </c>
      <c r="W6880">
        <v>0.39004759999999999</v>
      </c>
      <c r="X6880">
        <v>0.90684750000000003</v>
      </c>
      <c r="Y6880">
        <v>-0.10359</v>
      </c>
      <c r="Z6880">
        <v>7.8514629999999995E-3</v>
      </c>
      <c r="AA6880">
        <v>0.9945891</v>
      </c>
      <c r="AB6880">
        <v>34</v>
      </c>
      <c r="AC6880">
        <v>9.9727999999999994</v>
      </c>
      <c r="AD6880">
        <v>-1.11126318936</v>
      </c>
      <c r="AE6880">
        <v>0.90977000000000097</v>
      </c>
      <c r="AF6880">
        <v>-1.0490027446619501</v>
      </c>
      <c r="AG6880">
        <v>-1.11126318936</v>
      </c>
      <c r="AH6880">
        <v>9.8366195994602705</v>
      </c>
      <c r="AI6880">
        <v>96.409456188294598</v>
      </c>
      <c r="AJ6880">
        <v>96.087165063695195</v>
      </c>
      <c r="AK6880">
        <v>9.9546169076876492</v>
      </c>
      <c r="AL6880">
        <v>67.042538027986197</v>
      </c>
      <c r="AM6880">
        <v>99.985018422335997</v>
      </c>
      <c r="AN6880">
        <v>0.99999997001692398</v>
      </c>
    </row>
    <row r="6881" spans="1:40" x14ac:dyDescent="0.25">
      <c r="A6881" t="str">
        <f>"20190304165019524"</f>
        <v>20190304165019524</v>
      </c>
      <c r="B6881" t="str">
        <f>"1551689419512790"</f>
        <v>1551689419512790</v>
      </c>
      <c r="C6881" t="s">
        <v>40</v>
      </c>
      <c r="D6881">
        <v>4.5548979999999997</v>
      </c>
      <c r="E6881">
        <v>0.53588729999999996</v>
      </c>
      <c r="F6881" t="s">
        <v>55</v>
      </c>
      <c r="G6881">
        <v>-233.80500000000001</v>
      </c>
      <c r="H6881" s="1">
        <v>-1.1217439999999999E-6</v>
      </c>
      <c r="I6881">
        <v>-62.2714</v>
      </c>
      <c r="J6881">
        <v>-243.7628</v>
      </c>
      <c r="K6881">
        <v>1.1112959999999901</v>
      </c>
      <c r="L6881">
        <v>-63.185270000000003</v>
      </c>
      <c r="M6881">
        <v>0.99978160000000005</v>
      </c>
      <c r="N6881">
        <v>-1.452414E-2</v>
      </c>
      <c r="O6881">
        <v>-1.503094E-2</v>
      </c>
      <c r="P6881">
        <v>0.91440960000000004</v>
      </c>
      <c r="Q6881">
        <v>0.37744699999999998</v>
      </c>
      <c r="R6881">
        <v>0.14624909999999999</v>
      </c>
      <c r="S6881">
        <v>3.3841709999999998</v>
      </c>
      <c r="T6881">
        <v>-0.37126759999999998</v>
      </c>
      <c r="U6881">
        <v>0.30450440000000001</v>
      </c>
      <c r="V6881">
        <v>-0.16026879999999999</v>
      </c>
      <c r="W6881">
        <v>0.3905362</v>
      </c>
      <c r="X6881">
        <v>0.90652929999999998</v>
      </c>
      <c r="Y6881">
        <v>-0.10381070000000001</v>
      </c>
      <c r="Z6881">
        <v>7.8477100000000008E-3</v>
      </c>
      <c r="AA6881">
        <v>0.99456610000000001</v>
      </c>
      <c r="AB6881">
        <v>34</v>
      </c>
      <c r="AC6881">
        <v>9.95779999999999</v>
      </c>
      <c r="AD6881">
        <v>-1.11129712174399</v>
      </c>
      <c r="AE6881">
        <v>0.91386999999999496</v>
      </c>
      <c r="AF6881">
        <v>-1.0504834219472901</v>
      </c>
      <c r="AG6881">
        <v>-1.11129712174399</v>
      </c>
      <c r="AH6881">
        <v>9.8216331501575898</v>
      </c>
      <c r="AI6881">
        <v>96.419138215588404</v>
      </c>
      <c r="AJ6881">
        <v>96.104923506683704</v>
      </c>
      <c r="AK6881">
        <v>9.9399685335949197</v>
      </c>
      <c r="AL6881">
        <v>67.012132357078997</v>
      </c>
      <c r="AM6881">
        <v>100.025940655128</v>
      </c>
      <c r="AN6881">
        <v>0.99999999176118404</v>
      </c>
    </row>
    <row r="6882" spans="1:40" x14ac:dyDescent="0.25">
      <c r="A6882" t="str">
        <f>"20190304165019536"</f>
        <v>20190304165019536</v>
      </c>
      <c r="B6882" t="str">
        <f>"1551689419532310"</f>
        <v>1551689419532310</v>
      </c>
      <c r="C6882" t="s">
        <v>40</v>
      </c>
      <c r="D6882">
        <v>4.5449539999999997</v>
      </c>
      <c r="E6882">
        <v>0.53557659999999996</v>
      </c>
      <c r="F6882" t="s">
        <v>55</v>
      </c>
      <c r="G6882">
        <v>-233.65549999999999</v>
      </c>
      <c r="H6882" s="1">
        <v>-1.0568289999999999E-6</v>
      </c>
      <c r="I6882">
        <v>-62.2684199999999</v>
      </c>
      <c r="J6882">
        <v>-243.5949</v>
      </c>
      <c r="K6882">
        <v>1.1113280000000001</v>
      </c>
      <c r="L6882">
        <v>-63.187620000000003</v>
      </c>
      <c r="M6882">
        <v>0.99978500000000003</v>
      </c>
      <c r="N6882">
        <v>-1.4526519999999999E-2</v>
      </c>
      <c r="O6882">
        <v>-1.4795050000000001E-2</v>
      </c>
      <c r="P6882">
        <v>0.91411339999999996</v>
      </c>
      <c r="Q6882">
        <v>0.37780809999999998</v>
      </c>
      <c r="R6882">
        <v>0.147166299999999</v>
      </c>
      <c r="S6882">
        <v>3.3853149999999999</v>
      </c>
      <c r="T6882">
        <v>-0.3722162</v>
      </c>
      <c r="U6882">
        <v>0.3070679</v>
      </c>
      <c r="V6882">
        <v>-0.1609939</v>
      </c>
      <c r="W6882">
        <v>0.39088339999999999</v>
      </c>
      <c r="X6882">
        <v>0.90625120000000003</v>
      </c>
      <c r="Y6882">
        <v>-0.10428759999999999</v>
      </c>
      <c r="Z6882">
        <v>7.8708779999999996E-3</v>
      </c>
      <c r="AA6882">
        <v>0.99451599999999996</v>
      </c>
      <c r="AB6882">
        <v>34</v>
      </c>
      <c r="AC6882">
        <v>9.9393999999999991</v>
      </c>
      <c r="AD6882">
        <v>-1.111329056829</v>
      </c>
      <c r="AE6882">
        <v>0.91920000000000301</v>
      </c>
      <c r="AF6882">
        <v>-1.05311485396097</v>
      </c>
      <c r="AG6882">
        <v>-1.111329056829</v>
      </c>
      <c r="AH6882">
        <v>9.8031946633773508</v>
      </c>
      <c r="AI6882">
        <v>96.430976589455497</v>
      </c>
      <c r="AJ6882">
        <v>96.131523737731897</v>
      </c>
      <c r="AK6882">
        <v>9.9220324921991594</v>
      </c>
      <c r="AL6882">
        <v>66.990522986221706</v>
      </c>
      <c r="AM6882">
        <v>100.07340136317799</v>
      </c>
      <c r="AN6882">
        <v>1.0000000528671</v>
      </c>
    </row>
    <row r="6883" spans="1:40" x14ac:dyDescent="0.25">
      <c r="A6883" t="str">
        <f>"20190304165019546"</f>
        <v>20190304165019546</v>
      </c>
      <c r="B6883" t="str">
        <f>"1551689419542076"</f>
        <v>1551689419542076</v>
      </c>
      <c r="C6883" t="s">
        <v>40</v>
      </c>
      <c r="D6883">
        <v>4.5921979999999998</v>
      </c>
      <c r="E6883">
        <v>0.53557060000000001</v>
      </c>
      <c r="F6883" t="s">
        <v>55</v>
      </c>
      <c r="G6883">
        <v>-233.6156</v>
      </c>
      <c r="H6883" s="1">
        <v>-1.0389220000000001E-6</v>
      </c>
      <c r="I6883">
        <v>-62.265479999999997</v>
      </c>
      <c r="J6883">
        <v>-243.41560000000001</v>
      </c>
      <c r="K6883">
        <v>1.1113550000000001</v>
      </c>
      <c r="L6883">
        <v>-63.189970000000002</v>
      </c>
      <c r="M6883">
        <v>0.99978909999999999</v>
      </c>
      <c r="N6883">
        <v>-1.452852E-2</v>
      </c>
      <c r="O6883">
        <v>-1.4518799999999899E-2</v>
      </c>
      <c r="P6883">
        <v>0.91381610000000002</v>
      </c>
      <c r="Q6883">
        <v>0.3781272</v>
      </c>
      <c r="R6883">
        <v>0.14818899999999999</v>
      </c>
      <c r="S6883">
        <v>3.3873600000000001</v>
      </c>
      <c r="T6883">
        <v>-0.37722549999999999</v>
      </c>
      <c r="U6883">
        <v>0.3129883</v>
      </c>
      <c r="V6883">
        <v>-0.1617846</v>
      </c>
      <c r="W6883">
        <v>0.39118979999999998</v>
      </c>
      <c r="X6883">
        <v>0.90597810000000001</v>
      </c>
      <c r="Y6883">
        <v>-0.10565529999999999</v>
      </c>
      <c r="Z6883">
        <v>8.0231769999999994E-3</v>
      </c>
      <c r="AA6883">
        <v>0.99437050000000005</v>
      </c>
      <c r="AB6883">
        <v>34</v>
      </c>
      <c r="AC6883">
        <v>9.8000000000000096</v>
      </c>
      <c r="AD6883">
        <v>-1.1113560389220001</v>
      </c>
      <c r="AE6883">
        <v>0.92448999999999104</v>
      </c>
      <c r="AF6883">
        <v>-1.0532658521499501</v>
      </c>
      <c r="AG6883">
        <v>-1.1113560389220001</v>
      </c>
      <c r="AH6883">
        <v>9.6623770330239598</v>
      </c>
      <c r="AI6883">
        <v>96.522961344926401</v>
      </c>
      <c r="AJ6883">
        <v>96.221072763329502</v>
      </c>
      <c r="AK6883">
        <v>9.7829449108569797</v>
      </c>
      <c r="AL6883">
        <v>66.971447906767096</v>
      </c>
      <c r="AM6883">
        <v>100.124843041646</v>
      </c>
      <c r="AN6883">
        <v>1.0000000170504</v>
      </c>
    </row>
    <row r="6884" spans="1:40" x14ac:dyDescent="0.25">
      <c r="A6884" t="str">
        <f>"20190304165019558"</f>
        <v>20190304165019558</v>
      </c>
      <c r="B6884" t="str">
        <f>"1551689419552809"</f>
        <v>1551689419552809</v>
      </c>
      <c r="C6884" t="s">
        <v>40</v>
      </c>
      <c r="D6884">
        <v>4.5503790000000004</v>
      </c>
      <c r="E6884">
        <v>0.53538839999999999</v>
      </c>
      <c r="F6884" t="s">
        <v>55</v>
      </c>
      <c r="G6884">
        <v>-233.50700000000001</v>
      </c>
      <c r="H6884" s="1">
        <v>-9.9194520000000004E-7</v>
      </c>
      <c r="I6884">
        <v>-62.263969999999901</v>
      </c>
      <c r="J6884">
        <v>-243.2484</v>
      </c>
      <c r="K6884">
        <v>1.111381</v>
      </c>
      <c r="L6884">
        <v>-63.1922</v>
      </c>
      <c r="M6884">
        <v>0.99979289999999998</v>
      </c>
      <c r="N6884">
        <v>-1.453025E-2</v>
      </c>
      <c r="O6884">
        <v>-1.425643E-2</v>
      </c>
      <c r="P6884">
        <v>0.91344959999999997</v>
      </c>
      <c r="Q6884">
        <v>0.37858000000000003</v>
      </c>
      <c r="R6884">
        <v>0.149289899999999</v>
      </c>
      <c r="S6884">
        <v>3.3888699999999998</v>
      </c>
      <c r="T6884">
        <v>-0.3800964</v>
      </c>
      <c r="U6884">
        <v>0.31668089999999999</v>
      </c>
      <c r="V6884">
        <v>-0.16266349999999999</v>
      </c>
      <c r="W6884">
        <v>0.39162940000000002</v>
      </c>
      <c r="X6884">
        <v>0.90563070000000001</v>
      </c>
      <c r="Y6884">
        <v>-0.1064129</v>
      </c>
      <c r="Z6884">
        <v>8.0983940000000001E-3</v>
      </c>
      <c r="AA6884">
        <v>0.99428899999999998</v>
      </c>
      <c r="AB6884">
        <v>34</v>
      </c>
      <c r="AC6884">
        <v>9.7414000000000005</v>
      </c>
      <c r="AD6884">
        <v>-1.1113819919451999</v>
      </c>
      <c r="AE6884">
        <v>0.92823000000000599</v>
      </c>
      <c r="AF6884">
        <v>-1.0534394875033499</v>
      </c>
      <c r="AG6884">
        <v>-1.1113819919451999</v>
      </c>
      <c r="AH6884">
        <v>9.60330145888876</v>
      </c>
      <c r="AI6884">
        <v>96.562406761229795</v>
      </c>
      <c r="AJ6884">
        <v>96.260063072570404</v>
      </c>
      <c r="AK6884">
        <v>9.7246235709227502</v>
      </c>
      <c r="AL6884">
        <v>66.944076100933501</v>
      </c>
      <c r="AM6884">
        <v>100.182522449636</v>
      </c>
      <c r="AN6884">
        <v>0.99999998297954895</v>
      </c>
    </row>
    <row r="6885" spans="1:40" x14ac:dyDescent="0.25">
      <c r="A6885" t="str">
        <f>"20190304165019569"</f>
        <v>20190304165019569</v>
      </c>
      <c r="B6885" t="str">
        <f>"1551689419562566"</f>
        <v>1551689419562566</v>
      </c>
      <c r="C6885" t="s">
        <v>40</v>
      </c>
      <c r="D6885">
        <v>4.6139460000000003</v>
      </c>
      <c r="E6885">
        <v>0.53538839999999999</v>
      </c>
      <c r="F6885" t="s">
        <v>55</v>
      </c>
      <c r="G6885">
        <v>-233.3639</v>
      </c>
      <c r="H6885" s="1">
        <v>-9.2827579999999996E-7</v>
      </c>
      <c r="I6885">
        <v>-62.255429999999997</v>
      </c>
      <c r="J6885">
        <v>-243.07759999999999</v>
      </c>
      <c r="K6885">
        <v>1.111405</v>
      </c>
      <c r="L6885">
        <v>-63.194400000000002</v>
      </c>
      <c r="M6885">
        <v>0.99979669999999998</v>
      </c>
      <c r="N6885">
        <v>-1.453166E-2</v>
      </c>
      <c r="O6885">
        <v>-1.3976809999999999E-2</v>
      </c>
      <c r="P6885">
        <v>0.91308210000000001</v>
      </c>
      <c r="Q6885">
        <v>0.37891570000000002</v>
      </c>
      <c r="R6885">
        <v>0.15067809999999901</v>
      </c>
      <c r="S6885">
        <v>3.3897249999999999</v>
      </c>
      <c r="T6885">
        <v>-0.38112839999999998</v>
      </c>
      <c r="U6885">
        <v>0.32122800000000001</v>
      </c>
      <c r="V6885">
        <v>-0.16381080000000001</v>
      </c>
      <c r="W6885">
        <v>0.39195229999999998</v>
      </c>
      <c r="X6885">
        <v>0.90528419999999998</v>
      </c>
      <c r="Y6885">
        <v>-0.10742409999999999</v>
      </c>
      <c r="Z6885">
        <v>8.1531829999999996E-3</v>
      </c>
      <c r="AA6885">
        <v>0.99417979999999995</v>
      </c>
      <c r="AB6885">
        <v>34</v>
      </c>
      <c r="AC6885">
        <v>9.7136999999999798</v>
      </c>
      <c r="AD6885">
        <v>-1.1114059282758</v>
      </c>
      <c r="AE6885">
        <v>0.93896999999999697</v>
      </c>
      <c r="AF6885">
        <v>-1.0608993755424201</v>
      </c>
      <c r="AG6885">
        <v>-1.1114059282758</v>
      </c>
      <c r="AH6885">
        <v>9.5754333005826204</v>
      </c>
      <c r="AI6885">
        <v>96.580698660531098</v>
      </c>
      <c r="AJ6885">
        <v>96.322236583955899</v>
      </c>
      <c r="AK6885">
        <v>9.6979200613502403</v>
      </c>
      <c r="AL6885">
        <v>66.923968940738703</v>
      </c>
      <c r="AM6885">
        <v>100.256664706263</v>
      </c>
      <c r="AN6885">
        <v>1.0000000332207799</v>
      </c>
    </row>
    <row r="6886" spans="1:40" x14ac:dyDescent="0.25">
      <c r="A6886" t="str">
        <f>"20190304165019580"</f>
        <v>20190304165019580</v>
      </c>
      <c r="B6886" t="str">
        <f>"1551689419572326"</f>
        <v>1551689419572326</v>
      </c>
      <c r="C6886" t="s">
        <v>40</v>
      </c>
      <c r="D6886">
        <v>4.5700019999999997</v>
      </c>
      <c r="E6886">
        <v>0.50801549999999995</v>
      </c>
      <c r="F6886" t="s">
        <v>55</v>
      </c>
      <c r="G6886">
        <v>-233.15940000000001</v>
      </c>
      <c r="H6886" s="1">
        <v>-8.3672459999999995E-7</v>
      </c>
      <c r="I6886">
        <v>-62.240960000000001</v>
      </c>
      <c r="J6886">
        <v>-242.922</v>
      </c>
      <c r="K6886">
        <v>1.1114250000000001</v>
      </c>
      <c r="L6886">
        <v>-63.196289999999998</v>
      </c>
      <c r="M6886">
        <v>0.99980029999999998</v>
      </c>
      <c r="N6886">
        <v>-1.453277E-2</v>
      </c>
      <c r="O6886">
        <v>-1.371824E-2</v>
      </c>
      <c r="P6886">
        <v>0.91273300000000002</v>
      </c>
      <c r="Q6886">
        <v>0.37925750000000003</v>
      </c>
      <c r="R6886">
        <v>0.15192929999999999</v>
      </c>
      <c r="S6886">
        <v>3.3894350000000002</v>
      </c>
      <c r="T6886">
        <v>-0.3798127</v>
      </c>
      <c r="U6886">
        <v>0.32580569999999998</v>
      </c>
      <c r="V6886">
        <v>-0.1648374</v>
      </c>
      <c r="W6886">
        <v>0.3922831</v>
      </c>
      <c r="X6886">
        <v>0.9049545</v>
      </c>
      <c r="Y6886">
        <v>-0.1085045</v>
      </c>
      <c r="Z6886">
        <v>8.1704819999999997E-3</v>
      </c>
      <c r="AA6886">
        <v>0.99406240000000001</v>
      </c>
      <c r="AB6886">
        <v>34</v>
      </c>
      <c r="AC6886">
        <v>9.7625999999999902</v>
      </c>
      <c r="AD6886">
        <v>-1.1114258367245999</v>
      </c>
      <c r="AE6886">
        <v>0.95533000000000301</v>
      </c>
      <c r="AF6886">
        <v>-1.0753744612793099</v>
      </c>
      <c r="AG6886">
        <v>-1.1114258367245999</v>
      </c>
      <c r="AH6886">
        <v>9.6250102382219396</v>
      </c>
      <c r="AI6886">
        <v>96.546548176315397</v>
      </c>
      <c r="AJ6886">
        <v>96.375052420748801</v>
      </c>
      <c r="AK6886">
        <v>9.7484624279107699</v>
      </c>
      <c r="AL6886">
        <v>66.903365220546306</v>
      </c>
      <c r="AM6886">
        <v>100.323244987717</v>
      </c>
      <c r="AN6886">
        <v>1.0000000230273001</v>
      </c>
    </row>
    <row r="6887" spans="1:40" x14ac:dyDescent="0.25">
      <c r="A6887" t="str">
        <f>"20190304165019590"</f>
        <v>20190304165019590</v>
      </c>
      <c r="B6887" t="str">
        <f>"1551689419582086"</f>
        <v>1551689419582086</v>
      </c>
      <c r="C6887" t="s">
        <v>40</v>
      </c>
      <c r="D6887">
        <v>4.5819570000000001</v>
      </c>
      <c r="E6887">
        <v>0.50430209999999998</v>
      </c>
      <c r="F6887" t="s">
        <v>55</v>
      </c>
      <c r="G6887">
        <v>-230.88659999999999</v>
      </c>
      <c r="H6887" s="1">
        <v>4.0194109999999903E-7</v>
      </c>
      <c r="I6887">
        <v>-61.250230000000002</v>
      </c>
      <c r="J6887">
        <v>-242.75460000000001</v>
      </c>
      <c r="K6887">
        <v>1.1114440000000001</v>
      </c>
      <c r="L6887">
        <v>-63.198329999999999</v>
      </c>
      <c r="M6887">
        <v>0.99980409999999997</v>
      </c>
      <c r="N6887">
        <v>-1.453373E-2</v>
      </c>
      <c r="O6887">
        <v>-1.343431E-2</v>
      </c>
      <c r="P6887">
        <v>0.91236039999999996</v>
      </c>
      <c r="Q6887">
        <v>0.37959530000000002</v>
      </c>
      <c r="R6887">
        <v>0.1533158</v>
      </c>
      <c r="S6887">
        <v>3.3249050000000002</v>
      </c>
      <c r="T6887">
        <v>-0.30704029999999999</v>
      </c>
      <c r="U6887">
        <v>0.53759769999999996</v>
      </c>
      <c r="V6887">
        <v>-0.16597429999999999</v>
      </c>
      <c r="W6887">
        <v>0.39260929999999999</v>
      </c>
      <c r="X6887">
        <v>0.9046052</v>
      </c>
      <c r="Y6887">
        <v>-0.17199600000000001</v>
      </c>
      <c r="Z6887">
        <v>1.0171599999999999E-2</v>
      </c>
      <c r="AA6887">
        <v>0.98504510000000001</v>
      </c>
      <c r="AB6887">
        <v>34</v>
      </c>
      <c r="AC6887">
        <v>11.868</v>
      </c>
      <c r="AD6887">
        <v>-1.1114435980588999</v>
      </c>
      <c r="AE6887">
        <v>1.9480999999999999</v>
      </c>
      <c r="AF6887">
        <v>-2.0895341561860898</v>
      </c>
      <c r="AG6887">
        <v>-1.1114435980588999</v>
      </c>
      <c r="AH6887">
        <v>11.740487381043</v>
      </c>
      <c r="AI6887">
        <v>95.3247533301532</v>
      </c>
      <c r="AJ6887">
        <v>100.091650354858</v>
      </c>
      <c r="AK6887">
        <v>11.9766649700976</v>
      </c>
      <c r="AL6887">
        <v>66.883045802268896</v>
      </c>
      <c r="AM6887">
        <v>100.39682460240201</v>
      </c>
      <c r="AN6887">
        <v>1.000000049287</v>
      </c>
    </row>
    <row r="6888" spans="1:40" x14ac:dyDescent="0.25">
      <c r="A6888" t="str">
        <f>"20190304165019602"</f>
        <v>20190304165019602</v>
      </c>
      <c r="B6888" t="str">
        <f>"1551689419592822"</f>
        <v>1551689419592822</v>
      </c>
      <c r="C6888" t="s">
        <v>40</v>
      </c>
      <c r="D6888">
        <v>4.5841279999999998</v>
      </c>
      <c r="E6888">
        <v>0.50242279999999995</v>
      </c>
      <c r="F6888" t="s">
        <v>56</v>
      </c>
      <c r="G6888">
        <v>-229.99629999999999</v>
      </c>
      <c r="H6888" s="1">
        <v>-3.4936349999999998E-6</v>
      </c>
      <c r="I6888">
        <v>-61.005659999999999</v>
      </c>
      <c r="J6888">
        <v>-242.58629999999999</v>
      </c>
      <c r="K6888">
        <v>1.111462</v>
      </c>
      <c r="L6888">
        <v>-63.200319999999998</v>
      </c>
      <c r="M6888">
        <v>0.99980809999999998</v>
      </c>
      <c r="N6888">
        <v>-1.4534480000000001E-2</v>
      </c>
      <c r="O6888">
        <v>-1.3145280000000001E-2</v>
      </c>
      <c r="P6888">
        <v>0.91195669999999995</v>
      </c>
      <c r="Q6888">
        <v>0.38001049999999997</v>
      </c>
      <c r="R6888">
        <v>0.15468390000000001</v>
      </c>
      <c r="S6888">
        <v>3.3125610000000001</v>
      </c>
      <c r="T6888">
        <v>-0.28857579999999999</v>
      </c>
      <c r="U6888">
        <v>0.56930539999999996</v>
      </c>
      <c r="V6888">
        <v>-0.16708619999999999</v>
      </c>
      <c r="W6888">
        <v>0.39301370000000002</v>
      </c>
      <c r="X6888">
        <v>0.90422480000000005</v>
      </c>
      <c r="Y6888">
        <v>-0.18150530000000001</v>
      </c>
      <c r="Z6888">
        <v>1.0111149999999999E-2</v>
      </c>
      <c r="AA6888">
        <v>0.98333800000000005</v>
      </c>
      <c r="AB6888">
        <v>34</v>
      </c>
      <c r="AC6888">
        <v>12.59</v>
      </c>
      <c r="AD6888">
        <v>-1.1114654936349999</v>
      </c>
      <c r="AE6888">
        <v>2.1946599999999901</v>
      </c>
      <c r="AF6888">
        <v>-2.3422703954560098</v>
      </c>
      <c r="AG6888">
        <v>-1.1114654936349999</v>
      </c>
      <c r="AH6888">
        <v>12.465770843793299</v>
      </c>
      <c r="AI6888">
        <v>95.007920327414794</v>
      </c>
      <c r="AJ6888">
        <v>100.64158076802499</v>
      </c>
      <c r="AK6888">
        <v>12.732518559929099</v>
      </c>
      <c r="AL6888">
        <v>66.857849610897105</v>
      </c>
      <c r="AM6888">
        <v>100.469246718976</v>
      </c>
      <c r="AN6888">
        <v>1.0000000277765799</v>
      </c>
    </row>
    <row r="6889" spans="1:40" x14ac:dyDescent="0.25">
      <c r="A6889" t="str">
        <f>"20190304165019613"</f>
        <v>20190304165019613</v>
      </c>
      <c r="B6889" t="str">
        <f>"1551689419602582"</f>
        <v>1551689419602582</v>
      </c>
      <c r="C6889" t="s">
        <v>40</v>
      </c>
      <c r="D6889">
        <v>4.5914919999999997</v>
      </c>
      <c r="E6889">
        <v>0.50086529999999996</v>
      </c>
      <c r="F6889" t="s">
        <v>56</v>
      </c>
      <c r="G6889">
        <v>-229.4915</v>
      </c>
      <c r="H6889" s="1">
        <v>-3.2989840000000001E-6</v>
      </c>
      <c r="I6889">
        <v>-60.874339999999997</v>
      </c>
      <c r="J6889">
        <v>-242.41630000000001</v>
      </c>
      <c r="K6889">
        <v>1.1114790000000001</v>
      </c>
      <c r="L6889">
        <v>-63.202300000000001</v>
      </c>
      <c r="M6889">
        <v>0.99981169999999997</v>
      </c>
      <c r="N6889">
        <v>-1.4535090000000001E-2</v>
      </c>
      <c r="O6889">
        <v>-1.2851039999999999E-2</v>
      </c>
      <c r="P6889">
        <v>0.91144879999999995</v>
      </c>
      <c r="Q6889">
        <v>0.38067630000000002</v>
      </c>
      <c r="R6889">
        <v>0.15603420000000001</v>
      </c>
      <c r="S6889">
        <v>3.3069609999999998</v>
      </c>
      <c r="T6889">
        <v>-0.28069</v>
      </c>
      <c r="U6889">
        <v>0.58740230000000004</v>
      </c>
      <c r="V6889">
        <v>-0.16817319999999999</v>
      </c>
      <c r="W6889">
        <v>0.3936673</v>
      </c>
      <c r="X6889">
        <v>0.90373879999999995</v>
      </c>
      <c r="Y6889">
        <v>-0.1867316</v>
      </c>
      <c r="Z6889">
        <v>1.0115549999999999E-2</v>
      </c>
      <c r="AA6889">
        <v>0.98235890000000003</v>
      </c>
      <c r="AB6889">
        <v>34</v>
      </c>
      <c r="AC6889">
        <v>12.924799999999999</v>
      </c>
      <c r="AD6889">
        <v>-1.1114822989839901</v>
      </c>
      <c r="AE6889">
        <v>2.3279599999999898</v>
      </c>
      <c r="AF6889">
        <v>-2.4761458945368902</v>
      </c>
      <c r="AG6889">
        <v>-1.1114822989839901</v>
      </c>
      <c r="AH6889">
        <v>12.8021117160448</v>
      </c>
      <c r="AI6889">
        <v>94.872140160781598</v>
      </c>
      <c r="AJ6889">
        <v>100.946805725018</v>
      </c>
      <c r="AK6889">
        <v>13.0866632791586</v>
      </c>
      <c r="AL6889">
        <v>66.817116974295203</v>
      </c>
      <c r="AM6889">
        <v>100.541374315477</v>
      </c>
      <c r="AN6889">
        <v>0.99999999345648405</v>
      </c>
    </row>
    <row r="6890" spans="1:40" x14ac:dyDescent="0.25">
      <c r="A6890" t="str">
        <f>"20190304165019625"</f>
        <v>20190304165019625</v>
      </c>
      <c r="B6890" t="str">
        <f>"1551689419612342"</f>
        <v>1551689419612342</v>
      </c>
      <c r="C6890" t="s">
        <v>40</v>
      </c>
      <c r="D6890">
        <v>4.5953929999999996</v>
      </c>
      <c r="E6890">
        <v>0.49984810000000002</v>
      </c>
      <c r="F6890" t="s">
        <v>56</v>
      </c>
      <c r="G6890">
        <v>-229.5823</v>
      </c>
      <c r="H6890" s="1">
        <v>-3.3326000000000001E-6</v>
      </c>
      <c r="I6890">
        <v>-60.854970000000002</v>
      </c>
      <c r="J6890">
        <v>-242.24889999999999</v>
      </c>
      <c r="K6890">
        <v>1.1114900000000001</v>
      </c>
      <c r="L6890">
        <v>-63.204160000000002</v>
      </c>
      <c r="M6890">
        <v>0.99981560000000003</v>
      </c>
      <c r="N6890">
        <v>-1.453541E-2</v>
      </c>
      <c r="O6890">
        <v>-1.255934E-2</v>
      </c>
      <c r="P6890">
        <v>0.91099580000000002</v>
      </c>
      <c r="Q6890">
        <v>0.38124019999999997</v>
      </c>
      <c r="R6890">
        <v>0.1572983</v>
      </c>
      <c r="S6890">
        <v>3.3075559999999999</v>
      </c>
      <c r="T6890">
        <v>-0.28644899999999901</v>
      </c>
      <c r="U6890">
        <v>0.60494999999999999</v>
      </c>
      <c r="V6890">
        <v>-0.16917399999999999</v>
      </c>
      <c r="W6890">
        <v>0.3942213</v>
      </c>
      <c r="X6890">
        <v>0.90331039999999996</v>
      </c>
      <c r="Y6890">
        <v>-0.1914112</v>
      </c>
      <c r="Z6890">
        <v>1.0507280000000001E-2</v>
      </c>
      <c r="AA6890">
        <v>0.98145369999999998</v>
      </c>
      <c r="AB6890">
        <v>34</v>
      </c>
      <c r="AC6890">
        <v>12.666599999999899</v>
      </c>
      <c r="AD6890">
        <v>-1.1114933325999901</v>
      </c>
      <c r="AE6890">
        <v>2.3491900000000001</v>
      </c>
      <c r="AF6890">
        <v>-2.4895732118526599</v>
      </c>
      <c r="AG6890">
        <v>-1.1114933325999901</v>
      </c>
      <c r="AH6890">
        <v>12.542725286990599</v>
      </c>
      <c r="AI6890">
        <v>94.967714538680596</v>
      </c>
      <c r="AJ6890">
        <v>101.22657721551001</v>
      </c>
      <c r="AK6890">
        <v>12.8356281431998</v>
      </c>
      <c r="AL6890">
        <v>66.782582054214998</v>
      </c>
      <c r="AM6890">
        <v>100.607602108517</v>
      </c>
      <c r="AN6890">
        <v>0.99999997719892397</v>
      </c>
    </row>
    <row r="6891" spans="1:40" x14ac:dyDescent="0.25">
      <c r="A6891" t="str">
        <f>"20190304165019637"</f>
        <v>20190304165019637</v>
      </c>
      <c r="B6891" t="str">
        <f>"1551689419632838"</f>
        <v>1551689419632838</v>
      </c>
      <c r="C6891" t="s">
        <v>40</v>
      </c>
      <c r="D6891">
        <v>4.5737139999999998</v>
      </c>
      <c r="E6891">
        <v>0.49860320000000002</v>
      </c>
      <c r="F6891" t="s">
        <v>56</v>
      </c>
      <c r="G6891">
        <v>-229.6293</v>
      </c>
      <c r="H6891" s="1">
        <v>-3.3475539999999999E-6</v>
      </c>
      <c r="I6891">
        <v>-60.847239999999999</v>
      </c>
      <c r="J6891">
        <v>-242.06100000000001</v>
      </c>
      <c r="K6891">
        <v>1.111502</v>
      </c>
      <c r="L6891">
        <v>-63.206270000000004</v>
      </c>
      <c r="M6891">
        <v>0.99981960000000003</v>
      </c>
      <c r="N6891">
        <v>-1.4535670000000001E-2</v>
      </c>
      <c r="O6891">
        <v>-1.2230919999999999E-2</v>
      </c>
      <c r="P6891">
        <v>0.91056400000000004</v>
      </c>
      <c r="Q6891">
        <v>0.38172810000000001</v>
      </c>
      <c r="R6891">
        <v>0.15860879999999999</v>
      </c>
      <c r="S6891">
        <v>3.3083499999999999</v>
      </c>
      <c r="T6891">
        <v>-0.2913886</v>
      </c>
      <c r="U6891">
        <v>0.61788940000000003</v>
      </c>
      <c r="V6891">
        <v>-0.17018910000000001</v>
      </c>
      <c r="W6891">
        <v>0.39469890000000002</v>
      </c>
      <c r="X6891">
        <v>0.90291109999999997</v>
      </c>
      <c r="Y6891">
        <v>-0.1947179</v>
      </c>
      <c r="Z6891">
        <v>1.0806380000000001E-2</v>
      </c>
      <c r="AA6891">
        <v>0.9807998</v>
      </c>
      <c r="AB6891">
        <v>34</v>
      </c>
      <c r="AC6891">
        <v>12.4316999999999</v>
      </c>
      <c r="AD6891">
        <v>-1.111505347554</v>
      </c>
      <c r="AE6891">
        <v>2.35902999999999</v>
      </c>
      <c r="AF6891">
        <v>-2.49169448872067</v>
      </c>
      <c r="AG6891">
        <v>-1.111505347554</v>
      </c>
      <c r="AH6891">
        <v>12.306951889309101</v>
      </c>
      <c r="AI6891">
        <v>95.058592592696698</v>
      </c>
      <c r="AJ6891">
        <v>101.44552442906701</v>
      </c>
      <c r="AK6891">
        <v>12.605754652877</v>
      </c>
      <c r="AL6891">
        <v>66.752803521576794</v>
      </c>
      <c r="AM6891">
        <v>100.674404242336</v>
      </c>
      <c r="AN6891">
        <v>1.0000000029616101</v>
      </c>
    </row>
    <row r="6892" spans="1:40" x14ac:dyDescent="0.25">
      <c r="A6892" t="str">
        <f>"20190304165019648"</f>
        <v>20190304165019648</v>
      </c>
      <c r="B6892" t="str">
        <f>"1551689419642599"</f>
        <v>1551689419642599</v>
      </c>
      <c r="C6892" t="s">
        <v>40</v>
      </c>
      <c r="D6892">
        <v>4.583189</v>
      </c>
      <c r="E6892">
        <v>0.49825589999999997</v>
      </c>
      <c r="F6892" t="s">
        <v>56</v>
      </c>
      <c r="G6892">
        <v>-229.6087</v>
      </c>
      <c r="H6892" s="1">
        <v>-3.3376769999999998E-6</v>
      </c>
      <c r="I6892">
        <v>-60.825780000000002</v>
      </c>
      <c r="J6892">
        <v>-241.8964</v>
      </c>
      <c r="K6892">
        <v>1.111504</v>
      </c>
      <c r="L6892">
        <v>-63.207979999999999</v>
      </c>
      <c r="M6892">
        <v>0.99982300000000002</v>
      </c>
      <c r="N6892">
        <v>-1.453573E-2</v>
      </c>
      <c r="O6892">
        <v>-1.1943199999999999E-2</v>
      </c>
      <c r="P6892">
        <v>0.91007360000000004</v>
      </c>
      <c r="Q6892">
        <v>0.38234699999999999</v>
      </c>
      <c r="R6892">
        <v>0.15992719999999999</v>
      </c>
      <c r="S6892">
        <v>3.308319</v>
      </c>
      <c r="T6892">
        <v>-0.2953037</v>
      </c>
      <c r="U6892">
        <v>0.63244630000000002</v>
      </c>
      <c r="V6892">
        <v>-0.171245799999999</v>
      </c>
      <c r="W6892">
        <v>0.39530779999999999</v>
      </c>
      <c r="X6892">
        <v>0.90244480000000005</v>
      </c>
      <c r="Y6892">
        <v>-0.1985645</v>
      </c>
      <c r="Z6892">
        <v>1.110795E-2</v>
      </c>
      <c r="AA6892">
        <v>0.98002489999999998</v>
      </c>
      <c r="AB6892">
        <v>34</v>
      </c>
      <c r="AC6892">
        <v>12.287699999999999</v>
      </c>
      <c r="AD6892">
        <v>-1.1115073376769999</v>
      </c>
      <c r="AE6892">
        <v>2.3822000000000001</v>
      </c>
      <c r="AF6892">
        <v>-2.50901380834412</v>
      </c>
      <c r="AG6892">
        <v>-1.1115073376769999</v>
      </c>
      <c r="AH6892">
        <v>12.1624555428108</v>
      </c>
      <c r="AI6892">
        <v>95.114559721604095</v>
      </c>
      <c r="AJ6892">
        <v>101.656133117642</v>
      </c>
      <c r="AK6892">
        <v>12.4681964887878</v>
      </c>
      <c r="AL6892">
        <v>66.714827833489693</v>
      </c>
      <c r="AM6892">
        <v>100.744564390824</v>
      </c>
      <c r="AN6892">
        <v>0.99999999890276003</v>
      </c>
    </row>
    <row r="6893" spans="1:40" x14ac:dyDescent="0.25">
      <c r="A6893" t="str">
        <f>"20190304165019659"</f>
        <v>20190304165019659</v>
      </c>
      <c r="B6893" t="str">
        <f>"1551689419652358"</f>
        <v>1551689419652358</v>
      </c>
      <c r="C6893" t="s">
        <v>40</v>
      </c>
      <c r="D6893">
        <v>4.5729749999999996</v>
      </c>
      <c r="E6893">
        <v>0.49822820000000001</v>
      </c>
      <c r="F6893" t="s">
        <v>56</v>
      </c>
      <c r="G6893">
        <v>-229.48990000000001</v>
      </c>
      <c r="H6893" s="1">
        <v>-3.283162E-6</v>
      </c>
      <c r="I6893">
        <v>-60.806310000000003</v>
      </c>
      <c r="J6893">
        <v>-241.73699999999999</v>
      </c>
      <c r="K6893">
        <v>1.111513</v>
      </c>
      <c r="L6893">
        <v>-63.209629999999997</v>
      </c>
      <c r="M6893">
        <v>0.9998264</v>
      </c>
      <c r="N6893">
        <v>-1.453571E-2</v>
      </c>
      <c r="O6893">
        <v>-1.166479E-2</v>
      </c>
      <c r="P6893">
        <v>0.90951400000000004</v>
      </c>
      <c r="Q6893">
        <v>0.38328679999999998</v>
      </c>
      <c r="R6893">
        <v>0.16085969999999999</v>
      </c>
      <c r="S6893">
        <v>3.3083949999999902</v>
      </c>
      <c r="T6893">
        <v>-0.29640100000000003</v>
      </c>
      <c r="U6893">
        <v>0.64044190000000001</v>
      </c>
      <c r="V6893">
        <v>-0.1719242</v>
      </c>
      <c r="W6893">
        <v>0.39623700000000001</v>
      </c>
      <c r="X6893">
        <v>0.90190820000000005</v>
      </c>
      <c r="Y6893">
        <v>-0.20055690000000001</v>
      </c>
      <c r="Z6893">
        <v>1.122447E-2</v>
      </c>
      <c r="AA6893">
        <v>0.97961779999999998</v>
      </c>
      <c r="AB6893">
        <v>34</v>
      </c>
      <c r="AC6893">
        <v>12.2470999999999</v>
      </c>
      <c r="AD6893">
        <v>-1.111516283162</v>
      </c>
      <c r="AE6893">
        <v>2.4033199999999999</v>
      </c>
      <c r="AF6893">
        <v>-2.5259964552123</v>
      </c>
      <c r="AG6893">
        <v>-1.111516283162</v>
      </c>
      <c r="AH6893">
        <v>12.1220831521878</v>
      </c>
      <c r="AI6893">
        <v>95.129425778135001</v>
      </c>
      <c r="AJ6893">
        <v>101.770836847387</v>
      </c>
      <c r="AK6893">
        <v>12.432257497656501</v>
      </c>
      <c r="AL6893">
        <v>66.656856196853298</v>
      </c>
      <c r="AM6893">
        <v>100.79239958841499</v>
      </c>
      <c r="AN6893">
        <v>1.00000004597093</v>
      </c>
    </row>
    <row r="6894" spans="1:40" x14ac:dyDescent="0.25">
      <c r="A6894" t="str">
        <f>"20190304165019668"</f>
        <v>20190304165019668</v>
      </c>
      <c r="B6894" t="str">
        <f>"1551689419662118"</f>
        <v>1551689419662118</v>
      </c>
      <c r="C6894" t="s">
        <v>40</v>
      </c>
      <c r="D6894">
        <v>4.5456370000000001</v>
      </c>
      <c r="E6894">
        <v>0.49821080000000001</v>
      </c>
      <c r="F6894" t="s">
        <v>56</v>
      </c>
      <c r="G6894">
        <v>-229.3288</v>
      </c>
      <c r="H6894" s="1">
        <v>-3.2104589999999999E-6</v>
      </c>
      <c r="I6894">
        <v>-60.7902699999999</v>
      </c>
      <c r="J6894">
        <v>-241.5729</v>
      </c>
      <c r="K6894">
        <v>1.111521</v>
      </c>
      <c r="L6894">
        <v>-63.211300000000001</v>
      </c>
      <c r="M6894">
        <v>0.99982959999999999</v>
      </c>
      <c r="N6894">
        <v>-1.4535559999999999E-2</v>
      </c>
      <c r="O6894">
        <v>-1.137852E-2</v>
      </c>
      <c r="P6894">
        <v>0.9089699</v>
      </c>
      <c r="Q6894">
        <v>0.38421909999999998</v>
      </c>
      <c r="R6894">
        <v>0.1617075</v>
      </c>
      <c r="S6894">
        <v>3.30925</v>
      </c>
      <c r="T6894">
        <v>-0.29643799999999998</v>
      </c>
      <c r="U6894">
        <v>0.64523319999999995</v>
      </c>
      <c r="V6894">
        <v>-0.17251059999999999</v>
      </c>
      <c r="W6894">
        <v>0.3971597</v>
      </c>
      <c r="X6894">
        <v>0.90139020000000003</v>
      </c>
      <c r="Y6894">
        <v>-0.20159250000000001</v>
      </c>
      <c r="Z6894">
        <v>1.125427E-2</v>
      </c>
      <c r="AA6894">
        <v>0.97940479999999996</v>
      </c>
      <c r="AB6894">
        <v>34</v>
      </c>
      <c r="AC6894">
        <v>12.2441</v>
      </c>
      <c r="AD6894">
        <v>-1.111524210459</v>
      </c>
      <c r="AE6894">
        <v>2.42103</v>
      </c>
      <c r="AF6894">
        <v>-2.54006246037661</v>
      </c>
      <c r="AG6894">
        <v>-1.111524210459</v>
      </c>
      <c r="AH6894">
        <v>12.1196357100883</v>
      </c>
      <c r="AI6894">
        <v>95.129263701133397</v>
      </c>
      <c r="AJ6894">
        <v>101.836861629016</v>
      </c>
      <c r="AK6894">
        <v>12.4327379574371</v>
      </c>
      <c r="AL6894">
        <v>66.599263070297795</v>
      </c>
      <c r="AM6894">
        <v>100.83441696638801</v>
      </c>
      <c r="AN6894">
        <v>1.0000000135362399</v>
      </c>
    </row>
    <row r="6895" spans="1:40" x14ac:dyDescent="0.25">
      <c r="A6895" t="str">
        <f>"20190304165019680"</f>
        <v>20190304165019680</v>
      </c>
      <c r="B6895" t="str">
        <f>"1551689419672854"</f>
        <v>1551689419672854</v>
      </c>
      <c r="C6895" t="s">
        <v>40</v>
      </c>
      <c r="D6895">
        <v>4.5601209999999996</v>
      </c>
      <c r="E6895">
        <v>0.4981582</v>
      </c>
      <c r="F6895" t="s">
        <v>56</v>
      </c>
      <c r="G6895">
        <v>-229.1765</v>
      </c>
      <c r="H6895" s="1">
        <v>-3.1424650000000001E-6</v>
      </c>
      <c r="I6895">
        <v>-60.778239999999997</v>
      </c>
      <c r="J6895">
        <v>-241.40989999999999</v>
      </c>
      <c r="K6895">
        <v>1.1115280000000001</v>
      </c>
      <c r="L6895">
        <v>-63.212890000000002</v>
      </c>
      <c r="M6895">
        <v>0.99983290000000002</v>
      </c>
      <c r="N6895">
        <v>-1.4535309999999999E-2</v>
      </c>
      <c r="O6895">
        <v>-1.1094649999999999E-2</v>
      </c>
      <c r="P6895">
        <v>0.90843560000000001</v>
      </c>
      <c r="Q6895">
        <v>0.38505529999999999</v>
      </c>
      <c r="R6895">
        <v>0.16271869999999999</v>
      </c>
      <c r="S6895">
        <v>3.3103030000000002</v>
      </c>
      <c r="T6895">
        <v>-0.296819</v>
      </c>
      <c r="U6895">
        <v>0.64971919999999905</v>
      </c>
      <c r="V6895">
        <v>-0.17326259999999999</v>
      </c>
      <c r="W6895">
        <v>0.39798620000000001</v>
      </c>
      <c r="X6895">
        <v>0.9008813</v>
      </c>
      <c r="Y6895">
        <v>-0.2025293</v>
      </c>
      <c r="Z6895">
        <v>1.1290120000000001E-2</v>
      </c>
      <c r="AA6895">
        <v>0.97921119999999995</v>
      </c>
      <c r="AB6895">
        <v>34</v>
      </c>
      <c r="AC6895">
        <v>12.2333999999999</v>
      </c>
      <c r="AD6895">
        <v>-1.1115311424650001</v>
      </c>
      <c r="AE6895">
        <v>2.4346499999999902</v>
      </c>
      <c r="AF6895">
        <v>-2.54999006959501</v>
      </c>
      <c r="AG6895">
        <v>-1.1115311424650001</v>
      </c>
      <c r="AH6895">
        <v>12.1094702165306</v>
      </c>
      <c r="AI6895">
        <v>95.132555490430903</v>
      </c>
      <c r="AJ6895">
        <v>101.891502908476</v>
      </c>
      <c r="AK6895">
        <v>12.4248629674836</v>
      </c>
      <c r="AL6895">
        <v>66.547654417711996</v>
      </c>
      <c r="AM6895">
        <v>100.886520386103</v>
      </c>
      <c r="AN6895">
        <v>1.0000000303194401</v>
      </c>
    </row>
    <row r="6896" spans="1:40" x14ac:dyDescent="0.25">
      <c r="A6896" t="str">
        <f>"20190304165019691"</f>
        <v>20190304165019691</v>
      </c>
      <c r="B6896" t="str">
        <f>"1551689419682614"</f>
        <v>1551689419682614</v>
      </c>
      <c r="C6896" t="s">
        <v>40</v>
      </c>
      <c r="D6896">
        <v>4.575583</v>
      </c>
      <c r="E6896">
        <v>0.49810650000000001</v>
      </c>
      <c r="F6896" t="s">
        <v>56</v>
      </c>
      <c r="G6896">
        <v>-228.98429999999999</v>
      </c>
      <c r="H6896" s="1">
        <v>-3.0545039999999998E-6</v>
      </c>
      <c r="I6896">
        <v>-60.753410000000002</v>
      </c>
      <c r="J6896">
        <v>-241.24690000000001</v>
      </c>
      <c r="K6896">
        <v>1.111531</v>
      </c>
      <c r="L6896">
        <v>-63.214390000000002</v>
      </c>
      <c r="M6896">
        <v>0.99983599999999995</v>
      </c>
      <c r="N6896">
        <v>-1.4534969999999999E-2</v>
      </c>
      <c r="O6896">
        <v>-1.0811380000000001E-2</v>
      </c>
      <c r="P6896">
        <v>0.9079412</v>
      </c>
      <c r="Q6896">
        <v>0.38586239999999999</v>
      </c>
      <c r="R6896">
        <v>0.16356419999999999</v>
      </c>
      <c r="S6896">
        <v>3.3105159999999998</v>
      </c>
      <c r="T6896">
        <v>-0.29614279999999998</v>
      </c>
      <c r="U6896">
        <v>0.65527340000000001</v>
      </c>
      <c r="V6896">
        <v>-0.17384929999999901</v>
      </c>
      <c r="W6896">
        <v>0.39878429999999998</v>
      </c>
      <c r="X6896">
        <v>0.90041519999999997</v>
      </c>
      <c r="Y6896">
        <v>-0.20382059999999999</v>
      </c>
      <c r="Z6896">
        <v>1.1311109999999999E-2</v>
      </c>
      <c r="AA6896">
        <v>0.97894289999999995</v>
      </c>
      <c r="AB6896">
        <v>34</v>
      </c>
      <c r="AC6896">
        <v>12.262600000000001</v>
      </c>
      <c r="AD6896">
        <v>-1.111534054504</v>
      </c>
      <c r="AE6896">
        <v>2.4609800000000002</v>
      </c>
      <c r="AF6896">
        <v>-2.5731027163426599</v>
      </c>
      <c r="AG6896">
        <v>-1.111534054504</v>
      </c>
      <c r="AH6896">
        <v>12.139393627621899</v>
      </c>
      <c r="AI6896">
        <v>95.118558305638004</v>
      </c>
      <c r="AJ6896">
        <v>101.96745951373001</v>
      </c>
      <c r="AK6896">
        <v>12.458781769881</v>
      </c>
      <c r="AL6896">
        <v>66.497799192651698</v>
      </c>
      <c r="AM6896">
        <v>100.92801693875199</v>
      </c>
      <c r="AN6896">
        <v>1.000000014714</v>
      </c>
    </row>
    <row r="6897" spans="1:40" x14ac:dyDescent="0.25">
      <c r="A6897" t="str">
        <f>"20190304165019702"</f>
        <v>20190304165019702</v>
      </c>
      <c r="B6897" t="str">
        <f>"1551689419692374"</f>
        <v>1551689419692374</v>
      </c>
      <c r="C6897" t="s">
        <v>40</v>
      </c>
      <c r="D6897">
        <v>4.5634449999999998</v>
      </c>
      <c r="E6897">
        <v>0.4980869</v>
      </c>
      <c r="F6897" t="s">
        <v>56</v>
      </c>
      <c r="G6897">
        <v>-228.8194</v>
      </c>
      <c r="H6897" s="1">
        <v>-2.980659E-6</v>
      </c>
      <c r="I6897">
        <v>-60.7395</v>
      </c>
      <c r="J6897">
        <v>-241.08179999999999</v>
      </c>
      <c r="K6897">
        <v>1.111534</v>
      </c>
      <c r="L6897">
        <v>-63.215910000000001</v>
      </c>
      <c r="M6897">
        <v>0.99983909999999998</v>
      </c>
      <c r="N6897">
        <v>-1.4534419999999999E-2</v>
      </c>
      <c r="O6897">
        <v>-1.0525130000000001E-2</v>
      </c>
      <c r="P6897">
        <v>0.9075259</v>
      </c>
      <c r="Q6897">
        <v>0.38642169999999998</v>
      </c>
      <c r="R6897">
        <v>0.1645452</v>
      </c>
      <c r="S6897">
        <v>3.311264</v>
      </c>
      <c r="T6897">
        <v>-0.29616399999999998</v>
      </c>
      <c r="U6897">
        <v>0.6594238</v>
      </c>
      <c r="V6897">
        <v>-0.17456869999999999</v>
      </c>
      <c r="W6897">
        <v>0.39933619999999997</v>
      </c>
      <c r="X6897">
        <v>0.90003129999999998</v>
      </c>
      <c r="Y6897">
        <v>-0.2046762</v>
      </c>
      <c r="Z6897">
        <v>1.133146E-2</v>
      </c>
      <c r="AA6897">
        <v>0.97876419999999997</v>
      </c>
      <c r="AB6897">
        <v>34</v>
      </c>
      <c r="AC6897">
        <v>12.2623999999999</v>
      </c>
      <c r="AD6897">
        <v>-1.1115369806590001</v>
      </c>
      <c r="AE6897">
        <v>2.47641</v>
      </c>
      <c r="AF6897">
        <v>-2.5849424063497901</v>
      </c>
      <c r="AG6897">
        <v>-1.1115369806590001</v>
      </c>
      <c r="AH6897">
        <v>12.1398130609589</v>
      </c>
      <c r="AI6897">
        <v>95.117394158744005</v>
      </c>
      <c r="AJ6897">
        <v>102.02052420539199</v>
      </c>
      <c r="AK6897">
        <v>12.4616412586203</v>
      </c>
      <c r="AL6897">
        <v>66.463311965337894</v>
      </c>
      <c r="AM6897">
        <v>100.976708901629</v>
      </c>
      <c r="AN6897">
        <v>0.99999998631490905</v>
      </c>
    </row>
    <row r="6898" spans="1:40" x14ac:dyDescent="0.25">
      <c r="A6898" t="str">
        <f>"20190304165019713"</f>
        <v>20190304165019713</v>
      </c>
      <c r="B6898" t="str">
        <f>"1551689419702134"</f>
        <v>1551689419702134</v>
      </c>
      <c r="C6898" t="s">
        <v>40</v>
      </c>
      <c r="D6898">
        <v>4.5943160000000001</v>
      </c>
      <c r="E6898">
        <v>0.49817050000000002</v>
      </c>
      <c r="F6898" t="s">
        <v>56</v>
      </c>
      <c r="G6898">
        <v>-228.69489999999999</v>
      </c>
      <c r="H6898" s="1">
        <v>-2.9260500000000001E-6</v>
      </c>
      <c r="I6898">
        <v>-60.734099999999998</v>
      </c>
      <c r="J6898">
        <v>-240.9153</v>
      </c>
      <c r="K6898">
        <v>1.1115440000000001</v>
      </c>
      <c r="L6898">
        <v>-63.217440000000003</v>
      </c>
      <c r="M6898">
        <v>0.99984220000000001</v>
      </c>
      <c r="N6898">
        <v>-1.453377E-2</v>
      </c>
      <c r="O6898">
        <v>-1.023698E-2</v>
      </c>
      <c r="P6898">
        <v>0.90711399999999998</v>
      </c>
      <c r="Q6898">
        <v>0.38690180000000002</v>
      </c>
      <c r="R6898">
        <v>0.1656851</v>
      </c>
      <c r="S6898">
        <v>3.3119350000000001</v>
      </c>
      <c r="T6898">
        <v>-0.29719719999999999</v>
      </c>
      <c r="U6898">
        <v>0.663574199999999</v>
      </c>
      <c r="V6898">
        <v>-0.17544589999999999</v>
      </c>
      <c r="W6898">
        <v>0.39980779999999999</v>
      </c>
      <c r="X6898">
        <v>0.89965130000000004</v>
      </c>
      <c r="Y6898">
        <v>-0.20552690000000001</v>
      </c>
      <c r="Z6898">
        <v>1.1385650000000001E-2</v>
      </c>
      <c r="AA6898">
        <v>0.97858520000000004</v>
      </c>
      <c r="AB6898">
        <v>34</v>
      </c>
      <c r="AC6898">
        <v>12.2204</v>
      </c>
      <c r="AD6898">
        <v>-1.1115469260499999</v>
      </c>
      <c r="AE6898">
        <v>2.4833400000000001</v>
      </c>
      <c r="AF6898">
        <v>-2.5877624506511299</v>
      </c>
      <c r="AG6898">
        <v>-1.1115469260499999</v>
      </c>
      <c r="AH6898">
        <v>12.098210914010799</v>
      </c>
      <c r="AI6898">
        <v>95.133936882926093</v>
      </c>
      <c r="AJ6898">
        <v>102.073422668069</v>
      </c>
      <c r="AK6898">
        <v>12.421705132134701</v>
      </c>
      <c r="AL6898">
        <v>66.433836350096996</v>
      </c>
      <c r="AM6898">
        <v>101.035061602171</v>
      </c>
      <c r="AN6898">
        <v>1.0000000011796699</v>
      </c>
    </row>
    <row r="6899" spans="1:40" x14ac:dyDescent="0.25">
      <c r="A6899" t="str">
        <f>"20190304165019725"</f>
        <v>20190304165019725</v>
      </c>
      <c r="B6899" t="str">
        <f>"1551689419711894"</f>
        <v>1551689419711894</v>
      </c>
      <c r="C6899" t="s">
        <v>40</v>
      </c>
      <c r="D6899">
        <v>4.5743340000000003</v>
      </c>
      <c r="E6899">
        <v>0.49822080000000002</v>
      </c>
      <c r="F6899" t="s">
        <v>56</v>
      </c>
      <c r="G6899">
        <v>-228.5496</v>
      </c>
      <c r="H6899" s="1">
        <v>-2.86228E-6</v>
      </c>
      <c r="I6899">
        <v>-60.727550000000001</v>
      </c>
      <c r="J6899">
        <v>-240.75</v>
      </c>
      <c r="K6899">
        <v>1.1115489999999999</v>
      </c>
      <c r="L6899">
        <v>-63.218809999999998</v>
      </c>
      <c r="M6899">
        <v>0.99984479999999998</v>
      </c>
      <c r="N6899">
        <v>-1.4533040000000001E-2</v>
      </c>
      <c r="O6899">
        <v>-9.9513440000000009E-3</v>
      </c>
      <c r="P6899">
        <v>0.90670110000000004</v>
      </c>
      <c r="Q6899">
        <v>0.38732119999999998</v>
      </c>
      <c r="R6899">
        <v>0.16695929999999901</v>
      </c>
      <c r="S6899">
        <v>3.3123629999999999</v>
      </c>
      <c r="T6899">
        <v>-0.29774820000000002</v>
      </c>
      <c r="U6899">
        <v>0.66696169999999899</v>
      </c>
      <c r="V6899">
        <v>-0.17645920000000001</v>
      </c>
      <c r="W6899">
        <v>0.40021950000000001</v>
      </c>
      <c r="X6899">
        <v>0.89927000000000001</v>
      </c>
      <c r="Y6899">
        <v>-0.2061799</v>
      </c>
      <c r="Z6899">
        <v>1.1414519999999999E-2</v>
      </c>
      <c r="AA6899">
        <v>0.97844750000000003</v>
      </c>
      <c r="AB6899">
        <v>34</v>
      </c>
      <c r="AC6899">
        <v>12.2004</v>
      </c>
      <c r="AD6899">
        <v>-1.11155186227999</v>
      </c>
      <c r="AE6899">
        <v>2.4912599999999898</v>
      </c>
      <c r="AF6899">
        <v>-2.5919065081448598</v>
      </c>
      <c r="AG6899">
        <v>-1.11155186227999</v>
      </c>
      <c r="AH6899">
        <v>12.0787535522018</v>
      </c>
      <c r="AI6899">
        <v>95.141465048373604</v>
      </c>
      <c r="AJ6899">
        <v>102.111092901096</v>
      </c>
      <c r="AK6899">
        <v>12.403621014217199</v>
      </c>
      <c r="AL6899">
        <v>66.408099180975995</v>
      </c>
      <c r="AM6899">
        <v>101.101806217995</v>
      </c>
      <c r="AN6899">
        <v>1.00000001517244</v>
      </c>
    </row>
    <row r="6900" spans="1:40" x14ac:dyDescent="0.25">
      <c r="A6900" t="str">
        <f>"20190304165019737"</f>
        <v>20190304165019737</v>
      </c>
      <c r="B6900" t="str">
        <f>"1551689419732390"</f>
        <v>1551689419732390</v>
      </c>
      <c r="C6900" t="s">
        <v>40</v>
      </c>
      <c r="D6900">
        <v>4.5676319999999997</v>
      </c>
      <c r="E6900">
        <v>0.49837340000000002</v>
      </c>
      <c r="F6900" t="s">
        <v>56</v>
      </c>
      <c r="G6900">
        <v>-228.4203</v>
      </c>
      <c r="H6900" s="1">
        <v>-2.8059039999999998E-6</v>
      </c>
      <c r="I6900">
        <v>-60.723460000000003</v>
      </c>
      <c r="J6900">
        <v>-240.57140000000001</v>
      </c>
      <c r="K6900">
        <v>1.111553</v>
      </c>
      <c r="L6900">
        <v>-63.220309999999998</v>
      </c>
      <c r="M6900">
        <v>0.99984790000000001</v>
      </c>
      <c r="N6900">
        <v>-1.453223E-2</v>
      </c>
      <c r="O6900">
        <v>-9.6431780000000005E-3</v>
      </c>
      <c r="P6900">
        <v>0.90619099999999997</v>
      </c>
      <c r="Q6900">
        <v>0.38796259999999999</v>
      </c>
      <c r="R6900">
        <v>0.16823560000000001</v>
      </c>
      <c r="S6900">
        <v>3.3128199999999999</v>
      </c>
      <c r="T6900">
        <v>-0.29866029999999999</v>
      </c>
      <c r="U6900">
        <v>0.67047119999999905</v>
      </c>
      <c r="V6900">
        <v>-0.17745359999999999</v>
      </c>
      <c r="W6900">
        <v>0.40085130000000002</v>
      </c>
      <c r="X6900">
        <v>0.89879279999999995</v>
      </c>
      <c r="Y6900">
        <v>-0.20684089999999999</v>
      </c>
      <c r="Z6900">
        <v>1.145413E-2</v>
      </c>
      <c r="AA6900">
        <v>0.9783075</v>
      </c>
      <c r="AB6900">
        <v>33</v>
      </c>
      <c r="AC6900">
        <v>12.1511</v>
      </c>
      <c r="AD6900">
        <v>-1.111555805904</v>
      </c>
      <c r="AE6900">
        <v>2.4968499999999998</v>
      </c>
      <c r="AF6900">
        <v>-2.5931010334043001</v>
      </c>
      <c r="AG6900">
        <v>-1.111555805904</v>
      </c>
      <c r="AH6900">
        <v>12.029864985246499</v>
      </c>
      <c r="AI6900">
        <v>95.161240075973694</v>
      </c>
      <c r="AJ6900">
        <v>102.16428675622601</v>
      </c>
      <c r="AK6900">
        <v>12.356268888396</v>
      </c>
      <c r="AL6900">
        <v>66.368592384927794</v>
      </c>
      <c r="AM6900">
        <v>101.168579009913</v>
      </c>
      <c r="AN6900">
        <v>1.00000002109824</v>
      </c>
    </row>
    <row r="6901" spans="1:40" x14ac:dyDescent="0.25">
      <c r="A6901" t="str">
        <f>"20190304165019748"</f>
        <v>20190304165019748</v>
      </c>
      <c r="B6901" t="str">
        <f>"1551689419742150"</f>
        <v>1551689419742150</v>
      </c>
      <c r="C6901" t="s">
        <v>40</v>
      </c>
      <c r="D6901">
        <v>4.5981050000000003</v>
      </c>
      <c r="E6901">
        <v>0.49844260000000001</v>
      </c>
      <c r="F6901" t="s">
        <v>56</v>
      </c>
      <c r="G6901">
        <v>-228.35069999999999</v>
      </c>
      <c r="H6901" s="1">
        <v>-2.7792150000000002E-6</v>
      </c>
      <c r="I6901">
        <v>-60.737879999999997</v>
      </c>
      <c r="J6901">
        <v>-240.3972</v>
      </c>
      <c r="K6901">
        <v>1.111556</v>
      </c>
      <c r="L6901">
        <v>-63.221679999999999</v>
      </c>
      <c r="M6901">
        <v>0.99985080000000004</v>
      </c>
      <c r="N6901">
        <v>-1.453145E-2</v>
      </c>
      <c r="O6901">
        <v>-9.3430059999999992E-3</v>
      </c>
      <c r="P6901">
        <v>0.90576389999999996</v>
      </c>
      <c r="Q6901">
        <v>0.38845289999999999</v>
      </c>
      <c r="R6901">
        <v>0.16939960000000001</v>
      </c>
      <c r="S6901">
        <v>3.3146360000000001</v>
      </c>
      <c r="T6901">
        <v>-0.30148789999999998</v>
      </c>
      <c r="U6901">
        <v>0.6733093</v>
      </c>
      <c r="V6901">
        <v>-0.17834369999999999</v>
      </c>
      <c r="W6901">
        <v>0.40133449999999998</v>
      </c>
      <c r="X6901">
        <v>0.89840089999999995</v>
      </c>
      <c r="Y6901">
        <v>-0.20723069999999999</v>
      </c>
      <c r="Z6901">
        <v>1.154062E-2</v>
      </c>
      <c r="AA6901">
        <v>0.97822399999999998</v>
      </c>
      <c r="AB6901">
        <v>33</v>
      </c>
      <c r="AC6901">
        <v>12.0465</v>
      </c>
      <c r="AD6901">
        <v>-1.1115587792149999</v>
      </c>
      <c r="AE6901">
        <v>2.4838</v>
      </c>
      <c r="AF6901">
        <v>-2.5752221554963901</v>
      </c>
      <c r="AG6901">
        <v>-1.1115587792149999</v>
      </c>
      <c r="AH6901">
        <v>11.9253711001874</v>
      </c>
      <c r="AI6901">
        <v>95.205815130481497</v>
      </c>
      <c r="AJ6901">
        <v>102.185612700707</v>
      </c>
      <c r="AK6901">
        <v>12.250788054120999</v>
      </c>
      <c r="AL6901">
        <v>66.338369358184494</v>
      </c>
      <c r="AM6901">
        <v>101.227952921458</v>
      </c>
      <c r="AN6901">
        <v>1.00000001667037</v>
      </c>
    </row>
    <row r="6902" spans="1:40" x14ac:dyDescent="0.25">
      <c r="A6902" t="str">
        <f>"20190304165019759"</f>
        <v>20190304165019759</v>
      </c>
      <c r="B6902" t="str">
        <f>"1551689419751910"</f>
        <v>1551689419751910</v>
      </c>
      <c r="C6902" t="s">
        <v>40</v>
      </c>
      <c r="D6902">
        <v>4.5452810000000001</v>
      </c>
      <c r="E6902">
        <v>0.49845970000000001</v>
      </c>
      <c r="F6902" t="s">
        <v>56</v>
      </c>
      <c r="G6902">
        <v>-228.1969</v>
      </c>
      <c r="H6902" s="1">
        <v>-2.7119970000000002E-6</v>
      </c>
      <c r="I6902">
        <v>-60.732219999999998</v>
      </c>
      <c r="J6902">
        <v>-240.2354</v>
      </c>
      <c r="K6902">
        <v>1.111558</v>
      </c>
      <c r="L6902">
        <v>-63.222900000000003</v>
      </c>
      <c r="M6902">
        <v>0.9998534</v>
      </c>
      <c r="N6902">
        <v>-1.4530700000000001E-2</v>
      </c>
      <c r="O6902">
        <v>-9.0647739999999994E-3</v>
      </c>
      <c r="P6902">
        <v>0.90556360000000002</v>
      </c>
      <c r="Q6902">
        <v>0.38830320000000002</v>
      </c>
      <c r="R6902">
        <v>0.17080819999999999</v>
      </c>
      <c r="S6902">
        <v>3.3151549999999999</v>
      </c>
      <c r="T6902">
        <v>-0.3020408</v>
      </c>
      <c r="U6902">
        <v>0.67645259999999996</v>
      </c>
      <c r="V6902">
        <v>-0.17949879999999999</v>
      </c>
      <c r="W6902">
        <v>0.40117979999999998</v>
      </c>
      <c r="X6902">
        <v>0.89823989999999998</v>
      </c>
      <c r="Y6902">
        <v>-0.20781450000000001</v>
      </c>
      <c r="Z6902">
        <v>1.156626E-2</v>
      </c>
      <c r="AA6902">
        <v>0.97809990000000002</v>
      </c>
      <c r="AB6902">
        <v>33</v>
      </c>
      <c r="AC6902">
        <v>12.038500000000001</v>
      </c>
      <c r="AD6902">
        <v>-1.1115607119969999</v>
      </c>
      <c r="AE6902">
        <v>2.4906799999999998</v>
      </c>
      <c r="AF6902">
        <v>-2.5786336139721402</v>
      </c>
      <c r="AG6902">
        <v>-1.1115607119969999</v>
      </c>
      <c r="AH6902">
        <v>11.9179889581807</v>
      </c>
      <c r="AI6902">
        <v>95.208581655786702</v>
      </c>
      <c r="AJ6902">
        <v>102.208602941816</v>
      </c>
      <c r="AK6902">
        <v>12.244320288969901</v>
      </c>
      <c r="AL6902">
        <v>66.348045398324999</v>
      </c>
      <c r="AM6902">
        <v>101.300782467141</v>
      </c>
      <c r="AN6902">
        <v>0.99999998454074401</v>
      </c>
    </row>
    <row r="6903" spans="1:40" x14ac:dyDescent="0.25">
      <c r="A6903" t="str">
        <f>"20190304165019769"</f>
        <v>20190304165019769</v>
      </c>
      <c r="B6903" t="str">
        <f>"1551689419762646"</f>
        <v>1551689419762646</v>
      </c>
      <c r="C6903" t="s">
        <v>40</v>
      </c>
      <c r="D6903">
        <v>4.5869900000000001</v>
      </c>
      <c r="E6903">
        <v>0.49853069999999999</v>
      </c>
      <c r="F6903" t="s">
        <v>56</v>
      </c>
      <c r="G6903">
        <v>-228.1705</v>
      </c>
      <c r="H6903" s="1">
        <v>-2.7039909999999998E-6</v>
      </c>
      <c r="I6903">
        <v>-60.747230000000002</v>
      </c>
      <c r="J6903">
        <v>-240.07339999999999</v>
      </c>
      <c r="K6903">
        <v>1.1115549999999901</v>
      </c>
      <c r="L6903">
        <v>-63.2241199999999</v>
      </c>
      <c r="M6903">
        <v>0.99985579999999996</v>
      </c>
      <c r="N6903">
        <v>-1.452991E-2</v>
      </c>
      <c r="O6903">
        <v>-8.7865530000000008E-3</v>
      </c>
      <c r="P6903">
        <v>0.90532299999999999</v>
      </c>
      <c r="Q6903">
        <v>0.38830740000000002</v>
      </c>
      <c r="R6903">
        <v>0.17206859999999999</v>
      </c>
      <c r="S6903">
        <v>3.3155209999999999</v>
      </c>
      <c r="T6903">
        <v>-0.30546299999999998</v>
      </c>
      <c r="U6903">
        <v>0.68032840000000006</v>
      </c>
      <c r="V6903">
        <v>-0.18050530000000001</v>
      </c>
      <c r="W6903">
        <v>0.40117930000000002</v>
      </c>
      <c r="X6903">
        <v>0.89803840000000001</v>
      </c>
      <c r="Y6903">
        <v>-0.20859510000000001</v>
      </c>
      <c r="Z6903">
        <v>1.1698800000000001E-2</v>
      </c>
      <c r="AA6903">
        <v>0.97793220000000003</v>
      </c>
      <c r="AB6903">
        <v>33</v>
      </c>
      <c r="AC6903">
        <v>11.902899999999899</v>
      </c>
      <c r="AD6903">
        <v>-1.1115577039909901</v>
      </c>
      <c r="AE6903">
        <v>2.4768899999999898</v>
      </c>
      <c r="AF6903">
        <v>-2.5599921883347201</v>
      </c>
      <c r="AG6903">
        <v>-1.1115577039909901</v>
      </c>
      <c r="AH6903">
        <v>11.782188820512101</v>
      </c>
      <c r="AI6903">
        <v>95.267276214933304</v>
      </c>
      <c r="AJ6903">
        <v>102.258490001204</v>
      </c>
      <c r="AK6903">
        <v>12.1082242271869</v>
      </c>
      <c r="AL6903">
        <v>66.348076583869897</v>
      </c>
      <c r="AM6903">
        <v>101.364988302383</v>
      </c>
      <c r="AN6903">
        <v>0.99999998097556897</v>
      </c>
    </row>
    <row r="6904" spans="1:40" x14ac:dyDescent="0.25">
      <c r="A6904" t="str">
        <f>"20190304165019781"</f>
        <v>20190304165019781</v>
      </c>
      <c r="B6904" t="str">
        <f>"1551689419772406"</f>
        <v>1551689419772406</v>
      </c>
      <c r="C6904" t="s">
        <v>40</v>
      </c>
      <c r="D6904">
        <v>4.5908179999999996</v>
      </c>
      <c r="E6904">
        <v>0.49858150000000001</v>
      </c>
      <c r="F6904" t="s">
        <v>56</v>
      </c>
      <c r="G6904">
        <v>-228.0925</v>
      </c>
      <c r="H6904" s="1">
        <v>-2.6719000000000002E-6</v>
      </c>
      <c r="I6904">
        <v>-60.753390000000003</v>
      </c>
      <c r="J6904">
        <v>-239.91390000000001</v>
      </c>
      <c r="K6904">
        <v>1.111556</v>
      </c>
      <c r="L6904">
        <v>-63.225250000000003</v>
      </c>
      <c r="M6904">
        <v>0.99985829999999998</v>
      </c>
      <c r="N6904">
        <v>-1.452908E-2</v>
      </c>
      <c r="O6904">
        <v>-8.5150219999999902E-3</v>
      </c>
      <c r="P6904">
        <v>0.90509150000000005</v>
      </c>
      <c r="Q6904">
        <v>0.388266</v>
      </c>
      <c r="R6904">
        <v>0.1733751</v>
      </c>
      <c r="S6904">
        <v>3.3157199999999998</v>
      </c>
      <c r="T6904">
        <v>-0.30762430000000002</v>
      </c>
      <c r="U6904">
        <v>0.68377690000000002</v>
      </c>
      <c r="V6904">
        <v>-0.181563</v>
      </c>
      <c r="W6904">
        <v>0.40113349999999998</v>
      </c>
      <c r="X6904">
        <v>0.89784560000000002</v>
      </c>
      <c r="Y6904">
        <v>-0.2092782</v>
      </c>
      <c r="Z6904">
        <v>1.17851E-2</v>
      </c>
      <c r="AA6904">
        <v>0.97778509999999996</v>
      </c>
      <c r="AB6904">
        <v>33</v>
      </c>
      <c r="AC6904">
        <v>11.821400000000001</v>
      </c>
      <c r="AD6904">
        <v>-1.1115586718999999</v>
      </c>
      <c r="AE6904">
        <v>2.4718599999999902</v>
      </c>
      <c r="AF6904">
        <v>-2.55083201619837</v>
      </c>
      <c r="AG6904">
        <v>-1.1115586718999999</v>
      </c>
      <c r="AH6904">
        <v>11.7008020838603</v>
      </c>
      <c r="AI6904">
        <v>95.302911777059805</v>
      </c>
      <c r="AJ6904">
        <v>102.298338603863</v>
      </c>
      <c r="AK6904">
        <v>12.0270975742948</v>
      </c>
      <c r="AL6904">
        <v>66.350940932478494</v>
      </c>
      <c r="AM6904">
        <v>101.432225181371</v>
      </c>
      <c r="AN6904">
        <v>0.99999996461530405</v>
      </c>
    </row>
    <row r="6905" spans="1:40" x14ac:dyDescent="0.25">
      <c r="A6905" t="str">
        <f>"20190304165019790"</f>
        <v>20190304165019790</v>
      </c>
      <c r="B6905" t="str">
        <f>"1551689419782167"</f>
        <v>1551689419782167</v>
      </c>
      <c r="C6905" t="s">
        <v>40</v>
      </c>
      <c r="D6905">
        <v>4.5940320000000003</v>
      </c>
      <c r="E6905">
        <v>0.4986524</v>
      </c>
      <c r="F6905" t="s">
        <v>56</v>
      </c>
      <c r="G6905">
        <v>-228.02279999999999</v>
      </c>
      <c r="H6905" s="1">
        <v>-2.6438480000000001E-6</v>
      </c>
      <c r="I6905">
        <v>-60.761719999999997</v>
      </c>
      <c r="J6905">
        <v>-239.74950000000001</v>
      </c>
      <c r="K6905">
        <v>1.1115520000000001</v>
      </c>
      <c r="L6905">
        <v>-63.226349999999996</v>
      </c>
      <c r="M6905">
        <v>0.99986059999999999</v>
      </c>
      <c r="N6905">
        <v>-1.452818E-2</v>
      </c>
      <c r="O6905">
        <v>-8.2370689999999996E-3</v>
      </c>
      <c r="P6905">
        <v>0.9049587</v>
      </c>
      <c r="Q6905">
        <v>0.38795000000000002</v>
      </c>
      <c r="R6905">
        <v>0.17477019999999999</v>
      </c>
      <c r="S6905">
        <v>3.3159640000000001</v>
      </c>
      <c r="T6905">
        <v>-0.30997000000000002</v>
      </c>
      <c r="U6905">
        <v>0.68698119999999996</v>
      </c>
      <c r="V6905">
        <v>-0.18270339999999999</v>
      </c>
      <c r="W6905">
        <v>0.40081460000000002</v>
      </c>
      <c r="X6905">
        <v>0.89775669999999996</v>
      </c>
      <c r="Y6905">
        <v>-0.20988180000000001</v>
      </c>
      <c r="Z6905">
        <v>1.1872819999999999E-2</v>
      </c>
      <c r="AA6905">
        <v>0.97765469999999999</v>
      </c>
      <c r="AB6905">
        <v>33</v>
      </c>
      <c r="AC6905">
        <v>11.726699999999999</v>
      </c>
      <c r="AD6905">
        <v>-1.111554643848</v>
      </c>
      <c r="AE6905">
        <v>2.4646300000000001</v>
      </c>
      <c r="AF6905">
        <v>-2.5393001769860599</v>
      </c>
      <c r="AG6905">
        <v>-1.111554643848</v>
      </c>
      <c r="AH6905">
        <v>11.606130875887599</v>
      </c>
      <c r="AI6905">
        <v>95.345029484518406</v>
      </c>
      <c r="AJ6905">
        <v>102.341249946099</v>
      </c>
      <c r="AK6905">
        <v>11.932555175792499</v>
      </c>
      <c r="AL6905">
        <v>66.370886664623001</v>
      </c>
      <c r="AM6905">
        <v>101.503231795464</v>
      </c>
      <c r="AN6905">
        <v>0.99999998416980396</v>
      </c>
    </row>
    <row r="6906" spans="1:40" x14ac:dyDescent="0.25">
      <c r="A6906" t="str">
        <f>"20190304165019803"</f>
        <v>20190304165019803</v>
      </c>
      <c r="B6906" t="str">
        <f>"1551689419792902"</f>
        <v>1551689419792902</v>
      </c>
      <c r="C6906" t="s">
        <v>40</v>
      </c>
      <c r="D6906">
        <v>4.5910589999999996</v>
      </c>
      <c r="E6906">
        <v>0.49871910000000003</v>
      </c>
      <c r="F6906" t="s">
        <v>56</v>
      </c>
      <c r="G6906">
        <v>-227.9768</v>
      </c>
      <c r="H6906" s="1">
        <v>-2.6270750000000002E-6</v>
      </c>
      <c r="I6906">
        <v>-60.774880000000003</v>
      </c>
      <c r="J6906">
        <v>-239.5797</v>
      </c>
      <c r="K6906">
        <v>1.1115469999999901</v>
      </c>
      <c r="L6906">
        <v>-63.22748</v>
      </c>
      <c r="M6906">
        <v>0.9998629</v>
      </c>
      <c r="N6906">
        <v>-1.4527150000000001E-2</v>
      </c>
      <c r="O6906">
        <v>-7.9555749999999995E-3</v>
      </c>
      <c r="P6906">
        <v>0.90486319999999998</v>
      </c>
      <c r="Q6906">
        <v>0.3876115</v>
      </c>
      <c r="R6906">
        <v>0.1760118</v>
      </c>
      <c r="S6906">
        <v>3.3159179999999999</v>
      </c>
      <c r="T6906">
        <v>-0.31308469999999999</v>
      </c>
      <c r="U6906">
        <v>0.69049069999999901</v>
      </c>
      <c r="V6906">
        <v>-0.18368509999999999</v>
      </c>
      <c r="W6906">
        <v>0.40047559999999999</v>
      </c>
      <c r="X6906">
        <v>0.897707699999999</v>
      </c>
      <c r="Y6906">
        <v>-0.21057919999999999</v>
      </c>
      <c r="Z6906">
        <v>1.199193E-2</v>
      </c>
      <c r="AA6906">
        <v>0.97750320000000002</v>
      </c>
      <c r="AB6906">
        <v>33</v>
      </c>
      <c r="AC6906">
        <v>11.6029</v>
      </c>
      <c r="AD6906">
        <v>-1.1115496270749901</v>
      </c>
      <c r="AE6906">
        <v>2.4525999999999999</v>
      </c>
      <c r="AF6906">
        <v>-2.5226781545759698</v>
      </c>
      <c r="AG6906">
        <v>-1.1115496270749901</v>
      </c>
      <c r="AH6906">
        <v>11.4821483333356</v>
      </c>
      <c r="AI6906">
        <v>95.401352772689194</v>
      </c>
      <c r="AJ6906">
        <v>102.39126108956501</v>
      </c>
      <c r="AK6906">
        <v>11.8084367294637</v>
      </c>
      <c r="AL6906">
        <v>66.392086564929798</v>
      </c>
      <c r="AM6906">
        <v>101.563994527212</v>
      </c>
      <c r="AN6906">
        <v>1.00000001839832</v>
      </c>
    </row>
    <row r="6907" spans="1:40" x14ac:dyDescent="0.25">
      <c r="A6907" t="str">
        <f>"20190304165019814"</f>
        <v>20190304165019814</v>
      </c>
      <c r="B6907" t="str">
        <f>"1551689419802662"</f>
        <v>1551689419802662</v>
      </c>
      <c r="C6907" t="s">
        <v>40</v>
      </c>
      <c r="D6907">
        <v>4.6023440000000004</v>
      </c>
      <c r="E6907">
        <v>0.49879000000000001</v>
      </c>
      <c r="F6907" t="s">
        <v>56</v>
      </c>
      <c r="G6907">
        <v>-227.92660000000001</v>
      </c>
      <c r="H6907" s="1">
        <v>-2.6087090000000001E-6</v>
      </c>
      <c r="I6907">
        <v>-60.789219999999901</v>
      </c>
      <c r="J6907">
        <v>-239.4084</v>
      </c>
      <c r="K6907">
        <v>1.1115389999999901</v>
      </c>
      <c r="L6907">
        <v>-63.228580000000001</v>
      </c>
      <c r="M6907">
        <v>0.99986520000000001</v>
      </c>
      <c r="N6907">
        <v>-1.452606E-2</v>
      </c>
      <c r="O6907">
        <v>-7.6736209999999899E-3</v>
      </c>
      <c r="P6907">
        <v>0.90476020000000001</v>
      </c>
      <c r="Q6907">
        <v>0.38726539999999998</v>
      </c>
      <c r="R6907">
        <v>0.17729819999999999</v>
      </c>
      <c r="S6907">
        <v>3.3159480000000001</v>
      </c>
      <c r="T6907">
        <v>-0.31629590000000002</v>
      </c>
      <c r="U6907">
        <v>0.69381709999999996</v>
      </c>
      <c r="V6907">
        <v>-0.18471029999999999</v>
      </c>
      <c r="W6907">
        <v>0.40012910000000002</v>
      </c>
      <c r="X6907">
        <v>0.89765189999999995</v>
      </c>
      <c r="Y6907">
        <v>-0.21121880000000001</v>
      </c>
      <c r="Z6907">
        <v>1.2111E-2</v>
      </c>
      <c r="AA6907">
        <v>0.9773638</v>
      </c>
      <c r="AB6907">
        <v>33</v>
      </c>
      <c r="AC6907">
        <v>11.4817999999999</v>
      </c>
      <c r="AD6907">
        <v>-1.11154160870899</v>
      </c>
      <c r="AE6907">
        <v>2.43936000000001</v>
      </c>
      <c r="AF6907">
        <v>-2.5049420373377198</v>
      </c>
      <c r="AG6907">
        <v>-1.11154160870899</v>
      </c>
      <c r="AH6907">
        <v>11.360865682414801</v>
      </c>
      <c r="AI6907">
        <v>95.457735952137298</v>
      </c>
      <c r="AJ6907">
        <v>102.43412132713</v>
      </c>
      <c r="AK6907">
        <v>11.686724451795</v>
      </c>
      <c r="AL6907">
        <v>66.413752175890394</v>
      </c>
      <c r="AM6907">
        <v>101.627486971498</v>
      </c>
      <c r="AN6907">
        <v>1.0000000625832499</v>
      </c>
    </row>
    <row r="6908" spans="1:40" x14ac:dyDescent="0.25">
      <c r="A6908" t="str">
        <f>"20190304165019827"</f>
        <v>20190304165019827</v>
      </c>
      <c r="B6908" t="str">
        <f>"1551689419822182"</f>
        <v>1551689419822182</v>
      </c>
      <c r="C6908" t="s">
        <v>40</v>
      </c>
      <c r="D6908">
        <v>4.6856179999999998</v>
      </c>
      <c r="E6908">
        <v>0.49882100000000001</v>
      </c>
      <c r="F6908" t="s">
        <v>56</v>
      </c>
      <c r="G6908">
        <v>-227.87360000000001</v>
      </c>
      <c r="H6908" s="1">
        <v>-2.5891770000000001E-6</v>
      </c>
      <c r="I6908">
        <v>-60.803719999999998</v>
      </c>
      <c r="J6908">
        <v>-239.23509999999999</v>
      </c>
      <c r="K6908">
        <v>1.111529</v>
      </c>
      <c r="L6908">
        <v>-63.229579999999999</v>
      </c>
      <c r="M6908">
        <v>0.99986710000000001</v>
      </c>
      <c r="N6908">
        <v>-1.452489E-2</v>
      </c>
      <c r="O6908">
        <v>-7.3994719999999998E-3</v>
      </c>
      <c r="P6908">
        <v>0.90473919999999997</v>
      </c>
      <c r="Q6908">
        <v>0.3866385</v>
      </c>
      <c r="R6908">
        <v>0.17876689999999901</v>
      </c>
      <c r="S6908">
        <v>3.3159640000000001</v>
      </c>
      <c r="T6908">
        <v>-0.31953920000000002</v>
      </c>
      <c r="U6908">
        <v>0.69708249999999905</v>
      </c>
      <c r="V6908">
        <v>-0.185922</v>
      </c>
      <c r="W6908">
        <v>0.39950360000000001</v>
      </c>
      <c r="X6908">
        <v>0.89768029999999999</v>
      </c>
      <c r="Y6908">
        <v>-0.2118487</v>
      </c>
      <c r="Z6908">
        <v>1.223133E-2</v>
      </c>
      <c r="AA6908">
        <v>0.97722589999999998</v>
      </c>
      <c r="AB6908">
        <v>33</v>
      </c>
      <c r="AC6908">
        <v>11.3614999999999</v>
      </c>
      <c r="AD6908">
        <v>-1.1115315891769999</v>
      </c>
      <c r="AE6908">
        <v>2.4258600000000001</v>
      </c>
      <c r="AF6908">
        <v>-2.4871045735855399</v>
      </c>
      <c r="AG6908">
        <v>-1.1115315891769999</v>
      </c>
      <c r="AH6908">
        <v>11.240342737041701</v>
      </c>
      <c r="AI6908">
        <v>95.514950065111094</v>
      </c>
      <c r="AJ6908">
        <v>102.47658252961</v>
      </c>
      <c r="AK6908">
        <v>11.565746689248099</v>
      </c>
      <c r="AL6908">
        <v>66.452850681641607</v>
      </c>
      <c r="AM6908">
        <v>101.701306455214</v>
      </c>
      <c r="AN6908">
        <v>1.00000001875252</v>
      </c>
    </row>
    <row r="6909" spans="1:40" x14ac:dyDescent="0.25">
      <c r="A6909" t="str">
        <f>"20190304165019840"</f>
        <v>20190304165019840</v>
      </c>
      <c r="B6909" t="str">
        <f>"1551689419831943"</f>
        <v>1551689419831943</v>
      </c>
      <c r="C6909" t="s">
        <v>40</v>
      </c>
      <c r="D6909">
        <v>4.640326</v>
      </c>
      <c r="E6909">
        <v>0.47678759999999998</v>
      </c>
      <c r="F6909" t="s">
        <v>56</v>
      </c>
      <c r="G6909">
        <v>-227.75309999999999</v>
      </c>
      <c r="H6909" s="1">
        <v>-2.536678E-6</v>
      </c>
      <c r="I6909">
        <v>-60.800089999999997</v>
      </c>
      <c r="J6909">
        <v>-239.03399999999999</v>
      </c>
      <c r="K6909">
        <v>1.1115159999999999</v>
      </c>
      <c r="L6909">
        <v>-63.230800000000002</v>
      </c>
      <c r="M6909">
        <v>0.99986949999999997</v>
      </c>
      <c r="N6909">
        <v>-1.452348E-2</v>
      </c>
      <c r="O6909">
        <v>-7.0885399999999999E-3</v>
      </c>
      <c r="P6909">
        <v>0.90474779999999999</v>
      </c>
      <c r="Q6909">
        <v>0.38609569999999999</v>
      </c>
      <c r="R6909">
        <v>0.17989359999999999</v>
      </c>
      <c r="S6909">
        <v>3.3143919999999998</v>
      </c>
      <c r="T6909">
        <v>-0.32085350000000001</v>
      </c>
      <c r="U6909">
        <v>0.70129390000000003</v>
      </c>
      <c r="V6909">
        <v>-0.18675520000000001</v>
      </c>
      <c r="W6909">
        <v>0.39896500000000001</v>
      </c>
      <c r="X6909">
        <v>0.89774690000000001</v>
      </c>
      <c r="Y6909">
        <v>-0.21281369999999999</v>
      </c>
      <c r="Z6909">
        <v>1.2307129999999999E-2</v>
      </c>
      <c r="AA6909">
        <v>0.97701530000000003</v>
      </c>
      <c r="AB6909">
        <v>33</v>
      </c>
      <c r="AC6909">
        <v>11.280900000000001</v>
      </c>
      <c r="AD6909">
        <v>-1.111518536678</v>
      </c>
      <c r="AE6909">
        <v>2.4307099999999902</v>
      </c>
      <c r="AF6909">
        <v>-2.4875439660779701</v>
      </c>
      <c r="AG6909">
        <v>-1.111518536678</v>
      </c>
      <c r="AH6909">
        <v>11.1598476821177</v>
      </c>
      <c r="AI6909">
        <v>95.552506137130905</v>
      </c>
      <c r="AJ6909">
        <v>102.565876799024</v>
      </c>
      <c r="AK6909">
        <v>11.487625896094301</v>
      </c>
      <c r="AL6909">
        <v>66.486509340679603</v>
      </c>
      <c r="AM6909">
        <v>101.751442271434</v>
      </c>
      <c r="AN6909">
        <v>1.0000000362058199</v>
      </c>
    </row>
    <row r="6910" spans="1:40" x14ac:dyDescent="0.25">
      <c r="A6910" t="str">
        <f>"20190304165019852"</f>
        <v>20190304165019852</v>
      </c>
      <c r="B6910" t="str">
        <f>"1551689419842678"</f>
        <v>1551689419842678</v>
      </c>
      <c r="C6910" t="s">
        <v>40</v>
      </c>
      <c r="D6910">
        <v>4.6104019999999997</v>
      </c>
      <c r="E6910">
        <v>0.47164509999999998</v>
      </c>
      <c r="F6910" t="s">
        <v>56</v>
      </c>
      <c r="G6910">
        <v>-225.94399999999999</v>
      </c>
      <c r="H6910" s="1">
        <v>-1.81223E-6</v>
      </c>
      <c r="I6910">
        <v>-59.731380000000001</v>
      </c>
      <c r="J6910">
        <v>-238.84780000000001</v>
      </c>
      <c r="K6910">
        <v>1.1114930000000001</v>
      </c>
      <c r="L6910">
        <v>-63.231839999999998</v>
      </c>
      <c r="M6910">
        <v>0.99987130000000002</v>
      </c>
      <c r="N6910">
        <v>-1.452208E-2</v>
      </c>
      <c r="O6910">
        <v>-6.8113720000000004E-3</v>
      </c>
      <c r="P6910">
        <v>0.90471679999999999</v>
      </c>
      <c r="Q6910">
        <v>0.38555780000000001</v>
      </c>
      <c r="R6910">
        <v>0.18119769999999999</v>
      </c>
      <c r="S6910">
        <v>3.2606959999999998</v>
      </c>
      <c r="T6910">
        <v>-0.27687779999999901</v>
      </c>
      <c r="U6910">
        <v>0.87170409999999898</v>
      </c>
      <c r="V6910">
        <v>-0.1877944</v>
      </c>
      <c r="W6910">
        <v>0.39843099999999998</v>
      </c>
      <c r="X6910">
        <v>0.89776719999999899</v>
      </c>
      <c r="Y6910">
        <v>-0.26377919999999999</v>
      </c>
      <c r="Z6910">
        <v>1.340997E-2</v>
      </c>
      <c r="AA6910">
        <v>0.96448990000000001</v>
      </c>
      <c r="AB6910">
        <v>33</v>
      </c>
      <c r="AC6910">
        <v>12.903799999999899</v>
      </c>
      <c r="AD6910">
        <v>-1.1114948122299999</v>
      </c>
      <c r="AE6910">
        <v>3.5004599999999999</v>
      </c>
      <c r="AF6910">
        <v>-3.5636522047636201</v>
      </c>
      <c r="AG6910">
        <v>-1.1114948122299999</v>
      </c>
      <c r="AH6910">
        <v>12.7912546760287</v>
      </c>
      <c r="AI6910">
        <v>94.784903235952399</v>
      </c>
      <c r="AJ6910">
        <v>105.567872911503</v>
      </c>
      <c r="AK6910">
        <v>13.3248352312949</v>
      </c>
      <c r="AL6910">
        <v>66.5198700094641</v>
      </c>
      <c r="AM6910">
        <v>101.81474039027501</v>
      </c>
      <c r="AN6910">
        <v>0.99999997191409895</v>
      </c>
    </row>
    <row r="6911" spans="1:40" x14ac:dyDescent="0.25">
      <c r="A6911" t="str">
        <f>"20190304165019864"</f>
        <v>20190304165019864</v>
      </c>
      <c r="B6911" t="str">
        <f>"1551689419852438"</f>
        <v>1551689419852438</v>
      </c>
      <c r="C6911" t="s">
        <v>40</v>
      </c>
      <c r="D6911">
        <v>4.6028029999999998</v>
      </c>
      <c r="E6911">
        <v>0.46883999999999998</v>
      </c>
      <c r="F6911" t="s">
        <v>56</v>
      </c>
      <c r="G6911">
        <v>-226.1191</v>
      </c>
      <c r="H6911" s="1">
        <v>-1.9057649999999999E-6</v>
      </c>
      <c r="I6911">
        <v>-59.64808</v>
      </c>
      <c r="J6911">
        <v>-238.6815</v>
      </c>
      <c r="K6911">
        <v>1.1114759999999999</v>
      </c>
      <c r="L6911">
        <v>-63.232700000000001</v>
      </c>
      <c r="M6911">
        <v>0.99987300000000001</v>
      </c>
      <c r="N6911">
        <v>-1.4520699999999999E-2</v>
      </c>
      <c r="O6911">
        <v>-6.576648E-3</v>
      </c>
      <c r="P6911">
        <v>0.90485400000000005</v>
      </c>
      <c r="Q6911">
        <v>0.38479259999999998</v>
      </c>
      <c r="R6911">
        <v>0.18213760000000001</v>
      </c>
      <c r="S6911">
        <v>3.253571</v>
      </c>
      <c r="T6911">
        <v>-0.28410950000000001</v>
      </c>
      <c r="U6911">
        <v>0.91604609999999997</v>
      </c>
      <c r="V6911">
        <v>-0.18850829999999999</v>
      </c>
      <c r="W6911">
        <v>0.39767340000000001</v>
      </c>
      <c r="X6911">
        <v>0.89795349999999996</v>
      </c>
      <c r="Y6911">
        <v>-0.27617629999999999</v>
      </c>
      <c r="Z6911">
        <v>1.4323610000000001E-2</v>
      </c>
      <c r="AA6911">
        <v>0.96100030000000003</v>
      </c>
      <c r="AB6911">
        <v>33</v>
      </c>
      <c r="AC6911">
        <v>12.562399999999901</v>
      </c>
      <c r="AD6911">
        <v>-1.1114779057649999</v>
      </c>
      <c r="AE6911">
        <v>3.5846199999999899</v>
      </c>
      <c r="AF6911">
        <v>-3.6408148411261601</v>
      </c>
      <c r="AG6911">
        <v>-1.1114779057649999</v>
      </c>
      <c r="AH6911">
        <v>12.448440322637399</v>
      </c>
      <c r="AI6911">
        <v>94.898080486024</v>
      </c>
      <c r="AJ6911">
        <v>106.302697266851</v>
      </c>
      <c r="AK6911">
        <v>13.0174721935033</v>
      </c>
      <c r="AL6911">
        <v>66.567188182676603</v>
      </c>
      <c r="AM6911">
        <v>101.855994095051</v>
      </c>
      <c r="AN6911">
        <v>1.0000000001993401</v>
      </c>
    </row>
    <row r="6912" spans="1:40" x14ac:dyDescent="0.25">
      <c r="A6912" t="str">
        <f>"20190304165019874"</f>
        <v>20190304165019874</v>
      </c>
      <c r="B6912" t="str">
        <f>"1551689419862198"</f>
        <v>1551689419862198</v>
      </c>
      <c r="C6912" t="s">
        <v>40</v>
      </c>
      <c r="D6912">
        <v>4.5931689999999996</v>
      </c>
      <c r="E6912">
        <v>0.46716570000000002</v>
      </c>
      <c r="F6912" t="s">
        <v>56</v>
      </c>
      <c r="G6912">
        <v>-226.2996</v>
      </c>
      <c r="H6912" s="1">
        <v>-1.983087E-6</v>
      </c>
      <c r="I6912">
        <v>-59.648449999999997</v>
      </c>
      <c r="J6912">
        <v>-238.51939999999999</v>
      </c>
      <c r="K6912">
        <v>1.1114580000000001</v>
      </c>
      <c r="L6912">
        <v>-63.233550000000001</v>
      </c>
      <c r="M6912">
        <v>0.99987459999999995</v>
      </c>
      <c r="N6912">
        <v>-1.4519310000000001E-2</v>
      </c>
      <c r="O6912">
        <v>-6.3512250000000003E-3</v>
      </c>
      <c r="P6912">
        <v>0.90500990000000003</v>
      </c>
      <c r="Q6912">
        <v>0.38396089999999999</v>
      </c>
      <c r="R6912">
        <v>0.18311640000000001</v>
      </c>
      <c r="S6912">
        <v>3.2501370000000001</v>
      </c>
      <c r="T6912">
        <v>-0.29175099999999998</v>
      </c>
      <c r="U6912">
        <v>0.94082639999999995</v>
      </c>
      <c r="V6912">
        <v>-0.18926950000000001</v>
      </c>
      <c r="W6912">
        <v>0.39684900000000001</v>
      </c>
      <c r="X6912">
        <v>0.89815809999999996</v>
      </c>
      <c r="Y6912">
        <v>-0.28290470000000001</v>
      </c>
      <c r="Z6912">
        <v>1.498588E-2</v>
      </c>
      <c r="AA6912">
        <v>0.95903090000000002</v>
      </c>
      <c r="AB6912">
        <v>33</v>
      </c>
      <c r="AC6912">
        <v>12.2197999999999</v>
      </c>
      <c r="AD6912">
        <v>-1.111459983087</v>
      </c>
      <c r="AE6912">
        <v>3.5851000000000002</v>
      </c>
      <c r="AF6912">
        <v>-3.63495805348267</v>
      </c>
      <c r="AG6912">
        <v>-1.111459983087</v>
      </c>
      <c r="AH6912">
        <v>12.1045773683825</v>
      </c>
      <c r="AI6912">
        <v>95.025766723391101</v>
      </c>
      <c r="AJ6912">
        <v>106.71481038471499</v>
      </c>
      <c r="AK6912">
        <v>12.687358141541599</v>
      </c>
      <c r="AL6912">
        <v>66.618659102322198</v>
      </c>
      <c r="AM6912">
        <v>101.899871847705</v>
      </c>
      <c r="AN6912">
        <v>1.00000002251342</v>
      </c>
    </row>
    <row r="6913" spans="1:40" x14ac:dyDescent="0.25">
      <c r="A6913" t="str">
        <f>"20190304165019885"</f>
        <v>20190304165019885</v>
      </c>
      <c r="B6913" t="str">
        <f>"1551689419882695"</f>
        <v>1551689419882695</v>
      </c>
      <c r="C6913" t="s">
        <v>40</v>
      </c>
      <c r="D6913">
        <v>4.5854910000000002</v>
      </c>
      <c r="E6913">
        <v>0.46506150000000002</v>
      </c>
      <c r="F6913" t="s">
        <v>56</v>
      </c>
      <c r="G6913">
        <v>-226.36279999999999</v>
      </c>
      <c r="H6913" s="1">
        <v>-2.0094300000000002E-6</v>
      </c>
      <c r="I6913">
        <v>-59.65204</v>
      </c>
      <c r="J6913">
        <v>-238.36680000000001</v>
      </c>
      <c r="K6913">
        <v>1.1114389999999901</v>
      </c>
      <c r="L6913">
        <v>-63.234310000000001</v>
      </c>
      <c r="M6913">
        <v>0.99987570000000003</v>
      </c>
      <c r="N6913">
        <v>-1.451792E-2</v>
      </c>
      <c r="O6913">
        <v>-6.1538139999999996E-3</v>
      </c>
      <c r="P6913">
        <v>0.90513960000000004</v>
      </c>
      <c r="Q6913">
        <v>0.38329600000000003</v>
      </c>
      <c r="R6913">
        <v>0.18386520000000001</v>
      </c>
      <c r="S6913">
        <v>3.2472690000000002</v>
      </c>
      <c r="T6913">
        <v>-0.29689409999999999</v>
      </c>
      <c r="U6913">
        <v>0.95669559999999998</v>
      </c>
      <c r="V6913">
        <v>-0.1898263</v>
      </c>
      <c r="W6913">
        <v>0.39619149999999997</v>
      </c>
      <c r="X6913">
        <v>0.89833079999999998</v>
      </c>
      <c r="Y6913">
        <v>-0.28719670000000003</v>
      </c>
      <c r="Z6913">
        <v>1.54263E-2</v>
      </c>
      <c r="AA6913">
        <v>0.95774740000000003</v>
      </c>
      <c r="AB6913">
        <v>33</v>
      </c>
      <c r="AC6913">
        <v>12.004</v>
      </c>
      <c r="AD6913">
        <v>-1.11144100942999</v>
      </c>
      <c r="AE6913">
        <v>3.5822699999999998</v>
      </c>
      <c r="AF6913">
        <v>-3.6275254003003599</v>
      </c>
      <c r="AG6913">
        <v>-1.11144100942999</v>
      </c>
      <c r="AH6913">
        <v>11.8881453678908</v>
      </c>
      <c r="AI6913">
        <v>95.109866956061595</v>
      </c>
      <c r="AJ6913">
        <v>106.968941693589</v>
      </c>
      <c r="AK6913">
        <v>12.4788718214176</v>
      </c>
      <c r="AL6913">
        <v>66.659693839317498</v>
      </c>
      <c r="AM6913">
        <v>101.93164852985301</v>
      </c>
      <c r="AN6913">
        <v>0.999999977536289</v>
      </c>
    </row>
    <row r="6914" spans="1:40" x14ac:dyDescent="0.25">
      <c r="A6914" t="str">
        <f>"20190304165019896"</f>
        <v>20190304165019896</v>
      </c>
      <c r="B6914" t="str">
        <f>"1551689419892454"</f>
        <v>1551689419892454</v>
      </c>
      <c r="C6914" t="s">
        <v>40</v>
      </c>
      <c r="D6914">
        <v>4.5659190000000001</v>
      </c>
      <c r="E6914">
        <v>0.46453630000000001</v>
      </c>
      <c r="F6914" t="s">
        <v>56</v>
      </c>
      <c r="G6914">
        <v>-226.3997</v>
      </c>
      <c r="H6914" s="1">
        <v>-2.0287749999999999E-6</v>
      </c>
      <c r="I6914">
        <v>-59.636150000000001</v>
      </c>
      <c r="J6914">
        <v>-238.20740000000001</v>
      </c>
      <c r="K6914">
        <v>1.1114200000000001</v>
      </c>
      <c r="L6914">
        <v>-63.235080000000004</v>
      </c>
      <c r="M6914">
        <v>0.99987709999999996</v>
      </c>
      <c r="N6914">
        <v>-1.451648E-2</v>
      </c>
      <c r="O6914">
        <v>-5.9494999999999999E-3</v>
      </c>
      <c r="P6914">
        <v>0.90532270000000004</v>
      </c>
      <c r="Q6914">
        <v>0.38240420000000003</v>
      </c>
      <c r="R6914">
        <v>0.1848185</v>
      </c>
      <c r="S6914">
        <v>3.243881</v>
      </c>
      <c r="T6914">
        <v>-0.30127470000000001</v>
      </c>
      <c r="U6914">
        <v>0.97534180000000004</v>
      </c>
      <c r="V6914">
        <v>-0.19058030000000001</v>
      </c>
      <c r="W6914">
        <v>0.39530779999999999</v>
      </c>
      <c r="X6914">
        <v>0.89856049999999998</v>
      </c>
      <c r="Y6914">
        <v>-0.29226580000000002</v>
      </c>
      <c r="Z6914">
        <v>1.5879250000000001E-2</v>
      </c>
      <c r="AA6914">
        <v>0.95620519999999998</v>
      </c>
      <c r="AB6914">
        <v>33</v>
      </c>
      <c r="AC6914">
        <v>11.807700000000001</v>
      </c>
      <c r="AD6914">
        <v>-1.1114220287750001</v>
      </c>
      <c r="AE6914">
        <v>3.5989300000000002</v>
      </c>
      <c r="AF6914">
        <v>-3.6396181101402298</v>
      </c>
      <c r="AG6914">
        <v>-1.1114220287750001</v>
      </c>
      <c r="AH6914">
        <v>11.6912984286216</v>
      </c>
      <c r="AI6914">
        <v>95.186378073715801</v>
      </c>
      <c r="AJ6914">
        <v>107.291887627428</v>
      </c>
      <c r="AK6914">
        <v>12.295061523262</v>
      </c>
      <c r="AL6914">
        <v>66.714828842535397</v>
      </c>
      <c r="AM6914">
        <v>101.974702017043</v>
      </c>
      <c r="AN6914">
        <v>1.0000000398245801</v>
      </c>
    </row>
    <row r="6915" spans="1:40" x14ac:dyDescent="0.25">
      <c r="A6915" t="str">
        <f>"20190304165019906"</f>
        <v>20190304165019906</v>
      </c>
      <c r="B6915" t="str">
        <f>"1551689419892454"</f>
        <v>1551689419892454</v>
      </c>
      <c r="C6915" t="s">
        <v>40</v>
      </c>
      <c r="D6915">
        <v>4.5659190000000001</v>
      </c>
      <c r="E6915">
        <v>0.46453630000000001</v>
      </c>
      <c r="F6915" t="s">
        <v>56</v>
      </c>
      <c r="G6915">
        <v>-226.3801</v>
      </c>
      <c r="H6915" s="1">
        <v>-2.0162400000000001E-6</v>
      </c>
      <c r="I6915">
        <v>-59.654859999999999</v>
      </c>
      <c r="J6915">
        <v>-238.05119999999999</v>
      </c>
      <c r="K6915">
        <v>1.1114059999999999</v>
      </c>
      <c r="L6915">
        <v>-63.235810000000001</v>
      </c>
      <c r="M6915">
        <v>0.99987820000000005</v>
      </c>
      <c r="N6915">
        <v>-1.4515119999999999E-2</v>
      </c>
      <c r="O6915">
        <v>-5.7629309999999998E-3</v>
      </c>
      <c r="P6915">
        <v>0.90551230000000005</v>
      </c>
      <c r="Q6915">
        <v>0.38163279999999999</v>
      </c>
      <c r="R6915">
        <v>0.1854837</v>
      </c>
      <c r="S6915">
        <v>3.242111</v>
      </c>
      <c r="T6915">
        <v>-0.30466470000000001</v>
      </c>
      <c r="U6915">
        <v>0.98141480000000003</v>
      </c>
      <c r="V6915">
        <v>-0.19106329999999999</v>
      </c>
      <c r="W6915">
        <v>0.39454420000000001</v>
      </c>
      <c r="X6915">
        <v>0.89879349999999902</v>
      </c>
      <c r="Y6915">
        <v>-0.2938365</v>
      </c>
      <c r="Z6915">
        <v>1.6107159999999999E-2</v>
      </c>
      <c r="AA6915">
        <v>0.95571989999999996</v>
      </c>
      <c r="AB6915">
        <v>33</v>
      </c>
      <c r="AC6915">
        <v>11.6710999999999</v>
      </c>
      <c r="AD6915">
        <v>-1.11140801624</v>
      </c>
      <c r="AE6915">
        <v>3.5809500000000001</v>
      </c>
      <c r="AF6915">
        <v>-3.6181698858935301</v>
      </c>
      <c r="AG6915">
        <v>-1.11140801624</v>
      </c>
      <c r="AH6915">
        <v>11.5545032816802</v>
      </c>
      <c r="AI6915">
        <v>95.244658642817996</v>
      </c>
      <c r="AJ6915">
        <v>107.38739261379</v>
      </c>
      <c r="AK6915">
        <v>12.1586564713421</v>
      </c>
      <c r="AL6915">
        <v>66.762450794191196</v>
      </c>
      <c r="AM6915">
        <v>102.00114932400901</v>
      </c>
      <c r="AN6915">
        <v>1.0000000330013801</v>
      </c>
    </row>
    <row r="6916" spans="1:40" x14ac:dyDescent="0.25">
      <c r="A6916" t="str">
        <f>"20190304165019915"</f>
        <v>20190304165019915</v>
      </c>
      <c r="B6916" t="str">
        <f>"1551689419911974"</f>
        <v>1551689419911974</v>
      </c>
      <c r="C6916" t="s">
        <v>40</v>
      </c>
      <c r="D6916">
        <v>4.5122900000000001</v>
      </c>
      <c r="E6916">
        <v>0.46429559999999997</v>
      </c>
      <c r="F6916" t="s">
        <v>56</v>
      </c>
      <c r="G6916">
        <v>-226.33969999999999</v>
      </c>
      <c r="H6916" s="1">
        <v>-1.9923660000000001E-6</v>
      </c>
      <c r="I6916">
        <v>-59.684429999999999</v>
      </c>
      <c r="J6916">
        <v>-237.91970000000001</v>
      </c>
      <c r="K6916">
        <v>1.1113930000000001</v>
      </c>
      <c r="L6916">
        <v>-63.236420000000003</v>
      </c>
      <c r="M6916">
        <v>0.99987899999999996</v>
      </c>
      <c r="N6916">
        <v>-1.4513969999999999E-2</v>
      </c>
      <c r="O6916">
        <v>-5.6056519999999896E-3</v>
      </c>
      <c r="P6916">
        <v>0.90573300000000001</v>
      </c>
      <c r="Q6916">
        <v>0.38067380000000001</v>
      </c>
      <c r="R6916">
        <v>0.1863736</v>
      </c>
      <c r="S6916">
        <v>3.2413639999999999</v>
      </c>
      <c r="T6916">
        <v>-0.3076024</v>
      </c>
      <c r="U6916">
        <v>0.98291019999999896</v>
      </c>
      <c r="V6916">
        <v>-0.1918002</v>
      </c>
      <c r="W6916">
        <v>0.39359319999999998</v>
      </c>
      <c r="X6916">
        <v>0.89905349999999995</v>
      </c>
      <c r="Y6916">
        <v>-0.29412470000000002</v>
      </c>
      <c r="Z6916">
        <v>1.6247060000000001E-2</v>
      </c>
      <c r="AA6916">
        <v>0.9556289</v>
      </c>
      <c r="AB6916">
        <v>33</v>
      </c>
      <c r="AC6916">
        <v>11.58</v>
      </c>
      <c r="AD6916">
        <v>-1.111394992366</v>
      </c>
      <c r="AE6916">
        <v>3.55198999999998</v>
      </c>
      <c r="AF6916">
        <v>-3.5866578599426799</v>
      </c>
      <c r="AG6916">
        <v>-1.111394992366</v>
      </c>
      <c r="AH6916">
        <v>11.463392695892299</v>
      </c>
      <c r="AI6916">
        <v>95.286435928972793</v>
      </c>
      <c r="AJ6916">
        <v>107.373819386348</v>
      </c>
      <c r="AK6916">
        <v>12.062698103392201</v>
      </c>
      <c r="AL6916">
        <v>66.821737074445196</v>
      </c>
      <c r="AM6916">
        <v>102.042704367157</v>
      </c>
      <c r="AN6916">
        <v>1.00000005983426</v>
      </c>
    </row>
    <row r="6917" spans="1:40" x14ac:dyDescent="0.25">
      <c r="A6917" t="str">
        <f>"20190304165019927"</f>
        <v>20190304165019927</v>
      </c>
      <c r="B6917" t="str">
        <f>"1551689419922710"</f>
        <v>1551689419922710</v>
      </c>
      <c r="C6917" t="s">
        <v>40</v>
      </c>
      <c r="D6917">
        <v>4.5612389999999996</v>
      </c>
      <c r="E6917">
        <v>0.46399360000000001</v>
      </c>
      <c r="F6917" t="s">
        <v>56</v>
      </c>
      <c r="G6917">
        <v>-226.2593</v>
      </c>
      <c r="H6917" s="1">
        <v>-1.9576699999999999E-6</v>
      </c>
      <c r="I6917">
        <v>-59.685339999999997</v>
      </c>
      <c r="J6917">
        <v>-237.7518</v>
      </c>
      <c r="K6917">
        <v>1.111378</v>
      </c>
      <c r="L6917">
        <v>-63.237119999999997</v>
      </c>
      <c r="M6917">
        <v>0.99988010000000005</v>
      </c>
      <c r="N6917">
        <v>-1.451243E-2</v>
      </c>
      <c r="O6917">
        <v>-5.4178680000000002E-3</v>
      </c>
      <c r="P6917">
        <v>0.90597490000000003</v>
      </c>
      <c r="Q6917">
        <v>0.37980120000000001</v>
      </c>
      <c r="R6917">
        <v>0.18697820000000001</v>
      </c>
      <c r="S6917">
        <v>3.2390140000000001</v>
      </c>
      <c r="T6917">
        <v>-0.308724</v>
      </c>
      <c r="U6917">
        <v>0.98641970000000001</v>
      </c>
      <c r="V6917">
        <v>-0.192223</v>
      </c>
      <c r="W6917">
        <v>0.39272859999999998</v>
      </c>
      <c r="X6917">
        <v>0.89934119999999995</v>
      </c>
      <c r="Y6917">
        <v>-0.29507040000000001</v>
      </c>
      <c r="Z6917">
        <v>1.6342450000000001E-2</v>
      </c>
      <c r="AA6917">
        <v>0.95533570000000001</v>
      </c>
      <c r="AB6917">
        <v>33</v>
      </c>
      <c r="AC6917">
        <v>11.4925</v>
      </c>
      <c r="AD6917">
        <v>-1.1113799576700001</v>
      </c>
      <c r="AE6917">
        <v>3.5517799999999902</v>
      </c>
      <c r="AF6917">
        <v>-3.5834095789857301</v>
      </c>
      <c r="AG6917">
        <v>-1.1113799576700001</v>
      </c>
      <c r="AH6917">
        <v>11.375975475896</v>
      </c>
      <c r="AI6917">
        <v>95.323548687687506</v>
      </c>
      <c r="AJ6917">
        <v>107.484323332291</v>
      </c>
      <c r="AK6917">
        <v>11.9786813819078</v>
      </c>
      <c r="AL6917">
        <v>66.875612597590205</v>
      </c>
      <c r="AM6917">
        <v>102.064726004799</v>
      </c>
      <c r="AN6917">
        <v>1.0000000145022001</v>
      </c>
    </row>
    <row r="6918" spans="1:40" x14ac:dyDescent="0.25">
      <c r="A6918" t="str">
        <f>"20190304165019938"</f>
        <v>20190304165019938</v>
      </c>
      <c r="B6918" t="str">
        <f>"1551689419932470"</f>
        <v>1551689419932470</v>
      </c>
      <c r="C6918" t="s">
        <v>40</v>
      </c>
      <c r="D6918">
        <v>4.5502919999999998</v>
      </c>
      <c r="E6918">
        <v>0.46398620000000002</v>
      </c>
      <c r="F6918" t="s">
        <v>56</v>
      </c>
      <c r="G6918">
        <v>-226.1902</v>
      </c>
      <c r="H6918" s="1">
        <v>-1.9240000000000001E-6</v>
      </c>
      <c r="I6918">
        <v>-59.703429999999997</v>
      </c>
      <c r="J6918">
        <v>-237.57919999999999</v>
      </c>
      <c r="K6918">
        <v>1.1113649999999999</v>
      </c>
      <c r="L6918">
        <v>-63.237920000000003</v>
      </c>
      <c r="M6918">
        <v>0.99988109999999997</v>
      </c>
      <c r="N6918">
        <v>-1.451085E-2</v>
      </c>
      <c r="O6918">
        <v>-5.2270980000000003E-3</v>
      </c>
      <c r="P6918">
        <v>0.90610159999999995</v>
      </c>
      <c r="Q6918">
        <v>0.37915700000000002</v>
      </c>
      <c r="R6918">
        <v>0.18766949999999999</v>
      </c>
      <c r="S6918">
        <v>3.2375949999999998</v>
      </c>
      <c r="T6918">
        <v>-0.31121769999999999</v>
      </c>
      <c r="U6918">
        <v>0.98953250000000004</v>
      </c>
      <c r="V6918">
        <v>-0.19273029999999999</v>
      </c>
      <c r="W6918">
        <v>0.39209090000000002</v>
      </c>
      <c r="X6918">
        <v>0.8995109</v>
      </c>
      <c r="Y6918">
        <v>-0.29581960000000002</v>
      </c>
      <c r="Z6918">
        <v>1.6486580000000001E-2</v>
      </c>
      <c r="AA6918">
        <v>0.95510150000000005</v>
      </c>
      <c r="AB6918">
        <v>33</v>
      </c>
      <c r="AC6918">
        <v>11.3889999999999</v>
      </c>
      <c r="AD6918">
        <v>-1.1113669239999999</v>
      </c>
      <c r="AE6918">
        <v>3.5344899999999901</v>
      </c>
      <c r="AF6918">
        <v>-3.5630316378153699</v>
      </c>
      <c r="AG6918">
        <v>-1.1113669239999999</v>
      </c>
      <c r="AH6918">
        <v>11.272457093185499</v>
      </c>
      <c r="AI6918">
        <v>95.370426529485698</v>
      </c>
      <c r="AJ6918">
        <v>107.540857932384</v>
      </c>
      <c r="AK6918">
        <v>11.8742839703934</v>
      </c>
      <c r="AL6918">
        <v>66.915337224137303</v>
      </c>
      <c r="AM6918">
        <v>102.09341509181699</v>
      </c>
      <c r="AN6918">
        <v>1.0000000508098501</v>
      </c>
    </row>
    <row r="6919" spans="1:40" x14ac:dyDescent="0.25">
      <c r="A6919" t="str">
        <f>"20190304165019949"</f>
        <v>20190304165019949</v>
      </c>
      <c r="B6919" t="str">
        <f>"1551689419942230"</f>
        <v>1551689419942230</v>
      </c>
      <c r="C6919" t="s">
        <v>40</v>
      </c>
      <c r="D6919">
        <v>4.4701129999999996</v>
      </c>
      <c r="E6919">
        <v>0.4641441</v>
      </c>
      <c r="F6919" t="s">
        <v>56</v>
      </c>
      <c r="G6919">
        <v>-226.11689999999999</v>
      </c>
      <c r="H6919" s="1">
        <v>-1.886704E-6</v>
      </c>
      <c r="I6919">
        <v>-59.73001</v>
      </c>
      <c r="J6919">
        <v>-237.4229</v>
      </c>
      <c r="K6919">
        <v>1.1113569999999999</v>
      </c>
      <c r="L6919">
        <v>-63.23856</v>
      </c>
      <c r="M6919">
        <v>0.99988200000000005</v>
      </c>
      <c r="N6919">
        <v>-1.4509380000000001E-2</v>
      </c>
      <c r="O6919">
        <v>-5.0609510000000002E-3</v>
      </c>
      <c r="P6919">
        <v>0.9061633</v>
      </c>
      <c r="Q6919">
        <v>0.37863740000000001</v>
      </c>
      <c r="R6919">
        <v>0.18841920000000001</v>
      </c>
      <c r="S6919">
        <v>3.2370450000000002</v>
      </c>
      <c r="T6919">
        <v>-0.31385930000000001</v>
      </c>
      <c r="U6919">
        <v>0.99066160000000003</v>
      </c>
      <c r="V6919">
        <v>-0.19332070000000001</v>
      </c>
      <c r="W6919">
        <v>0.3915749</v>
      </c>
      <c r="X6919">
        <v>0.89960890000000004</v>
      </c>
      <c r="Y6919">
        <v>-0.295987</v>
      </c>
      <c r="Z6919">
        <v>1.6605370000000001E-2</v>
      </c>
      <c r="AA6919">
        <v>0.9550476</v>
      </c>
      <c r="AB6919">
        <v>33</v>
      </c>
      <c r="AC6919">
        <v>11.305999999999999</v>
      </c>
      <c r="AD6919">
        <v>-1.1113588867039901</v>
      </c>
      <c r="AE6919">
        <v>3.5085500000000001</v>
      </c>
      <c r="AF6919">
        <v>-3.5345773387213901</v>
      </c>
      <c r="AG6919">
        <v>-1.1113588867039901</v>
      </c>
      <c r="AH6919">
        <v>11.1894755656334</v>
      </c>
      <c r="AI6919">
        <v>95.410286734521904</v>
      </c>
      <c r="AJ6919">
        <v>107.530497917471</v>
      </c>
      <c r="AK6919">
        <v>11.786972426045899</v>
      </c>
      <c r="AL6919">
        <v>66.947469785258093</v>
      </c>
      <c r="AM6919">
        <v>102.12808385842401</v>
      </c>
      <c r="AN6919">
        <v>0.99999998415885405</v>
      </c>
    </row>
    <row r="6920" spans="1:40" x14ac:dyDescent="0.25">
      <c r="A6920" t="str">
        <f>"20190304165019959"</f>
        <v>20190304165019959</v>
      </c>
      <c r="B6920" t="str">
        <f>"1551689419951990"</f>
        <v>1551689419951990</v>
      </c>
      <c r="C6920" t="s">
        <v>40</v>
      </c>
      <c r="D6920">
        <v>4.5520339999999999</v>
      </c>
      <c r="E6920">
        <v>0.46407140000000002</v>
      </c>
      <c r="F6920" t="s">
        <v>56</v>
      </c>
      <c r="G6920">
        <v>-225.99170000000001</v>
      </c>
      <c r="H6920" s="1">
        <v>-1.8308779999999999E-6</v>
      </c>
      <c r="I6920">
        <v>-59.739490000000004</v>
      </c>
      <c r="J6920">
        <v>-237.2577</v>
      </c>
      <c r="K6920">
        <v>1.111348</v>
      </c>
      <c r="L6920">
        <v>-63.239199999999997</v>
      </c>
      <c r="M6920">
        <v>0.99988290000000002</v>
      </c>
      <c r="N6920">
        <v>-1.45078E-2</v>
      </c>
      <c r="O6920">
        <v>-4.8875200000000002E-3</v>
      </c>
      <c r="P6920">
        <v>0.90624800000000005</v>
      </c>
      <c r="Q6920">
        <v>0.37811299999999998</v>
      </c>
      <c r="R6920">
        <v>0.18906410000000001</v>
      </c>
      <c r="S6920">
        <v>3.236145</v>
      </c>
      <c r="T6920">
        <v>-0.3146214</v>
      </c>
      <c r="U6920">
        <v>0.99057010000000001</v>
      </c>
      <c r="V6920">
        <v>-0.193801</v>
      </c>
      <c r="W6920">
        <v>0.39105410000000002</v>
      </c>
      <c r="X6920">
        <v>0.89973210000000003</v>
      </c>
      <c r="Y6920">
        <v>-0.29586479999999998</v>
      </c>
      <c r="Z6920">
        <v>1.6623369999999998E-2</v>
      </c>
      <c r="AA6920">
        <v>0.95508519999999997</v>
      </c>
      <c r="AB6920">
        <v>33</v>
      </c>
      <c r="AC6920">
        <v>11.265999999999901</v>
      </c>
      <c r="AD6920">
        <v>-1.1113498308779901</v>
      </c>
      <c r="AE6920">
        <v>3.4997099999999901</v>
      </c>
      <c r="AF6920">
        <v>-3.5234670684359801</v>
      </c>
      <c r="AG6920">
        <v>-1.1113498308779901</v>
      </c>
      <c r="AH6920">
        <v>11.149807512119899</v>
      </c>
      <c r="AI6920">
        <v>95.429178818963905</v>
      </c>
      <c r="AJ6920">
        <v>107.53713371658699</v>
      </c>
      <c r="AK6920">
        <v>11.7459834065212</v>
      </c>
      <c r="AL6920">
        <v>66.979895367364804</v>
      </c>
      <c r="AM6920">
        <v>102.155705318865</v>
      </c>
      <c r="AN6920">
        <v>0.99999999424911001</v>
      </c>
    </row>
    <row r="6921" spans="1:40" x14ac:dyDescent="0.25">
      <c r="A6921" t="str">
        <f>"20190304165019971"</f>
        <v>20190304165019971</v>
      </c>
      <c r="B6921" t="str">
        <f>"1551689419962727"</f>
        <v>1551689419962727</v>
      </c>
      <c r="C6921" t="s">
        <v>40</v>
      </c>
      <c r="D6921">
        <v>4.5441079999999996</v>
      </c>
      <c r="E6921">
        <v>0.4640357</v>
      </c>
      <c r="F6921" t="s">
        <v>56</v>
      </c>
      <c r="G6921">
        <v>-225.88509999999999</v>
      </c>
      <c r="H6921" s="1">
        <v>-1.782358E-6</v>
      </c>
      <c r="I6921">
        <v>-59.752040000000001</v>
      </c>
      <c r="J6921">
        <v>-237.09309999999999</v>
      </c>
      <c r="K6921">
        <v>1.11134</v>
      </c>
      <c r="L6921">
        <v>-63.239809999999999</v>
      </c>
      <c r="M6921">
        <v>0.99988359999999998</v>
      </c>
      <c r="N6921">
        <v>-1.45062E-2</v>
      </c>
      <c r="O6921">
        <v>-4.7183540000000001E-3</v>
      </c>
      <c r="P6921">
        <v>0.90625310000000003</v>
      </c>
      <c r="Q6921">
        <v>0.37772240000000001</v>
      </c>
      <c r="R6921">
        <v>0.18981790000000001</v>
      </c>
      <c r="S6921">
        <v>3.2353209999999999</v>
      </c>
      <c r="T6921">
        <v>-0.31616</v>
      </c>
      <c r="U6921">
        <v>0.99203490000000005</v>
      </c>
      <c r="V6921">
        <v>-0.19439439999999999</v>
      </c>
      <c r="W6921">
        <v>0.3906657</v>
      </c>
      <c r="X6921">
        <v>0.89977280000000004</v>
      </c>
      <c r="Y6921">
        <v>-0.29615160000000001</v>
      </c>
      <c r="Z6921">
        <v>1.6698569999999999E-2</v>
      </c>
      <c r="AA6921">
        <v>0.95499500000000004</v>
      </c>
      <c r="AB6921">
        <v>33</v>
      </c>
      <c r="AC6921">
        <v>11.207999999999901</v>
      </c>
      <c r="AD6921">
        <v>-1.1113417823580001</v>
      </c>
      <c r="AE6921">
        <v>3.48776999999999</v>
      </c>
      <c r="AF6921">
        <v>-3.5091642413344299</v>
      </c>
      <c r="AG6921">
        <v>-1.1113417823580001</v>
      </c>
      <c r="AH6921">
        <v>11.091989435997901</v>
      </c>
      <c r="AI6921">
        <v>95.456711431612106</v>
      </c>
      <c r="AJ6921">
        <v>107.555769154652</v>
      </c>
      <c r="AK6921">
        <v>11.686810680342299</v>
      </c>
      <c r="AL6921">
        <v>67.004072017172902</v>
      </c>
      <c r="AM6921">
        <v>102.191278186011</v>
      </c>
      <c r="AN6921">
        <v>0.99999998176384497</v>
      </c>
    </row>
    <row r="6922" spans="1:40" x14ac:dyDescent="0.25">
      <c r="A6922" t="str">
        <f>"20190304165019982"</f>
        <v>20190304165019982</v>
      </c>
      <c r="B6922" t="str">
        <f>"1551689419972487"</f>
        <v>1551689419972487</v>
      </c>
      <c r="C6922" t="s">
        <v>40</v>
      </c>
      <c r="D6922">
        <v>4.5580629999999998</v>
      </c>
      <c r="E6922">
        <v>0.46392719999999998</v>
      </c>
      <c r="F6922" t="s">
        <v>56</v>
      </c>
      <c r="G6922">
        <v>-225.75299999999999</v>
      </c>
      <c r="H6922" s="1">
        <v>-1.7244510000000001E-6</v>
      </c>
      <c r="I6922">
        <v>-59.757710000000003</v>
      </c>
      <c r="J6922">
        <v>-236.9357</v>
      </c>
      <c r="K6922">
        <v>1.111337</v>
      </c>
      <c r="L6922">
        <v>-63.240360000000003</v>
      </c>
      <c r="M6922">
        <v>0.99988449999999995</v>
      </c>
      <c r="N6922">
        <v>-1.4504639999999999E-2</v>
      </c>
      <c r="O6922">
        <v>-4.5585799999999996E-3</v>
      </c>
      <c r="P6922">
        <v>0.90626890000000004</v>
      </c>
      <c r="Q6922">
        <v>0.37735449999999998</v>
      </c>
      <c r="R6922">
        <v>0.19047449999999999</v>
      </c>
      <c r="S6922">
        <v>3.2344210000000002</v>
      </c>
      <c r="T6922">
        <v>-0.31697700000000001</v>
      </c>
      <c r="U6922">
        <v>0.99316409999999999</v>
      </c>
      <c r="V6922">
        <v>-0.1949014</v>
      </c>
      <c r="W6922">
        <v>0.3902986</v>
      </c>
      <c r="X6922">
        <v>0.89982240000000002</v>
      </c>
      <c r="Y6922">
        <v>-0.29636980000000002</v>
      </c>
      <c r="Z6922">
        <v>1.673815E-2</v>
      </c>
      <c r="AA6922">
        <v>0.95492659999999996</v>
      </c>
      <c r="AB6922">
        <v>33</v>
      </c>
      <c r="AC6922">
        <v>11.182700000000001</v>
      </c>
      <c r="AD6922">
        <v>-1.111338724451</v>
      </c>
      <c r="AE6922">
        <v>3.48265</v>
      </c>
      <c r="AF6922">
        <v>-3.5020665889757701</v>
      </c>
      <c r="AG6922">
        <v>-1.111338724451</v>
      </c>
      <c r="AH6922">
        <v>11.067067148027601</v>
      </c>
      <c r="AI6922">
        <v>95.468799029277505</v>
      </c>
      <c r="AJ6922">
        <v>107.559472753961</v>
      </c>
      <c r="AK6922">
        <v>11.661025658707601</v>
      </c>
      <c r="AL6922">
        <v>67.026918400715104</v>
      </c>
      <c r="AM6922">
        <v>102.22146616231301</v>
      </c>
      <c r="AN6922">
        <v>0.99999995221283799</v>
      </c>
    </row>
    <row r="6923" spans="1:40" x14ac:dyDescent="0.25">
      <c r="A6923" t="str">
        <f>"20190304165019992"</f>
        <v>20190304165019992</v>
      </c>
      <c r="B6923" t="str">
        <f>"1551689419982247"</f>
        <v>1551689419982247</v>
      </c>
      <c r="C6923" t="s">
        <v>40</v>
      </c>
      <c r="D6923">
        <v>4.546494</v>
      </c>
      <c r="E6923">
        <v>0.46387109999999898</v>
      </c>
      <c r="F6923" t="s">
        <v>56</v>
      </c>
      <c r="G6923">
        <v>-225.62790000000001</v>
      </c>
      <c r="H6923" s="1">
        <v>-1.6699000000000001E-6</v>
      </c>
      <c r="I6923">
        <v>-59.761659999999999</v>
      </c>
      <c r="J6923">
        <v>-236.76949999999999</v>
      </c>
      <c r="K6923">
        <v>1.1113309999999901</v>
      </c>
      <c r="L6923">
        <v>-63.240940000000002</v>
      </c>
      <c r="M6923">
        <v>0.99988509999999997</v>
      </c>
      <c r="N6923">
        <v>-1.450298E-2</v>
      </c>
      <c r="O6923">
        <v>-4.3908109999999997E-3</v>
      </c>
      <c r="P6923">
        <v>0.90615849999999998</v>
      </c>
      <c r="Q6923">
        <v>0.37715409999999999</v>
      </c>
      <c r="R6923">
        <v>0.19139320000000001</v>
      </c>
      <c r="S6923">
        <v>3.233536</v>
      </c>
      <c r="T6923">
        <v>-0.3177933</v>
      </c>
      <c r="U6923">
        <v>0.99475100000000005</v>
      </c>
      <c r="V6923">
        <v>-0.195663</v>
      </c>
      <c r="W6923">
        <v>0.39009759999999999</v>
      </c>
      <c r="X6923">
        <v>0.89974430000000005</v>
      </c>
      <c r="Y6923">
        <v>-0.29670220000000003</v>
      </c>
      <c r="Z6923">
        <v>1.6783010000000001E-2</v>
      </c>
      <c r="AA6923">
        <v>0.95482250000000002</v>
      </c>
      <c r="AB6923">
        <v>33</v>
      </c>
      <c r="AC6923">
        <v>11.141599999999899</v>
      </c>
      <c r="AD6923">
        <v>-1.1113326698999999</v>
      </c>
      <c r="AE6923">
        <v>3.4792800000000002</v>
      </c>
      <c r="AF6923">
        <v>-3.4964757128729702</v>
      </c>
      <c r="AG6923">
        <v>-1.1113326698999999</v>
      </c>
      <c r="AH6923">
        <v>11.0262579304647</v>
      </c>
      <c r="AI6923">
        <v>95.487843541211902</v>
      </c>
      <c r="AJ6923">
        <v>107.594054210417</v>
      </c>
      <c r="AK6923">
        <v>11.620618170434501</v>
      </c>
      <c r="AL6923">
        <v>67.039426929519607</v>
      </c>
      <c r="AM6923">
        <v>102.268812005432</v>
      </c>
      <c r="AN6923">
        <v>0.99999997623862402</v>
      </c>
    </row>
    <row r="6924" spans="1:40" x14ac:dyDescent="0.25">
      <c r="A6924" t="str">
        <f>"20190304165020004"</f>
        <v>20190304165020004</v>
      </c>
      <c r="B6924" t="str">
        <f>"1551689419992007"</f>
        <v>1551689419992007</v>
      </c>
      <c r="C6924" t="s">
        <v>40</v>
      </c>
      <c r="D6924">
        <v>4.5512639999999998</v>
      </c>
      <c r="E6924">
        <v>0.46376509999999999</v>
      </c>
      <c r="F6924" t="s">
        <v>56</v>
      </c>
      <c r="G6924">
        <v>-225.4546</v>
      </c>
      <c r="H6924" s="1">
        <v>-1.5981190000000001E-6</v>
      </c>
      <c r="I6924">
        <v>-59.750059999999998</v>
      </c>
      <c r="J6924">
        <v>-236.6103</v>
      </c>
      <c r="K6924">
        <v>1.111326</v>
      </c>
      <c r="L6924">
        <v>-63.241459999999996</v>
      </c>
      <c r="M6924">
        <v>0.99988589999999999</v>
      </c>
      <c r="N6924">
        <v>-1.4501379999999999E-2</v>
      </c>
      <c r="O6924">
        <v>-4.2311279999999998E-3</v>
      </c>
      <c r="P6924">
        <v>0.90591290000000002</v>
      </c>
      <c r="Q6924">
        <v>0.37707210000000002</v>
      </c>
      <c r="R6924">
        <v>0.19271369999999999</v>
      </c>
      <c r="S6924">
        <v>3.2321780000000002</v>
      </c>
      <c r="T6924">
        <v>-0.31745950000000001</v>
      </c>
      <c r="U6924">
        <v>0.99719239999999998</v>
      </c>
      <c r="V6924">
        <v>-0.1968346</v>
      </c>
      <c r="W6924">
        <v>0.39001209999999997</v>
      </c>
      <c r="X6924">
        <v>0.89952579999999904</v>
      </c>
      <c r="Y6924">
        <v>-0.29732069999999999</v>
      </c>
      <c r="Z6924">
        <v>1.6793180000000001E-2</v>
      </c>
      <c r="AA6924">
        <v>0.95462999999999998</v>
      </c>
      <c r="AB6924">
        <v>33</v>
      </c>
      <c r="AC6924">
        <v>11.1556999999999</v>
      </c>
      <c r="AD6924">
        <v>-1.1113275981190001</v>
      </c>
      <c r="AE6924">
        <v>3.4913999999999898</v>
      </c>
      <c r="AF6924">
        <v>-3.5068771493146502</v>
      </c>
      <c r="AG6924">
        <v>-1.1113275981190001</v>
      </c>
      <c r="AH6924">
        <v>11.041029019628599</v>
      </c>
      <c r="AI6924">
        <v>95.479708350695702</v>
      </c>
      <c r="AJ6924">
        <v>107.621009213676</v>
      </c>
      <c r="AK6924">
        <v>11.637764312057801</v>
      </c>
      <c r="AL6924">
        <v>67.044747247551499</v>
      </c>
      <c r="AM6924">
        <v>102.342936925424</v>
      </c>
      <c r="AN6924">
        <v>0.999999981384604</v>
      </c>
    </row>
    <row r="6925" spans="1:40" x14ac:dyDescent="0.25">
      <c r="A6925" t="str">
        <f>"20190304165020015"</f>
        <v>20190304165020015</v>
      </c>
      <c r="B6925" t="str">
        <f>"1551689420012503"</f>
        <v>1551689420012503</v>
      </c>
      <c r="C6925" t="s">
        <v>40</v>
      </c>
      <c r="D6925">
        <v>4.5513490000000001</v>
      </c>
      <c r="E6925">
        <v>0.46360050000000003</v>
      </c>
      <c r="F6925" t="s">
        <v>56</v>
      </c>
      <c r="G6925">
        <v>-225.2919</v>
      </c>
      <c r="H6925" s="1">
        <v>-1.531859E-6</v>
      </c>
      <c r="I6925">
        <v>-59.73415</v>
      </c>
      <c r="J6925">
        <v>-236.44640000000001</v>
      </c>
      <c r="K6925">
        <v>1.1113150000000001</v>
      </c>
      <c r="L6925">
        <v>-63.241999999999997</v>
      </c>
      <c r="M6925">
        <v>0.99988679999999996</v>
      </c>
      <c r="N6925">
        <v>-1.4499730000000001E-2</v>
      </c>
      <c r="O6925">
        <v>-4.0669130000000001E-3</v>
      </c>
      <c r="P6925">
        <v>0.9056071</v>
      </c>
      <c r="Q6925">
        <v>0.3772607</v>
      </c>
      <c r="R6925">
        <v>0.19377949999999999</v>
      </c>
      <c r="S6925">
        <v>3.2306370000000002</v>
      </c>
      <c r="T6925">
        <v>-0.3172083</v>
      </c>
      <c r="U6925">
        <v>1.001099</v>
      </c>
      <c r="V6925">
        <v>-0.19774729999999999</v>
      </c>
      <c r="W6925">
        <v>0.39019559999999998</v>
      </c>
      <c r="X6925">
        <v>0.89924599999999899</v>
      </c>
      <c r="Y6925">
        <v>-0.29834250000000001</v>
      </c>
      <c r="Z6925">
        <v>1.682902E-2</v>
      </c>
      <c r="AA6925">
        <v>0.95431049999999995</v>
      </c>
      <c r="AB6925">
        <v>33</v>
      </c>
      <c r="AC6925">
        <v>11.154500000000001</v>
      </c>
      <c r="AD6925">
        <v>-1.1113165318589999</v>
      </c>
      <c r="AE6925">
        <v>3.5078499999999901</v>
      </c>
      <c r="AF6925">
        <v>-3.5213824701554701</v>
      </c>
      <c r="AG6925">
        <v>-1.1113165318589999</v>
      </c>
      <c r="AH6925">
        <v>11.0404151564243</v>
      </c>
      <c r="AI6925">
        <v>95.4778614006715</v>
      </c>
      <c r="AJ6925">
        <v>107.69028074702</v>
      </c>
      <c r="AK6925">
        <v>11.6415602803621</v>
      </c>
      <c r="AL6925">
        <v>67.033328878762305</v>
      </c>
      <c r="AM6925">
        <v>102.40214203053399</v>
      </c>
      <c r="AN6925">
        <v>0.99999998471632401</v>
      </c>
    </row>
    <row r="6926" spans="1:40" x14ac:dyDescent="0.25">
      <c r="A6926" t="str">
        <f>"20190304165020028"</f>
        <v>20190304165020028</v>
      </c>
      <c r="B6926" t="str">
        <f>"1551689420022261"</f>
        <v>1551689420022261</v>
      </c>
      <c r="C6926" t="s">
        <v>40</v>
      </c>
      <c r="D6926">
        <v>4.5576429999999997</v>
      </c>
      <c r="E6926">
        <v>0.46366829999999998</v>
      </c>
      <c r="F6926" t="s">
        <v>56</v>
      </c>
      <c r="G6926">
        <v>-225.0635</v>
      </c>
      <c r="H6926" s="1">
        <v>-1.4415889999999901E-6</v>
      </c>
      <c r="I6926">
        <v>-59.699280000000002</v>
      </c>
      <c r="J6926">
        <v>-236.25829999999999</v>
      </c>
      <c r="K6926">
        <v>1.111313</v>
      </c>
      <c r="L6926">
        <v>-63.242550000000001</v>
      </c>
      <c r="M6926">
        <v>0.99988750000000004</v>
      </c>
      <c r="N6926">
        <v>-1.449781E-2</v>
      </c>
      <c r="O6926">
        <v>-3.8781330000000002E-3</v>
      </c>
      <c r="P6926">
        <v>0.90541119999999997</v>
      </c>
      <c r="Q6926">
        <v>0.3771118</v>
      </c>
      <c r="R6926">
        <v>0.19497990000000001</v>
      </c>
      <c r="S6926">
        <v>3.2290040000000002</v>
      </c>
      <c r="T6926">
        <v>-0.31525019999999998</v>
      </c>
      <c r="U6926">
        <v>1.004974</v>
      </c>
      <c r="V6926">
        <v>-0.19877259999999999</v>
      </c>
      <c r="W6926">
        <v>0.39004359999999999</v>
      </c>
      <c r="X6926">
        <v>0.89908589999999999</v>
      </c>
      <c r="Y6926">
        <v>-0.299355599999999</v>
      </c>
      <c r="Z6926">
        <v>1.6783869999999999E-2</v>
      </c>
      <c r="AA6926">
        <v>0.95399400000000001</v>
      </c>
      <c r="AB6926">
        <v>33</v>
      </c>
      <c r="AC6926">
        <v>11.194799999999899</v>
      </c>
      <c r="AD6926">
        <v>-1.1113144415889999</v>
      </c>
      <c r="AE6926">
        <v>3.5432700000000001</v>
      </c>
      <c r="AF6926">
        <v>-3.5548211687793199</v>
      </c>
      <c r="AG6926">
        <v>-1.1113144415889999</v>
      </c>
      <c r="AH6926">
        <v>11.0817106819458</v>
      </c>
      <c r="AI6926">
        <v>95.454683527962999</v>
      </c>
      <c r="AJ6926">
        <v>107.785342621674</v>
      </c>
      <c r="AK6926">
        <v>11.6908547578198</v>
      </c>
      <c r="AL6926">
        <v>67.042787798053098</v>
      </c>
      <c r="AM6926">
        <v>102.466591264014</v>
      </c>
      <c r="AN6926">
        <v>1.0000000059952601</v>
      </c>
    </row>
    <row r="6927" spans="1:40" x14ac:dyDescent="0.25">
      <c r="A6927" t="str">
        <f>"20190304165020039"</f>
        <v>20190304165020039</v>
      </c>
      <c r="B6927" t="str">
        <f>"1551689420032022"</f>
        <v>1551689420032022</v>
      </c>
      <c r="C6927" t="s">
        <v>40</v>
      </c>
      <c r="D6927">
        <v>4.5304710000000004</v>
      </c>
      <c r="E6927">
        <v>0.46358169999999999</v>
      </c>
      <c r="F6927" t="s">
        <v>56</v>
      </c>
      <c r="G6927">
        <v>-224.8612</v>
      </c>
      <c r="H6927" s="1">
        <v>-1.357549E-6</v>
      </c>
      <c r="I6927">
        <v>-59.68674</v>
      </c>
      <c r="J6927">
        <v>-236.0943</v>
      </c>
      <c r="K6927">
        <v>1.111308</v>
      </c>
      <c r="L6927">
        <v>-63.243009999999998</v>
      </c>
      <c r="M6927">
        <v>0.99988809999999995</v>
      </c>
      <c r="N6927">
        <v>-1.4496129999999999E-2</v>
      </c>
      <c r="O6927">
        <v>-3.712829E-3</v>
      </c>
      <c r="P6927">
        <v>0.90514099999999997</v>
      </c>
      <c r="Q6927">
        <v>0.37708520000000001</v>
      </c>
      <c r="R6927">
        <v>0.1962825</v>
      </c>
      <c r="S6927">
        <v>3.2276310000000001</v>
      </c>
      <c r="T6927">
        <v>-0.31471900000000003</v>
      </c>
      <c r="U6927">
        <v>1.0069889999999999</v>
      </c>
      <c r="V6927">
        <v>-0.1999225</v>
      </c>
      <c r="W6927">
        <v>0.39001239999999998</v>
      </c>
      <c r="X6927">
        <v>0.89884439999999999</v>
      </c>
      <c r="Y6927">
        <v>-0.299857599999999</v>
      </c>
      <c r="Z6927">
        <v>1.6778129999999999E-2</v>
      </c>
      <c r="AA6927">
        <v>0.95383640000000003</v>
      </c>
      <c r="AB6927">
        <v>33</v>
      </c>
      <c r="AC6927">
        <v>11.2331</v>
      </c>
      <c r="AD6927">
        <v>-1.1113093575489901</v>
      </c>
      <c r="AE6927">
        <v>3.5562699999999898</v>
      </c>
      <c r="AF6927">
        <v>-3.5662317472407001</v>
      </c>
      <c r="AG6927">
        <v>-1.1113093575489901</v>
      </c>
      <c r="AH6927">
        <v>11.120887501506299</v>
      </c>
      <c r="AI6927">
        <v>95.435721692872505</v>
      </c>
      <c r="AJ6927">
        <v>107.77993920779301</v>
      </c>
      <c r="AK6927">
        <v>11.731460104537801</v>
      </c>
      <c r="AL6927">
        <v>67.044728226288697</v>
      </c>
      <c r="AM6927">
        <v>102.539698668765</v>
      </c>
      <c r="AN6927">
        <v>0.99999996678568404</v>
      </c>
    </row>
    <row r="6928" spans="1:40" x14ac:dyDescent="0.25">
      <c r="A6928" t="str">
        <f>"20190304165020049"</f>
        <v>20190304165020049</v>
      </c>
      <c r="B6928" t="str">
        <f>"1551689420042758"</f>
        <v>1551689420042758</v>
      </c>
      <c r="C6928" t="s">
        <v>40</v>
      </c>
      <c r="D6928">
        <v>4.4911890000000003</v>
      </c>
      <c r="E6928">
        <v>0.46339609999999898</v>
      </c>
      <c r="F6928" t="s">
        <v>56</v>
      </c>
      <c r="G6928">
        <v>-224.69759999999999</v>
      </c>
      <c r="H6928" s="1">
        <v>-1.290848E-6</v>
      </c>
      <c r="I6928">
        <v>-59.671140000000001</v>
      </c>
      <c r="J6928">
        <v>-235.9316</v>
      </c>
      <c r="K6928">
        <v>1.1113059999999999</v>
      </c>
      <c r="L6928">
        <v>-63.24344</v>
      </c>
      <c r="M6928">
        <v>0.99988869999999996</v>
      </c>
      <c r="N6928">
        <v>-1.4494440000000001E-2</v>
      </c>
      <c r="O6928">
        <v>-3.5483530000000002E-3</v>
      </c>
      <c r="P6928">
        <v>0.90490029999999999</v>
      </c>
      <c r="Q6928">
        <v>0.37714130000000001</v>
      </c>
      <c r="R6928">
        <v>0.19728109999999999</v>
      </c>
      <c r="S6928">
        <v>3.2262119999999999</v>
      </c>
      <c r="T6928">
        <v>-0.31459399999999998</v>
      </c>
      <c r="U6928">
        <v>1.011139</v>
      </c>
      <c r="V6928">
        <v>-0.20076930000000001</v>
      </c>
      <c r="W6928">
        <v>0.39006429999999997</v>
      </c>
      <c r="X6928">
        <v>0.89863320000000002</v>
      </c>
      <c r="Y6928">
        <v>-0.30093330000000001</v>
      </c>
      <c r="Z6928">
        <v>1.682173E-2</v>
      </c>
      <c r="AA6928">
        <v>0.95349680000000003</v>
      </c>
      <c r="AB6928">
        <v>33</v>
      </c>
      <c r="AC6928">
        <v>11.234</v>
      </c>
      <c r="AD6928">
        <v>-1.111307290848</v>
      </c>
      <c r="AE6928">
        <v>3.57229999999999</v>
      </c>
      <c r="AF6928">
        <v>-3.58032476848273</v>
      </c>
      <c r="AG6928">
        <v>-1.111307290848</v>
      </c>
      <c r="AH6928">
        <v>11.1224049291128</v>
      </c>
      <c r="AI6928">
        <v>95.4330501130638</v>
      </c>
      <c r="AJ6928">
        <v>107.84347266941801</v>
      </c>
      <c r="AK6928">
        <v>11.7371896444445</v>
      </c>
      <c r="AL6928">
        <v>67.041500796869698</v>
      </c>
      <c r="AM6928">
        <v>102.593986978705</v>
      </c>
      <c r="AN6928">
        <v>1.0000000490495999</v>
      </c>
    </row>
    <row r="6929" spans="1:40" x14ac:dyDescent="0.25">
      <c r="A6929" t="str">
        <f>"20190304165020061"</f>
        <v>20190304165020061</v>
      </c>
      <c r="B6929" t="str">
        <f>"1551689420052518"</f>
        <v>1551689420052518</v>
      </c>
      <c r="C6929" t="s">
        <v>40</v>
      </c>
      <c r="D6929">
        <v>4.4686019999999997</v>
      </c>
      <c r="E6929">
        <v>0.46320620000000001</v>
      </c>
      <c r="F6929" t="s">
        <v>56</v>
      </c>
      <c r="G6929">
        <v>-224.47980000000001</v>
      </c>
      <c r="H6929" s="1">
        <v>-1.2047000000000001E-6</v>
      </c>
      <c r="I6929">
        <v>-59.638159999999999</v>
      </c>
      <c r="J6929">
        <v>-235.77799999999999</v>
      </c>
      <c r="K6929">
        <v>1.1113040000000001</v>
      </c>
      <c r="L6929">
        <v>-63.2438</v>
      </c>
      <c r="M6929">
        <v>0.99988929999999998</v>
      </c>
      <c r="N6929">
        <v>-1.449283E-2</v>
      </c>
      <c r="O6929">
        <v>-3.3926920000000001E-3</v>
      </c>
      <c r="P6929">
        <v>0.90477700000000005</v>
      </c>
      <c r="Q6929">
        <v>0.37682979999999999</v>
      </c>
      <c r="R6929">
        <v>0.1984387</v>
      </c>
      <c r="S6929">
        <v>3.2243650000000001</v>
      </c>
      <c r="T6929">
        <v>-0.31290030000000002</v>
      </c>
      <c r="U6929">
        <v>1.0151059999999901</v>
      </c>
      <c r="V6929">
        <v>-0.20178380000000001</v>
      </c>
      <c r="W6929">
        <v>0.38975029999999999</v>
      </c>
      <c r="X6929">
        <v>0.89854219999999896</v>
      </c>
      <c r="Y6929">
        <v>-0.3020177</v>
      </c>
      <c r="Z6929">
        <v>1.6795549999999999E-2</v>
      </c>
      <c r="AA6929">
        <v>0.95315439999999996</v>
      </c>
      <c r="AB6929">
        <v>33</v>
      </c>
      <c r="AC6929">
        <v>11.2981999999999</v>
      </c>
      <c r="AD6929">
        <v>-1.1113052047</v>
      </c>
      <c r="AE6929">
        <v>3.6056400000000002</v>
      </c>
      <c r="AF6929">
        <v>-3.61223676377428</v>
      </c>
      <c r="AG6929">
        <v>-1.1113052047</v>
      </c>
      <c r="AH6929">
        <v>11.187665783287301</v>
      </c>
      <c r="AI6929">
        <v>95.400007295133094</v>
      </c>
      <c r="AJ6929">
        <v>107.894059932275</v>
      </c>
      <c r="AK6929">
        <v>11.808772983426101</v>
      </c>
      <c r="AL6929">
        <v>67.061037779235605</v>
      </c>
      <c r="AM6929">
        <v>102.65682071229</v>
      </c>
      <c r="AN6929">
        <v>1.0000000417366799</v>
      </c>
    </row>
    <row r="6930" spans="1:40" x14ac:dyDescent="0.25">
      <c r="A6930" t="str">
        <f>"20190304165020071"</f>
        <v>20190304165020071</v>
      </c>
      <c r="B6930" t="str">
        <f>"1551689420062279"</f>
        <v>1551689420062279</v>
      </c>
      <c r="C6930" t="s">
        <v>40</v>
      </c>
      <c r="D6930">
        <v>4.4685879999999996</v>
      </c>
      <c r="E6930">
        <v>0.46311429999999998</v>
      </c>
      <c r="F6930" t="s">
        <v>56</v>
      </c>
      <c r="G6930">
        <v>-224.3141</v>
      </c>
      <c r="H6930" s="1">
        <v>-1.1386359999999999E-6</v>
      </c>
      <c r="I6930">
        <v>-59.615499999999997</v>
      </c>
      <c r="J6930">
        <v>-235.62110000000001</v>
      </c>
      <c r="K6930">
        <v>1.1113040000000001</v>
      </c>
      <c r="L6930">
        <v>-63.244199999999999</v>
      </c>
      <c r="M6930">
        <v>0.9998899</v>
      </c>
      <c r="N6930">
        <v>-1.4491189999999999E-2</v>
      </c>
      <c r="O6930">
        <v>-3.233096E-3</v>
      </c>
      <c r="P6930">
        <v>0.90465609999999996</v>
      </c>
      <c r="Q6930">
        <v>0.37641350000000001</v>
      </c>
      <c r="R6930">
        <v>0.19977610000000001</v>
      </c>
      <c r="S6930">
        <v>3.222153</v>
      </c>
      <c r="T6930">
        <v>-0.31235410000000002</v>
      </c>
      <c r="U6930">
        <v>1.019806</v>
      </c>
      <c r="V6930">
        <v>-0.20297490000000001</v>
      </c>
      <c r="W6930">
        <v>0.38933089999999998</v>
      </c>
      <c r="X6930">
        <v>0.89845569999999897</v>
      </c>
      <c r="Y6930">
        <v>-0.3033148</v>
      </c>
      <c r="Z6930">
        <v>1.6834910000000002E-2</v>
      </c>
      <c r="AA6930">
        <v>0.95274170000000002</v>
      </c>
      <c r="AB6930">
        <v>33</v>
      </c>
      <c r="AC6930">
        <v>11.307</v>
      </c>
      <c r="AD6930">
        <v>-1.111305138636</v>
      </c>
      <c r="AE6930">
        <v>3.6286999999999998</v>
      </c>
      <c r="AF6930">
        <v>-3.63342041060959</v>
      </c>
      <c r="AG6930">
        <v>-1.111305138636</v>
      </c>
      <c r="AH6930">
        <v>11.1971444451297</v>
      </c>
      <c r="AI6930">
        <v>95.392919786309406</v>
      </c>
      <c r="AJ6930">
        <v>107.978001574587</v>
      </c>
      <c r="AK6930">
        <v>11.824245714483901</v>
      </c>
      <c r="AL6930">
        <v>67.087127602031899</v>
      </c>
      <c r="AM6930">
        <v>102.730290201654</v>
      </c>
      <c r="AN6930">
        <v>1.0000000022936499</v>
      </c>
    </row>
    <row r="6931" spans="1:40" x14ac:dyDescent="0.25">
      <c r="A6931" t="str">
        <f>"20190304165020082"</f>
        <v>20190304165020082</v>
      </c>
      <c r="B6931" t="str">
        <f>"1551689420073015"</f>
        <v>1551689420073015</v>
      </c>
      <c r="C6931" t="s">
        <v>40</v>
      </c>
      <c r="D6931">
        <v>4.5162649999999998</v>
      </c>
      <c r="E6931">
        <v>0.46306049999999899</v>
      </c>
      <c r="F6931" t="s">
        <v>56</v>
      </c>
      <c r="G6931">
        <v>-224.184</v>
      </c>
      <c r="H6931" s="1">
        <v>-1.084465E-6</v>
      </c>
      <c r="I6931">
        <v>-59.607959999999999</v>
      </c>
      <c r="J6931">
        <v>-235.4589</v>
      </c>
      <c r="K6931">
        <v>1.1113059999999999</v>
      </c>
      <c r="L6931">
        <v>-63.244540000000001</v>
      </c>
      <c r="M6931">
        <v>0.99989030000000001</v>
      </c>
      <c r="N6931">
        <v>-1.4489500000000001E-2</v>
      </c>
      <c r="O6931">
        <v>-3.067536E-3</v>
      </c>
      <c r="P6931">
        <v>0.90452030000000005</v>
      </c>
      <c r="Q6931">
        <v>0.37608180000000002</v>
      </c>
      <c r="R6931">
        <v>0.2010112</v>
      </c>
      <c r="S6931">
        <v>3.2202760000000001</v>
      </c>
      <c r="T6931">
        <v>-0.3129033</v>
      </c>
      <c r="U6931">
        <v>1.0238339999999999</v>
      </c>
      <c r="V6931">
        <v>-0.2040582</v>
      </c>
      <c r="W6931">
        <v>0.38899620000000001</v>
      </c>
      <c r="X6931">
        <v>0.89835529999999997</v>
      </c>
      <c r="Y6931">
        <v>-0.30438870000000001</v>
      </c>
      <c r="Z6931">
        <v>1.6911619999999999E-2</v>
      </c>
      <c r="AA6931">
        <v>0.95239779999999996</v>
      </c>
      <c r="AB6931">
        <v>33</v>
      </c>
      <c r="AC6931">
        <v>11.274899999999899</v>
      </c>
      <c r="AD6931">
        <v>-1.1113070844649999</v>
      </c>
      <c r="AE6931">
        <v>3.6365799999999999</v>
      </c>
      <c r="AF6931">
        <v>-3.63912988514942</v>
      </c>
      <c r="AG6931">
        <v>-1.1113070844649999</v>
      </c>
      <c r="AH6931">
        <v>11.1654393139669</v>
      </c>
      <c r="AI6931">
        <v>95.405887185720005</v>
      </c>
      <c r="AJ6931">
        <v>108.05224205589199</v>
      </c>
      <c r="AK6931">
        <v>11.795986810387999</v>
      </c>
      <c r="AL6931">
        <v>67.107946010537603</v>
      </c>
      <c r="AM6931">
        <v>102.797385038816</v>
      </c>
      <c r="AN6931">
        <v>1.0000000188198801</v>
      </c>
    </row>
    <row r="6932" spans="1:40" x14ac:dyDescent="0.25">
      <c r="A6932" t="str">
        <f>"20190304165020093"</f>
        <v>20190304165020093</v>
      </c>
      <c r="B6932" t="str">
        <f>"1551689420082775"</f>
        <v>1551689420082775</v>
      </c>
      <c r="C6932" t="s">
        <v>40</v>
      </c>
      <c r="D6932">
        <v>4.6253390000000003</v>
      </c>
      <c r="E6932">
        <v>0.46306049999999899</v>
      </c>
      <c r="F6932" t="s">
        <v>56</v>
      </c>
      <c r="G6932">
        <v>-224.0367</v>
      </c>
      <c r="H6932" s="1">
        <v>-1.023613E-6</v>
      </c>
      <c r="I6932">
        <v>-59.597479999999997</v>
      </c>
      <c r="J6932">
        <v>-235.30029999999999</v>
      </c>
      <c r="K6932">
        <v>1.111305</v>
      </c>
      <c r="L6932">
        <v>-63.244869999999999</v>
      </c>
      <c r="M6932">
        <v>0.99989099999999997</v>
      </c>
      <c r="N6932">
        <v>-1.448784E-2</v>
      </c>
      <c r="O6932">
        <v>-2.9057890000000002E-3</v>
      </c>
      <c r="P6932">
        <v>0.90428189999999997</v>
      </c>
      <c r="Q6932">
        <v>0.37598429999999999</v>
      </c>
      <c r="R6932">
        <v>0.2022629</v>
      </c>
      <c r="S6932">
        <v>3.2184750000000002</v>
      </c>
      <c r="T6932">
        <v>-0.31313819999999998</v>
      </c>
      <c r="U6932">
        <v>1.027649</v>
      </c>
      <c r="V6932">
        <v>-0.2051617</v>
      </c>
      <c r="W6932">
        <v>0.38889420000000002</v>
      </c>
      <c r="X6932">
        <v>0.8981481</v>
      </c>
      <c r="Y6932">
        <v>-0.3054055</v>
      </c>
      <c r="Z6932">
        <v>1.6970720000000002E-2</v>
      </c>
      <c r="AA6932">
        <v>0.95207109999999995</v>
      </c>
      <c r="AB6932">
        <v>33</v>
      </c>
      <c r="AC6932">
        <v>11.263599999999901</v>
      </c>
      <c r="AD6932">
        <v>-1.1113060236129999</v>
      </c>
      <c r="AE6932">
        <v>3.6473899999999899</v>
      </c>
      <c r="AF6932">
        <v>-3.6479668845669</v>
      </c>
      <c r="AG6932">
        <v>-1.1113060236129999</v>
      </c>
      <c r="AH6932">
        <v>11.1546733811729</v>
      </c>
      <c r="AI6932">
        <v>95.409312421025206</v>
      </c>
      <c r="AJ6932">
        <v>108.109548356714</v>
      </c>
      <c r="AK6932">
        <v>11.788528394573399</v>
      </c>
      <c r="AL6932">
        <v>67.114289599791704</v>
      </c>
      <c r="AM6932">
        <v>102.867162738427</v>
      </c>
      <c r="AN6932">
        <v>1.0000000157370601</v>
      </c>
    </row>
    <row r="6933" spans="1:40" x14ac:dyDescent="0.25">
      <c r="A6933" t="str">
        <f>"20190304165020105"</f>
        <v>20190304165020105</v>
      </c>
      <c r="B6933" t="str">
        <f>"1551689420102294"</f>
        <v>1551689420102294</v>
      </c>
      <c r="C6933" t="s">
        <v>40</v>
      </c>
      <c r="D6933">
        <v>4.599507</v>
      </c>
      <c r="E6933">
        <v>0.50268000000000002</v>
      </c>
      <c r="F6933" t="s">
        <v>56</v>
      </c>
      <c r="G6933">
        <v>-223.9007</v>
      </c>
      <c r="H6933" s="1">
        <v>-9.6672320000000008E-7</v>
      </c>
      <c r="I6933">
        <v>-59.590899999999998</v>
      </c>
      <c r="J6933">
        <v>-235.13290000000001</v>
      </c>
      <c r="K6933">
        <v>1.111305</v>
      </c>
      <c r="L6933">
        <v>-63.245179999999998</v>
      </c>
      <c r="M6933">
        <v>0.99989139999999999</v>
      </c>
      <c r="N6933">
        <v>-1.448609E-2</v>
      </c>
      <c r="O6933">
        <v>-2.734261E-3</v>
      </c>
      <c r="P6933">
        <v>0.90406010000000003</v>
      </c>
      <c r="Q6933">
        <v>0.37597979999999998</v>
      </c>
      <c r="R6933">
        <v>0.2032603</v>
      </c>
      <c r="S6933">
        <v>3.2172700000000001</v>
      </c>
      <c r="T6933">
        <v>-0.31364039999999999</v>
      </c>
      <c r="U6933">
        <v>1.03125</v>
      </c>
      <c r="V6933">
        <v>-0.2060023</v>
      </c>
      <c r="W6933">
        <v>0.3888855</v>
      </c>
      <c r="X6933">
        <v>0.89795939999999996</v>
      </c>
      <c r="Y6933">
        <v>-0.3063033</v>
      </c>
      <c r="Z6933">
        <v>1.703263E-2</v>
      </c>
      <c r="AA6933">
        <v>0.95178160000000001</v>
      </c>
      <c r="AB6933">
        <v>33</v>
      </c>
      <c r="AC6933">
        <v>11.232200000000001</v>
      </c>
      <c r="AD6933">
        <v>-1.1113059667231999</v>
      </c>
      <c r="AE6933">
        <v>3.65428</v>
      </c>
      <c r="AF6933">
        <v>-3.6526479635977802</v>
      </c>
      <c r="AG6933">
        <v>-1.1113059667231999</v>
      </c>
      <c r="AH6933">
        <v>11.1236978592516</v>
      </c>
      <c r="AI6933">
        <v>95.422161314858599</v>
      </c>
      <c r="AJ6933">
        <v>108.17843937829301</v>
      </c>
      <c r="AK6933">
        <v>11.7606756677313</v>
      </c>
      <c r="AL6933">
        <v>67.114829844484603</v>
      </c>
      <c r="AM6933">
        <v>102.920741207711</v>
      </c>
      <c r="AN6933">
        <v>0.99999998188195005</v>
      </c>
    </row>
    <row r="6934" spans="1:40" x14ac:dyDescent="0.25">
      <c r="A6934" t="str">
        <f>"20190304165020116"</f>
        <v>20190304165020116</v>
      </c>
      <c r="B6934" t="str">
        <f>"1551689420112055"</f>
        <v>1551689420112055</v>
      </c>
      <c r="C6934" t="s">
        <v>40</v>
      </c>
      <c r="D6934">
        <v>4.5280519999999997</v>
      </c>
      <c r="E6934">
        <v>0.51161089999999998</v>
      </c>
      <c r="F6934" t="s">
        <v>56</v>
      </c>
      <c r="G6934">
        <v>-224.3843</v>
      </c>
      <c r="H6934" s="1">
        <v>-1.106949E-6</v>
      </c>
      <c r="I6934">
        <v>-60.86965</v>
      </c>
      <c r="J6934">
        <v>-234.9624</v>
      </c>
      <c r="K6934">
        <v>1.111308</v>
      </c>
      <c r="L6934">
        <v>-63.245449999999998</v>
      </c>
      <c r="M6934">
        <v>0.99989189999999994</v>
      </c>
      <c r="N6934">
        <v>-1.448431E-2</v>
      </c>
      <c r="O6934">
        <v>-2.5597520000000002E-3</v>
      </c>
      <c r="P6934">
        <v>0.90375729999999999</v>
      </c>
      <c r="Q6934">
        <v>0.37627149999999998</v>
      </c>
      <c r="R6934">
        <v>0.20406579999999999</v>
      </c>
      <c r="S6934">
        <v>3.2963260000000001</v>
      </c>
      <c r="T6934">
        <v>-0.34080959999999899</v>
      </c>
      <c r="U6934">
        <v>0.72851560000000004</v>
      </c>
      <c r="V6934">
        <v>-0.20664869999999999</v>
      </c>
      <c r="W6934">
        <v>0.3891715</v>
      </c>
      <c r="X6934">
        <v>0.89768700000000001</v>
      </c>
      <c r="Y6934">
        <v>-0.21702569999999999</v>
      </c>
      <c r="Z6934">
        <v>1.2876459999999999E-2</v>
      </c>
      <c r="AA6934">
        <v>0.97608099999999998</v>
      </c>
      <c r="AB6934">
        <v>33</v>
      </c>
      <c r="AC6934">
        <v>10.578099999999999</v>
      </c>
      <c r="AD6934">
        <v>-1.111309106949</v>
      </c>
      <c r="AE6934">
        <v>2.3757999999999901</v>
      </c>
      <c r="AF6934">
        <v>-2.3778877261598299</v>
      </c>
      <c r="AG6934">
        <v>-1.111309106949</v>
      </c>
      <c r="AH6934">
        <v>10.462057637292</v>
      </c>
      <c r="AI6934">
        <v>95.913666826925194</v>
      </c>
      <c r="AJ6934">
        <v>102.805033415913</v>
      </c>
      <c r="AK6934">
        <v>10.786287960898701</v>
      </c>
      <c r="AL6934">
        <v>67.097043575827996</v>
      </c>
      <c r="AM6934">
        <v>102.963717324238</v>
      </c>
      <c r="AN6934">
        <v>1.00000004579646</v>
      </c>
    </row>
    <row r="6935" spans="1:40" x14ac:dyDescent="0.25">
      <c r="A6935" t="str">
        <f>"20190304165020127"</f>
        <v>20190304165020127</v>
      </c>
      <c r="B6935" t="str">
        <f>"1551689420122793"</f>
        <v>1551689420122793</v>
      </c>
      <c r="C6935" t="s">
        <v>40</v>
      </c>
      <c r="D6935">
        <v>4.5557270000000001</v>
      </c>
      <c r="E6935">
        <v>0.51703259999999995</v>
      </c>
      <c r="F6935" t="s">
        <v>56</v>
      </c>
      <c r="G6935">
        <v>-225.31540000000001</v>
      </c>
      <c r="H6935" s="1">
        <v>-1.6058609999999999E-6</v>
      </c>
      <c r="I6935">
        <v>-61.317039999999999</v>
      </c>
      <c r="J6935">
        <v>-234.79429999999999</v>
      </c>
      <c r="K6935">
        <v>1.1113090000000001</v>
      </c>
      <c r="L6935">
        <v>-63.245730000000002</v>
      </c>
      <c r="M6935">
        <v>0.99989240000000001</v>
      </c>
      <c r="N6935">
        <v>-1.448252E-2</v>
      </c>
      <c r="O6935">
        <v>-2.387386E-3</v>
      </c>
      <c r="P6935">
        <v>0.90330270000000001</v>
      </c>
      <c r="Q6935">
        <v>0.37675579999999997</v>
      </c>
      <c r="R6935">
        <v>0.20518159999999999</v>
      </c>
      <c r="S6935">
        <v>3.3289029999999999</v>
      </c>
      <c r="T6935">
        <v>-0.38347779999999998</v>
      </c>
      <c r="U6935">
        <v>0.66543580000000002</v>
      </c>
      <c r="V6935">
        <v>-0.2076074</v>
      </c>
      <c r="W6935">
        <v>0.38964799999999999</v>
      </c>
      <c r="X6935">
        <v>0.89725900000000003</v>
      </c>
      <c r="Y6935">
        <v>-0.19693160000000001</v>
      </c>
      <c r="Z6935">
        <v>1.287837E-2</v>
      </c>
      <c r="AA6935">
        <v>0.98033269999999995</v>
      </c>
      <c r="AB6935">
        <v>33</v>
      </c>
      <c r="AC6935">
        <v>9.4788999999999799</v>
      </c>
      <c r="AD6935">
        <v>-1.1113106058610001</v>
      </c>
      <c r="AE6935">
        <v>1.92868999999999</v>
      </c>
      <c r="AF6935">
        <v>-1.9258969809511901</v>
      </c>
      <c r="AG6935">
        <v>-1.1113106058610001</v>
      </c>
      <c r="AH6935">
        <v>9.3508472498438895</v>
      </c>
      <c r="AI6935">
        <v>96.639506641679006</v>
      </c>
      <c r="AJ6935">
        <v>101.63788119223101</v>
      </c>
      <c r="AK6935">
        <v>9.61157816041929</v>
      </c>
      <c r="AL6935">
        <v>67.067402617953803</v>
      </c>
      <c r="AM6935">
        <v>103.02781397487</v>
      </c>
      <c r="AN6935">
        <v>1.00000005475987</v>
      </c>
    </row>
    <row r="6936" spans="1:40" x14ac:dyDescent="0.25">
      <c r="A6936" t="str">
        <f>"20190304165020139"</f>
        <v>20190304165020139</v>
      </c>
      <c r="B6936" t="str">
        <f>"1551689420132550"</f>
        <v>1551689420132550</v>
      </c>
      <c r="C6936" t="s">
        <v>40</v>
      </c>
      <c r="D6936">
        <v>4.4505929999999996</v>
      </c>
      <c r="E6936">
        <v>0.52010489999999998</v>
      </c>
      <c r="F6936" t="s">
        <v>56</v>
      </c>
      <c r="G6936">
        <v>-225.53659999999999</v>
      </c>
      <c r="H6936" s="1">
        <v>-1.743075E-6</v>
      </c>
      <c r="I6936">
        <v>-61.507240000000003</v>
      </c>
      <c r="J6936">
        <v>-234.6319</v>
      </c>
      <c r="K6936">
        <v>1.1113090000000001</v>
      </c>
      <c r="L6936">
        <v>-63.245939999999997</v>
      </c>
      <c r="M6936">
        <v>0.99989269999999997</v>
      </c>
      <c r="N6936">
        <v>-1.448078E-2</v>
      </c>
      <c r="O6936">
        <v>-2.2206209999999999E-3</v>
      </c>
      <c r="P6936">
        <v>0.90296860000000001</v>
      </c>
      <c r="Q6936">
        <v>0.37699899999999997</v>
      </c>
      <c r="R6936">
        <v>0.20620240000000001</v>
      </c>
      <c r="S6936">
        <v>3.3459469999999998</v>
      </c>
      <c r="T6936">
        <v>-0.40165190000000001</v>
      </c>
      <c r="U6936">
        <v>0.62832639999999995</v>
      </c>
      <c r="V6936">
        <v>-0.2084762</v>
      </c>
      <c r="W6936">
        <v>0.38988469999999997</v>
      </c>
      <c r="X6936">
        <v>0.89695469999999899</v>
      </c>
      <c r="Y6936">
        <v>-0.18528600000000001</v>
      </c>
      <c r="Z6936">
        <v>1.2576240000000001E-2</v>
      </c>
      <c r="AA6936">
        <v>0.98260409999999998</v>
      </c>
      <c r="AB6936">
        <v>33</v>
      </c>
      <c r="AC6936">
        <v>9.0952999999999999</v>
      </c>
      <c r="AD6936">
        <v>-1.111310743075</v>
      </c>
      <c r="AE6936">
        <v>1.7386999999999999</v>
      </c>
      <c r="AF6936">
        <v>-1.7339215844223399</v>
      </c>
      <c r="AG6936">
        <v>-1.111310743075</v>
      </c>
      <c r="AH6936">
        <v>8.9623327935318393</v>
      </c>
      <c r="AI6936">
        <v>96.941061055137695</v>
      </c>
      <c r="AJ6936">
        <v>100.949604456236</v>
      </c>
      <c r="AK6936">
        <v>9.1959178297011697</v>
      </c>
      <c r="AL6936">
        <v>67.052676397195995</v>
      </c>
      <c r="AM6936">
        <v>103.084747055408</v>
      </c>
      <c r="AN6936">
        <v>1.0000000695563001</v>
      </c>
    </row>
    <row r="6937" spans="1:40" x14ac:dyDescent="0.25">
      <c r="A6937" t="str">
        <f>"20190304165020149"</f>
        <v>20190304165020149</v>
      </c>
      <c r="B6937" t="str">
        <f>"1551689420142310"</f>
        <v>1551689420142310</v>
      </c>
      <c r="C6937" t="s">
        <v>40</v>
      </c>
      <c r="D6937">
        <v>4.634252</v>
      </c>
      <c r="E6937">
        <v>0.52244959999999996</v>
      </c>
      <c r="F6937" t="s">
        <v>56</v>
      </c>
      <c r="G6937">
        <v>-225.38489999999999</v>
      </c>
      <c r="H6937" s="1">
        <v>-1.6915199999999999E-6</v>
      </c>
      <c r="I6937">
        <v>-61.568019999999997</v>
      </c>
      <c r="J6937">
        <v>-234.47810000000001</v>
      </c>
      <c r="K6937">
        <v>1.1113090000000001</v>
      </c>
      <c r="L6937">
        <v>-63.246119999999998</v>
      </c>
      <c r="M6937">
        <v>0.99989320000000004</v>
      </c>
      <c r="N6937">
        <v>-1.447913E-2</v>
      </c>
      <c r="O6937">
        <v>-2.063152E-3</v>
      </c>
      <c r="P6937">
        <v>0.90253510000000003</v>
      </c>
      <c r="Q6937">
        <v>0.37757639999999998</v>
      </c>
      <c r="R6937">
        <v>0.20704249999999999</v>
      </c>
      <c r="S6937">
        <v>3.3516849999999998</v>
      </c>
      <c r="T6937">
        <v>-0.40280959999999899</v>
      </c>
      <c r="U6937">
        <v>0.60818479999999997</v>
      </c>
      <c r="V6937">
        <v>-0.2091732</v>
      </c>
      <c r="W6937">
        <v>0.39045459999999999</v>
      </c>
      <c r="X6937">
        <v>0.89654439999999902</v>
      </c>
      <c r="Y6937">
        <v>-0.17915590000000001</v>
      </c>
      <c r="Z6937">
        <v>1.216924E-2</v>
      </c>
      <c r="AA6937">
        <v>0.98374550000000005</v>
      </c>
      <c r="AB6937">
        <v>33</v>
      </c>
      <c r="AC6937">
        <v>9.0932000000000208</v>
      </c>
      <c r="AD6937">
        <v>-1.1113106915199999</v>
      </c>
      <c r="AE6937">
        <v>1.6780999999999999</v>
      </c>
      <c r="AF6937">
        <v>-1.67269827564081</v>
      </c>
      <c r="AG6937">
        <v>-1.1113106915199999</v>
      </c>
      <c r="AH6937">
        <v>8.9602939274186806</v>
      </c>
      <c r="AI6937">
        <v>96.951191499790795</v>
      </c>
      <c r="AJ6937">
        <v>100.5742035869</v>
      </c>
      <c r="AK6937">
        <v>9.1825812405964893</v>
      </c>
      <c r="AL6937">
        <v>67.017212118536705</v>
      </c>
      <c r="AM6937">
        <v>103.132780248248</v>
      </c>
      <c r="AN6937">
        <v>1.00000004171537</v>
      </c>
    </row>
    <row r="6938" spans="1:40" x14ac:dyDescent="0.25">
      <c r="A6938" t="str">
        <f>"20190304165020160"</f>
        <v>20190304165020160</v>
      </c>
      <c r="B6938" t="str">
        <f>"1551689420152071"</f>
        <v>1551689420152071</v>
      </c>
      <c r="C6938" t="s">
        <v>40</v>
      </c>
      <c r="D6938">
        <v>4.4934560000000001</v>
      </c>
      <c r="E6938">
        <v>0.52437919999999905</v>
      </c>
      <c r="F6938" t="s">
        <v>56</v>
      </c>
      <c r="G6938">
        <v>-224.96440000000001</v>
      </c>
      <c r="H6938" s="1">
        <v>-1.5106810000000001E-6</v>
      </c>
      <c r="I6938">
        <v>-61.566029999999998</v>
      </c>
      <c r="J6938">
        <v>-234.32140000000001</v>
      </c>
      <c r="K6938">
        <v>1.1113090000000001</v>
      </c>
      <c r="L6938">
        <v>-63.246279999999999</v>
      </c>
      <c r="M6938">
        <v>0.99989349999999999</v>
      </c>
      <c r="N6938">
        <v>-1.4477449999999999E-2</v>
      </c>
      <c r="O6938">
        <v>-1.9023449999999999E-3</v>
      </c>
      <c r="P6938">
        <v>0.90228359999999996</v>
      </c>
      <c r="Q6938">
        <v>0.37770320000000002</v>
      </c>
      <c r="R6938">
        <v>0.2079058</v>
      </c>
      <c r="S6938">
        <v>3.3519739999999998</v>
      </c>
      <c r="T6938">
        <v>-0.3915497</v>
      </c>
      <c r="U6938">
        <v>0.59194950000000002</v>
      </c>
      <c r="V6938">
        <v>-0.20989060000000001</v>
      </c>
      <c r="W6938">
        <v>0.3905766</v>
      </c>
      <c r="X6938">
        <v>0.89632350000000005</v>
      </c>
      <c r="Y6938">
        <v>-0.17447219999999999</v>
      </c>
      <c r="Z6938">
        <v>1.154842E-2</v>
      </c>
      <c r="AA6938">
        <v>0.98459439999999998</v>
      </c>
      <c r="AB6938">
        <v>33</v>
      </c>
      <c r="AC6938">
        <v>9.3569999999999993</v>
      </c>
      <c r="AD6938">
        <v>-1.111310510681</v>
      </c>
      <c r="AE6938">
        <v>1.68025</v>
      </c>
      <c r="AF6938">
        <v>-1.67515778181428</v>
      </c>
      <c r="AG6938">
        <v>-1.111310510681</v>
      </c>
      <c r="AH6938">
        <v>9.2276885631721495</v>
      </c>
      <c r="AI6938">
        <v>96.757778468454902</v>
      </c>
      <c r="AJ6938">
        <v>100.28919590116899</v>
      </c>
      <c r="AK6938">
        <v>9.4441199094474193</v>
      </c>
      <c r="AL6938">
        <v>67.009617634785897</v>
      </c>
      <c r="AM6938">
        <v>103.179386856438</v>
      </c>
      <c r="AN6938">
        <v>0.99999998054408401</v>
      </c>
    </row>
    <row r="6939" spans="1:40" x14ac:dyDescent="0.25">
      <c r="A6939" t="str">
        <f>"20190304165020170"</f>
        <v>20190304165020170</v>
      </c>
      <c r="B6939" t="str">
        <f>"1551689420162807"</f>
        <v>1551689420162807</v>
      </c>
      <c r="C6939" t="s">
        <v>40</v>
      </c>
      <c r="D6939">
        <v>4.46157</v>
      </c>
      <c r="E6939">
        <v>0.52600959999999997</v>
      </c>
      <c r="F6939" t="s">
        <v>56</v>
      </c>
      <c r="G6939">
        <v>-225.10050000000001</v>
      </c>
      <c r="H6939" s="1">
        <v>-1.5882589999999901E-6</v>
      </c>
      <c r="I6939">
        <v>-61.652450000000002</v>
      </c>
      <c r="J6939">
        <v>-234.16159999999999</v>
      </c>
      <c r="K6939">
        <v>1.111307</v>
      </c>
      <c r="L6939">
        <v>-63.246400000000001</v>
      </c>
      <c r="M6939">
        <v>0.9998937</v>
      </c>
      <c r="N6939">
        <v>-1.4475740000000001E-2</v>
      </c>
      <c r="O6939">
        <v>-1.738201E-3</v>
      </c>
      <c r="P6939">
        <v>0.90207559999999998</v>
      </c>
      <c r="Q6939">
        <v>0.3777605</v>
      </c>
      <c r="R6939">
        <v>0.2087029</v>
      </c>
      <c r="S6939">
        <v>3.3605960000000001</v>
      </c>
      <c r="T6939">
        <v>-0.40501949999999998</v>
      </c>
      <c r="U6939">
        <v>0.58087159999999904</v>
      </c>
      <c r="V6939">
        <v>-0.21053849999999999</v>
      </c>
      <c r="W6939">
        <v>0.39062970000000002</v>
      </c>
      <c r="X6939">
        <v>0.89614839999999996</v>
      </c>
      <c r="Y6939">
        <v>-0.17067750000000001</v>
      </c>
      <c r="Z6939">
        <v>1.1605020000000001E-2</v>
      </c>
      <c r="AA6939">
        <v>0.98525859999999998</v>
      </c>
      <c r="AB6939">
        <v>33</v>
      </c>
      <c r="AC6939">
        <v>9.0610999999999802</v>
      </c>
      <c r="AD6939">
        <v>-1.1113085882589999</v>
      </c>
      <c r="AE6939">
        <v>1.59394999999999</v>
      </c>
      <c r="AF6939">
        <v>-1.5865505870300101</v>
      </c>
      <c r="AG6939">
        <v>-1.1113085882589999</v>
      </c>
      <c r="AH6939">
        <v>8.9280501243166199</v>
      </c>
      <c r="AI6939">
        <v>96.986975658425294</v>
      </c>
      <c r="AJ6939">
        <v>100.07650257383401</v>
      </c>
      <c r="AK6939">
        <v>9.1357664465469792</v>
      </c>
      <c r="AL6939">
        <v>67.006312877908002</v>
      </c>
      <c r="AM6939">
        <v>103.22113546986</v>
      </c>
      <c r="AN6939">
        <v>0.99999998866344997</v>
      </c>
    </row>
    <row r="6940" spans="1:40" x14ac:dyDescent="0.25">
      <c r="A6940" t="str">
        <f>"20190304165020183"</f>
        <v>20190304165020183</v>
      </c>
      <c r="B6940" t="str">
        <f>"1551689420172567"</f>
        <v>1551689420172567</v>
      </c>
      <c r="C6940" t="s">
        <v>40</v>
      </c>
      <c r="D6940">
        <v>4.4838610000000001</v>
      </c>
      <c r="E6940">
        <v>0.52676780000000001</v>
      </c>
      <c r="F6940" t="s">
        <v>56</v>
      </c>
      <c r="G6940">
        <v>-225.096</v>
      </c>
      <c r="H6940" s="1">
        <v>-1.598521E-6</v>
      </c>
      <c r="I6940">
        <v>-61.70729</v>
      </c>
      <c r="J6940">
        <v>-233.9923</v>
      </c>
      <c r="K6940">
        <v>1.1113090000000001</v>
      </c>
      <c r="L6940">
        <v>-63.246549999999999</v>
      </c>
      <c r="M6940">
        <v>0.99989410000000001</v>
      </c>
      <c r="N6940">
        <v>-1.447391E-2</v>
      </c>
      <c r="O6940">
        <v>-1.5644000000000001E-3</v>
      </c>
      <c r="P6940">
        <v>0.90199470000000004</v>
      </c>
      <c r="Q6940">
        <v>0.37756810000000002</v>
      </c>
      <c r="R6940">
        <v>0.20939940000000001</v>
      </c>
      <c r="S6940">
        <v>3.366241</v>
      </c>
      <c r="T6940">
        <v>-0.4126515</v>
      </c>
      <c r="U6940">
        <v>0.57150269999999903</v>
      </c>
      <c r="V6940">
        <v>-0.21107780000000001</v>
      </c>
      <c r="W6940">
        <v>0.39043519999999998</v>
      </c>
      <c r="X6940">
        <v>0.89610630000000002</v>
      </c>
      <c r="Y6940">
        <v>-0.16754550000000001</v>
      </c>
      <c r="Z6940">
        <v>1.155257E-2</v>
      </c>
      <c r="AA6940">
        <v>0.98579660000000002</v>
      </c>
      <c r="AB6940">
        <v>33</v>
      </c>
      <c r="AC6940">
        <v>8.8963000000000196</v>
      </c>
      <c r="AD6940">
        <v>-1.1113105985209999</v>
      </c>
      <c r="AE6940">
        <v>1.5392599999999901</v>
      </c>
      <c r="AF6940">
        <v>-1.52999596487787</v>
      </c>
      <c r="AG6940">
        <v>-1.1113105985209999</v>
      </c>
      <c r="AH6940">
        <v>8.7611407348460304</v>
      </c>
      <c r="AI6940">
        <v>97.122441383314495</v>
      </c>
      <c r="AJ6940">
        <v>99.905915609858297</v>
      </c>
      <c r="AK6940">
        <v>8.9628949494405106</v>
      </c>
      <c r="AL6940">
        <v>67.018418281543902</v>
      </c>
      <c r="AM6940">
        <v>103.25440864038001</v>
      </c>
      <c r="AN6940">
        <v>0.99999999197578504</v>
      </c>
    </row>
    <row r="6941" spans="1:40" x14ac:dyDescent="0.25">
      <c r="A6941" t="str">
        <f>"20190304165020194"</f>
        <v>20190304165020194</v>
      </c>
      <c r="B6941" t="str">
        <f>"1551689420182327"</f>
        <v>1551689420182327</v>
      </c>
      <c r="C6941" t="s">
        <v>40</v>
      </c>
      <c r="D6941">
        <v>4.3721439999999996</v>
      </c>
      <c r="E6941">
        <v>0.52781109999999998</v>
      </c>
      <c r="F6941" t="s">
        <v>56</v>
      </c>
      <c r="G6941">
        <v>-224.6934</v>
      </c>
      <c r="H6941" s="1">
        <v>-1.4197839999999999E-6</v>
      </c>
      <c r="I6941">
        <v>-61.680169999999997</v>
      </c>
      <c r="J6941">
        <v>-233.83580000000001</v>
      </c>
      <c r="K6941">
        <v>1.111308</v>
      </c>
      <c r="L6941">
        <v>-63.246609999999997</v>
      </c>
      <c r="M6941">
        <v>0.99989439999999996</v>
      </c>
      <c r="N6941">
        <v>-1.4472219999999999E-2</v>
      </c>
      <c r="O6941">
        <v>-1.403711E-3</v>
      </c>
      <c r="P6941">
        <v>0.90187130000000004</v>
      </c>
      <c r="Q6941">
        <v>0.37732949999999998</v>
      </c>
      <c r="R6941">
        <v>0.21035860000000001</v>
      </c>
      <c r="S6941">
        <v>3.3627009999999999</v>
      </c>
      <c r="T6941">
        <v>-0.4018738</v>
      </c>
      <c r="U6941">
        <v>0.56643679999999996</v>
      </c>
      <c r="V6941">
        <v>-0.211891</v>
      </c>
      <c r="W6941">
        <v>0.39019340000000002</v>
      </c>
      <c r="X6941">
        <v>0.89601980000000003</v>
      </c>
      <c r="Y6941">
        <v>-0.16619</v>
      </c>
      <c r="Z6941">
        <v>1.118852E-2</v>
      </c>
      <c r="AA6941">
        <v>0.98603030000000003</v>
      </c>
      <c r="AB6941">
        <v>33</v>
      </c>
      <c r="AC6941">
        <v>9.1424000000000092</v>
      </c>
      <c r="AD6941">
        <v>-1.1113094197840001</v>
      </c>
      <c r="AE6941">
        <v>1.5664400000000001</v>
      </c>
      <c r="AF6941">
        <v>-1.55692444146625</v>
      </c>
      <c r="AG6941">
        <v>-1.1113094197840001</v>
      </c>
      <c r="AH6941">
        <v>9.0108470407111199</v>
      </c>
      <c r="AI6941">
        <v>96.929144720870795</v>
      </c>
      <c r="AJ6941">
        <v>99.8029691876051</v>
      </c>
      <c r="AK6941">
        <v>9.2116440842027796</v>
      </c>
      <c r="AL6941">
        <v>67.033468183354003</v>
      </c>
      <c r="AM6941">
        <v>103.304898935628</v>
      </c>
      <c r="AN6941">
        <v>1.0000000836382901</v>
      </c>
    </row>
    <row r="6942" spans="1:40" x14ac:dyDescent="0.25">
      <c r="A6942" t="str">
        <f>"20190304165020205"</f>
        <v>20190304165020205</v>
      </c>
      <c r="B6942" t="str">
        <f>"1551689420202822"</f>
        <v>1551689420202822</v>
      </c>
      <c r="C6942" t="s">
        <v>40</v>
      </c>
      <c r="D6942">
        <v>4.3877009999999999</v>
      </c>
      <c r="E6942">
        <v>0.52875130000000004</v>
      </c>
      <c r="F6942" t="s">
        <v>56</v>
      </c>
      <c r="G6942">
        <v>-224.2071</v>
      </c>
      <c r="H6942" s="1">
        <v>-1.2028369999999999E-6</v>
      </c>
      <c r="I6942">
        <v>-61.642600000000002</v>
      </c>
      <c r="J6942">
        <v>-233.6705</v>
      </c>
      <c r="K6942">
        <v>1.1113109999999999</v>
      </c>
      <c r="L6942">
        <v>-63.246670000000002</v>
      </c>
      <c r="M6942">
        <v>0.99989470000000003</v>
      </c>
      <c r="N6942">
        <v>-1.4470439999999999E-2</v>
      </c>
      <c r="O6942">
        <v>-1.233842E-3</v>
      </c>
      <c r="P6942">
        <v>0.90187300000000004</v>
      </c>
      <c r="Q6942">
        <v>0.37684770000000001</v>
      </c>
      <c r="R6942">
        <v>0.21121309999999999</v>
      </c>
      <c r="S6942">
        <v>3.3580930000000002</v>
      </c>
      <c r="T6942">
        <v>-0.38758110000000001</v>
      </c>
      <c r="U6942">
        <v>0.55941770000000002</v>
      </c>
      <c r="V6942">
        <v>-0.21259140000000001</v>
      </c>
      <c r="W6942">
        <v>0.38971030000000001</v>
      </c>
      <c r="X6942">
        <v>0.89606399999999997</v>
      </c>
      <c r="Y6942">
        <v>-0.1643358</v>
      </c>
      <c r="Z6942">
        <v>1.071297E-2</v>
      </c>
      <c r="AA6942">
        <v>0.98634619999999995</v>
      </c>
      <c r="AB6942">
        <v>33</v>
      </c>
      <c r="AC6942">
        <v>9.4634</v>
      </c>
      <c r="AD6942">
        <v>-1.1113122028369999</v>
      </c>
      <c r="AE6942">
        <v>1.6040699999999899</v>
      </c>
      <c r="AF6942">
        <v>-1.59437331848606</v>
      </c>
      <c r="AG6942">
        <v>-1.1113122028369999</v>
      </c>
      <c r="AH6942">
        <v>9.3362582593355192</v>
      </c>
      <c r="AI6942">
        <v>96.692101914516101</v>
      </c>
      <c r="AJ6942">
        <v>99.691040628640494</v>
      </c>
      <c r="AK6942">
        <v>9.5363913183072206</v>
      </c>
      <c r="AL6942">
        <v>67.0635243248433</v>
      </c>
      <c r="AM6942">
        <v>103.346671632835</v>
      </c>
      <c r="AN6942">
        <v>0.99999995668802399</v>
      </c>
    </row>
    <row r="6943" spans="1:40" x14ac:dyDescent="0.25">
      <c r="A6943" t="str">
        <f>"20190304165020216"</f>
        <v>20190304165020216</v>
      </c>
      <c r="B6943" t="str">
        <f>"1551689420212582"</f>
        <v>1551689420212582</v>
      </c>
      <c r="C6943" t="s">
        <v>40</v>
      </c>
      <c r="D6943">
        <v>4.3557860000000002</v>
      </c>
      <c r="E6943">
        <v>0.52946269999999995</v>
      </c>
      <c r="F6943" t="s">
        <v>56</v>
      </c>
      <c r="G6943">
        <v>-223.95249999999999</v>
      </c>
      <c r="H6943" s="1">
        <v>-1.09389E-6</v>
      </c>
      <c r="I6943">
        <v>-61.643839999999997</v>
      </c>
      <c r="J6943">
        <v>-233.5069</v>
      </c>
      <c r="K6943">
        <v>1.1113040000000001</v>
      </c>
      <c r="L6943">
        <v>-63.246699999999997</v>
      </c>
      <c r="M6943">
        <v>0.99989479999999997</v>
      </c>
      <c r="N6943">
        <v>-1.4468669999999999E-2</v>
      </c>
      <c r="O6943">
        <v>-1.0654029999999999E-3</v>
      </c>
      <c r="P6943">
        <v>0.90176420000000002</v>
      </c>
      <c r="Q6943">
        <v>0.37659219999999999</v>
      </c>
      <c r="R6943">
        <v>0.21213129999999999</v>
      </c>
      <c r="S6943">
        <v>3.3571620000000002</v>
      </c>
      <c r="T6943">
        <v>-0.38391199999999998</v>
      </c>
      <c r="U6943">
        <v>0.55371090000000001</v>
      </c>
      <c r="V6943">
        <v>-0.2133572</v>
      </c>
      <c r="W6943">
        <v>0.38945170000000001</v>
      </c>
      <c r="X6943">
        <v>0.89599449999999903</v>
      </c>
      <c r="Y6943">
        <v>-0.1626155</v>
      </c>
      <c r="Z6943">
        <v>1.050019E-2</v>
      </c>
      <c r="AA6943">
        <v>0.98663369999999995</v>
      </c>
      <c r="AB6943">
        <v>33</v>
      </c>
      <c r="AC6943">
        <v>9.55440000000001</v>
      </c>
      <c r="AD6943">
        <v>-1.11130509389</v>
      </c>
      <c r="AE6943">
        <v>1.60285999999999</v>
      </c>
      <c r="AF6943">
        <v>-1.59208995111662</v>
      </c>
      <c r="AG6943">
        <v>-1.11130509389</v>
      </c>
      <c r="AH6943">
        <v>9.4286203529386903</v>
      </c>
      <c r="AI6943">
        <v>96.629166939773498</v>
      </c>
      <c r="AJ6943">
        <v>99.584392013550797</v>
      </c>
      <c r="AK6943">
        <v>9.6264547567628505</v>
      </c>
      <c r="AL6943">
        <v>67.079613913819202</v>
      </c>
      <c r="AM6943">
        <v>103.39402130556</v>
      </c>
      <c r="AN6943">
        <v>1.0000000327274801</v>
      </c>
    </row>
    <row r="6944" spans="1:40" x14ac:dyDescent="0.25">
      <c r="A6944" t="str">
        <f>"20190304165020229"</f>
        <v>20190304165020229</v>
      </c>
      <c r="B6944" t="str">
        <f>"1551689420222342"</f>
        <v>1551689420222342</v>
      </c>
      <c r="C6944" t="s">
        <v>40</v>
      </c>
      <c r="D6944">
        <v>4.4723199999999999</v>
      </c>
      <c r="E6944">
        <v>0.52990309999999996</v>
      </c>
      <c r="F6944" t="s">
        <v>56</v>
      </c>
      <c r="G6944">
        <v>-223.56209999999999</v>
      </c>
      <c r="H6944" s="1">
        <v>-9.2011029999999997E-7</v>
      </c>
      <c r="I6944">
        <v>-61.615560000000002</v>
      </c>
      <c r="J6944">
        <v>-233.328</v>
      </c>
      <c r="K6944">
        <v>1.111305</v>
      </c>
      <c r="L6944">
        <v>-63.246670000000002</v>
      </c>
      <c r="M6944">
        <v>0.99989499999999998</v>
      </c>
      <c r="N6944">
        <v>-1.4466730000000001E-2</v>
      </c>
      <c r="O6944">
        <v>-8.8182309999999895E-4</v>
      </c>
      <c r="P6944">
        <v>0.90157480000000001</v>
      </c>
      <c r="Q6944">
        <v>0.37672109999999998</v>
      </c>
      <c r="R6944">
        <v>0.21270639999999999</v>
      </c>
      <c r="S6944">
        <v>3.3539119999999998</v>
      </c>
      <c r="T6944">
        <v>-0.37479309999999899</v>
      </c>
      <c r="U6944">
        <v>0.55010990000000004</v>
      </c>
      <c r="V6944">
        <v>-0.21376609999999999</v>
      </c>
      <c r="W6944">
        <v>0.3895768</v>
      </c>
      <c r="X6944">
        <v>0.89584259999999905</v>
      </c>
      <c r="Y6944">
        <v>-0.1616137</v>
      </c>
      <c r="Z6944">
        <v>1.020858E-2</v>
      </c>
      <c r="AA6944">
        <v>0.98680129999999999</v>
      </c>
      <c r="AB6944">
        <v>33</v>
      </c>
      <c r="AC6944">
        <v>9.7659000000000091</v>
      </c>
      <c r="AD6944">
        <v>-1.1113059201102999</v>
      </c>
      <c r="AE6944">
        <v>1.6311099999999901</v>
      </c>
      <c r="AF6944">
        <v>-1.6193222206420399</v>
      </c>
      <c r="AG6944">
        <v>-1.1113059201102999</v>
      </c>
      <c r="AH6944">
        <v>9.6429777253373299</v>
      </c>
      <c r="AI6944">
        <v>96.484056590144704</v>
      </c>
      <c r="AJ6944">
        <v>99.532602022701795</v>
      </c>
      <c r="AK6944">
        <v>9.8409463322227904</v>
      </c>
      <c r="AL6944">
        <v>67.0718306825583</v>
      </c>
      <c r="AM6944">
        <v>103.420956410865</v>
      </c>
      <c r="AN6944">
        <v>0.99999999629110403</v>
      </c>
    </row>
    <row r="6945" spans="1:40" x14ac:dyDescent="0.25">
      <c r="A6945" t="str">
        <f>"20190304165020240"</f>
        <v>20190304165020240</v>
      </c>
      <c r="B6945" t="str">
        <f>"1551689420232102"</f>
        <v>1551689420232102</v>
      </c>
      <c r="C6945" t="s">
        <v>40</v>
      </c>
      <c r="D6945">
        <v>4.4527400000000004</v>
      </c>
      <c r="E6945">
        <v>0.53056479999999995</v>
      </c>
      <c r="F6945" t="s">
        <v>56</v>
      </c>
      <c r="G6945">
        <v>-223.43879999999999</v>
      </c>
      <c r="H6945" s="1">
        <v>-8.7040449999999998E-7</v>
      </c>
      <c r="I6945">
        <v>-61.629969999999901</v>
      </c>
      <c r="J6945">
        <v>-233.16390000000001</v>
      </c>
      <c r="K6945">
        <v>1.111305</v>
      </c>
      <c r="L6945">
        <v>-63.246670000000002</v>
      </c>
      <c r="M6945">
        <v>0.99989519999999998</v>
      </c>
      <c r="N6945">
        <v>-1.4464960000000001E-2</v>
      </c>
      <c r="O6945">
        <v>-7.1326349999999996E-4</v>
      </c>
      <c r="P6945">
        <v>0.90146040000000005</v>
      </c>
      <c r="Q6945">
        <v>0.37666070000000001</v>
      </c>
      <c r="R6945">
        <v>0.21329809999999999</v>
      </c>
      <c r="S6945">
        <v>3.3556520000000001</v>
      </c>
      <c r="T6945">
        <v>-0.37709199999999998</v>
      </c>
      <c r="U6945">
        <v>0.54858399999999996</v>
      </c>
      <c r="V6945">
        <v>-0.21420549999999999</v>
      </c>
      <c r="W6945">
        <v>0.38951360000000002</v>
      </c>
      <c r="X6945">
        <v>0.89576509999999998</v>
      </c>
      <c r="Y6945">
        <v>-0.16092229999999999</v>
      </c>
      <c r="Z6945">
        <v>1.0199379999999999E-2</v>
      </c>
      <c r="AA6945">
        <v>0.98691439999999997</v>
      </c>
      <c r="AB6945">
        <v>33</v>
      </c>
      <c r="AC6945">
        <v>9.7251000000000207</v>
      </c>
      <c r="AD6945">
        <v>-1.1113058704045</v>
      </c>
      <c r="AE6945">
        <v>1.6167</v>
      </c>
      <c r="AF6945">
        <v>-1.6032643407943501</v>
      </c>
      <c r="AG6945">
        <v>-1.1113058704045</v>
      </c>
      <c r="AH6945">
        <v>9.6019333906510909</v>
      </c>
      <c r="AI6945">
        <v>96.512539230610898</v>
      </c>
      <c r="AJ6945">
        <v>99.479402759563101</v>
      </c>
      <c r="AK6945">
        <v>9.79809073863672</v>
      </c>
      <c r="AL6945">
        <v>67.075761895569201</v>
      </c>
      <c r="AM6945">
        <v>103.448663585746</v>
      </c>
      <c r="AN6945">
        <v>0.99999997759660897</v>
      </c>
    </row>
    <row r="6946" spans="1:40" x14ac:dyDescent="0.25">
      <c r="A6946" t="str">
        <f>"20190304165020251"</f>
        <v>20190304165020251</v>
      </c>
      <c r="B6946" t="str">
        <f>"1551689420242838"</f>
        <v>1551689420242838</v>
      </c>
      <c r="C6946" t="s">
        <v>40</v>
      </c>
      <c r="D6946">
        <v>4.44977</v>
      </c>
      <c r="E6946">
        <v>0.53120259999999997</v>
      </c>
      <c r="F6946" t="s">
        <v>56</v>
      </c>
      <c r="G6946">
        <v>-223.4385</v>
      </c>
      <c r="H6946" s="1">
        <v>-8.7841019999999997E-7</v>
      </c>
      <c r="I6946">
        <v>-61.666469999999997</v>
      </c>
      <c r="J6946">
        <v>-232.9984</v>
      </c>
      <c r="K6946">
        <v>1.1113010000000001</v>
      </c>
      <c r="L6946">
        <v>-63.246609999999997</v>
      </c>
      <c r="M6946">
        <v>0.99989539999999999</v>
      </c>
      <c r="N6946">
        <v>-1.4463169999999999E-2</v>
      </c>
      <c r="O6946">
        <v>-5.435123E-4</v>
      </c>
      <c r="P6946">
        <v>0.9012945</v>
      </c>
      <c r="Q6946">
        <v>0.37677080000000002</v>
      </c>
      <c r="R6946">
        <v>0.2138041</v>
      </c>
      <c r="S6946">
        <v>3.3591609999999998</v>
      </c>
      <c r="T6946">
        <v>-0.38384839999999998</v>
      </c>
      <c r="U6946">
        <v>0.54580689999999998</v>
      </c>
      <c r="V6946">
        <v>-0.214558</v>
      </c>
      <c r="W6946">
        <v>0.38961990000000002</v>
      </c>
      <c r="X6946">
        <v>0.895634499999999</v>
      </c>
      <c r="Y6946">
        <v>-0.15976889999999999</v>
      </c>
      <c r="Z6946">
        <v>1.026083E-2</v>
      </c>
      <c r="AA6946">
        <v>0.98710109999999995</v>
      </c>
      <c r="AB6946">
        <v>32</v>
      </c>
      <c r="AC6946">
        <v>9.5599000000000007</v>
      </c>
      <c r="AD6946">
        <v>-1.11130187841019</v>
      </c>
      <c r="AE6946">
        <v>1.5801399999999901</v>
      </c>
      <c r="AF6946">
        <v>-1.5647537593570799</v>
      </c>
      <c r="AG6946">
        <v>-1.11130187841019</v>
      </c>
      <c r="AH6946">
        <v>9.4349343413130207</v>
      </c>
      <c r="AI6946">
        <v>96.627969495373506</v>
      </c>
      <c r="AJ6946">
        <v>99.416611368154506</v>
      </c>
      <c r="AK6946">
        <v>9.6281582983075094</v>
      </c>
      <c r="AL6946">
        <v>67.069148968412094</v>
      </c>
      <c r="AM6946">
        <v>103.471881627562</v>
      </c>
      <c r="AN6946">
        <v>0.99999997971512899</v>
      </c>
    </row>
    <row r="6947" spans="1:40" x14ac:dyDescent="0.25">
      <c r="A6947" t="str">
        <f>"20190304165020261"</f>
        <v>20190304165020261</v>
      </c>
      <c r="B6947" t="str">
        <f>"1551689420252598"</f>
        <v>1551689420252598</v>
      </c>
      <c r="C6947" t="s">
        <v>40</v>
      </c>
      <c r="D6947">
        <v>4.441732</v>
      </c>
      <c r="E6947">
        <v>0.53172390000000003</v>
      </c>
      <c r="F6947" t="s">
        <v>56</v>
      </c>
      <c r="G6947">
        <v>-223.393</v>
      </c>
      <c r="H6947" s="1">
        <v>-8.6513130000000002E-7</v>
      </c>
      <c r="I6947">
        <v>-61.694580000000002</v>
      </c>
      <c r="J6947">
        <v>-232.85550000000001</v>
      </c>
      <c r="K6947">
        <v>1.1113</v>
      </c>
      <c r="L6947">
        <v>-63.246580000000002</v>
      </c>
      <c r="M6947">
        <v>0.99989550000000005</v>
      </c>
      <c r="N6947">
        <v>-1.446162E-2</v>
      </c>
      <c r="O6947">
        <v>-3.9640969999999999E-4</v>
      </c>
      <c r="P6947">
        <v>0.90108509999999997</v>
      </c>
      <c r="Q6947">
        <v>0.37698730000000003</v>
      </c>
      <c r="R6947">
        <v>0.2143043</v>
      </c>
      <c r="S6947">
        <v>3.3622890000000001</v>
      </c>
      <c r="T6947">
        <v>-0.38900109999999999</v>
      </c>
      <c r="U6947">
        <v>0.54327389999999998</v>
      </c>
      <c r="V6947">
        <v>-0.2149257</v>
      </c>
      <c r="W6947">
        <v>0.38983230000000002</v>
      </c>
      <c r="X6947">
        <v>0.89545390000000002</v>
      </c>
      <c r="Y6947">
        <v>-0.1587346</v>
      </c>
      <c r="Z6947">
        <v>1.029269E-2</v>
      </c>
      <c r="AA6947">
        <v>0.98726760000000002</v>
      </c>
      <c r="AB6947">
        <v>32</v>
      </c>
      <c r="AC6947">
        <v>9.4625000000000004</v>
      </c>
      <c r="AD6947">
        <v>-1.1113008651313001</v>
      </c>
      <c r="AE6947">
        <v>1.5519999999999901</v>
      </c>
      <c r="AF6947">
        <v>-1.5351322464869099</v>
      </c>
      <c r="AG6947">
        <v>-1.1113008651313001</v>
      </c>
      <c r="AH6947">
        <v>9.3364814918010293</v>
      </c>
      <c r="AI6947">
        <v>96.698742624671794</v>
      </c>
      <c r="AJ6947">
        <v>99.337198349161298</v>
      </c>
      <c r="AK6947">
        <v>9.5268833977218801</v>
      </c>
      <c r="AL6947">
        <v>67.055934561836494</v>
      </c>
      <c r="AM6947">
        <v>103.49674750451901</v>
      </c>
      <c r="AN6947">
        <v>0.99999998283449398</v>
      </c>
    </row>
    <row r="6948" spans="1:40" x14ac:dyDescent="0.25">
      <c r="A6948" t="str">
        <f>"20190304165020272"</f>
        <v>20190304165020272</v>
      </c>
      <c r="B6948" t="str">
        <f>"1551689420262358"</f>
        <v>1551689420262358</v>
      </c>
      <c r="C6948" t="s">
        <v>40</v>
      </c>
      <c r="D6948">
        <v>4.6515329999999997</v>
      </c>
      <c r="E6948">
        <v>0.53198299999999998</v>
      </c>
      <c r="F6948" t="s">
        <v>56</v>
      </c>
      <c r="G6948">
        <v>-223.35390000000001</v>
      </c>
      <c r="H6948" s="1">
        <v>-8.5392839999999999E-7</v>
      </c>
      <c r="I6948">
        <v>-61.719709999999999</v>
      </c>
      <c r="J6948">
        <v>-232.69589999999999</v>
      </c>
      <c r="K6948">
        <v>1.1113</v>
      </c>
      <c r="L6948">
        <v>-63.246459999999999</v>
      </c>
      <c r="M6948">
        <v>0.99989550000000005</v>
      </c>
      <c r="N6948">
        <v>-1.4459899999999999E-2</v>
      </c>
      <c r="O6948">
        <v>-2.3237919999999999E-4</v>
      </c>
      <c r="P6948">
        <v>0.90085870000000001</v>
      </c>
      <c r="Q6948">
        <v>0.3770654</v>
      </c>
      <c r="R6948">
        <v>0.21511730000000001</v>
      </c>
      <c r="S6948">
        <v>3.3653719999999998</v>
      </c>
      <c r="T6948">
        <v>-0.39361109999999999</v>
      </c>
      <c r="U6948">
        <v>0.540802</v>
      </c>
      <c r="V6948">
        <v>-0.2155908</v>
      </c>
      <c r="W6948">
        <v>0.38990580000000002</v>
      </c>
      <c r="X6948">
        <v>0.89526209999999995</v>
      </c>
      <c r="Y6948">
        <v>-0.15770770000000001</v>
      </c>
      <c r="Z6948">
        <v>1.030875E-2</v>
      </c>
      <c r="AA6948">
        <v>0.98743210000000003</v>
      </c>
      <c r="AB6948">
        <v>32</v>
      </c>
      <c r="AC6948">
        <v>9.3419999999999792</v>
      </c>
      <c r="AD6948">
        <v>-1.11130085392839</v>
      </c>
      <c r="AE6948">
        <v>1.5267499999999901</v>
      </c>
      <c r="AF6948">
        <v>-1.50813480973092</v>
      </c>
      <c r="AG6948">
        <v>-1.11130085392839</v>
      </c>
      <c r="AH6948">
        <v>9.2146417168838308</v>
      </c>
      <c r="AI6948">
        <v>96.787307030481998</v>
      </c>
      <c r="AJ6948">
        <v>99.295030525748601</v>
      </c>
      <c r="AK6948">
        <v>9.4031421430711095</v>
      </c>
      <c r="AL6948">
        <v>67.051363733066495</v>
      </c>
      <c r="AM6948">
        <v>103.539772551239</v>
      </c>
      <c r="AN6948">
        <v>1.00000007680734</v>
      </c>
    </row>
    <row r="6949" spans="1:40" x14ac:dyDescent="0.25">
      <c r="A6949" t="str">
        <f>"20190304165020285"</f>
        <v>20190304165020285</v>
      </c>
      <c r="B6949" t="str">
        <f>"1551689420272119"</f>
        <v>1551689420272119</v>
      </c>
      <c r="C6949" t="s">
        <v>40</v>
      </c>
      <c r="D6949">
        <v>4.4435840000000004</v>
      </c>
      <c r="E6949">
        <v>0.53242630000000002</v>
      </c>
      <c r="F6949" t="s">
        <v>56</v>
      </c>
      <c r="G6949">
        <v>-223.29910000000001</v>
      </c>
      <c r="H6949" s="1">
        <v>-8.3399619999999996E-7</v>
      </c>
      <c r="I6949">
        <v>-61.735790000000001</v>
      </c>
      <c r="J6949">
        <v>-232.5316</v>
      </c>
      <c r="K6949">
        <v>1.1113010000000001</v>
      </c>
      <c r="L6949">
        <v>-63.246339999999996</v>
      </c>
      <c r="M6949">
        <v>0.99989550000000005</v>
      </c>
      <c r="N6949">
        <v>-1.445812E-2</v>
      </c>
      <c r="O6949" s="1">
        <v>-6.2263640000000001E-5</v>
      </c>
      <c r="P6949">
        <v>0.90062679999999995</v>
      </c>
      <c r="Q6949">
        <v>0.3772259</v>
      </c>
      <c r="R6949">
        <v>0.215805</v>
      </c>
      <c r="S6949">
        <v>3.367569</v>
      </c>
      <c r="T6949">
        <v>-0.39826</v>
      </c>
      <c r="U6949">
        <v>0.54138180000000002</v>
      </c>
      <c r="V6949">
        <v>-0.21612509999999999</v>
      </c>
      <c r="W6949">
        <v>0.39006200000000002</v>
      </c>
      <c r="X6949">
        <v>0.89506509999999995</v>
      </c>
      <c r="Y6949">
        <v>-0.15758150000000001</v>
      </c>
      <c r="Z6949">
        <v>1.0384310000000001E-2</v>
      </c>
      <c r="AA6949">
        <v>0.98745139999999998</v>
      </c>
      <c r="AB6949">
        <v>32</v>
      </c>
      <c r="AC6949">
        <v>9.2324999999999804</v>
      </c>
      <c r="AD6949">
        <v>-1.1113018339962</v>
      </c>
      <c r="AE6949">
        <v>1.5105500000000001</v>
      </c>
      <c r="AF6949">
        <v>-1.49009837474422</v>
      </c>
      <c r="AG6949">
        <v>-1.1113018339962</v>
      </c>
      <c r="AH6949">
        <v>9.1039417057980305</v>
      </c>
      <c r="AI6949">
        <v>96.869050173442602</v>
      </c>
      <c r="AJ6949">
        <v>99.295530238564794</v>
      </c>
      <c r="AK6949">
        <v>9.2917780599424304</v>
      </c>
      <c r="AL6949">
        <v>67.0416421884063</v>
      </c>
      <c r="AM6949">
        <v>103.57496510824301</v>
      </c>
      <c r="AN6949">
        <v>0.99999997796600903</v>
      </c>
    </row>
    <row r="6950" spans="1:40" x14ac:dyDescent="0.25">
      <c r="A6950" t="str">
        <f>"20190304165020294"</f>
        <v>20190304165020294</v>
      </c>
      <c r="B6950" t="str">
        <f>"1551689420291906"</f>
        <v>1551689420291906</v>
      </c>
      <c r="C6950" t="s">
        <v>40</v>
      </c>
      <c r="D6950">
        <v>4.4705909999999998</v>
      </c>
      <c r="E6950">
        <v>0.53322179999999997</v>
      </c>
      <c r="F6950" t="s">
        <v>56</v>
      </c>
      <c r="G6950">
        <v>-223.21889999999999</v>
      </c>
      <c r="H6950" s="1">
        <v>-8.0406199999999996E-7</v>
      </c>
      <c r="I6950">
        <v>-61.755859999999998</v>
      </c>
      <c r="J6950">
        <v>-232.37360000000001</v>
      </c>
      <c r="K6950">
        <v>1.1113029999999999</v>
      </c>
      <c r="L6950">
        <v>-63.24615</v>
      </c>
      <c r="M6950">
        <v>0.9998956</v>
      </c>
      <c r="N6950">
        <v>-1.4456409999999999E-2</v>
      </c>
      <c r="O6950">
        <v>1.0141620000000001E-4</v>
      </c>
      <c r="P6950">
        <v>0.90052659999999995</v>
      </c>
      <c r="Q6950">
        <v>0.37716100000000002</v>
      </c>
      <c r="R6950">
        <v>0.21633669999999999</v>
      </c>
      <c r="S6950">
        <v>3.3702239999999999</v>
      </c>
      <c r="T6950">
        <v>-0.40217599999999998</v>
      </c>
      <c r="U6950">
        <v>0.53939820000000005</v>
      </c>
      <c r="V6950">
        <v>-0.2165096</v>
      </c>
      <c r="W6950">
        <v>0.38999349999999999</v>
      </c>
      <c r="X6950">
        <v>0.89500199999999996</v>
      </c>
      <c r="Y6950">
        <v>-0.1567181</v>
      </c>
      <c r="Z6950">
        <v>1.039327E-2</v>
      </c>
      <c r="AA6950">
        <v>0.98758869999999999</v>
      </c>
      <c r="AB6950">
        <v>32</v>
      </c>
      <c r="AC6950">
        <v>9.1547000000000196</v>
      </c>
      <c r="AD6950">
        <v>-1.111303804062</v>
      </c>
      <c r="AE6950">
        <v>1.4902899999999999</v>
      </c>
      <c r="AF6950">
        <v>-1.4682835213773699</v>
      </c>
      <c r="AG6950">
        <v>-1.111303804062</v>
      </c>
      <c r="AH6950">
        <v>9.0252886080788794</v>
      </c>
      <c r="AI6950">
        <v>96.929425469117405</v>
      </c>
      <c r="AJ6950">
        <v>99.240240448211296</v>
      </c>
      <c r="AK6950">
        <v>9.2112261454808202</v>
      </c>
      <c r="AL6950">
        <v>67.045904039109203</v>
      </c>
      <c r="AM6950">
        <v>103.599142940419</v>
      </c>
      <c r="AN6950">
        <v>0.99999995846920398</v>
      </c>
    </row>
    <row r="6951" spans="1:40" x14ac:dyDescent="0.25">
      <c r="A6951" t="str">
        <f>"20190304165020307"</f>
        <v>20190304165020307</v>
      </c>
      <c r="B6951" t="str">
        <f>"1551689420302642"</f>
        <v>1551689420302642</v>
      </c>
      <c r="C6951" t="s">
        <v>40</v>
      </c>
      <c r="D6951">
        <v>4.457484</v>
      </c>
      <c r="E6951">
        <v>0.53357969999999999</v>
      </c>
      <c r="F6951" t="s">
        <v>56</v>
      </c>
      <c r="G6951">
        <v>-223.2286</v>
      </c>
      <c r="H6951" s="1">
        <v>-8.1703099999999998E-7</v>
      </c>
      <c r="I6951">
        <v>-61.795380000000002</v>
      </c>
      <c r="J6951">
        <v>-232.1979</v>
      </c>
      <c r="K6951">
        <v>1.111305</v>
      </c>
      <c r="L6951">
        <v>-63.2459699999999</v>
      </c>
      <c r="M6951">
        <v>0.9998956</v>
      </c>
      <c r="N6951">
        <v>-1.445449E-2</v>
      </c>
      <c r="O6951">
        <v>2.848344E-4</v>
      </c>
      <c r="P6951">
        <v>0.90027659999999998</v>
      </c>
      <c r="Q6951">
        <v>0.37733650000000002</v>
      </c>
      <c r="R6951">
        <v>0.21707000000000001</v>
      </c>
      <c r="S6951">
        <v>3.3745270000000001</v>
      </c>
      <c r="T6951">
        <v>-0.41007379999999999</v>
      </c>
      <c r="U6951">
        <v>0.53533940000000002</v>
      </c>
      <c r="V6951">
        <v>-0.2170781</v>
      </c>
      <c r="W6951">
        <v>0.39016390000000001</v>
      </c>
      <c r="X6951">
        <v>0.89479010000000003</v>
      </c>
      <c r="Y6951">
        <v>-0.1551527</v>
      </c>
      <c r="Z6951">
        <v>1.0437480000000001E-2</v>
      </c>
      <c r="AA6951">
        <v>0.98783529999999997</v>
      </c>
      <c r="AB6951">
        <v>32</v>
      </c>
      <c r="AC6951">
        <v>8.9693000000000005</v>
      </c>
      <c r="AD6951">
        <v>-1.111305817031</v>
      </c>
      <c r="AE6951">
        <v>1.4505899999999901</v>
      </c>
      <c r="AF6951">
        <v>-1.42669135751198</v>
      </c>
      <c r="AG6951">
        <v>-1.111305817031</v>
      </c>
      <c r="AH6951">
        <v>8.8375022800140304</v>
      </c>
      <c r="AI6951">
        <v>97.076585109174303</v>
      </c>
      <c r="AJ6951">
        <v>99.170484075067193</v>
      </c>
      <c r="AK6951">
        <v>9.0206371946675397</v>
      </c>
      <c r="AL6951">
        <v>67.035303013319293</v>
      </c>
      <c r="AM6951">
        <v>103.636627937467</v>
      </c>
      <c r="AN6951">
        <v>1.00000004671041</v>
      </c>
    </row>
    <row r="6952" spans="1:40" x14ac:dyDescent="0.25">
      <c r="A6952" t="str">
        <f>"20190304165020319"</f>
        <v>20190304165020319</v>
      </c>
      <c r="B6952" t="str">
        <f>"1551689420312403"</f>
        <v>1551689420312403</v>
      </c>
      <c r="C6952" t="s">
        <v>40</v>
      </c>
      <c r="D6952">
        <v>4.4365819999999996</v>
      </c>
      <c r="E6952">
        <v>0.53387510000000005</v>
      </c>
      <c r="F6952" t="s">
        <v>56</v>
      </c>
      <c r="G6952">
        <v>-223.10290000000001</v>
      </c>
      <c r="H6952" s="1">
        <v>-7.6543009999999898E-7</v>
      </c>
      <c r="I6952">
        <v>-61.805860000000003</v>
      </c>
      <c r="J6952">
        <v>-232.02430000000001</v>
      </c>
      <c r="K6952">
        <v>1.1113150000000001</v>
      </c>
      <c r="L6952">
        <v>-63.245759999999997</v>
      </c>
      <c r="M6952">
        <v>0.99989550000000005</v>
      </c>
      <c r="N6952">
        <v>-1.4452599999999999E-2</v>
      </c>
      <c r="O6952">
        <v>4.6640560000000002E-4</v>
      </c>
      <c r="P6952">
        <v>0.90004240000000002</v>
      </c>
      <c r="Q6952">
        <v>0.37761650000000002</v>
      </c>
      <c r="R6952">
        <v>0.2175532</v>
      </c>
      <c r="S6952">
        <v>3.376312</v>
      </c>
      <c r="T6952">
        <v>-0.41254580000000002</v>
      </c>
      <c r="U6952">
        <v>0.5346069</v>
      </c>
      <c r="V6952">
        <v>-0.21739910000000001</v>
      </c>
      <c r="W6952">
        <v>0.39043870000000003</v>
      </c>
      <c r="X6952">
        <v>0.89459219999999895</v>
      </c>
      <c r="Y6952">
        <v>-0.15467529999999999</v>
      </c>
      <c r="Z6952">
        <v>1.0436590000000001E-2</v>
      </c>
      <c r="AA6952">
        <v>0.98791019999999896</v>
      </c>
      <c r="AB6952">
        <v>32</v>
      </c>
      <c r="AC6952">
        <v>8.9214000000000002</v>
      </c>
      <c r="AD6952">
        <v>-1.1113157654301</v>
      </c>
      <c r="AE6952">
        <v>1.4399</v>
      </c>
      <c r="AF6952">
        <v>-1.41434908476726</v>
      </c>
      <c r="AG6952">
        <v>-1.1113157654301</v>
      </c>
      <c r="AH6952">
        <v>8.7891515180326198</v>
      </c>
      <c r="AI6952">
        <v>97.115750915749004</v>
      </c>
      <c r="AJ6952">
        <v>99.141658419110897</v>
      </c>
      <c r="AK6952">
        <v>8.9713204418864994</v>
      </c>
      <c r="AL6952">
        <v>67.018200062541794</v>
      </c>
      <c r="AM6952">
        <v>103.658946124607</v>
      </c>
      <c r="AN6952">
        <v>0.99999997571966903</v>
      </c>
    </row>
    <row r="6953" spans="1:40" x14ac:dyDescent="0.25">
      <c r="A6953" t="str">
        <f>"20190304165020328"</f>
        <v>20190304165020328</v>
      </c>
      <c r="B6953" t="str">
        <f>"1551689420322162"</f>
        <v>1551689420322162</v>
      </c>
      <c r="C6953" t="s">
        <v>40</v>
      </c>
      <c r="D6953">
        <v>4.4404830000000004</v>
      </c>
      <c r="E6953">
        <v>0.53422519999999996</v>
      </c>
      <c r="F6953" t="s">
        <v>56</v>
      </c>
      <c r="G6953">
        <v>-222.96610000000001</v>
      </c>
      <c r="H6953" s="1">
        <v>-7.0796240000000002E-7</v>
      </c>
      <c r="I6953">
        <v>-61.811360000000001</v>
      </c>
      <c r="J6953">
        <v>-231.87520000000001</v>
      </c>
      <c r="K6953">
        <v>1.1113219999999999</v>
      </c>
      <c r="L6953">
        <v>-63.245510000000003</v>
      </c>
      <c r="M6953">
        <v>0.99989550000000005</v>
      </c>
      <c r="N6953">
        <v>-1.4451E-2</v>
      </c>
      <c r="O6953">
        <v>6.2294179999999996E-4</v>
      </c>
      <c r="P6953">
        <v>0.89967859999999999</v>
      </c>
      <c r="Q6953">
        <v>0.3781368</v>
      </c>
      <c r="R6953">
        <v>0.21815419999999999</v>
      </c>
      <c r="S6953">
        <v>3.377777</v>
      </c>
      <c r="T6953">
        <v>-0.41440700000000003</v>
      </c>
      <c r="U6953">
        <v>0.53488159999999996</v>
      </c>
      <c r="V6953">
        <v>-0.21786030000000001</v>
      </c>
      <c r="W6953">
        <v>0.39095180000000002</v>
      </c>
      <c r="X6953">
        <v>0.89425589999999999</v>
      </c>
      <c r="Y6953">
        <v>-0.1545253</v>
      </c>
      <c r="Z6953">
        <v>1.0447140000000001E-2</v>
      </c>
      <c r="AA6953">
        <v>0.98793359999999997</v>
      </c>
      <c r="AB6953">
        <v>32</v>
      </c>
      <c r="AC6953">
        <v>8.9090999999999898</v>
      </c>
      <c r="AD6953">
        <v>-1.1113227079624</v>
      </c>
      <c r="AE6953">
        <v>1.43414999999999</v>
      </c>
      <c r="AF6953">
        <v>-1.40725533265737</v>
      </c>
      <c r="AG6953">
        <v>-1.1113227079624</v>
      </c>
      <c r="AH6953">
        <v>8.7768722017160297</v>
      </c>
      <c r="AI6953">
        <v>97.126291982817406</v>
      </c>
      <c r="AJ6953">
        <v>99.109089752766295</v>
      </c>
      <c r="AK6953">
        <v>8.9581745561124908</v>
      </c>
      <c r="AL6953">
        <v>66.986264278270099</v>
      </c>
      <c r="AM6953">
        <v>103.691787535465</v>
      </c>
      <c r="AN6953">
        <v>1.00000001746206</v>
      </c>
    </row>
    <row r="6954" spans="1:40" x14ac:dyDescent="0.25">
      <c r="A6954" t="str">
        <f>"20190304165020339"</f>
        <v>20190304165020339</v>
      </c>
      <c r="B6954" t="str">
        <f>"1551689420331922"</f>
        <v>1551689420331922</v>
      </c>
      <c r="C6954" t="s">
        <v>40</v>
      </c>
      <c r="D6954">
        <v>4.4486910000000002</v>
      </c>
      <c r="E6954">
        <v>0.53449780000000002</v>
      </c>
      <c r="F6954" t="s">
        <v>56</v>
      </c>
      <c r="G6954">
        <v>-222.84790000000001</v>
      </c>
      <c r="H6954" s="1">
        <v>-6.5852149999999999E-7</v>
      </c>
      <c r="I6954">
        <v>-61.817070000000001</v>
      </c>
      <c r="J6954">
        <v>-231.72370000000001</v>
      </c>
      <c r="K6954">
        <v>1.111324</v>
      </c>
      <c r="L6954">
        <v>-63.245240000000003</v>
      </c>
      <c r="M6954">
        <v>0.99989530000000004</v>
      </c>
      <c r="N6954">
        <v>-1.444935E-2</v>
      </c>
      <c r="O6954">
        <v>7.8257730000000001E-4</v>
      </c>
      <c r="P6954">
        <v>0.89937009999999995</v>
      </c>
      <c r="Q6954">
        <v>0.37853599999999998</v>
      </c>
      <c r="R6954">
        <v>0.2187326</v>
      </c>
      <c r="S6954">
        <v>3.379715</v>
      </c>
      <c r="T6954">
        <v>-0.4160644</v>
      </c>
      <c r="U6954">
        <v>0.53478999999999999</v>
      </c>
      <c r="V6954">
        <v>-0.21829599999999999</v>
      </c>
      <c r="W6954">
        <v>0.39134550000000001</v>
      </c>
      <c r="X6954">
        <v>0.89397729999999997</v>
      </c>
      <c r="Y6954">
        <v>-0.154249</v>
      </c>
      <c r="Z6954">
        <v>1.0442730000000001E-2</v>
      </c>
      <c r="AA6954">
        <v>0.98797679999999999</v>
      </c>
      <c r="AB6954">
        <v>32</v>
      </c>
      <c r="AC6954">
        <v>8.8757999999999893</v>
      </c>
      <c r="AD6954">
        <v>-1.1113246585215</v>
      </c>
      <c r="AE6954">
        <v>1.4281699999999999</v>
      </c>
      <c r="AF6954">
        <v>-1.3998313261026101</v>
      </c>
      <c r="AG6954">
        <v>-1.1113246585215</v>
      </c>
      <c r="AH6954">
        <v>8.7433043137565303</v>
      </c>
      <c r="AI6954">
        <v>97.153639514229994</v>
      </c>
      <c r="AJ6954">
        <v>99.096044248578806</v>
      </c>
      <c r="AK6954">
        <v>8.9241212766932705</v>
      </c>
      <c r="AL6954">
        <v>66.961751978163605</v>
      </c>
      <c r="AM6954">
        <v>103.722249800584</v>
      </c>
      <c r="AN6954">
        <v>0.99999992845076702</v>
      </c>
    </row>
    <row r="6955" spans="1:40" x14ac:dyDescent="0.25">
      <c r="A6955" t="str">
        <f>"20190304165020350"</f>
        <v>20190304165020350</v>
      </c>
      <c r="B6955" t="str">
        <f>"1551689420342658"</f>
        <v>1551689420342658</v>
      </c>
      <c r="C6955" t="s">
        <v>40</v>
      </c>
      <c r="D6955">
        <v>4.4087059999999996</v>
      </c>
      <c r="E6955">
        <v>0.53474189999999999</v>
      </c>
      <c r="F6955" t="s">
        <v>56</v>
      </c>
      <c r="G6955">
        <v>-222.738</v>
      </c>
      <c r="H6955" s="1">
        <v>-6.1215949999999998E-7</v>
      </c>
      <c r="I6955">
        <v>-61.82056</v>
      </c>
      <c r="J6955">
        <v>-231.56299999999999</v>
      </c>
      <c r="K6955">
        <v>1.1113299999999999</v>
      </c>
      <c r="L6955">
        <v>-63.244959999999999</v>
      </c>
      <c r="M6955">
        <v>0.99989519999999998</v>
      </c>
      <c r="N6955">
        <v>-1.44476E-2</v>
      </c>
      <c r="O6955">
        <v>9.5210759999999998E-4</v>
      </c>
      <c r="P6955">
        <v>0.89920739999999999</v>
      </c>
      <c r="Q6955">
        <v>0.37856450000000003</v>
      </c>
      <c r="R6955">
        <v>0.2193515</v>
      </c>
      <c r="S6955">
        <v>3.3812869999999999</v>
      </c>
      <c r="T6955">
        <v>-0.4181898</v>
      </c>
      <c r="U6955">
        <v>0.53610230000000003</v>
      </c>
      <c r="V6955">
        <v>-0.21876370000000001</v>
      </c>
      <c r="W6955">
        <v>0.39136959999999998</v>
      </c>
      <c r="X6955">
        <v>0.89385249999999905</v>
      </c>
      <c r="Y6955">
        <v>-0.1543736</v>
      </c>
      <c r="Z6955">
        <v>1.047551E-2</v>
      </c>
      <c r="AA6955">
        <v>0.98795699999999997</v>
      </c>
      <c r="AB6955">
        <v>32</v>
      </c>
      <c r="AC6955">
        <v>8.8249999999999797</v>
      </c>
      <c r="AD6955">
        <v>-1.1113306121594999</v>
      </c>
      <c r="AE6955">
        <v>1.4243999999999899</v>
      </c>
      <c r="AF6955">
        <v>-1.3944440564057199</v>
      </c>
      <c r="AG6955">
        <v>-1.1113306121594999</v>
      </c>
      <c r="AH6955">
        <v>8.6920114358718301</v>
      </c>
      <c r="AI6955">
        <v>97.195089632615506</v>
      </c>
      <c r="AJ6955">
        <v>99.114198955133602</v>
      </c>
      <c r="AK6955">
        <v>8.87302613302219</v>
      </c>
      <c r="AL6955">
        <v>66.960253356706502</v>
      </c>
      <c r="AM6955">
        <v>103.752381908676</v>
      </c>
      <c r="AN6955">
        <v>1.0000000059990399</v>
      </c>
    </row>
    <row r="6956" spans="1:40" x14ac:dyDescent="0.25">
      <c r="A6956" t="str">
        <f>"20190304165020362"</f>
        <v>20190304165020362</v>
      </c>
      <c r="B6956" t="str">
        <f>"1551689420352418"</f>
        <v>1551689420352418</v>
      </c>
      <c r="C6956" t="s">
        <v>40</v>
      </c>
      <c r="D6956">
        <v>4.4251670000000001</v>
      </c>
      <c r="E6956">
        <v>0.53495360000000003</v>
      </c>
      <c r="F6956" t="s">
        <v>56</v>
      </c>
      <c r="G6956">
        <v>-222.63149999999999</v>
      </c>
      <c r="H6956" s="1">
        <v>-5.6753300000000003E-7</v>
      </c>
      <c r="I6956">
        <v>-61.825429999999997</v>
      </c>
      <c r="J6956">
        <v>-231.40700000000001</v>
      </c>
      <c r="K6956">
        <v>1.1113309999999901</v>
      </c>
      <c r="L6956">
        <v>-63.244660000000003</v>
      </c>
      <c r="M6956">
        <v>0.99989510000000004</v>
      </c>
      <c r="N6956">
        <v>-1.4445909999999999E-2</v>
      </c>
      <c r="O6956">
        <v>1.117224E-3</v>
      </c>
      <c r="P6956">
        <v>0.89901149999999996</v>
      </c>
      <c r="Q6956">
        <v>0.37855490000000003</v>
      </c>
      <c r="R6956">
        <v>0.22017010000000001</v>
      </c>
      <c r="S6956">
        <v>3.3823240000000001</v>
      </c>
      <c r="T6956">
        <v>-0.42085280000000003</v>
      </c>
      <c r="U6956">
        <v>0.53756709999999996</v>
      </c>
      <c r="V6956">
        <v>-0.2194343</v>
      </c>
      <c r="W6956">
        <v>0.39135510000000001</v>
      </c>
      <c r="X6956">
        <v>0.89369449999999995</v>
      </c>
      <c r="Y6956">
        <v>-0.1545658</v>
      </c>
      <c r="Z6956">
        <v>1.0526580000000001E-2</v>
      </c>
      <c r="AA6956">
        <v>0.98792639999999998</v>
      </c>
      <c r="AB6956">
        <v>32</v>
      </c>
      <c r="AC6956">
        <v>8.7755000000000205</v>
      </c>
      <c r="AD6956">
        <v>-1.11133156753299</v>
      </c>
      <c r="AE6956">
        <v>1.41922999999999</v>
      </c>
      <c r="AF6956">
        <v>-1.3877350206094801</v>
      </c>
      <c r="AG6956">
        <v>-1.11133156753299</v>
      </c>
      <c r="AH6956">
        <v>8.6420144827182597</v>
      </c>
      <c r="AI6956">
        <v>97.236111744059997</v>
      </c>
      <c r="AJ6956">
        <v>99.122678210199894</v>
      </c>
      <c r="AK6956">
        <v>8.8229972605647706</v>
      </c>
      <c r="AL6956">
        <v>66.961157053002196</v>
      </c>
      <c r="AM6956">
        <v>103.795276310687</v>
      </c>
      <c r="AN6956">
        <v>1.00000004282137</v>
      </c>
    </row>
    <row r="6957" spans="1:40" x14ac:dyDescent="0.25">
      <c r="A6957" t="str">
        <f>"20190304165020372"</f>
        <v>20190304165020372</v>
      </c>
      <c r="B6957" t="str">
        <f>"1551689420362179"</f>
        <v>1551689420362179</v>
      </c>
      <c r="C6957" t="s">
        <v>40</v>
      </c>
      <c r="D6957">
        <v>4.4399249999999997</v>
      </c>
      <c r="E6957">
        <v>0.53517320000000002</v>
      </c>
      <c r="F6957" t="s">
        <v>56</v>
      </c>
      <c r="G6957">
        <v>-222.5401</v>
      </c>
      <c r="H6957" s="1">
        <v>-5.2924369999999997E-7</v>
      </c>
      <c r="I6957">
        <v>-61.829430000000002</v>
      </c>
      <c r="J6957">
        <v>-231.24520000000001</v>
      </c>
      <c r="K6957">
        <v>1.111334</v>
      </c>
      <c r="L6957">
        <v>-63.244289999999999</v>
      </c>
      <c r="M6957">
        <v>0.99989490000000003</v>
      </c>
      <c r="N6957">
        <v>-1.4444159999999999E-2</v>
      </c>
      <c r="O6957">
        <v>1.288956E-3</v>
      </c>
      <c r="P6957">
        <v>0.89880869999999902</v>
      </c>
      <c r="Q6957">
        <v>0.37854460000000001</v>
      </c>
      <c r="R6957">
        <v>0.22101370000000001</v>
      </c>
      <c r="S6957">
        <v>3.3833160000000002</v>
      </c>
      <c r="T6957">
        <v>-0.42405150000000003</v>
      </c>
      <c r="U6957">
        <v>0.5400085</v>
      </c>
      <c r="V6957">
        <v>-0.2201244</v>
      </c>
      <c r="W6957">
        <v>0.39134069999999999</v>
      </c>
      <c r="X6957">
        <v>0.89353099999999996</v>
      </c>
      <c r="Y6957">
        <v>-0.15502589999999999</v>
      </c>
      <c r="Z6957">
        <v>1.0607139999999999E-2</v>
      </c>
      <c r="AA6957">
        <v>0.98785350000000005</v>
      </c>
      <c r="AB6957">
        <v>32</v>
      </c>
      <c r="AC6957">
        <v>8.7051000000000105</v>
      </c>
      <c r="AD6957">
        <v>-1.11133452924369</v>
      </c>
      <c r="AE6957">
        <v>1.41485999999999</v>
      </c>
      <c r="AF6957">
        <v>-1.3816974320650901</v>
      </c>
      <c r="AG6957">
        <v>-1.11133452924369</v>
      </c>
      <c r="AH6957">
        <v>8.5708220678310099</v>
      </c>
      <c r="AI6957">
        <v>97.294879471544704</v>
      </c>
      <c r="AJ6957">
        <v>99.1578302987716</v>
      </c>
      <c r="AK6957">
        <v>8.7523221574667591</v>
      </c>
      <c r="AL6957">
        <v>66.962051881004697</v>
      </c>
      <c r="AM6957">
        <v>103.83943087242</v>
      </c>
      <c r="AN6957">
        <v>0.99999997145642405</v>
      </c>
    </row>
    <row r="6958" spans="1:40" x14ac:dyDescent="0.25">
      <c r="A6958" t="str">
        <f>"20190304165020384"</f>
        <v>20190304165020384</v>
      </c>
      <c r="B6958" t="str">
        <f>"1551689420372915"</f>
        <v>1551689420372915</v>
      </c>
      <c r="C6958" t="s">
        <v>40</v>
      </c>
      <c r="D6958">
        <v>4.4339760000000004</v>
      </c>
      <c r="E6958">
        <v>0.53538629999999998</v>
      </c>
      <c r="F6958" t="s">
        <v>56</v>
      </c>
      <c r="G6958">
        <v>-222.42939999999999</v>
      </c>
      <c r="H6958" s="1">
        <v>-4.8282690000000002E-7</v>
      </c>
      <c r="I6958">
        <v>-61.834299999999999</v>
      </c>
      <c r="J6958">
        <v>-231.08459999999999</v>
      </c>
      <c r="K6958">
        <v>1.1113390000000001</v>
      </c>
      <c r="L6958">
        <v>-63.243929999999999</v>
      </c>
      <c r="M6958">
        <v>0.99989470000000003</v>
      </c>
      <c r="N6958">
        <v>-1.444231E-2</v>
      </c>
      <c r="O6958">
        <v>1.4609289999999999E-3</v>
      </c>
      <c r="P6958">
        <v>0.89860839999999997</v>
      </c>
      <c r="Q6958">
        <v>0.37856339999999999</v>
      </c>
      <c r="R6958">
        <v>0.2217943</v>
      </c>
      <c r="S6958">
        <v>3.3843540000000001</v>
      </c>
      <c r="T6958">
        <v>-0.42663620000000002</v>
      </c>
      <c r="U6958">
        <v>0.5412903</v>
      </c>
      <c r="V6958">
        <v>-0.2207509</v>
      </c>
      <c r="W6958">
        <v>0.3913547</v>
      </c>
      <c r="X6958">
        <v>0.89337029999999995</v>
      </c>
      <c r="Y6958">
        <v>-0.155159299999999</v>
      </c>
      <c r="Z6958">
        <v>1.065143E-2</v>
      </c>
      <c r="AA6958">
        <v>0.98783209999999999</v>
      </c>
      <c r="AB6958">
        <v>32</v>
      </c>
      <c r="AC6958">
        <v>8.6552000000000007</v>
      </c>
      <c r="AD6958">
        <v>-1.1113394828269001</v>
      </c>
      <c r="AE6958">
        <v>1.4096299999999999</v>
      </c>
      <c r="AF6958">
        <v>-1.37490041432736</v>
      </c>
      <c r="AG6958">
        <v>-1.1113394828269001</v>
      </c>
      <c r="AH6958">
        <v>8.5204050210045796</v>
      </c>
      <c r="AI6958">
        <v>97.337429941783498</v>
      </c>
      <c r="AJ6958">
        <v>99.166551672433201</v>
      </c>
      <c r="AK6958">
        <v>8.7018807344945603</v>
      </c>
      <c r="AL6958">
        <v>66.961180353701593</v>
      </c>
      <c r="AM6958">
        <v>103.879698832852</v>
      </c>
      <c r="AN6958">
        <v>0.99999997699249399</v>
      </c>
    </row>
    <row r="6959" spans="1:40" x14ac:dyDescent="0.25">
      <c r="A6959" t="str">
        <f>"20190304165020396"</f>
        <v>20190304165020396</v>
      </c>
      <c r="B6959" t="str">
        <f>"1551689420392434"</f>
        <v>1551689420392434</v>
      </c>
      <c r="C6959" t="s">
        <v>40</v>
      </c>
      <c r="D6959">
        <v>4.3156330000000001</v>
      </c>
      <c r="E6959">
        <v>0.53575309999999998</v>
      </c>
      <c r="F6959" t="s">
        <v>56</v>
      </c>
      <c r="G6959">
        <v>-222.31970000000001</v>
      </c>
      <c r="H6959" s="1">
        <v>-4.3690889999999999E-7</v>
      </c>
      <c r="I6959">
        <v>-61.839440000000003</v>
      </c>
      <c r="J6959">
        <v>-230.92230000000001</v>
      </c>
      <c r="K6959">
        <v>1.1113409999999999</v>
      </c>
      <c r="L6959">
        <v>-63.24353</v>
      </c>
      <c r="M6959">
        <v>0.99989450000000002</v>
      </c>
      <c r="N6959">
        <v>-1.4440420000000001E-2</v>
      </c>
      <c r="O6959">
        <v>1.6351670000000001E-3</v>
      </c>
      <c r="P6959">
        <v>0.89826430000000002</v>
      </c>
      <c r="Q6959">
        <v>0.37875799999999998</v>
      </c>
      <c r="R6959">
        <v>0.2228541</v>
      </c>
      <c r="S6959">
        <v>3.385437</v>
      </c>
      <c r="T6959">
        <v>-0.42925410000000003</v>
      </c>
      <c r="U6959">
        <v>0.54248050000000003</v>
      </c>
      <c r="V6959">
        <v>-0.22165509999999999</v>
      </c>
      <c r="W6959">
        <v>0.3915421</v>
      </c>
      <c r="X6959">
        <v>0.89306430000000003</v>
      </c>
      <c r="Y6959">
        <v>-0.15526209999999999</v>
      </c>
      <c r="Z6959">
        <v>1.069376E-2</v>
      </c>
      <c r="AA6959">
        <v>0.98781540000000001</v>
      </c>
      <c r="AB6959">
        <v>32</v>
      </c>
      <c r="AC6959">
        <v>8.60259999999999</v>
      </c>
      <c r="AD6959">
        <v>-1.1113414369089001</v>
      </c>
      <c r="AE6959">
        <v>1.4040900000000001</v>
      </c>
      <c r="AF6959">
        <v>-1.36778506188918</v>
      </c>
      <c r="AG6959">
        <v>-1.1113414369089001</v>
      </c>
      <c r="AH6959">
        <v>8.4672400055214894</v>
      </c>
      <c r="AI6959">
        <v>97.382808490433504</v>
      </c>
      <c r="AJ6959">
        <v>99.176204249915699</v>
      </c>
      <c r="AK6959">
        <v>8.64870331760903</v>
      </c>
      <c r="AL6959">
        <v>66.949513079065298</v>
      </c>
      <c r="AM6959">
        <v>103.938927586753</v>
      </c>
      <c r="AN6959">
        <v>1.00000002168145</v>
      </c>
    </row>
    <row r="6960" spans="1:40" x14ac:dyDescent="0.25">
      <c r="A6960" t="str">
        <f>"20190304165020407"</f>
        <v>20190304165020407</v>
      </c>
      <c r="B6960" t="str">
        <f>"1551689420402194"</f>
        <v>1551689420402194</v>
      </c>
      <c r="C6960" t="s">
        <v>40</v>
      </c>
      <c r="D6960">
        <v>4.6464919999999896</v>
      </c>
      <c r="E6960">
        <v>0.53568309999999997</v>
      </c>
      <c r="F6960" t="s">
        <v>56</v>
      </c>
      <c r="G6960">
        <v>-222.13900000000001</v>
      </c>
      <c r="H6960" s="1">
        <v>-3.5860349999999999E-7</v>
      </c>
      <c r="I6960">
        <v>-61.835859999999997</v>
      </c>
      <c r="J6960">
        <v>-230.75450000000001</v>
      </c>
      <c r="K6960">
        <v>1.1113440000000001</v>
      </c>
      <c r="L6960">
        <v>-63.243040000000001</v>
      </c>
      <c r="M6960">
        <v>0.99989419999999996</v>
      </c>
      <c r="N6960">
        <v>-1.4438579999999999E-2</v>
      </c>
      <c r="O6960">
        <v>1.817279E-3</v>
      </c>
      <c r="P6960">
        <v>0.89796659999999995</v>
      </c>
      <c r="Q6960">
        <v>0.37899850000000002</v>
      </c>
      <c r="R6960">
        <v>0.2236427</v>
      </c>
      <c r="S6960">
        <v>3.3857879999999998</v>
      </c>
      <c r="T6960">
        <v>-0.42840339999999999</v>
      </c>
      <c r="U6960">
        <v>0.54263309999999998</v>
      </c>
      <c r="V6960">
        <v>-0.2222817</v>
      </c>
      <c r="W6960">
        <v>0.39177640000000002</v>
      </c>
      <c r="X6960">
        <v>0.89280579999999998</v>
      </c>
      <c r="Y6960">
        <v>-0.15511730000000001</v>
      </c>
      <c r="Z6960">
        <v>1.064352E-2</v>
      </c>
      <c r="AA6960">
        <v>0.98783869999999896</v>
      </c>
      <c r="AB6960">
        <v>32</v>
      </c>
      <c r="AC6960">
        <v>8.6154999999999902</v>
      </c>
      <c r="AD6960">
        <v>-1.1113443586034999</v>
      </c>
      <c r="AE6960">
        <v>1.4071800000000001</v>
      </c>
      <c r="AF6960">
        <v>-1.3693266104466799</v>
      </c>
      <c r="AG6960">
        <v>-1.1113443586034999</v>
      </c>
      <c r="AH6960">
        <v>8.4805982748224107</v>
      </c>
      <c r="AI6960">
        <v>97.371409965842801</v>
      </c>
      <c r="AJ6960">
        <v>99.172146137116798</v>
      </c>
      <c r="AK6960">
        <v>8.6620256723469797</v>
      </c>
      <c r="AL6960">
        <v>66.934923758546802</v>
      </c>
      <c r="AM6960">
        <v>103.980677148045</v>
      </c>
      <c r="AN6960">
        <v>1.0000000491327401</v>
      </c>
    </row>
    <row r="6961" spans="1:40" x14ac:dyDescent="0.25">
      <c r="A6961" t="str">
        <f>"20190304165020418"</f>
        <v>20190304165020418</v>
      </c>
      <c r="B6961" t="str">
        <f>"1551689420412934"</f>
        <v>1551689420412934</v>
      </c>
      <c r="C6961" t="s">
        <v>40</v>
      </c>
      <c r="D6961">
        <v>4.4081799999999998</v>
      </c>
      <c r="E6961">
        <v>0.53561479999999995</v>
      </c>
      <c r="F6961" t="s">
        <v>56</v>
      </c>
      <c r="G6961">
        <v>-221.9846</v>
      </c>
      <c r="H6961" s="1">
        <v>-2.9079459999999998E-7</v>
      </c>
      <c r="I6961">
        <v>-61.82891</v>
      </c>
      <c r="J6961">
        <v>-230.58519999999999</v>
      </c>
      <c r="K6961">
        <v>1.111337</v>
      </c>
      <c r="L6961">
        <v>-63.242550000000001</v>
      </c>
      <c r="M6961">
        <v>0.99989380000000005</v>
      </c>
      <c r="N6961">
        <v>-1.443676E-2</v>
      </c>
      <c r="O6961">
        <v>2.0021980000000002E-3</v>
      </c>
      <c r="P6961">
        <v>0.89773719999999901</v>
      </c>
      <c r="Q6961">
        <v>0.3791042</v>
      </c>
      <c r="R6961">
        <v>0.22438340000000001</v>
      </c>
      <c r="S6961">
        <v>3.3860019999999902</v>
      </c>
      <c r="T6961">
        <v>-0.42908390000000002</v>
      </c>
      <c r="U6961">
        <v>0.54598999999999998</v>
      </c>
      <c r="V6961">
        <v>-0.22285830000000001</v>
      </c>
      <c r="W6961">
        <v>0.39187680000000003</v>
      </c>
      <c r="X6961">
        <v>0.89261789999999996</v>
      </c>
      <c r="Y6961">
        <v>-0.1558705</v>
      </c>
      <c r="Z6961">
        <v>1.0689280000000001E-2</v>
      </c>
      <c r="AA6961">
        <v>0.98771969999999998</v>
      </c>
      <c r="AB6961">
        <v>32</v>
      </c>
      <c r="AC6961">
        <v>8.6005999999999805</v>
      </c>
      <c r="AD6961">
        <v>-1.1113372907946</v>
      </c>
      <c r="AE6961">
        <v>1.41364</v>
      </c>
      <c r="AF6961">
        <v>-1.3740760547888</v>
      </c>
      <c r="AG6961">
        <v>-1.1113372907946</v>
      </c>
      <c r="AH6961">
        <v>8.4657799675163794</v>
      </c>
      <c r="AI6961">
        <v>97.383152167898601</v>
      </c>
      <c r="AJ6961">
        <v>99.2192488565194</v>
      </c>
      <c r="AK6961">
        <v>8.6482706963101208</v>
      </c>
      <c r="AL6961">
        <v>66.928669668650898</v>
      </c>
      <c r="AM6961">
        <v>104.018349345988</v>
      </c>
      <c r="AN6961">
        <v>0.99999998182876904</v>
      </c>
    </row>
    <row r="6962" spans="1:40" x14ac:dyDescent="0.25">
      <c r="A6962" t="str">
        <f>"20190304165020428"</f>
        <v>20190304165020428</v>
      </c>
      <c r="B6962" t="str">
        <f>"1551689420422690"</f>
        <v>1551689420422690</v>
      </c>
      <c r="C6962" t="s">
        <v>40</v>
      </c>
      <c r="D6962">
        <v>4.4162749999999997</v>
      </c>
      <c r="E6962">
        <v>0.53562109999999996</v>
      </c>
      <c r="F6962" t="s">
        <v>56</v>
      </c>
      <c r="G6962">
        <v>-221.8366</v>
      </c>
      <c r="H6962" s="1">
        <v>-2.2605240000000001E-7</v>
      </c>
      <c r="I6962">
        <v>-61.823210000000003</v>
      </c>
      <c r="J6962">
        <v>-230.4391</v>
      </c>
      <c r="K6962">
        <v>1.1113390000000001</v>
      </c>
      <c r="L6962">
        <v>-63.242130000000003</v>
      </c>
      <c r="M6962">
        <v>0.99989349999999999</v>
      </c>
      <c r="N6962">
        <v>-1.443528E-2</v>
      </c>
      <c r="O6962">
        <v>2.1638790000000001E-3</v>
      </c>
      <c r="P6962">
        <v>0.89762280000000005</v>
      </c>
      <c r="Q6962">
        <v>0.37916050000000001</v>
      </c>
      <c r="R6962">
        <v>0.224746</v>
      </c>
      <c r="S6962">
        <v>3.3860779999999999</v>
      </c>
      <c r="T6962">
        <v>-0.43013499999999999</v>
      </c>
      <c r="U6962">
        <v>0.54934689999999997</v>
      </c>
      <c r="V6962">
        <v>-0.22307769999999999</v>
      </c>
      <c r="W6962">
        <v>0.39192909999999997</v>
      </c>
      <c r="X6962">
        <v>0.89254020000000001</v>
      </c>
      <c r="Y6962">
        <v>-0.15664979999999901</v>
      </c>
      <c r="Z6962">
        <v>1.074812E-2</v>
      </c>
      <c r="AA6962">
        <v>0.98759569999999997</v>
      </c>
      <c r="AB6962">
        <v>32</v>
      </c>
      <c r="AC6962">
        <v>8.6024999999999903</v>
      </c>
      <c r="AD6962">
        <v>-1.11133922605239</v>
      </c>
      <c r="AE6962">
        <v>1.41892</v>
      </c>
      <c r="AF6962">
        <v>-1.3779123493636101</v>
      </c>
      <c r="AG6962">
        <v>-1.11133922605239</v>
      </c>
      <c r="AH6962">
        <v>8.4679673159975906</v>
      </c>
      <c r="AI6962">
        <v>97.380803630397097</v>
      </c>
      <c r="AJ6962">
        <v>99.242197629422805</v>
      </c>
      <c r="AK6962">
        <v>8.6510223547679495</v>
      </c>
      <c r="AL6962">
        <v>66.925414072246994</v>
      </c>
      <c r="AM6962">
        <v>104.03277844673001</v>
      </c>
      <c r="AN6962">
        <v>1.0000000441400601</v>
      </c>
    </row>
    <row r="6963" spans="1:40" x14ac:dyDescent="0.25">
      <c r="A6963" t="str">
        <f>"20190304165020441"</f>
        <v>20190304165020441</v>
      </c>
      <c r="B6963" t="str">
        <f>"1551689420432450"</f>
        <v>1551689420432450</v>
      </c>
      <c r="C6963" t="s">
        <v>40</v>
      </c>
      <c r="D6963">
        <v>4.3200760000000002</v>
      </c>
      <c r="E6963">
        <v>0.53558689999999998</v>
      </c>
      <c r="F6963" t="s">
        <v>56</v>
      </c>
      <c r="G6963">
        <v>-221.6875</v>
      </c>
      <c r="H6963" s="1">
        <v>-1.608691E-7</v>
      </c>
      <c r="I6963">
        <v>-61.817830000000001</v>
      </c>
      <c r="J6963">
        <v>-230.27670000000001</v>
      </c>
      <c r="K6963">
        <v>1.1113440000000001</v>
      </c>
      <c r="L6963">
        <v>-63.241549999999997</v>
      </c>
      <c r="M6963">
        <v>0.99989309999999998</v>
      </c>
      <c r="N6963">
        <v>-1.4433629999999999E-2</v>
      </c>
      <c r="O6963">
        <v>2.3466770000000001E-3</v>
      </c>
      <c r="P6963">
        <v>0.8974183</v>
      </c>
      <c r="Q6963">
        <v>0.37924069999999999</v>
      </c>
      <c r="R6963">
        <v>0.2254266</v>
      </c>
      <c r="S6963">
        <v>3.3858030000000001</v>
      </c>
      <c r="T6963">
        <v>-0.42994939999999998</v>
      </c>
      <c r="U6963">
        <v>0.5510254</v>
      </c>
      <c r="V6963">
        <v>-0.22359770000000001</v>
      </c>
      <c r="W6963">
        <v>0.39200360000000001</v>
      </c>
      <c r="X6963">
        <v>0.89237730000000004</v>
      </c>
      <c r="Y6963">
        <v>-0.156958399999999</v>
      </c>
      <c r="Z6963">
        <v>1.0745599999999999E-2</v>
      </c>
      <c r="AA6963">
        <v>0.9875467</v>
      </c>
      <c r="AB6963">
        <v>32</v>
      </c>
      <c r="AC6963">
        <v>8.5891999999999999</v>
      </c>
      <c r="AD6963">
        <v>-1.1113441608690999</v>
      </c>
      <c r="AE6963">
        <v>1.4237199999999799</v>
      </c>
      <c r="AF6963">
        <v>-1.3810553700233801</v>
      </c>
      <c r="AG6963">
        <v>-1.1113441608690999</v>
      </c>
      <c r="AH6963">
        <v>8.4547582284563205</v>
      </c>
      <c r="AI6963">
        <v>97.391513161110296</v>
      </c>
      <c r="AJ6963">
        <v>99.277134354830693</v>
      </c>
      <c r="AK6963">
        <v>8.6385957470307702</v>
      </c>
      <c r="AL6963">
        <v>66.920773171991698</v>
      </c>
      <c r="AM6963">
        <v>104.066657860205</v>
      </c>
      <c r="AN6963">
        <v>0.99999999970677</v>
      </c>
    </row>
    <row r="6964" spans="1:40" x14ac:dyDescent="0.25">
      <c r="A6964" t="str">
        <f>"20190304165020451"</f>
        <v>20190304165020451</v>
      </c>
      <c r="B6964" t="str">
        <f>"1551689420442210"</f>
        <v>1551689420442210</v>
      </c>
      <c r="C6964" t="s">
        <v>40</v>
      </c>
      <c r="D6964">
        <v>4.4328770000000004</v>
      </c>
      <c r="E6964">
        <v>0.53543560000000001</v>
      </c>
      <c r="F6964" t="s">
        <v>56</v>
      </c>
      <c r="G6964">
        <v>-221.48</v>
      </c>
      <c r="H6964" s="1">
        <v>-6.82816799999999E-8</v>
      </c>
      <c r="I6964">
        <v>-61.801729999999999</v>
      </c>
      <c r="J6964">
        <v>-230.11109999999999</v>
      </c>
      <c r="K6964">
        <v>1.1113519999999999</v>
      </c>
      <c r="L6964">
        <v>-63.241</v>
      </c>
      <c r="M6964">
        <v>0.99989269999999997</v>
      </c>
      <c r="N6964">
        <v>-1.4431950000000001E-2</v>
      </c>
      <c r="O6964">
        <v>2.536347E-3</v>
      </c>
      <c r="P6964">
        <v>0.8972426</v>
      </c>
      <c r="Q6964">
        <v>0.37927620000000001</v>
      </c>
      <c r="R6964">
        <v>0.22606580000000001</v>
      </c>
      <c r="S6964">
        <v>3.3844599999999998</v>
      </c>
      <c r="T6964">
        <v>-0.42758040000000003</v>
      </c>
      <c r="U6964">
        <v>0.55395509999999903</v>
      </c>
      <c r="V6964">
        <v>-0.22407079999999999</v>
      </c>
      <c r="W6964">
        <v>0.39203300000000002</v>
      </c>
      <c r="X6964">
        <v>0.89224570000000003</v>
      </c>
      <c r="Y6964">
        <v>-0.15767410000000001</v>
      </c>
      <c r="Z6964">
        <v>1.0725190000000001E-2</v>
      </c>
      <c r="AA6964">
        <v>0.98743300000000001</v>
      </c>
      <c r="AB6964">
        <v>32</v>
      </c>
      <c r="AC6964">
        <v>8.6311</v>
      </c>
      <c r="AD6964">
        <v>-1.11135206828168</v>
      </c>
      <c r="AE6964">
        <v>1.43927</v>
      </c>
      <c r="AF6964">
        <v>-1.3948710536715301</v>
      </c>
      <c r="AG6964">
        <v>-1.11135206828168</v>
      </c>
      <c r="AH6964">
        <v>8.4976481016598306</v>
      </c>
      <c r="AI6964">
        <v>97.353737922828401</v>
      </c>
      <c r="AJ6964">
        <v>99.321850567768607</v>
      </c>
      <c r="AK6964">
        <v>8.6827871064357893</v>
      </c>
      <c r="AL6964">
        <v>66.918941945637002</v>
      </c>
      <c r="AM6964">
        <v>104.09723169714999</v>
      </c>
      <c r="AN6964">
        <v>0.99999999283506502</v>
      </c>
    </row>
    <row r="6965" spans="1:40" x14ac:dyDescent="0.25">
      <c r="A6965" t="str">
        <f>"20190304165020463"</f>
        <v>20190304165020463</v>
      </c>
      <c r="B6965" t="str">
        <f>"1551689420452947"</f>
        <v>1551689420452947</v>
      </c>
      <c r="C6965" t="s">
        <v>40</v>
      </c>
      <c r="D6965">
        <v>4.4033449999999998</v>
      </c>
      <c r="E6965">
        <v>0.53531030000000002</v>
      </c>
      <c r="F6965" t="s">
        <v>56</v>
      </c>
      <c r="G6965">
        <v>-221.29509999999999</v>
      </c>
      <c r="H6965" s="1">
        <v>1.415293E-8</v>
      </c>
      <c r="I6965">
        <v>-61.787779999999998</v>
      </c>
      <c r="J6965">
        <v>-229.95099999999999</v>
      </c>
      <c r="K6965">
        <v>1.1113599999999999</v>
      </c>
      <c r="L6965">
        <v>-63.240389999999998</v>
      </c>
      <c r="M6965">
        <v>0.99989220000000001</v>
      </c>
      <c r="N6965">
        <v>-1.443033E-2</v>
      </c>
      <c r="O6965">
        <v>2.7256849999999998E-3</v>
      </c>
      <c r="P6965">
        <v>0.89702870000000001</v>
      </c>
      <c r="Q6965">
        <v>0.37945719999999999</v>
      </c>
      <c r="R6965">
        <v>0.22660930000000001</v>
      </c>
      <c r="S6965">
        <v>3.383362</v>
      </c>
      <c r="T6965">
        <v>-0.42650949999999999</v>
      </c>
      <c r="U6965">
        <v>0.55770869999999995</v>
      </c>
      <c r="V6965">
        <v>-0.22445000000000001</v>
      </c>
      <c r="W6965">
        <v>0.39220719999999998</v>
      </c>
      <c r="X6965">
        <v>0.89207389999999998</v>
      </c>
      <c r="Y6965">
        <v>-0.15860389999999999</v>
      </c>
      <c r="Z6965">
        <v>1.074748E-2</v>
      </c>
      <c r="AA6965">
        <v>0.98728380000000004</v>
      </c>
      <c r="AB6965">
        <v>32</v>
      </c>
      <c r="AC6965">
        <v>8.6559000000000008</v>
      </c>
      <c r="AD6965">
        <v>-1.11135998584707</v>
      </c>
      <c r="AE6965">
        <v>1.45261</v>
      </c>
      <c r="AF6965">
        <v>-1.4064586999185</v>
      </c>
      <c r="AG6965">
        <v>-1.11135998584707</v>
      </c>
      <c r="AH6965">
        <v>8.5231729237296303</v>
      </c>
      <c r="AI6965">
        <v>97.330998330488796</v>
      </c>
      <c r="AJ6965">
        <v>99.370269655755394</v>
      </c>
      <c r="AK6965">
        <v>8.7096339636356905</v>
      </c>
      <c r="AL6965">
        <v>66.908093903535502</v>
      </c>
      <c r="AM6965">
        <v>104.122745740528</v>
      </c>
      <c r="AN6965">
        <v>1.0000000666465201</v>
      </c>
    </row>
    <row r="6966" spans="1:40" x14ac:dyDescent="0.25">
      <c r="A6966" t="str">
        <f>"20190304165020473"</f>
        <v>20190304165020473</v>
      </c>
      <c r="B6966" t="str">
        <f>"1551689420462708"</f>
        <v>1551689420462708</v>
      </c>
      <c r="C6966" t="s">
        <v>40</v>
      </c>
      <c r="D6966">
        <v>4.4256479999999998</v>
      </c>
      <c r="E6966">
        <v>0.53525269999999903</v>
      </c>
      <c r="F6966" t="s">
        <v>56</v>
      </c>
      <c r="G6966">
        <v>-221.10560000000001</v>
      </c>
      <c r="H6966" s="1">
        <v>9.8362930000000003E-8</v>
      </c>
      <c r="I6966">
        <v>-61.774560000000001</v>
      </c>
      <c r="J6966">
        <v>-229.80109999999999</v>
      </c>
      <c r="K6966">
        <v>1.1113679999999999</v>
      </c>
      <c r="L6966">
        <v>-63.239809999999999</v>
      </c>
      <c r="M6966">
        <v>0.9998918</v>
      </c>
      <c r="N6966">
        <v>-1.44288E-2</v>
      </c>
      <c r="O6966">
        <v>2.9050130000000001E-3</v>
      </c>
      <c r="P6966">
        <v>0.89682980000000001</v>
      </c>
      <c r="Q6966">
        <v>0.37955709999999998</v>
      </c>
      <c r="R6966">
        <v>0.2272285</v>
      </c>
      <c r="S6966">
        <v>3.382568</v>
      </c>
      <c r="T6966">
        <v>-0.42499609999999899</v>
      </c>
      <c r="U6966">
        <v>0.56054689999999996</v>
      </c>
      <c r="V6966">
        <v>-0.22491410000000001</v>
      </c>
      <c r="W6966">
        <v>0.39230019999999999</v>
      </c>
      <c r="X6966">
        <v>0.89191599999999904</v>
      </c>
      <c r="Y6966">
        <v>-0.15927439999999901</v>
      </c>
      <c r="Z6966">
        <v>1.0742150000000001E-2</v>
      </c>
      <c r="AA6966">
        <v>0.9871759</v>
      </c>
      <c r="AB6966">
        <v>32</v>
      </c>
      <c r="AC6966">
        <v>8.6954999999999796</v>
      </c>
      <c r="AD6966">
        <v>-1.1113679016370701</v>
      </c>
      <c r="AE6966">
        <v>1.4652499999999899</v>
      </c>
      <c r="AF6966">
        <v>-1.4174652697855801</v>
      </c>
      <c r="AG6966">
        <v>-1.1113679016370701</v>
      </c>
      <c r="AH6966">
        <v>8.5636924455399992</v>
      </c>
      <c r="AI6966">
        <v>97.2961516923407</v>
      </c>
      <c r="AJ6966">
        <v>99.398405698953894</v>
      </c>
      <c r="AK6966">
        <v>8.7510670609724102</v>
      </c>
      <c r="AL6966">
        <v>66.902298912940594</v>
      </c>
      <c r="AM6966">
        <v>104.153180185978</v>
      </c>
      <c r="AN6966">
        <v>0.99999997517742401</v>
      </c>
    </row>
    <row r="6967" spans="1:40" x14ac:dyDescent="0.25">
      <c r="A6967" t="str">
        <f>"20190304165020485"</f>
        <v>20190304165020485</v>
      </c>
      <c r="B6967" t="str">
        <f>"1551689420472466"</f>
        <v>1551689420472466</v>
      </c>
      <c r="C6967" t="s">
        <v>40</v>
      </c>
      <c r="D6967">
        <v>4.4083249999999996</v>
      </c>
      <c r="E6967">
        <v>0.53514059999999997</v>
      </c>
      <c r="F6967" t="s">
        <v>56</v>
      </c>
      <c r="G6967">
        <v>-220.91630000000001</v>
      </c>
      <c r="H6967" s="1">
        <v>1.8308949999999999E-7</v>
      </c>
      <c r="I6967">
        <v>-61.758789999999998</v>
      </c>
      <c r="J6967">
        <v>-229.6395</v>
      </c>
      <c r="K6967">
        <v>1.11138</v>
      </c>
      <c r="L6967">
        <v>-63.239139999999999</v>
      </c>
      <c r="M6967">
        <v>0.99989110000000003</v>
      </c>
      <c r="N6967">
        <v>-1.442718E-2</v>
      </c>
      <c r="O6967">
        <v>3.1088840000000001E-3</v>
      </c>
      <c r="P6967">
        <v>0.89658700000000002</v>
      </c>
      <c r="Q6967">
        <v>0.3796448</v>
      </c>
      <c r="R6967">
        <v>0.22803870000000001</v>
      </c>
      <c r="S6967">
        <v>3.3813019999999998</v>
      </c>
      <c r="T6967">
        <v>-0.4229522</v>
      </c>
      <c r="U6967">
        <v>0.56362919999999905</v>
      </c>
      <c r="V6967">
        <v>-0.22555020000000001</v>
      </c>
      <c r="W6967">
        <v>0.39237870000000002</v>
      </c>
      <c r="X6967">
        <v>0.89172090000000004</v>
      </c>
      <c r="Y6967">
        <v>-0.16001479999999901</v>
      </c>
      <c r="Z6967">
        <v>1.072822E-2</v>
      </c>
      <c r="AA6967">
        <v>0.9870563</v>
      </c>
      <c r="AB6967">
        <v>32</v>
      </c>
      <c r="AC6967">
        <v>8.7231999999999896</v>
      </c>
      <c r="AD6967">
        <v>-1.1113798169105</v>
      </c>
      <c r="AE6967">
        <v>1.4803499999999901</v>
      </c>
      <c r="AF6967">
        <v>-1.43064831046369</v>
      </c>
      <c r="AG6967">
        <v>-1.1113798169105</v>
      </c>
      <c r="AH6967">
        <v>8.5921957355716394</v>
      </c>
      <c r="AI6967">
        <v>97.271139432411502</v>
      </c>
      <c r="AJ6967">
        <v>99.453340382486303</v>
      </c>
      <c r="AK6967">
        <v>8.7811017101525497</v>
      </c>
      <c r="AL6967">
        <v>66.897410968160898</v>
      </c>
      <c r="AM6967">
        <v>104.194572536538</v>
      </c>
      <c r="AN6967">
        <v>1.00000005021526</v>
      </c>
    </row>
    <row r="6968" spans="1:40" x14ac:dyDescent="0.25">
      <c r="A6968" t="str">
        <f>"20190304165020496"</f>
        <v>20190304165020496</v>
      </c>
      <c r="B6968" t="str">
        <f>"1551689420492963"</f>
        <v>1551689420492963</v>
      </c>
      <c r="C6968" t="s">
        <v>40</v>
      </c>
      <c r="D6968">
        <v>4.4435570000000002</v>
      </c>
      <c r="E6968">
        <v>0.53496259999999995</v>
      </c>
      <c r="F6968" t="s">
        <v>56</v>
      </c>
      <c r="G6968">
        <v>-220.74080000000001</v>
      </c>
      <c r="H6968" s="1">
        <v>2.6141000000000001E-7</v>
      </c>
      <c r="I6968">
        <v>-61.745159999999998</v>
      </c>
      <c r="J6968">
        <v>-229.47710000000001</v>
      </c>
      <c r="K6968">
        <v>1.1113879999999901</v>
      </c>
      <c r="L6968">
        <v>-63.238460000000003</v>
      </c>
      <c r="M6968">
        <v>0.99989050000000002</v>
      </c>
      <c r="N6968">
        <v>-1.442556E-2</v>
      </c>
      <c r="O6968">
        <v>3.3165220000000001E-3</v>
      </c>
      <c r="P6968">
        <v>0.89637520000000004</v>
      </c>
      <c r="Q6968">
        <v>0.37973010000000001</v>
      </c>
      <c r="R6968">
        <v>0.22872819999999999</v>
      </c>
      <c r="S6968">
        <v>3.3804630000000002</v>
      </c>
      <c r="T6968">
        <v>-0.42219400000000001</v>
      </c>
      <c r="U6968">
        <v>0.56753540000000002</v>
      </c>
      <c r="V6968">
        <v>-0.22606309999999999</v>
      </c>
      <c r="W6968">
        <v>0.39245449999999998</v>
      </c>
      <c r="X6968">
        <v>0.89155759999999995</v>
      </c>
      <c r="Y6968">
        <v>-0.1609565</v>
      </c>
      <c r="Z6968">
        <v>1.075503E-2</v>
      </c>
      <c r="AA6968">
        <v>0.98690290000000003</v>
      </c>
      <c r="AB6968">
        <v>32</v>
      </c>
      <c r="AC6968">
        <v>8.7363</v>
      </c>
      <c r="AD6968">
        <v>-1.11138773858999</v>
      </c>
      <c r="AE6968">
        <v>1.4932999999999901</v>
      </c>
      <c r="AF6968">
        <v>-1.4416458856641099</v>
      </c>
      <c r="AG6968">
        <v>-1.11138773858999</v>
      </c>
      <c r="AH6968">
        <v>8.6058842150862098</v>
      </c>
      <c r="AI6968">
        <v>97.258566530277605</v>
      </c>
      <c r="AJ6968">
        <v>99.509809934242398</v>
      </c>
      <c r="AK6968">
        <v>8.7962928946579808</v>
      </c>
      <c r="AL6968">
        <v>66.892688146179097</v>
      </c>
      <c r="AM6968">
        <v>104.228041846631</v>
      </c>
      <c r="AN6968">
        <v>1.0000000069348101</v>
      </c>
    </row>
    <row r="6969" spans="1:40" x14ac:dyDescent="0.25">
      <c r="A6969" t="str">
        <f>"20190304165020508"</f>
        <v>20190304165020508</v>
      </c>
      <c r="B6969" t="str">
        <f>"1551689420502726"</f>
        <v>1551689420502726</v>
      </c>
      <c r="C6969" t="s">
        <v>40</v>
      </c>
      <c r="D6969">
        <v>4.4048319999999999</v>
      </c>
      <c r="E6969">
        <v>0.53487119999999999</v>
      </c>
      <c r="F6969" t="s">
        <v>56</v>
      </c>
      <c r="G6969">
        <v>-220.55699999999999</v>
      </c>
      <c r="H6969" s="1">
        <v>3.4338969999999998E-7</v>
      </c>
      <c r="I6969">
        <v>-61.731029999999997</v>
      </c>
      <c r="J6969">
        <v>-229.29929999999999</v>
      </c>
      <c r="K6969">
        <v>1.111402</v>
      </c>
      <c r="L6969">
        <v>-63.237609999999997</v>
      </c>
      <c r="M6969">
        <v>0.99988969999999999</v>
      </c>
      <c r="N6969">
        <v>-1.4423790000000001E-2</v>
      </c>
      <c r="O6969">
        <v>3.5584290000000001E-3</v>
      </c>
      <c r="P6969">
        <v>0.89609859999999897</v>
      </c>
      <c r="Q6969">
        <v>0.3798088</v>
      </c>
      <c r="R6969">
        <v>0.22967960000000001</v>
      </c>
      <c r="S6969">
        <v>3.3794710000000001</v>
      </c>
      <c r="T6969">
        <v>-0.42105999999999999</v>
      </c>
      <c r="U6969">
        <v>0.571106</v>
      </c>
      <c r="V6969">
        <v>-0.22681109999999999</v>
      </c>
      <c r="W6969">
        <v>0.39252029999999999</v>
      </c>
      <c r="X6969">
        <v>0.89133859999999998</v>
      </c>
      <c r="Y6969">
        <v>-0.161779799999999</v>
      </c>
      <c r="Z6969">
        <v>1.076183E-2</v>
      </c>
      <c r="AA6969">
        <v>0.98676819999999998</v>
      </c>
      <c r="AB6969">
        <v>32</v>
      </c>
      <c r="AC6969">
        <v>8.74229999999997</v>
      </c>
      <c r="AD6969">
        <v>-1.1114016566103</v>
      </c>
      <c r="AE6969">
        <v>1.50657999999999</v>
      </c>
      <c r="AF6969">
        <v>-1.45265789151799</v>
      </c>
      <c r="AG6969">
        <v>-1.1114016566103</v>
      </c>
      <c r="AH6969">
        <v>8.6124281830467595</v>
      </c>
      <c r="AI6969">
        <v>97.251849390274401</v>
      </c>
      <c r="AJ6969">
        <v>99.573963717355895</v>
      </c>
      <c r="AK6969">
        <v>8.8045072434659204</v>
      </c>
      <c r="AL6969">
        <v>66.888588523170199</v>
      </c>
      <c r="AM6969">
        <v>104.276562585197</v>
      </c>
      <c r="AN6969">
        <v>0.99999998042262905</v>
      </c>
    </row>
    <row r="6970" spans="1:40" x14ac:dyDescent="0.25">
      <c r="A6970" t="str">
        <f>"20190304165020519"</f>
        <v>20190304165020519</v>
      </c>
      <c r="B6970" t="str">
        <f>"1551689420512482"</f>
        <v>1551689420512482</v>
      </c>
      <c r="C6970" t="s">
        <v>40</v>
      </c>
      <c r="D6970">
        <v>4.4076510000000004</v>
      </c>
      <c r="E6970">
        <v>0.53491659999999996</v>
      </c>
      <c r="F6970" t="s">
        <v>56</v>
      </c>
      <c r="G6970">
        <v>-220.3698</v>
      </c>
      <c r="H6970" s="1">
        <v>4.2626169999999998E-7</v>
      </c>
      <c r="I6970">
        <v>-61.7196</v>
      </c>
      <c r="J6970">
        <v>-229.1498</v>
      </c>
      <c r="K6970">
        <v>1.1114059999999999</v>
      </c>
      <c r="L6970">
        <v>-63.236879999999999</v>
      </c>
      <c r="M6970">
        <v>0.99988900000000003</v>
      </c>
      <c r="N6970">
        <v>-1.4422300000000001E-2</v>
      </c>
      <c r="O6970">
        <v>3.7672909999999999E-3</v>
      </c>
      <c r="P6970">
        <v>0.89589859999999899</v>
      </c>
      <c r="Q6970">
        <v>0.37969560000000002</v>
      </c>
      <c r="R6970">
        <v>0.23064490000000001</v>
      </c>
      <c r="S6970">
        <v>3.378876</v>
      </c>
      <c r="T6970">
        <v>-0.42054520000000001</v>
      </c>
      <c r="U6970">
        <v>0.57440190000000002</v>
      </c>
      <c r="V6970">
        <v>-0.2276001</v>
      </c>
      <c r="W6970">
        <v>0.3923971</v>
      </c>
      <c r="X6970">
        <v>0.89119169999999903</v>
      </c>
      <c r="Y6970">
        <v>-0.1625356</v>
      </c>
      <c r="Z6970">
        <v>1.0780410000000001E-2</v>
      </c>
      <c r="AA6970">
        <v>0.98664379999999996</v>
      </c>
      <c r="AB6970">
        <v>32</v>
      </c>
      <c r="AC6970">
        <v>8.7799999999999994</v>
      </c>
      <c r="AD6970">
        <v>-1.1114055737383</v>
      </c>
      <c r="AE6970">
        <v>1.51728</v>
      </c>
      <c r="AF6970">
        <v>-1.4614505464454599</v>
      </c>
      <c r="AG6970">
        <v>-1.1114055737383</v>
      </c>
      <c r="AH6970">
        <v>8.6510541977973006</v>
      </c>
      <c r="AI6970">
        <v>97.219529593764705</v>
      </c>
      <c r="AJ6970">
        <v>99.588630355321001</v>
      </c>
      <c r="AK6970">
        <v>8.8437434823873406</v>
      </c>
      <c r="AL6970">
        <v>66.8962627907013</v>
      </c>
      <c r="AM6970">
        <v>104.32644957331</v>
      </c>
      <c r="AN6970">
        <v>0.99999996787865397</v>
      </c>
    </row>
    <row r="6971" spans="1:40" x14ac:dyDescent="0.25">
      <c r="A6971" t="str">
        <f>"20190304165020529"</f>
        <v>20190304165020529</v>
      </c>
      <c r="B6971" t="str">
        <f>"1551689420522243"</f>
        <v>1551689420522243</v>
      </c>
      <c r="C6971" t="s">
        <v>40</v>
      </c>
      <c r="D6971">
        <v>4.4383710000000001</v>
      </c>
      <c r="E6971">
        <v>0.53496140000000003</v>
      </c>
      <c r="F6971" t="s">
        <v>56</v>
      </c>
      <c r="G6971">
        <v>-220.23920000000001</v>
      </c>
      <c r="H6971" s="1">
        <v>4.8349350000000004E-7</v>
      </c>
      <c r="I6971">
        <v>-61.714210000000001</v>
      </c>
      <c r="J6971">
        <v>-228.99940000000001</v>
      </c>
      <c r="K6971">
        <v>1.111421</v>
      </c>
      <c r="L6971">
        <v>-63.236109999999996</v>
      </c>
      <c r="M6971">
        <v>0.9998882</v>
      </c>
      <c r="N6971">
        <v>-1.4420809999999999E-2</v>
      </c>
      <c r="O6971">
        <v>3.9861819999999996E-3</v>
      </c>
      <c r="P6971">
        <v>0.89553340000000003</v>
      </c>
      <c r="Q6971">
        <v>0.37994929999999999</v>
      </c>
      <c r="R6971">
        <v>0.2316433</v>
      </c>
      <c r="S6971">
        <v>3.378555</v>
      </c>
      <c r="T6971">
        <v>-0.42139890000000002</v>
      </c>
      <c r="U6971">
        <v>0.5773315</v>
      </c>
      <c r="V6971">
        <v>-0.22841549999999999</v>
      </c>
      <c r="W6971">
        <v>0.39263740000000003</v>
      </c>
      <c r="X6971">
        <v>0.89087719999999904</v>
      </c>
      <c r="Y6971">
        <v>-0.16315739999999901</v>
      </c>
      <c r="Z6971">
        <v>1.081882E-2</v>
      </c>
      <c r="AA6971">
        <v>0.98654070000000005</v>
      </c>
      <c r="AB6971">
        <v>32</v>
      </c>
      <c r="AC6971">
        <v>8.7601999999999904</v>
      </c>
      <c r="AD6971">
        <v>-1.1114205165064901</v>
      </c>
      <c r="AE6971">
        <v>1.5219</v>
      </c>
      <c r="AF6971">
        <v>-1.4640884146264499</v>
      </c>
      <c r="AG6971">
        <v>-1.1114205165064901</v>
      </c>
      <c r="AH6971">
        <v>8.6313345671689099</v>
      </c>
      <c r="AI6971">
        <v>97.235130639375001</v>
      </c>
      <c r="AJ6971">
        <v>99.627150565287394</v>
      </c>
      <c r="AK6971">
        <v>8.8248935892032101</v>
      </c>
      <c r="AL6971">
        <v>66.881293449691796</v>
      </c>
      <c r="AM6971">
        <v>104.38051647092</v>
      </c>
      <c r="AN6971">
        <v>0.999999976999424</v>
      </c>
    </row>
    <row r="6972" spans="1:40" x14ac:dyDescent="0.25">
      <c r="A6972" t="str">
        <f>"20190304165020540"</f>
        <v>20190304165020540</v>
      </c>
      <c r="B6972" t="str">
        <f>"1551689420532979"</f>
        <v>1551689420532979</v>
      </c>
      <c r="C6972" t="s">
        <v>40</v>
      </c>
      <c r="D6972">
        <v>4.4144500000000004</v>
      </c>
      <c r="E6972">
        <v>0.53492090000000003</v>
      </c>
      <c r="F6972" t="s">
        <v>56</v>
      </c>
      <c r="G6972">
        <v>-220.0796</v>
      </c>
      <c r="H6972" s="1">
        <v>5.5411069999999997E-7</v>
      </c>
      <c r="I6972">
        <v>-61.70438</v>
      </c>
      <c r="J6972">
        <v>-228.8432</v>
      </c>
      <c r="K6972">
        <v>1.1114360000000001</v>
      </c>
      <c r="L6972">
        <v>-63.235230000000001</v>
      </c>
      <c r="M6972">
        <v>0.99988719999999998</v>
      </c>
      <c r="N6972">
        <v>-1.441927E-2</v>
      </c>
      <c r="O6972">
        <v>4.2231559999999996E-3</v>
      </c>
      <c r="P6972">
        <v>0.89506249999999998</v>
      </c>
      <c r="Q6972">
        <v>0.3804825</v>
      </c>
      <c r="R6972">
        <v>0.2325864</v>
      </c>
      <c r="S6972">
        <v>3.3784939999999999</v>
      </c>
      <c r="T6972">
        <v>-0.42096749999999999</v>
      </c>
      <c r="U6972">
        <v>0.58016969999999901</v>
      </c>
      <c r="V6972">
        <v>-0.2291619</v>
      </c>
      <c r="W6972">
        <v>0.39315480000000003</v>
      </c>
      <c r="X6972">
        <v>0.89045730000000001</v>
      </c>
      <c r="Y6972">
        <v>-0.16373109999999999</v>
      </c>
      <c r="Z6972">
        <v>1.082225E-2</v>
      </c>
      <c r="AA6972">
        <v>0.98644569999999998</v>
      </c>
      <c r="AB6972">
        <v>32</v>
      </c>
      <c r="AC6972">
        <v>8.7635999999999896</v>
      </c>
      <c r="AD6972">
        <v>-1.1114354458893001</v>
      </c>
      <c r="AE6972">
        <v>1.5308499999999901</v>
      </c>
      <c r="AF6972">
        <v>-1.4708650718912</v>
      </c>
      <c r="AG6972">
        <v>-1.1114354458893001</v>
      </c>
      <c r="AH6972">
        <v>8.6352085038059592</v>
      </c>
      <c r="AI6972">
        <v>97.231177604840497</v>
      </c>
      <c r="AJ6972">
        <v>99.666614328926698</v>
      </c>
      <c r="AK6972">
        <v>8.8298107971966999</v>
      </c>
      <c r="AL6972">
        <v>66.849057681633298</v>
      </c>
      <c r="AM6972">
        <v>104.432068660262</v>
      </c>
      <c r="AN6972">
        <v>1.00000003814896</v>
      </c>
    </row>
    <row r="6973" spans="1:40" x14ac:dyDescent="0.25">
      <c r="A6973" t="str">
        <f>"20190304165020551"</f>
        <v>20190304165020551</v>
      </c>
      <c r="B6973" t="str">
        <f>"1551689420542739"</f>
        <v>1551689420542739</v>
      </c>
      <c r="C6973" t="s">
        <v>40</v>
      </c>
      <c r="D6973">
        <v>4.7357069999999997</v>
      </c>
      <c r="E6973">
        <v>0.53476950000000001</v>
      </c>
      <c r="F6973" t="s">
        <v>57</v>
      </c>
      <c r="G6973">
        <v>-219.9136</v>
      </c>
      <c r="H6973" s="1">
        <v>-3.4655110000000002E-6</v>
      </c>
      <c r="I6973">
        <v>-61.692529999999998</v>
      </c>
      <c r="J6973">
        <v>-228.68039999999999</v>
      </c>
      <c r="K6973">
        <v>1.111459</v>
      </c>
      <c r="L6973">
        <v>-63.234279999999998</v>
      </c>
      <c r="M6973">
        <v>0.9998861</v>
      </c>
      <c r="N6973">
        <v>-1.441767E-2</v>
      </c>
      <c r="O6973">
        <v>4.4797639999999998E-3</v>
      </c>
      <c r="P6973">
        <v>0.89464519999999903</v>
      </c>
      <c r="Q6973">
        <v>0.38076850000000001</v>
      </c>
      <c r="R6973">
        <v>0.23372100000000001</v>
      </c>
      <c r="S6973">
        <v>3.3788149999999999</v>
      </c>
      <c r="T6973">
        <v>-0.4205508</v>
      </c>
      <c r="U6973">
        <v>0.5837097</v>
      </c>
      <c r="V6973">
        <v>-0.23008310000000001</v>
      </c>
      <c r="W6973">
        <v>0.39342539999999998</v>
      </c>
      <c r="X6973">
        <v>0.89010009999999995</v>
      </c>
      <c r="Y6973">
        <v>-0.16446450000000001</v>
      </c>
      <c r="Z6973">
        <v>1.083364E-2</v>
      </c>
      <c r="AA6973">
        <v>0.98632350000000002</v>
      </c>
      <c r="AB6973">
        <v>32</v>
      </c>
      <c r="AC6973">
        <v>8.7667999999999893</v>
      </c>
      <c r="AD6973">
        <v>-1.1114624655109999</v>
      </c>
      <c r="AE6973">
        <v>1.54175</v>
      </c>
      <c r="AF6973">
        <v>-1.4793917743843601</v>
      </c>
      <c r="AG6973">
        <v>-1.1114624655109999</v>
      </c>
      <c r="AH6973">
        <v>8.6389282395513192</v>
      </c>
      <c r="AI6973">
        <v>97.227186514447396</v>
      </c>
      <c r="AJ6973">
        <v>99.717479896354206</v>
      </c>
      <c r="AK6973">
        <v>8.8348757751579701</v>
      </c>
      <c r="AL6973">
        <v>66.832193167942904</v>
      </c>
      <c r="AM6973">
        <v>104.493215900591</v>
      </c>
      <c r="AN6973">
        <v>0.99999998314538996</v>
      </c>
    </row>
    <row r="6974" spans="1:40" x14ac:dyDescent="0.25">
      <c r="A6974" t="str">
        <f>"20190304165020563"</f>
        <v>20190304165020563</v>
      </c>
      <c r="B6974" t="str">
        <f>"1551689420552499"</f>
        <v>1551689420552499</v>
      </c>
      <c r="C6974" t="s">
        <v>40</v>
      </c>
      <c r="D6974">
        <v>4.4308310000000004</v>
      </c>
      <c r="E6974">
        <v>0.534807699999999</v>
      </c>
      <c r="F6974" t="s">
        <v>57</v>
      </c>
      <c r="G6974">
        <v>-219.7627</v>
      </c>
      <c r="H6974" s="1">
        <v>-3.4117950000000002E-6</v>
      </c>
      <c r="I6974">
        <v>-61.679189999999998</v>
      </c>
      <c r="J6974">
        <v>-228.52799999999999</v>
      </c>
      <c r="K6974">
        <v>1.1114729999999999</v>
      </c>
      <c r="L6974">
        <v>-63.233370000000001</v>
      </c>
      <c r="M6974">
        <v>0.99988500000000002</v>
      </c>
      <c r="N6974">
        <v>-1.4416139999999999E-2</v>
      </c>
      <c r="O6974">
        <v>4.7360309999999999E-3</v>
      </c>
      <c r="P6974">
        <v>0.89433600000000002</v>
      </c>
      <c r="Q6974">
        <v>0.38091399999999997</v>
      </c>
      <c r="R6974">
        <v>0.23466509999999999</v>
      </c>
      <c r="S6974">
        <v>3.378571</v>
      </c>
      <c r="T6974">
        <v>-0.42109020000000003</v>
      </c>
      <c r="U6974">
        <v>0.58914180000000005</v>
      </c>
      <c r="V6974">
        <v>-0.2308151</v>
      </c>
      <c r="W6974">
        <v>0.39355600000000002</v>
      </c>
      <c r="X6974">
        <v>0.8898528</v>
      </c>
      <c r="Y6974">
        <v>-0.1657507</v>
      </c>
      <c r="Z6974">
        <v>1.0905949999999999E-2</v>
      </c>
      <c r="AA6974">
        <v>0.98610739999999997</v>
      </c>
      <c r="AB6974">
        <v>32</v>
      </c>
      <c r="AC6974">
        <v>8.7652999999999892</v>
      </c>
      <c r="AD6974">
        <v>-1.111476411795</v>
      </c>
      <c r="AE6974">
        <v>1.5541799999999799</v>
      </c>
      <c r="AF6974">
        <v>-1.4894265804076201</v>
      </c>
      <c r="AG6974">
        <v>-1.111476411795</v>
      </c>
      <c r="AH6974">
        <v>8.63790519481263</v>
      </c>
      <c r="AI6974">
        <v>97.226712364250005</v>
      </c>
      <c r="AJ6974">
        <v>99.783261062475603</v>
      </c>
      <c r="AK6974">
        <v>8.8355632252263607</v>
      </c>
      <c r="AL6974">
        <v>66.824053410323401</v>
      </c>
      <c r="AM6974">
        <v>104.541243635684</v>
      </c>
      <c r="AN6974">
        <v>0.99999997059592405</v>
      </c>
    </row>
    <row r="6975" spans="1:40" x14ac:dyDescent="0.25">
      <c r="A6975" t="str">
        <f>"20190304165020573"</f>
        <v>20190304165020573</v>
      </c>
      <c r="B6975" t="str">
        <f>"1551689420562260"</f>
        <v>1551689420562260</v>
      </c>
      <c r="C6975" t="s">
        <v>40</v>
      </c>
      <c r="D6975">
        <v>4.4470710000000002</v>
      </c>
      <c r="E6975">
        <v>0.53477699999999995</v>
      </c>
      <c r="F6975" t="s">
        <v>57</v>
      </c>
      <c r="G6975">
        <v>-219.61500000000001</v>
      </c>
      <c r="H6975" s="1">
        <v>-3.3601210000000002E-6</v>
      </c>
      <c r="I6975">
        <v>-61.671199999999999</v>
      </c>
      <c r="J6975">
        <v>-228.37180000000001</v>
      </c>
      <c r="K6975">
        <v>1.1114919999999999</v>
      </c>
      <c r="L6975">
        <v>-63.23236</v>
      </c>
      <c r="M6975">
        <v>0.99988370000000004</v>
      </c>
      <c r="N6975">
        <v>-1.441455E-2</v>
      </c>
      <c r="O6975">
        <v>5.0055489999999998E-3</v>
      </c>
      <c r="P6975">
        <v>0.89408460000000001</v>
      </c>
      <c r="Q6975">
        <v>0.38086540000000002</v>
      </c>
      <c r="R6975">
        <v>0.23569960000000001</v>
      </c>
      <c r="S6975">
        <v>3.378555</v>
      </c>
      <c r="T6975">
        <v>-0.42131570000000002</v>
      </c>
      <c r="U6975">
        <v>0.59213260000000001</v>
      </c>
      <c r="V6975">
        <v>-0.231626</v>
      </c>
      <c r="W6975">
        <v>0.39349230000000002</v>
      </c>
      <c r="X6975">
        <v>0.88967030000000002</v>
      </c>
      <c r="Y6975">
        <v>-0.16632829999999901</v>
      </c>
      <c r="Z6975">
        <v>1.092078E-2</v>
      </c>
      <c r="AA6975">
        <v>0.98601000000000005</v>
      </c>
      <c r="AB6975">
        <v>32</v>
      </c>
      <c r="AC6975">
        <v>8.7567999999999895</v>
      </c>
      <c r="AD6975">
        <v>-1.111495360121</v>
      </c>
      <c r="AE6975">
        <v>1.5611600000000001</v>
      </c>
      <c r="AF6975">
        <v>-1.4939752071018</v>
      </c>
      <c r="AG6975">
        <v>-1.111495360121</v>
      </c>
      <c r="AH6975">
        <v>8.6297538613201805</v>
      </c>
      <c r="AI6975">
        <v>97.232759798516099</v>
      </c>
      <c r="AJ6975">
        <v>99.821646803612296</v>
      </c>
      <c r="AK6975">
        <v>8.8283653958123001</v>
      </c>
      <c r="AL6975">
        <v>66.828024651072496</v>
      </c>
      <c r="AM6975">
        <v>104.59301868759501</v>
      </c>
      <c r="AN6975">
        <v>1.0000000183686899</v>
      </c>
    </row>
    <row r="6976" spans="1:40" x14ac:dyDescent="0.25">
      <c r="A6976" t="str">
        <f>"20190304165020586"</f>
        <v>20190304165020586</v>
      </c>
      <c r="B6976" t="str">
        <f>"1551689420582755"</f>
        <v>1551689420582755</v>
      </c>
      <c r="C6976" t="s">
        <v>40</v>
      </c>
      <c r="D6976">
        <v>4.424112</v>
      </c>
      <c r="E6976">
        <v>0.53480530000000004</v>
      </c>
      <c r="F6976" t="s">
        <v>57</v>
      </c>
      <c r="G6976">
        <v>-219.50110000000001</v>
      </c>
      <c r="H6976" s="1">
        <v>-3.3202739999999999E-6</v>
      </c>
      <c r="I6976">
        <v>-61.665179999999999</v>
      </c>
      <c r="J6976">
        <v>-228.2064</v>
      </c>
      <c r="K6976">
        <v>1.1115200000000001</v>
      </c>
      <c r="L6976">
        <v>-63.231229999999996</v>
      </c>
      <c r="M6976">
        <v>0.99988200000000005</v>
      </c>
      <c r="N6976">
        <v>-1.4412940000000001E-2</v>
      </c>
      <c r="O6976">
        <v>5.3174650000000004E-3</v>
      </c>
      <c r="P6976">
        <v>0.89385539999999997</v>
      </c>
      <c r="Q6976">
        <v>0.38089630000000002</v>
      </c>
      <c r="R6976">
        <v>0.23651810000000001</v>
      </c>
      <c r="S6976">
        <v>3.3783720000000002</v>
      </c>
      <c r="T6976">
        <v>-0.42330859999999898</v>
      </c>
      <c r="U6976">
        <v>0.59683229999999998</v>
      </c>
      <c r="V6976">
        <v>-0.23218820000000001</v>
      </c>
      <c r="W6976">
        <v>0.39350639999999998</v>
      </c>
      <c r="X6976">
        <v>0.88951749999999996</v>
      </c>
      <c r="Y6976">
        <v>-0.1673415</v>
      </c>
      <c r="Z6976">
        <v>1.100138E-2</v>
      </c>
      <c r="AA6976">
        <v>0.98583759999999998</v>
      </c>
      <c r="AB6976">
        <v>32</v>
      </c>
      <c r="AC6976">
        <v>8.7052999999999905</v>
      </c>
      <c r="AD6976">
        <v>-1.111523320274</v>
      </c>
      <c r="AE6976">
        <v>1.56604999999999</v>
      </c>
      <c r="AF6976">
        <v>-1.4961063920834601</v>
      </c>
      <c r="AG6976">
        <v>-1.111523320274</v>
      </c>
      <c r="AH6976">
        <v>8.5780406808004006</v>
      </c>
      <c r="AI6976">
        <v>97.274509466302504</v>
      </c>
      <c r="AJ6976">
        <v>99.893509090547795</v>
      </c>
      <c r="AK6976">
        <v>8.7781888991643697</v>
      </c>
      <c r="AL6976">
        <v>66.827145801891305</v>
      </c>
      <c r="AM6976">
        <v>104.629326231243</v>
      </c>
      <c r="AN6976">
        <v>1.00000001493322</v>
      </c>
    </row>
    <row r="6977" spans="1:40" x14ac:dyDescent="0.25">
      <c r="A6977" t="str">
        <f>"20190304165020597"</f>
        <v>20190304165020597</v>
      </c>
      <c r="B6977" t="str">
        <f>"1551689420592514"</f>
        <v>1551689420592514</v>
      </c>
      <c r="C6977" t="s">
        <v>40</v>
      </c>
      <c r="D6977">
        <v>4.4534399999999996</v>
      </c>
      <c r="E6977">
        <v>0.53479529999999997</v>
      </c>
      <c r="F6977" t="s">
        <v>57</v>
      </c>
      <c r="G6977">
        <v>-219.37350000000001</v>
      </c>
      <c r="H6977" s="1">
        <v>-3.2765240000000001E-6</v>
      </c>
      <c r="I6977">
        <v>-61.663249999999998</v>
      </c>
      <c r="J6977">
        <v>-228.04900000000001</v>
      </c>
      <c r="K6977">
        <v>1.1115469999999901</v>
      </c>
      <c r="L6977">
        <v>-63.2301</v>
      </c>
      <c r="M6977">
        <v>0.9998804</v>
      </c>
      <c r="N6977">
        <v>-1.4411429999999999E-2</v>
      </c>
      <c r="O6977">
        <v>5.6222900000000003E-3</v>
      </c>
      <c r="P6977">
        <v>0.89354609999999901</v>
      </c>
      <c r="Q6977">
        <v>0.38108120000000001</v>
      </c>
      <c r="R6977">
        <v>0.23738690000000001</v>
      </c>
      <c r="S6977">
        <v>3.3787539999999998</v>
      </c>
      <c r="T6977">
        <v>-0.42517850000000001</v>
      </c>
      <c r="U6977">
        <v>0.59976200000000002</v>
      </c>
      <c r="V6977">
        <v>-0.23280799999999999</v>
      </c>
      <c r="W6977">
        <v>0.393673</v>
      </c>
      <c r="X6977">
        <v>0.88928169999999995</v>
      </c>
      <c r="Y6977">
        <v>-0.16783729999999999</v>
      </c>
      <c r="Z6977">
        <v>1.1043000000000001E-2</v>
      </c>
      <c r="AA6977">
        <v>0.98575290000000004</v>
      </c>
      <c r="AB6977">
        <v>32</v>
      </c>
      <c r="AC6977">
        <v>8.6754999999999995</v>
      </c>
      <c r="AD6977">
        <v>-1.11155027652399</v>
      </c>
      <c r="AE6977">
        <v>1.5668500000000001</v>
      </c>
      <c r="AF6977">
        <v>-1.4942885168030999</v>
      </c>
      <c r="AG6977">
        <v>-1.11155027652399</v>
      </c>
      <c r="AH6977">
        <v>8.5482766987841003</v>
      </c>
      <c r="AI6977">
        <v>97.299257934447297</v>
      </c>
      <c r="AJ6977">
        <v>99.915450048893504</v>
      </c>
      <c r="AK6977">
        <v>8.7487985865297695</v>
      </c>
      <c r="AL6977">
        <v>66.816761097443205</v>
      </c>
      <c r="AM6977">
        <v>104.670417170489</v>
      </c>
      <c r="AN6977">
        <v>0.99999996887394405</v>
      </c>
    </row>
    <row r="6978" spans="1:40" x14ac:dyDescent="0.25">
      <c r="A6978" t="str">
        <f>"20190304165020608"</f>
        <v>20190304165020608</v>
      </c>
      <c r="B6978" t="str">
        <f>"1551689420602274"</f>
        <v>1551689420602274</v>
      </c>
      <c r="C6978" t="s">
        <v>40</v>
      </c>
      <c r="D6978">
        <v>4.4423690000000002</v>
      </c>
      <c r="E6978">
        <v>0.53477779999999997</v>
      </c>
      <c r="F6978" t="s">
        <v>57</v>
      </c>
      <c r="G6978">
        <v>-219.23050000000001</v>
      </c>
      <c r="H6978" s="1">
        <v>-3.2262609999999999E-6</v>
      </c>
      <c r="I6978">
        <v>-61.654269999999997</v>
      </c>
      <c r="J6978">
        <v>-227.87690000000001</v>
      </c>
      <c r="K6978">
        <v>1.1115809999999999</v>
      </c>
      <c r="L6978">
        <v>-63.228789999999996</v>
      </c>
      <c r="M6978">
        <v>0.9998783</v>
      </c>
      <c r="N6978">
        <v>-1.44099E-2</v>
      </c>
      <c r="O6978">
        <v>5.9902410000000003E-3</v>
      </c>
      <c r="P6978">
        <v>0.89308709999999902</v>
      </c>
      <c r="Q6978">
        <v>0.38151869999999999</v>
      </c>
      <c r="R6978">
        <v>0.23840919999999999</v>
      </c>
      <c r="S6978">
        <v>3.378647</v>
      </c>
      <c r="T6978">
        <v>-0.42587069999999999</v>
      </c>
      <c r="U6978">
        <v>0.60372919999999997</v>
      </c>
      <c r="V6978">
        <v>-0.2335335</v>
      </c>
      <c r="W6978">
        <v>0.39408500000000002</v>
      </c>
      <c r="X6978">
        <v>0.8889089</v>
      </c>
      <c r="Y6978">
        <v>-0.16859360000000001</v>
      </c>
      <c r="Z6978">
        <v>1.107008E-2</v>
      </c>
      <c r="AA6978">
        <v>0.98562349999999999</v>
      </c>
      <c r="AB6978">
        <v>32</v>
      </c>
      <c r="AC6978">
        <v>8.6463999999999999</v>
      </c>
      <c r="AD6978">
        <v>-1.1115842262609901</v>
      </c>
      <c r="AE6978">
        <v>1.5745199999999999</v>
      </c>
      <c r="AF6978">
        <v>-1.4987169547175001</v>
      </c>
      <c r="AG6978">
        <v>-1.1115842262609901</v>
      </c>
      <c r="AH6978">
        <v>8.5193904900898207</v>
      </c>
      <c r="AI6978">
        <v>97.3225890701206</v>
      </c>
      <c r="AJ6978">
        <v>99.977290516795094</v>
      </c>
      <c r="AK6978">
        <v>8.72134085591561</v>
      </c>
      <c r="AL6978">
        <v>66.7910788917318</v>
      </c>
      <c r="AM6978">
        <v>104.720056794431</v>
      </c>
      <c r="AN6978">
        <v>0.99999995767322902</v>
      </c>
    </row>
    <row r="6979" spans="1:40" x14ac:dyDescent="0.25">
      <c r="A6979" t="str">
        <f>"20190304165020619"</f>
        <v>20190304165020619</v>
      </c>
      <c r="B6979" t="str">
        <f>"1551689420612034"</f>
        <v>1551689420612034</v>
      </c>
      <c r="C6979" t="s">
        <v>40</v>
      </c>
      <c r="D6979">
        <v>4.472715</v>
      </c>
      <c r="E6979">
        <v>0.53476809999999997</v>
      </c>
      <c r="F6979" t="s">
        <v>57</v>
      </c>
      <c r="G6979">
        <v>-219.05160000000001</v>
      </c>
      <c r="H6979" s="1">
        <v>-3.1627229999999998E-6</v>
      </c>
      <c r="I6979">
        <v>-61.639310000000002</v>
      </c>
      <c r="J6979">
        <v>-227.7208</v>
      </c>
      <c r="K6979">
        <v>1.111605</v>
      </c>
      <c r="L6979">
        <v>-63.227539999999998</v>
      </c>
      <c r="M6979">
        <v>0.99987610000000005</v>
      </c>
      <c r="N6979">
        <v>-1.4408539999999999E-2</v>
      </c>
      <c r="O6979">
        <v>6.3389199999999996E-3</v>
      </c>
      <c r="P6979">
        <v>0.89272019999999996</v>
      </c>
      <c r="Q6979">
        <v>0.3818048</v>
      </c>
      <c r="R6979">
        <v>0.2393238</v>
      </c>
      <c r="S6979">
        <v>3.378479</v>
      </c>
      <c r="T6979">
        <v>-0.4255333</v>
      </c>
      <c r="U6979">
        <v>0.60845950000000004</v>
      </c>
      <c r="V6979">
        <v>-0.2341676</v>
      </c>
      <c r="W6979">
        <v>0.39434839999999999</v>
      </c>
      <c r="X6979">
        <v>0.88862529999999995</v>
      </c>
      <c r="Y6979">
        <v>-0.1695912</v>
      </c>
      <c r="Z6979">
        <v>1.1092650000000001E-2</v>
      </c>
      <c r="AA6979">
        <v>0.98545210000000005</v>
      </c>
      <c r="AB6979">
        <v>32</v>
      </c>
      <c r="AC6979">
        <v>8.6691999999999894</v>
      </c>
      <c r="AD6979">
        <v>-1.1116081627229999</v>
      </c>
      <c r="AE6979">
        <v>1.58823000000001</v>
      </c>
      <c r="AF6979">
        <v>-1.5092305817882801</v>
      </c>
      <c r="AG6979">
        <v>-1.1116081627229999</v>
      </c>
      <c r="AH6979">
        <v>8.5431917149739292</v>
      </c>
      <c r="AI6979">
        <v>97.301649920545401</v>
      </c>
      <c r="AJ6979">
        <v>100.01844132708899</v>
      </c>
      <c r="AK6979">
        <v>8.7464035085992098</v>
      </c>
      <c r="AL6979">
        <v>66.774658969563902</v>
      </c>
      <c r="AM6979">
        <v>104.762787289393</v>
      </c>
      <c r="AN6979">
        <v>1.0000000246362</v>
      </c>
    </row>
    <row r="6980" spans="1:40" x14ac:dyDescent="0.25">
      <c r="A6980" t="str">
        <f>"20190304165020629"</f>
        <v>20190304165020629</v>
      </c>
      <c r="B6980" t="str">
        <f>"1551689420622770"</f>
        <v>1551689420622770</v>
      </c>
      <c r="C6980" t="s">
        <v>40</v>
      </c>
      <c r="D6980">
        <v>4.4725270000000004</v>
      </c>
      <c r="E6980">
        <v>0.53476519999999905</v>
      </c>
      <c r="F6980" t="s">
        <v>57</v>
      </c>
      <c r="G6980">
        <v>-218.90170000000001</v>
      </c>
      <c r="H6980" s="1">
        <v>-3.1098490000000001E-6</v>
      </c>
      <c r="I6980">
        <v>-61.628799999999998</v>
      </c>
      <c r="J6980">
        <v>-227.57210000000001</v>
      </c>
      <c r="K6980">
        <v>1.11164</v>
      </c>
      <c r="L6980">
        <v>-63.226260000000003</v>
      </c>
      <c r="M6980">
        <v>0.99987380000000003</v>
      </c>
      <c r="N6980">
        <v>-1.440732E-2</v>
      </c>
      <c r="O6980">
        <v>6.6919639999999999E-3</v>
      </c>
      <c r="P6980">
        <v>0.89245859999999899</v>
      </c>
      <c r="Q6980">
        <v>0.3817141</v>
      </c>
      <c r="R6980">
        <v>0.24044160000000001</v>
      </c>
      <c r="S6980">
        <v>3.3784480000000001</v>
      </c>
      <c r="T6980">
        <v>-0.4258364</v>
      </c>
      <c r="U6980">
        <v>0.61242680000000005</v>
      </c>
      <c r="V6980">
        <v>-0.23500109999999999</v>
      </c>
      <c r="W6980">
        <v>0.39423530000000001</v>
      </c>
      <c r="X6980">
        <v>0.88845540000000001</v>
      </c>
      <c r="Y6980">
        <v>-0.17035939999999999</v>
      </c>
      <c r="Z6980">
        <v>1.111317E-2</v>
      </c>
      <c r="AA6980">
        <v>0.98531930000000001</v>
      </c>
      <c r="AB6980">
        <v>32</v>
      </c>
      <c r="AC6980">
        <v>8.6704000000000008</v>
      </c>
      <c r="AD6980">
        <v>-1.1116431098490001</v>
      </c>
      <c r="AE6980">
        <v>1.5974599999999901</v>
      </c>
      <c r="AF6980">
        <v>-1.51530518678113</v>
      </c>
      <c r="AG6980">
        <v>-1.1116431098490001</v>
      </c>
      <c r="AH6980">
        <v>8.5450440912185499</v>
      </c>
      <c r="AI6980">
        <v>97.2994776485165</v>
      </c>
      <c r="AJ6980">
        <v>100.055807677172</v>
      </c>
      <c r="AK6980">
        <v>8.7492673255324505</v>
      </c>
      <c r="AL6980">
        <v>66.7817096202713</v>
      </c>
      <c r="AM6980">
        <v>104.815735713427</v>
      </c>
      <c r="AN6980">
        <v>0.99999999327822997</v>
      </c>
    </row>
    <row r="6981" spans="1:40" x14ac:dyDescent="0.25">
      <c r="A6981" t="str">
        <f>"20190304165020642"</f>
        <v>20190304165020642</v>
      </c>
      <c r="B6981" t="str">
        <f>"1551689420632530"</f>
        <v>1551689420632530</v>
      </c>
      <c r="C6981" t="s">
        <v>40</v>
      </c>
      <c r="D6981">
        <v>4.4520369999999998</v>
      </c>
      <c r="E6981">
        <v>0.53473340000000003</v>
      </c>
      <c r="F6981" t="s">
        <v>57</v>
      </c>
      <c r="G6981">
        <v>-218.7962</v>
      </c>
      <c r="H6981" s="1">
        <v>-3.0723070000000002E-6</v>
      </c>
      <c r="I6981">
        <v>-61.622889999999998</v>
      </c>
      <c r="J6981">
        <v>-227.41050000000001</v>
      </c>
      <c r="K6981">
        <v>1.1116740000000001</v>
      </c>
      <c r="L6981">
        <v>-63.224760000000003</v>
      </c>
      <c r="M6981">
        <v>0.99987110000000001</v>
      </c>
      <c r="N6981">
        <v>-1.440604E-2</v>
      </c>
      <c r="O6981">
        <v>7.1017769999999897E-3</v>
      </c>
      <c r="P6981">
        <v>0.89197739999999903</v>
      </c>
      <c r="Q6981">
        <v>0.38202540000000001</v>
      </c>
      <c r="R6981">
        <v>0.24172879999999999</v>
      </c>
      <c r="S6981">
        <v>3.37825</v>
      </c>
      <c r="T6981">
        <v>-0.42792140000000001</v>
      </c>
      <c r="U6981">
        <v>0.6171875</v>
      </c>
      <c r="V6981">
        <v>-0.2359607</v>
      </c>
      <c r="W6981">
        <v>0.39451789999999998</v>
      </c>
      <c r="X6981">
        <v>0.88807549999999902</v>
      </c>
      <c r="Y6981">
        <v>-0.17129140000000001</v>
      </c>
      <c r="Z6981">
        <v>1.117976E-2</v>
      </c>
      <c r="AA6981">
        <v>0.98515699999999995</v>
      </c>
      <c r="AB6981">
        <v>32</v>
      </c>
      <c r="AC6981">
        <v>8.6143000000000107</v>
      </c>
      <c r="AD6981">
        <v>-1.111677072307</v>
      </c>
      <c r="AE6981">
        <v>1.6018699999999899</v>
      </c>
      <c r="AF6981">
        <v>-1.5162390295561901</v>
      </c>
      <c r="AG6981">
        <v>-1.111677072307</v>
      </c>
      <c r="AH6981">
        <v>8.4888128840684498</v>
      </c>
      <c r="AI6981">
        <v>97.345915514115802</v>
      </c>
      <c r="AJ6981">
        <v>100.12715450267601</v>
      </c>
      <c r="AK6981">
        <v>8.6945241898892398</v>
      </c>
      <c r="AL6981">
        <v>66.764088890539895</v>
      </c>
      <c r="AM6981">
        <v>104.879638025003</v>
      </c>
      <c r="AN6981">
        <v>0.99999995953257403</v>
      </c>
    </row>
    <row r="6982" spans="1:40" x14ac:dyDescent="0.25">
      <c r="A6982" t="str">
        <f>"20190304165020653"</f>
        <v>20190304165020653</v>
      </c>
      <c r="B6982" t="str">
        <f>"1551689420642291"</f>
        <v>1551689420642291</v>
      </c>
      <c r="C6982" t="s">
        <v>40</v>
      </c>
      <c r="D6982">
        <v>4.5279579999999999</v>
      </c>
      <c r="E6982">
        <v>0.53477269999999999</v>
      </c>
      <c r="F6982" t="s">
        <v>57</v>
      </c>
      <c r="G6982">
        <v>-218.6437</v>
      </c>
      <c r="H6982" s="1">
        <v>-3.0028540000000001E-6</v>
      </c>
      <c r="I6982">
        <v>-61.607719999999901</v>
      </c>
      <c r="J6982">
        <v>-227.25210000000001</v>
      </c>
      <c r="K6982">
        <v>1.1117109999999999</v>
      </c>
      <c r="L6982">
        <v>-63.2232699999999</v>
      </c>
      <c r="M6982">
        <v>0.99986799999999998</v>
      </c>
      <c r="N6982">
        <v>-1.4404810000000001E-2</v>
      </c>
      <c r="O6982">
        <v>7.5234709999999899E-3</v>
      </c>
      <c r="P6982">
        <v>0.89179179999999902</v>
      </c>
      <c r="Q6982">
        <v>0.3816966</v>
      </c>
      <c r="R6982">
        <v>0.2429306</v>
      </c>
      <c r="S6982">
        <v>3.3779449999999902</v>
      </c>
      <c r="T6982">
        <v>-0.42834470000000002</v>
      </c>
      <c r="U6982">
        <v>0.62304689999999996</v>
      </c>
      <c r="V6982">
        <v>-0.23682349999999999</v>
      </c>
      <c r="W6982">
        <v>0.3941634</v>
      </c>
      <c r="X6982">
        <v>0.88800330000000005</v>
      </c>
      <c r="Y6982">
        <v>-0.1725342</v>
      </c>
      <c r="Z6982">
        <v>1.122893E-2</v>
      </c>
      <c r="AA6982">
        <v>0.98493949999999997</v>
      </c>
      <c r="AB6982">
        <v>32</v>
      </c>
      <c r="AC6982">
        <v>8.6084000000000103</v>
      </c>
      <c r="AD6982">
        <v>-1.111714002854</v>
      </c>
      <c r="AE6982">
        <v>1.61554999999999</v>
      </c>
      <c r="AF6982">
        <v>-1.5261455704364999</v>
      </c>
      <c r="AG6982">
        <v>-1.111714002854</v>
      </c>
      <c r="AH6982">
        <v>8.4836366881735596</v>
      </c>
      <c r="AI6982">
        <v>97.348978204755596</v>
      </c>
      <c r="AJ6982">
        <v>100.198026959917</v>
      </c>
      <c r="AK6982">
        <v>8.6912093395124899</v>
      </c>
      <c r="AL6982">
        <v>66.786192533122204</v>
      </c>
      <c r="AM6982">
        <v>104.93277976241799</v>
      </c>
      <c r="AN6982">
        <v>1.0000000084313501</v>
      </c>
    </row>
    <row r="6983" spans="1:40" x14ac:dyDescent="0.25">
      <c r="A6983" t="str">
        <f>"20190304165020664"</f>
        <v>20190304165020664</v>
      </c>
      <c r="B6983" t="str">
        <f>"1551689420652051"</f>
        <v>1551689420652051</v>
      </c>
      <c r="C6983" t="s">
        <v>40</v>
      </c>
      <c r="D6983">
        <v>4.5152549999999998</v>
      </c>
      <c r="E6983">
        <v>0.53481160000000005</v>
      </c>
      <c r="F6983" t="s">
        <v>57</v>
      </c>
      <c r="G6983">
        <v>-218.53909999999999</v>
      </c>
      <c r="H6983" s="1">
        <v>-2.957061E-6</v>
      </c>
      <c r="I6983">
        <v>-61.604289999999999</v>
      </c>
      <c r="J6983">
        <v>-227.09270000000001</v>
      </c>
      <c r="K6983">
        <v>1.111753</v>
      </c>
      <c r="L6983">
        <v>-63.221589999999999</v>
      </c>
      <c r="M6983">
        <v>0.99986439999999999</v>
      </c>
      <c r="N6983">
        <v>-1.440371E-2</v>
      </c>
      <c r="O6983">
        <v>7.9919750000000001E-3</v>
      </c>
      <c r="P6983">
        <v>0.89135169999999997</v>
      </c>
      <c r="Q6983">
        <v>0.38185200000000002</v>
      </c>
      <c r="R6983">
        <v>0.24429809999999999</v>
      </c>
      <c r="S6983">
        <v>3.3775330000000001</v>
      </c>
      <c r="T6983">
        <v>-0.43095040000000001</v>
      </c>
      <c r="U6983">
        <v>0.62756350000000005</v>
      </c>
      <c r="V6983">
        <v>-0.23781749999999999</v>
      </c>
      <c r="W6983">
        <v>0.39428609999999997</v>
      </c>
      <c r="X6983">
        <v>0.88768309999999995</v>
      </c>
      <c r="Y6983">
        <v>-0.1733469</v>
      </c>
      <c r="Z6983">
        <v>1.1293340000000001E-2</v>
      </c>
      <c r="AA6983">
        <v>0.984796</v>
      </c>
      <c r="AB6983">
        <v>32</v>
      </c>
      <c r="AC6983">
        <v>8.5536000000000101</v>
      </c>
      <c r="AD6983">
        <v>-1.1117559570610001</v>
      </c>
      <c r="AE6983">
        <v>1.6173</v>
      </c>
      <c r="AF6983">
        <v>-1.52402358831685</v>
      </c>
      <c r="AG6983">
        <v>-1.1117559570610001</v>
      </c>
      <c r="AH6983">
        <v>8.4287764225360604</v>
      </c>
      <c r="AI6983">
        <v>97.395384279845004</v>
      </c>
      <c r="AJ6983">
        <v>100.249029229915</v>
      </c>
      <c r="AK6983">
        <v>8.6372982573780899</v>
      </c>
      <c r="AL6983">
        <v>66.778542344156705</v>
      </c>
      <c r="AM6983">
        <v>104.997803709222</v>
      </c>
      <c r="AN6983">
        <v>0.99999998899253495</v>
      </c>
    </row>
    <row r="6984" spans="1:40" x14ac:dyDescent="0.25">
      <c r="A6984" t="str">
        <f>"20190304165020675"</f>
        <v>20190304165020675</v>
      </c>
      <c r="B6984" t="str">
        <f>"1551689420662786"</f>
        <v>1551689420662786</v>
      </c>
      <c r="C6984" t="s">
        <v>40</v>
      </c>
      <c r="D6984">
        <v>4.5000229999999997</v>
      </c>
      <c r="E6984">
        <v>0.53482069999999904</v>
      </c>
      <c r="F6984" t="s">
        <v>57</v>
      </c>
      <c r="G6984">
        <v>-218.3869</v>
      </c>
      <c r="H6984" s="1">
        <v>-2.8881430000000001E-6</v>
      </c>
      <c r="I6984">
        <v>-61.59066</v>
      </c>
      <c r="J6984">
        <v>-226.93950000000001</v>
      </c>
      <c r="K6984">
        <v>1.1117969999999999</v>
      </c>
      <c r="L6984">
        <v>-63.219970000000004</v>
      </c>
      <c r="M6984">
        <v>0.99986059999999999</v>
      </c>
      <c r="N6984">
        <v>-1.440264E-2</v>
      </c>
      <c r="O6984">
        <v>8.4543299999999995E-3</v>
      </c>
      <c r="P6984">
        <v>0.89096589999999998</v>
      </c>
      <c r="Q6984">
        <v>0.3819149</v>
      </c>
      <c r="R6984">
        <v>0.2456026</v>
      </c>
      <c r="S6984">
        <v>3.3770449999999999</v>
      </c>
      <c r="T6984">
        <v>-0.43126140000000002</v>
      </c>
      <c r="U6984">
        <v>0.63262940000000001</v>
      </c>
      <c r="V6984">
        <v>-0.2387543</v>
      </c>
      <c r="W6984">
        <v>0.3943181</v>
      </c>
      <c r="X6984">
        <v>0.88741740000000002</v>
      </c>
      <c r="Y6984">
        <v>-0.17433699999999999</v>
      </c>
      <c r="Z6984">
        <v>1.131852E-2</v>
      </c>
      <c r="AA6984">
        <v>0.98462099999999997</v>
      </c>
      <c r="AB6984">
        <v>32</v>
      </c>
      <c r="AC6984">
        <v>8.5526000000000106</v>
      </c>
      <c r="AD6984">
        <v>-1.111799888143</v>
      </c>
      <c r="AE6984">
        <v>1.62930999999999</v>
      </c>
      <c r="AF6984">
        <v>-1.53195611127105</v>
      </c>
      <c r="AG6984">
        <v>-1.111799888143</v>
      </c>
      <c r="AH6984">
        <v>8.42862462685809</v>
      </c>
      <c r="AI6984">
        <v>97.394592756023002</v>
      </c>
      <c r="AJ6984">
        <v>100.30141751403499</v>
      </c>
      <c r="AK6984">
        <v>8.6385590012810702</v>
      </c>
      <c r="AL6984">
        <v>66.7765477732611</v>
      </c>
      <c r="AM6984">
        <v>105.058508225574</v>
      </c>
      <c r="AN6984">
        <v>1.00000001078943</v>
      </c>
    </row>
    <row r="6985" spans="1:40" x14ac:dyDescent="0.25">
      <c r="A6985" t="str">
        <f>"20190304165020687"</f>
        <v>20190304165020687</v>
      </c>
      <c r="B6985" t="str">
        <f>"1551689420682307"</f>
        <v>1551689420682307</v>
      </c>
      <c r="C6985" t="s">
        <v>40</v>
      </c>
      <c r="D6985">
        <v>4.7221399999999996</v>
      </c>
      <c r="E6985">
        <v>0.53471289999999905</v>
      </c>
      <c r="F6985" t="s">
        <v>57</v>
      </c>
      <c r="G6985">
        <v>-218.2567</v>
      </c>
      <c r="H6985" s="1">
        <v>-2.829478E-6</v>
      </c>
      <c r="I6985">
        <v>-61.58014</v>
      </c>
      <c r="J6985">
        <v>-226.77449999999999</v>
      </c>
      <c r="K6985">
        <v>1.1118570000000001</v>
      </c>
      <c r="L6985">
        <v>-63.218020000000003</v>
      </c>
      <c r="M6985">
        <v>0.99985570000000001</v>
      </c>
      <c r="N6985">
        <v>-1.440169E-2</v>
      </c>
      <c r="O6985">
        <v>9.0185950000000008E-3</v>
      </c>
      <c r="P6985">
        <v>0.890316</v>
      </c>
      <c r="Q6985">
        <v>0.38238549999999999</v>
      </c>
      <c r="R6985">
        <v>0.24722230000000001</v>
      </c>
      <c r="S6985">
        <v>3.3766940000000001</v>
      </c>
      <c r="T6985">
        <v>-0.43237160000000002</v>
      </c>
      <c r="U6985">
        <v>0.63769529999999996</v>
      </c>
      <c r="V6985">
        <v>-0.2399298</v>
      </c>
      <c r="W6985">
        <v>0.39474619999999999</v>
      </c>
      <c r="X6985">
        <v>0.88690979999999997</v>
      </c>
      <c r="Y6985">
        <v>-0.17521539999999999</v>
      </c>
      <c r="Z6985">
        <v>1.134228E-2</v>
      </c>
      <c r="AA6985">
        <v>0.98446480000000003</v>
      </c>
      <c r="AB6985">
        <v>32</v>
      </c>
      <c r="AC6985">
        <v>8.5177999999999905</v>
      </c>
      <c r="AD6985">
        <v>-1.11185982947799</v>
      </c>
      <c r="AE6985">
        <v>1.63787999999999</v>
      </c>
      <c r="AF6985">
        <v>-1.5357521346859999</v>
      </c>
      <c r="AG6985">
        <v>-1.11185982947799</v>
      </c>
      <c r="AH6985">
        <v>8.3942956673654994</v>
      </c>
      <c r="AI6985">
        <v>97.423343525127805</v>
      </c>
      <c r="AJ6985">
        <v>100.367711168078</v>
      </c>
      <c r="AK6985">
        <v>8.6057519515002596</v>
      </c>
      <c r="AL6985">
        <v>66.749852186582899</v>
      </c>
      <c r="AM6985">
        <v>105.137519137192</v>
      </c>
      <c r="AN6985">
        <v>0.99999993233925699</v>
      </c>
    </row>
    <row r="6986" spans="1:40" x14ac:dyDescent="0.25">
      <c r="A6986" t="str">
        <f>"20190304165020698"</f>
        <v>20190304165020698</v>
      </c>
      <c r="B6986" t="str">
        <f>"1551689420693042"</f>
        <v>1551689420693042</v>
      </c>
      <c r="C6986" t="s">
        <v>40</v>
      </c>
      <c r="D6986">
        <v>4.6114420000000003</v>
      </c>
      <c r="E6986">
        <v>0.49725419999999998</v>
      </c>
      <c r="F6986" t="s">
        <v>57</v>
      </c>
      <c r="G6986">
        <v>-218.0676</v>
      </c>
      <c r="H6986" s="1">
        <v>-2.7415450000000001E-6</v>
      </c>
      <c r="I6986">
        <v>-61.554569999999998</v>
      </c>
      <c r="J6986">
        <v>-226.60929999999999</v>
      </c>
      <c r="K6986">
        <v>1.111918</v>
      </c>
      <c r="L6986">
        <v>-63.216000000000001</v>
      </c>
      <c r="M6986">
        <v>0.99985020000000002</v>
      </c>
      <c r="N6986">
        <v>-1.440078E-2</v>
      </c>
      <c r="O6986">
        <v>9.6064359999999994E-3</v>
      </c>
      <c r="P6986">
        <v>0.88974719999999996</v>
      </c>
      <c r="Q6986">
        <v>0.3827489</v>
      </c>
      <c r="R6986">
        <v>0.24870320000000001</v>
      </c>
      <c r="S6986">
        <v>3.3756560000000002</v>
      </c>
      <c r="T6986">
        <v>-0.4310679</v>
      </c>
      <c r="U6986">
        <v>0.64489750000000001</v>
      </c>
      <c r="V6986">
        <v>-0.24094779999999999</v>
      </c>
      <c r="W6986">
        <v>0.3950669</v>
      </c>
      <c r="X6986">
        <v>0.88649100000000003</v>
      </c>
      <c r="Y6986">
        <v>-0.17671770000000001</v>
      </c>
      <c r="Z6986">
        <v>1.135365E-2</v>
      </c>
      <c r="AA6986">
        <v>0.98419610000000002</v>
      </c>
      <c r="AB6986">
        <v>32</v>
      </c>
      <c r="AC6986">
        <v>8.5416999999999899</v>
      </c>
      <c r="AD6986">
        <v>-1.1119207415450001</v>
      </c>
      <c r="AE6986">
        <v>1.66143</v>
      </c>
      <c r="AF6986">
        <v>-1.5539172532447101</v>
      </c>
      <c r="AG6986">
        <v>-1.1119207415450001</v>
      </c>
      <c r="AH6986">
        <v>8.4197900311993603</v>
      </c>
      <c r="AI6986">
        <v>97.3994309543056</v>
      </c>
      <c r="AJ6986">
        <v>100.456582416687</v>
      </c>
      <c r="AK6986">
        <v>8.6338803984589507</v>
      </c>
      <c r="AL6986">
        <v>66.729853379796793</v>
      </c>
      <c r="AM6986">
        <v>105.20562909524401</v>
      </c>
      <c r="AN6986">
        <v>0.99999999544072504</v>
      </c>
    </row>
    <row r="6987" spans="1:40" x14ac:dyDescent="0.25">
      <c r="A6987" t="str">
        <f>"20190304165020708"</f>
        <v>20190304165020708</v>
      </c>
      <c r="B6987" t="str">
        <f>"1551689420702802"</f>
        <v>1551689420702802</v>
      </c>
      <c r="C6987" t="s">
        <v>40</v>
      </c>
      <c r="D6987">
        <v>4.5314860000000001</v>
      </c>
      <c r="E6987">
        <v>0.4877205</v>
      </c>
      <c r="F6987" t="s">
        <v>57</v>
      </c>
      <c r="G6987">
        <v>-216.55699999999999</v>
      </c>
      <c r="H6987" s="1">
        <v>-1.787537E-6</v>
      </c>
      <c r="I6987">
        <v>-60.352130000000002</v>
      </c>
      <c r="J6987">
        <v>-226.45650000000001</v>
      </c>
      <c r="K6987">
        <v>1.1119810000000001</v>
      </c>
      <c r="L6987">
        <v>-63.21396</v>
      </c>
      <c r="M6987">
        <v>0.99984430000000002</v>
      </c>
      <c r="N6987">
        <v>-1.4400140000000001E-2</v>
      </c>
      <c r="O6987">
        <v>1.020449E-2</v>
      </c>
      <c r="P6987">
        <v>0.88907329999999996</v>
      </c>
      <c r="Q6987">
        <v>0.38331539999999997</v>
      </c>
      <c r="R6987">
        <v>0.25023590000000001</v>
      </c>
      <c r="S6987">
        <v>3.2670590000000002</v>
      </c>
      <c r="T6987">
        <v>-0.3613808</v>
      </c>
      <c r="U6987">
        <v>0.93075560000000002</v>
      </c>
      <c r="V6987">
        <v>-0.24201210000000001</v>
      </c>
      <c r="W6987">
        <v>0.3955881</v>
      </c>
      <c r="X6987">
        <v>0.88596849999999905</v>
      </c>
      <c r="Y6987">
        <v>-0.2625169</v>
      </c>
      <c r="Z6987">
        <v>1.516872E-2</v>
      </c>
      <c r="AA6987">
        <v>0.9648082</v>
      </c>
      <c r="AB6987">
        <v>32</v>
      </c>
      <c r="AC6987">
        <v>9.8994999999999802</v>
      </c>
      <c r="AD6987">
        <v>-1.1119827875370001</v>
      </c>
      <c r="AE6987">
        <v>2.8618299999999901</v>
      </c>
      <c r="AF6987">
        <v>-2.7288754149329701</v>
      </c>
      <c r="AG6987">
        <v>-1.1119827875370001</v>
      </c>
      <c r="AH6987">
        <v>9.8139152382981898</v>
      </c>
      <c r="AI6987">
        <v>96.230028555861907</v>
      </c>
      <c r="AJ6987">
        <v>105.53922005153299</v>
      </c>
      <c r="AK6987">
        <v>10.2467652971318</v>
      </c>
      <c r="AL6987">
        <v>66.697342409336102</v>
      </c>
      <c r="AM6987">
        <v>105.278249986445</v>
      </c>
      <c r="AN6987">
        <v>0.99999999220013502</v>
      </c>
    </row>
    <row r="6988" spans="1:40" x14ac:dyDescent="0.25">
      <c r="A6988" t="str">
        <f>"20190304165020720"</f>
        <v>20190304165020720</v>
      </c>
      <c r="B6988" t="str">
        <f>"1551689420712562"</f>
        <v>1551689420712562</v>
      </c>
      <c r="C6988" t="s">
        <v>40</v>
      </c>
      <c r="D6988">
        <v>4.5596180000000004</v>
      </c>
      <c r="E6988">
        <v>0.48272159999999897</v>
      </c>
      <c r="F6988" t="s">
        <v>57</v>
      </c>
      <c r="G6988">
        <v>-215.7824</v>
      </c>
      <c r="H6988" s="1">
        <v>-1.5369010000000001E-6</v>
      </c>
      <c r="I6988">
        <v>-59.891779999999997</v>
      </c>
      <c r="J6988">
        <v>-226.30250000000001</v>
      </c>
      <c r="K6988">
        <v>1.1120460000000001</v>
      </c>
      <c r="L6988">
        <v>-63.211790000000001</v>
      </c>
      <c r="M6988">
        <v>0.99983759999999999</v>
      </c>
      <c r="N6988">
        <v>-1.439961E-2</v>
      </c>
      <c r="O6988">
        <v>1.0839110000000001E-2</v>
      </c>
      <c r="P6988">
        <v>0.888459</v>
      </c>
      <c r="Q6988">
        <v>0.38370280000000001</v>
      </c>
      <c r="R6988">
        <v>0.25181940000000003</v>
      </c>
      <c r="S6988">
        <v>3.2361759999999999</v>
      </c>
      <c r="T6988">
        <v>-0.33713149999999997</v>
      </c>
      <c r="U6988">
        <v>1.0072019999999999</v>
      </c>
      <c r="V6988">
        <v>-0.2430976</v>
      </c>
      <c r="W6988">
        <v>0.39592880000000003</v>
      </c>
      <c r="X6988">
        <v>0.88551899999999995</v>
      </c>
      <c r="Y6988">
        <v>-0.28522710000000001</v>
      </c>
      <c r="Z6988">
        <v>1.5636359999999998E-2</v>
      </c>
      <c r="AA6988">
        <v>0.95833239999999997</v>
      </c>
      <c r="AB6988">
        <v>32</v>
      </c>
      <c r="AC6988">
        <v>10.520099999999999</v>
      </c>
      <c r="AD6988">
        <v>-1.1120475369010001</v>
      </c>
      <c r="AE6988">
        <v>3.3200099999999901</v>
      </c>
      <c r="AF6988">
        <v>-3.17352559739764</v>
      </c>
      <c r="AG6988">
        <v>-1.1120475369010001</v>
      </c>
      <c r="AH6988">
        <v>10.4492871483728</v>
      </c>
      <c r="AI6988">
        <v>95.814417544013196</v>
      </c>
      <c r="AJ6988">
        <v>106.893922900661</v>
      </c>
      <c r="AK6988">
        <v>10.9770449735261</v>
      </c>
      <c r="AL6988">
        <v>66.676085935448398</v>
      </c>
      <c r="AM6988">
        <v>105.350976023257</v>
      </c>
      <c r="AN6988">
        <v>0.99999997857809897</v>
      </c>
    </row>
    <row r="6989" spans="1:40" x14ac:dyDescent="0.25">
      <c r="A6989" t="str">
        <f>"20190304165020730"</f>
        <v>20190304165020730</v>
      </c>
      <c r="B6989" t="str">
        <f>"1551689420722323"</f>
        <v>1551689420722323</v>
      </c>
      <c r="C6989" t="s">
        <v>40</v>
      </c>
      <c r="D6989">
        <v>4.5737560000000004</v>
      </c>
      <c r="E6989">
        <v>0.47931240000000003</v>
      </c>
      <c r="F6989" t="s">
        <v>57</v>
      </c>
      <c r="G6989">
        <v>-215.26070000000001</v>
      </c>
      <c r="H6989" s="1">
        <v>-1.3631210000000001E-6</v>
      </c>
      <c r="I6989">
        <v>-59.60989</v>
      </c>
      <c r="J6989">
        <v>-226.15450000000001</v>
      </c>
      <c r="K6989">
        <v>1.112109</v>
      </c>
      <c r="L6989">
        <v>-63.209560000000003</v>
      </c>
      <c r="M6989">
        <v>0.99983040000000001</v>
      </c>
      <c r="N6989">
        <v>-1.4399240000000001E-2</v>
      </c>
      <c r="O6989">
        <v>1.148826E-2</v>
      </c>
      <c r="P6989">
        <v>0.88792369999999898</v>
      </c>
      <c r="Q6989">
        <v>0.38399480000000002</v>
      </c>
      <c r="R6989">
        <v>0.25325819999999999</v>
      </c>
      <c r="S6989">
        <v>3.2190089999999998</v>
      </c>
      <c r="T6989">
        <v>-0.32419619999999999</v>
      </c>
      <c r="U6989">
        <v>1.050049</v>
      </c>
      <c r="V6989">
        <v>-0.2440252</v>
      </c>
      <c r="W6989">
        <v>0.39617570000000002</v>
      </c>
      <c r="X6989">
        <v>0.88515339999999998</v>
      </c>
      <c r="Y6989">
        <v>-0.2976433</v>
      </c>
      <c r="Z6989">
        <v>1.581455E-2</v>
      </c>
      <c r="AA6989">
        <v>0.95454620000000001</v>
      </c>
      <c r="AB6989">
        <v>32</v>
      </c>
      <c r="AC6989">
        <v>10.893800000000001</v>
      </c>
      <c r="AD6989">
        <v>-1.1121103631209901</v>
      </c>
      <c r="AE6989">
        <v>3.5996699999999899</v>
      </c>
      <c r="AF6989">
        <v>-3.44192903368541</v>
      </c>
      <c r="AG6989">
        <v>-1.1121103631209901</v>
      </c>
      <c r="AH6989">
        <v>10.8326579508148</v>
      </c>
      <c r="AI6989">
        <v>95.5881787787402</v>
      </c>
      <c r="AJ6989">
        <v>107.626943434346</v>
      </c>
      <c r="AK6989">
        <v>11.420601700962999</v>
      </c>
      <c r="AL6989">
        <v>66.660680656697195</v>
      </c>
      <c r="AM6989">
        <v>105.412834405289</v>
      </c>
      <c r="AN6989">
        <v>1.00000001251854</v>
      </c>
    </row>
    <row r="6990" spans="1:40" x14ac:dyDescent="0.25">
      <c r="A6990" t="str">
        <f>"20190304165020741"</f>
        <v>20190304165020741</v>
      </c>
      <c r="B6990" t="str">
        <f>"1551689420732083"</f>
        <v>1551689420732083</v>
      </c>
      <c r="C6990" t="s">
        <v>40</v>
      </c>
      <c r="D6990">
        <v>4.5603800000000003</v>
      </c>
      <c r="E6990">
        <v>0.47715570000000002</v>
      </c>
      <c r="F6990" t="s">
        <v>57</v>
      </c>
      <c r="G6990">
        <v>-214.84569999999999</v>
      </c>
      <c r="H6990" s="1">
        <v>-1.2224229999999999E-6</v>
      </c>
      <c r="I6990">
        <v>-59.3994</v>
      </c>
      <c r="J6990">
        <v>-225.99760000000001</v>
      </c>
      <c r="K6990">
        <v>1.1121799999999999</v>
      </c>
      <c r="L6990">
        <v>-63.207059999999998</v>
      </c>
      <c r="M6990">
        <v>0.99982159999999998</v>
      </c>
      <c r="N6990">
        <v>-1.4398970000000001E-2</v>
      </c>
      <c r="O6990">
        <v>1.2225939999999999E-2</v>
      </c>
      <c r="P6990">
        <v>0.88734089999999999</v>
      </c>
      <c r="Q6990">
        <v>0.38419999999999999</v>
      </c>
      <c r="R6990">
        <v>0.25498330000000002</v>
      </c>
      <c r="S6990">
        <v>3.2068789999999998</v>
      </c>
      <c r="T6990">
        <v>-0.31536439999999999</v>
      </c>
      <c r="U6990">
        <v>1.080444</v>
      </c>
      <c r="V6990">
        <v>-0.2451682</v>
      </c>
      <c r="W6990">
        <v>0.39633109999999999</v>
      </c>
      <c r="X6990">
        <v>0.88476790000000005</v>
      </c>
      <c r="Y6990">
        <v>-0.30617040000000001</v>
      </c>
      <c r="Z6990">
        <v>1.5890789999999998E-2</v>
      </c>
      <c r="AA6990">
        <v>0.95184409999999997</v>
      </c>
      <c r="AB6990">
        <v>32</v>
      </c>
      <c r="AC6990">
        <v>11.151899999999999</v>
      </c>
      <c r="AD6990">
        <v>-1.1121812224230001</v>
      </c>
      <c r="AE6990">
        <v>3.8076599999999998</v>
      </c>
      <c r="AF6990">
        <v>-3.6386072520961199</v>
      </c>
      <c r="AG6990">
        <v>-1.1121812224230001</v>
      </c>
      <c r="AH6990">
        <v>11.098759304119</v>
      </c>
      <c r="AI6990">
        <v>95.439370564323596</v>
      </c>
      <c r="AJ6990">
        <v>108.151166603245</v>
      </c>
      <c r="AK6990">
        <v>11.732811593871499</v>
      </c>
      <c r="AL6990">
        <v>66.650983045883905</v>
      </c>
      <c r="AM6990">
        <v>105.487993440734</v>
      </c>
      <c r="AN6990">
        <v>1.0000000119944299</v>
      </c>
    </row>
    <row r="6991" spans="1:40" x14ac:dyDescent="0.25">
      <c r="A6991" t="str">
        <f>"20190304165020752"</f>
        <v>20190304165020752</v>
      </c>
      <c r="B6991" t="str">
        <f>"1551689420742819"</f>
        <v>1551689420742819</v>
      </c>
      <c r="C6991" t="s">
        <v>40</v>
      </c>
      <c r="D6991">
        <v>4.54413</v>
      </c>
      <c r="E6991">
        <v>0.47555960000000003</v>
      </c>
      <c r="F6991" t="s">
        <v>57</v>
      </c>
      <c r="G6991">
        <v>-214.5421</v>
      </c>
      <c r="H6991" s="1">
        <v>-1.117166E-6</v>
      </c>
      <c r="I6991">
        <v>-59.258479999999999</v>
      </c>
      <c r="J6991">
        <v>-225.83680000000001</v>
      </c>
      <c r="K6991">
        <v>1.112255</v>
      </c>
      <c r="L6991">
        <v>-63.20438</v>
      </c>
      <c r="M6991">
        <v>0.99981160000000002</v>
      </c>
      <c r="N6991">
        <v>-1.439873E-2</v>
      </c>
      <c r="O6991">
        <v>1.301826E-2</v>
      </c>
      <c r="P6991">
        <v>0.88669920000000002</v>
      </c>
      <c r="Q6991">
        <v>0.3845345</v>
      </c>
      <c r="R6991">
        <v>0.25670510000000002</v>
      </c>
      <c r="S6991">
        <v>3.1985320000000002</v>
      </c>
      <c r="T6991">
        <v>-0.31053540000000002</v>
      </c>
      <c r="U6991">
        <v>1.1024780000000001</v>
      </c>
      <c r="V6991">
        <v>-0.2462638</v>
      </c>
      <c r="W6991">
        <v>0.3966131</v>
      </c>
      <c r="X6991">
        <v>0.88433719999999905</v>
      </c>
      <c r="Y6991">
        <v>-0.31204749999999998</v>
      </c>
      <c r="Z6991">
        <v>1.5963160000000001E-2</v>
      </c>
      <c r="AA6991">
        <v>0.94993240000000001</v>
      </c>
      <c r="AB6991">
        <v>32</v>
      </c>
      <c r="AC6991">
        <v>11.294700000000001</v>
      </c>
      <c r="AD6991">
        <v>-1.1122561171659999</v>
      </c>
      <c r="AE6991">
        <v>3.9459</v>
      </c>
      <c r="AF6991">
        <v>-3.7659650101845199</v>
      </c>
      <c r="AG6991">
        <v>-1.1122561171659999</v>
      </c>
      <c r="AH6991">
        <v>11.247904928774</v>
      </c>
      <c r="AI6991">
        <v>95.356925955010794</v>
      </c>
      <c r="AJ6991">
        <v>108.511308316502</v>
      </c>
      <c r="AK6991">
        <v>11.9136464365385</v>
      </c>
      <c r="AL6991">
        <v>66.633384139839393</v>
      </c>
      <c r="AM6991">
        <v>105.561070258577</v>
      </c>
      <c r="AN6991">
        <v>1.00000004679294</v>
      </c>
    </row>
    <row r="6992" spans="1:40" x14ac:dyDescent="0.25">
      <c r="A6992" t="str">
        <f>"20190304165020764"</f>
        <v>20190304165020764</v>
      </c>
      <c r="B6992" t="str">
        <f>"1551689420752579"</f>
        <v>1551689420752579</v>
      </c>
      <c r="C6992" t="s">
        <v>40</v>
      </c>
      <c r="D6992">
        <v>4.5531139999999999</v>
      </c>
      <c r="E6992">
        <v>0.47465780000000002</v>
      </c>
      <c r="F6992" t="s">
        <v>57</v>
      </c>
      <c r="G6992">
        <v>-214.28540000000001</v>
      </c>
      <c r="H6992" s="1">
        <v>-1.0264949999999999E-6</v>
      </c>
      <c r="I6992">
        <v>-59.148760000000003</v>
      </c>
      <c r="J6992">
        <v>-225.6831</v>
      </c>
      <c r="K6992">
        <v>1.1123320000000001</v>
      </c>
      <c r="L6992">
        <v>-63.201540000000001</v>
      </c>
      <c r="M6992">
        <v>0.99980049999999998</v>
      </c>
      <c r="N6992">
        <v>-1.439877E-2</v>
      </c>
      <c r="O6992">
        <v>1.384781E-2</v>
      </c>
      <c r="P6992">
        <v>0.88623200000000002</v>
      </c>
      <c r="Q6992">
        <v>0.38460640000000001</v>
      </c>
      <c r="R6992">
        <v>0.25820710000000002</v>
      </c>
      <c r="S6992">
        <v>3.1921539999999999</v>
      </c>
      <c r="T6992">
        <v>-0.30736469999999999</v>
      </c>
      <c r="U6992">
        <v>1.1207279999999999</v>
      </c>
      <c r="V6992">
        <v>-0.24710499999999999</v>
      </c>
      <c r="W6992">
        <v>0.3966345</v>
      </c>
      <c r="X6992">
        <v>0.88409289999999996</v>
      </c>
      <c r="Y6992">
        <v>-0.31668980000000002</v>
      </c>
      <c r="Z6992">
        <v>1.6026490000000001E-2</v>
      </c>
      <c r="AA6992">
        <v>0.94839379999999995</v>
      </c>
      <c r="AB6992">
        <v>32</v>
      </c>
      <c r="AC6992">
        <v>11.397699999999899</v>
      </c>
      <c r="AD6992">
        <v>-1.11233302649499</v>
      </c>
      <c r="AE6992">
        <v>4.0527800000000003</v>
      </c>
      <c r="AF6992">
        <v>-3.8618883852593</v>
      </c>
      <c r="AG6992">
        <v>-1.11233302649499</v>
      </c>
      <c r="AH6992">
        <v>11.3567105397708</v>
      </c>
      <c r="AI6992">
        <v>95.297895422069899</v>
      </c>
      <c r="AJ6992">
        <v>108.780777331161</v>
      </c>
      <c r="AK6992">
        <v>12.046839458802999</v>
      </c>
      <c r="AL6992">
        <v>66.632048086296805</v>
      </c>
      <c r="AM6992">
        <v>105.615740012567</v>
      </c>
      <c r="AN6992">
        <v>1.0000000317228199</v>
      </c>
    </row>
    <row r="6993" spans="1:40" x14ac:dyDescent="0.25">
      <c r="A6993" t="str">
        <f>"20190304165020776"</f>
        <v>20190304165020776</v>
      </c>
      <c r="B6993" t="str">
        <f>"1551689420772099"</f>
        <v>1551689420772099</v>
      </c>
      <c r="C6993" t="s">
        <v>40</v>
      </c>
      <c r="D6993">
        <v>4.5381010000000002</v>
      </c>
      <c r="E6993">
        <v>0.47344520000000001</v>
      </c>
      <c r="F6993" t="s">
        <v>57</v>
      </c>
      <c r="G6993">
        <v>-214.17429999999999</v>
      </c>
      <c r="H6993" s="1">
        <v>-9.8545520000000004E-7</v>
      </c>
      <c r="I6993">
        <v>-59.111420000000003</v>
      </c>
      <c r="J6993">
        <v>-225.5181</v>
      </c>
      <c r="K6993">
        <v>1.112414</v>
      </c>
      <c r="L6993">
        <v>-63.198430000000002</v>
      </c>
      <c r="M6993">
        <v>0.99978739999999999</v>
      </c>
      <c r="N6993">
        <v>-1.439878E-2</v>
      </c>
      <c r="O6993">
        <v>1.476274E-2</v>
      </c>
      <c r="P6993">
        <v>0.88577499999999998</v>
      </c>
      <c r="Q6993">
        <v>0.38457160000000001</v>
      </c>
      <c r="R6993">
        <v>0.25982179999999999</v>
      </c>
      <c r="S6993">
        <v>3.1886899999999998</v>
      </c>
      <c r="T6993">
        <v>-0.30818770000000001</v>
      </c>
      <c r="U6993">
        <v>1.1332089999999999</v>
      </c>
      <c r="V6993">
        <v>-0.24798999999999999</v>
      </c>
      <c r="W6993">
        <v>0.3965456</v>
      </c>
      <c r="X6993">
        <v>0.88388489999999997</v>
      </c>
      <c r="Y6993">
        <v>-0.319424599999999</v>
      </c>
      <c r="Z6993">
        <v>1.6144720000000001E-2</v>
      </c>
      <c r="AA6993">
        <v>0.94747420000000004</v>
      </c>
      <c r="AB6993">
        <v>32</v>
      </c>
      <c r="AC6993">
        <v>11.3438</v>
      </c>
      <c r="AD6993">
        <v>-1.1124149854551999</v>
      </c>
      <c r="AE6993">
        <v>4.0870100000000003</v>
      </c>
      <c r="AF6993">
        <v>-3.88600536304441</v>
      </c>
      <c r="AG6993">
        <v>-1.1124149854551999</v>
      </c>
      <c r="AH6993">
        <v>11.306667106326699</v>
      </c>
      <c r="AI6993">
        <v>95.315710606748695</v>
      </c>
      <c r="AJ6993">
        <v>108.967410092734</v>
      </c>
      <c r="AK6993">
        <v>12.0074654209273</v>
      </c>
      <c r="AL6993">
        <v>66.6375955260946</v>
      </c>
      <c r="AM6993">
        <v>105.67243094793901</v>
      </c>
      <c r="AN6993">
        <v>0.99999998471368401</v>
      </c>
    </row>
    <row r="6994" spans="1:40" x14ac:dyDescent="0.25">
      <c r="A6994" t="str">
        <f>"20190304165020787"</f>
        <v>20190304165020787</v>
      </c>
      <c r="B6994" t="str">
        <f>"1551689420782638"</f>
        <v>1551689420782638</v>
      </c>
      <c r="C6994" t="s">
        <v>40</v>
      </c>
      <c r="D6994">
        <v>4.5542590000000001</v>
      </c>
      <c r="E6994">
        <v>0.47319889999999998</v>
      </c>
      <c r="F6994" t="s">
        <v>57</v>
      </c>
      <c r="G6994">
        <v>-214.0959</v>
      </c>
      <c r="H6994" s="1">
        <v>-9.5757449999999998E-7</v>
      </c>
      <c r="I6994">
        <v>-59.07911</v>
      </c>
      <c r="J6994">
        <v>-225.34540000000001</v>
      </c>
      <c r="K6994">
        <v>1.1125069999999999</v>
      </c>
      <c r="L6994">
        <v>-63.194819999999901</v>
      </c>
      <c r="M6994">
        <v>0.99977110000000002</v>
      </c>
      <c r="N6994">
        <v>-1.439928E-2</v>
      </c>
      <c r="O6994">
        <v>1.5824339999999999E-2</v>
      </c>
      <c r="P6994">
        <v>0.88510259999999996</v>
      </c>
      <c r="Q6994">
        <v>0.38464189999999998</v>
      </c>
      <c r="R6994">
        <v>0.2619997</v>
      </c>
      <c r="S6994">
        <v>3.184631</v>
      </c>
      <c r="T6994">
        <v>-0.31015429999999999</v>
      </c>
      <c r="U6994">
        <v>1.1484989999999999</v>
      </c>
      <c r="V6994">
        <v>-0.2493213</v>
      </c>
      <c r="W6994">
        <v>0.39655180000000001</v>
      </c>
      <c r="X6994">
        <v>0.8835075</v>
      </c>
      <c r="Y6994">
        <v>-0.32279780000000002</v>
      </c>
      <c r="Z6994">
        <v>1.6337399999999998E-2</v>
      </c>
      <c r="AA6994">
        <v>0.94632700000000003</v>
      </c>
      <c r="AB6994">
        <v>31</v>
      </c>
      <c r="AC6994">
        <v>11.249499999999999</v>
      </c>
      <c r="AD6994">
        <v>-1.1125079575744901</v>
      </c>
      <c r="AE6994">
        <v>4.1157099999999902</v>
      </c>
      <c r="AF6994">
        <v>-3.90349067343739</v>
      </c>
      <c r="AG6994">
        <v>-1.1125079575744901</v>
      </c>
      <c r="AH6994">
        <v>11.2164786779308</v>
      </c>
      <c r="AI6994">
        <v>95.351541527815499</v>
      </c>
      <c r="AJ6994">
        <v>109.18860782335901</v>
      </c>
      <c r="AK6994">
        <v>11.928298593083399</v>
      </c>
      <c r="AL6994">
        <v>66.637208243239897</v>
      </c>
      <c r="AM6994">
        <v>105.75879506413099</v>
      </c>
      <c r="AN6994">
        <v>0.99999997163658905</v>
      </c>
    </row>
    <row r="6995" spans="1:40" x14ac:dyDescent="0.25">
      <c r="A6995" t="str">
        <f>"20190304165020799"</f>
        <v>20190304165020799</v>
      </c>
      <c r="B6995" t="str">
        <f>"1551689420792397"</f>
        <v>1551689420792397</v>
      </c>
      <c r="C6995" t="s">
        <v>40</v>
      </c>
      <c r="D6995">
        <v>4.5319409999999998</v>
      </c>
      <c r="E6995">
        <v>0.47291030000000001</v>
      </c>
      <c r="F6995" t="s">
        <v>57</v>
      </c>
      <c r="G6995">
        <v>-213.98439999999999</v>
      </c>
      <c r="H6995" s="1">
        <v>-9.1306169999999997E-7</v>
      </c>
      <c r="I6995">
        <v>-59.06026</v>
      </c>
      <c r="J6995">
        <v>-225.1979</v>
      </c>
      <c r="K6995">
        <v>1.1125849999999999</v>
      </c>
      <c r="L6995">
        <v>-63.191650000000003</v>
      </c>
      <c r="M6995">
        <v>0.99975590000000003</v>
      </c>
      <c r="N6995">
        <v>-1.4399759999999999E-2</v>
      </c>
      <c r="O6995">
        <v>1.6759860000000001E-2</v>
      </c>
      <c r="P6995">
        <v>0.88440989999999997</v>
      </c>
      <c r="Q6995">
        <v>0.3848647</v>
      </c>
      <c r="R6995">
        <v>0.26400459999999998</v>
      </c>
      <c r="S6995">
        <v>3.1820680000000001</v>
      </c>
      <c r="T6995">
        <v>-0.31159900000000001</v>
      </c>
      <c r="U6995">
        <v>1.15802</v>
      </c>
      <c r="V6995">
        <v>-0.25058140000000001</v>
      </c>
      <c r="W6995">
        <v>0.39671770000000001</v>
      </c>
      <c r="X6995">
        <v>0.88307649999999904</v>
      </c>
      <c r="Y6995">
        <v>-0.3246385</v>
      </c>
      <c r="Z6995">
        <v>1.6431330000000001E-2</v>
      </c>
      <c r="AA6995">
        <v>0.94569539999999996</v>
      </c>
      <c r="AB6995">
        <v>31</v>
      </c>
      <c r="AC6995">
        <v>11.2135</v>
      </c>
      <c r="AD6995">
        <v>-1.1125859130617</v>
      </c>
      <c r="AE6995">
        <v>4.1313899999999997</v>
      </c>
      <c r="AF6995">
        <v>-3.9089715081043401</v>
      </c>
      <c r="AG6995">
        <v>-1.1125859130617</v>
      </c>
      <c r="AH6995">
        <v>11.184231421565601</v>
      </c>
      <c r="AI6995">
        <v>95.364778093526596</v>
      </c>
      <c r="AJ6995">
        <v>109.264897945542</v>
      </c>
      <c r="AK6995">
        <v>11.899787315588901</v>
      </c>
      <c r="AL6995">
        <v>66.626855192472803</v>
      </c>
      <c r="AM6995">
        <v>105.841797686928</v>
      </c>
      <c r="AN6995">
        <v>1.0000000381857399</v>
      </c>
    </row>
    <row r="6996" spans="1:40" x14ac:dyDescent="0.25">
      <c r="A6996" t="str">
        <f>"20190304165020808"</f>
        <v>20190304165020808</v>
      </c>
      <c r="B6996" t="str">
        <f>"1551689420802157"</f>
        <v>1551689420802157</v>
      </c>
      <c r="C6996" t="s">
        <v>40</v>
      </c>
      <c r="D6996">
        <v>4.5583809999999998</v>
      </c>
      <c r="E6996">
        <v>0.4726302</v>
      </c>
      <c r="F6996" t="s">
        <v>57</v>
      </c>
      <c r="G6996">
        <v>-213.86019999999999</v>
      </c>
      <c r="H6996" s="1">
        <v>-8.6518659999999998E-7</v>
      </c>
      <c r="I6996">
        <v>-59.029789999999998</v>
      </c>
      <c r="J6996">
        <v>-225.0446</v>
      </c>
      <c r="K6996">
        <v>1.112668</v>
      </c>
      <c r="L6996">
        <v>-63.188079999999999</v>
      </c>
      <c r="M6996">
        <v>0.99973800000000002</v>
      </c>
      <c r="N6996">
        <v>-1.440055E-2</v>
      </c>
      <c r="O6996">
        <v>1.7791850000000001E-2</v>
      </c>
      <c r="P6996">
        <v>0.88374569999999997</v>
      </c>
      <c r="Q6996">
        <v>0.38493889999999997</v>
      </c>
      <c r="R6996">
        <v>0.26611240000000003</v>
      </c>
      <c r="S6996">
        <v>3.1794889999999998</v>
      </c>
      <c r="T6996">
        <v>-0.31200830000000002</v>
      </c>
      <c r="U6996">
        <v>1.167114</v>
      </c>
      <c r="V6996">
        <v>-0.25186150000000002</v>
      </c>
      <c r="W6996">
        <v>0.396733</v>
      </c>
      <c r="X6996">
        <v>0.88270530000000003</v>
      </c>
      <c r="Y6996">
        <v>-0.32628550000000001</v>
      </c>
      <c r="Z6996">
        <v>1.646158E-2</v>
      </c>
      <c r="AA6996">
        <v>0.94512790000000002</v>
      </c>
      <c r="AB6996">
        <v>31</v>
      </c>
      <c r="AC6996">
        <v>11.1844</v>
      </c>
      <c r="AD6996">
        <v>-1.1126688651865999</v>
      </c>
      <c r="AE6996">
        <v>4.15829</v>
      </c>
      <c r="AF6996">
        <v>-3.92449584045489</v>
      </c>
      <c r="AG6996">
        <v>-1.1126688651865999</v>
      </c>
      <c r="AH6996">
        <v>11.1595865360049</v>
      </c>
      <c r="AI6996">
        <v>95.373346226142999</v>
      </c>
      <c r="AJ6996">
        <v>109.375262095466</v>
      </c>
      <c r="AK6996">
        <v>11.881753711463899</v>
      </c>
      <c r="AL6996">
        <v>66.625898448754398</v>
      </c>
      <c r="AM6996">
        <v>105.92498940455501</v>
      </c>
      <c r="AN6996">
        <v>0.99999996755966902</v>
      </c>
    </row>
    <row r="6997" spans="1:40" x14ac:dyDescent="0.25">
      <c r="A6997" t="str">
        <f>"20190304165020821"</f>
        <v>20190304165020821</v>
      </c>
      <c r="B6997" t="str">
        <f>"1551689420812893"</f>
        <v>1551689420812893</v>
      </c>
      <c r="C6997" t="s">
        <v>40</v>
      </c>
      <c r="D6997">
        <v>4.5711529999999998</v>
      </c>
      <c r="E6997">
        <v>0.47238449999999998</v>
      </c>
      <c r="F6997" t="s">
        <v>57</v>
      </c>
      <c r="G6997">
        <v>-213.73500000000001</v>
      </c>
      <c r="H6997" s="1">
        <v>-8.1670569999999998E-7</v>
      </c>
      <c r="I6997">
        <v>-59.000509999999998</v>
      </c>
      <c r="J6997">
        <v>-224.88589999999999</v>
      </c>
      <c r="K6997">
        <v>1.112752</v>
      </c>
      <c r="L6997">
        <v>-63.184199999999997</v>
      </c>
      <c r="M6997">
        <v>0.99971739999999998</v>
      </c>
      <c r="N6997">
        <v>-1.440144E-2</v>
      </c>
      <c r="O6997">
        <v>1.891029E-2</v>
      </c>
      <c r="P6997">
        <v>0.88285499999999995</v>
      </c>
      <c r="Q6997">
        <v>0.3853203</v>
      </c>
      <c r="R6997">
        <v>0.26850550000000001</v>
      </c>
      <c r="S6997">
        <v>3.1766049999999999</v>
      </c>
      <c r="T6997">
        <v>-0.31252410000000003</v>
      </c>
      <c r="U6997">
        <v>1.1761779999999999</v>
      </c>
      <c r="V6997">
        <v>-0.25336049999999999</v>
      </c>
      <c r="W6997">
        <v>0.3970494</v>
      </c>
      <c r="X6997">
        <v>0.88213390000000003</v>
      </c>
      <c r="Y6997">
        <v>-0.32786969999999999</v>
      </c>
      <c r="Z6997">
        <v>1.6487269999999998E-2</v>
      </c>
      <c r="AA6997">
        <v>0.9445791</v>
      </c>
      <c r="AB6997">
        <v>31</v>
      </c>
      <c r="AC6997">
        <v>11.150899999999901</v>
      </c>
      <c r="AD6997">
        <v>-1.1127528167056999</v>
      </c>
      <c r="AE6997">
        <v>4.1836899999999897</v>
      </c>
      <c r="AF6997">
        <v>-3.9376798007845002</v>
      </c>
      <c r="AG6997">
        <v>-1.1127528167056999</v>
      </c>
      <c r="AH6997">
        <v>11.130863671197501</v>
      </c>
      <c r="AI6997">
        <v>95.384021132608794</v>
      </c>
      <c r="AJ6997">
        <v>109.481858998303</v>
      </c>
      <c r="AK6997">
        <v>11.8591596292224</v>
      </c>
      <c r="AL6997">
        <v>66.606148499074806</v>
      </c>
      <c r="AM6997">
        <v>106.024764252823</v>
      </c>
      <c r="AN6997">
        <v>0.99999999326490996</v>
      </c>
    </row>
    <row r="6998" spans="1:40" x14ac:dyDescent="0.25">
      <c r="A6998" t="str">
        <f>"20190304165020832"</f>
        <v>20190304165020832</v>
      </c>
      <c r="B6998" t="str">
        <f>"1551689420822654"</f>
        <v>1551689420822654</v>
      </c>
      <c r="C6998" t="s">
        <v>40</v>
      </c>
      <c r="D6998">
        <v>4.558999</v>
      </c>
      <c r="E6998">
        <v>0.47221730000000001</v>
      </c>
      <c r="F6998" t="s">
        <v>57</v>
      </c>
      <c r="G6998">
        <v>-213.57570000000001</v>
      </c>
      <c r="H6998" s="1">
        <v>-7.5577460000000001E-7</v>
      </c>
      <c r="I6998">
        <v>-58.958649999999999</v>
      </c>
      <c r="J6998">
        <v>-224.73689999999999</v>
      </c>
      <c r="K6998">
        <v>1.112835</v>
      </c>
      <c r="L6998">
        <v>-63.18036</v>
      </c>
      <c r="M6998">
        <v>0.99969629999999998</v>
      </c>
      <c r="N6998">
        <v>-1.440232E-2</v>
      </c>
      <c r="O6998">
        <v>2.000534E-2</v>
      </c>
      <c r="P6998">
        <v>0.88215069999999995</v>
      </c>
      <c r="Q6998">
        <v>0.38549290000000003</v>
      </c>
      <c r="R6998">
        <v>0.27056540000000001</v>
      </c>
      <c r="S6998">
        <v>3.173721</v>
      </c>
      <c r="T6998">
        <v>-0.312245099999999</v>
      </c>
      <c r="U6998">
        <v>1.1856990000000001</v>
      </c>
      <c r="V6998">
        <v>-0.25453949999999997</v>
      </c>
      <c r="W6998">
        <v>0.39716319999999999</v>
      </c>
      <c r="X6998">
        <v>0.88174319999999895</v>
      </c>
      <c r="Y6998">
        <v>-0.32960030000000001</v>
      </c>
      <c r="Z6998">
        <v>1.6487620000000001E-2</v>
      </c>
      <c r="AA6998">
        <v>0.94397660000000005</v>
      </c>
      <c r="AB6998">
        <v>31</v>
      </c>
      <c r="AC6998">
        <v>11.1611999999999</v>
      </c>
      <c r="AD6998">
        <v>-1.1128357557746</v>
      </c>
      <c r="AE6998">
        <v>4.2217099999999999</v>
      </c>
      <c r="AF6998">
        <v>-3.9630914340552801</v>
      </c>
      <c r="AG6998">
        <v>-1.1128357557746</v>
      </c>
      <c r="AH6998">
        <v>11.146490952123999</v>
      </c>
      <c r="AI6998">
        <v>95.373912391287405</v>
      </c>
      <c r="AJ6998">
        <v>109.572645084499</v>
      </c>
      <c r="AK6998">
        <v>11.882287560894801</v>
      </c>
      <c r="AL6998">
        <v>66.599044663804804</v>
      </c>
      <c r="AM6998">
        <v>106.102243495924</v>
      </c>
      <c r="AN6998">
        <v>1.0000000176203601</v>
      </c>
    </row>
    <row r="6999" spans="1:40" x14ac:dyDescent="0.25">
      <c r="A6999" t="str">
        <f>"20190304165020844"</f>
        <v>20190304165020844</v>
      </c>
      <c r="B6999" t="str">
        <f>"1551689420832414"</f>
        <v>1551689420832414</v>
      </c>
      <c r="C6999" t="s">
        <v>40</v>
      </c>
      <c r="D6999">
        <v>4.5724809999999998</v>
      </c>
      <c r="E6999">
        <v>0.4721805</v>
      </c>
      <c r="F6999" t="s">
        <v>57</v>
      </c>
      <c r="G6999">
        <v>-213.4513</v>
      </c>
      <c r="H6999" s="1">
        <v>-7.0750710000000003E-7</v>
      </c>
      <c r="I6999">
        <v>-58.929920000000003</v>
      </c>
      <c r="J6999">
        <v>-224.5746</v>
      </c>
      <c r="K6999">
        <v>1.1129249999999999</v>
      </c>
      <c r="L6999">
        <v>-63.175870000000003</v>
      </c>
      <c r="M6999">
        <v>0.99967010000000001</v>
      </c>
      <c r="N6999">
        <v>-1.440347E-2</v>
      </c>
      <c r="O6999">
        <v>2.126981E-2</v>
      </c>
      <c r="P6999">
        <v>0.88122860000000003</v>
      </c>
      <c r="Q6999">
        <v>0.38593050000000001</v>
      </c>
      <c r="R6999">
        <v>0.2729356</v>
      </c>
      <c r="S6999">
        <v>3.1711119999999999</v>
      </c>
      <c r="T6999">
        <v>-0.31269340000000001</v>
      </c>
      <c r="U6999">
        <v>1.1943049999999999</v>
      </c>
      <c r="V6999">
        <v>-0.25589329999999999</v>
      </c>
      <c r="W6999">
        <v>0.39753339999999998</v>
      </c>
      <c r="X6999">
        <v>0.88118430000000003</v>
      </c>
      <c r="Y6999">
        <v>-0.33089960000000002</v>
      </c>
      <c r="Z6999">
        <v>1.6481880000000001E-2</v>
      </c>
      <c r="AA6999">
        <v>0.94352199999999997</v>
      </c>
      <c r="AB6999">
        <v>31</v>
      </c>
      <c r="AC6999">
        <v>11.1233</v>
      </c>
      <c r="AD6999">
        <v>-1.1129257075071</v>
      </c>
      <c r="AE6999">
        <v>4.2459499999999997</v>
      </c>
      <c r="AF6999">
        <v>-3.97365412032946</v>
      </c>
      <c r="AG6999">
        <v>-1.1129257075071</v>
      </c>
      <c r="AH6999">
        <v>11.113993566885799</v>
      </c>
      <c r="AI6999">
        <v>95.386594476762696</v>
      </c>
      <c r="AJ6999">
        <v>109.673804888395</v>
      </c>
      <c r="AK6999">
        <v>11.855352533907199</v>
      </c>
      <c r="AL6999">
        <v>66.575929761078797</v>
      </c>
      <c r="AM6999">
        <v>106.193140006813</v>
      </c>
      <c r="AN6999">
        <v>0.99999997783346894</v>
      </c>
    </row>
    <row r="7000" spans="1:40" x14ac:dyDescent="0.25">
      <c r="A7000" t="str">
        <f>"20190304165020855"</f>
        <v>20190304165020855</v>
      </c>
      <c r="B7000" t="str">
        <f>"1551689420852909"</f>
        <v>1551689420852909</v>
      </c>
      <c r="C7000" t="s">
        <v>40</v>
      </c>
      <c r="D7000">
        <v>4.5916560000000004</v>
      </c>
      <c r="E7000">
        <v>0.4722363</v>
      </c>
      <c r="F7000" t="s">
        <v>57</v>
      </c>
      <c r="G7000">
        <v>-213.27959999999999</v>
      </c>
      <c r="H7000" s="1">
        <v>-6.4107509999999903E-7</v>
      </c>
      <c r="I7000">
        <v>-58.889200000000002</v>
      </c>
      <c r="J7000">
        <v>-224.4076</v>
      </c>
      <c r="K7000">
        <v>1.113016</v>
      </c>
      <c r="L7000">
        <v>-63.171109999999999</v>
      </c>
      <c r="M7000">
        <v>0.9996408</v>
      </c>
      <c r="N7000">
        <v>-1.440458E-2</v>
      </c>
      <c r="O7000">
        <v>2.2602649999999998E-2</v>
      </c>
      <c r="P7000">
        <v>0.88036329999999996</v>
      </c>
      <c r="Q7000">
        <v>0.38618530000000001</v>
      </c>
      <c r="R7000">
        <v>0.27535700000000002</v>
      </c>
      <c r="S7000">
        <v>3.168625</v>
      </c>
      <c r="T7000">
        <v>-0.31221450000000001</v>
      </c>
      <c r="U7000">
        <v>1.202545</v>
      </c>
      <c r="V7000">
        <v>-0.25724059999999999</v>
      </c>
      <c r="W7000">
        <v>0.39771980000000001</v>
      </c>
      <c r="X7000">
        <v>0.88070780000000004</v>
      </c>
      <c r="Y7000">
        <v>-0.33203510000000003</v>
      </c>
      <c r="Z7000">
        <v>1.642076E-2</v>
      </c>
      <c r="AA7000">
        <v>0.94312410000000002</v>
      </c>
      <c r="AB7000">
        <v>31</v>
      </c>
      <c r="AC7000">
        <v>11.128</v>
      </c>
      <c r="AD7000">
        <v>-1.1130166410750999</v>
      </c>
      <c r="AE7000">
        <v>4.2819099999999901</v>
      </c>
      <c r="AF7000">
        <v>-3.9944608346265702</v>
      </c>
      <c r="AG7000">
        <v>-1.1130166410750999</v>
      </c>
      <c r="AH7000">
        <v>11.1250087404984</v>
      </c>
      <c r="AI7000">
        <v>95.379154233017601</v>
      </c>
      <c r="AJ7000">
        <v>109.750796346923</v>
      </c>
      <c r="AK7000">
        <v>11.872672103568</v>
      </c>
      <c r="AL7000">
        <v>66.564290590041296</v>
      </c>
      <c r="AM7000">
        <v>106.282235597255</v>
      </c>
      <c r="AN7000">
        <v>0.99999999729061995</v>
      </c>
    </row>
    <row r="7001" spans="1:40" x14ac:dyDescent="0.25">
      <c r="A7001" t="str">
        <f>"20190304165020867"</f>
        <v>20190304165020867</v>
      </c>
      <c r="B7001" t="str">
        <f>"1551689420862670"</f>
        <v>1551689420862670</v>
      </c>
      <c r="C7001" t="s">
        <v>40</v>
      </c>
      <c r="D7001">
        <v>4.5944089999999997</v>
      </c>
      <c r="E7001">
        <v>0.4722691</v>
      </c>
      <c r="F7001" t="s">
        <v>57</v>
      </c>
      <c r="G7001">
        <v>-213.14879999999999</v>
      </c>
      <c r="H7001" s="1">
        <v>-5.8875340000000003E-7</v>
      </c>
      <c r="I7001">
        <v>-58.867769999999901</v>
      </c>
      <c r="J7001">
        <v>-224.24420000000001</v>
      </c>
      <c r="K7001">
        <v>1.113108</v>
      </c>
      <c r="L7001">
        <v>-63.166020000000003</v>
      </c>
      <c r="M7001">
        <v>0.99960789999999999</v>
      </c>
      <c r="N7001">
        <v>-1.4406260000000001E-2</v>
      </c>
      <c r="O7001">
        <v>2.401068E-2</v>
      </c>
      <c r="P7001">
        <v>0.87942960000000003</v>
      </c>
      <c r="Q7001">
        <v>0.38646920000000001</v>
      </c>
      <c r="R7001">
        <v>0.27793020000000002</v>
      </c>
      <c r="S7001">
        <v>3.166458</v>
      </c>
      <c r="T7001">
        <v>-0.31302760000000002</v>
      </c>
      <c r="U7001">
        <v>1.2102660000000001</v>
      </c>
      <c r="V7001">
        <v>-0.25867580000000001</v>
      </c>
      <c r="W7001">
        <v>0.39793420000000002</v>
      </c>
      <c r="X7001">
        <v>0.88019040000000004</v>
      </c>
      <c r="Y7001">
        <v>-0.33292149999999998</v>
      </c>
      <c r="Z7001">
        <v>1.6395010000000002E-2</v>
      </c>
      <c r="AA7001">
        <v>0.94281199999999998</v>
      </c>
      <c r="AB7001">
        <v>31</v>
      </c>
      <c r="AC7001">
        <v>11.0954</v>
      </c>
      <c r="AD7001">
        <v>-1.11310858875339</v>
      </c>
      <c r="AE7001">
        <v>4.2982500000000003</v>
      </c>
      <c r="AF7001">
        <v>-3.99560870579454</v>
      </c>
      <c r="AG7001">
        <v>-1.11310858875339</v>
      </c>
      <c r="AH7001">
        <v>11.098292510434501</v>
      </c>
      <c r="AI7001">
        <v>95.390818277751805</v>
      </c>
      <c r="AJ7001">
        <v>109.799897355428</v>
      </c>
      <c r="AK7001">
        <v>11.848037656394601</v>
      </c>
      <c r="AL7001">
        <v>66.550900510516499</v>
      </c>
      <c r="AM7001">
        <v>106.377333722141</v>
      </c>
      <c r="AN7001">
        <v>0.99999996864371898</v>
      </c>
    </row>
    <row r="7002" spans="1:40" x14ac:dyDescent="0.25">
      <c r="A7002" t="str">
        <f>"20190304165020879"</f>
        <v>20190304165020879</v>
      </c>
      <c r="B7002" t="str">
        <f>"1551689420872429"</f>
        <v>1551689420872429</v>
      </c>
      <c r="C7002" t="s">
        <v>40</v>
      </c>
      <c r="D7002">
        <v>4.5972200000000001</v>
      </c>
      <c r="E7002">
        <v>0.47232649999999998</v>
      </c>
      <c r="F7002" t="s">
        <v>57</v>
      </c>
      <c r="G7002">
        <v>-212.99700000000001</v>
      </c>
      <c r="H7002" s="1">
        <v>-5.2996269999999896E-7</v>
      </c>
      <c r="I7002">
        <v>-58.832039999999999</v>
      </c>
      <c r="J7002">
        <v>-224.09059999999999</v>
      </c>
      <c r="K7002">
        <v>1.1131930000000001</v>
      </c>
      <c r="L7002">
        <v>-63.161099999999998</v>
      </c>
      <c r="M7002">
        <v>0.99957470000000004</v>
      </c>
      <c r="N7002">
        <v>-1.440777E-2</v>
      </c>
      <c r="O7002">
        <v>2.5356030000000002E-2</v>
      </c>
      <c r="P7002">
        <v>0.87849159999999904</v>
      </c>
      <c r="Q7002">
        <v>0.38686809999999999</v>
      </c>
      <c r="R7002">
        <v>0.2803312</v>
      </c>
      <c r="S7002">
        <v>3.1636350000000002</v>
      </c>
      <c r="T7002">
        <v>-0.31309749999999997</v>
      </c>
      <c r="U7002">
        <v>1.219055</v>
      </c>
      <c r="V7002">
        <v>-0.25999060000000002</v>
      </c>
      <c r="W7002">
        <v>0.3982675</v>
      </c>
      <c r="X7002">
        <v>0.87965210000000005</v>
      </c>
      <c r="Y7002">
        <v>-0.33421269999999997</v>
      </c>
      <c r="Z7002">
        <v>1.6366180000000001E-2</v>
      </c>
      <c r="AA7002">
        <v>0.94235559999999996</v>
      </c>
      <c r="AB7002">
        <v>31</v>
      </c>
      <c r="AC7002">
        <v>11.093599999999901</v>
      </c>
      <c r="AD7002">
        <v>-1.1131935299627</v>
      </c>
      <c r="AE7002">
        <v>4.3290599999999904</v>
      </c>
      <c r="AF7002">
        <v>-4.0112961744761604</v>
      </c>
      <c r="AG7002">
        <v>-1.1131935299627</v>
      </c>
      <c r="AH7002">
        <v>11.1027895914252</v>
      </c>
      <c r="AI7002">
        <v>95.386890411381899</v>
      </c>
      <c r="AJ7002">
        <v>109.864141024698</v>
      </c>
      <c r="AK7002">
        <v>11.857555968494401</v>
      </c>
      <c r="AL7002">
        <v>66.530083010870101</v>
      </c>
      <c r="AM7002">
        <v>106.46560912096901</v>
      </c>
      <c r="AN7002">
        <v>0.99999996533950897</v>
      </c>
    </row>
    <row r="7003" spans="1:40" x14ac:dyDescent="0.25">
      <c r="A7003" t="str">
        <f>"20190304165020890"</f>
        <v>20190304165020890</v>
      </c>
      <c r="B7003" t="str">
        <f>"1551689420882189"</f>
        <v>1551689420882189</v>
      </c>
      <c r="C7003" t="s">
        <v>40</v>
      </c>
      <c r="D7003">
        <v>4.6837049999999998</v>
      </c>
      <c r="E7003">
        <v>0.47238970000000002</v>
      </c>
      <c r="F7003" t="s">
        <v>57</v>
      </c>
      <c r="G7003">
        <v>-212.85900000000001</v>
      </c>
      <c r="H7003" s="1">
        <v>-4.7628760000000001E-7</v>
      </c>
      <c r="I7003">
        <v>-58.800840000000001</v>
      </c>
      <c r="J7003">
        <v>-223.91409999999999</v>
      </c>
      <c r="K7003">
        <v>1.1132869999999999</v>
      </c>
      <c r="L7003">
        <v>-63.155059999999999</v>
      </c>
      <c r="M7003">
        <v>0.99953219999999998</v>
      </c>
      <c r="N7003">
        <v>-1.440984E-2</v>
      </c>
      <c r="O7003">
        <v>2.697743E-2</v>
      </c>
      <c r="P7003">
        <v>0.87755039999999995</v>
      </c>
      <c r="Q7003">
        <v>0.38711970000000001</v>
      </c>
      <c r="R7003">
        <v>0.2829198</v>
      </c>
      <c r="S7003">
        <v>3.1612849999999999</v>
      </c>
      <c r="T7003">
        <v>-0.31332189999999999</v>
      </c>
      <c r="U7003">
        <v>1.2272339999999999</v>
      </c>
      <c r="V7003">
        <v>-0.2612604</v>
      </c>
      <c r="W7003">
        <v>0.39844810000000003</v>
      </c>
      <c r="X7003">
        <v>0.87919400000000003</v>
      </c>
      <c r="Y7003">
        <v>-0.33503870000000002</v>
      </c>
      <c r="Z7003">
        <v>1.6294389999999999E-2</v>
      </c>
      <c r="AA7003">
        <v>0.94206350000000005</v>
      </c>
      <c r="AB7003">
        <v>31</v>
      </c>
      <c r="AC7003">
        <v>11.0550999999999</v>
      </c>
      <c r="AD7003">
        <v>-1.1132874762875999</v>
      </c>
      <c r="AE7003">
        <v>4.35421999999999</v>
      </c>
      <c r="AF7003">
        <v>-4.0190811679452096</v>
      </c>
      <c r="AG7003">
        <v>-1.1132874762875999</v>
      </c>
      <c r="AH7003">
        <v>11.071355009031199</v>
      </c>
      <c r="AI7003">
        <v>95.399576053649398</v>
      </c>
      <c r="AJ7003">
        <v>109.951717067977</v>
      </c>
      <c r="AK7003">
        <v>11.8307786800105</v>
      </c>
      <c r="AL7003">
        <v>66.518802181345194</v>
      </c>
      <c r="AM7003">
        <v>106.549790140152</v>
      </c>
      <c r="AN7003">
        <v>0.99999998731888495</v>
      </c>
    </row>
    <row r="7004" spans="1:40" x14ac:dyDescent="0.25">
      <c r="A7004" t="str">
        <f>"20190304165020901"</f>
        <v>20190304165020901</v>
      </c>
      <c r="B7004" t="str">
        <f>"1551689420892926"</f>
        <v>1551689420892926</v>
      </c>
      <c r="C7004" t="s">
        <v>40</v>
      </c>
      <c r="D7004">
        <v>4.6348060000000002</v>
      </c>
      <c r="E7004">
        <v>0.47234759999999998</v>
      </c>
      <c r="F7004" t="s">
        <v>57</v>
      </c>
      <c r="G7004">
        <v>-212.6815</v>
      </c>
      <c r="H7004" s="1">
        <v>-4.075374E-7</v>
      </c>
      <c r="I7004">
        <v>-58.759129999999999</v>
      </c>
      <c r="J7004">
        <v>-223.76949999999999</v>
      </c>
      <c r="K7004">
        <v>1.113361</v>
      </c>
      <c r="L7004">
        <v>-63.149810000000002</v>
      </c>
      <c r="M7004">
        <v>0.99949429999999995</v>
      </c>
      <c r="N7004">
        <v>-1.441156E-2</v>
      </c>
      <c r="O7004">
        <v>2.835215E-2</v>
      </c>
      <c r="P7004">
        <v>0.87671339999999998</v>
      </c>
      <c r="Q7004">
        <v>0.38707859999999999</v>
      </c>
      <c r="R7004">
        <v>0.28555910000000001</v>
      </c>
      <c r="S7004">
        <v>3.1582180000000002</v>
      </c>
      <c r="T7004">
        <v>-0.31301679999999998</v>
      </c>
      <c r="U7004">
        <v>1.235962</v>
      </c>
      <c r="V7004">
        <v>-0.26277800000000001</v>
      </c>
      <c r="W7004">
        <v>0.3983466</v>
      </c>
      <c r="X7004">
        <v>0.8787876</v>
      </c>
      <c r="Y7004">
        <v>-0.33631159999999999</v>
      </c>
      <c r="Z7004">
        <v>1.6247069999999999E-2</v>
      </c>
      <c r="AA7004">
        <v>0.94161059999999996</v>
      </c>
      <c r="AB7004">
        <v>31</v>
      </c>
      <c r="AC7004">
        <v>11.0879999999999</v>
      </c>
      <c r="AD7004">
        <v>-1.1133614075373901</v>
      </c>
      <c r="AE7004">
        <v>4.3906799999999802</v>
      </c>
      <c r="AF7004">
        <v>-4.0393076342307603</v>
      </c>
      <c r="AG7004">
        <v>-1.1133614075373901</v>
      </c>
      <c r="AH7004">
        <v>11.111197073137401</v>
      </c>
      <c r="AI7004">
        <v>95.379793183111303</v>
      </c>
      <c r="AJ7004">
        <v>109.97797057084099</v>
      </c>
      <c r="AK7004">
        <v>11.874943376111201</v>
      </c>
      <c r="AL7004">
        <v>66.525142139317694</v>
      </c>
      <c r="AM7004">
        <v>106.647892176683</v>
      </c>
      <c r="AN7004">
        <v>0.99999996846465899</v>
      </c>
    </row>
    <row r="7005" spans="1:40" x14ac:dyDescent="0.25">
      <c r="A7005" t="str">
        <f>"20190304165020911"</f>
        <v>20190304165020911</v>
      </c>
      <c r="B7005" t="str">
        <f>"1551689420902685"</f>
        <v>1551689420902685</v>
      </c>
      <c r="C7005" t="s">
        <v>40</v>
      </c>
      <c r="D7005">
        <v>4.6179759999999996</v>
      </c>
      <c r="E7005">
        <v>0.47228720000000002</v>
      </c>
      <c r="F7005" t="s">
        <v>57</v>
      </c>
      <c r="G7005">
        <v>-212.57660000000001</v>
      </c>
      <c r="H7005" s="1">
        <v>-3.6761359999999998E-7</v>
      </c>
      <c r="I7005">
        <v>-58.730620000000002</v>
      </c>
      <c r="J7005">
        <v>-223.62289999999999</v>
      </c>
      <c r="K7005">
        <v>1.113435</v>
      </c>
      <c r="L7005">
        <v>-63.144350000000003</v>
      </c>
      <c r="M7005">
        <v>0.99945249999999997</v>
      </c>
      <c r="N7005">
        <v>-1.4413250000000001E-2</v>
      </c>
      <c r="O7005">
        <v>2.9781149999999999E-2</v>
      </c>
      <c r="P7005">
        <v>0.87593619999999905</v>
      </c>
      <c r="Q7005">
        <v>0.38689319999999999</v>
      </c>
      <c r="R7005">
        <v>0.28818349999999998</v>
      </c>
      <c r="S7005">
        <v>3.1547390000000002</v>
      </c>
      <c r="T7005">
        <v>-0.31380380000000002</v>
      </c>
      <c r="U7005">
        <v>1.245544</v>
      </c>
      <c r="V7005">
        <v>-0.26423219999999997</v>
      </c>
      <c r="W7005">
        <v>0.3981017</v>
      </c>
      <c r="X7005">
        <v>0.87846250000000003</v>
      </c>
      <c r="Y7005">
        <v>-0.33778390000000003</v>
      </c>
      <c r="Z7005">
        <v>1.6253630000000002E-2</v>
      </c>
      <c r="AA7005">
        <v>0.94108340000000001</v>
      </c>
      <c r="AB7005">
        <v>31</v>
      </c>
      <c r="AC7005">
        <v>11.046299999999899</v>
      </c>
      <c r="AD7005">
        <v>-1.1134353676136</v>
      </c>
      <c r="AE7005">
        <v>4.4137300000000002</v>
      </c>
      <c r="AF7005">
        <v>-4.0473065155912504</v>
      </c>
      <c r="AG7005">
        <v>-1.1134353676136</v>
      </c>
      <c r="AH7005">
        <v>11.075820427494</v>
      </c>
      <c r="AI7005">
        <v>95.393981463863497</v>
      </c>
      <c r="AJ7005">
        <v>110.073224152403</v>
      </c>
      <c r="AK7005">
        <v>11.844586379063401</v>
      </c>
      <c r="AL7005">
        <v>66.540439690255596</v>
      </c>
      <c r="AM7005">
        <v>106.740729476966</v>
      </c>
      <c r="AN7005">
        <v>0.99999999148299001</v>
      </c>
    </row>
    <row r="7006" spans="1:40" x14ac:dyDescent="0.25">
      <c r="A7006" t="str">
        <f>"20190304165020921"</f>
        <v>20190304165020921</v>
      </c>
      <c r="B7006" t="str">
        <f>"1551689420912446"</f>
        <v>1551689420912446</v>
      </c>
      <c r="C7006" t="s">
        <v>40</v>
      </c>
      <c r="D7006">
        <v>4.6504139999999996</v>
      </c>
      <c r="E7006">
        <v>0.47228720000000002</v>
      </c>
      <c r="F7006" t="s">
        <v>57</v>
      </c>
      <c r="G7006">
        <v>-212.50210000000001</v>
      </c>
      <c r="H7006" s="1">
        <v>-3.3812849999999998E-7</v>
      </c>
      <c r="I7006">
        <v>-58.716589999999997</v>
      </c>
      <c r="J7006">
        <v>-223.4956</v>
      </c>
      <c r="K7006">
        <v>1.1134930000000001</v>
      </c>
      <c r="L7006">
        <v>-63.139279999999999</v>
      </c>
      <c r="M7006">
        <v>0.99941349999999995</v>
      </c>
      <c r="N7006">
        <v>-1.44148E-2</v>
      </c>
      <c r="O7006">
        <v>3.106716E-2</v>
      </c>
      <c r="P7006">
        <v>0.87498940000000003</v>
      </c>
      <c r="Q7006">
        <v>0.38683020000000001</v>
      </c>
      <c r="R7006">
        <v>0.29112949999999999</v>
      </c>
      <c r="S7006">
        <v>3.151443</v>
      </c>
      <c r="T7006">
        <v>-0.31552720000000001</v>
      </c>
      <c r="U7006">
        <v>1.2547299999999999</v>
      </c>
      <c r="V7006">
        <v>-0.2661307</v>
      </c>
      <c r="W7006">
        <v>0.3979801</v>
      </c>
      <c r="X7006">
        <v>0.87794439999999996</v>
      </c>
      <c r="Y7006">
        <v>-0.33925909999999998</v>
      </c>
      <c r="Z7006">
        <v>1.6310599999999901E-2</v>
      </c>
      <c r="AA7006">
        <v>0.94055149999999998</v>
      </c>
      <c r="AB7006">
        <v>31</v>
      </c>
      <c r="AC7006">
        <v>10.9934999999999</v>
      </c>
      <c r="AD7006">
        <v>-1.1134933381284999</v>
      </c>
      <c r="AE7006">
        <v>4.4226900000000002</v>
      </c>
      <c r="AF7006">
        <v>-4.0432807721177699</v>
      </c>
      <c r="AG7006">
        <v>-1.1134933381284999</v>
      </c>
      <c r="AH7006">
        <v>11.0282290532008</v>
      </c>
      <c r="AI7006">
        <v>95.415294778380797</v>
      </c>
      <c r="AJ7006">
        <v>110.134456821504</v>
      </c>
      <c r="AK7006">
        <v>11.798721238596</v>
      </c>
      <c r="AL7006">
        <v>66.548035621125905</v>
      </c>
      <c r="AM7006">
        <v>106.863595393625</v>
      </c>
      <c r="AN7006">
        <v>1.00000003948492</v>
      </c>
    </row>
    <row r="7007" spans="1:40" x14ac:dyDescent="0.25">
      <c r="A7007" t="str">
        <f>"20190304165020930"</f>
        <v>20190304165020930</v>
      </c>
      <c r="B7007" t="str">
        <f>"1551689420922205"</f>
        <v>1551689420922205</v>
      </c>
      <c r="C7007" t="s">
        <v>40</v>
      </c>
      <c r="D7007">
        <v>4.6943630000000001</v>
      </c>
      <c r="E7007">
        <v>0.43939719999999999</v>
      </c>
      <c r="F7007" t="s">
        <v>57</v>
      </c>
      <c r="G7007">
        <v>-212.4016</v>
      </c>
      <c r="H7007" s="1">
        <v>-3.0058470000000001E-7</v>
      </c>
      <c r="I7007">
        <v>-58.68526</v>
      </c>
      <c r="J7007">
        <v>-223.34719999999999</v>
      </c>
      <c r="K7007">
        <v>1.113567</v>
      </c>
      <c r="L7007">
        <v>-63.133270000000003</v>
      </c>
      <c r="M7007">
        <v>0.99936460000000005</v>
      </c>
      <c r="N7007">
        <v>-1.441658E-2</v>
      </c>
      <c r="O7007">
        <v>3.2598099999999998E-2</v>
      </c>
      <c r="P7007">
        <v>0.87401469999999903</v>
      </c>
      <c r="Q7007">
        <v>0.38651229999999998</v>
      </c>
      <c r="R7007">
        <v>0.29445969999999999</v>
      </c>
      <c r="S7007">
        <v>3.1477970000000002</v>
      </c>
      <c r="T7007">
        <v>-0.31594129999999998</v>
      </c>
      <c r="U7007">
        <v>1.263763</v>
      </c>
      <c r="V7007">
        <v>-0.26820719999999998</v>
      </c>
      <c r="W7007">
        <v>0.39759679999999997</v>
      </c>
      <c r="X7007">
        <v>0.87748599999999999</v>
      </c>
      <c r="Y7007">
        <v>-0.34051340000000002</v>
      </c>
      <c r="Z7007">
        <v>1.6281159999999999E-2</v>
      </c>
      <c r="AA7007">
        <v>0.94009869999999995</v>
      </c>
      <c r="AB7007">
        <v>31</v>
      </c>
      <c r="AC7007">
        <v>10.945599999999899</v>
      </c>
      <c r="AD7007">
        <v>-1.1135673005847</v>
      </c>
      <c r="AE7007">
        <v>4.4480099999999902</v>
      </c>
      <c r="AF7007">
        <v>-4.0528003855189398</v>
      </c>
      <c r="AG7007">
        <v>-1.1135673005847</v>
      </c>
      <c r="AH7007">
        <v>10.987190578264</v>
      </c>
      <c r="AI7007">
        <v>95.431847514409199</v>
      </c>
      <c r="AJ7007">
        <v>110.247299996566</v>
      </c>
      <c r="AK7007">
        <v>11.763655040032701</v>
      </c>
      <c r="AL7007">
        <v>66.571971416705495</v>
      </c>
      <c r="AM7007">
        <v>106.995987576329</v>
      </c>
      <c r="AN7007">
        <v>0.99999999884904001</v>
      </c>
    </row>
    <row r="7008" spans="1:40" x14ac:dyDescent="0.25">
      <c r="A7008" t="str">
        <f>"20190304165020942"</f>
        <v>20190304165020942</v>
      </c>
      <c r="B7008" t="str">
        <f>"1551689420932942"</f>
        <v>1551689420932942</v>
      </c>
      <c r="C7008" t="s">
        <v>40</v>
      </c>
      <c r="D7008">
        <v>4.6162179999999999</v>
      </c>
      <c r="E7008">
        <v>0.42705720000000003</v>
      </c>
      <c r="F7008" t="s">
        <v>49</v>
      </c>
      <c r="G7008">
        <v>-205.292</v>
      </c>
      <c r="H7008" s="1">
        <v>-4.3892299999999998E-6</v>
      </c>
      <c r="I7008">
        <v>-54.090029999999999</v>
      </c>
      <c r="J7008">
        <v>-223.1951</v>
      </c>
      <c r="K7008">
        <v>1.113642</v>
      </c>
      <c r="L7008">
        <v>-63.126710000000003</v>
      </c>
      <c r="M7008">
        <v>0.99931029999999998</v>
      </c>
      <c r="N7008">
        <v>-1.441865E-2</v>
      </c>
      <c r="O7008">
        <v>3.4223620000000003E-2</v>
      </c>
      <c r="P7008">
        <v>0.87301709999999999</v>
      </c>
      <c r="Q7008">
        <v>0.3863665</v>
      </c>
      <c r="R7008">
        <v>0.29759409999999997</v>
      </c>
      <c r="S7008">
        <v>3.00705</v>
      </c>
      <c r="T7008">
        <v>-0.18546309999999999</v>
      </c>
      <c r="U7008">
        <v>1.5061340000000001</v>
      </c>
      <c r="V7008">
        <v>-0.2700092</v>
      </c>
      <c r="W7008">
        <v>0.39738639999999997</v>
      </c>
      <c r="X7008">
        <v>0.87702849999999999</v>
      </c>
      <c r="Y7008">
        <v>-0.41619200000000001</v>
      </c>
      <c r="Z7008">
        <v>1.375853E-2</v>
      </c>
      <c r="AA7008">
        <v>0.90917269999999994</v>
      </c>
      <c r="AB7008">
        <v>31</v>
      </c>
      <c r="AC7008">
        <v>17.903099999999899</v>
      </c>
      <c r="AD7008">
        <v>-1.1136463892299999</v>
      </c>
      <c r="AE7008">
        <v>9.0366799999999898</v>
      </c>
      <c r="AF7008">
        <v>-8.3927320713079308</v>
      </c>
      <c r="AG7008">
        <v>-1.1136463892299999</v>
      </c>
      <c r="AH7008">
        <v>18.145953629667499</v>
      </c>
      <c r="AI7008">
        <v>93.188210048469898</v>
      </c>
      <c r="AJ7008">
        <v>114.821135730606</v>
      </c>
      <c r="AK7008">
        <v>20.023830628304999</v>
      </c>
      <c r="AL7008">
        <v>66.585107798284497</v>
      </c>
      <c r="AM7008">
        <v>107.11193565637799</v>
      </c>
      <c r="AN7008">
        <v>0.99999995440092304</v>
      </c>
    </row>
    <row r="7009" spans="1:40" x14ac:dyDescent="0.25">
      <c r="A7009" t="str">
        <f>"20190304165020953"</f>
        <v>20190304165020953</v>
      </c>
      <c r="B7009" t="str">
        <f>"1551689420942702"</f>
        <v>1551689420942702</v>
      </c>
      <c r="C7009" t="s">
        <v>40</v>
      </c>
      <c r="D7009">
        <v>4.599202</v>
      </c>
      <c r="E7009">
        <v>0.42046929999999999</v>
      </c>
      <c r="F7009" t="s">
        <v>41</v>
      </c>
      <c r="G7009">
        <v>-222.3092</v>
      </c>
      <c r="H7009">
        <v>1.055086</v>
      </c>
      <c r="I7009">
        <v>-62.647440000000003</v>
      </c>
      <c r="J7009">
        <v>-223.04409999999999</v>
      </c>
      <c r="K7009">
        <v>1.113713</v>
      </c>
      <c r="L7009">
        <v>-63.12003</v>
      </c>
      <c r="M7009">
        <v>0.99925269999999999</v>
      </c>
      <c r="N7009">
        <v>-1.442067E-2</v>
      </c>
      <c r="O7009">
        <v>3.5864449999999999E-2</v>
      </c>
      <c r="P7009">
        <v>0.87188909999999997</v>
      </c>
      <c r="Q7009">
        <v>0.386434</v>
      </c>
      <c r="R7009">
        <v>0.30079640000000002</v>
      </c>
      <c r="S7009">
        <v>2.9747309999999998</v>
      </c>
      <c r="T7009">
        <v>-0.19663829999999999</v>
      </c>
      <c r="U7009">
        <v>1.6095280000000001</v>
      </c>
      <c r="V7009">
        <v>-0.27187339999999999</v>
      </c>
      <c r="W7009">
        <v>0.39738639999999997</v>
      </c>
      <c r="X7009">
        <v>0.87645249999999997</v>
      </c>
      <c r="Y7009">
        <v>-0.4431136</v>
      </c>
      <c r="Z7009">
        <v>1.537148E-2</v>
      </c>
      <c r="AA7009">
        <v>0.89633369999999901</v>
      </c>
      <c r="AB7009">
        <v>31</v>
      </c>
      <c r="AC7009">
        <v>0.73489999999998101</v>
      </c>
      <c r="AD7009">
        <v>-5.8626999999999901E-2</v>
      </c>
      <c r="AE7009">
        <v>0.47259000000000301</v>
      </c>
      <c r="AF7009">
        <v>-0.44392769411976202</v>
      </c>
      <c r="AG7009">
        <v>-5.8626999999999901E-2</v>
      </c>
      <c r="AH7009">
        <v>0.74801030592721196</v>
      </c>
      <c r="AI7009">
        <v>93.855966873710699</v>
      </c>
      <c r="AJ7009">
        <v>120.688200720983</v>
      </c>
      <c r="AK7009">
        <v>0.87179604295317203</v>
      </c>
      <c r="AL7009">
        <v>66.585109938138203</v>
      </c>
      <c r="AM7009">
        <v>107.233760942231</v>
      </c>
      <c r="AN7009">
        <v>1.0000000406443801</v>
      </c>
    </row>
    <row r="7010" spans="1:40" x14ac:dyDescent="0.25">
      <c r="A7010" t="str">
        <f>"20190304165020966"</f>
        <v>20190304165020966</v>
      </c>
      <c r="B7010" t="str">
        <f>"1551689420952462"</f>
        <v>1551689420952462</v>
      </c>
      <c r="C7010" t="s">
        <v>40</v>
      </c>
      <c r="D7010">
        <v>4.5546670000000002</v>
      </c>
      <c r="E7010">
        <v>0.41616589999999998</v>
      </c>
      <c r="F7010" t="s">
        <v>41</v>
      </c>
      <c r="G7010">
        <v>-222.2123</v>
      </c>
      <c r="H7010">
        <v>1.054422</v>
      </c>
      <c r="I7010">
        <v>-62.65034</v>
      </c>
      <c r="J7010">
        <v>-222.8903</v>
      </c>
      <c r="K7010">
        <v>1.113788</v>
      </c>
      <c r="L7010">
        <v>-63.112760000000002</v>
      </c>
      <c r="M7010">
        <v>0.99918879999999999</v>
      </c>
      <c r="N7010">
        <v>-1.442307E-2</v>
      </c>
      <c r="O7010">
        <v>3.7603409999999997E-2</v>
      </c>
      <c r="P7010">
        <v>0.870658499999999</v>
      </c>
      <c r="Q7010">
        <v>0.38692310000000002</v>
      </c>
      <c r="R7010">
        <v>0.30371809999999899</v>
      </c>
      <c r="S7010">
        <v>2.958008</v>
      </c>
      <c r="T7010">
        <v>-0.2108333</v>
      </c>
      <c r="U7010">
        <v>1.670288</v>
      </c>
      <c r="V7010">
        <v>-0.27337840000000002</v>
      </c>
      <c r="W7010">
        <v>0.39780949999999998</v>
      </c>
      <c r="X7010">
        <v>0.87579209999999996</v>
      </c>
      <c r="Y7010">
        <v>-0.45754620000000001</v>
      </c>
      <c r="Z7010">
        <v>1.671576E-2</v>
      </c>
      <c r="AA7010">
        <v>0.88902870000000001</v>
      </c>
      <c r="AB7010">
        <v>31</v>
      </c>
      <c r="AC7010">
        <v>0.67799999999999705</v>
      </c>
      <c r="AD7010">
        <v>-5.9366000000000002E-2</v>
      </c>
      <c r="AE7010">
        <v>0.462419999999994</v>
      </c>
      <c r="AF7010">
        <v>-0.43432243357762601</v>
      </c>
      <c r="AG7010">
        <v>-5.9366000000000002E-2</v>
      </c>
      <c r="AH7010">
        <v>0.69129340952656204</v>
      </c>
      <c r="AI7010">
        <v>94.159003454790096</v>
      </c>
      <c r="AJ7010">
        <v>122.140123383472</v>
      </c>
      <c r="AK7010">
        <v>0.81856391095604197</v>
      </c>
      <c r="AL7010">
        <v>66.558688403419197</v>
      </c>
      <c r="AM7010">
        <v>107.335747214021</v>
      </c>
      <c r="AN7010">
        <v>0.99999997514960903</v>
      </c>
    </row>
    <row r="7011" spans="1:40" x14ac:dyDescent="0.25">
      <c r="A7011" t="str">
        <f>"20190304165020977"</f>
        <v>20190304165020977</v>
      </c>
      <c r="B7011" t="str">
        <f>"1551689420972958"</f>
        <v>1551689420972958</v>
      </c>
      <c r="C7011" t="s">
        <v>40</v>
      </c>
      <c r="D7011">
        <v>4.5778549999999996</v>
      </c>
      <c r="E7011">
        <v>0.4116552</v>
      </c>
      <c r="F7011" t="s">
        <v>41</v>
      </c>
      <c r="G7011">
        <v>-222.03819999999999</v>
      </c>
      <c r="H7011">
        <v>1.050314</v>
      </c>
      <c r="I7011">
        <v>-62.617289999999997</v>
      </c>
      <c r="J7011">
        <v>-222.72540000000001</v>
      </c>
      <c r="K7011">
        <v>1.113872</v>
      </c>
      <c r="L7011">
        <v>-63.104860000000002</v>
      </c>
      <c r="M7011">
        <v>0.99911589999999995</v>
      </c>
      <c r="N7011">
        <v>-1.4425500000000001E-2</v>
      </c>
      <c r="O7011">
        <v>3.9489919999999998E-2</v>
      </c>
      <c r="P7011">
        <v>0.86939619999999995</v>
      </c>
      <c r="Q7011">
        <v>0.38758809999999999</v>
      </c>
      <c r="R7011">
        <v>0.3064731</v>
      </c>
      <c r="S7011">
        <v>2.9455260000000001</v>
      </c>
      <c r="T7011">
        <v>-0.2194219</v>
      </c>
      <c r="U7011">
        <v>1.7133480000000001</v>
      </c>
      <c r="V7011">
        <v>-0.27459719999999999</v>
      </c>
      <c r="W7011">
        <v>0.39840700000000001</v>
      </c>
      <c r="X7011">
        <v>0.875138999999999</v>
      </c>
      <c r="Y7011">
        <v>-0.4671266</v>
      </c>
      <c r="Z7011">
        <v>1.7546969999999999E-2</v>
      </c>
      <c r="AA7011">
        <v>0.88401629999999998</v>
      </c>
      <c r="AB7011">
        <v>31</v>
      </c>
      <c r="AC7011">
        <v>0.68720000000001802</v>
      </c>
      <c r="AD7011">
        <v>-6.3558000000000003E-2</v>
      </c>
      <c r="AE7011">
        <v>0.48756999999999101</v>
      </c>
      <c r="AF7011">
        <v>-0.45744649998905001</v>
      </c>
      <c r="AG7011">
        <v>-6.3558000000000003E-2</v>
      </c>
      <c r="AH7011">
        <v>0.70192609367329495</v>
      </c>
      <c r="AI7011">
        <v>94.338168452540401</v>
      </c>
      <c r="AJ7011">
        <v>123.092359823667</v>
      </c>
      <c r="AK7011">
        <v>0.84023637191904699</v>
      </c>
      <c r="AL7011">
        <v>66.521370301724701</v>
      </c>
      <c r="AM7011">
        <v>107.42058071068099</v>
      </c>
      <c r="AN7011">
        <v>1.0000000146089101</v>
      </c>
    </row>
    <row r="7012" spans="1:40" x14ac:dyDescent="0.25">
      <c r="A7012" t="str">
        <f>"20190304165020987"</f>
        <v>20190304165020987</v>
      </c>
      <c r="B7012" t="str">
        <f>"1551689420982697"</f>
        <v>1551689420982697</v>
      </c>
      <c r="C7012" t="s">
        <v>40</v>
      </c>
      <c r="D7012">
        <v>4.5575010000000002</v>
      </c>
      <c r="E7012">
        <v>0.41029349999999998</v>
      </c>
      <c r="F7012" t="s">
        <v>41</v>
      </c>
      <c r="G7012">
        <v>-221.78</v>
      </c>
      <c r="H7012">
        <v>1.0393330000000001</v>
      </c>
      <c r="I7012">
        <v>-62.538519999999998</v>
      </c>
      <c r="J7012">
        <v>-222.56530000000001</v>
      </c>
      <c r="K7012">
        <v>1.113942</v>
      </c>
      <c r="L7012">
        <v>-63.096620000000001</v>
      </c>
      <c r="M7012">
        <v>0.99903889999999995</v>
      </c>
      <c r="N7012">
        <v>-1.442804E-2</v>
      </c>
      <c r="O7012">
        <v>4.1389469999999998E-2</v>
      </c>
      <c r="P7012">
        <v>0.86812319999999998</v>
      </c>
      <c r="Q7012">
        <v>0.38814110000000002</v>
      </c>
      <c r="R7012">
        <v>0.30936809999999998</v>
      </c>
      <c r="S7012">
        <v>2.9340060000000001</v>
      </c>
      <c r="T7012">
        <v>-0.2313508</v>
      </c>
      <c r="U7012">
        <v>1.7581789999999999</v>
      </c>
      <c r="V7012">
        <v>-0.27594170000000001</v>
      </c>
      <c r="W7012">
        <v>0.39889540000000001</v>
      </c>
      <c r="X7012">
        <v>0.87449339999999998</v>
      </c>
      <c r="Y7012">
        <v>-0.47679559999999999</v>
      </c>
      <c r="Z7012">
        <v>1.859769E-2</v>
      </c>
      <c r="AA7012">
        <v>0.87881739999999997</v>
      </c>
      <c r="AB7012">
        <v>31</v>
      </c>
      <c r="AC7012">
        <v>0.78530000000000599</v>
      </c>
      <c r="AD7012">
        <v>-7.4608999999999898E-2</v>
      </c>
      <c r="AE7012">
        <v>0.55809999999999504</v>
      </c>
      <c r="AF7012">
        <v>-0.52198463698386699</v>
      </c>
      <c r="AG7012">
        <v>-7.4608999999999898E-2</v>
      </c>
      <c r="AH7012">
        <v>0.80291350074791901</v>
      </c>
      <c r="AI7012">
        <v>94.454717398150393</v>
      </c>
      <c r="AJ7012">
        <v>123.02842539532401</v>
      </c>
      <c r="AK7012">
        <v>0.960575116173358</v>
      </c>
      <c r="AL7012">
        <v>66.490858112416902</v>
      </c>
      <c r="AM7012">
        <v>107.512811291986</v>
      </c>
      <c r="AN7012">
        <v>1.0000000342918001</v>
      </c>
    </row>
    <row r="7013" spans="1:40" x14ac:dyDescent="0.25">
      <c r="A7013" t="str">
        <f>"20190304165020999"</f>
        <v>20190304165020999</v>
      </c>
      <c r="B7013" t="str">
        <f>"1551689420992457"</f>
        <v>1551689420992457</v>
      </c>
      <c r="C7013" t="s">
        <v>40</v>
      </c>
      <c r="D7013">
        <v>4.6078729999999997</v>
      </c>
      <c r="E7013">
        <v>0.40861449999999999</v>
      </c>
      <c r="F7013" t="s">
        <v>41</v>
      </c>
      <c r="G7013">
        <v>-221.76179999999999</v>
      </c>
      <c r="H7013">
        <v>1.049677</v>
      </c>
      <c r="I7013">
        <v>-62.608490000000003</v>
      </c>
      <c r="J7013">
        <v>-222.41640000000001</v>
      </c>
      <c r="K7013">
        <v>1.1140110000000001</v>
      </c>
      <c r="L7013">
        <v>-63.08878</v>
      </c>
      <c r="M7013">
        <v>0.99896339999999995</v>
      </c>
      <c r="N7013">
        <v>-1.443028E-2</v>
      </c>
      <c r="O7013">
        <v>4.3177310000000003E-2</v>
      </c>
      <c r="P7013">
        <v>0.86695</v>
      </c>
      <c r="Q7013">
        <v>0.3887639</v>
      </c>
      <c r="R7013">
        <v>0.31186629999999999</v>
      </c>
      <c r="S7013">
        <v>2.9266049999999999</v>
      </c>
      <c r="T7013">
        <v>-0.2340959</v>
      </c>
      <c r="U7013">
        <v>1.7785029999999999</v>
      </c>
      <c r="V7013">
        <v>-0.27698099999999998</v>
      </c>
      <c r="W7013">
        <v>0.3994608</v>
      </c>
      <c r="X7013">
        <v>0.87390659999999898</v>
      </c>
      <c r="Y7013">
        <v>-0.48063359999999999</v>
      </c>
      <c r="Z7013">
        <v>1.8845310000000001E-2</v>
      </c>
      <c r="AA7013">
        <v>0.87671900000000003</v>
      </c>
      <c r="AB7013">
        <v>31</v>
      </c>
      <c r="AC7013">
        <v>0.65460000000001595</v>
      </c>
      <c r="AD7013">
        <v>-6.4334000000000099E-2</v>
      </c>
      <c r="AE7013">
        <v>0.48029000000000299</v>
      </c>
      <c r="AF7013">
        <v>-0.44875753244741101</v>
      </c>
      <c r="AG7013">
        <v>-6.4334000000000099E-2</v>
      </c>
      <c r="AH7013">
        <v>0.67051913312071199</v>
      </c>
      <c r="AI7013">
        <v>94.558917633008704</v>
      </c>
      <c r="AJ7013">
        <v>123.79316043985</v>
      </c>
      <c r="AK7013">
        <v>0.80939365846616296</v>
      </c>
      <c r="AL7013">
        <v>66.455527068858899</v>
      </c>
      <c r="AM7013">
        <v>107.58579160131499</v>
      </c>
      <c r="AN7013">
        <v>1.00000007531059</v>
      </c>
    </row>
    <row r="7014" spans="1:40" x14ac:dyDescent="0.25">
      <c r="A7014" t="str">
        <f>"20190304165021009"</f>
        <v>20190304165021009</v>
      </c>
      <c r="B7014" t="str">
        <f>"1551689421002217"</f>
        <v>1551689421002217</v>
      </c>
      <c r="C7014" t="s">
        <v>40</v>
      </c>
      <c r="D7014">
        <v>4.5802909999999999</v>
      </c>
      <c r="E7014">
        <v>0.40759719999999999</v>
      </c>
      <c r="F7014" t="s">
        <v>41</v>
      </c>
      <c r="G7014">
        <v>-221.50489999999999</v>
      </c>
      <c r="H7014">
        <v>1.039401</v>
      </c>
      <c r="I7014">
        <v>-62.526710000000001</v>
      </c>
      <c r="J7014">
        <v>-222.26929999999999</v>
      </c>
      <c r="K7014">
        <v>1.114072</v>
      </c>
      <c r="L7014">
        <v>-63.080660000000002</v>
      </c>
      <c r="M7014">
        <v>0.99888359999999998</v>
      </c>
      <c r="N7014">
        <v>-1.4432530000000001E-2</v>
      </c>
      <c r="O7014">
        <v>4.4984459999999997E-2</v>
      </c>
      <c r="P7014">
        <v>0.86583539999999903</v>
      </c>
      <c r="Q7014">
        <v>0.389019</v>
      </c>
      <c r="R7014">
        <v>0.31463210000000003</v>
      </c>
      <c r="S7014">
        <v>2.9198460000000002</v>
      </c>
      <c r="T7014">
        <v>-0.2389888</v>
      </c>
      <c r="U7014">
        <v>1.800629</v>
      </c>
      <c r="V7014">
        <v>-0.27826339999999999</v>
      </c>
      <c r="W7014">
        <v>0.39966099999999999</v>
      </c>
      <c r="X7014">
        <v>0.87340739999999994</v>
      </c>
      <c r="Y7014">
        <v>-0.48471510000000001</v>
      </c>
      <c r="Z7014">
        <v>1.9231560000000002E-2</v>
      </c>
      <c r="AA7014">
        <v>0.87446059999999903</v>
      </c>
      <c r="AB7014">
        <v>31</v>
      </c>
      <c r="AC7014">
        <v>0.76439999999999397</v>
      </c>
      <c r="AD7014">
        <v>-7.4670999999999904E-2</v>
      </c>
      <c r="AE7014">
        <v>0.55395000000000005</v>
      </c>
      <c r="AF7014">
        <v>-0.51577238932679703</v>
      </c>
      <c r="AG7014">
        <v>-7.4670999999999904E-2</v>
      </c>
      <c r="AH7014">
        <v>0.78364474057709799</v>
      </c>
      <c r="AI7014">
        <v>94.5508129665821</v>
      </c>
      <c r="AJ7014">
        <v>123.35176063532199</v>
      </c>
      <c r="AK7014">
        <v>0.94111423072176603</v>
      </c>
      <c r="AL7014">
        <v>66.443011350412107</v>
      </c>
      <c r="AM7014">
        <v>107.671628945834</v>
      </c>
      <c r="AN7014">
        <v>0.99999996053765905</v>
      </c>
    </row>
    <row r="7015" spans="1:40" x14ac:dyDescent="0.25">
      <c r="A7015" t="str">
        <f>"20190304165021021"</f>
        <v>20190304165021021</v>
      </c>
      <c r="B7015" t="str">
        <f>"1551689421012953"</f>
        <v>1551689421012953</v>
      </c>
      <c r="C7015" t="s">
        <v>40</v>
      </c>
      <c r="D7015">
        <v>4.5536310000000002</v>
      </c>
      <c r="E7015">
        <v>0.40610740000000001</v>
      </c>
      <c r="F7015" t="s">
        <v>41</v>
      </c>
      <c r="G7015">
        <v>-221.48740000000001</v>
      </c>
      <c r="H7015">
        <v>1.048092</v>
      </c>
      <c r="I7015">
        <v>-62.592979999999997</v>
      </c>
      <c r="J7015">
        <v>-222.1104</v>
      </c>
      <c r="K7015">
        <v>1.114134</v>
      </c>
      <c r="L7015">
        <v>-63.071559999999998</v>
      </c>
      <c r="M7015">
        <v>0.99879220000000002</v>
      </c>
      <c r="N7015">
        <v>-1.4434809999999999E-2</v>
      </c>
      <c r="O7015">
        <v>4.6967979999999999E-2</v>
      </c>
      <c r="P7015">
        <v>0.86467590000000005</v>
      </c>
      <c r="Q7015">
        <v>0.38914860000000001</v>
      </c>
      <c r="R7015">
        <v>0.31764589999999998</v>
      </c>
      <c r="S7015">
        <v>2.9146580000000002</v>
      </c>
      <c r="T7015">
        <v>-0.24597430000000001</v>
      </c>
      <c r="U7015">
        <v>1.818298</v>
      </c>
      <c r="V7015">
        <v>-0.27964319999999998</v>
      </c>
      <c r="W7015">
        <v>0.39973350000000002</v>
      </c>
      <c r="X7015">
        <v>0.87293339999999997</v>
      </c>
      <c r="Y7015">
        <v>-0.4874232</v>
      </c>
      <c r="Z7015">
        <v>1.9670759999999999E-2</v>
      </c>
      <c r="AA7015">
        <v>0.87294430000000001</v>
      </c>
      <c r="AB7015">
        <v>31</v>
      </c>
      <c r="AC7015">
        <v>0.62299999999999001</v>
      </c>
      <c r="AD7015">
        <v>-6.6041999999999906E-2</v>
      </c>
      <c r="AE7015">
        <v>0.47857999999999301</v>
      </c>
      <c r="AF7015">
        <v>-0.445638288746322</v>
      </c>
      <c r="AG7015">
        <v>-6.6041999999999906E-2</v>
      </c>
      <c r="AH7015">
        <v>0.64026779269788603</v>
      </c>
      <c r="AI7015">
        <v>94.839107087035799</v>
      </c>
      <c r="AJ7015">
        <v>124.83863448792</v>
      </c>
      <c r="AK7015">
        <v>0.78287794484643203</v>
      </c>
      <c r="AL7015">
        <v>66.438479554901903</v>
      </c>
      <c r="AM7015">
        <v>107.762800161347</v>
      </c>
      <c r="AN7015">
        <v>0.99999995558202404</v>
      </c>
    </row>
    <row r="7016" spans="1:40" x14ac:dyDescent="0.25">
      <c r="A7016" t="str">
        <f>"20190304165021031"</f>
        <v>20190304165021031</v>
      </c>
      <c r="B7016" t="str">
        <f>"1551689421022713"</f>
        <v>1551689421022713</v>
      </c>
      <c r="C7016" t="s">
        <v>40</v>
      </c>
      <c r="D7016">
        <v>4.5282210000000003</v>
      </c>
      <c r="E7016">
        <v>0.40446729999999997</v>
      </c>
      <c r="F7016" t="s">
        <v>41</v>
      </c>
      <c r="G7016">
        <v>-221.23</v>
      </c>
      <c r="H7016">
        <v>1.039161</v>
      </c>
      <c r="I7016">
        <v>-62.514530000000001</v>
      </c>
      <c r="J7016">
        <v>-221.96510000000001</v>
      </c>
      <c r="K7016">
        <v>1.114188</v>
      </c>
      <c r="L7016">
        <v>-63.063020000000002</v>
      </c>
      <c r="M7016">
        <v>0.99870389999999998</v>
      </c>
      <c r="N7016">
        <v>-1.443675E-2</v>
      </c>
      <c r="O7016">
        <v>4.880926E-2</v>
      </c>
      <c r="P7016">
        <v>0.86361599999999905</v>
      </c>
      <c r="Q7016">
        <v>0.38914870000000001</v>
      </c>
      <c r="R7016">
        <v>0.32051629999999998</v>
      </c>
      <c r="S7016">
        <v>2.905411</v>
      </c>
      <c r="T7016">
        <v>-0.2474364</v>
      </c>
      <c r="U7016">
        <v>1.8387450000000001</v>
      </c>
      <c r="V7016">
        <v>-0.28099359999999901</v>
      </c>
      <c r="W7016">
        <v>0.39968330000000002</v>
      </c>
      <c r="X7016">
        <v>0.87252269999999899</v>
      </c>
      <c r="Y7016">
        <v>-0.49143039999999999</v>
      </c>
      <c r="Z7016">
        <v>1.9852290000000002E-2</v>
      </c>
      <c r="AA7016">
        <v>0.87069050000000003</v>
      </c>
      <c r="AB7016">
        <v>31</v>
      </c>
      <c r="AC7016">
        <v>0.73510000000001696</v>
      </c>
      <c r="AD7016">
        <v>-7.5026999999999899E-2</v>
      </c>
      <c r="AE7016">
        <v>0.54848999999998604</v>
      </c>
      <c r="AF7016">
        <v>-0.50854970220085904</v>
      </c>
      <c r="AG7016">
        <v>-7.5026999999999899E-2</v>
      </c>
      <c r="AH7016">
        <v>0.75593940961459904</v>
      </c>
      <c r="AI7016">
        <v>94.707656305666703</v>
      </c>
      <c r="AJ7016">
        <v>123.930248503352</v>
      </c>
      <c r="AK7016">
        <v>0.91416423105810196</v>
      </c>
      <c r="AL7016">
        <v>66.441618542602001</v>
      </c>
      <c r="AM7016">
        <v>107.851015217102</v>
      </c>
      <c r="AN7016">
        <v>1.00000000277757</v>
      </c>
    </row>
    <row r="7017" spans="1:40" x14ac:dyDescent="0.25">
      <c r="A7017" t="str">
        <f>"20190304165021044"</f>
        <v>20190304165021044</v>
      </c>
      <c r="B7017" t="str">
        <f>"1551689421032474"</f>
        <v>1551689421032474</v>
      </c>
      <c r="C7017" t="s">
        <v>40</v>
      </c>
      <c r="D7017">
        <v>4.5056129999999897</v>
      </c>
      <c r="E7017">
        <v>0.40315570000000001</v>
      </c>
      <c r="F7017" t="s">
        <v>41</v>
      </c>
      <c r="G7017">
        <v>-221.21260000000001</v>
      </c>
      <c r="H7017">
        <v>1.0493699999999999</v>
      </c>
      <c r="I7017">
        <v>-62.579749999999997</v>
      </c>
      <c r="J7017">
        <v>-221.8073</v>
      </c>
      <c r="K7017">
        <v>1.114239</v>
      </c>
      <c r="L7017">
        <v>-63.053280000000001</v>
      </c>
      <c r="M7017">
        <v>0.99860190000000004</v>
      </c>
      <c r="N7017">
        <v>-1.443882E-2</v>
      </c>
      <c r="O7017">
        <v>5.0851830000000001E-2</v>
      </c>
      <c r="P7017">
        <v>0.86245780000000005</v>
      </c>
      <c r="Q7017">
        <v>0.38911279999999998</v>
      </c>
      <c r="R7017">
        <v>0.32366309999999998</v>
      </c>
      <c r="S7017">
        <v>2.8957980000000001</v>
      </c>
      <c r="T7017">
        <v>-0.24943760000000001</v>
      </c>
      <c r="U7017">
        <v>1.8601380000000001</v>
      </c>
      <c r="V7017">
        <v>-0.28245229999999999</v>
      </c>
      <c r="W7017">
        <v>0.39959410000000001</v>
      </c>
      <c r="X7017">
        <v>0.87209249999999905</v>
      </c>
      <c r="Y7017">
        <v>-0.49548740000000002</v>
      </c>
      <c r="Z7017">
        <v>2.005753E-2</v>
      </c>
      <c r="AA7017">
        <v>0.86838349999999898</v>
      </c>
      <c r="AB7017">
        <v>31</v>
      </c>
      <c r="AC7017">
        <v>0.59469999999998802</v>
      </c>
      <c r="AD7017">
        <v>-6.4868999999999802E-2</v>
      </c>
      <c r="AE7017">
        <v>0.47353000000001</v>
      </c>
      <c r="AF7017">
        <v>-0.43947245733622797</v>
      </c>
      <c r="AG7017">
        <v>-6.4868999999999802E-2</v>
      </c>
      <c r="AH7017">
        <v>0.61354524950307698</v>
      </c>
      <c r="AI7017">
        <v>94.912682762491102</v>
      </c>
      <c r="AJ7017">
        <v>125.61340770488999</v>
      </c>
      <c r="AK7017">
        <v>0.75748386194422401</v>
      </c>
      <c r="AL7017">
        <v>66.447194774170597</v>
      </c>
      <c r="AM7017">
        <v>107.94604120357801</v>
      </c>
      <c r="AN7017">
        <v>1.0000000375431699</v>
      </c>
    </row>
    <row r="7018" spans="1:40" x14ac:dyDescent="0.25">
      <c r="A7018" t="str">
        <f>"20190304165021054"</f>
        <v>20190304165021054</v>
      </c>
      <c r="B7018" t="str">
        <f>"1551689421042233"</f>
        <v>1551689421042233</v>
      </c>
      <c r="C7018" t="s">
        <v>40</v>
      </c>
      <c r="D7018">
        <v>4.5215969999999999</v>
      </c>
      <c r="E7018">
        <v>0.40247860000000002</v>
      </c>
      <c r="F7018" t="s">
        <v>41</v>
      </c>
      <c r="G7018">
        <v>-220.9562</v>
      </c>
      <c r="H7018">
        <v>1.0401009999999999</v>
      </c>
      <c r="I7018">
        <v>-62.499099999999999</v>
      </c>
      <c r="J7018">
        <v>-221.64869999999999</v>
      </c>
      <c r="K7018">
        <v>1.1142920000000001</v>
      </c>
      <c r="L7018">
        <v>-63.043300000000002</v>
      </c>
      <c r="M7018">
        <v>0.99849429999999995</v>
      </c>
      <c r="N7018">
        <v>-1.4440730000000001E-2</v>
      </c>
      <c r="O7018">
        <v>5.2923530000000003E-2</v>
      </c>
      <c r="P7018">
        <v>0.86135039999999996</v>
      </c>
      <c r="Q7018">
        <v>0.38892270000000001</v>
      </c>
      <c r="R7018">
        <v>0.32682509999999998</v>
      </c>
      <c r="S7018">
        <v>2.8864899999999998</v>
      </c>
      <c r="T7018">
        <v>-0.25142730000000002</v>
      </c>
      <c r="U7018">
        <v>1.879578</v>
      </c>
      <c r="V7018">
        <v>-0.28389799999999998</v>
      </c>
      <c r="W7018">
        <v>0.39935229999999999</v>
      </c>
      <c r="X7018">
        <v>0.87173369999999994</v>
      </c>
      <c r="Y7018">
        <v>-0.49904399999999999</v>
      </c>
      <c r="Z7018">
        <v>2.0237160000000001E-2</v>
      </c>
      <c r="AA7018">
        <v>0.86634029999999995</v>
      </c>
      <c r="AB7018">
        <v>31</v>
      </c>
      <c r="AC7018">
        <v>0.69249999999999501</v>
      </c>
      <c r="AD7018">
        <v>-7.4191000000000104E-2</v>
      </c>
      <c r="AE7018">
        <v>0.54420000000000301</v>
      </c>
      <c r="AF7018">
        <v>-0.50321310680626397</v>
      </c>
      <c r="AG7018">
        <v>-7.4191000000000104E-2</v>
      </c>
      <c r="AH7018">
        <v>0.71525794238635998</v>
      </c>
      <c r="AI7018">
        <v>94.849046724107296</v>
      </c>
      <c r="AJ7018">
        <v>125.127948088632</v>
      </c>
      <c r="AK7018">
        <v>0.87767970210628798</v>
      </c>
      <c r="AL7018">
        <v>66.462305853051703</v>
      </c>
      <c r="AM7018">
        <v>108.038904429006</v>
      </c>
      <c r="AN7018">
        <v>0.99999998881748897</v>
      </c>
    </row>
    <row r="7019" spans="1:40" x14ac:dyDescent="0.25">
      <c r="A7019" t="str">
        <f>"20190304165021067"</f>
        <v>20190304165021067</v>
      </c>
      <c r="B7019" t="str">
        <f>"1551689421062729"</f>
        <v>1551689421062729</v>
      </c>
      <c r="C7019" t="s">
        <v>40</v>
      </c>
      <c r="D7019">
        <v>4.5087729999999997</v>
      </c>
      <c r="E7019">
        <v>0.4017117</v>
      </c>
      <c r="F7019" t="s">
        <v>41</v>
      </c>
      <c r="G7019">
        <v>-220.9358</v>
      </c>
      <c r="H7019">
        <v>1.0512549999999901</v>
      </c>
      <c r="I7019">
        <v>-62.574210000000001</v>
      </c>
      <c r="J7019">
        <v>-221.48679999999999</v>
      </c>
      <c r="K7019">
        <v>1.114344</v>
      </c>
      <c r="L7019">
        <v>-63.032499999999999</v>
      </c>
      <c r="M7019">
        <v>0.99837679999999995</v>
      </c>
      <c r="N7019">
        <v>-1.444295E-2</v>
      </c>
      <c r="O7019">
        <v>5.5093679999999999E-2</v>
      </c>
      <c r="P7019">
        <v>0.86012489999999997</v>
      </c>
      <c r="Q7019">
        <v>0.38892100000000002</v>
      </c>
      <c r="R7019">
        <v>0.33003919999999998</v>
      </c>
      <c r="S7019">
        <v>2.878952</v>
      </c>
      <c r="T7019">
        <v>-0.25459100000000001</v>
      </c>
      <c r="U7019">
        <v>1.894714</v>
      </c>
      <c r="V7019">
        <v>-0.28531770000000001</v>
      </c>
      <c r="W7019">
        <v>0.39929900000000002</v>
      </c>
      <c r="X7019">
        <v>0.87129449999999997</v>
      </c>
      <c r="Y7019">
        <v>-0.50134409999999996</v>
      </c>
      <c r="Z7019">
        <v>2.04189E-2</v>
      </c>
      <c r="AA7019">
        <v>0.86500699999999997</v>
      </c>
      <c r="AB7019">
        <v>31</v>
      </c>
      <c r="AC7019">
        <v>0.55099999999998694</v>
      </c>
      <c r="AD7019">
        <v>-6.3089000000000103E-2</v>
      </c>
      <c r="AE7019">
        <v>0.45828999999999798</v>
      </c>
      <c r="AF7019">
        <v>-0.42394875777919899</v>
      </c>
      <c r="AG7019">
        <v>-6.3089000000000103E-2</v>
      </c>
      <c r="AH7019">
        <v>0.57098976754994102</v>
      </c>
      <c r="AI7019">
        <v>95.069531656485196</v>
      </c>
      <c r="AJ7019">
        <v>126.593165505484</v>
      </c>
      <c r="AK7019">
        <v>0.71396224395289998</v>
      </c>
      <c r="AL7019">
        <v>66.465636942122302</v>
      </c>
      <c r="AM7019">
        <v>108.131765564134</v>
      </c>
      <c r="AN7019">
        <v>0.99999999353226898</v>
      </c>
    </row>
    <row r="7020" spans="1:40" x14ac:dyDescent="0.25">
      <c r="A7020" t="str">
        <f>"20190304165021078"</f>
        <v>20190304165021078</v>
      </c>
      <c r="B7020" t="str">
        <f>"1551689421072489"</f>
        <v>1551689421072489</v>
      </c>
      <c r="C7020" t="s">
        <v>40</v>
      </c>
      <c r="D7020">
        <v>4.5004299999999997</v>
      </c>
      <c r="E7020">
        <v>0.40149319999999999</v>
      </c>
      <c r="F7020" t="s">
        <v>41</v>
      </c>
      <c r="G7020">
        <v>-220.67939999999999</v>
      </c>
      <c r="H7020">
        <v>1.0409139999999999</v>
      </c>
      <c r="I7020">
        <v>-62.495199999999997</v>
      </c>
      <c r="J7020">
        <v>-221.32749999999999</v>
      </c>
      <c r="K7020">
        <v>1.1143940000000001</v>
      </c>
      <c r="L7020">
        <v>-63.021700000000003</v>
      </c>
      <c r="M7020">
        <v>0.99825560000000002</v>
      </c>
      <c r="N7020">
        <v>-1.4445E-2</v>
      </c>
      <c r="O7020">
        <v>5.7244969999999999E-2</v>
      </c>
      <c r="P7020">
        <v>0.85877760000000003</v>
      </c>
      <c r="Q7020">
        <v>0.38911289999999998</v>
      </c>
      <c r="R7020">
        <v>0.33330500000000002</v>
      </c>
      <c r="S7020">
        <v>2.8725589999999999</v>
      </c>
      <c r="T7020">
        <v>-0.2612312</v>
      </c>
      <c r="U7020">
        <v>1.9114070000000001</v>
      </c>
      <c r="V7020">
        <v>-0.28681659999999998</v>
      </c>
      <c r="W7020">
        <v>0.39943719999999999</v>
      </c>
      <c r="X7020">
        <v>0.87073889999999998</v>
      </c>
      <c r="Y7020">
        <v>-0.50377989999999995</v>
      </c>
      <c r="Z7020">
        <v>2.0812839999999999E-2</v>
      </c>
      <c r="AA7020">
        <v>0.8635813</v>
      </c>
      <c r="AB7020">
        <v>31</v>
      </c>
      <c r="AC7020">
        <v>0.64809999999999901</v>
      </c>
      <c r="AD7020">
        <v>-7.3480000000000198E-2</v>
      </c>
      <c r="AE7020">
        <v>0.52650000000000496</v>
      </c>
      <c r="AF7020">
        <v>-0.484778043847509</v>
      </c>
      <c r="AG7020">
        <v>-7.3480000000000198E-2</v>
      </c>
      <c r="AH7020">
        <v>0.67197592182598198</v>
      </c>
      <c r="AI7020">
        <v>95.067776829543803</v>
      </c>
      <c r="AJ7020">
        <v>125.807499761375</v>
      </c>
      <c r="AK7020">
        <v>0.831841752805482</v>
      </c>
      <c r="AL7020">
        <v>66.457001034886602</v>
      </c>
      <c r="AM7020">
        <v>108.23159844067099</v>
      </c>
      <c r="AN7020">
        <v>1.0000000353762999</v>
      </c>
    </row>
    <row r="7021" spans="1:40" x14ac:dyDescent="0.25">
      <c r="A7021" t="str">
        <f>"20190304165021088"</f>
        <v>20190304165021088</v>
      </c>
      <c r="B7021" t="str">
        <f>"1551689421082755"</f>
        <v>1551689421082755</v>
      </c>
      <c r="C7021" t="s">
        <v>40</v>
      </c>
      <c r="D7021">
        <v>4.4955730000000003</v>
      </c>
      <c r="E7021">
        <v>0.40129160000000003</v>
      </c>
      <c r="F7021" t="s">
        <v>41</v>
      </c>
      <c r="G7021">
        <v>-220.4238</v>
      </c>
      <c r="H7021">
        <v>1.03129</v>
      </c>
      <c r="I7021">
        <v>-62.415170000000003</v>
      </c>
      <c r="J7021">
        <v>-221.1771</v>
      </c>
      <c r="K7021">
        <v>1.1144480000000001</v>
      </c>
      <c r="L7021">
        <v>-63.011049999999997</v>
      </c>
      <c r="M7021">
        <v>0.99813490000000005</v>
      </c>
      <c r="N7021">
        <v>-1.4447E-2</v>
      </c>
      <c r="O7021">
        <v>5.9314029999999997E-2</v>
      </c>
      <c r="P7021">
        <v>0.85763029999999996</v>
      </c>
      <c r="Q7021">
        <v>0.38919429999999999</v>
      </c>
      <c r="R7021">
        <v>0.33615200000000001</v>
      </c>
      <c r="S7021">
        <v>2.866028</v>
      </c>
      <c r="T7021">
        <v>-0.26357329999999901</v>
      </c>
      <c r="U7021">
        <v>1.9240109999999999</v>
      </c>
      <c r="V7021">
        <v>-0.28795569999999998</v>
      </c>
      <c r="W7021">
        <v>0.39947300000000002</v>
      </c>
      <c r="X7021">
        <v>0.87034639999999996</v>
      </c>
      <c r="Y7021">
        <v>-0.50549140000000004</v>
      </c>
      <c r="Z7021">
        <v>2.0915610000000001E-2</v>
      </c>
      <c r="AA7021">
        <v>0.86257799999999996</v>
      </c>
      <c r="AB7021">
        <v>31</v>
      </c>
      <c r="AC7021">
        <v>0.75329999999999497</v>
      </c>
      <c r="AD7021">
        <v>-8.3157999999999802E-2</v>
      </c>
      <c r="AE7021">
        <v>0.59588000000000096</v>
      </c>
      <c r="AF7021">
        <v>-0.54605157293814399</v>
      </c>
      <c r="AG7021">
        <v>-8.3157999999999802E-2</v>
      </c>
      <c r="AH7021">
        <v>0.78146337546378197</v>
      </c>
      <c r="AI7021">
        <v>94.985181211515595</v>
      </c>
      <c r="AJ7021">
        <v>124.944124033791</v>
      </c>
      <c r="AK7021">
        <v>0.95696007255447701</v>
      </c>
      <c r="AL7021">
        <v>66.4547629370078</v>
      </c>
      <c r="AM7021">
        <v>108.30689205191599</v>
      </c>
      <c r="AN7021">
        <v>1.0000000094422199</v>
      </c>
    </row>
    <row r="7022" spans="1:40" x14ac:dyDescent="0.25">
      <c r="A7022" t="str">
        <f>"20190304165021100"</f>
        <v>20190304165021100</v>
      </c>
      <c r="B7022" t="str">
        <f>"1551689421092515"</f>
        <v>1551689421092515</v>
      </c>
      <c r="C7022" t="s">
        <v>40</v>
      </c>
      <c r="D7022">
        <v>4.4943489999999997</v>
      </c>
      <c r="E7022">
        <v>0.40117340000000001</v>
      </c>
      <c r="F7022" t="s">
        <v>41</v>
      </c>
      <c r="G7022">
        <v>-220.40350000000001</v>
      </c>
      <c r="H7022">
        <v>1.0427109999999999</v>
      </c>
      <c r="I7022">
        <v>-62.487830000000002</v>
      </c>
      <c r="J7022">
        <v>-221.0342</v>
      </c>
      <c r="K7022">
        <v>1.1144909999999999</v>
      </c>
      <c r="L7022">
        <v>-63.0006699999999</v>
      </c>
      <c r="M7022">
        <v>0.99801490000000004</v>
      </c>
      <c r="N7022">
        <v>-1.4448890000000001E-2</v>
      </c>
      <c r="O7022">
        <v>6.1299069999999997E-2</v>
      </c>
      <c r="P7022">
        <v>0.856500499999999</v>
      </c>
      <c r="Q7022">
        <v>0.38942159999999998</v>
      </c>
      <c r="R7022">
        <v>0.33875889999999997</v>
      </c>
      <c r="S7022">
        <v>2.860001</v>
      </c>
      <c r="T7022">
        <v>-0.26521929999999999</v>
      </c>
      <c r="U7022">
        <v>1.934814</v>
      </c>
      <c r="V7022">
        <v>-0.28892869999999998</v>
      </c>
      <c r="W7022">
        <v>0.3996574</v>
      </c>
      <c r="X7022">
        <v>0.86993920000000002</v>
      </c>
      <c r="Y7022">
        <v>-0.50683599999999995</v>
      </c>
      <c r="Z7022">
        <v>2.0961629999999998E-2</v>
      </c>
      <c r="AA7022">
        <v>0.86178759999999999</v>
      </c>
      <c r="AB7022">
        <v>31</v>
      </c>
      <c r="AC7022">
        <v>0.63069999999999005</v>
      </c>
      <c r="AD7022">
        <v>-7.1779999999999705E-2</v>
      </c>
      <c r="AE7022">
        <v>0.51283999999998997</v>
      </c>
      <c r="AF7022">
        <v>-0.46954879523388998</v>
      </c>
      <c r="AG7022">
        <v>-7.1779999999999705E-2</v>
      </c>
      <c r="AH7022">
        <v>0.65583979043912</v>
      </c>
      <c r="AI7022">
        <v>95.085409017019501</v>
      </c>
      <c r="AJ7022">
        <v>125.600786769913</v>
      </c>
      <c r="AK7022">
        <v>0.80978655843921399</v>
      </c>
      <c r="AL7022">
        <v>66.443237887085402</v>
      </c>
      <c r="AM7022">
        <v>108.372625586448</v>
      </c>
      <c r="AN7022">
        <v>1.00000002137754</v>
      </c>
    </row>
    <row r="7023" spans="1:40" x14ac:dyDescent="0.25">
      <c r="A7023" t="str">
        <f>"20190304165021110"</f>
        <v>20190304165021110</v>
      </c>
      <c r="B7023" t="str">
        <f>"1551689421102276"</f>
        <v>1551689421102276</v>
      </c>
      <c r="C7023" t="s">
        <v>40</v>
      </c>
      <c r="D7023">
        <v>4.5087270000000004</v>
      </c>
      <c r="E7023">
        <v>0.40103329999999998</v>
      </c>
      <c r="F7023" t="s">
        <v>41</v>
      </c>
      <c r="G7023">
        <v>-220.1508</v>
      </c>
      <c r="H7023">
        <v>1.0320370000000001</v>
      </c>
      <c r="I7023">
        <v>-62.398940000000003</v>
      </c>
      <c r="J7023">
        <v>-220.8921</v>
      </c>
      <c r="K7023">
        <v>1.114533</v>
      </c>
      <c r="L7023">
        <v>-62.990020000000001</v>
      </c>
      <c r="M7023">
        <v>0.99789019999999995</v>
      </c>
      <c r="N7023">
        <v>-1.445084E-2</v>
      </c>
      <c r="O7023">
        <v>6.3295729999999994E-2</v>
      </c>
      <c r="P7023">
        <v>0.85553259999999898</v>
      </c>
      <c r="Q7023">
        <v>0.38935769999999997</v>
      </c>
      <c r="R7023">
        <v>0.34126909999999999</v>
      </c>
      <c r="S7023">
        <v>2.8546140000000002</v>
      </c>
      <c r="T7023">
        <v>-0.26645990000000003</v>
      </c>
      <c r="U7023">
        <v>1.9447019999999999</v>
      </c>
      <c r="V7023">
        <v>-0.28978209999999999</v>
      </c>
      <c r="W7023">
        <v>0.39955610000000003</v>
      </c>
      <c r="X7023">
        <v>0.86970179999999997</v>
      </c>
      <c r="Y7023">
        <v>-0.50789470000000003</v>
      </c>
      <c r="Z7023">
        <v>2.0964699999999999E-2</v>
      </c>
      <c r="AA7023">
        <v>0.86116399999999904</v>
      </c>
      <c r="AB7023">
        <v>31</v>
      </c>
      <c r="AC7023">
        <v>0.74129999999999496</v>
      </c>
      <c r="AD7023">
        <v>-8.2495999999999903E-2</v>
      </c>
      <c r="AE7023">
        <v>0.59107999999999095</v>
      </c>
      <c r="AF7023">
        <v>-0.53888857290667802</v>
      </c>
      <c r="AG7023">
        <v>-8.2495999999999903E-2</v>
      </c>
      <c r="AH7023">
        <v>0.77138979262333696</v>
      </c>
      <c r="AI7023">
        <v>95.010328569949706</v>
      </c>
      <c r="AJ7023">
        <v>124.937933378049</v>
      </c>
      <c r="AK7023">
        <v>0.944589167939624</v>
      </c>
      <c r="AL7023">
        <v>66.449568463062704</v>
      </c>
      <c r="AM7023">
        <v>108.427922455215</v>
      </c>
      <c r="AN7023">
        <v>0.99999998172542903</v>
      </c>
    </row>
    <row r="7024" spans="1:40" x14ac:dyDescent="0.25">
      <c r="A7024" t="str">
        <f>"20190304165021120"</f>
        <v>20190304165021120</v>
      </c>
      <c r="B7024" t="str">
        <f>"1551689421112036"</f>
        <v>1551689421112036</v>
      </c>
      <c r="C7024" t="s">
        <v>40</v>
      </c>
      <c r="D7024">
        <v>4.5481210000000001</v>
      </c>
      <c r="E7024">
        <v>0.40086699999999997</v>
      </c>
      <c r="F7024" t="s">
        <v>41</v>
      </c>
      <c r="G7024">
        <v>-220.13120000000001</v>
      </c>
      <c r="H7024">
        <v>1.0428919999999999</v>
      </c>
      <c r="I7024">
        <v>-62.468179999999997</v>
      </c>
      <c r="J7024">
        <v>-220.73949999999999</v>
      </c>
      <c r="K7024">
        <v>1.1145830000000001</v>
      </c>
      <c r="L7024">
        <v>-62.978209999999997</v>
      </c>
      <c r="M7024">
        <v>0.99775029999999998</v>
      </c>
      <c r="N7024">
        <v>-1.4452899999999999E-2</v>
      </c>
      <c r="O7024">
        <v>6.5464270000000005E-2</v>
      </c>
      <c r="P7024">
        <v>0.85447759999999995</v>
      </c>
      <c r="Q7024">
        <v>0.38922610000000002</v>
      </c>
      <c r="R7024">
        <v>0.34405069999999999</v>
      </c>
      <c r="S7024">
        <v>2.849167</v>
      </c>
      <c r="T7024">
        <v>-0.26826260000000002</v>
      </c>
      <c r="U7024">
        <v>1.9541930000000001</v>
      </c>
      <c r="V7024">
        <v>-0.29076459999999998</v>
      </c>
      <c r="W7024">
        <v>0.39938380000000001</v>
      </c>
      <c r="X7024">
        <v>0.86945300000000003</v>
      </c>
      <c r="Y7024">
        <v>-0.50872399999999995</v>
      </c>
      <c r="Z7024">
        <v>2.0977329999999999E-2</v>
      </c>
      <c r="AA7024">
        <v>0.86067399999999905</v>
      </c>
      <c r="AB7024">
        <v>31</v>
      </c>
      <c r="AC7024">
        <v>0.60829999999998496</v>
      </c>
      <c r="AD7024">
        <v>-7.1691000000000102E-2</v>
      </c>
      <c r="AE7024">
        <v>0.51002999999999299</v>
      </c>
      <c r="AF7024">
        <v>-0.46531452118907901</v>
      </c>
      <c r="AG7024">
        <v>-7.1691000000000102E-2</v>
      </c>
      <c r="AH7024">
        <v>0.63520633713089403</v>
      </c>
      <c r="AI7024">
        <v>95.202283629102595</v>
      </c>
      <c r="AJ7024">
        <v>126.224295539515</v>
      </c>
      <c r="AK7024">
        <v>0.79066066921383504</v>
      </c>
      <c r="AL7024">
        <v>66.460337401377402</v>
      </c>
      <c r="AM7024">
        <v>108.491091927116</v>
      </c>
      <c r="AN7024">
        <v>0.99999999576230003</v>
      </c>
    </row>
    <row r="7025" spans="1:40" x14ac:dyDescent="0.25">
      <c r="A7025" t="str">
        <f>"20190304165021131"</f>
        <v>20190304165021131</v>
      </c>
      <c r="B7025" t="str">
        <f>"1551689421122772"</f>
        <v>1551689421122772</v>
      </c>
      <c r="C7025" t="s">
        <v>40</v>
      </c>
      <c r="D7025">
        <v>4.4711650000000001</v>
      </c>
      <c r="E7025">
        <v>0.40073609999999998</v>
      </c>
      <c r="F7025" t="s">
        <v>41</v>
      </c>
      <c r="G7025">
        <v>-219.87790000000001</v>
      </c>
      <c r="H7025">
        <v>1.032683</v>
      </c>
      <c r="I7025">
        <v>-62.383099999999999</v>
      </c>
      <c r="J7025">
        <v>-220.59039999999999</v>
      </c>
      <c r="K7025">
        <v>1.1146229999999999</v>
      </c>
      <c r="L7025">
        <v>-62.966430000000003</v>
      </c>
      <c r="M7025">
        <v>0.99760769999999999</v>
      </c>
      <c r="N7025">
        <v>-1.445484E-2</v>
      </c>
      <c r="O7025">
        <v>6.7602339999999997E-2</v>
      </c>
      <c r="P7025">
        <v>0.85356430000000005</v>
      </c>
      <c r="Q7025">
        <v>0.38918520000000001</v>
      </c>
      <c r="R7025">
        <v>0.34635670000000002</v>
      </c>
      <c r="S7025">
        <v>2.8431700000000002</v>
      </c>
      <c r="T7025">
        <v>-0.270258099999999</v>
      </c>
      <c r="U7025">
        <v>1.9641420000000001</v>
      </c>
      <c r="V7025">
        <v>-0.29128959999999998</v>
      </c>
      <c r="W7025">
        <v>0.3993099</v>
      </c>
      <c r="X7025">
        <v>0.86931119999999995</v>
      </c>
      <c r="Y7025">
        <v>-0.50974600000000003</v>
      </c>
      <c r="Z7025">
        <v>2.101337E-2</v>
      </c>
      <c r="AA7025">
        <v>0.86006830000000001</v>
      </c>
      <c r="AB7025">
        <v>31</v>
      </c>
      <c r="AC7025">
        <v>0.71249999999997704</v>
      </c>
      <c r="AD7025">
        <v>-8.1939999999999902E-2</v>
      </c>
      <c r="AE7025">
        <v>0.58333000000000301</v>
      </c>
      <c r="AF7025">
        <v>-0.52962979998748905</v>
      </c>
      <c r="AG7025">
        <v>-8.1939999999999902E-2</v>
      </c>
      <c r="AH7025">
        <v>0.74441380530212797</v>
      </c>
      <c r="AI7025">
        <v>95.125112567933698</v>
      </c>
      <c r="AJ7025">
        <v>125.430797181476</v>
      </c>
      <c r="AK7025">
        <v>0.91726430332766296</v>
      </c>
      <c r="AL7025">
        <v>66.464955789484804</v>
      </c>
      <c r="AM7025">
        <v>108.525018131696</v>
      </c>
      <c r="AN7025">
        <v>0.99999999487580404</v>
      </c>
    </row>
    <row r="7026" spans="1:40" x14ac:dyDescent="0.25">
      <c r="A7026" t="str">
        <f>"20190304165021144"</f>
        <v>20190304165021144</v>
      </c>
      <c r="B7026" t="str">
        <f>"1551689421132532"</f>
        <v>1551689421132532</v>
      </c>
      <c r="C7026" t="s">
        <v>40</v>
      </c>
      <c r="D7026">
        <v>4.4694089999999997</v>
      </c>
      <c r="E7026">
        <v>0.40061970000000002</v>
      </c>
      <c r="F7026" t="s">
        <v>41</v>
      </c>
      <c r="G7026">
        <v>-219.85679999999999</v>
      </c>
      <c r="H7026">
        <v>1.044467</v>
      </c>
      <c r="I7026">
        <v>-62.456539999999997</v>
      </c>
      <c r="J7026">
        <v>-220.43600000000001</v>
      </c>
      <c r="K7026">
        <v>1.114662</v>
      </c>
      <c r="L7026">
        <v>-62.953699999999998</v>
      </c>
      <c r="M7026">
        <v>0.99745289999999998</v>
      </c>
      <c r="N7026">
        <v>-1.445686E-2</v>
      </c>
      <c r="O7026">
        <v>6.9847989999999999E-2</v>
      </c>
      <c r="P7026">
        <v>0.85261139999999902</v>
      </c>
      <c r="Q7026">
        <v>0.3890151</v>
      </c>
      <c r="R7026">
        <v>0.34888560000000002</v>
      </c>
      <c r="S7026">
        <v>2.8378909999999999</v>
      </c>
      <c r="T7026">
        <v>-0.27138570000000001</v>
      </c>
      <c r="U7026">
        <v>1.9728699999999999</v>
      </c>
      <c r="V7026">
        <v>-0.29194579999999998</v>
      </c>
      <c r="W7026">
        <v>0.39910630000000002</v>
      </c>
      <c r="X7026">
        <v>0.86918459999999997</v>
      </c>
      <c r="Y7026">
        <v>-0.5103337</v>
      </c>
      <c r="Z7026">
        <v>2.0964489999999999E-2</v>
      </c>
      <c r="AA7026">
        <v>0.85972090000000001</v>
      </c>
      <c r="AB7026">
        <v>31</v>
      </c>
      <c r="AC7026">
        <v>0.57919999999998595</v>
      </c>
      <c r="AD7026">
        <v>-7.0194999999999994E-2</v>
      </c>
      <c r="AE7026">
        <v>0.497159999999993</v>
      </c>
      <c r="AF7026">
        <v>-0.45166562793024301</v>
      </c>
      <c r="AG7026">
        <v>-7.0194999999999994E-2</v>
      </c>
      <c r="AH7026">
        <v>0.60737781105462696</v>
      </c>
      <c r="AI7026">
        <v>95.298406840852095</v>
      </c>
      <c r="AJ7026">
        <v>126.635676041304</v>
      </c>
      <c r="AK7026">
        <v>0.76015589377451498</v>
      </c>
      <c r="AL7026">
        <v>66.477679862345198</v>
      </c>
      <c r="AM7026">
        <v>108.56641174605301</v>
      </c>
      <c r="AN7026">
        <v>1.0000000288572399</v>
      </c>
    </row>
    <row r="7027" spans="1:40" x14ac:dyDescent="0.25">
      <c r="A7027" t="str">
        <f>"20190304165021154"</f>
        <v>20190304165021154</v>
      </c>
      <c r="B7027" t="str">
        <f>"1551689421142292"</f>
        <v>1551689421142292</v>
      </c>
      <c r="C7027" t="s">
        <v>40</v>
      </c>
      <c r="D7027">
        <v>4.4794539999999996</v>
      </c>
      <c r="E7027">
        <v>0.40050720000000001</v>
      </c>
      <c r="F7027" t="s">
        <v>41</v>
      </c>
      <c r="G7027">
        <v>-219.6037</v>
      </c>
      <c r="H7027">
        <v>1.034127</v>
      </c>
      <c r="I7027">
        <v>-62.37171</v>
      </c>
      <c r="J7027">
        <v>-220.28550000000001</v>
      </c>
      <c r="K7027">
        <v>1.1147</v>
      </c>
      <c r="L7027">
        <v>-62.941160000000004</v>
      </c>
      <c r="M7027">
        <v>0.99729650000000003</v>
      </c>
      <c r="N7027">
        <v>-1.445869E-2</v>
      </c>
      <c r="O7027">
        <v>7.2046949999999998E-2</v>
      </c>
      <c r="P7027">
        <v>0.85188159999999902</v>
      </c>
      <c r="Q7027">
        <v>0.38851390000000002</v>
      </c>
      <c r="R7027">
        <v>0.3512188</v>
      </c>
      <c r="S7027">
        <v>2.833008</v>
      </c>
      <c r="T7027">
        <v>-0.27413280000000001</v>
      </c>
      <c r="U7027">
        <v>1.981171</v>
      </c>
      <c r="V7027">
        <v>-0.29242780000000002</v>
      </c>
      <c r="W7027">
        <v>0.39857720000000002</v>
      </c>
      <c r="X7027">
        <v>0.86926539999999997</v>
      </c>
      <c r="Y7027">
        <v>-0.51079889999999994</v>
      </c>
      <c r="Z7027">
        <v>2.100403E-2</v>
      </c>
      <c r="AA7027">
        <v>0.85944359999999997</v>
      </c>
      <c r="AB7027">
        <v>31</v>
      </c>
      <c r="AC7027">
        <v>0.68180000000000895</v>
      </c>
      <c r="AD7027">
        <v>-8.0573000000000006E-2</v>
      </c>
      <c r="AE7027">
        <v>0.56944999999999601</v>
      </c>
      <c r="AF7027">
        <v>-0.51460947036634996</v>
      </c>
      <c r="AG7027">
        <v>-8.0573000000000006E-2</v>
      </c>
      <c r="AH7027">
        <v>0.71517557670715803</v>
      </c>
      <c r="AI7027">
        <v>95.225061179604694</v>
      </c>
      <c r="AJ7027">
        <v>125.737160998375</v>
      </c>
      <c r="AK7027">
        <v>0.88475478005951003</v>
      </c>
      <c r="AL7027">
        <v>66.510739253827694</v>
      </c>
      <c r="AM7027">
        <v>108.593349136048</v>
      </c>
      <c r="AN7027">
        <v>1.00000006910491</v>
      </c>
    </row>
    <row r="7028" spans="1:40" x14ac:dyDescent="0.25">
      <c r="A7028" t="str">
        <f>"20190304165021166"</f>
        <v>20190304165021166</v>
      </c>
      <c r="B7028" t="str">
        <f>"1551689421162788"</f>
        <v>1551689421162788</v>
      </c>
      <c r="C7028" t="s">
        <v>40</v>
      </c>
      <c r="D7028">
        <v>4.4514290000000001</v>
      </c>
      <c r="E7028">
        <v>0.40034350000000002</v>
      </c>
      <c r="F7028" t="s">
        <v>41</v>
      </c>
      <c r="G7028">
        <v>-219.58189999999999</v>
      </c>
      <c r="H7028">
        <v>1.045682</v>
      </c>
      <c r="I7028">
        <v>-62.446460000000002</v>
      </c>
      <c r="J7028">
        <v>-220.131</v>
      </c>
      <c r="K7028">
        <v>1.1147320000000001</v>
      </c>
      <c r="L7028">
        <v>-62.927639999999997</v>
      </c>
      <c r="M7028">
        <v>0.99712800000000001</v>
      </c>
      <c r="N7028">
        <v>-1.4460600000000001E-2</v>
      </c>
      <c r="O7028">
        <v>7.4342030000000003E-2</v>
      </c>
      <c r="P7028">
        <v>0.85086360000000005</v>
      </c>
      <c r="Q7028">
        <v>0.38841920000000002</v>
      </c>
      <c r="R7028">
        <v>0.35378169999999998</v>
      </c>
      <c r="S7028">
        <v>2.8282780000000001</v>
      </c>
      <c r="T7028">
        <v>-0.27741870000000002</v>
      </c>
      <c r="U7028">
        <v>1.9886170000000001</v>
      </c>
      <c r="V7028">
        <v>-0.29307860000000002</v>
      </c>
      <c r="W7028">
        <v>0.39845120000000001</v>
      </c>
      <c r="X7028">
        <v>0.86910390000000004</v>
      </c>
      <c r="Y7028">
        <v>-0.51097939999999997</v>
      </c>
      <c r="Z7028">
        <v>2.1049680000000001E-2</v>
      </c>
      <c r="AA7028">
        <v>0.85933519999999897</v>
      </c>
      <c r="AB7028">
        <v>31</v>
      </c>
      <c r="AC7028">
        <v>0.54909999999998105</v>
      </c>
      <c r="AD7028">
        <v>-6.905E-2</v>
      </c>
      <c r="AE7028">
        <v>0.48118000000000799</v>
      </c>
      <c r="AF7028">
        <v>-0.43513063329542301</v>
      </c>
      <c r="AG7028">
        <v>-6.905E-2</v>
      </c>
      <c r="AH7028">
        <v>0.57818419390910603</v>
      </c>
      <c r="AI7028">
        <v>95.450781250869198</v>
      </c>
      <c r="AJ7028">
        <v>126.964436216053</v>
      </c>
      <c r="AK7028">
        <v>0.72691370369418595</v>
      </c>
      <c r="AL7028">
        <v>66.518609012371002</v>
      </c>
      <c r="AM7028">
        <v>108.635098694858</v>
      </c>
      <c r="AN7028">
        <v>1.0000000067773001</v>
      </c>
    </row>
    <row r="7029" spans="1:40" x14ac:dyDescent="0.25">
      <c r="A7029" t="str">
        <f>"20190304165021178"</f>
        <v>20190304165021178</v>
      </c>
      <c r="B7029" t="str">
        <f>"1551689421172551"</f>
        <v>1551689421172551</v>
      </c>
      <c r="C7029" t="s">
        <v>40</v>
      </c>
      <c r="D7029">
        <v>4.4364739999999996</v>
      </c>
      <c r="E7029">
        <v>0.40025070000000001</v>
      </c>
      <c r="F7029" t="s">
        <v>41</v>
      </c>
      <c r="G7029">
        <v>-219.3295</v>
      </c>
      <c r="H7029">
        <v>1.035229</v>
      </c>
      <c r="I7029">
        <v>-62.360700000000001</v>
      </c>
      <c r="J7029">
        <v>-219.97319999999999</v>
      </c>
      <c r="K7029">
        <v>1.1147640000000001</v>
      </c>
      <c r="L7029">
        <v>-62.913640000000001</v>
      </c>
      <c r="M7029">
        <v>0.99694970000000005</v>
      </c>
      <c r="N7029">
        <v>-1.44624E-2</v>
      </c>
      <c r="O7029">
        <v>7.6696159999999999E-2</v>
      </c>
      <c r="P7029">
        <v>0.85003039999999996</v>
      </c>
      <c r="Q7029">
        <v>0.3879861</v>
      </c>
      <c r="R7029">
        <v>0.3562517</v>
      </c>
      <c r="S7029">
        <v>2.8230900000000001</v>
      </c>
      <c r="T7029">
        <v>-0.28003060000000002</v>
      </c>
      <c r="U7029">
        <v>1.9975590000000001</v>
      </c>
      <c r="V7029">
        <v>-0.29356929999999998</v>
      </c>
      <c r="W7029">
        <v>0.39799099999999998</v>
      </c>
      <c r="X7029">
        <v>0.86914910000000001</v>
      </c>
      <c r="Y7029">
        <v>-0.51148379999999904</v>
      </c>
      <c r="Z7029">
        <v>2.1065440000000001E-2</v>
      </c>
      <c r="AA7029">
        <v>0.85903469999999904</v>
      </c>
      <c r="AB7029">
        <v>31</v>
      </c>
      <c r="AC7029">
        <v>0.64369999999999505</v>
      </c>
      <c r="AD7029">
        <v>-7.9534999999999606E-2</v>
      </c>
      <c r="AE7029">
        <v>0.55293999999999899</v>
      </c>
      <c r="AF7029">
        <v>-0.49756552426203798</v>
      </c>
      <c r="AG7029">
        <v>-7.9534999999999606E-2</v>
      </c>
      <c r="AH7029">
        <v>0.67825808546141897</v>
      </c>
      <c r="AI7029">
        <v>95.401273244585894</v>
      </c>
      <c r="AJ7029">
        <v>126.26351913232099</v>
      </c>
      <c r="AK7029">
        <v>0.84494455300507498</v>
      </c>
      <c r="AL7029">
        <v>66.547352984561897</v>
      </c>
      <c r="AM7029">
        <v>108.663236710576</v>
      </c>
      <c r="AN7029">
        <v>0.99999996400714897</v>
      </c>
    </row>
    <row r="7030" spans="1:40" x14ac:dyDescent="0.25">
      <c r="A7030" t="str">
        <f>"20190304165021189"</f>
        <v>20190304165021189</v>
      </c>
      <c r="B7030" t="str">
        <f>"1551689421182308"</f>
        <v>1551689421182308</v>
      </c>
      <c r="C7030" t="s">
        <v>40</v>
      </c>
      <c r="D7030">
        <v>4.4458609999999998</v>
      </c>
      <c r="E7030">
        <v>0.4001497</v>
      </c>
      <c r="F7030" t="s">
        <v>41</v>
      </c>
      <c r="G7030">
        <v>-219.07730000000001</v>
      </c>
      <c r="H7030">
        <v>1.0248159999999999</v>
      </c>
      <c r="I7030">
        <v>-62.276249999999997</v>
      </c>
      <c r="J7030">
        <v>-219.81209999999999</v>
      </c>
      <c r="K7030">
        <v>1.1147940000000001</v>
      </c>
      <c r="L7030">
        <v>-62.898859999999999</v>
      </c>
      <c r="M7030">
        <v>0.99675970000000003</v>
      </c>
      <c r="N7030">
        <v>-1.446419E-2</v>
      </c>
      <c r="O7030">
        <v>7.912508E-2</v>
      </c>
      <c r="P7030">
        <v>0.84905309999999901</v>
      </c>
      <c r="Q7030">
        <v>0.38787959999999999</v>
      </c>
      <c r="R7030">
        <v>0.35868939999999999</v>
      </c>
      <c r="S7030">
        <v>2.8180689999999999</v>
      </c>
      <c r="T7030">
        <v>-0.28294829999999999</v>
      </c>
      <c r="U7030">
        <v>2.005188</v>
      </c>
      <c r="V7030">
        <v>-0.29397440000000002</v>
      </c>
      <c r="W7030">
        <v>0.3978585</v>
      </c>
      <c r="X7030">
        <v>0.86907289999999904</v>
      </c>
      <c r="Y7030">
        <v>-0.51163000000000003</v>
      </c>
      <c r="Z7030">
        <v>2.1071159999999999E-2</v>
      </c>
      <c r="AA7030">
        <v>0.85894749999999997</v>
      </c>
      <c r="AB7030">
        <v>31</v>
      </c>
      <c r="AC7030">
        <v>0.73479999999997803</v>
      </c>
      <c r="AD7030">
        <v>-8.99780000000001E-2</v>
      </c>
      <c r="AE7030">
        <v>0.622610000000001</v>
      </c>
      <c r="AF7030">
        <v>-0.55764311132840105</v>
      </c>
      <c r="AG7030">
        <v>-8.99780000000001E-2</v>
      </c>
      <c r="AH7030">
        <v>0.77500056924523797</v>
      </c>
      <c r="AI7030">
        <v>95.383664846133499</v>
      </c>
      <c r="AJ7030">
        <v>125.73648680033</v>
      </c>
      <c r="AK7030">
        <v>0.95900352576331205</v>
      </c>
      <c r="AL7030">
        <v>66.555629430044306</v>
      </c>
      <c r="AM7030">
        <v>108.688728256158</v>
      </c>
      <c r="AN7030">
        <v>1.0000000196959999</v>
      </c>
    </row>
    <row r="7031" spans="1:40" x14ac:dyDescent="0.25">
      <c r="A7031" t="str">
        <f>"20190304165021199"</f>
        <v>20190304165021199</v>
      </c>
      <c r="B7031" t="str">
        <f>"1551689421192068"</f>
        <v>1551689421192068</v>
      </c>
      <c r="C7031" t="s">
        <v>40</v>
      </c>
      <c r="D7031">
        <v>4.4269189999999998</v>
      </c>
      <c r="E7031">
        <v>0.40009250000000002</v>
      </c>
      <c r="F7031" t="s">
        <v>41</v>
      </c>
      <c r="G7031">
        <v>-219.05340000000001</v>
      </c>
      <c r="H7031">
        <v>1.0380739999999999</v>
      </c>
      <c r="I7031">
        <v>-62.355890000000002</v>
      </c>
      <c r="J7031">
        <v>-219.66909999999999</v>
      </c>
      <c r="K7031">
        <v>1.1148199999999999</v>
      </c>
      <c r="L7031">
        <v>-62.88541</v>
      </c>
      <c r="M7031">
        <v>0.99658519999999995</v>
      </c>
      <c r="N7031">
        <v>-1.446565E-2</v>
      </c>
      <c r="O7031">
        <v>8.1293550000000006E-2</v>
      </c>
      <c r="P7031">
        <v>0.84800620000000004</v>
      </c>
      <c r="Q7031">
        <v>0.38787660000000002</v>
      </c>
      <c r="R7031">
        <v>0.36116090000000001</v>
      </c>
      <c r="S7031">
        <v>2.8128660000000001</v>
      </c>
      <c r="T7031">
        <v>-0.28440559999999998</v>
      </c>
      <c r="U7031">
        <v>2.0129999999999999</v>
      </c>
      <c r="V7031">
        <v>-0.29464439999999997</v>
      </c>
      <c r="W7031">
        <v>0.39782869999999998</v>
      </c>
      <c r="X7031">
        <v>0.86885959999999995</v>
      </c>
      <c r="Y7031">
        <v>-0.51207780000000003</v>
      </c>
      <c r="Z7031">
        <v>2.1027899999999999E-2</v>
      </c>
      <c r="AA7031">
        <v>0.85868159999999905</v>
      </c>
      <c r="AB7031">
        <v>31</v>
      </c>
      <c r="AC7031">
        <v>0.61569999999997505</v>
      </c>
      <c r="AD7031">
        <v>-7.6746000000000203E-2</v>
      </c>
      <c r="AE7031">
        <v>0.52951999999999799</v>
      </c>
      <c r="AF7031">
        <v>-0.473480587074185</v>
      </c>
      <c r="AG7031">
        <v>-7.6746000000000203E-2</v>
      </c>
      <c r="AH7031">
        <v>0.65089946377386398</v>
      </c>
      <c r="AI7031">
        <v>95.446642207745697</v>
      </c>
      <c r="AJ7031">
        <v>126.03308189134199</v>
      </c>
      <c r="AK7031">
        <v>0.80854432580608604</v>
      </c>
      <c r="AL7031">
        <v>66.557489996146401</v>
      </c>
      <c r="AM7031">
        <v>108.732632190047</v>
      </c>
      <c r="AN7031">
        <v>1.0000000007536001</v>
      </c>
    </row>
    <row r="7032" spans="1:40" x14ac:dyDescent="0.25">
      <c r="A7032" t="str">
        <f>"20190304165021209"</f>
        <v>20190304165021209</v>
      </c>
      <c r="B7032" t="str">
        <f>"1551689421202804"</f>
        <v>1551689421202804</v>
      </c>
      <c r="C7032" t="s">
        <v>40</v>
      </c>
      <c r="D7032">
        <v>4.4399480000000002</v>
      </c>
      <c r="E7032">
        <v>0.40005449999999998</v>
      </c>
      <c r="F7032" t="s">
        <v>41</v>
      </c>
      <c r="G7032">
        <v>-218.80410000000001</v>
      </c>
      <c r="H7032">
        <v>1.026794</v>
      </c>
      <c r="I7032">
        <v>-62.2630699999999</v>
      </c>
      <c r="J7032">
        <v>-219.52760000000001</v>
      </c>
      <c r="K7032">
        <v>1.114841</v>
      </c>
      <c r="L7032">
        <v>-62.871769999999998</v>
      </c>
      <c r="M7032">
        <v>0.99640680000000004</v>
      </c>
      <c r="N7032">
        <v>-1.4467000000000001E-2</v>
      </c>
      <c r="O7032">
        <v>8.345197E-2</v>
      </c>
      <c r="P7032">
        <v>0.84700689999999901</v>
      </c>
      <c r="Q7032">
        <v>0.38790730000000001</v>
      </c>
      <c r="R7032">
        <v>0.36346580000000001</v>
      </c>
      <c r="S7032">
        <v>2.8078609999999999</v>
      </c>
      <c r="T7032">
        <v>-0.28573949999999998</v>
      </c>
      <c r="U7032">
        <v>2.0204770000000001</v>
      </c>
      <c r="V7032">
        <v>-0.29515229999999998</v>
      </c>
      <c r="W7032">
        <v>0.397837</v>
      </c>
      <c r="X7032">
        <v>0.86868339999999999</v>
      </c>
      <c r="Y7032">
        <v>-0.51243899999999998</v>
      </c>
      <c r="Z7032">
        <v>2.0971549999999999E-2</v>
      </c>
      <c r="AA7032">
        <v>0.85846749999999905</v>
      </c>
      <c r="AB7032">
        <v>31</v>
      </c>
      <c r="AC7032">
        <v>0.72350000000000103</v>
      </c>
      <c r="AD7032">
        <v>-8.8046999999999903E-2</v>
      </c>
      <c r="AE7032">
        <v>0.60870000000000601</v>
      </c>
      <c r="AF7032">
        <v>-0.54149674028523598</v>
      </c>
      <c r="AG7032">
        <v>-8.8046999999999903E-2</v>
      </c>
      <c r="AH7032">
        <v>0.76514315166900004</v>
      </c>
      <c r="AI7032">
        <v>95.366037570425505</v>
      </c>
      <c r="AJ7032">
        <v>125.287288703795</v>
      </c>
      <c r="AK7032">
        <v>0.94149616913427103</v>
      </c>
      <c r="AL7032">
        <v>66.556971739466803</v>
      </c>
      <c r="AM7032">
        <v>108.766204586585</v>
      </c>
      <c r="AN7032">
        <v>1.00000000409992</v>
      </c>
    </row>
    <row r="7033" spans="1:40" x14ac:dyDescent="0.25">
      <c r="A7033" t="str">
        <f>"20190304165021221"</f>
        <v>20190304165021221</v>
      </c>
      <c r="B7033" t="str">
        <f>"1551689421212564"</f>
        <v>1551689421212564</v>
      </c>
      <c r="C7033" t="s">
        <v>40</v>
      </c>
      <c r="D7033">
        <v>4.4544990000000002</v>
      </c>
      <c r="E7033">
        <v>0.40001769999999998</v>
      </c>
      <c r="F7033" t="s">
        <v>41</v>
      </c>
      <c r="G7033">
        <v>-218.78270000000001</v>
      </c>
      <c r="H7033">
        <v>1.0386500000000001</v>
      </c>
      <c r="I7033">
        <v>-62.333109999999998</v>
      </c>
      <c r="J7033">
        <v>-219.3766</v>
      </c>
      <c r="K7033">
        <v>1.114862</v>
      </c>
      <c r="L7033">
        <v>-62.856810000000003</v>
      </c>
      <c r="M7033">
        <v>0.99621009999999999</v>
      </c>
      <c r="N7033">
        <v>-1.4468180000000001E-2</v>
      </c>
      <c r="O7033">
        <v>8.5767319999999994E-2</v>
      </c>
      <c r="P7033">
        <v>0.84585239999999995</v>
      </c>
      <c r="Q7033">
        <v>0.38801720000000001</v>
      </c>
      <c r="R7033">
        <v>0.36602780000000001</v>
      </c>
      <c r="S7033">
        <v>2.8031920000000001</v>
      </c>
      <c r="T7033">
        <v>-0.28672029999999998</v>
      </c>
      <c r="U7033">
        <v>2.0274350000000001</v>
      </c>
      <c r="V7033">
        <v>-0.29579250000000001</v>
      </c>
      <c r="W7033">
        <v>0.39792359999999999</v>
      </c>
      <c r="X7033">
        <v>0.86842589999999997</v>
      </c>
      <c r="Y7033">
        <v>-0.51251689999999905</v>
      </c>
      <c r="Z7033">
        <v>2.0865979999999999E-2</v>
      </c>
      <c r="AA7033">
        <v>0.85842359999999895</v>
      </c>
      <c r="AB7033">
        <v>31</v>
      </c>
      <c r="AC7033">
        <v>0.59389999999998999</v>
      </c>
      <c r="AD7033">
        <v>-7.6211999999999905E-2</v>
      </c>
      <c r="AE7033">
        <v>0.52369999999999794</v>
      </c>
      <c r="AF7033">
        <v>-0.46650565595613602</v>
      </c>
      <c r="AG7033">
        <v>-7.6211999999999905E-2</v>
      </c>
      <c r="AH7033">
        <v>0.63078862203804298</v>
      </c>
      <c r="AI7033">
        <v>95.548349009791806</v>
      </c>
      <c r="AJ7033">
        <v>126.48512570435901</v>
      </c>
      <c r="AK7033">
        <v>0.78824493761502701</v>
      </c>
      <c r="AL7033">
        <v>66.551562529137499</v>
      </c>
      <c r="AM7033">
        <v>108.809235267001</v>
      </c>
      <c r="AN7033">
        <v>0.99999996914200895</v>
      </c>
    </row>
    <row r="7034" spans="1:40" x14ac:dyDescent="0.25">
      <c r="A7034" t="str">
        <f>"20190304165021233"</f>
        <v>20190304165021233</v>
      </c>
      <c r="B7034" t="str">
        <f>"1551689421222324"</f>
        <v>1551689421222324</v>
      </c>
      <c r="C7034" t="s">
        <v>40</v>
      </c>
      <c r="D7034">
        <v>4.423807</v>
      </c>
      <c r="E7034">
        <v>0.39981919999999999</v>
      </c>
      <c r="F7034" t="s">
        <v>41</v>
      </c>
      <c r="G7034">
        <v>-218.53299999999999</v>
      </c>
      <c r="H7034">
        <v>1.028268</v>
      </c>
      <c r="I7034">
        <v>-62.242789999999999</v>
      </c>
      <c r="J7034">
        <v>-219.21780000000001</v>
      </c>
      <c r="K7034">
        <v>1.1148819999999999</v>
      </c>
      <c r="L7034">
        <v>-62.840850000000003</v>
      </c>
      <c r="M7034">
        <v>0.99599689999999996</v>
      </c>
      <c r="N7034">
        <v>-1.44692E-2</v>
      </c>
      <c r="O7034">
        <v>8.8208780000000001E-2</v>
      </c>
      <c r="P7034">
        <v>0.84465730000000006</v>
      </c>
      <c r="Q7034">
        <v>0.38797710000000002</v>
      </c>
      <c r="R7034">
        <v>0.36881960000000003</v>
      </c>
      <c r="S7034">
        <v>2.7973180000000002</v>
      </c>
      <c r="T7034">
        <v>-0.28716150000000001</v>
      </c>
      <c r="U7034">
        <v>2.0361940000000001</v>
      </c>
      <c r="V7034">
        <v>-0.29655379999999998</v>
      </c>
      <c r="W7034">
        <v>0.39785979999999999</v>
      </c>
      <c r="X7034">
        <v>0.86819550000000001</v>
      </c>
      <c r="Y7034">
        <v>-0.51302700000000001</v>
      </c>
      <c r="Z7034">
        <v>2.0746790000000001E-2</v>
      </c>
      <c r="AA7034">
        <v>0.85812180000000005</v>
      </c>
      <c r="AB7034">
        <v>31</v>
      </c>
      <c r="AC7034">
        <v>0.68480000000002395</v>
      </c>
      <c r="AD7034">
        <v>-8.6613999999999899E-2</v>
      </c>
      <c r="AE7034">
        <v>0.59806000000000303</v>
      </c>
      <c r="AF7034">
        <v>-0.53050205173433196</v>
      </c>
      <c r="AG7034">
        <v>-8.6613999999999899E-2</v>
      </c>
      <c r="AH7034">
        <v>0.72828031270980698</v>
      </c>
      <c r="AI7034">
        <v>95.490946141527004</v>
      </c>
      <c r="AJ7034">
        <v>126.070760105757</v>
      </c>
      <c r="AK7034">
        <v>0.90516662873253895</v>
      </c>
      <c r="AL7034">
        <v>66.555547790804098</v>
      </c>
      <c r="AM7034">
        <v>108.85887972678699</v>
      </c>
      <c r="AN7034">
        <v>1.0000000014853601</v>
      </c>
    </row>
    <row r="7035" spans="1:40" x14ac:dyDescent="0.25">
      <c r="A7035" t="str">
        <f>"20190304165021245"</f>
        <v>20190304165021245</v>
      </c>
      <c r="B7035" t="str">
        <f>"1551689421232084"</f>
        <v>1551689421232084</v>
      </c>
      <c r="C7035" t="s">
        <v>40</v>
      </c>
      <c r="D7035">
        <v>4.4174030000000002</v>
      </c>
      <c r="E7035">
        <v>0.39964149999999998</v>
      </c>
      <c r="F7035" t="s">
        <v>41</v>
      </c>
      <c r="G7035">
        <v>-218.5087</v>
      </c>
      <c r="H7035">
        <v>1.041642</v>
      </c>
      <c r="I7035">
        <v>-62.320999999999998</v>
      </c>
      <c r="J7035">
        <v>-219.0625</v>
      </c>
      <c r="K7035">
        <v>1.1148929999999999</v>
      </c>
      <c r="L7035">
        <v>-62.824620000000003</v>
      </c>
      <c r="M7035">
        <v>0.99578140000000004</v>
      </c>
      <c r="N7035">
        <v>-1.4469910000000001E-2</v>
      </c>
      <c r="O7035">
        <v>9.060936E-2</v>
      </c>
      <c r="P7035">
        <v>0.84355469999999899</v>
      </c>
      <c r="Q7035">
        <v>0.38782139999999998</v>
      </c>
      <c r="R7035">
        <v>0.37149690000000002</v>
      </c>
      <c r="S7035">
        <v>2.7907099999999998</v>
      </c>
      <c r="T7035">
        <v>-0.2882671</v>
      </c>
      <c r="U7035">
        <v>2.0461119999999999</v>
      </c>
      <c r="V7035">
        <v>-0.29722470000000001</v>
      </c>
      <c r="W7035">
        <v>0.39768700000000001</v>
      </c>
      <c r="X7035">
        <v>0.86804519999999996</v>
      </c>
      <c r="Y7035">
        <v>-0.51390079999999905</v>
      </c>
      <c r="Z7035">
        <v>2.0686739999999999E-2</v>
      </c>
      <c r="AA7035">
        <v>0.85760020000000003</v>
      </c>
      <c r="AB7035">
        <v>31</v>
      </c>
      <c r="AC7035">
        <v>0.55379999999999496</v>
      </c>
      <c r="AD7035">
        <v>-7.3251000000000094E-2</v>
      </c>
      <c r="AE7035">
        <v>0.50361999999998996</v>
      </c>
      <c r="AF7035">
        <v>-0.44708194676204899</v>
      </c>
      <c r="AG7035">
        <v>-7.3251000000000094E-2</v>
      </c>
      <c r="AH7035">
        <v>0.59149476825035496</v>
      </c>
      <c r="AI7035">
        <v>95.642183726750304</v>
      </c>
      <c r="AJ7035">
        <v>127.083849979802</v>
      </c>
      <c r="AK7035">
        <v>0.74505975397218005</v>
      </c>
      <c r="AL7035">
        <v>66.566338184716898</v>
      </c>
      <c r="AM7035">
        <v>108.901559713759</v>
      </c>
      <c r="AN7035">
        <v>0.99999997075106395</v>
      </c>
    </row>
    <row r="7036" spans="1:40" x14ac:dyDescent="0.25">
      <c r="A7036" t="str">
        <f>"20190304165021256"</f>
        <v>20190304165021256</v>
      </c>
      <c r="B7036" t="str">
        <f>"1551689421252581"</f>
        <v>1551689421252581</v>
      </c>
      <c r="C7036" t="s">
        <v>40</v>
      </c>
      <c r="D7036">
        <v>4.4169689999999999</v>
      </c>
      <c r="E7036">
        <v>0.39941710000000002</v>
      </c>
      <c r="F7036" t="s">
        <v>41</v>
      </c>
      <c r="G7036">
        <v>-218.25909999999999</v>
      </c>
      <c r="H7036">
        <v>1.031293</v>
      </c>
      <c r="I7036">
        <v>-62.231769999999997</v>
      </c>
      <c r="J7036">
        <v>-218.9153</v>
      </c>
      <c r="K7036">
        <v>1.1149039999999999</v>
      </c>
      <c r="L7036">
        <v>-62.809139999999999</v>
      </c>
      <c r="M7036">
        <v>0.99557180000000001</v>
      </c>
      <c r="N7036">
        <v>-1.4470469999999999E-2</v>
      </c>
      <c r="O7036">
        <v>9.288507E-2</v>
      </c>
      <c r="P7036">
        <v>0.84225339999999904</v>
      </c>
      <c r="Q7036">
        <v>0.38769160000000003</v>
      </c>
      <c r="R7036">
        <v>0.37457249999999997</v>
      </c>
      <c r="S7036">
        <v>2.784348</v>
      </c>
      <c r="T7036">
        <v>-0.289757599999999</v>
      </c>
      <c r="U7036">
        <v>2.0555729999999999</v>
      </c>
      <c r="V7036">
        <v>-0.29842000000000002</v>
      </c>
      <c r="W7036">
        <v>0.39753300000000003</v>
      </c>
      <c r="X7036">
        <v>0.86770559999999997</v>
      </c>
      <c r="Y7036">
        <v>-0.51474849999999905</v>
      </c>
      <c r="Z7036">
        <v>2.0653100000000001E-2</v>
      </c>
      <c r="AA7036">
        <v>0.85709239999999998</v>
      </c>
      <c r="AB7036">
        <v>31</v>
      </c>
      <c r="AC7036">
        <v>0.656200000000012</v>
      </c>
      <c r="AD7036">
        <v>-8.3611000000000102E-2</v>
      </c>
      <c r="AE7036">
        <v>0.57737000000000105</v>
      </c>
      <c r="AF7036">
        <v>-0.50925575383729005</v>
      </c>
      <c r="AG7036">
        <v>-8.3611000000000102E-2</v>
      </c>
      <c r="AH7036">
        <v>0.70058627927028705</v>
      </c>
      <c r="AI7036">
        <v>95.513973888666399</v>
      </c>
      <c r="AJ7036">
        <v>126.01338105056701</v>
      </c>
      <c r="AK7036">
        <v>0.87014559519609802</v>
      </c>
      <c r="AL7036">
        <v>66.575955173331806</v>
      </c>
      <c r="AM7036">
        <v>108.97904096424401</v>
      </c>
      <c r="AN7036">
        <v>0.99999999538018003</v>
      </c>
    </row>
    <row r="7037" spans="1:40" x14ac:dyDescent="0.25">
      <c r="A7037" t="str">
        <f>"20190304165021267"</f>
        <v>20190304165021267</v>
      </c>
      <c r="B7037" t="str">
        <f>"1551689421262340"</f>
        <v>1551689421262340</v>
      </c>
      <c r="C7037" t="s">
        <v>40</v>
      </c>
      <c r="D7037">
        <v>4.4046159999999999</v>
      </c>
      <c r="E7037">
        <v>0.39924500000000002</v>
      </c>
      <c r="F7037" t="s">
        <v>41</v>
      </c>
      <c r="G7037">
        <v>-218.0119</v>
      </c>
      <c r="H7037">
        <v>1.01999</v>
      </c>
      <c r="I7037">
        <v>-62.136769999999999</v>
      </c>
      <c r="J7037">
        <v>-218.75909999999999</v>
      </c>
      <c r="K7037">
        <v>1.114914</v>
      </c>
      <c r="L7037">
        <v>-62.792020000000001</v>
      </c>
      <c r="M7037">
        <v>0.99534239999999996</v>
      </c>
      <c r="N7037">
        <v>-1.447066E-2</v>
      </c>
      <c r="O7037">
        <v>9.5311119999999999E-2</v>
      </c>
      <c r="P7037">
        <v>0.84101919999999897</v>
      </c>
      <c r="Q7037">
        <v>0.3874879</v>
      </c>
      <c r="R7037">
        <v>0.37754470000000001</v>
      </c>
      <c r="S7037">
        <v>2.7770540000000001</v>
      </c>
      <c r="T7037">
        <v>-0.29175289999999998</v>
      </c>
      <c r="U7037">
        <v>2.0667420000000001</v>
      </c>
      <c r="V7037">
        <v>-0.29937160000000002</v>
      </c>
      <c r="W7037">
        <v>0.397312</v>
      </c>
      <c r="X7037">
        <v>0.867479</v>
      </c>
      <c r="Y7037">
        <v>-0.51593500000000003</v>
      </c>
      <c r="Z7037">
        <v>2.0652719999999999E-2</v>
      </c>
      <c r="AA7037">
        <v>0.85637870000000005</v>
      </c>
      <c r="AB7037">
        <v>31</v>
      </c>
      <c r="AC7037">
        <v>0.74719999999999198</v>
      </c>
      <c r="AD7037">
        <v>-9.4923999999999994E-2</v>
      </c>
      <c r="AE7037">
        <v>0.655249999999995</v>
      </c>
      <c r="AF7037">
        <v>-0.57578943856548004</v>
      </c>
      <c r="AG7037">
        <v>-9.4923999999999994E-2</v>
      </c>
      <c r="AH7037">
        <v>0.79896773487360295</v>
      </c>
      <c r="AI7037">
        <v>95.505534309381503</v>
      </c>
      <c r="AJ7037">
        <v>125.779036657904</v>
      </c>
      <c r="AK7037">
        <v>0.98939046119750296</v>
      </c>
      <c r="AL7037">
        <v>66.589754138101796</v>
      </c>
      <c r="AM7037">
        <v>109.039825667922</v>
      </c>
      <c r="AN7037">
        <v>0.99999999783577997</v>
      </c>
    </row>
    <row r="7038" spans="1:40" x14ac:dyDescent="0.25">
      <c r="A7038" t="str">
        <f>"20190304165021278"</f>
        <v>20190304165021278</v>
      </c>
      <c r="B7038" t="str">
        <f>"1551689421272100"</f>
        <v>1551689421272100</v>
      </c>
      <c r="C7038" t="s">
        <v>40</v>
      </c>
      <c r="D7038">
        <v>4.4580010000000003</v>
      </c>
      <c r="E7038">
        <v>0.39923170000000002</v>
      </c>
      <c r="F7038" t="s">
        <v>41</v>
      </c>
      <c r="G7038">
        <v>-217.98740000000001</v>
      </c>
      <c r="H7038">
        <v>1.033196</v>
      </c>
      <c r="I7038">
        <v>-62.2134</v>
      </c>
      <c r="J7038">
        <v>-218.60130000000001</v>
      </c>
      <c r="K7038">
        <v>1.1149260000000001</v>
      </c>
      <c r="L7038">
        <v>-62.774569999999997</v>
      </c>
      <c r="M7038">
        <v>0.99510469999999895</v>
      </c>
      <c r="N7038">
        <v>-1.4470719999999999E-2</v>
      </c>
      <c r="O7038">
        <v>9.7762009999999996E-2</v>
      </c>
      <c r="P7038">
        <v>0.83961629999999998</v>
      </c>
      <c r="Q7038">
        <v>0.3877987</v>
      </c>
      <c r="R7038">
        <v>0.3803378</v>
      </c>
      <c r="S7038">
        <v>2.7698670000000001</v>
      </c>
      <c r="T7038">
        <v>-0.29333199999999998</v>
      </c>
      <c r="U7038">
        <v>2.076965</v>
      </c>
      <c r="V7038">
        <v>-0.30014649999999998</v>
      </c>
      <c r="W7038">
        <v>0.39760519999999999</v>
      </c>
      <c r="X7038">
        <v>0.86707679999999998</v>
      </c>
      <c r="Y7038">
        <v>-0.51689979999999902</v>
      </c>
      <c r="Z7038">
        <v>2.061497E-2</v>
      </c>
      <c r="AA7038">
        <v>0.855797699999999</v>
      </c>
      <c r="AB7038">
        <v>31</v>
      </c>
      <c r="AC7038">
        <v>0.613900000000001</v>
      </c>
      <c r="AD7038">
        <v>-8.1729999999999997E-2</v>
      </c>
      <c r="AE7038">
        <v>0.56116999999999695</v>
      </c>
      <c r="AF7038">
        <v>-0.49369192434336301</v>
      </c>
      <c r="AG7038">
        <v>-8.1729999999999997E-2</v>
      </c>
      <c r="AH7038">
        <v>0.65945789351040796</v>
      </c>
      <c r="AI7038">
        <v>95.665953829945806</v>
      </c>
      <c r="AJ7038">
        <v>126.819736876071</v>
      </c>
      <c r="AK7038">
        <v>0.82782620300099097</v>
      </c>
      <c r="AL7038">
        <v>66.571446838753204</v>
      </c>
      <c r="AM7038">
        <v>109.093759354754</v>
      </c>
      <c r="AN7038">
        <v>0.99999999681376495</v>
      </c>
    </row>
    <row r="7039" spans="1:40" x14ac:dyDescent="0.25">
      <c r="A7039" t="str">
        <f>"20190304165021289"</f>
        <v>20190304165021289</v>
      </c>
      <c r="B7039" t="str">
        <f>"1551689421282835"</f>
        <v>1551689421282835</v>
      </c>
      <c r="C7039" t="s">
        <v>40</v>
      </c>
      <c r="D7039">
        <v>4.5700349999999998</v>
      </c>
      <c r="E7039">
        <v>0.39923170000000002</v>
      </c>
      <c r="F7039" t="s">
        <v>41</v>
      </c>
      <c r="G7039">
        <v>-217.7388</v>
      </c>
      <c r="H7039">
        <v>1.0234529999999999</v>
      </c>
      <c r="I7039">
        <v>-62.123699999999999</v>
      </c>
      <c r="J7039">
        <v>-218.45670000000001</v>
      </c>
      <c r="K7039">
        <v>1.1149290000000001</v>
      </c>
      <c r="L7039">
        <v>-62.758150000000001</v>
      </c>
      <c r="M7039">
        <v>0.99488120000000002</v>
      </c>
      <c r="N7039">
        <v>-1.447059E-2</v>
      </c>
      <c r="O7039">
        <v>0.1000099</v>
      </c>
      <c r="P7039">
        <v>0.838468199999999</v>
      </c>
      <c r="Q7039">
        <v>0.38757340000000001</v>
      </c>
      <c r="R7039">
        <v>0.38309009999999999</v>
      </c>
      <c r="S7039">
        <v>2.7634120000000002</v>
      </c>
      <c r="T7039">
        <v>-0.29312250000000001</v>
      </c>
      <c r="U7039">
        <v>2.0862430000000001</v>
      </c>
      <c r="V7039">
        <v>-0.30102780000000001</v>
      </c>
      <c r="W7039">
        <v>0.39736670000000002</v>
      </c>
      <c r="X7039">
        <v>0.8668806</v>
      </c>
      <c r="Y7039">
        <v>-0.51776230000000001</v>
      </c>
      <c r="Z7039">
        <v>2.0492059999999999E-2</v>
      </c>
      <c r="AA7039">
        <v>0.85527909999999996</v>
      </c>
      <c r="AB7039">
        <v>31</v>
      </c>
      <c r="AC7039">
        <v>0.71790000000001397</v>
      </c>
      <c r="AD7039">
        <v>-9.1475999999999794E-2</v>
      </c>
      <c r="AE7039">
        <v>0.63445000000000096</v>
      </c>
      <c r="AF7039">
        <v>-0.55440972427201995</v>
      </c>
      <c r="AG7039">
        <v>-9.1475999999999794E-2</v>
      </c>
      <c r="AH7039">
        <v>0.77073176448229297</v>
      </c>
      <c r="AI7039">
        <v>95.503425535972696</v>
      </c>
      <c r="AJ7039">
        <v>125.728560201872</v>
      </c>
      <c r="AK7039">
        <v>0.95381625784286495</v>
      </c>
      <c r="AL7039">
        <v>66.586339006753704</v>
      </c>
      <c r="AM7039">
        <v>109.149764881564</v>
      </c>
      <c r="AN7039">
        <v>1.0000000026490401</v>
      </c>
    </row>
    <row r="7040" spans="1:40" x14ac:dyDescent="0.25">
      <c r="A7040" t="str">
        <f>"20190304165021301"</f>
        <v>20190304165021301</v>
      </c>
      <c r="B7040" t="str">
        <f>"1551689421292596"</f>
        <v>1551689421292596</v>
      </c>
      <c r="C7040" t="s">
        <v>40</v>
      </c>
      <c r="D7040">
        <v>4.8124599999999997</v>
      </c>
      <c r="E7040">
        <v>0.44343969999999999</v>
      </c>
      <c r="F7040" t="s">
        <v>41</v>
      </c>
      <c r="G7040">
        <v>-217.71559999999999</v>
      </c>
      <c r="H7040">
        <v>1.035852</v>
      </c>
      <c r="I7040">
        <v>-62.195239999999998</v>
      </c>
      <c r="J7040">
        <v>-218.303</v>
      </c>
      <c r="K7040">
        <v>1.1149340000000001</v>
      </c>
      <c r="L7040">
        <v>-62.740299999999998</v>
      </c>
      <c r="M7040">
        <v>0.99463800000000002</v>
      </c>
      <c r="N7040">
        <v>-1.447035E-2</v>
      </c>
      <c r="O7040">
        <v>0.1024003</v>
      </c>
      <c r="P7040">
        <v>0.83746379999999998</v>
      </c>
      <c r="Q7040">
        <v>0.3872179</v>
      </c>
      <c r="R7040">
        <v>0.38563799999999998</v>
      </c>
      <c r="S7040">
        <v>2.7567900000000001</v>
      </c>
      <c r="T7040">
        <v>-0.29419659999999997</v>
      </c>
      <c r="U7040">
        <v>2.09491</v>
      </c>
      <c r="V7040">
        <v>-0.30156630000000001</v>
      </c>
      <c r="W7040">
        <v>0.39700390000000002</v>
      </c>
      <c r="X7040">
        <v>0.86685970000000001</v>
      </c>
      <c r="Y7040">
        <v>-0.51839230000000003</v>
      </c>
      <c r="Z7040">
        <v>2.04113E-2</v>
      </c>
      <c r="AA7040">
        <v>0.85489930000000003</v>
      </c>
      <c r="AB7040">
        <v>31</v>
      </c>
      <c r="AC7040">
        <v>0.58740000000000203</v>
      </c>
      <c r="AD7040">
        <v>-7.9082000000000097E-2</v>
      </c>
      <c r="AE7040">
        <v>0.545059999999992</v>
      </c>
      <c r="AF7040">
        <v>-0.47738844627673999</v>
      </c>
      <c r="AG7040">
        <v>-7.9082000000000097E-2</v>
      </c>
      <c r="AH7040">
        <v>0.63395732899264501</v>
      </c>
      <c r="AI7040">
        <v>95.690717341667806</v>
      </c>
      <c r="AJ7040">
        <v>126.98081867782599</v>
      </c>
      <c r="AK7040">
        <v>0.79753093127853603</v>
      </c>
      <c r="AL7040">
        <v>66.608989946349993</v>
      </c>
      <c r="AM7040">
        <v>109.18194916921701</v>
      </c>
      <c r="AN7040">
        <v>1.00000003469749</v>
      </c>
    </row>
    <row r="7041" spans="1:40" x14ac:dyDescent="0.25">
      <c r="A7041" t="str">
        <f>"20190304165021310"</f>
        <v>20190304165021310</v>
      </c>
      <c r="B7041" t="str">
        <f>"1551689421302356"</f>
        <v>1551689421302356</v>
      </c>
      <c r="C7041" t="s">
        <v>40</v>
      </c>
      <c r="D7041">
        <v>4.5263920000000004</v>
      </c>
      <c r="E7041">
        <v>0.46067399999999997</v>
      </c>
      <c r="F7041" t="s">
        <v>41</v>
      </c>
      <c r="G7041">
        <v>-217.43440000000001</v>
      </c>
      <c r="H7041">
        <v>1.0155559999999999</v>
      </c>
      <c r="I7041">
        <v>-62.206740000000003</v>
      </c>
      <c r="J7041">
        <v>-218.16980000000001</v>
      </c>
      <c r="K7041">
        <v>1.114935</v>
      </c>
      <c r="L7041">
        <v>-62.724609999999998</v>
      </c>
      <c r="M7041">
        <v>0.99442229999999998</v>
      </c>
      <c r="N7041">
        <v>-1.447007E-2</v>
      </c>
      <c r="O7041">
        <v>0.1044744</v>
      </c>
      <c r="P7041">
        <v>0.83641189999999999</v>
      </c>
      <c r="Q7041">
        <v>0.3872447</v>
      </c>
      <c r="R7041">
        <v>0.3878876</v>
      </c>
      <c r="S7041">
        <v>2.9125369999999999</v>
      </c>
      <c r="T7041">
        <v>-0.33322619999999997</v>
      </c>
      <c r="U7041">
        <v>1.7889710000000001</v>
      </c>
      <c r="V7041">
        <v>-0.30209399999999997</v>
      </c>
      <c r="W7041">
        <v>0.39702229999999999</v>
      </c>
      <c r="X7041">
        <v>0.86666749999999904</v>
      </c>
      <c r="Y7041">
        <v>-0.42952240000000003</v>
      </c>
      <c r="Z7041">
        <v>1.6442099999999901E-2</v>
      </c>
      <c r="AA7041">
        <v>0.90290649999999995</v>
      </c>
      <c r="AB7041">
        <v>30</v>
      </c>
      <c r="AC7041">
        <v>0.73539999999999806</v>
      </c>
      <c r="AD7041">
        <v>-9.9379000000000106E-2</v>
      </c>
      <c r="AE7041">
        <v>0.51786999999999495</v>
      </c>
      <c r="AF7041">
        <v>-0.43291195532110599</v>
      </c>
      <c r="AG7041">
        <v>-9.9379000000000106E-2</v>
      </c>
      <c r="AH7041">
        <v>0.77601112542626305</v>
      </c>
      <c r="AI7041">
        <v>96.381328265377405</v>
      </c>
      <c r="AJ7041">
        <v>119.15575976595299</v>
      </c>
      <c r="AK7041">
        <v>0.89413769268847998</v>
      </c>
      <c r="AL7041">
        <v>66.607841023786193</v>
      </c>
      <c r="AM7041">
        <v>109.217005070497</v>
      </c>
      <c r="AN7041">
        <v>1.0000000235447599</v>
      </c>
    </row>
    <row r="7042" spans="1:40" x14ac:dyDescent="0.25">
      <c r="A7042" t="str">
        <f>"20190304165021322"</f>
        <v>20190304165021322</v>
      </c>
      <c r="B7042" t="str">
        <f>"1551689421312116"</f>
        <v>1551689421312116</v>
      </c>
      <c r="C7042" t="s">
        <v>40</v>
      </c>
      <c r="D7042">
        <v>4.5357129999999897</v>
      </c>
      <c r="E7042">
        <v>0.4716031</v>
      </c>
      <c r="F7042" t="s">
        <v>49</v>
      </c>
      <c r="G7042">
        <v>-208.9879</v>
      </c>
      <c r="H7042" s="1">
        <v>-1.3685220000000001E-6</v>
      </c>
      <c r="I7042">
        <v>-57.551189999999998</v>
      </c>
      <c r="J7042">
        <v>-218.01589999999999</v>
      </c>
      <c r="K7042">
        <v>1.114935</v>
      </c>
      <c r="L7042">
        <v>-62.706020000000002</v>
      </c>
      <c r="M7042">
        <v>0.99416780000000005</v>
      </c>
      <c r="N7042">
        <v>-1.4469650000000001E-2</v>
      </c>
      <c r="O7042">
        <v>0.1068696</v>
      </c>
      <c r="P7042">
        <v>0.83534059999999899</v>
      </c>
      <c r="Q7042">
        <v>0.38713599999999998</v>
      </c>
      <c r="R7042">
        <v>0.39029740000000002</v>
      </c>
      <c r="S7042">
        <v>2.9763489999999999</v>
      </c>
      <c r="T7042">
        <v>-0.36141479999999998</v>
      </c>
      <c r="U7042">
        <v>1.6770020000000001</v>
      </c>
      <c r="V7042">
        <v>-0.30250149999999998</v>
      </c>
      <c r="W7042">
        <v>0.3969085</v>
      </c>
      <c r="X7042">
        <v>0.8665775</v>
      </c>
      <c r="Y7042">
        <v>-0.392924</v>
      </c>
      <c r="Z7042">
        <v>1.46984E-2</v>
      </c>
      <c r="AA7042">
        <v>0.91945350000000003</v>
      </c>
      <c r="AB7042">
        <v>30</v>
      </c>
      <c r="AC7042">
        <v>9.0279999999999898</v>
      </c>
      <c r="AD7042">
        <v>-1.114936368522</v>
      </c>
      <c r="AE7042">
        <v>5.1548299999999898</v>
      </c>
      <c r="AF7042">
        <v>-4.1130747492632</v>
      </c>
      <c r="AG7042">
        <v>-1.114936368522</v>
      </c>
      <c r="AH7042">
        <v>9.4189039126968694</v>
      </c>
      <c r="AI7042">
        <v>96.191240484333406</v>
      </c>
      <c r="AJ7042">
        <v>113.590073302467</v>
      </c>
      <c r="AK7042">
        <v>10.338095468484299</v>
      </c>
      <c r="AL7042">
        <v>66.614945378542004</v>
      </c>
      <c r="AM7042">
        <v>109.24287435388599</v>
      </c>
      <c r="AN7042">
        <v>1.0000000391903701</v>
      </c>
    </row>
    <row r="7043" spans="1:40" x14ac:dyDescent="0.25">
      <c r="A7043" t="str">
        <f>"20190304165021333"</f>
        <v>20190304165021333</v>
      </c>
      <c r="B7043" t="str">
        <f>"1551689421322852"</f>
        <v>1551689421322852</v>
      </c>
      <c r="C7043" t="s">
        <v>40</v>
      </c>
      <c r="D7043">
        <v>4.5361459999999996</v>
      </c>
      <c r="E7043">
        <v>0.47830309999999998</v>
      </c>
      <c r="F7043" t="s">
        <v>49</v>
      </c>
      <c r="G7043">
        <v>-209.28360000000001</v>
      </c>
      <c r="H7043" s="1">
        <v>-1.0490860000000001E-6</v>
      </c>
      <c r="I7043">
        <v>-58.045349999999999</v>
      </c>
      <c r="J7043">
        <v>-217.86240000000001</v>
      </c>
      <c r="K7043">
        <v>1.1149309999999999</v>
      </c>
      <c r="L7043">
        <v>-62.687260000000002</v>
      </c>
      <c r="M7043">
        <v>0.99390820000000002</v>
      </c>
      <c r="N7043">
        <v>-1.446918E-2</v>
      </c>
      <c r="O7043">
        <v>0.10925790000000001</v>
      </c>
      <c r="P7043">
        <v>0.83402379999999998</v>
      </c>
      <c r="Q7043">
        <v>0.3873665</v>
      </c>
      <c r="R7043">
        <v>0.39287620000000001</v>
      </c>
      <c r="S7043">
        <v>3.0174409999999998</v>
      </c>
      <c r="T7043">
        <v>-0.38526880000000002</v>
      </c>
      <c r="U7043">
        <v>1.6105039999999999</v>
      </c>
      <c r="V7043">
        <v>-0.30311379999999999</v>
      </c>
      <c r="W7043">
        <v>0.39712829999999999</v>
      </c>
      <c r="X7043">
        <v>0.8662628</v>
      </c>
      <c r="Y7043">
        <v>-0.36954979999999998</v>
      </c>
      <c r="Z7043">
        <v>1.345767E-2</v>
      </c>
      <c r="AA7043">
        <v>0.92911339999999998</v>
      </c>
      <c r="AB7043">
        <v>30</v>
      </c>
      <c r="AC7043">
        <v>8.5787999999999993</v>
      </c>
      <c r="AD7043">
        <v>-1.114932049086</v>
      </c>
      <c r="AE7043">
        <v>4.6419099999999904</v>
      </c>
      <c r="AF7043">
        <v>-3.6292974927761601</v>
      </c>
      <c r="AG7043">
        <v>-1.114932049086</v>
      </c>
      <c r="AH7043">
        <v>8.9181320293692394</v>
      </c>
      <c r="AI7043">
        <v>96.605257932476803</v>
      </c>
      <c r="AJ7043">
        <v>112.144216334402</v>
      </c>
      <c r="AK7043">
        <v>9.6926752064851502</v>
      </c>
      <c r="AL7043">
        <v>66.601224298287804</v>
      </c>
      <c r="AM7043">
        <v>109.285439470675</v>
      </c>
      <c r="AN7043">
        <v>1.0000000505375799</v>
      </c>
    </row>
    <row r="7044" spans="1:40" x14ac:dyDescent="0.25">
      <c r="A7044" t="str">
        <f>"20190304165021345"</f>
        <v>20190304165021345</v>
      </c>
      <c r="B7044" t="str">
        <f>"1551689421332613"</f>
        <v>1551689421332613</v>
      </c>
      <c r="C7044" t="s">
        <v>40</v>
      </c>
      <c r="D7044">
        <v>4.5172189999999999</v>
      </c>
      <c r="E7044">
        <v>0.48314609999999902</v>
      </c>
      <c r="F7044" t="s">
        <v>49</v>
      </c>
      <c r="G7044">
        <v>-209.36359999999999</v>
      </c>
      <c r="H7044" s="1">
        <v>-9.3383409999999999E-7</v>
      </c>
      <c r="I7044">
        <v>-58.28754</v>
      </c>
      <c r="J7044">
        <v>-217.71809999999999</v>
      </c>
      <c r="K7044">
        <v>1.114932</v>
      </c>
      <c r="L7044">
        <v>-62.669069999999998</v>
      </c>
      <c r="M7044">
        <v>0.99365820000000005</v>
      </c>
      <c r="N7044">
        <v>-1.44686E-2</v>
      </c>
      <c r="O7044">
        <v>0.1115082</v>
      </c>
      <c r="P7044">
        <v>0.83282860000000003</v>
      </c>
      <c r="Q7044">
        <v>0.38749220000000001</v>
      </c>
      <c r="R7044">
        <v>0.39527990000000002</v>
      </c>
      <c r="S7044">
        <v>3.0407709999999999</v>
      </c>
      <c r="T7044">
        <v>-0.39890750000000003</v>
      </c>
      <c r="U7044">
        <v>1.5741579999999999</v>
      </c>
      <c r="V7044">
        <v>-0.30366219999999999</v>
      </c>
      <c r="W7044">
        <v>0.39724419999999999</v>
      </c>
      <c r="X7044">
        <v>0.866017499999999</v>
      </c>
      <c r="Y7044">
        <v>-0.35572160000000003</v>
      </c>
      <c r="Z7044">
        <v>1.2535340000000001E-2</v>
      </c>
      <c r="AA7044">
        <v>0.93450789999999995</v>
      </c>
      <c r="AB7044">
        <v>30</v>
      </c>
      <c r="AC7044">
        <v>8.3544999999999998</v>
      </c>
      <c r="AD7044">
        <v>-1.1149329338341001</v>
      </c>
      <c r="AE7044">
        <v>4.3815299999999899</v>
      </c>
      <c r="AF7044">
        <v>-3.3753596282968998</v>
      </c>
      <c r="AG7044">
        <v>-1.1149329338341001</v>
      </c>
      <c r="AH7044">
        <v>8.6699139389528099</v>
      </c>
      <c r="AI7044">
        <v>96.833536005958393</v>
      </c>
      <c r="AJ7044">
        <v>111.271893690512</v>
      </c>
      <c r="AK7044">
        <v>9.3703540902215998</v>
      </c>
      <c r="AL7044">
        <v>66.593987188159403</v>
      </c>
      <c r="AM7044">
        <v>109.32281467649599</v>
      </c>
      <c r="AN7044">
        <v>0.99999999822436403</v>
      </c>
    </row>
    <row r="7045" spans="1:40" x14ac:dyDescent="0.25">
      <c r="A7045" t="str">
        <f>"20190304165021356"</f>
        <v>20190304165021356</v>
      </c>
      <c r="B7045" t="str">
        <f>"1551689421352132"</f>
        <v>1551689421352132</v>
      </c>
      <c r="C7045" t="s">
        <v>40</v>
      </c>
      <c r="D7045">
        <v>4.4888309999999896</v>
      </c>
      <c r="E7045">
        <v>0.48933900000000002</v>
      </c>
      <c r="F7045" t="s">
        <v>49</v>
      </c>
      <c r="G7045">
        <v>-209.4195</v>
      </c>
      <c r="H7045" s="1">
        <v>-8.5196969999999899E-7</v>
      </c>
      <c r="I7045">
        <v>-58.4617199999999</v>
      </c>
      <c r="J7045">
        <v>-217.5693</v>
      </c>
      <c r="K7045">
        <v>1.114933</v>
      </c>
      <c r="L7045">
        <v>-62.650210000000001</v>
      </c>
      <c r="M7045">
        <v>0.99339509999999998</v>
      </c>
      <c r="N7045">
        <v>-1.446799E-2</v>
      </c>
      <c r="O7045">
        <v>0.1138286</v>
      </c>
      <c r="P7045">
        <v>0.83162539999999996</v>
      </c>
      <c r="Q7045">
        <v>0.38760080000000002</v>
      </c>
      <c r="R7045">
        <v>0.39769949999999998</v>
      </c>
      <c r="S7045">
        <v>3.0575709999999998</v>
      </c>
      <c r="T7045">
        <v>-0.41078999999999999</v>
      </c>
      <c r="U7045">
        <v>1.550171</v>
      </c>
      <c r="V7045">
        <v>-0.304168099999999</v>
      </c>
      <c r="W7045">
        <v>0.39734390000000003</v>
      </c>
      <c r="X7045">
        <v>0.86579419999999996</v>
      </c>
      <c r="Y7045">
        <v>-0.3455994</v>
      </c>
      <c r="Z7045">
        <v>1.177695E-2</v>
      </c>
      <c r="AA7045">
        <v>0.93830820000000004</v>
      </c>
      <c r="AB7045">
        <v>30</v>
      </c>
      <c r="AC7045">
        <v>8.1497999999999902</v>
      </c>
      <c r="AD7045">
        <v>-1.1149338519697001</v>
      </c>
      <c r="AE7045">
        <v>4.1884899999999998</v>
      </c>
      <c r="AF7045">
        <v>-3.18630970821255</v>
      </c>
      <c r="AG7045">
        <v>-1.1149338519697001</v>
      </c>
      <c r="AH7045">
        <v>8.4485564228821595</v>
      </c>
      <c r="AI7045">
        <v>97.039121640900802</v>
      </c>
      <c r="AJ7045">
        <v>110.663591324073</v>
      </c>
      <c r="AK7045">
        <v>9.0980081711076206</v>
      </c>
      <c r="AL7045">
        <v>66.587762551225794</v>
      </c>
      <c r="AM7045">
        <v>109.357235114261</v>
      </c>
      <c r="AN7045">
        <v>1.0000000023392299</v>
      </c>
    </row>
    <row r="7046" spans="1:40" x14ac:dyDescent="0.25">
      <c r="A7046" t="str">
        <f>"20190304165021368"</f>
        <v>20190304165021368</v>
      </c>
      <c r="B7046" t="str">
        <f>"1551689421362871"</f>
        <v>1551689421362871</v>
      </c>
      <c r="C7046" t="s">
        <v>40</v>
      </c>
      <c r="D7046">
        <v>4.4891160000000001</v>
      </c>
      <c r="E7046">
        <v>0.49129669999999998</v>
      </c>
      <c r="F7046" t="s">
        <v>49</v>
      </c>
      <c r="G7046">
        <v>-209.46350000000001</v>
      </c>
      <c r="H7046" s="1">
        <v>-7.7150869999999995E-7</v>
      </c>
      <c r="I7046">
        <v>-58.658830000000002</v>
      </c>
      <c r="J7046">
        <v>-217.40440000000001</v>
      </c>
      <c r="K7046">
        <v>1.11494</v>
      </c>
      <c r="L7046">
        <v>-62.628660000000004</v>
      </c>
      <c r="M7046">
        <v>0.99309619999999998</v>
      </c>
      <c r="N7046">
        <v>-1.446749E-2</v>
      </c>
      <c r="O7046">
        <v>0.1164071</v>
      </c>
      <c r="P7046">
        <v>0.83017249999999998</v>
      </c>
      <c r="Q7046">
        <v>0.38785019999999998</v>
      </c>
      <c r="R7046">
        <v>0.40048210000000001</v>
      </c>
      <c r="S7046">
        <v>3.0796199999999998</v>
      </c>
      <c r="T7046">
        <v>-0.42359790000000003</v>
      </c>
      <c r="U7046">
        <v>1.5164489999999999</v>
      </c>
      <c r="V7046">
        <v>-0.30484349999999999</v>
      </c>
      <c r="W7046">
        <v>0.39757900000000002</v>
      </c>
      <c r="X7046">
        <v>0.86544869999999996</v>
      </c>
      <c r="Y7046">
        <v>-0.33220640000000001</v>
      </c>
      <c r="Z7046">
        <v>1.0711399999999999E-2</v>
      </c>
      <c r="AA7046">
        <v>0.94314589999999998</v>
      </c>
      <c r="AB7046">
        <v>30</v>
      </c>
      <c r="AC7046">
        <v>7.9408999999999903</v>
      </c>
      <c r="AD7046">
        <v>-1.1149407715086901</v>
      </c>
      <c r="AE7046">
        <v>3.9698299999999902</v>
      </c>
      <c r="AF7046">
        <v>-2.97149603229651</v>
      </c>
      <c r="AG7046">
        <v>-1.1149407715086901</v>
      </c>
      <c r="AH7046">
        <v>8.2194326455374291</v>
      </c>
      <c r="AI7046">
        <v>97.269759919990904</v>
      </c>
      <c r="AJ7046">
        <v>109.875978265138</v>
      </c>
      <c r="AK7046">
        <v>8.8108997615710507</v>
      </c>
      <c r="AL7046">
        <v>66.573083843942001</v>
      </c>
      <c r="AM7046">
        <v>109.40417597829</v>
      </c>
      <c r="AN7046">
        <v>1.0000000365324599</v>
      </c>
    </row>
    <row r="7047" spans="1:40" x14ac:dyDescent="0.25">
      <c r="A7047" t="str">
        <f>"20190304165021379"</f>
        <v>20190304165021379</v>
      </c>
      <c r="B7047" t="str">
        <f>"1551689421372628"</f>
        <v>1551689421372628</v>
      </c>
      <c r="C7047" t="s">
        <v>40</v>
      </c>
      <c r="D7047">
        <v>4.4886439999999999</v>
      </c>
      <c r="E7047">
        <v>0.49293559999999997</v>
      </c>
      <c r="F7047" t="s">
        <v>49</v>
      </c>
      <c r="G7047">
        <v>-209.3398</v>
      </c>
      <c r="H7047" s="1">
        <v>-8.4725979999999999E-7</v>
      </c>
      <c r="I7047">
        <v>-58.66966</v>
      </c>
      <c r="J7047">
        <v>-217.2577</v>
      </c>
      <c r="K7047">
        <v>1.1149469999999999</v>
      </c>
      <c r="L7047">
        <v>-62.609189999999998</v>
      </c>
      <c r="M7047">
        <v>0.99282400000000004</v>
      </c>
      <c r="N7047">
        <v>-1.446709E-2</v>
      </c>
      <c r="O7047">
        <v>0.11870699999999999</v>
      </c>
      <c r="P7047">
        <v>0.82892009999999905</v>
      </c>
      <c r="Q7047">
        <v>0.38841140000000002</v>
      </c>
      <c r="R7047">
        <v>0.40252719999999997</v>
      </c>
      <c r="S7047">
        <v>3.0827789999999999</v>
      </c>
      <c r="T7047">
        <v>-0.42619689999999999</v>
      </c>
      <c r="U7047">
        <v>1.5133669999999999</v>
      </c>
      <c r="V7047">
        <v>-0.30501319999999998</v>
      </c>
      <c r="W7047">
        <v>0.39813009999999999</v>
      </c>
      <c r="X7047">
        <v>0.865135399999999</v>
      </c>
      <c r="Y7047">
        <v>-0.32890059999999999</v>
      </c>
      <c r="Z7047">
        <v>1.0243449999999999E-2</v>
      </c>
      <c r="AA7047">
        <v>0.94430899999999995</v>
      </c>
      <c r="AB7047">
        <v>30</v>
      </c>
      <c r="AC7047">
        <v>7.9179000000000004</v>
      </c>
      <c r="AD7047">
        <v>-1.1149478472598</v>
      </c>
      <c r="AE7047">
        <v>3.93953</v>
      </c>
      <c r="AF7047">
        <v>-2.9251682832344401</v>
      </c>
      <c r="AG7047">
        <v>-1.1149478472598</v>
      </c>
      <c r="AH7047">
        <v>8.1992836260989694</v>
      </c>
      <c r="AI7047">
        <v>97.298406863742997</v>
      </c>
      <c r="AJ7047">
        <v>109.634316580854</v>
      </c>
      <c r="AK7047">
        <v>8.7765579909532097</v>
      </c>
      <c r="AL7047">
        <v>66.538664688432306</v>
      </c>
      <c r="AM7047">
        <v>109.420674519325</v>
      </c>
      <c r="AN7047">
        <v>0.99999994451670304</v>
      </c>
    </row>
    <row r="7048" spans="1:40" x14ac:dyDescent="0.25">
      <c r="A7048" t="str">
        <f>"20190304165021389"</f>
        <v>20190304165021389</v>
      </c>
      <c r="B7048" t="str">
        <f>"1551689421382388"</f>
        <v>1551689421382388</v>
      </c>
      <c r="C7048" t="s">
        <v>40</v>
      </c>
      <c r="D7048">
        <v>4.5130089999999896</v>
      </c>
      <c r="E7048">
        <v>0.49422199999999999</v>
      </c>
      <c r="F7048" t="s">
        <v>49</v>
      </c>
      <c r="G7048">
        <v>-209.2073</v>
      </c>
      <c r="H7048" s="1">
        <v>-9.3180680000000002E-7</v>
      </c>
      <c r="I7048">
        <v>-58.668500000000002</v>
      </c>
      <c r="J7048">
        <v>-217.11539999999999</v>
      </c>
      <c r="K7048">
        <v>1.1149549999999999</v>
      </c>
      <c r="L7048">
        <v>-62.589970000000001</v>
      </c>
      <c r="M7048">
        <v>0.99255409999999999</v>
      </c>
      <c r="N7048">
        <v>-1.44668E-2</v>
      </c>
      <c r="O7048">
        <v>0.12094290000000001</v>
      </c>
      <c r="P7048">
        <v>0.82757939999999997</v>
      </c>
      <c r="Q7048">
        <v>0.38908939999999997</v>
      </c>
      <c r="R7048">
        <v>0.40462520000000002</v>
      </c>
      <c r="S7048">
        <v>3.0858919999999999</v>
      </c>
      <c r="T7048">
        <v>-0.42738559999999998</v>
      </c>
      <c r="U7048">
        <v>1.510559</v>
      </c>
      <c r="V7048">
        <v>-0.30530810000000003</v>
      </c>
      <c r="W7048">
        <v>0.39879540000000002</v>
      </c>
      <c r="X7048">
        <v>0.86472490000000002</v>
      </c>
      <c r="Y7048">
        <v>-0.32573659999999999</v>
      </c>
      <c r="Z7048">
        <v>9.7695030000000006E-3</v>
      </c>
      <c r="AA7048">
        <v>0.94541010000000003</v>
      </c>
      <c r="AB7048">
        <v>30</v>
      </c>
      <c r="AC7048">
        <v>7.9080999999999904</v>
      </c>
      <c r="AD7048">
        <v>-1.1149559318068001</v>
      </c>
      <c r="AE7048">
        <v>3.92146999999999</v>
      </c>
      <c r="AF7048">
        <v>-2.8900399291358698</v>
      </c>
      <c r="AG7048">
        <v>-1.1149559318068001</v>
      </c>
      <c r="AH7048">
        <v>8.1936346331498005</v>
      </c>
      <c r="AI7048">
        <v>97.312641922952196</v>
      </c>
      <c r="AJ7048">
        <v>109.428647881831</v>
      </c>
      <c r="AK7048">
        <v>8.7596293313942599</v>
      </c>
      <c r="AL7048">
        <v>66.497104807984201</v>
      </c>
      <c r="AM7048">
        <v>109.446579135883</v>
      </c>
      <c r="AN7048">
        <v>0.99999997983338895</v>
      </c>
    </row>
    <row r="7049" spans="1:40" x14ac:dyDescent="0.25">
      <c r="A7049" t="str">
        <f>"20190304165021400"</f>
        <v>20190304165021400</v>
      </c>
      <c r="B7049" t="str">
        <f>"1551689421392148"</f>
        <v>1551689421392148</v>
      </c>
      <c r="C7049" t="s">
        <v>40</v>
      </c>
      <c r="D7049">
        <v>4.5110460000000003</v>
      </c>
      <c r="E7049">
        <v>0.49529810000000002</v>
      </c>
      <c r="F7049" t="s">
        <v>49</v>
      </c>
      <c r="G7049">
        <v>-209.04660000000001</v>
      </c>
      <c r="H7049" s="1">
        <v>-1.040805E-6</v>
      </c>
      <c r="I7049">
        <v>-58.642620000000001</v>
      </c>
      <c r="J7049">
        <v>-216.96780000000001</v>
      </c>
      <c r="K7049">
        <v>1.114965</v>
      </c>
      <c r="L7049">
        <v>-62.569670000000002</v>
      </c>
      <c r="M7049">
        <v>0.99226760000000003</v>
      </c>
      <c r="N7049">
        <v>-1.446653E-2</v>
      </c>
      <c r="O7049">
        <v>0.1232704</v>
      </c>
      <c r="P7049">
        <v>0.82632090000000002</v>
      </c>
      <c r="Q7049">
        <v>0.38968239999999998</v>
      </c>
      <c r="R7049">
        <v>0.40662179999999998</v>
      </c>
      <c r="S7049">
        <v>3.0871580000000001</v>
      </c>
      <c r="T7049">
        <v>-0.42659059999999999</v>
      </c>
      <c r="U7049">
        <v>1.510284</v>
      </c>
      <c r="V7049">
        <v>-0.30541499999999999</v>
      </c>
      <c r="W7049">
        <v>0.39937729999999999</v>
      </c>
      <c r="X7049">
        <v>0.86441859999999904</v>
      </c>
      <c r="Y7049">
        <v>-0.3233414</v>
      </c>
      <c r="Z7049">
        <v>9.3178900000000005E-3</v>
      </c>
      <c r="AA7049">
        <v>0.94623650000000004</v>
      </c>
      <c r="AB7049">
        <v>30</v>
      </c>
      <c r="AC7049">
        <v>7.92119999999999</v>
      </c>
      <c r="AD7049">
        <v>-1.1149660408049999</v>
      </c>
      <c r="AE7049">
        <v>3.9270499999999999</v>
      </c>
      <c r="AF7049">
        <v>-2.8748204298957898</v>
      </c>
      <c r="AG7049">
        <v>-1.1149660408049999</v>
      </c>
      <c r="AH7049">
        <v>8.2142753217946396</v>
      </c>
      <c r="AI7049">
        <v>97.300714422964603</v>
      </c>
      <c r="AJ7049">
        <v>109.28895297651501</v>
      </c>
      <c r="AK7049">
        <v>8.7739421492587297</v>
      </c>
      <c r="AL7049">
        <v>66.460744557512996</v>
      </c>
      <c r="AM7049">
        <v>109.459251973623</v>
      </c>
      <c r="AN7049">
        <v>1.00000003300312</v>
      </c>
    </row>
    <row r="7050" spans="1:40" x14ac:dyDescent="0.25">
      <c r="A7050" t="str">
        <f>"20190304165021411"</f>
        <v>20190304165021411</v>
      </c>
      <c r="B7050" t="str">
        <f>"1551689421402884"</f>
        <v>1551689421402884</v>
      </c>
      <c r="C7050" t="s">
        <v>40</v>
      </c>
      <c r="D7050">
        <v>4.5070040000000002</v>
      </c>
      <c r="E7050">
        <v>0.49621739999999998</v>
      </c>
      <c r="F7050" t="s">
        <v>49</v>
      </c>
      <c r="G7050">
        <v>-208.8989</v>
      </c>
      <c r="H7050" s="1">
        <v>-1.1409890000000001E-6</v>
      </c>
      <c r="I7050">
        <v>-58.618960000000001</v>
      </c>
      <c r="J7050">
        <v>-216.8219</v>
      </c>
      <c r="K7050">
        <v>1.114975</v>
      </c>
      <c r="L7050">
        <v>-62.549289999999999</v>
      </c>
      <c r="M7050">
        <v>0.99197800000000003</v>
      </c>
      <c r="N7050">
        <v>-1.446628E-2</v>
      </c>
      <c r="O7050">
        <v>0.1255802</v>
      </c>
      <c r="P7050">
        <v>0.82526319999999997</v>
      </c>
      <c r="Q7050">
        <v>0.3900708</v>
      </c>
      <c r="R7050">
        <v>0.40839370000000003</v>
      </c>
      <c r="S7050">
        <v>3.0878299999999999</v>
      </c>
      <c r="T7050">
        <v>-0.42667890000000003</v>
      </c>
      <c r="U7050">
        <v>1.511871</v>
      </c>
      <c r="V7050">
        <v>-0.30529220000000001</v>
      </c>
      <c r="W7050">
        <v>0.39975759999999999</v>
      </c>
      <c r="X7050">
        <v>0.86428609999999995</v>
      </c>
      <c r="Y7050">
        <v>-0.32148090000000001</v>
      </c>
      <c r="Z7050">
        <v>8.9194679999999998E-3</v>
      </c>
      <c r="AA7050">
        <v>0.94687410000000005</v>
      </c>
      <c r="AB7050">
        <v>30</v>
      </c>
      <c r="AC7050">
        <v>7.923</v>
      </c>
      <c r="AD7050">
        <v>-1.114976140989</v>
      </c>
      <c r="AE7050">
        <v>3.9303300000000001</v>
      </c>
      <c r="AF7050">
        <v>-2.8586995790851302</v>
      </c>
      <c r="AG7050">
        <v>-1.114976140989</v>
      </c>
      <c r="AH7050">
        <v>8.2231963136115809</v>
      </c>
      <c r="AI7050">
        <v>97.298196677524999</v>
      </c>
      <c r="AJ7050">
        <v>109.169419180142</v>
      </c>
      <c r="AK7050">
        <v>8.7770321117466192</v>
      </c>
      <c r="AL7050">
        <v>66.4369733503448</v>
      </c>
      <c r="AM7050">
        <v>109.454773620346</v>
      </c>
      <c r="AN7050">
        <v>0.999999964395904</v>
      </c>
    </row>
    <row r="7051" spans="1:40" x14ac:dyDescent="0.25">
      <c r="A7051" t="str">
        <f>"20190304165021422"</f>
        <v>20190304165021422</v>
      </c>
      <c r="B7051" t="str">
        <f>"1551689421412644"</f>
        <v>1551689421412644</v>
      </c>
      <c r="C7051" t="s">
        <v>40</v>
      </c>
      <c r="D7051">
        <v>4.5343790000000004</v>
      </c>
      <c r="E7051">
        <v>0.49703570000000002</v>
      </c>
      <c r="F7051" t="s">
        <v>49</v>
      </c>
      <c r="G7051">
        <v>-208.76150000000001</v>
      </c>
      <c r="H7051" s="1">
        <v>-1.2340190000000001E-6</v>
      </c>
      <c r="I7051">
        <v>-58.597740000000002</v>
      </c>
      <c r="J7051">
        <v>-216.67740000000001</v>
      </c>
      <c r="K7051">
        <v>1.114987</v>
      </c>
      <c r="L7051">
        <v>-62.528660000000002</v>
      </c>
      <c r="M7051">
        <v>0.99168339999999999</v>
      </c>
      <c r="N7051">
        <v>-1.446623E-2</v>
      </c>
      <c r="O7051">
        <v>0.12788540000000001</v>
      </c>
      <c r="P7051">
        <v>0.82438549999999999</v>
      </c>
      <c r="Q7051">
        <v>0.39028669999999999</v>
      </c>
      <c r="R7051">
        <v>0.40995720000000002</v>
      </c>
      <c r="S7051">
        <v>3.087936</v>
      </c>
      <c r="T7051">
        <v>-0.42714360000000001</v>
      </c>
      <c r="U7051">
        <v>1.5138240000000001</v>
      </c>
      <c r="V7051">
        <v>-0.30494690000000002</v>
      </c>
      <c r="W7051">
        <v>0.39996730000000003</v>
      </c>
      <c r="X7051">
        <v>0.86431100000000005</v>
      </c>
      <c r="Y7051">
        <v>-0.31977670000000002</v>
      </c>
      <c r="Z7051">
        <v>8.5376849999999997E-3</v>
      </c>
      <c r="AA7051">
        <v>0.94745449999999998</v>
      </c>
      <c r="AB7051">
        <v>30</v>
      </c>
      <c r="AC7051">
        <v>7.9158999999999899</v>
      </c>
      <c r="AD7051">
        <v>-1.114988234019</v>
      </c>
      <c r="AE7051">
        <v>3.9309199999999902</v>
      </c>
      <c r="AF7051">
        <v>-2.8409871495321601</v>
      </c>
      <c r="AG7051">
        <v>-1.114988234019</v>
      </c>
      <c r="AH7051">
        <v>8.2227806650044108</v>
      </c>
      <c r="AI7051">
        <v>97.303414159186602</v>
      </c>
      <c r="AJ7051">
        <v>109.060133439813</v>
      </c>
      <c r="AK7051">
        <v>8.7708909815695506</v>
      </c>
      <c r="AL7051">
        <v>66.423865210567001</v>
      </c>
      <c r="AM7051">
        <v>109.433901605477</v>
      </c>
      <c r="AN7051">
        <v>0.99999997880494895</v>
      </c>
    </row>
    <row r="7052" spans="1:40" x14ac:dyDescent="0.25">
      <c r="A7052" t="str">
        <f>"20190304165021434"</f>
        <v>20190304165021434</v>
      </c>
      <c r="B7052" t="str">
        <f>"1551689421422404"</f>
        <v>1551689421422404</v>
      </c>
      <c r="C7052" t="s">
        <v>40</v>
      </c>
      <c r="D7052">
        <v>4.5221589999999896</v>
      </c>
      <c r="E7052">
        <v>0.49779210000000002</v>
      </c>
      <c r="F7052" t="s">
        <v>49</v>
      </c>
      <c r="G7052">
        <v>-208.6404</v>
      </c>
      <c r="H7052" s="1">
        <v>-1.3146610000000001E-6</v>
      </c>
      <c r="I7052">
        <v>-58.583770000000001</v>
      </c>
      <c r="J7052">
        <v>-216.52719999999999</v>
      </c>
      <c r="K7052">
        <v>1.1150009999999999</v>
      </c>
      <c r="L7052">
        <v>-62.506990000000002</v>
      </c>
      <c r="M7052">
        <v>0.99137059999999999</v>
      </c>
      <c r="N7052">
        <v>-1.446621E-2</v>
      </c>
      <c r="O7052">
        <v>0.1302884</v>
      </c>
      <c r="P7052">
        <v>0.823557599999999</v>
      </c>
      <c r="Q7052">
        <v>0.3903684</v>
      </c>
      <c r="R7052">
        <v>0.41154030000000003</v>
      </c>
      <c r="S7052">
        <v>3.088104</v>
      </c>
      <c r="T7052">
        <v>-0.4284213</v>
      </c>
      <c r="U7052">
        <v>1.5157780000000001</v>
      </c>
      <c r="V7052">
        <v>-0.30453019999999997</v>
      </c>
      <c r="W7052">
        <v>0.40004420000000002</v>
      </c>
      <c r="X7052">
        <v>0.86442229999999998</v>
      </c>
      <c r="Y7052">
        <v>-0.317965</v>
      </c>
      <c r="Z7052">
        <v>8.1436949999999994E-3</v>
      </c>
      <c r="AA7052">
        <v>0.94806749999999995</v>
      </c>
      <c r="AB7052">
        <v>30</v>
      </c>
      <c r="AC7052">
        <v>7.8867999999999903</v>
      </c>
      <c r="AD7052">
        <v>-1.115002314661</v>
      </c>
      <c r="AE7052">
        <v>3.9232200000000002</v>
      </c>
      <c r="AF7052">
        <v>-2.8169712672207599</v>
      </c>
      <c r="AG7052">
        <v>-1.115002314661</v>
      </c>
      <c r="AH7052">
        <v>8.19938955030233</v>
      </c>
      <c r="AI7052">
        <v>97.328451945924996</v>
      </c>
      <c r="AJ7052">
        <v>108.960602668175</v>
      </c>
      <c r="AK7052">
        <v>8.7411982176160397</v>
      </c>
      <c r="AL7052">
        <v>66.419057304802294</v>
      </c>
      <c r="AM7052">
        <v>109.407020254652</v>
      </c>
      <c r="AN7052">
        <v>0.99999995870148395</v>
      </c>
    </row>
    <row r="7053" spans="1:40" x14ac:dyDescent="0.25">
      <c r="A7053" t="str">
        <f>"20190304165021445"</f>
        <v>20190304165021445</v>
      </c>
      <c r="B7053" t="str">
        <f>"1551689421442901"</f>
        <v>1551689421442901</v>
      </c>
      <c r="C7053" t="s">
        <v>40</v>
      </c>
      <c r="D7053">
        <v>4.5193019999999997</v>
      </c>
      <c r="E7053">
        <v>0.49900270000000002</v>
      </c>
      <c r="F7053" t="s">
        <v>49</v>
      </c>
      <c r="G7053">
        <v>-208.5307</v>
      </c>
      <c r="H7053" s="1">
        <v>-1.38651E-6</v>
      </c>
      <c r="I7053">
        <v>-58.576000000000001</v>
      </c>
      <c r="J7053">
        <v>-216.37299999999999</v>
      </c>
      <c r="K7053">
        <v>1.115016</v>
      </c>
      <c r="L7053">
        <v>-62.48413</v>
      </c>
      <c r="M7053">
        <v>0.99103889999999994</v>
      </c>
      <c r="N7053">
        <v>-1.446661E-2</v>
      </c>
      <c r="O7053">
        <v>0.13278799999999999</v>
      </c>
      <c r="P7053">
        <v>0.82258829999999905</v>
      </c>
      <c r="Q7053">
        <v>0.39029320000000001</v>
      </c>
      <c r="R7053">
        <v>0.4135452</v>
      </c>
      <c r="S7053">
        <v>3.0882260000000001</v>
      </c>
      <c r="T7053">
        <v>-0.43060850000000001</v>
      </c>
      <c r="U7053">
        <v>1.518127</v>
      </c>
      <c r="V7053">
        <v>-0.30447020000000002</v>
      </c>
      <c r="W7053">
        <v>0.39995520000000001</v>
      </c>
      <c r="X7053">
        <v>0.86448469999999999</v>
      </c>
      <c r="Y7053">
        <v>-0.3161562</v>
      </c>
      <c r="Z7053">
        <v>7.7441119999999896E-3</v>
      </c>
      <c r="AA7053">
        <v>0.9486755</v>
      </c>
      <c r="AB7053">
        <v>30</v>
      </c>
      <c r="AC7053">
        <v>7.8422999999999901</v>
      </c>
      <c r="AD7053">
        <v>-1.1150173865099999</v>
      </c>
      <c r="AE7053">
        <v>3.9081299999999999</v>
      </c>
      <c r="AF7053">
        <v>-2.7869117840542201</v>
      </c>
      <c r="AG7053">
        <v>-1.1150173865099999</v>
      </c>
      <c r="AH7053">
        <v>8.1597098593704107</v>
      </c>
      <c r="AI7053">
        <v>97.368293989898106</v>
      </c>
      <c r="AJ7053">
        <v>108.857368178597</v>
      </c>
      <c r="AK7053">
        <v>8.6943088312658006</v>
      </c>
      <c r="AL7053">
        <v>66.424622921334105</v>
      </c>
      <c r="AM7053">
        <v>109.40218640048499</v>
      </c>
      <c r="AN7053">
        <v>1.00000003061458</v>
      </c>
    </row>
    <row r="7054" spans="1:40" x14ac:dyDescent="0.25">
      <c r="A7054" t="str">
        <f>"20190304165021457"</f>
        <v>20190304165021457</v>
      </c>
      <c r="B7054" t="str">
        <f>"1551689421452659"</f>
        <v>1551689421452659</v>
      </c>
      <c r="C7054" t="s">
        <v>40</v>
      </c>
      <c r="D7054">
        <v>4.5382600000000002</v>
      </c>
      <c r="E7054">
        <v>0.4995</v>
      </c>
      <c r="F7054" t="s">
        <v>49</v>
      </c>
      <c r="G7054">
        <v>-208.46809999999999</v>
      </c>
      <c r="H7054" s="1">
        <v>-1.4200890000000001E-6</v>
      </c>
      <c r="I7054">
        <v>-58.599209999999999</v>
      </c>
      <c r="J7054">
        <v>-216.22210000000001</v>
      </c>
      <c r="K7054">
        <v>1.1150359999999999</v>
      </c>
      <c r="L7054">
        <v>-62.461579999999998</v>
      </c>
      <c r="M7054">
        <v>0.99070709999999995</v>
      </c>
      <c r="N7054">
        <v>-1.446705E-2</v>
      </c>
      <c r="O7054">
        <v>0.13524159999999999</v>
      </c>
      <c r="P7054">
        <v>0.82168779999999997</v>
      </c>
      <c r="Q7054">
        <v>0.39024700000000001</v>
      </c>
      <c r="R7054">
        <v>0.41537499999999999</v>
      </c>
      <c r="S7054">
        <v>3.0903170000000002</v>
      </c>
      <c r="T7054">
        <v>-0.43590449999999997</v>
      </c>
      <c r="U7054">
        <v>1.5187679999999999</v>
      </c>
      <c r="V7054">
        <v>-0.30427090000000001</v>
      </c>
      <c r="W7054">
        <v>0.39989609999999998</v>
      </c>
      <c r="X7054">
        <v>0.86458219999999997</v>
      </c>
      <c r="Y7054">
        <v>-0.3137103</v>
      </c>
      <c r="Z7054">
        <v>7.3187729999999998E-3</v>
      </c>
      <c r="AA7054">
        <v>0.94949050000000002</v>
      </c>
      <c r="AB7054">
        <v>30</v>
      </c>
      <c r="AC7054">
        <v>7.7540000000000102</v>
      </c>
      <c r="AD7054">
        <v>-1.1150374200890001</v>
      </c>
      <c r="AE7054">
        <v>3.8623699999999999</v>
      </c>
      <c r="AF7054">
        <v>-2.7328268712200998</v>
      </c>
      <c r="AG7054">
        <v>-1.1150374200890001</v>
      </c>
      <c r="AH7054">
        <v>8.0714260611143107</v>
      </c>
      <c r="AI7054">
        <v>97.454778118497501</v>
      </c>
      <c r="AJ7054">
        <v>108.705094193647</v>
      </c>
      <c r="AK7054">
        <v>8.5941590523038798</v>
      </c>
      <c r="AL7054">
        <v>66.428317300190599</v>
      </c>
      <c r="AM7054">
        <v>109.388410630642</v>
      </c>
      <c r="AN7054">
        <v>1.0000000259694199</v>
      </c>
    </row>
    <row r="7055" spans="1:40" x14ac:dyDescent="0.25">
      <c r="A7055" t="str">
        <f>"20190304165021469"</f>
        <v>20190304165021469</v>
      </c>
      <c r="B7055" t="str">
        <f>"1551689421462420"</f>
        <v>1551689421462420</v>
      </c>
      <c r="C7055" t="s">
        <v>40</v>
      </c>
      <c r="D7055">
        <v>4.534675</v>
      </c>
      <c r="E7055">
        <v>0.49994759999999999</v>
      </c>
      <c r="F7055" t="s">
        <v>49</v>
      </c>
      <c r="G7055">
        <v>-208.3717</v>
      </c>
      <c r="H7055" s="1">
        <v>-1.483759E-6</v>
      </c>
      <c r="I7055">
        <v>-58.590159999999997</v>
      </c>
      <c r="J7055">
        <v>-216.05869999999999</v>
      </c>
      <c r="K7055">
        <v>1.1150679999999999</v>
      </c>
      <c r="L7055">
        <v>-62.436459999999997</v>
      </c>
      <c r="M7055">
        <v>0.99033490000000002</v>
      </c>
      <c r="N7055">
        <v>-1.446801E-2</v>
      </c>
      <c r="O7055">
        <v>0.13794020000000001</v>
      </c>
      <c r="P7055">
        <v>0.82069380000000003</v>
      </c>
      <c r="Q7055">
        <v>0.3903896</v>
      </c>
      <c r="R7055">
        <v>0.41720239999999997</v>
      </c>
      <c r="S7055">
        <v>3.089264</v>
      </c>
      <c r="T7055">
        <v>-0.43878600000000001</v>
      </c>
      <c r="U7055">
        <v>1.523468</v>
      </c>
      <c r="V7055">
        <v>-0.30387710000000001</v>
      </c>
      <c r="W7055">
        <v>0.40002189999999999</v>
      </c>
      <c r="X7055">
        <v>0.8646625</v>
      </c>
      <c r="Y7055">
        <v>-0.3124227</v>
      </c>
      <c r="Z7055">
        <v>6.9286259999999898E-3</v>
      </c>
      <c r="AA7055">
        <v>0.94991789999999998</v>
      </c>
      <c r="AB7055">
        <v>30</v>
      </c>
      <c r="AC7055">
        <v>7.6869999999999798</v>
      </c>
      <c r="AD7055">
        <v>-1.1150694837590001</v>
      </c>
      <c r="AE7055">
        <v>3.8462999999999998</v>
      </c>
      <c r="AF7055">
        <v>-2.7035686423552501</v>
      </c>
      <c r="AG7055">
        <v>-1.1150694837590001</v>
      </c>
      <c r="AH7055">
        <v>8.0093285427564496</v>
      </c>
      <c r="AI7055">
        <v>97.514448523393796</v>
      </c>
      <c r="AJ7055">
        <v>108.652237662679</v>
      </c>
      <c r="AK7055">
        <v>8.5265471946943592</v>
      </c>
      <c r="AL7055">
        <v>66.420453081409704</v>
      </c>
      <c r="AM7055">
        <v>109.36352167363199</v>
      </c>
      <c r="AN7055">
        <v>1.00000002564513</v>
      </c>
    </row>
    <row r="7056" spans="1:40" x14ac:dyDescent="0.25">
      <c r="A7056" t="str">
        <f>"20190304165021479"</f>
        <v>20190304165021479</v>
      </c>
      <c r="B7056" t="str">
        <f>"1551689421472179"</f>
        <v>1551689421472179</v>
      </c>
      <c r="C7056" t="s">
        <v>40</v>
      </c>
      <c r="D7056">
        <v>4.5403599999999997</v>
      </c>
      <c r="E7056">
        <v>0.50042180000000003</v>
      </c>
      <c r="F7056" t="s">
        <v>49</v>
      </c>
      <c r="G7056">
        <v>-208.2398</v>
      </c>
      <c r="H7056" s="1">
        <v>-1.5741150000000001E-6</v>
      </c>
      <c r="I7056">
        <v>-58.565660000000001</v>
      </c>
      <c r="J7056">
        <v>-215.91849999999999</v>
      </c>
      <c r="K7056">
        <v>1.115105</v>
      </c>
      <c r="L7056">
        <v>-62.414670000000001</v>
      </c>
      <c r="M7056">
        <v>0.99000710000000003</v>
      </c>
      <c r="N7056">
        <v>-1.4468999999999999E-2</v>
      </c>
      <c r="O7056">
        <v>0.1402735</v>
      </c>
      <c r="P7056">
        <v>0.81967029999999996</v>
      </c>
      <c r="Q7056">
        <v>0.39081840000000001</v>
      </c>
      <c r="R7056">
        <v>0.4188096</v>
      </c>
      <c r="S7056">
        <v>3.0878299999999999</v>
      </c>
      <c r="T7056">
        <v>-0.44036320000000001</v>
      </c>
      <c r="U7056">
        <v>1.528656</v>
      </c>
      <c r="V7056">
        <v>-0.30359170000000002</v>
      </c>
      <c r="W7056">
        <v>0.40043319999999999</v>
      </c>
      <c r="X7056">
        <v>0.86457229999999996</v>
      </c>
      <c r="Y7056">
        <v>-0.31165369999999998</v>
      </c>
      <c r="Z7056">
        <v>6.6083399999999999E-3</v>
      </c>
      <c r="AA7056">
        <v>0.95017280000000004</v>
      </c>
      <c r="AB7056">
        <v>30</v>
      </c>
      <c r="AC7056">
        <v>7.6786999999999903</v>
      </c>
      <c r="AD7056">
        <v>-1.1151065741149999</v>
      </c>
      <c r="AE7056">
        <v>3.8490099999999901</v>
      </c>
      <c r="AF7056">
        <v>-2.6884040978368202</v>
      </c>
      <c r="AG7056">
        <v>-1.1151065741149999</v>
      </c>
      <c r="AH7056">
        <v>8.00776866361511</v>
      </c>
      <c r="AI7056">
        <v>97.520250698750104</v>
      </c>
      <c r="AJ7056">
        <v>108.558163415634</v>
      </c>
      <c r="AK7056">
        <v>8.5202897975876706</v>
      </c>
      <c r="AL7056">
        <v>66.394736429055698</v>
      </c>
      <c r="AM7056">
        <v>109.348555705899</v>
      </c>
      <c r="AN7056">
        <v>0.99999996494920895</v>
      </c>
    </row>
    <row r="7057" spans="1:40" x14ac:dyDescent="0.25">
      <c r="A7057" t="str">
        <f>"20190304165021489"</f>
        <v>20190304165021489</v>
      </c>
      <c r="B7057" t="str">
        <f>"1551689421482916"</f>
        <v>1551689421482916</v>
      </c>
      <c r="C7057" t="s">
        <v>40</v>
      </c>
      <c r="D7057">
        <v>4.5575799999999997</v>
      </c>
      <c r="E7057">
        <v>0.50087769999999998</v>
      </c>
      <c r="F7057" t="s">
        <v>49</v>
      </c>
      <c r="G7057">
        <v>-208.1123</v>
      </c>
      <c r="H7057" s="1">
        <v>-1.662807E-6</v>
      </c>
      <c r="I7057">
        <v>-58.537120000000002</v>
      </c>
      <c r="J7057">
        <v>-215.7833</v>
      </c>
      <c r="K7057">
        <v>1.115138</v>
      </c>
      <c r="L7057">
        <v>-62.3932199999999</v>
      </c>
      <c r="M7057">
        <v>0.98968239999999996</v>
      </c>
      <c r="N7057">
        <v>-1.4470190000000001E-2</v>
      </c>
      <c r="O7057">
        <v>0.142546799999999</v>
      </c>
      <c r="P7057">
        <v>0.81857780000000002</v>
      </c>
      <c r="Q7057">
        <v>0.39155220000000002</v>
      </c>
      <c r="R7057">
        <v>0.42025869999999999</v>
      </c>
      <c r="S7057">
        <v>3.0868229999999999</v>
      </c>
      <c r="T7057">
        <v>-0.44094460000000002</v>
      </c>
      <c r="U7057">
        <v>1.5332950000000001</v>
      </c>
      <c r="V7057">
        <v>-0.30321779999999998</v>
      </c>
      <c r="W7057">
        <v>0.40114699999999998</v>
      </c>
      <c r="X7057">
        <v>0.86437260000000005</v>
      </c>
      <c r="Y7057">
        <v>-0.310760799999999</v>
      </c>
      <c r="Z7057">
        <v>6.278886E-3</v>
      </c>
      <c r="AA7057">
        <v>0.95046739999999996</v>
      </c>
      <c r="AB7057">
        <v>30</v>
      </c>
      <c r="AC7057">
        <v>7.6709999999999896</v>
      </c>
      <c r="AD7057">
        <v>-1.1151396628070001</v>
      </c>
      <c r="AE7057">
        <v>3.8560999999999899</v>
      </c>
      <c r="AF7057">
        <v>-2.67794616835622</v>
      </c>
      <c r="AG7057">
        <v>-1.1151396628070001</v>
      </c>
      <c r="AH7057">
        <v>8.0072984150472895</v>
      </c>
      <c r="AI7057">
        <v>97.523789545265402</v>
      </c>
      <c r="AJ7057">
        <v>108.49190176963501</v>
      </c>
      <c r="AK7057">
        <v>8.5165579934500499</v>
      </c>
      <c r="AL7057">
        <v>66.350096676726196</v>
      </c>
      <c r="AM7057">
        <v>109.330627967539</v>
      </c>
      <c r="AN7057">
        <v>0.99999997073829905</v>
      </c>
    </row>
    <row r="7058" spans="1:40" x14ac:dyDescent="0.25">
      <c r="A7058" t="str">
        <f>"20190304165021501"</f>
        <v>20190304165021501</v>
      </c>
      <c r="B7058" t="str">
        <f>"1551689421492675"</f>
        <v>1551689421492675</v>
      </c>
      <c r="C7058" t="s">
        <v>40</v>
      </c>
      <c r="D7058">
        <v>4.5669089999999999</v>
      </c>
      <c r="E7058">
        <v>0.50123859999999998</v>
      </c>
      <c r="F7058" t="s">
        <v>49</v>
      </c>
      <c r="G7058">
        <v>-207.9607</v>
      </c>
      <c r="H7058" s="1">
        <v>-1.769939E-6</v>
      </c>
      <c r="I7058">
        <v>-58.496499999999997</v>
      </c>
      <c r="J7058">
        <v>-215.63489999999999</v>
      </c>
      <c r="K7058">
        <v>1.115175</v>
      </c>
      <c r="L7058">
        <v>-62.369320000000002</v>
      </c>
      <c r="M7058">
        <v>0.98931559999999996</v>
      </c>
      <c r="N7058">
        <v>-1.4471690000000001E-2</v>
      </c>
      <c r="O7058">
        <v>0.14507</v>
      </c>
      <c r="P7058">
        <v>0.81728789999999996</v>
      </c>
      <c r="Q7058">
        <v>0.39255570000000001</v>
      </c>
      <c r="R7058">
        <v>0.42182999999999998</v>
      </c>
      <c r="S7058">
        <v>3.08609</v>
      </c>
      <c r="T7058">
        <v>-0.43993330000000003</v>
      </c>
      <c r="U7058">
        <v>1.5372920000000001</v>
      </c>
      <c r="V7058">
        <v>-0.30278389999999999</v>
      </c>
      <c r="W7058">
        <v>0.40212639999999999</v>
      </c>
      <c r="X7058">
        <v>0.86406959999999999</v>
      </c>
      <c r="Y7058">
        <v>-0.30945099999999998</v>
      </c>
      <c r="Z7058">
        <v>5.8826729999999997E-3</v>
      </c>
      <c r="AA7058">
        <v>0.9508972</v>
      </c>
      <c r="AB7058">
        <v>30</v>
      </c>
      <c r="AC7058">
        <v>7.6741999999999804</v>
      </c>
      <c r="AD7058">
        <v>-1.1151767699390001</v>
      </c>
      <c r="AE7058">
        <v>3.8728199999999902</v>
      </c>
      <c r="AF7058">
        <v>-2.6734351246471202</v>
      </c>
      <c r="AG7058">
        <v>-1.1151767699390001</v>
      </c>
      <c r="AH7058">
        <v>8.0199125739828592</v>
      </c>
      <c r="AI7058">
        <v>97.514766872730405</v>
      </c>
      <c r="AJ7058">
        <v>108.435790690063</v>
      </c>
      <c r="AK7058">
        <v>8.5270084020268797</v>
      </c>
      <c r="AL7058">
        <v>66.288822585074001</v>
      </c>
      <c r="AM7058">
        <v>109.311282497508</v>
      </c>
      <c r="AN7058">
        <v>1.0000000026601601</v>
      </c>
    </row>
    <row r="7059" spans="1:40" x14ac:dyDescent="0.25">
      <c r="A7059" t="str">
        <f>"20190304165021512"</f>
        <v>20190304165021512</v>
      </c>
      <c r="B7059" t="str">
        <f>"1551689421502437"</f>
        <v>1551689421502437</v>
      </c>
      <c r="C7059" t="s">
        <v>40</v>
      </c>
      <c r="D7059">
        <v>4.5732269999999904</v>
      </c>
      <c r="E7059">
        <v>0.50160850000000001</v>
      </c>
      <c r="F7059" t="s">
        <v>49</v>
      </c>
      <c r="G7059">
        <v>-207.78319999999999</v>
      </c>
      <c r="H7059" s="1">
        <v>-1.8973100000000001E-6</v>
      </c>
      <c r="I7059">
        <v>-58.441890000000001</v>
      </c>
      <c r="J7059">
        <v>-215.4915</v>
      </c>
      <c r="K7059">
        <v>1.11521</v>
      </c>
      <c r="L7059">
        <v>-62.3459199999999</v>
      </c>
      <c r="M7059">
        <v>0.98895129999999998</v>
      </c>
      <c r="N7059">
        <v>-1.447325E-2</v>
      </c>
      <c r="O7059">
        <v>0.14753269999999999</v>
      </c>
      <c r="P7059">
        <v>0.81608440000000004</v>
      </c>
      <c r="Q7059">
        <v>0.39340560000000002</v>
      </c>
      <c r="R7059">
        <v>0.4233654</v>
      </c>
      <c r="S7059">
        <v>3.0847169999999999</v>
      </c>
      <c r="T7059">
        <v>-0.43811889999999998</v>
      </c>
      <c r="U7059">
        <v>1.542969</v>
      </c>
      <c r="V7059">
        <v>-0.3023574</v>
      </c>
      <c r="W7059">
        <v>0.40295239999999999</v>
      </c>
      <c r="X7059">
        <v>0.86383410000000005</v>
      </c>
      <c r="Y7059">
        <v>-0.30869029999999997</v>
      </c>
      <c r="Z7059">
        <v>5.5348799999999998E-3</v>
      </c>
      <c r="AA7059">
        <v>0.95114650000000001</v>
      </c>
      <c r="AB7059">
        <v>30</v>
      </c>
      <c r="AC7059">
        <v>7.7083000000000004</v>
      </c>
      <c r="AD7059">
        <v>-1.11521189731</v>
      </c>
      <c r="AE7059">
        <v>3.9040299999999899</v>
      </c>
      <c r="AF7059">
        <v>-2.6793215455722201</v>
      </c>
      <c r="AG7059">
        <v>-1.11521189731</v>
      </c>
      <c r="AH7059">
        <v>8.0656048362921808</v>
      </c>
      <c r="AI7059">
        <v>97.475475454964496</v>
      </c>
      <c r="AJ7059">
        <v>108.376024198525</v>
      </c>
      <c r="AK7059">
        <v>8.5718401114165204</v>
      </c>
      <c r="AL7059">
        <v>66.237122346883993</v>
      </c>
      <c r="AM7059">
        <v>109.29096002399601</v>
      </c>
      <c r="AN7059">
        <v>0.99999999316166499</v>
      </c>
    </row>
    <row r="7060" spans="1:40" x14ac:dyDescent="0.25">
      <c r="A7060" t="str">
        <f>"20190304165021523"</f>
        <v>20190304165021523</v>
      </c>
      <c r="B7060" t="str">
        <f>"1551689421512196"</f>
        <v>1551689421512196</v>
      </c>
      <c r="C7060" t="s">
        <v>40</v>
      </c>
      <c r="D7060">
        <v>4.5723390000000004</v>
      </c>
      <c r="E7060">
        <v>0.50198509999999996</v>
      </c>
      <c r="F7060" t="s">
        <v>49</v>
      </c>
      <c r="G7060">
        <v>-207.62209999999999</v>
      </c>
      <c r="H7060" s="1">
        <v>-2.0122559999999998E-6</v>
      </c>
      <c r="I7060">
        <v>-58.394620000000003</v>
      </c>
      <c r="J7060">
        <v>-215.34719999999999</v>
      </c>
      <c r="K7060">
        <v>1.115253</v>
      </c>
      <c r="L7060">
        <v>-62.321809999999999</v>
      </c>
      <c r="M7060">
        <v>0.98857220000000001</v>
      </c>
      <c r="N7060">
        <v>-1.4475160000000001E-2</v>
      </c>
      <c r="O7060">
        <v>0.1500522</v>
      </c>
      <c r="P7060">
        <v>0.81475799999999998</v>
      </c>
      <c r="Q7060">
        <v>0.39436500000000002</v>
      </c>
      <c r="R7060">
        <v>0.42502459999999997</v>
      </c>
      <c r="S7060">
        <v>3.083542</v>
      </c>
      <c r="T7060">
        <v>-0.43698510000000002</v>
      </c>
      <c r="U7060">
        <v>1.548279</v>
      </c>
      <c r="V7060">
        <v>-0.30202810000000002</v>
      </c>
      <c r="W7060">
        <v>0.40388390000000002</v>
      </c>
      <c r="X7060">
        <v>0.86351420000000001</v>
      </c>
      <c r="Y7060">
        <v>-0.30775439999999998</v>
      </c>
      <c r="Z7060">
        <v>5.1719590000000003E-3</v>
      </c>
      <c r="AA7060">
        <v>0.95145179999999996</v>
      </c>
      <c r="AB7060">
        <v>30</v>
      </c>
      <c r="AC7060">
        <v>7.7250999999999896</v>
      </c>
      <c r="AD7060">
        <v>-1.1152550122560001</v>
      </c>
      <c r="AE7060">
        <v>3.92719</v>
      </c>
      <c r="AF7060">
        <v>-2.67905757532484</v>
      </c>
      <c r="AG7060">
        <v>-1.1152550122560001</v>
      </c>
      <c r="AH7060">
        <v>8.09292999423967</v>
      </c>
      <c r="AI7060">
        <v>97.453344818563096</v>
      </c>
      <c r="AJ7060">
        <v>108.316443382663</v>
      </c>
      <c r="AK7060">
        <v>8.5974798124759602</v>
      </c>
      <c r="AL7060">
        <v>66.178793922593599</v>
      </c>
      <c r="AM7060">
        <v>109.27811265334</v>
      </c>
      <c r="AN7060">
        <v>0.99999997573522903</v>
      </c>
    </row>
    <row r="7061" spans="1:40" x14ac:dyDescent="0.25">
      <c r="A7061" t="str">
        <f>"20190304165021534"</f>
        <v>20190304165021534</v>
      </c>
      <c r="B7061" t="str">
        <f>"1551689421532693"</f>
        <v>1551689421532693</v>
      </c>
      <c r="C7061" t="s">
        <v>40</v>
      </c>
      <c r="D7061">
        <v>4.5628479999999998</v>
      </c>
      <c r="E7061">
        <v>0.502664</v>
      </c>
      <c r="F7061" t="s">
        <v>49</v>
      </c>
      <c r="G7061">
        <v>-207.45439999999999</v>
      </c>
      <c r="H7061" s="1">
        <v>-2.1325989999999999E-6</v>
      </c>
      <c r="I7061">
        <v>-58.342930000000003</v>
      </c>
      <c r="J7061">
        <v>-215.19560000000001</v>
      </c>
      <c r="K7061">
        <v>1.1153010000000001</v>
      </c>
      <c r="L7061">
        <v>-62.296259999999997</v>
      </c>
      <c r="M7061">
        <v>0.98816409999999999</v>
      </c>
      <c r="N7061">
        <v>-1.447712E-2</v>
      </c>
      <c r="O7061">
        <v>0.1527154</v>
      </c>
      <c r="P7061">
        <v>0.81349510000000003</v>
      </c>
      <c r="Q7061">
        <v>0.39508559999999998</v>
      </c>
      <c r="R7061">
        <v>0.42677029999999999</v>
      </c>
      <c r="S7061">
        <v>3.0822910000000001</v>
      </c>
      <c r="T7061">
        <v>-0.43552990000000003</v>
      </c>
      <c r="U7061">
        <v>1.553833</v>
      </c>
      <c r="V7061">
        <v>-0.30165180000000003</v>
      </c>
      <c r="W7061">
        <v>0.40457650000000001</v>
      </c>
      <c r="X7061">
        <v>0.86332149999999996</v>
      </c>
      <c r="Y7061">
        <v>-0.30675089999999999</v>
      </c>
      <c r="Z7061">
        <v>4.7895289999999998E-3</v>
      </c>
      <c r="AA7061">
        <v>0.95177780000000001</v>
      </c>
      <c r="AB7061">
        <v>30</v>
      </c>
      <c r="AC7061">
        <v>7.7412000000000099</v>
      </c>
      <c r="AD7061">
        <v>-1.1153031325989999</v>
      </c>
      <c r="AE7061">
        <v>3.95332999999999</v>
      </c>
      <c r="AF7061">
        <v>-2.68049368563686</v>
      </c>
      <c r="AG7061">
        <v>-1.1153031325989999</v>
      </c>
      <c r="AH7061">
        <v>8.1204841316149992</v>
      </c>
      <c r="AI7061">
        <v>97.430726244032499</v>
      </c>
      <c r="AJ7061">
        <v>108.267559617372</v>
      </c>
      <c r="AK7061">
        <v>8.6238744197799608</v>
      </c>
      <c r="AL7061">
        <v>66.135408381784302</v>
      </c>
      <c r="AM7061">
        <v>109.259844551879</v>
      </c>
      <c r="AN7061">
        <v>0.99999998257886902</v>
      </c>
    </row>
    <row r="7062" spans="1:40" x14ac:dyDescent="0.25">
      <c r="A7062" t="str">
        <f>"20190304165021546"</f>
        <v>20190304165021546</v>
      </c>
      <c r="B7062" t="str">
        <f>"1551689421542452"</f>
        <v>1551689421542452</v>
      </c>
      <c r="C7062" t="s">
        <v>40</v>
      </c>
      <c r="D7062">
        <v>4.5733090000000001</v>
      </c>
      <c r="E7062">
        <v>0.50296600000000002</v>
      </c>
      <c r="F7062" t="s">
        <v>49</v>
      </c>
      <c r="G7062">
        <v>-207.31200000000001</v>
      </c>
      <c r="H7062" s="1">
        <v>-2.2310349999999998E-6</v>
      </c>
      <c r="I7062">
        <v>-58.313220000000001</v>
      </c>
      <c r="J7062">
        <v>-215.05070000000001</v>
      </c>
      <c r="K7062">
        <v>1.1153500000000001</v>
      </c>
      <c r="L7062">
        <v>-62.271120000000003</v>
      </c>
      <c r="M7062">
        <v>0.98775840000000004</v>
      </c>
      <c r="N7062">
        <v>-1.447961E-2</v>
      </c>
      <c r="O7062">
        <v>0.15531889999999901</v>
      </c>
      <c r="P7062">
        <v>0.81219759999999996</v>
      </c>
      <c r="Q7062">
        <v>0.39602959999999998</v>
      </c>
      <c r="R7062">
        <v>0.42836419999999997</v>
      </c>
      <c r="S7062">
        <v>3.0825499999999999</v>
      </c>
      <c r="T7062">
        <v>-0.43609360000000003</v>
      </c>
      <c r="U7062">
        <v>1.557404</v>
      </c>
      <c r="V7062">
        <v>-0.301189599999999</v>
      </c>
      <c r="W7062">
        <v>0.40549200000000002</v>
      </c>
      <c r="X7062">
        <v>0.86305330000000002</v>
      </c>
      <c r="Y7062">
        <v>-0.305118099999999</v>
      </c>
      <c r="Z7062">
        <v>4.3698160000000003E-3</v>
      </c>
      <c r="AA7062">
        <v>0.9523045</v>
      </c>
      <c r="AB7062">
        <v>30</v>
      </c>
      <c r="AC7062">
        <v>7.7386999999999899</v>
      </c>
      <c r="AD7062">
        <v>-1.1153522310349999</v>
      </c>
      <c r="AE7062">
        <v>3.9579</v>
      </c>
      <c r="AF7062">
        <v>-2.6639035295907498</v>
      </c>
      <c r="AG7062">
        <v>-1.1153522310349999</v>
      </c>
      <c r="AH7062">
        <v>8.1257722647021495</v>
      </c>
      <c r="AI7062">
        <v>97.431187975603393</v>
      </c>
      <c r="AJ7062">
        <v>108.150897097316</v>
      </c>
      <c r="AK7062">
        <v>8.6237212102458098</v>
      </c>
      <c r="AL7062">
        <v>66.078037120250599</v>
      </c>
      <c r="AM7062">
        <v>109.238040328133</v>
      </c>
      <c r="AN7062">
        <v>0.99999996792652401</v>
      </c>
    </row>
    <row r="7063" spans="1:40" x14ac:dyDescent="0.25">
      <c r="A7063" t="str">
        <f>"20190304165021558"</f>
        <v>20190304165021558</v>
      </c>
      <c r="B7063" t="str">
        <f>"1551689421552225"</f>
        <v>1551689421552225</v>
      </c>
      <c r="C7063" t="s">
        <v>40</v>
      </c>
      <c r="D7063">
        <v>4.5445159999999998</v>
      </c>
      <c r="E7063">
        <v>0.50320019999999999</v>
      </c>
      <c r="F7063" t="s">
        <v>49</v>
      </c>
      <c r="G7063">
        <v>-207.14609999999999</v>
      </c>
      <c r="H7063" s="1">
        <v>-2.3503970000000001E-6</v>
      </c>
      <c r="I7063">
        <v>-58.260869999999997</v>
      </c>
      <c r="J7063">
        <v>-214.89429999999999</v>
      </c>
      <c r="K7063">
        <v>1.1153999999999999</v>
      </c>
      <c r="L7063">
        <v>-62.243769999999998</v>
      </c>
      <c r="M7063">
        <v>0.98730929999999995</v>
      </c>
      <c r="N7063">
        <v>-1.448225E-2</v>
      </c>
      <c r="O7063">
        <v>0.15814790000000001</v>
      </c>
      <c r="P7063">
        <v>0.81085469999999904</v>
      </c>
      <c r="Q7063">
        <v>0.39671689999999998</v>
      </c>
      <c r="R7063">
        <v>0.43026809999999899</v>
      </c>
      <c r="S7063">
        <v>3.081223</v>
      </c>
      <c r="T7063">
        <v>-0.43476609999999999</v>
      </c>
      <c r="U7063">
        <v>1.563202</v>
      </c>
      <c r="V7063">
        <v>-0.30084640000000001</v>
      </c>
      <c r="W7063">
        <v>0.40614749999999999</v>
      </c>
      <c r="X7063">
        <v>0.86286479999999999</v>
      </c>
      <c r="Y7063">
        <v>-0.30401909999999999</v>
      </c>
      <c r="Z7063">
        <v>3.9657390000000002E-3</v>
      </c>
      <c r="AA7063">
        <v>0.95265770000000005</v>
      </c>
      <c r="AB7063">
        <v>30</v>
      </c>
      <c r="AC7063">
        <v>7.74819999999999</v>
      </c>
      <c r="AD7063">
        <v>-1.1154023503970001</v>
      </c>
      <c r="AE7063">
        <v>3.9828999999999999</v>
      </c>
      <c r="AF7063">
        <v>-2.6636143775538601</v>
      </c>
      <c r="AG7063">
        <v>-1.1154023503970001</v>
      </c>
      <c r="AH7063">
        <v>8.1470780032912398</v>
      </c>
      <c r="AI7063">
        <v>97.414235465949005</v>
      </c>
      <c r="AJ7063">
        <v>108.104694270835</v>
      </c>
      <c r="AK7063">
        <v>8.6437170214725807</v>
      </c>
      <c r="AL7063">
        <v>66.036944740717402</v>
      </c>
      <c r="AM7063">
        <v>109.221617590376</v>
      </c>
      <c r="AN7063">
        <v>1.0000000056141201</v>
      </c>
    </row>
    <row r="7064" spans="1:40" x14ac:dyDescent="0.25">
      <c r="A7064" t="str">
        <f>"20190304165021568"</f>
        <v>20190304165021568</v>
      </c>
      <c r="B7064" t="str">
        <f>"1551689421562948"</f>
        <v>1551689421562948</v>
      </c>
      <c r="C7064" t="s">
        <v>40</v>
      </c>
      <c r="D7064">
        <v>4.545166</v>
      </c>
      <c r="E7064">
        <v>0.50342010000000004</v>
      </c>
      <c r="F7064" t="s">
        <v>49</v>
      </c>
      <c r="G7064">
        <v>-206.9881</v>
      </c>
      <c r="H7064" s="1">
        <v>-2.46392E-6</v>
      </c>
      <c r="I7064">
        <v>-58.211750000000002</v>
      </c>
      <c r="J7064">
        <v>-214.74270000000001</v>
      </c>
      <c r="K7064">
        <v>1.115451</v>
      </c>
      <c r="L7064">
        <v>-62.216610000000003</v>
      </c>
      <c r="M7064">
        <v>0.9868574</v>
      </c>
      <c r="N7064">
        <v>-1.448531E-2</v>
      </c>
      <c r="O7064">
        <v>0.16094269999999999</v>
      </c>
      <c r="P7064">
        <v>0.80950869999999997</v>
      </c>
      <c r="Q7064">
        <v>0.39725329999999998</v>
      </c>
      <c r="R7064">
        <v>0.43230249999999998</v>
      </c>
      <c r="S7064">
        <v>3.0790709999999999</v>
      </c>
      <c r="T7064">
        <v>-0.43439640000000002</v>
      </c>
      <c r="U7064">
        <v>1.570282</v>
      </c>
      <c r="V7064">
        <v>-0.30066540000000003</v>
      </c>
      <c r="W7064">
        <v>0.40665020000000002</v>
      </c>
      <c r="X7064">
        <v>0.86269110000000004</v>
      </c>
      <c r="Y7064">
        <v>-0.30335719999999999</v>
      </c>
      <c r="Z7064">
        <v>3.5988470000000001E-3</v>
      </c>
      <c r="AA7064">
        <v>0.95287010000000005</v>
      </c>
      <c r="AB7064">
        <v>30</v>
      </c>
      <c r="AC7064">
        <v>7.7546000000000097</v>
      </c>
      <c r="AD7064">
        <v>-1.11545346392</v>
      </c>
      <c r="AE7064">
        <v>4.0048599999999901</v>
      </c>
      <c r="AF7064">
        <v>-2.6609975186464201</v>
      </c>
      <c r="AG7064">
        <v>-1.11545346392</v>
      </c>
      <c r="AH7064">
        <v>8.1647421516638499</v>
      </c>
      <c r="AI7064">
        <v>97.400926978955098</v>
      </c>
      <c r="AJ7064">
        <v>108.051474568279</v>
      </c>
      <c r="AK7064">
        <v>8.6595703489012692</v>
      </c>
      <c r="AL7064">
        <v>66.005421450689894</v>
      </c>
      <c r="AM7064">
        <v>109.214485367853</v>
      </c>
      <c r="AN7064">
        <v>1.0000000009682</v>
      </c>
    </row>
    <row r="7065" spans="1:40" x14ac:dyDescent="0.25">
      <c r="A7065" t="str">
        <f>"20190304165021579"</f>
        <v>20190304165021579</v>
      </c>
      <c r="B7065" t="str">
        <f>"1551689421572708"</f>
        <v>1551689421572708</v>
      </c>
      <c r="C7065" t="s">
        <v>40</v>
      </c>
      <c r="D7065">
        <v>4.552238</v>
      </c>
      <c r="E7065">
        <v>0.50362180000000001</v>
      </c>
      <c r="F7065" t="s">
        <v>49</v>
      </c>
      <c r="G7065">
        <v>-206.8407</v>
      </c>
      <c r="H7065" s="1">
        <v>-2.569726E-6</v>
      </c>
      <c r="I7065">
        <v>-58.166200000000003</v>
      </c>
      <c r="J7065">
        <v>-214.6071</v>
      </c>
      <c r="K7065">
        <v>1.115502</v>
      </c>
      <c r="L7065">
        <v>-62.192050000000002</v>
      </c>
      <c r="M7065">
        <v>0.98644270000000001</v>
      </c>
      <c r="N7065">
        <v>-1.44881E-2</v>
      </c>
      <c r="O7065">
        <v>0.16346540000000001</v>
      </c>
      <c r="P7065">
        <v>0.8083226</v>
      </c>
      <c r="Q7065">
        <v>0.39753870000000002</v>
      </c>
      <c r="R7065">
        <v>0.43425530000000001</v>
      </c>
      <c r="S7065">
        <v>3.0768589999999998</v>
      </c>
      <c r="T7065">
        <v>-0.43433490000000002</v>
      </c>
      <c r="U7065">
        <v>1.577148</v>
      </c>
      <c r="V7065">
        <v>-0.30061169999999998</v>
      </c>
      <c r="W7065">
        <v>0.40690460000000001</v>
      </c>
      <c r="X7065">
        <v>0.86258979999999996</v>
      </c>
      <c r="Y7065">
        <v>-0.30290479999999997</v>
      </c>
      <c r="Z7065">
        <v>3.2783589999999998E-3</v>
      </c>
      <c r="AA7065">
        <v>0.95301519999999995</v>
      </c>
      <c r="AB7065">
        <v>30</v>
      </c>
      <c r="AC7065">
        <v>7.7664</v>
      </c>
      <c r="AD7065">
        <v>-1.115504569726</v>
      </c>
      <c r="AE7065">
        <v>4.0258499999999904</v>
      </c>
      <c r="AF7065">
        <v>-2.6587822112179902</v>
      </c>
      <c r="AG7065">
        <v>-1.115504569726</v>
      </c>
      <c r="AH7065">
        <v>8.1869424134008604</v>
      </c>
      <c r="AI7065">
        <v>97.383893725850498</v>
      </c>
      <c r="AJ7065">
        <v>107.99166514423</v>
      </c>
      <c r="AK7065">
        <v>8.6798329115318094</v>
      </c>
      <c r="AL7065">
        <v>65.989464500837698</v>
      </c>
      <c r="AM7065">
        <v>109.213395855683</v>
      </c>
      <c r="AN7065">
        <v>0.99999995537104402</v>
      </c>
    </row>
    <row r="7066" spans="1:40" x14ac:dyDescent="0.25">
      <c r="A7066" t="str">
        <f>"20190304165021590"</f>
        <v>20190304165021590</v>
      </c>
      <c r="B7066" t="str">
        <f>"1551689421582468"</f>
        <v>1551689421582468</v>
      </c>
      <c r="C7066" t="s">
        <v>40</v>
      </c>
      <c r="D7066">
        <v>4.5542610000000003</v>
      </c>
      <c r="E7066">
        <v>0.50362180000000001</v>
      </c>
      <c r="F7066" t="s">
        <v>49</v>
      </c>
      <c r="G7066">
        <v>-206.7295</v>
      </c>
      <c r="H7066" s="1">
        <v>-2.6491269999999999E-6</v>
      </c>
      <c r="I7066">
        <v>-58.133470000000003</v>
      </c>
      <c r="J7066">
        <v>-214.4692</v>
      </c>
      <c r="K7066">
        <v>1.115548</v>
      </c>
      <c r="L7066">
        <v>-62.166600000000003</v>
      </c>
      <c r="M7066">
        <v>0.986008</v>
      </c>
      <c r="N7066">
        <v>-1.449113E-2</v>
      </c>
      <c r="O7066">
        <v>0.16606699999999999</v>
      </c>
      <c r="P7066">
        <v>0.80707609999999996</v>
      </c>
      <c r="Q7066">
        <v>0.39775660000000002</v>
      </c>
      <c r="R7066">
        <v>0.4363689</v>
      </c>
      <c r="S7066">
        <v>3.074554</v>
      </c>
      <c r="T7066">
        <v>-0.43536819999999998</v>
      </c>
      <c r="U7066">
        <v>1.584015</v>
      </c>
      <c r="V7066">
        <v>-0.30065799999999998</v>
      </c>
      <c r="W7066">
        <v>0.40709070000000003</v>
      </c>
      <c r="X7066">
        <v>0.86248590000000003</v>
      </c>
      <c r="Y7066">
        <v>-0.30237969999999997</v>
      </c>
      <c r="Z7066">
        <v>2.939582E-3</v>
      </c>
      <c r="AA7066">
        <v>0.95318309999999995</v>
      </c>
      <c r="AB7066">
        <v>30</v>
      </c>
      <c r="AC7066">
        <v>7.7396999999999903</v>
      </c>
      <c r="AD7066">
        <v>-1.115550649127</v>
      </c>
      <c r="AE7066">
        <v>4.0331299999999999</v>
      </c>
      <c r="AF7066">
        <v>-2.64840260049895</v>
      </c>
      <c r="AG7066">
        <v>-1.115550649127</v>
      </c>
      <c r="AH7066">
        <v>8.1685888921950802</v>
      </c>
      <c r="AI7066">
        <v>97.401765216528403</v>
      </c>
      <c r="AJ7066">
        <v>107.96362138560001</v>
      </c>
      <c r="AK7066">
        <v>8.6593495179944195</v>
      </c>
      <c r="AL7066">
        <v>65.977792310596598</v>
      </c>
      <c r="AM7066">
        <v>109.218283265669</v>
      </c>
      <c r="AN7066">
        <v>0.99999999934465</v>
      </c>
    </row>
    <row r="7067" spans="1:40" x14ac:dyDescent="0.25">
      <c r="A7067" t="str">
        <f>"20190304165021601"</f>
        <v>20190304165021601</v>
      </c>
      <c r="B7067" t="str">
        <f>"1551689421592229"</f>
        <v>1551689421592229</v>
      </c>
      <c r="C7067" t="s">
        <v>40</v>
      </c>
      <c r="D7067">
        <v>4.5495960000000002</v>
      </c>
      <c r="E7067">
        <v>0.51035839999999999</v>
      </c>
      <c r="F7067" t="s">
        <v>49</v>
      </c>
      <c r="G7067">
        <v>-206.58510000000001</v>
      </c>
      <c r="H7067" s="1">
        <v>-2.7549480000000001E-6</v>
      </c>
      <c r="I7067">
        <v>-58.08061</v>
      </c>
      <c r="J7067">
        <v>-214.3177</v>
      </c>
      <c r="K7067">
        <v>1.1155969999999999</v>
      </c>
      <c r="L7067">
        <v>-62.138120000000001</v>
      </c>
      <c r="M7067">
        <v>0.98551630000000001</v>
      </c>
      <c r="N7067">
        <v>-1.449451E-2</v>
      </c>
      <c r="O7067">
        <v>0.16896059999999999</v>
      </c>
      <c r="P7067">
        <v>0.80567169999999999</v>
      </c>
      <c r="Q7067">
        <v>0.39810669999999998</v>
      </c>
      <c r="R7067">
        <v>0.43863920000000001</v>
      </c>
      <c r="S7067">
        <v>3.070786</v>
      </c>
      <c r="T7067">
        <v>-0.43449880000000002</v>
      </c>
      <c r="U7067">
        <v>1.591461</v>
      </c>
      <c r="V7067">
        <v>-0.30063689999999998</v>
      </c>
      <c r="W7067">
        <v>0.40740500000000002</v>
      </c>
      <c r="X7067">
        <v>0.86234480000000002</v>
      </c>
      <c r="Y7067">
        <v>-0.30190929999999999</v>
      </c>
      <c r="Z7067">
        <v>2.5782420000000001E-3</v>
      </c>
      <c r="AA7067">
        <v>0.95333319999999999</v>
      </c>
      <c r="AB7067">
        <v>30</v>
      </c>
      <c r="AC7067">
        <v>7.7325999999999899</v>
      </c>
      <c r="AD7067">
        <v>-1.1155997549479999</v>
      </c>
      <c r="AE7067">
        <v>4.05750999999999</v>
      </c>
      <c r="AF7067">
        <v>-2.6492818958172202</v>
      </c>
      <c r="AG7067">
        <v>-1.1155997549479999</v>
      </c>
      <c r="AH7067">
        <v>8.1736348733613298</v>
      </c>
      <c r="AI7067">
        <v>97.397767063033001</v>
      </c>
      <c r="AJ7067">
        <v>107.95882144645</v>
      </c>
      <c r="AK7067">
        <v>8.6643848263897798</v>
      </c>
      <c r="AL7067">
        <v>65.958074284822402</v>
      </c>
      <c r="AM7067">
        <v>109.21994718324601</v>
      </c>
      <c r="AN7067">
        <v>0.99999996687682402</v>
      </c>
    </row>
    <row r="7068" spans="1:40" x14ac:dyDescent="0.25">
      <c r="A7068" t="str">
        <f>"20190304165021611"</f>
        <v>20190304165021611</v>
      </c>
      <c r="B7068" t="str">
        <f>"1551689421602964"</f>
        <v>1551689421602964</v>
      </c>
      <c r="C7068" t="s">
        <v>40</v>
      </c>
      <c r="D7068">
        <v>4.5208349999999999</v>
      </c>
      <c r="E7068">
        <v>0.50779390000000002</v>
      </c>
      <c r="F7068" t="s">
        <v>49</v>
      </c>
      <c r="G7068">
        <v>-207.39930000000001</v>
      </c>
      <c r="H7068" s="1">
        <v>-2.082072E-6</v>
      </c>
      <c r="I7068">
        <v>-58.664580000000001</v>
      </c>
      <c r="J7068">
        <v>-214.1781</v>
      </c>
      <c r="K7068">
        <v>1.115637</v>
      </c>
      <c r="L7068">
        <v>-62.111569999999901</v>
      </c>
      <c r="M7068">
        <v>0.98505039999999999</v>
      </c>
      <c r="N7068">
        <v>-1.4497599999999999E-2</v>
      </c>
      <c r="O7068">
        <v>0.17165569999999999</v>
      </c>
      <c r="P7068">
        <v>0.80438669999999901</v>
      </c>
      <c r="Q7068">
        <v>0.39804469999999997</v>
      </c>
      <c r="R7068">
        <v>0.44104710000000003</v>
      </c>
      <c r="S7068">
        <v>3.1194760000000001</v>
      </c>
      <c r="T7068">
        <v>-0.50301439999999997</v>
      </c>
      <c r="U7068">
        <v>1.5661929999999999</v>
      </c>
      <c r="V7068">
        <v>-0.30089909999999997</v>
      </c>
      <c r="W7068">
        <v>0.40730880000000003</v>
      </c>
      <c r="X7068">
        <v>0.86229880000000003</v>
      </c>
      <c r="Y7068">
        <v>-0.28680939999999999</v>
      </c>
      <c r="Z7068">
        <v>6.5981969999999999E-4</v>
      </c>
      <c r="AA7068">
        <v>0.95798740000000004</v>
      </c>
      <c r="AB7068">
        <v>30</v>
      </c>
      <c r="AC7068">
        <v>6.7787999999999897</v>
      </c>
      <c r="AD7068">
        <v>-1.1156390820719999</v>
      </c>
      <c r="AE7068">
        <v>3.44698999999998</v>
      </c>
      <c r="AF7068">
        <v>-2.18504889863235</v>
      </c>
      <c r="AG7068">
        <v>-1.1156390820719999</v>
      </c>
      <c r="AH7068">
        <v>7.1167579101862799</v>
      </c>
      <c r="AI7068">
        <v>98.522808842095799</v>
      </c>
      <c r="AJ7068">
        <v>107.067988729375</v>
      </c>
      <c r="AK7068">
        <v>7.5277707459154097</v>
      </c>
      <c r="AL7068">
        <v>65.964109761089404</v>
      </c>
      <c r="AM7068">
        <v>109.236429596338</v>
      </c>
      <c r="AN7068">
        <v>0.99999997370984395</v>
      </c>
    </row>
    <row r="7069" spans="1:40" x14ac:dyDescent="0.25">
      <c r="A7069" t="str">
        <f>"20190304165021624"</f>
        <v>20190304165021624</v>
      </c>
      <c r="B7069" t="str">
        <f>"1551689421612724"</f>
        <v>1551689421612724</v>
      </c>
      <c r="C7069" t="s">
        <v>40</v>
      </c>
      <c r="D7069">
        <v>4.5817199999999998</v>
      </c>
      <c r="E7069">
        <v>0.50898580000000004</v>
      </c>
      <c r="F7069" t="s">
        <v>49</v>
      </c>
      <c r="G7069">
        <v>-206.90360000000001</v>
      </c>
      <c r="H7069" s="1">
        <v>-2.473034E-6</v>
      </c>
      <c r="I7069">
        <v>-58.379289999999997</v>
      </c>
      <c r="J7069">
        <v>-214.0292</v>
      </c>
      <c r="K7069">
        <v>1.115686</v>
      </c>
      <c r="L7069">
        <v>-62.08258</v>
      </c>
      <c r="M7069">
        <v>0.98453630000000003</v>
      </c>
      <c r="N7069">
        <v>-1.4501139999999999E-2</v>
      </c>
      <c r="O7069">
        <v>0.17457979999999901</v>
      </c>
      <c r="P7069">
        <v>0.80320419999999904</v>
      </c>
      <c r="Q7069">
        <v>0.39771380000000001</v>
      </c>
      <c r="R7069">
        <v>0.4434941</v>
      </c>
      <c r="S7069">
        <v>3.0939480000000001</v>
      </c>
      <c r="T7069">
        <v>-0.47450019999999998</v>
      </c>
      <c r="U7069">
        <v>1.587402</v>
      </c>
      <c r="V7069">
        <v>-0.300981099999999</v>
      </c>
      <c r="W7069">
        <v>0.40694649999999999</v>
      </c>
      <c r="X7069">
        <v>0.86244129999999997</v>
      </c>
      <c r="Y7069">
        <v>-0.29245450000000001</v>
      </c>
      <c r="Z7069">
        <v>9.4739909999999995E-4</v>
      </c>
      <c r="AA7069">
        <v>0.95627899999999999</v>
      </c>
      <c r="AB7069">
        <v>30</v>
      </c>
      <c r="AC7069">
        <v>7.1255999999999897</v>
      </c>
      <c r="AD7069">
        <v>-1.115688473034</v>
      </c>
      <c r="AE7069">
        <v>3.70329</v>
      </c>
      <c r="AF7069">
        <v>-2.3567990176717402</v>
      </c>
      <c r="AG7069">
        <v>-1.115688473034</v>
      </c>
      <c r="AH7069">
        <v>7.5176310790489396</v>
      </c>
      <c r="AI7069">
        <v>98.060258760281002</v>
      </c>
      <c r="AJ7069">
        <v>107.406358464695</v>
      </c>
      <c r="AK7069">
        <v>7.95701196550828</v>
      </c>
      <c r="AL7069">
        <v>65.986838435593597</v>
      </c>
      <c r="AM7069">
        <v>109.23834097657701</v>
      </c>
      <c r="AN7069">
        <v>1.0000000361825701</v>
      </c>
    </row>
    <row r="7070" spans="1:40" x14ac:dyDescent="0.25">
      <c r="A7070" t="str">
        <f>"20190304165021636"</f>
        <v>20190304165021636</v>
      </c>
      <c r="B7070" t="str">
        <f>"1551689421632244"</f>
        <v>1551689421632244</v>
      </c>
      <c r="C7070" t="s">
        <v>40</v>
      </c>
      <c r="D7070">
        <v>4.5461169999999997</v>
      </c>
      <c r="E7070">
        <v>0.50988770000000005</v>
      </c>
      <c r="F7070" t="s">
        <v>49</v>
      </c>
      <c r="G7070">
        <v>-206.9358</v>
      </c>
      <c r="H7070" s="1">
        <v>-2.4356699999999998E-6</v>
      </c>
      <c r="I7070">
        <v>-58.442839999999997</v>
      </c>
      <c r="J7070">
        <v>-213.8793</v>
      </c>
      <c r="K7070">
        <v>1.1157349999999999</v>
      </c>
      <c r="L7070">
        <v>-62.053159999999998</v>
      </c>
      <c r="M7070">
        <v>0.98400690000000002</v>
      </c>
      <c r="N7070">
        <v>-1.450455E-2</v>
      </c>
      <c r="O7070">
        <v>0.17753929999999901</v>
      </c>
      <c r="P7070">
        <v>0.80183519999999997</v>
      </c>
      <c r="Q7070">
        <v>0.3976326</v>
      </c>
      <c r="R7070">
        <v>0.44603660000000001</v>
      </c>
      <c r="S7070">
        <v>3.0984500000000001</v>
      </c>
      <c r="T7070">
        <v>-0.48734319999999998</v>
      </c>
      <c r="U7070">
        <v>1.589874</v>
      </c>
      <c r="V7070">
        <v>-0.30116310000000002</v>
      </c>
      <c r="W7070">
        <v>0.40682970000000002</v>
      </c>
      <c r="X7070">
        <v>0.8624328</v>
      </c>
      <c r="Y7070">
        <v>-0.28960089999999999</v>
      </c>
      <c r="Z7070">
        <v>2.4187009999999999E-4</v>
      </c>
      <c r="AA7070">
        <v>0.95714750000000004</v>
      </c>
      <c r="AB7070">
        <v>30</v>
      </c>
      <c r="AC7070">
        <v>6.9435000000000002</v>
      </c>
      <c r="AD7070">
        <v>-1.1157374356700001</v>
      </c>
      <c r="AE7070">
        <v>3.61031999999999</v>
      </c>
      <c r="AF7070">
        <v>-2.2738620701502898</v>
      </c>
      <c r="AG7070">
        <v>-1.1157374356700001</v>
      </c>
      <c r="AH7070">
        <v>7.3253201841316598</v>
      </c>
      <c r="AI7070">
        <v>98.276502863242897</v>
      </c>
      <c r="AJ7070">
        <v>107.24493267822299</v>
      </c>
      <c r="AK7070">
        <v>7.7508473433212597</v>
      </c>
      <c r="AL7070">
        <v>65.994162908972896</v>
      </c>
      <c r="AM7070">
        <v>109.249294373081</v>
      </c>
      <c r="AN7070">
        <v>0.99999997605976898</v>
      </c>
    </row>
    <row r="7071" spans="1:40" x14ac:dyDescent="0.25">
      <c r="A7071" t="str">
        <f>"20190304165021646"</f>
        <v>20190304165021646</v>
      </c>
      <c r="B7071" t="str">
        <f>"1551689421642004"</f>
        <v>1551689421642004</v>
      </c>
      <c r="C7071" t="s">
        <v>40</v>
      </c>
      <c r="D7071">
        <v>4.5356629999999996</v>
      </c>
      <c r="E7071">
        <v>0.51010949999999999</v>
      </c>
      <c r="F7071" t="s">
        <v>49</v>
      </c>
      <c r="G7071">
        <v>-206.7116</v>
      </c>
      <c r="H7071" s="1">
        <v>-2.5990410000000001E-6</v>
      </c>
      <c r="I7071">
        <v>-58.364510000000003</v>
      </c>
      <c r="J7071">
        <v>-213.7296</v>
      </c>
      <c r="K7071">
        <v>1.1157859999999999</v>
      </c>
      <c r="L7071">
        <v>-62.022979999999997</v>
      </c>
      <c r="M7071">
        <v>0.98345700000000003</v>
      </c>
      <c r="N7071">
        <v>-1.4508419999999999E-2</v>
      </c>
      <c r="O7071">
        <v>0.1805601</v>
      </c>
      <c r="P7071">
        <v>0.80032689999999995</v>
      </c>
      <c r="Q7071">
        <v>0.39768290000000001</v>
      </c>
      <c r="R7071">
        <v>0.44869300000000001</v>
      </c>
      <c r="S7071">
        <v>3.094452</v>
      </c>
      <c r="T7071">
        <v>-0.48168640000000001</v>
      </c>
      <c r="U7071">
        <v>1.592468</v>
      </c>
      <c r="V7071">
        <v>-0.30143150000000002</v>
      </c>
      <c r="W7071">
        <v>0.40684239999999999</v>
      </c>
      <c r="X7071">
        <v>0.86233309999999996</v>
      </c>
      <c r="Y7071">
        <v>-0.28787000000000001</v>
      </c>
      <c r="Z7071">
        <v>-2.3202410000000001E-4</v>
      </c>
      <c r="AA7071">
        <v>0.95766949999999995</v>
      </c>
      <c r="AB7071">
        <v>30</v>
      </c>
      <c r="AC7071">
        <v>7.0179999999999998</v>
      </c>
      <c r="AD7071">
        <v>-1.1157885990409999</v>
      </c>
      <c r="AE7071">
        <v>3.6584699999999999</v>
      </c>
      <c r="AF7071">
        <v>-2.2855933026420798</v>
      </c>
      <c r="AG7071">
        <v>-1.1157885990409999</v>
      </c>
      <c r="AH7071">
        <v>7.4158707409809903</v>
      </c>
      <c r="AI7071">
        <v>98.182218703183395</v>
      </c>
      <c r="AJ7071">
        <v>107.129452836968</v>
      </c>
      <c r="AK7071">
        <v>7.8399017716914097</v>
      </c>
      <c r="AL7071">
        <v>65.993367765781997</v>
      </c>
      <c r="AM7071">
        <v>109.26724918866501</v>
      </c>
      <c r="AN7071">
        <v>1.0000000314927999</v>
      </c>
    </row>
    <row r="7072" spans="1:40" x14ac:dyDescent="0.25">
      <c r="A7072" t="str">
        <f>"20190304165021659"</f>
        <v>20190304165021659</v>
      </c>
      <c r="B7072" t="str">
        <f>"1551689421652740"</f>
        <v>1551689421652740</v>
      </c>
      <c r="C7072" t="s">
        <v>40</v>
      </c>
      <c r="D7072">
        <v>4.6266879999999997</v>
      </c>
      <c r="E7072">
        <v>0.51013339999999996</v>
      </c>
      <c r="F7072" t="s">
        <v>49</v>
      </c>
      <c r="G7072">
        <v>-206.6155</v>
      </c>
      <c r="H7072" s="1">
        <v>-2.6674329999999999E-6</v>
      </c>
      <c r="I7072">
        <v>-58.336959999999998</v>
      </c>
      <c r="J7072">
        <v>-213.57</v>
      </c>
      <c r="K7072">
        <v>1.1158399999999999</v>
      </c>
      <c r="L7072">
        <v>-61.990419999999901</v>
      </c>
      <c r="M7072">
        <v>0.9828559</v>
      </c>
      <c r="N7072">
        <v>-1.451245E-2</v>
      </c>
      <c r="O7072">
        <v>0.18380350000000001</v>
      </c>
      <c r="P7072">
        <v>0.79896</v>
      </c>
      <c r="Q7072">
        <v>0.39745140000000001</v>
      </c>
      <c r="R7072">
        <v>0.45132620000000001</v>
      </c>
      <c r="S7072">
        <v>3.091415</v>
      </c>
      <c r="T7072">
        <v>-0.48486109999999999</v>
      </c>
      <c r="U7072">
        <v>1.6017459999999999</v>
      </c>
      <c r="V7072">
        <v>-0.30145509999999998</v>
      </c>
      <c r="W7072">
        <v>0.40657749999999998</v>
      </c>
      <c r="X7072">
        <v>0.86244979999999904</v>
      </c>
      <c r="Y7072">
        <v>-0.28737580000000001</v>
      </c>
      <c r="Z7072">
        <v>-7.1674960000000002E-4</v>
      </c>
      <c r="AA7072">
        <v>0.95781760000000005</v>
      </c>
      <c r="AB7072">
        <v>30</v>
      </c>
      <c r="AC7072">
        <v>6.9544999999999897</v>
      </c>
      <c r="AD7072">
        <v>-1.115842667433</v>
      </c>
      <c r="AE7072">
        <v>3.6534599999999902</v>
      </c>
      <c r="AF7072">
        <v>-2.2670669231737599</v>
      </c>
      <c r="AG7072">
        <v>-1.115842667433</v>
      </c>
      <c r="AH7072">
        <v>7.3591048059536996</v>
      </c>
      <c r="AI7072">
        <v>98.245184127666604</v>
      </c>
      <c r="AJ7072">
        <v>107.122122182746</v>
      </c>
      <c r="AK7072">
        <v>7.7808174916022397</v>
      </c>
      <c r="AL7072">
        <v>66.009982008375999</v>
      </c>
      <c r="AM7072">
        <v>109.266231359654</v>
      </c>
      <c r="AN7072">
        <v>1.00000004917114</v>
      </c>
    </row>
    <row r="7073" spans="1:40" x14ac:dyDescent="0.25">
      <c r="A7073" t="str">
        <f>"20190304165021670"</f>
        <v>20190304165021670</v>
      </c>
      <c r="B7073" t="str">
        <f>"1551689421662500"</f>
        <v>1551689421662500</v>
      </c>
      <c r="C7073" t="s">
        <v>40</v>
      </c>
      <c r="D7073">
        <v>4.5536899999999996</v>
      </c>
      <c r="E7073">
        <v>0.51028320000000005</v>
      </c>
      <c r="F7073" t="s">
        <v>49</v>
      </c>
      <c r="G7073">
        <v>-206.5137</v>
      </c>
      <c r="H7073" s="1">
        <v>-2.740906E-6</v>
      </c>
      <c r="I7073">
        <v>-58.304049999999997</v>
      </c>
      <c r="J7073">
        <v>-213.42859999999999</v>
      </c>
      <c r="K7073">
        <v>1.1158870000000001</v>
      </c>
      <c r="L7073">
        <v>-61.961030000000001</v>
      </c>
      <c r="M7073">
        <v>0.98230680000000004</v>
      </c>
      <c r="N7073">
        <v>-1.451621E-2</v>
      </c>
      <c r="O7073">
        <v>0.18671579999999999</v>
      </c>
      <c r="P7073">
        <v>0.79761879999999996</v>
      </c>
      <c r="Q7073">
        <v>0.39721430000000002</v>
      </c>
      <c r="R7073">
        <v>0.45389990000000002</v>
      </c>
      <c r="S7073">
        <v>3.0867610000000001</v>
      </c>
      <c r="T7073">
        <v>-0.48811979999999999</v>
      </c>
      <c r="U7073">
        <v>1.612579</v>
      </c>
      <c r="V7073">
        <v>-0.30170200000000003</v>
      </c>
      <c r="W7073">
        <v>0.4063078</v>
      </c>
      <c r="X7073">
        <v>0.86249050000000005</v>
      </c>
      <c r="Y7073">
        <v>-0.2877729</v>
      </c>
      <c r="Z7073">
        <v>-1.095146E-3</v>
      </c>
      <c r="AA7073">
        <v>0.95769800000000005</v>
      </c>
      <c r="AB7073">
        <v>30</v>
      </c>
      <c r="AC7073">
        <v>6.9148999999999798</v>
      </c>
      <c r="AD7073">
        <v>-1.115889740906</v>
      </c>
      <c r="AE7073">
        <v>3.6569800000000101</v>
      </c>
      <c r="AF7073">
        <v>-2.2554979095244301</v>
      </c>
      <c r="AG7073">
        <v>-1.115889740906</v>
      </c>
      <c r="AH7073">
        <v>7.3270500939018799</v>
      </c>
      <c r="AI7073">
        <v>98.281631995061403</v>
      </c>
      <c r="AJ7073">
        <v>107.110021849988</v>
      </c>
      <c r="AK7073">
        <v>7.7471377819344296</v>
      </c>
      <c r="AL7073">
        <v>66.026893231342399</v>
      </c>
      <c r="AM7073">
        <v>109.280004074915</v>
      </c>
      <c r="AN7073">
        <v>0.99999999386754501</v>
      </c>
    </row>
    <row r="7074" spans="1:40" x14ac:dyDescent="0.25">
      <c r="A7074" t="str">
        <f>"20190304165021682"</f>
        <v>20190304165021682</v>
      </c>
      <c r="B7074" t="str">
        <f>"1551689421672260"</f>
        <v>1551689421672260</v>
      </c>
      <c r="C7074" t="s">
        <v>40</v>
      </c>
      <c r="D7074">
        <v>4.5392089999999996</v>
      </c>
      <c r="E7074">
        <v>0.51049699999999998</v>
      </c>
      <c r="F7074" t="s">
        <v>49</v>
      </c>
      <c r="G7074">
        <v>-206.46289999999999</v>
      </c>
      <c r="H7074" s="1">
        <v>-2.7756499999999998E-6</v>
      </c>
      <c r="I7074">
        <v>-58.294879999999999</v>
      </c>
      <c r="J7074">
        <v>-213.28700000000001</v>
      </c>
      <c r="K7074">
        <v>1.115928</v>
      </c>
      <c r="L7074">
        <v>-61.931150000000002</v>
      </c>
      <c r="M7074">
        <v>0.98174189999999995</v>
      </c>
      <c r="N7074">
        <v>-1.451998E-2</v>
      </c>
      <c r="O7074">
        <v>0.18966279999999999</v>
      </c>
      <c r="P7074">
        <v>0.79622179999999998</v>
      </c>
      <c r="Q7074">
        <v>0.39700530000000001</v>
      </c>
      <c r="R7074">
        <v>0.45652779999999998</v>
      </c>
      <c r="S7074">
        <v>3.0836329999999998</v>
      </c>
      <c r="T7074">
        <v>-0.49398979999999998</v>
      </c>
      <c r="U7074">
        <v>1.6229549999999999</v>
      </c>
      <c r="V7074">
        <v>-0.30198350000000002</v>
      </c>
      <c r="W7074">
        <v>0.40606560000000003</v>
      </c>
      <c r="X7074">
        <v>0.86250609999999905</v>
      </c>
      <c r="Y7074">
        <v>-0.28781780000000001</v>
      </c>
      <c r="Z7074">
        <v>-1.543123E-3</v>
      </c>
      <c r="AA7074">
        <v>0.95768390000000003</v>
      </c>
      <c r="AB7074">
        <v>30</v>
      </c>
      <c r="AC7074">
        <v>6.8241000000000103</v>
      </c>
      <c r="AD7074">
        <v>-1.1159307756499901</v>
      </c>
      <c r="AE7074">
        <v>3.6362699999999899</v>
      </c>
      <c r="AF7074">
        <v>-2.2294073618266301</v>
      </c>
      <c r="AG7074">
        <v>-1.1159307756499901</v>
      </c>
      <c r="AH7074">
        <v>7.2391742841194597</v>
      </c>
      <c r="AI7074">
        <v>98.3807382472272</v>
      </c>
      <c r="AJ7074">
        <v>107.116964958925</v>
      </c>
      <c r="AK7074">
        <v>7.6564484584476897</v>
      </c>
      <c r="AL7074">
        <v>66.042080626607103</v>
      </c>
      <c r="AM7074">
        <v>109.296340645461</v>
      </c>
      <c r="AN7074">
        <v>1.0000000391563999</v>
      </c>
    </row>
    <row r="7075" spans="1:40" x14ac:dyDescent="0.25">
      <c r="A7075" t="str">
        <f>"20190304165021691"</f>
        <v>20190304165021691</v>
      </c>
      <c r="B7075" t="str">
        <f>"1551689421682021"</f>
        <v>1551689421682021</v>
      </c>
      <c r="C7075" t="s">
        <v>40</v>
      </c>
      <c r="D7075">
        <v>4.5133570000000001</v>
      </c>
      <c r="E7075">
        <v>0.51066959999999995</v>
      </c>
      <c r="F7075" t="s">
        <v>49</v>
      </c>
      <c r="G7075">
        <v>-206.40979999999999</v>
      </c>
      <c r="H7075" s="1">
        <v>-2.8116190000000002E-6</v>
      </c>
      <c r="I7075">
        <v>-58.286479999999997</v>
      </c>
      <c r="J7075">
        <v>-213.14840000000001</v>
      </c>
      <c r="K7075">
        <v>1.1159709999999901</v>
      </c>
      <c r="L7075">
        <v>-61.90146</v>
      </c>
      <c r="M7075">
        <v>0.98117460000000001</v>
      </c>
      <c r="N7075">
        <v>-1.4523609999999999E-2</v>
      </c>
      <c r="O7075">
        <v>0.19257569999999999</v>
      </c>
      <c r="P7075">
        <v>0.79492419999999997</v>
      </c>
      <c r="Q7075">
        <v>0.3966248</v>
      </c>
      <c r="R7075">
        <v>0.45911239999999998</v>
      </c>
      <c r="S7075">
        <v>3.0808870000000002</v>
      </c>
      <c r="T7075">
        <v>-0.49991770000000002</v>
      </c>
      <c r="U7075">
        <v>1.6327510000000001</v>
      </c>
      <c r="V7075">
        <v>-0.30223060000000002</v>
      </c>
      <c r="W7075">
        <v>0.40565459999999998</v>
      </c>
      <c r="X7075">
        <v>0.86261290000000002</v>
      </c>
      <c r="Y7075">
        <v>-0.28770319999999999</v>
      </c>
      <c r="Z7075">
        <v>-2.0099430000000001E-3</v>
      </c>
      <c r="AA7075">
        <v>0.9577175</v>
      </c>
      <c r="AB7075">
        <v>30</v>
      </c>
      <c r="AC7075">
        <v>6.7386000000000204</v>
      </c>
      <c r="AD7075">
        <v>-1.1159738116189999</v>
      </c>
      <c r="AE7075">
        <v>3.6149799999999899</v>
      </c>
      <c r="AF7075">
        <v>-2.2025646240099399</v>
      </c>
      <c r="AG7075">
        <v>-1.1159738116189999</v>
      </c>
      <c r="AH7075">
        <v>7.1562625892556699</v>
      </c>
      <c r="AI7075">
        <v>98.477185715828796</v>
      </c>
      <c r="AJ7075">
        <v>107.107392757162</v>
      </c>
      <c r="AK7075">
        <v>7.5702564499189702</v>
      </c>
      <c r="AL7075">
        <v>66.067845818763999</v>
      </c>
      <c r="AM7075">
        <v>109.308747639393</v>
      </c>
      <c r="AN7075">
        <v>1.00000000266196</v>
      </c>
    </row>
    <row r="7076" spans="1:40" x14ac:dyDescent="0.25">
      <c r="A7076" t="str">
        <f>"20190304165021702"</f>
        <v>20190304165021702</v>
      </c>
      <c r="B7076" t="str">
        <f>"1551689421692756"</f>
        <v>1551689421692756</v>
      </c>
      <c r="C7076" t="s">
        <v>40</v>
      </c>
      <c r="D7076">
        <v>4.5913930000000001</v>
      </c>
      <c r="E7076">
        <v>0.51002550000000002</v>
      </c>
      <c r="F7076" t="s">
        <v>49</v>
      </c>
      <c r="G7076">
        <v>-206.3475</v>
      </c>
      <c r="H7076" s="1">
        <v>-2.8546449999999999E-6</v>
      </c>
      <c r="I7076">
        <v>-58.273499999999999</v>
      </c>
      <c r="J7076">
        <v>-213.01429999999999</v>
      </c>
      <c r="K7076">
        <v>1.1160159999999999</v>
      </c>
      <c r="L7076">
        <v>-61.872190000000003</v>
      </c>
      <c r="M7076">
        <v>0.98060959999999997</v>
      </c>
      <c r="N7076">
        <v>-1.452732E-2</v>
      </c>
      <c r="O7076">
        <v>0.19543179999999999</v>
      </c>
      <c r="P7076">
        <v>0.79363629999999996</v>
      </c>
      <c r="Q7076">
        <v>0.3960825</v>
      </c>
      <c r="R7076">
        <v>0.46180090000000001</v>
      </c>
      <c r="S7076">
        <v>3.0776819999999998</v>
      </c>
      <c r="T7076">
        <v>-0.50502919999999996</v>
      </c>
      <c r="U7076">
        <v>1.641815</v>
      </c>
      <c r="V7076">
        <v>-0.3026257</v>
      </c>
      <c r="W7076">
        <v>0.40508090000000002</v>
      </c>
      <c r="X7076">
        <v>0.86274399999999996</v>
      </c>
      <c r="Y7076">
        <v>-0.2875257</v>
      </c>
      <c r="Z7076">
        <v>-2.473729E-3</v>
      </c>
      <c r="AA7076">
        <v>0.95776969999999995</v>
      </c>
      <c r="AB7076">
        <v>30</v>
      </c>
      <c r="AC7076">
        <v>6.6667999999999896</v>
      </c>
      <c r="AD7076">
        <v>-1.1160188546449901</v>
      </c>
      <c r="AE7076">
        <v>3.5986899999999999</v>
      </c>
      <c r="AF7076">
        <v>-2.1789574574057302</v>
      </c>
      <c r="AG7076">
        <v>-1.1160188546449901</v>
      </c>
      <c r="AH7076">
        <v>7.0877879062511298</v>
      </c>
      <c r="AI7076">
        <v>98.559063054513601</v>
      </c>
      <c r="AJ7076">
        <v>107.088694516529</v>
      </c>
      <c r="AK7076">
        <v>7.4986726218116102</v>
      </c>
      <c r="AL7076">
        <v>66.103803904031196</v>
      </c>
      <c r="AM7076">
        <v>109.329398270741</v>
      </c>
      <c r="AN7076">
        <v>1.0000000296906399</v>
      </c>
    </row>
    <row r="7077" spans="1:40" x14ac:dyDescent="0.25">
      <c r="A7077" t="str">
        <f>"20190304165021713"</f>
        <v>20190304165021713</v>
      </c>
      <c r="B7077" t="str">
        <f>"1551689421702517"</f>
        <v>1551689421702517</v>
      </c>
      <c r="C7077" t="s">
        <v>40</v>
      </c>
      <c r="D7077">
        <v>4.587027</v>
      </c>
      <c r="E7077">
        <v>0.51002550000000002</v>
      </c>
      <c r="F7077" t="s">
        <v>49</v>
      </c>
      <c r="G7077">
        <v>-206.26750000000001</v>
      </c>
      <c r="H7077" s="1">
        <v>-2.9160129999999998E-6</v>
      </c>
      <c r="I7077">
        <v>-58.234090000000002</v>
      </c>
      <c r="J7077">
        <v>-212.8733</v>
      </c>
      <c r="K7077">
        <v>1.116066</v>
      </c>
      <c r="L7077">
        <v>-61.841160000000002</v>
      </c>
      <c r="M7077">
        <v>0.98000290000000001</v>
      </c>
      <c r="N7077">
        <v>-1.453113E-2</v>
      </c>
      <c r="O7077">
        <v>0.1984524</v>
      </c>
      <c r="P7077">
        <v>0.79200470000000001</v>
      </c>
      <c r="Q7077">
        <v>0.39605200000000002</v>
      </c>
      <c r="R7077">
        <v>0.46461980000000003</v>
      </c>
      <c r="S7077">
        <v>3.0701749999999999</v>
      </c>
      <c r="T7077">
        <v>-0.50785259999999999</v>
      </c>
      <c r="U7077">
        <v>1.655548</v>
      </c>
      <c r="V7077">
        <v>-0.3030795</v>
      </c>
      <c r="W7077">
        <v>0.40501290000000001</v>
      </c>
      <c r="X7077">
        <v>0.86261659999999996</v>
      </c>
      <c r="Y7077">
        <v>-0.28886679999999998</v>
      </c>
      <c r="Z7077">
        <v>-2.8099140000000002E-3</v>
      </c>
      <c r="AA7077">
        <v>0.95736520000000003</v>
      </c>
      <c r="AB7077">
        <v>30</v>
      </c>
      <c r="AC7077">
        <v>6.6057999999999799</v>
      </c>
      <c r="AD7077">
        <v>-1.116068916013</v>
      </c>
      <c r="AE7077">
        <v>3.60706999999999</v>
      </c>
      <c r="AF7077">
        <v>-2.17638088645145</v>
      </c>
      <c r="AG7077">
        <v>-1.116068916013</v>
      </c>
      <c r="AH7077">
        <v>7.0355893827649796</v>
      </c>
      <c r="AI7077">
        <v>98.617417067849601</v>
      </c>
      <c r="AJ7077">
        <v>107.18886803269</v>
      </c>
      <c r="AK7077">
        <v>7.4486080277510203</v>
      </c>
      <c r="AL7077">
        <v>66.108064870847699</v>
      </c>
      <c r="AM7077">
        <v>109.35887545147</v>
      </c>
      <c r="AN7077">
        <v>1.0000000155411</v>
      </c>
    </row>
    <row r="7078" spans="1:40" x14ac:dyDescent="0.25">
      <c r="A7078" t="str">
        <f>"20190304165021724"</f>
        <v>20190304165021724</v>
      </c>
      <c r="B7078" t="str">
        <f>"1551689421722036"</f>
        <v>1551689421722036</v>
      </c>
      <c r="C7078" t="s">
        <v>40</v>
      </c>
      <c r="D7078">
        <v>4.5253670000000001</v>
      </c>
      <c r="E7078">
        <v>0.45889869999999999</v>
      </c>
      <c r="F7078" t="s">
        <v>49</v>
      </c>
      <c r="G7078">
        <v>-206.1371</v>
      </c>
      <c r="H7078" s="1">
        <v>-3.0125789999999998E-6</v>
      </c>
      <c r="I7078">
        <v>-58.182609999999997</v>
      </c>
      <c r="J7078">
        <v>-212.73259999999999</v>
      </c>
      <c r="K7078">
        <v>1.116112</v>
      </c>
      <c r="L7078">
        <v>-61.809449999999998</v>
      </c>
      <c r="M7078">
        <v>0.97937689999999999</v>
      </c>
      <c r="N7078">
        <v>-1.4535330000000001E-2</v>
      </c>
      <c r="O7078">
        <v>0.20151849999999999</v>
      </c>
      <c r="P7078">
        <v>0.79043249999999998</v>
      </c>
      <c r="Q7078">
        <v>0.39595960000000002</v>
      </c>
      <c r="R7078">
        <v>0.46736759999999999</v>
      </c>
      <c r="S7078">
        <v>3.0651860000000002</v>
      </c>
      <c r="T7078">
        <v>-0.50784929999999995</v>
      </c>
      <c r="U7078">
        <v>1.6647639999999999</v>
      </c>
      <c r="V7078">
        <v>-0.30341370000000001</v>
      </c>
      <c r="W7078">
        <v>0.4048852</v>
      </c>
      <c r="X7078">
        <v>0.86255899999999996</v>
      </c>
      <c r="Y7078">
        <v>-0.28877399999999998</v>
      </c>
      <c r="Z7078">
        <v>-3.23062E-3</v>
      </c>
      <c r="AA7078">
        <v>0.95739189999999996</v>
      </c>
      <c r="AB7078">
        <v>30</v>
      </c>
      <c r="AC7078">
        <v>6.5954999999999799</v>
      </c>
      <c r="AD7078">
        <v>-1.116115012579</v>
      </c>
      <c r="AE7078">
        <v>3.6268400000000001</v>
      </c>
      <c r="AF7078">
        <v>-2.1753319305460699</v>
      </c>
      <c r="AG7078">
        <v>-1.116115012579</v>
      </c>
      <c r="AH7078">
        <v>7.0363997397780302</v>
      </c>
      <c r="AI7078">
        <v>98.617232550251103</v>
      </c>
      <c r="AJ7078">
        <v>107.179209150612</v>
      </c>
      <c r="AK7078">
        <v>7.4490739711259302</v>
      </c>
      <c r="AL7078">
        <v>66.116065690861902</v>
      </c>
      <c r="AM7078">
        <v>109.37982938942901</v>
      </c>
      <c r="AN7078">
        <v>0.999999963503864</v>
      </c>
    </row>
    <row r="7079" spans="1:40" x14ac:dyDescent="0.25">
      <c r="A7079" t="str">
        <f>"20190304165021736"</f>
        <v>20190304165021736</v>
      </c>
      <c r="B7079" t="str">
        <f>"1551689421732773"</f>
        <v>1551689421732773</v>
      </c>
      <c r="C7079" t="s">
        <v>40</v>
      </c>
      <c r="D7079">
        <v>4.5027990000000004</v>
      </c>
      <c r="E7079">
        <v>0.45569209999999899</v>
      </c>
      <c r="F7079" t="s">
        <v>49</v>
      </c>
      <c r="G7079">
        <v>-204.95859999999999</v>
      </c>
      <c r="H7079" s="1">
        <v>-4.088451E-6</v>
      </c>
      <c r="I7079">
        <v>-56.269100000000002</v>
      </c>
      <c r="J7079">
        <v>-212.5873</v>
      </c>
      <c r="K7079">
        <v>1.116161</v>
      </c>
      <c r="L7079">
        <v>-61.776490000000003</v>
      </c>
      <c r="M7079">
        <v>0.97871739999999996</v>
      </c>
      <c r="N7079">
        <v>-1.453949E-2</v>
      </c>
      <c r="O7079">
        <v>0.20469680000000001</v>
      </c>
      <c r="P7079">
        <v>0.78889350000000003</v>
      </c>
      <c r="Q7079">
        <v>0.39587679999999997</v>
      </c>
      <c r="R7079">
        <v>0.47003060000000002</v>
      </c>
      <c r="S7079">
        <v>2.8125</v>
      </c>
      <c r="T7079">
        <v>-0.40379019999999999</v>
      </c>
      <c r="U7079">
        <v>2.0043950000000001</v>
      </c>
      <c r="V7079">
        <v>-0.30356169999999999</v>
      </c>
      <c r="W7079">
        <v>0.40476879999999998</v>
      </c>
      <c r="X7079">
        <v>0.86256160000000004</v>
      </c>
      <c r="Y7079">
        <v>-0.39942640000000001</v>
      </c>
      <c r="Z7079">
        <v>5.860685E-3</v>
      </c>
      <c r="AA7079">
        <v>0.91674650000000002</v>
      </c>
      <c r="AB7079">
        <v>30</v>
      </c>
      <c r="AC7079">
        <v>7.6287000000000003</v>
      </c>
      <c r="AD7079">
        <v>-1.1161650884509999</v>
      </c>
      <c r="AE7079">
        <v>5.50739</v>
      </c>
      <c r="AF7079">
        <v>-3.7758764445298501</v>
      </c>
      <c r="AG7079">
        <v>-1.1161650884509999</v>
      </c>
      <c r="AH7079">
        <v>8.4753255106698102</v>
      </c>
      <c r="AI7079">
        <v>96.859569321111593</v>
      </c>
      <c r="AJ7079">
        <v>114.013643017025</v>
      </c>
      <c r="AK7079">
        <v>9.3452774137979802</v>
      </c>
      <c r="AL7079">
        <v>66.123360239620993</v>
      </c>
      <c r="AM7079">
        <v>109.38852329736</v>
      </c>
      <c r="AN7079">
        <v>1.0000000004774401</v>
      </c>
    </row>
    <row r="7080" spans="1:40" x14ac:dyDescent="0.25">
      <c r="A7080" t="str">
        <f>"20190304165021747"</f>
        <v>20190304165021747</v>
      </c>
      <c r="B7080" t="str">
        <f>"1551689421742536"</f>
        <v>1551689421742536</v>
      </c>
      <c r="C7080" t="s">
        <v>40</v>
      </c>
      <c r="D7080">
        <v>4.486809</v>
      </c>
      <c r="E7080">
        <v>0.45375759999999998</v>
      </c>
      <c r="F7080" t="s">
        <v>41</v>
      </c>
      <c r="G7080">
        <v>-211.7159</v>
      </c>
      <c r="H7080">
        <v>0.99195279999999997</v>
      </c>
      <c r="I7080">
        <v>-61.141089999999998</v>
      </c>
      <c r="J7080">
        <v>-212.4374</v>
      </c>
      <c r="K7080">
        <v>1.1162080000000001</v>
      </c>
      <c r="L7080">
        <v>-61.741549999999997</v>
      </c>
      <c r="M7080">
        <v>0.97801210000000005</v>
      </c>
      <c r="N7080">
        <v>-1.4544410000000001E-2</v>
      </c>
      <c r="O7080">
        <v>0.20804030000000001</v>
      </c>
      <c r="P7080">
        <v>0.78720959999999995</v>
      </c>
      <c r="Q7080">
        <v>0.39586139999999997</v>
      </c>
      <c r="R7080">
        <v>0.47285820000000001</v>
      </c>
      <c r="S7080">
        <v>2.7901919999999998</v>
      </c>
      <c r="T7080">
        <v>-0.39770080000000002</v>
      </c>
      <c r="U7080">
        <v>2.0345149999999999</v>
      </c>
      <c r="V7080">
        <v>-0.3037589</v>
      </c>
      <c r="W7080">
        <v>0.40471689999999999</v>
      </c>
      <c r="X7080">
        <v>0.86251650000000002</v>
      </c>
      <c r="Y7080">
        <v>-0.40624250000000001</v>
      </c>
      <c r="Z7080">
        <v>6.0017200000000003E-3</v>
      </c>
      <c r="AA7080">
        <v>0.91374560000000005</v>
      </c>
      <c r="AB7080">
        <v>30</v>
      </c>
      <c r="AC7080">
        <v>0.72149999999999104</v>
      </c>
      <c r="AD7080">
        <v>-0.1242552</v>
      </c>
      <c r="AE7080">
        <v>0.600459999999991</v>
      </c>
      <c r="AF7080">
        <v>-0.42967335576321902</v>
      </c>
      <c r="AG7080">
        <v>-0.1242552</v>
      </c>
      <c r="AH7080">
        <v>0.81633915378226796</v>
      </c>
      <c r="AI7080">
        <v>97.671127005392293</v>
      </c>
      <c r="AJ7080">
        <v>117.75970409871699</v>
      </c>
      <c r="AK7080">
        <v>0.93084271570325705</v>
      </c>
      <c r="AL7080">
        <v>66.126611524965597</v>
      </c>
      <c r="AM7080">
        <v>109.40111654751</v>
      </c>
      <c r="AN7080">
        <v>0.99999997562353404</v>
      </c>
    </row>
    <row r="7081" spans="1:40" x14ac:dyDescent="0.25">
      <c r="A7081" t="str">
        <f>"20190304165021759"</f>
        <v>20190304165021759</v>
      </c>
      <c r="B7081" t="str">
        <f>"1551689421752292"</f>
        <v>1551689421752292</v>
      </c>
      <c r="C7081" t="s">
        <v>40</v>
      </c>
      <c r="D7081">
        <v>4.4576399999999996</v>
      </c>
      <c r="E7081">
        <v>0.45290619999999998</v>
      </c>
      <c r="F7081" t="s">
        <v>49</v>
      </c>
      <c r="G7081">
        <v>-204.55109999999999</v>
      </c>
      <c r="H7081" s="1">
        <v>-4.3792320000000004E-6</v>
      </c>
      <c r="I7081">
        <v>-55.89405</v>
      </c>
      <c r="J7081">
        <v>-212.2903</v>
      </c>
      <c r="K7081">
        <v>1.1162589999999999</v>
      </c>
      <c r="L7081">
        <v>-61.706969999999998</v>
      </c>
      <c r="M7081">
        <v>0.97730430000000001</v>
      </c>
      <c r="N7081">
        <v>-1.454912E-2</v>
      </c>
      <c r="O7081">
        <v>0.21134030000000001</v>
      </c>
      <c r="P7081">
        <v>0.78565130000000005</v>
      </c>
      <c r="Q7081">
        <v>0.39582129999999999</v>
      </c>
      <c r="R7081">
        <v>0.47547640000000002</v>
      </c>
      <c r="S7081">
        <v>2.7731629999999998</v>
      </c>
      <c r="T7081">
        <v>-0.39251039999999998</v>
      </c>
      <c r="U7081">
        <v>2.056244</v>
      </c>
      <c r="V7081">
        <v>-0.30376419999999998</v>
      </c>
      <c r="W7081">
        <v>0.40464450000000002</v>
      </c>
      <c r="X7081">
        <v>0.862548599999999</v>
      </c>
      <c r="Y7081">
        <v>-0.41048040000000002</v>
      </c>
      <c r="Z7081">
        <v>5.9623779999999999E-3</v>
      </c>
      <c r="AA7081">
        <v>0.91184989999999999</v>
      </c>
      <c r="AB7081">
        <v>30</v>
      </c>
      <c r="AC7081">
        <v>7.7392000000000101</v>
      </c>
      <c r="AD7081">
        <v>-1.116263379232</v>
      </c>
      <c r="AE7081">
        <v>5.8129199999999903</v>
      </c>
      <c r="AF7081">
        <v>-3.9927105663750302</v>
      </c>
      <c r="AG7081">
        <v>-1.116263379232</v>
      </c>
      <c r="AH7081">
        <v>8.6775734581693094</v>
      </c>
      <c r="AI7081">
        <v>96.665404227099202</v>
      </c>
      <c r="AJ7081">
        <v>114.708025498499</v>
      </c>
      <c r="AK7081">
        <v>9.6170714212062407</v>
      </c>
      <c r="AL7081">
        <v>66.131147737702705</v>
      </c>
      <c r="AM7081">
        <v>109.400761678482</v>
      </c>
      <c r="AN7081">
        <v>0.99999997397192397</v>
      </c>
    </row>
    <row r="7082" spans="1:40" x14ac:dyDescent="0.25">
      <c r="A7082" t="str">
        <f>"20190304165021770"</f>
        <v>20190304165021770</v>
      </c>
      <c r="B7082" t="str">
        <f>"1551689421762052"</f>
        <v>1551689421762052</v>
      </c>
      <c r="C7082" t="s">
        <v>40</v>
      </c>
      <c r="D7082">
        <v>4.4655440000000004</v>
      </c>
      <c r="E7082">
        <v>0.45235720000000001</v>
      </c>
      <c r="F7082" t="s">
        <v>41</v>
      </c>
      <c r="G7082">
        <v>-211.45939999999999</v>
      </c>
      <c r="H7082">
        <v>0.99809349999999997</v>
      </c>
      <c r="I7082">
        <v>-61.08428</v>
      </c>
      <c r="J7082">
        <v>-212.13839999999999</v>
      </c>
      <c r="K7082">
        <v>1.1163099999999999</v>
      </c>
      <c r="L7082">
        <v>-61.670560000000002</v>
      </c>
      <c r="M7082">
        <v>0.97655239999999999</v>
      </c>
      <c r="N7082">
        <v>-1.455419E-2</v>
      </c>
      <c r="O7082">
        <v>0.2147876</v>
      </c>
      <c r="P7082">
        <v>0.78385309999999997</v>
      </c>
      <c r="Q7082">
        <v>0.39585789999999998</v>
      </c>
      <c r="R7082">
        <v>0.47840470000000002</v>
      </c>
      <c r="S7082">
        <v>2.762985</v>
      </c>
      <c r="T7082">
        <v>-0.39298060000000001</v>
      </c>
      <c r="U7082">
        <v>2.0712280000000001</v>
      </c>
      <c r="V7082">
        <v>-0.30399490000000001</v>
      </c>
      <c r="W7082">
        <v>0.40464450000000002</v>
      </c>
      <c r="X7082">
        <v>0.86246730000000005</v>
      </c>
      <c r="Y7082">
        <v>-0.41204350000000001</v>
      </c>
      <c r="Z7082">
        <v>5.7147269999999898E-3</v>
      </c>
      <c r="AA7082">
        <v>0.91114629999999996</v>
      </c>
      <c r="AB7082">
        <v>30</v>
      </c>
      <c r="AC7082">
        <v>0.67900000000000205</v>
      </c>
      <c r="AD7082">
        <v>-0.1182165</v>
      </c>
      <c r="AE7082">
        <v>0.58627999999998703</v>
      </c>
      <c r="AF7082">
        <v>-0.41945351766389499</v>
      </c>
      <c r="AG7082">
        <v>-0.1182165</v>
      </c>
      <c r="AH7082">
        <v>0.77561927493507898</v>
      </c>
      <c r="AI7082">
        <v>97.635916857306398</v>
      </c>
      <c r="AJ7082">
        <v>118.404443443201</v>
      </c>
      <c r="AK7082">
        <v>0.88966378705873195</v>
      </c>
      <c r="AL7082">
        <v>66.131147309643197</v>
      </c>
      <c r="AM7082">
        <v>109.416087320156</v>
      </c>
      <c r="AN7082">
        <v>0.99999995708777401</v>
      </c>
    </row>
    <row r="7083" spans="1:40" x14ac:dyDescent="0.25">
      <c r="A7083" t="str">
        <f>"20190304165021780"</f>
        <v>20190304165021780</v>
      </c>
      <c r="B7083" t="str">
        <f>"1551689421772788"</f>
        <v>1551689421772788</v>
      </c>
      <c r="C7083" t="s">
        <v>40</v>
      </c>
      <c r="D7083">
        <v>4.4487329999999998</v>
      </c>
      <c r="E7083">
        <v>0.45199050000000002</v>
      </c>
      <c r="F7083" t="s">
        <v>49</v>
      </c>
      <c r="G7083">
        <v>-204.30789999999999</v>
      </c>
      <c r="H7083" s="1">
        <v>-4.5372240000000002E-6</v>
      </c>
      <c r="I7083">
        <v>-55.740459999999999</v>
      </c>
      <c r="J7083">
        <v>-212.0172</v>
      </c>
      <c r="K7083">
        <v>1.116349</v>
      </c>
      <c r="L7083">
        <v>-61.641080000000002</v>
      </c>
      <c r="M7083">
        <v>0.97593669999999999</v>
      </c>
      <c r="N7083">
        <v>-1.455826E-2</v>
      </c>
      <c r="O7083">
        <v>0.21756800000000001</v>
      </c>
      <c r="P7083">
        <v>0.7822635</v>
      </c>
      <c r="Q7083">
        <v>0.39614290000000002</v>
      </c>
      <c r="R7083">
        <v>0.48076479999999999</v>
      </c>
      <c r="S7083">
        <v>2.7530060000000001</v>
      </c>
      <c r="T7083">
        <v>-0.39246690000000001</v>
      </c>
      <c r="U7083">
        <v>2.0848689999999999</v>
      </c>
      <c r="V7083">
        <v>-0.30421429999999999</v>
      </c>
      <c r="W7083">
        <v>0.40489740000000002</v>
      </c>
      <c r="X7083">
        <v>0.86227129999999996</v>
      </c>
      <c r="Y7083">
        <v>-0.41391050000000001</v>
      </c>
      <c r="Z7083">
        <v>5.5594019999999997E-3</v>
      </c>
      <c r="AA7083">
        <v>0.91030060000000002</v>
      </c>
      <c r="AB7083">
        <v>30</v>
      </c>
      <c r="AC7083">
        <v>7.7093000000000096</v>
      </c>
      <c r="AD7083">
        <v>-1.1163535372239899</v>
      </c>
      <c r="AE7083">
        <v>5.90062</v>
      </c>
      <c r="AF7083">
        <v>-4.0284992229128997</v>
      </c>
      <c r="AG7083">
        <v>-1.1163535372239899</v>
      </c>
      <c r="AH7083">
        <v>8.6935553795550309</v>
      </c>
      <c r="AI7083">
        <v>96.645589341980099</v>
      </c>
      <c r="AJ7083">
        <v>114.862494478602</v>
      </c>
      <c r="AK7083">
        <v>9.6463960289049204</v>
      </c>
      <c r="AL7083">
        <v>66.115302645444501</v>
      </c>
      <c r="AM7083">
        <v>109.433136281865</v>
      </c>
      <c r="AN7083">
        <v>1.0000000198274599</v>
      </c>
    </row>
    <row r="7084" spans="1:40" x14ac:dyDescent="0.25">
      <c r="A7084" t="str">
        <f>"20190304165021791"</f>
        <v>20190304165021791</v>
      </c>
      <c r="B7084" t="str">
        <f>"1551689421782549"</f>
        <v>1551689421782549</v>
      </c>
      <c r="C7084" t="s">
        <v>40</v>
      </c>
      <c r="D7084">
        <v>4.4502519999999999</v>
      </c>
      <c r="E7084">
        <v>0.45196799999999998</v>
      </c>
      <c r="F7084" t="s">
        <v>41</v>
      </c>
      <c r="G7084">
        <v>-211.20349999999999</v>
      </c>
      <c r="H7084">
        <v>1.00059599999999</v>
      </c>
      <c r="I7084">
        <v>-61.02008</v>
      </c>
      <c r="J7084">
        <v>-211.87549999999999</v>
      </c>
      <c r="K7084">
        <v>1.1163970000000001</v>
      </c>
      <c r="L7084">
        <v>-61.606169999999999</v>
      </c>
      <c r="M7084">
        <v>0.97519929999999999</v>
      </c>
      <c r="N7084">
        <v>-1.4563019999999999E-2</v>
      </c>
      <c r="O7084">
        <v>0.22084880000000001</v>
      </c>
      <c r="P7084">
        <v>0.78046930000000003</v>
      </c>
      <c r="Q7084">
        <v>0.39622079999999998</v>
      </c>
      <c r="R7084">
        <v>0.48360799999999998</v>
      </c>
      <c r="S7084">
        <v>2.745285</v>
      </c>
      <c r="T7084">
        <v>-0.39050980000000002</v>
      </c>
      <c r="U7084">
        <v>2.09491</v>
      </c>
      <c r="V7084">
        <v>-0.30451070000000002</v>
      </c>
      <c r="W7084">
        <v>0.40493879999999999</v>
      </c>
      <c r="X7084">
        <v>0.8621472</v>
      </c>
      <c r="Y7084">
        <v>-0.41421740000000001</v>
      </c>
      <c r="Z7084">
        <v>5.244093E-3</v>
      </c>
      <c r="AA7084">
        <v>0.9101629</v>
      </c>
      <c r="AB7084">
        <v>30</v>
      </c>
      <c r="AC7084">
        <v>0.67199999999999704</v>
      </c>
      <c r="AD7084">
        <v>-0.115801</v>
      </c>
      <c r="AE7084">
        <v>0.58608999999999101</v>
      </c>
      <c r="AF7084">
        <v>-0.416169951325225</v>
      </c>
      <c r="AG7084">
        <v>-0.115801</v>
      </c>
      <c r="AH7084">
        <v>0.77183669526314802</v>
      </c>
      <c r="AI7084">
        <v>97.522911641790898</v>
      </c>
      <c r="AJ7084">
        <v>118.333293421487</v>
      </c>
      <c r="AK7084">
        <v>0.88449939747960205</v>
      </c>
      <c r="AL7084">
        <v>66.112707815138293</v>
      </c>
      <c r="AM7084">
        <v>109.453238856106</v>
      </c>
      <c r="AN7084">
        <v>0.99999999631388503</v>
      </c>
    </row>
    <row r="7085" spans="1:40" x14ac:dyDescent="0.25">
      <c r="A7085" t="str">
        <f>"20190304165021803"</f>
        <v>20190304165021803</v>
      </c>
      <c r="B7085" t="str">
        <f>"1551689421792308"</f>
        <v>1551689421792308</v>
      </c>
      <c r="C7085" t="s">
        <v>40</v>
      </c>
      <c r="D7085">
        <v>4.4675349999999998</v>
      </c>
      <c r="E7085">
        <v>0.45182470000000002</v>
      </c>
      <c r="F7085" t="s">
        <v>49</v>
      </c>
      <c r="G7085">
        <v>-204.02590000000001</v>
      </c>
      <c r="H7085" s="1">
        <v>-4.7179600000000001E-6</v>
      </c>
      <c r="I7085">
        <v>-55.573459999999997</v>
      </c>
      <c r="J7085">
        <v>-211.73500000000001</v>
      </c>
      <c r="K7085">
        <v>1.1164430000000001</v>
      </c>
      <c r="L7085">
        <v>-61.570920000000001</v>
      </c>
      <c r="M7085">
        <v>0.97444730000000002</v>
      </c>
      <c r="N7085">
        <v>-1.456793E-2</v>
      </c>
      <c r="O7085">
        <v>0.2241435</v>
      </c>
      <c r="P7085">
        <v>0.77867019999999998</v>
      </c>
      <c r="Q7085">
        <v>0.3963006</v>
      </c>
      <c r="R7085">
        <v>0.48643449999999999</v>
      </c>
      <c r="S7085">
        <v>2.7377470000000002</v>
      </c>
      <c r="T7085">
        <v>-0.38937430000000001</v>
      </c>
      <c r="U7085">
        <v>2.1040649999999999</v>
      </c>
      <c r="V7085">
        <v>-0.3047822</v>
      </c>
      <c r="W7085">
        <v>0.40498240000000002</v>
      </c>
      <c r="X7085">
        <v>0.86203069999999904</v>
      </c>
      <c r="Y7085">
        <v>-0.41428939999999997</v>
      </c>
      <c r="Z7085">
        <v>4.9109050000000001E-3</v>
      </c>
      <c r="AA7085">
        <v>0.91013189999999999</v>
      </c>
      <c r="AB7085">
        <v>30</v>
      </c>
      <c r="AC7085">
        <v>7.7091000000000003</v>
      </c>
      <c r="AD7085">
        <v>-1.1164477179600001</v>
      </c>
      <c r="AE7085">
        <v>5.9974599999999896</v>
      </c>
      <c r="AF7085">
        <v>-4.0636072619480101</v>
      </c>
      <c r="AG7085">
        <v>-1.1164477179600001</v>
      </c>
      <c r="AH7085">
        <v>8.7431089386393701</v>
      </c>
      <c r="AI7085">
        <v>96.605336943777701</v>
      </c>
      <c r="AJ7085">
        <v>114.927982334259</v>
      </c>
      <c r="AK7085">
        <v>9.7057361080553992</v>
      </c>
      <c r="AL7085">
        <v>66.109974003315699</v>
      </c>
      <c r="AM7085">
        <v>109.471712376608</v>
      </c>
      <c r="AN7085">
        <v>0.99999993074454196</v>
      </c>
    </row>
    <row r="7086" spans="1:40" x14ac:dyDescent="0.25">
      <c r="A7086" t="str">
        <f>"20190304165021813"</f>
        <v>20190304165021813</v>
      </c>
      <c r="B7086" t="str">
        <f>"1551689421802069"</f>
        <v>1551689421802069</v>
      </c>
      <c r="C7086" t="s">
        <v>40</v>
      </c>
      <c r="D7086">
        <v>4.4694929999999999</v>
      </c>
      <c r="E7086">
        <v>0.45172459999999998</v>
      </c>
      <c r="F7086" t="s">
        <v>41</v>
      </c>
      <c r="G7086">
        <v>-210.90809999999999</v>
      </c>
      <c r="H7086">
        <v>0.99857260000000003</v>
      </c>
      <c r="I7086">
        <v>-60.930599999999998</v>
      </c>
      <c r="J7086">
        <v>-211.59020000000001</v>
      </c>
      <c r="K7086">
        <v>1.1164959999999999</v>
      </c>
      <c r="L7086">
        <v>-61.534210000000002</v>
      </c>
      <c r="M7086">
        <v>0.97365429999999997</v>
      </c>
      <c r="N7086">
        <v>-1.457286E-2</v>
      </c>
      <c r="O7086">
        <v>0.2275634</v>
      </c>
      <c r="P7086">
        <v>0.77686319999999998</v>
      </c>
      <c r="Q7086">
        <v>0.39655299999999999</v>
      </c>
      <c r="R7086">
        <v>0.48911060000000001</v>
      </c>
      <c r="S7086">
        <v>2.7298740000000001</v>
      </c>
      <c r="T7086">
        <v>-0.389158</v>
      </c>
      <c r="U7086">
        <v>2.114471</v>
      </c>
      <c r="V7086">
        <v>-0.30480439999999998</v>
      </c>
      <c r="W7086">
        <v>0.40519949999999999</v>
      </c>
      <c r="X7086">
        <v>0.86192089999999999</v>
      </c>
      <c r="Y7086">
        <v>-0.41455009999999998</v>
      </c>
      <c r="Z7086">
        <v>4.5759449999999997E-3</v>
      </c>
      <c r="AA7086">
        <v>0.91001500000000002</v>
      </c>
      <c r="AB7086">
        <v>30</v>
      </c>
      <c r="AC7086">
        <v>0.68210000000001902</v>
      </c>
      <c r="AD7086">
        <v>-0.117923399999999</v>
      </c>
      <c r="AE7086">
        <v>0.60360999999999598</v>
      </c>
      <c r="AF7086">
        <v>-0.42540174563727801</v>
      </c>
      <c r="AG7086">
        <v>-0.117923399999999</v>
      </c>
      <c r="AH7086">
        <v>0.78835963272798004</v>
      </c>
      <c r="AI7086">
        <v>97.499222246701706</v>
      </c>
      <c r="AJ7086">
        <v>118.351461750025</v>
      </c>
      <c r="AK7086">
        <v>0.90353942026554701</v>
      </c>
      <c r="AL7086">
        <v>66.096370495680702</v>
      </c>
      <c r="AM7086">
        <v>109.475317924785</v>
      </c>
      <c r="AN7086">
        <v>0.99999999745821</v>
      </c>
    </row>
    <row r="7087" spans="1:40" x14ac:dyDescent="0.25">
      <c r="A7087" t="str">
        <f>"20190304165021826"</f>
        <v>20190304165021826</v>
      </c>
      <c r="B7087" t="str">
        <f>"1551689421822564"</f>
        <v>1551689421822564</v>
      </c>
      <c r="C7087" t="s">
        <v>40</v>
      </c>
      <c r="D7087">
        <v>4.4438300000000002</v>
      </c>
      <c r="E7087">
        <v>0.45173239999999998</v>
      </c>
      <c r="F7087" t="s">
        <v>49</v>
      </c>
      <c r="G7087">
        <v>-203.7681</v>
      </c>
      <c r="H7087" s="1">
        <v>-4.8816949999999999E-6</v>
      </c>
      <c r="I7087">
        <v>-55.427349999999997</v>
      </c>
      <c r="J7087">
        <v>-211.44560000000001</v>
      </c>
      <c r="K7087">
        <v>1.1165510000000001</v>
      </c>
      <c r="L7087">
        <v>-61.496670000000002</v>
      </c>
      <c r="M7087">
        <v>0.97283390000000003</v>
      </c>
      <c r="N7087">
        <v>-1.4578560000000001E-2</v>
      </c>
      <c r="O7087">
        <v>0.2310451</v>
      </c>
      <c r="P7087">
        <v>0.77502109999999902</v>
      </c>
      <c r="Q7087">
        <v>0.39651720000000001</v>
      </c>
      <c r="R7087">
        <v>0.49205339999999997</v>
      </c>
      <c r="S7087">
        <v>2.7220309999999999</v>
      </c>
      <c r="T7087">
        <v>-0.3885363</v>
      </c>
      <c r="U7087">
        <v>2.1251530000000001</v>
      </c>
      <c r="V7087">
        <v>-0.30504029999999999</v>
      </c>
      <c r="W7087">
        <v>0.40512500000000001</v>
      </c>
      <c r="X7087">
        <v>0.86187250000000004</v>
      </c>
      <c r="Y7087">
        <v>-0.4148057</v>
      </c>
      <c r="Z7087">
        <v>4.2370929999999999E-3</v>
      </c>
      <c r="AA7087">
        <v>0.90990020000000005</v>
      </c>
      <c r="AB7087">
        <v>30</v>
      </c>
      <c r="AC7087">
        <v>7.6775000000000002</v>
      </c>
      <c r="AD7087">
        <v>-1.1165558816949901</v>
      </c>
      <c r="AE7087">
        <v>6.0693199999999896</v>
      </c>
      <c r="AF7087">
        <v>-4.0779508637075903</v>
      </c>
      <c r="AG7087">
        <v>-1.1165558816949901</v>
      </c>
      <c r="AH7087">
        <v>8.7581633071799505</v>
      </c>
      <c r="AI7087">
        <v>96.592619733302399</v>
      </c>
      <c r="AJ7087">
        <v>114.96749349776699</v>
      </c>
      <c r="AK7087">
        <v>9.7253177222646308</v>
      </c>
      <c r="AL7087">
        <v>66.101040197256495</v>
      </c>
      <c r="AM7087">
        <v>109.490266948014</v>
      </c>
      <c r="AN7087">
        <v>1.00000002825266</v>
      </c>
    </row>
    <row r="7088" spans="1:40" x14ac:dyDescent="0.25">
      <c r="A7088" t="str">
        <f>"20190304165021837"</f>
        <v>20190304165021837</v>
      </c>
      <c r="B7088" t="str">
        <f>"1551689421832324"</f>
        <v>1551689421832324</v>
      </c>
      <c r="C7088" t="s">
        <v>40</v>
      </c>
      <c r="D7088">
        <v>4.438142</v>
      </c>
      <c r="E7088">
        <v>0.45163690000000001</v>
      </c>
      <c r="F7088" t="s">
        <v>49</v>
      </c>
      <c r="G7088">
        <v>-203.62809999999999</v>
      </c>
      <c r="H7088" s="1">
        <v>-4.971087E-6</v>
      </c>
      <c r="I7088">
        <v>-55.3459199999999</v>
      </c>
      <c r="J7088">
        <v>-211.29859999999999</v>
      </c>
      <c r="K7088">
        <v>1.1166069999999999</v>
      </c>
      <c r="L7088">
        <v>-61.458219999999997</v>
      </c>
      <c r="M7088">
        <v>0.97198169999999995</v>
      </c>
      <c r="N7088">
        <v>-1.458431E-2</v>
      </c>
      <c r="O7088">
        <v>0.2346037</v>
      </c>
      <c r="P7088">
        <v>0.77341169999999904</v>
      </c>
      <c r="Q7088">
        <v>0.39622940000000001</v>
      </c>
      <c r="R7088">
        <v>0.49480970000000002</v>
      </c>
      <c r="S7088">
        <v>2.7136230000000001</v>
      </c>
      <c r="T7088">
        <v>-0.3875827</v>
      </c>
      <c r="U7088">
        <v>2.1350709999999999</v>
      </c>
      <c r="V7088">
        <v>-0.30497259999999998</v>
      </c>
      <c r="W7088">
        <v>0.4048041</v>
      </c>
      <c r="X7088">
        <v>0.86204720000000001</v>
      </c>
      <c r="Y7088">
        <v>-0.41492259999999997</v>
      </c>
      <c r="Z7088">
        <v>3.8830140000000002E-3</v>
      </c>
      <c r="AA7088">
        <v>0.90984849999999995</v>
      </c>
      <c r="AB7088">
        <v>30</v>
      </c>
      <c r="AC7088">
        <v>7.6704999999999997</v>
      </c>
      <c r="AD7088">
        <v>-1.1166119710869999</v>
      </c>
      <c r="AE7088">
        <v>6.1123000000000003</v>
      </c>
      <c r="AF7088">
        <v>-4.0889588727719</v>
      </c>
      <c r="AG7088">
        <v>-1.1166119710869999</v>
      </c>
      <c r="AH7088">
        <v>8.7767424843827904</v>
      </c>
      <c r="AI7088">
        <v>96.578443781489696</v>
      </c>
      <c r="AJ7088">
        <v>114.980138732226</v>
      </c>
      <c r="AK7088">
        <v>9.7466720266132203</v>
      </c>
      <c r="AL7088">
        <v>66.1211486452668</v>
      </c>
      <c r="AM7088">
        <v>109.48261571260799</v>
      </c>
      <c r="AN7088">
        <v>1.0000000105777</v>
      </c>
    </row>
    <row r="7089" spans="1:40" x14ac:dyDescent="0.25">
      <c r="A7089" t="str">
        <f>"20190304165021849"</f>
        <v>20190304165021849</v>
      </c>
      <c r="B7089" t="str">
        <f>"1551689421842085"</f>
        <v>1551689421842085</v>
      </c>
      <c r="C7089" t="s">
        <v>40</v>
      </c>
      <c r="D7089">
        <v>4.4297029999999999</v>
      </c>
      <c r="E7089">
        <v>0.45158189999999998</v>
      </c>
      <c r="F7089" t="s">
        <v>41</v>
      </c>
      <c r="G7089">
        <v>-210.46729999999999</v>
      </c>
      <c r="H7089">
        <v>0.997</v>
      </c>
      <c r="I7089">
        <v>-60.799160000000001</v>
      </c>
      <c r="J7089">
        <v>-211.1396</v>
      </c>
      <c r="K7089">
        <v>1.1166799999999999</v>
      </c>
      <c r="L7089">
        <v>-61.415649999999999</v>
      </c>
      <c r="M7089">
        <v>0.97102560000000004</v>
      </c>
      <c r="N7089">
        <v>-1.459157E-2</v>
      </c>
      <c r="O7089">
        <v>0.23852960000000001</v>
      </c>
      <c r="P7089">
        <v>0.77145640000000004</v>
      </c>
      <c r="Q7089">
        <v>0.39607369999999997</v>
      </c>
      <c r="R7089">
        <v>0.49797659999999999</v>
      </c>
      <c r="S7089">
        <v>2.7057799999999999</v>
      </c>
      <c r="T7089">
        <v>-0.3893045</v>
      </c>
      <c r="U7089">
        <v>2.145416</v>
      </c>
      <c r="V7089">
        <v>-0.30506850000000002</v>
      </c>
      <c r="W7089">
        <v>0.4046053</v>
      </c>
      <c r="X7089">
        <v>0.86210659999999895</v>
      </c>
      <c r="Y7089">
        <v>-0.4146746</v>
      </c>
      <c r="Z7089">
        <v>3.4466499999999999E-3</v>
      </c>
      <c r="AA7089">
        <v>0.90996330000000003</v>
      </c>
      <c r="AB7089">
        <v>29</v>
      </c>
      <c r="AC7089">
        <v>0.672300000000007</v>
      </c>
      <c r="AD7089">
        <v>-0.119679999999999</v>
      </c>
      <c r="AE7089">
        <v>0.61648999999999798</v>
      </c>
      <c r="AF7089">
        <v>-0.43089316216404799</v>
      </c>
      <c r="AG7089">
        <v>-0.119679999999999</v>
      </c>
      <c r="AH7089">
        <v>0.78641895613219404</v>
      </c>
      <c r="AI7089">
        <v>97.601930178281805</v>
      </c>
      <c r="AJ7089">
        <v>118.719131356909</v>
      </c>
      <c r="AK7089">
        <v>0.90468060339756495</v>
      </c>
      <c r="AL7089">
        <v>66.133604782842497</v>
      </c>
      <c r="AM7089">
        <v>109.487038893636</v>
      </c>
      <c r="AN7089">
        <v>1.0000000141219401</v>
      </c>
    </row>
    <row r="7090" spans="1:40" x14ac:dyDescent="0.25">
      <c r="A7090" t="str">
        <f>"20190304165021861"</f>
        <v>20190304165021861</v>
      </c>
      <c r="B7090" t="str">
        <f>"1551689421852821"</f>
        <v>1551689421852821</v>
      </c>
      <c r="C7090" t="s">
        <v>40</v>
      </c>
      <c r="D7090">
        <v>4.439603</v>
      </c>
      <c r="E7090">
        <v>0.45159909999999998</v>
      </c>
      <c r="F7090" t="s">
        <v>49</v>
      </c>
      <c r="G7090">
        <v>-203.417</v>
      </c>
      <c r="H7090" s="1">
        <v>-5.1020240000000003E-6</v>
      </c>
      <c r="I7090">
        <v>-55.24051</v>
      </c>
      <c r="J7090">
        <v>-211.00319999999999</v>
      </c>
      <c r="K7090">
        <v>1.116738</v>
      </c>
      <c r="L7090">
        <v>-61.378660000000004</v>
      </c>
      <c r="M7090">
        <v>0.97018360000000003</v>
      </c>
      <c r="N7090">
        <v>-1.4598069999999999E-2</v>
      </c>
      <c r="O7090">
        <v>0.24193120000000001</v>
      </c>
      <c r="P7090">
        <v>0.76966800000000002</v>
      </c>
      <c r="Q7090">
        <v>0.39583449999999998</v>
      </c>
      <c r="R7090">
        <v>0.50092539999999997</v>
      </c>
      <c r="S7090">
        <v>2.69693</v>
      </c>
      <c r="T7090">
        <v>-0.3899764</v>
      </c>
      <c r="U7090">
        <v>2.1565249999999998</v>
      </c>
      <c r="V7090">
        <v>-0.30537249999999999</v>
      </c>
      <c r="W7090">
        <v>0.4043252</v>
      </c>
      <c r="X7090">
        <v>0.86213030000000002</v>
      </c>
      <c r="Y7090">
        <v>-0.41523559999999998</v>
      </c>
      <c r="Z7090">
        <v>3.1273070000000002E-3</v>
      </c>
      <c r="AA7090">
        <v>0.90970850000000003</v>
      </c>
      <c r="AB7090">
        <v>29</v>
      </c>
      <c r="AC7090">
        <v>7.5861999999999901</v>
      </c>
      <c r="AD7090">
        <v>-1.116743102024</v>
      </c>
      <c r="AE7090">
        <v>6.1381499999999898</v>
      </c>
      <c r="AF7090">
        <v>-4.0669711486099498</v>
      </c>
      <c r="AG7090">
        <v>-1.116743102024</v>
      </c>
      <c r="AH7090">
        <v>8.7316084898779192</v>
      </c>
      <c r="AI7090">
        <v>96.613193239215406</v>
      </c>
      <c r="AJ7090">
        <v>114.974960169664</v>
      </c>
      <c r="AK7090">
        <v>9.6968219690810198</v>
      </c>
      <c r="AL7090">
        <v>66.151150934336201</v>
      </c>
      <c r="AM7090">
        <v>109.504496700705</v>
      </c>
      <c r="AN7090">
        <v>0.99999994264468794</v>
      </c>
    </row>
    <row r="7091" spans="1:40" x14ac:dyDescent="0.25">
      <c r="A7091" t="str">
        <f>"20190304165021872"</f>
        <v>20190304165021872</v>
      </c>
      <c r="B7091" t="str">
        <f>"1551689421862580"</f>
        <v>1551689421862580</v>
      </c>
      <c r="C7091" t="s">
        <v>40</v>
      </c>
      <c r="D7091">
        <v>4.4433889999999998</v>
      </c>
      <c r="E7091">
        <v>0.45168359999999902</v>
      </c>
      <c r="F7091" t="s">
        <v>41</v>
      </c>
      <c r="G7091">
        <v>-210.20519999999999</v>
      </c>
      <c r="H7091">
        <v>1.0005900000000001</v>
      </c>
      <c r="I7091">
        <v>-60.735869999999998</v>
      </c>
      <c r="J7091">
        <v>-210.85079999999999</v>
      </c>
      <c r="K7091">
        <v>1.1168049999999901</v>
      </c>
      <c r="L7091">
        <v>-61.336730000000003</v>
      </c>
      <c r="M7091">
        <v>0.96921710000000005</v>
      </c>
      <c r="N7091">
        <v>-1.4605669999999999E-2</v>
      </c>
      <c r="O7091">
        <v>0.2457741</v>
      </c>
      <c r="P7091">
        <v>0.76761809999999997</v>
      </c>
      <c r="Q7091">
        <v>0.39576850000000002</v>
      </c>
      <c r="R7091">
        <v>0.50411300000000003</v>
      </c>
      <c r="S7091">
        <v>2.6891940000000001</v>
      </c>
      <c r="T7091">
        <v>-0.39141310000000001</v>
      </c>
      <c r="U7091">
        <v>2.1662599999999999</v>
      </c>
      <c r="V7091">
        <v>-0.30558879999999999</v>
      </c>
      <c r="W7091">
        <v>0.40421410000000002</v>
      </c>
      <c r="X7091">
        <v>0.86210580000000003</v>
      </c>
      <c r="Y7091">
        <v>-0.41491739999999999</v>
      </c>
      <c r="Z7091">
        <v>2.6901870000000001E-3</v>
      </c>
      <c r="AA7091">
        <v>0.90985510000000003</v>
      </c>
      <c r="AB7091">
        <v>29</v>
      </c>
      <c r="AC7091">
        <v>0.64560000000000095</v>
      </c>
      <c r="AD7091">
        <v>-0.116214999999999</v>
      </c>
      <c r="AE7091">
        <v>0.60086000000000395</v>
      </c>
      <c r="AF7091">
        <v>-0.41650521382589201</v>
      </c>
      <c r="AG7091">
        <v>-0.116214999999999</v>
      </c>
      <c r="AH7091">
        <v>0.76028366087976396</v>
      </c>
      <c r="AI7091">
        <v>97.6354813785114</v>
      </c>
      <c r="AJ7091">
        <v>118.715192931009</v>
      </c>
      <c r="AK7091">
        <v>0.87465065275793896</v>
      </c>
      <c r="AL7091">
        <v>66.1581115645062</v>
      </c>
      <c r="AM7091">
        <v>109.51778090468601</v>
      </c>
      <c r="AN7091">
        <v>0.99999998185894501</v>
      </c>
    </row>
    <row r="7092" spans="1:40" x14ac:dyDescent="0.25">
      <c r="A7092" t="str">
        <f>"20190304165021884"</f>
        <v>20190304165021884</v>
      </c>
      <c r="B7092" t="str">
        <f>"1551689421872341"</f>
        <v>1551689421872341</v>
      </c>
      <c r="C7092" t="s">
        <v>40</v>
      </c>
      <c r="D7092">
        <v>4.4225810000000001</v>
      </c>
      <c r="E7092">
        <v>0.45172679999999998</v>
      </c>
      <c r="F7092" t="s">
        <v>49</v>
      </c>
      <c r="G7092">
        <v>-203.2353</v>
      </c>
      <c r="H7092" s="1">
        <v>-5.2133170000000004E-6</v>
      </c>
      <c r="I7092">
        <v>-55.1560699999999</v>
      </c>
      <c r="J7092">
        <v>-210.71430000000001</v>
      </c>
      <c r="K7092">
        <v>1.1168629999999999</v>
      </c>
      <c r="L7092">
        <v>-61.298369999999998</v>
      </c>
      <c r="M7092">
        <v>0.96832220000000002</v>
      </c>
      <c r="N7092">
        <v>-1.461287E-2</v>
      </c>
      <c r="O7092">
        <v>0.24927640000000001</v>
      </c>
      <c r="P7092">
        <v>0.76571800000000001</v>
      </c>
      <c r="Q7092">
        <v>0.3956826</v>
      </c>
      <c r="R7092">
        <v>0.5070614</v>
      </c>
      <c r="S7092">
        <v>2.6816249999999999</v>
      </c>
      <c r="T7092">
        <v>-0.39326179999999999</v>
      </c>
      <c r="U7092">
        <v>2.1763919999999999</v>
      </c>
      <c r="V7092">
        <v>-0.30583630000000001</v>
      </c>
      <c r="W7092">
        <v>0.4040859</v>
      </c>
      <c r="X7092">
        <v>0.86207819999999902</v>
      </c>
      <c r="Y7092">
        <v>-0.41496169999999999</v>
      </c>
      <c r="Z7092">
        <v>2.3070090000000001E-3</v>
      </c>
      <c r="AA7092">
        <v>0.90983599999999998</v>
      </c>
      <c r="AB7092">
        <v>29</v>
      </c>
      <c r="AC7092">
        <v>7.4790000000000099</v>
      </c>
      <c r="AD7092">
        <v>-1.116868213317</v>
      </c>
      <c r="AE7092">
        <v>6.1422999999999996</v>
      </c>
      <c r="AF7092">
        <v>-4.0301500324111004</v>
      </c>
      <c r="AG7092">
        <v>-1.116868213317</v>
      </c>
      <c r="AH7092">
        <v>8.6588312835772197</v>
      </c>
      <c r="AI7092">
        <v>96.669872575985494</v>
      </c>
      <c r="AJ7092">
        <v>114.959063160613</v>
      </c>
      <c r="AK7092">
        <v>9.6158651762135605</v>
      </c>
      <c r="AL7092">
        <v>66.166143402662001</v>
      </c>
      <c r="AM7092">
        <v>109.53297043579001</v>
      </c>
      <c r="AN7092">
        <v>1.00000003994586</v>
      </c>
    </row>
    <row r="7093" spans="1:40" x14ac:dyDescent="0.25">
      <c r="A7093" t="str">
        <f>"20190304165021895"</f>
        <v>20190304165021895</v>
      </c>
      <c r="B7093" t="str">
        <f>"1551689421892837"</f>
        <v>1551689421892837</v>
      </c>
      <c r="C7093" t="s">
        <v>40</v>
      </c>
      <c r="D7093">
        <v>4.4153609999999999</v>
      </c>
      <c r="E7093">
        <v>0.4518913</v>
      </c>
      <c r="F7093" t="s">
        <v>41</v>
      </c>
      <c r="G7093">
        <v>-209.89500000000001</v>
      </c>
      <c r="H7093">
        <v>0.99627489999999996</v>
      </c>
      <c r="I7093">
        <v>-60.628779999999999</v>
      </c>
      <c r="J7093">
        <v>-210.56559999999999</v>
      </c>
      <c r="K7093">
        <v>1.11693</v>
      </c>
      <c r="L7093">
        <v>-61.256259999999997</v>
      </c>
      <c r="M7093">
        <v>0.96732600000000002</v>
      </c>
      <c r="N7093">
        <v>-1.462044E-2</v>
      </c>
      <c r="O7093">
        <v>0.25311400000000001</v>
      </c>
      <c r="P7093">
        <v>0.76356969999999902</v>
      </c>
      <c r="Q7093">
        <v>0.39581440000000001</v>
      </c>
      <c r="R7093">
        <v>0.51018869999999905</v>
      </c>
      <c r="S7093">
        <v>2.6737980000000001</v>
      </c>
      <c r="T7093">
        <v>-0.39358029999999999</v>
      </c>
      <c r="U7093">
        <v>2.1858520000000001</v>
      </c>
      <c r="V7093">
        <v>-0.30602960000000001</v>
      </c>
      <c r="W7093">
        <v>0.40417130000000001</v>
      </c>
      <c r="X7093">
        <v>0.86196949999999894</v>
      </c>
      <c r="Y7093">
        <v>-0.41460839999999999</v>
      </c>
      <c r="Z7093">
        <v>1.873715E-3</v>
      </c>
      <c r="AA7093">
        <v>0.90999799999999997</v>
      </c>
      <c r="AB7093">
        <v>29</v>
      </c>
      <c r="AC7093">
        <v>0.67059999999997899</v>
      </c>
      <c r="AD7093">
        <v>-0.1206551</v>
      </c>
      <c r="AE7093">
        <v>0.62747999999999104</v>
      </c>
      <c r="AF7093">
        <v>-0.42986672206669202</v>
      </c>
      <c r="AG7093">
        <v>-0.1206551</v>
      </c>
      <c r="AH7093">
        <v>0.79389647800674101</v>
      </c>
      <c r="AI7093">
        <v>97.612170137000405</v>
      </c>
      <c r="AJ7093">
        <v>118.43397009975</v>
      </c>
      <c r="AK7093">
        <v>0.91083185588114002</v>
      </c>
      <c r="AL7093">
        <v>66.160792724724999</v>
      </c>
      <c r="AM7093">
        <v>109.54665848298001</v>
      </c>
      <c r="AN7093">
        <v>0.99999998737504903</v>
      </c>
    </row>
    <row r="7094" spans="1:40" x14ac:dyDescent="0.25">
      <c r="A7094" t="str">
        <f>"20190304165021906"</f>
        <v>20190304165021906</v>
      </c>
      <c r="B7094" t="str">
        <f>"1551689421902597"</f>
        <v>1551689421902597</v>
      </c>
      <c r="C7094" t="s">
        <v>40</v>
      </c>
      <c r="D7094">
        <v>4.4124670000000004</v>
      </c>
      <c r="E7094">
        <v>0.45194849999999998</v>
      </c>
      <c r="F7094" t="s">
        <v>41</v>
      </c>
      <c r="G7094">
        <v>-209.73179999999999</v>
      </c>
      <c r="H7094">
        <v>0.99323740000000005</v>
      </c>
      <c r="I7094">
        <v>-60.56953</v>
      </c>
      <c r="J7094">
        <v>-210.4315</v>
      </c>
      <c r="K7094">
        <v>1.116995</v>
      </c>
      <c r="L7094">
        <v>-61.217289999999998</v>
      </c>
      <c r="M7094">
        <v>0.96639240000000004</v>
      </c>
      <c r="N7094">
        <v>-1.4628149999999999E-2</v>
      </c>
      <c r="O7094">
        <v>0.25665490000000002</v>
      </c>
      <c r="P7094">
        <v>0.76155450000000002</v>
      </c>
      <c r="Q7094">
        <v>0.3960555</v>
      </c>
      <c r="R7094">
        <v>0.51300570000000001</v>
      </c>
      <c r="S7094">
        <v>2.6664729999999999</v>
      </c>
      <c r="T7094">
        <v>-0.39559460000000002</v>
      </c>
      <c r="U7094">
        <v>2.1963499999999998</v>
      </c>
      <c r="V7094">
        <v>-0.30615520000000002</v>
      </c>
      <c r="W7094">
        <v>0.40436889999999998</v>
      </c>
      <c r="X7094">
        <v>0.86183220000000005</v>
      </c>
      <c r="Y7094">
        <v>-0.41464200000000001</v>
      </c>
      <c r="Z7094">
        <v>1.4774629999999901E-3</v>
      </c>
      <c r="AA7094">
        <v>0.90998349999999995</v>
      </c>
      <c r="AB7094">
        <v>29</v>
      </c>
      <c r="AC7094">
        <v>0.69970000000000698</v>
      </c>
      <c r="AD7094">
        <v>-0.1237576</v>
      </c>
      <c r="AE7094">
        <v>0.647759999999998</v>
      </c>
      <c r="AF7094">
        <v>-0.439060263361784</v>
      </c>
      <c r="AG7094">
        <v>-0.1237576</v>
      </c>
      <c r="AH7094">
        <v>0.82856762932352201</v>
      </c>
      <c r="AI7094">
        <v>97.5183696688011</v>
      </c>
      <c r="AJ7094">
        <v>117.919239355592</v>
      </c>
      <c r="AK7094">
        <v>0.94584045947711504</v>
      </c>
      <c r="AL7094">
        <v>66.148414212404603</v>
      </c>
      <c r="AM7094">
        <v>109.55695113674</v>
      </c>
      <c r="AN7094">
        <v>0.99999997736554402</v>
      </c>
    </row>
    <row r="7095" spans="1:40" x14ac:dyDescent="0.25">
      <c r="A7095" t="str">
        <f>"20190304165021916"</f>
        <v>20190304165021916</v>
      </c>
      <c r="B7095" t="str">
        <f>"1551689421912357"</f>
        <v>1551689421912357</v>
      </c>
      <c r="C7095" t="s">
        <v>40</v>
      </c>
      <c r="D7095">
        <v>4.4064129999999997</v>
      </c>
      <c r="E7095">
        <v>0.45195180000000001</v>
      </c>
      <c r="F7095" t="s">
        <v>49</v>
      </c>
      <c r="G7095">
        <v>-202.92670000000001</v>
      </c>
      <c r="H7095" s="1">
        <v>-5.4073979999999996E-6</v>
      </c>
      <c r="I7095">
        <v>-54.989890000000003</v>
      </c>
      <c r="J7095">
        <v>-210.3142</v>
      </c>
      <c r="K7095">
        <v>1.1170549999999999</v>
      </c>
      <c r="L7095">
        <v>-61.183169999999997</v>
      </c>
      <c r="M7095">
        <v>0.96556350000000002</v>
      </c>
      <c r="N7095">
        <v>-1.463451E-2</v>
      </c>
      <c r="O7095">
        <v>0.25975510000000002</v>
      </c>
      <c r="P7095">
        <v>0.7599534</v>
      </c>
      <c r="Q7095">
        <v>0.39622269999999998</v>
      </c>
      <c r="R7095">
        <v>0.51524590000000003</v>
      </c>
      <c r="S7095">
        <v>2.6589049999999999</v>
      </c>
      <c r="T7095">
        <v>-0.3957465</v>
      </c>
      <c r="U7095">
        <v>2.2063290000000002</v>
      </c>
      <c r="V7095">
        <v>-0.30600509999999997</v>
      </c>
      <c r="W7095">
        <v>0.40450320000000001</v>
      </c>
      <c r="X7095">
        <v>0.86182250000000005</v>
      </c>
      <c r="Y7095">
        <v>-0.41502939999999999</v>
      </c>
      <c r="Z7095">
        <v>1.174975E-3</v>
      </c>
      <c r="AA7095">
        <v>0.90980729999999999</v>
      </c>
      <c r="AB7095">
        <v>29</v>
      </c>
      <c r="AC7095">
        <v>7.3874999999999797</v>
      </c>
      <c r="AD7095">
        <v>-1.1170604073979999</v>
      </c>
      <c r="AE7095">
        <v>6.1932799999999899</v>
      </c>
      <c r="AF7095">
        <v>-4.0076873474816503</v>
      </c>
      <c r="AG7095">
        <v>-1.1170604073979999</v>
      </c>
      <c r="AH7095">
        <v>8.6269373076248606</v>
      </c>
      <c r="AI7095">
        <v>96.697689697262405</v>
      </c>
      <c r="AJ7095">
        <v>114.917463009142</v>
      </c>
      <c r="AK7095">
        <v>9.5777569993516902</v>
      </c>
      <c r="AL7095">
        <v>66.140000920917004</v>
      </c>
      <c r="AM7095">
        <v>109.548293298027</v>
      </c>
      <c r="AN7095">
        <v>0.99999999077125001</v>
      </c>
    </row>
    <row r="7096" spans="1:40" x14ac:dyDescent="0.25">
      <c r="A7096" t="str">
        <f>"20190304165021926"</f>
        <v>20190304165021926</v>
      </c>
      <c r="B7096" t="str">
        <f>"1551689421922117"</f>
        <v>1551689421922117</v>
      </c>
      <c r="C7096" t="s">
        <v>40</v>
      </c>
      <c r="D7096">
        <v>4.4291559999999999</v>
      </c>
      <c r="E7096">
        <v>0.45201720000000001</v>
      </c>
      <c r="F7096" t="s">
        <v>41</v>
      </c>
      <c r="G7096">
        <v>-209.4871</v>
      </c>
      <c r="H7096">
        <v>0.99354310000000001</v>
      </c>
      <c r="I7096">
        <v>-60.492519999999899</v>
      </c>
      <c r="J7096">
        <v>-210.18510000000001</v>
      </c>
      <c r="K7096">
        <v>1.1171169999999999</v>
      </c>
      <c r="L7096">
        <v>-61.144559999999998</v>
      </c>
      <c r="M7096">
        <v>0.96461799999999998</v>
      </c>
      <c r="N7096">
        <v>-1.4642469999999999E-2</v>
      </c>
      <c r="O7096">
        <v>0.2632449</v>
      </c>
      <c r="P7096">
        <v>0.75786830000000005</v>
      </c>
      <c r="Q7096">
        <v>0.39637660000000002</v>
      </c>
      <c r="R7096">
        <v>0.51819029999999999</v>
      </c>
      <c r="S7096">
        <v>2.6524200000000002</v>
      </c>
      <c r="T7096">
        <v>-0.39609549999999999</v>
      </c>
      <c r="U7096">
        <v>2.2149350000000001</v>
      </c>
      <c r="V7096">
        <v>-0.306316799999999</v>
      </c>
      <c r="W7096">
        <v>0.40461269999999999</v>
      </c>
      <c r="X7096">
        <v>0.86166039999999899</v>
      </c>
      <c r="Y7096">
        <v>-0.41459230000000002</v>
      </c>
      <c r="Z7096">
        <v>7.6894460000000002E-4</v>
      </c>
      <c r="AA7096">
        <v>0.91000689999999995</v>
      </c>
      <c r="AB7096">
        <v>29</v>
      </c>
      <c r="AC7096">
        <v>0.69800000000000695</v>
      </c>
      <c r="AD7096">
        <v>-0.123573899999999</v>
      </c>
      <c r="AE7096">
        <v>0.65204000000000595</v>
      </c>
      <c r="AF7096">
        <v>-0.43794227835694799</v>
      </c>
      <c r="AG7096">
        <v>-0.123573899999999</v>
      </c>
      <c r="AH7096">
        <v>0.83112917695484301</v>
      </c>
      <c r="AI7096">
        <v>97.493571028935307</v>
      </c>
      <c r="AJ7096">
        <v>117.785842311398</v>
      </c>
      <c r="AK7096">
        <v>0.94754401307766101</v>
      </c>
      <c r="AL7096">
        <v>66.133141600458501</v>
      </c>
      <c r="AM7096">
        <v>109.57009494811599</v>
      </c>
      <c r="AN7096">
        <v>1.00000003194584</v>
      </c>
    </row>
    <row r="7097" spans="1:40" x14ac:dyDescent="0.25">
      <c r="A7097" t="str">
        <f>"20190304165021937"</f>
        <v>20190304165021937</v>
      </c>
      <c r="B7097" t="str">
        <f>"1551689421932852"</f>
        <v>1551689421932852</v>
      </c>
      <c r="C7097" t="s">
        <v>40</v>
      </c>
      <c r="D7097">
        <v>4.4369389999999997</v>
      </c>
      <c r="E7097">
        <v>0.4521076</v>
      </c>
      <c r="F7097" t="s">
        <v>49</v>
      </c>
      <c r="G7097">
        <v>-202.7397</v>
      </c>
      <c r="H7097" s="1">
        <v>-5.5270270000000003E-6</v>
      </c>
      <c r="I7097">
        <v>-54.880290000000002</v>
      </c>
      <c r="J7097">
        <v>-210.0436</v>
      </c>
      <c r="K7097">
        <v>1.1171850000000001</v>
      </c>
      <c r="L7097">
        <v>-61.102049999999998</v>
      </c>
      <c r="M7097">
        <v>0.96356240000000004</v>
      </c>
      <c r="N7097">
        <v>-1.465089E-2</v>
      </c>
      <c r="O7097">
        <v>0.2670825</v>
      </c>
      <c r="P7097">
        <v>0.75565419999999905</v>
      </c>
      <c r="Q7097">
        <v>0.39656380000000002</v>
      </c>
      <c r="R7097">
        <v>0.52127159999999995</v>
      </c>
      <c r="S7097">
        <v>2.6446079999999998</v>
      </c>
      <c r="T7097">
        <v>-0.39680149999999997</v>
      </c>
      <c r="U7097">
        <v>2.2250670000000001</v>
      </c>
      <c r="V7097">
        <v>-0.30649009999999999</v>
      </c>
      <c r="W7097">
        <v>0.40475440000000001</v>
      </c>
      <c r="X7097">
        <v>0.86153219999999997</v>
      </c>
      <c r="Y7097">
        <v>-0.41435280000000002</v>
      </c>
      <c r="Z7097">
        <v>3.3302050000000001E-4</v>
      </c>
      <c r="AA7097">
        <v>0.91011629999999999</v>
      </c>
      <c r="AB7097">
        <v>29</v>
      </c>
      <c r="AC7097">
        <v>7.3038999999999898</v>
      </c>
      <c r="AD7097">
        <v>-1.1171905270269999</v>
      </c>
      <c r="AE7097">
        <v>6.22175999999999</v>
      </c>
      <c r="AF7097">
        <v>-3.9906386412135002</v>
      </c>
      <c r="AG7097">
        <v>-1.1171905270269999</v>
      </c>
      <c r="AH7097">
        <v>8.5840369349599399</v>
      </c>
      <c r="AI7097">
        <v>96.730777717277903</v>
      </c>
      <c r="AJ7097">
        <v>114.93327673218199</v>
      </c>
      <c r="AK7097">
        <v>9.5319988218201992</v>
      </c>
      <c r="AL7097">
        <v>66.124262974969199</v>
      </c>
      <c r="AM7097">
        <v>109.58301688752501</v>
      </c>
      <c r="AN7097">
        <v>1.0000000186771001</v>
      </c>
    </row>
    <row r="7098" spans="1:40" x14ac:dyDescent="0.25">
      <c r="A7098" t="str">
        <f>"20190304165021949"</f>
        <v>20190304165021949</v>
      </c>
      <c r="B7098" t="str">
        <f>"1551689421942612"</f>
        <v>1551689421942612</v>
      </c>
      <c r="C7098" t="s">
        <v>40</v>
      </c>
      <c r="D7098">
        <v>4.4022420000000002</v>
      </c>
      <c r="E7098">
        <v>0.4522004</v>
      </c>
      <c r="F7098" t="s">
        <v>41</v>
      </c>
      <c r="G7098">
        <v>-209.23990000000001</v>
      </c>
      <c r="H7098">
        <v>0.99616170000000004</v>
      </c>
      <c r="I7098">
        <v>-60.420380000000002</v>
      </c>
      <c r="J7098">
        <v>-209.89349999999999</v>
      </c>
      <c r="K7098">
        <v>1.1172519999999999</v>
      </c>
      <c r="L7098">
        <v>-61.055970000000002</v>
      </c>
      <c r="M7098">
        <v>0.96240409999999998</v>
      </c>
      <c r="N7098">
        <v>-1.4660360000000001E-2</v>
      </c>
      <c r="O7098">
        <v>0.27122610000000003</v>
      </c>
      <c r="P7098">
        <v>0.75308699999999995</v>
      </c>
      <c r="Q7098">
        <v>0.39682610000000001</v>
      </c>
      <c r="R7098">
        <v>0.52477529999999994</v>
      </c>
      <c r="S7098">
        <v>2.6360929999999998</v>
      </c>
      <c r="T7098">
        <v>-0.39696559999999997</v>
      </c>
      <c r="U7098">
        <v>2.2357480000000001</v>
      </c>
      <c r="V7098">
        <v>-0.30689640000000001</v>
      </c>
      <c r="W7098">
        <v>0.40496369999999998</v>
      </c>
      <c r="X7098">
        <v>0.86128909999999903</v>
      </c>
      <c r="Y7098">
        <v>-0.41405429999999999</v>
      </c>
      <c r="Z7098">
        <v>-1.320951E-4</v>
      </c>
      <c r="AA7098">
        <v>0.91025219999999996</v>
      </c>
      <c r="AB7098">
        <v>29</v>
      </c>
      <c r="AC7098">
        <v>0.65359999999998297</v>
      </c>
      <c r="AD7098">
        <v>-0.1210903</v>
      </c>
      <c r="AE7098">
        <v>0.63558999999999299</v>
      </c>
      <c r="AF7098">
        <v>-0.42693599901561102</v>
      </c>
      <c r="AG7098">
        <v>-0.1210903</v>
      </c>
      <c r="AH7098">
        <v>0.78760757691497796</v>
      </c>
      <c r="AI7098">
        <v>97.697653655889397</v>
      </c>
      <c r="AJ7098">
        <v>118.46065545923599</v>
      </c>
      <c r="AK7098">
        <v>0.90402594167614003</v>
      </c>
      <c r="AL7098">
        <v>66.111146472507599</v>
      </c>
      <c r="AM7098">
        <v>109.612110467622</v>
      </c>
      <c r="AN7098">
        <v>0.99999995621472804</v>
      </c>
    </row>
    <row r="7099" spans="1:40" x14ac:dyDescent="0.25">
      <c r="A7099" t="str">
        <f>"20190304165021960"</f>
        <v>20190304165021960</v>
      </c>
      <c r="B7099" t="str">
        <f>"1551689421952373"</f>
        <v>1551689421952373</v>
      </c>
      <c r="C7099" t="s">
        <v>40</v>
      </c>
      <c r="D7099">
        <v>4.4027219999999998</v>
      </c>
      <c r="E7099">
        <v>0.45224760000000003</v>
      </c>
      <c r="F7099" t="s">
        <v>49</v>
      </c>
      <c r="G7099">
        <v>-202.5061</v>
      </c>
      <c r="H7099" s="1">
        <v>-5.6423799999999998E-6</v>
      </c>
      <c r="I7099">
        <v>-54.732930000000003</v>
      </c>
      <c r="J7099">
        <v>-209.76679999999999</v>
      </c>
      <c r="K7099">
        <v>1.1173109999999999</v>
      </c>
      <c r="L7099">
        <v>-61.016570000000002</v>
      </c>
      <c r="M7099">
        <v>0.96140099999999995</v>
      </c>
      <c r="N7099">
        <v>-1.466835E-2</v>
      </c>
      <c r="O7099">
        <v>0.2747597</v>
      </c>
      <c r="P7099">
        <v>0.75090749999999995</v>
      </c>
      <c r="Q7099">
        <v>0.39719330000000003</v>
      </c>
      <c r="R7099">
        <v>0.52761289999999905</v>
      </c>
      <c r="S7099">
        <v>2.6264189999999998</v>
      </c>
      <c r="T7099">
        <v>-0.39721610000000002</v>
      </c>
      <c r="U7099">
        <v>2.2480159999999998</v>
      </c>
      <c r="V7099">
        <v>-0.30709979999999998</v>
      </c>
      <c r="W7099">
        <v>0.4052885</v>
      </c>
      <c r="X7099">
        <v>0.86106380000000005</v>
      </c>
      <c r="Y7099">
        <v>-0.41483170000000003</v>
      </c>
      <c r="Z7099">
        <v>-4.571248E-4</v>
      </c>
      <c r="AA7099">
        <v>0.90989799999999998</v>
      </c>
      <c r="AB7099">
        <v>29</v>
      </c>
      <c r="AC7099">
        <v>7.2606999999999804</v>
      </c>
      <c r="AD7099">
        <v>-1.1173166423799901</v>
      </c>
      <c r="AE7099">
        <v>6.2836399999999903</v>
      </c>
      <c r="AF7099">
        <v>-3.9925274344527</v>
      </c>
      <c r="AG7099">
        <v>-1.1173166423799901</v>
      </c>
      <c r="AH7099">
        <v>8.5915444957131193</v>
      </c>
      <c r="AI7099">
        <v>96.7261770348765</v>
      </c>
      <c r="AJ7099">
        <v>114.924494498497</v>
      </c>
      <c r="AK7099">
        <v>9.5395654311931395</v>
      </c>
      <c r="AL7099">
        <v>66.090791726374604</v>
      </c>
      <c r="AM7099">
        <v>109.628858323389</v>
      </c>
      <c r="AN7099">
        <v>0.99999996153136395</v>
      </c>
    </row>
    <row r="7100" spans="1:40" x14ac:dyDescent="0.25">
      <c r="A7100" t="str">
        <f>"20190304165021970"</f>
        <v>20190304165021970</v>
      </c>
      <c r="B7100" t="str">
        <f>"1551689421962133"</f>
        <v>1551689421962133</v>
      </c>
      <c r="C7100" t="s">
        <v>40</v>
      </c>
      <c r="D7100">
        <v>4.4012320000000003</v>
      </c>
      <c r="E7100">
        <v>0.45231369999999999</v>
      </c>
      <c r="F7100" t="s">
        <v>41</v>
      </c>
      <c r="G7100">
        <v>-208.99010000000001</v>
      </c>
      <c r="H7100">
        <v>0.99954909999999997</v>
      </c>
      <c r="I7100">
        <v>-60.346539999999997</v>
      </c>
      <c r="J7100">
        <v>-209.62970000000001</v>
      </c>
      <c r="K7100">
        <v>1.1173729999999999</v>
      </c>
      <c r="L7100">
        <v>-60.973329999999997</v>
      </c>
      <c r="M7100">
        <v>0.96028670000000005</v>
      </c>
      <c r="N7100">
        <v>-1.467711E-2</v>
      </c>
      <c r="O7100">
        <v>0.278628599999999</v>
      </c>
      <c r="P7100">
        <v>0.7486526</v>
      </c>
      <c r="Q7100">
        <v>0.39716879999999999</v>
      </c>
      <c r="R7100">
        <v>0.53082589999999996</v>
      </c>
      <c r="S7100">
        <v>2.6182249999999998</v>
      </c>
      <c r="T7100">
        <v>-0.39694190000000001</v>
      </c>
      <c r="U7100">
        <v>2.2584529999999998</v>
      </c>
      <c r="V7100">
        <v>-0.30738310000000002</v>
      </c>
      <c r="W7100">
        <v>0.40521960000000001</v>
      </c>
      <c r="X7100">
        <v>0.86099519999999996</v>
      </c>
      <c r="Y7100">
        <v>-0.41467910000000002</v>
      </c>
      <c r="Z7100">
        <v>-8.7471309999999998E-4</v>
      </c>
      <c r="AA7100">
        <v>0.90996730000000003</v>
      </c>
      <c r="AB7100">
        <v>29</v>
      </c>
      <c r="AC7100">
        <v>0.63960000000000095</v>
      </c>
      <c r="AD7100">
        <v>-0.117823899999999</v>
      </c>
      <c r="AE7100">
        <v>0.62678999999999896</v>
      </c>
      <c r="AF7100">
        <v>-0.41652257649518898</v>
      </c>
      <c r="AG7100">
        <v>-0.117823899999999</v>
      </c>
      <c r="AH7100">
        <v>0.77550146838579304</v>
      </c>
      <c r="AI7100">
        <v>97.623622804685496</v>
      </c>
      <c r="AJ7100">
        <v>118.240287746877</v>
      </c>
      <c r="AK7100">
        <v>0.88813065233101895</v>
      </c>
      <c r="AL7100">
        <v>66.095111228931003</v>
      </c>
      <c r="AM7100">
        <v>109.647025720556</v>
      </c>
      <c r="AN7100">
        <v>1.0000000144064001</v>
      </c>
    </row>
    <row r="7101" spans="1:40" x14ac:dyDescent="0.25">
      <c r="A7101" t="str">
        <f>"20190304165021982"</f>
        <v>20190304165021982</v>
      </c>
      <c r="B7101" t="str">
        <f>"1551689421972869"</f>
        <v>1551689421972869</v>
      </c>
      <c r="C7101" t="s">
        <v>40</v>
      </c>
      <c r="D7101">
        <v>4.3862420000000002</v>
      </c>
      <c r="E7101">
        <v>0.45241759999999998</v>
      </c>
      <c r="F7101" t="s">
        <v>49</v>
      </c>
      <c r="G7101">
        <v>-202.2997</v>
      </c>
      <c r="H7101" s="1">
        <v>-5.7417039999999997E-6</v>
      </c>
      <c r="I7101">
        <v>-54.597290000000001</v>
      </c>
      <c r="J7101">
        <v>-209.4967</v>
      </c>
      <c r="K7101">
        <v>1.1174409999999999</v>
      </c>
      <c r="L7101">
        <v>-60.930689999999998</v>
      </c>
      <c r="M7101">
        <v>0.95917459999999999</v>
      </c>
      <c r="N7101">
        <v>-1.468588E-2</v>
      </c>
      <c r="O7101">
        <v>0.28243309999999999</v>
      </c>
      <c r="P7101">
        <v>0.74632049999999905</v>
      </c>
      <c r="Q7101">
        <v>0.39724979999999999</v>
      </c>
      <c r="R7101">
        <v>0.53403959999999995</v>
      </c>
      <c r="S7101">
        <v>2.6090390000000001</v>
      </c>
      <c r="T7101">
        <v>-0.39771679999999998</v>
      </c>
      <c r="U7101">
        <v>2.2694700000000001</v>
      </c>
      <c r="V7101">
        <v>-0.30774869999999999</v>
      </c>
      <c r="W7101">
        <v>0.40525450000000002</v>
      </c>
      <c r="X7101">
        <v>0.86084819999999995</v>
      </c>
      <c r="Y7101">
        <v>-0.41485880000000003</v>
      </c>
      <c r="Z7101">
        <v>-1.2842680000000001E-3</v>
      </c>
      <c r="AA7101">
        <v>0.9098849</v>
      </c>
      <c r="AB7101">
        <v>29</v>
      </c>
      <c r="AC7101">
        <v>7.1970000000000001</v>
      </c>
      <c r="AD7101">
        <v>-1.1174467417039999</v>
      </c>
      <c r="AE7101">
        <v>6.3334000000000001</v>
      </c>
      <c r="AF7101">
        <v>-3.9884140360203899</v>
      </c>
      <c r="AG7101">
        <v>-1.1174467417039999</v>
      </c>
      <c r="AH7101">
        <v>8.5763588805109894</v>
      </c>
      <c r="AI7101">
        <v>96.737878695940495</v>
      </c>
      <c r="AJ7101">
        <v>114.94066410620199</v>
      </c>
      <c r="AK7101">
        <v>9.5241831875803893</v>
      </c>
      <c r="AL7101">
        <v>66.092924812142996</v>
      </c>
      <c r="AM7101">
        <v>109.671702562806</v>
      </c>
      <c r="AN7101">
        <v>1.0000000477825799</v>
      </c>
    </row>
    <row r="7102" spans="1:40" x14ac:dyDescent="0.25">
      <c r="A7102" t="str">
        <f>"20190304165021992"</f>
        <v>20190304165021992</v>
      </c>
      <c r="B7102" t="str">
        <f>"1551689421982629"</f>
        <v>1551689421982629</v>
      </c>
      <c r="C7102" t="s">
        <v>40</v>
      </c>
      <c r="D7102">
        <v>4.3852769999999897</v>
      </c>
      <c r="E7102">
        <v>0.45251259999999999</v>
      </c>
      <c r="F7102" t="s">
        <v>41</v>
      </c>
      <c r="G7102">
        <v>-208.7107</v>
      </c>
      <c r="H7102">
        <v>0.99711749999999999</v>
      </c>
      <c r="I7102">
        <v>-60.241509999999998</v>
      </c>
      <c r="J7102">
        <v>-209.3614</v>
      </c>
      <c r="K7102">
        <v>1.117505</v>
      </c>
      <c r="L7102">
        <v>-60.886809999999997</v>
      </c>
      <c r="M7102">
        <v>0.95801650000000005</v>
      </c>
      <c r="N7102">
        <v>-1.469474E-2</v>
      </c>
      <c r="O7102">
        <v>0.28633639999999999</v>
      </c>
      <c r="P7102">
        <v>0.74378909999999998</v>
      </c>
      <c r="Q7102">
        <v>0.39750930000000001</v>
      </c>
      <c r="R7102">
        <v>0.53736779999999995</v>
      </c>
      <c r="S7102">
        <v>2.600174</v>
      </c>
      <c r="T7102">
        <v>-0.39802910000000002</v>
      </c>
      <c r="U7102">
        <v>2.2798769999999999</v>
      </c>
      <c r="V7102">
        <v>-0.30819760000000002</v>
      </c>
      <c r="W7102">
        <v>0.40546359999999998</v>
      </c>
      <c r="X7102">
        <v>0.86058899999999905</v>
      </c>
      <c r="Y7102">
        <v>-0.414769</v>
      </c>
      <c r="Z7102">
        <v>-1.7157660000000001E-3</v>
      </c>
      <c r="AA7102">
        <v>0.90992519999999999</v>
      </c>
      <c r="AB7102">
        <v>29</v>
      </c>
      <c r="AC7102">
        <v>0.65069999999999995</v>
      </c>
      <c r="AD7102">
        <v>-0.12038749999999999</v>
      </c>
      <c r="AE7102">
        <v>0.64529999999999799</v>
      </c>
      <c r="AF7102">
        <v>-0.42460794441368899</v>
      </c>
      <c r="AG7102">
        <v>-0.12038749999999999</v>
      </c>
      <c r="AH7102">
        <v>0.79452993329593602</v>
      </c>
      <c r="AI7102">
        <v>97.611594878137893</v>
      </c>
      <c r="AJ7102">
        <v>118.120672459866</v>
      </c>
      <c r="AK7102">
        <v>0.90888000941747704</v>
      </c>
      <c r="AL7102">
        <v>66.079817001916894</v>
      </c>
      <c r="AM7102">
        <v>109.703666172559</v>
      </c>
      <c r="AN7102">
        <v>0.99999995924585905</v>
      </c>
    </row>
    <row r="7103" spans="1:40" x14ac:dyDescent="0.25">
      <c r="A7103" t="str">
        <f>"20190304165022004"</f>
        <v>20190304165022004</v>
      </c>
      <c r="B7103" t="str">
        <f>"1551689421992389"</f>
        <v>1551689421992389</v>
      </c>
      <c r="C7103" t="s">
        <v>40</v>
      </c>
      <c r="D7103">
        <v>4.3860330000000003</v>
      </c>
      <c r="E7103">
        <v>0.45261639999999997</v>
      </c>
      <c r="F7103" t="s">
        <v>49</v>
      </c>
      <c r="G7103">
        <v>-202.089</v>
      </c>
      <c r="H7103" s="1">
        <v>-5.8434139999999998E-6</v>
      </c>
      <c r="I7103">
        <v>-54.456659999999999</v>
      </c>
      <c r="J7103">
        <v>-209.22489999999999</v>
      </c>
      <c r="K7103">
        <v>1.1175710000000001</v>
      </c>
      <c r="L7103">
        <v>-60.841610000000003</v>
      </c>
      <c r="M7103">
        <v>0.95680940000000003</v>
      </c>
      <c r="N7103">
        <v>-1.4704389999999999E-2</v>
      </c>
      <c r="O7103">
        <v>0.29034379999999999</v>
      </c>
      <c r="P7103">
        <v>0.74108090000000004</v>
      </c>
      <c r="Q7103">
        <v>0.39786460000000001</v>
      </c>
      <c r="R7103">
        <v>0.54083519999999996</v>
      </c>
      <c r="S7103">
        <v>2.5910489999999999</v>
      </c>
      <c r="T7103">
        <v>-0.39815060000000002</v>
      </c>
      <c r="U7103">
        <v>2.2909549999999999</v>
      </c>
      <c r="V7103">
        <v>-0.30874230000000003</v>
      </c>
      <c r="W7103">
        <v>0.40576620000000002</v>
      </c>
      <c r="X7103">
        <v>0.86025110000000005</v>
      </c>
      <c r="Y7103">
        <v>-0.4147537</v>
      </c>
      <c r="Z7103">
        <v>-2.1486389999999999E-3</v>
      </c>
      <c r="AA7103">
        <v>0.90993120000000005</v>
      </c>
      <c r="AB7103">
        <v>29</v>
      </c>
      <c r="AC7103">
        <v>7.1358999999999604</v>
      </c>
      <c r="AD7103">
        <v>-1.1175768434140001</v>
      </c>
      <c r="AE7103">
        <v>6.3849499999999901</v>
      </c>
      <c r="AF7103">
        <v>-3.9834895776394901</v>
      </c>
      <c r="AG7103">
        <v>-1.1175768434140001</v>
      </c>
      <c r="AH7103">
        <v>8.5657830426684196</v>
      </c>
      <c r="AI7103">
        <v>96.746901108345796</v>
      </c>
      <c r="AJ7103">
        <v>114.94063005471</v>
      </c>
      <c r="AK7103">
        <v>9.5126130137919294</v>
      </c>
      <c r="AL7103">
        <v>66.060849554540894</v>
      </c>
      <c r="AM7103">
        <v>109.742955028989</v>
      </c>
      <c r="AN7103">
        <v>0.999999985961469</v>
      </c>
    </row>
    <row r="7104" spans="1:40" x14ac:dyDescent="0.25">
      <c r="A7104" t="str">
        <f>"20190304165022015"</f>
        <v>20190304165022015</v>
      </c>
      <c r="B7104" t="str">
        <f>"1551689422012885"</f>
        <v>1551689422012885</v>
      </c>
      <c r="C7104" t="s">
        <v>40</v>
      </c>
      <c r="D7104">
        <v>4.367877</v>
      </c>
      <c r="E7104">
        <v>0.4528124</v>
      </c>
      <c r="F7104" t="s">
        <v>41</v>
      </c>
      <c r="G7104">
        <v>-208.4289</v>
      </c>
      <c r="H7104">
        <v>0.99499530000000003</v>
      </c>
      <c r="I7104">
        <v>-60.1318699999999</v>
      </c>
      <c r="J7104">
        <v>-209.0855</v>
      </c>
      <c r="K7104">
        <v>1.1176410000000001</v>
      </c>
      <c r="L7104">
        <v>-60.795169999999999</v>
      </c>
      <c r="M7104">
        <v>0.95555369999999995</v>
      </c>
      <c r="N7104">
        <v>-1.471394E-2</v>
      </c>
      <c r="O7104">
        <v>0.29445009999999999</v>
      </c>
      <c r="P7104">
        <v>0.73825769999999902</v>
      </c>
      <c r="Q7104">
        <v>0.39809270000000002</v>
      </c>
      <c r="R7104">
        <v>0.54451619999999901</v>
      </c>
      <c r="S7104">
        <v>2.5813449999999998</v>
      </c>
      <c r="T7104">
        <v>-0.39757619999999999</v>
      </c>
      <c r="U7104">
        <v>2.302368</v>
      </c>
      <c r="V7104">
        <v>-0.3094384</v>
      </c>
      <c r="W7104">
        <v>0.40593750000000001</v>
      </c>
      <c r="X7104">
        <v>0.85992009999999997</v>
      </c>
      <c r="Y7104">
        <v>-0.41480990000000001</v>
      </c>
      <c r="Z7104">
        <v>-2.5709180000000002E-3</v>
      </c>
      <c r="AA7104">
        <v>0.9099045</v>
      </c>
      <c r="AB7104">
        <v>29</v>
      </c>
      <c r="AC7104">
        <v>0.65659999999999696</v>
      </c>
      <c r="AD7104">
        <v>-0.122645699999999</v>
      </c>
      <c r="AE7104">
        <v>0.663300000000006</v>
      </c>
      <c r="AF7104">
        <v>-0.43305253169316099</v>
      </c>
      <c r="AG7104">
        <v>-0.122645699999999</v>
      </c>
      <c r="AH7104">
        <v>0.80884713675880704</v>
      </c>
      <c r="AI7104">
        <v>97.613978495685103</v>
      </c>
      <c r="AJ7104">
        <v>118.16436390047799</v>
      </c>
      <c r="AK7104">
        <v>0.92564040187173502</v>
      </c>
      <c r="AL7104">
        <v>66.050110372434403</v>
      </c>
      <c r="AM7104">
        <v>109.79104066866699</v>
      </c>
      <c r="AN7104">
        <v>0.99999997784240902</v>
      </c>
    </row>
    <row r="7105" spans="1:40" x14ac:dyDescent="0.25">
      <c r="A7105" t="str">
        <f>"20190304165022027"</f>
        <v>20190304165022027</v>
      </c>
      <c r="B7105" t="str">
        <f>"1551689422022644"</f>
        <v>1551689422022644</v>
      </c>
      <c r="C7105" t="s">
        <v>40</v>
      </c>
      <c r="D7105">
        <v>4.3618489999999897</v>
      </c>
      <c r="E7105">
        <v>0.45294909999999999</v>
      </c>
      <c r="F7105" t="s">
        <v>41</v>
      </c>
      <c r="G7105">
        <v>-208.2834</v>
      </c>
      <c r="H7105">
        <v>0.9933149</v>
      </c>
      <c r="I7105">
        <v>-60.073929999999997</v>
      </c>
      <c r="J7105">
        <v>-208.9408</v>
      </c>
      <c r="K7105">
        <v>1.11771</v>
      </c>
      <c r="L7105">
        <v>-60.745640000000002</v>
      </c>
      <c r="M7105">
        <v>0.95420070000000001</v>
      </c>
      <c r="N7105">
        <v>-1.472471E-2</v>
      </c>
      <c r="O7105">
        <v>0.29880449999999997</v>
      </c>
      <c r="P7105">
        <v>0.73512880000000003</v>
      </c>
      <c r="Q7105">
        <v>0.39821689999999998</v>
      </c>
      <c r="R7105">
        <v>0.54864290000000004</v>
      </c>
      <c r="S7105">
        <v>2.5724179999999999</v>
      </c>
      <c r="T7105">
        <v>-0.39874009999999999</v>
      </c>
      <c r="U7105">
        <v>2.3132929999999998</v>
      </c>
      <c r="V7105">
        <v>-0.31042989999999998</v>
      </c>
      <c r="W7105">
        <v>0.4059989</v>
      </c>
      <c r="X7105">
        <v>0.85953369999999996</v>
      </c>
      <c r="Y7105">
        <v>-0.41438589999999997</v>
      </c>
      <c r="Z7105">
        <v>-3.097238E-3</v>
      </c>
      <c r="AA7105">
        <v>0.91009600000000002</v>
      </c>
      <c r="AB7105">
        <v>29</v>
      </c>
      <c r="AC7105">
        <v>0.65739999999999499</v>
      </c>
      <c r="AD7105">
        <v>-0.12439509999999999</v>
      </c>
      <c r="AE7105">
        <v>0.67170999999999703</v>
      </c>
      <c r="AF7105">
        <v>-0.43690690819174799</v>
      </c>
      <c r="AG7105">
        <v>-0.12439509999999999</v>
      </c>
      <c r="AH7105">
        <v>0.81383521694467298</v>
      </c>
      <c r="AI7105">
        <v>97.669931328113606</v>
      </c>
      <c r="AJ7105">
        <v>118.22909846044899</v>
      </c>
      <c r="AK7105">
        <v>0.93203516439513501</v>
      </c>
      <c r="AL7105">
        <v>66.046261629427505</v>
      </c>
      <c r="AM7105">
        <v>109.857734126796</v>
      </c>
      <c r="AN7105">
        <v>1.0000000055254501</v>
      </c>
    </row>
    <row r="7106" spans="1:40" x14ac:dyDescent="0.25">
      <c r="A7106" t="str">
        <f>"20190304165022039"</f>
        <v>20190304165022039</v>
      </c>
      <c r="B7106" t="str">
        <f>"1551689422032405"</f>
        <v>1551689422032405</v>
      </c>
      <c r="C7106" t="s">
        <v>40</v>
      </c>
      <c r="D7106">
        <v>4.3840000000000003</v>
      </c>
      <c r="E7106">
        <v>0.453067</v>
      </c>
      <c r="F7106" t="s">
        <v>49</v>
      </c>
      <c r="G7106">
        <v>-201.77160000000001</v>
      </c>
      <c r="H7106" s="1">
        <v>-5.9980330000000003E-6</v>
      </c>
      <c r="I7106">
        <v>-54.235599999999998</v>
      </c>
      <c r="J7106">
        <v>-208.79769999999999</v>
      </c>
      <c r="K7106">
        <v>1.1177760000000001</v>
      </c>
      <c r="L7106">
        <v>-60.696260000000002</v>
      </c>
      <c r="M7106">
        <v>0.95283459999999998</v>
      </c>
      <c r="N7106">
        <v>-1.473503E-2</v>
      </c>
      <c r="O7106">
        <v>0.30313240000000002</v>
      </c>
      <c r="P7106">
        <v>0.73209179999999996</v>
      </c>
      <c r="Q7106">
        <v>0.39839360000000001</v>
      </c>
      <c r="R7106">
        <v>0.55256149999999904</v>
      </c>
      <c r="S7106">
        <v>2.5613860000000002</v>
      </c>
      <c r="T7106">
        <v>-0.39933629999999998</v>
      </c>
      <c r="U7106">
        <v>2.3258969999999999</v>
      </c>
      <c r="V7106">
        <v>-0.31122109999999997</v>
      </c>
      <c r="W7106">
        <v>0.40611829999999999</v>
      </c>
      <c r="X7106">
        <v>0.85919109999999999</v>
      </c>
      <c r="Y7106">
        <v>-0.41467660000000001</v>
      </c>
      <c r="Z7106">
        <v>-3.5589839999999998E-3</v>
      </c>
      <c r="AA7106">
        <v>0.90996189999999999</v>
      </c>
      <c r="AB7106">
        <v>29</v>
      </c>
      <c r="AC7106">
        <v>7.02609999999998</v>
      </c>
      <c r="AD7106">
        <v>-1.1177819980329999</v>
      </c>
      <c r="AE7106">
        <v>6.4606599999999901</v>
      </c>
      <c r="AF7106">
        <v>-3.97206551016418</v>
      </c>
      <c r="AG7106">
        <v>-1.1177819980329999</v>
      </c>
      <c r="AH7106">
        <v>8.5370083580555391</v>
      </c>
      <c r="AI7106">
        <v>96.770074374821405</v>
      </c>
      <c r="AJ7106">
        <v>114.951430770158</v>
      </c>
      <c r="AK7106">
        <v>9.4819435095170608</v>
      </c>
      <c r="AL7106">
        <v>66.038775337127404</v>
      </c>
      <c r="AM7106">
        <v>109.911688693765</v>
      </c>
      <c r="AN7106">
        <v>0.99999999649965499</v>
      </c>
    </row>
    <row r="7107" spans="1:40" x14ac:dyDescent="0.25">
      <c r="A7107" t="str">
        <f>"20190304165022049"</f>
        <v>20190304165022049</v>
      </c>
      <c r="B7107" t="str">
        <f>"1551689422042165"</f>
        <v>1551689422042165</v>
      </c>
      <c r="C7107" t="s">
        <v>40</v>
      </c>
      <c r="D7107">
        <v>4.3431119999999996</v>
      </c>
      <c r="E7107">
        <v>0.45320929999999998</v>
      </c>
      <c r="F7107" t="s">
        <v>41</v>
      </c>
      <c r="G7107">
        <v>-208.0367</v>
      </c>
      <c r="H7107">
        <v>0.99842679999999995</v>
      </c>
      <c r="I7107">
        <v>-59.998820000000002</v>
      </c>
      <c r="J7107">
        <v>-208.6618</v>
      </c>
      <c r="K7107">
        <v>1.1178269999999999</v>
      </c>
      <c r="L7107">
        <v>-60.648530000000001</v>
      </c>
      <c r="M7107">
        <v>0.95150159999999995</v>
      </c>
      <c r="N7107">
        <v>-1.474493E-2</v>
      </c>
      <c r="O7107">
        <v>0.30729040000000002</v>
      </c>
      <c r="P7107">
        <v>0.72924840000000002</v>
      </c>
      <c r="Q7107">
        <v>0.39833089999999999</v>
      </c>
      <c r="R7107">
        <v>0.5563536</v>
      </c>
      <c r="S7107">
        <v>2.5507810000000002</v>
      </c>
      <c r="T7107">
        <v>-0.40008830000000001</v>
      </c>
      <c r="U7107">
        <v>2.3382260000000001</v>
      </c>
      <c r="V7107">
        <v>-0.31198110000000001</v>
      </c>
      <c r="W7107">
        <v>0.40600370000000002</v>
      </c>
      <c r="X7107">
        <v>0.8589696</v>
      </c>
      <c r="Y7107">
        <v>-0.41499200000000003</v>
      </c>
      <c r="Z7107">
        <v>-4.006356E-3</v>
      </c>
      <c r="AA7107">
        <v>0.90981630000000002</v>
      </c>
      <c r="AB7107">
        <v>29</v>
      </c>
      <c r="AC7107">
        <v>0.62510000000000299</v>
      </c>
      <c r="AD7107">
        <v>-0.1194002</v>
      </c>
      <c r="AE7107">
        <v>0.649710000000013</v>
      </c>
      <c r="AF7107">
        <v>-0.41881390188508</v>
      </c>
      <c r="AG7107">
        <v>-0.1194002</v>
      </c>
      <c r="AH7107">
        <v>0.78082528737118295</v>
      </c>
      <c r="AI7107">
        <v>97.674653325309293</v>
      </c>
      <c r="AJ7107">
        <v>118.20792461034</v>
      </c>
      <c r="AK7107">
        <v>0.89406354448133896</v>
      </c>
      <c r="AL7107">
        <v>66.045960357682205</v>
      </c>
      <c r="AM7107">
        <v>109.961218449866</v>
      </c>
      <c r="AN7107">
        <v>0.99999999244753002</v>
      </c>
    </row>
    <row r="7108" spans="1:40" x14ac:dyDescent="0.25">
      <c r="A7108" t="str">
        <f>"20190304165022061"</f>
        <v>20190304165022061</v>
      </c>
      <c r="B7108" t="str">
        <f>"1551689422052900"</f>
        <v>1551689422052900</v>
      </c>
      <c r="C7108" t="s">
        <v>40</v>
      </c>
      <c r="D7108">
        <v>4.3540749999999999</v>
      </c>
      <c r="E7108">
        <v>0.45333560000000001</v>
      </c>
      <c r="F7108" t="s">
        <v>49</v>
      </c>
      <c r="G7108">
        <v>-201.5882</v>
      </c>
      <c r="H7108" s="1">
        <v>-6.0875029999999996E-6</v>
      </c>
      <c r="I7108">
        <v>-54.107320000000001</v>
      </c>
      <c r="J7108">
        <v>-208.5283</v>
      </c>
      <c r="K7108">
        <v>1.117882</v>
      </c>
      <c r="L7108">
        <v>-60.600949999999997</v>
      </c>
      <c r="M7108">
        <v>0.95015959999999999</v>
      </c>
      <c r="N7108">
        <v>-1.47543E-2</v>
      </c>
      <c r="O7108">
        <v>0.31141469999999999</v>
      </c>
      <c r="P7108">
        <v>0.72650740000000003</v>
      </c>
      <c r="Q7108">
        <v>0.39821440000000002</v>
      </c>
      <c r="R7108">
        <v>0.56001099999999904</v>
      </c>
      <c r="S7108">
        <v>2.5406949999999999</v>
      </c>
      <c r="T7108">
        <v>-0.40150019999999997</v>
      </c>
      <c r="U7108">
        <v>2.3494570000000001</v>
      </c>
      <c r="V7108">
        <v>-0.31260870000000002</v>
      </c>
      <c r="W7108">
        <v>0.40584120000000001</v>
      </c>
      <c r="X7108">
        <v>0.85881830000000003</v>
      </c>
      <c r="Y7108">
        <v>-0.41502630000000001</v>
      </c>
      <c r="Z7108">
        <v>-4.4933890000000004E-3</v>
      </c>
      <c r="AA7108">
        <v>0.90979829999999995</v>
      </c>
      <c r="AB7108">
        <v>29</v>
      </c>
      <c r="AC7108">
        <v>6.9401000000000002</v>
      </c>
      <c r="AD7108">
        <v>-1.1178880875029999</v>
      </c>
      <c r="AE7108">
        <v>6.4936299999999996</v>
      </c>
      <c r="AF7108">
        <v>-3.95446513124979</v>
      </c>
      <c r="AG7108">
        <v>-1.1178880875029999</v>
      </c>
      <c r="AH7108">
        <v>8.4997647532509699</v>
      </c>
      <c r="AI7108">
        <v>96.800183515903299</v>
      </c>
      <c r="AJ7108">
        <v>114.949924511758</v>
      </c>
      <c r="AK7108">
        <v>9.4410523307022807</v>
      </c>
      <c r="AL7108">
        <v>66.056150118906004</v>
      </c>
      <c r="AM7108">
        <v>110.001437531018</v>
      </c>
      <c r="AN7108">
        <v>1.000000075674</v>
      </c>
    </row>
    <row r="7109" spans="1:40" x14ac:dyDescent="0.25">
      <c r="A7109" t="str">
        <f>"20190304165022072"</f>
        <v>20190304165022072</v>
      </c>
      <c r="B7109" t="str">
        <f>"1551689422062661"</f>
        <v>1551689422062661</v>
      </c>
      <c r="C7109" t="s">
        <v>40</v>
      </c>
      <c r="D7109">
        <v>4.3676339999999998</v>
      </c>
      <c r="E7109">
        <v>0.45333560000000001</v>
      </c>
      <c r="F7109" t="s">
        <v>41</v>
      </c>
      <c r="G7109">
        <v>-207.7654</v>
      </c>
      <c r="H7109">
        <v>0.99634259999999997</v>
      </c>
      <c r="I7109">
        <v>-59.889279999999999</v>
      </c>
      <c r="J7109">
        <v>-208.39320000000001</v>
      </c>
      <c r="K7109">
        <v>1.1179319999999999</v>
      </c>
      <c r="L7109">
        <v>-60.552219999999998</v>
      </c>
      <c r="M7109">
        <v>0.94877160000000005</v>
      </c>
      <c r="N7109">
        <v>-1.4763389999999999E-2</v>
      </c>
      <c r="O7109">
        <v>0.3156178</v>
      </c>
      <c r="P7109">
        <v>0.72373679999999996</v>
      </c>
      <c r="Q7109">
        <v>0.39798679999999997</v>
      </c>
      <c r="R7109">
        <v>0.56374769999999996</v>
      </c>
      <c r="S7109">
        <v>2.5306549999999999</v>
      </c>
      <c r="T7109">
        <v>-0.4031595</v>
      </c>
      <c r="U7109">
        <v>2.360687</v>
      </c>
      <c r="V7109">
        <v>-0.31324740000000001</v>
      </c>
      <c r="W7109">
        <v>0.40556920000000002</v>
      </c>
      <c r="X7109">
        <v>0.85871399999999998</v>
      </c>
      <c r="Y7109">
        <v>-0.41497089999999998</v>
      </c>
      <c r="Z7109">
        <v>-5.0070569999999997E-3</v>
      </c>
      <c r="AA7109">
        <v>0.90982090000000004</v>
      </c>
      <c r="AB7109">
        <v>29</v>
      </c>
      <c r="AC7109">
        <v>0.62780000000000702</v>
      </c>
      <c r="AD7109">
        <v>-0.121589399999999</v>
      </c>
      <c r="AE7109">
        <v>0.66293999999999098</v>
      </c>
      <c r="AF7109">
        <v>-0.42337237492422303</v>
      </c>
      <c r="AG7109">
        <v>-0.121589399999999</v>
      </c>
      <c r="AH7109">
        <v>0.79093521931696098</v>
      </c>
      <c r="AI7109">
        <v>97.718447496085204</v>
      </c>
      <c r="AJ7109">
        <v>118.15928469059401</v>
      </c>
      <c r="AK7109">
        <v>0.90532130826425805</v>
      </c>
      <c r="AL7109">
        <v>66.073199493606296</v>
      </c>
      <c r="AM7109">
        <v>110.041294244982</v>
      </c>
      <c r="AN7109">
        <v>1.0000000216956899</v>
      </c>
    </row>
    <row r="7110" spans="1:40" x14ac:dyDescent="0.25">
      <c r="A7110" t="str">
        <f>"20190304165022088"</f>
        <v>20190304165022088</v>
      </c>
      <c r="B7110" t="str">
        <f>"1551689422082182"</f>
        <v>1551689422082182</v>
      </c>
      <c r="C7110" t="s">
        <v>40</v>
      </c>
      <c r="D7110">
        <v>4.3615309999999896</v>
      </c>
      <c r="E7110">
        <v>0.45933089999999999</v>
      </c>
      <c r="F7110" t="s">
        <v>49</v>
      </c>
      <c r="G7110">
        <v>-201.42509999999999</v>
      </c>
      <c r="H7110" s="1">
        <v>-6.1676470000000003E-6</v>
      </c>
      <c r="I7110">
        <v>-53.989249999999998</v>
      </c>
      <c r="J7110">
        <v>-208.21289999999999</v>
      </c>
      <c r="K7110">
        <v>1.1180019999999999</v>
      </c>
      <c r="L7110">
        <v>-60.485779999999998</v>
      </c>
      <c r="M7110">
        <v>0.94686300000000001</v>
      </c>
      <c r="N7110">
        <v>-1.4775160000000001E-2</v>
      </c>
      <c r="O7110">
        <v>0.32129770000000002</v>
      </c>
      <c r="P7110">
        <v>0.72007109999999996</v>
      </c>
      <c r="Q7110">
        <v>0.39754590000000001</v>
      </c>
      <c r="R7110">
        <v>0.56873090000000004</v>
      </c>
      <c r="S7110">
        <v>2.51918</v>
      </c>
      <c r="T7110">
        <v>-0.40417350000000002</v>
      </c>
      <c r="U7110">
        <v>2.3727420000000001</v>
      </c>
      <c r="V7110">
        <v>-0.3140154</v>
      </c>
      <c r="W7110">
        <v>0.40507490000000002</v>
      </c>
      <c r="X7110">
        <v>0.85866679999999995</v>
      </c>
      <c r="Y7110">
        <v>-0.41392449999999997</v>
      </c>
      <c r="Z7110">
        <v>-5.7397450000000001E-3</v>
      </c>
      <c r="AA7110">
        <v>0.91029309999999997</v>
      </c>
      <c r="AB7110">
        <v>29</v>
      </c>
      <c r="AC7110">
        <v>6.7877999999999998</v>
      </c>
      <c r="AD7110">
        <v>-1.118008167647</v>
      </c>
      <c r="AE7110">
        <v>6.4965299999999999</v>
      </c>
      <c r="AF7110">
        <v>-3.9154144283777002</v>
      </c>
      <c r="AG7110">
        <v>-1.118008167647</v>
      </c>
      <c r="AH7110">
        <v>8.3964805144960408</v>
      </c>
      <c r="AI7110">
        <v>96.880969506854996</v>
      </c>
      <c r="AJ7110">
        <v>115.00039942842299</v>
      </c>
      <c r="AK7110">
        <v>9.33173603565732</v>
      </c>
      <c r="AL7110">
        <v>66.104179402444998</v>
      </c>
      <c r="AM7110">
        <v>110.087522102115</v>
      </c>
      <c r="AN7110">
        <v>1.0000000097346999</v>
      </c>
    </row>
    <row r="7111" spans="1:40" x14ac:dyDescent="0.25">
      <c r="A7111" t="str">
        <f>"20190304165022099"</f>
        <v>20190304165022099</v>
      </c>
      <c r="B7111" t="str">
        <f>"1551689422092916"</f>
        <v>1551689422092916</v>
      </c>
      <c r="C7111" t="s">
        <v>40</v>
      </c>
      <c r="D7111">
        <v>4.3684519999999996</v>
      </c>
      <c r="E7111">
        <v>0.45944109999999999</v>
      </c>
      <c r="F7111" t="s">
        <v>49</v>
      </c>
      <c r="G7111">
        <v>-201.82210000000001</v>
      </c>
      <c r="H7111" s="1">
        <v>-5.927859E-6</v>
      </c>
      <c r="I7111">
        <v>-54.562629999999999</v>
      </c>
      <c r="J7111">
        <v>-208.0813</v>
      </c>
      <c r="K7111">
        <v>1.118045</v>
      </c>
      <c r="L7111">
        <v>-60.436680000000003</v>
      </c>
      <c r="M7111">
        <v>0.9454359</v>
      </c>
      <c r="N7111">
        <v>-1.478342E-2</v>
      </c>
      <c r="O7111">
        <v>0.325472599999999</v>
      </c>
      <c r="P7111">
        <v>0.71745230000000004</v>
      </c>
      <c r="Q7111">
        <v>0.396955</v>
      </c>
      <c r="R7111">
        <v>0.57244130000000004</v>
      </c>
      <c r="S7111">
        <v>2.5474700000000001</v>
      </c>
      <c r="T7111">
        <v>-0.44565440000000001</v>
      </c>
      <c r="U7111">
        <v>2.3610530000000001</v>
      </c>
      <c r="V7111">
        <v>-0.3145944</v>
      </c>
      <c r="W7111">
        <v>0.40444730000000001</v>
      </c>
      <c r="X7111">
        <v>0.85875059999999903</v>
      </c>
      <c r="Y7111">
        <v>-0.4024798</v>
      </c>
      <c r="Z7111">
        <v>-8.4582140000000004E-3</v>
      </c>
      <c r="AA7111">
        <v>0.91538980000000003</v>
      </c>
      <c r="AB7111">
        <v>29</v>
      </c>
      <c r="AC7111">
        <v>6.2591999999999901</v>
      </c>
      <c r="AD7111">
        <v>-1.1180509278590001</v>
      </c>
      <c r="AE7111">
        <v>5.8740499999999898</v>
      </c>
      <c r="AF7111">
        <v>-3.4580569876937801</v>
      </c>
      <c r="AG7111">
        <v>-1.1180509278590001</v>
      </c>
      <c r="AH7111">
        <v>7.6997419899523596</v>
      </c>
      <c r="AI7111">
        <v>97.545509963540596</v>
      </c>
      <c r="AJ7111">
        <v>114.185485321624</v>
      </c>
      <c r="AK7111">
        <v>8.5143539225979907</v>
      </c>
      <c r="AL7111">
        <v>66.143501320457901</v>
      </c>
      <c r="AM7111">
        <v>110.119785853764</v>
      </c>
      <c r="AN7111">
        <v>0.99999992399450199</v>
      </c>
    </row>
    <row r="7112" spans="1:40" x14ac:dyDescent="0.25">
      <c r="A7112" t="str">
        <f>"20190304165022109"</f>
        <v>20190304165022109</v>
      </c>
      <c r="B7112" t="str">
        <f>"1551689422102676"</f>
        <v>1551689422102676</v>
      </c>
      <c r="C7112" t="s">
        <v>40</v>
      </c>
      <c r="D7112">
        <v>4.3550570000000004</v>
      </c>
      <c r="E7112">
        <v>0.45939990000000003</v>
      </c>
      <c r="F7112" t="s">
        <v>41</v>
      </c>
      <c r="G7112">
        <v>-207.28579999999999</v>
      </c>
      <c r="H7112">
        <v>0.97715099999999999</v>
      </c>
      <c r="I7112">
        <v>-59.692889999999998</v>
      </c>
      <c r="J7112">
        <v>-207.94409999999999</v>
      </c>
      <c r="K7112">
        <v>1.1180859999999999</v>
      </c>
      <c r="L7112">
        <v>-60.38458</v>
      </c>
      <c r="M7112">
        <v>0.94391159999999996</v>
      </c>
      <c r="N7112">
        <v>-1.479193E-2</v>
      </c>
      <c r="O7112">
        <v>0.32986710000000002</v>
      </c>
      <c r="P7112">
        <v>0.71454099999999998</v>
      </c>
      <c r="Q7112">
        <v>0.396424</v>
      </c>
      <c r="R7112">
        <v>0.57643659999999997</v>
      </c>
      <c r="S7112">
        <v>2.5372919999999999</v>
      </c>
      <c r="T7112">
        <v>-0.44940249999999998</v>
      </c>
      <c r="U7112">
        <v>2.3722840000000001</v>
      </c>
      <c r="V7112">
        <v>-0.31533600000000001</v>
      </c>
      <c r="W7112">
        <v>0.40387689999999998</v>
      </c>
      <c r="X7112">
        <v>0.85874709999999999</v>
      </c>
      <c r="Y7112">
        <v>-0.40222629999999998</v>
      </c>
      <c r="Z7112">
        <v>-9.1549439999999999E-3</v>
      </c>
      <c r="AA7112">
        <v>0.91549449999999999</v>
      </c>
      <c r="AB7112">
        <v>29</v>
      </c>
      <c r="AC7112">
        <v>0.658299999999997</v>
      </c>
      <c r="AD7112">
        <v>-0.140935</v>
      </c>
      <c r="AE7112">
        <v>0.69169000000000103</v>
      </c>
      <c r="AF7112">
        <v>-0.42649939911788498</v>
      </c>
      <c r="AG7112">
        <v>-0.140935</v>
      </c>
      <c r="AH7112">
        <v>0.83152163710611604</v>
      </c>
      <c r="AI7112">
        <v>98.576139558634793</v>
      </c>
      <c r="AJ7112">
        <v>117.153939536732</v>
      </c>
      <c r="AK7112">
        <v>0.94508869670976003</v>
      </c>
      <c r="AL7112">
        <v>66.179232006464005</v>
      </c>
      <c r="AM7112">
        <v>110.163474080805</v>
      </c>
      <c r="AN7112">
        <v>0.99999996250400902</v>
      </c>
    </row>
    <row r="7113" spans="1:40" x14ac:dyDescent="0.25">
      <c r="A7113" t="str">
        <f>"20190304165022120"</f>
        <v>20190304165022120</v>
      </c>
      <c r="B7113" t="str">
        <f>"1551689422112437"</f>
        <v>1551689422112437</v>
      </c>
      <c r="C7113" t="s">
        <v>40</v>
      </c>
      <c r="D7113">
        <v>4.3495920000000003</v>
      </c>
      <c r="E7113">
        <v>0.45950390000000002</v>
      </c>
      <c r="F7113" t="s">
        <v>49</v>
      </c>
      <c r="G7113">
        <v>-201.68559999999999</v>
      </c>
      <c r="H7113" s="1">
        <v>-5.9936809999999996E-6</v>
      </c>
      <c r="I7113">
        <v>-54.472019999999901</v>
      </c>
      <c r="J7113">
        <v>-207.8236</v>
      </c>
      <c r="K7113">
        <v>1.1181179999999999</v>
      </c>
      <c r="L7113">
        <v>-60.338259999999998</v>
      </c>
      <c r="M7113">
        <v>0.94254550000000004</v>
      </c>
      <c r="N7113">
        <v>-1.479924E-2</v>
      </c>
      <c r="O7113">
        <v>0.33374989999999999</v>
      </c>
      <c r="P7113">
        <v>0.71199369999999995</v>
      </c>
      <c r="Q7113">
        <v>0.39600999999999997</v>
      </c>
      <c r="R7113">
        <v>0.57986300000000002</v>
      </c>
      <c r="S7113">
        <v>2.5246430000000002</v>
      </c>
      <c r="T7113">
        <v>-0.45102779999999998</v>
      </c>
      <c r="U7113">
        <v>2.3850709999999999</v>
      </c>
      <c r="V7113">
        <v>-0.3158842</v>
      </c>
      <c r="W7113">
        <v>0.4034316</v>
      </c>
      <c r="X7113">
        <v>0.85875509999999999</v>
      </c>
      <c r="Y7113">
        <v>-0.40320349999999999</v>
      </c>
      <c r="Z7113">
        <v>-9.6245740000000003E-3</v>
      </c>
      <c r="AA7113">
        <v>0.91505970000000003</v>
      </c>
      <c r="AB7113">
        <v>29</v>
      </c>
      <c r="AC7113">
        <v>6.1379999999999999</v>
      </c>
      <c r="AD7113">
        <v>-1.1181239936809999</v>
      </c>
      <c r="AE7113">
        <v>5.8662400000000003</v>
      </c>
      <c r="AF7113">
        <v>-3.42168102116023</v>
      </c>
      <c r="AG7113">
        <v>-1.1181239936809999</v>
      </c>
      <c r="AH7113">
        <v>7.6120355910688904</v>
      </c>
      <c r="AI7113">
        <v>97.630807464413294</v>
      </c>
      <c r="AJ7113">
        <v>114.204361982027</v>
      </c>
      <c r="AK7113">
        <v>8.4202843250992903</v>
      </c>
      <c r="AL7113">
        <v>66.207122190620396</v>
      </c>
      <c r="AM7113">
        <v>110.19552460873901</v>
      </c>
      <c r="AN7113">
        <v>1.0000001027320899</v>
      </c>
    </row>
    <row r="7114" spans="1:40" x14ac:dyDescent="0.25">
      <c r="A7114" t="str">
        <f>"20190304165022130"</f>
        <v>20190304165022130</v>
      </c>
      <c r="B7114" t="str">
        <f>"1551689422122197"</f>
        <v>1551689422122197</v>
      </c>
      <c r="C7114" t="s">
        <v>40</v>
      </c>
      <c r="D7114">
        <v>4.3622719999999999</v>
      </c>
      <c r="E7114">
        <v>0.45988200000000001</v>
      </c>
      <c r="F7114" t="s">
        <v>41</v>
      </c>
      <c r="G7114">
        <v>-207.02510000000001</v>
      </c>
      <c r="H7114">
        <v>0.9741746</v>
      </c>
      <c r="I7114">
        <v>-59.577660000000002</v>
      </c>
      <c r="J7114">
        <v>-207.70169999999999</v>
      </c>
      <c r="K7114">
        <v>1.1181509999999999</v>
      </c>
      <c r="L7114">
        <v>-60.290770000000002</v>
      </c>
      <c r="M7114">
        <v>0.94113650000000004</v>
      </c>
      <c r="N7114">
        <v>-1.480652E-2</v>
      </c>
      <c r="O7114">
        <v>0.33770260000000002</v>
      </c>
      <c r="P7114">
        <v>0.7093682</v>
      </c>
      <c r="Q7114">
        <v>0.39578609999999997</v>
      </c>
      <c r="R7114">
        <v>0.58322399999999996</v>
      </c>
      <c r="S7114">
        <v>2.514694</v>
      </c>
      <c r="T7114">
        <v>-0.45331500000000002</v>
      </c>
      <c r="U7114">
        <v>2.395508</v>
      </c>
      <c r="V7114">
        <v>-0.31633450000000002</v>
      </c>
      <c r="W7114">
        <v>0.40317890000000001</v>
      </c>
      <c r="X7114">
        <v>0.85870789999999997</v>
      </c>
      <c r="Y7114">
        <v>-0.40317609999999998</v>
      </c>
      <c r="Z7114">
        <v>-1.0209269999999999E-2</v>
      </c>
      <c r="AA7114">
        <v>0.91506549999999998</v>
      </c>
      <c r="AB7114">
        <v>29</v>
      </c>
      <c r="AC7114">
        <v>0.676599999999979</v>
      </c>
      <c r="AD7114">
        <v>-0.1439764</v>
      </c>
      <c r="AE7114">
        <v>0.71311000000000002</v>
      </c>
      <c r="AF7114">
        <v>-0.43339562250824598</v>
      </c>
      <c r="AG7114">
        <v>-0.1439764</v>
      </c>
      <c r="AH7114">
        <v>0.859255572292146</v>
      </c>
      <c r="AI7114">
        <v>98.508709460141105</v>
      </c>
      <c r="AJ7114">
        <v>116.765692061994</v>
      </c>
      <c r="AK7114">
        <v>0.97307816123956603</v>
      </c>
      <c r="AL7114">
        <v>66.222942101939594</v>
      </c>
      <c r="AM7114">
        <v>110.223004795709</v>
      </c>
      <c r="AN7114">
        <v>0.99999999940893403</v>
      </c>
    </row>
    <row r="7115" spans="1:40" x14ac:dyDescent="0.25">
      <c r="A7115" t="str">
        <f>"20190304165022139"</f>
        <v>20190304165022139</v>
      </c>
      <c r="B7115" t="str">
        <f>"1551689422132933"</f>
        <v>1551689422132933</v>
      </c>
      <c r="C7115" t="s">
        <v>40</v>
      </c>
      <c r="D7115">
        <v>4.3559330000000003</v>
      </c>
      <c r="E7115">
        <v>0.46014870000000002</v>
      </c>
      <c r="F7115" t="s">
        <v>49</v>
      </c>
      <c r="G7115">
        <v>-201.55029999999999</v>
      </c>
      <c r="H7115" s="1">
        <v>-6.0579909999999998E-6</v>
      </c>
      <c r="I7115">
        <v>-54.388060000000003</v>
      </c>
      <c r="J7115">
        <v>-207.59030000000001</v>
      </c>
      <c r="K7115">
        <v>1.1181779999999999</v>
      </c>
      <c r="L7115">
        <v>-60.2468</v>
      </c>
      <c r="M7115">
        <v>0.93982399999999999</v>
      </c>
      <c r="N7115">
        <v>-1.481298E-2</v>
      </c>
      <c r="O7115">
        <v>0.34133780000000002</v>
      </c>
      <c r="P7115">
        <v>0.7067949</v>
      </c>
      <c r="Q7115">
        <v>0.39593289999999998</v>
      </c>
      <c r="R7115">
        <v>0.58624069999999995</v>
      </c>
      <c r="S7115">
        <v>2.506119</v>
      </c>
      <c r="T7115">
        <v>-0.45554129999999998</v>
      </c>
      <c r="U7115">
        <v>2.404785</v>
      </c>
      <c r="V7115">
        <v>-0.3167374</v>
      </c>
      <c r="W7115">
        <v>0.40329700000000002</v>
      </c>
      <c r="X7115">
        <v>0.85850389999999999</v>
      </c>
      <c r="Y7115">
        <v>-0.4029817</v>
      </c>
      <c r="Z7115">
        <v>-1.076935E-2</v>
      </c>
      <c r="AA7115">
        <v>0.91514470000000003</v>
      </c>
      <c r="AB7115">
        <v>29</v>
      </c>
      <c r="AC7115">
        <v>6.0400000000000196</v>
      </c>
      <c r="AD7115">
        <v>-1.1181840579910001</v>
      </c>
      <c r="AE7115">
        <v>5.8587400000000001</v>
      </c>
      <c r="AF7115">
        <v>-3.3851060931913999</v>
      </c>
      <c r="AG7115">
        <v>-1.1181840579910001</v>
      </c>
      <c r="AH7115">
        <v>7.5439731765821403</v>
      </c>
      <c r="AI7115">
        <v>97.701493797816795</v>
      </c>
      <c r="AJ7115">
        <v>114.166566143933</v>
      </c>
      <c r="AK7115">
        <v>8.3439085648572195</v>
      </c>
      <c r="AL7115">
        <v>66.215547623312702</v>
      </c>
      <c r="AM7115">
        <v>110.251092049248</v>
      </c>
      <c r="AN7115">
        <v>0.99999999854148502</v>
      </c>
    </row>
    <row r="7116" spans="1:40" x14ac:dyDescent="0.25">
      <c r="A7116" t="str">
        <f>"20190304165022149"</f>
        <v>20190304165022149</v>
      </c>
      <c r="B7116" t="str">
        <f>"1551689422142693"</f>
        <v>1551689422142693</v>
      </c>
      <c r="C7116" t="s">
        <v>40</v>
      </c>
      <c r="D7116">
        <v>4.356719</v>
      </c>
      <c r="E7116">
        <v>0.46046189999999998</v>
      </c>
      <c r="F7116" t="s">
        <v>41</v>
      </c>
      <c r="G7116">
        <v>-206.7955</v>
      </c>
      <c r="H7116">
        <v>0.97312030000000005</v>
      </c>
      <c r="I7116">
        <v>-59.478819999999899</v>
      </c>
      <c r="J7116">
        <v>-207.4665</v>
      </c>
      <c r="K7116">
        <v>1.118215</v>
      </c>
      <c r="L7116">
        <v>-60.197360000000003</v>
      </c>
      <c r="M7116">
        <v>0.93833960000000005</v>
      </c>
      <c r="N7116">
        <v>-1.481995E-2</v>
      </c>
      <c r="O7116">
        <v>0.34539710000000001</v>
      </c>
      <c r="P7116">
        <v>0.70425079999999995</v>
      </c>
      <c r="Q7116">
        <v>0.39573819999999998</v>
      </c>
      <c r="R7116">
        <v>0.58942530000000004</v>
      </c>
      <c r="S7116">
        <v>2.4980009999999999</v>
      </c>
      <c r="T7116">
        <v>-0.45590849999999999</v>
      </c>
      <c r="U7116">
        <v>2.4135439999999999</v>
      </c>
      <c r="V7116">
        <v>-0.31689440000000002</v>
      </c>
      <c r="W7116">
        <v>0.40308110000000003</v>
      </c>
      <c r="X7116">
        <v>0.85854739999999996</v>
      </c>
      <c r="Y7116">
        <v>-0.40220240000000002</v>
      </c>
      <c r="Z7116">
        <v>-1.13559E-2</v>
      </c>
      <c r="AA7116">
        <v>0.91548039999999997</v>
      </c>
      <c r="AB7116">
        <v>29</v>
      </c>
      <c r="AC7116">
        <v>0.67099999999999205</v>
      </c>
      <c r="AD7116">
        <v>-0.14509469999999899</v>
      </c>
      <c r="AE7116">
        <v>0.71854000000000395</v>
      </c>
      <c r="AF7116">
        <v>-0.43308847088642399</v>
      </c>
      <c r="AG7116">
        <v>-0.14509469999999899</v>
      </c>
      <c r="AH7116">
        <v>0.859189688506103</v>
      </c>
      <c r="AI7116">
        <v>98.575550575886894</v>
      </c>
      <c r="AJ7116">
        <v>116.75112819210899</v>
      </c>
      <c r="AK7116">
        <v>0.97304933914886604</v>
      </c>
      <c r="AL7116">
        <v>66.2290661434307</v>
      </c>
      <c r="AM7116">
        <v>110.25937109487</v>
      </c>
      <c r="AN7116">
        <v>1.00000003598766</v>
      </c>
    </row>
    <row r="7117" spans="1:40" x14ac:dyDescent="0.25">
      <c r="A7117" t="str">
        <f>"20190304165022161"</f>
        <v>20190304165022161</v>
      </c>
      <c r="B7117" t="str">
        <f>"1551689422152453"</f>
        <v>1551689422152453</v>
      </c>
      <c r="C7117" t="s">
        <v>40</v>
      </c>
      <c r="D7117">
        <v>4.3842919999999896</v>
      </c>
      <c r="E7117">
        <v>0.46065129999999999</v>
      </c>
      <c r="F7117" t="s">
        <v>49</v>
      </c>
      <c r="G7117">
        <v>-201.3699</v>
      </c>
      <c r="H7117" s="1">
        <v>-6.1457939999999999E-6</v>
      </c>
      <c r="I7117">
        <v>-54.26305</v>
      </c>
      <c r="J7117">
        <v>-207.34020000000001</v>
      </c>
      <c r="K7117">
        <v>1.1182460000000001</v>
      </c>
      <c r="L7117">
        <v>-60.146239999999999</v>
      </c>
      <c r="M7117">
        <v>0.93679639999999997</v>
      </c>
      <c r="N7117">
        <v>-1.4825069999999999E-2</v>
      </c>
      <c r="O7117">
        <v>0.34956120000000002</v>
      </c>
      <c r="P7117">
        <v>0.7017525</v>
      </c>
      <c r="Q7117">
        <v>0.39543050000000002</v>
      </c>
      <c r="R7117">
        <v>0.59260290000000004</v>
      </c>
      <c r="S7117">
        <v>2.4887999999999999</v>
      </c>
      <c r="T7117">
        <v>-0.45648810000000001</v>
      </c>
      <c r="U7117">
        <v>2.4225460000000001</v>
      </c>
      <c r="V7117">
        <v>-0.31692940000000003</v>
      </c>
      <c r="W7117">
        <v>0.40275420000000001</v>
      </c>
      <c r="X7117">
        <v>0.8586878</v>
      </c>
      <c r="Y7117">
        <v>-0.40155750000000001</v>
      </c>
      <c r="Z7117">
        <v>-1.196006E-2</v>
      </c>
      <c r="AA7117">
        <v>0.91575569999999895</v>
      </c>
      <c r="AB7117">
        <v>29</v>
      </c>
      <c r="AC7117">
        <v>5.9702999999999999</v>
      </c>
      <c r="AD7117">
        <v>-1.11825214579399</v>
      </c>
      <c r="AE7117">
        <v>5.8831899999999901</v>
      </c>
      <c r="AF7117">
        <v>-3.3648511174590898</v>
      </c>
      <c r="AG7117">
        <v>-1.11825214579399</v>
      </c>
      <c r="AH7117">
        <v>7.5165437388026302</v>
      </c>
      <c r="AI7117">
        <v>97.732737749884706</v>
      </c>
      <c r="AJ7117">
        <v>114.116122435905</v>
      </c>
      <c r="AK7117">
        <v>8.3109049255524301</v>
      </c>
      <c r="AL7117">
        <v>66.249528979904198</v>
      </c>
      <c r="AM7117">
        <v>110.258383206028</v>
      </c>
      <c r="AN7117">
        <v>0.99999996403541902</v>
      </c>
    </row>
    <row r="7118" spans="1:40" x14ac:dyDescent="0.25">
      <c r="A7118" t="str">
        <f>"20190304165022170"</f>
        <v>20190304165022170</v>
      </c>
      <c r="B7118" t="str">
        <f>"1551689422162213"</f>
        <v>1551689422162213</v>
      </c>
      <c r="C7118" t="s">
        <v>40</v>
      </c>
      <c r="D7118">
        <v>4.3595139999999999</v>
      </c>
      <c r="E7118">
        <v>0.46087610000000001</v>
      </c>
      <c r="F7118" t="s">
        <v>49</v>
      </c>
      <c r="G7118">
        <v>-201.28919999999999</v>
      </c>
      <c r="H7118" s="1">
        <v>-6.1849139999999998E-6</v>
      </c>
      <c r="I7118">
        <v>-54.208150000000003</v>
      </c>
      <c r="J7118">
        <v>-207.21379999999999</v>
      </c>
      <c r="K7118">
        <v>1.118276</v>
      </c>
      <c r="L7118">
        <v>-60.094479999999997</v>
      </c>
      <c r="M7118">
        <v>0.93522130000000003</v>
      </c>
      <c r="N7118">
        <v>-1.482844E-2</v>
      </c>
      <c r="O7118">
        <v>0.35375309999999999</v>
      </c>
      <c r="P7118">
        <v>0.69914379999999998</v>
      </c>
      <c r="Q7118">
        <v>0.39507690000000001</v>
      </c>
      <c r="R7118">
        <v>0.59591280000000002</v>
      </c>
      <c r="S7118">
        <v>2.4788969999999999</v>
      </c>
      <c r="T7118">
        <v>-0.45810650000000003</v>
      </c>
      <c r="U7118">
        <v>2.432617</v>
      </c>
      <c r="V7118">
        <v>-0.31709860000000001</v>
      </c>
      <c r="W7118">
        <v>0.4023775</v>
      </c>
      <c r="X7118">
        <v>0.85880199999999995</v>
      </c>
      <c r="Y7118">
        <v>-0.40120309999999998</v>
      </c>
      <c r="Z7118">
        <v>-1.2593190000000001E-2</v>
      </c>
      <c r="AA7118">
        <v>0.91590260000000001</v>
      </c>
      <c r="AB7118">
        <v>29</v>
      </c>
      <c r="AC7118">
        <v>5.9245999999999901</v>
      </c>
      <c r="AD7118">
        <v>-1.1182821849140001</v>
      </c>
      <c r="AE7118">
        <v>5.8863300000000001</v>
      </c>
      <c r="AF7118">
        <v>-3.3494967395153998</v>
      </c>
      <c r="AG7118">
        <v>-1.1182821849140001</v>
      </c>
      <c r="AH7118">
        <v>7.4896741612965396</v>
      </c>
      <c r="AI7118">
        <v>97.761617003515994</v>
      </c>
      <c r="AJ7118">
        <v>114.09492305982199</v>
      </c>
      <c r="AK7118">
        <v>8.2803926534623606</v>
      </c>
      <c r="AL7118">
        <v>66.273108766103704</v>
      </c>
      <c r="AM7118">
        <v>110.26584289515399</v>
      </c>
      <c r="AN7118">
        <v>1.0000000249161001</v>
      </c>
    </row>
    <row r="7119" spans="1:40" x14ac:dyDescent="0.25">
      <c r="A7119" t="str">
        <f>"20190304165022184"</f>
        <v>20190304165022184</v>
      </c>
      <c r="B7119" t="str">
        <f>"1551689422172949"</f>
        <v>1551689422172949</v>
      </c>
      <c r="C7119" t="s">
        <v>40</v>
      </c>
      <c r="D7119">
        <v>4.3638760000000003</v>
      </c>
      <c r="E7119">
        <v>0.461063</v>
      </c>
      <c r="F7119" t="s">
        <v>49</v>
      </c>
      <c r="G7119">
        <v>-201.19919999999999</v>
      </c>
      <c r="H7119" s="1">
        <v>-6.229237E-6</v>
      </c>
      <c r="I7119">
        <v>-54.142270000000003</v>
      </c>
      <c r="J7119">
        <v>-207.0746</v>
      </c>
      <c r="K7119">
        <v>1.118306</v>
      </c>
      <c r="L7119">
        <v>-60.036499999999997</v>
      </c>
      <c r="M7119">
        <v>0.93344870000000002</v>
      </c>
      <c r="N7119">
        <v>-1.482616E-2</v>
      </c>
      <c r="O7119">
        <v>0.35840460000000002</v>
      </c>
      <c r="P7119">
        <v>0.69636549999999997</v>
      </c>
      <c r="Q7119">
        <v>0.39468370000000003</v>
      </c>
      <c r="R7119">
        <v>0.59941639999999996</v>
      </c>
      <c r="S7119">
        <v>2.4682620000000002</v>
      </c>
      <c r="T7119">
        <v>-0.4589241</v>
      </c>
      <c r="U7119">
        <v>2.442688</v>
      </c>
      <c r="V7119">
        <v>-0.31708409999999998</v>
      </c>
      <c r="W7119">
        <v>0.40195890000000001</v>
      </c>
      <c r="X7119">
        <v>0.85900339999999997</v>
      </c>
      <c r="Y7119">
        <v>-0.40053610000000001</v>
      </c>
      <c r="Z7119">
        <v>-1.328347E-2</v>
      </c>
      <c r="AA7119">
        <v>0.91618469999999996</v>
      </c>
      <c r="AB7119">
        <v>29</v>
      </c>
      <c r="AC7119">
        <v>5.8754000000000097</v>
      </c>
      <c r="AD7119">
        <v>-1.118312229237</v>
      </c>
      <c r="AE7119">
        <v>5.8942300000000003</v>
      </c>
      <c r="AF7119">
        <v>-3.3363222950213798</v>
      </c>
      <c r="AG7119">
        <v>-1.118312229237</v>
      </c>
      <c r="AH7119">
        <v>7.4629840887744896</v>
      </c>
      <c r="AI7119">
        <v>97.789717323146306</v>
      </c>
      <c r="AJ7119">
        <v>114.087000625066</v>
      </c>
      <c r="AK7119">
        <v>8.2509272332034893</v>
      </c>
      <c r="AL7119">
        <v>66.299305548507803</v>
      </c>
      <c r="AM7119">
        <v>110.260626617188</v>
      </c>
      <c r="AN7119">
        <v>1.00000006248678</v>
      </c>
    </row>
    <row r="7120" spans="1:40" x14ac:dyDescent="0.25">
      <c r="A7120" t="str">
        <f>"20190304165022194"</f>
        <v>20190304165022194</v>
      </c>
      <c r="B7120" t="str">
        <f>"1551689422182709"</f>
        <v>1551689422182709</v>
      </c>
      <c r="C7120" t="s">
        <v>40</v>
      </c>
      <c r="D7120">
        <v>4.3674220000000004</v>
      </c>
      <c r="E7120">
        <v>0.4612424</v>
      </c>
      <c r="F7120" t="s">
        <v>49</v>
      </c>
      <c r="G7120">
        <v>-201.12280000000001</v>
      </c>
      <c r="H7120" s="1">
        <v>-6.2655340000000001E-6</v>
      </c>
      <c r="I7120">
        <v>-54.095149999999997</v>
      </c>
      <c r="J7120">
        <v>-206.9521</v>
      </c>
      <c r="K7120">
        <v>1.1183350000000001</v>
      </c>
      <c r="L7120">
        <v>-59.985080000000004</v>
      </c>
      <c r="M7120">
        <v>0.93186329999999995</v>
      </c>
      <c r="N7120">
        <v>-1.482175E-2</v>
      </c>
      <c r="O7120">
        <v>0.36250680000000002</v>
      </c>
      <c r="P7120">
        <v>0.69387109999999996</v>
      </c>
      <c r="Q7120">
        <v>0.39418829999999999</v>
      </c>
      <c r="R7120">
        <v>0.60262640000000001</v>
      </c>
      <c r="S7120">
        <v>2.4578700000000002</v>
      </c>
      <c r="T7120">
        <v>-0.46182099999999998</v>
      </c>
      <c r="U7120">
        <v>2.4535520000000002</v>
      </c>
      <c r="V7120">
        <v>-0.31719449999999999</v>
      </c>
      <c r="W7120">
        <v>0.4014375</v>
      </c>
      <c r="X7120">
        <v>0.85920640000000004</v>
      </c>
      <c r="Y7120">
        <v>-0.40048729999999999</v>
      </c>
      <c r="Z7120">
        <v>-1.3953460000000001E-2</v>
      </c>
      <c r="AA7120">
        <v>0.91619600000000001</v>
      </c>
      <c r="AB7120">
        <v>29</v>
      </c>
      <c r="AC7120">
        <v>5.8292999999999804</v>
      </c>
      <c r="AD7120">
        <v>-1.1183412655339999</v>
      </c>
      <c r="AE7120">
        <v>5.8899299999999997</v>
      </c>
      <c r="AF7120">
        <v>-3.3154371113866601</v>
      </c>
      <c r="AG7120">
        <v>-1.1183412655339999</v>
      </c>
      <c r="AH7120">
        <v>7.4327133799110197</v>
      </c>
      <c r="AI7120">
        <v>97.824096135743801</v>
      </c>
      <c r="AJ7120">
        <v>114.039745059156</v>
      </c>
      <c r="AK7120">
        <v>8.2151103835349897</v>
      </c>
      <c r="AL7120">
        <v>66.3319263428711</v>
      </c>
      <c r="AM7120">
        <v>110.262708047454</v>
      </c>
      <c r="AN7120">
        <v>1.00000002751872</v>
      </c>
    </row>
    <row r="7121" spans="1:40" x14ac:dyDescent="0.25">
      <c r="A7121" t="str">
        <f>"20190304165022206"</f>
        <v>20190304165022206</v>
      </c>
      <c r="B7121" t="str">
        <f>"1551689422202229"</f>
        <v>1551689422202229</v>
      </c>
      <c r="C7121" t="s">
        <v>40</v>
      </c>
      <c r="D7121">
        <v>4.3848209999999996</v>
      </c>
      <c r="E7121">
        <v>0.46166679999999999</v>
      </c>
      <c r="F7121" t="s">
        <v>49</v>
      </c>
      <c r="G7121">
        <v>-201.05359999999999</v>
      </c>
      <c r="H7121" s="1">
        <v>-6.2986280000000001E-6</v>
      </c>
      <c r="I7121">
        <v>-54.050789999999999</v>
      </c>
      <c r="J7121">
        <v>-206.81950000000001</v>
      </c>
      <c r="K7121">
        <v>1.1183609999999999</v>
      </c>
      <c r="L7121">
        <v>-59.928190000000001</v>
      </c>
      <c r="M7121">
        <v>0.93010440000000005</v>
      </c>
      <c r="N7121">
        <v>-1.4803699999999999E-2</v>
      </c>
      <c r="O7121">
        <v>0.36699670000000001</v>
      </c>
      <c r="P7121">
        <v>0.6910982</v>
      </c>
      <c r="Q7121">
        <v>0.39373819999999998</v>
      </c>
      <c r="R7121">
        <v>0.606097</v>
      </c>
      <c r="S7121">
        <v>2.4481350000000002</v>
      </c>
      <c r="T7121">
        <v>-0.4641652</v>
      </c>
      <c r="U7121">
        <v>2.4630130000000001</v>
      </c>
      <c r="V7121">
        <v>-0.31729069999999998</v>
      </c>
      <c r="W7121">
        <v>0.40094610000000003</v>
      </c>
      <c r="X7121">
        <v>0.85940030000000001</v>
      </c>
      <c r="Y7121">
        <v>-0.39967819999999998</v>
      </c>
      <c r="Z7121">
        <v>-1.472505E-2</v>
      </c>
      <c r="AA7121">
        <v>0.91653720000000005</v>
      </c>
      <c r="AB7121">
        <v>29</v>
      </c>
      <c r="AC7121">
        <v>5.76590000000001</v>
      </c>
      <c r="AD7121">
        <v>-1.118367298628</v>
      </c>
      <c r="AE7121">
        <v>5.8773999999999997</v>
      </c>
      <c r="AF7121">
        <v>-3.2901911516187798</v>
      </c>
      <c r="AG7121">
        <v>-1.118367298628</v>
      </c>
      <c r="AH7121">
        <v>7.3844533097201897</v>
      </c>
      <c r="AI7121">
        <v>97.8762275690043</v>
      </c>
      <c r="AJ7121">
        <v>114.015673102351</v>
      </c>
      <c r="AK7121">
        <v>8.1612654602254207</v>
      </c>
      <c r="AL7121">
        <v>66.362663399947493</v>
      </c>
      <c r="AM7121">
        <v>110.264152427285</v>
      </c>
      <c r="AN7121">
        <v>1.00000001952589</v>
      </c>
    </row>
    <row r="7122" spans="1:40" x14ac:dyDescent="0.25">
      <c r="A7122" t="str">
        <f>"20190304165022217"</f>
        <v>20190304165022217</v>
      </c>
      <c r="B7122" t="str">
        <f>"1551689422212965"</f>
        <v>1551689422212965</v>
      </c>
      <c r="C7122" t="s">
        <v>40</v>
      </c>
      <c r="D7122">
        <v>4.3757109999999999</v>
      </c>
      <c r="E7122">
        <v>0.46182810000000002</v>
      </c>
      <c r="F7122" t="s">
        <v>49</v>
      </c>
      <c r="G7122">
        <v>-200.9804</v>
      </c>
      <c r="H7122" s="1">
        <v>-6.3327600000000003E-6</v>
      </c>
      <c r="I7122">
        <v>-54.009639999999997</v>
      </c>
      <c r="J7122">
        <v>-206.68180000000001</v>
      </c>
      <c r="K7122">
        <v>1.1183890000000001</v>
      </c>
      <c r="L7122">
        <v>-59.868769999999998</v>
      </c>
      <c r="M7122">
        <v>0.92824839999999997</v>
      </c>
      <c r="N7122">
        <v>-1.477971E-2</v>
      </c>
      <c r="O7122">
        <v>0.37166739999999998</v>
      </c>
      <c r="P7122">
        <v>0.68817930000000005</v>
      </c>
      <c r="Q7122">
        <v>0.39347929999999998</v>
      </c>
      <c r="R7122">
        <v>0.60957629999999996</v>
      </c>
      <c r="S7122">
        <v>2.4389500000000002</v>
      </c>
      <c r="T7122">
        <v>-0.46714</v>
      </c>
      <c r="U7122">
        <v>2.4721679999999999</v>
      </c>
      <c r="V7122">
        <v>-0.31728319999999999</v>
      </c>
      <c r="W7122">
        <v>0.40064109999999997</v>
      </c>
      <c r="X7122">
        <v>0.85954529999999996</v>
      </c>
      <c r="Y7122">
        <v>-0.39852549999999998</v>
      </c>
      <c r="Z7122">
        <v>-1.558884E-2</v>
      </c>
      <c r="AA7122">
        <v>0.91702479999999997</v>
      </c>
      <c r="AB7122">
        <v>29</v>
      </c>
      <c r="AC7122">
        <v>5.7013999999999996</v>
      </c>
      <c r="AD7122">
        <v>-1.11839533275999</v>
      </c>
      <c r="AE7122">
        <v>5.8591299999999897</v>
      </c>
      <c r="AF7122">
        <v>-3.2590730741996299</v>
      </c>
      <c r="AG7122">
        <v>-1.11839533275999</v>
      </c>
      <c r="AH7122">
        <v>7.3335329997631398</v>
      </c>
      <c r="AI7122">
        <v>97.933762640404296</v>
      </c>
      <c r="AJ7122">
        <v>113.96069529839799</v>
      </c>
      <c r="AK7122">
        <v>8.1026583095875004</v>
      </c>
      <c r="AL7122">
        <v>66.381737683189996</v>
      </c>
      <c r="AM7122">
        <v>110.26057196171899</v>
      </c>
      <c r="AN7122">
        <v>1.0000000213817699</v>
      </c>
    </row>
    <row r="7123" spans="1:40" x14ac:dyDescent="0.25">
      <c r="A7123" t="str">
        <f>"20190304165022228"</f>
        <v>20190304165022228</v>
      </c>
      <c r="B7123" t="str">
        <f>"1551689422222728"</f>
        <v>1551689422222728</v>
      </c>
      <c r="C7123" t="s">
        <v>40</v>
      </c>
      <c r="D7123">
        <v>4.3794060000000004</v>
      </c>
      <c r="E7123">
        <v>0.46201019999999998</v>
      </c>
      <c r="F7123" t="s">
        <v>49</v>
      </c>
      <c r="G7123">
        <v>-200.8886</v>
      </c>
      <c r="H7123" s="1">
        <v>-6.3776359999999999E-6</v>
      </c>
      <c r="I7123">
        <v>-53.944749999999999</v>
      </c>
      <c r="J7123">
        <v>-206.54689999999999</v>
      </c>
      <c r="K7123">
        <v>1.118412</v>
      </c>
      <c r="L7123">
        <v>-59.809359999999998</v>
      </c>
      <c r="M7123">
        <v>0.92638500000000001</v>
      </c>
      <c r="N7123">
        <v>-1.4740069999999999E-2</v>
      </c>
      <c r="O7123">
        <v>0.3762894</v>
      </c>
      <c r="P7123">
        <v>0.68535859999999904</v>
      </c>
      <c r="Q7123">
        <v>0.39333879999999999</v>
      </c>
      <c r="R7123">
        <v>0.61283609999999999</v>
      </c>
      <c r="S7123">
        <v>2.4280550000000001</v>
      </c>
      <c r="T7123">
        <v>-0.4687479</v>
      </c>
      <c r="U7123">
        <v>2.48291</v>
      </c>
      <c r="V7123">
        <v>-0.31708059999999899</v>
      </c>
      <c r="W7123">
        <v>0.40044449999999998</v>
      </c>
      <c r="X7123">
        <v>0.85971160000000002</v>
      </c>
      <c r="Y7123">
        <v>-0.39802660000000001</v>
      </c>
      <c r="Z7123">
        <v>-1.634232E-2</v>
      </c>
      <c r="AA7123">
        <v>0.9172283</v>
      </c>
      <c r="AB7123">
        <v>29</v>
      </c>
      <c r="AC7123">
        <v>5.6582999999999899</v>
      </c>
      <c r="AD7123">
        <v>-1.1184183776359999</v>
      </c>
      <c r="AE7123">
        <v>5.8646099999999901</v>
      </c>
      <c r="AF7123">
        <v>-3.24300383017408</v>
      </c>
      <c r="AG7123">
        <v>-1.1184183776359999</v>
      </c>
      <c r="AH7123">
        <v>7.3116457319499402</v>
      </c>
      <c r="AI7123">
        <v>97.959897840622901</v>
      </c>
      <c r="AJ7123">
        <v>113.91917833739301</v>
      </c>
      <c r="AK7123">
        <v>8.07639132406916</v>
      </c>
      <c r="AL7123">
        <v>66.394029985901</v>
      </c>
      <c r="AM7123">
        <v>110.24508671844499</v>
      </c>
      <c r="AN7123">
        <v>0.99999996982558403</v>
      </c>
    </row>
    <row r="7124" spans="1:40" x14ac:dyDescent="0.25">
      <c r="A7124" t="str">
        <f>"20190304165022240"</f>
        <v>20190304165022240</v>
      </c>
      <c r="B7124" t="str">
        <f>"1551689422232485"</f>
        <v>1551689422232485</v>
      </c>
      <c r="C7124" t="s">
        <v>40</v>
      </c>
      <c r="D7124">
        <v>4.40036</v>
      </c>
      <c r="E7124">
        <v>0.46215200000000001</v>
      </c>
      <c r="F7124" t="s">
        <v>49</v>
      </c>
      <c r="G7124">
        <v>-200.79689999999999</v>
      </c>
      <c r="H7124" s="1">
        <v>-6.422504E-6</v>
      </c>
      <c r="I7124">
        <v>-53.879750000000001</v>
      </c>
      <c r="J7124">
        <v>-206.41970000000001</v>
      </c>
      <c r="K7124">
        <v>1.1184339999999999</v>
      </c>
      <c r="L7124">
        <v>-59.752780000000001</v>
      </c>
      <c r="M7124">
        <v>0.92459729999999996</v>
      </c>
      <c r="N7124">
        <v>-1.469669E-2</v>
      </c>
      <c r="O7124">
        <v>0.38066260000000002</v>
      </c>
      <c r="P7124">
        <v>0.68265399999999998</v>
      </c>
      <c r="Q7124">
        <v>0.39344839999999998</v>
      </c>
      <c r="R7124">
        <v>0.61577760000000004</v>
      </c>
      <c r="S7124">
        <v>2.4177249999999999</v>
      </c>
      <c r="T7124">
        <v>-0.47026810000000002</v>
      </c>
      <c r="U7124">
        <v>2.4932560000000001</v>
      </c>
      <c r="V7124">
        <v>-0.31677169999999999</v>
      </c>
      <c r="W7124">
        <v>0.40049699999999999</v>
      </c>
      <c r="X7124">
        <v>0.85980109999999998</v>
      </c>
      <c r="Y7124">
        <v>-0.39758389999999999</v>
      </c>
      <c r="Z7124">
        <v>-1.7060229999999999E-2</v>
      </c>
      <c r="AA7124">
        <v>0.91740719999999998</v>
      </c>
      <c r="AB7124">
        <v>29</v>
      </c>
      <c r="AC7124">
        <v>5.6228000000000096</v>
      </c>
      <c r="AD7124">
        <v>-1.1184404225040001</v>
      </c>
      <c r="AE7124">
        <v>5.87303</v>
      </c>
      <c r="AF7124">
        <v>-3.22905261510568</v>
      </c>
      <c r="AG7124">
        <v>-1.1184404225040001</v>
      </c>
      <c r="AH7124">
        <v>7.2971927373673999</v>
      </c>
      <c r="AI7124">
        <v>97.978629442603804</v>
      </c>
      <c r="AJ7124">
        <v>113.869684413567</v>
      </c>
      <c r="AK7124">
        <v>8.0577113137726197</v>
      </c>
      <c r="AL7124">
        <v>66.390749084991498</v>
      </c>
      <c r="AM7124">
        <v>110.225028042419</v>
      </c>
      <c r="AN7124">
        <v>1.0000000442455399</v>
      </c>
    </row>
    <row r="7125" spans="1:40" x14ac:dyDescent="0.25">
      <c r="A7125" t="str">
        <f>"20190304165022250"</f>
        <v>20190304165022250</v>
      </c>
      <c r="B7125" t="str">
        <f>"1551689422242245"</f>
        <v>1551689422242245</v>
      </c>
      <c r="C7125" t="s">
        <v>40</v>
      </c>
      <c r="D7125">
        <v>4.4004799999999999</v>
      </c>
      <c r="E7125">
        <v>0.46229589999999998</v>
      </c>
      <c r="F7125" t="s">
        <v>49</v>
      </c>
      <c r="G7125">
        <v>-200.69470000000001</v>
      </c>
      <c r="H7125" s="1">
        <v>-6.473723E-6</v>
      </c>
      <c r="I7125">
        <v>-53.799390000000002</v>
      </c>
      <c r="J7125">
        <v>-206.29390000000001</v>
      </c>
      <c r="K7125">
        <v>1.1184529999999999</v>
      </c>
      <c r="L7125">
        <v>-59.696080000000002</v>
      </c>
      <c r="M7125">
        <v>0.92279699999999998</v>
      </c>
      <c r="N7125">
        <v>-1.4645760000000001E-2</v>
      </c>
      <c r="O7125">
        <v>0.38500810000000002</v>
      </c>
      <c r="P7125">
        <v>0.68010619999999999</v>
      </c>
      <c r="Q7125">
        <v>0.39362000000000003</v>
      </c>
      <c r="R7125">
        <v>0.61848099999999995</v>
      </c>
      <c r="S7125">
        <v>2.4074399999999998</v>
      </c>
      <c r="T7125">
        <v>-0.47032479999999899</v>
      </c>
      <c r="U7125">
        <v>2.5035099999999999</v>
      </c>
      <c r="V7125">
        <v>-0.31620730000000002</v>
      </c>
      <c r="W7125">
        <v>0.40061190000000002</v>
      </c>
      <c r="X7125">
        <v>0.85995529999999998</v>
      </c>
      <c r="Y7125">
        <v>-0.39713920000000003</v>
      </c>
      <c r="Z7125">
        <v>-1.770323E-2</v>
      </c>
      <c r="AA7125">
        <v>0.91758759999999995</v>
      </c>
      <c r="AB7125">
        <v>29</v>
      </c>
      <c r="AC7125">
        <v>5.59919999999999</v>
      </c>
      <c r="AD7125">
        <v>-1.118459473723</v>
      </c>
      <c r="AE7125">
        <v>5.8966900000000004</v>
      </c>
      <c r="AF7125">
        <v>-3.22504868271918</v>
      </c>
      <c r="AG7125">
        <v>-1.118459473723</v>
      </c>
      <c r="AH7125">
        <v>7.2998905134582799</v>
      </c>
      <c r="AI7125">
        <v>97.977926485080999</v>
      </c>
      <c r="AJ7125">
        <v>113.835559596023</v>
      </c>
      <c r="AK7125">
        <v>8.0585539713243595</v>
      </c>
      <c r="AL7125">
        <v>66.383563989707298</v>
      </c>
      <c r="AM7125">
        <v>110.188576992008</v>
      </c>
      <c r="AN7125">
        <v>1.0000000344964901</v>
      </c>
    </row>
    <row r="7126" spans="1:40" x14ac:dyDescent="0.25">
      <c r="A7126" t="str">
        <f>"20190304165022261"</f>
        <v>20190304165022261</v>
      </c>
      <c r="B7126" t="str">
        <f>"1551689422252981"</f>
        <v>1551689422252981</v>
      </c>
      <c r="C7126" t="s">
        <v>40</v>
      </c>
      <c r="D7126">
        <v>4.3880270000000001</v>
      </c>
      <c r="E7126">
        <v>0.46229589999999998</v>
      </c>
      <c r="F7126" t="s">
        <v>49</v>
      </c>
      <c r="G7126">
        <v>-200.59630000000001</v>
      </c>
      <c r="H7126" s="1">
        <v>-6.5222050000000003E-6</v>
      </c>
      <c r="I7126">
        <v>-53.727629999999998</v>
      </c>
      <c r="J7126">
        <v>-206.1722</v>
      </c>
      <c r="K7126">
        <v>1.118474</v>
      </c>
      <c r="L7126">
        <v>-59.64038</v>
      </c>
      <c r="M7126">
        <v>0.92102070000000003</v>
      </c>
      <c r="N7126">
        <v>-1.4589929999999999E-2</v>
      </c>
      <c r="O7126">
        <v>0.38924029999999998</v>
      </c>
      <c r="P7126">
        <v>0.67769380000000001</v>
      </c>
      <c r="Q7126">
        <v>0.39357229999999999</v>
      </c>
      <c r="R7126">
        <v>0.62115369999999903</v>
      </c>
      <c r="S7126">
        <v>2.3986209999999999</v>
      </c>
      <c r="T7126">
        <v>-0.47085050000000001</v>
      </c>
      <c r="U7126">
        <v>2.5126040000000001</v>
      </c>
      <c r="V7126">
        <v>-0.31565949999999998</v>
      </c>
      <c r="W7126">
        <v>0.40050580000000002</v>
      </c>
      <c r="X7126">
        <v>0.86020589999999997</v>
      </c>
      <c r="Y7126">
        <v>-0.39630880000000002</v>
      </c>
      <c r="Z7126">
        <v>-1.8389820000000001E-2</v>
      </c>
      <c r="AA7126">
        <v>0.91793309999999995</v>
      </c>
      <c r="AB7126">
        <v>29</v>
      </c>
      <c r="AC7126">
        <v>5.5758999999999901</v>
      </c>
      <c r="AD7126">
        <v>-1.118480522205</v>
      </c>
      <c r="AE7126">
        <v>5.91275</v>
      </c>
      <c r="AF7126">
        <v>-3.2148599677133101</v>
      </c>
      <c r="AG7126">
        <v>-1.118480522205</v>
      </c>
      <c r="AH7126">
        <v>7.2995396414994804</v>
      </c>
      <c r="AI7126">
        <v>97.9824516905107</v>
      </c>
      <c r="AJ7126">
        <v>113.76963084869899</v>
      </c>
      <c r="AK7126">
        <v>8.0541667643760704</v>
      </c>
      <c r="AL7126">
        <v>66.390197792295396</v>
      </c>
      <c r="AM7126">
        <v>110.151019721436</v>
      </c>
      <c r="AN7126">
        <v>1.0000000030843399</v>
      </c>
    </row>
    <row r="7127" spans="1:40" x14ac:dyDescent="0.25">
      <c r="A7127" t="str">
        <f>"20190304165022273"</f>
        <v>20190304165022273</v>
      </c>
      <c r="B7127" t="str">
        <f>"1551689422262741"</f>
        <v>1551689422262741</v>
      </c>
      <c r="C7127" t="s">
        <v>40</v>
      </c>
      <c r="D7127">
        <v>4.4008440000000002</v>
      </c>
      <c r="E7127">
        <v>0.46665489999999998</v>
      </c>
      <c r="F7127" t="s">
        <v>49</v>
      </c>
      <c r="G7127">
        <v>-200.5</v>
      </c>
      <c r="H7127" s="1">
        <v>-6.5712480000000003E-6</v>
      </c>
      <c r="I7127">
        <v>-53.646900000000002</v>
      </c>
      <c r="J7127">
        <v>-206.03319999999999</v>
      </c>
      <c r="K7127">
        <v>1.1184909999999999</v>
      </c>
      <c r="L7127">
        <v>-59.5762</v>
      </c>
      <c r="M7127">
        <v>0.91895720000000003</v>
      </c>
      <c r="N7127">
        <v>-1.45205E-2</v>
      </c>
      <c r="O7127">
        <v>0.39409</v>
      </c>
      <c r="P7127">
        <v>0.67467670000000002</v>
      </c>
      <c r="Q7127">
        <v>0.39377970000000001</v>
      </c>
      <c r="R7127">
        <v>0.62429880000000004</v>
      </c>
      <c r="S7127">
        <v>2.3877109999999999</v>
      </c>
      <c r="T7127">
        <v>-0.4708233</v>
      </c>
      <c r="U7127">
        <v>2.5229490000000001</v>
      </c>
      <c r="V7127">
        <v>-0.31520609999999999</v>
      </c>
      <c r="W7127">
        <v>0.40063720000000003</v>
      </c>
      <c r="X7127">
        <v>0.86031100000000005</v>
      </c>
      <c r="Y7127">
        <v>-0.39548650000000002</v>
      </c>
      <c r="Z7127">
        <v>-1.9140009999999999E-2</v>
      </c>
      <c r="AA7127">
        <v>0.91827230000000004</v>
      </c>
      <c r="AB7127">
        <v>29</v>
      </c>
      <c r="AC7127">
        <v>5.5331999999999901</v>
      </c>
      <c r="AD7127">
        <v>-1.1184975712480001</v>
      </c>
      <c r="AE7127">
        <v>5.9292999999999898</v>
      </c>
      <c r="AF7127">
        <v>-3.2075295761531502</v>
      </c>
      <c r="AG7127">
        <v>-1.1184975712480001</v>
      </c>
      <c r="AH7127">
        <v>7.28369405031812</v>
      </c>
      <c r="AI7127">
        <v>97.999853847551094</v>
      </c>
      <c r="AJ7127">
        <v>113.767313788217</v>
      </c>
      <c r="AK7127">
        <v>8.0368825932338002</v>
      </c>
      <c r="AL7127">
        <v>66.381981884192896</v>
      </c>
      <c r="AM7127">
        <v>110.12213829688901</v>
      </c>
      <c r="AN7127">
        <v>1.00000003411102</v>
      </c>
    </row>
    <row r="7128" spans="1:40" x14ac:dyDescent="0.25">
      <c r="A7128" t="str">
        <f>"20190304165022285"</f>
        <v>20190304165022285</v>
      </c>
      <c r="B7128" t="str">
        <f>"1551689422272500"</f>
        <v>1551689422272500</v>
      </c>
      <c r="C7128" t="s">
        <v>40</v>
      </c>
      <c r="D7128">
        <v>4.4034879999999896</v>
      </c>
      <c r="E7128">
        <v>0.46667979999999998</v>
      </c>
      <c r="F7128" t="s">
        <v>49</v>
      </c>
      <c r="G7128">
        <v>-200.49979999999999</v>
      </c>
      <c r="H7128" s="1">
        <v>-6.548574E-6</v>
      </c>
      <c r="I7128">
        <v>-53.792400000000001</v>
      </c>
      <c r="J7128">
        <v>-205.90450000000001</v>
      </c>
      <c r="K7128">
        <v>1.1185069999999999</v>
      </c>
      <c r="L7128">
        <v>-59.515630000000002</v>
      </c>
      <c r="M7128">
        <v>0.91700170000000003</v>
      </c>
      <c r="N7128">
        <v>-1.44463E-2</v>
      </c>
      <c r="O7128">
        <v>0.39862170000000002</v>
      </c>
      <c r="P7128">
        <v>0.67183349999999997</v>
      </c>
      <c r="Q7128">
        <v>0.39372030000000002</v>
      </c>
      <c r="R7128">
        <v>0.62739480000000003</v>
      </c>
      <c r="S7128">
        <v>2.4045559999999999</v>
      </c>
      <c r="T7128">
        <v>-0.48605229999999999</v>
      </c>
      <c r="U7128">
        <v>2.5133969999999999</v>
      </c>
      <c r="V7128">
        <v>-0.31492750000000003</v>
      </c>
      <c r="W7128">
        <v>0.40049790000000002</v>
      </c>
      <c r="X7128">
        <v>0.86047790000000002</v>
      </c>
      <c r="Y7128">
        <v>-0.38605840000000002</v>
      </c>
      <c r="Z7128">
        <v>-2.1406080000000001E-2</v>
      </c>
      <c r="AA7128">
        <v>0.92222599999999999</v>
      </c>
      <c r="AB7128">
        <v>29</v>
      </c>
      <c r="AC7128">
        <v>5.4047000000000098</v>
      </c>
      <c r="AD7128">
        <v>-1.1185135485740001</v>
      </c>
      <c r="AE7128">
        <v>5.72323</v>
      </c>
      <c r="AF7128">
        <v>-3.0328712034914602</v>
      </c>
      <c r="AG7128">
        <v>-1.1185135485740001</v>
      </c>
      <c r="AH7128">
        <v>7.0950318742975602</v>
      </c>
      <c r="AI7128">
        <v>98.248081364831705</v>
      </c>
      <c r="AJ7128">
        <v>113.14496728869101</v>
      </c>
      <c r="AK7128">
        <v>7.79672095131086</v>
      </c>
      <c r="AL7128">
        <v>66.3906931345999</v>
      </c>
      <c r="AM7128">
        <v>110.10219058662599</v>
      </c>
      <c r="AN7128">
        <v>1.00000005727453</v>
      </c>
    </row>
    <row r="7129" spans="1:40" x14ac:dyDescent="0.25">
      <c r="A7129" t="str">
        <f>"20190304165022296"</f>
        <v>20190304165022296</v>
      </c>
      <c r="B7129" t="str">
        <f>"1551689422292997"</f>
        <v>1551689422292997</v>
      </c>
      <c r="C7129" t="s">
        <v>40</v>
      </c>
      <c r="D7129">
        <v>4.4037879999999996</v>
      </c>
      <c r="E7129">
        <v>0.46699010000000002</v>
      </c>
      <c r="F7129" t="s">
        <v>49</v>
      </c>
      <c r="G7129">
        <v>-200.4289</v>
      </c>
      <c r="H7129" s="1">
        <v>-6.5836890000000001E-6</v>
      </c>
      <c r="I7129">
        <v>-53.73948</v>
      </c>
      <c r="J7129">
        <v>-205.77500000000001</v>
      </c>
      <c r="K7129">
        <v>1.1185179999999999</v>
      </c>
      <c r="L7129">
        <v>-59.454279999999997</v>
      </c>
      <c r="M7129">
        <v>0.91500479999999995</v>
      </c>
      <c r="N7129">
        <v>-1.436869E-2</v>
      </c>
      <c r="O7129">
        <v>0.40318690000000001</v>
      </c>
      <c r="P7129">
        <v>0.66927530000000002</v>
      </c>
      <c r="Q7129">
        <v>0.3933797</v>
      </c>
      <c r="R7129">
        <v>0.6303356</v>
      </c>
      <c r="S7129">
        <v>2.393799</v>
      </c>
      <c r="T7129">
        <v>-0.48898459999999999</v>
      </c>
      <c r="U7129">
        <v>2.5251769999999998</v>
      </c>
      <c r="V7129">
        <v>-0.31435229999999997</v>
      </c>
      <c r="W7129">
        <v>0.40008359999999998</v>
      </c>
      <c r="X7129">
        <v>0.8608808</v>
      </c>
      <c r="Y7129">
        <v>-0.38571450000000002</v>
      </c>
      <c r="Z7129">
        <v>-2.2281430000000001E-2</v>
      </c>
      <c r="AA7129">
        <v>0.92234910000000003</v>
      </c>
      <c r="AB7129">
        <v>29</v>
      </c>
      <c r="AC7129">
        <v>5.3460999999999999</v>
      </c>
      <c r="AD7129">
        <v>-1.1185245836890001</v>
      </c>
      <c r="AE7129">
        <v>5.7147999999999897</v>
      </c>
      <c r="AF7129">
        <v>-3.0123682123806401</v>
      </c>
      <c r="AG7129">
        <v>-1.1185245836890001</v>
      </c>
      <c r="AH7129">
        <v>7.0525037264478003</v>
      </c>
      <c r="AI7129">
        <v>98.298183532393793</v>
      </c>
      <c r="AJ7129">
        <v>113.129003579064</v>
      </c>
      <c r="AK7129">
        <v>7.7500495677665304</v>
      </c>
      <c r="AL7129">
        <v>66.416595270211104</v>
      </c>
      <c r="AM7129">
        <v>110.059764185182</v>
      </c>
      <c r="AN7129">
        <v>1.00000000365644</v>
      </c>
    </row>
    <row r="7130" spans="1:40" x14ac:dyDescent="0.25">
      <c r="A7130" t="str">
        <f>"20190304165022308"</f>
        <v>20190304165022308</v>
      </c>
      <c r="B7130" t="str">
        <f>"1551689422302758"</f>
        <v>1551689422302758</v>
      </c>
      <c r="C7130" t="s">
        <v>40</v>
      </c>
      <c r="D7130">
        <v>4.4205199999999998</v>
      </c>
      <c r="E7130">
        <v>0.46699010000000002</v>
      </c>
      <c r="F7130" t="s">
        <v>49</v>
      </c>
      <c r="G7130">
        <v>-200.33090000000001</v>
      </c>
      <c r="H7130" s="1">
        <v>-6.6315739999999999E-6</v>
      </c>
      <c r="I7130">
        <v>-53.670250000000003</v>
      </c>
      <c r="J7130">
        <v>-205.63679999999999</v>
      </c>
      <c r="K7130">
        <v>1.1185320000000001</v>
      </c>
      <c r="L7130">
        <v>-59.387390000000003</v>
      </c>
      <c r="M7130">
        <v>0.91281809999999997</v>
      </c>
      <c r="N7130">
        <v>-1.4274169999999999E-2</v>
      </c>
      <c r="O7130">
        <v>0.4081168</v>
      </c>
      <c r="P7130">
        <v>0.66622999999999999</v>
      </c>
      <c r="Q7130">
        <v>0.392874</v>
      </c>
      <c r="R7130">
        <v>0.63386719999999996</v>
      </c>
      <c r="S7130">
        <v>2.3844599999999998</v>
      </c>
      <c r="T7130">
        <v>-0.48990329999999899</v>
      </c>
      <c r="U7130">
        <v>2.5333559999999999</v>
      </c>
      <c r="V7130">
        <v>-0.31416230000000001</v>
      </c>
      <c r="W7130">
        <v>0.39947909999999998</v>
      </c>
      <c r="X7130">
        <v>0.86123079999999996</v>
      </c>
      <c r="Y7130">
        <v>-0.38408120000000001</v>
      </c>
      <c r="Z7130">
        <v>-2.321521E-2</v>
      </c>
      <c r="AA7130">
        <v>0.92300740000000003</v>
      </c>
      <c r="AB7130">
        <v>29</v>
      </c>
      <c r="AC7130">
        <v>5.3058999999999799</v>
      </c>
      <c r="AD7130">
        <v>-1.118538631574</v>
      </c>
      <c r="AE7130">
        <v>5.7171399999999997</v>
      </c>
      <c r="AF7130">
        <v>-2.9920618622075401</v>
      </c>
      <c r="AG7130">
        <v>-1.118538631574</v>
      </c>
      <c r="AH7130">
        <v>7.0326877818719904</v>
      </c>
      <c r="AI7130">
        <v>98.3263267474359</v>
      </c>
      <c r="AJ7130">
        <v>113.04736041439099</v>
      </c>
      <c r="AK7130">
        <v>7.7241349221056401</v>
      </c>
      <c r="AL7130">
        <v>66.454381367857096</v>
      </c>
      <c r="AM7130">
        <v>110.041106649583</v>
      </c>
      <c r="AN7130">
        <v>0.99999999647337001</v>
      </c>
    </row>
    <row r="7131" spans="1:40" x14ac:dyDescent="0.25">
      <c r="A7131" t="str">
        <f>"20190304165022318"</f>
        <v>20190304165022318</v>
      </c>
      <c r="B7131" t="str">
        <f>"1551689422312516"</f>
        <v>1551689422312516</v>
      </c>
      <c r="C7131" t="s">
        <v>40</v>
      </c>
      <c r="D7131">
        <v>4.4431859999999999</v>
      </c>
      <c r="E7131">
        <v>0.45014920000000003</v>
      </c>
      <c r="F7131" t="s">
        <v>49</v>
      </c>
      <c r="G7131">
        <v>-200.24359999999999</v>
      </c>
      <c r="H7131" s="1">
        <v>-6.6759449999999997E-6</v>
      </c>
      <c r="I7131">
        <v>-53.597880000000004</v>
      </c>
      <c r="J7131">
        <v>-205.51730000000001</v>
      </c>
      <c r="K7131">
        <v>1.1185419999999999</v>
      </c>
      <c r="L7131">
        <v>-59.329160000000002</v>
      </c>
      <c r="M7131">
        <v>0.91089989999999998</v>
      </c>
      <c r="N7131">
        <v>-1.419143E-2</v>
      </c>
      <c r="O7131">
        <v>0.41238330000000001</v>
      </c>
      <c r="P7131">
        <v>0.66358319999999904</v>
      </c>
      <c r="Q7131">
        <v>0.39302399999999998</v>
      </c>
      <c r="R7131">
        <v>0.63654500000000003</v>
      </c>
      <c r="S7131">
        <v>2.3711700000000002</v>
      </c>
      <c r="T7131">
        <v>-0.49177549999999998</v>
      </c>
      <c r="U7131">
        <v>2.54541</v>
      </c>
      <c r="V7131">
        <v>-0.313664099999999</v>
      </c>
      <c r="W7131">
        <v>0.39954780000000001</v>
      </c>
      <c r="X7131">
        <v>0.86138049999999999</v>
      </c>
      <c r="Y7131">
        <v>-0.38454939999999999</v>
      </c>
      <c r="Z7131">
        <v>-2.3947469999999998E-2</v>
      </c>
      <c r="AA7131">
        <v>0.92279370000000005</v>
      </c>
      <c r="AB7131">
        <v>29</v>
      </c>
      <c r="AC7131">
        <v>5.2737000000000096</v>
      </c>
      <c r="AD7131">
        <v>-1.1185486759449901</v>
      </c>
      <c r="AE7131">
        <v>5.7312799999999902</v>
      </c>
      <c r="AF7131">
        <v>-2.9845838420331701</v>
      </c>
      <c r="AG7131">
        <v>-1.1185486759449901</v>
      </c>
      <c r="AH7131">
        <v>7.0231603749411704</v>
      </c>
      <c r="AI7131">
        <v>98.338980660203106</v>
      </c>
      <c r="AJ7131">
        <v>113.023700101952</v>
      </c>
      <c r="AK7131">
        <v>7.7125659480310196</v>
      </c>
      <c r="AL7131">
        <v>66.450087405815196</v>
      </c>
      <c r="AM7131">
        <v>110.00864757156199</v>
      </c>
      <c r="AN7131">
        <v>0.99999998894694897</v>
      </c>
    </row>
    <row r="7132" spans="1:40" x14ac:dyDescent="0.25">
      <c r="A7132" t="str">
        <f>"20190304165022329"</f>
        <v>20190304165022329</v>
      </c>
      <c r="B7132" t="str">
        <f>"1551689422322277"</f>
        <v>1551689422322277</v>
      </c>
      <c r="C7132" t="s">
        <v>40</v>
      </c>
      <c r="D7132">
        <v>4.3656430000000004</v>
      </c>
      <c r="E7132">
        <v>0.4396873</v>
      </c>
      <c r="F7132" t="s">
        <v>41</v>
      </c>
      <c r="G7132">
        <v>-204.8441</v>
      </c>
      <c r="H7132">
        <v>0.99454659999999995</v>
      </c>
      <c r="I7132">
        <v>-58.538589999999999</v>
      </c>
      <c r="J7132">
        <v>-205.38919999999999</v>
      </c>
      <c r="K7132">
        <v>1.11856</v>
      </c>
      <c r="L7132">
        <v>-59.265720000000002</v>
      </c>
      <c r="M7132">
        <v>0.90880289999999997</v>
      </c>
      <c r="N7132">
        <v>-1.410057E-2</v>
      </c>
      <c r="O7132">
        <v>0.4169872</v>
      </c>
      <c r="P7132">
        <v>0.66091789999999995</v>
      </c>
      <c r="Q7132">
        <v>0.3931519</v>
      </c>
      <c r="R7132">
        <v>0.63923339999999995</v>
      </c>
      <c r="S7132">
        <v>2.2409819999999998</v>
      </c>
      <c r="T7132">
        <v>-0.41273569999999998</v>
      </c>
      <c r="U7132">
        <v>2.6316220000000001</v>
      </c>
      <c r="V7132">
        <v>-0.31285930000000001</v>
      </c>
      <c r="W7132">
        <v>0.39959230000000001</v>
      </c>
      <c r="X7132">
        <v>0.86165249999999904</v>
      </c>
      <c r="Y7132">
        <v>-0.42060989999999998</v>
      </c>
      <c r="Z7132">
        <v>-1.7063450000000001E-2</v>
      </c>
      <c r="AA7132">
        <v>0.90708109999999997</v>
      </c>
      <c r="AB7132">
        <v>29</v>
      </c>
      <c r="AC7132">
        <v>0.54509999999999004</v>
      </c>
      <c r="AD7132">
        <v>-0.124013399999999</v>
      </c>
      <c r="AE7132">
        <v>0.72712999999999495</v>
      </c>
      <c r="AF7132">
        <v>-0.42563493194026902</v>
      </c>
      <c r="AG7132">
        <v>-0.124013399999999</v>
      </c>
      <c r="AH7132">
        <v>0.78407056777791195</v>
      </c>
      <c r="AI7132">
        <v>97.913694368698103</v>
      </c>
      <c r="AJ7132">
        <v>118.495448054671</v>
      </c>
      <c r="AK7132">
        <v>0.90072807990143999</v>
      </c>
      <c r="AL7132">
        <v>66.447306073810793</v>
      </c>
      <c r="AM7132">
        <v>109.955564580507</v>
      </c>
      <c r="AN7132">
        <v>0.99999998928601397</v>
      </c>
    </row>
    <row r="7133" spans="1:40" x14ac:dyDescent="0.25">
      <c r="A7133" t="str">
        <f>"20190304165022340"</f>
        <v>20190304165022340</v>
      </c>
      <c r="B7133" t="str">
        <f>"1551689422332037"</f>
        <v>1551689422332037</v>
      </c>
      <c r="C7133" t="s">
        <v>40</v>
      </c>
      <c r="D7133">
        <v>4.3477430000000004</v>
      </c>
      <c r="E7133">
        <v>0.43248950000000003</v>
      </c>
      <c r="F7133" t="s">
        <v>41</v>
      </c>
      <c r="G7133">
        <v>-204.77189999999999</v>
      </c>
      <c r="H7133">
        <v>1.010564</v>
      </c>
      <c r="I7133">
        <v>-58.496009999999998</v>
      </c>
      <c r="J7133">
        <v>-205.2646</v>
      </c>
      <c r="K7133">
        <v>1.118576</v>
      </c>
      <c r="L7133">
        <v>-59.203310000000002</v>
      </c>
      <c r="M7133">
        <v>0.9067267</v>
      </c>
      <c r="N7133">
        <v>-1.401138E-2</v>
      </c>
      <c r="O7133">
        <v>0.42148609999999997</v>
      </c>
      <c r="P7133">
        <v>0.65805239999999998</v>
      </c>
      <c r="Q7133">
        <v>0.39331509999999997</v>
      </c>
      <c r="R7133">
        <v>0.64208290000000001</v>
      </c>
      <c r="S7133">
        <v>2.159592</v>
      </c>
      <c r="T7133">
        <v>-0.37779239999999997</v>
      </c>
      <c r="U7133">
        <v>2.6926570000000001</v>
      </c>
      <c r="V7133">
        <v>-0.31238110000000002</v>
      </c>
      <c r="W7133">
        <v>0.39966659999999998</v>
      </c>
      <c r="X7133">
        <v>0.86179159999999899</v>
      </c>
      <c r="Y7133">
        <v>-0.4426562</v>
      </c>
      <c r="Z7133">
        <v>-1.403312E-2</v>
      </c>
      <c r="AA7133">
        <v>0.89658159999999898</v>
      </c>
      <c r="AB7133">
        <v>29</v>
      </c>
      <c r="AC7133">
        <v>0.49270000000001302</v>
      </c>
      <c r="AD7133">
        <v>-0.108011999999999</v>
      </c>
      <c r="AE7133">
        <v>0.70729999999999604</v>
      </c>
      <c r="AF7133">
        <v>-0.42699962127600199</v>
      </c>
      <c r="AG7133">
        <v>-0.108011999999999</v>
      </c>
      <c r="AH7133">
        <v>0.73341869554533901</v>
      </c>
      <c r="AI7133">
        <v>97.253203754425897</v>
      </c>
      <c r="AJ7133">
        <v>120.208154205149</v>
      </c>
      <c r="AK7133">
        <v>0.85551052108625503</v>
      </c>
      <c r="AL7133">
        <v>66.442663616027403</v>
      </c>
      <c r="AM7133">
        <v>109.92450206131601</v>
      </c>
      <c r="AN7133">
        <v>1.0000000523116599</v>
      </c>
    </row>
    <row r="7134" spans="1:40" x14ac:dyDescent="0.25">
      <c r="A7134" t="str">
        <f>"20190304165022351"</f>
        <v>20190304165022351</v>
      </c>
      <c r="B7134" t="str">
        <f>"1551689422342773"</f>
        <v>1551689422342773</v>
      </c>
      <c r="C7134" t="s">
        <v>40</v>
      </c>
      <c r="D7134">
        <v>4.3688399999999996</v>
      </c>
      <c r="E7134">
        <v>0.42778070000000001</v>
      </c>
      <c r="F7134" t="s">
        <v>41</v>
      </c>
      <c r="G7134">
        <v>-204.64359999999999</v>
      </c>
      <c r="H7134">
        <v>1.010426</v>
      </c>
      <c r="I7134">
        <v>-58.393920000000001</v>
      </c>
      <c r="J7134">
        <v>-205.13990000000001</v>
      </c>
      <c r="K7134">
        <v>1.118587</v>
      </c>
      <c r="L7134">
        <v>-59.14011</v>
      </c>
      <c r="M7134">
        <v>0.90461369999999997</v>
      </c>
      <c r="N7134">
        <v>-1.3921390000000001E-2</v>
      </c>
      <c r="O7134">
        <v>0.42600529999999998</v>
      </c>
      <c r="P7134">
        <v>0.65530940000000004</v>
      </c>
      <c r="Q7134">
        <v>0.39347219999999999</v>
      </c>
      <c r="R7134">
        <v>0.64478630000000003</v>
      </c>
      <c r="S7134">
        <v>2.1030730000000002</v>
      </c>
      <c r="T7134">
        <v>-0.3662994</v>
      </c>
      <c r="U7134">
        <v>2.7413020000000001</v>
      </c>
      <c r="V7134">
        <v>-0.311695</v>
      </c>
      <c r="W7134">
        <v>0.39973920000000002</v>
      </c>
      <c r="X7134">
        <v>0.86200619999999994</v>
      </c>
      <c r="Y7134">
        <v>-0.45743479999999997</v>
      </c>
      <c r="Z7134">
        <v>-1.290346E-2</v>
      </c>
      <c r="AA7134">
        <v>0.88914950000000004</v>
      </c>
      <c r="AB7134">
        <v>29</v>
      </c>
      <c r="AC7134">
        <v>0.496300000000019</v>
      </c>
      <c r="AD7134">
        <v>-0.10816099999999899</v>
      </c>
      <c r="AE7134">
        <v>0.74619000000000502</v>
      </c>
      <c r="AF7134">
        <v>-0.45697545665763201</v>
      </c>
      <c r="AG7134">
        <v>-0.10816099999999899</v>
      </c>
      <c r="AH7134">
        <v>0.75590378042455897</v>
      </c>
      <c r="AI7134">
        <v>96.981181442577295</v>
      </c>
      <c r="AJ7134">
        <v>121.154717184031</v>
      </c>
      <c r="AK7134">
        <v>0.88989656430879205</v>
      </c>
      <c r="AL7134">
        <v>66.438122999212993</v>
      </c>
      <c r="AM7134">
        <v>109.879611764638</v>
      </c>
      <c r="AN7134">
        <v>0.99999994494003797</v>
      </c>
    </row>
    <row r="7135" spans="1:40" x14ac:dyDescent="0.25">
      <c r="A7135" t="str">
        <f>"20190304165022362"</f>
        <v>20190304165022362</v>
      </c>
      <c r="B7135" t="str">
        <f>"1551689422352532"</f>
        <v>1551689422352532</v>
      </c>
      <c r="C7135" t="s">
        <v>40</v>
      </c>
      <c r="D7135">
        <v>4.3452469999999996</v>
      </c>
      <c r="E7135">
        <v>0.42446699999999998</v>
      </c>
      <c r="F7135" t="s">
        <v>41</v>
      </c>
      <c r="G7135">
        <v>-204.6003</v>
      </c>
      <c r="H7135">
        <v>1.0249889999999999</v>
      </c>
      <c r="I7135">
        <v>-58.413330000000002</v>
      </c>
      <c r="J7135">
        <v>-205.0213</v>
      </c>
      <c r="K7135">
        <v>1.1186049999999901</v>
      </c>
      <c r="L7135">
        <v>-59.079099999999997</v>
      </c>
      <c r="M7135">
        <v>0.90256539999999996</v>
      </c>
      <c r="N7135">
        <v>-1.383558E-2</v>
      </c>
      <c r="O7135">
        <v>0.43033060000000001</v>
      </c>
      <c r="P7135">
        <v>0.65257739999999997</v>
      </c>
      <c r="Q7135">
        <v>0.39359490000000003</v>
      </c>
      <c r="R7135">
        <v>0.64747650000000001</v>
      </c>
      <c r="S7135">
        <v>2.0609739999999999</v>
      </c>
      <c r="T7135">
        <v>-0.35754019999999997</v>
      </c>
      <c r="U7135">
        <v>2.7762760000000002</v>
      </c>
      <c r="V7135">
        <v>-0.31117440000000002</v>
      </c>
      <c r="W7135">
        <v>0.39977679999999999</v>
      </c>
      <c r="X7135">
        <v>0.86217699999999997</v>
      </c>
      <c r="Y7135">
        <v>-0.46721170000000001</v>
      </c>
      <c r="Z7135">
        <v>-1.2249980000000001E-2</v>
      </c>
      <c r="AA7135">
        <v>0.88406059999999997</v>
      </c>
      <c r="AB7135">
        <v>29</v>
      </c>
      <c r="AC7135">
        <v>0.42099999999999199</v>
      </c>
      <c r="AD7135">
        <v>-9.3615999999999894E-2</v>
      </c>
      <c r="AE7135">
        <v>0.66576999999999398</v>
      </c>
      <c r="AF7135">
        <v>-0.41392555014718901</v>
      </c>
      <c r="AG7135">
        <v>-9.3615999999999894E-2</v>
      </c>
      <c r="AH7135">
        <v>0.65726166887406701</v>
      </c>
      <c r="AI7135">
        <v>96.872369450140994</v>
      </c>
      <c r="AJ7135">
        <v>122.20160963314601</v>
      </c>
      <c r="AK7135">
        <v>0.78236258722652197</v>
      </c>
      <c r="AL7135">
        <v>66.435776292049795</v>
      </c>
      <c r="AM7135">
        <v>109.845378743195</v>
      </c>
      <c r="AN7135">
        <v>1.00000008818129</v>
      </c>
    </row>
    <row r="7136" spans="1:40" x14ac:dyDescent="0.25">
      <c r="A7136" t="str">
        <f>"20190304165022373"</f>
        <v>20190304165022373</v>
      </c>
      <c r="B7136" t="str">
        <f>"1551689422362293"</f>
        <v>1551689422362293</v>
      </c>
      <c r="C7136" t="s">
        <v>40</v>
      </c>
      <c r="D7136">
        <v>4.4451340000000004</v>
      </c>
      <c r="E7136">
        <v>0.42329919999999999</v>
      </c>
      <c r="F7136" t="s">
        <v>41</v>
      </c>
      <c r="G7136">
        <v>-204.43180000000001</v>
      </c>
      <c r="H7136">
        <v>1.017004</v>
      </c>
      <c r="I7136">
        <v>-58.264479999999999</v>
      </c>
      <c r="J7136">
        <v>-204.89850000000001</v>
      </c>
      <c r="K7136">
        <v>1.1186240000000001</v>
      </c>
      <c r="L7136">
        <v>-59.015469999999901</v>
      </c>
      <c r="M7136">
        <v>0.90041319999999903</v>
      </c>
      <c r="N7136">
        <v>-1.3746400000000001E-2</v>
      </c>
      <c r="O7136">
        <v>0.43481839999999999</v>
      </c>
      <c r="P7136">
        <v>0.64972390000000002</v>
      </c>
      <c r="Q7136">
        <v>0.39379409999999998</v>
      </c>
      <c r="R7136">
        <v>0.65021909999999905</v>
      </c>
      <c r="S7136">
        <v>2.0275270000000001</v>
      </c>
      <c r="T7136">
        <v>-0.34947309999999998</v>
      </c>
      <c r="U7136">
        <v>2.8023069999999999</v>
      </c>
      <c r="V7136">
        <v>-0.31059639999999999</v>
      </c>
      <c r="W7136">
        <v>0.3998874</v>
      </c>
      <c r="X7136">
        <v>0.86233400000000004</v>
      </c>
      <c r="Y7136">
        <v>-0.47364400000000001</v>
      </c>
      <c r="Z7136">
        <v>-1.187525E-2</v>
      </c>
      <c r="AA7136">
        <v>0.88063630000000004</v>
      </c>
      <c r="AB7136">
        <v>29</v>
      </c>
      <c r="AC7136">
        <v>0.466700000000003</v>
      </c>
      <c r="AD7136">
        <v>-0.10162</v>
      </c>
      <c r="AE7136">
        <v>0.75098999999998695</v>
      </c>
      <c r="AF7136">
        <v>-0.46714583186034903</v>
      </c>
      <c r="AG7136">
        <v>-0.10162</v>
      </c>
      <c r="AH7136">
        <v>0.73710142607220597</v>
      </c>
      <c r="AI7136">
        <v>96.642060208717197</v>
      </c>
      <c r="AJ7136">
        <v>122.364911819429</v>
      </c>
      <c r="AK7136">
        <v>0.878561531676739</v>
      </c>
      <c r="AL7136">
        <v>66.428860301027598</v>
      </c>
      <c r="AM7136">
        <v>109.808061100976</v>
      </c>
      <c r="AN7136">
        <v>0.99999999196386002</v>
      </c>
    </row>
    <row r="7137" spans="1:40" x14ac:dyDescent="0.25">
      <c r="A7137" t="str">
        <f>"20190304165022384"</f>
        <v>20190304165022384</v>
      </c>
      <c r="B7137" t="str">
        <f>"1551689422382790"</f>
        <v>1551689422382790</v>
      </c>
      <c r="C7137" t="s">
        <v>40</v>
      </c>
      <c r="D7137">
        <v>4.3416509999999997</v>
      </c>
      <c r="E7137">
        <v>0.42085669999999997</v>
      </c>
      <c r="F7137" t="s">
        <v>41</v>
      </c>
      <c r="G7137">
        <v>-204.38480000000001</v>
      </c>
      <c r="H7137">
        <v>1.030165</v>
      </c>
      <c r="I7137">
        <v>-58.294640000000001</v>
      </c>
      <c r="J7137">
        <v>-204.76939999999999</v>
      </c>
      <c r="K7137">
        <v>1.11864599999999</v>
      </c>
      <c r="L7137">
        <v>-58.947299999999998</v>
      </c>
      <c r="M7137">
        <v>0.89809889999999903</v>
      </c>
      <c r="N7137">
        <v>-1.3653719999999999E-2</v>
      </c>
      <c r="O7137">
        <v>0.43958160000000002</v>
      </c>
      <c r="P7137">
        <v>0.64653070000000001</v>
      </c>
      <c r="Q7137">
        <v>0.39396920000000002</v>
      </c>
      <c r="R7137">
        <v>0.65328900000000001</v>
      </c>
      <c r="S7137">
        <v>2.007339</v>
      </c>
      <c r="T7137">
        <v>-0.34570479999999998</v>
      </c>
      <c r="U7137">
        <v>2.817383</v>
      </c>
      <c r="V7137">
        <v>-0.31019530000000001</v>
      </c>
      <c r="W7137">
        <v>0.39996340000000002</v>
      </c>
      <c r="X7137">
        <v>0.86244310000000002</v>
      </c>
      <c r="Y7137">
        <v>-0.4754176</v>
      </c>
      <c r="Z7137">
        <v>-1.207546E-2</v>
      </c>
      <c r="AA7137">
        <v>0.87967739999999905</v>
      </c>
      <c r="AB7137">
        <v>29</v>
      </c>
      <c r="AC7137">
        <v>0.38459999999997702</v>
      </c>
      <c r="AD7137">
        <v>-8.8480999999999796E-2</v>
      </c>
      <c r="AE7137">
        <v>0.65265999999999702</v>
      </c>
      <c r="AF7137">
        <v>-0.41151513992424499</v>
      </c>
      <c r="AG7137">
        <v>-8.8480999999999796E-2</v>
      </c>
      <c r="AH7137">
        <v>0.62385449008915195</v>
      </c>
      <c r="AI7137">
        <v>96.7519457201427</v>
      </c>
      <c r="AJ7137">
        <v>123.410169877258</v>
      </c>
      <c r="AK7137">
        <v>0.75257426381206205</v>
      </c>
      <c r="AL7137">
        <v>66.424108871949798</v>
      </c>
      <c r="AM7137">
        <v>109.78215922829</v>
      </c>
      <c r="AN7137">
        <v>0.99999997310962896</v>
      </c>
    </row>
    <row r="7138" spans="1:40" x14ac:dyDescent="0.25">
      <c r="A7138" t="str">
        <f>"20190304165022396"</f>
        <v>20190304165022396</v>
      </c>
      <c r="B7138" t="str">
        <f>"1551689422392549"</f>
        <v>1551689422392549</v>
      </c>
      <c r="C7138" t="s">
        <v>40</v>
      </c>
      <c r="D7138">
        <v>4.3821490000000001</v>
      </c>
      <c r="E7138">
        <v>0.41983720000000002</v>
      </c>
      <c r="F7138" t="s">
        <v>41</v>
      </c>
      <c r="G7138">
        <v>-204.21129999999999</v>
      </c>
      <c r="H7138">
        <v>1.0227820000000001</v>
      </c>
      <c r="I7138">
        <v>-58.145600000000002</v>
      </c>
      <c r="J7138">
        <v>-204.64089999999999</v>
      </c>
      <c r="K7138">
        <v>1.1186720000000001</v>
      </c>
      <c r="L7138">
        <v>-58.87903</v>
      </c>
      <c r="M7138">
        <v>0.8957638</v>
      </c>
      <c r="N7138">
        <v>-1.3561459999999999E-2</v>
      </c>
      <c r="O7138">
        <v>0.44432349999999998</v>
      </c>
      <c r="P7138">
        <v>0.6434491</v>
      </c>
      <c r="Q7138">
        <v>0.39421499999999998</v>
      </c>
      <c r="R7138">
        <v>0.65617669999999995</v>
      </c>
      <c r="S7138">
        <v>1.977295</v>
      </c>
      <c r="T7138">
        <v>-0.3396227</v>
      </c>
      <c r="U7138">
        <v>2.8401179999999999</v>
      </c>
      <c r="V7138">
        <v>-0.30959969999999998</v>
      </c>
      <c r="W7138">
        <v>0.40011419999999998</v>
      </c>
      <c r="X7138">
        <v>0.862587199999999</v>
      </c>
      <c r="Y7138">
        <v>-0.48035050000000001</v>
      </c>
      <c r="Z7138">
        <v>-1.1925740000000001E-2</v>
      </c>
      <c r="AA7138">
        <v>0.87699559999999999</v>
      </c>
      <c r="AB7138">
        <v>29</v>
      </c>
      <c r="AC7138">
        <v>0.42959999999999299</v>
      </c>
      <c r="AD7138">
        <v>-9.5889999999999795E-2</v>
      </c>
      <c r="AE7138">
        <v>0.73343000000000502</v>
      </c>
      <c r="AF7138">
        <v>-0.46028352591807098</v>
      </c>
      <c r="AG7138">
        <v>-9.5889999999999795E-2</v>
      </c>
      <c r="AH7138">
        <v>0.70183347061958301</v>
      </c>
      <c r="AI7138">
        <v>96.517749641647001</v>
      </c>
      <c r="AJ7138">
        <v>123.25806904122101</v>
      </c>
      <c r="AK7138">
        <v>0.84476389412278996</v>
      </c>
      <c r="AL7138">
        <v>66.414682446384901</v>
      </c>
      <c r="AM7138">
        <v>109.744071794475</v>
      </c>
      <c r="AN7138">
        <v>1.0000000124427799</v>
      </c>
    </row>
    <row r="7139" spans="1:40" x14ac:dyDescent="0.25">
      <c r="A7139" t="str">
        <f>"20190304165022408"</f>
        <v>20190304165022408</v>
      </c>
      <c r="B7139" t="str">
        <f>"1551689422402309"</f>
        <v>1551689422402309</v>
      </c>
      <c r="C7139" t="s">
        <v>40</v>
      </c>
      <c r="D7139">
        <v>4.3562789999999998</v>
      </c>
      <c r="E7139">
        <v>0.41918359999999899</v>
      </c>
      <c r="F7139" t="s">
        <v>41</v>
      </c>
      <c r="G7139">
        <v>-204.02610000000001</v>
      </c>
      <c r="H7139">
        <v>1.0125820000000001</v>
      </c>
      <c r="I7139">
        <v>-57.9822699999999</v>
      </c>
      <c r="J7139">
        <v>-204.5121</v>
      </c>
      <c r="K7139">
        <v>1.1187009999999999</v>
      </c>
      <c r="L7139">
        <v>-58.809199999999997</v>
      </c>
      <c r="M7139">
        <v>0.89336729999999998</v>
      </c>
      <c r="N7139">
        <v>-1.346905E-2</v>
      </c>
      <c r="O7139">
        <v>0.44912530000000001</v>
      </c>
      <c r="P7139">
        <v>0.64041859999999995</v>
      </c>
      <c r="Q7139">
        <v>0.39416000000000001</v>
      </c>
      <c r="R7139">
        <v>0.65916759999999996</v>
      </c>
      <c r="S7139">
        <v>1.957336</v>
      </c>
      <c r="T7139">
        <v>-0.33779419999999999</v>
      </c>
      <c r="U7139">
        <v>2.8554689999999998</v>
      </c>
      <c r="V7139">
        <v>-0.30900949999999999</v>
      </c>
      <c r="W7139">
        <v>0.39996300000000001</v>
      </c>
      <c r="X7139">
        <v>0.86286890000000005</v>
      </c>
      <c r="Y7139">
        <v>-0.48203249999999997</v>
      </c>
      <c r="Z7139">
        <v>-1.2236810000000001E-2</v>
      </c>
      <c r="AA7139">
        <v>0.87606790000000001</v>
      </c>
      <c r="AB7139">
        <v>29</v>
      </c>
      <c r="AC7139">
        <v>0.48599999999999</v>
      </c>
      <c r="AD7139">
        <v>-0.106119</v>
      </c>
      <c r="AE7139">
        <v>0.82693000000000405</v>
      </c>
      <c r="AF7139">
        <v>-0.51423016046042702</v>
      </c>
      <c r="AG7139">
        <v>-0.106119</v>
      </c>
      <c r="AH7139">
        <v>0.79590260735580798</v>
      </c>
      <c r="AI7139">
        <v>96.389950783383995</v>
      </c>
      <c r="AJ7139">
        <v>122.866374737239</v>
      </c>
      <c r="AK7139">
        <v>0.95349612504924797</v>
      </c>
      <c r="AL7139">
        <v>66.424134687883594</v>
      </c>
      <c r="AM7139">
        <v>109.703396213209</v>
      </c>
      <c r="AN7139">
        <v>1.0000000055232301</v>
      </c>
    </row>
    <row r="7140" spans="1:40" x14ac:dyDescent="0.25">
      <c r="A7140" t="str">
        <f>"20190304165022419"</f>
        <v>20190304165022419</v>
      </c>
      <c r="B7140" t="str">
        <f>"1551689422413047"</f>
        <v>1551689422413047</v>
      </c>
      <c r="C7140" t="s">
        <v>40</v>
      </c>
      <c r="D7140">
        <v>4.3702519999999998</v>
      </c>
      <c r="E7140">
        <v>0.41857070000000002</v>
      </c>
      <c r="F7140" t="s">
        <v>41</v>
      </c>
      <c r="G7140">
        <v>-203.9864</v>
      </c>
      <c r="H7140">
        <v>1.027128</v>
      </c>
      <c r="I7140">
        <v>-58.031300000000002</v>
      </c>
      <c r="J7140">
        <v>-204.38069999999999</v>
      </c>
      <c r="K7140">
        <v>1.1187370000000001</v>
      </c>
      <c r="L7140">
        <v>-58.737340000000003</v>
      </c>
      <c r="M7140">
        <v>0.89088210000000001</v>
      </c>
      <c r="N7140">
        <v>-1.337561E-2</v>
      </c>
      <c r="O7140">
        <v>0.45403759999999999</v>
      </c>
      <c r="P7140">
        <v>0.63744809999999996</v>
      </c>
      <c r="Q7140">
        <v>0.39407409999999998</v>
      </c>
      <c r="R7140">
        <v>0.66209180000000001</v>
      </c>
      <c r="S7140">
        <v>1.939041</v>
      </c>
      <c r="T7140">
        <v>-0.33774189999999998</v>
      </c>
      <c r="U7140">
        <v>2.8692630000000001</v>
      </c>
      <c r="V7140">
        <v>-0.30821850000000001</v>
      </c>
      <c r="W7140">
        <v>0.39978380000000002</v>
      </c>
      <c r="X7140">
        <v>0.86323479999999997</v>
      </c>
      <c r="Y7140">
        <v>-0.48301500000000003</v>
      </c>
      <c r="Z7140">
        <v>-1.271398E-2</v>
      </c>
      <c r="AA7140">
        <v>0.87551979999999996</v>
      </c>
      <c r="AB7140">
        <v>29</v>
      </c>
      <c r="AC7140">
        <v>0.39429999999998699</v>
      </c>
      <c r="AD7140">
        <v>-9.1608999999999996E-2</v>
      </c>
      <c r="AE7140">
        <v>0.706040000000001</v>
      </c>
      <c r="AF7140">
        <v>-0.444309892055753</v>
      </c>
      <c r="AG7140">
        <v>-9.1608999999999996E-2</v>
      </c>
      <c r="AH7140">
        <v>0.66339047304868004</v>
      </c>
      <c r="AI7140">
        <v>96.545251699675006</v>
      </c>
      <c r="AJ7140">
        <v>123.81244380191499</v>
      </c>
      <c r="AK7140">
        <v>0.80367307332729898</v>
      </c>
      <c r="AL7140">
        <v>66.435337160417504</v>
      </c>
      <c r="AM7140">
        <v>109.649135740582</v>
      </c>
      <c r="AN7140">
        <v>1.00000002520786</v>
      </c>
    </row>
    <row r="7141" spans="1:40" x14ac:dyDescent="0.25">
      <c r="A7141" t="str">
        <f>"20190304165022429"</f>
        <v>20190304165022429</v>
      </c>
      <c r="B7141" t="str">
        <f>"1551689422422804"</f>
        <v>1551689422422804</v>
      </c>
      <c r="C7141" t="s">
        <v>40</v>
      </c>
      <c r="D7141">
        <v>4.3756849999999998</v>
      </c>
      <c r="E7141">
        <v>0.41809839999999998</v>
      </c>
      <c r="F7141" t="s">
        <v>41</v>
      </c>
      <c r="G7141">
        <v>-203.80109999999999</v>
      </c>
      <c r="H7141">
        <v>1.0166409999999999</v>
      </c>
      <c r="I7141">
        <v>-57.867890000000003</v>
      </c>
      <c r="J7141">
        <v>-204.2655</v>
      </c>
      <c r="K7141">
        <v>1.118763</v>
      </c>
      <c r="L7141">
        <v>-58.673400000000001</v>
      </c>
      <c r="M7141">
        <v>0.88866329999999905</v>
      </c>
      <c r="N7141">
        <v>-1.329547E-2</v>
      </c>
      <c r="O7141">
        <v>0.45836739999999998</v>
      </c>
      <c r="P7141">
        <v>0.63483369999999995</v>
      </c>
      <c r="Q7141">
        <v>0.39366899999999999</v>
      </c>
      <c r="R7141">
        <v>0.66483899999999996</v>
      </c>
      <c r="S7141">
        <v>1.9215390000000001</v>
      </c>
      <c r="T7141">
        <v>-0.33848869999999998</v>
      </c>
      <c r="U7141">
        <v>2.8825379999999998</v>
      </c>
      <c r="V7141">
        <v>-0.30765809999999999</v>
      </c>
      <c r="W7141">
        <v>0.39929720000000002</v>
      </c>
      <c r="X7141">
        <v>0.86365979999999998</v>
      </c>
      <c r="Y7141">
        <v>-0.48430679999999998</v>
      </c>
      <c r="Z7141">
        <v>-1.315909E-2</v>
      </c>
      <c r="AA7141">
        <v>0.87479929999999995</v>
      </c>
      <c r="AB7141">
        <v>29</v>
      </c>
      <c r="AC7141">
        <v>0.46440000000001103</v>
      </c>
      <c r="AD7141">
        <v>-0.102122</v>
      </c>
      <c r="AE7141">
        <v>0.80550999999999795</v>
      </c>
      <c r="AF7141">
        <v>-0.49701024641209601</v>
      </c>
      <c r="AG7141">
        <v>-0.102122</v>
      </c>
      <c r="AH7141">
        <v>0.77266303806890202</v>
      </c>
      <c r="AI7141">
        <v>96.342850229612395</v>
      </c>
      <c r="AJ7141">
        <v>122.75087489500901</v>
      </c>
      <c r="AK7141">
        <v>0.9243680318577</v>
      </c>
      <c r="AL7141">
        <v>66.465749724383798</v>
      </c>
      <c r="AM7141">
        <v>109.60722244666201</v>
      </c>
      <c r="AN7141">
        <v>1.00000000527974</v>
      </c>
    </row>
    <row r="7142" spans="1:40" x14ac:dyDescent="0.25">
      <c r="A7142" t="str">
        <f>"20190304165022441"</f>
        <v>20190304165022441</v>
      </c>
      <c r="B7142" t="str">
        <f>"1551689422432566"</f>
        <v>1551689422432566</v>
      </c>
      <c r="C7142" t="s">
        <v>40</v>
      </c>
      <c r="D7142">
        <v>4.3709980000000002</v>
      </c>
      <c r="E7142">
        <v>0.41778929999999997</v>
      </c>
      <c r="F7142" t="s">
        <v>41</v>
      </c>
      <c r="G7142">
        <v>-203.7645</v>
      </c>
      <c r="H7142">
        <v>1.029217</v>
      </c>
      <c r="I7142">
        <v>-57.912289999999999</v>
      </c>
      <c r="J7142">
        <v>-204.14400000000001</v>
      </c>
      <c r="K7142">
        <v>1.1187910000000001</v>
      </c>
      <c r="L7142">
        <v>-58.60519</v>
      </c>
      <c r="M7142">
        <v>0.88628280000000004</v>
      </c>
      <c r="N7142">
        <v>-1.3211540000000001E-2</v>
      </c>
      <c r="O7142">
        <v>0.46295599999999998</v>
      </c>
      <c r="P7142">
        <v>0.63177659999999902</v>
      </c>
      <c r="Q7142">
        <v>0.39341290000000001</v>
      </c>
      <c r="R7142">
        <v>0.66789560000000003</v>
      </c>
      <c r="S7142">
        <v>1.9055629999999999</v>
      </c>
      <c r="T7142">
        <v>-0.3405474</v>
      </c>
      <c r="U7142">
        <v>2.8944700000000001</v>
      </c>
      <c r="V7142">
        <v>-0.30732120000000002</v>
      </c>
      <c r="W7142">
        <v>0.39894750000000001</v>
      </c>
      <c r="X7142">
        <v>0.86394130000000002</v>
      </c>
      <c r="Y7142">
        <v>-0.48481999999999997</v>
      </c>
      <c r="Z7142">
        <v>-1.3771230000000001E-2</v>
      </c>
      <c r="AA7142">
        <v>0.87450550000000005</v>
      </c>
      <c r="AB7142">
        <v>29</v>
      </c>
      <c r="AC7142">
        <v>0.379500000000007</v>
      </c>
      <c r="AD7142">
        <v>-8.9574000000000001E-2</v>
      </c>
      <c r="AE7142">
        <v>0.69289999999999397</v>
      </c>
      <c r="AF7142">
        <v>-0.43288684583110698</v>
      </c>
      <c r="AG7142">
        <v>-8.9574000000000001E-2</v>
      </c>
      <c r="AH7142">
        <v>0.64884270335673</v>
      </c>
      <c r="AI7142">
        <v>96.551126279710701</v>
      </c>
      <c r="AJ7142">
        <v>123.709934126316</v>
      </c>
      <c r="AK7142">
        <v>0.78511870215202095</v>
      </c>
      <c r="AL7142">
        <v>66.487601874561904</v>
      </c>
      <c r="AM7142">
        <v>109.581489971894</v>
      </c>
      <c r="AN7142">
        <v>0.99999999878569001</v>
      </c>
    </row>
    <row r="7143" spans="1:40" x14ac:dyDescent="0.25">
      <c r="A7143" t="str">
        <f>"20190304165022451"</f>
        <v>20190304165022451</v>
      </c>
      <c r="B7143" t="str">
        <f>"1551689422442325"</f>
        <v>1551689422442325</v>
      </c>
      <c r="C7143" t="s">
        <v>40</v>
      </c>
      <c r="D7143">
        <v>4.3743889999999999</v>
      </c>
      <c r="E7143">
        <v>0.41762510000000003</v>
      </c>
      <c r="F7143" t="s">
        <v>41</v>
      </c>
      <c r="G7143">
        <v>-203.58369999999999</v>
      </c>
      <c r="H7143">
        <v>1.0174289999999999</v>
      </c>
      <c r="I7143">
        <v>-57.743409999999997</v>
      </c>
      <c r="J7143">
        <v>-204.02289999999999</v>
      </c>
      <c r="K7143">
        <v>1.1188180000000001</v>
      </c>
      <c r="L7143">
        <v>-58.536470000000001</v>
      </c>
      <c r="M7143">
        <v>0.88387009999999899</v>
      </c>
      <c r="N7143">
        <v>-1.312837E-2</v>
      </c>
      <c r="O7143">
        <v>0.46754829999999997</v>
      </c>
      <c r="P7143">
        <v>0.62900230000000001</v>
      </c>
      <c r="Q7143">
        <v>0.39289740000000001</v>
      </c>
      <c r="R7143">
        <v>0.6708113</v>
      </c>
      <c r="S7143">
        <v>1.889084</v>
      </c>
      <c r="T7143">
        <v>-0.34178190000000003</v>
      </c>
      <c r="U7143">
        <v>2.9061279999999998</v>
      </c>
      <c r="V7143">
        <v>-0.3067127</v>
      </c>
      <c r="W7143">
        <v>0.39834619999999998</v>
      </c>
      <c r="X7143">
        <v>0.86443479999999995</v>
      </c>
      <c r="Y7143">
        <v>-0.48538500000000001</v>
      </c>
      <c r="Z7143">
        <v>-1.4333510000000001E-2</v>
      </c>
      <c r="AA7143">
        <v>0.87418300000000004</v>
      </c>
      <c r="AB7143">
        <v>29</v>
      </c>
      <c r="AC7143">
        <v>0.43919999999999898</v>
      </c>
      <c r="AD7143">
        <v>-0.10138899999999899</v>
      </c>
      <c r="AE7143">
        <v>0.79305999999999699</v>
      </c>
      <c r="AF7143">
        <v>-0.48953431310477902</v>
      </c>
      <c r="AG7143">
        <v>-0.10138899999999899</v>
      </c>
      <c r="AH7143">
        <v>0.74967787021967602</v>
      </c>
      <c r="AI7143">
        <v>96.460588352696902</v>
      </c>
      <c r="AJ7143">
        <v>123.14425073265799</v>
      </c>
      <c r="AK7143">
        <v>0.90107740074040199</v>
      </c>
      <c r="AL7143">
        <v>66.525166651816306</v>
      </c>
      <c r="AM7143">
        <v>109.535346327049</v>
      </c>
      <c r="AN7143">
        <v>0.99999994942338299</v>
      </c>
    </row>
    <row r="7144" spans="1:40" x14ac:dyDescent="0.25">
      <c r="A7144" t="str">
        <f>"20190304165022462"</f>
        <v>20190304165022462</v>
      </c>
      <c r="B7144" t="str">
        <f>"1551689422452085"</f>
        <v>1551689422452085</v>
      </c>
      <c r="C7144" t="s">
        <v>40</v>
      </c>
      <c r="D7144">
        <v>4.3831069999999999</v>
      </c>
      <c r="E7144">
        <v>0.41742689999999999</v>
      </c>
      <c r="F7144" t="s">
        <v>41</v>
      </c>
      <c r="G7144">
        <v>-203.5437</v>
      </c>
      <c r="H7144">
        <v>1.0311140000000001</v>
      </c>
      <c r="I7144">
        <v>-57.790900000000001</v>
      </c>
      <c r="J7144">
        <v>-203.90430000000001</v>
      </c>
      <c r="K7144">
        <v>1.1188480000000001</v>
      </c>
      <c r="L7144">
        <v>-58.468139999999998</v>
      </c>
      <c r="M7144">
        <v>0.88146150000000001</v>
      </c>
      <c r="N7144">
        <v>-1.3046240000000001E-2</v>
      </c>
      <c r="O7144">
        <v>0.47207549999999998</v>
      </c>
      <c r="P7144">
        <v>0.62594659999999902</v>
      </c>
      <c r="Q7144">
        <v>0.3928083</v>
      </c>
      <c r="R7144">
        <v>0.67371539999999996</v>
      </c>
      <c r="S7144">
        <v>1.87381</v>
      </c>
      <c r="T7144">
        <v>-0.34298770000000001</v>
      </c>
      <c r="U7144">
        <v>2.9160460000000001</v>
      </c>
      <c r="V7144">
        <v>-0.30629030000000002</v>
      </c>
      <c r="W7144">
        <v>0.39816600000000002</v>
      </c>
      <c r="X7144">
        <v>0.86466769999999904</v>
      </c>
      <c r="Y7144">
        <v>-0.48550880000000002</v>
      </c>
      <c r="Z7144">
        <v>-1.492278E-2</v>
      </c>
      <c r="AA7144">
        <v>0.8741044</v>
      </c>
      <c r="AB7144">
        <v>29</v>
      </c>
      <c r="AC7144">
        <v>0.36060000000000503</v>
      </c>
      <c r="AD7144">
        <v>-8.7734000000000201E-2</v>
      </c>
      <c r="AE7144">
        <v>0.67724000000000395</v>
      </c>
      <c r="AF7144">
        <v>-0.42125882340757997</v>
      </c>
      <c r="AG7144">
        <v>-8.7734000000000201E-2</v>
      </c>
      <c r="AH7144">
        <v>0.62938829396663498</v>
      </c>
      <c r="AI7144">
        <v>96.607829627637798</v>
      </c>
      <c r="AJ7144">
        <v>123.794976035152</v>
      </c>
      <c r="AK7144">
        <v>0.76242106190540804</v>
      </c>
      <c r="AL7144">
        <v>66.536425534431999</v>
      </c>
      <c r="AM7144">
        <v>109.505617432497</v>
      </c>
      <c r="AN7144">
        <v>1.0000000714266799</v>
      </c>
    </row>
    <row r="7145" spans="1:40" x14ac:dyDescent="0.25">
      <c r="A7145" t="str">
        <f>"20190304165022475"</f>
        <v>20190304165022475</v>
      </c>
      <c r="B7145" t="str">
        <f>"1551689422462821"</f>
        <v>1551689422462821</v>
      </c>
      <c r="C7145" t="s">
        <v>40</v>
      </c>
      <c r="D7145">
        <v>4.3611690000000003</v>
      </c>
      <c r="E7145">
        <v>0.41728730000000003</v>
      </c>
      <c r="F7145" t="s">
        <v>41</v>
      </c>
      <c r="G7145">
        <v>-203.36510000000001</v>
      </c>
      <c r="H7145">
        <v>1.01925</v>
      </c>
      <c r="I7145">
        <v>-57.619199999999999</v>
      </c>
      <c r="J7145">
        <v>-203.7679</v>
      </c>
      <c r="K7145">
        <v>1.1188849999999999</v>
      </c>
      <c r="L7145">
        <v>-58.388979999999997</v>
      </c>
      <c r="M7145">
        <v>0.878648599999999</v>
      </c>
      <c r="N7145">
        <v>-1.2950929999999999E-2</v>
      </c>
      <c r="O7145">
        <v>0.47729349999999998</v>
      </c>
      <c r="P7145">
        <v>0.62204780000000004</v>
      </c>
      <c r="Q7145">
        <v>0.39297349999999998</v>
      </c>
      <c r="R7145">
        <v>0.67722119999999997</v>
      </c>
      <c r="S7145">
        <v>1.8586119999999999</v>
      </c>
      <c r="T7145">
        <v>-0.34330769999999999</v>
      </c>
      <c r="U7145">
        <v>2.9262700000000001</v>
      </c>
      <c r="V7145">
        <v>-0.30611939999999999</v>
      </c>
      <c r="W7145">
        <v>0.39821590000000001</v>
      </c>
      <c r="X7145">
        <v>0.86470519999999995</v>
      </c>
      <c r="Y7145">
        <v>-0.48496709999999899</v>
      </c>
      <c r="Z7145">
        <v>-1.557041E-2</v>
      </c>
      <c r="AA7145">
        <v>0.8743938</v>
      </c>
      <c r="AB7145">
        <v>29</v>
      </c>
      <c r="AC7145">
        <v>0.402799999999984</v>
      </c>
      <c r="AD7145">
        <v>-9.9635000000000098E-2</v>
      </c>
      <c r="AE7145">
        <v>0.76978000000000402</v>
      </c>
      <c r="AF7145">
        <v>-0.47786801300903597</v>
      </c>
      <c r="AG7145">
        <v>-9.9635000000000098E-2</v>
      </c>
      <c r="AH7145">
        <v>0.71202661974218395</v>
      </c>
      <c r="AI7145">
        <v>96.627466517042507</v>
      </c>
      <c r="AJ7145">
        <v>123.867056966657</v>
      </c>
      <c r="AK7145">
        <v>0.86328840968918696</v>
      </c>
      <c r="AL7145">
        <v>66.533307853871506</v>
      </c>
      <c r="AM7145">
        <v>109.494773232094</v>
      </c>
      <c r="AN7145">
        <v>1.0000000364881001</v>
      </c>
    </row>
    <row r="7146" spans="1:40" x14ac:dyDescent="0.25">
      <c r="A7146" t="str">
        <f>"20190304165022487"</f>
        <v>20190304165022487</v>
      </c>
      <c r="B7146" t="str">
        <f>"1551689422482341"</f>
        <v>1551689422482341</v>
      </c>
      <c r="C7146" t="s">
        <v>40</v>
      </c>
      <c r="D7146">
        <v>4.3723210000000003</v>
      </c>
      <c r="E7146">
        <v>0.4171919</v>
      </c>
      <c r="F7146" t="s">
        <v>41</v>
      </c>
      <c r="G7146">
        <v>-203.30930000000001</v>
      </c>
      <c r="H7146">
        <v>1.0334049999999999</v>
      </c>
      <c r="I7146">
        <v>-57.656910000000003</v>
      </c>
      <c r="J7146">
        <v>-203.64089999999999</v>
      </c>
      <c r="K7146">
        <v>1.1189209999999901</v>
      </c>
      <c r="L7146">
        <v>-58.313569999999999</v>
      </c>
      <c r="M7146">
        <v>0.87596169999999995</v>
      </c>
      <c r="N7146">
        <v>-1.28626E-2</v>
      </c>
      <c r="O7146">
        <v>0.48220930000000001</v>
      </c>
      <c r="P7146">
        <v>0.61844089999999996</v>
      </c>
      <c r="Q7146">
        <v>0.39324140000000002</v>
      </c>
      <c r="R7146">
        <v>0.68036169999999996</v>
      </c>
      <c r="S7146">
        <v>1.8406370000000001</v>
      </c>
      <c r="T7146">
        <v>-0.34308870000000002</v>
      </c>
      <c r="U7146">
        <v>2.9382630000000001</v>
      </c>
      <c r="V7146">
        <v>-0.3057822</v>
      </c>
      <c r="W7146">
        <v>0.39837990000000001</v>
      </c>
      <c r="X7146">
        <v>0.86474899999999999</v>
      </c>
      <c r="Y7146">
        <v>-0.48553400000000002</v>
      </c>
      <c r="Z7146">
        <v>-1.607859E-2</v>
      </c>
      <c r="AA7146">
        <v>0.87406989999999996</v>
      </c>
      <c r="AB7146">
        <v>29</v>
      </c>
      <c r="AC7146">
        <v>0.33159999999998002</v>
      </c>
      <c r="AD7146">
        <v>-8.5515999999999898E-2</v>
      </c>
      <c r="AE7146">
        <v>0.65666000000000202</v>
      </c>
      <c r="AF7146">
        <v>-0.40980482989887801</v>
      </c>
      <c r="AG7146">
        <v>-8.5515999999999898E-2</v>
      </c>
      <c r="AH7146">
        <v>0.59907108416191501</v>
      </c>
      <c r="AI7146">
        <v>96.719528778388096</v>
      </c>
      <c r="AJ7146">
        <v>124.374747689956</v>
      </c>
      <c r="AK7146">
        <v>0.73084823920112296</v>
      </c>
      <c r="AL7146">
        <v>66.523064434790697</v>
      </c>
      <c r="AM7146">
        <v>109.474003918072</v>
      </c>
      <c r="AN7146">
        <v>1.00000006578092</v>
      </c>
    </row>
    <row r="7147" spans="1:40" x14ac:dyDescent="0.25">
      <c r="A7147" t="str">
        <f>"20190304165022499"</f>
        <v>20190304165022499</v>
      </c>
      <c r="B7147" t="str">
        <f>"1551689422493077"</f>
        <v>1551689422493077</v>
      </c>
      <c r="C7147" t="s">
        <v>40</v>
      </c>
      <c r="D7147">
        <v>4.3788660000000004</v>
      </c>
      <c r="E7147">
        <v>0.417217</v>
      </c>
      <c r="F7147" t="s">
        <v>41</v>
      </c>
      <c r="G7147">
        <v>-203.13890000000001</v>
      </c>
      <c r="H7147">
        <v>1.024589</v>
      </c>
      <c r="I7147">
        <v>-57.502600000000001</v>
      </c>
      <c r="J7147">
        <v>-203.5052</v>
      </c>
      <c r="K7147">
        <v>1.11896</v>
      </c>
      <c r="L7147">
        <v>-58.232480000000002</v>
      </c>
      <c r="M7147">
        <v>0.87305119999999903</v>
      </c>
      <c r="N7147">
        <v>-1.27695E-2</v>
      </c>
      <c r="O7147">
        <v>0.48746129999999999</v>
      </c>
      <c r="P7147">
        <v>0.614313</v>
      </c>
      <c r="Q7147">
        <v>0.39376810000000001</v>
      </c>
      <c r="R7147">
        <v>0.68378809999999901</v>
      </c>
      <c r="S7147">
        <v>1.824646</v>
      </c>
      <c r="T7147">
        <v>-0.34299089999999999</v>
      </c>
      <c r="U7147">
        <v>2.9490660000000002</v>
      </c>
      <c r="V7147">
        <v>-0.30561559999999999</v>
      </c>
      <c r="W7147">
        <v>0.39879009999999998</v>
      </c>
      <c r="X7147">
        <v>0.86461880000000002</v>
      </c>
      <c r="Y7147">
        <v>-0.48516959999999998</v>
      </c>
      <c r="Z7147">
        <v>-1.6688729999999999E-2</v>
      </c>
      <c r="AA7147">
        <v>0.87426079999999995</v>
      </c>
      <c r="AB7147">
        <v>29</v>
      </c>
      <c r="AC7147">
        <v>0.36629999999999502</v>
      </c>
      <c r="AD7147">
        <v>-9.4370999999999899E-2</v>
      </c>
      <c r="AE7147">
        <v>0.72988000000000097</v>
      </c>
      <c r="AF7147">
        <v>-0.45265807920165302</v>
      </c>
      <c r="AG7147">
        <v>-9.4370999999999899E-2</v>
      </c>
      <c r="AH7147">
        <v>0.66673828404690205</v>
      </c>
      <c r="AI7147">
        <v>96.679107372322505</v>
      </c>
      <c r="AJ7147">
        <v>124.173139228548</v>
      </c>
      <c r="AK7147">
        <v>0.81138471868857498</v>
      </c>
      <c r="AL7147">
        <v>66.497437796129901</v>
      </c>
      <c r="AM7147">
        <v>109.466902360258</v>
      </c>
      <c r="AN7147">
        <v>1.0000000540673999</v>
      </c>
    </row>
    <row r="7148" spans="1:40" x14ac:dyDescent="0.25">
      <c r="A7148" t="str">
        <f>"20190304165022510"</f>
        <v>20190304165022510</v>
      </c>
      <c r="B7148" t="str">
        <f>"1551689422502837"</f>
        <v>1551689422502837</v>
      </c>
      <c r="C7148" t="s">
        <v>40</v>
      </c>
      <c r="D7148">
        <v>4.3698699999999997</v>
      </c>
      <c r="E7148">
        <v>0.41726439999999998</v>
      </c>
      <c r="F7148" t="s">
        <v>41</v>
      </c>
      <c r="G7148">
        <v>-202.95699999999999</v>
      </c>
      <c r="H7148">
        <v>1.015217</v>
      </c>
      <c r="I7148">
        <v>-57.334919999999997</v>
      </c>
      <c r="J7148">
        <v>-203.3741</v>
      </c>
      <c r="K7148">
        <v>1.119</v>
      </c>
      <c r="L7148">
        <v>-58.152859999999997</v>
      </c>
      <c r="M7148">
        <v>0.8701776</v>
      </c>
      <c r="N7148">
        <v>-1.268267E-2</v>
      </c>
      <c r="O7148">
        <v>0.49257489999999998</v>
      </c>
      <c r="P7148">
        <v>0.61038309999999996</v>
      </c>
      <c r="Q7148">
        <v>0.39411249999999998</v>
      </c>
      <c r="R7148">
        <v>0.68710090000000001</v>
      </c>
      <c r="S7148">
        <v>1.807831</v>
      </c>
      <c r="T7148">
        <v>-0.34212710000000002</v>
      </c>
      <c r="U7148">
        <v>2.9602050000000002</v>
      </c>
      <c r="V7148">
        <v>-0.30538029999999999</v>
      </c>
      <c r="W7148">
        <v>0.39902840000000001</v>
      </c>
      <c r="X7148">
        <v>0.86459200000000003</v>
      </c>
      <c r="Y7148">
        <v>-0.48514499999999999</v>
      </c>
      <c r="Z7148">
        <v>-1.7203059999999999E-2</v>
      </c>
      <c r="AA7148">
        <v>0.8742645</v>
      </c>
      <c r="AB7148">
        <v>29</v>
      </c>
      <c r="AC7148">
        <v>0.41710000000000402</v>
      </c>
      <c r="AD7148">
        <v>-0.103782999999999</v>
      </c>
      <c r="AE7148">
        <v>0.81794</v>
      </c>
      <c r="AF7148">
        <v>-0.49995296225918801</v>
      </c>
      <c r="AG7148">
        <v>-0.103782999999999</v>
      </c>
      <c r="AH7148">
        <v>0.756246918026654</v>
      </c>
      <c r="AI7148">
        <v>96.5307458063768</v>
      </c>
      <c r="AJ7148">
        <v>123.46859187155501</v>
      </c>
      <c r="AK7148">
        <v>0.912487411740869</v>
      </c>
      <c r="AL7148">
        <v>66.482548360646703</v>
      </c>
      <c r="AM7148">
        <v>109.45359801150801</v>
      </c>
      <c r="AN7148">
        <v>1.0000000590493201</v>
      </c>
    </row>
    <row r="7149" spans="1:40" x14ac:dyDescent="0.25">
      <c r="A7149" t="str">
        <f>"20190304165022522"</f>
        <v>20190304165022522</v>
      </c>
      <c r="B7149" t="str">
        <f>"1551689422512597"</f>
        <v>1551689422512597</v>
      </c>
      <c r="C7149" t="s">
        <v>40</v>
      </c>
      <c r="D7149">
        <v>4.397545</v>
      </c>
      <c r="E7149">
        <v>0.41734979999999999</v>
      </c>
      <c r="F7149" t="s">
        <v>41</v>
      </c>
      <c r="G7149">
        <v>-202.91149999999999</v>
      </c>
      <c r="H7149">
        <v>1.030789</v>
      </c>
      <c r="I7149">
        <v>-57.385869999999997</v>
      </c>
      <c r="J7149">
        <v>-203.25579999999999</v>
      </c>
      <c r="K7149">
        <v>1.119043</v>
      </c>
      <c r="L7149">
        <v>-58.080080000000002</v>
      </c>
      <c r="M7149">
        <v>0.86753939999999996</v>
      </c>
      <c r="N7149">
        <v>-1.260698E-2</v>
      </c>
      <c r="O7149">
        <v>0.4972087</v>
      </c>
      <c r="P7149">
        <v>0.607000599999999</v>
      </c>
      <c r="Q7149">
        <v>0.3941963</v>
      </c>
      <c r="R7149">
        <v>0.69004319999999997</v>
      </c>
      <c r="S7149">
        <v>1.791336</v>
      </c>
      <c r="T7149">
        <v>-0.34163900000000003</v>
      </c>
      <c r="U7149">
        <v>2.9707949999999999</v>
      </c>
      <c r="V7149">
        <v>-0.3050156</v>
      </c>
      <c r="W7149">
        <v>0.39902399999999999</v>
      </c>
      <c r="X7149">
        <v>0.86472269999999896</v>
      </c>
      <c r="Y7149">
        <v>-0.48543910000000001</v>
      </c>
      <c r="Z7149">
        <v>-1.7671289999999999E-2</v>
      </c>
      <c r="AA7149">
        <v>0.87409190000000003</v>
      </c>
      <c r="AB7149">
        <v>29</v>
      </c>
      <c r="AC7149">
        <v>0.34430000000000399</v>
      </c>
      <c r="AD7149">
        <v>-8.8253999999999999E-2</v>
      </c>
      <c r="AE7149">
        <v>0.69421000000000499</v>
      </c>
      <c r="AF7149">
        <v>-0.425579579564416</v>
      </c>
      <c r="AG7149">
        <v>-8.8253999999999999E-2</v>
      </c>
      <c r="AH7149">
        <v>0.63566691554870203</v>
      </c>
      <c r="AI7149">
        <v>96.581011715573396</v>
      </c>
      <c r="AJ7149">
        <v>123.802344554174</v>
      </c>
      <c r="AK7149">
        <v>0.770051410349612</v>
      </c>
      <c r="AL7149">
        <v>66.482822034609299</v>
      </c>
      <c r="AM7149">
        <v>109.42939046657099</v>
      </c>
      <c r="AN7149">
        <v>1.0000000083573199</v>
      </c>
    </row>
    <row r="7150" spans="1:40" x14ac:dyDescent="0.25">
      <c r="A7150" t="str">
        <f>"20190304165022532"</f>
        <v>20190304165022532</v>
      </c>
      <c r="B7150" t="str">
        <f>"1551689422522358"</f>
        <v>1551689422522358</v>
      </c>
      <c r="C7150" t="s">
        <v>40</v>
      </c>
      <c r="D7150">
        <v>4.3680729999999999</v>
      </c>
      <c r="E7150">
        <v>0.41745209999999999</v>
      </c>
      <c r="F7150" t="s">
        <v>41</v>
      </c>
      <c r="G7150">
        <v>-202.73660000000001</v>
      </c>
      <c r="H7150">
        <v>1.019137</v>
      </c>
      <c r="I7150">
        <v>-57.209960000000002</v>
      </c>
      <c r="J7150">
        <v>-203.14330000000001</v>
      </c>
      <c r="K7150">
        <v>1.119076</v>
      </c>
      <c r="L7150">
        <v>-58.010219999999997</v>
      </c>
      <c r="M7150">
        <v>0.86499359999999903</v>
      </c>
      <c r="N7150">
        <v>-1.2536250000000001E-2</v>
      </c>
      <c r="O7150">
        <v>0.50162629999999997</v>
      </c>
      <c r="P7150">
        <v>0.60363859999999903</v>
      </c>
      <c r="Q7150">
        <v>0.3940728</v>
      </c>
      <c r="R7150">
        <v>0.69305629999999996</v>
      </c>
      <c r="S7150">
        <v>1.77742</v>
      </c>
      <c r="T7150">
        <v>-0.34204329999999999</v>
      </c>
      <c r="U7150">
        <v>2.9794309999999999</v>
      </c>
      <c r="V7150">
        <v>-0.3049055</v>
      </c>
      <c r="W7150">
        <v>0.39881369999999999</v>
      </c>
      <c r="X7150">
        <v>0.86485859999999903</v>
      </c>
      <c r="Y7150">
        <v>-0.48512529999999998</v>
      </c>
      <c r="Z7150">
        <v>-1.8222209999999999E-2</v>
      </c>
      <c r="AA7150">
        <v>0.8742548</v>
      </c>
      <c r="AB7150">
        <v>29</v>
      </c>
      <c r="AC7150">
        <v>0.40670000000000001</v>
      </c>
      <c r="AD7150">
        <v>-9.9938999999999695E-2</v>
      </c>
      <c r="AE7150">
        <v>0.80026000000000097</v>
      </c>
      <c r="AF7150">
        <v>-0.48226920296193798</v>
      </c>
      <c r="AG7150">
        <v>-9.9938999999999695E-2</v>
      </c>
      <c r="AH7150">
        <v>0.74406122448740197</v>
      </c>
      <c r="AI7150">
        <v>96.4307133756881</v>
      </c>
      <c r="AJ7150">
        <v>122.949610856782</v>
      </c>
      <c r="AK7150">
        <v>0.89229955375548398</v>
      </c>
      <c r="AL7150">
        <v>66.495963549047502</v>
      </c>
      <c r="AM7150">
        <v>109.420078728977</v>
      </c>
      <c r="AN7150">
        <v>1.0000000646159399</v>
      </c>
    </row>
    <row r="7151" spans="1:40" x14ac:dyDescent="0.25">
      <c r="A7151" t="str">
        <f>"20190304165022542"</f>
        <v>20190304165022542</v>
      </c>
      <c r="B7151" t="str">
        <f>"1551689422532117"</f>
        <v>1551689422532117</v>
      </c>
      <c r="C7151" t="s">
        <v>40</v>
      </c>
      <c r="D7151">
        <v>4.3592940000000002</v>
      </c>
      <c r="E7151">
        <v>0.41725469999999998</v>
      </c>
      <c r="F7151" t="s">
        <v>41</v>
      </c>
      <c r="G7151">
        <v>-202.6969</v>
      </c>
      <c r="H7151">
        <v>1.032208</v>
      </c>
      <c r="I7151">
        <v>-57.253599999999999</v>
      </c>
      <c r="J7151">
        <v>-203.03280000000001</v>
      </c>
      <c r="K7151">
        <v>1.119105</v>
      </c>
      <c r="L7151">
        <v>-57.940489999999997</v>
      </c>
      <c r="M7151">
        <v>0.8624444</v>
      </c>
      <c r="N7151">
        <v>-1.247001E-2</v>
      </c>
      <c r="O7151">
        <v>0.50599839999999996</v>
      </c>
      <c r="P7151">
        <v>0.6004621</v>
      </c>
      <c r="Q7151">
        <v>0.39407310000000001</v>
      </c>
      <c r="R7151">
        <v>0.69581009999999999</v>
      </c>
      <c r="S7151">
        <v>1.762772</v>
      </c>
      <c r="T7151">
        <v>-0.34304079999999998</v>
      </c>
      <c r="U7151">
        <v>2.9883730000000002</v>
      </c>
      <c r="V7151">
        <v>-0.30451739999999999</v>
      </c>
      <c r="W7151">
        <v>0.39873890000000001</v>
      </c>
      <c r="X7151">
        <v>0.86502969999999901</v>
      </c>
      <c r="Y7151">
        <v>-0.48503879999999999</v>
      </c>
      <c r="Z7151">
        <v>-1.8802559999999999E-2</v>
      </c>
      <c r="AA7151">
        <v>0.87429049999999997</v>
      </c>
      <c r="AB7151">
        <v>29</v>
      </c>
      <c r="AC7151">
        <v>0.33590000000000902</v>
      </c>
      <c r="AD7151">
        <v>-8.6897000000000002E-2</v>
      </c>
      <c r="AE7151">
        <v>0.686890000000005</v>
      </c>
      <c r="AF7151">
        <v>-0.41708544529216102</v>
      </c>
      <c r="AG7151">
        <v>-8.6897000000000002E-2</v>
      </c>
      <c r="AH7151">
        <v>0.62918348621777098</v>
      </c>
      <c r="AI7151">
        <v>96.566690328429601</v>
      </c>
      <c r="AJ7151">
        <v>123.540379705186</v>
      </c>
      <c r="AK7151">
        <v>0.759857365965948</v>
      </c>
      <c r="AL7151">
        <v>66.500634571403296</v>
      </c>
      <c r="AM7151">
        <v>109.39365649440001</v>
      </c>
      <c r="AN7151">
        <v>0.99999996957902904</v>
      </c>
    </row>
    <row r="7152" spans="1:40" x14ac:dyDescent="0.25">
      <c r="A7152" t="str">
        <f>"20190304165022552"</f>
        <v>20190304165022552</v>
      </c>
      <c r="B7152" t="str">
        <f>"1551689422542853"</f>
        <v>1551689422542853</v>
      </c>
      <c r="C7152" t="s">
        <v>40</v>
      </c>
      <c r="D7152">
        <v>4.3577490000000001</v>
      </c>
      <c r="E7152">
        <v>0.41708410000000001</v>
      </c>
      <c r="F7152" t="s">
        <v>41</v>
      </c>
      <c r="G7152">
        <v>-202.52670000000001</v>
      </c>
      <c r="H7152">
        <v>1.0203949999999999</v>
      </c>
      <c r="I7152">
        <v>-57.072270000000003</v>
      </c>
      <c r="J7152">
        <v>-202.92060000000001</v>
      </c>
      <c r="K7152">
        <v>1.1191310000000001</v>
      </c>
      <c r="L7152">
        <v>-57.869259999999997</v>
      </c>
      <c r="M7152">
        <v>0.85982719999999901</v>
      </c>
      <c r="N7152">
        <v>-1.240377E-2</v>
      </c>
      <c r="O7152">
        <v>0.51043450000000001</v>
      </c>
      <c r="P7152">
        <v>0.59721299999999999</v>
      </c>
      <c r="Q7152">
        <v>0.39368350000000002</v>
      </c>
      <c r="R7152">
        <v>0.69882040000000001</v>
      </c>
      <c r="S7152">
        <v>1.747009</v>
      </c>
      <c r="T7152">
        <v>-0.34074589999999999</v>
      </c>
      <c r="U7152">
        <v>2.996918</v>
      </c>
      <c r="V7152">
        <v>-0.3043072</v>
      </c>
      <c r="W7152">
        <v>0.39827180000000001</v>
      </c>
      <c r="X7152">
        <v>0.86531880000000005</v>
      </c>
      <c r="Y7152">
        <v>-0.48507260000000002</v>
      </c>
      <c r="Z7152">
        <v>-1.9122150000000001E-2</v>
      </c>
      <c r="AA7152">
        <v>0.87426479999999995</v>
      </c>
      <c r="AB7152">
        <v>29</v>
      </c>
      <c r="AC7152">
        <v>0.39390000000000203</v>
      </c>
      <c r="AD7152">
        <v>-9.8735999999999699E-2</v>
      </c>
      <c r="AE7152">
        <v>0.79699000000000098</v>
      </c>
      <c r="AF7152">
        <v>-0.47835042482100698</v>
      </c>
      <c r="AG7152">
        <v>-9.8735999999999699E-2</v>
      </c>
      <c r="AH7152">
        <v>0.73647026470258703</v>
      </c>
      <c r="AI7152">
        <v>96.414938523529401</v>
      </c>
      <c r="AJ7152">
        <v>123.004434479054</v>
      </c>
      <c r="AK7152">
        <v>0.88371736285621105</v>
      </c>
      <c r="AL7152">
        <v>66.529814338285902</v>
      </c>
      <c r="AM7152">
        <v>109.375275299717</v>
      </c>
      <c r="AN7152">
        <v>0.99999996214025899</v>
      </c>
    </row>
    <row r="7153" spans="1:40" x14ac:dyDescent="0.25">
      <c r="A7153" t="str">
        <f>"20190304165022564"</f>
        <v>20190304165022564</v>
      </c>
      <c r="B7153" t="str">
        <f>"1551689422552614"</f>
        <v>1551689422552614</v>
      </c>
      <c r="C7153" t="s">
        <v>40</v>
      </c>
      <c r="D7153">
        <v>4.4083189999999997</v>
      </c>
      <c r="E7153">
        <v>0.41708980000000001</v>
      </c>
      <c r="F7153" t="s">
        <v>41</v>
      </c>
      <c r="G7153">
        <v>-202.4863</v>
      </c>
      <c r="H7153">
        <v>1.0337719999999999</v>
      </c>
      <c r="I7153">
        <v>-57.114370000000001</v>
      </c>
      <c r="J7153">
        <v>-202.80619999999999</v>
      </c>
      <c r="K7153">
        <v>1.119159</v>
      </c>
      <c r="L7153">
        <v>-57.795349999999999</v>
      </c>
      <c r="M7153">
        <v>0.85710739999999996</v>
      </c>
      <c r="N7153">
        <v>-1.23408999999999E-2</v>
      </c>
      <c r="O7153">
        <v>0.51498999999999995</v>
      </c>
      <c r="P7153">
        <v>0.59400220000000004</v>
      </c>
      <c r="Q7153">
        <v>0.3932002</v>
      </c>
      <c r="R7153">
        <v>0.70182259999999996</v>
      </c>
      <c r="S7153">
        <v>1.729813</v>
      </c>
      <c r="T7153">
        <v>-0.33993699999999999</v>
      </c>
      <c r="U7153">
        <v>3.0061339999999999</v>
      </c>
      <c r="V7153">
        <v>-0.30393710000000002</v>
      </c>
      <c r="W7153">
        <v>0.39771980000000001</v>
      </c>
      <c r="X7153">
        <v>0.86570270000000005</v>
      </c>
      <c r="Y7153">
        <v>-0.48536509999999999</v>
      </c>
      <c r="Z7153">
        <v>-1.9556299999999999E-2</v>
      </c>
      <c r="AA7153">
        <v>0.8740928</v>
      </c>
      <c r="AB7153">
        <v>29</v>
      </c>
      <c r="AC7153">
        <v>0.31989999999998903</v>
      </c>
      <c r="AD7153">
        <v>-8.5387000000000102E-2</v>
      </c>
      <c r="AE7153">
        <v>0.68098000000000503</v>
      </c>
      <c r="AF7153">
        <v>-0.41363202915751102</v>
      </c>
      <c r="AG7153">
        <v>-8.5387000000000102E-2</v>
      </c>
      <c r="AH7153">
        <v>0.61698735350174105</v>
      </c>
      <c r="AI7153">
        <v>96.557455267421602</v>
      </c>
      <c r="AJ7153">
        <v>123.838137550258</v>
      </c>
      <c r="AK7153">
        <v>0.74770033415469495</v>
      </c>
      <c r="AL7153">
        <v>66.564290220902507</v>
      </c>
      <c r="AM7153">
        <v>109.345519178738</v>
      </c>
      <c r="AN7153">
        <v>0.99999998242786903</v>
      </c>
    </row>
    <row r="7154" spans="1:40" x14ac:dyDescent="0.25">
      <c r="A7154" t="str">
        <f>"20190304165022575"</f>
        <v>20190304165022575</v>
      </c>
      <c r="B7154" t="str">
        <f>"1551689422562373"</f>
        <v>1551689422562373</v>
      </c>
      <c r="C7154" t="s">
        <v>40</v>
      </c>
      <c r="D7154">
        <v>4.4112960000000001</v>
      </c>
      <c r="E7154">
        <v>0.41720109999999999</v>
      </c>
      <c r="F7154" t="s">
        <v>41</v>
      </c>
      <c r="G7154">
        <v>-202.31649999999999</v>
      </c>
      <c r="H7154">
        <v>1.0220290000000001</v>
      </c>
      <c r="I7154">
        <v>-56.934040000000003</v>
      </c>
      <c r="J7154">
        <v>-202.69139999999999</v>
      </c>
      <c r="K7154">
        <v>1.1191869999999999</v>
      </c>
      <c r="L7154">
        <v>-57.720829999999999</v>
      </c>
      <c r="M7154">
        <v>0.85434469999999996</v>
      </c>
      <c r="N7154">
        <v>-1.2278539999999999E-2</v>
      </c>
      <c r="O7154">
        <v>0.51956159999999996</v>
      </c>
      <c r="P7154">
        <v>0.59077570000000001</v>
      </c>
      <c r="Q7154">
        <v>0.39260390000000001</v>
      </c>
      <c r="R7154">
        <v>0.70487319999999998</v>
      </c>
      <c r="S7154">
        <v>1.7137450000000001</v>
      </c>
      <c r="T7154">
        <v>-0.33993119999999999</v>
      </c>
      <c r="U7154">
        <v>3.0145569999999999</v>
      </c>
      <c r="V7154">
        <v>-0.3035873</v>
      </c>
      <c r="W7154">
        <v>0.39705509999999999</v>
      </c>
      <c r="X7154">
        <v>0.86613050000000003</v>
      </c>
      <c r="Y7154">
        <v>-0.48528130000000003</v>
      </c>
      <c r="Z7154">
        <v>-2.0081390000000001E-2</v>
      </c>
      <c r="AA7154">
        <v>0.87412749999999995</v>
      </c>
      <c r="AB7154">
        <v>29</v>
      </c>
      <c r="AC7154">
        <v>0.37489999999999601</v>
      </c>
      <c r="AD7154">
        <v>-9.7157999999999994E-2</v>
      </c>
      <c r="AE7154">
        <v>0.78679000000000299</v>
      </c>
      <c r="AF7154">
        <v>-0.47158172758563299</v>
      </c>
      <c r="AG7154">
        <v>-9.7157999999999994E-2</v>
      </c>
      <c r="AH7154">
        <v>0.72018471442542398</v>
      </c>
      <c r="AI7154">
        <v>96.439348634898195</v>
      </c>
      <c r="AJ7154">
        <v>123.21704517393501</v>
      </c>
      <c r="AK7154">
        <v>0.86631115983154705</v>
      </c>
      <c r="AL7154">
        <v>66.605793376479198</v>
      </c>
      <c r="AM7154">
        <v>109.31606803095499</v>
      </c>
      <c r="AN7154">
        <v>1.0000000220937699</v>
      </c>
    </row>
    <row r="7155" spans="1:40" x14ac:dyDescent="0.25">
      <c r="A7155" t="str">
        <f>"20190304165022599"</f>
        <v>20190304165022599</v>
      </c>
      <c r="B7155" t="str">
        <f>"1551689422592453"</f>
        <v>1551689422592453</v>
      </c>
      <c r="C7155" t="s">
        <v>40</v>
      </c>
      <c r="D7155">
        <v>4.346203</v>
      </c>
      <c r="E7155">
        <v>0.41697990000000001</v>
      </c>
      <c r="F7155" t="s">
        <v>41</v>
      </c>
      <c r="G7155">
        <v>-202.268</v>
      </c>
      <c r="H7155">
        <v>1.0342389999999999</v>
      </c>
      <c r="I7155">
        <v>-56.967489999999998</v>
      </c>
      <c r="J7155">
        <v>-202.4342</v>
      </c>
      <c r="K7155">
        <v>1.119251</v>
      </c>
      <c r="L7155">
        <v>-57.549770000000002</v>
      </c>
      <c r="M7155">
        <v>0.84798569999999995</v>
      </c>
      <c r="N7155">
        <v>-1.214848E-2</v>
      </c>
      <c r="O7155">
        <v>0.52987989999999996</v>
      </c>
      <c r="P7155">
        <v>0.58235599999999998</v>
      </c>
      <c r="Q7155">
        <v>0.39240249999999999</v>
      </c>
      <c r="R7155">
        <v>0.71195629999999999</v>
      </c>
      <c r="S7155">
        <v>1.6982569999999999</v>
      </c>
      <c r="T7155">
        <v>-0.34080559999999899</v>
      </c>
      <c r="U7155">
        <v>3.0225520000000001</v>
      </c>
      <c r="V7155">
        <v>-0.30354300000000001</v>
      </c>
      <c r="W7155">
        <v>0.39668880000000001</v>
      </c>
      <c r="X7155">
        <v>0.86631380000000002</v>
      </c>
      <c r="Y7155">
        <v>-0.47912549999999998</v>
      </c>
      <c r="Z7155">
        <v>-2.1674680000000002E-2</v>
      </c>
      <c r="AA7155">
        <v>0.87747869999999994</v>
      </c>
      <c r="AB7155">
        <v>29</v>
      </c>
      <c r="AC7155">
        <v>0.16620000000000301</v>
      </c>
      <c r="AD7155">
        <v>-8.5012000000000004E-2</v>
      </c>
      <c r="AE7155">
        <v>0.58227999999999003</v>
      </c>
      <c r="AF7155">
        <v>-0.39788673885609899</v>
      </c>
      <c r="AG7155">
        <v>-8.5012000000000004E-2</v>
      </c>
      <c r="AH7155">
        <v>0.44081841140774303</v>
      </c>
      <c r="AI7155">
        <v>98.147033051534706</v>
      </c>
      <c r="AJ7155">
        <v>132.06969891624399</v>
      </c>
      <c r="AK7155">
        <v>0.599884796388096</v>
      </c>
      <c r="AL7155">
        <v>66.628657574473493</v>
      </c>
      <c r="AM7155">
        <v>109.309674164843</v>
      </c>
      <c r="AN7155">
        <v>0.99999997848243904</v>
      </c>
    </row>
    <row r="7156" spans="1:40" x14ac:dyDescent="0.25">
      <c r="A7156" t="str">
        <f>"20190304165022610"</f>
        <v>20190304165022610</v>
      </c>
      <c r="B7156" t="str">
        <f>"1551689422602213"</f>
        <v>1551689422602213</v>
      </c>
      <c r="C7156" t="s">
        <v>40</v>
      </c>
      <c r="D7156">
        <v>4.3432110000000002</v>
      </c>
      <c r="E7156">
        <v>0.41697640000000002</v>
      </c>
      <c r="F7156" t="s">
        <v>41</v>
      </c>
      <c r="G7156">
        <v>-201.92830000000001</v>
      </c>
      <c r="H7156">
        <v>1.0163719999999901</v>
      </c>
      <c r="I7156">
        <v>-56.621749999999999</v>
      </c>
      <c r="J7156">
        <v>-202.29640000000001</v>
      </c>
      <c r="K7156">
        <v>1.1192839999999999</v>
      </c>
      <c r="L7156">
        <v>-57.456330000000001</v>
      </c>
      <c r="M7156">
        <v>0.84449379999999996</v>
      </c>
      <c r="N7156">
        <v>-1.208279E-2</v>
      </c>
      <c r="O7156">
        <v>0.53542909999999999</v>
      </c>
      <c r="P7156">
        <v>0.57774329999999996</v>
      </c>
      <c r="Q7156">
        <v>0.39186660000000001</v>
      </c>
      <c r="R7156">
        <v>0.71599809999999997</v>
      </c>
      <c r="S7156">
        <v>1.6586609999999999</v>
      </c>
      <c r="T7156">
        <v>-0.33732579999999901</v>
      </c>
      <c r="U7156">
        <v>3.0429379999999999</v>
      </c>
      <c r="V7156">
        <v>-0.3037318</v>
      </c>
      <c r="W7156">
        <v>0.39606710000000001</v>
      </c>
      <c r="X7156">
        <v>0.86653210000000003</v>
      </c>
      <c r="Y7156">
        <v>-0.4846316</v>
      </c>
      <c r="Z7156">
        <v>-2.168316E-2</v>
      </c>
      <c r="AA7156">
        <v>0.87444959999999905</v>
      </c>
      <c r="AB7156">
        <v>29</v>
      </c>
      <c r="AC7156">
        <v>0.36809999999999798</v>
      </c>
      <c r="AD7156">
        <v>-0.102912</v>
      </c>
      <c r="AE7156">
        <v>0.83458000000000199</v>
      </c>
      <c r="AF7156">
        <v>-0.50136134875107496</v>
      </c>
      <c r="AG7156">
        <v>-0.102912</v>
      </c>
      <c r="AH7156">
        <v>0.74824735567217604</v>
      </c>
      <c r="AI7156">
        <v>96.518315300806606</v>
      </c>
      <c r="AJ7156">
        <v>123.823967691028</v>
      </c>
      <c r="AK7156">
        <v>0.90654739922185101</v>
      </c>
      <c r="AL7156">
        <v>66.667457437304805</v>
      </c>
      <c r="AM7156">
        <v>109.316287984187</v>
      </c>
      <c r="AN7156">
        <v>1.00000001718202</v>
      </c>
    </row>
    <row r="7157" spans="1:40" x14ac:dyDescent="0.25">
      <c r="A7157" t="str">
        <f>"20190304165022622"</f>
        <v>20190304165022622</v>
      </c>
      <c r="B7157" t="str">
        <f>"1551689422612949"</f>
        <v>1551689422612949</v>
      </c>
      <c r="C7157" t="s">
        <v>40</v>
      </c>
      <c r="D7157">
        <v>4.3577459999999997</v>
      </c>
      <c r="E7157">
        <v>0.41702630000000002</v>
      </c>
      <c r="F7157" t="s">
        <v>41</v>
      </c>
      <c r="G7157">
        <v>-201.8768</v>
      </c>
      <c r="H7157">
        <v>1.0327</v>
      </c>
      <c r="I7157">
        <v>-56.673949999999998</v>
      </c>
      <c r="J7157">
        <v>-202.18360000000001</v>
      </c>
      <c r="K7157">
        <v>1.1193070000000001</v>
      </c>
      <c r="L7157">
        <v>-57.378689999999999</v>
      </c>
      <c r="M7157">
        <v>0.84158849999999996</v>
      </c>
      <c r="N7157">
        <v>-1.203216E-2</v>
      </c>
      <c r="O7157">
        <v>0.53998519999999905</v>
      </c>
      <c r="P7157">
        <v>0.57378319999999905</v>
      </c>
      <c r="Q7157">
        <v>0.39230700000000002</v>
      </c>
      <c r="R7157">
        <v>0.7189354</v>
      </c>
      <c r="S7157">
        <v>1.6375120000000001</v>
      </c>
      <c r="T7157">
        <v>-0.33791729999999998</v>
      </c>
      <c r="U7157">
        <v>3.0535580000000002</v>
      </c>
      <c r="V7157">
        <v>-0.30366579999999999</v>
      </c>
      <c r="W7157">
        <v>0.39644279999999998</v>
      </c>
      <c r="X7157">
        <v>0.86638340000000003</v>
      </c>
      <c r="Y7157">
        <v>-0.48588229999999999</v>
      </c>
      <c r="Z7157">
        <v>-2.2181329999999999E-2</v>
      </c>
      <c r="AA7157">
        <v>0.87374280000000004</v>
      </c>
      <c r="AB7157">
        <v>29</v>
      </c>
      <c r="AC7157">
        <v>0.30680000000000901</v>
      </c>
      <c r="AD7157">
        <v>-8.6607000000000101E-2</v>
      </c>
      <c r="AE7157">
        <v>0.70474000000000103</v>
      </c>
      <c r="AF7157">
        <v>-0.42210539410230302</v>
      </c>
      <c r="AG7157">
        <v>-8.6607000000000101E-2</v>
      </c>
      <c r="AH7157">
        <v>0.63078612389099598</v>
      </c>
      <c r="AI7157">
        <v>96.509772797479201</v>
      </c>
      <c r="AJ7157">
        <v>123.78939158410201</v>
      </c>
      <c r="AK7157">
        <v>0.76391417729525601</v>
      </c>
      <c r="AL7157">
        <v>66.644011866426794</v>
      </c>
      <c r="AM7157">
        <v>109.315470587718</v>
      </c>
      <c r="AN7157">
        <v>1.0000000037785199</v>
      </c>
    </row>
    <row r="7158" spans="1:40" x14ac:dyDescent="0.25">
      <c r="A7158" t="str">
        <f>"20190304165022633"</f>
        <v>20190304165022633</v>
      </c>
      <c r="B7158" t="str">
        <f>"1551689422622709"</f>
        <v>1551689422622709</v>
      </c>
      <c r="C7158" t="s">
        <v>40</v>
      </c>
      <c r="D7158">
        <v>4.3499030000000003</v>
      </c>
      <c r="E7158">
        <v>0.41712690000000002</v>
      </c>
      <c r="F7158" t="s">
        <v>41</v>
      </c>
      <c r="G7158">
        <v>-201.7115</v>
      </c>
      <c r="H7158">
        <v>1.0217000000000001</v>
      </c>
      <c r="I7158">
        <v>-56.487400000000001</v>
      </c>
      <c r="J7158">
        <v>-202.06200000000001</v>
      </c>
      <c r="K7158">
        <v>1.1193299999999999</v>
      </c>
      <c r="L7158">
        <v>-57.294370000000001</v>
      </c>
      <c r="M7158">
        <v>0.83841679999999996</v>
      </c>
      <c r="N7158">
        <v>-1.197898E-2</v>
      </c>
      <c r="O7158">
        <v>0.54489799999999999</v>
      </c>
      <c r="P7158">
        <v>0.5692931</v>
      </c>
      <c r="Q7158">
        <v>0.39265539999999999</v>
      </c>
      <c r="R7158">
        <v>0.72230669999999897</v>
      </c>
      <c r="S7158">
        <v>1.6216429999999999</v>
      </c>
      <c r="T7158">
        <v>-0.33527370000000001</v>
      </c>
      <c r="U7158">
        <v>3.0615230000000002</v>
      </c>
      <c r="V7158">
        <v>-0.30387429999999999</v>
      </c>
      <c r="W7158">
        <v>0.39671719999999999</v>
      </c>
      <c r="X7158">
        <v>0.86618470000000003</v>
      </c>
      <c r="Y7158">
        <v>-0.48527150000000002</v>
      </c>
      <c r="Z7158">
        <v>-2.252005E-2</v>
      </c>
      <c r="AA7158">
        <v>0.87407349999999995</v>
      </c>
      <c r="AB7158">
        <v>29</v>
      </c>
      <c r="AC7158">
        <v>0.35050000000001003</v>
      </c>
      <c r="AD7158">
        <v>-9.76299999999998E-2</v>
      </c>
      <c r="AE7158">
        <v>0.80696999999999197</v>
      </c>
      <c r="AF7158">
        <v>-0.479718065811648</v>
      </c>
      <c r="AG7158">
        <v>-9.76299999999998E-2</v>
      </c>
      <c r="AH7158">
        <v>0.72471000835917998</v>
      </c>
      <c r="AI7158">
        <v>96.409431549790597</v>
      </c>
      <c r="AJ7158">
        <v>123.50236253285</v>
      </c>
      <c r="AK7158">
        <v>0.87456596994282398</v>
      </c>
      <c r="AL7158">
        <v>66.626886217092505</v>
      </c>
      <c r="AM7158">
        <v>109.331854473573</v>
      </c>
      <c r="AN7158">
        <v>1.0000000307451999</v>
      </c>
    </row>
    <row r="7159" spans="1:40" x14ac:dyDescent="0.25">
      <c r="A7159" t="str">
        <f>"20190304165022646"</f>
        <v>20190304165022646</v>
      </c>
      <c r="B7159" t="str">
        <f>"1551689422642229"</f>
        <v>1551689422642229</v>
      </c>
      <c r="C7159" t="s">
        <v>40</v>
      </c>
      <c r="D7159">
        <v>4.3621160000000003</v>
      </c>
      <c r="E7159">
        <v>0.41724</v>
      </c>
      <c r="F7159" t="s">
        <v>41</v>
      </c>
      <c r="G7159">
        <v>-201.6643</v>
      </c>
      <c r="H7159">
        <v>1.036718</v>
      </c>
      <c r="I7159">
        <v>-56.53293</v>
      </c>
      <c r="J7159">
        <v>-201.94409999999999</v>
      </c>
      <c r="K7159">
        <v>1.1193500000000001</v>
      </c>
      <c r="L7159">
        <v>-57.211089999999999</v>
      </c>
      <c r="M7159">
        <v>0.83528999999999998</v>
      </c>
      <c r="N7159">
        <v>-1.193202E-2</v>
      </c>
      <c r="O7159">
        <v>0.54968009999999901</v>
      </c>
      <c r="P7159">
        <v>0.56493300000000002</v>
      </c>
      <c r="Q7159">
        <v>0.39315670000000003</v>
      </c>
      <c r="R7159">
        <v>0.72545059999999995</v>
      </c>
      <c r="S7159">
        <v>1.6035459999999999</v>
      </c>
      <c r="T7159">
        <v>-0.33314500000000002</v>
      </c>
      <c r="U7159">
        <v>3.0706180000000001</v>
      </c>
      <c r="V7159">
        <v>-0.3039499</v>
      </c>
      <c r="W7159">
        <v>0.39715529999999999</v>
      </c>
      <c r="X7159">
        <v>0.86595730000000004</v>
      </c>
      <c r="Y7159">
        <v>-0.48540339999999998</v>
      </c>
      <c r="Z7159">
        <v>-2.2840679999999999E-2</v>
      </c>
      <c r="AA7159">
        <v>0.87399179999999999</v>
      </c>
      <c r="AB7159">
        <v>29</v>
      </c>
      <c r="AC7159">
        <v>0.279799999999994</v>
      </c>
      <c r="AD7159">
        <v>-8.2631999999999997E-2</v>
      </c>
      <c r="AE7159">
        <v>0.67815999999999799</v>
      </c>
      <c r="AF7159">
        <v>-0.40751893419780899</v>
      </c>
      <c r="AG7159">
        <v>-8.2631999999999997E-2</v>
      </c>
      <c r="AH7159">
        <v>0.59892971660277505</v>
      </c>
      <c r="AI7159">
        <v>96.507373601717006</v>
      </c>
      <c r="AJ7159">
        <v>124.23183880235899</v>
      </c>
      <c r="AK7159">
        <v>0.72912038415038105</v>
      </c>
      <c r="AL7159">
        <v>66.599536431041898</v>
      </c>
      <c r="AM7159">
        <v>109.34100778339599</v>
      </c>
      <c r="AN7159">
        <v>0.999999959725694</v>
      </c>
    </row>
    <row r="7160" spans="1:40" x14ac:dyDescent="0.25">
      <c r="A7160" t="str">
        <f>"20190304165022657"</f>
        <v>20190304165022657</v>
      </c>
      <c r="B7160" t="str">
        <f>"1551689422652964"</f>
        <v>1551689422652964</v>
      </c>
      <c r="C7160" t="s">
        <v>40</v>
      </c>
      <c r="D7160">
        <v>4.3697150000000002</v>
      </c>
      <c r="E7160">
        <v>0.4173557</v>
      </c>
      <c r="F7160" t="s">
        <v>41</v>
      </c>
      <c r="G7160">
        <v>-201.4992</v>
      </c>
      <c r="H7160">
        <v>1.0269029999999999</v>
      </c>
      <c r="I7160">
        <v>-56.347290000000001</v>
      </c>
      <c r="J7160">
        <v>-201.816</v>
      </c>
      <c r="K7160">
        <v>1.119367</v>
      </c>
      <c r="L7160">
        <v>-57.119959999999999</v>
      </c>
      <c r="M7160">
        <v>0.8318508</v>
      </c>
      <c r="N7160">
        <v>-1.188231E-2</v>
      </c>
      <c r="O7160">
        <v>0.55487209999999998</v>
      </c>
      <c r="P7160">
        <v>0.56044130000000003</v>
      </c>
      <c r="Q7160">
        <v>0.39312819999999998</v>
      </c>
      <c r="R7160">
        <v>0.72894159999999997</v>
      </c>
      <c r="S7160">
        <v>1.585556</v>
      </c>
      <c r="T7160">
        <v>-0.3295169</v>
      </c>
      <c r="U7160">
        <v>3.0791930000000001</v>
      </c>
      <c r="V7160">
        <v>-0.30394139999999997</v>
      </c>
      <c r="W7160">
        <v>0.39706520000000001</v>
      </c>
      <c r="X7160">
        <v>0.86600169999999999</v>
      </c>
      <c r="Y7160">
        <v>-0.4850083</v>
      </c>
      <c r="Z7160">
        <v>-2.3085520000000002E-2</v>
      </c>
      <c r="AA7160">
        <v>0.8742048</v>
      </c>
      <c r="AB7160">
        <v>29</v>
      </c>
      <c r="AC7160">
        <v>0.31679999999997199</v>
      </c>
      <c r="AD7160">
        <v>-9.2463999999999796E-2</v>
      </c>
      <c r="AE7160">
        <v>0.77266999999999697</v>
      </c>
      <c r="AF7160">
        <v>-0.461339820692933</v>
      </c>
      <c r="AG7160">
        <v>-9.2463999999999796E-2</v>
      </c>
      <c r="AH7160">
        <v>0.68392758149560995</v>
      </c>
      <c r="AI7160">
        <v>96.395041674692806</v>
      </c>
      <c r="AJ7160">
        <v>124.001430347039</v>
      </c>
      <c r="AK7160">
        <v>0.83014514284155205</v>
      </c>
      <c r="AL7160">
        <v>66.605163449311405</v>
      </c>
      <c r="AM7160">
        <v>109.339589100501</v>
      </c>
      <c r="AN7160">
        <v>1.00000004604394</v>
      </c>
    </row>
    <row r="7161" spans="1:40" x14ac:dyDescent="0.25">
      <c r="A7161" t="str">
        <f>"20190304165022678"</f>
        <v>20190304165022678</v>
      </c>
      <c r="B7161" t="str">
        <f>"1551689422672485"</f>
        <v>1551689422672485</v>
      </c>
      <c r="C7161" t="s">
        <v>40</v>
      </c>
      <c r="D7161">
        <v>4.38293</v>
      </c>
      <c r="E7161">
        <v>0.41761169999999997</v>
      </c>
      <c r="F7161" t="s">
        <v>41</v>
      </c>
      <c r="G7161">
        <v>-201.33109999999999</v>
      </c>
      <c r="H7161">
        <v>1.0176590000000001</v>
      </c>
      <c r="I7161">
        <v>-56.163629999999998</v>
      </c>
      <c r="J7161">
        <v>-201.60929999999999</v>
      </c>
      <c r="K7161">
        <v>1.1193900000000001</v>
      </c>
      <c r="L7161">
        <v>-56.97</v>
      </c>
      <c r="M7161">
        <v>0.82618959999999997</v>
      </c>
      <c r="N7161">
        <v>-1.1809170000000001E-2</v>
      </c>
      <c r="O7161">
        <v>0.56326849999999995</v>
      </c>
      <c r="P7161">
        <v>0.55292479999999999</v>
      </c>
      <c r="Q7161">
        <v>0.39280880000000001</v>
      </c>
      <c r="R7161">
        <v>0.73483019999999999</v>
      </c>
      <c r="S7161">
        <v>1.5659479999999999</v>
      </c>
      <c r="T7161">
        <v>-0.32849679999999998</v>
      </c>
      <c r="U7161">
        <v>3.0887449999999999</v>
      </c>
      <c r="V7161">
        <v>-0.30423450000000002</v>
      </c>
      <c r="W7161">
        <v>0.39665070000000002</v>
      </c>
      <c r="X7161">
        <v>0.86608869999999905</v>
      </c>
      <c r="Y7161">
        <v>-0.4816937</v>
      </c>
      <c r="Z7161">
        <v>-2.407436E-2</v>
      </c>
      <c r="AA7161">
        <v>0.87600889999999998</v>
      </c>
      <c r="AB7161">
        <v>29</v>
      </c>
      <c r="AC7161">
        <v>0.278199999999998</v>
      </c>
      <c r="AD7161">
        <v>-0.101730999999999</v>
      </c>
      <c r="AE7161">
        <v>0.80636999999999404</v>
      </c>
      <c r="AF7161">
        <v>-0.50240293529343605</v>
      </c>
      <c r="AG7161">
        <v>-0.101730999999999</v>
      </c>
      <c r="AH7161">
        <v>0.67450284114858405</v>
      </c>
      <c r="AI7161">
        <v>96.896839851881396</v>
      </c>
      <c r="AJ7161">
        <v>126.680555817762</v>
      </c>
      <c r="AK7161">
        <v>0.847178840900771</v>
      </c>
      <c r="AL7161">
        <v>66.631036727250802</v>
      </c>
      <c r="AM7161">
        <v>109.355052580555</v>
      </c>
      <c r="AN7161">
        <v>1.0000000225342101</v>
      </c>
    </row>
    <row r="7162" spans="1:40" x14ac:dyDescent="0.25">
      <c r="A7162" t="str">
        <f>"20190304165022692"</f>
        <v>20190304165022692</v>
      </c>
      <c r="B7162" t="str">
        <f>"1551689422682245"</f>
        <v>1551689422682245</v>
      </c>
      <c r="C7162" t="s">
        <v>40</v>
      </c>
      <c r="D7162">
        <v>4.3864169999999998</v>
      </c>
      <c r="E7162">
        <v>0.41778290000000001</v>
      </c>
      <c r="F7162" t="s">
        <v>41</v>
      </c>
      <c r="G7162">
        <v>-201.1336</v>
      </c>
      <c r="H7162">
        <v>1.0178160000000001</v>
      </c>
      <c r="I7162">
        <v>-56.007849999999998</v>
      </c>
      <c r="J7162">
        <v>-201.458</v>
      </c>
      <c r="K7162">
        <v>1.11941</v>
      </c>
      <c r="L7162">
        <v>-56.858179999999997</v>
      </c>
      <c r="M7162">
        <v>0.82195799999999997</v>
      </c>
      <c r="N7162">
        <v>-1.1757760000000001E-2</v>
      </c>
      <c r="O7162">
        <v>0.56942669999999995</v>
      </c>
      <c r="P7162">
        <v>0.54716989999999999</v>
      </c>
      <c r="Q7162">
        <v>0.39243749999999999</v>
      </c>
      <c r="R7162">
        <v>0.73932249999999999</v>
      </c>
      <c r="S7162">
        <v>1.5339659999999999</v>
      </c>
      <c r="T7162">
        <v>-0.32761439999999997</v>
      </c>
      <c r="U7162">
        <v>3.103485</v>
      </c>
      <c r="V7162">
        <v>-0.30470340000000001</v>
      </c>
      <c r="W7162">
        <v>0.39620810000000001</v>
      </c>
      <c r="X7162">
        <v>0.86612639999999996</v>
      </c>
      <c r="Y7162">
        <v>-0.48405900000000002</v>
      </c>
      <c r="Z7162">
        <v>-2.453441E-2</v>
      </c>
      <c r="AA7162">
        <v>0.87469129999999995</v>
      </c>
      <c r="AB7162">
        <v>29</v>
      </c>
      <c r="AC7162">
        <v>0.32439999999999702</v>
      </c>
      <c r="AD7162">
        <v>-0.101593999999999</v>
      </c>
      <c r="AE7162">
        <v>0.85033000000000603</v>
      </c>
      <c r="AF7162">
        <v>-0.50791992842002898</v>
      </c>
      <c r="AG7162">
        <v>-0.101593999999999</v>
      </c>
      <c r="AH7162">
        <v>0.74165400405967297</v>
      </c>
      <c r="AI7162">
        <v>96.448178838824205</v>
      </c>
      <c r="AJ7162">
        <v>124.405197867601</v>
      </c>
      <c r="AK7162">
        <v>0.90462956853065202</v>
      </c>
      <c r="AL7162">
        <v>66.658658033655598</v>
      </c>
      <c r="AM7162">
        <v>109.381879821415</v>
      </c>
      <c r="AN7162">
        <v>0.99999998062706397</v>
      </c>
    </row>
    <row r="7163" spans="1:40" x14ac:dyDescent="0.25">
      <c r="A7163" t="str">
        <f>"20190304165022712"</f>
        <v>20190304165022712</v>
      </c>
      <c r="B7163" t="str">
        <f>"1551689422702274"</f>
        <v>1551689422702274</v>
      </c>
      <c r="C7163" t="s">
        <v>40</v>
      </c>
      <c r="D7163">
        <v>4.3867409999999998</v>
      </c>
      <c r="E7163">
        <v>0.41809600000000002</v>
      </c>
      <c r="F7163" t="s">
        <v>41</v>
      </c>
      <c r="G7163">
        <v>-201.07300000000001</v>
      </c>
      <c r="H7163">
        <v>1.03572</v>
      </c>
      <c r="I7163">
        <v>-56.064540000000001</v>
      </c>
      <c r="J7163">
        <v>-201.25309999999999</v>
      </c>
      <c r="K7163">
        <v>1.119426</v>
      </c>
      <c r="L7163">
        <v>-56.703980000000001</v>
      </c>
      <c r="M7163">
        <v>0.81611719999999999</v>
      </c>
      <c r="N7163">
        <v>-1.1691470000000001E-2</v>
      </c>
      <c r="O7163">
        <v>0.57776819999999995</v>
      </c>
      <c r="P7163">
        <v>0.5391821</v>
      </c>
      <c r="Q7163">
        <v>0.39198119999999997</v>
      </c>
      <c r="R7163">
        <v>0.74540819999999997</v>
      </c>
      <c r="S7163">
        <v>1.510208</v>
      </c>
      <c r="T7163">
        <v>-0.32838270000000003</v>
      </c>
      <c r="U7163">
        <v>3.1143800000000001</v>
      </c>
      <c r="V7163">
        <v>-0.3054192</v>
      </c>
      <c r="W7163">
        <v>0.39565729999999999</v>
      </c>
      <c r="X7163">
        <v>0.86612610000000001</v>
      </c>
      <c r="Y7163">
        <v>-0.48178120000000002</v>
      </c>
      <c r="Z7163">
        <v>-2.5643039999999999E-2</v>
      </c>
      <c r="AA7163">
        <v>0.87591629999999998</v>
      </c>
      <c r="AB7163">
        <v>29</v>
      </c>
      <c r="AC7163">
        <v>0.18010000000001</v>
      </c>
      <c r="AD7163">
        <v>-8.3706000000000003E-2</v>
      </c>
      <c r="AE7163">
        <v>0.63944000000000001</v>
      </c>
      <c r="AF7163">
        <v>-0.41130038336243202</v>
      </c>
      <c r="AG7163">
        <v>-8.3706000000000003E-2</v>
      </c>
      <c r="AH7163">
        <v>0.508394464629774</v>
      </c>
      <c r="AI7163">
        <v>97.294379827377995</v>
      </c>
      <c r="AJ7163">
        <v>128.97348968020199</v>
      </c>
      <c r="AK7163">
        <v>0.65927204662133099</v>
      </c>
      <c r="AL7163">
        <v>66.693025613568295</v>
      </c>
      <c r="AM7163">
        <v>109.42401161280399</v>
      </c>
      <c r="AN7163">
        <v>1.00000000393657</v>
      </c>
    </row>
    <row r="7164" spans="1:40" x14ac:dyDescent="0.25">
      <c r="A7164" t="str">
        <f>"20190304165022732"</f>
        <v>20190304165022732</v>
      </c>
      <c r="B7164" t="str">
        <f>"1551689422722773"</f>
        <v>1551689422722773</v>
      </c>
      <c r="C7164" t="s">
        <v>40</v>
      </c>
      <c r="D7164">
        <v>4.3668529999999999</v>
      </c>
      <c r="E7164">
        <v>0.41853230000000002</v>
      </c>
      <c r="F7164" t="s">
        <v>41</v>
      </c>
      <c r="G7164">
        <v>-200.87610000000001</v>
      </c>
      <c r="H7164">
        <v>1.0354179999999999</v>
      </c>
      <c r="I7164">
        <v>-55.906170000000003</v>
      </c>
      <c r="J7164">
        <v>-201.04839999999999</v>
      </c>
      <c r="K7164">
        <v>1.119443</v>
      </c>
      <c r="L7164">
        <v>-56.546599999999998</v>
      </c>
      <c r="M7164">
        <v>0.81014750000000002</v>
      </c>
      <c r="N7164">
        <v>-1.163056E-2</v>
      </c>
      <c r="O7164">
        <v>0.58611069999999998</v>
      </c>
      <c r="P7164">
        <v>0.53148249999999997</v>
      </c>
      <c r="Q7164">
        <v>0.39112540000000001</v>
      </c>
      <c r="R7164">
        <v>0.75136359999999902</v>
      </c>
      <c r="S7164">
        <v>1.478302</v>
      </c>
      <c r="T7164">
        <v>-0.32943070000000002</v>
      </c>
      <c r="U7164">
        <v>3.128571</v>
      </c>
      <c r="V7164">
        <v>-0.30581380000000002</v>
      </c>
      <c r="W7164">
        <v>0.39472429999999997</v>
      </c>
      <c r="X7164">
        <v>0.86641250000000003</v>
      </c>
      <c r="Y7164">
        <v>-0.48164970000000001</v>
      </c>
      <c r="Z7164">
        <v>-2.6676109999999999E-2</v>
      </c>
      <c r="AA7164">
        <v>0.87595769999999995</v>
      </c>
      <c r="AB7164">
        <v>29</v>
      </c>
      <c r="AC7164">
        <v>0.172299999999978</v>
      </c>
      <c r="AD7164">
        <v>-8.4025000000000002E-2</v>
      </c>
      <c r="AE7164">
        <v>0.64043000000000205</v>
      </c>
      <c r="AF7164">
        <v>-0.41128232362240502</v>
      </c>
      <c r="AG7164">
        <v>-8.4025000000000002E-2</v>
      </c>
      <c r="AH7164">
        <v>0.506850251975692</v>
      </c>
      <c r="AI7164">
        <v>97.335315808894094</v>
      </c>
      <c r="AJ7164">
        <v>129.05751284430801</v>
      </c>
      <c r="AK7164">
        <v>0.65811133425664903</v>
      </c>
      <c r="AL7164">
        <v>66.751219202769207</v>
      </c>
      <c r="AM7164">
        <v>109.44127871205301</v>
      </c>
      <c r="AN7164">
        <v>0.99999998671858903</v>
      </c>
    </row>
    <row r="7165" spans="1:40" x14ac:dyDescent="0.25">
      <c r="A7165" t="str">
        <f>"20190304165022744"</f>
        <v>20190304165022744</v>
      </c>
      <c r="B7165" t="str">
        <f>"1551689422732530"</f>
        <v>1551689422732530</v>
      </c>
      <c r="C7165" t="s">
        <v>40</v>
      </c>
      <c r="D7165">
        <v>4.3844130000000003</v>
      </c>
      <c r="E7165">
        <v>0.41853230000000002</v>
      </c>
      <c r="F7165" t="s">
        <v>41</v>
      </c>
      <c r="G7165">
        <v>-200.6797</v>
      </c>
      <c r="H7165">
        <v>1.0349429999999999</v>
      </c>
      <c r="I7165">
        <v>-55.746519999999997</v>
      </c>
      <c r="J7165">
        <v>-200.93389999999999</v>
      </c>
      <c r="K7165">
        <v>1.1194489999999999</v>
      </c>
      <c r="L7165">
        <v>-56.456910000000001</v>
      </c>
      <c r="M7165">
        <v>0.80674799999999902</v>
      </c>
      <c r="N7165">
        <v>-1.159781E-2</v>
      </c>
      <c r="O7165">
        <v>0.59078189999999997</v>
      </c>
      <c r="P7165">
        <v>0.52706519999999901</v>
      </c>
      <c r="Q7165">
        <v>0.39076159999999999</v>
      </c>
      <c r="R7165">
        <v>0.75465729999999998</v>
      </c>
      <c r="S7165">
        <v>1.4476469999999999</v>
      </c>
      <c r="T7165">
        <v>-0.33177970000000001</v>
      </c>
      <c r="U7165">
        <v>3.1414179999999998</v>
      </c>
      <c r="V7165">
        <v>-0.3060483</v>
      </c>
      <c r="W7165">
        <v>0.3943181</v>
      </c>
      <c r="X7165">
        <v>0.86651469999999897</v>
      </c>
      <c r="Y7165">
        <v>-0.48499009999999998</v>
      </c>
      <c r="Z7165">
        <v>-2.7280450000000001E-2</v>
      </c>
      <c r="AA7165">
        <v>0.87409409999999899</v>
      </c>
      <c r="AB7165">
        <v>29</v>
      </c>
      <c r="AC7165">
        <v>0.25419999999999698</v>
      </c>
      <c r="AD7165">
        <v>-8.4505999999999901E-2</v>
      </c>
      <c r="AE7165">
        <v>0.71039000000000296</v>
      </c>
      <c r="AF7165">
        <v>-0.41771729732947999</v>
      </c>
      <c r="AG7165">
        <v>-8.4505999999999901E-2</v>
      </c>
      <c r="AH7165">
        <v>0.61706211190267102</v>
      </c>
      <c r="AI7165">
        <v>96.470129960437902</v>
      </c>
      <c r="AJ7165">
        <v>124.095851178161</v>
      </c>
      <c r="AK7165">
        <v>0.74992976635817699</v>
      </c>
      <c r="AL7165">
        <v>66.776548137825202</v>
      </c>
      <c r="AM7165">
        <v>109.452944763541</v>
      </c>
      <c r="AN7165">
        <v>1.0000000256182899</v>
      </c>
    </row>
    <row r="7166" spans="1:40" x14ac:dyDescent="0.25">
      <c r="A7166" t="str">
        <f>"20190304165022754"</f>
        <v>20190304165022754</v>
      </c>
      <c r="B7166" t="str">
        <f>"1551689422742290"</f>
        <v>1551689422742290</v>
      </c>
      <c r="C7166" t="s">
        <v>40</v>
      </c>
      <c r="D7166">
        <v>4.3888689999999997</v>
      </c>
      <c r="E7166">
        <v>0.42871540000000002</v>
      </c>
      <c r="F7166" t="s">
        <v>41</v>
      </c>
      <c r="G7166">
        <v>-200.52289999999999</v>
      </c>
      <c r="H7166">
        <v>1.023609</v>
      </c>
      <c r="I7166">
        <v>-55.551079999999999</v>
      </c>
      <c r="J7166">
        <v>-200.82470000000001</v>
      </c>
      <c r="K7166">
        <v>1.1194519999999999</v>
      </c>
      <c r="L7166">
        <v>-56.370939999999997</v>
      </c>
      <c r="M7166">
        <v>0.80347389999999996</v>
      </c>
      <c r="N7166">
        <v>-1.1566760000000001E-2</v>
      </c>
      <c r="O7166">
        <v>0.59522769999999903</v>
      </c>
      <c r="P7166">
        <v>0.52308549999999998</v>
      </c>
      <c r="Q7166">
        <v>0.39033780000000001</v>
      </c>
      <c r="R7166">
        <v>0.75763979999999997</v>
      </c>
      <c r="S7166">
        <v>1.4290309999999999</v>
      </c>
      <c r="T7166">
        <v>-0.33327089999999998</v>
      </c>
      <c r="U7166">
        <v>3.1498110000000001</v>
      </c>
      <c r="V7166">
        <v>-0.30600179999999999</v>
      </c>
      <c r="W7166">
        <v>0.39386189999999999</v>
      </c>
      <c r="X7166">
        <v>0.86673860000000003</v>
      </c>
      <c r="Y7166">
        <v>-0.48533169999999998</v>
      </c>
      <c r="Z7166">
        <v>-2.791832E-2</v>
      </c>
      <c r="AA7166">
        <v>0.87388429999999995</v>
      </c>
      <c r="AB7166">
        <v>29</v>
      </c>
      <c r="AC7166">
        <v>0.301800000000014</v>
      </c>
      <c r="AD7166">
        <v>-9.5843000000000095E-2</v>
      </c>
      <c r="AE7166">
        <v>0.81985999999999803</v>
      </c>
      <c r="AF7166">
        <v>-0.47343060361074601</v>
      </c>
      <c r="AG7166">
        <v>-9.5843000000000095E-2</v>
      </c>
      <c r="AH7166">
        <v>0.72185301781566003</v>
      </c>
      <c r="AI7166">
        <v>96.335329221709401</v>
      </c>
      <c r="AJ7166">
        <v>123.259048947878</v>
      </c>
      <c r="AK7166">
        <v>0.86855868910155498</v>
      </c>
      <c r="AL7166">
        <v>66.804988643919899</v>
      </c>
      <c r="AM7166">
        <v>109.44556366440401</v>
      </c>
      <c r="AN7166">
        <v>1.0000000493023999</v>
      </c>
    </row>
    <row r="7167" spans="1:40" x14ac:dyDescent="0.25">
      <c r="A7167" t="str">
        <f>"20190304165022766"</f>
        <v>20190304165022766</v>
      </c>
      <c r="B7167" t="str">
        <f>"1551689422762785"</f>
        <v>1551689422762785</v>
      </c>
      <c r="C7167" t="s">
        <v>40</v>
      </c>
      <c r="D7167">
        <v>4.4068820000000004</v>
      </c>
      <c r="E7167">
        <v>0.42879309999999998</v>
      </c>
      <c r="F7167" t="s">
        <v>41</v>
      </c>
      <c r="G7167">
        <v>-200.42400000000001</v>
      </c>
      <c r="H7167">
        <v>1.0284199999999999</v>
      </c>
      <c r="I7167">
        <v>-55.528210000000001</v>
      </c>
      <c r="J7167">
        <v>-200.7072</v>
      </c>
      <c r="K7167">
        <v>1.1194569999999999</v>
      </c>
      <c r="L7167">
        <v>-56.27655</v>
      </c>
      <c r="M7167">
        <v>0.79989519999999903</v>
      </c>
      <c r="N7167">
        <v>-1.153241E-2</v>
      </c>
      <c r="O7167">
        <v>0.60002889999999998</v>
      </c>
      <c r="P7167">
        <v>0.51856120000000006</v>
      </c>
      <c r="Q7167">
        <v>0.38975949999999998</v>
      </c>
      <c r="R7167">
        <v>0.76103989999999999</v>
      </c>
      <c r="S7167">
        <v>1.479355</v>
      </c>
      <c r="T7167">
        <v>-0.33610839999999997</v>
      </c>
      <c r="U7167">
        <v>3.11145</v>
      </c>
      <c r="V7167">
        <v>-0.30621300000000001</v>
      </c>
      <c r="W7167">
        <v>0.39324160000000002</v>
      </c>
      <c r="X7167">
        <v>0.86694559999999998</v>
      </c>
      <c r="Y7167">
        <v>-0.46440710000000002</v>
      </c>
      <c r="Z7167">
        <v>-3.0020109999999999E-2</v>
      </c>
      <c r="AA7167">
        <v>0.88511289999999998</v>
      </c>
      <c r="AB7167">
        <v>29</v>
      </c>
      <c r="AC7167">
        <v>0.28319999999999301</v>
      </c>
      <c r="AD7167">
        <v>-9.1036999999999799E-2</v>
      </c>
      <c r="AE7167">
        <v>0.748340000000006</v>
      </c>
      <c r="AF7167">
        <v>-0.42321527368308298</v>
      </c>
      <c r="AG7167">
        <v>-9.1036999999999799E-2</v>
      </c>
      <c r="AH7167">
        <v>0.666966828418738</v>
      </c>
      <c r="AI7167">
        <v>96.574333725399597</v>
      </c>
      <c r="AJ7167">
        <v>122.39664716006401</v>
      </c>
      <c r="AK7167">
        <v>0.79513750600672695</v>
      </c>
      <c r="AL7167">
        <v>66.843648179289701</v>
      </c>
      <c r="AM7167">
        <v>109.45367974741499</v>
      </c>
      <c r="AN7167">
        <v>1.0000000153494499</v>
      </c>
    </row>
    <row r="7168" spans="1:40" x14ac:dyDescent="0.25">
      <c r="A7168" t="str">
        <f>"20190304165022780"</f>
        <v>20190304165022780</v>
      </c>
      <c r="B7168" t="str">
        <f>"1551689422772546"</f>
        <v>1551689422772546</v>
      </c>
      <c r="C7168" t="s">
        <v>40</v>
      </c>
      <c r="D7168">
        <v>4.4090889999999998</v>
      </c>
      <c r="E7168">
        <v>0.42937710000000001</v>
      </c>
      <c r="F7168" t="s">
        <v>41</v>
      </c>
      <c r="G7168">
        <v>-200.30189999999999</v>
      </c>
      <c r="H7168">
        <v>1.026033</v>
      </c>
      <c r="I7168">
        <v>-55.411499999999997</v>
      </c>
      <c r="J7168">
        <v>-200.5669</v>
      </c>
      <c r="K7168">
        <v>1.119462</v>
      </c>
      <c r="L7168">
        <v>-56.162930000000003</v>
      </c>
      <c r="M7168">
        <v>0.7955738</v>
      </c>
      <c r="N7168">
        <v>-1.149144E-2</v>
      </c>
      <c r="O7168">
        <v>0.60574759999999905</v>
      </c>
      <c r="P7168">
        <v>0.5134649</v>
      </c>
      <c r="Q7168">
        <v>0.38914559999999998</v>
      </c>
      <c r="R7168">
        <v>0.76480039999999905</v>
      </c>
      <c r="S7168">
        <v>1.460831</v>
      </c>
      <c r="T7168">
        <v>-0.33682610000000002</v>
      </c>
      <c r="U7168">
        <v>3.1190799999999999</v>
      </c>
      <c r="V7168">
        <v>-0.30603799999999998</v>
      </c>
      <c r="W7168">
        <v>0.39258870000000001</v>
      </c>
      <c r="X7168">
        <v>0.8673033</v>
      </c>
      <c r="Y7168">
        <v>-0.46322059999999998</v>
      </c>
      <c r="Z7168">
        <v>-3.081627E-2</v>
      </c>
      <c r="AA7168">
        <v>0.88570709999999997</v>
      </c>
      <c r="AB7168">
        <v>29</v>
      </c>
      <c r="AC7168">
        <v>0.265000000000014</v>
      </c>
      <c r="AD7168">
        <v>-9.3429000000000206E-2</v>
      </c>
      <c r="AE7168">
        <v>0.75143000000000604</v>
      </c>
      <c r="AF7168">
        <v>-0.43139251015292401</v>
      </c>
      <c r="AG7168">
        <v>-9.3429000000000206E-2</v>
      </c>
      <c r="AH7168">
        <v>0.65701457463802604</v>
      </c>
      <c r="AI7168">
        <v>96.778891153739195</v>
      </c>
      <c r="AJ7168">
        <v>123.288704044832</v>
      </c>
      <c r="AK7168">
        <v>0.79151539918300196</v>
      </c>
      <c r="AL7168">
        <v>66.884329873265699</v>
      </c>
      <c r="AM7168">
        <v>109.43597860212699</v>
      </c>
      <c r="AN7168">
        <v>1.00000007950128</v>
      </c>
    </row>
    <row r="7169" spans="1:40" x14ac:dyDescent="0.25">
      <c r="A7169" t="str">
        <f>"20190304165022791"</f>
        <v>20190304165022791</v>
      </c>
      <c r="B7169" t="str">
        <f>"1551689422782305"</f>
        <v>1551689422782305</v>
      </c>
      <c r="C7169" t="s">
        <v>40</v>
      </c>
      <c r="D7169">
        <v>4.4250239999999996</v>
      </c>
      <c r="E7169">
        <v>0.42994890000000002</v>
      </c>
      <c r="F7169" t="s">
        <v>41</v>
      </c>
      <c r="G7169">
        <v>-200.13409999999999</v>
      </c>
      <c r="H7169">
        <v>1.0174110000000001</v>
      </c>
      <c r="I7169">
        <v>-55.225009999999997</v>
      </c>
      <c r="J7169">
        <v>-200.4528</v>
      </c>
      <c r="K7169">
        <v>1.119469</v>
      </c>
      <c r="L7169">
        <v>-56.069310000000002</v>
      </c>
      <c r="M7169">
        <v>0.79200979999999999</v>
      </c>
      <c r="N7169">
        <v>-1.1458380000000001E-2</v>
      </c>
      <c r="O7169">
        <v>0.61040090000000002</v>
      </c>
      <c r="P7169">
        <v>0.50924170000000002</v>
      </c>
      <c r="Q7169">
        <v>0.3884049</v>
      </c>
      <c r="R7169">
        <v>0.76799379999999995</v>
      </c>
      <c r="S7169">
        <v>1.4431609999999999</v>
      </c>
      <c r="T7169">
        <v>-0.34024369999999998</v>
      </c>
      <c r="U7169">
        <v>3.126862</v>
      </c>
      <c r="V7169">
        <v>-0.30602499999999999</v>
      </c>
      <c r="W7169">
        <v>0.3918141</v>
      </c>
      <c r="X7169">
        <v>0.86765800000000004</v>
      </c>
      <c r="Y7169">
        <v>-0.46300350000000001</v>
      </c>
      <c r="Z7169">
        <v>-3.1763029999999998E-2</v>
      </c>
      <c r="AA7169">
        <v>0.88578709999999905</v>
      </c>
      <c r="AB7169">
        <v>29</v>
      </c>
      <c r="AC7169">
        <v>0.31870000000000598</v>
      </c>
      <c r="AD7169">
        <v>-0.102057999999999</v>
      </c>
      <c r="AE7169">
        <v>0.84429999999999605</v>
      </c>
      <c r="AF7169">
        <v>-0.46820219873965202</v>
      </c>
      <c r="AG7169">
        <v>-0.102057999999999</v>
      </c>
      <c r="AH7169">
        <v>0.75812936851974499</v>
      </c>
      <c r="AI7169">
        <v>96.533987422660203</v>
      </c>
      <c r="AJ7169">
        <v>121.698465844795</v>
      </c>
      <c r="AK7169">
        <v>0.89687751319831399</v>
      </c>
      <c r="AL7169">
        <v>66.932574745723102</v>
      </c>
      <c r="AM7169">
        <v>109.427864989811</v>
      </c>
      <c r="AN7169">
        <v>0.99999999727390498</v>
      </c>
    </row>
    <row r="7170" spans="1:40" x14ac:dyDescent="0.25">
      <c r="A7170" t="str">
        <f>"20190304165022802"</f>
        <v>20190304165022802</v>
      </c>
      <c r="B7170" t="str">
        <f>"1551689422793042"</f>
        <v>1551689422793042</v>
      </c>
      <c r="C7170" t="s">
        <v>40</v>
      </c>
      <c r="D7170">
        <v>4.4274610000000001</v>
      </c>
      <c r="E7170">
        <v>0.43047029999999997</v>
      </c>
      <c r="F7170" t="s">
        <v>41</v>
      </c>
      <c r="G7170">
        <v>-200.06880000000001</v>
      </c>
      <c r="H7170">
        <v>1.0274350000000001</v>
      </c>
      <c r="I7170">
        <v>-55.22786</v>
      </c>
      <c r="J7170">
        <v>-200.34020000000001</v>
      </c>
      <c r="K7170">
        <v>1.1194729999999999</v>
      </c>
      <c r="L7170">
        <v>-55.975560000000002</v>
      </c>
      <c r="M7170">
        <v>0.78844639999999999</v>
      </c>
      <c r="N7170">
        <v>-1.142571E-2</v>
      </c>
      <c r="O7170">
        <v>0.61499729999999997</v>
      </c>
      <c r="P7170">
        <v>0.50517020000000001</v>
      </c>
      <c r="Q7170">
        <v>0.387546</v>
      </c>
      <c r="R7170">
        <v>0.77111039999999997</v>
      </c>
      <c r="S7170">
        <v>1.4293979999999999</v>
      </c>
      <c r="T7170">
        <v>-0.3425571</v>
      </c>
      <c r="U7170">
        <v>3.1317140000000001</v>
      </c>
      <c r="V7170">
        <v>-0.30590060000000002</v>
      </c>
      <c r="W7170">
        <v>0.390926</v>
      </c>
      <c r="X7170">
        <v>0.86810239999999905</v>
      </c>
      <c r="Y7170">
        <v>-0.46160499999999999</v>
      </c>
      <c r="Z7170">
        <v>-3.265469E-2</v>
      </c>
      <c r="AA7170">
        <v>0.88648439999999995</v>
      </c>
      <c r="AB7170">
        <v>29</v>
      </c>
      <c r="AC7170">
        <v>0.27139999999999898</v>
      </c>
      <c r="AD7170">
        <v>-9.2037999999999801E-2</v>
      </c>
      <c r="AE7170">
        <v>0.74769999999999404</v>
      </c>
      <c r="AF7170">
        <v>-0.41705502107178</v>
      </c>
      <c r="AG7170">
        <v>-9.2037999999999801E-2</v>
      </c>
      <c r="AH7170">
        <v>0.66495912435489801</v>
      </c>
      <c r="AI7170">
        <v>96.687805030296204</v>
      </c>
      <c r="AJ7170">
        <v>122.09548280459499</v>
      </c>
      <c r="AK7170">
        <v>0.79030153809037695</v>
      </c>
      <c r="AL7170">
        <v>66.987871011549601</v>
      </c>
      <c r="AM7170">
        <v>109.41136060218</v>
      </c>
      <c r="AN7170">
        <v>1.0000000457210501</v>
      </c>
    </row>
    <row r="7171" spans="1:40" x14ac:dyDescent="0.25">
      <c r="A7171" t="str">
        <f>"20190304165022824"</f>
        <v>20190304165022824</v>
      </c>
      <c r="B7171" t="str">
        <f>"1551689422812561"</f>
        <v>1551689422812561</v>
      </c>
      <c r="C7171" t="s">
        <v>40</v>
      </c>
      <c r="D7171">
        <v>4.4388489999999896</v>
      </c>
      <c r="E7171">
        <v>0.4317088</v>
      </c>
      <c r="F7171" t="s">
        <v>41</v>
      </c>
      <c r="G7171">
        <v>-199.93049999999999</v>
      </c>
      <c r="H7171">
        <v>1.018775</v>
      </c>
      <c r="I7171">
        <v>-55.068060000000003</v>
      </c>
      <c r="J7171">
        <v>-200.13659999999999</v>
      </c>
      <c r="K7171">
        <v>1.119478</v>
      </c>
      <c r="L7171">
        <v>-55.803379999999997</v>
      </c>
      <c r="M7171">
        <v>0.78189259999999905</v>
      </c>
      <c r="N7171">
        <v>-1.136709E-2</v>
      </c>
      <c r="O7171">
        <v>0.62330959999999902</v>
      </c>
      <c r="P7171">
        <v>0.49784600000000001</v>
      </c>
      <c r="Q7171">
        <v>0.38600699999999999</v>
      </c>
      <c r="R7171">
        <v>0.77662600000000004</v>
      </c>
      <c r="S7171">
        <v>1.4160919999999999</v>
      </c>
      <c r="T7171">
        <v>-0.34812779999999999</v>
      </c>
      <c r="U7171">
        <v>3.137756</v>
      </c>
      <c r="V7171">
        <v>-0.30551020000000001</v>
      </c>
      <c r="W7171">
        <v>0.38933830000000003</v>
      </c>
      <c r="X7171">
        <v>0.86895290000000003</v>
      </c>
      <c r="Y7171">
        <v>-0.4560149</v>
      </c>
      <c r="Z7171">
        <v>-3.4592940000000003E-2</v>
      </c>
      <c r="AA7171">
        <v>0.88929959999999997</v>
      </c>
      <c r="AB7171">
        <v>29</v>
      </c>
      <c r="AC7171">
        <v>0.20609999999999201</v>
      </c>
      <c r="AD7171">
        <v>-0.100703</v>
      </c>
      <c r="AE7171">
        <v>0.73532000000000797</v>
      </c>
      <c r="AF7171">
        <v>-0.43887417033177101</v>
      </c>
      <c r="AG7171">
        <v>-0.100703</v>
      </c>
      <c r="AH7171">
        <v>0.60893105325080299</v>
      </c>
      <c r="AI7171">
        <v>97.641314978806093</v>
      </c>
      <c r="AJ7171">
        <v>125.781379945163</v>
      </c>
      <c r="AK7171">
        <v>0.75732995398738401</v>
      </c>
      <c r="AL7171">
        <v>67.086666469598597</v>
      </c>
      <c r="AM7171">
        <v>109.37087385073799</v>
      </c>
      <c r="AN7171">
        <v>0.99999996828466897</v>
      </c>
    </row>
    <row r="7172" spans="1:40" x14ac:dyDescent="0.25">
      <c r="A7172" t="str">
        <f>"20190304165022844"</f>
        <v>20190304165022844</v>
      </c>
      <c r="B7172" t="str">
        <f>"1551689422833058"</f>
        <v>1551689422833058</v>
      </c>
      <c r="C7172" t="s">
        <v>40</v>
      </c>
      <c r="D7172">
        <v>4.4507529999999997</v>
      </c>
      <c r="E7172">
        <v>0.43222250000000001</v>
      </c>
      <c r="F7172" t="s">
        <v>41</v>
      </c>
      <c r="G7172">
        <v>-199.73699999999999</v>
      </c>
      <c r="H7172">
        <v>1.0169079999999999</v>
      </c>
      <c r="I7172">
        <v>-54.901519999999998</v>
      </c>
      <c r="J7172">
        <v>-199.9323</v>
      </c>
      <c r="K7172">
        <v>1.11948</v>
      </c>
      <c r="L7172">
        <v>-55.626980000000003</v>
      </c>
      <c r="M7172">
        <v>0.77517440000000004</v>
      </c>
      <c r="N7172">
        <v>-1.1310860000000001E-2</v>
      </c>
      <c r="O7172">
        <v>0.63164600000000004</v>
      </c>
      <c r="P7172">
        <v>0.4904849</v>
      </c>
      <c r="Q7172">
        <v>0.38462600000000002</v>
      </c>
      <c r="R7172">
        <v>0.78197659999999902</v>
      </c>
      <c r="S7172">
        <v>1.3943179999999999</v>
      </c>
      <c r="T7172">
        <v>-0.35791430000000002</v>
      </c>
      <c r="U7172">
        <v>3.1469420000000001</v>
      </c>
      <c r="V7172">
        <v>-0.30492789999999997</v>
      </c>
      <c r="W7172">
        <v>0.38791619999999999</v>
      </c>
      <c r="X7172">
        <v>0.86979309999999999</v>
      </c>
      <c r="Y7172">
        <v>-0.45262720000000001</v>
      </c>
      <c r="Z7172">
        <v>-3.7002449999999999E-2</v>
      </c>
      <c r="AA7172">
        <v>0.89093180000000005</v>
      </c>
      <c r="AB7172">
        <v>29</v>
      </c>
      <c r="AC7172">
        <v>0.195300000000003</v>
      </c>
      <c r="AD7172">
        <v>-0.102572</v>
      </c>
      <c r="AE7172">
        <v>0.72546000000000499</v>
      </c>
      <c r="AF7172">
        <v>-0.43099199062240201</v>
      </c>
      <c r="AG7172">
        <v>-0.102572</v>
      </c>
      <c r="AH7172">
        <v>0.59850832861937697</v>
      </c>
      <c r="AI7172">
        <v>97.917511541727805</v>
      </c>
      <c r="AJ7172">
        <v>125.758047779018</v>
      </c>
      <c r="AK7172">
        <v>0.74463906061354401</v>
      </c>
      <c r="AL7172">
        <v>67.175099203089601</v>
      </c>
      <c r="AM7172">
        <v>109.319401478776</v>
      </c>
      <c r="AN7172">
        <v>1.00000001961423</v>
      </c>
    </row>
    <row r="7173" spans="1:40" x14ac:dyDescent="0.25">
      <c r="A7173" t="str">
        <f>"20190304165022857"</f>
        <v>20190304165022857</v>
      </c>
      <c r="B7173" t="str">
        <f>"1551689422852577"</f>
        <v>1551689422852577</v>
      </c>
      <c r="C7173" t="s">
        <v>40</v>
      </c>
      <c r="D7173">
        <v>4.4261679999999997</v>
      </c>
      <c r="E7173">
        <v>0.44011899999999998</v>
      </c>
      <c r="F7173" t="s">
        <v>41</v>
      </c>
      <c r="G7173">
        <v>-199.5454</v>
      </c>
      <c r="H7173">
        <v>1.0164029999999999</v>
      </c>
      <c r="I7173">
        <v>-54.732439999999997</v>
      </c>
      <c r="J7173">
        <v>-199.81129999999999</v>
      </c>
      <c r="K7173">
        <v>1.119483</v>
      </c>
      <c r="L7173">
        <v>-55.520969999999998</v>
      </c>
      <c r="M7173">
        <v>0.77112959999999997</v>
      </c>
      <c r="N7173">
        <v>-1.127916E-2</v>
      </c>
      <c r="O7173">
        <v>0.63657830000000004</v>
      </c>
      <c r="P7173">
        <v>0.48601699999999998</v>
      </c>
      <c r="Q7173">
        <v>0.3839264</v>
      </c>
      <c r="R7173">
        <v>0.78510389999999997</v>
      </c>
      <c r="S7173">
        <v>1.36615</v>
      </c>
      <c r="T7173">
        <v>-0.36394389999999999</v>
      </c>
      <c r="U7173">
        <v>3.1585390000000002</v>
      </c>
      <c r="V7173">
        <v>-0.30459619999999998</v>
      </c>
      <c r="W7173">
        <v>0.38719219999999999</v>
      </c>
      <c r="X7173">
        <v>0.8702318</v>
      </c>
      <c r="Y7173">
        <v>-0.4548297</v>
      </c>
      <c r="Z7173">
        <v>-3.8269770000000002E-2</v>
      </c>
      <c r="AA7173">
        <v>0.88975579999999999</v>
      </c>
      <c r="AB7173">
        <v>29</v>
      </c>
      <c r="AC7173">
        <v>0.26589999999998698</v>
      </c>
      <c r="AD7173">
        <v>-0.10307999999999901</v>
      </c>
      <c r="AE7173">
        <v>0.78852999999999396</v>
      </c>
      <c r="AF7173">
        <v>-0.43218903358126298</v>
      </c>
      <c r="AG7173">
        <v>-0.10307999999999901</v>
      </c>
      <c r="AH7173">
        <v>0.69636436815821201</v>
      </c>
      <c r="AI7173">
        <v>97.168552801905903</v>
      </c>
      <c r="AJ7173">
        <v>121.825241395429</v>
      </c>
      <c r="AK7173">
        <v>0.82603642800320398</v>
      </c>
      <c r="AL7173">
        <v>67.220098050163401</v>
      </c>
      <c r="AM7173">
        <v>109.290930137723</v>
      </c>
      <c r="AN7173">
        <v>1.00000001526326</v>
      </c>
    </row>
    <row r="7174" spans="1:40" x14ac:dyDescent="0.25">
      <c r="A7174" t="str">
        <f>"20190304165022870"</f>
        <v>20190304165022870</v>
      </c>
      <c r="B7174" t="str">
        <f>"1551689422862338"</f>
        <v>1551689422862338</v>
      </c>
      <c r="C7174" t="s">
        <v>40</v>
      </c>
      <c r="D7174">
        <v>4.4709919999999999</v>
      </c>
      <c r="E7174">
        <v>0.44082559999999898</v>
      </c>
      <c r="F7174" t="s">
        <v>41</v>
      </c>
      <c r="G7174">
        <v>-199.37520000000001</v>
      </c>
      <c r="H7174">
        <v>1.005115</v>
      </c>
      <c r="I7174">
        <v>-54.545679999999997</v>
      </c>
      <c r="J7174">
        <v>-199.6841</v>
      </c>
      <c r="K7174">
        <v>1.119489</v>
      </c>
      <c r="L7174">
        <v>-55.407530000000001</v>
      </c>
      <c r="M7174">
        <v>0.76680979999999999</v>
      </c>
      <c r="N7174">
        <v>-1.12484E-2</v>
      </c>
      <c r="O7174">
        <v>0.64177580000000001</v>
      </c>
      <c r="P7174">
        <v>0.48108469999999998</v>
      </c>
      <c r="Q7174">
        <v>0.38316749999999999</v>
      </c>
      <c r="R7174">
        <v>0.78850500000000001</v>
      </c>
      <c r="S7174">
        <v>1.4012450000000001</v>
      </c>
      <c r="T7174">
        <v>-0.36744769999999999</v>
      </c>
      <c r="U7174">
        <v>3.1333920000000002</v>
      </c>
      <c r="V7174">
        <v>-0.30444579999999999</v>
      </c>
      <c r="W7174">
        <v>0.38640550000000001</v>
      </c>
      <c r="X7174">
        <v>0.87063400000000002</v>
      </c>
      <c r="Y7174">
        <v>-0.43788070000000001</v>
      </c>
      <c r="Z7174">
        <v>-4.039326E-2</v>
      </c>
      <c r="AA7174">
        <v>0.89812519999999996</v>
      </c>
      <c r="AB7174">
        <v>29</v>
      </c>
      <c r="AC7174">
        <v>0.30889999999999401</v>
      </c>
      <c r="AD7174">
        <v>-0.114373999999999</v>
      </c>
      <c r="AE7174">
        <v>0.86184999999999601</v>
      </c>
      <c r="AF7174">
        <v>-0.455550228924815</v>
      </c>
      <c r="AG7174">
        <v>-0.114373999999999</v>
      </c>
      <c r="AH7174">
        <v>0.77789186974421798</v>
      </c>
      <c r="AI7174">
        <v>97.230796379651593</v>
      </c>
      <c r="AJ7174">
        <v>120.35415839470799</v>
      </c>
      <c r="AK7174">
        <v>0.90869311869497904</v>
      </c>
      <c r="AL7174">
        <v>67.268977036584005</v>
      </c>
      <c r="AM7174">
        <v>109.273857592803</v>
      </c>
      <c r="AN7174">
        <v>1.0000000087619401</v>
      </c>
    </row>
    <row r="7175" spans="1:40" x14ac:dyDescent="0.25">
      <c r="A7175" t="str">
        <f>"20190304165022892"</f>
        <v>20190304165022892</v>
      </c>
      <c r="B7175" t="str">
        <f>"1551689422882833"</f>
        <v>1551689422882833</v>
      </c>
      <c r="C7175" t="s">
        <v>40</v>
      </c>
      <c r="D7175">
        <v>4.5322570000000004</v>
      </c>
      <c r="E7175">
        <v>0.44234370000000001</v>
      </c>
      <c r="F7175" t="s">
        <v>49</v>
      </c>
      <c r="G7175">
        <v>-195.4811</v>
      </c>
      <c r="H7175" s="1">
        <v>-4.5652059999999997E-6</v>
      </c>
      <c r="I7175">
        <v>-45.881950000000003</v>
      </c>
      <c r="J7175">
        <v>-199.47540000000001</v>
      </c>
      <c r="K7175">
        <v>1.11948799999999</v>
      </c>
      <c r="L7175">
        <v>-55.218510000000002</v>
      </c>
      <c r="M7175">
        <v>0.75959869999999996</v>
      </c>
      <c r="N7175">
        <v>-1.11982E-2</v>
      </c>
      <c r="O7175">
        <v>0.65029569999999903</v>
      </c>
      <c r="P7175">
        <v>0.47336460000000002</v>
      </c>
      <c r="Q7175">
        <v>0.38212590000000002</v>
      </c>
      <c r="R7175">
        <v>0.79366610000000004</v>
      </c>
      <c r="S7175">
        <v>1.384995</v>
      </c>
      <c r="T7175">
        <v>-0.36890469999999997</v>
      </c>
      <c r="U7175">
        <v>3.1389469999999999</v>
      </c>
      <c r="V7175">
        <v>-0.30359779999999997</v>
      </c>
      <c r="W7175">
        <v>0.38533210000000001</v>
      </c>
      <c r="X7175">
        <v>0.87140550000000006</v>
      </c>
      <c r="Y7175">
        <v>-0.43236550000000001</v>
      </c>
      <c r="Z7175">
        <v>-4.1953320000000002E-2</v>
      </c>
      <c r="AA7175">
        <v>0.90072200000000002</v>
      </c>
      <c r="AB7175">
        <v>29</v>
      </c>
      <c r="AC7175">
        <v>3.9943</v>
      </c>
      <c r="AD7175">
        <v>-1.1194925652059899</v>
      </c>
      <c r="AE7175">
        <v>9.3365599999999898</v>
      </c>
      <c r="AF7175">
        <v>-4.4408754510246604</v>
      </c>
      <c r="AG7175">
        <v>-1.1194925652059899</v>
      </c>
      <c r="AH7175">
        <v>8.9968242015737001</v>
      </c>
      <c r="AI7175">
        <v>96.366688692616194</v>
      </c>
      <c r="AJ7175">
        <v>116.271166777329</v>
      </c>
      <c r="AK7175">
        <v>10.095418965505401</v>
      </c>
      <c r="AL7175">
        <v>67.335640981230299</v>
      </c>
      <c r="AM7175">
        <v>109.20834395253</v>
      </c>
      <c r="AN7175">
        <v>0.99999999844275</v>
      </c>
    </row>
    <row r="7176" spans="1:40" x14ac:dyDescent="0.25">
      <c r="A7176" t="str">
        <f>"20190304165022915"</f>
        <v>20190304165022915</v>
      </c>
      <c r="B7176" t="str">
        <f>"1551689422912622"</f>
        <v>1551689422912622</v>
      </c>
      <c r="C7176" t="s">
        <v>40</v>
      </c>
      <c r="D7176">
        <v>4.5265040000000001</v>
      </c>
      <c r="E7176">
        <v>0.44416240000000001</v>
      </c>
      <c r="F7176" t="s">
        <v>49</v>
      </c>
      <c r="G7176">
        <v>-195.45949999999999</v>
      </c>
      <c r="H7176" s="1">
        <v>-4.5312979999999997E-6</v>
      </c>
      <c r="I7176">
        <v>-45.941679999999998</v>
      </c>
      <c r="J7176">
        <v>-199.25409999999999</v>
      </c>
      <c r="K7176">
        <v>1.1195010000000001</v>
      </c>
      <c r="L7176">
        <v>-55.013550000000002</v>
      </c>
      <c r="M7176">
        <v>0.75176709999999902</v>
      </c>
      <c r="N7176">
        <v>-1.1146339999999999E-2</v>
      </c>
      <c r="O7176">
        <v>0.65933450000000005</v>
      </c>
      <c r="P7176">
        <v>0.46532059999999997</v>
      </c>
      <c r="Q7176">
        <v>0.38131100000000001</v>
      </c>
      <c r="R7176">
        <v>0.79879829999999996</v>
      </c>
      <c r="S7176">
        <v>1.36351</v>
      </c>
      <c r="T7176">
        <v>-0.3800964</v>
      </c>
      <c r="U7176">
        <v>3.1497190000000002</v>
      </c>
      <c r="V7176">
        <v>-0.30227019999999999</v>
      </c>
      <c r="W7176">
        <v>0.384492</v>
      </c>
      <c r="X7176">
        <v>0.8722377</v>
      </c>
      <c r="Y7176">
        <v>-0.42793609999999999</v>
      </c>
      <c r="Z7176">
        <v>-4.4862409999999998E-2</v>
      </c>
      <c r="AA7176">
        <v>0.90269489999999997</v>
      </c>
      <c r="AB7176">
        <v>29</v>
      </c>
      <c r="AC7176">
        <v>3.7946</v>
      </c>
      <c r="AD7176">
        <v>-1.119505531298</v>
      </c>
      <c r="AE7176">
        <v>9.0718700000000005</v>
      </c>
      <c r="AF7176">
        <v>-4.2630380825670802</v>
      </c>
      <c r="AG7176">
        <v>-1.119505531298</v>
      </c>
      <c r="AH7176">
        <v>8.7215616873232502</v>
      </c>
      <c r="AI7176">
        <v>96.578380738526505</v>
      </c>
      <c r="AJ7176">
        <v>116.049059779983</v>
      </c>
      <c r="AK7176">
        <v>9.7720225436604906</v>
      </c>
      <c r="AL7176">
        <v>67.387793102216094</v>
      </c>
      <c r="AM7176">
        <v>109.113537369358</v>
      </c>
      <c r="AN7176">
        <v>0.99999998858666395</v>
      </c>
    </row>
    <row r="7177" spans="1:40" x14ac:dyDescent="0.25">
      <c r="A7177" t="str">
        <f>"20190304165022934"</f>
        <v>20190304165022934</v>
      </c>
      <c r="B7177" t="str">
        <f>"1551689422922381"</f>
        <v>1551689422922381</v>
      </c>
      <c r="C7177" t="s">
        <v>40</v>
      </c>
      <c r="D7177">
        <v>4.5423460000000002</v>
      </c>
      <c r="E7177">
        <v>0.44482440000000001</v>
      </c>
      <c r="F7177" t="s">
        <v>49</v>
      </c>
      <c r="G7177">
        <v>-195.35400000000001</v>
      </c>
      <c r="H7177" s="1">
        <v>-4.5741010000000002E-6</v>
      </c>
      <c r="I7177">
        <v>-45.819310000000002</v>
      </c>
      <c r="J7177">
        <v>-199.0763</v>
      </c>
      <c r="K7177">
        <v>1.119523</v>
      </c>
      <c r="L7177">
        <v>-54.844940000000001</v>
      </c>
      <c r="M7177">
        <v>0.74532149999999997</v>
      </c>
      <c r="N7177">
        <v>-1.1108160000000001E-2</v>
      </c>
      <c r="O7177">
        <v>0.66661269999999995</v>
      </c>
      <c r="P7177">
        <v>0.4591575</v>
      </c>
      <c r="Q7177">
        <v>0.38052010000000003</v>
      </c>
      <c r="R7177">
        <v>0.80273209999999995</v>
      </c>
      <c r="S7177">
        <v>1.3399049999999999</v>
      </c>
      <c r="T7177">
        <v>-0.38461099999999998</v>
      </c>
      <c r="U7177">
        <v>3.158722</v>
      </c>
      <c r="V7177">
        <v>-0.30077920000000002</v>
      </c>
      <c r="W7177">
        <v>0.3836929</v>
      </c>
      <c r="X7177">
        <v>0.87310460000000001</v>
      </c>
      <c r="Y7177">
        <v>-0.42582710000000001</v>
      </c>
      <c r="Z7177">
        <v>-4.6567030000000002E-2</v>
      </c>
      <c r="AA7177">
        <v>0.90360549999999995</v>
      </c>
      <c r="AB7177">
        <v>29</v>
      </c>
      <c r="AC7177">
        <v>3.72229999999999</v>
      </c>
      <c r="AD7177">
        <v>-1.119527574101</v>
      </c>
      <c r="AE7177">
        <v>9.0256299999999996</v>
      </c>
      <c r="AF7177">
        <v>-4.1908199357595999</v>
      </c>
      <c r="AG7177">
        <v>-1.119527574101</v>
      </c>
      <c r="AH7177">
        <v>8.6773525194132599</v>
      </c>
      <c r="AI7177">
        <v>96.626769461393494</v>
      </c>
      <c r="AJ7177">
        <v>115.77871513176299</v>
      </c>
      <c r="AK7177">
        <v>9.7011731491248199</v>
      </c>
      <c r="AL7177">
        <v>67.437382293221404</v>
      </c>
      <c r="AM7177">
        <v>109.008516710058</v>
      </c>
      <c r="AN7177">
        <v>1.0000000056020999</v>
      </c>
    </row>
    <row r="7178" spans="1:40" x14ac:dyDescent="0.25">
      <c r="A7178" t="str">
        <f>"20190304165022947"</f>
        <v>20190304165022947</v>
      </c>
      <c r="B7178" t="str">
        <f>"1551689422942877"</f>
        <v>1551689422942877</v>
      </c>
      <c r="C7178" t="s">
        <v>40</v>
      </c>
      <c r="D7178">
        <v>4.5277669999999999</v>
      </c>
      <c r="E7178">
        <v>0.44603700000000002</v>
      </c>
      <c r="F7178" t="s">
        <v>49</v>
      </c>
      <c r="G7178">
        <v>-195.2774</v>
      </c>
      <c r="H7178" s="1">
        <v>-4.624456E-6</v>
      </c>
      <c r="I7178">
        <v>-45.692149999999998</v>
      </c>
      <c r="J7178">
        <v>-198.9556</v>
      </c>
      <c r="K7178">
        <v>1.1195360000000001</v>
      </c>
      <c r="L7178">
        <v>-54.728389999999997</v>
      </c>
      <c r="M7178">
        <v>0.74086430000000003</v>
      </c>
      <c r="N7178">
        <v>-1.108263E-2</v>
      </c>
      <c r="O7178">
        <v>0.67156329999999997</v>
      </c>
      <c r="P7178">
        <v>0.45449970000000001</v>
      </c>
      <c r="Q7178">
        <v>0.3805289</v>
      </c>
      <c r="R7178">
        <v>0.80537429999999999</v>
      </c>
      <c r="S7178">
        <v>1.31517</v>
      </c>
      <c r="T7178">
        <v>-0.38758160000000003</v>
      </c>
      <c r="U7178">
        <v>3.168701</v>
      </c>
      <c r="V7178">
        <v>-0.30003159999999901</v>
      </c>
      <c r="W7178">
        <v>0.38368540000000001</v>
      </c>
      <c r="X7178">
        <v>0.87336510000000001</v>
      </c>
      <c r="Y7178">
        <v>-0.42683989999999999</v>
      </c>
      <c r="Z7178">
        <v>-4.7591950000000001E-2</v>
      </c>
      <c r="AA7178">
        <v>0.90307400000000004</v>
      </c>
      <c r="AB7178">
        <v>29</v>
      </c>
      <c r="AC7178">
        <v>3.6781999999999999</v>
      </c>
      <c r="AD7178">
        <v>-1.119540624456</v>
      </c>
      <c r="AE7178">
        <v>9.0362399999999994</v>
      </c>
      <c r="AF7178">
        <v>-4.1698343827753002</v>
      </c>
      <c r="AG7178">
        <v>-1.119540624456</v>
      </c>
      <c r="AH7178">
        <v>8.6796996194331797</v>
      </c>
      <c r="AI7178">
        <v>96.631615304077201</v>
      </c>
      <c r="AJ7178">
        <v>115.66020182315199</v>
      </c>
      <c r="AK7178">
        <v>9.6942289777563406</v>
      </c>
      <c r="AL7178">
        <v>67.437848030242705</v>
      </c>
      <c r="AM7178">
        <v>108.959397341159</v>
      </c>
      <c r="AN7178">
        <v>1.00000002253486</v>
      </c>
    </row>
    <row r="7179" spans="1:40" x14ac:dyDescent="0.25">
      <c r="A7179" t="str">
        <f>"20190304165022960"</f>
        <v>20190304165022960</v>
      </c>
      <c r="B7179" t="str">
        <f>"1551689422952638"</f>
        <v>1551689422952638</v>
      </c>
      <c r="C7179" t="s">
        <v>40</v>
      </c>
      <c r="D7179">
        <v>4.5199669999999896</v>
      </c>
      <c r="E7179">
        <v>0.44661479999999998</v>
      </c>
      <c r="F7179" t="s">
        <v>49</v>
      </c>
      <c r="G7179">
        <v>-195.21039999999999</v>
      </c>
      <c r="H7179" s="1">
        <v>-4.6541699999999999E-6</v>
      </c>
      <c r="I7179">
        <v>-45.609400000000001</v>
      </c>
      <c r="J7179">
        <v>-198.8312</v>
      </c>
      <c r="K7179">
        <v>1.119553</v>
      </c>
      <c r="L7179">
        <v>-54.607030000000002</v>
      </c>
      <c r="M7179">
        <v>0.73620609999999997</v>
      </c>
      <c r="N7179">
        <v>-1.105654E-2</v>
      </c>
      <c r="O7179">
        <v>0.67666709999999997</v>
      </c>
      <c r="P7179">
        <v>0.449633</v>
      </c>
      <c r="Q7179">
        <v>0.3802779</v>
      </c>
      <c r="R7179">
        <v>0.80821969999999899</v>
      </c>
      <c r="S7179">
        <v>1.303391</v>
      </c>
      <c r="T7179">
        <v>-0.38961410000000002</v>
      </c>
      <c r="U7179">
        <v>3.1735229999999999</v>
      </c>
      <c r="V7179">
        <v>-0.29936190000000001</v>
      </c>
      <c r="W7179">
        <v>0.38341510000000001</v>
      </c>
      <c r="X7179">
        <v>0.87371350000000003</v>
      </c>
      <c r="Y7179">
        <v>-0.4239713</v>
      </c>
      <c r="Z7179">
        <v>-4.8710990000000003E-2</v>
      </c>
      <c r="AA7179">
        <v>0.90436470000000002</v>
      </c>
      <c r="AB7179">
        <v>30</v>
      </c>
      <c r="AC7179">
        <v>3.6208</v>
      </c>
      <c r="AD7179">
        <v>-1.1195576541700001</v>
      </c>
      <c r="AE7179">
        <v>8.9976299999999991</v>
      </c>
      <c r="AF7179">
        <v>-4.1193997191106604</v>
      </c>
      <c r="AG7179">
        <v>-1.1195576541700001</v>
      </c>
      <c r="AH7179">
        <v>8.6394729813206599</v>
      </c>
      <c r="AI7179">
        <v>96.6715807812934</v>
      </c>
      <c r="AJ7179">
        <v>115.492341121108</v>
      </c>
      <c r="AK7179">
        <v>9.6365635359182598</v>
      </c>
      <c r="AL7179">
        <v>67.4546166785276</v>
      </c>
      <c r="AM7179">
        <v>108.91308292135</v>
      </c>
      <c r="AN7179">
        <v>0.99999998308093396</v>
      </c>
    </row>
    <row r="7180" spans="1:40" x14ac:dyDescent="0.25">
      <c r="A7180" t="str">
        <f>"20190304165022979"</f>
        <v>20190304165022979</v>
      </c>
      <c r="B7180" t="str">
        <f>"1551689422973133"</f>
        <v>1551689422973133</v>
      </c>
      <c r="C7180" t="s">
        <v>40</v>
      </c>
      <c r="D7180">
        <v>4.4852790000000002</v>
      </c>
      <c r="E7180">
        <v>0.45577190000000001</v>
      </c>
      <c r="F7180" t="s">
        <v>41</v>
      </c>
      <c r="G7180">
        <v>-198.4469</v>
      </c>
      <c r="H7180">
        <v>1.002445</v>
      </c>
      <c r="I7180">
        <v>-53.6571199999999</v>
      </c>
      <c r="J7180">
        <v>-198.6482</v>
      </c>
      <c r="K7180">
        <v>1.1195839999999999</v>
      </c>
      <c r="L7180">
        <v>-54.425260000000002</v>
      </c>
      <c r="M7180">
        <v>0.72922299999999995</v>
      </c>
      <c r="N7180">
        <v>-1.1019640000000001E-2</v>
      </c>
      <c r="O7180">
        <v>0.6841874</v>
      </c>
      <c r="P7180">
        <v>0.44266119999999998</v>
      </c>
      <c r="Q7180">
        <v>0.38056909999999999</v>
      </c>
      <c r="R7180">
        <v>0.81192259999999905</v>
      </c>
      <c r="S7180">
        <v>1.286362</v>
      </c>
      <c r="T7180">
        <v>-0.39212469999999999</v>
      </c>
      <c r="U7180">
        <v>3.1807249999999998</v>
      </c>
      <c r="V7180">
        <v>-0.29784470000000002</v>
      </c>
      <c r="W7180">
        <v>0.38368809999999998</v>
      </c>
      <c r="X7180">
        <v>0.87411209999999995</v>
      </c>
      <c r="Y7180">
        <v>-0.41959209999999902</v>
      </c>
      <c r="Z7180">
        <v>-5.0303430000000003E-2</v>
      </c>
      <c r="AA7180">
        <v>0.90631790000000001</v>
      </c>
      <c r="AB7180">
        <v>30</v>
      </c>
      <c r="AC7180">
        <v>0.201300000000003</v>
      </c>
      <c r="AD7180">
        <v>-0.11713899999999899</v>
      </c>
      <c r="AE7180">
        <v>0.76814000000000204</v>
      </c>
      <c r="AF7180">
        <v>-0.41344711304242299</v>
      </c>
      <c r="AG7180">
        <v>-0.11713899999999899</v>
      </c>
      <c r="AH7180">
        <v>0.65806505762094203</v>
      </c>
      <c r="AI7180">
        <v>98.571425848026294</v>
      </c>
      <c r="AJ7180">
        <v>122.140199883964</v>
      </c>
      <c r="AK7180">
        <v>0.78594508756386205</v>
      </c>
      <c r="AL7180">
        <v>67.437679816232702</v>
      </c>
      <c r="AM7180">
        <v>108.816015004037</v>
      </c>
      <c r="AN7180">
        <v>0.99999999338305501</v>
      </c>
    </row>
    <row r="7181" spans="1:40" x14ac:dyDescent="0.25">
      <c r="A7181" t="str">
        <f>"20190304165022992"</f>
        <v>20190304165022992</v>
      </c>
      <c r="B7181" t="str">
        <f>"1551689422982894"</f>
        <v>1551689422982894</v>
      </c>
      <c r="C7181" t="s">
        <v>40</v>
      </c>
      <c r="D7181">
        <v>4.5101259999999996</v>
      </c>
      <c r="E7181">
        <v>0.45592090000000002</v>
      </c>
      <c r="F7181" t="s">
        <v>41</v>
      </c>
      <c r="G7181">
        <v>-198.22049999999999</v>
      </c>
      <c r="H7181">
        <v>0.98664050000000003</v>
      </c>
      <c r="I7181">
        <v>-53.402180000000001</v>
      </c>
      <c r="J7181">
        <v>-198.52889999999999</v>
      </c>
      <c r="K7181">
        <v>1.1195980000000001</v>
      </c>
      <c r="L7181">
        <v>-54.304870000000001</v>
      </c>
      <c r="M7181">
        <v>0.72458719999999999</v>
      </c>
      <c r="N7181">
        <v>-1.099699E-2</v>
      </c>
      <c r="O7181">
        <v>0.68909540000000002</v>
      </c>
      <c r="P7181">
        <v>0.43794040000000001</v>
      </c>
      <c r="Q7181">
        <v>0.38086680000000001</v>
      </c>
      <c r="R7181">
        <v>0.81433940000000005</v>
      </c>
      <c r="S7181">
        <v>1.323456</v>
      </c>
      <c r="T7181">
        <v>-0.41142299999999998</v>
      </c>
      <c r="U7181">
        <v>3.166229</v>
      </c>
      <c r="V7181">
        <v>-0.29694100000000001</v>
      </c>
      <c r="W7181">
        <v>0.38397120000000001</v>
      </c>
      <c r="X7181">
        <v>0.87429519999999905</v>
      </c>
      <c r="Y7181">
        <v>-0.40300770000000002</v>
      </c>
      <c r="Z7181">
        <v>-5.4775839999999999E-2</v>
      </c>
      <c r="AA7181">
        <v>0.91355589999999998</v>
      </c>
      <c r="AB7181">
        <v>30</v>
      </c>
      <c r="AC7181">
        <v>0.308400000000006</v>
      </c>
      <c r="AD7181">
        <v>-0.13295749999999901</v>
      </c>
      <c r="AE7181">
        <v>0.902689999999992</v>
      </c>
      <c r="AF7181">
        <v>-0.43317210658070299</v>
      </c>
      <c r="AG7181">
        <v>-0.13295749999999901</v>
      </c>
      <c r="AH7181">
        <v>0.82943989761579595</v>
      </c>
      <c r="AI7181">
        <v>98.086918264980696</v>
      </c>
      <c r="AJ7181">
        <v>117.57565815140499</v>
      </c>
      <c r="AK7181">
        <v>0.94513825151811304</v>
      </c>
      <c r="AL7181">
        <v>67.420113303550096</v>
      </c>
      <c r="AM7181">
        <v>108.75927050374</v>
      </c>
      <c r="AN7181">
        <v>0.99999996832673899</v>
      </c>
    </row>
    <row r="7182" spans="1:40" x14ac:dyDescent="0.25">
      <c r="A7182" t="str">
        <f>"20190304165023013"</f>
        <v>20190304165023013</v>
      </c>
      <c r="B7182" t="str">
        <f>"1551689423002413"</f>
        <v>1551689423002413</v>
      </c>
      <c r="C7182" t="s">
        <v>40</v>
      </c>
      <c r="D7182">
        <v>4.540305</v>
      </c>
      <c r="E7182">
        <v>0.45675009999999999</v>
      </c>
      <c r="F7182" t="s">
        <v>49</v>
      </c>
      <c r="G7182">
        <v>-194.96619999999999</v>
      </c>
      <c r="H7182" s="1">
        <v>-4.5969120000000003E-6</v>
      </c>
      <c r="I7182">
        <v>-45.636800000000001</v>
      </c>
      <c r="J7182">
        <v>-198.346</v>
      </c>
      <c r="K7182">
        <v>1.119631</v>
      </c>
      <c r="L7182">
        <v>-54.116849999999999</v>
      </c>
      <c r="M7182">
        <v>0.71733570000000002</v>
      </c>
      <c r="N7182">
        <v>-1.096167E-2</v>
      </c>
      <c r="O7182">
        <v>0.69664139999999997</v>
      </c>
      <c r="P7182">
        <v>0.43045280000000002</v>
      </c>
      <c r="Q7182">
        <v>0.38225569999999998</v>
      </c>
      <c r="R7182">
        <v>0.81767419999999902</v>
      </c>
      <c r="S7182">
        <v>1.3046260000000001</v>
      </c>
      <c r="T7182">
        <v>-0.4099835</v>
      </c>
      <c r="U7182">
        <v>3.1741329999999999</v>
      </c>
      <c r="V7182">
        <v>-0.29540420000000001</v>
      </c>
      <c r="W7182">
        <v>0.38533790000000001</v>
      </c>
      <c r="X7182">
        <v>0.87421450000000001</v>
      </c>
      <c r="Y7182">
        <v>-0.39890229999999999</v>
      </c>
      <c r="Z7182">
        <v>-5.5809820000000003E-2</v>
      </c>
      <c r="AA7182">
        <v>0.91529349999999998</v>
      </c>
      <c r="AB7182">
        <v>30</v>
      </c>
      <c r="AC7182">
        <v>3.3797999999999799</v>
      </c>
      <c r="AD7182">
        <v>-1.119635596912</v>
      </c>
      <c r="AE7182">
        <v>8.4800499999999897</v>
      </c>
      <c r="AF7182">
        <v>-3.6734983821418798</v>
      </c>
      <c r="AG7182">
        <v>-1.119635596912</v>
      </c>
      <c r="AH7182">
        <v>8.2090192213043096</v>
      </c>
      <c r="AI7182">
        <v>97.096481226253402</v>
      </c>
      <c r="AJ7182">
        <v>114.108296557465</v>
      </c>
      <c r="AK7182">
        <v>9.0629007944043494</v>
      </c>
      <c r="AL7182">
        <v>67.335280062244394</v>
      </c>
      <c r="AM7182">
        <v>108.670529830821</v>
      </c>
      <c r="AN7182">
        <v>0.99999996528214896</v>
      </c>
    </row>
    <row r="7183" spans="1:40" x14ac:dyDescent="0.25">
      <c r="A7183" t="str">
        <f>"20190304165023029"</f>
        <v>20190304165023029</v>
      </c>
      <c r="B7183" t="str">
        <f>"1551689423022909"</f>
        <v>1551689423022909</v>
      </c>
      <c r="C7183" t="s">
        <v>40</v>
      </c>
      <c r="D7183">
        <v>4.5110130000000002</v>
      </c>
      <c r="E7183">
        <v>0.4577677</v>
      </c>
      <c r="F7183" t="s">
        <v>49</v>
      </c>
      <c r="G7183">
        <v>-194.80950000000001</v>
      </c>
      <c r="H7183" s="1">
        <v>-4.7278020000000003E-6</v>
      </c>
      <c r="I7183">
        <v>-45.316270000000003</v>
      </c>
      <c r="J7183">
        <v>-198.1969</v>
      </c>
      <c r="K7183">
        <v>1.1196549999999901</v>
      </c>
      <c r="L7183">
        <v>-53.9604199999999</v>
      </c>
      <c r="M7183">
        <v>0.71129149999999997</v>
      </c>
      <c r="N7183">
        <v>-1.0929940000000001E-2</v>
      </c>
      <c r="O7183">
        <v>0.70281210000000005</v>
      </c>
      <c r="P7183">
        <v>0.42399629999999999</v>
      </c>
      <c r="Q7183">
        <v>0.38238499999999997</v>
      </c>
      <c r="R7183">
        <v>0.82098040000000005</v>
      </c>
      <c r="S7183">
        <v>1.279739</v>
      </c>
      <c r="T7183">
        <v>-0.40516200000000002</v>
      </c>
      <c r="U7183">
        <v>3.1846619999999999</v>
      </c>
      <c r="V7183">
        <v>-0.29472589999999999</v>
      </c>
      <c r="W7183">
        <v>0.38543559999999999</v>
      </c>
      <c r="X7183">
        <v>0.87440039999999997</v>
      </c>
      <c r="Y7183">
        <v>-0.39819890000000002</v>
      </c>
      <c r="Z7183">
        <v>-5.5925269999999999E-2</v>
      </c>
      <c r="AA7183">
        <v>0.91559270000000004</v>
      </c>
      <c r="AB7183">
        <v>30</v>
      </c>
      <c r="AC7183">
        <v>3.38739999999998</v>
      </c>
      <c r="AD7183">
        <v>-1.11965972780199</v>
      </c>
      <c r="AE7183">
        <v>8.6441499999999891</v>
      </c>
      <c r="AF7183">
        <v>-3.7140130925057</v>
      </c>
      <c r="AG7183">
        <v>-1.11965972780199</v>
      </c>
      <c r="AH7183">
        <v>8.3635097978296908</v>
      </c>
      <c r="AI7183">
        <v>96.975627900080895</v>
      </c>
      <c r="AJ7183">
        <v>113.944738859799</v>
      </c>
      <c r="AK7183">
        <v>9.2193181578552004</v>
      </c>
      <c r="AL7183">
        <v>67.3292147055773</v>
      </c>
      <c r="AM7183">
        <v>108.62693303269801</v>
      </c>
      <c r="AN7183">
        <v>1.0000000086991601</v>
      </c>
    </row>
    <row r="7184" spans="1:40" x14ac:dyDescent="0.25">
      <c r="A7184" t="str">
        <f>"20190304165023046"</f>
        <v>20190304165023046</v>
      </c>
      <c r="B7184" t="str">
        <f>"1551689423042429"</f>
        <v>1551689423042429</v>
      </c>
      <c r="C7184" t="s">
        <v>40</v>
      </c>
      <c r="D7184">
        <v>4.6288660000000004</v>
      </c>
      <c r="E7184">
        <v>0.47288140000000001</v>
      </c>
      <c r="F7184" t="s">
        <v>49</v>
      </c>
      <c r="G7184">
        <v>-194.7193</v>
      </c>
      <c r="H7184" s="1">
        <v>-4.7855369999999997E-6</v>
      </c>
      <c r="I7184">
        <v>-45.15784</v>
      </c>
      <c r="J7184">
        <v>-198.0515</v>
      </c>
      <c r="K7184">
        <v>1.1196699999999999</v>
      </c>
      <c r="L7184">
        <v>-53.805300000000003</v>
      </c>
      <c r="M7184">
        <v>0.705287</v>
      </c>
      <c r="N7184">
        <v>-1.0897779999999999E-2</v>
      </c>
      <c r="O7184">
        <v>0.70883809999999903</v>
      </c>
      <c r="P7184">
        <v>0.4180895</v>
      </c>
      <c r="Q7184">
        <v>0.38201279999999999</v>
      </c>
      <c r="R7184">
        <v>0.82417680000000004</v>
      </c>
      <c r="S7184">
        <v>1.261047</v>
      </c>
      <c r="T7184">
        <v>-0.40601039999999999</v>
      </c>
      <c r="U7184">
        <v>3.191986</v>
      </c>
      <c r="V7184">
        <v>-0.29370020000000002</v>
      </c>
      <c r="W7184">
        <v>0.38504389999999999</v>
      </c>
      <c r="X7184">
        <v>0.87491790000000003</v>
      </c>
      <c r="Y7184">
        <v>-0.39578219999999997</v>
      </c>
      <c r="Z7184">
        <v>-5.7016610000000002E-2</v>
      </c>
      <c r="AA7184">
        <v>0.91657270000000002</v>
      </c>
      <c r="AB7184">
        <v>30</v>
      </c>
      <c r="AC7184">
        <v>3.3321999999999998</v>
      </c>
      <c r="AD7184">
        <v>-1.119674785537</v>
      </c>
      <c r="AE7184">
        <v>8.6474600000000006</v>
      </c>
      <c r="AF7184">
        <v>-3.6834039853396501</v>
      </c>
      <c r="AG7184">
        <v>-1.119674785537</v>
      </c>
      <c r="AH7184">
        <v>8.3582991956500194</v>
      </c>
      <c r="AI7184">
        <v>96.988687909034695</v>
      </c>
      <c r="AJ7184">
        <v>113.782522333914</v>
      </c>
      <c r="AK7184">
        <v>9.2022987339353008</v>
      </c>
      <c r="AL7184">
        <v>67.353533677301698</v>
      </c>
      <c r="AM7184">
        <v>108.55632887489099</v>
      </c>
      <c r="AN7184">
        <v>0.99999997207382896</v>
      </c>
    </row>
    <row r="7185" spans="1:40" x14ac:dyDescent="0.25">
      <c r="A7185" t="str">
        <f>"20190304165023059"</f>
        <v>20190304165023059</v>
      </c>
      <c r="B7185" t="str">
        <f>"1551689423052189"</f>
        <v>1551689423052189</v>
      </c>
      <c r="C7185" t="s">
        <v>40</v>
      </c>
      <c r="D7185">
        <v>4.6023930000000002</v>
      </c>
      <c r="E7185">
        <v>0.48205559999999997</v>
      </c>
      <c r="F7185" t="s">
        <v>49</v>
      </c>
      <c r="G7185">
        <v>-194.5102</v>
      </c>
      <c r="H7185" s="1">
        <v>-4.5752480000000003E-6</v>
      </c>
      <c r="I7185">
        <v>-45.518540000000002</v>
      </c>
      <c r="J7185">
        <v>-197.92339999999999</v>
      </c>
      <c r="K7185">
        <v>1.1196820000000001</v>
      </c>
      <c r="L7185">
        <v>-53.666690000000003</v>
      </c>
      <c r="M7185">
        <v>0.6999109</v>
      </c>
      <c r="N7185">
        <v>-1.086845E-2</v>
      </c>
      <c r="O7185">
        <v>0.71414739999999999</v>
      </c>
      <c r="P7185">
        <v>0.41219840000000002</v>
      </c>
      <c r="Q7185">
        <v>0.38149359999999999</v>
      </c>
      <c r="R7185">
        <v>0.82737850000000002</v>
      </c>
      <c r="S7185">
        <v>1.3477479999999999</v>
      </c>
      <c r="T7185">
        <v>-0.42613030000000002</v>
      </c>
      <c r="U7185">
        <v>3.1538089999999999</v>
      </c>
      <c r="V7185">
        <v>-0.2935083</v>
      </c>
      <c r="W7185">
        <v>0.38448979999999999</v>
      </c>
      <c r="X7185">
        <v>0.87522599999999995</v>
      </c>
      <c r="Y7185">
        <v>-0.36353289999999999</v>
      </c>
      <c r="Z7185">
        <v>-6.2788289999999997E-2</v>
      </c>
      <c r="AA7185">
        <v>0.92946300000000004</v>
      </c>
      <c r="AB7185">
        <v>30</v>
      </c>
      <c r="AC7185">
        <v>3.4131999999999798</v>
      </c>
      <c r="AD7185">
        <v>-1.1196865752480001</v>
      </c>
      <c r="AE7185">
        <v>8.1481499999999993</v>
      </c>
      <c r="AF7185">
        <v>-3.2140131267107401</v>
      </c>
      <c r="AG7185">
        <v>-1.1196865752480001</v>
      </c>
      <c r="AH7185">
        <v>8.0786234656104803</v>
      </c>
      <c r="AI7185">
        <v>97.3382338030613</v>
      </c>
      <c r="AJ7185">
        <v>111.69472446642401</v>
      </c>
      <c r="AK7185">
        <v>8.7662840191595297</v>
      </c>
      <c r="AL7185">
        <v>67.387930871038293</v>
      </c>
      <c r="AM7185">
        <v>108.538951870829</v>
      </c>
      <c r="AN7185">
        <v>1.0000000397744599</v>
      </c>
    </row>
    <row r="7186" spans="1:40" x14ac:dyDescent="0.25">
      <c r="A7186" t="str">
        <f>"20190304165023083"</f>
        <v>20190304165023083</v>
      </c>
      <c r="B7186" t="str">
        <f>"1551689423072685"</f>
        <v>1551689423072685</v>
      </c>
      <c r="C7186" t="s">
        <v>40</v>
      </c>
      <c r="D7186">
        <v>4.5191239999999997</v>
      </c>
      <c r="E7186">
        <v>0.49353409999999898</v>
      </c>
      <c r="F7186" t="s">
        <v>49</v>
      </c>
      <c r="G7186">
        <v>-194.33619999999999</v>
      </c>
      <c r="H7186" s="1">
        <v>-4.5089860000000004E-6</v>
      </c>
      <c r="I7186">
        <v>-45.58867</v>
      </c>
      <c r="J7186">
        <v>-197.7209</v>
      </c>
      <c r="K7186">
        <v>1.119702</v>
      </c>
      <c r="L7186">
        <v>-53.442839999999997</v>
      </c>
      <c r="M7186">
        <v>0.69122229999999996</v>
      </c>
      <c r="N7186">
        <v>-1.0820059999999999E-2</v>
      </c>
      <c r="O7186">
        <v>0.72256119999999902</v>
      </c>
      <c r="P7186">
        <v>0.40329409999999999</v>
      </c>
      <c r="Q7186">
        <v>0.3806543</v>
      </c>
      <c r="R7186">
        <v>0.83213950000000003</v>
      </c>
      <c r="S7186">
        <v>1.3912659999999999</v>
      </c>
      <c r="T7186">
        <v>-0.43426569999999998</v>
      </c>
      <c r="U7186">
        <v>3.1330260000000001</v>
      </c>
      <c r="V7186">
        <v>-0.29258879999999998</v>
      </c>
      <c r="W7186">
        <v>0.38361190000000001</v>
      </c>
      <c r="X7186">
        <v>0.8759188</v>
      </c>
      <c r="Y7186">
        <v>-0.33925609999999901</v>
      </c>
      <c r="Z7186">
        <v>-6.6677219999999995E-2</v>
      </c>
      <c r="AA7186">
        <v>0.93832800000000005</v>
      </c>
      <c r="AB7186">
        <v>30</v>
      </c>
      <c r="AC7186">
        <v>3.3847</v>
      </c>
      <c r="AD7186">
        <v>-1.1197065089860001</v>
      </c>
      <c r="AE7186">
        <v>7.8541699999999999</v>
      </c>
      <c r="AF7186">
        <v>-2.9332216827558799</v>
      </c>
      <c r="AG7186">
        <v>-1.1197065089860001</v>
      </c>
      <c r="AH7186">
        <v>7.8800972908692799</v>
      </c>
      <c r="AI7186">
        <v>97.585257534484398</v>
      </c>
      <c r="AJ7186">
        <v>110.41685971023</v>
      </c>
      <c r="AK7186">
        <v>8.4825388546130593</v>
      </c>
      <c r="AL7186">
        <v>67.442408158042397</v>
      </c>
      <c r="AM7186">
        <v>108.471197848586</v>
      </c>
      <c r="AN7186">
        <v>1.0000000199502399</v>
      </c>
    </row>
    <row r="7187" spans="1:40" x14ac:dyDescent="0.25">
      <c r="A7187" t="str">
        <f>"20190304165023104"</f>
        <v>20190304165023104</v>
      </c>
      <c r="B7187" t="str">
        <f>"1551689423092205"</f>
        <v>1551689423092205</v>
      </c>
      <c r="C7187" t="s">
        <v>40</v>
      </c>
      <c r="D7187">
        <v>4.5033000000000003</v>
      </c>
      <c r="E7187">
        <v>0.49954179999999998</v>
      </c>
      <c r="F7187" t="s">
        <v>49</v>
      </c>
      <c r="G7187">
        <v>-194.14510000000001</v>
      </c>
      <c r="H7187" s="1">
        <v>-4.4105530000000004E-6</v>
      </c>
      <c r="I7187">
        <v>-45.716659999999997</v>
      </c>
      <c r="J7187">
        <v>-197.5343</v>
      </c>
      <c r="K7187">
        <v>1.1197189999999999</v>
      </c>
      <c r="L7187">
        <v>-53.231810000000003</v>
      </c>
      <c r="M7187">
        <v>0.68301849999999997</v>
      </c>
      <c r="N7187">
        <v>-1.07759E-2</v>
      </c>
      <c r="O7187">
        <v>0.73032159999999902</v>
      </c>
      <c r="P7187">
        <v>0.39442349999999998</v>
      </c>
      <c r="Q7187">
        <v>0.37937409999999999</v>
      </c>
      <c r="R7187">
        <v>0.83696199999999998</v>
      </c>
      <c r="S7187">
        <v>1.4408719999999999</v>
      </c>
      <c r="T7187">
        <v>-0.45118330000000001</v>
      </c>
      <c r="U7187">
        <v>3.113251</v>
      </c>
      <c r="V7187">
        <v>-0.29240179999999999</v>
      </c>
      <c r="W7187">
        <v>0.3822834</v>
      </c>
      <c r="X7187">
        <v>0.87656179999999995</v>
      </c>
      <c r="Y7187">
        <v>-0.31415389999999999</v>
      </c>
      <c r="Z7187">
        <v>-7.202335E-2</v>
      </c>
      <c r="AA7187">
        <v>0.94663609999999998</v>
      </c>
      <c r="AB7187">
        <v>30</v>
      </c>
      <c r="AC7187">
        <v>3.3891999999999798</v>
      </c>
      <c r="AD7187">
        <v>-1.1197234105530001</v>
      </c>
      <c r="AE7187">
        <v>7.5151499999999896</v>
      </c>
      <c r="AF7187">
        <v>-2.6097902403622601</v>
      </c>
      <c r="AG7187">
        <v>-1.1197234105530001</v>
      </c>
      <c r="AH7187">
        <v>7.6624610800915702</v>
      </c>
      <c r="AI7187">
        <v>97.875621460687</v>
      </c>
      <c r="AJ7187">
        <v>108.808547980719</v>
      </c>
      <c r="AK7187">
        <v>8.1717865499992399</v>
      </c>
      <c r="AL7187">
        <v>67.524806382928801</v>
      </c>
      <c r="AM7187">
        <v>108.447568420002</v>
      </c>
      <c r="AN7187">
        <v>0.99999999988902</v>
      </c>
    </row>
    <row r="7188" spans="1:40" x14ac:dyDescent="0.25">
      <c r="A7188" t="str">
        <f>"20190304165023125"</f>
        <v>20190304165023125</v>
      </c>
      <c r="B7188" t="str">
        <f>"1551689423122462"</f>
        <v>1551689423122462</v>
      </c>
      <c r="C7188" t="s">
        <v>40</v>
      </c>
      <c r="D7188">
        <v>4.4703200000000001</v>
      </c>
      <c r="E7188">
        <v>0.50403799999999999</v>
      </c>
      <c r="F7188" t="s">
        <v>49</v>
      </c>
      <c r="G7188">
        <v>-194.0316</v>
      </c>
      <c r="H7188" s="1">
        <v>-4.3878989999999997E-6</v>
      </c>
      <c r="I7188">
        <v>-45.721519999999998</v>
      </c>
      <c r="J7188">
        <v>-197.3563</v>
      </c>
      <c r="K7188">
        <v>1.119729</v>
      </c>
      <c r="L7188">
        <v>-53.025910000000003</v>
      </c>
      <c r="M7188">
        <v>0.67500700000000002</v>
      </c>
      <c r="N7188">
        <v>-1.0734250000000001E-2</v>
      </c>
      <c r="O7188">
        <v>0.73773319999999998</v>
      </c>
      <c r="P7188">
        <v>0.38589990000000002</v>
      </c>
      <c r="Q7188">
        <v>0.37788050000000001</v>
      </c>
      <c r="R7188">
        <v>0.84159830000000002</v>
      </c>
      <c r="S7188">
        <v>1.4508970000000001</v>
      </c>
      <c r="T7188">
        <v>-0.46381</v>
      </c>
      <c r="U7188">
        <v>3.1109010000000001</v>
      </c>
      <c r="V7188">
        <v>-0.29218080000000002</v>
      </c>
      <c r="W7188">
        <v>0.38074730000000001</v>
      </c>
      <c r="X7188">
        <v>0.87730379999999997</v>
      </c>
      <c r="Y7188">
        <v>-0.301151</v>
      </c>
      <c r="Z7188">
        <v>-7.6030410000000007E-2</v>
      </c>
      <c r="AA7188">
        <v>0.95054059999999996</v>
      </c>
      <c r="AB7188">
        <v>30</v>
      </c>
      <c r="AC7188">
        <v>3.3247</v>
      </c>
      <c r="AD7188">
        <v>-1.1197333878989999</v>
      </c>
      <c r="AE7188">
        <v>7.3043899999999899</v>
      </c>
      <c r="AF7188">
        <v>-2.43060000202694</v>
      </c>
      <c r="AG7188">
        <v>-1.1197333878989999</v>
      </c>
      <c r="AH7188">
        <v>7.48756889530104</v>
      </c>
      <c r="AI7188">
        <v>98.095389216526499</v>
      </c>
      <c r="AJ7188">
        <v>107.984365860232</v>
      </c>
      <c r="AK7188">
        <v>7.9514342851908699</v>
      </c>
      <c r="AL7188">
        <v>67.6200211698808</v>
      </c>
      <c r="AM7188">
        <v>108.420029660819</v>
      </c>
      <c r="AN7188">
        <v>1.00000004192018</v>
      </c>
    </row>
    <row r="7189" spans="1:40" x14ac:dyDescent="0.25">
      <c r="A7189" t="str">
        <f>"20190304165023149"</f>
        <v>20190304165023149</v>
      </c>
      <c r="B7189" t="str">
        <f>"1551689423142957"</f>
        <v>1551689423142957</v>
      </c>
      <c r="C7189" t="s">
        <v>40</v>
      </c>
      <c r="D7189">
        <v>4.4034659999999999</v>
      </c>
      <c r="E7189">
        <v>0.50507709999999995</v>
      </c>
      <c r="F7189" t="s">
        <v>49</v>
      </c>
      <c r="G7189">
        <v>-193.86439999999999</v>
      </c>
      <c r="H7189" s="1">
        <v>-4.4508060000000004E-6</v>
      </c>
      <c r="I7189">
        <v>-45.53736</v>
      </c>
      <c r="J7189">
        <v>-197.15049999999999</v>
      </c>
      <c r="K7189">
        <v>1.1197410000000001</v>
      </c>
      <c r="L7189">
        <v>-52.782290000000003</v>
      </c>
      <c r="M7189">
        <v>0.665516</v>
      </c>
      <c r="N7189">
        <v>-1.068522E-2</v>
      </c>
      <c r="O7189">
        <v>0.7463071</v>
      </c>
      <c r="P7189">
        <v>0.37582710000000003</v>
      </c>
      <c r="Q7189">
        <v>0.37601079999999998</v>
      </c>
      <c r="R7189">
        <v>0.84697690000000003</v>
      </c>
      <c r="S7189">
        <v>1.4495849999999999</v>
      </c>
      <c r="T7189">
        <v>-0.4648274</v>
      </c>
      <c r="U7189">
        <v>3.108673</v>
      </c>
      <c r="V7189">
        <v>-0.2919658</v>
      </c>
      <c r="W7189">
        <v>0.37882759999999999</v>
      </c>
      <c r="X7189">
        <v>0.87820589999999998</v>
      </c>
      <c r="Y7189">
        <v>-0.28910089999999999</v>
      </c>
      <c r="Z7189">
        <v>-7.8212429999999999E-2</v>
      </c>
      <c r="AA7189">
        <v>0.95409829999999995</v>
      </c>
      <c r="AB7189">
        <v>30</v>
      </c>
      <c r="AC7189">
        <v>3.2860999999999998</v>
      </c>
      <c r="AD7189">
        <v>-1.1197454508060001</v>
      </c>
      <c r="AE7189">
        <v>7.2449300000000001</v>
      </c>
      <c r="AF7189">
        <v>-2.32328420170214</v>
      </c>
      <c r="AG7189">
        <v>-1.1197454508060001</v>
      </c>
      <c r="AH7189">
        <v>7.4467949576149</v>
      </c>
      <c r="AI7189">
        <v>98.168580043915</v>
      </c>
      <c r="AJ7189">
        <v>107.327109667071</v>
      </c>
      <c r="AK7189">
        <v>7.8807508840997</v>
      </c>
      <c r="AL7189">
        <v>67.7389193884121</v>
      </c>
      <c r="AM7189">
        <v>108.38975370732901</v>
      </c>
      <c r="AN7189">
        <v>0.99999999084310498</v>
      </c>
    </row>
    <row r="7190" spans="1:40" x14ac:dyDescent="0.25">
      <c r="A7190" t="str">
        <f>"20190304165023171"</f>
        <v>20190304165023171</v>
      </c>
      <c r="B7190" t="str">
        <f>"1551689423162478"</f>
        <v>1551689423162478</v>
      </c>
      <c r="C7190" t="s">
        <v>40</v>
      </c>
      <c r="D7190">
        <v>4.482977</v>
      </c>
      <c r="E7190">
        <v>0.50731689999999996</v>
      </c>
      <c r="F7190" t="s">
        <v>49</v>
      </c>
      <c r="G7190">
        <v>-193.70099999999999</v>
      </c>
      <c r="H7190" s="1">
        <v>-4.5888010000000002E-6</v>
      </c>
      <c r="I7190">
        <v>-45.191009999999999</v>
      </c>
      <c r="J7190">
        <v>-196.9716</v>
      </c>
      <c r="K7190">
        <v>1.119753</v>
      </c>
      <c r="L7190">
        <v>-52.565309999999997</v>
      </c>
      <c r="M7190">
        <v>0.65706009999999904</v>
      </c>
      <c r="N7190">
        <v>-1.0641100000000001E-2</v>
      </c>
      <c r="O7190">
        <v>0.75376309999999902</v>
      </c>
      <c r="P7190">
        <v>0.36682809999999999</v>
      </c>
      <c r="Q7190">
        <v>0.37454419999999999</v>
      </c>
      <c r="R7190">
        <v>0.85155959999999997</v>
      </c>
      <c r="S7190">
        <v>1.416641</v>
      </c>
      <c r="T7190">
        <v>-0.45985229999999999</v>
      </c>
      <c r="U7190">
        <v>3.1175540000000002</v>
      </c>
      <c r="V7190">
        <v>-0.29178569999999998</v>
      </c>
      <c r="W7190">
        <v>0.37731480000000001</v>
      </c>
      <c r="X7190">
        <v>0.87891679999999905</v>
      </c>
      <c r="Y7190">
        <v>-0.28768129999999997</v>
      </c>
      <c r="Z7190">
        <v>-7.8633170000000002E-2</v>
      </c>
      <c r="AA7190">
        <v>0.95449269999999997</v>
      </c>
      <c r="AB7190">
        <v>30</v>
      </c>
      <c r="AC7190">
        <v>3.2706</v>
      </c>
      <c r="AD7190">
        <v>-1.1197575888010001</v>
      </c>
      <c r="AE7190">
        <v>7.3742999999999901</v>
      </c>
      <c r="AF7190">
        <v>-2.3352417619316901</v>
      </c>
      <c r="AG7190">
        <v>-1.1197575888010001</v>
      </c>
      <c r="AH7190">
        <v>7.5621897447591699</v>
      </c>
      <c r="AI7190">
        <v>98.0528133244636</v>
      </c>
      <c r="AJ7190">
        <v>107.160947901903</v>
      </c>
      <c r="AK7190">
        <v>7.9933675556731396</v>
      </c>
      <c r="AL7190">
        <v>67.832547046915906</v>
      </c>
      <c r="AM7190">
        <v>108.365304577838</v>
      </c>
      <c r="AN7190">
        <v>1.00000004717288</v>
      </c>
    </row>
    <row r="7191" spans="1:40" x14ac:dyDescent="0.25">
      <c r="A7191" t="str">
        <f>"20190304165023193"</f>
        <v>20190304165023193</v>
      </c>
      <c r="B7191" t="str">
        <f>"1551689423182976"</f>
        <v>1551689423182976</v>
      </c>
      <c r="C7191" t="s">
        <v>40</v>
      </c>
      <c r="D7191">
        <v>4.5212510000000004</v>
      </c>
      <c r="E7191">
        <v>0.50901019999999997</v>
      </c>
      <c r="F7191" t="s">
        <v>49</v>
      </c>
      <c r="G7191">
        <v>-193.637</v>
      </c>
      <c r="H7191" s="1">
        <v>-4.61414499999999E-6</v>
      </c>
      <c r="I7191">
        <v>-45.112160000000003</v>
      </c>
      <c r="J7191">
        <v>-196.78800000000001</v>
      </c>
      <c r="K7191">
        <v>1.1197600000000001</v>
      </c>
      <c r="L7191">
        <v>-52.337400000000002</v>
      </c>
      <c r="M7191">
        <v>0.64817530000000001</v>
      </c>
      <c r="N7191">
        <v>-1.059505E-2</v>
      </c>
      <c r="O7191">
        <v>0.76141749999999997</v>
      </c>
      <c r="P7191">
        <v>0.3576336</v>
      </c>
      <c r="Q7191">
        <v>0.37286150000000001</v>
      </c>
      <c r="R7191">
        <v>0.85619650000000003</v>
      </c>
      <c r="S7191">
        <v>1.399017</v>
      </c>
      <c r="T7191">
        <v>-0.46978760000000003</v>
      </c>
      <c r="U7191">
        <v>3.1269230000000001</v>
      </c>
      <c r="V7191">
        <v>-0.2914042</v>
      </c>
      <c r="W7191">
        <v>0.37558970000000003</v>
      </c>
      <c r="X7191">
        <v>0.87978179999999995</v>
      </c>
      <c r="Y7191">
        <v>-0.28212110000000001</v>
      </c>
      <c r="Z7191">
        <v>-8.1936510000000004E-2</v>
      </c>
      <c r="AA7191">
        <v>0.95587350000000004</v>
      </c>
      <c r="AB7191">
        <v>30</v>
      </c>
      <c r="AC7191">
        <v>3.1509999999999798</v>
      </c>
      <c r="AD7191">
        <v>-1.1197646141449999</v>
      </c>
      <c r="AE7191">
        <v>7.2252400000000003</v>
      </c>
      <c r="AF7191">
        <v>-2.2389407314296399</v>
      </c>
      <c r="AG7191">
        <v>-1.1197646141449999</v>
      </c>
      <c r="AH7191">
        <v>7.3950126400216796</v>
      </c>
      <c r="AI7191">
        <v>98.246172050557206</v>
      </c>
      <c r="AJ7191">
        <v>106.844402553507</v>
      </c>
      <c r="AK7191">
        <v>7.8072364083602901</v>
      </c>
      <c r="AL7191">
        <v>67.939235953900805</v>
      </c>
      <c r="AM7191">
        <v>108.32607180689</v>
      </c>
      <c r="AN7191">
        <v>1.0000000230674799</v>
      </c>
    </row>
    <row r="7192" spans="1:40" x14ac:dyDescent="0.25">
      <c r="A7192" t="str">
        <f>"20190304165023214"</f>
        <v>20190304165023214</v>
      </c>
      <c r="B7192" t="str">
        <f>"1551689423202493"</f>
        <v>1551689423202493</v>
      </c>
      <c r="C7192" t="s">
        <v>40</v>
      </c>
      <c r="D7192">
        <v>4.4643119999999996</v>
      </c>
      <c r="E7192">
        <v>0.5105208</v>
      </c>
      <c r="F7192" t="s">
        <v>49</v>
      </c>
      <c r="G7192">
        <v>-193.56739999999999</v>
      </c>
      <c r="H7192" s="1">
        <v>-4.653385E-6</v>
      </c>
      <c r="I7192">
        <v>-45.001339999999999</v>
      </c>
      <c r="J7192">
        <v>-196.61709999999999</v>
      </c>
      <c r="K7192">
        <v>1.1197790000000001</v>
      </c>
      <c r="L7192">
        <v>-52.1203</v>
      </c>
      <c r="M7192">
        <v>0.63970990000000005</v>
      </c>
      <c r="N7192">
        <v>-1.05541E-2</v>
      </c>
      <c r="O7192">
        <v>0.768544</v>
      </c>
      <c r="P7192">
        <v>0.34813569999999999</v>
      </c>
      <c r="Q7192">
        <v>0.37272889999999997</v>
      </c>
      <c r="R7192">
        <v>0.86015969999999997</v>
      </c>
      <c r="S7192">
        <v>1.3772279999999999</v>
      </c>
      <c r="T7192">
        <v>-0.47884870000000002</v>
      </c>
      <c r="U7192">
        <v>3.137146</v>
      </c>
      <c r="V7192">
        <v>-0.29146250000000001</v>
      </c>
      <c r="W7192">
        <v>0.37540240000000002</v>
      </c>
      <c r="X7192">
        <v>0.87984249999999997</v>
      </c>
      <c r="Y7192">
        <v>-0.27833010000000002</v>
      </c>
      <c r="Z7192">
        <v>-8.4970000000000004E-2</v>
      </c>
      <c r="AA7192">
        <v>0.9567196</v>
      </c>
      <c r="AB7192">
        <v>30</v>
      </c>
      <c r="AC7192">
        <v>3.0497000000000001</v>
      </c>
      <c r="AD7192">
        <v>-1.1197836533849901</v>
      </c>
      <c r="AE7192">
        <v>7.1189600000000004</v>
      </c>
      <c r="AF7192">
        <v>-2.1651011805557099</v>
      </c>
      <c r="AG7192">
        <v>-1.1197836533849901</v>
      </c>
      <c r="AH7192">
        <v>7.2705758022621696</v>
      </c>
      <c r="AI7192">
        <v>98.3967894440717</v>
      </c>
      <c r="AJ7192">
        <v>106.58297921390999</v>
      </c>
      <c r="AK7192">
        <v>7.6683017056498404</v>
      </c>
      <c r="AL7192">
        <v>67.950816245295798</v>
      </c>
      <c r="AM7192">
        <v>108.328313141336</v>
      </c>
      <c r="AN7192">
        <v>1.00000008781912</v>
      </c>
    </row>
    <row r="7193" spans="1:40" x14ac:dyDescent="0.25">
      <c r="A7193" t="str">
        <f>"20190304165023238"</f>
        <v>20190304165023238</v>
      </c>
      <c r="B7193" t="str">
        <f>"1551689423232750"</f>
        <v>1551689423232750</v>
      </c>
      <c r="C7193" t="s">
        <v>40</v>
      </c>
      <c r="D7193">
        <v>4.4200900000000001</v>
      </c>
      <c r="E7193">
        <v>0.51235640000000005</v>
      </c>
      <c r="F7193" t="s">
        <v>49</v>
      </c>
      <c r="G7193">
        <v>-193.46889999999999</v>
      </c>
      <c r="H7193" s="1">
        <v>-4.7284910000000001E-6</v>
      </c>
      <c r="I7193">
        <v>-44.802460000000004</v>
      </c>
      <c r="J7193">
        <v>-196.42590000000001</v>
      </c>
      <c r="K7193">
        <v>1.1197999999999999</v>
      </c>
      <c r="L7193">
        <v>-51.87115</v>
      </c>
      <c r="M7193">
        <v>0.62999759999999905</v>
      </c>
      <c r="N7193">
        <v>-1.0507570000000001E-2</v>
      </c>
      <c r="O7193">
        <v>0.77652600000000005</v>
      </c>
      <c r="P7193">
        <v>0.3376575</v>
      </c>
      <c r="Q7193">
        <v>0.37295139999999999</v>
      </c>
      <c r="R7193">
        <v>0.86423079999999997</v>
      </c>
      <c r="S7193">
        <v>1.3544309999999999</v>
      </c>
      <c r="T7193">
        <v>-0.48175869999999998</v>
      </c>
      <c r="U7193">
        <v>3.1483150000000002</v>
      </c>
      <c r="V7193">
        <v>-0.29106279999999901</v>
      </c>
      <c r="W7193">
        <v>0.37557249999999998</v>
      </c>
      <c r="X7193">
        <v>0.87990219999999897</v>
      </c>
      <c r="Y7193">
        <v>-0.2734084</v>
      </c>
      <c r="Z7193">
        <v>-8.7019150000000003E-2</v>
      </c>
      <c r="AA7193">
        <v>0.95795379999999997</v>
      </c>
      <c r="AB7193">
        <v>30</v>
      </c>
      <c r="AC7193">
        <v>2.9570000000000198</v>
      </c>
      <c r="AD7193">
        <v>-1.119804728491</v>
      </c>
      <c r="AE7193">
        <v>7.0686900000000001</v>
      </c>
      <c r="AF7193">
        <v>-2.1120785890651401</v>
      </c>
      <c r="AG7193">
        <v>-1.119804728491</v>
      </c>
      <c r="AH7193">
        <v>7.1985794286324198</v>
      </c>
      <c r="AI7193">
        <v>98.489684102394605</v>
      </c>
      <c r="AJ7193">
        <v>106.351801322485</v>
      </c>
      <c r="AK7193">
        <v>7.5851423445224899</v>
      </c>
      <c r="AL7193">
        <v>67.940300353420298</v>
      </c>
      <c r="AM7193">
        <v>108.303696008692</v>
      </c>
      <c r="AN7193">
        <v>1.00000006893246</v>
      </c>
    </row>
    <row r="7194" spans="1:40" x14ac:dyDescent="0.25">
      <c r="A7194" t="str">
        <f>"20190304165023259"</f>
        <v>20190304165023259</v>
      </c>
      <c r="B7194" t="str">
        <f>"1551689423253245"</f>
        <v>1551689423253245</v>
      </c>
      <c r="C7194" t="s">
        <v>40</v>
      </c>
      <c r="D7194">
        <v>4.5659599999999996</v>
      </c>
      <c r="E7194">
        <v>0.51365859999999997</v>
      </c>
      <c r="F7194" t="s">
        <v>49</v>
      </c>
      <c r="G7194">
        <v>-193.3075</v>
      </c>
      <c r="H7194" s="1">
        <v>-4.8602609999999998E-6</v>
      </c>
      <c r="I7194">
        <v>-44.457889999999999</v>
      </c>
      <c r="J7194">
        <v>-196.25069999999999</v>
      </c>
      <c r="K7194">
        <v>1.1198170000000001</v>
      </c>
      <c r="L7194">
        <v>-51.63702</v>
      </c>
      <c r="M7194">
        <v>0.62086839999999999</v>
      </c>
      <c r="N7194">
        <v>-1.046531E-2</v>
      </c>
      <c r="O7194">
        <v>0.78384489999999996</v>
      </c>
      <c r="P7194">
        <v>0.32775949999999998</v>
      </c>
      <c r="Q7194">
        <v>0.37312640000000002</v>
      </c>
      <c r="R7194">
        <v>0.867957599999999</v>
      </c>
      <c r="S7194">
        <v>1.328476</v>
      </c>
      <c r="T7194">
        <v>-0.47704590000000002</v>
      </c>
      <c r="U7194">
        <v>3.158112</v>
      </c>
      <c r="V7194">
        <v>-0.29080309999999998</v>
      </c>
      <c r="W7194">
        <v>0.37569750000000002</v>
      </c>
      <c r="X7194">
        <v>0.87993459999999901</v>
      </c>
      <c r="Y7194">
        <v>-0.26991110000000001</v>
      </c>
      <c r="Z7194">
        <v>-8.7451009999999996E-2</v>
      </c>
      <c r="AA7194">
        <v>0.95890580000000003</v>
      </c>
      <c r="AB7194">
        <v>30</v>
      </c>
      <c r="AC7194">
        <v>2.9431999999999898</v>
      </c>
      <c r="AD7194">
        <v>-1.1198218602609999</v>
      </c>
      <c r="AE7194">
        <v>7.1791299999999998</v>
      </c>
      <c r="AF7194">
        <v>-2.1065221155178899</v>
      </c>
      <c r="AG7194">
        <v>-1.1198218602609999</v>
      </c>
      <c r="AH7194">
        <v>7.3029539906701197</v>
      </c>
      <c r="AI7194">
        <v>98.381177925976004</v>
      </c>
      <c r="AJ7194">
        <v>106.090097650001</v>
      </c>
      <c r="AK7194">
        <v>7.6827451742023198</v>
      </c>
      <c r="AL7194">
        <v>67.932570322642704</v>
      </c>
      <c r="AM7194">
        <v>108.287823330962</v>
      </c>
      <c r="AN7194">
        <v>0.99999997737650903</v>
      </c>
    </row>
    <row r="7195" spans="1:40" x14ac:dyDescent="0.25">
      <c r="A7195" t="str">
        <f>"20190304165023282"</f>
        <v>20190304165023282</v>
      </c>
      <c r="B7195" t="str">
        <f>"1551689423272769"</f>
        <v>1551689423272769</v>
      </c>
      <c r="C7195" t="s">
        <v>40</v>
      </c>
      <c r="D7195">
        <v>4.5039660000000001</v>
      </c>
      <c r="E7195">
        <v>0.51494050000000002</v>
      </c>
      <c r="F7195" t="s">
        <v>49</v>
      </c>
      <c r="G7195">
        <v>-193.20490000000001</v>
      </c>
      <c r="H7195" s="1">
        <v>-4.953482E-6</v>
      </c>
      <c r="I7195">
        <v>-44.218559999999997</v>
      </c>
      <c r="J7195">
        <v>-196.0727</v>
      </c>
      <c r="K7195">
        <v>1.1198380000000001</v>
      </c>
      <c r="L7195">
        <v>-51.393279999999997</v>
      </c>
      <c r="M7195">
        <v>0.61136509999999999</v>
      </c>
      <c r="N7195">
        <v>-1.0425500000000001E-2</v>
      </c>
      <c r="O7195">
        <v>0.79127999999999998</v>
      </c>
      <c r="P7195">
        <v>0.31754660000000001</v>
      </c>
      <c r="Q7195">
        <v>0.37324760000000001</v>
      </c>
      <c r="R7195">
        <v>0.87169399999999997</v>
      </c>
      <c r="S7195">
        <v>1.3017270000000001</v>
      </c>
      <c r="T7195">
        <v>-0.4786029</v>
      </c>
      <c r="U7195">
        <v>3.1705930000000002</v>
      </c>
      <c r="V7195">
        <v>-0.29051179999999999</v>
      </c>
      <c r="W7195">
        <v>0.3757704</v>
      </c>
      <c r="X7195">
        <v>0.87999959999999899</v>
      </c>
      <c r="Y7195">
        <v>-0.26659749999999999</v>
      </c>
      <c r="Z7195">
        <v>-8.9062879999999997E-2</v>
      </c>
      <c r="AA7195">
        <v>0.95968410000000004</v>
      </c>
      <c r="AB7195">
        <v>30</v>
      </c>
      <c r="AC7195">
        <v>2.8677999999999799</v>
      </c>
      <c r="AD7195">
        <v>-1.11984295348199</v>
      </c>
      <c r="AE7195">
        <v>7.1747199999999998</v>
      </c>
      <c r="AF7195">
        <v>-2.0736965971092101</v>
      </c>
      <c r="AG7195">
        <v>-1.11984295348199</v>
      </c>
      <c r="AH7195">
        <v>7.2780106523003996</v>
      </c>
      <c r="AI7195">
        <v>98.417385037702402</v>
      </c>
      <c r="AJ7195">
        <v>105.903646018267</v>
      </c>
      <c r="AK7195">
        <v>7.6500787494197597</v>
      </c>
      <c r="AL7195">
        <v>67.9280613629236</v>
      </c>
      <c r="AM7195">
        <v>108.269461761249</v>
      </c>
      <c r="AN7195">
        <v>0.99999989772777398</v>
      </c>
    </row>
    <row r="7196" spans="1:40" x14ac:dyDescent="0.25">
      <c r="A7196" t="str">
        <f>"20190304165023306"</f>
        <v>20190304165023306</v>
      </c>
      <c r="B7196" t="str">
        <f>"1551689423303021"</f>
        <v>1551689423303021</v>
      </c>
      <c r="C7196" t="s">
        <v>40</v>
      </c>
      <c r="D7196">
        <v>4.5455379999999996</v>
      </c>
      <c r="E7196">
        <v>0.51673910000000001</v>
      </c>
      <c r="F7196" t="s">
        <v>49</v>
      </c>
      <c r="G7196">
        <v>-193.10069999999999</v>
      </c>
      <c r="H7196" s="1">
        <v>-5.0505229999999998E-6</v>
      </c>
      <c r="I7196">
        <v>-43.970399999999998</v>
      </c>
      <c r="J7196">
        <v>-195.8895</v>
      </c>
      <c r="K7196">
        <v>1.1198539999999999</v>
      </c>
      <c r="L7196">
        <v>-51.136020000000002</v>
      </c>
      <c r="M7196">
        <v>0.60133099999999995</v>
      </c>
      <c r="N7196">
        <v>-1.038855E-2</v>
      </c>
      <c r="O7196">
        <v>0.79893259999999999</v>
      </c>
      <c r="P7196">
        <v>0.30713770000000001</v>
      </c>
      <c r="Q7196">
        <v>0.3728224</v>
      </c>
      <c r="R7196">
        <v>0.87559690000000001</v>
      </c>
      <c r="S7196">
        <v>1.2743990000000001</v>
      </c>
      <c r="T7196">
        <v>-0.48019240000000002</v>
      </c>
      <c r="U7196">
        <v>3.1829529999999999</v>
      </c>
      <c r="V7196">
        <v>-0.29001579999999999</v>
      </c>
      <c r="W7196">
        <v>0.3753068</v>
      </c>
      <c r="X7196">
        <v>0.88036109999999901</v>
      </c>
      <c r="Y7196">
        <v>-0.26287909999999998</v>
      </c>
      <c r="Z7196">
        <v>-9.0741130000000003E-2</v>
      </c>
      <c r="AA7196">
        <v>0.96055230000000003</v>
      </c>
      <c r="AB7196">
        <v>30</v>
      </c>
      <c r="AC7196">
        <v>2.7888000000000002</v>
      </c>
      <c r="AD7196">
        <v>-1.1198590505229999</v>
      </c>
      <c r="AE7196">
        <v>7.1656199999999997</v>
      </c>
      <c r="AF7196">
        <v>-2.0377353624383399</v>
      </c>
      <c r="AG7196">
        <v>-1.1198590505229999</v>
      </c>
      <c r="AH7196">
        <v>7.24848846127637</v>
      </c>
      <c r="AI7196">
        <v>98.459592876711596</v>
      </c>
      <c r="AJ7196">
        <v>105.70203025847501</v>
      </c>
      <c r="AK7196">
        <v>7.6122949675920104</v>
      </c>
      <c r="AL7196">
        <v>67.956724071848996</v>
      </c>
      <c r="AM7196">
        <v>108.23334218248399</v>
      </c>
      <c r="AN7196">
        <v>1.0000000123845401</v>
      </c>
    </row>
    <row r="7197" spans="1:40" x14ac:dyDescent="0.25">
      <c r="A7197" t="str">
        <f>"20190304165023328"</f>
        <v>20190304165023328</v>
      </c>
      <c r="B7197" t="str">
        <f>"1551689423322541"</f>
        <v>1551689423322541</v>
      </c>
      <c r="C7197" t="s">
        <v>40</v>
      </c>
      <c r="D7197">
        <v>4.5355449999999999</v>
      </c>
      <c r="E7197">
        <v>0.51781619999999995</v>
      </c>
      <c r="F7197" t="s">
        <v>49</v>
      </c>
      <c r="G7197">
        <v>-193.011</v>
      </c>
      <c r="H7197" s="1">
        <v>-5.1242230000000004E-6</v>
      </c>
      <c r="I7197">
        <v>-43.777909999999999</v>
      </c>
      <c r="J7197">
        <v>-195.71889999999999</v>
      </c>
      <c r="K7197">
        <v>1.119874</v>
      </c>
      <c r="L7197">
        <v>-50.890230000000003</v>
      </c>
      <c r="M7197">
        <v>0.59174399999999905</v>
      </c>
      <c r="N7197">
        <v>-1.035794E-2</v>
      </c>
      <c r="O7197">
        <v>0.80605939999999998</v>
      </c>
      <c r="P7197">
        <v>0.29745480000000002</v>
      </c>
      <c r="Q7197">
        <v>0.3726624</v>
      </c>
      <c r="R7197">
        <v>0.87900140000000004</v>
      </c>
      <c r="S7197">
        <v>1.2498469999999999</v>
      </c>
      <c r="T7197">
        <v>-0.48623749999999999</v>
      </c>
      <c r="U7197">
        <v>3.194855</v>
      </c>
      <c r="V7197">
        <v>-0.28927439999999999</v>
      </c>
      <c r="W7197">
        <v>0.37512079999999998</v>
      </c>
      <c r="X7197">
        <v>0.88068429999999998</v>
      </c>
      <c r="Y7197">
        <v>-0.25905909999999999</v>
      </c>
      <c r="Z7197">
        <v>-9.3243080000000006E-2</v>
      </c>
      <c r="AA7197">
        <v>0.96135009999999999</v>
      </c>
      <c r="AB7197">
        <v>30</v>
      </c>
      <c r="AC7197">
        <v>2.7078999999999902</v>
      </c>
      <c r="AD7197">
        <v>-1.119879124223</v>
      </c>
      <c r="AE7197">
        <v>7.1123199999999898</v>
      </c>
      <c r="AF7197">
        <v>-1.9831116142557501</v>
      </c>
      <c r="AG7197">
        <v>-1.119879124223</v>
      </c>
      <c r="AH7197">
        <v>7.1802511910120002</v>
      </c>
      <c r="AI7197">
        <v>98.549703596133398</v>
      </c>
      <c r="AJ7197">
        <v>105.439605637501</v>
      </c>
      <c r="AK7197">
        <v>7.5327862105263401</v>
      </c>
      <c r="AL7197">
        <v>67.968222289997001</v>
      </c>
      <c r="AM7197">
        <v>108.183567129165</v>
      </c>
      <c r="AN7197">
        <v>1.00000006467724</v>
      </c>
    </row>
    <row r="7198" spans="1:40" x14ac:dyDescent="0.25">
      <c r="A7198" t="str">
        <f>"20190304165023350"</f>
        <v>20190304165023350</v>
      </c>
      <c r="B7198" t="str">
        <f>"1551689423343038"</f>
        <v>1551689423343038</v>
      </c>
      <c r="C7198" t="s">
        <v>40</v>
      </c>
      <c r="D7198">
        <v>4.5272949999999996</v>
      </c>
      <c r="E7198">
        <v>0.51885409999999998</v>
      </c>
      <c r="F7198" t="s">
        <v>49</v>
      </c>
      <c r="G7198">
        <v>-192.9299</v>
      </c>
      <c r="H7198" s="1">
        <v>-5.2075520000000003E-6</v>
      </c>
      <c r="I7198">
        <v>-43.568040000000003</v>
      </c>
      <c r="J7198">
        <v>-195.55410000000001</v>
      </c>
      <c r="K7198">
        <v>1.1198939999999999</v>
      </c>
      <c r="L7198">
        <v>-50.646639999999998</v>
      </c>
      <c r="M7198">
        <v>0.58223879999999995</v>
      </c>
      <c r="N7198">
        <v>-1.0331959999999999E-2</v>
      </c>
      <c r="O7198">
        <v>0.81295220000000001</v>
      </c>
      <c r="P7198">
        <v>0.28841899999999998</v>
      </c>
      <c r="Q7198">
        <v>0.37292920000000002</v>
      </c>
      <c r="R7198">
        <v>0.88189470000000003</v>
      </c>
      <c r="S7198">
        <v>1.221741</v>
      </c>
      <c r="T7198">
        <v>-0.490564</v>
      </c>
      <c r="U7198">
        <v>3.2074889999999998</v>
      </c>
      <c r="V7198">
        <v>-0.28793170000000001</v>
      </c>
      <c r="W7198">
        <v>0.37537930000000003</v>
      </c>
      <c r="X7198">
        <v>0.88101399999999996</v>
      </c>
      <c r="Y7198">
        <v>-0.2564071</v>
      </c>
      <c r="Z7198">
        <v>-9.5327930000000005E-2</v>
      </c>
      <c r="AA7198">
        <v>0.9618565</v>
      </c>
      <c r="AB7198">
        <v>30</v>
      </c>
      <c r="AC7198">
        <v>2.6242000000000001</v>
      </c>
      <c r="AD7198">
        <v>-1.119899207552</v>
      </c>
      <c r="AE7198">
        <v>7.0785999999999998</v>
      </c>
      <c r="AF7198">
        <v>-1.94538285562401</v>
      </c>
      <c r="AG7198">
        <v>-1.119899207552</v>
      </c>
      <c r="AH7198">
        <v>7.1260489466577797</v>
      </c>
      <c r="AI7198">
        <v>98.620836598711193</v>
      </c>
      <c r="AJ7198">
        <v>105.26944870230901</v>
      </c>
      <c r="AK7198">
        <v>7.4712289671910002</v>
      </c>
      <c r="AL7198">
        <v>67.952241602398999</v>
      </c>
      <c r="AM7198">
        <v>108.098351142721</v>
      </c>
      <c r="AN7198">
        <v>0.99999997546468899</v>
      </c>
    </row>
    <row r="7199" spans="1:40" x14ac:dyDescent="0.25">
      <c r="A7199" t="str">
        <f>"20190304165023372"</f>
        <v>20190304165023372</v>
      </c>
      <c r="B7199" t="str">
        <f>"1551689423362557"</f>
        <v>1551689423362557</v>
      </c>
      <c r="C7199" t="s">
        <v>40</v>
      </c>
      <c r="D7199">
        <v>4.5005559999999996</v>
      </c>
      <c r="E7199">
        <v>0.51981290000000002</v>
      </c>
      <c r="F7199" t="s">
        <v>49</v>
      </c>
      <c r="G7199">
        <v>-192.8175</v>
      </c>
      <c r="H7199" s="1">
        <v>-5.3222490000000003E-6</v>
      </c>
      <c r="I7199">
        <v>-43.278840000000002</v>
      </c>
      <c r="J7199">
        <v>-195.39089999999999</v>
      </c>
      <c r="K7199">
        <v>1.1199250000000001</v>
      </c>
      <c r="L7199">
        <v>-50.399540000000002</v>
      </c>
      <c r="M7199">
        <v>0.57259729999999998</v>
      </c>
      <c r="N7199">
        <v>-1.030992E-2</v>
      </c>
      <c r="O7199">
        <v>0.8197719</v>
      </c>
      <c r="P7199">
        <v>0.27983249999999998</v>
      </c>
      <c r="Q7199">
        <v>0.37275459999999999</v>
      </c>
      <c r="R7199">
        <v>0.88473040000000003</v>
      </c>
      <c r="S7199">
        <v>1.1951449999999999</v>
      </c>
      <c r="T7199">
        <v>-0.48909010000000003</v>
      </c>
      <c r="U7199">
        <v>3.2177120000000001</v>
      </c>
      <c r="V7199">
        <v>-0.2861474</v>
      </c>
      <c r="W7199">
        <v>0.37521399999999999</v>
      </c>
      <c r="X7199">
        <v>0.88166549999999999</v>
      </c>
      <c r="Y7199">
        <v>-0.2530017</v>
      </c>
      <c r="Z7199">
        <v>-9.6266809999999994E-2</v>
      </c>
      <c r="AA7199">
        <v>0.96266439999999998</v>
      </c>
      <c r="AB7199">
        <v>30</v>
      </c>
      <c r="AC7199">
        <v>2.5733999999999901</v>
      </c>
      <c r="AD7199">
        <v>-1.119930322249</v>
      </c>
      <c r="AE7199">
        <v>7.1206999999999896</v>
      </c>
      <c r="AF7199">
        <v>-1.9256658716263</v>
      </c>
      <c r="AG7199">
        <v>-1.119930322249</v>
      </c>
      <c r="AH7199">
        <v>7.1547233258418004</v>
      </c>
      <c r="AI7199">
        <v>98.595264789937204</v>
      </c>
      <c r="AJ7199">
        <v>105.063964686774</v>
      </c>
      <c r="AK7199">
        <v>7.4934971038350202</v>
      </c>
      <c r="AL7199">
        <v>67.962459278934006</v>
      </c>
      <c r="AM7199">
        <v>107.981006853197</v>
      </c>
      <c r="AN7199">
        <v>0.99999996710650396</v>
      </c>
    </row>
    <row r="7200" spans="1:40" x14ac:dyDescent="0.25">
      <c r="A7200" t="str">
        <f>"20190304165023393"</f>
        <v>20190304165023393</v>
      </c>
      <c r="B7200" t="str">
        <f>"1551689423383057"</f>
        <v>1551689423383057</v>
      </c>
      <c r="C7200" t="s">
        <v>40</v>
      </c>
      <c r="D7200">
        <v>4.532063</v>
      </c>
      <c r="E7200">
        <v>0.52068289999999995</v>
      </c>
      <c r="F7200" t="s">
        <v>49</v>
      </c>
      <c r="G7200">
        <v>-192.74010000000001</v>
      </c>
      <c r="H7200" s="1">
        <v>-5.4020070000000001E-6</v>
      </c>
      <c r="I7200">
        <v>-43.078060000000001</v>
      </c>
      <c r="J7200">
        <v>-195.23390000000001</v>
      </c>
      <c r="K7200">
        <v>1.1199429999999999</v>
      </c>
      <c r="L7200">
        <v>-50.155459999999998</v>
      </c>
      <c r="M7200">
        <v>0.5630733</v>
      </c>
      <c r="N7200">
        <v>-1.0291700000000001E-2</v>
      </c>
      <c r="O7200">
        <v>0.82634289999999999</v>
      </c>
      <c r="P7200">
        <v>0.27147729999999998</v>
      </c>
      <c r="Q7200">
        <v>0.37272680000000002</v>
      </c>
      <c r="R7200">
        <v>0.88734139999999995</v>
      </c>
      <c r="S7200">
        <v>1.1691590000000001</v>
      </c>
      <c r="T7200">
        <v>-0.4939537</v>
      </c>
      <c r="U7200">
        <v>3.229187</v>
      </c>
      <c r="V7200">
        <v>-0.28428300000000001</v>
      </c>
      <c r="W7200">
        <v>0.37520170000000003</v>
      </c>
      <c r="X7200">
        <v>0.88227369999999905</v>
      </c>
      <c r="Y7200">
        <v>-0.24982589999999999</v>
      </c>
      <c r="Z7200">
        <v>-9.8454E-2</v>
      </c>
      <c r="AA7200">
        <v>0.96327249999999998</v>
      </c>
      <c r="AB7200">
        <v>30</v>
      </c>
      <c r="AC7200">
        <v>2.49379999999999</v>
      </c>
      <c r="AD7200">
        <v>-1.1199484020070001</v>
      </c>
      <c r="AE7200">
        <v>7.0773999999999901</v>
      </c>
      <c r="AF7200">
        <v>-1.88252926014926</v>
      </c>
      <c r="AG7200">
        <v>-1.1199484020070001</v>
      </c>
      <c r="AH7200">
        <v>7.0948953644974697</v>
      </c>
      <c r="AI7200">
        <v>98.674902014816098</v>
      </c>
      <c r="AJ7200">
        <v>104.86019941755001</v>
      </c>
      <c r="AK7200">
        <v>7.4253445086166803</v>
      </c>
      <c r="AL7200">
        <v>67.963220574837393</v>
      </c>
      <c r="AM7200">
        <v>107.859788598093</v>
      </c>
      <c r="AN7200">
        <v>1.0000000107417899</v>
      </c>
    </row>
    <row r="7201" spans="1:40" x14ac:dyDescent="0.25">
      <c r="A7201" t="str">
        <f>"20190304165023418"</f>
        <v>20190304165023418</v>
      </c>
      <c r="B7201" t="str">
        <f>"1551689423412334"</f>
        <v>1551689423412334</v>
      </c>
      <c r="C7201" t="s">
        <v>40</v>
      </c>
      <c r="D7201">
        <v>4.5147879999999896</v>
      </c>
      <c r="E7201">
        <v>0.52201579999999903</v>
      </c>
      <c r="F7201" t="s">
        <v>49</v>
      </c>
      <c r="G7201">
        <v>-192.67250000000001</v>
      </c>
      <c r="H7201" s="1">
        <v>-5.4780400000000002E-6</v>
      </c>
      <c r="I7201">
        <v>-42.888979999999997</v>
      </c>
      <c r="J7201">
        <v>-195.06630000000001</v>
      </c>
      <c r="K7201">
        <v>1.119977</v>
      </c>
      <c r="L7201">
        <v>-49.887999999999998</v>
      </c>
      <c r="M7201">
        <v>0.55263689999999999</v>
      </c>
      <c r="N7201">
        <v>-1.0275340000000001E-2</v>
      </c>
      <c r="O7201">
        <v>0.83335879999999996</v>
      </c>
      <c r="P7201">
        <v>0.26248630000000001</v>
      </c>
      <c r="Q7201">
        <v>0.37224950000000001</v>
      </c>
      <c r="R7201">
        <v>0.89024230000000004</v>
      </c>
      <c r="S7201">
        <v>1.1425019999999999</v>
      </c>
      <c r="T7201">
        <v>-0.4995482</v>
      </c>
      <c r="U7201">
        <v>3.2411799999999999</v>
      </c>
      <c r="V7201">
        <v>-0.282230599999999</v>
      </c>
      <c r="W7201">
        <v>0.37474639999999998</v>
      </c>
      <c r="X7201">
        <v>0.88312570000000001</v>
      </c>
      <c r="Y7201">
        <v>-0.24589820000000001</v>
      </c>
      <c r="Z7201">
        <v>-0.1009085</v>
      </c>
      <c r="AA7201">
        <v>0.96402880000000002</v>
      </c>
      <c r="AB7201">
        <v>30</v>
      </c>
      <c r="AC7201">
        <v>2.3938000000000001</v>
      </c>
      <c r="AD7201">
        <v>-1.1199824780399901</v>
      </c>
      <c r="AE7201">
        <v>6.9990199999999998</v>
      </c>
      <c r="AF7201">
        <v>-1.8311428902951701</v>
      </c>
      <c r="AG7201">
        <v>-1.1199824780399901</v>
      </c>
      <c r="AH7201">
        <v>6.9956027480869896</v>
      </c>
      <c r="AI7201">
        <v>98.8040219421177</v>
      </c>
      <c r="AJ7201">
        <v>104.668431088125</v>
      </c>
      <c r="AK7201">
        <v>7.3175066002592297</v>
      </c>
      <c r="AL7201">
        <v>67.991360064559103</v>
      </c>
      <c r="AM7201">
        <v>107.72291588742399</v>
      </c>
      <c r="AN7201">
        <v>0.99999998894490405</v>
      </c>
    </row>
    <row r="7202" spans="1:40" x14ac:dyDescent="0.25">
      <c r="A7202" t="str">
        <f>"20190304165023440"</f>
        <v>20190304165023440</v>
      </c>
      <c r="B7202" t="str">
        <f>"1551689423432830"</f>
        <v>1551689423432830</v>
      </c>
      <c r="C7202" t="s">
        <v>40</v>
      </c>
      <c r="D7202">
        <v>4.6090150000000003</v>
      </c>
      <c r="E7202">
        <v>0.52290509999999901</v>
      </c>
      <c r="F7202" t="s">
        <v>49</v>
      </c>
      <c r="G7202">
        <v>-192.60599999999999</v>
      </c>
      <c r="H7202" s="1">
        <v>-5.54249E-6</v>
      </c>
      <c r="I7202">
        <v>-42.725230000000003</v>
      </c>
      <c r="J7202">
        <v>-194.90379999999999</v>
      </c>
      <c r="K7202">
        <v>1.1200030000000001</v>
      </c>
      <c r="L7202">
        <v>-49.620820000000002</v>
      </c>
      <c r="M7202">
        <v>0.54221219999999903</v>
      </c>
      <c r="N7202">
        <v>-1.0262479999999999E-2</v>
      </c>
      <c r="O7202">
        <v>0.84017889999999995</v>
      </c>
      <c r="P7202">
        <v>0.25332349999999998</v>
      </c>
      <c r="Q7202">
        <v>0.37203069999999999</v>
      </c>
      <c r="R7202">
        <v>0.892984</v>
      </c>
      <c r="S7202">
        <v>1.117416</v>
      </c>
      <c r="T7202">
        <v>-0.5086619</v>
      </c>
      <c r="U7202">
        <v>3.2531129999999999</v>
      </c>
      <c r="V7202">
        <v>-0.28036729999999999</v>
      </c>
      <c r="W7202">
        <v>0.37454739999999997</v>
      </c>
      <c r="X7202">
        <v>0.88380340000000002</v>
      </c>
      <c r="Y7202">
        <v>-0.24167250000000001</v>
      </c>
      <c r="Z7202">
        <v>-0.10411330000000001</v>
      </c>
      <c r="AA7202">
        <v>0.96475639999999996</v>
      </c>
      <c r="AB7202">
        <v>31</v>
      </c>
      <c r="AC7202">
        <v>2.2977999999999899</v>
      </c>
      <c r="AD7202">
        <v>-1.1200085424899999</v>
      </c>
      <c r="AE7202">
        <v>6.8955900000000003</v>
      </c>
      <c r="AF7202">
        <v>-1.7664608122229299</v>
      </c>
      <c r="AG7202">
        <v>-1.1200085424899999</v>
      </c>
      <c r="AH7202">
        <v>6.8765132789258301</v>
      </c>
      <c r="AI7202">
        <v>98.964684043251594</v>
      </c>
      <c r="AJ7202">
        <v>104.40681830067</v>
      </c>
      <c r="AK7202">
        <v>7.1875752386749499</v>
      </c>
      <c r="AL7202">
        <v>68.003658158384397</v>
      </c>
      <c r="AM7202">
        <v>107.60049165764499</v>
      </c>
      <c r="AN7202">
        <v>1.0000000138038001</v>
      </c>
    </row>
    <row r="7203" spans="1:40" x14ac:dyDescent="0.25">
      <c r="A7203" t="str">
        <f>"20190304165023462"</f>
        <v>20190304165023462</v>
      </c>
      <c r="B7203" t="str">
        <f>"1551689423452350"</f>
        <v>1551689423452350</v>
      </c>
      <c r="C7203" t="s">
        <v>40</v>
      </c>
      <c r="D7203">
        <v>4.5610439999999999</v>
      </c>
      <c r="E7203">
        <v>0.5236499</v>
      </c>
      <c r="F7203" t="s">
        <v>49</v>
      </c>
      <c r="G7203">
        <v>-192.53200000000001</v>
      </c>
      <c r="H7203" s="1">
        <v>-5.6301980000000003E-6</v>
      </c>
      <c r="I7203">
        <v>-42.508670000000002</v>
      </c>
      <c r="J7203">
        <v>-194.75479999999999</v>
      </c>
      <c r="K7203">
        <v>1.1200330000000001</v>
      </c>
      <c r="L7203">
        <v>-49.369419999999998</v>
      </c>
      <c r="M7203">
        <v>0.53240069999999995</v>
      </c>
      <c r="N7203">
        <v>-1.025303E-2</v>
      </c>
      <c r="O7203">
        <v>0.84643040000000003</v>
      </c>
      <c r="P7203">
        <v>0.2468214</v>
      </c>
      <c r="Q7203">
        <v>0.37228410000000001</v>
      </c>
      <c r="R7203">
        <v>0.89469759999999998</v>
      </c>
      <c r="S7203">
        <v>1.088776</v>
      </c>
      <c r="T7203">
        <v>-0.51414470000000001</v>
      </c>
      <c r="U7203">
        <v>3.2648619999999999</v>
      </c>
      <c r="V7203">
        <v>-0.27647080000000002</v>
      </c>
      <c r="W7203">
        <v>0.37487769999999998</v>
      </c>
      <c r="X7203">
        <v>0.88489019999999996</v>
      </c>
      <c r="Y7203">
        <v>-0.2391189</v>
      </c>
      <c r="Z7203">
        <v>-0.1064167</v>
      </c>
      <c r="AA7203">
        <v>0.96514120000000003</v>
      </c>
      <c r="AB7203">
        <v>31</v>
      </c>
      <c r="AC7203">
        <v>2.2227999999999701</v>
      </c>
      <c r="AD7203">
        <v>-1.1200386301980001</v>
      </c>
      <c r="AE7203">
        <v>6.8607499999999897</v>
      </c>
      <c r="AF7203">
        <v>-1.7295981708419801</v>
      </c>
      <c r="AG7203">
        <v>-1.1200386301980001</v>
      </c>
      <c r="AH7203">
        <v>6.8262865118497604</v>
      </c>
      <c r="AI7203">
        <v>99.0372703930813</v>
      </c>
      <c r="AJ7203">
        <v>104.218000784373</v>
      </c>
      <c r="AK7203">
        <v>7.1305107746624801</v>
      </c>
      <c r="AL7203">
        <v>67.983246532732096</v>
      </c>
      <c r="AM7203">
        <v>107.35063937480599</v>
      </c>
      <c r="AN7203">
        <v>1.0000000296329801</v>
      </c>
    </row>
    <row r="7204" spans="1:40" x14ac:dyDescent="0.25">
      <c r="A7204" t="str">
        <f>"20190304165023484"</f>
        <v>20190304165023484</v>
      </c>
      <c r="B7204" t="str">
        <f>"1551689423472845"</f>
        <v>1551689423472845</v>
      </c>
      <c r="C7204" t="s">
        <v>40</v>
      </c>
      <c r="D7204">
        <v>4.5097559999999897</v>
      </c>
      <c r="E7204">
        <v>0.52441169999999904</v>
      </c>
      <c r="F7204" t="s">
        <v>49</v>
      </c>
      <c r="G7204">
        <v>-192.4359</v>
      </c>
      <c r="H7204" s="1">
        <v>-5.7312719999999997E-6</v>
      </c>
      <c r="I7204">
        <v>-42.254950000000001</v>
      </c>
      <c r="J7204">
        <v>-194.602</v>
      </c>
      <c r="K7204">
        <v>1.1200680000000001</v>
      </c>
      <c r="L7204">
        <v>-49.104460000000003</v>
      </c>
      <c r="M7204">
        <v>0.5220593</v>
      </c>
      <c r="N7204">
        <v>-1.0245590000000001E-2</v>
      </c>
      <c r="O7204">
        <v>0.85284760000000004</v>
      </c>
      <c r="P7204">
        <v>0.23810509999999999</v>
      </c>
      <c r="Q7204">
        <v>0.37339030000000001</v>
      </c>
      <c r="R7204">
        <v>0.89659669999999903</v>
      </c>
      <c r="S7204">
        <v>1.066864</v>
      </c>
      <c r="T7204">
        <v>-0.51530290000000001</v>
      </c>
      <c r="U7204">
        <v>3.273193</v>
      </c>
      <c r="V7204">
        <v>-0.27411289999999999</v>
      </c>
      <c r="W7204">
        <v>0.37601830000000003</v>
      </c>
      <c r="X7204">
        <v>0.88513969999999897</v>
      </c>
      <c r="Y7204">
        <v>-0.23391310000000001</v>
      </c>
      <c r="Z7204">
        <v>-0.1079484</v>
      </c>
      <c r="AA7204">
        <v>0.96624620000000006</v>
      </c>
      <c r="AB7204">
        <v>31</v>
      </c>
      <c r="AC7204">
        <v>2.1661000000000001</v>
      </c>
      <c r="AD7204">
        <v>-1.1200737312719999</v>
      </c>
      <c r="AE7204">
        <v>6.8495099999999898</v>
      </c>
      <c r="AF7204">
        <v>-1.68756398307283</v>
      </c>
      <c r="AG7204">
        <v>-1.1200737312719999</v>
      </c>
      <c r="AH7204">
        <v>6.8073041576142197</v>
      </c>
      <c r="AI7204">
        <v>99.073832259176598</v>
      </c>
      <c r="AJ7204">
        <v>103.92320812202099</v>
      </c>
      <c r="AK7204">
        <v>7.1022410022979399</v>
      </c>
      <c r="AL7204">
        <v>67.912735233013805</v>
      </c>
      <c r="AM7204">
        <v>107.206875121378</v>
      </c>
      <c r="AN7204">
        <v>0.99999996619869402</v>
      </c>
    </row>
    <row r="7205" spans="1:40" x14ac:dyDescent="0.25">
      <c r="A7205" t="str">
        <f>"20190304165023507"</f>
        <v>20190304165023507</v>
      </c>
      <c r="B7205" t="str">
        <f>"1551689423503102"</f>
        <v>1551689423503102</v>
      </c>
      <c r="C7205" t="s">
        <v>40</v>
      </c>
      <c r="D7205">
        <v>4.6574679999999997</v>
      </c>
      <c r="E7205">
        <v>0.52552349999999903</v>
      </c>
      <c r="F7205" t="s">
        <v>49</v>
      </c>
      <c r="G7205">
        <v>-192.34190000000001</v>
      </c>
      <c r="H7205" s="1">
        <v>-5.85143E-6</v>
      </c>
      <c r="I7205">
        <v>-41.961069999999999</v>
      </c>
      <c r="J7205">
        <v>-194.45050000000001</v>
      </c>
      <c r="K7205">
        <v>1.120093</v>
      </c>
      <c r="L7205">
        <v>-48.834530000000001</v>
      </c>
      <c r="M7205">
        <v>0.51152779999999998</v>
      </c>
      <c r="N7205">
        <v>-1.0239699999999999E-2</v>
      </c>
      <c r="O7205">
        <v>0.85920569999999896</v>
      </c>
      <c r="P7205">
        <v>0.22987589999999999</v>
      </c>
      <c r="Q7205">
        <v>0.373473</v>
      </c>
      <c r="R7205">
        <v>0.89870740000000005</v>
      </c>
      <c r="S7205">
        <v>1.039185</v>
      </c>
      <c r="T7205">
        <v>-0.51500769999999996</v>
      </c>
      <c r="U7205">
        <v>3.2845149999999999</v>
      </c>
      <c r="V7205">
        <v>-0.27133350000000001</v>
      </c>
      <c r="W7205">
        <v>0.37615399999999999</v>
      </c>
      <c r="X7205">
        <v>0.88593809999999995</v>
      </c>
      <c r="Y7205">
        <v>-0.23034499999999999</v>
      </c>
      <c r="Z7205">
        <v>-0.1090293</v>
      </c>
      <c r="AA7205">
        <v>0.9669818</v>
      </c>
      <c r="AB7205">
        <v>31</v>
      </c>
      <c r="AC7205">
        <v>2.1085999999999898</v>
      </c>
      <c r="AD7205">
        <v>-1.1200988514299901</v>
      </c>
      <c r="AE7205">
        <v>6.8734599999999997</v>
      </c>
      <c r="AF7205">
        <v>-1.6639472277843399</v>
      </c>
      <c r="AG7205">
        <v>-1.1200988514299901</v>
      </c>
      <c r="AH7205">
        <v>6.8191765825556301</v>
      </c>
      <c r="AI7205">
        <v>99.066546913350095</v>
      </c>
      <c r="AJ7205">
        <v>103.71277722272799</v>
      </c>
      <c r="AK7205">
        <v>7.10805958598415</v>
      </c>
      <c r="AL7205">
        <v>67.904345146054695</v>
      </c>
      <c r="AM7205">
        <v>107.02809168567499</v>
      </c>
      <c r="AN7205">
        <v>1.0000000084849201</v>
      </c>
    </row>
    <row r="7206" spans="1:40" x14ac:dyDescent="0.25">
      <c r="A7206" t="str">
        <f>"20190304165023533"</f>
        <v>20190304165023533</v>
      </c>
      <c r="B7206" t="str">
        <f>"1551689423522621"</f>
        <v>1551689423522621</v>
      </c>
      <c r="C7206" t="s">
        <v>40</v>
      </c>
      <c r="D7206">
        <v>4.670115</v>
      </c>
      <c r="E7206">
        <v>0.52629689999999996</v>
      </c>
      <c r="F7206" t="s">
        <v>49</v>
      </c>
      <c r="G7206">
        <v>-192.26429999999999</v>
      </c>
      <c r="H7206" s="1">
        <v>-5.9412909999999997E-6</v>
      </c>
      <c r="I7206">
        <v>-41.738529999999997</v>
      </c>
      <c r="J7206">
        <v>-194.28659999999999</v>
      </c>
      <c r="K7206">
        <v>1.1201049999999999</v>
      </c>
      <c r="L7206">
        <v>-48.533749999999998</v>
      </c>
      <c r="M7206">
        <v>0.49980819999999998</v>
      </c>
      <c r="N7206">
        <v>-1.023397E-2</v>
      </c>
      <c r="O7206">
        <v>0.86607559999999995</v>
      </c>
      <c r="P7206">
        <v>0.22075529999999999</v>
      </c>
      <c r="Q7206">
        <v>0.37373250000000002</v>
      </c>
      <c r="R7206">
        <v>0.90088349999999995</v>
      </c>
      <c r="S7206">
        <v>1.0150300000000001</v>
      </c>
      <c r="T7206">
        <v>-0.52005299999999999</v>
      </c>
      <c r="U7206">
        <v>3.2946170000000001</v>
      </c>
      <c r="V7206">
        <v>-0.2682348</v>
      </c>
      <c r="W7206">
        <v>0.37647829999999999</v>
      </c>
      <c r="X7206">
        <v>0.88674359999999997</v>
      </c>
      <c r="Y7206">
        <v>-0.2245152</v>
      </c>
      <c r="Z7206">
        <v>-0.1114995</v>
      </c>
      <c r="AA7206">
        <v>0.96807069999999995</v>
      </c>
      <c r="AB7206">
        <v>31</v>
      </c>
      <c r="AC7206">
        <v>2.0223</v>
      </c>
      <c r="AD7206">
        <v>-1.120110941291</v>
      </c>
      <c r="AE7206">
        <v>6.7952199999999996</v>
      </c>
      <c r="AF7206">
        <v>-1.60486934479695</v>
      </c>
      <c r="AG7206">
        <v>-1.120110941291</v>
      </c>
      <c r="AH7206">
        <v>6.7283525902765904</v>
      </c>
      <c r="AI7206">
        <v>99.198260438999299</v>
      </c>
      <c r="AJ7206">
        <v>103.41570975318901</v>
      </c>
      <c r="AK7206">
        <v>7.0072093385134799</v>
      </c>
      <c r="AL7206">
        <v>67.884290046078306</v>
      </c>
      <c r="AM7206">
        <v>106.830261770288</v>
      </c>
      <c r="AN7206">
        <v>1.0000000152214401</v>
      </c>
    </row>
    <row r="7207" spans="1:40" x14ac:dyDescent="0.25">
      <c r="A7207" t="str">
        <f>"20190304165023551"</f>
        <v>20190304165023551</v>
      </c>
      <c r="B7207" t="str">
        <f>"1551689423543118"</f>
        <v>1551689423543118</v>
      </c>
      <c r="C7207" t="s">
        <v>40</v>
      </c>
      <c r="D7207">
        <v>4.5882420000000002</v>
      </c>
      <c r="E7207">
        <v>0.52654869999999898</v>
      </c>
      <c r="F7207" t="s">
        <v>49</v>
      </c>
      <c r="G7207">
        <v>-192.16909999999999</v>
      </c>
      <c r="H7207" s="1">
        <v>-6.0581859999999897E-6</v>
      </c>
      <c r="I7207">
        <v>-41.43629</v>
      </c>
      <c r="J7207">
        <v>-194.16489999999999</v>
      </c>
      <c r="K7207">
        <v>1.1201080000000001</v>
      </c>
      <c r="L7207">
        <v>-48.30368</v>
      </c>
      <c r="M7207">
        <v>0.4908747</v>
      </c>
      <c r="N7207">
        <v>-1.022903E-2</v>
      </c>
      <c r="O7207">
        <v>0.87117019999999901</v>
      </c>
      <c r="P7207">
        <v>0.21367630000000001</v>
      </c>
      <c r="Q7207">
        <v>0.37305450000000001</v>
      </c>
      <c r="R7207">
        <v>0.90286920000000004</v>
      </c>
      <c r="S7207">
        <v>0.98599239999999999</v>
      </c>
      <c r="T7207">
        <v>-0.52156020000000003</v>
      </c>
      <c r="U7207">
        <v>3.3048099999999998</v>
      </c>
      <c r="V7207">
        <v>-0.2661926</v>
      </c>
      <c r="W7207">
        <v>0.37585039999999997</v>
      </c>
      <c r="X7207">
        <v>0.88762489999999905</v>
      </c>
      <c r="Y7207">
        <v>-0.22315689999999999</v>
      </c>
      <c r="Z7207">
        <v>-0.1127256</v>
      </c>
      <c r="AA7207">
        <v>0.96824270000000001</v>
      </c>
      <c r="AB7207">
        <v>31</v>
      </c>
      <c r="AC7207">
        <v>1.9958</v>
      </c>
      <c r="AD7207">
        <v>-1.1201140581860001</v>
      </c>
      <c r="AE7207">
        <v>6.8673899999999897</v>
      </c>
      <c r="AF7207">
        <v>-1.59334438725718</v>
      </c>
      <c r="AG7207">
        <v>-1.1201140581860001</v>
      </c>
      <c r="AH7207">
        <v>6.79599970032318</v>
      </c>
      <c r="AI7207">
        <v>99.116435480427199</v>
      </c>
      <c r="AJ7207">
        <v>103.194861939654</v>
      </c>
      <c r="AK7207">
        <v>7.0695837053211799</v>
      </c>
      <c r="AL7207">
        <v>67.923117344407004</v>
      </c>
      <c r="AM7207">
        <v>106.69362588991601</v>
      </c>
      <c r="AN7207">
        <v>0.99999999328746403</v>
      </c>
    </row>
    <row r="7208" spans="1:40" x14ac:dyDescent="0.25">
      <c r="A7208" t="str">
        <f>"20190304165023575"</f>
        <v>20190304165023575</v>
      </c>
      <c r="B7208" t="str">
        <f>"1551689423572398"</f>
        <v>1551689423572398</v>
      </c>
      <c r="C7208" t="s">
        <v>40</v>
      </c>
      <c r="D7208">
        <v>4.5803699999999896</v>
      </c>
      <c r="E7208">
        <v>0.52672739999999996</v>
      </c>
      <c r="F7208" t="s">
        <v>49</v>
      </c>
      <c r="G7208">
        <v>-192.10390000000001</v>
      </c>
      <c r="H7208" s="1">
        <v>-6.1212139999999999E-6</v>
      </c>
      <c r="I7208">
        <v>-41.226109999999998</v>
      </c>
      <c r="J7208">
        <v>-194.01920000000001</v>
      </c>
      <c r="K7208">
        <v>1.120096</v>
      </c>
      <c r="L7208">
        <v>-48.021000000000001</v>
      </c>
      <c r="M7208">
        <v>0.47994559999999997</v>
      </c>
      <c r="N7208">
        <v>-1.022118E-2</v>
      </c>
      <c r="O7208">
        <v>0.87723879999999999</v>
      </c>
      <c r="P7208">
        <v>0.20456189999999999</v>
      </c>
      <c r="Q7208">
        <v>0.37245719999999999</v>
      </c>
      <c r="R7208">
        <v>0.90522380000000002</v>
      </c>
      <c r="S7208">
        <v>0.96418760000000003</v>
      </c>
      <c r="T7208">
        <v>-0.52401790000000004</v>
      </c>
      <c r="U7208">
        <v>3.3110659999999998</v>
      </c>
      <c r="V7208">
        <v>-0.2641307</v>
      </c>
      <c r="W7208">
        <v>0.3753108</v>
      </c>
      <c r="X7208">
        <v>0.88846879999999995</v>
      </c>
      <c r="Y7208">
        <v>-0.21739330000000001</v>
      </c>
      <c r="Z7208">
        <v>-0.1145772</v>
      </c>
      <c r="AA7208">
        <v>0.96933599999999998</v>
      </c>
      <c r="AB7208">
        <v>31</v>
      </c>
      <c r="AC7208">
        <v>1.9153</v>
      </c>
      <c r="AD7208">
        <v>-1.1201021212140001</v>
      </c>
      <c r="AE7208">
        <v>6.7948899999999997</v>
      </c>
      <c r="AF7208">
        <v>-1.5422601786005901</v>
      </c>
      <c r="AG7208">
        <v>-1.1201021212140001</v>
      </c>
      <c r="AH7208">
        <v>6.7113894189137797</v>
      </c>
      <c r="AI7208">
        <v>99.238609648551105</v>
      </c>
      <c r="AJ7208">
        <v>102.9417418732</v>
      </c>
      <c r="AK7208">
        <v>6.9768146852810302</v>
      </c>
      <c r="AL7208">
        <v>67.956476896323295</v>
      </c>
      <c r="AM7208">
        <v>106.55655748964099</v>
      </c>
      <c r="AN7208">
        <v>1.0000000159262801</v>
      </c>
    </row>
    <row r="7209" spans="1:40" x14ac:dyDescent="0.25">
      <c r="A7209" t="str">
        <f>"20190304165023595"</f>
        <v>20190304165023595</v>
      </c>
      <c r="B7209" t="str">
        <f>"1551689423583137"</f>
        <v>1551689423583137</v>
      </c>
      <c r="C7209" t="s">
        <v>40</v>
      </c>
      <c r="D7209">
        <v>4.5847699999999998</v>
      </c>
      <c r="E7209">
        <v>0.5268254</v>
      </c>
      <c r="F7209" t="s">
        <v>49</v>
      </c>
      <c r="G7209">
        <v>-192.02170000000001</v>
      </c>
      <c r="H7209" s="1">
        <v>-6.212881E-6</v>
      </c>
      <c r="I7209">
        <v>-40.924630000000001</v>
      </c>
      <c r="J7209">
        <v>-193.89789999999999</v>
      </c>
      <c r="K7209">
        <v>1.1200570000000001</v>
      </c>
      <c r="L7209">
        <v>-47.778750000000002</v>
      </c>
      <c r="M7209">
        <v>0.47065069999999998</v>
      </c>
      <c r="N7209">
        <v>-1.0208170000000001E-2</v>
      </c>
      <c r="O7209">
        <v>0.88226059999999995</v>
      </c>
      <c r="P7209">
        <v>0.1978046</v>
      </c>
      <c r="Q7209">
        <v>0.37124299999999999</v>
      </c>
      <c r="R7209">
        <v>0.90722219999999998</v>
      </c>
      <c r="S7209">
        <v>0.93409730000000002</v>
      </c>
      <c r="T7209">
        <v>-0.52380450000000001</v>
      </c>
      <c r="U7209">
        <v>3.3185419999999999</v>
      </c>
      <c r="V7209">
        <v>-0.26153720000000003</v>
      </c>
      <c r="W7209">
        <v>0.37417679999999998</v>
      </c>
      <c r="X7209">
        <v>0.88971339999999999</v>
      </c>
      <c r="Y7209">
        <v>-0.21581249999999999</v>
      </c>
      <c r="Z7209">
        <v>-0.11550340000000001</v>
      </c>
      <c r="AA7209">
        <v>0.96957930000000003</v>
      </c>
      <c r="AB7209">
        <v>31</v>
      </c>
      <c r="AC7209">
        <v>1.8761999999999801</v>
      </c>
      <c r="AD7209">
        <v>-1.120063212881</v>
      </c>
      <c r="AE7209">
        <v>6.85412</v>
      </c>
      <c r="AF7209">
        <v>-1.53260651108924</v>
      </c>
      <c r="AG7209">
        <v>-1.120063212881</v>
      </c>
      <c r="AH7209">
        <v>6.7625155841526796</v>
      </c>
      <c r="AI7209">
        <v>99.175831669463193</v>
      </c>
      <c r="AJ7209">
        <v>102.76938623253599</v>
      </c>
      <c r="AK7209">
        <v>7.02389075545672</v>
      </c>
      <c r="AL7209">
        <v>68.026555869752599</v>
      </c>
      <c r="AM7209">
        <v>106.381051690185</v>
      </c>
      <c r="AN7209">
        <v>0.99999995939081898</v>
      </c>
    </row>
    <row r="7210" spans="1:40" x14ac:dyDescent="0.25">
      <c r="A7210" t="str">
        <f>"20190304165023620"</f>
        <v>20190304165023620</v>
      </c>
      <c r="B7210" t="str">
        <f>"1551689423612414"</f>
        <v>1551689423612414</v>
      </c>
      <c r="C7210" t="s">
        <v>40</v>
      </c>
      <c r="D7210">
        <v>4.5660619999999996</v>
      </c>
      <c r="E7210">
        <v>0.52710249999999903</v>
      </c>
      <c r="F7210" t="s">
        <v>49</v>
      </c>
      <c r="G7210">
        <v>-191.9665</v>
      </c>
      <c r="H7210" s="1">
        <v>-6.2736009999999998E-6</v>
      </c>
      <c r="I7210">
        <v>-40.724690000000002</v>
      </c>
      <c r="J7210">
        <v>-193.7516</v>
      </c>
      <c r="K7210">
        <v>1.119977</v>
      </c>
      <c r="L7210">
        <v>-47.477449999999997</v>
      </c>
      <c r="M7210">
        <v>0.45921899999999899</v>
      </c>
      <c r="N7210">
        <v>-1.018439E-2</v>
      </c>
      <c r="O7210">
        <v>0.88826469999999902</v>
      </c>
      <c r="P7210">
        <v>0.18868489999999999</v>
      </c>
      <c r="Q7210">
        <v>0.3709557</v>
      </c>
      <c r="R7210">
        <v>0.90927979999999997</v>
      </c>
      <c r="S7210">
        <v>0.91021730000000001</v>
      </c>
      <c r="T7210">
        <v>-0.5278486</v>
      </c>
      <c r="U7210">
        <v>3.324341</v>
      </c>
      <c r="V7210">
        <v>-0.25896049999999998</v>
      </c>
      <c r="W7210">
        <v>0.37397649999999999</v>
      </c>
      <c r="X7210">
        <v>0.89055099999999998</v>
      </c>
      <c r="Y7210">
        <v>-0.21017710000000001</v>
      </c>
      <c r="Z7210">
        <v>-0.11776150000000001</v>
      </c>
      <c r="AA7210">
        <v>0.97054510000000005</v>
      </c>
      <c r="AB7210">
        <v>31</v>
      </c>
      <c r="AC7210">
        <v>1.7850999999999999</v>
      </c>
      <c r="AD7210">
        <v>-1.119983273601</v>
      </c>
      <c r="AE7210">
        <v>6.7527599999999897</v>
      </c>
      <c r="AF7210">
        <v>-1.47744586424707</v>
      </c>
      <c r="AG7210">
        <v>-1.119983273601</v>
      </c>
      <c r="AH7210">
        <v>6.6474294897055897</v>
      </c>
      <c r="AI7210">
        <v>99.339838396902394</v>
      </c>
      <c r="AJ7210">
        <v>102.530773305328</v>
      </c>
      <c r="AK7210">
        <v>6.9011250992526101</v>
      </c>
      <c r="AL7210">
        <v>68.038932129322902</v>
      </c>
      <c r="AM7210">
        <v>106.213734884402</v>
      </c>
      <c r="AN7210">
        <v>1.0000000233567401</v>
      </c>
    </row>
    <row r="7211" spans="1:40" x14ac:dyDescent="0.25">
      <c r="A7211" t="str">
        <f>"20190304165023641"</f>
        <v>20190304165023641</v>
      </c>
      <c r="B7211" t="str">
        <f>"1551689423632910"</f>
        <v>1551689423632910</v>
      </c>
      <c r="C7211" t="s">
        <v>40</v>
      </c>
      <c r="D7211">
        <v>4.5752240000000004</v>
      </c>
      <c r="E7211">
        <v>0.52732860000000004</v>
      </c>
      <c r="F7211" t="s">
        <v>49</v>
      </c>
      <c r="G7211">
        <v>-191.8843</v>
      </c>
      <c r="H7211" s="1">
        <v>-6.3720070000000001E-6</v>
      </c>
      <c r="I7211">
        <v>-40.403100000000002</v>
      </c>
      <c r="J7211">
        <v>-193.6259</v>
      </c>
      <c r="K7211">
        <v>1.1198969999999999</v>
      </c>
      <c r="L7211">
        <v>-47.211269999999999</v>
      </c>
      <c r="M7211">
        <v>0.44923730000000001</v>
      </c>
      <c r="N7211">
        <v>-1.016032E-2</v>
      </c>
      <c r="O7211">
        <v>0.89335469999999895</v>
      </c>
      <c r="P7211">
        <v>0.18081520000000001</v>
      </c>
      <c r="Q7211">
        <v>0.3697066</v>
      </c>
      <c r="R7211">
        <v>0.91138520000000001</v>
      </c>
      <c r="S7211">
        <v>0.87948609999999905</v>
      </c>
      <c r="T7211">
        <v>-0.52750949999999996</v>
      </c>
      <c r="U7211">
        <v>3.332001</v>
      </c>
      <c r="V7211">
        <v>-0.25680570000000003</v>
      </c>
      <c r="W7211">
        <v>0.37281140000000001</v>
      </c>
      <c r="X7211">
        <v>0.89166279999999998</v>
      </c>
      <c r="Y7211">
        <v>-0.20815990000000001</v>
      </c>
      <c r="Z7211">
        <v>-0.118686</v>
      </c>
      <c r="AA7211">
        <v>0.97086719999999904</v>
      </c>
      <c r="AB7211">
        <v>31</v>
      </c>
      <c r="AC7211">
        <v>1.7416</v>
      </c>
      <c r="AD7211">
        <v>-1.119903372007</v>
      </c>
      <c r="AE7211">
        <v>6.8081699999999898</v>
      </c>
      <c r="AF7211">
        <v>-1.46547711591831</v>
      </c>
      <c r="AG7211">
        <v>-1.119903372007</v>
      </c>
      <c r="AH7211">
        <v>6.6948321986054404</v>
      </c>
      <c r="AI7211">
        <v>99.280656390640004</v>
      </c>
      <c r="AJ7211">
        <v>102.34711208272</v>
      </c>
      <c r="AK7211">
        <v>6.9442483327857101</v>
      </c>
      <c r="AL7211">
        <v>68.110892216889397</v>
      </c>
      <c r="AM7211">
        <v>106.06680482402</v>
      </c>
      <c r="AN7211">
        <v>1.00000002821314</v>
      </c>
    </row>
    <row r="7212" spans="1:40" x14ac:dyDescent="0.25">
      <c r="A7212" t="str">
        <f>"20190304165023664"</f>
        <v>20190304165023664</v>
      </c>
      <c r="B7212" t="str">
        <f>"1551689423652429"</f>
        <v>1551689423652429</v>
      </c>
      <c r="C7212" t="s">
        <v>40</v>
      </c>
      <c r="D7212">
        <v>4.576314</v>
      </c>
      <c r="E7212">
        <v>0.52758439999999995</v>
      </c>
      <c r="F7212" t="s">
        <v>42</v>
      </c>
      <c r="G7212">
        <v>-191.83439999999999</v>
      </c>
      <c r="H7212" s="1">
        <v>-5.849704E-7</v>
      </c>
      <c r="I7212">
        <v>-40.185040000000001</v>
      </c>
      <c r="J7212">
        <v>-193.49529999999999</v>
      </c>
      <c r="K7212">
        <v>1.1198129999999999</v>
      </c>
      <c r="L7212">
        <v>-46.926450000000003</v>
      </c>
      <c r="M7212">
        <v>0.4386835</v>
      </c>
      <c r="N7212">
        <v>-1.013465E-2</v>
      </c>
      <c r="O7212">
        <v>0.89858449999999901</v>
      </c>
      <c r="P7212">
        <v>0.17336109999999999</v>
      </c>
      <c r="Q7212">
        <v>0.37078030000000001</v>
      </c>
      <c r="R7212">
        <v>0.91239680000000001</v>
      </c>
      <c r="S7212">
        <v>0.85128780000000004</v>
      </c>
      <c r="T7212">
        <v>-0.53214119999999998</v>
      </c>
      <c r="U7212">
        <v>3.338654</v>
      </c>
      <c r="V7212">
        <v>-0.25333450000000002</v>
      </c>
      <c r="W7212">
        <v>0.37399860000000001</v>
      </c>
      <c r="X7212">
        <v>0.89215840000000002</v>
      </c>
      <c r="Y7212">
        <v>-0.20485990000000001</v>
      </c>
      <c r="Z7212">
        <v>-0.1208798</v>
      </c>
      <c r="AA7212">
        <v>0.97129829999999995</v>
      </c>
      <c r="AB7212">
        <v>31</v>
      </c>
      <c r="AC7212">
        <v>1.6608999999999901</v>
      </c>
      <c r="AD7212">
        <v>-1.1198135849703901</v>
      </c>
      <c r="AE7212">
        <v>6.7414100000000001</v>
      </c>
      <c r="AF7212">
        <v>-1.4278190833222699</v>
      </c>
      <c r="AG7212">
        <v>-1.1198135849703901</v>
      </c>
      <c r="AH7212">
        <v>6.6146155774996096</v>
      </c>
      <c r="AI7212">
        <v>99.3962906354881</v>
      </c>
      <c r="AJ7212">
        <v>102.180871183093</v>
      </c>
      <c r="AK7212">
        <v>6.8589932962413602</v>
      </c>
      <c r="AL7212">
        <v>68.037565496175603</v>
      </c>
      <c r="AM7212">
        <v>105.852259273261</v>
      </c>
      <c r="AN7212">
        <v>0.99999996619138398</v>
      </c>
    </row>
    <row r="7213" spans="1:40" x14ac:dyDescent="0.25">
      <c r="A7213" t="str">
        <f>"20190304165023685"</f>
        <v>20190304165023685</v>
      </c>
      <c r="B7213" t="str">
        <f>"1551689423682686"</f>
        <v>1551689423682686</v>
      </c>
      <c r="C7213" t="s">
        <v>40</v>
      </c>
      <c r="D7213">
        <v>4.5656569999999999</v>
      </c>
      <c r="E7213">
        <v>0.52798219999999996</v>
      </c>
      <c r="F7213" t="s">
        <v>42</v>
      </c>
      <c r="G7213">
        <v>-191.75229999999999</v>
      </c>
      <c r="H7213" s="1">
        <v>-7.1354690000000001E-7</v>
      </c>
      <c r="I7213">
        <v>-39.834429999999998</v>
      </c>
      <c r="J7213">
        <v>-193.3742</v>
      </c>
      <c r="K7213">
        <v>1.1197239999999999</v>
      </c>
      <c r="L7213">
        <v>-46.65475</v>
      </c>
      <c r="M7213">
        <v>0.42875760000000002</v>
      </c>
      <c r="N7213">
        <v>-1.011051E-2</v>
      </c>
      <c r="O7213">
        <v>0.90336300000000003</v>
      </c>
      <c r="P7213">
        <v>0.166266</v>
      </c>
      <c r="Q7213">
        <v>0.3727182</v>
      </c>
      <c r="R7213">
        <v>0.91292759999999995</v>
      </c>
      <c r="S7213">
        <v>0.82244869999999903</v>
      </c>
      <c r="T7213">
        <v>-0.52840419999999999</v>
      </c>
      <c r="U7213">
        <v>3.3464969999999998</v>
      </c>
      <c r="V7213">
        <v>-0.25005309999999997</v>
      </c>
      <c r="W7213">
        <v>0.3760444</v>
      </c>
      <c r="X7213">
        <v>0.89222429999999997</v>
      </c>
      <c r="Y7213">
        <v>-0.20249239999999999</v>
      </c>
      <c r="Z7213">
        <v>-0.120905399999999</v>
      </c>
      <c r="AA7213">
        <v>0.97179150000000003</v>
      </c>
      <c r="AB7213">
        <v>31</v>
      </c>
      <c r="AC7213">
        <v>1.6219000000000099</v>
      </c>
      <c r="AD7213">
        <v>-1.1197247135469</v>
      </c>
      <c r="AE7213">
        <v>6.8203199999999997</v>
      </c>
      <c r="AF7213">
        <v>-1.4228755834183999</v>
      </c>
      <c r="AG7213">
        <v>-1.1197247135469</v>
      </c>
      <c r="AH7213">
        <v>6.6864022171544102</v>
      </c>
      <c r="AI7213">
        <v>99.302179177982197</v>
      </c>
      <c r="AJ7213">
        <v>102.01341974518699</v>
      </c>
      <c r="AK7213">
        <v>6.9272168270946599</v>
      </c>
      <c r="AL7213">
        <v>67.911123839455797</v>
      </c>
      <c r="AM7213">
        <v>105.65595925234901</v>
      </c>
      <c r="AN7213">
        <v>1.0000000725507201</v>
      </c>
    </row>
    <row r="7214" spans="1:40" x14ac:dyDescent="0.25">
      <c r="A7214" t="str">
        <f>"20190304165023710"</f>
        <v>20190304165023710</v>
      </c>
      <c r="B7214" t="str">
        <f>"1551689423702205"</f>
        <v>1551689423702205</v>
      </c>
      <c r="C7214" t="s">
        <v>40</v>
      </c>
      <c r="D7214">
        <v>4.7397169999999997</v>
      </c>
      <c r="E7214">
        <v>0.52770039999999996</v>
      </c>
      <c r="F7214" t="s">
        <v>42</v>
      </c>
      <c r="G7214">
        <v>-191.6687</v>
      </c>
      <c r="H7214" s="1">
        <v>-8.4985649999999997E-7</v>
      </c>
      <c r="I7214">
        <v>-39.464829999999999</v>
      </c>
      <c r="J7214">
        <v>-193.24250000000001</v>
      </c>
      <c r="K7214">
        <v>1.1196109999999999</v>
      </c>
      <c r="L7214">
        <v>-46.350430000000003</v>
      </c>
      <c r="M7214">
        <v>0.41784379999999999</v>
      </c>
      <c r="N7214">
        <v>-1.008119E-2</v>
      </c>
      <c r="O7214">
        <v>0.90846300000000002</v>
      </c>
      <c r="P7214">
        <v>0.15657589999999999</v>
      </c>
      <c r="Q7214">
        <v>0.37399460000000001</v>
      </c>
      <c r="R7214">
        <v>0.91411819999999999</v>
      </c>
      <c r="S7214">
        <v>0.79570010000000002</v>
      </c>
      <c r="T7214">
        <v>-0.52241749999999998</v>
      </c>
      <c r="U7214">
        <v>3.3545229999999999</v>
      </c>
      <c r="V7214">
        <v>-0.24846360000000001</v>
      </c>
      <c r="W7214">
        <v>0.37739869999999998</v>
      </c>
      <c r="X7214">
        <v>0.89209649999999996</v>
      </c>
      <c r="Y7214">
        <v>-0.19853660000000001</v>
      </c>
      <c r="Z7214">
        <v>-0.12045169999999999</v>
      </c>
      <c r="AA7214">
        <v>0.97266359999999996</v>
      </c>
      <c r="AB7214">
        <v>31</v>
      </c>
      <c r="AC7214">
        <v>1.5738000000000001</v>
      </c>
      <c r="AD7214">
        <v>-1.1196118498565</v>
      </c>
      <c r="AE7214">
        <v>6.8855999999999904</v>
      </c>
      <c r="AF7214">
        <v>-1.4119617051190101</v>
      </c>
      <c r="AG7214">
        <v>-1.1196118498565</v>
      </c>
      <c r="AH7214">
        <v>6.7438163360008501</v>
      </c>
      <c r="AI7214">
        <v>99.229722892992896</v>
      </c>
      <c r="AJ7214">
        <v>101.825275283262</v>
      </c>
      <c r="AK7214">
        <v>6.9804172744022699</v>
      </c>
      <c r="AL7214">
        <v>67.827356278047404</v>
      </c>
      <c r="AM7214">
        <v>105.56339755502199</v>
      </c>
      <c r="AN7214">
        <v>1.0000000522994399</v>
      </c>
    </row>
    <row r="7215" spans="1:40" x14ac:dyDescent="0.25">
      <c r="A7215" t="str">
        <f>"20190304165023732"</f>
        <v>20190304165023732</v>
      </c>
      <c r="B7215" t="str">
        <f>"1551689423722702"</f>
        <v>1551689423722702</v>
      </c>
      <c r="C7215" t="s">
        <v>40</v>
      </c>
      <c r="D7215">
        <v>4.6201800000000004</v>
      </c>
      <c r="E7215">
        <v>0.47814859999999998</v>
      </c>
      <c r="F7215" t="s">
        <v>42</v>
      </c>
      <c r="G7215">
        <v>-191.59460000000001</v>
      </c>
      <c r="H7215" s="1">
        <v>-1.009439E-6</v>
      </c>
      <c r="I7215">
        <v>-39.046889999999998</v>
      </c>
      <c r="J7215">
        <v>-193.12280000000001</v>
      </c>
      <c r="K7215">
        <v>1.1194770000000001</v>
      </c>
      <c r="L7215">
        <v>-46.065550000000002</v>
      </c>
      <c r="M7215">
        <v>0.407858</v>
      </c>
      <c r="N7215">
        <v>-1.004966E-2</v>
      </c>
      <c r="O7215">
        <v>0.91299010000000003</v>
      </c>
      <c r="P7215">
        <v>0.1471325</v>
      </c>
      <c r="Q7215">
        <v>0.37437819999999999</v>
      </c>
      <c r="R7215">
        <v>0.91552880000000003</v>
      </c>
      <c r="S7215">
        <v>0.75871279999999997</v>
      </c>
      <c r="T7215">
        <v>-0.51550609999999997</v>
      </c>
      <c r="U7215">
        <v>3.3627929999999999</v>
      </c>
      <c r="V7215">
        <v>-0.24770439999999999</v>
      </c>
      <c r="W7215">
        <v>0.37785259999999998</v>
      </c>
      <c r="X7215">
        <v>0.89211549999999995</v>
      </c>
      <c r="Y7215">
        <v>-0.1984504</v>
      </c>
      <c r="Z7215">
        <v>-0.11958630000000001</v>
      </c>
      <c r="AA7215">
        <v>0.97278799999999999</v>
      </c>
      <c r="AB7215">
        <v>31</v>
      </c>
      <c r="AC7215">
        <v>1.52819999999999</v>
      </c>
      <c r="AD7215">
        <v>-1.119478009439</v>
      </c>
      <c r="AE7215">
        <v>7.0186599999999899</v>
      </c>
      <c r="AF7215">
        <v>-1.43266152561105</v>
      </c>
      <c r="AG7215">
        <v>-1.119478009439</v>
      </c>
      <c r="AH7215">
        <v>6.8648707805825797</v>
      </c>
      <c r="AI7215">
        <v>99.069838323783102</v>
      </c>
      <c r="AJ7215">
        <v>101.788126041947</v>
      </c>
      <c r="AK7215">
        <v>7.10156327118756</v>
      </c>
      <c r="AL7215">
        <v>67.799270392894798</v>
      </c>
      <c r="AM7215">
        <v>105.517822791469</v>
      </c>
      <c r="AN7215">
        <v>1.0000000612231801</v>
      </c>
    </row>
    <row r="7216" spans="1:40" x14ac:dyDescent="0.25">
      <c r="A7216" t="str">
        <f>"20190304165023752"</f>
        <v>20190304165023752</v>
      </c>
      <c r="B7216" t="str">
        <f>"1551689423742222"</f>
        <v>1551689423742222</v>
      </c>
      <c r="C7216" t="s">
        <v>40</v>
      </c>
      <c r="D7216">
        <v>4.6208720000000003</v>
      </c>
      <c r="E7216">
        <v>0.47794530000000002</v>
      </c>
      <c r="F7216" t="s">
        <v>42</v>
      </c>
      <c r="G7216">
        <v>-192.09979999999999</v>
      </c>
      <c r="H7216" s="1">
        <v>-2.6362580000000002E-6</v>
      </c>
      <c r="I7216">
        <v>-35.56803</v>
      </c>
      <c r="J7216">
        <v>-193.01259999999999</v>
      </c>
      <c r="K7216">
        <v>1.1193059999999999</v>
      </c>
      <c r="L7216">
        <v>-45.795810000000003</v>
      </c>
      <c r="M7216">
        <v>0.39865400000000001</v>
      </c>
      <c r="N7216">
        <v>-1.0015659999999999E-2</v>
      </c>
      <c r="O7216">
        <v>0.91704669999999999</v>
      </c>
      <c r="P7216">
        <v>0.1385247</v>
      </c>
      <c r="Q7216">
        <v>0.3745386</v>
      </c>
      <c r="R7216">
        <v>0.91680519999999999</v>
      </c>
      <c r="S7216">
        <v>0.32850649999999998</v>
      </c>
      <c r="T7216">
        <v>-0.35949120000000001</v>
      </c>
      <c r="U7216">
        <v>3.3710019999999998</v>
      </c>
      <c r="V7216">
        <v>-0.24693409999999999</v>
      </c>
      <c r="W7216">
        <v>0.37809720000000002</v>
      </c>
      <c r="X7216">
        <v>0.89222539999999995</v>
      </c>
      <c r="Y7216">
        <v>-0.30794389999999999</v>
      </c>
      <c r="Z7216">
        <v>-8.0415399999999998E-2</v>
      </c>
      <c r="AA7216">
        <v>0.94799999999999995</v>
      </c>
      <c r="AB7216">
        <v>31</v>
      </c>
      <c r="AC7216">
        <v>0.91280000000000405</v>
      </c>
      <c r="AD7216">
        <v>-1.11930863625799</v>
      </c>
      <c r="AE7216">
        <v>10.2277799999999</v>
      </c>
      <c r="AF7216">
        <v>-3.202376941851</v>
      </c>
      <c r="AG7216">
        <v>-1.11930863625799</v>
      </c>
      <c r="AH7216">
        <v>9.6293160729845599</v>
      </c>
      <c r="AI7216">
        <v>96.294282908134505</v>
      </c>
      <c r="AJ7216">
        <v>108.39533810422699</v>
      </c>
      <c r="AK7216">
        <v>10.209397530429399</v>
      </c>
      <c r="AL7216">
        <v>67.784132699618695</v>
      </c>
      <c r="AM7216">
        <v>105.470066940706</v>
      </c>
      <c r="AN7216">
        <v>1.0000000533979001</v>
      </c>
    </row>
    <row r="7217" spans="1:40" x14ac:dyDescent="0.25">
      <c r="A7217" t="str">
        <f>"20190304165023776"</f>
        <v>20190304165023776</v>
      </c>
      <c r="B7217" t="str">
        <f>"1551689423772478"</f>
        <v>1551689423772478</v>
      </c>
      <c r="C7217" t="s">
        <v>40</v>
      </c>
      <c r="D7217">
        <v>4.5746969999999996</v>
      </c>
      <c r="E7217">
        <v>0.47905730000000002</v>
      </c>
      <c r="F7217" t="s">
        <v>42</v>
      </c>
      <c r="G7217">
        <v>-192.09479999999999</v>
      </c>
      <c r="H7217" s="1">
        <v>-2.7258869999999999E-6</v>
      </c>
      <c r="I7217">
        <v>-35.35604</v>
      </c>
      <c r="J7217">
        <v>-192.89580000000001</v>
      </c>
      <c r="K7217">
        <v>1.1190789999999999</v>
      </c>
      <c r="L7217">
        <v>-45.502229999999997</v>
      </c>
      <c r="M7217">
        <v>0.38894060000000003</v>
      </c>
      <c r="N7217">
        <v>-9.9748690000000008E-3</v>
      </c>
      <c r="O7217">
        <v>0.9212089</v>
      </c>
      <c r="P7217">
        <v>0.12885189999999999</v>
      </c>
      <c r="Q7217">
        <v>0.37496649999999998</v>
      </c>
      <c r="R7217">
        <v>0.91803990000000002</v>
      </c>
      <c r="S7217">
        <v>0.2967072</v>
      </c>
      <c r="T7217">
        <v>-0.36187989999999998</v>
      </c>
      <c r="U7217">
        <v>3.3752439999999999</v>
      </c>
      <c r="V7217">
        <v>-0.24664939999999999</v>
      </c>
      <c r="W7217">
        <v>0.37862109999999999</v>
      </c>
      <c r="X7217">
        <v>0.89208189999999998</v>
      </c>
      <c r="Y7217">
        <v>-0.30686839999999999</v>
      </c>
      <c r="Z7217">
        <v>-8.1618040000000003E-2</v>
      </c>
      <c r="AA7217">
        <v>0.94824589999999997</v>
      </c>
      <c r="AB7217">
        <v>31</v>
      </c>
      <c r="AC7217">
        <v>0.80100000000001603</v>
      </c>
      <c r="AD7217">
        <v>-1.1190817258870001</v>
      </c>
      <c r="AE7217">
        <v>10.146189999999899</v>
      </c>
      <c r="AF7217">
        <v>-3.1702091102461498</v>
      </c>
      <c r="AG7217">
        <v>-1.1190817258870001</v>
      </c>
      <c r="AH7217">
        <v>9.5434039732357991</v>
      </c>
      <c r="AI7217">
        <v>96.349918201796598</v>
      </c>
      <c r="AJ7217">
        <v>108.375894176603</v>
      </c>
      <c r="AK7217">
        <v>10.1182572169457</v>
      </c>
      <c r="AL7217">
        <v>67.751703225009393</v>
      </c>
      <c r="AM7217">
        <v>105.455450750704</v>
      </c>
      <c r="AN7217">
        <v>0.99999999009658902</v>
      </c>
    </row>
    <row r="7218" spans="1:40" x14ac:dyDescent="0.25">
      <c r="A7218" t="str">
        <f>"20190304165023797"</f>
        <v>20190304165023797</v>
      </c>
      <c r="B7218" t="str">
        <f>"1551689423792974"</f>
        <v>1551689423792974</v>
      </c>
      <c r="C7218" t="s">
        <v>40</v>
      </c>
      <c r="D7218">
        <v>4.5836269999999999</v>
      </c>
      <c r="E7218">
        <v>0.48031800000000002</v>
      </c>
      <c r="F7218" t="s">
        <v>42</v>
      </c>
      <c r="G7218">
        <v>-192.06890000000001</v>
      </c>
      <c r="H7218" s="1">
        <v>-2.7712260000000001E-6</v>
      </c>
      <c r="I7218">
        <v>-35.234290000000001</v>
      </c>
      <c r="J7218">
        <v>-192.78739999999999</v>
      </c>
      <c r="K7218">
        <v>1.1188309999999999</v>
      </c>
      <c r="L7218">
        <v>-45.221829999999997</v>
      </c>
      <c r="M7218">
        <v>0.38000810000000002</v>
      </c>
      <c r="N7218">
        <v>-9.9334309999999995E-3</v>
      </c>
      <c r="O7218">
        <v>0.92492989999999997</v>
      </c>
      <c r="P7218">
        <v>0.1201319</v>
      </c>
      <c r="Q7218">
        <v>0.37574740000000001</v>
      </c>
      <c r="R7218">
        <v>0.91890280000000002</v>
      </c>
      <c r="S7218">
        <v>0.27218629999999999</v>
      </c>
      <c r="T7218">
        <v>-0.36838969999999999</v>
      </c>
      <c r="U7218">
        <v>3.380096</v>
      </c>
      <c r="V7218">
        <v>-0.24615790000000001</v>
      </c>
      <c r="W7218">
        <v>0.37951240000000003</v>
      </c>
      <c r="X7218">
        <v>0.89183889999999999</v>
      </c>
      <c r="Y7218">
        <v>-0.30462050000000002</v>
      </c>
      <c r="Z7218">
        <v>-8.3794110000000005E-2</v>
      </c>
      <c r="AA7218">
        <v>0.94878079999999998</v>
      </c>
      <c r="AB7218">
        <v>31</v>
      </c>
      <c r="AC7218">
        <v>0.71849999999997705</v>
      </c>
      <c r="AD7218">
        <v>-1.1188337712259999</v>
      </c>
      <c r="AE7218">
        <v>9.9875399999999903</v>
      </c>
      <c r="AF7218">
        <v>-3.09233189045929</v>
      </c>
      <c r="AG7218">
        <v>-1.1188337712259999</v>
      </c>
      <c r="AH7218">
        <v>9.3939990701831402</v>
      </c>
      <c r="AI7218">
        <v>96.454381373374005</v>
      </c>
      <c r="AJ7218">
        <v>108.220595074768</v>
      </c>
      <c r="AK7218">
        <v>9.9529655911687502</v>
      </c>
      <c r="AL7218">
        <v>67.696517098857299</v>
      </c>
      <c r="AM7218">
        <v>105.43012372302</v>
      </c>
      <c r="AN7218">
        <v>0.99999999851969001</v>
      </c>
    </row>
    <row r="7219" spans="1:40" x14ac:dyDescent="0.25">
      <c r="A7219" t="str">
        <f>"20190304165023822"</f>
        <v>20190304165023822</v>
      </c>
      <c r="B7219" t="str">
        <f>"1551689423812494"</f>
        <v>1551689423812494</v>
      </c>
      <c r="C7219" t="s">
        <v>40</v>
      </c>
      <c r="D7219">
        <v>4.5857269999999897</v>
      </c>
      <c r="E7219">
        <v>0.48170809999999997</v>
      </c>
      <c r="F7219" t="s">
        <v>42</v>
      </c>
      <c r="G7219">
        <v>-192.02029999999999</v>
      </c>
      <c r="H7219" s="1">
        <v>-2.890878E-6</v>
      </c>
      <c r="I7219">
        <v>-34.925220000000003</v>
      </c>
      <c r="J7219">
        <v>-192.66569999999999</v>
      </c>
      <c r="K7219">
        <v>1.118574</v>
      </c>
      <c r="L7219">
        <v>-44.897860000000001</v>
      </c>
      <c r="M7219">
        <v>0.37003429999999998</v>
      </c>
      <c r="N7219">
        <v>-9.8888540000000007E-3</v>
      </c>
      <c r="O7219">
        <v>0.92896540000000005</v>
      </c>
      <c r="P7219">
        <v>0.1115051</v>
      </c>
      <c r="Q7219">
        <v>0.37675150000000002</v>
      </c>
      <c r="R7219">
        <v>0.91957869999999997</v>
      </c>
      <c r="S7219">
        <v>0.25196839999999998</v>
      </c>
      <c r="T7219">
        <v>-0.36750159999999998</v>
      </c>
      <c r="U7219">
        <v>3.3821110000000001</v>
      </c>
      <c r="V7219">
        <v>-0.24454799999999999</v>
      </c>
      <c r="W7219">
        <v>0.38066220000000001</v>
      </c>
      <c r="X7219">
        <v>0.89179179999999902</v>
      </c>
      <c r="Y7219">
        <v>-0.30006100000000002</v>
      </c>
      <c r="Z7219">
        <v>-8.4285680000000002E-2</v>
      </c>
      <c r="AA7219">
        <v>0.95018910000000001</v>
      </c>
      <c r="AB7219">
        <v>32</v>
      </c>
      <c r="AC7219">
        <v>0.64539999999999498</v>
      </c>
      <c r="AD7219">
        <v>-1.1185768908780001</v>
      </c>
      <c r="AE7219">
        <v>9.9726399999999895</v>
      </c>
      <c r="AF7219">
        <v>-3.0525719963904101</v>
      </c>
      <c r="AG7219">
        <v>-1.1185768908780001</v>
      </c>
      <c r="AH7219">
        <v>9.3859319821335205</v>
      </c>
      <c r="AI7219">
        <v>96.465897876028293</v>
      </c>
      <c r="AJ7219">
        <v>108.015998934235</v>
      </c>
      <c r="AK7219">
        <v>9.9330322272300204</v>
      </c>
      <c r="AL7219">
        <v>67.625293703956999</v>
      </c>
      <c r="AM7219">
        <v>105.334745320387</v>
      </c>
      <c r="AN7219">
        <v>1.00000002468003</v>
      </c>
    </row>
    <row r="7220" spans="1:40" x14ac:dyDescent="0.25">
      <c r="A7220" t="str">
        <f>"20190304165023843"</f>
        <v>20190304165023843</v>
      </c>
      <c r="B7220" t="str">
        <f>"1551689423832990"</f>
        <v>1551689423832990</v>
      </c>
      <c r="C7220" t="s">
        <v>40</v>
      </c>
      <c r="D7220">
        <v>4.5690660000000003</v>
      </c>
      <c r="E7220">
        <v>0.48299180000000003</v>
      </c>
      <c r="F7220" t="s">
        <v>42</v>
      </c>
      <c r="G7220">
        <v>-191.96530000000001</v>
      </c>
      <c r="H7220" s="1">
        <v>-3.029426E-6</v>
      </c>
      <c r="I7220">
        <v>-34.56814</v>
      </c>
      <c r="J7220">
        <v>-192.5643</v>
      </c>
      <c r="K7220">
        <v>1.1183540000000001</v>
      </c>
      <c r="L7220">
        <v>-44.62088</v>
      </c>
      <c r="M7220">
        <v>0.36181669999999999</v>
      </c>
      <c r="N7220">
        <v>-9.8538719999999996E-3</v>
      </c>
      <c r="O7220">
        <v>0.93219719999999995</v>
      </c>
      <c r="P7220">
        <v>0.1049002</v>
      </c>
      <c r="Q7220">
        <v>0.37734879999999998</v>
      </c>
      <c r="R7220">
        <v>0.92011080000000001</v>
      </c>
      <c r="S7220">
        <v>0.22949220000000001</v>
      </c>
      <c r="T7220">
        <v>-0.36652059999999997</v>
      </c>
      <c r="U7220">
        <v>3.3847049999999999</v>
      </c>
      <c r="V7220">
        <v>-0.24278440000000001</v>
      </c>
      <c r="W7220">
        <v>0.38139400000000001</v>
      </c>
      <c r="X7220">
        <v>0.89196089999999995</v>
      </c>
      <c r="Y7220">
        <v>-0.2979735</v>
      </c>
      <c r="Z7220">
        <v>-8.4554240000000003E-2</v>
      </c>
      <c r="AA7220">
        <v>0.9508219</v>
      </c>
      <c r="AB7220">
        <v>32</v>
      </c>
      <c r="AC7220">
        <v>0.59899999999998899</v>
      </c>
      <c r="AD7220">
        <v>-1.1183570294259999</v>
      </c>
      <c r="AE7220">
        <v>10.05274</v>
      </c>
      <c r="AF7220">
        <v>-3.0415030284786799</v>
      </c>
      <c r="AG7220">
        <v>-1.1183570294259999</v>
      </c>
      <c r="AH7220">
        <v>9.4715215984790397</v>
      </c>
      <c r="AI7220">
        <v>96.414348686238</v>
      </c>
      <c r="AJ7220">
        <v>107.802907143013</v>
      </c>
      <c r="AK7220">
        <v>10.0105536564151</v>
      </c>
      <c r="AL7220">
        <v>67.579941775249793</v>
      </c>
      <c r="AM7220">
        <v>105.226555952978</v>
      </c>
      <c r="AN7220">
        <v>0.99999994762408295</v>
      </c>
    </row>
    <row r="7221" spans="1:40" x14ac:dyDescent="0.25">
      <c r="A7221" t="str">
        <f>"20190304165023869"</f>
        <v>20190304165023869</v>
      </c>
      <c r="B7221" t="str">
        <f>"1551689423862270"</f>
        <v>1551689423862270</v>
      </c>
      <c r="C7221" t="s">
        <v>40</v>
      </c>
      <c r="D7221">
        <v>4.5714030000000001</v>
      </c>
      <c r="E7221">
        <v>0.4847572</v>
      </c>
      <c r="F7221" t="s">
        <v>42</v>
      </c>
      <c r="G7221">
        <v>-191.9178</v>
      </c>
      <c r="H7221" s="1">
        <v>-3.1301220000000001E-6</v>
      </c>
      <c r="I7221">
        <v>-34.303919999999998</v>
      </c>
      <c r="J7221">
        <v>-192.44579999999999</v>
      </c>
      <c r="K7221">
        <v>1.118077</v>
      </c>
      <c r="L7221">
        <v>-44.288600000000002</v>
      </c>
      <c r="M7221">
        <v>0.352385</v>
      </c>
      <c r="N7221">
        <v>-9.8107000000000003E-3</v>
      </c>
      <c r="O7221">
        <v>0.93580370000000002</v>
      </c>
      <c r="P7221">
        <v>9.7252549999999993E-2</v>
      </c>
      <c r="Q7221">
        <v>0.37804300000000002</v>
      </c>
      <c r="R7221">
        <v>0.92066570000000003</v>
      </c>
      <c r="S7221">
        <v>0.21224979999999999</v>
      </c>
      <c r="T7221">
        <v>-0.3671334</v>
      </c>
      <c r="U7221">
        <v>3.386841</v>
      </c>
      <c r="V7221">
        <v>-0.2408286</v>
      </c>
      <c r="W7221">
        <v>0.38225209999999998</v>
      </c>
      <c r="X7221">
        <v>0.89212380000000002</v>
      </c>
      <c r="Y7221">
        <v>-0.29320069999999998</v>
      </c>
      <c r="Z7221">
        <v>-8.5350709999999996E-2</v>
      </c>
      <c r="AA7221">
        <v>0.95223349999999995</v>
      </c>
      <c r="AB7221">
        <v>32</v>
      </c>
      <c r="AC7221">
        <v>0.52799999999999103</v>
      </c>
      <c r="AD7221">
        <v>-1.118080130122</v>
      </c>
      <c r="AE7221">
        <v>9.9846800000000009</v>
      </c>
      <c r="AF7221">
        <v>-2.9871400997198401</v>
      </c>
      <c r="AG7221">
        <v>-1.118080130122</v>
      </c>
      <c r="AH7221">
        <v>9.4125199665288797</v>
      </c>
      <c r="AI7221">
        <v>96.459612102941193</v>
      </c>
      <c r="AJ7221">
        <v>107.607260833269</v>
      </c>
      <c r="AK7221">
        <v>9.9382413571533306</v>
      </c>
      <c r="AL7221">
        <v>67.5267466318153</v>
      </c>
      <c r="AM7221">
        <v>105.106891794481</v>
      </c>
      <c r="AN7221">
        <v>0.99999997852940403</v>
      </c>
    </row>
    <row r="7222" spans="1:40" x14ac:dyDescent="0.25">
      <c r="A7222" t="str">
        <f>"20190304165023888"</f>
        <v>20190304165023888</v>
      </c>
      <c r="B7222" t="str">
        <f>"1551689423882767"</f>
        <v>1551689423882767</v>
      </c>
      <c r="C7222" t="s">
        <v>40</v>
      </c>
      <c r="D7222">
        <v>4.5863800000000001</v>
      </c>
      <c r="E7222">
        <v>0.49358669999999999</v>
      </c>
      <c r="F7222" t="s">
        <v>42</v>
      </c>
      <c r="G7222">
        <v>-191.84870000000001</v>
      </c>
      <c r="H7222" s="1">
        <v>-3.2280190000000002E-6</v>
      </c>
      <c r="I7222">
        <v>-34.032919999999997</v>
      </c>
      <c r="J7222">
        <v>-192.3536</v>
      </c>
      <c r="K7222">
        <v>1.117842</v>
      </c>
      <c r="L7222">
        <v>-44.023130000000002</v>
      </c>
      <c r="M7222">
        <v>0.345205599999999</v>
      </c>
      <c r="N7222">
        <v>-9.7735530000000008E-3</v>
      </c>
      <c r="O7222">
        <v>0.93847619999999998</v>
      </c>
      <c r="P7222">
        <v>9.1561320000000002E-2</v>
      </c>
      <c r="Q7222">
        <v>0.37958819999999999</v>
      </c>
      <c r="R7222">
        <v>0.92061360000000003</v>
      </c>
      <c r="S7222">
        <v>0.19734189999999999</v>
      </c>
      <c r="T7222">
        <v>-0.36951460000000003</v>
      </c>
      <c r="U7222">
        <v>3.3894039999999999</v>
      </c>
      <c r="V7222">
        <v>-0.23907819999999999</v>
      </c>
      <c r="W7222">
        <v>0.383936</v>
      </c>
      <c r="X7222">
        <v>0.89187150000000004</v>
      </c>
      <c r="Y7222">
        <v>-0.29010079999999999</v>
      </c>
      <c r="Z7222">
        <v>-8.6407540000000005E-2</v>
      </c>
      <c r="AA7222">
        <v>0.95308720000000002</v>
      </c>
      <c r="AB7222">
        <v>32</v>
      </c>
      <c r="AC7222">
        <v>0.50489999999999202</v>
      </c>
      <c r="AD7222">
        <v>-1.1178452280190001</v>
      </c>
      <c r="AE7222">
        <v>9.9902099999999905</v>
      </c>
      <c r="AF7222">
        <v>-2.9382874245499901</v>
      </c>
      <c r="AG7222">
        <v>-1.1178452280190001</v>
      </c>
      <c r="AH7222">
        <v>9.4325277120585795</v>
      </c>
      <c r="AI7222">
        <v>96.455393024864506</v>
      </c>
      <c r="AJ7222">
        <v>107.30211626436299</v>
      </c>
      <c r="AK7222">
        <v>9.9426198751549695</v>
      </c>
      <c r="AL7222">
        <v>67.422298408420403</v>
      </c>
      <c r="AM7222">
        <v>105.006110693262</v>
      </c>
      <c r="AN7222">
        <v>1.0000000051617399</v>
      </c>
    </row>
    <row r="7223" spans="1:40" x14ac:dyDescent="0.25">
      <c r="A7223" t="str">
        <f>"20190304165023912"</f>
        <v>20190304165023912</v>
      </c>
      <c r="B7223" t="str">
        <f>"1551689423902286"</f>
        <v>1551689423902286</v>
      </c>
      <c r="C7223" t="s">
        <v>40</v>
      </c>
      <c r="D7223">
        <v>4.5660949999999998</v>
      </c>
      <c r="E7223">
        <v>0.49443799999999999</v>
      </c>
      <c r="F7223" t="s">
        <v>42</v>
      </c>
      <c r="G7223">
        <v>-191.64160000000001</v>
      </c>
      <c r="H7223" s="1">
        <v>-3.0865570000000001E-6</v>
      </c>
      <c r="I7223">
        <v>-34.234180000000002</v>
      </c>
      <c r="J7223">
        <v>-192.24889999999999</v>
      </c>
      <c r="K7223">
        <v>1.1175310000000001</v>
      </c>
      <c r="L7223">
        <v>-43.715299999999999</v>
      </c>
      <c r="M7223">
        <v>0.33727200000000002</v>
      </c>
      <c r="N7223">
        <v>-9.7257360000000005E-3</v>
      </c>
      <c r="O7223">
        <v>0.941357</v>
      </c>
      <c r="P7223">
        <v>8.5216650000000005E-2</v>
      </c>
      <c r="Q7223">
        <v>0.38039070000000003</v>
      </c>
      <c r="R7223">
        <v>0.92089140000000003</v>
      </c>
      <c r="S7223">
        <v>0.24685670000000001</v>
      </c>
      <c r="T7223">
        <v>-0.3875709</v>
      </c>
      <c r="U7223">
        <v>3.3939509999999999</v>
      </c>
      <c r="V7223">
        <v>-0.2372947</v>
      </c>
      <c r="W7223">
        <v>0.384907</v>
      </c>
      <c r="X7223">
        <v>0.89192929999999904</v>
      </c>
      <c r="Y7223">
        <v>-0.26822639999999998</v>
      </c>
      <c r="Z7223">
        <v>-9.1791899999999996E-2</v>
      </c>
      <c r="AA7223">
        <v>0.95897279999999996</v>
      </c>
      <c r="AB7223">
        <v>32</v>
      </c>
      <c r="AC7223">
        <v>0.60729999999997997</v>
      </c>
      <c r="AD7223">
        <v>-1.117534086557</v>
      </c>
      <c r="AE7223">
        <v>9.48111999999999</v>
      </c>
      <c r="AF7223">
        <v>-2.5903137184830598</v>
      </c>
      <c r="AG7223">
        <v>-1.117534086557</v>
      </c>
      <c r="AH7223">
        <v>9.0057681422738796</v>
      </c>
      <c r="AI7223">
        <v>96.800741927017896</v>
      </c>
      <c r="AJ7223">
        <v>106.046732534485</v>
      </c>
      <c r="AK7223">
        <v>9.4372913183377705</v>
      </c>
      <c r="AL7223">
        <v>67.362033759844806</v>
      </c>
      <c r="AM7223">
        <v>104.89824004832801</v>
      </c>
      <c r="AN7223">
        <v>1.00000002474778</v>
      </c>
    </row>
    <row r="7224" spans="1:40" x14ac:dyDescent="0.25">
      <c r="A7224" t="str">
        <f>"20190304165023934"</f>
        <v>20190304165023934</v>
      </c>
      <c r="B7224" t="str">
        <f>"1551689423922782"</f>
        <v>1551689423922782</v>
      </c>
      <c r="C7224" t="s">
        <v>40</v>
      </c>
      <c r="D7224">
        <v>4.5598519999999896</v>
      </c>
      <c r="E7224">
        <v>0.49777310000000002</v>
      </c>
      <c r="F7224" t="s">
        <v>42</v>
      </c>
      <c r="G7224">
        <v>-191.5917</v>
      </c>
      <c r="H7224" s="1">
        <v>-3.1919759999999999E-6</v>
      </c>
      <c r="I7224">
        <v>-33.957509999999999</v>
      </c>
      <c r="J7224">
        <v>-192.14879999999999</v>
      </c>
      <c r="K7224">
        <v>1.117211</v>
      </c>
      <c r="L7224">
        <v>-43.413969999999999</v>
      </c>
      <c r="M7224">
        <v>0.32992460000000001</v>
      </c>
      <c r="N7224">
        <v>-9.674907E-3</v>
      </c>
      <c r="O7224">
        <v>0.94395770000000001</v>
      </c>
      <c r="P7224">
        <v>8.0104069999999999E-2</v>
      </c>
      <c r="Q7224">
        <v>0.38102819999999998</v>
      </c>
      <c r="R7224">
        <v>0.92108679999999998</v>
      </c>
      <c r="S7224">
        <v>0.22882079999999999</v>
      </c>
      <c r="T7224">
        <v>-0.38907770000000003</v>
      </c>
      <c r="U7224">
        <v>3.3972470000000001</v>
      </c>
      <c r="V7224">
        <v>-0.2348981</v>
      </c>
      <c r="W7224">
        <v>0.38572859999999998</v>
      </c>
      <c r="X7224">
        <v>0.89220869999999997</v>
      </c>
      <c r="Y7224">
        <v>-0.26585799999999998</v>
      </c>
      <c r="Z7224">
        <v>-9.261511E-2</v>
      </c>
      <c r="AA7224">
        <v>0.95955299999999999</v>
      </c>
      <c r="AB7224">
        <v>32</v>
      </c>
      <c r="AC7224">
        <v>0.55709999999999105</v>
      </c>
      <c r="AD7224">
        <v>-1.1172141919759999</v>
      </c>
      <c r="AE7224">
        <v>9.4564599999999999</v>
      </c>
      <c r="AF7224">
        <v>-2.5585729512164601</v>
      </c>
      <c r="AG7224">
        <v>-1.1172141919759999</v>
      </c>
      <c r="AH7224">
        <v>8.9857387099691</v>
      </c>
      <c r="AI7224">
        <v>96.818989830236802</v>
      </c>
      <c r="AJ7224">
        <v>105.893618130009</v>
      </c>
      <c r="AK7224">
        <v>9.4094613693498008</v>
      </c>
      <c r="AL7224">
        <v>67.311020325106298</v>
      </c>
      <c r="AM7224">
        <v>104.749949103798</v>
      </c>
      <c r="AN7224">
        <v>1.0000000172986201</v>
      </c>
    </row>
    <row r="7225" spans="1:40" x14ac:dyDescent="0.25">
      <c r="A7225" t="str">
        <f>"20190304165023956"</f>
        <v>20190304165023956</v>
      </c>
      <c r="B7225" t="str">
        <f>"1551689423953038"</f>
        <v>1551689423953038</v>
      </c>
      <c r="C7225" t="s">
        <v>40</v>
      </c>
      <c r="D7225">
        <v>4.554214</v>
      </c>
      <c r="E7225">
        <v>0.49847449999999999</v>
      </c>
      <c r="F7225" t="s">
        <v>42</v>
      </c>
      <c r="G7225">
        <v>-191.51769999999999</v>
      </c>
      <c r="H7225" s="1">
        <v>-3.050276E-6</v>
      </c>
      <c r="I7225">
        <v>-34.241959999999999</v>
      </c>
      <c r="J7225">
        <v>-192.05279999999999</v>
      </c>
      <c r="K7225">
        <v>1.1168689999999999</v>
      </c>
      <c r="L7225">
        <v>-43.118499999999997</v>
      </c>
      <c r="M7225">
        <v>0.32314690000000001</v>
      </c>
      <c r="N7225">
        <v>-9.6251129999999994E-3</v>
      </c>
      <c r="O7225">
        <v>0.94629989999999997</v>
      </c>
      <c r="P7225">
        <v>7.5695490000000004E-2</v>
      </c>
      <c r="Q7225">
        <v>0.38145279999999998</v>
      </c>
      <c r="R7225">
        <v>0.92128379999999999</v>
      </c>
      <c r="S7225">
        <v>0.23451230000000001</v>
      </c>
      <c r="T7225">
        <v>-0.415161</v>
      </c>
      <c r="U7225">
        <v>3.4083559999999999</v>
      </c>
      <c r="V7225">
        <v>-0.23239370000000001</v>
      </c>
      <c r="W7225">
        <v>0.3863395</v>
      </c>
      <c r="X7225">
        <v>0.89260010000000001</v>
      </c>
      <c r="Y7225">
        <v>-0.25759349999999998</v>
      </c>
      <c r="Z7225">
        <v>-9.9625749999999999E-2</v>
      </c>
      <c r="AA7225">
        <v>0.96110370000000001</v>
      </c>
      <c r="AB7225">
        <v>32</v>
      </c>
      <c r="AC7225">
        <v>0.53509999999999902</v>
      </c>
      <c r="AD7225">
        <v>-1.1168720502759999</v>
      </c>
      <c r="AE7225">
        <v>8.8765399999999897</v>
      </c>
      <c r="AF7225">
        <v>-2.3254882160319101</v>
      </c>
      <c r="AG7225">
        <v>-1.1168720502759999</v>
      </c>
      <c r="AH7225">
        <v>8.44004768955892</v>
      </c>
      <c r="AI7225">
        <v>97.270296140905899</v>
      </c>
      <c r="AJ7225">
        <v>105.404490997084</v>
      </c>
      <c r="AK7225">
        <v>8.8255143545076091</v>
      </c>
      <c r="AL7225">
        <v>67.273076490006005</v>
      </c>
      <c r="AM7225">
        <v>104.593314781243</v>
      </c>
      <c r="AN7225">
        <v>0.99999998978997495</v>
      </c>
    </row>
    <row r="7226" spans="1:40" x14ac:dyDescent="0.25">
      <c r="A7226" t="str">
        <f>"20190304165023977"</f>
        <v>20190304165023977</v>
      </c>
      <c r="B7226" t="str">
        <f>"1551689423972559"</f>
        <v>1551689423972559</v>
      </c>
      <c r="C7226" t="s">
        <v>40</v>
      </c>
      <c r="D7226">
        <v>4.5369390000000003</v>
      </c>
      <c r="E7226">
        <v>0.49925219999999998</v>
      </c>
      <c r="F7226" t="s">
        <v>42</v>
      </c>
      <c r="G7226">
        <v>-191.46019999999999</v>
      </c>
      <c r="H7226" s="1">
        <v>-3.131279E-6</v>
      </c>
      <c r="I7226">
        <v>-34.017429999999997</v>
      </c>
      <c r="J7226">
        <v>-191.96340000000001</v>
      </c>
      <c r="K7226">
        <v>1.116554</v>
      </c>
      <c r="L7226">
        <v>-42.83755</v>
      </c>
      <c r="M7226">
        <v>0.3170809</v>
      </c>
      <c r="N7226">
        <v>-9.5797E-3</v>
      </c>
      <c r="O7226">
        <v>0.94835009999999997</v>
      </c>
      <c r="P7226">
        <v>7.1083999999999994E-2</v>
      </c>
      <c r="Q7226">
        <v>0.38187579999999999</v>
      </c>
      <c r="R7226">
        <v>0.92147590000000001</v>
      </c>
      <c r="S7226">
        <v>0.22215270000000001</v>
      </c>
      <c r="T7226">
        <v>-0.41864370000000001</v>
      </c>
      <c r="U7226">
        <v>3.4114070000000001</v>
      </c>
      <c r="V7226">
        <v>-0.23079089999999999</v>
      </c>
      <c r="W7226">
        <v>0.38692359999999998</v>
      </c>
      <c r="X7226">
        <v>0.89276299999999997</v>
      </c>
      <c r="Y7226">
        <v>-0.25494090000000003</v>
      </c>
      <c r="Z7226">
        <v>-0.10089380000000001</v>
      </c>
      <c r="AA7226">
        <v>0.96167849999999999</v>
      </c>
      <c r="AB7226">
        <v>32</v>
      </c>
      <c r="AC7226">
        <v>0.50320000000002096</v>
      </c>
      <c r="AD7226">
        <v>-1.1165571312789999</v>
      </c>
      <c r="AE7226">
        <v>8.8201199999999993</v>
      </c>
      <c r="AF7226">
        <v>-2.28311875032401</v>
      </c>
      <c r="AG7226">
        <v>-1.1165571312789999</v>
      </c>
      <c r="AH7226">
        <v>8.3904821904228708</v>
      </c>
      <c r="AI7226">
        <v>97.317047360711996</v>
      </c>
      <c r="AJ7226">
        <v>105.222097270833</v>
      </c>
      <c r="AK7226">
        <v>8.7669562815890902</v>
      </c>
      <c r="AL7226">
        <v>67.236789303272204</v>
      </c>
      <c r="AM7226">
        <v>104.49438679407</v>
      </c>
      <c r="AN7226">
        <v>1.0000000429643801</v>
      </c>
    </row>
    <row r="7227" spans="1:40" x14ac:dyDescent="0.25">
      <c r="A7227" t="str">
        <f>"20190304165023999"</f>
        <v>20190304165023999</v>
      </c>
      <c r="B7227" t="str">
        <f>"1551689423993054"</f>
        <v>1551689423993054</v>
      </c>
      <c r="C7227" t="s">
        <v>40</v>
      </c>
      <c r="D7227">
        <v>4.5128839999999997</v>
      </c>
      <c r="E7227">
        <v>0.49966549999999998</v>
      </c>
      <c r="F7227" t="s">
        <v>42</v>
      </c>
      <c r="G7227">
        <v>-191.3981</v>
      </c>
      <c r="H7227" s="1">
        <v>-3.2689359999999999E-6</v>
      </c>
      <c r="I7227">
        <v>-33.658050000000003</v>
      </c>
      <c r="J7227">
        <v>-191.86510000000001</v>
      </c>
      <c r="K7227">
        <v>1.116241</v>
      </c>
      <c r="L7227">
        <v>-42.522280000000002</v>
      </c>
      <c r="M7227">
        <v>0.3106312</v>
      </c>
      <c r="N7227">
        <v>-9.5333999999999992E-3</v>
      </c>
      <c r="O7227">
        <v>0.95048270000000001</v>
      </c>
      <c r="P7227">
        <v>6.7438120000000004E-2</v>
      </c>
      <c r="Q7227">
        <v>0.38275100000000001</v>
      </c>
      <c r="R7227">
        <v>0.92138679999999995</v>
      </c>
      <c r="S7227">
        <v>0.21008299999999999</v>
      </c>
      <c r="T7227">
        <v>-0.41494930000000002</v>
      </c>
      <c r="U7227">
        <v>3.4114070000000001</v>
      </c>
      <c r="V7227">
        <v>-0.22785130000000001</v>
      </c>
      <c r="W7227">
        <v>0.38797510000000002</v>
      </c>
      <c r="X7227">
        <v>0.89306169999999996</v>
      </c>
      <c r="Y7227">
        <v>-0.25176179999999998</v>
      </c>
      <c r="Z7227">
        <v>-0.1004145</v>
      </c>
      <c r="AA7227">
        <v>0.96256580000000003</v>
      </c>
      <c r="AB7227">
        <v>32</v>
      </c>
      <c r="AC7227">
        <v>0.46700000000001302</v>
      </c>
      <c r="AD7227">
        <v>-1.1162442689359999</v>
      </c>
      <c r="AE7227">
        <v>8.8642299999999992</v>
      </c>
      <c r="AF7227">
        <v>-2.2737791584197602</v>
      </c>
      <c r="AG7227">
        <v>-1.1162442689359999</v>
      </c>
      <c r="AH7227">
        <v>8.4373264530965297</v>
      </c>
      <c r="AI7227">
        <v>97.279597029828693</v>
      </c>
      <c r="AJ7227">
        <v>105.082361897376</v>
      </c>
      <c r="AK7227">
        <v>8.8093445048606807</v>
      </c>
      <c r="AL7227">
        <v>67.171438372982706</v>
      </c>
      <c r="AM7227">
        <v>104.312814477619</v>
      </c>
      <c r="AN7227">
        <v>1.00000004656929</v>
      </c>
    </row>
    <row r="7228" spans="1:40" x14ac:dyDescent="0.25">
      <c r="A7228" t="str">
        <f>"20190304165024023"</f>
        <v>20190304165024023</v>
      </c>
      <c r="B7228" t="str">
        <f>"1551689424012574"</f>
        <v>1551689424012574</v>
      </c>
      <c r="C7228" t="s">
        <v>40</v>
      </c>
      <c r="D7228">
        <v>4.4790960000000002</v>
      </c>
      <c r="E7228">
        <v>0.50024009999999997</v>
      </c>
      <c r="F7228" t="s">
        <v>42</v>
      </c>
      <c r="G7228">
        <v>-191.32759999999999</v>
      </c>
      <c r="H7228" s="1">
        <v>-3.4205129999999998E-6</v>
      </c>
      <c r="I7228">
        <v>-33.26099</v>
      </c>
      <c r="J7228">
        <v>-191.76849999999999</v>
      </c>
      <c r="K7228">
        <v>1.11598</v>
      </c>
      <c r="L7228">
        <v>-42.206299999999999</v>
      </c>
      <c r="M7228">
        <v>0.30451149999999999</v>
      </c>
      <c r="N7228">
        <v>-9.4905519999999993E-3</v>
      </c>
      <c r="O7228">
        <v>0.95246140000000001</v>
      </c>
      <c r="P7228">
        <v>6.4589069999999998E-2</v>
      </c>
      <c r="Q7228">
        <v>0.38375490000000001</v>
      </c>
      <c r="R7228">
        <v>0.92117340000000003</v>
      </c>
      <c r="S7228">
        <v>0.1980286</v>
      </c>
      <c r="T7228">
        <v>-0.41128039999999999</v>
      </c>
      <c r="U7228">
        <v>3.4123230000000002</v>
      </c>
      <c r="V7228">
        <v>-0.2244786</v>
      </c>
      <c r="W7228">
        <v>0.38914159999999998</v>
      </c>
      <c r="X7228">
        <v>0.89340819999999999</v>
      </c>
      <c r="Y7228">
        <v>-0.248942</v>
      </c>
      <c r="Z7228">
        <v>-9.9867890000000001E-2</v>
      </c>
      <c r="AA7228">
        <v>0.96335570000000004</v>
      </c>
      <c r="AB7228">
        <v>32</v>
      </c>
      <c r="AC7228">
        <v>0.44089999999999901</v>
      </c>
      <c r="AD7228">
        <v>-1.1159834205129999</v>
      </c>
      <c r="AE7228">
        <v>8.9453099999999992</v>
      </c>
      <c r="AF7228">
        <v>-2.2688856164521201</v>
      </c>
      <c r="AG7228">
        <v>-1.1159834205129999</v>
      </c>
      <c r="AH7228">
        <v>8.5223891291479994</v>
      </c>
      <c r="AI7228">
        <v>97.211858970929498</v>
      </c>
      <c r="AJ7228">
        <v>104.907867905635</v>
      </c>
      <c r="AK7228">
        <v>8.8895656476581095</v>
      </c>
      <c r="AL7228">
        <v>67.098902678051402</v>
      </c>
      <c r="AM7228">
        <v>104.104220968665</v>
      </c>
      <c r="AN7228">
        <v>1.00000001926788</v>
      </c>
    </row>
    <row r="7229" spans="1:40" x14ac:dyDescent="0.25">
      <c r="A7229" t="str">
        <f>"20190304165024044"</f>
        <v>20190304165024044</v>
      </c>
      <c r="B7229" t="str">
        <f>"1551689424033070"</f>
        <v>1551689424033070</v>
      </c>
      <c r="C7229" t="s">
        <v>40</v>
      </c>
      <c r="D7229">
        <v>4.5172299999999996</v>
      </c>
      <c r="E7229">
        <v>0.50629690000000005</v>
      </c>
      <c r="F7229" t="s">
        <v>42</v>
      </c>
      <c r="G7229">
        <v>-191.25229999999999</v>
      </c>
      <c r="H7229" s="1">
        <v>-3.5589689999999999E-6</v>
      </c>
      <c r="I7229">
        <v>-32.891559999999998</v>
      </c>
      <c r="J7229">
        <v>-191.68209999999999</v>
      </c>
      <c r="K7229">
        <v>1.1157459999999999</v>
      </c>
      <c r="L7229">
        <v>-41.918579999999999</v>
      </c>
      <c r="M7229">
        <v>0.2992341</v>
      </c>
      <c r="N7229">
        <v>-9.449598E-3</v>
      </c>
      <c r="O7229">
        <v>0.95413300000000001</v>
      </c>
      <c r="P7229">
        <v>6.2872709999999998E-2</v>
      </c>
      <c r="Q7229">
        <v>0.38377289999999997</v>
      </c>
      <c r="R7229">
        <v>0.92128469999999996</v>
      </c>
      <c r="S7229">
        <v>0.1891632</v>
      </c>
      <c r="T7229">
        <v>-0.40900779999999998</v>
      </c>
      <c r="U7229">
        <v>3.4138489999999999</v>
      </c>
      <c r="V7229">
        <v>-0.22095380000000001</v>
      </c>
      <c r="W7229">
        <v>0.38930540000000002</v>
      </c>
      <c r="X7229">
        <v>0.89421519999999999</v>
      </c>
      <c r="Y7229">
        <v>-0.24610070000000001</v>
      </c>
      <c r="Z7229">
        <v>-9.9605029999999997E-2</v>
      </c>
      <c r="AA7229">
        <v>0.96411270000000004</v>
      </c>
      <c r="AB7229">
        <v>32</v>
      </c>
      <c r="AC7229">
        <v>0.42980000000000002</v>
      </c>
      <c r="AD7229">
        <v>-1.1157495589690001</v>
      </c>
      <c r="AE7229">
        <v>9.0270200000000003</v>
      </c>
      <c r="AF7229">
        <v>-2.2568082030387999</v>
      </c>
      <c r="AG7229">
        <v>-1.1157495589690001</v>
      </c>
      <c r="AH7229">
        <v>8.6107277324185194</v>
      </c>
      <c r="AI7229">
        <v>97.144372023954006</v>
      </c>
      <c r="AJ7229">
        <v>104.686465303383</v>
      </c>
      <c r="AK7229">
        <v>8.9712157718719592</v>
      </c>
      <c r="AL7229">
        <v>67.088714945911804</v>
      </c>
      <c r="AM7229">
        <v>103.879344124428</v>
      </c>
      <c r="AN7229">
        <v>1.0000000500573101</v>
      </c>
    </row>
    <row r="7230" spans="1:40" x14ac:dyDescent="0.25">
      <c r="A7230" t="str">
        <f>"20190304165024068"</f>
        <v>20190304165024068</v>
      </c>
      <c r="B7230" t="str">
        <f>"1551689424062350"</f>
        <v>1551689424062350</v>
      </c>
      <c r="C7230" t="s">
        <v>40</v>
      </c>
      <c r="D7230">
        <v>4.444121</v>
      </c>
      <c r="E7230">
        <v>0.50703520000000002</v>
      </c>
      <c r="F7230" t="s">
        <v>42</v>
      </c>
      <c r="G7230">
        <v>-191.11539999999999</v>
      </c>
      <c r="H7230" s="1">
        <v>-3.3162110000000002E-6</v>
      </c>
      <c r="I7230">
        <v>-33.372520000000002</v>
      </c>
      <c r="J7230">
        <v>-191.5881</v>
      </c>
      <c r="K7230">
        <v>1.115478</v>
      </c>
      <c r="L7230">
        <v>-41.599820000000001</v>
      </c>
      <c r="M7230">
        <v>0.29371720000000001</v>
      </c>
      <c r="N7230">
        <v>-9.4027810000000007E-3</v>
      </c>
      <c r="O7230">
        <v>0.95584610000000003</v>
      </c>
      <c r="P7230">
        <v>6.095482E-2</v>
      </c>
      <c r="Q7230">
        <v>0.38333790000000001</v>
      </c>
      <c r="R7230">
        <v>0.92159460000000004</v>
      </c>
      <c r="S7230">
        <v>0.22724910000000001</v>
      </c>
      <c r="T7230">
        <v>-0.4474477</v>
      </c>
      <c r="U7230">
        <v>3.427216</v>
      </c>
      <c r="V7230">
        <v>-0.21742649999999999</v>
      </c>
      <c r="W7230">
        <v>0.38902429999999999</v>
      </c>
      <c r="X7230">
        <v>0.89520159999999904</v>
      </c>
      <c r="Y7230">
        <v>-0.23007459999999999</v>
      </c>
      <c r="Z7230">
        <v>-0.109845899999999</v>
      </c>
      <c r="AA7230">
        <v>0.96695379999999997</v>
      </c>
      <c r="AB7230">
        <v>32</v>
      </c>
      <c r="AC7230">
        <v>0.47270000000000301</v>
      </c>
      <c r="AD7230">
        <v>-1.115481316211</v>
      </c>
      <c r="AE7230">
        <v>8.2272999999999996</v>
      </c>
      <c r="AF7230">
        <v>-1.92940688820715</v>
      </c>
      <c r="AG7230">
        <v>-1.115481316211</v>
      </c>
      <c r="AH7230">
        <v>7.8592279587163301</v>
      </c>
      <c r="AI7230">
        <v>97.848182091193493</v>
      </c>
      <c r="AJ7230">
        <v>103.793092373044</v>
      </c>
      <c r="AK7230">
        <v>8.1691109439244105</v>
      </c>
      <c r="AL7230">
        <v>67.106199017453307</v>
      </c>
      <c r="AM7230">
        <v>103.651651902495</v>
      </c>
      <c r="AN7230">
        <v>1.00000004676764</v>
      </c>
    </row>
    <row r="7231" spans="1:40" x14ac:dyDescent="0.25">
      <c r="A7231" t="str">
        <f>"20190304165024089"</f>
        <v>20190304165024089</v>
      </c>
      <c r="B7231" t="str">
        <f>"1551689424082847"</f>
        <v>1551689424082847</v>
      </c>
      <c r="C7231" t="s">
        <v>40</v>
      </c>
      <c r="D7231">
        <v>4.461112</v>
      </c>
      <c r="E7231">
        <v>0.50770990000000005</v>
      </c>
      <c r="F7231" t="s">
        <v>42</v>
      </c>
      <c r="G7231">
        <v>-191.0455</v>
      </c>
      <c r="H7231" s="1">
        <v>-3.3667060000000001E-6</v>
      </c>
      <c r="I7231">
        <v>-33.211440000000003</v>
      </c>
      <c r="J7231">
        <v>-191.499</v>
      </c>
      <c r="K7231">
        <v>1.115208</v>
      </c>
      <c r="L7231">
        <v>-41.292389999999997</v>
      </c>
      <c r="M7231">
        <v>0.28870639999999997</v>
      </c>
      <c r="N7231">
        <v>-9.3556430000000003E-3</v>
      </c>
      <c r="O7231">
        <v>0.957372</v>
      </c>
      <c r="P7231">
        <v>5.8128010000000001E-2</v>
      </c>
      <c r="Q7231">
        <v>0.38431999999999999</v>
      </c>
      <c r="R7231">
        <v>0.92136819999999997</v>
      </c>
      <c r="S7231">
        <v>0.22189329999999999</v>
      </c>
      <c r="T7231">
        <v>-0.45615459999999902</v>
      </c>
      <c r="U7231">
        <v>3.4302670000000002</v>
      </c>
      <c r="V7231">
        <v>-0.2151111</v>
      </c>
      <c r="W7231">
        <v>0.3901328</v>
      </c>
      <c r="X7231">
        <v>0.89527849999999998</v>
      </c>
      <c r="Y7231">
        <v>-0.22655510000000001</v>
      </c>
      <c r="Z7231">
        <v>-0.11242240000000001</v>
      </c>
      <c r="AA7231">
        <v>0.96748849999999997</v>
      </c>
      <c r="AB7231">
        <v>32</v>
      </c>
      <c r="AC7231">
        <v>0.453500000000019</v>
      </c>
      <c r="AD7231">
        <v>-1.115211366706</v>
      </c>
      <c r="AE7231">
        <v>8.0809499999999996</v>
      </c>
      <c r="AF7231">
        <v>-1.86355613368773</v>
      </c>
      <c r="AG7231">
        <v>-1.115211366706</v>
      </c>
      <c r="AH7231">
        <v>7.7211570530104101</v>
      </c>
      <c r="AI7231">
        <v>97.9923209980211</v>
      </c>
      <c r="AJ7231">
        <v>103.569232294101</v>
      </c>
      <c r="AK7231">
        <v>8.0207732852317797</v>
      </c>
      <c r="AL7231">
        <v>67.037236895473299</v>
      </c>
      <c r="AM7231">
        <v>103.51051307852499</v>
      </c>
      <c r="AN7231">
        <v>0.99999998977064897</v>
      </c>
    </row>
    <row r="7232" spans="1:40" x14ac:dyDescent="0.25">
      <c r="A7232" t="str">
        <f>"20190304165024113"</f>
        <v>20190304165024113</v>
      </c>
      <c r="B7232" t="str">
        <f>"1551689424102367"</f>
        <v>1551689424102367</v>
      </c>
      <c r="C7232" t="s">
        <v>40</v>
      </c>
      <c r="D7232">
        <v>4.4923209999999996</v>
      </c>
      <c r="E7232">
        <v>0.50790900000000005</v>
      </c>
      <c r="F7232" t="s">
        <v>42</v>
      </c>
      <c r="G7232">
        <v>-190.97219999999999</v>
      </c>
      <c r="H7232" s="1">
        <v>-3.4761859999999999E-6</v>
      </c>
      <c r="I7232">
        <v>-32.910800000000002</v>
      </c>
      <c r="J7232">
        <v>-191.40940000000001</v>
      </c>
      <c r="K7232">
        <v>1.114932</v>
      </c>
      <c r="L7232">
        <v>-40.978029999999997</v>
      </c>
      <c r="M7232">
        <v>0.28388089999999999</v>
      </c>
      <c r="N7232">
        <v>-9.3060509999999992E-3</v>
      </c>
      <c r="O7232">
        <v>0.95881439999999996</v>
      </c>
      <c r="P7232">
        <v>5.3939609999999999E-2</v>
      </c>
      <c r="Q7232">
        <v>0.3854168</v>
      </c>
      <c r="R7232">
        <v>0.92116469999999995</v>
      </c>
      <c r="S7232">
        <v>0.21577450000000001</v>
      </c>
      <c r="T7232">
        <v>-0.45677129999999999</v>
      </c>
      <c r="U7232">
        <v>3.4329529999999999</v>
      </c>
      <c r="V7232">
        <v>-0.2142839</v>
      </c>
      <c r="W7232">
        <v>0.39133630000000003</v>
      </c>
      <c r="X7232">
        <v>0.89495159999999996</v>
      </c>
      <c r="Y7232">
        <v>-0.22342119999999999</v>
      </c>
      <c r="Z7232">
        <v>-0.1128719</v>
      </c>
      <c r="AA7232">
        <v>0.96816469999999999</v>
      </c>
      <c r="AB7232">
        <v>32</v>
      </c>
      <c r="AC7232">
        <v>0.43720000000001802</v>
      </c>
      <c r="AD7232">
        <v>-1.114935476186</v>
      </c>
      <c r="AE7232">
        <v>8.0672299999999897</v>
      </c>
      <c r="AF7232">
        <v>-1.83605256229098</v>
      </c>
      <c r="AG7232">
        <v>-1.114935476186</v>
      </c>
      <c r="AH7232">
        <v>7.7125452174070297</v>
      </c>
      <c r="AI7232">
        <v>98.005078325524593</v>
      </c>
      <c r="AJ7232">
        <v>103.39061551776901</v>
      </c>
      <c r="AK7232">
        <v>8.0060929209010201</v>
      </c>
      <c r="AL7232">
        <v>66.962327206549801</v>
      </c>
      <c r="AM7232">
        <v>103.46519078269</v>
      </c>
      <c r="AN7232">
        <v>1.0000000279197201</v>
      </c>
    </row>
    <row r="7233" spans="1:40" x14ac:dyDescent="0.25">
      <c r="A7233" t="str">
        <f>"20190304165024136"</f>
        <v>20190304165024136</v>
      </c>
      <c r="B7233" t="str">
        <f>"1551689424132622"</f>
        <v>1551689424132622</v>
      </c>
      <c r="C7233" t="s">
        <v>40</v>
      </c>
      <c r="D7233">
        <v>4.5183460000000002</v>
      </c>
      <c r="E7233">
        <v>0.50515650000000001</v>
      </c>
      <c r="F7233" t="s">
        <v>42</v>
      </c>
      <c r="G7233">
        <v>-190.9134</v>
      </c>
      <c r="H7233" s="1">
        <v>-3.607423E-6</v>
      </c>
      <c r="I7233">
        <v>-32.568429999999999</v>
      </c>
      <c r="J7233">
        <v>-191.3203</v>
      </c>
      <c r="K7233">
        <v>1.11464599999999</v>
      </c>
      <c r="L7233">
        <v>-40.66037</v>
      </c>
      <c r="M7233">
        <v>0.27930650000000001</v>
      </c>
      <c r="N7233">
        <v>-9.2578869999999994E-3</v>
      </c>
      <c r="O7233">
        <v>0.96015740000000005</v>
      </c>
      <c r="P7233">
        <v>5.0523709999999999E-2</v>
      </c>
      <c r="Q7233">
        <v>0.38560759999999999</v>
      </c>
      <c r="R7233">
        <v>0.9212785</v>
      </c>
      <c r="S7233">
        <v>0.20262150000000001</v>
      </c>
      <c r="T7233">
        <v>-0.45546890000000001</v>
      </c>
      <c r="U7233">
        <v>3.4354550000000001</v>
      </c>
      <c r="V7233">
        <v>-0.21304329999999999</v>
      </c>
      <c r="W7233">
        <v>0.3916422</v>
      </c>
      <c r="X7233">
        <v>0.89511390000000002</v>
      </c>
      <c r="Y7233">
        <v>-0.2225125</v>
      </c>
      <c r="Z7233">
        <v>-0.11277180000000001</v>
      </c>
      <c r="AA7233">
        <v>0.96838559999999996</v>
      </c>
      <c r="AB7233">
        <v>32</v>
      </c>
      <c r="AC7233">
        <v>0.40690000000000698</v>
      </c>
      <c r="AD7233">
        <v>-1.1146496074229999</v>
      </c>
      <c r="AE7233">
        <v>8.0919399999999992</v>
      </c>
      <c r="AF7233">
        <v>-1.8347968224588</v>
      </c>
      <c r="AG7233">
        <v>-1.1146496074229999</v>
      </c>
      <c r="AH7233">
        <v>7.7370860571478701</v>
      </c>
      <c r="AI7233">
        <v>97.979620364606802</v>
      </c>
      <c r="AJ7233">
        <v>103.340861636772</v>
      </c>
      <c r="AK7233">
        <v>8.0294099274320896</v>
      </c>
      <c r="AL7233">
        <v>66.943278906376804</v>
      </c>
      <c r="AM7233">
        <v>103.38770873254001</v>
      </c>
      <c r="AN7233">
        <v>0.99999997723446898</v>
      </c>
    </row>
    <row r="7234" spans="1:40" x14ac:dyDescent="0.25">
      <c r="A7234" t="str">
        <f>"20190304165024159"</f>
        <v>20190304165024159</v>
      </c>
      <c r="B7234" t="str">
        <f>"1551689424153118"</f>
        <v>1551689424153118</v>
      </c>
      <c r="C7234" t="s">
        <v>40</v>
      </c>
      <c r="D7234">
        <v>4.4661660000000003</v>
      </c>
      <c r="E7234">
        <v>0.50425659999999894</v>
      </c>
      <c r="F7234" t="s">
        <v>42</v>
      </c>
      <c r="G7234">
        <v>-190.86709999999999</v>
      </c>
      <c r="H7234" s="1">
        <v>-4.0755540000000004E-6</v>
      </c>
      <c r="I7234">
        <v>-31.448450000000001</v>
      </c>
      <c r="J7234">
        <v>-191.23</v>
      </c>
      <c r="K7234">
        <v>1.1143829999999999</v>
      </c>
      <c r="L7234">
        <v>-40.333530000000003</v>
      </c>
      <c r="M7234">
        <v>0.27493079999999998</v>
      </c>
      <c r="N7234">
        <v>-9.2122950000000006E-3</v>
      </c>
      <c r="O7234">
        <v>0.96141989999999999</v>
      </c>
      <c r="P7234">
        <v>4.6567520000000001E-2</v>
      </c>
      <c r="Q7234">
        <v>0.3852679</v>
      </c>
      <c r="R7234">
        <v>0.92162900000000003</v>
      </c>
      <c r="S7234">
        <v>0.1682739</v>
      </c>
      <c r="T7234">
        <v>-0.41386509999999999</v>
      </c>
      <c r="U7234">
        <v>3.4203489999999999</v>
      </c>
      <c r="V7234">
        <v>-0.21258679999999999</v>
      </c>
      <c r="W7234">
        <v>0.39140520000000001</v>
      </c>
      <c r="X7234">
        <v>0.89532610000000001</v>
      </c>
      <c r="Y7234">
        <v>-0.2274699</v>
      </c>
      <c r="Z7234">
        <v>-0.10248599999999999</v>
      </c>
      <c r="AA7234">
        <v>0.96837709999999999</v>
      </c>
      <c r="AB7234">
        <v>32</v>
      </c>
      <c r="AC7234">
        <v>0.362899999999996</v>
      </c>
      <c r="AD7234">
        <v>-1.114387075554</v>
      </c>
      <c r="AE7234">
        <v>8.8850799999999897</v>
      </c>
      <c r="AF7234">
        <v>-2.06159525929466</v>
      </c>
      <c r="AG7234">
        <v>-1.114387075554</v>
      </c>
      <c r="AH7234">
        <v>8.5088047259533397</v>
      </c>
      <c r="AI7234">
        <v>97.253935330734294</v>
      </c>
      <c r="AJ7234">
        <v>103.619710727471</v>
      </c>
      <c r="AK7234">
        <v>8.8256326363447695</v>
      </c>
      <c r="AL7234">
        <v>66.958036699676697</v>
      </c>
      <c r="AM7234">
        <v>103.35699879022199</v>
      </c>
      <c r="AN7234">
        <v>1.00000000173124</v>
      </c>
    </row>
    <row r="7235" spans="1:40" x14ac:dyDescent="0.25">
      <c r="A7235" t="str">
        <f>"20190304165024177"</f>
        <v>20190304165024177</v>
      </c>
      <c r="B7235" t="str">
        <f>"1551689424172638"</f>
        <v>1551689424172638</v>
      </c>
      <c r="C7235" t="s">
        <v>40</v>
      </c>
      <c r="D7235">
        <v>4.4462020000000004</v>
      </c>
      <c r="E7235">
        <v>0.50378489999999998</v>
      </c>
      <c r="F7235" t="s">
        <v>42</v>
      </c>
      <c r="G7235">
        <v>-190.82159999999999</v>
      </c>
      <c r="H7235" s="1">
        <v>-4.3041890000000001E-6</v>
      </c>
      <c r="I7235">
        <v>-30.793410000000002</v>
      </c>
      <c r="J7235">
        <v>-191.1609</v>
      </c>
      <c r="K7235">
        <v>1.114201</v>
      </c>
      <c r="L7235">
        <v>-40.080379999999998</v>
      </c>
      <c r="M7235">
        <v>0.27169559999999998</v>
      </c>
      <c r="N7235">
        <v>-9.1798090000000006E-3</v>
      </c>
      <c r="O7235">
        <v>0.96233950000000001</v>
      </c>
      <c r="P7235">
        <v>4.3314129999999999E-2</v>
      </c>
      <c r="Q7235">
        <v>0.38472060000000002</v>
      </c>
      <c r="R7235">
        <v>0.92201630000000001</v>
      </c>
      <c r="S7235">
        <v>0.14617920000000001</v>
      </c>
      <c r="T7235">
        <v>-0.39884520000000001</v>
      </c>
      <c r="U7235">
        <v>3.4144589999999901</v>
      </c>
      <c r="V7235">
        <v>-0.2126179</v>
      </c>
      <c r="W7235">
        <v>0.39092329999999997</v>
      </c>
      <c r="X7235">
        <v>0.89552919999999903</v>
      </c>
      <c r="Y7235">
        <v>-0.23035220000000001</v>
      </c>
      <c r="Z7235">
        <v>-9.8826070000000002E-2</v>
      </c>
      <c r="AA7235">
        <v>0.96807609999999999</v>
      </c>
      <c r="AB7235">
        <v>32</v>
      </c>
      <c r="AC7235">
        <v>0.33930000000000798</v>
      </c>
      <c r="AD7235">
        <v>-1.1142053041889901</v>
      </c>
      <c r="AE7235">
        <v>9.2869700000000002</v>
      </c>
      <c r="AF7235">
        <v>-2.1656684287699002</v>
      </c>
      <c r="AG7235">
        <v>-1.1142053041889901</v>
      </c>
      <c r="AH7235">
        <v>8.9018222125682502</v>
      </c>
      <c r="AI7235">
        <v>96.934178156969296</v>
      </c>
      <c r="AJ7235">
        <v>103.673496743979</v>
      </c>
      <c r="AK7235">
        <v>9.2289767530006905</v>
      </c>
      <c r="AL7235">
        <v>66.988037314551207</v>
      </c>
      <c r="AM7235">
        <v>103.355961654715</v>
      </c>
      <c r="AN7235">
        <v>0.99999997296796905</v>
      </c>
    </row>
    <row r="7236" spans="1:40" x14ac:dyDescent="0.25">
      <c r="A7236" t="str">
        <f>"20190304165024200"</f>
        <v>20190304165024200</v>
      </c>
      <c r="B7236" t="str">
        <f>"1551689424193134"</f>
        <v>1551689424193134</v>
      </c>
      <c r="C7236" t="s">
        <v>40</v>
      </c>
      <c r="D7236">
        <v>4.4222460000000003</v>
      </c>
      <c r="E7236">
        <v>0.50359179999999903</v>
      </c>
      <c r="F7236" t="s">
        <v>42</v>
      </c>
      <c r="G7236">
        <v>-190.7901</v>
      </c>
      <c r="H7236" s="1">
        <v>-2.4565119999999999E-7</v>
      </c>
      <c r="I7236">
        <v>-30.328289999999999</v>
      </c>
      <c r="J7236">
        <v>-191.07069999999999</v>
      </c>
      <c r="K7236">
        <v>1.1139939999999999</v>
      </c>
      <c r="L7236">
        <v>-39.745240000000003</v>
      </c>
      <c r="M7236">
        <v>0.26764680000000002</v>
      </c>
      <c r="N7236">
        <v>-9.1361069999999992E-3</v>
      </c>
      <c r="O7236">
        <v>0.96347380000000005</v>
      </c>
      <c r="P7236">
        <v>3.9246999999999997E-2</v>
      </c>
      <c r="Q7236">
        <v>0.38459969999999999</v>
      </c>
      <c r="R7236">
        <v>0.92224870000000003</v>
      </c>
      <c r="S7236">
        <v>0.12968440000000001</v>
      </c>
      <c r="T7236">
        <v>-0.38962590000000002</v>
      </c>
      <c r="U7236">
        <v>3.4102169999999998</v>
      </c>
      <c r="V7236">
        <v>-0.21261640000000001</v>
      </c>
      <c r="W7236">
        <v>0.39086929999999998</v>
      </c>
      <c r="X7236">
        <v>0.89555319999999905</v>
      </c>
      <c r="Y7236">
        <v>-0.23087949999999999</v>
      </c>
      <c r="Z7236">
        <v>-9.6720760000000003E-2</v>
      </c>
      <c r="AA7236">
        <v>0.96816310000000005</v>
      </c>
      <c r="AB7236">
        <v>33</v>
      </c>
      <c r="AC7236">
        <v>0.28059999999999202</v>
      </c>
      <c r="AD7236">
        <v>-1.1139942456512</v>
      </c>
      <c r="AE7236">
        <v>9.4169499999999999</v>
      </c>
      <c r="AF7236">
        <v>-2.2191324087153599</v>
      </c>
      <c r="AG7236">
        <v>-1.1139942456512</v>
      </c>
      <c r="AH7236">
        <v>9.0223205499208294</v>
      </c>
      <c r="AI7236">
        <v>96.836983213218403</v>
      </c>
      <c r="AJ7236">
        <v>103.818193102694</v>
      </c>
      <c r="AK7236">
        <v>9.3577668239959202</v>
      </c>
      <c r="AL7236">
        <v>66.991400337068598</v>
      </c>
      <c r="AM7236">
        <v>103.35552570615</v>
      </c>
      <c r="AN7236">
        <v>1.0000000386308401</v>
      </c>
    </row>
    <row r="7237" spans="1:40" x14ac:dyDescent="0.25">
      <c r="A7237" t="str">
        <f>"20190304165024223"</f>
        <v>20190304165024223</v>
      </c>
      <c r="B7237" t="str">
        <f>"1551689424212654"</f>
        <v>1551689424212654</v>
      </c>
      <c r="C7237" t="s">
        <v>40</v>
      </c>
      <c r="D7237">
        <v>4.3887549999999997</v>
      </c>
      <c r="E7237">
        <v>0.50352810000000003</v>
      </c>
      <c r="F7237" t="s">
        <v>42</v>
      </c>
      <c r="G7237">
        <v>-190.74440000000001</v>
      </c>
      <c r="H7237" s="1">
        <v>-4.4983240000000002E-7</v>
      </c>
      <c r="I7237">
        <v>-29.824010000000001</v>
      </c>
      <c r="J7237">
        <v>-190.9881</v>
      </c>
      <c r="K7237">
        <v>1.1138129999999999</v>
      </c>
      <c r="L7237">
        <v>-39.433959999999999</v>
      </c>
      <c r="M7237">
        <v>0.26408140000000002</v>
      </c>
      <c r="N7237">
        <v>-9.0962899999999999E-3</v>
      </c>
      <c r="O7237">
        <v>0.96445749999999997</v>
      </c>
      <c r="P7237">
        <v>3.4841940000000002E-2</v>
      </c>
      <c r="Q7237">
        <v>0.38437339999999998</v>
      </c>
      <c r="R7237">
        <v>0.92252000000000001</v>
      </c>
      <c r="S7237">
        <v>0.1120911</v>
      </c>
      <c r="T7237">
        <v>-0.3826312</v>
      </c>
      <c r="U7237">
        <v>3.407715</v>
      </c>
      <c r="V7237">
        <v>-0.21344340000000001</v>
      </c>
      <c r="W7237">
        <v>0.39068720000000001</v>
      </c>
      <c r="X7237">
        <v>0.89543589999999995</v>
      </c>
      <c r="Y7237">
        <v>-0.2322427</v>
      </c>
      <c r="Z7237">
        <v>-9.5105010000000004E-2</v>
      </c>
      <c r="AA7237">
        <v>0.96799710000000005</v>
      </c>
      <c r="AB7237">
        <v>33</v>
      </c>
      <c r="AC7237">
        <v>0.24369999999998901</v>
      </c>
      <c r="AD7237">
        <v>-1.1138134498323999</v>
      </c>
      <c r="AE7237">
        <v>9.6099499999999995</v>
      </c>
      <c r="AF7237">
        <v>-2.27236035749806</v>
      </c>
      <c r="AG7237">
        <v>-1.1138134498323999</v>
      </c>
      <c r="AH7237">
        <v>9.2094967222469197</v>
      </c>
      <c r="AI7237">
        <v>96.697021744835695</v>
      </c>
      <c r="AJ7237">
        <v>103.860365716041</v>
      </c>
      <c r="AK7237">
        <v>9.5508655038395798</v>
      </c>
      <c r="AL7237">
        <v>67.002734546172306</v>
      </c>
      <c r="AM7237">
        <v>103.407294730055</v>
      </c>
      <c r="AN7237">
        <v>1.0000000121281001</v>
      </c>
    </row>
    <row r="7238" spans="1:40" x14ac:dyDescent="0.25">
      <c r="A7238" t="str">
        <f>"20190304165024245"</f>
        <v>20190304165024245</v>
      </c>
      <c r="B7238" t="str">
        <f>"1551689424242911"</f>
        <v>1551689424242911</v>
      </c>
      <c r="C7238" t="s">
        <v>40</v>
      </c>
      <c r="D7238">
        <v>4.3420160000000001</v>
      </c>
      <c r="E7238">
        <v>0.50366560000000005</v>
      </c>
      <c r="F7238" t="s">
        <v>42</v>
      </c>
      <c r="G7238">
        <v>-190.7046</v>
      </c>
      <c r="H7238" s="1">
        <v>-6.2798110000000001E-7</v>
      </c>
      <c r="I7238">
        <v>-29.384080000000001</v>
      </c>
      <c r="J7238">
        <v>-190.904</v>
      </c>
      <c r="K7238">
        <v>1.11365</v>
      </c>
      <c r="L7238">
        <v>-39.11298</v>
      </c>
      <c r="M7238">
        <v>0.2605731</v>
      </c>
      <c r="N7238">
        <v>-9.0560559999999998E-3</v>
      </c>
      <c r="O7238">
        <v>0.96541169999999998</v>
      </c>
      <c r="P7238">
        <v>3.043508E-2</v>
      </c>
      <c r="Q7238">
        <v>0.38454749999999999</v>
      </c>
      <c r="R7238">
        <v>0.92260330000000002</v>
      </c>
      <c r="S7238">
        <v>9.605408E-2</v>
      </c>
      <c r="T7238">
        <v>-0.37743850000000001</v>
      </c>
      <c r="U7238">
        <v>3.4056090000000001</v>
      </c>
      <c r="V7238">
        <v>-0.2142983</v>
      </c>
      <c r="W7238">
        <v>0.39089750000000001</v>
      </c>
      <c r="X7238">
        <v>0.89513989999999999</v>
      </c>
      <c r="Y7238">
        <v>-0.23323940000000001</v>
      </c>
      <c r="Z7238">
        <v>-9.3953880000000004E-2</v>
      </c>
      <c r="AA7238">
        <v>0.96786989999999995</v>
      </c>
      <c r="AB7238">
        <v>33</v>
      </c>
      <c r="AC7238">
        <v>0.199400000000025</v>
      </c>
      <c r="AD7238">
        <v>-1.1136506279811</v>
      </c>
      <c r="AE7238">
        <v>9.7288999999999994</v>
      </c>
      <c r="AF7238">
        <v>-2.3123959040675199</v>
      </c>
      <c r="AG7238">
        <v>-1.1136506279811</v>
      </c>
      <c r="AH7238">
        <v>9.3226358522768908</v>
      </c>
      <c r="AI7238">
        <v>96.613526463790095</v>
      </c>
      <c r="AJ7238">
        <v>103.930554846514</v>
      </c>
      <c r="AK7238">
        <v>9.6694845660205395</v>
      </c>
      <c r="AL7238">
        <v>66.989644695975699</v>
      </c>
      <c r="AM7238">
        <v>103.46333313705099</v>
      </c>
      <c r="AN7238">
        <v>1.0000000287305699</v>
      </c>
    </row>
    <row r="7239" spans="1:40" x14ac:dyDescent="0.25">
      <c r="A7239" t="str">
        <f>"20190304165024266"</f>
        <v>20190304165024266</v>
      </c>
      <c r="B7239" t="str">
        <f>"1551689424262431"</f>
        <v>1551689424262431</v>
      </c>
      <c r="C7239" t="s">
        <v>40</v>
      </c>
      <c r="D7239">
        <v>4.3280159999999999</v>
      </c>
      <c r="E7239">
        <v>0.50383440000000002</v>
      </c>
      <c r="F7239" t="s">
        <v>42</v>
      </c>
      <c r="G7239">
        <v>-190.66069999999999</v>
      </c>
      <c r="H7239" s="1">
        <v>-8.2705609999999903E-7</v>
      </c>
      <c r="I7239">
        <v>-28.892779999999998</v>
      </c>
      <c r="J7239">
        <v>-190.8296</v>
      </c>
      <c r="K7239">
        <v>1.1135269999999999</v>
      </c>
      <c r="L7239">
        <v>-38.825740000000003</v>
      </c>
      <c r="M7239">
        <v>0.25755029999999901</v>
      </c>
      <c r="N7239">
        <v>-9.0195970000000007E-3</v>
      </c>
      <c r="O7239">
        <v>0.96622280000000005</v>
      </c>
      <c r="P7239">
        <v>2.6722070000000001E-2</v>
      </c>
      <c r="Q7239">
        <v>0.38514700000000002</v>
      </c>
      <c r="R7239">
        <v>0.92246830000000002</v>
      </c>
      <c r="S7239">
        <v>8.1008910000000003E-2</v>
      </c>
      <c r="T7239">
        <v>-0.37087189999999998</v>
      </c>
      <c r="U7239">
        <v>3.4035639999999998</v>
      </c>
      <c r="V7239">
        <v>-0.21492049999999999</v>
      </c>
      <c r="W7239">
        <v>0.39152100000000001</v>
      </c>
      <c r="X7239">
        <v>0.89471809999999996</v>
      </c>
      <c r="Y7239">
        <v>-0.23445360000000001</v>
      </c>
      <c r="Z7239">
        <v>-9.2392829999999995E-2</v>
      </c>
      <c r="AA7239">
        <v>0.9677268</v>
      </c>
      <c r="AB7239">
        <v>33</v>
      </c>
      <c r="AC7239">
        <v>0.16890000000000699</v>
      </c>
      <c r="AD7239">
        <v>-1.1135278270561</v>
      </c>
      <c r="AE7239">
        <v>9.9329599999999996</v>
      </c>
      <c r="AF7239">
        <v>-2.3654206641049602</v>
      </c>
      <c r="AG7239">
        <v>-1.1135278270561</v>
      </c>
      <c r="AH7239">
        <v>9.5217163617579104</v>
      </c>
      <c r="AI7239">
        <v>96.475155005275596</v>
      </c>
      <c r="AJ7239">
        <v>103.951213034548</v>
      </c>
      <c r="AK7239">
        <v>9.8741197893063504</v>
      </c>
      <c r="AL7239">
        <v>66.950826298997299</v>
      </c>
      <c r="AM7239">
        <v>103.507125604279</v>
      </c>
      <c r="AN7239">
        <v>0.99999999661442995</v>
      </c>
    </row>
    <row r="7240" spans="1:40" x14ac:dyDescent="0.25">
      <c r="A7240" t="str">
        <f>"20190304165024290"</f>
        <v>20190304165024290</v>
      </c>
      <c r="B7240" t="str">
        <f>"1551689424282926"</f>
        <v>1551689424282926</v>
      </c>
      <c r="C7240" t="s">
        <v>40</v>
      </c>
      <c r="D7240">
        <v>4.3301069999999999</v>
      </c>
      <c r="E7240">
        <v>0.50411720000000004</v>
      </c>
      <c r="F7240" t="s">
        <v>42</v>
      </c>
      <c r="G7240">
        <v>-190.62190000000001</v>
      </c>
      <c r="H7240" s="1">
        <v>-1.0062880000000001E-6</v>
      </c>
      <c r="I7240">
        <v>-28.45091</v>
      </c>
      <c r="J7240">
        <v>-190.7406</v>
      </c>
      <c r="K7240">
        <v>1.1134059999999999</v>
      </c>
      <c r="L7240">
        <v>-38.47784</v>
      </c>
      <c r="M7240">
        <v>0.2539961</v>
      </c>
      <c r="N7240">
        <v>-8.97768E-3</v>
      </c>
      <c r="O7240">
        <v>0.96716360000000001</v>
      </c>
      <c r="P7240">
        <v>2.2685540000000001E-2</v>
      </c>
      <c r="Q7240">
        <v>0.38595160000000001</v>
      </c>
      <c r="R7240">
        <v>0.92223999999999995</v>
      </c>
      <c r="S7240">
        <v>6.8130490000000002E-2</v>
      </c>
      <c r="T7240">
        <v>-0.36520520000000001</v>
      </c>
      <c r="U7240">
        <v>3.4026489999999998</v>
      </c>
      <c r="V7240">
        <v>-0.21534449999999999</v>
      </c>
      <c r="W7240">
        <v>0.39234750000000002</v>
      </c>
      <c r="X7240">
        <v>0.89425399999999999</v>
      </c>
      <c r="Y7240">
        <v>-0.23453460000000001</v>
      </c>
      <c r="Z7240">
        <v>-9.1075900000000001E-2</v>
      </c>
      <c r="AA7240">
        <v>0.96783200000000003</v>
      </c>
      <c r="AB7240">
        <v>33</v>
      </c>
      <c r="AC7240">
        <v>0.11869999999998899</v>
      </c>
      <c r="AD7240">
        <v>-1.1134070062879999</v>
      </c>
      <c r="AE7240">
        <v>10.02693</v>
      </c>
      <c r="AF7240">
        <v>-2.4024777488473799</v>
      </c>
      <c r="AG7240">
        <v>-1.1134070062879999</v>
      </c>
      <c r="AH7240">
        <v>9.6097488579004793</v>
      </c>
      <c r="AI7240">
        <v>96.413285392432101</v>
      </c>
      <c r="AJ7240">
        <v>104.03647092773799</v>
      </c>
      <c r="AK7240">
        <v>9.9678908304253397</v>
      </c>
      <c r="AL7240">
        <v>66.899353593799006</v>
      </c>
      <c r="AM7240">
        <v>103.53955839203201</v>
      </c>
      <c r="AN7240">
        <v>1.0000000154762401</v>
      </c>
    </row>
    <row r="7241" spans="1:40" x14ac:dyDescent="0.25">
      <c r="A7241" t="str">
        <f>"20190304165024312"</f>
        <v>20190304165024312</v>
      </c>
      <c r="B7241" t="str">
        <f>"1551689424302447"</f>
        <v>1551689424302447</v>
      </c>
      <c r="C7241" t="s">
        <v>40</v>
      </c>
      <c r="D7241">
        <v>4.3057339999999904</v>
      </c>
      <c r="E7241">
        <v>0.50442419999999999</v>
      </c>
      <c r="F7241" t="s">
        <v>42</v>
      </c>
      <c r="G7241">
        <v>-190.5737</v>
      </c>
      <c r="H7241" s="1">
        <v>-1.211909E-6</v>
      </c>
      <c r="I7241">
        <v>-27.941739999999999</v>
      </c>
      <c r="J7241">
        <v>-190.6653</v>
      </c>
      <c r="K7241">
        <v>1.113324</v>
      </c>
      <c r="L7241">
        <v>-38.179259999999999</v>
      </c>
      <c r="M7241">
        <v>0.25101380000000001</v>
      </c>
      <c r="N7241">
        <v>-8.9457689999999992E-3</v>
      </c>
      <c r="O7241">
        <v>0.96794219999999997</v>
      </c>
      <c r="P7241">
        <v>1.9498979999999999E-2</v>
      </c>
      <c r="Q7241">
        <v>0.38712190000000002</v>
      </c>
      <c r="R7241">
        <v>0.92182229999999998</v>
      </c>
      <c r="S7241">
        <v>5.3894039999999997E-2</v>
      </c>
      <c r="T7241">
        <v>-0.35951499999999997</v>
      </c>
      <c r="U7241">
        <v>3.402069</v>
      </c>
      <c r="V7241">
        <v>-0.21548339999999999</v>
      </c>
      <c r="W7241">
        <v>0.39352700000000002</v>
      </c>
      <c r="X7241">
        <v>0.893702</v>
      </c>
      <c r="Y7241">
        <v>-0.2355836</v>
      </c>
      <c r="Z7241">
        <v>-8.9688480000000001E-2</v>
      </c>
      <c r="AA7241">
        <v>0.96770670000000003</v>
      </c>
      <c r="AB7241">
        <v>33</v>
      </c>
      <c r="AC7241">
        <v>9.1599999999999598E-2</v>
      </c>
      <c r="AD7241">
        <v>-1.113325211909</v>
      </c>
      <c r="AE7241">
        <v>10.2375199999999</v>
      </c>
      <c r="AF7241">
        <v>-2.45219604126568</v>
      </c>
      <c r="AG7241">
        <v>-1.113325211909</v>
      </c>
      <c r="AH7241">
        <v>9.8166310159390999</v>
      </c>
      <c r="AI7241">
        <v>96.279060028261597</v>
      </c>
      <c r="AJ7241">
        <v>104.025466736731</v>
      </c>
      <c r="AK7241">
        <v>10.1793419706466</v>
      </c>
      <c r="AL7241">
        <v>66.825859841640394</v>
      </c>
      <c r="AM7241">
        <v>103.556029038804</v>
      </c>
      <c r="AN7241">
        <v>0.99999993010427701</v>
      </c>
    </row>
    <row r="7242" spans="1:40" x14ac:dyDescent="0.25">
      <c r="A7242" t="str">
        <f>"20190304165024336"</f>
        <v>20190304165024336</v>
      </c>
      <c r="B7242" t="str">
        <f>"1551689424332702"</f>
        <v>1551689424332702</v>
      </c>
      <c r="C7242" t="s">
        <v>40</v>
      </c>
      <c r="D7242">
        <v>4.2697339999999997</v>
      </c>
      <c r="E7242">
        <v>0.50491809999999904</v>
      </c>
      <c r="F7242" t="s">
        <v>42</v>
      </c>
      <c r="G7242">
        <v>-190.52520000000001</v>
      </c>
      <c r="H7242" s="1">
        <v>-1.4185649999999999E-6</v>
      </c>
      <c r="I7242">
        <v>-27.42991</v>
      </c>
      <c r="J7242">
        <v>-190.578</v>
      </c>
      <c r="K7242">
        <v>1.113259</v>
      </c>
      <c r="L7242">
        <v>-37.82864</v>
      </c>
      <c r="M7242">
        <v>0.24755559999999999</v>
      </c>
      <c r="N7242">
        <v>-8.9133690000000008E-3</v>
      </c>
      <c r="O7242">
        <v>0.96883269999999999</v>
      </c>
      <c r="P7242">
        <v>1.5773099999999901E-2</v>
      </c>
      <c r="Q7242">
        <v>0.38808959999999998</v>
      </c>
      <c r="R7242">
        <v>0.92148669999999999</v>
      </c>
      <c r="S7242">
        <v>4.4342039999999999E-2</v>
      </c>
      <c r="T7242">
        <v>-0.35229070000000001</v>
      </c>
      <c r="U7242">
        <v>3.4014280000000001</v>
      </c>
      <c r="V7242">
        <v>-0.21574699999999999</v>
      </c>
      <c r="W7242">
        <v>0.39449430000000002</v>
      </c>
      <c r="X7242">
        <v>0.89321189999999995</v>
      </c>
      <c r="Y7242">
        <v>-0.23482910000000001</v>
      </c>
      <c r="Z7242">
        <v>-8.7921520000000003E-2</v>
      </c>
      <c r="AA7242">
        <v>0.96805220000000003</v>
      </c>
      <c r="AB7242">
        <v>33</v>
      </c>
      <c r="AC7242">
        <v>5.2799999999990598E-2</v>
      </c>
      <c r="AD7242">
        <v>-1.1132604185649999</v>
      </c>
      <c r="AE7242">
        <v>10.39873</v>
      </c>
      <c r="AF7242">
        <v>-2.49461890577953</v>
      </c>
      <c r="AG7242">
        <v>-1.1132604185649999</v>
      </c>
      <c r="AH7242">
        <v>9.9737918029834898</v>
      </c>
      <c r="AI7242">
        <v>96.180075783399602</v>
      </c>
      <c r="AJ7242">
        <v>104.042574311962</v>
      </c>
      <c r="AK7242">
        <v>10.3411312327944</v>
      </c>
      <c r="AL7242">
        <v>66.765561651650103</v>
      </c>
      <c r="AM7242">
        <v>103.579170236753</v>
      </c>
      <c r="AN7242">
        <v>1.00000000952155</v>
      </c>
    </row>
    <row r="7243" spans="1:40" x14ac:dyDescent="0.25">
      <c r="A7243" t="str">
        <f>"20190304165024359"</f>
        <v>20190304165024359</v>
      </c>
      <c r="B7243" t="str">
        <f>"1551689424352222"</f>
        <v>1551689424352222</v>
      </c>
      <c r="C7243" t="s">
        <v>40</v>
      </c>
      <c r="D7243">
        <v>4.2283439999999999</v>
      </c>
      <c r="E7243">
        <v>0.5050443</v>
      </c>
      <c r="F7243" t="s">
        <v>42</v>
      </c>
      <c r="G7243">
        <v>-190.4684</v>
      </c>
      <c r="H7243" s="1">
        <v>-1.6335910000000001E-6</v>
      </c>
      <c r="I7243">
        <v>-26.893460000000001</v>
      </c>
      <c r="J7243">
        <v>-190.49860000000001</v>
      </c>
      <c r="K7243">
        <v>1.1132359999999999</v>
      </c>
      <c r="L7243">
        <v>-37.504759999999997</v>
      </c>
      <c r="M7243">
        <v>0.2443717</v>
      </c>
      <c r="N7243">
        <v>-8.8884840000000003E-3</v>
      </c>
      <c r="O7243">
        <v>0.96964090000000003</v>
      </c>
      <c r="P7243">
        <v>1.321014E-2</v>
      </c>
      <c r="Q7243">
        <v>0.39042660000000001</v>
      </c>
      <c r="R7243">
        <v>0.92053929999999995</v>
      </c>
      <c r="S7243">
        <v>3.4088130000000001E-2</v>
      </c>
      <c r="T7243">
        <v>-0.3462248</v>
      </c>
      <c r="U7243">
        <v>3.4008479999999999</v>
      </c>
      <c r="V7243">
        <v>-0.21504139999999999</v>
      </c>
      <c r="W7243">
        <v>0.39682230000000002</v>
      </c>
      <c r="X7243">
        <v>0.89235039999999999</v>
      </c>
      <c r="Y7243">
        <v>-0.23455409999999999</v>
      </c>
      <c r="Z7243">
        <v>-8.643468E-2</v>
      </c>
      <c r="AA7243">
        <v>0.96825280000000002</v>
      </c>
      <c r="AB7243">
        <v>33</v>
      </c>
      <c r="AC7243">
        <v>3.02000000000077E-2</v>
      </c>
      <c r="AD7243">
        <v>-1.1132376335909999</v>
      </c>
      <c r="AE7243">
        <v>10.6113</v>
      </c>
      <c r="AF7243">
        <v>-2.5360078791694098</v>
      </c>
      <c r="AG7243">
        <v>-1.1132376335909999</v>
      </c>
      <c r="AH7243">
        <v>10.1848414340897</v>
      </c>
      <c r="AI7243">
        <v>96.054430120025799</v>
      </c>
      <c r="AJ7243">
        <v>103.982211922003</v>
      </c>
      <c r="AK7243">
        <v>10.554697012686001</v>
      </c>
      <c r="AL7243">
        <v>66.620324916719099</v>
      </c>
      <c r="AM7243">
        <v>103.548983189886</v>
      </c>
      <c r="AN7243">
        <v>0.99999998893570496</v>
      </c>
    </row>
    <row r="7244" spans="1:40" x14ac:dyDescent="0.25">
      <c r="A7244" t="str">
        <f>"20190304165024380"</f>
        <v>20190304165024380</v>
      </c>
      <c r="B7244" t="str">
        <f>"1551689424372719"</f>
        <v>1551689424372719</v>
      </c>
      <c r="C7244" t="s">
        <v>40</v>
      </c>
      <c r="D7244">
        <v>4.3012180000000004</v>
      </c>
      <c r="E7244">
        <v>0.48178989999999999</v>
      </c>
      <c r="F7244" t="s">
        <v>42</v>
      </c>
      <c r="G7244">
        <v>-190.41720000000001</v>
      </c>
      <c r="H7244" s="1">
        <v>-1.906098E-6</v>
      </c>
      <c r="I7244">
        <v>-26.226479999999999</v>
      </c>
      <c r="J7244">
        <v>-190.42519999999999</v>
      </c>
      <c r="K7244">
        <v>1.1132420000000001</v>
      </c>
      <c r="L7244">
        <v>-37.201079999999997</v>
      </c>
      <c r="M7244">
        <v>0.24137810000000001</v>
      </c>
      <c r="N7244">
        <v>-8.8689069999999901E-3</v>
      </c>
      <c r="O7244">
        <v>0.97039059999999999</v>
      </c>
      <c r="P7244">
        <v>1.1254800000000001E-2</v>
      </c>
      <c r="Q7244">
        <v>0.39272499999999999</v>
      </c>
      <c r="R7244">
        <v>0.91958709999999999</v>
      </c>
      <c r="S7244">
        <v>2.4551389999999999E-2</v>
      </c>
      <c r="T7244">
        <v>-0.33569729999999998</v>
      </c>
      <c r="U7244">
        <v>3.40097</v>
      </c>
      <c r="V7244">
        <v>-0.21395069999999999</v>
      </c>
      <c r="W7244">
        <v>0.39910970000000001</v>
      </c>
      <c r="X7244">
        <v>0.8915921</v>
      </c>
      <c r="Y7244">
        <v>-0.23427249999999999</v>
      </c>
      <c r="Z7244">
        <v>-8.3690260000000002E-2</v>
      </c>
      <c r="AA7244">
        <v>0.96856200000000003</v>
      </c>
      <c r="AB7244">
        <v>33</v>
      </c>
      <c r="AC7244">
        <v>7.9999999999813502E-3</v>
      </c>
      <c r="AD7244">
        <v>-1.1132439060979999</v>
      </c>
      <c r="AE7244">
        <v>10.974600000000001</v>
      </c>
      <c r="AF7244">
        <v>-2.6144668081905702</v>
      </c>
      <c r="AG7244">
        <v>-1.1132439060979999</v>
      </c>
      <c r="AH7244">
        <v>10.543509224051901</v>
      </c>
      <c r="AI7244">
        <v>95.851356340035494</v>
      </c>
      <c r="AJ7244">
        <v>103.926685919364</v>
      </c>
      <c r="AK7244">
        <v>10.919722315300101</v>
      </c>
      <c r="AL7244">
        <v>66.477465777670602</v>
      </c>
      <c r="AM7244">
        <v>103.493825082874</v>
      </c>
      <c r="AN7244">
        <v>0.99999996372349398</v>
      </c>
    </row>
    <row r="7245" spans="1:40" x14ac:dyDescent="0.25">
      <c r="A7245" t="str">
        <f>"20190304165024401"</f>
        <v>20190304165024401</v>
      </c>
      <c r="B7245" t="str">
        <f>"1551689424392239"</f>
        <v>1551689424392239</v>
      </c>
      <c r="C7245" t="s">
        <v>40</v>
      </c>
      <c r="D7245">
        <v>4.2595049999999999</v>
      </c>
      <c r="E7245">
        <v>0.45128659999999998</v>
      </c>
      <c r="F7245" t="s">
        <v>58</v>
      </c>
      <c r="G7245">
        <v>-210.5642</v>
      </c>
      <c r="H7245">
        <v>31.273140000000001</v>
      </c>
      <c r="I7245">
        <v>391.87</v>
      </c>
      <c r="J7245">
        <v>-190.35069999999999</v>
      </c>
      <c r="K7245">
        <v>1.113272</v>
      </c>
      <c r="L7245">
        <v>-36.889069999999997</v>
      </c>
      <c r="M7245">
        <v>0.23827319999999999</v>
      </c>
      <c r="N7245">
        <v>-8.8523409999999997E-3</v>
      </c>
      <c r="O7245">
        <v>0.97115779999999996</v>
      </c>
      <c r="P7245">
        <v>9.3259610000000007E-3</v>
      </c>
      <c r="Q7245">
        <v>0.3952832</v>
      </c>
      <c r="R7245">
        <v>0.91851190000000005</v>
      </c>
      <c r="S7245">
        <v>-0.14874270000000001</v>
      </c>
      <c r="T7245">
        <v>0.22275519999999999</v>
      </c>
      <c r="U7245">
        <v>3.1690369999999999</v>
      </c>
      <c r="V7245">
        <v>-0.2127288</v>
      </c>
      <c r="W7245">
        <v>0.40165099999999998</v>
      </c>
      <c r="X7245">
        <v>0.8907429</v>
      </c>
      <c r="Y7245">
        <v>-0.28348649999999997</v>
      </c>
      <c r="Z7245">
        <v>7.4488639999999995E-2</v>
      </c>
      <c r="AA7245">
        <v>0.95607889999999995</v>
      </c>
      <c r="AB7245">
        <v>33</v>
      </c>
      <c r="AC7245">
        <v>-20.2135</v>
      </c>
      <c r="AD7245">
        <v>30.159867999999999</v>
      </c>
      <c r="AE7245">
        <v>428.75907000000001</v>
      </c>
      <c r="AF7245">
        <v>-121.198704168264</v>
      </c>
      <c r="AG7245">
        <v>30.159867999999999</v>
      </c>
      <c r="AH7245">
        <v>409.57044434332602</v>
      </c>
      <c r="AI7245">
        <v>85.960986666037002</v>
      </c>
      <c r="AJ7245">
        <v>106.48436147271001</v>
      </c>
      <c r="AK7245">
        <v>428.19001904462198</v>
      </c>
      <c r="AL7245">
        <v>66.318568667444794</v>
      </c>
      <c r="AM7245">
        <v>103.431885535813</v>
      </c>
      <c r="AN7245">
        <v>0.99999999102542403</v>
      </c>
    </row>
    <row r="7246" spans="1:40" x14ac:dyDescent="0.25">
      <c r="A7246" t="str">
        <f>"20190304165024424"</f>
        <v>20190304165024424</v>
      </c>
      <c r="B7246" t="str">
        <f>"1551689424412735"</f>
        <v>1551689424412735</v>
      </c>
      <c r="C7246" t="s">
        <v>40</v>
      </c>
      <c r="D7246">
        <v>4.2259650000000004</v>
      </c>
      <c r="E7246">
        <v>0.4436716</v>
      </c>
      <c r="F7246" t="s">
        <v>59</v>
      </c>
      <c r="G7246">
        <v>-245.56030000000001</v>
      </c>
      <c r="H7246">
        <v>122.49299999999999</v>
      </c>
      <c r="I7246">
        <v>391.75</v>
      </c>
      <c r="J7246">
        <v>-190.27459999999999</v>
      </c>
      <c r="K7246">
        <v>1.1133109999999999</v>
      </c>
      <c r="L7246">
        <v>-36.565190000000001</v>
      </c>
      <c r="M7246">
        <v>0.2349995</v>
      </c>
      <c r="N7246">
        <v>-8.8387139999999993E-3</v>
      </c>
      <c r="O7246">
        <v>0.97195529999999997</v>
      </c>
      <c r="P7246">
        <v>7.4842559999999999E-3</v>
      </c>
      <c r="Q7246">
        <v>0.39784770000000003</v>
      </c>
      <c r="R7246">
        <v>0.91742089999999998</v>
      </c>
      <c r="S7246">
        <v>-0.37542720000000002</v>
      </c>
      <c r="T7246">
        <v>0.82538739999999999</v>
      </c>
      <c r="U7246">
        <v>2.9147639999999999</v>
      </c>
      <c r="V7246">
        <v>-0.21128959999999999</v>
      </c>
      <c r="W7246">
        <v>0.40419490000000002</v>
      </c>
      <c r="X7246">
        <v>0.88993440000000001</v>
      </c>
      <c r="Y7246">
        <v>-0.35286250000000002</v>
      </c>
      <c r="Z7246">
        <v>0.25992490000000001</v>
      </c>
      <c r="AA7246">
        <v>0.89884759999999997</v>
      </c>
      <c r="AB7246">
        <v>33</v>
      </c>
      <c r="AC7246">
        <v>-55.285699999999999</v>
      </c>
      <c r="AD7246">
        <v>121.379688999999</v>
      </c>
      <c r="AE7246">
        <v>428.31518999999997</v>
      </c>
      <c r="AF7246">
        <v>-143.09185225008099</v>
      </c>
      <c r="AG7246">
        <v>121.379688999999</v>
      </c>
      <c r="AH7246">
        <v>373.79931032206503</v>
      </c>
      <c r="AI7246">
        <v>73.129621339954397</v>
      </c>
      <c r="AJ7246">
        <v>110.94704328734601</v>
      </c>
      <c r="AK7246">
        <v>418.25139746251602</v>
      </c>
      <c r="AL7246">
        <v>66.159315346207407</v>
      </c>
      <c r="AM7246">
        <v>103.35596323298201</v>
      </c>
      <c r="AN7246">
        <v>1.0000000242787599</v>
      </c>
    </row>
    <row r="7247" spans="1:40" x14ac:dyDescent="0.25">
      <c r="A7247" t="str">
        <f>"20190304165024446"</f>
        <v>20190304165024446</v>
      </c>
      <c r="B7247" t="str">
        <f>"1551689424442990"</f>
        <v>1551689424442990</v>
      </c>
      <c r="C7247" t="s">
        <v>40</v>
      </c>
      <c r="D7247">
        <v>4.1929530000000002</v>
      </c>
      <c r="E7247">
        <v>0.44094090000000002</v>
      </c>
      <c r="F7247" t="s">
        <v>60</v>
      </c>
      <c r="G7247">
        <v>0</v>
      </c>
      <c r="H7247">
        <v>0</v>
      </c>
      <c r="I7247">
        <v>0</v>
      </c>
      <c r="J7247">
        <v>-190.20089999999999</v>
      </c>
      <c r="K7247">
        <v>1.1133470000000001</v>
      </c>
      <c r="L7247">
        <v>-36.2468</v>
      </c>
      <c r="M7247">
        <v>0.2317225</v>
      </c>
      <c r="N7247">
        <v>-8.8286739999999999E-3</v>
      </c>
      <c r="O7247">
        <v>0.97274179999999999</v>
      </c>
      <c r="P7247">
        <v>5.6802689999999999E-3</v>
      </c>
      <c r="Q7247">
        <v>0.39929710000000002</v>
      </c>
      <c r="R7247">
        <v>0.91680399999999995</v>
      </c>
      <c r="S7247">
        <v>-0.43420409999999998</v>
      </c>
      <c r="T7247">
        <v>1.0240629999999999</v>
      </c>
      <c r="U7247">
        <v>2.8294980000000001</v>
      </c>
      <c r="V7247">
        <v>-0.2099355</v>
      </c>
      <c r="W7247">
        <v>0.40562409999999999</v>
      </c>
      <c r="X7247">
        <v>0.88960450000000002</v>
      </c>
      <c r="Y7247">
        <v>-0.36837940000000002</v>
      </c>
      <c r="Z7247">
        <v>0.32130029999999998</v>
      </c>
      <c r="AA7247">
        <v>0.87238909999999903</v>
      </c>
      <c r="AB7247">
        <v>33</v>
      </c>
      <c r="AC7247">
        <v>-0.43420409999999998</v>
      </c>
      <c r="AD7247">
        <v>1.0240629999999999</v>
      </c>
      <c r="AE7247">
        <v>2.8294980000000001</v>
      </c>
      <c r="AF7247">
        <v>-0.95575581758621497</v>
      </c>
      <c r="AG7247">
        <v>1.0240629999999999</v>
      </c>
      <c r="AH7247">
        <v>2.3509909684733699</v>
      </c>
      <c r="AI7247">
        <v>68.025052676764702</v>
      </c>
      <c r="AJ7247">
        <v>112.12337320117599</v>
      </c>
      <c r="AK7247">
        <v>2.73666452906859</v>
      </c>
      <c r="AL7247">
        <v>66.069757517091304</v>
      </c>
      <c r="AM7247">
        <v>103.278155329171</v>
      </c>
      <c r="AN7247">
        <v>0.999999995540655</v>
      </c>
    </row>
    <row r="7248" spans="1:40" x14ac:dyDescent="0.25">
      <c r="A7248" t="str">
        <f>"20190304165024468"</f>
        <v>20190304165024468</v>
      </c>
      <c r="B7248" t="str">
        <f>"1551689424462511"</f>
        <v>1551689424462511</v>
      </c>
      <c r="C7248" t="s">
        <v>40</v>
      </c>
      <c r="D7248">
        <v>4.2510399999999997</v>
      </c>
      <c r="E7248">
        <v>0.44085540000000001</v>
      </c>
      <c r="F7248" t="s">
        <v>61</v>
      </c>
      <c r="G7248">
        <v>-211.762</v>
      </c>
      <c r="H7248">
        <v>56.713940000000001</v>
      </c>
      <c r="I7248">
        <v>94.622709999999998</v>
      </c>
      <c r="J7248">
        <v>-190.1277</v>
      </c>
      <c r="K7248">
        <v>1.1133850000000001</v>
      </c>
      <c r="L7248">
        <v>-35.925229999999999</v>
      </c>
      <c r="M7248">
        <v>0.2283531</v>
      </c>
      <c r="N7248">
        <v>-8.8212859999999994E-3</v>
      </c>
      <c r="O7248">
        <v>0.97353840000000003</v>
      </c>
      <c r="P7248">
        <v>3.5897490000000002E-3</v>
      </c>
      <c r="Q7248">
        <v>0.39913520000000002</v>
      </c>
      <c r="R7248">
        <v>0.91688499999999995</v>
      </c>
      <c r="S7248">
        <v>-0.45532230000000001</v>
      </c>
      <c r="T7248">
        <v>1.174161</v>
      </c>
      <c r="U7248">
        <v>2.7636720000000001</v>
      </c>
      <c r="V7248">
        <v>-0.2089376</v>
      </c>
      <c r="W7248">
        <v>0.40544409999999997</v>
      </c>
      <c r="X7248">
        <v>0.88992139999999997</v>
      </c>
      <c r="Y7248">
        <v>-0.37183640000000001</v>
      </c>
      <c r="Z7248">
        <v>0.36776130000000001</v>
      </c>
      <c r="AA7248">
        <v>0.85234339999999997</v>
      </c>
      <c r="AB7248">
        <v>33</v>
      </c>
      <c r="AC7248">
        <v>-21.6343</v>
      </c>
      <c r="AD7248">
        <v>55.600555</v>
      </c>
      <c r="AE7248">
        <v>130.54793999999899</v>
      </c>
      <c r="AF7248">
        <v>-43.240919487748499</v>
      </c>
      <c r="AG7248">
        <v>55.600555</v>
      </c>
      <c r="AH7248">
        <v>103.827791653763</v>
      </c>
      <c r="AI7248">
        <v>63.694534636232802</v>
      </c>
      <c r="AJ7248">
        <v>112.610149708039</v>
      </c>
      <c r="AK7248">
        <v>125.464772562466</v>
      </c>
      <c r="AL7248">
        <v>66.081039477448996</v>
      </c>
      <c r="AM7248">
        <v>103.212718331864</v>
      </c>
      <c r="AN7248">
        <v>0.99999996854826401</v>
      </c>
    </row>
    <row r="7249" spans="1:40" x14ac:dyDescent="0.25">
      <c r="A7249" t="str">
        <f>"20190304165024490"</f>
        <v>20190304165024490</v>
      </c>
      <c r="B7249" t="str">
        <f>"1551689424483007"</f>
        <v>1551689424483007</v>
      </c>
      <c r="C7249" t="s">
        <v>40</v>
      </c>
      <c r="D7249">
        <v>4.2493600000000002</v>
      </c>
      <c r="E7249">
        <v>0.44097760000000003</v>
      </c>
      <c r="F7249" t="s">
        <v>61</v>
      </c>
      <c r="G7249">
        <v>-212.02780000000001</v>
      </c>
      <c r="H7249">
        <v>58.746099999999998</v>
      </c>
      <c r="I7249">
        <v>94.622709999999998</v>
      </c>
      <c r="J7249">
        <v>-190.05619999999999</v>
      </c>
      <c r="K7249">
        <v>1.1134200000000001</v>
      </c>
      <c r="L7249">
        <v>-35.60577</v>
      </c>
      <c r="M7249">
        <v>0.22495270000000001</v>
      </c>
      <c r="N7249">
        <v>-8.8159880000000003E-3</v>
      </c>
      <c r="O7249">
        <v>0.97432980000000002</v>
      </c>
      <c r="P7249">
        <v>9.5968690000000005E-4</v>
      </c>
      <c r="Q7249">
        <v>0.3991073</v>
      </c>
      <c r="R7249">
        <v>0.91690369999999999</v>
      </c>
      <c r="S7249">
        <v>-0.46066279999999998</v>
      </c>
      <c r="T7249">
        <v>1.212286</v>
      </c>
      <c r="U7249">
        <v>2.7460330000000002</v>
      </c>
      <c r="V7249">
        <v>-0.2084279</v>
      </c>
      <c r="W7249">
        <v>0.40539389999999997</v>
      </c>
      <c r="X7249">
        <v>0.89006379999999996</v>
      </c>
      <c r="Y7249">
        <v>-0.37025360000000002</v>
      </c>
      <c r="Z7249">
        <v>0.38006050000000002</v>
      </c>
      <c r="AA7249">
        <v>0.84762389999999999</v>
      </c>
      <c r="AB7249">
        <v>33</v>
      </c>
      <c r="AC7249">
        <v>-21.971599999999999</v>
      </c>
      <c r="AD7249">
        <v>57.632680000000001</v>
      </c>
      <c r="AE7249">
        <v>130.22847999999999</v>
      </c>
      <c r="AF7249">
        <v>-42.593674942396099</v>
      </c>
      <c r="AG7249">
        <v>57.632680000000001</v>
      </c>
      <c r="AH7249">
        <v>102.439976758217</v>
      </c>
      <c r="AI7249">
        <v>62.548850764888499</v>
      </c>
      <c r="AJ7249">
        <v>112.57712757209799</v>
      </c>
      <c r="AK7249">
        <v>125.01878173820501</v>
      </c>
      <c r="AL7249">
        <v>66.084186346441697</v>
      </c>
      <c r="AM7249">
        <v>103.17957748139401</v>
      </c>
      <c r="AN7249">
        <v>0.99999998586302996</v>
      </c>
    </row>
    <row r="7250" spans="1:40" x14ac:dyDescent="0.25">
      <c r="A7250" t="str">
        <f>"20190304165024512"</f>
        <v>20190304165024512</v>
      </c>
      <c r="B7250" t="str">
        <f>"1551689424503223"</f>
        <v>1551689424503223</v>
      </c>
      <c r="C7250" t="s">
        <v>40</v>
      </c>
      <c r="D7250">
        <v>4.1926819999999996</v>
      </c>
      <c r="E7250">
        <v>0.44121589999999999</v>
      </c>
      <c r="F7250" t="s">
        <v>61</v>
      </c>
      <c r="G7250">
        <v>-212.245</v>
      </c>
      <c r="H7250">
        <v>59.810630000000003</v>
      </c>
      <c r="I7250">
        <v>94.465379999999996</v>
      </c>
      <c r="J7250">
        <v>-189.9837</v>
      </c>
      <c r="K7250">
        <v>1.1134630000000001</v>
      </c>
      <c r="L7250">
        <v>-35.276490000000003</v>
      </c>
      <c r="M7250">
        <v>0.22140460000000001</v>
      </c>
      <c r="N7250">
        <v>-8.8120490000000006E-3</v>
      </c>
      <c r="O7250">
        <v>0.97514219999999896</v>
      </c>
      <c r="P7250">
        <v>-3.2750710000000001E-3</v>
      </c>
      <c r="Q7250">
        <v>0.39997199999999999</v>
      </c>
      <c r="R7250">
        <v>0.91652149999999999</v>
      </c>
      <c r="S7250">
        <v>-0.46658329999999998</v>
      </c>
      <c r="T7250">
        <v>1.234272</v>
      </c>
      <c r="U7250">
        <v>2.7351070000000002</v>
      </c>
      <c r="V7250">
        <v>-0.20926620000000001</v>
      </c>
      <c r="W7250">
        <v>0.40622239999999998</v>
      </c>
      <c r="X7250">
        <v>0.88948919999999998</v>
      </c>
      <c r="Y7250">
        <v>-0.36870409999999998</v>
      </c>
      <c r="Z7250">
        <v>0.38745980000000002</v>
      </c>
      <c r="AA7250">
        <v>0.84494509999999901</v>
      </c>
      <c r="AB7250">
        <v>33</v>
      </c>
      <c r="AC7250">
        <v>-22.261299999999999</v>
      </c>
      <c r="AD7250">
        <v>58.697167</v>
      </c>
      <c r="AE7250">
        <v>129.74187000000001</v>
      </c>
      <c r="AF7250">
        <v>-42.070613577059902</v>
      </c>
      <c r="AG7250">
        <v>58.697167</v>
      </c>
      <c r="AH7250">
        <v>101.426526356887</v>
      </c>
      <c r="AI7250">
        <v>61.873038188094696</v>
      </c>
      <c r="AJ7250">
        <v>112.528139012021</v>
      </c>
      <c r="AK7250">
        <v>124.50957468966099</v>
      </c>
      <c r="AL7250">
        <v>66.032248503001398</v>
      </c>
      <c r="AM7250">
        <v>103.23897104885999</v>
      </c>
      <c r="AN7250">
        <v>1.0000000088204199</v>
      </c>
    </row>
    <row r="7251" spans="1:40" x14ac:dyDescent="0.25">
      <c r="A7251" t="str">
        <f>"20190304165024549"</f>
        <v>20190304165024549</v>
      </c>
      <c r="B7251" t="str">
        <f>"1551689424542262"</f>
        <v>1551689424542262</v>
      </c>
      <c r="C7251" t="s">
        <v>40</v>
      </c>
      <c r="D7251">
        <v>4.120584</v>
      </c>
      <c r="E7251">
        <v>0.44307990000000003</v>
      </c>
      <c r="F7251" t="s">
        <v>61</v>
      </c>
      <c r="G7251">
        <v>-212.2449</v>
      </c>
      <c r="H7251">
        <v>59.416980000000002</v>
      </c>
      <c r="I7251">
        <v>92.027500000000003</v>
      </c>
      <c r="J7251">
        <v>-189.87440000000001</v>
      </c>
      <c r="K7251">
        <v>1.1135189999999999</v>
      </c>
      <c r="L7251">
        <v>-34.768279999999997</v>
      </c>
      <c r="M7251">
        <v>0.2158697</v>
      </c>
      <c r="N7251">
        <v>-8.8086629999999996E-3</v>
      </c>
      <c r="O7251">
        <v>0.97638239999999998</v>
      </c>
      <c r="P7251">
        <v>-1.196637E-2</v>
      </c>
      <c r="Q7251">
        <v>0.40012940000000002</v>
      </c>
      <c r="R7251">
        <v>0.91638050000000004</v>
      </c>
      <c r="S7251">
        <v>-0.47679139999999998</v>
      </c>
      <c r="T7251">
        <v>1.2487429999999999</v>
      </c>
      <c r="U7251">
        <v>2.7265929999999998</v>
      </c>
      <c r="V7251">
        <v>-0.21270220000000001</v>
      </c>
      <c r="W7251">
        <v>0.40631830000000002</v>
      </c>
      <c r="X7251">
        <v>0.88862999999999903</v>
      </c>
      <c r="Y7251">
        <v>-0.3665909</v>
      </c>
      <c r="Z7251">
        <v>0.39293230000000001</v>
      </c>
      <c r="AA7251">
        <v>0.84333579999999997</v>
      </c>
      <c r="AB7251">
        <v>33</v>
      </c>
      <c r="AC7251">
        <v>-22.3705</v>
      </c>
      <c r="AD7251">
        <v>58.303460999999999</v>
      </c>
      <c r="AE7251">
        <v>126.79577999999999</v>
      </c>
      <c r="AF7251">
        <v>-40.840882966686898</v>
      </c>
      <c r="AG7251">
        <v>58.303460999999999</v>
      </c>
      <c r="AH7251">
        <v>98.731463102978495</v>
      </c>
      <c r="AI7251">
        <v>61.379496312492897</v>
      </c>
      <c r="AJ7251">
        <v>112.472737373492</v>
      </c>
      <c r="AK7251">
        <v>121.717595657045</v>
      </c>
      <c r="AL7251">
        <v>66.026235795492795</v>
      </c>
      <c r="AM7251">
        <v>103.461039187457</v>
      </c>
      <c r="AN7251">
        <v>1.0000000318498601</v>
      </c>
    </row>
    <row r="7252" spans="1:40" x14ac:dyDescent="0.25">
      <c r="A7252" t="str">
        <f>"20190304165024569"</f>
        <v>20190304165024569</v>
      </c>
      <c r="B7252" t="str">
        <f>"1551689424562758"</f>
        <v>1551689424562758</v>
      </c>
      <c r="C7252" t="s">
        <v>40</v>
      </c>
      <c r="D7252">
        <v>4.0821820000000004</v>
      </c>
      <c r="E7252">
        <v>0.44382349999999998</v>
      </c>
      <c r="F7252" t="s">
        <v>61</v>
      </c>
      <c r="G7252">
        <v>-212.24520000000001</v>
      </c>
      <c r="H7252">
        <v>60.465490000000003</v>
      </c>
      <c r="I7252">
        <v>89.747169999999997</v>
      </c>
      <c r="J7252">
        <v>-189.80690000000001</v>
      </c>
      <c r="K7252">
        <v>1.1135389999999901</v>
      </c>
      <c r="L7252">
        <v>-34.447450000000003</v>
      </c>
      <c r="M7252">
        <v>0.2123563</v>
      </c>
      <c r="N7252">
        <v>-8.8079200000000003E-3</v>
      </c>
      <c r="O7252">
        <v>0.97715260000000004</v>
      </c>
      <c r="P7252">
        <v>-1.747164E-2</v>
      </c>
      <c r="Q7252">
        <v>0.39991910000000003</v>
      </c>
      <c r="R7252">
        <v>0.91638390000000003</v>
      </c>
      <c r="S7252">
        <v>-0.48590090000000002</v>
      </c>
      <c r="T7252">
        <v>1.2891360000000001</v>
      </c>
      <c r="U7252">
        <v>2.7044980000000001</v>
      </c>
      <c r="V7252">
        <v>-0.21489269999999999</v>
      </c>
      <c r="W7252">
        <v>0.40607470000000001</v>
      </c>
      <c r="X7252">
        <v>0.88821419999999995</v>
      </c>
      <c r="Y7252">
        <v>-0.36613600000000002</v>
      </c>
      <c r="Z7252">
        <v>0.40613389999999999</v>
      </c>
      <c r="AA7252">
        <v>0.83725720000000003</v>
      </c>
      <c r="AB7252">
        <v>34</v>
      </c>
      <c r="AC7252">
        <v>-22.438300000000002</v>
      </c>
      <c r="AD7252">
        <v>59.351951</v>
      </c>
      <c r="AE7252">
        <v>124.19462</v>
      </c>
      <c r="AF7252">
        <v>-39.5532634614123</v>
      </c>
      <c r="AG7252">
        <v>59.351951</v>
      </c>
      <c r="AH7252">
        <v>95.479961218382499</v>
      </c>
      <c r="AI7252">
        <v>60.131670899221099</v>
      </c>
      <c r="AJ7252">
        <v>112.502135126242</v>
      </c>
      <c r="AK7252">
        <v>119.178595948341</v>
      </c>
      <c r="AL7252">
        <v>66.0415090752943</v>
      </c>
      <c r="AM7252">
        <v>103.60067461821799</v>
      </c>
      <c r="AN7252">
        <v>0.99999999978750997</v>
      </c>
    </row>
    <row r="7253" spans="1:40" x14ac:dyDescent="0.25">
      <c r="A7253" t="str">
        <f>"20190304165024592"</f>
        <v>20190304165024592</v>
      </c>
      <c r="B7253" t="str">
        <f>"1551689424582279"</f>
        <v>1551689424582279</v>
      </c>
      <c r="C7253" t="s">
        <v>40</v>
      </c>
      <c r="D7253">
        <v>4.3351169999999897</v>
      </c>
      <c r="E7253">
        <v>0.44424520000000001</v>
      </c>
      <c r="F7253" t="s">
        <v>61</v>
      </c>
      <c r="G7253">
        <v>-212.24520000000001</v>
      </c>
      <c r="H7253">
        <v>60.410690000000002</v>
      </c>
      <c r="I7253">
        <v>87.600969999999904</v>
      </c>
      <c r="J7253">
        <v>-189.73949999999999</v>
      </c>
      <c r="K7253">
        <v>1.11354</v>
      </c>
      <c r="L7253">
        <v>-34.121279999999999</v>
      </c>
      <c r="M7253">
        <v>0.20877780000000001</v>
      </c>
      <c r="N7253">
        <v>-8.8082630000000002E-3</v>
      </c>
      <c r="O7253">
        <v>0.97792349999999995</v>
      </c>
      <c r="P7253">
        <v>-2.2179620000000001E-2</v>
      </c>
      <c r="Q7253">
        <v>0.39906360000000002</v>
      </c>
      <c r="R7253">
        <v>0.91665490000000005</v>
      </c>
      <c r="S7253">
        <v>-0.49514770000000002</v>
      </c>
      <c r="T7253">
        <v>1.308508</v>
      </c>
      <c r="U7253">
        <v>2.6932369999999999</v>
      </c>
      <c r="V7253">
        <v>-0.21629989999999999</v>
      </c>
      <c r="W7253">
        <v>0.40519909999999998</v>
      </c>
      <c r="X7253">
        <v>0.88827250000000002</v>
      </c>
      <c r="Y7253">
        <v>-0.36560510000000002</v>
      </c>
      <c r="Z7253">
        <v>0.41275489999999998</v>
      </c>
      <c r="AA7253">
        <v>0.83424589999999998</v>
      </c>
      <c r="AB7253">
        <v>34</v>
      </c>
      <c r="AC7253">
        <v>-22.505700000000001</v>
      </c>
      <c r="AD7253">
        <v>59.297150000000002</v>
      </c>
      <c r="AE7253">
        <v>121.72225</v>
      </c>
      <c r="AF7253">
        <v>-38.572333856964903</v>
      </c>
      <c r="AG7253">
        <v>59.297150000000002</v>
      </c>
      <c r="AH7253">
        <v>92.999933119220103</v>
      </c>
      <c r="AI7253">
        <v>59.503771429189598</v>
      </c>
      <c r="AJ7253">
        <v>112.526551000708</v>
      </c>
      <c r="AK7253">
        <v>116.84590064471701</v>
      </c>
      <c r="AL7253">
        <v>66.096395522517994</v>
      </c>
      <c r="AM7253">
        <v>103.68553332229</v>
      </c>
      <c r="AN7253">
        <v>0.99999999581853405</v>
      </c>
    </row>
    <row r="7254" spans="1:40" x14ac:dyDescent="0.25">
      <c r="A7254" t="str">
        <f>"20190304165024613"</f>
        <v>20190304165024613</v>
      </c>
      <c r="B7254" t="str">
        <f>"1551689424602775"</f>
        <v>1551689424602775</v>
      </c>
      <c r="C7254" t="s">
        <v>40</v>
      </c>
      <c r="D7254">
        <v>4.0119420000000003</v>
      </c>
      <c r="E7254">
        <v>0.45596880000000001</v>
      </c>
      <c r="F7254" t="s">
        <v>61</v>
      </c>
      <c r="G7254">
        <v>-212.245</v>
      </c>
      <c r="H7254">
        <v>59.670589999999997</v>
      </c>
      <c r="I7254">
        <v>85.657589999999999</v>
      </c>
      <c r="J7254">
        <v>-189.67490000000001</v>
      </c>
      <c r="K7254">
        <v>1.113553</v>
      </c>
      <c r="L7254">
        <v>-33.80301</v>
      </c>
      <c r="M7254">
        <v>0.205285</v>
      </c>
      <c r="N7254">
        <v>-8.8096749999999995E-3</v>
      </c>
      <c r="O7254">
        <v>0.97866260000000005</v>
      </c>
      <c r="P7254">
        <v>-2.6407420000000001E-2</v>
      </c>
      <c r="Q7254">
        <v>0.3983873</v>
      </c>
      <c r="R7254">
        <v>0.91683709999999996</v>
      </c>
      <c r="S7254">
        <v>-0.50512699999999999</v>
      </c>
      <c r="T7254">
        <v>1.3142879999999999</v>
      </c>
      <c r="U7254">
        <v>2.6883849999999998</v>
      </c>
      <c r="V7254">
        <v>-0.21730140000000001</v>
      </c>
      <c r="W7254">
        <v>0.40450760000000002</v>
      </c>
      <c r="X7254">
        <v>0.88834329999999995</v>
      </c>
      <c r="Y7254">
        <v>-0.3653825</v>
      </c>
      <c r="Z7254">
        <v>0.41515659999999999</v>
      </c>
      <c r="AA7254">
        <v>0.83315099999999997</v>
      </c>
      <c r="AB7254">
        <v>34</v>
      </c>
      <c r="AC7254">
        <v>-22.5701</v>
      </c>
      <c r="AD7254">
        <v>58.557037000000001</v>
      </c>
      <c r="AE7254">
        <v>119.4606</v>
      </c>
      <c r="AF7254">
        <v>-37.836055986124698</v>
      </c>
      <c r="AG7254">
        <v>58.557037000000001</v>
      </c>
      <c r="AH7254">
        <v>91.138985246857999</v>
      </c>
      <c r="AI7254">
        <v>59.315146677944099</v>
      </c>
      <c r="AJ7254">
        <v>112.54562380590799</v>
      </c>
      <c r="AK7254">
        <v>114.746713881625</v>
      </c>
      <c r="AL7254">
        <v>66.139726958419104</v>
      </c>
      <c r="AM7254">
        <v>103.745446689952</v>
      </c>
      <c r="AN7254">
        <v>1.0000000577773001</v>
      </c>
    </row>
    <row r="7255" spans="1:40" x14ac:dyDescent="0.25">
      <c r="A7255" t="str">
        <f>"20190304165024635"</f>
        <v>20190304165024635</v>
      </c>
      <c r="B7255" t="str">
        <f>"1551689424633032"</f>
        <v>1551689424633032</v>
      </c>
      <c r="C7255" t="s">
        <v>40</v>
      </c>
      <c r="D7255">
        <v>3.9858310000000001</v>
      </c>
      <c r="E7255">
        <v>0.45740039999999998</v>
      </c>
      <c r="F7255" t="s">
        <v>60</v>
      </c>
      <c r="G7255">
        <v>0</v>
      </c>
      <c r="H7255">
        <v>0</v>
      </c>
      <c r="I7255">
        <v>0</v>
      </c>
      <c r="J7255">
        <v>-189.61</v>
      </c>
      <c r="K7255">
        <v>1.113578</v>
      </c>
      <c r="L7255">
        <v>-33.477200000000003</v>
      </c>
      <c r="M7255">
        <v>0.2017118</v>
      </c>
      <c r="N7255">
        <v>-8.8120400000000002E-3</v>
      </c>
      <c r="O7255">
        <v>0.97940530000000003</v>
      </c>
      <c r="P7255">
        <v>-3.0748640000000001E-2</v>
      </c>
      <c r="Q7255">
        <v>0.39844960000000001</v>
      </c>
      <c r="R7255">
        <v>0.91667469999999995</v>
      </c>
      <c r="S7255">
        <v>-0.4162903</v>
      </c>
      <c r="T7255">
        <v>1.444723</v>
      </c>
      <c r="U7255">
        <v>2.632355</v>
      </c>
      <c r="V7255">
        <v>-0.21828130000000001</v>
      </c>
      <c r="W7255">
        <v>0.404553</v>
      </c>
      <c r="X7255">
        <v>0.88808229999999999</v>
      </c>
      <c r="Y7255">
        <v>-0.33441189999999998</v>
      </c>
      <c r="Z7255">
        <v>0.45824969999999998</v>
      </c>
      <c r="AA7255">
        <v>0.82351430000000003</v>
      </c>
      <c r="AB7255">
        <v>34</v>
      </c>
      <c r="AC7255">
        <v>-0.4162903</v>
      </c>
      <c r="AD7255">
        <v>1.444723</v>
      </c>
      <c r="AE7255">
        <v>2.632355</v>
      </c>
      <c r="AF7255">
        <v>-0.72552251719437999</v>
      </c>
      <c r="AG7255">
        <v>1.444723</v>
      </c>
      <c r="AH7255">
        <v>1.9277611227565301</v>
      </c>
      <c r="AI7255">
        <v>54.954153339267101</v>
      </c>
      <c r="AJ7255">
        <v>110.624078601593</v>
      </c>
      <c r="AK7255">
        <v>2.5159233724612098</v>
      </c>
      <c r="AL7255">
        <v>66.136881489932605</v>
      </c>
      <c r="AM7255">
        <v>103.808966158616</v>
      </c>
      <c r="AN7255">
        <v>1.0000000136559899</v>
      </c>
    </row>
    <row r="7256" spans="1:40" x14ac:dyDescent="0.25">
      <c r="A7256" t="str">
        <f>"20190304165024658"</f>
        <v>20190304165024658</v>
      </c>
      <c r="B7256" t="str">
        <f>"1551689424652550"</f>
        <v>1551689424652550</v>
      </c>
      <c r="C7256" t="s">
        <v>40</v>
      </c>
      <c r="D7256">
        <v>3.936429</v>
      </c>
      <c r="E7256">
        <v>0.45833669999999999</v>
      </c>
      <c r="F7256" t="s">
        <v>60</v>
      </c>
      <c r="G7256">
        <v>0</v>
      </c>
      <c r="H7256">
        <v>0</v>
      </c>
      <c r="I7256">
        <v>0</v>
      </c>
      <c r="J7256">
        <v>-189.5436</v>
      </c>
      <c r="K7256">
        <v>1.1135980000000001</v>
      </c>
      <c r="L7256">
        <v>-33.136839999999999</v>
      </c>
      <c r="M7256">
        <v>0.1979786</v>
      </c>
      <c r="N7256">
        <v>-8.815514E-3</v>
      </c>
      <c r="O7256">
        <v>0.98016669999999995</v>
      </c>
      <c r="P7256">
        <v>-3.4643140000000003E-2</v>
      </c>
      <c r="Q7256">
        <v>0.3987946</v>
      </c>
      <c r="R7256">
        <v>0.91638569999999997</v>
      </c>
      <c r="S7256">
        <v>-0.41328429999999999</v>
      </c>
      <c r="T7256">
        <v>1.5231809999999999</v>
      </c>
      <c r="U7256">
        <v>2.5967709999999999</v>
      </c>
      <c r="V7256">
        <v>-0.2186641</v>
      </c>
      <c r="W7256">
        <v>0.4048852</v>
      </c>
      <c r="X7256">
        <v>0.88783670000000003</v>
      </c>
      <c r="Y7256">
        <v>-0.32956429999999998</v>
      </c>
      <c r="Z7256">
        <v>0.4824233</v>
      </c>
      <c r="AA7256">
        <v>0.81157570000000001</v>
      </c>
      <c r="AB7256">
        <v>34</v>
      </c>
      <c r="AC7256">
        <v>-0.41328429999999999</v>
      </c>
      <c r="AD7256">
        <v>1.5231809999999999</v>
      </c>
      <c r="AE7256">
        <v>2.5967709999999999</v>
      </c>
      <c r="AF7256">
        <v>-0.68827103059615302</v>
      </c>
      <c r="AG7256">
        <v>1.5231809999999999</v>
      </c>
      <c r="AH7256">
        <v>1.8445744925413099</v>
      </c>
      <c r="AI7256">
        <v>52.272323112230097</v>
      </c>
      <c r="AJ7256">
        <v>110.462188805362</v>
      </c>
      <c r="AK7256">
        <v>2.4892272754517499</v>
      </c>
      <c r="AL7256">
        <v>66.116066866378901</v>
      </c>
      <c r="AM7256">
        <v>103.835933042831</v>
      </c>
      <c r="AN7256">
        <v>1.00000000983737</v>
      </c>
    </row>
    <row r="7257" spans="1:40" x14ac:dyDescent="0.25">
      <c r="A7257" t="str">
        <f>"20190304165024680"</f>
        <v>20190304165024680</v>
      </c>
      <c r="B7257" t="str">
        <f>"1551689424673046"</f>
        <v>1551689424673046</v>
      </c>
      <c r="C7257" t="s">
        <v>40</v>
      </c>
      <c r="D7257">
        <v>3.8799800000000002</v>
      </c>
      <c r="E7257">
        <v>0.4588737</v>
      </c>
      <c r="F7257" t="s">
        <v>60</v>
      </c>
      <c r="G7257">
        <v>0</v>
      </c>
      <c r="H7257">
        <v>0</v>
      </c>
      <c r="I7257">
        <v>0</v>
      </c>
      <c r="J7257">
        <v>-189.47970000000001</v>
      </c>
      <c r="K7257">
        <v>1.113618</v>
      </c>
      <c r="L7257">
        <v>-32.80283</v>
      </c>
      <c r="M7257">
        <v>0.19431399999999999</v>
      </c>
      <c r="N7257">
        <v>-8.8197350000000004E-3</v>
      </c>
      <c r="O7257">
        <v>0.98089979999999999</v>
      </c>
      <c r="P7257">
        <v>-3.8076220000000001E-2</v>
      </c>
      <c r="Q7257">
        <v>0.39923839999999999</v>
      </c>
      <c r="R7257">
        <v>0.91605619999999999</v>
      </c>
      <c r="S7257">
        <v>-0.4159698</v>
      </c>
      <c r="T7257">
        <v>1.552881</v>
      </c>
      <c r="U7257">
        <v>2.582214</v>
      </c>
      <c r="V7257">
        <v>-0.21865770000000001</v>
      </c>
      <c r="W7257">
        <v>0.40532109999999999</v>
      </c>
      <c r="X7257">
        <v>0.88763930000000002</v>
      </c>
      <c r="Y7257">
        <v>-0.32674370000000003</v>
      </c>
      <c r="Z7257">
        <v>0.49198799999999998</v>
      </c>
      <c r="AA7257">
        <v>0.80696119999999905</v>
      </c>
      <c r="AB7257">
        <v>34</v>
      </c>
      <c r="AC7257">
        <v>-0.4159698</v>
      </c>
      <c r="AD7257">
        <v>1.552881</v>
      </c>
      <c r="AE7257">
        <v>2.582214</v>
      </c>
      <c r="AF7257">
        <v>-0.67269263290849501</v>
      </c>
      <c r="AG7257">
        <v>1.552881</v>
      </c>
      <c r="AH7257">
        <v>1.81304993981796</v>
      </c>
      <c r="AI7257">
        <v>51.235132842728198</v>
      </c>
      <c r="AJ7257">
        <v>110.35627340973301</v>
      </c>
      <c r="AK7257">
        <v>2.4801421053649801</v>
      </c>
      <c r="AL7257">
        <v>66.088748384975702</v>
      </c>
      <c r="AM7257">
        <v>103.83850223842801</v>
      </c>
      <c r="AN7257">
        <v>0.99999995538949404</v>
      </c>
    </row>
    <row r="7258" spans="1:40" x14ac:dyDescent="0.25">
      <c r="A7258" t="str">
        <f>"20190304165024702"</f>
        <v>20190304165024702</v>
      </c>
      <c r="B7258" t="str">
        <f>"1551689424692567"</f>
        <v>1551689424692567</v>
      </c>
      <c r="C7258" t="s">
        <v>40</v>
      </c>
      <c r="D7258">
        <v>3.907667</v>
      </c>
      <c r="E7258">
        <v>0.45973409999999898</v>
      </c>
      <c r="F7258" t="s">
        <v>60</v>
      </c>
      <c r="G7258">
        <v>0</v>
      </c>
      <c r="H7258">
        <v>0</v>
      </c>
      <c r="I7258">
        <v>0</v>
      </c>
      <c r="J7258">
        <v>-189.41820000000001</v>
      </c>
      <c r="K7258">
        <v>1.11364</v>
      </c>
      <c r="L7258">
        <v>-32.474670000000003</v>
      </c>
      <c r="M7258">
        <v>0.1907064</v>
      </c>
      <c r="N7258">
        <v>-8.8246450000000008E-3</v>
      </c>
      <c r="O7258">
        <v>0.98160740000000002</v>
      </c>
      <c r="P7258">
        <v>-4.0700399999999998E-2</v>
      </c>
      <c r="Q7258">
        <v>0.3989954</v>
      </c>
      <c r="R7258">
        <v>0.91604920000000001</v>
      </c>
      <c r="S7258">
        <v>-0.42068480000000003</v>
      </c>
      <c r="T7258">
        <v>1.5705849999999999</v>
      </c>
      <c r="U7258">
        <v>2.572937</v>
      </c>
      <c r="V7258">
        <v>-0.21797369999999999</v>
      </c>
      <c r="W7258">
        <v>0.40507969999999999</v>
      </c>
      <c r="X7258">
        <v>0.88791779999999998</v>
      </c>
      <c r="Y7258">
        <v>-0.32465889999999997</v>
      </c>
      <c r="Z7258">
        <v>0.49795159999999999</v>
      </c>
      <c r="AA7258">
        <v>0.80413990000000002</v>
      </c>
      <c r="AB7258">
        <v>34</v>
      </c>
      <c r="AC7258">
        <v>-0.42068480000000003</v>
      </c>
      <c r="AD7258">
        <v>1.5705849999999999</v>
      </c>
      <c r="AE7258">
        <v>2.572937</v>
      </c>
      <c r="AF7258">
        <v>-0.66303255984268605</v>
      </c>
      <c r="AG7258">
        <v>1.5705849999999999</v>
      </c>
      <c r="AH7258">
        <v>1.7943005600917299</v>
      </c>
      <c r="AI7258">
        <v>50.612091573997702</v>
      </c>
      <c r="AJ7258">
        <v>110.28035313562999</v>
      </c>
      <c r="AK7258">
        <v>2.4750482657075699</v>
      </c>
      <c r="AL7258">
        <v>66.103879833922505</v>
      </c>
      <c r="AM7258">
        <v>103.792707333691</v>
      </c>
      <c r="AN7258">
        <v>1.0000000584002999</v>
      </c>
    </row>
    <row r="7259" spans="1:40" x14ac:dyDescent="0.25">
      <c r="A7259" t="str">
        <f>"20190304165024726"</f>
        <v>20190304165024726</v>
      </c>
      <c r="B7259" t="str">
        <f>"1551689424722354"</f>
        <v>1551689424722354</v>
      </c>
      <c r="C7259" t="s">
        <v>40</v>
      </c>
      <c r="D7259">
        <v>3.796081</v>
      </c>
      <c r="E7259">
        <v>0.46088299999999999</v>
      </c>
      <c r="F7259" t="s">
        <v>60</v>
      </c>
      <c r="G7259">
        <v>0</v>
      </c>
      <c r="H7259">
        <v>0</v>
      </c>
      <c r="I7259">
        <v>0</v>
      </c>
      <c r="J7259">
        <v>-189.35570000000001</v>
      </c>
      <c r="K7259">
        <v>1.1136600000000001</v>
      </c>
      <c r="L7259">
        <v>-32.134</v>
      </c>
      <c r="M7259">
        <v>0.18694530000000001</v>
      </c>
      <c r="N7259">
        <v>-8.8305720000000001E-3</v>
      </c>
      <c r="O7259">
        <v>0.98233060000000005</v>
      </c>
      <c r="P7259">
        <v>-4.3117089999999997E-2</v>
      </c>
      <c r="Q7259">
        <v>0.39849370000000001</v>
      </c>
      <c r="R7259">
        <v>0.916157</v>
      </c>
      <c r="S7259">
        <v>-0.42031859999999999</v>
      </c>
      <c r="T7259">
        <v>1.5793630000000001</v>
      </c>
      <c r="U7259">
        <v>2.5683590000000001</v>
      </c>
      <c r="V7259">
        <v>-0.2169729</v>
      </c>
      <c r="W7259">
        <v>0.4045822</v>
      </c>
      <c r="X7259">
        <v>0.8883896</v>
      </c>
      <c r="Y7259">
        <v>-0.32088630000000001</v>
      </c>
      <c r="Z7259">
        <v>0.50146170000000001</v>
      </c>
      <c r="AA7259">
        <v>0.80347259999999998</v>
      </c>
      <c r="AB7259">
        <v>34</v>
      </c>
      <c r="AC7259">
        <v>-0.42031859999999999</v>
      </c>
      <c r="AD7259">
        <v>1.5793630000000001</v>
      </c>
      <c r="AE7259">
        <v>2.5683590000000001</v>
      </c>
      <c r="AF7259">
        <v>-0.65269647045119805</v>
      </c>
      <c r="AG7259">
        <v>1.5793630000000001</v>
      </c>
      <c r="AH7259">
        <v>1.7865513576337499</v>
      </c>
      <c r="AI7259">
        <v>50.295469009581097</v>
      </c>
      <c r="AJ7259">
        <v>110.06920832122</v>
      </c>
      <c r="AK7259">
        <v>2.4722794991204902</v>
      </c>
      <c r="AL7259">
        <v>66.135052684266896</v>
      </c>
      <c r="AM7259">
        <v>103.72476552880001</v>
      </c>
      <c r="AN7259">
        <v>1.0000000386397001</v>
      </c>
    </row>
    <row r="7260" spans="1:40" x14ac:dyDescent="0.25">
      <c r="A7260" t="str">
        <f>"20190304165024749"</f>
        <v>20190304165024749</v>
      </c>
      <c r="B7260" t="str">
        <f>"1551689424742850"</f>
        <v>1551689424742850</v>
      </c>
      <c r="C7260" t="s">
        <v>40</v>
      </c>
      <c r="D7260">
        <v>3.8199879999999999</v>
      </c>
      <c r="E7260">
        <v>0.4616731</v>
      </c>
      <c r="F7260" t="s">
        <v>60</v>
      </c>
      <c r="G7260">
        <v>0</v>
      </c>
      <c r="H7260">
        <v>0</v>
      </c>
      <c r="I7260">
        <v>0</v>
      </c>
      <c r="J7260">
        <v>-189.29220000000001</v>
      </c>
      <c r="K7260">
        <v>1.1136870000000001</v>
      </c>
      <c r="L7260">
        <v>-31.7803</v>
      </c>
      <c r="M7260">
        <v>0.1830166</v>
      </c>
      <c r="N7260">
        <v>-8.8375980000000003E-3</v>
      </c>
      <c r="O7260">
        <v>0.98307009999999995</v>
      </c>
      <c r="P7260">
        <v>-4.5810469999999999E-2</v>
      </c>
      <c r="Q7260">
        <v>0.39790799999999998</v>
      </c>
      <c r="R7260">
        <v>0.91628089999999995</v>
      </c>
      <c r="S7260">
        <v>-0.41688540000000002</v>
      </c>
      <c r="T7260">
        <v>1.5884819999999999</v>
      </c>
      <c r="U7260">
        <v>2.5639949999999998</v>
      </c>
      <c r="V7260">
        <v>-0.21610309999999999</v>
      </c>
      <c r="W7260">
        <v>0.40399740000000001</v>
      </c>
      <c r="X7260">
        <v>0.88886759999999998</v>
      </c>
      <c r="Y7260">
        <v>-0.31598749999999998</v>
      </c>
      <c r="Z7260">
        <v>0.5051679</v>
      </c>
      <c r="AA7260">
        <v>0.80309240000000004</v>
      </c>
      <c r="AB7260">
        <v>34</v>
      </c>
      <c r="AC7260">
        <v>-0.41688540000000002</v>
      </c>
      <c r="AD7260">
        <v>1.5884819999999999</v>
      </c>
      <c r="AE7260">
        <v>2.5639949999999998</v>
      </c>
      <c r="AF7260">
        <v>-0.63985148804554204</v>
      </c>
      <c r="AG7260">
        <v>1.5884819999999999</v>
      </c>
      <c r="AH7260">
        <v>1.77911036891395</v>
      </c>
      <c r="AI7260">
        <v>49.964111540069297</v>
      </c>
      <c r="AJ7260">
        <v>109.780963170025</v>
      </c>
      <c r="AK7260">
        <v>2.4693964233907901</v>
      </c>
      <c r="AL7260">
        <v>66.171686437220302</v>
      </c>
      <c r="AM7260">
        <v>103.664738017779</v>
      </c>
      <c r="AN7260">
        <v>1.00000002968306</v>
      </c>
    </row>
    <row r="7261" spans="1:40" x14ac:dyDescent="0.25">
      <c r="A7261" t="str">
        <f>"20190304165024771"</f>
        <v>20190304165024771</v>
      </c>
      <c r="B7261" t="str">
        <f>"1551689424762370"</f>
        <v>1551689424762370</v>
      </c>
      <c r="C7261" t="s">
        <v>40</v>
      </c>
      <c r="D7261">
        <v>4.0508540000000002</v>
      </c>
      <c r="E7261">
        <v>0.46253909999999998</v>
      </c>
      <c r="F7261" t="s">
        <v>60</v>
      </c>
      <c r="G7261">
        <v>0</v>
      </c>
      <c r="H7261">
        <v>0</v>
      </c>
      <c r="I7261">
        <v>0</v>
      </c>
      <c r="J7261">
        <v>-189.2346</v>
      </c>
      <c r="K7261">
        <v>1.1137140000000001</v>
      </c>
      <c r="L7261">
        <v>-31.452269999999999</v>
      </c>
      <c r="M7261">
        <v>0.17934639999999999</v>
      </c>
      <c r="N7261">
        <v>-8.8448789999999999E-3</v>
      </c>
      <c r="O7261">
        <v>0.98374620000000002</v>
      </c>
      <c r="P7261">
        <v>-4.822303E-2</v>
      </c>
      <c r="Q7261">
        <v>0.39748739999999999</v>
      </c>
      <c r="R7261">
        <v>0.91633960000000003</v>
      </c>
      <c r="S7261">
        <v>-0.41786190000000001</v>
      </c>
      <c r="T7261">
        <v>1.5910899999999999</v>
      </c>
      <c r="U7261">
        <v>2.5622560000000001</v>
      </c>
      <c r="V7261">
        <v>-0.21518409999999999</v>
      </c>
      <c r="W7261">
        <v>0.40357720000000002</v>
      </c>
      <c r="X7261">
        <v>0.88928130000000005</v>
      </c>
      <c r="Y7261">
        <v>-0.3127434</v>
      </c>
      <c r="Z7261">
        <v>0.50678939999999995</v>
      </c>
      <c r="AA7261">
        <v>0.80334059999999996</v>
      </c>
      <c r="AB7261">
        <v>34</v>
      </c>
      <c r="AC7261">
        <v>-0.41786190000000001</v>
      </c>
      <c r="AD7261">
        <v>1.5910899999999999</v>
      </c>
      <c r="AE7261">
        <v>2.5622560000000001</v>
      </c>
      <c r="AF7261">
        <v>-0.63290565375068097</v>
      </c>
      <c r="AG7261">
        <v>1.5910899999999999</v>
      </c>
      <c r="AH7261">
        <v>1.7779396572542201</v>
      </c>
      <c r="AI7261">
        <v>49.866366189703903</v>
      </c>
      <c r="AJ7261">
        <v>109.594560725599</v>
      </c>
      <c r="AK7261">
        <v>2.4684420956317399</v>
      </c>
      <c r="AL7261">
        <v>66.198001938243294</v>
      </c>
      <c r="AM7261">
        <v>103.60269707711301</v>
      </c>
      <c r="AN7261">
        <v>0.99999999189116995</v>
      </c>
    </row>
    <row r="7262" spans="1:40" x14ac:dyDescent="0.25">
      <c r="A7262" t="str">
        <f>"20190304165024793"</f>
        <v>20190304165024793</v>
      </c>
      <c r="B7262" t="str">
        <f>"1551689424782866"</f>
        <v>1551689424782866</v>
      </c>
      <c r="C7262" t="s">
        <v>40</v>
      </c>
      <c r="D7262">
        <v>3.7788889999999999</v>
      </c>
      <c r="E7262">
        <v>0.46319959999999999</v>
      </c>
      <c r="F7262" t="s">
        <v>60</v>
      </c>
      <c r="G7262">
        <v>0</v>
      </c>
      <c r="H7262">
        <v>0</v>
      </c>
      <c r="I7262">
        <v>0</v>
      </c>
      <c r="J7262">
        <v>-189.17789999999999</v>
      </c>
      <c r="K7262">
        <v>1.1137459999999999</v>
      </c>
      <c r="L7262">
        <v>-31.12219</v>
      </c>
      <c r="M7262">
        <v>0.1756296</v>
      </c>
      <c r="N7262">
        <v>-8.8527209999999992E-3</v>
      </c>
      <c r="O7262">
        <v>0.98441650000000003</v>
      </c>
      <c r="P7262">
        <v>-5.0287720000000001E-2</v>
      </c>
      <c r="Q7262">
        <v>0.39747490000000002</v>
      </c>
      <c r="R7262">
        <v>0.91623410000000005</v>
      </c>
      <c r="S7262">
        <v>-0.4174194</v>
      </c>
      <c r="T7262">
        <v>1.5967849999999999</v>
      </c>
      <c r="U7262">
        <v>2.5592959999999998</v>
      </c>
      <c r="V7262">
        <v>-0.21385789999999999</v>
      </c>
      <c r="W7262">
        <v>0.40356809999999999</v>
      </c>
      <c r="X7262">
        <v>0.88960530000000004</v>
      </c>
      <c r="Y7262">
        <v>-0.30898910000000002</v>
      </c>
      <c r="Z7262">
        <v>0.50933459999999997</v>
      </c>
      <c r="AA7262">
        <v>0.80318369999999994</v>
      </c>
      <c r="AB7262">
        <v>34</v>
      </c>
      <c r="AC7262">
        <v>-0.4174194</v>
      </c>
      <c r="AD7262">
        <v>1.5967849999999999</v>
      </c>
      <c r="AE7262">
        <v>2.5592959999999998</v>
      </c>
      <c r="AF7262">
        <v>-0.62387353999019901</v>
      </c>
      <c r="AG7262">
        <v>1.5967849999999999</v>
      </c>
      <c r="AH7262">
        <v>1.7736559393315401</v>
      </c>
      <c r="AI7262">
        <v>49.659661067499499</v>
      </c>
      <c r="AJ7262">
        <v>109.379037051673</v>
      </c>
      <c r="AK7262">
        <v>2.46673791093641</v>
      </c>
      <c r="AL7262">
        <v>66.198572034506398</v>
      </c>
      <c r="AM7262">
        <v>103.51720572774801</v>
      </c>
      <c r="AN7262">
        <v>1.00000000125905</v>
      </c>
    </row>
    <row r="7263" spans="1:40" x14ac:dyDescent="0.25">
      <c r="A7263" t="str">
        <f>"20190304165024817"</f>
        <v>20190304165024817</v>
      </c>
      <c r="B7263" t="str">
        <f>"1551689424812441"</f>
        <v>1551689424812441</v>
      </c>
      <c r="C7263" t="s">
        <v>40</v>
      </c>
      <c r="D7263">
        <v>3.747925</v>
      </c>
      <c r="E7263">
        <v>0.4641632</v>
      </c>
      <c r="F7263" t="s">
        <v>60</v>
      </c>
      <c r="G7263">
        <v>0</v>
      </c>
      <c r="H7263">
        <v>0</v>
      </c>
      <c r="I7263">
        <v>0</v>
      </c>
      <c r="J7263">
        <v>-189.11869999999999</v>
      </c>
      <c r="K7263">
        <v>1.113777</v>
      </c>
      <c r="L7263">
        <v>-30.768429999999999</v>
      </c>
      <c r="M7263">
        <v>0.17162439999999901</v>
      </c>
      <c r="N7263">
        <v>-8.8655360000000002E-3</v>
      </c>
      <c r="O7263">
        <v>0.98512259999999996</v>
      </c>
      <c r="P7263">
        <v>-5.2986800000000001E-2</v>
      </c>
      <c r="Q7263">
        <v>0.39694020000000002</v>
      </c>
      <c r="R7263">
        <v>0.91631370000000001</v>
      </c>
      <c r="S7263">
        <v>-0.41827389999999998</v>
      </c>
      <c r="T7263">
        <v>1.601485</v>
      </c>
      <c r="U7263">
        <v>2.5565799999999999</v>
      </c>
      <c r="V7263">
        <v>-0.2129257</v>
      </c>
      <c r="W7263">
        <v>0.4030396</v>
      </c>
      <c r="X7263">
        <v>0.89006839999999998</v>
      </c>
      <c r="Y7263">
        <v>-0.30536679999999999</v>
      </c>
      <c r="Z7263">
        <v>0.51162399999999997</v>
      </c>
      <c r="AA7263">
        <v>0.80311390000000005</v>
      </c>
      <c r="AB7263">
        <v>34</v>
      </c>
      <c r="AC7263">
        <v>-0.41827389999999998</v>
      </c>
      <c r="AD7263">
        <v>1.601485</v>
      </c>
      <c r="AE7263">
        <v>2.5565799999999999</v>
      </c>
      <c r="AF7263">
        <v>-0.61559493753328998</v>
      </c>
      <c r="AG7263">
        <v>1.601485</v>
      </c>
      <c r="AH7263">
        <v>1.77030126131912</v>
      </c>
      <c r="AI7263">
        <v>49.487645629388801</v>
      </c>
      <c r="AJ7263">
        <v>109.17432997177001</v>
      </c>
      <c r="AK7263">
        <v>2.4652946858681402</v>
      </c>
      <c r="AL7263">
        <v>66.231663776945496</v>
      </c>
      <c r="AM7263">
        <v>103.45368446851499</v>
      </c>
      <c r="AN7263">
        <v>1.0000000147835999</v>
      </c>
    </row>
    <row r="7264" spans="1:40" x14ac:dyDescent="0.25">
      <c r="A7264" t="str">
        <f>"20190304165024838"</f>
        <v>20190304165024838</v>
      </c>
      <c r="B7264" t="str">
        <f>"1551689424832937"</f>
        <v>1551689424832937</v>
      </c>
      <c r="C7264" t="s">
        <v>40</v>
      </c>
      <c r="D7264">
        <v>3.7384620000000002</v>
      </c>
      <c r="E7264">
        <v>0.46479809999999999</v>
      </c>
      <c r="F7264" t="s">
        <v>60</v>
      </c>
      <c r="G7264">
        <v>0</v>
      </c>
      <c r="H7264">
        <v>0</v>
      </c>
      <c r="I7264">
        <v>0</v>
      </c>
      <c r="J7264">
        <v>-189.0634</v>
      </c>
      <c r="K7264">
        <v>1.1138030000000001</v>
      </c>
      <c r="L7264">
        <v>-30.429960000000001</v>
      </c>
      <c r="M7264">
        <v>0.16777609999999901</v>
      </c>
      <c r="N7264">
        <v>-8.886237E-3</v>
      </c>
      <c r="O7264">
        <v>0.98578509999999997</v>
      </c>
      <c r="P7264">
        <v>-5.5989560000000001E-2</v>
      </c>
      <c r="Q7264">
        <v>0.39587149999999999</v>
      </c>
      <c r="R7264">
        <v>0.91659749999999995</v>
      </c>
      <c r="S7264">
        <v>-0.41798400000000002</v>
      </c>
      <c r="T7264">
        <v>1.606614</v>
      </c>
      <c r="U7264">
        <v>2.553833</v>
      </c>
      <c r="V7264">
        <v>-0.2124595</v>
      </c>
      <c r="W7264">
        <v>0.40198499999999998</v>
      </c>
      <c r="X7264">
        <v>0.89065649999999996</v>
      </c>
      <c r="Y7264">
        <v>-0.3015313</v>
      </c>
      <c r="Z7264">
        <v>0.51401850000000004</v>
      </c>
      <c r="AA7264">
        <v>0.80303409999999997</v>
      </c>
      <c r="AB7264">
        <v>34</v>
      </c>
      <c r="AC7264">
        <v>-0.41798400000000002</v>
      </c>
      <c r="AD7264">
        <v>1.606614</v>
      </c>
      <c r="AE7264">
        <v>2.553833</v>
      </c>
      <c r="AF7264">
        <v>-0.60670063944769104</v>
      </c>
      <c r="AG7264">
        <v>1.606614</v>
      </c>
      <c r="AH7264">
        <v>1.7665855488904501</v>
      </c>
      <c r="AI7264">
        <v>49.300020696661498</v>
      </c>
      <c r="AJ7264">
        <v>108.954071886268</v>
      </c>
      <c r="AK7264">
        <v>2.4637610907819001</v>
      </c>
      <c r="AL7264">
        <v>66.297670554889905</v>
      </c>
      <c r="AM7264">
        <v>103.41675110401199</v>
      </c>
      <c r="AN7264">
        <v>0.99999999017874996</v>
      </c>
    </row>
    <row r="7265" spans="1:40" x14ac:dyDescent="0.25">
      <c r="A7265" t="str">
        <f>"20190304165024861"</f>
        <v>20190304165024861</v>
      </c>
      <c r="B7265" t="str">
        <f>"1551689424852457"</f>
        <v>1551689424852457</v>
      </c>
      <c r="C7265" t="s">
        <v>40</v>
      </c>
      <c r="D7265">
        <v>3.7080540000000002</v>
      </c>
      <c r="E7265">
        <v>0.46526210000000001</v>
      </c>
      <c r="F7265" t="s">
        <v>60</v>
      </c>
      <c r="G7265">
        <v>0</v>
      </c>
      <c r="H7265">
        <v>0</v>
      </c>
      <c r="I7265">
        <v>0</v>
      </c>
      <c r="J7265">
        <v>-189.01</v>
      </c>
      <c r="K7265">
        <v>1.1138209999999999</v>
      </c>
      <c r="L7265">
        <v>-30.09451</v>
      </c>
      <c r="M7265">
        <v>0.16395109999999999</v>
      </c>
      <c r="N7265">
        <v>-8.9108720000000002E-3</v>
      </c>
      <c r="O7265">
        <v>0.98642819999999998</v>
      </c>
      <c r="P7265">
        <v>-5.9107769999999997E-2</v>
      </c>
      <c r="Q7265">
        <v>0.39501180000000002</v>
      </c>
      <c r="R7265">
        <v>0.91677249999999999</v>
      </c>
      <c r="S7265">
        <v>-0.421402</v>
      </c>
      <c r="T7265">
        <v>1.607577</v>
      </c>
      <c r="U7265">
        <v>2.5529169999999999</v>
      </c>
      <c r="V7265">
        <v>-0.2121083</v>
      </c>
      <c r="W7265">
        <v>0.40114309999999997</v>
      </c>
      <c r="X7265">
        <v>0.89111969999999996</v>
      </c>
      <c r="Y7265">
        <v>-0.29889209999999999</v>
      </c>
      <c r="Z7265">
        <v>0.51505800000000002</v>
      </c>
      <c r="AA7265">
        <v>0.80335469999999998</v>
      </c>
      <c r="AB7265">
        <v>34</v>
      </c>
      <c r="AC7265">
        <v>-0.421402</v>
      </c>
      <c r="AD7265">
        <v>1.607577</v>
      </c>
      <c r="AE7265">
        <v>2.5529169999999999</v>
      </c>
      <c r="AF7265">
        <v>-0.60192297711979104</v>
      </c>
      <c r="AG7265">
        <v>1.607577</v>
      </c>
      <c r="AH7265">
        <v>1.7671463097587901</v>
      </c>
      <c r="AI7265">
        <v>49.267639682432502</v>
      </c>
      <c r="AJ7265">
        <v>108.809799911754</v>
      </c>
      <c r="AK7265">
        <v>2.46361952448179</v>
      </c>
      <c r="AL7265">
        <v>66.350341820363397</v>
      </c>
      <c r="AM7265">
        <v>103.388660853815</v>
      </c>
      <c r="AN7265">
        <v>1.0000000186672899</v>
      </c>
    </row>
    <row r="7266" spans="1:40" x14ac:dyDescent="0.25">
      <c r="A7266" t="str">
        <f>"20190304165024883"</f>
        <v>20190304165024883</v>
      </c>
      <c r="B7266" t="str">
        <f>"1551689424872953"</f>
        <v>1551689424872953</v>
      </c>
      <c r="C7266" t="s">
        <v>40</v>
      </c>
      <c r="D7266">
        <v>3.712224</v>
      </c>
      <c r="E7266">
        <v>0.46578229999999998</v>
      </c>
      <c r="F7266" t="s">
        <v>60</v>
      </c>
      <c r="G7266">
        <v>0</v>
      </c>
      <c r="H7266">
        <v>0</v>
      </c>
      <c r="I7266">
        <v>0</v>
      </c>
      <c r="J7266">
        <v>-188.95859999999999</v>
      </c>
      <c r="K7266">
        <v>1.1138399999999999</v>
      </c>
      <c r="L7266">
        <v>-29.76352</v>
      </c>
      <c r="M7266">
        <v>0.1601697</v>
      </c>
      <c r="N7266">
        <v>-8.9357599999999992E-3</v>
      </c>
      <c r="O7266">
        <v>0.98704899999999995</v>
      </c>
      <c r="P7266">
        <v>-6.2050149999999998E-2</v>
      </c>
      <c r="Q7266">
        <v>0.39460040000000002</v>
      </c>
      <c r="R7266">
        <v>0.91675530000000005</v>
      </c>
      <c r="S7266">
        <v>-0.42623899999999998</v>
      </c>
      <c r="T7266">
        <v>1.608619</v>
      </c>
      <c r="U7266">
        <v>2.551758</v>
      </c>
      <c r="V7266">
        <v>-0.21159459999999999</v>
      </c>
      <c r="W7266">
        <v>0.40075169999999999</v>
      </c>
      <c r="X7266">
        <v>0.89141789999999999</v>
      </c>
      <c r="Y7266">
        <v>-0.29674109999999998</v>
      </c>
      <c r="Z7266">
        <v>0.51607269999999905</v>
      </c>
      <c r="AA7266">
        <v>0.80350100000000002</v>
      </c>
      <c r="AB7266">
        <v>34</v>
      </c>
      <c r="AC7266">
        <v>-0.42623899999999998</v>
      </c>
      <c r="AD7266">
        <v>1.608619</v>
      </c>
      <c r="AE7266">
        <v>2.551758</v>
      </c>
      <c r="AF7266">
        <v>-0.598196128752292</v>
      </c>
      <c r="AG7266">
        <v>1.608619</v>
      </c>
      <c r="AH7266">
        <v>1.76728358457821</v>
      </c>
      <c r="AI7266">
        <v>49.233062749252198</v>
      </c>
      <c r="AJ7266">
        <v>108.70010582236699</v>
      </c>
      <c r="AK7266">
        <v>2.4634904026472002</v>
      </c>
      <c r="AL7266">
        <v>66.374821617598101</v>
      </c>
      <c r="AM7266">
        <v>103.35309040561501</v>
      </c>
      <c r="AN7266">
        <v>1.00000003612122</v>
      </c>
    </row>
    <row r="7267" spans="1:40" x14ac:dyDescent="0.25">
      <c r="A7267" t="str">
        <f>"20190304165024905"</f>
        <v>20190304165024905</v>
      </c>
      <c r="B7267" t="str">
        <f>"1551689424902233"</f>
        <v>1551689424902233</v>
      </c>
      <c r="C7267" t="s">
        <v>40</v>
      </c>
      <c r="D7267">
        <v>4.0873980000000003</v>
      </c>
      <c r="E7267">
        <v>0.46626519999999999</v>
      </c>
      <c r="F7267" t="s">
        <v>60</v>
      </c>
      <c r="G7267">
        <v>0</v>
      </c>
      <c r="H7267">
        <v>0</v>
      </c>
      <c r="I7267">
        <v>0</v>
      </c>
      <c r="J7267">
        <v>-188.9075</v>
      </c>
      <c r="K7267">
        <v>1.1138520000000001</v>
      </c>
      <c r="L7267">
        <v>-29.42606</v>
      </c>
      <c r="M7267">
        <v>0.15631289999999901</v>
      </c>
      <c r="N7267">
        <v>-8.9623229999999995E-3</v>
      </c>
      <c r="O7267">
        <v>0.98766690000000001</v>
      </c>
      <c r="P7267">
        <v>-6.4911280000000002E-2</v>
      </c>
      <c r="Q7267">
        <v>0.39366020000000002</v>
      </c>
      <c r="R7267">
        <v>0.91696140000000004</v>
      </c>
      <c r="S7267">
        <v>-0.42979430000000002</v>
      </c>
      <c r="T7267">
        <v>1.610916</v>
      </c>
      <c r="U7267">
        <v>2.5499269999999998</v>
      </c>
      <c r="V7267">
        <v>-0.2109634</v>
      </c>
      <c r="W7267">
        <v>0.39983760000000002</v>
      </c>
      <c r="X7267">
        <v>0.89197780000000004</v>
      </c>
      <c r="Y7267">
        <v>-0.29411549999999997</v>
      </c>
      <c r="Z7267">
        <v>0.51751859999999905</v>
      </c>
      <c r="AA7267">
        <v>0.80353629999999998</v>
      </c>
      <c r="AB7267">
        <v>35</v>
      </c>
      <c r="AC7267">
        <v>-0.42979430000000002</v>
      </c>
      <c r="AD7267">
        <v>1.610916</v>
      </c>
      <c r="AE7267">
        <v>2.5499269999999998</v>
      </c>
      <c r="AF7267">
        <v>-0.59298573115880304</v>
      </c>
      <c r="AG7267">
        <v>1.610916</v>
      </c>
      <c r="AH7267">
        <v>1.76602937225229</v>
      </c>
      <c r="AI7267">
        <v>49.149249849165699</v>
      </c>
      <c r="AJ7267">
        <v>108.560682844349</v>
      </c>
      <c r="AK7267">
        <v>2.46283214614227</v>
      </c>
      <c r="AL7267">
        <v>66.431974263588998</v>
      </c>
      <c r="AM7267">
        <v>103.306617640985</v>
      </c>
      <c r="AN7267">
        <v>1.00000002910307</v>
      </c>
    </row>
    <row r="7268" spans="1:40" x14ac:dyDescent="0.25">
      <c r="A7268" t="str">
        <f>"20190304165024927"</f>
        <v>20190304165024927</v>
      </c>
      <c r="B7268" t="str">
        <f>"1551689424922728"</f>
        <v>1551689424922728</v>
      </c>
      <c r="C7268" t="s">
        <v>40</v>
      </c>
      <c r="D7268">
        <v>3.7279110000000002</v>
      </c>
      <c r="E7268">
        <v>0.47891509999999998</v>
      </c>
      <c r="F7268" t="s">
        <v>60</v>
      </c>
      <c r="G7268">
        <v>0</v>
      </c>
      <c r="H7268">
        <v>0</v>
      </c>
      <c r="I7268">
        <v>0</v>
      </c>
      <c r="J7268">
        <v>-188.85900000000001</v>
      </c>
      <c r="K7268">
        <v>1.113864</v>
      </c>
      <c r="L7268">
        <v>-29.09732</v>
      </c>
      <c r="M7268">
        <v>0.15256110000000001</v>
      </c>
      <c r="N7268">
        <v>-8.9914309999999994E-3</v>
      </c>
      <c r="O7268">
        <v>0.9882531</v>
      </c>
      <c r="P7268">
        <v>-6.7717159999999998E-2</v>
      </c>
      <c r="Q7268">
        <v>0.3927042</v>
      </c>
      <c r="R7268">
        <v>0.91716839999999999</v>
      </c>
      <c r="S7268">
        <v>-0.43405149999999998</v>
      </c>
      <c r="T7268">
        <v>1.611297</v>
      </c>
      <c r="U7268">
        <v>2.549194</v>
      </c>
      <c r="V7268">
        <v>-0.21037030000000001</v>
      </c>
      <c r="W7268">
        <v>0.39891120000000002</v>
      </c>
      <c r="X7268">
        <v>0.89253249999999995</v>
      </c>
      <c r="Y7268">
        <v>-0.29181279999999998</v>
      </c>
      <c r="Z7268">
        <v>0.51831879999999997</v>
      </c>
      <c r="AA7268">
        <v>0.80386000000000002</v>
      </c>
      <c r="AB7268">
        <v>35</v>
      </c>
      <c r="AC7268">
        <v>-0.43405149999999998</v>
      </c>
      <c r="AD7268">
        <v>1.611297</v>
      </c>
      <c r="AE7268">
        <v>2.549194</v>
      </c>
      <c r="AF7268">
        <v>-0.589146110073963</v>
      </c>
      <c r="AG7268">
        <v>1.611297</v>
      </c>
      <c r="AH7268">
        <v>1.7670405204750801</v>
      </c>
      <c r="AI7268">
        <v>49.138597952372699</v>
      </c>
      <c r="AJ7268">
        <v>108.438818395711</v>
      </c>
      <c r="AK7268">
        <v>2.46288517032872</v>
      </c>
      <c r="AL7268">
        <v>66.489870937631693</v>
      </c>
      <c r="AM7268">
        <v>103.26257701653201</v>
      </c>
      <c r="AN7268">
        <v>1.0000000360818799</v>
      </c>
    </row>
    <row r="7269" spans="1:40" x14ac:dyDescent="0.25">
      <c r="A7269" t="str">
        <f>"20190304165024952"</f>
        <v>20190304165024952</v>
      </c>
      <c r="B7269" t="str">
        <f>"1551689424942249"</f>
        <v>1551689424942249</v>
      </c>
      <c r="C7269" t="s">
        <v>40</v>
      </c>
      <c r="D7269">
        <v>3.7076889999999998</v>
      </c>
      <c r="E7269">
        <v>0.50191490000000005</v>
      </c>
      <c r="F7269" t="s">
        <v>60</v>
      </c>
      <c r="G7269">
        <v>0</v>
      </c>
      <c r="H7269">
        <v>0</v>
      </c>
      <c r="I7269">
        <v>0</v>
      </c>
      <c r="J7269">
        <v>-188.804</v>
      </c>
      <c r="K7269">
        <v>1.113869</v>
      </c>
      <c r="L7269">
        <v>-28.714079999999999</v>
      </c>
      <c r="M7269">
        <v>0.14820359999999999</v>
      </c>
      <c r="N7269">
        <v>-9.0297260000000001E-3</v>
      </c>
      <c r="O7269">
        <v>0.98891569999999995</v>
      </c>
      <c r="P7269">
        <v>-7.0615079999999997E-2</v>
      </c>
      <c r="Q7269">
        <v>0.39280579999999998</v>
      </c>
      <c r="R7269">
        <v>0.91690629999999995</v>
      </c>
      <c r="S7269">
        <v>-0.33946229999999999</v>
      </c>
      <c r="T7269">
        <v>1.6423140000000001</v>
      </c>
      <c r="U7269">
        <v>2.542694</v>
      </c>
      <c r="V7269">
        <v>-0.209255</v>
      </c>
      <c r="W7269">
        <v>0.39905420000000003</v>
      </c>
      <c r="X7269">
        <v>0.89273069999999899</v>
      </c>
      <c r="Y7269">
        <v>-0.2575789</v>
      </c>
      <c r="Z7269">
        <v>0.53051289999999995</v>
      </c>
      <c r="AA7269">
        <v>0.807594699999999</v>
      </c>
      <c r="AB7269">
        <v>35</v>
      </c>
      <c r="AC7269">
        <v>-0.33946229999999999</v>
      </c>
      <c r="AD7269">
        <v>1.6423140000000001</v>
      </c>
      <c r="AE7269">
        <v>2.542694</v>
      </c>
      <c r="AF7269">
        <v>-0.50540997834912404</v>
      </c>
      <c r="AG7269">
        <v>1.6423140000000001</v>
      </c>
      <c r="AH7269">
        <v>1.7478857318438299</v>
      </c>
      <c r="AI7269">
        <v>47.929855673427099</v>
      </c>
      <c r="AJ7269">
        <v>106.127492231373</v>
      </c>
      <c r="AK7269">
        <v>2.4510689611665502</v>
      </c>
      <c r="AL7269">
        <v>66.480934894060994</v>
      </c>
      <c r="AM7269">
        <v>103.191903046253</v>
      </c>
      <c r="AN7269">
        <v>1.00000000614256</v>
      </c>
    </row>
    <row r="7270" spans="1:40" x14ac:dyDescent="0.25">
      <c r="A7270" t="str">
        <f>"20190304165024974"</f>
        <v>20190304165024974</v>
      </c>
      <c r="B7270" t="str">
        <f>"1551689424962744"</f>
        <v>1551689424962744</v>
      </c>
      <c r="C7270" t="s">
        <v>40</v>
      </c>
      <c r="D7270">
        <v>3.6834250000000002</v>
      </c>
      <c r="E7270">
        <v>0.52626499999999998</v>
      </c>
      <c r="F7270" t="s">
        <v>60</v>
      </c>
      <c r="G7270">
        <v>0</v>
      </c>
      <c r="H7270">
        <v>0</v>
      </c>
      <c r="I7270">
        <v>0</v>
      </c>
      <c r="J7270">
        <v>-188.7567</v>
      </c>
      <c r="K7270">
        <v>1.1138709999999901</v>
      </c>
      <c r="L7270">
        <v>-28.374359999999999</v>
      </c>
      <c r="M7270">
        <v>0.14437159999999999</v>
      </c>
      <c r="N7270">
        <v>-9.0664830000000002E-3</v>
      </c>
      <c r="O7270">
        <v>0.98948199999999997</v>
      </c>
      <c r="P7270">
        <v>-7.2959430000000006E-2</v>
      </c>
      <c r="Q7270">
        <v>0.39325969999999999</v>
      </c>
      <c r="R7270">
        <v>0.91652800000000001</v>
      </c>
      <c r="S7270">
        <v>-0.18867490000000001</v>
      </c>
      <c r="T7270">
        <v>1.295166</v>
      </c>
      <c r="U7270">
        <v>2.7024840000000001</v>
      </c>
      <c r="V7270">
        <v>-0.20804790000000001</v>
      </c>
      <c r="W7270">
        <v>0.39955390000000002</v>
      </c>
      <c r="X7270">
        <v>0.89278930000000001</v>
      </c>
      <c r="Y7270">
        <v>-0.20640220000000001</v>
      </c>
      <c r="Z7270">
        <v>0.4286372</v>
      </c>
      <c r="AA7270">
        <v>0.87958409999999998</v>
      </c>
      <c r="AB7270">
        <v>35</v>
      </c>
      <c r="AC7270">
        <v>-0.18867490000000001</v>
      </c>
      <c r="AD7270">
        <v>1.295166</v>
      </c>
      <c r="AE7270">
        <v>2.7024840000000001</v>
      </c>
      <c r="AF7270">
        <v>-0.46955210504324602</v>
      </c>
      <c r="AG7270">
        <v>1.295166</v>
      </c>
      <c r="AH7270">
        <v>2.15448524659076</v>
      </c>
      <c r="AI7270">
        <v>59.571680317640201</v>
      </c>
      <c r="AJ7270">
        <v>102.294880724194</v>
      </c>
      <c r="AK7270">
        <v>2.5572916972226198</v>
      </c>
      <c r="AL7270">
        <v>66.449706196842001</v>
      </c>
      <c r="AM7270">
        <v>103.11761247116399</v>
      </c>
      <c r="AN7270">
        <v>0.99999999094705405</v>
      </c>
    </row>
    <row r="7271" spans="1:40" x14ac:dyDescent="0.25">
      <c r="A7271" t="str">
        <f>"20190304165024994"</f>
        <v>20190304165024994</v>
      </c>
      <c r="B7271" t="str">
        <f>"1551689424983241"</f>
        <v>1551689424983241</v>
      </c>
      <c r="C7271" t="s">
        <v>40</v>
      </c>
      <c r="D7271">
        <v>3.6595870000000001</v>
      </c>
      <c r="E7271">
        <v>0.53983959999999998</v>
      </c>
      <c r="F7271" t="s">
        <v>58</v>
      </c>
      <c r="G7271">
        <v>-194.2381</v>
      </c>
      <c r="H7271">
        <v>110.30070000000001</v>
      </c>
      <c r="I7271">
        <v>391.87</v>
      </c>
      <c r="J7271">
        <v>-188.714</v>
      </c>
      <c r="K7271">
        <v>1.1138490000000001</v>
      </c>
      <c r="L7271">
        <v>-28.059809999999999</v>
      </c>
      <c r="M7271">
        <v>0.14086899999999999</v>
      </c>
      <c r="N7271">
        <v>-9.103313E-3</v>
      </c>
      <c r="O7271">
        <v>0.98998640000000004</v>
      </c>
      <c r="P7271">
        <v>-7.5381509999999999E-2</v>
      </c>
      <c r="Q7271">
        <v>0.39318700000000001</v>
      </c>
      <c r="R7271">
        <v>0.91636320000000004</v>
      </c>
      <c r="S7271">
        <v>-3.8375850000000003E-2</v>
      </c>
      <c r="T7271">
        <v>0.76442679999999996</v>
      </c>
      <c r="U7271">
        <v>2.9421689999999998</v>
      </c>
      <c r="V7271">
        <v>-0.20723269999999999</v>
      </c>
      <c r="W7271">
        <v>0.39953159999999999</v>
      </c>
      <c r="X7271">
        <v>0.89298889999999997</v>
      </c>
      <c r="Y7271">
        <v>-0.15348519999999999</v>
      </c>
      <c r="Z7271">
        <v>0.25505139999999998</v>
      </c>
      <c r="AA7271">
        <v>0.95466799999999996</v>
      </c>
      <c r="AB7271">
        <v>35</v>
      </c>
      <c r="AC7271">
        <v>-5.5240999999999696</v>
      </c>
      <c r="AD7271">
        <v>109.186851</v>
      </c>
      <c r="AE7271">
        <v>419.92980999999997</v>
      </c>
      <c r="AF7271">
        <v>-60.534731475803902</v>
      </c>
      <c r="AG7271">
        <v>109.186851</v>
      </c>
      <c r="AH7271">
        <v>388.69043538806397</v>
      </c>
      <c r="AI7271">
        <v>74.487284586460603</v>
      </c>
      <c r="AJ7271">
        <v>98.852144438909903</v>
      </c>
      <c r="AK7271">
        <v>408.24805781326899</v>
      </c>
      <c r="AL7271">
        <v>66.451101035068106</v>
      </c>
      <c r="AM7271">
        <v>103.065159985983</v>
      </c>
      <c r="AN7271">
        <v>1.0000000334355199</v>
      </c>
    </row>
    <row r="7272" spans="1:40" x14ac:dyDescent="0.25">
      <c r="A7272" t="str">
        <f>"20190304165025018"</f>
        <v>20190304165025018</v>
      </c>
      <c r="B7272" t="str">
        <f>"1551689425012522"</f>
        <v>1551689425012522</v>
      </c>
      <c r="C7272" t="s">
        <v>40</v>
      </c>
      <c r="D7272">
        <v>3.7515860000000001</v>
      </c>
      <c r="E7272">
        <v>0.53372219999999904</v>
      </c>
      <c r="F7272" t="s">
        <v>58</v>
      </c>
      <c r="G7272">
        <v>-184.9863</v>
      </c>
      <c r="H7272">
        <v>32.901919999999997</v>
      </c>
      <c r="I7272">
        <v>391.87</v>
      </c>
      <c r="J7272">
        <v>-188.6669</v>
      </c>
      <c r="K7272">
        <v>1.113809</v>
      </c>
      <c r="L7272">
        <v>-27.7027</v>
      </c>
      <c r="M7272">
        <v>0.1369746</v>
      </c>
      <c r="N7272">
        <v>-9.1510819999999996E-3</v>
      </c>
      <c r="O7272">
        <v>0.99053230000000003</v>
      </c>
      <c r="P7272">
        <v>-7.9135940000000002E-2</v>
      </c>
      <c r="Q7272">
        <v>0.39165290000000003</v>
      </c>
      <c r="R7272">
        <v>0.91670359999999995</v>
      </c>
      <c r="S7272">
        <v>2.816772E-2</v>
      </c>
      <c r="T7272">
        <v>0.2401963</v>
      </c>
      <c r="U7272">
        <v>3.1730649999999998</v>
      </c>
      <c r="V7272">
        <v>-0.2074183</v>
      </c>
      <c r="W7272">
        <v>0.39806409999999998</v>
      </c>
      <c r="X7272">
        <v>0.89360090000000003</v>
      </c>
      <c r="Y7272">
        <v>-0.12825039999999999</v>
      </c>
      <c r="Z7272">
        <v>8.3219769999999998E-2</v>
      </c>
      <c r="AA7272">
        <v>0.98824409999999896</v>
      </c>
      <c r="AB7272">
        <v>35</v>
      </c>
      <c r="AC7272">
        <v>3.6805999999999899</v>
      </c>
      <c r="AD7272">
        <v>31.788111000000001</v>
      </c>
      <c r="AE7272">
        <v>419.5727</v>
      </c>
      <c r="AF7272">
        <v>-53.520118832147297</v>
      </c>
      <c r="AG7272">
        <v>31.788111000000001</v>
      </c>
      <c r="AH7272">
        <v>413.74713702353</v>
      </c>
      <c r="AI7272">
        <v>85.642768637986407</v>
      </c>
      <c r="AJ7272">
        <v>97.370548180728207</v>
      </c>
      <c r="AK7272">
        <v>418.40360958758902</v>
      </c>
      <c r="AL7272">
        <v>66.542787667199505</v>
      </c>
      <c r="AM7272">
        <v>103.067811138658</v>
      </c>
      <c r="AN7272">
        <v>0.99999997368225402</v>
      </c>
    </row>
    <row r="7273" spans="1:40" x14ac:dyDescent="0.25">
      <c r="A7273" t="str">
        <f>"20190304165025039"</f>
        <v>20190304165025039</v>
      </c>
      <c r="B7273" t="str">
        <f>"1551689425033017"</f>
        <v>1551689425033017</v>
      </c>
      <c r="C7273" t="s">
        <v>40</v>
      </c>
      <c r="D7273">
        <v>3.792198</v>
      </c>
      <c r="E7273">
        <v>0.53328819999999999</v>
      </c>
      <c r="F7273" t="s">
        <v>42</v>
      </c>
      <c r="G7273">
        <v>-188.85429999999999</v>
      </c>
      <c r="H7273" s="1">
        <v>-8.0582709999999897E-7</v>
      </c>
      <c r="I7273">
        <v>-18.96255</v>
      </c>
      <c r="J7273">
        <v>-188.62309999999999</v>
      </c>
      <c r="K7273">
        <v>1.113767</v>
      </c>
      <c r="L7273">
        <v>-27.360810000000001</v>
      </c>
      <c r="M7273">
        <v>0.1333482</v>
      </c>
      <c r="N7273">
        <v>-9.2027910000000001E-3</v>
      </c>
      <c r="O7273">
        <v>0.99102650000000003</v>
      </c>
      <c r="P7273">
        <v>-8.2249080000000002E-2</v>
      </c>
      <c r="Q7273">
        <v>0.3916945</v>
      </c>
      <c r="R7273">
        <v>0.9164118</v>
      </c>
      <c r="S7273">
        <v>-7.403564E-2</v>
      </c>
      <c r="T7273">
        <v>-0.4402006</v>
      </c>
      <c r="U7273">
        <v>3.454285</v>
      </c>
      <c r="V7273">
        <v>-0.20712130000000001</v>
      </c>
      <c r="W7273">
        <v>0.39818530000000002</v>
      </c>
      <c r="X7273">
        <v>0.89361579999999996</v>
      </c>
      <c r="Y7273">
        <v>-0.15431339999999999</v>
      </c>
      <c r="Z7273">
        <v>-0.1148049</v>
      </c>
      <c r="AA7273">
        <v>0.98132929999999996</v>
      </c>
      <c r="AB7273">
        <v>35</v>
      </c>
      <c r="AC7273">
        <v>-0.23120000000000099</v>
      </c>
      <c r="AD7273">
        <v>-1.1137678058271001</v>
      </c>
      <c r="AE7273">
        <v>8.3982599999999898</v>
      </c>
      <c r="AF7273">
        <v>-1.3257755656561701</v>
      </c>
      <c r="AG7273">
        <v>-1.1137678058271001</v>
      </c>
      <c r="AH7273">
        <v>8.1492017264481795</v>
      </c>
      <c r="AI7273">
        <v>97.682734664553806</v>
      </c>
      <c r="AJ7273">
        <v>99.240368329567502</v>
      </c>
      <c r="AK7273">
        <v>8.3311252753835099</v>
      </c>
      <c r="AL7273">
        <v>66.535217819515694</v>
      </c>
      <c r="AM7273">
        <v>103.049530205913</v>
      </c>
      <c r="AN7273">
        <v>0.99999998202970997</v>
      </c>
    </row>
    <row r="7274" spans="1:40" x14ac:dyDescent="0.25">
      <c r="A7274" t="str">
        <f>"20190304165025061"</f>
        <v>20190304165025061</v>
      </c>
      <c r="B7274" t="str">
        <f>"1551689425052537"</f>
        <v>1551689425052537</v>
      </c>
      <c r="C7274" t="s">
        <v>40</v>
      </c>
      <c r="D7274">
        <v>3.846889</v>
      </c>
      <c r="E7274">
        <v>0.53252630000000001</v>
      </c>
      <c r="F7274" t="s">
        <v>42</v>
      </c>
      <c r="G7274">
        <v>-188.8467</v>
      </c>
      <c r="H7274" s="1">
        <v>-1.0420769999999999E-6</v>
      </c>
      <c r="I7274">
        <v>-18.41499</v>
      </c>
      <c r="J7274">
        <v>-188.5822</v>
      </c>
      <c r="K7274">
        <v>1.1137030000000001</v>
      </c>
      <c r="L7274">
        <v>-27.033259999999999</v>
      </c>
      <c r="M7274">
        <v>0.12996189999999999</v>
      </c>
      <c r="N7274">
        <v>-9.2545930000000002E-3</v>
      </c>
      <c r="O7274">
        <v>0.99147580000000002</v>
      </c>
      <c r="P7274">
        <v>-8.4407750000000004E-2</v>
      </c>
      <c r="Q7274">
        <v>0.3911462</v>
      </c>
      <c r="R7274">
        <v>0.91644970000000003</v>
      </c>
      <c r="S7274">
        <v>-8.6196899999999896E-2</v>
      </c>
      <c r="T7274">
        <v>-0.4294635</v>
      </c>
      <c r="U7274">
        <v>3.4494630000000002</v>
      </c>
      <c r="V7274">
        <v>-0.20613200000000001</v>
      </c>
      <c r="W7274">
        <v>0.39772849999999998</v>
      </c>
      <c r="X7274">
        <v>0.89404789999999901</v>
      </c>
      <c r="Y7274">
        <v>-0.1544355</v>
      </c>
      <c r="Z7274">
        <v>-0.1120148</v>
      </c>
      <c r="AA7274">
        <v>0.98163250000000002</v>
      </c>
      <c r="AB7274">
        <v>35</v>
      </c>
      <c r="AC7274">
        <v>-0.26449999999999801</v>
      </c>
      <c r="AD7274">
        <v>-1.1137040420769999</v>
      </c>
      <c r="AE7274">
        <v>8.6182699999999901</v>
      </c>
      <c r="AF7274">
        <v>-1.35966710671705</v>
      </c>
      <c r="AG7274">
        <v>-1.1137040420769999</v>
      </c>
      <c r="AH7274">
        <v>8.3711347643024592</v>
      </c>
      <c r="AI7274">
        <v>97.481276779599</v>
      </c>
      <c r="AJ7274">
        <v>99.225603154475394</v>
      </c>
      <c r="AK7274">
        <v>8.5536500148498096</v>
      </c>
      <c r="AL7274">
        <v>66.563747472368405</v>
      </c>
      <c r="AM7274">
        <v>102.98325360675101</v>
      </c>
      <c r="AN7274">
        <v>1.0000000043153201</v>
      </c>
    </row>
    <row r="7275" spans="1:40" x14ac:dyDescent="0.25">
      <c r="A7275" t="str">
        <f>"20190304165025084"</f>
        <v>20190304165025084</v>
      </c>
      <c r="B7275" t="str">
        <f>"1551689425073033"</f>
        <v>1551689425073033</v>
      </c>
      <c r="C7275" t="s">
        <v>40</v>
      </c>
      <c r="D7275">
        <v>3.8361679999999998</v>
      </c>
      <c r="E7275">
        <v>0.53202340000000004</v>
      </c>
      <c r="F7275" t="s">
        <v>42</v>
      </c>
      <c r="G7275">
        <v>-188.84950000000001</v>
      </c>
      <c r="H7275" s="1">
        <v>-1.2475779999999999E-6</v>
      </c>
      <c r="I7275">
        <v>-17.93478</v>
      </c>
      <c r="J7275">
        <v>-188.53890000000001</v>
      </c>
      <c r="K7275">
        <v>1.1136219999999999</v>
      </c>
      <c r="L7275">
        <v>-26.676819999999999</v>
      </c>
      <c r="M7275">
        <v>0.12640419999999999</v>
      </c>
      <c r="N7275">
        <v>-9.3165369999999997E-3</v>
      </c>
      <c r="O7275">
        <v>0.99193509999999996</v>
      </c>
      <c r="P7275">
        <v>-8.7024019999999994E-2</v>
      </c>
      <c r="Q7275">
        <v>0.38992169999999998</v>
      </c>
      <c r="R7275">
        <v>0.91672679999999995</v>
      </c>
      <c r="S7275">
        <v>-0.10118099999999999</v>
      </c>
      <c r="T7275">
        <v>-0.42157939999999999</v>
      </c>
      <c r="U7275">
        <v>3.4441220000000001</v>
      </c>
      <c r="V7275">
        <v>-0.2054491</v>
      </c>
      <c r="W7275">
        <v>0.39661299999999999</v>
      </c>
      <c r="X7275">
        <v>0.8947003</v>
      </c>
      <c r="Y7275">
        <v>-0.15520410000000001</v>
      </c>
      <c r="Z7275">
        <v>-0.1100073</v>
      </c>
      <c r="AA7275">
        <v>0.98173829999999995</v>
      </c>
      <c r="AB7275">
        <v>35</v>
      </c>
      <c r="AC7275">
        <v>-0.31059999999999299</v>
      </c>
      <c r="AD7275">
        <v>-1.1136232475779999</v>
      </c>
      <c r="AE7275">
        <v>8.7420399999999994</v>
      </c>
      <c r="AF7275">
        <v>-1.39064863524723</v>
      </c>
      <c r="AG7275">
        <v>-1.1136232475779999</v>
      </c>
      <c r="AH7275">
        <v>8.4949714093538997</v>
      </c>
      <c r="AI7275">
        <v>97.371415668918601</v>
      </c>
      <c r="AJ7275">
        <v>99.297002872004498</v>
      </c>
      <c r="AK7275">
        <v>8.6797810807647302</v>
      </c>
      <c r="AL7275">
        <v>66.633387134682707</v>
      </c>
      <c r="AM7275">
        <v>102.93257198798599</v>
      </c>
      <c r="AN7275">
        <v>0.99999991563994595</v>
      </c>
    </row>
    <row r="7276" spans="1:40" x14ac:dyDescent="0.25">
      <c r="A7276" t="str">
        <f>"20190304165025107"</f>
        <v>20190304165025107</v>
      </c>
      <c r="B7276" t="str">
        <f>"1551689425092553"</f>
        <v>1551689425092553</v>
      </c>
      <c r="C7276" t="s">
        <v>40</v>
      </c>
      <c r="D7276">
        <v>3.8590200000000001</v>
      </c>
      <c r="E7276">
        <v>0.53172359999999996</v>
      </c>
      <c r="F7276" t="s">
        <v>42</v>
      </c>
      <c r="G7276">
        <v>-188.8391</v>
      </c>
      <c r="H7276" s="1">
        <v>-1.4127409999999999E-6</v>
      </c>
      <c r="I7276">
        <v>-17.554089999999999</v>
      </c>
      <c r="J7276">
        <v>-188.49760000000001</v>
      </c>
      <c r="K7276">
        <v>1.1135280000000001</v>
      </c>
      <c r="L7276">
        <v>-26.327670000000001</v>
      </c>
      <c r="M7276">
        <v>0.1230733</v>
      </c>
      <c r="N7276">
        <v>-9.3871049999999998E-3</v>
      </c>
      <c r="O7276">
        <v>0.99235320000000005</v>
      </c>
      <c r="P7276">
        <v>-8.9882320000000002E-2</v>
      </c>
      <c r="Q7276">
        <v>0.38869749999999997</v>
      </c>
      <c r="R7276">
        <v>0.91697079999999997</v>
      </c>
      <c r="S7276">
        <v>-0.11322019999999999</v>
      </c>
      <c r="T7276">
        <v>-0.41997390000000001</v>
      </c>
      <c r="U7276">
        <v>3.4403990000000002</v>
      </c>
      <c r="V7276">
        <v>-0.2051933</v>
      </c>
      <c r="W7276">
        <v>0.39550829999999998</v>
      </c>
      <c r="X7276">
        <v>0.89524789999999999</v>
      </c>
      <c r="Y7276">
        <v>-0.15535189999999999</v>
      </c>
      <c r="Z7276">
        <v>-0.1096821</v>
      </c>
      <c r="AA7276">
        <v>0.98175129999999999</v>
      </c>
      <c r="AB7276">
        <v>35</v>
      </c>
      <c r="AC7276">
        <v>-0.34149999999999597</v>
      </c>
      <c r="AD7276">
        <v>-1.113529412741</v>
      </c>
      <c r="AE7276">
        <v>8.7735800000000008</v>
      </c>
      <c r="AF7276">
        <v>-1.3962867694552801</v>
      </c>
      <c r="AG7276">
        <v>-1.113529412741</v>
      </c>
      <c r="AH7276">
        <v>8.52768362263817</v>
      </c>
      <c r="AI7276">
        <v>97.342797686300599</v>
      </c>
      <c r="AJ7276">
        <v>99.298855054939594</v>
      </c>
      <c r="AK7276">
        <v>8.7126891637086707</v>
      </c>
      <c r="AL7276">
        <v>66.702319668347997</v>
      </c>
      <c r="AM7276">
        <v>102.909374099459</v>
      </c>
      <c r="AN7276">
        <v>0.99999995409409403</v>
      </c>
    </row>
    <row r="7277" spans="1:40" x14ac:dyDescent="0.25">
      <c r="A7277" t="str">
        <f>"20190304165025127"</f>
        <v>20190304165025127</v>
      </c>
      <c r="B7277" t="str">
        <f>"1551689425122809"</f>
        <v>1551689425122809</v>
      </c>
      <c r="C7277" t="s">
        <v>40</v>
      </c>
      <c r="D7277">
        <v>3.8879700000000001</v>
      </c>
      <c r="E7277">
        <v>0.53159309999999904</v>
      </c>
      <c r="F7277" t="s">
        <v>42</v>
      </c>
      <c r="G7277">
        <v>-188.8279</v>
      </c>
      <c r="H7277" s="1">
        <v>-1.5640340000000001E-6</v>
      </c>
      <c r="I7277">
        <v>-17.206039999999899</v>
      </c>
      <c r="J7277">
        <v>-188.45949999999999</v>
      </c>
      <c r="K7277">
        <v>1.1134219999999999</v>
      </c>
      <c r="L7277">
        <v>-25.998660000000001</v>
      </c>
      <c r="M7277">
        <v>0.1200913</v>
      </c>
      <c r="N7277">
        <v>-9.4633559999999992E-3</v>
      </c>
      <c r="O7277">
        <v>0.99271770000000004</v>
      </c>
      <c r="P7277">
        <v>-9.2286199999999999E-2</v>
      </c>
      <c r="Q7277">
        <v>0.38744830000000002</v>
      </c>
      <c r="R7277">
        <v>0.91726059999999998</v>
      </c>
      <c r="S7277">
        <v>-0.1244965</v>
      </c>
      <c r="T7277">
        <v>-0.41961310000000002</v>
      </c>
      <c r="U7277">
        <v>3.4373170000000002</v>
      </c>
      <c r="V7277">
        <v>-0.2047967</v>
      </c>
      <c r="W7277">
        <v>0.39439079999999999</v>
      </c>
      <c r="X7277">
        <v>0.89583159999999895</v>
      </c>
      <c r="Y7277">
        <v>-0.15562909999999999</v>
      </c>
      <c r="Z7277">
        <v>-0.109665899999999</v>
      </c>
      <c r="AA7277">
        <v>0.98170919999999895</v>
      </c>
      <c r="AB7277">
        <v>35</v>
      </c>
      <c r="AC7277">
        <v>-0.368400000000008</v>
      </c>
      <c r="AD7277">
        <v>-1.113423564034</v>
      </c>
      <c r="AE7277">
        <v>8.7926199999999994</v>
      </c>
      <c r="AF7277">
        <v>-1.39929887135449</v>
      </c>
      <c r="AG7277">
        <v>-1.113423564034</v>
      </c>
      <c r="AH7277">
        <v>8.5479068696092497</v>
      </c>
      <c r="AI7277">
        <v>97.324966142247206</v>
      </c>
      <c r="AJ7277">
        <v>99.296902114987901</v>
      </c>
      <c r="AK7277">
        <v>8.73295260583917</v>
      </c>
      <c r="AL7277">
        <v>66.772015342120497</v>
      </c>
      <c r="AM7277">
        <v>102.87714056863599</v>
      </c>
      <c r="AN7277">
        <v>1.0000000235070401</v>
      </c>
    </row>
    <row r="7278" spans="1:40" x14ac:dyDescent="0.25">
      <c r="A7278" t="str">
        <f>"20190304165025152"</f>
        <v>20190304165025152</v>
      </c>
      <c r="B7278" t="str">
        <f>"1551689425142329"</f>
        <v>1551689425142329</v>
      </c>
      <c r="C7278" t="s">
        <v>40</v>
      </c>
      <c r="D7278">
        <v>3.9354969999999998</v>
      </c>
      <c r="E7278">
        <v>0.53166169999999902</v>
      </c>
      <c r="F7278" t="s">
        <v>42</v>
      </c>
      <c r="G7278">
        <v>-188.81630000000001</v>
      </c>
      <c r="H7278" s="1">
        <v>-1.7113259999999999E-6</v>
      </c>
      <c r="I7278">
        <v>-16.867519999999999</v>
      </c>
      <c r="J7278">
        <v>-188.41650000000001</v>
      </c>
      <c r="K7278">
        <v>1.1132839999999999</v>
      </c>
      <c r="L7278">
        <v>-25.61731</v>
      </c>
      <c r="M7278">
        <v>0.11683250000000001</v>
      </c>
      <c r="N7278">
        <v>-9.56597E-3</v>
      </c>
      <c r="O7278">
        <v>0.99310549999999997</v>
      </c>
      <c r="P7278">
        <v>-9.4320929999999997E-2</v>
      </c>
      <c r="Q7278">
        <v>0.38699040000000001</v>
      </c>
      <c r="R7278">
        <v>0.91724689999999998</v>
      </c>
      <c r="S7278">
        <v>-0.13415529999999901</v>
      </c>
      <c r="T7278">
        <v>-0.41873090000000002</v>
      </c>
      <c r="U7278">
        <v>3.4339900000000001</v>
      </c>
      <c r="V7278">
        <v>-0.20371819999999999</v>
      </c>
      <c r="W7278">
        <v>0.39410919999999999</v>
      </c>
      <c r="X7278">
        <v>0.89620140000000004</v>
      </c>
      <c r="Y7278">
        <v>-0.15517929999999999</v>
      </c>
      <c r="Z7278">
        <v>-0.1094976</v>
      </c>
      <c r="AA7278">
        <v>0.98179919999999998</v>
      </c>
      <c r="AB7278">
        <v>35</v>
      </c>
      <c r="AC7278">
        <v>-0.39979999999999899</v>
      </c>
      <c r="AD7278">
        <v>-1.113285711326</v>
      </c>
      <c r="AE7278">
        <v>8.7497899999999902</v>
      </c>
      <c r="AF7278">
        <v>-1.3968028274086399</v>
      </c>
      <c r="AG7278">
        <v>-1.113285711326</v>
      </c>
      <c r="AH7278">
        <v>8.5057390644101503</v>
      </c>
      <c r="AI7278">
        <v>97.359379383099906</v>
      </c>
      <c r="AJ7278">
        <v>99.325810160396003</v>
      </c>
      <c r="AK7278">
        <v>8.6912634435697704</v>
      </c>
      <c r="AL7278">
        <v>66.789572700244605</v>
      </c>
      <c r="AM7278">
        <v>102.806458417524</v>
      </c>
      <c r="AN7278">
        <v>1.0000000579489099</v>
      </c>
    </row>
    <row r="7279" spans="1:40" x14ac:dyDescent="0.25">
      <c r="A7279" t="str">
        <f>"20190304165025174"</f>
        <v>20190304165025174</v>
      </c>
      <c r="B7279" t="str">
        <f>"1551689425162825"</f>
        <v>1551689425162825</v>
      </c>
      <c r="C7279" t="s">
        <v>40</v>
      </c>
      <c r="D7279">
        <v>3.9552969999999998</v>
      </c>
      <c r="E7279">
        <v>0.53467679999999995</v>
      </c>
      <c r="F7279" t="s">
        <v>42</v>
      </c>
      <c r="G7279">
        <v>-188.7961</v>
      </c>
      <c r="H7279" s="1">
        <v>-1.9174629999999999E-6</v>
      </c>
      <c r="I7279">
        <v>-16.39536</v>
      </c>
      <c r="J7279">
        <v>-188.37880000000001</v>
      </c>
      <c r="K7279">
        <v>1.1131530000000001</v>
      </c>
      <c r="L7279">
        <v>-25.27478</v>
      </c>
      <c r="M7279">
        <v>0.1140974</v>
      </c>
      <c r="N7279">
        <v>-9.6732880000000004E-3</v>
      </c>
      <c r="O7279">
        <v>0.99342240000000004</v>
      </c>
      <c r="P7279">
        <v>-9.5746399999999995E-2</v>
      </c>
      <c r="Q7279">
        <v>0.38599539999999999</v>
      </c>
      <c r="R7279">
        <v>0.91751850000000001</v>
      </c>
      <c r="S7279">
        <v>-0.14120479999999899</v>
      </c>
      <c r="T7279">
        <v>-0.41417999999999999</v>
      </c>
      <c r="U7279">
        <v>3.4308779999999999</v>
      </c>
      <c r="V7279">
        <v>-0.20254169999999999</v>
      </c>
      <c r="W7279">
        <v>0.39329599999999998</v>
      </c>
      <c r="X7279">
        <v>0.89682499999999998</v>
      </c>
      <c r="Y7279">
        <v>-0.15451409999999999</v>
      </c>
      <c r="Z7279">
        <v>-0.1082775</v>
      </c>
      <c r="AA7279">
        <v>0.98203940000000001</v>
      </c>
      <c r="AB7279">
        <v>35</v>
      </c>
      <c r="AC7279">
        <v>-0.41729999999998302</v>
      </c>
      <c r="AD7279">
        <v>-1.113154917463</v>
      </c>
      <c r="AE7279">
        <v>8.8794199999999996</v>
      </c>
      <c r="AF7279">
        <v>-1.4056975506269</v>
      </c>
      <c r="AG7279">
        <v>-1.113154917463</v>
      </c>
      <c r="AH7279">
        <v>8.6383518743455596</v>
      </c>
      <c r="AI7279">
        <v>97.248471633187293</v>
      </c>
      <c r="AJ7279">
        <v>99.242586174607894</v>
      </c>
      <c r="AK7279">
        <v>8.8224839234265495</v>
      </c>
      <c r="AL7279">
        <v>66.840257319353398</v>
      </c>
      <c r="AM7279">
        <v>102.726351276736</v>
      </c>
      <c r="AN7279">
        <v>0.99999998223994402</v>
      </c>
    </row>
    <row r="7280" spans="1:40" x14ac:dyDescent="0.25">
      <c r="A7280" t="str">
        <f>"20190304165025196"</f>
        <v>20190304165025196</v>
      </c>
      <c r="B7280" t="str">
        <f>"1551689425193081"</f>
        <v>1551689425193081</v>
      </c>
      <c r="C7280" t="s">
        <v>40</v>
      </c>
      <c r="D7280">
        <v>3.954977</v>
      </c>
      <c r="E7280">
        <v>0.53597609999999996</v>
      </c>
      <c r="F7280" t="s">
        <v>42</v>
      </c>
      <c r="G7280">
        <v>-188.83080000000001</v>
      </c>
      <c r="H7280" s="1">
        <v>-3.8192870000000003E-6</v>
      </c>
      <c r="I7280">
        <v>-11.947800000000001</v>
      </c>
      <c r="J7280">
        <v>-188.34190000000001</v>
      </c>
      <c r="K7280">
        <v>1.113024</v>
      </c>
      <c r="L7280">
        <v>-24.932559999999999</v>
      </c>
      <c r="M7280">
        <v>0.11154650000000001</v>
      </c>
      <c r="N7280">
        <v>-9.7946920000000007E-3</v>
      </c>
      <c r="O7280">
        <v>0.99371089999999995</v>
      </c>
      <c r="P7280">
        <v>-9.6352220000000002E-2</v>
      </c>
      <c r="Q7280">
        <v>0.38442219999999999</v>
      </c>
      <c r="R7280">
        <v>0.91811529999999997</v>
      </c>
      <c r="S7280">
        <v>-0.1145172</v>
      </c>
      <c r="T7280">
        <v>-0.28201690000000001</v>
      </c>
      <c r="U7280">
        <v>3.3763730000000001</v>
      </c>
      <c r="V7280">
        <v>-0.2007458</v>
      </c>
      <c r="W7280">
        <v>0.39192549999999998</v>
      </c>
      <c r="X7280">
        <v>0.89782819999999997</v>
      </c>
      <c r="Y7280">
        <v>-0.14501639999999999</v>
      </c>
      <c r="Z7280">
        <v>-7.2211120000000004E-2</v>
      </c>
      <c r="AA7280">
        <v>0.98679070000000002</v>
      </c>
      <c r="AB7280">
        <v>35</v>
      </c>
      <c r="AC7280">
        <v>-0.488900000000001</v>
      </c>
      <c r="AD7280">
        <v>-1.113027819287</v>
      </c>
      <c r="AE7280">
        <v>12.98476</v>
      </c>
      <c r="AF7280">
        <v>-1.9202335730364199</v>
      </c>
      <c r="AG7280">
        <v>-1.113027819287</v>
      </c>
      <c r="AH7280">
        <v>12.755589396846499</v>
      </c>
      <c r="AI7280">
        <v>94.931597418003506</v>
      </c>
      <c r="AJ7280">
        <v>98.561053489929606</v>
      </c>
      <c r="AK7280">
        <v>12.9472463776073</v>
      </c>
      <c r="AL7280">
        <v>66.925636592335906</v>
      </c>
      <c r="AM7280">
        <v>102.603489906516</v>
      </c>
      <c r="AN7280">
        <v>0.99999997524156403</v>
      </c>
    </row>
    <row r="7281" spans="1:40" x14ac:dyDescent="0.25">
      <c r="A7281" t="str">
        <f>"20190304165025218"</f>
        <v>20190304165025218</v>
      </c>
      <c r="B7281" t="str">
        <f>"1551689425212601"</f>
        <v>1551689425212601</v>
      </c>
      <c r="C7281" t="s">
        <v>40</v>
      </c>
      <c r="D7281">
        <v>3.976089</v>
      </c>
      <c r="E7281">
        <v>0.53637979999999996</v>
      </c>
      <c r="F7281" t="s">
        <v>42</v>
      </c>
      <c r="G7281">
        <v>-188.7638</v>
      </c>
      <c r="H7281" s="1">
        <v>-3.9026050000000001E-6</v>
      </c>
      <c r="I7281">
        <v>-11.78129</v>
      </c>
      <c r="J7281">
        <v>-188.3065</v>
      </c>
      <c r="K7281">
        <v>1.1129</v>
      </c>
      <c r="L7281">
        <v>-24.596830000000001</v>
      </c>
      <c r="M7281">
        <v>0.1092076</v>
      </c>
      <c r="N7281">
        <v>-9.9214960000000001E-3</v>
      </c>
      <c r="O7281">
        <v>0.9939694</v>
      </c>
      <c r="P7281">
        <v>-9.6940090000000007E-2</v>
      </c>
      <c r="Q7281">
        <v>0.3830326</v>
      </c>
      <c r="R7281">
        <v>0.91863410000000001</v>
      </c>
      <c r="S7281">
        <v>-0.1083069</v>
      </c>
      <c r="T7281">
        <v>-0.28570519999999999</v>
      </c>
      <c r="U7281">
        <v>3.3758240000000002</v>
      </c>
      <c r="V7281">
        <v>-0.199124</v>
      </c>
      <c r="W7281">
        <v>0.39073590000000002</v>
      </c>
      <c r="X7281">
        <v>0.89870740000000005</v>
      </c>
      <c r="Y7281">
        <v>-0.1408769</v>
      </c>
      <c r="Z7281">
        <v>-7.3225470000000001E-2</v>
      </c>
      <c r="AA7281">
        <v>0.98731539999999995</v>
      </c>
      <c r="AB7281">
        <v>35</v>
      </c>
      <c r="AC7281">
        <v>-0.45730000000000298</v>
      </c>
      <c r="AD7281">
        <v>-1.1129039026050001</v>
      </c>
      <c r="AE7281">
        <v>12.815539999999899</v>
      </c>
      <c r="AF7281">
        <v>-1.84032726252301</v>
      </c>
      <c r="AG7281">
        <v>-1.1129039026050001</v>
      </c>
      <c r="AH7281">
        <v>12.594085149668601</v>
      </c>
      <c r="AI7281">
        <v>94.997152563136297</v>
      </c>
      <c r="AJ7281">
        <v>98.313581361464799</v>
      </c>
      <c r="AK7281">
        <v>12.7763977821106</v>
      </c>
      <c r="AL7281">
        <v>66.999701807511002</v>
      </c>
      <c r="AM7281">
        <v>102.49303386394401</v>
      </c>
      <c r="AN7281">
        <v>0.99999995086978399</v>
      </c>
    </row>
    <row r="7282" spans="1:40" x14ac:dyDescent="0.25">
      <c r="A7282" t="str">
        <f>"20190304165025239"</f>
        <v>20190304165025239</v>
      </c>
      <c r="B7282" t="str">
        <f>"1551689425233097"</f>
        <v>1551689425233097</v>
      </c>
      <c r="C7282" t="s">
        <v>40</v>
      </c>
      <c r="D7282">
        <v>3.9643030000000001</v>
      </c>
      <c r="E7282">
        <v>0.53668190000000005</v>
      </c>
      <c r="F7282" t="s">
        <v>42</v>
      </c>
      <c r="G7282">
        <v>-188.71799999999999</v>
      </c>
      <c r="H7282" s="1">
        <v>-3.9112459999999999E-6</v>
      </c>
      <c r="I7282">
        <v>-11.780099999999999</v>
      </c>
      <c r="J7282">
        <v>-188.2704</v>
      </c>
      <c r="K7282">
        <v>1.1128009999999999</v>
      </c>
      <c r="L7282">
        <v>-24.248570000000001</v>
      </c>
      <c r="M7282">
        <v>0.1069109</v>
      </c>
      <c r="N7282">
        <v>-1.005231E-2</v>
      </c>
      <c r="O7282">
        <v>0.99421780000000004</v>
      </c>
      <c r="P7282">
        <v>-9.756368E-2</v>
      </c>
      <c r="Q7282">
        <v>0.38117719999999999</v>
      </c>
      <c r="R7282">
        <v>0.91933960000000003</v>
      </c>
      <c r="S7282">
        <v>-0.1084137</v>
      </c>
      <c r="T7282">
        <v>-0.29319099999999998</v>
      </c>
      <c r="U7282">
        <v>3.3765260000000001</v>
      </c>
      <c r="V7282">
        <v>-0.19760510000000001</v>
      </c>
      <c r="W7282">
        <v>0.38907789999999998</v>
      </c>
      <c r="X7282">
        <v>0.89976139999999905</v>
      </c>
      <c r="Y7282">
        <v>-0.1386078</v>
      </c>
      <c r="Z7282">
        <v>-7.5287640000000003E-2</v>
      </c>
      <c r="AA7282">
        <v>0.98748150000000001</v>
      </c>
      <c r="AB7282">
        <v>35</v>
      </c>
      <c r="AC7282">
        <v>-0.447599999999994</v>
      </c>
      <c r="AD7282">
        <v>-1.1128049112459999</v>
      </c>
      <c r="AE7282">
        <v>12.46847</v>
      </c>
      <c r="AF7282">
        <v>-1.7640833778916301</v>
      </c>
      <c r="AG7282">
        <v>-1.1128049112459999</v>
      </c>
      <c r="AH7282">
        <v>12.251680435779701</v>
      </c>
      <c r="AI7282">
        <v>95.137172248964205</v>
      </c>
      <c r="AJ7282">
        <v>98.193536675347602</v>
      </c>
      <c r="AK7282">
        <v>12.427952302576401</v>
      </c>
      <c r="AL7282">
        <v>67.102863764284095</v>
      </c>
      <c r="AM7282">
        <v>102.386619317922</v>
      </c>
      <c r="AN7282">
        <v>0.99999998237218901</v>
      </c>
    </row>
    <row r="7283" spans="1:40" x14ac:dyDescent="0.25">
      <c r="A7283" t="str">
        <f>"20190304165025261"</f>
        <v>20190304165025261</v>
      </c>
      <c r="B7283" t="str">
        <f>"1551689425252617"</f>
        <v>1551689425252617</v>
      </c>
      <c r="C7283" t="s">
        <v>40</v>
      </c>
      <c r="D7283">
        <v>3.8917670000000002</v>
      </c>
      <c r="E7283">
        <v>0.53732569999999902</v>
      </c>
      <c r="F7283" t="s">
        <v>42</v>
      </c>
      <c r="G7283">
        <v>-188.67490000000001</v>
      </c>
      <c r="H7283" s="1">
        <v>-3.9091289999999997E-6</v>
      </c>
      <c r="I7283">
        <v>-11.80284</v>
      </c>
      <c r="J7283">
        <v>-188.23670000000001</v>
      </c>
      <c r="K7283">
        <v>1.112719</v>
      </c>
      <c r="L7283">
        <v>-23.916049999999998</v>
      </c>
      <c r="M7283">
        <v>0.1048169</v>
      </c>
      <c r="N7283">
        <v>-1.0180659999999999E-2</v>
      </c>
      <c r="O7283">
        <v>0.99443939999999997</v>
      </c>
      <c r="P7283">
        <v>-9.6870700000000004E-2</v>
      </c>
      <c r="Q7283">
        <v>0.38195590000000001</v>
      </c>
      <c r="R7283">
        <v>0.91908959999999995</v>
      </c>
      <c r="S7283">
        <v>-0.1097412</v>
      </c>
      <c r="T7283">
        <v>-0.30192329999999901</v>
      </c>
      <c r="U7283">
        <v>3.3767399999999999</v>
      </c>
      <c r="V7283">
        <v>-0.1948983</v>
      </c>
      <c r="W7283">
        <v>0.39003700000000002</v>
      </c>
      <c r="X7283">
        <v>0.89993659999999998</v>
      </c>
      <c r="Y7283">
        <v>-0.13689989999999999</v>
      </c>
      <c r="Z7283">
        <v>-7.7717439999999999E-2</v>
      </c>
      <c r="AA7283">
        <v>0.98753150000000001</v>
      </c>
      <c r="AB7283">
        <v>35</v>
      </c>
      <c r="AC7283">
        <v>-0.43819999999999398</v>
      </c>
      <c r="AD7283">
        <v>-1.1127229091290001</v>
      </c>
      <c r="AE7283">
        <v>12.11321</v>
      </c>
      <c r="AF7283">
        <v>-1.69126810203167</v>
      </c>
      <c r="AG7283">
        <v>-1.1127229091290001</v>
      </c>
      <c r="AH7283">
        <v>11.900257901588301</v>
      </c>
      <c r="AI7283">
        <v>95.289017172536205</v>
      </c>
      <c r="AJ7283">
        <v>98.088723895594995</v>
      </c>
      <c r="AK7283">
        <v>12.071233499098801</v>
      </c>
      <c r="AL7283">
        <v>67.043199456642995</v>
      </c>
      <c r="AM7283">
        <v>102.219773368486</v>
      </c>
      <c r="AN7283">
        <v>1.0000000463657199</v>
      </c>
    </row>
    <row r="7284" spans="1:40" x14ac:dyDescent="0.25">
      <c r="A7284" t="str">
        <f>"20190304165025284"</f>
        <v>20190304165025284</v>
      </c>
      <c r="B7284" t="str">
        <f>"1551689425273113"</f>
        <v>1551689425273113</v>
      </c>
      <c r="C7284" t="s">
        <v>40</v>
      </c>
      <c r="D7284">
        <v>3.9212539999999998</v>
      </c>
      <c r="E7284">
        <v>0.53771630000000004</v>
      </c>
      <c r="F7284" t="s">
        <v>42</v>
      </c>
      <c r="G7284">
        <v>-188.63730000000001</v>
      </c>
      <c r="H7284" s="1">
        <v>-4.1445510000000002E-6</v>
      </c>
      <c r="I7284">
        <v>-11.269640000000001</v>
      </c>
      <c r="J7284">
        <v>-188.20089999999999</v>
      </c>
      <c r="K7284">
        <v>1.1126560000000001</v>
      </c>
      <c r="L7284">
        <v>-23.556090000000001</v>
      </c>
      <c r="M7284">
        <v>0.1026344</v>
      </c>
      <c r="N7284">
        <v>-1.033066E-2</v>
      </c>
      <c r="O7284">
        <v>0.99466549999999998</v>
      </c>
      <c r="P7284">
        <v>-9.542291E-2</v>
      </c>
      <c r="Q7284">
        <v>0.38244600000000001</v>
      </c>
      <c r="R7284">
        <v>0.91903729999999995</v>
      </c>
      <c r="S7284">
        <v>-0.1069489</v>
      </c>
      <c r="T7284">
        <v>-0.29706979999999999</v>
      </c>
      <c r="U7284">
        <v>3.3762819999999998</v>
      </c>
      <c r="V7284">
        <v>-0.19138930000000001</v>
      </c>
      <c r="W7284">
        <v>0.39072709999999999</v>
      </c>
      <c r="X7284">
        <v>0.90039009999999997</v>
      </c>
      <c r="Y7284">
        <v>-0.13391939999999999</v>
      </c>
      <c r="Z7284">
        <v>-7.6225989999999993E-2</v>
      </c>
      <c r="AA7284">
        <v>0.9880563</v>
      </c>
      <c r="AB7284">
        <v>35</v>
      </c>
      <c r="AC7284">
        <v>-0.43640000000001999</v>
      </c>
      <c r="AD7284">
        <v>-1.11266014455099</v>
      </c>
      <c r="AE7284">
        <v>12.28645</v>
      </c>
      <c r="AF7284">
        <v>-1.6814029247698199</v>
      </c>
      <c r="AG7284">
        <v>-1.11266014455099</v>
      </c>
      <c r="AH7284">
        <v>12.077841261569001</v>
      </c>
      <c r="AI7284">
        <v>95.213468734568096</v>
      </c>
      <c r="AJ7284">
        <v>97.925429095721597</v>
      </c>
      <c r="AK7284">
        <v>12.244973578262901</v>
      </c>
      <c r="AL7284">
        <v>67.0002490826501</v>
      </c>
      <c r="AM7284">
        <v>102.000333409574</v>
      </c>
      <c r="AN7284">
        <v>0.99999993150345201</v>
      </c>
    </row>
    <row r="7285" spans="1:40" x14ac:dyDescent="0.25">
      <c r="A7285" t="str">
        <f>"20190304165025307"</f>
        <v>20190304165025307</v>
      </c>
      <c r="B7285" t="str">
        <f>"1551689425302394"</f>
        <v>1551689425302394</v>
      </c>
      <c r="C7285" t="s">
        <v>40</v>
      </c>
      <c r="D7285">
        <v>3.81941</v>
      </c>
      <c r="E7285">
        <v>0.54225699999999999</v>
      </c>
      <c r="F7285" t="s">
        <v>42</v>
      </c>
      <c r="G7285">
        <v>-188.59989999999999</v>
      </c>
      <c r="H7285" s="1">
        <v>-4.3611170000000003E-6</v>
      </c>
      <c r="I7285">
        <v>-10.78026</v>
      </c>
      <c r="J7285">
        <v>-188.16659999999999</v>
      </c>
      <c r="K7285">
        <v>1.1126149999999999</v>
      </c>
      <c r="L7285">
        <v>-23.203980000000001</v>
      </c>
      <c r="M7285">
        <v>0.1005535</v>
      </c>
      <c r="N7285">
        <v>-1.049479E-2</v>
      </c>
      <c r="O7285">
        <v>0.99487630000000005</v>
      </c>
      <c r="P7285">
        <v>-9.4905470000000006E-2</v>
      </c>
      <c r="Q7285">
        <v>0.38263629999999998</v>
      </c>
      <c r="R7285">
        <v>0.91901169999999999</v>
      </c>
      <c r="S7285">
        <v>-0.105423</v>
      </c>
      <c r="T7285">
        <v>-0.29399059999999999</v>
      </c>
      <c r="U7285">
        <v>3.3756710000000001</v>
      </c>
      <c r="V7285">
        <v>-0.188917</v>
      </c>
      <c r="W7285">
        <v>0.39111420000000002</v>
      </c>
      <c r="X7285">
        <v>0.90074410000000005</v>
      </c>
      <c r="Y7285">
        <v>-0.1314089</v>
      </c>
      <c r="Z7285">
        <v>-7.5229859999999996E-2</v>
      </c>
      <c r="AA7285">
        <v>0.98846959999999995</v>
      </c>
      <c r="AB7285">
        <v>35</v>
      </c>
      <c r="AC7285">
        <v>-0.43330000000000202</v>
      </c>
      <c r="AD7285">
        <v>-1.1126193611170001</v>
      </c>
      <c r="AE7285">
        <v>12.4237199999999</v>
      </c>
      <c r="AF7285">
        <v>-1.66706686321902</v>
      </c>
      <c r="AG7285">
        <v>-1.1126193611170001</v>
      </c>
      <c r="AH7285">
        <v>12.219289938576299</v>
      </c>
      <c r="AI7285">
        <v>95.155188220220694</v>
      </c>
      <c r="AJ7285">
        <v>97.768848921419703</v>
      </c>
      <c r="AK7285">
        <v>12.3825716380793</v>
      </c>
      <c r="AL7285">
        <v>66.976152629662394</v>
      </c>
      <c r="AM7285">
        <v>101.845201917412</v>
      </c>
      <c r="AN7285">
        <v>0.99999994200772302</v>
      </c>
    </row>
    <row r="7286" spans="1:40" x14ac:dyDescent="0.25">
      <c r="A7286" t="str">
        <f>"20190304165025328"</f>
        <v>20190304165025328</v>
      </c>
      <c r="B7286" t="str">
        <f>"1551689425322889"</f>
        <v>1551689425322889</v>
      </c>
      <c r="C7286" t="s">
        <v>40</v>
      </c>
      <c r="D7286">
        <v>3.8168280000000001</v>
      </c>
      <c r="E7286">
        <v>0.54265220000000003</v>
      </c>
      <c r="F7286" t="s">
        <v>42</v>
      </c>
      <c r="G7286">
        <v>-188.4864</v>
      </c>
      <c r="H7286" s="1">
        <v>-1.8637559999999999E-6</v>
      </c>
      <c r="I7286">
        <v>-6.6486179999999901</v>
      </c>
      <c r="J7286">
        <v>-188.13419999999999</v>
      </c>
      <c r="K7286">
        <v>1.1125940000000001</v>
      </c>
      <c r="L7286">
        <v>-22.864319999999999</v>
      </c>
      <c r="M7286">
        <v>9.8575529999999995E-2</v>
      </c>
      <c r="N7286">
        <v>-1.067191E-2</v>
      </c>
      <c r="O7286">
        <v>0.99507239999999997</v>
      </c>
      <c r="P7286">
        <v>-9.3738740000000001E-2</v>
      </c>
      <c r="Q7286">
        <v>0.38252530000000001</v>
      </c>
      <c r="R7286">
        <v>0.91917760000000004</v>
      </c>
      <c r="S7286">
        <v>-6.4727779999999999E-2</v>
      </c>
      <c r="T7286">
        <v>-0.2252383</v>
      </c>
      <c r="U7286">
        <v>3.3514710000000001</v>
      </c>
      <c r="V7286">
        <v>-0.1859246</v>
      </c>
      <c r="W7286">
        <v>0.39120860000000002</v>
      </c>
      <c r="X7286">
        <v>0.90132559999999995</v>
      </c>
      <c r="Y7286">
        <v>-0.117698499999999</v>
      </c>
      <c r="Z7286">
        <v>-5.566376E-2</v>
      </c>
      <c r="AA7286">
        <v>0.99148809999999998</v>
      </c>
      <c r="AB7286">
        <v>35</v>
      </c>
      <c r="AC7286">
        <v>-0.35220000000001001</v>
      </c>
      <c r="AD7286">
        <v>-1.1125958637560001</v>
      </c>
      <c r="AE7286">
        <v>16.215702</v>
      </c>
      <c r="AF7286">
        <v>-1.9399186709457901</v>
      </c>
      <c r="AG7286">
        <v>-1.1125958637560001</v>
      </c>
      <c r="AH7286">
        <v>16.0265834704703</v>
      </c>
      <c r="AI7286">
        <v>93.942525007729003</v>
      </c>
      <c r="AJ7286">
        <v>96.901722851767204</v>
      </c>
      <c r="AK7286">
        <v>16.181858105356302</v>
      </c>
      <c r="AL7286">
        <v>66.970276601211395</v>
      </c>
      <c r="AM7286">
        <v>101.655437804935</v>
      </c>
      <c r="AN7286">
        <v>0.999999981407239</v>
      </c>
    </row>
    <row r="7287" spans="1:40" x14ac:dyDescent="0.25">
      <c r="A7287" t="str">
        <f>"20190304165025353"</f>
        <v>20190304165025353</v>
      </c>
      <c r="B7287" t="str">
        <f>"1551689425342410"</f>
        <v>1551689425342410</v>
      </c>
      <c r="C7287" t="s">
        <v>40</v>
      </c>
      <c r="D7287">
        <v>3.8280599999999998</v>
      </c>
      <c r="E7287">
        <v>0.54279299999999997</v>
      </c>
      <c r="F7287" t="s">
        <v>42</v>
      </c>
      <c r="G7287">
        <v>-188.41220000000001</v>
      </c>
      <c r="H7287" s="1">
        <v>-1.6542679999999999E-6</v>
      </c>
      <c r="I7287">
        <v>-7.167592</v>
      </c>
      <c r="J7287">
        <v>-188.09899999999999</v>
      </c>
      <c r="K7287">
        <v>1.1125769999999999</v>
      </c>
      <c r="L7287">
        <v>-22.486540000000002</v>
      </c>
      <c r="M7287">
        <v>9.6392740000000005E-2</v>
      </c>
      <c r="N7287">
        <v>-1.088625E-2</v>
      </c>
      <c r="O7287">
        <v>0.99528380000000005</v>
      </c>
      <c r="P7287">
        <v>-9.2582730000000002E-2</v>
      </c>
      <c r="Q7287">
        <v>0.382193</v>
      </c>
      <c r="R7287">
        <v>0.9194329</v>
      </c>
      <c r="S7287">
        <v>-5.9448239999999999E-2</v>
      </c>
      <c r="T7287">
        <v>-0.237929</v>
      </c>
      <c r="U7287">
        <v>3.3567499999999999</v>
      </c>
      <c r="V7287">
        <v>-0.18276770000000001</v>
      </c>
      <c r="W7287">
        <v>0.39111509999999999</v>
      </c>
      <c r="X7287">
        <v>0.90201160000000002</v>
      </c>
      <c r="Y7287">
        <v>-0.1139255</v>
      </c>
      <c r="Z7287">
        <v>-5.9101590000000002E-2</v>
      </c>
      <c r="AA7287">
        <v>0.99172979999999999</v>
      </c>
      <c r="AB7287">
        <v>35</v>
      </c>
      <c r="AC7287">
        <v>-0.31319999999999398</v>
      </c>
      <c r="AD7287">
        <v>-1.1125786542680001</v>
      </c>
      <c r="AE7287">
        <v>15.318948000000001</v>
      </c>
      <c r="AF7287">
        <v>-1.7790839758306001</v>
      </c>
      <c r="AG7287">
        <v>-1.1125786542680001</v>
      </c>
      <c r="AH7287">
        <v>15.1375989723399</v>
      </c>
      <c r="AI7287">
        <v>94.174917685601798</v>
      </c>
      <c r="AJ7287">
        <v>96.703079316750404</v>
      </c>
      <c r="AK7287">
        <v>15.282338620197301</v>
      </c>
      <c r="AL7287">
        <v>66.976097770597207</v>
      </c>
      <c r="AM7287">
        <v>101.454329488399</v>
      </c>
      <c r="AN7287">
        <v>0.99999999007292995</v>
      </c>
    </row>
    <row r="7288" spans="1:40" x14ac:dyDescent="0.25">
      <c r="A7288" t="str">
        <f>"20190304165025375"</f>
        <v>20190304165025375</v>
      </c>
      <c r="B7288" t="str">
        <f>"1551689425362906"</f>
        <v>1551689425362906</v>
      </c>
      <c r="C7288" t="s">
        <v>40</v>
      </c>
      <c r="D7288">
        <v>3.7690109999999999</v>
      </c>
      <c r="E7288">
        <v>0.54278009999999999</v>
      </c>
      <c r="F7288" t="s">
        <v>42</v>
      </c>
      <c r="G7288">
        <v>-188.34870000000001</v>
      </c>
      <c r="H7288" s="1">
        <v>-1.6884560000000001E-6</v>
      </c>
      <c r="I7288">
        <v>-7.1141639999999997</v>
      </c>
      <c r="J7288">
        <v>-188.06700000000001</v>
      </c>
      <c r="K7288">
        <v>1.112571</v>
      </c>
      <c r="L7288">
        <v>-22.134640000000001</v>
      </c>
      <c r="M7288">
        <v>9.4367889999999996E-2</v>
      </c>
      <c r="N7288">
        <v>-1.110042E-2</v>
      </c>
      <c r="O7288">
        <v>0.99547549999999996</v>
      </c>
      <c r="P7288">
        <v>-9.141937E-2</v>
      </c>
      <c r="Q7288">
        <v>0.38161610000000001</v>
      </c>
      <c r="R7288">
        <v>0.91978899999999997</v>
      </c>
      <c r="S7288">
        <v>-5.4550170000000002E-2</v>
      </c>
      <c r="T7288">
        <v>-0.2430669</v>
      </c>
      <c r="U7288">
        <v>3.3584290000000001</v>
      </c>
      <c r="V7288">
        <v>-0.1797637</v>
      </c>
      <c r="W7288">
        <v>0.39077099999999998</v>
      </c>
      <c r="X7288">
        <v>0.90276409999999996</v>
      </c>
      <c r="Y7288">
        <v>-0.110447699999999</v>
      </c>
      <c r="Z7288">
        <v>-6.0393469999999998E-2</v>
      </c>
      <c r="AA7288">
        <v>0.99204530000000002</v>
      </c>
      <c r="AB7288">
        <v>35</v>
      </c>
      <c r="AC7288">
        <v>-0.28170000000000001</v>
      </c>
      <c r="AD7288">
        <v>-1.1125726884560001</v>
      </c>
      <c r="AE7288">
        <v>15.020476</v>
      </c>
      <c r="AF7288">
        <v>-1.68871892868469</v>
      </c>
      <c r="AG7288">
        <v>-1.1125726884560001</v>
      </c>
      <c r="AH7288">
        <v>14.8454324647292</v>
      </c>
      <c r="AI7288">
        <v>94.258587485445901</v>
      </c>
      <c r="AJ7288">
        <v>96.4896957558351</v>
      </c>
      <c r="AK7288">
        <v>14.9825383253984</v>
      </c>
      <c r="AL7288">
        <v>66.997518007770097</v>
      </c>
      <c r="AM7288">
        <v>101.261767539769</v>
      </c>
      <c r="AN7288">
        <v>0.99999999126375005</v>
      </c>
    </row>
    <row r="7289" spans="1:40" x14ac:dyDescent="0.25">
      <c r="A7289" t="str">
        <f>"20190304165025399"</f>
        <v>20190304165025399</v>
      </c>
      <c r="B7289" t="str">
        <f>"1551689425393161"</f>
        <v>1551689425393161</v>
      </c>
      <c r="C7289" t="s">
        <v>40</v>
      </c>
      <c r="D7289">
        <v>3.8326159999999998</v>
      </c>
      <c r="E7289">
        <v>0.54273199999999999</v>
      </c>
      <c r="F7289" t="s">
        <v>42</v>
      </c>
      <c r="G7289">
        <v>-188.2919</v>
      </c>
      <c r="H7289" s="1">
        <v>-1.7006240000000001E-6</v>
      </c>
      <c r="I7289">
        <v>-7.1092769999999996</v>
      </c>
      <c r="J7289">
        <v>-188.0333</v>
      </c>
      <c r="K7289">
        <v>1.1125799999999999</v>
      </c>
      <c r="L7289">
        <v>-21.756039999999999</v>
      </c>
      <c r="M7289">
        <v>9.2194940000000003E-2</v>
      </c>
      <c r="N7289">
        <v>-1.1355280000000001E-2</v>
      </c>
      <c r="O7289">
        <v>0.99567620000000001</v>
      </c>
      <c r="P7289">
        <v>-8.9893020000000004E-2</v>
      </c>
      <c r="Q7289">
        <v>0.38171359999999999</v>
      </c>
      <c r="R7289">
        <v>0.91989889999999996</v>
      </c>
      <c r="S7289">
        <v>-5.0308230000000002E-2</v>
      </c>
      <c r="T7289">
        <v>-0.24878320000000001</v>
      </c>
      <c r="U7289">
        <v>3.3598330000000001</v>
      </c>
      <c r="V7289">
        <v>-0.17624589999999901</v>
      </c>
      <c r="W7289">
        <v>0.3911366</v>
      </c>
      <c r="X7289">
        <v>0.90329930000000003</v>
      </c>
      <c r="Y7289">
        <v>-0.1070171</v>
      </c>
      <c r="Z7289">
        <v>-6.181967E-2</v>
      </c>
      <c r="AA7289">
        <v>0.99233349999999998</v>
      </c>
      <c r="AB7289">
        <v>35</v>
      </c>
      <c r="AC7289">
        <v>-0.258600000000001</v>
      </c>
      <c r="AD7289">
        <v>-1.112581700624</v>
      </c>
      <c r="AE7289">
        <v>14.646762999999901</v>
      </c>
      <c r="AF7289">
        <v>-1.5987211688409999</v>
      </c>
      <c r="AG7289">
        <v>-1.112581700624</v>
      </c>
      <c r="AH7289">
        <v>14.4770235838212</v>
      </c>
      <c r="AI7289">
        <v>94.368180379018199</v>
      </c>
      <c r="AJ7289">
        <v>96.301731697327</v>
      </c>
      <c r="AK7289">
        <v>14.607462451185</v>
      </c>
      <c r="AL7289">
        <v>66.974760529982106</v>
      </c>
      <c r="AM7289">
        <v>101.040474454741</v>
      </c>
      <c r="AN7289">
        <v>1.00000004125342</v>
      </c>
    </row>
    <row r="7290" spans="1:40" x14ac:dyDescent="0.25">
      <c r="A7290" t="str">
        <f>"20190304165025417"</f>
        <v>20190304165025417</v>
      </c>
      <c r="B7290" t="str">
        <f>"1551689425412681"</f>
        <v>1551689425412681</v>
      </c>
      <c r="C7290" t="s">
        <v>40</v>
      </c>
      <c r="D7290">
        <v>3.7610429999999999</v>
      </c>
      <c r="E7290">
        <v>0.54291769999999995</v>
      </c>
      <c r="F7290" t="s">
        <v>42</v>
      </c>
      <c r="G7290">
        <v>-188.23400000000001</v>
      </c>
      <c r="H7290" s="1">
        <v>-1.7778130000000001E-6</v>
      </c>
      <c r="I7290">
        <v>-6.9532850000000002</v>
      </c>
      <c r="J7290">
        <v>-188.0086</v>
      </c>
      <c r="K7290">
        <v>1.1125890000000001</v>
      </c>
      <c r="L7290">
        <v>-21.472020000000001</v>
      </c>
      <c r="M7290">
        <v>9.0567610000000007E-2</v>
      </c>
      <c r="N7290">
        <v>-1.1559130000000001E-2</v>
      </c>
      <c r="O7290">
        <v>0.99582320000000002</v>
      </c>
      <c r="P7290">
        <v>-8.8514190000000006E-2</v>
      </c>
      <c r="Q7290">
        <v>0.38217410000000002</v>
      </c>
      <c r="R7290">
        <v>0.91984140000000003</v>
      </c>
      <c r="S7290">
        <v>-4.5578E-2</v>
      </c>
      <c r="T7290">
        <v>-0.25265939999999998</v>
      </c>
      <c r="U7290">
        <v>3.3616030000000001</v>
      </c>
      <c r="V7290">
        <v>-0.17336599999999999</v>
      </c>
      <c r="W7290">
        <v>0.3918084</v>
      </c>
      <c r="X7290">
        <v>0.90356539999999996</v>
      </c>
      <c r="Y7290">
        <v>-0.1039871</v>
      </c>
      <c r="Z7290">
        <v>-6.2741980000000003E-2</v>
      </c>
      <c r="AA7290">
        <v>0.99259759999999997</v>
      </c>
      <c r="AB7290">
        <v>35</v>
      </c>
      <c r="AC7290">
        <v>-0.22540000000000701</v>
      </c>
      <c r="AD7290">
        <v>-1.112590777813</v>
      </c>
      <c r="AE7290">
        <v>14.518735</v>
      </c>
      <c r="AF7290">
        <v>-1.53050305435559</v>
      </c>
      <c r="AG7290">
        <v>-1.112590777813</v>
      </c>
      <c r="AH7290">
        <v>14.3543703410306</v>
      </c>
      <c r="AI7290">
        <v>94.407187585555803</v>
      </c>
      <c r="AJ7290">
        <v>96.086042633713703</v>
      </c>
      <c r="AK7290">
        <v>14.4785443234368</v>
      </c>
      <c r="AL7290">
        <v>66.932930076350303</v>
      </c>
      <c r="AM7290">
        <v>100.861274668115</v>
      </c>
      <c r="AN7290">
        <v>1.00000001217186</v>
      </c>
    </row>
    <row r="7291" spans="1:40" x14ac:dyDescent="0.25">
      <c r="A7291" t="str">
        <f>"20190304165025441"</f>
        <v>20190304165025441</v>
      </c>
      <c r="B7291" t="str">
        <f>"1551689425433177"</f>
        <v>1551689425433177</v>
      </c>
      <c r="C7291" t="s">
        <v>40</v>
      </c>
      <c r="D7291">
        <v>3.787512</v>
      </c>
      <c r="E7291">
        <v>0.54287859999999999</v>
      </c>
      <c r="F7291" t="s">
        <v>42</v>
      </c>
      <c r="G7291">
        <v>-188.18629999999999</v>
      </c>
      <c r="H7291" s="1">
        <v>-1.8293940000000001E-6</v>
      </c>
      <c r="I7291">
        <v>-6.8527829999999996</v>
      </c>
      <c r="J7291">
        <v>-187.97669999999999</v>
      </c>
      <c r="K7291">
        <v>1.1125940000000001</v>
      </c>
      <c r="L7291">
        <v>-21.096710000000002</v>
      </c>
      <c r="M7291">
        <v>8.8421780000000005E-2</v>
      </c>
      <c r="N7291">
        <v>-1.182918E-2</v>
      </c>
      <c r="O7291">
        <v>0.99601289999999998</v>
      </c>
      <c r="P7291">
        <v>-8.7965290000000002E-2</v>
      </c>
      <c r="Q7291">
        <v>0.38210080000000002</v>
      </c>
      <c r="R7291">
        <v>0.91992450000000003</v>
      </c>
      <c r="S7291">
        <v>-4.0893550000000001E-2</v>
      </c>
      <c r="T7291">
        <v>-0.25600539999999999</v>
      </c>
      <c r="U7291">
        <v>3.363861</v>
      </c>
      <c r="V7291">
        <v>-0.170845</v>
      </c>
      <c r="W7291">
        <v>0.39200839999999998</v>
      </c>
      <c r="X7291">
        <v>0.9039587</v>
      </c>
      <c r="Y7291">
        <v>-0.1004521</v>
      </c>
      <c r="Z7291">
        <v>-6.34382E-2</v>
      </c>
      <c r="AA7291">
        <v>0.99291739999999995</v>
      </c>
      <c r="AB7291">
        <v>35</v>
      </c>
      <c r="AC7291">
        <v>-0.20959999999999401</v>
      </c>
      <c r="AD7291">
        <v>-1.1125958293939999</v>
      </c>
      <c r="AE7291">
        <v>14.243926999999999</v>
      </c>
      <c r="AF7291">
        <v>-1.4594379936030999</v>
      </c>
      <c r="AG7291">
        <v>-1.1125958293939999</v>
      </c>
      <c r="AH7291">
        <v>14.083684178902301</v>
      </c>
      <c r="AI7291">
        <v>94.492963935547706</v>
      </c>
      <c r="AJ7291">
        <v>95.916224556059305</v>
      </c>
      <c r="AK7291">
        <v>14.2027458186021</v>
      </c>
      <c r="AL7291">
        <v>66.920473390229702</v>
      </c>
      <c r="AM7291">
        <v>100.70246201198999</v>
      </c>
      <c r="AN7291">
        <v>0.99999996550062398</v>
      </c>
    </row>
    <row r="7292" spans="1:40" x14ac:dyDescent="0.25">
      <c r="A7292" t="str">
        <f>"20190304165025576"</f>
        <v>20190304165025576</v>
      </c>
      <c r="B7292" t="str">
        <f>"1551689425572745"</f>
        <v>1551689425572745</v>
      </c>
      <c r="C7292" t="s">
        <v>40</v>
      </c>
      <c r="D7292">
        <v>3.8865859999999999</v>
      </c>
      <c r="E7292">
        <v>0.48738019999999999</v>
      </c>
      <c r="F7292" t="s">
        <v>42</v>
      </c>
      <c r="G7292">
        <v>-188.1523</v>
      </c>
      <c r="H7292" s="1">
        <v>-1.994271E-6</v>
      </c>
      <c r="I7292">
        <v>-6.4825350000000004</v>
      </c>
      <c r="J7292">
        <v>-187.81229999999999</v>
      </c>
      <c r="K7292">
        <v>1.112514</v>
      </c>
      <c r="L7292">
        <v>-19.004639999999998</v>
      </c>
      <c r="M7292">
        <v>7.7390699999999896E-2</v>
      </c>
      <c r="N7292">
        <v>-1.322512E-2</v>
      </c>
      <c r="O7292">
        <v>0.9969131</v>
      </c>
      <c r="P7292">
        <v>-0.10044459999999999</v>
      </c>
      <c r="Q7292">
        <v>0.40177459999999998</v>
      </c>
      <c r="R7292">
        <v>0.91021319999999994</v>
      </c>
      <c r="S7292">
        <v>-4.040527E-2</v>
      </c>
      <c r="T7292">
        <v>-0.2560788</v>
      </c>
      <c r="U7292">
        <v>3.3636469999999998</v>
      </c>
      <c r="V7292">
        <v>-0.17224049999999999</v>
      </c>
      <c r="W7292">
        <v>0.4129545</v>
      </c>
      <c r="X7292">
        <v>0.89431640000000001</v>
      </c>
      <c r="Y7292">
        <v>-8.9290750000000002E-2</v>
      </c>
      <c r="Z7292">
        <v>-6.2216279999999999E-2</v>
      </c>
      <c r="AA7292">
        <v>0.99406050000000001</v>
      </c>
      <c r="AB7292">
        <v>35</v>
      </c>
      <c r="AC7292">
        <v>-0.34000000000000302</v>
      </c>
      <c r="AD7292">
        <v>-1.1125159942709999</v>
      </c>
      <c r="AE7292">
        <v>12.522105</v>
      </c>
      <c r="AF7292">
        <v>-1.2979220393328701</v>
      </c>
      <c r="AG7292">
        <v>-1.1125159942709999</v>
      </c>
      <c r="AH7292">
        <v>12.3607325884067</v>
      </c>
      <c r="AI7292">
        <v>95.115023916292003</v>
      </c>
      <c r="AJ7292">
        <v>95.994299802131394</v>
      </c>
      <c r="AK7292">
        <v>12.478381448721301</v>
      </c>
      <c r="AL7292">
        <v>65.609432920528405</v>
      </c>
      <c r="AM7292">
        <v>100.901377978928</v>
      </c>
      <c r="AN7292">
        <v>1.00000001610973</v>
      </c>
    </row>
    <row r="7293" spans="1:40" x14ac:dyDescent="0.25">
      <c r="A7293" t="str">
        <f>"20190304165025599"</f>
        <v>20190304165025599</v>
      </c>
      <c r="B7293" t="str">
        <f>"1551689425593241"</f>
        <v>1551689425593241</v>
      </c>
      <c r="C7293" t="s">
        <v>40</v>
      </c>
      <c r="D7293">
        <v>3.8871519999999999</v>
      </c>
      <c r="E7293">
        <v>0.48800670000000002</v>
      </c>
      <c r="F7293" t="s">
        <v>60</v>
      </c>
      <c r="G7293">
        <v>0</v>
      </c>
      <c r="H7293">
        <v>0</v>
      </c>
      <c r="I7293">
        <v>0</v>
      </c>
      <c r="J7293">
        <v>-187.78700000000001</v>
      </c>
      <c r="K7293">
        <v>1.112471</v>
      </c>
      <c r="L7293">
        <v>-18.65793</v>
      </c>
      <c r="M7293">
        <v>7.585575E-2</v>
      </c>
      <c r="N7293">
        <v>-1.3404589999999999E-2</v>
      </c>
      <c r="O7293">
        <v>0.99702869999999999</v>
      </c>
      <c r="P7293">
        <v>-0.102507399999999</v>
      </c>
      <c r="Q7293">
        <v>0.4077654</v>
      </c>
      <c r="R7293">
        <v>0.90731450000000002</v>
      </c>
      <c r="S7293">
        <v>-0.35754390000000003</v>
      </c>
      <c r="T7293">
        <v>1.7342900000000001</v>
      </c>
      <c r="U7293">
        <v>2.490936</v>
      </c>
      <c r="V7293">
        <v>-0.17262849999999999</v>
      </c>
      <c r="W7293">
        <v>0.41910229999999998</v>
      </c>
      <c r="X7293">
        <v>0.89137690000000003</v>
      </c>
      <c r="Y7293">
        <v>-0.19178539999999999</v>
      </c>
      <c r="Z7293">
        <v>0.57258390000000003</v>
      </c>
      <c r="AA7293">
        <v>0.79709849999999904</v>
      </c>
      <c r="AB7293">
        <v>35</v>
      </c>
      <c r="AC7293">
        <v>-0.35754390000000003</v>
      </c>
      <c r="AD7293">
        <v>1.7342900000000001</v>
      </c>
      <c r="AE7293">
        <v>2.490936</v>
      </c>
      <c r="AF7293">
        <v>-0.36982737953456601</v>
      </c>
      <c r="AG7293">
        <v>1.7342900000000001</v>
      </c>
      <c r="AH7293">
        <v>1.66555410763995</v>
      </c>
      <c r="AI7293">
        <v>44.530860746993802</v>
      </c>
      <c r="AJ7293">
        <v>102.51911200999599</v>
      </c>
      <c r="AK7293">
        <v>2.4328182382228398</v>
      </c>
      <c r="AL7293">
        <v>65.222076612817602</v>
      </c>
      <c r="AM7293">
        <v>100.960502220663</v>
      </c>
      <c r="AN7293">
        <v>1.0000000573655701</v>
      </c>
    </row>
    <row r="7294" spans="1:40" x14ac:dyDescent="0.25">
      <c r="A7294" t="str">
        <f>"20190304165025619"</f>
        <v>20190304165025619</v>
      </c>
      <c r="B7294" t="str">
        <f>"1551689425612762"</f>
        <v>1551689425612762</v>
      </c>
      <c r="C7294" t="s">
        <v>40</v>
      </c>
      <c r="D7294">
        <v>4.2617370000000001</v>
      </c>
      <c r="E7294">
        <v>0.48883009999999899</v>
      </c>
      <c r="F7294" t="s">
        <v>60</v>
      </c>
      <c r="G7294">
        <v>0</v>
      </c>
      <c r="H7294">
        <v>0</v>
      </c>
      <c r="I7294">
        <v>0</v>
      </c>
      <c r="J7294">
        <v>-187.76329999999999</v>
      </c>
      <c r="K7294">
        <v>1.112457</v>
      </c>
      <c r="L7294">
        <v>-18.327089999999998</v>
      </c>
      <c r="M7294">
        <v>7.4464440000000007E-2</v>
      </c>
      <c r="N7294">
        <v>-1.3557410000000001E-2</v>
      </c>
      <c r="O7294">
        <v>0.99713149999999995</v>
      </c>
      <c r="P7294">
        <v>-0.1043702</v>
      </c>
      <c r="Q7294">
        <v>0.4205914</v>
      </c>
      <c r="R7294">
        <v>0.90122679999999999</v>
      </c>
      <c r="S7294">
        <v>-0.35845949999999999</v>
      </c>
      <c r="T7294">
        <v>1.739681</v>
      </c>
      <c r="U7294">
        <v>2.4841000000000002</v>
      </c>
      <c r="V7294">
        <v>-0.17275099999999999</v>
      </c>
      <c r="W7294">
        <v>0.4320136</v>
      </c>
      <c r="X7294">
        <v>0.88516740000000005</v>
      </c>
      <c r="Y7294">
        <v>-0.1907913</v>
      </c>
      <c r="Z7294">
        <v>0.57502929999999997</v>
      </c>
      <c r="AA7294">
        <v>0.79557529999999999</v>
      </c>
      <c r="AB7294">
        <v>35</v>
      </c>
      <c r="AC7294">
        <v>-0.35845949999999999</v>
      </c>
      <c r="AD7294">
        <v>1.739681</v>
      </c>
      <c r="AE7294">
        <v>2.4841000000000002</v>
      </c>
      <c r="AF7294">
        <v>-0.36641374678227501</v>
      </c>
      <c r="AG7294">
        <v>1.739681</v>
      </c>
      <c r="AH7294">
        <v>1.6552417040962399</v>
      </c>
      <c r="AI7294">
        <v>44.259971744307201</v>
      </c>
      <c r="AJ7294">
        <v>102.482033817473</v>
      </c>
      <c r="AK7294">
        <v>2.4291097370377202</v>
      </c>
      <c r="AL7294">
        <v>64.404583503068693</v>
      </c>
      <c r="AM7294">
        <v>101.04314813001299</v>
      </c>
      <c r="AN7294">
        <v>0.99999999230435999</v>
      </c>
    </row>
    <row r="7295" spans="1:40" x14ac:dyDescent="0.25">
      <c r="A7295" t="str">
        <f>"20190304165025642"</f>
        <v>20190304165025642</v>
      </c>
      <c r="B7295" t="str">
        <f>"1551689425633259"</f>
        <v>1551689425633259</v>
      </c>
      <c r="C7295" t="s">
        <v>40</v>
      </c>
      <c r="D7295">
        <v>3.9047420000000002</v>
      </c>
      <c r="E7295">
        <v>0.48971690000000001</v>
      </c>
      <c r="F7295" t="s">
        <v>60</v>
      </c>
      <c r="G7295">
        <v>0</v>
      </c>
      <c r="H7295">
        <v>0</v>
      </c>
      <c r="I7295">
        <v>0</v>
      </c>
      <c r="J7295">
        <v>-187.73920000000001</v>
      </c>
      <c r="K7295">
        <v>1.112452</v>
      </c>
      <c r="L7295">
        <v>-17.985050000000001</v>
      </c>
      <c r="M7295">
        <v>7.3091420000000004E-2</v>
      </c>
      <c r="N7295">
        <v>-1.369739E-2</v>
      </c>
      <c r="O7295">
        <v>0.99723119999999998</v>
      </c>
      <c r="P7295">
        <v>-0.1063043</v>
      </c>
      <c r="Q7295">
        <v>0.43423489999999998</v>
      </c>
      <c r="R7295">
        <v>0.89450509999999905</v>
      </c>
      <c r="S7295">
        <v>-0.3563538</v>
      </c>
      <c r="T7295">
        <v>1.76997</v>
      </c>
      <c r="U7295">
        <v>2.4615170000000002</v>
      </c>
      <c r="V7295">
        <v>-0.17293929999999999</v>
      </c>
      <c r="W7295">
        <v>0.4457161</v>
      </c>
      <c r="X7295">
        <v>0.87831039999999905</v>
      </c>
      <c r="Y7295">
        <v>-0.18879070000000001</v>
      </c>
      <c r="Z7295">
        <v>0.5852482</v>
      </c>
      <c r="AA7295">
        <v>0.78856999999999999</v>
      </c>
      <c r="AB7295">
        <v>35</v>
      </c>
      <c r="AC7295">
        <v>-0.3563538</v>
      </c>
      <c r="AD7295">
        <v>1.76997</v>
      </c>
      <c r="AE7295">
        <v>2.4615170000000002</v>
      </c>
      <c r="AF7295">
        <v>-0.35536577049840501</v>
      </c>
      <c r="AG7295">
        <v>1.76997</v>
      </c>
      <c r="AH7295">
        <v>1.61234537217708</v>
      </c>
      <c r="AI7295">
        <v>43.008986747686897</v>
      </c>
      <c r="AJ7295">
        <v>102.42944134581499</v>
      </c>
      <c r="AK7295">
        <v>2.4204826442101899</v>
      </c>
      <c r="AL7295">
        <v>63.530836287057099</v>
      </c>
      <c r="AM7295">
        <v>101.13904449362499</v>
      </c>
      <c r="AN7295">
        <v>1.00000000101593</v>
      </c>
    </row>
    <row r="7296" spans="1:40" x14ac:dyDescent="0.25">
      <c r="A7296" t="str">
        <f>"20190304165025664"</f>
        <v>20190304165025664</v>
      </c>
      <c r="B7296" t="str">
        <f>"1551689425652777"</f>
        <v>1551689425652777</v>
      </c>
      <c r="C7296" t="s">
        <v>40</v>
      </c>
      <c r="D7296">
        <v>3.9067099999999999</v>
      </c>
      <c r="E7296">
        <v>0.49054340000000002</v>
      </c>
      <c r="F7296" t="s">
        <v>60</v>
      </c>
      <c r="G7296">
        <v>0</v>
      </c>
      <c r="H7296">
        <v>0</v>
      </c>
      <c r="I7296">
        <v>0</v>
      </c>
      <c r="J7296">
        <v>-187.71530000000001</v>
      </c>
      <c r="K7296">
        <v>1.112447</v>
      </c>
      <c r="L7296">
        <v>-17.640840000000001</v>
      </c>
      <c r="M7296">
        <v>7.175948E-2</v>
      </c>
      <c r="N7296">
        <v>-1.3821429999999999E-2</v>
      </c>
      <c r="O7296">
        <v>0.99732619999999905</v>
      </c>
      <c r="P7296">
        <v>-0.10810599999999999</v>
      </c>
      <c r="Q7296">
        <v>0.44497179999999997</v>
      </c>
      <c r="R7296">
        <v>0.8889956</v>
      </c>
      <c r="S7296">
        <v>-0.35404970000000002</v>
      </c>
      <c r="T7296">
        <v>1.8038130000000001</v>
      </c>
      <c r="U7296">
        <v>2.4360659999999998</v>
      </c>
      <c r="V7296">
        <v>-0.17313700000000001</v>
      </c>
      <c r="W7296">
        <v>0.45650780000000002</v>
      </c>
      <c r="X7296">
        <v>0.87271080000000001</v>
      </c>
      <c r="Y7296">
        <v>-0.18675559999999999</v>
      </c>
      <c r="Z7296">
        <v>0.59654989999999997</v>
      </c>
      <c r="AA7296">
        <v>0.78054509999999999</v>
      </c>
      <c r="AB7296">
        <v>35</v>
      </c>
      <c r="AC7296">
        <v>-0.35404970000000002</v>
      </c>
      <c r="AD7296">
        <v>1.8038130000000001</v>
      </c>
      <c r="AE7296">
        <v>2.4360659999999998</v>
      </c>
      <c r="AF7296">
        <v>-0.34351619798615901</v>
      </c>
      <c r="AG7296">
        <v>1.8038130000000001</v>
      </c>
      <c r="AH7296">
        <v>1.56438984948652</v>
      </c>
      <c r="AI7296">
        <v>41.602863093066198</v>
      </c>
      <c r="AJ7296">
        <v>102.384724390274</v>
      </c>
      <c r="AK7296">
        <v>2.4122728532287399</v>
      </c>
      <c r="AL7296">
        <v>62.838008238022297</v>
      </c>
      <c r="AM7296">
        <v>101.221200760556</v>
      </c>
      <c r="AN7296">
        <v>0.99999996633323895</v>
      </c>
    </row>
    <row r="7297" spans="1:40" x14ac:dyDescent="0.25">
      <c r="A7297" t="str">
        <f>"20190304165025686"</f>
        <v>20190304165025686</v>
      </c>
      <c r="B7297" t="str">
        <f>"1551689425683034"</f>
        <v>1551689425683034</v>
      </c>
      <c r="C7297" t="s">
        <v>40</v>
      </c>
      <c r="D7297">
        <v>3.911724</v>
      </c>
      <c r="E7297">
        <v>0.49099930000000003</v>
      </c>
      <c r="F7297" t="s">
        <v>60</v>
      </c>
      <c r="G7297">
        <v>0</v>
      </c>
      <c r="H7297">
        <v>0</v>
      </c>
      <c r="I7297">
        <v>0</v>
      </c>
      <c r="J7297">
        <v>-187.69200000000001</v>
      </c>
      <c r="K7297">
        <v>1.1124449999999999</v>
      </c>
      <c r="L7297">
        <v>-17.296749999999999</v>
      </c>
      <c r="M7297">
        <v>7.0460099999999998E-2</v>
      </c>
      <c r="N7297">
        <v>-1.3930069999999999E-2</v>
      </c>
      <c r="O7297">
        <v>0.99741729999999995</v>
      </c>
      <c r="P7297">
        <v>-0.1092785</v>
      </c>
      <c r="Q7297">
        <v>0.45576899999999998</v>
      </c>
      <c r="R7297">
        <v>0.88336440000000005</v>
      </c>
      <c r="S7297">
        <v>-0.35142519999999999</v>
      </c>
      <c r="T7297">
        <v>1.82674</v>
      </c>
      <c r="U7297">
        <v>2.4175110000000002</v>
      </c>
      <c r="V7297">
        <v>-0.17275299999999999</v>
      </c>
      <c r="W7297">
        <v>0.46734140000000002</v>
      </c>
      <c r="X7297">
        <v>0.86703430000000004</v>
      </c>
      <c r="Y7297">
        <v>-0.18467030000000001</v>
      </c>
      <c r="Z7297">
        <v>0.60444249999999999</v>
      </c>
      <c r="AA7297">
        <v>0.77494919999999901</v>
      </c>
      <c r="AB7297">
        <v>35</v>
      </c>
      <c r="AC7297">
        <v>-0.35142519999999999</v>
      </c>
      <c r="AD7297">
        <v>1.82674</v>
      </c>
      <c r="AE7297">
        <v>2.4175110000000002</v>
      </c>
      <c r="AF7297">
        <v>-0.334094452241121</v>
      </c>
      <c r="AG7297">
        <v>1.82674</v>
      </c>
      <c r="AH7297">
        <v>1.5307856891087599</v>
      </c>
      <c r="AI7297">
        <v>40.620139582001002</v>
      </c>
      <c r="AJ7297">
        <v>102.311761772973</v>
      </c>
      <c r="AK7297">
        <v>2.4066372715052999</v>
      </c>
      <c r="AL7297">
        <v>62.138141929216502</v>
      </c>
      <c r="AM7297">
        <v>101.26837963542999</v>
      </c>
      <c r="AN7297">
        <v>1.0000000302697201</v>
      </c>
    </row>
    <row r="7298" spans="1:40" x14ac:dyDescent="0.25">
      <c r="A7298" t="str">
        <f>"20190304165025708"</f>
        <v>20190304165025708</v>
      </c>
      <c r="B7298" t="str">
        <f>"1551689425702554"</f>
        <v>1551689425702554</v>
      </c>
      <c r="C7298" t="s">
        <v>40</v>
      </c>
      <c r="D7298">
        <v>3.9090590000000001</v>
      </c>
      <c r="E7298">
        <v>0.4972356</v>
      </c>
      <c r="F7298" t="s">
        <v>60</v>
      </c>
      <c r="G7298">
        <v>0</v>
      </c>
      <c r="H7298">
        <v>0</v>
      </c>
      <c r="I7298">
        <v>0</v>
      </c>
      <c r="J7298">
        <v>-187.66919999999999</v>
      </c>
      <c r="K7298">
        <v>1.112441</v>
      </c>
      <c r="L7298">
        <v>-16.956630000000001</v>
      </c>
      <c r="M7298">
        <v>6.9193119999999997E-2</v>
      </c>
      <c r="N7298">
        <v>-1.402376E-2</v>
      </c>
      <c r="O7298">
        <v>0.99750470000000002</v>
      </c>
      <c r="P7298">
        <v>-0.111277</v>
      </c>
      <c r="Q7298">
        <v>0.46575670000000002</v>
      </c>
      <c r="R7298">
        <v>0.87788840000000001</v>
      </c>
      <c r="S7298">
        <v>-0.3506012</v>
      </c>
      <c r="T7298">
        <v>1.8436969999999999</v>
      </c>
      <c r="U7298">
        <v>2.4014890000000002</v>
      </c>
      <c r="V7298">
        <v>-0.17325309999999999</v>
      </c>
      <c r="W7298">
        <v>0.47734559999999998</v>
      </c>
      <c r="X7298">
        <v>0.86146650000000002</v>
      </c>
      <c r="Y7298">
        <v>-0.18323970000000001</v>
      </c>
      <c r="Z7298">
        <v>0.61061149999999997</v>
      </c>
      <c r="AA7298">
        <v>0.7704394</v>
      </c>
      <c r="AB7298">
        <v>35</v>
      </c>
      <c r="AC7298">
        <v>-0.3506012</v>
      </c>
      <c r="AD7298">
        <v>1.8436969999999999</v>
      </c>
      <c r="AE7298">
        <v>2.4014890000000002</v>
      </c>
      <c r="AF7298">
        <v>-0.32714497068262799</v>
      </c>
      <c r="AG7298">
        <v>1.8436969999999999</v>
      </c>
      <c r="AH7298">
        <v>1.5036811693596199</v>
      </c>
      <c r="AI7298">
        <v>39.850344279136998</v>
      </c>
      <c r="AJ7298">
        <v>102.27415178264501</v>
      </c>
      <c r="AK7298">
        <v>2.4015202515778702</v>
      </c>
      <c r="AL7298">
        <v>61.487817834653697</v>
      </c>
      <c r="AM7298">
        <v>101.371299974897</v>
      </c>
      <c r="AN7298">
        <v>0.99999999456060995</v>
      </c>
    </row>
    <row r="7299" spans="1:40" x14ac:dyDescent="0.25">
      <c r="A7299" t="str">
        <f>"20190304165025730"</f>
        <v>20190304165025730</v>
      </c>
      <c r="B7299" t="str">
        <f>"1551689425723050"</f>
        <v>1551689425723050</v>
      </c>
      <c r="C7299" t="s">
        <v>40</v>
      </c>
      <c r="D7299">
        <v>3.914212</v>
      </c>
      <c r="E7299">
        <v>0.4970463</v>
      </c>
      <c r="F7299" t="s">
        <v>60</v>
      </c>
      <c r="G7299">
        <v>0</v>
      </c>
      <c r="H7299">
        <v>0</v>
      </c>
      <c r="I7299">
        <v>0</v>
      </c>
      <c r="J7299">
        <v>-187.64670000000001</v>
      </c>
      <c r="K7299">
        <v>1.112444</v>
      </c>
      <c r="L7299">
        <v>-16.61215</v>
      </c>
      <c r="M7299">
        <v>6.7916509999999999E-2</v>
      </c>
      <c r="N7299">
        <v>-1.4106240000000001E-2</v>
      </c>
      <c r="O7299">
        <v>0.99759129999999996</v>
      </c>
      <c r="P7299">
        <v>-0.11191130000000001</v>
      </c>
      <c r="Q7299">
        <v>0.47164820000000002</v>
      </c>
      <c r="R7299">
        <v>0.8746564</v>
      </c>
      <c r="S7299">
        <v>-0.316162099999999</v>
      </c>
      <c r="T7299">
        <v>1.7766959999999901</v>
      </c>
      <c r="U7299">
        <v>2.4346009999999998</v>
      </c>
      <c r="V7299">
        <v>-0.17254510000000001</v>
      </c>
      <c r="W7299">
        <v>0.48327740000000002</v>
      </c>
      <c r="X7299">
        <v>0.85829560000000005</v>
      </c>
      <c r="Y7299">
        <v>-0.17143749999999999</v>
      </c>
      <c r="Z7299">
        <v>0.59278739999999996</v>
      </c>
      <c r="AA7299">
        <v>0.78690039999999895</v>
      </c>
      <c r="AB7299">
        <v>35</v>
      </c>
      <c r="AC7299">
        <v>-0.316162099999999</v>
      </c>
      <c r="AD7299">
        <v>1.7766959999999901</v>
      </c>
      <c r="AE7299">
        <v>2.4346009999999998</v>
      </c>
      <c r="AF7299">
        <v>-0.31554008068956402</v>
      </c>
      <c r="AG7299">
        <v>1.7766959999999901</v>
      </c>
      <c r="AH7299">
        <v>1.58000637717623</v>
      </c>
      <c r="AI7299">
        <v>42.203481457928298</v>
      </c>
      <c r="AJ7299">
        <v>101.293850506827</v>
      </c>
      <c r="AK7299">
        <v>2.3984650030499002</v>
      </c>
      <c r="AL7299">
        <v>61.100329200143101</v>
      </c>
      <c r="AM7299">
        <v>101.366790264551</v>
      </c>
      <c r="AN7299">
        <v>1.0000000969320599</v>
      </c>
    </row>
    <row r="7300" spans="1:40" x14ac:dyDescent="0.25">
      <c r="A7300" t="str">
        <f>"20190304165025754"</f>
        <v>20190304165025754</v>
      </c>
      <c r="B7300" t="str">
        <f>"1551689425742569"</f>
        <v>1551689425742569</v>
      </c>
      <c r="C7300" t="s">
        <v>40</v>
      </c>
      <c r="D7300">
        <v>3.9015900000000001</v>
      </c>
      <c r="E7300">
        <v>0.49749310000000002</v>
      </c>
      <c r="F7300" t="s">
        <v>60</v>
      </c>
      <c r="G7300">
        <v>0</v>
      </c>
      <c r="H7300">
        <v>0</v>
      </c>
      <c r="I7300">
        <v>0</v>
      </c>
      <c r="J7300">
        <v>-187.62389999999999</v>
      </c>
      <c r="K7300">
        <v>1.112449</v>
      </c>
      <c r="L7300">
        <v>-16.258150000000001</v>
      </c>
      <c r="M7300">
        <v>6.6605079999999997E-2</v>
      </c>
      <c r="N7300">
        <v>-1.4179529999999999E-2</v>
      </c>
      <c r="O7300">
        <v>0.99767859999999997</v>
      </c>
      <c r="P7300">
        <v>-0.11105039999999999</v>
      </c>
      <c r="Q7300">
        <v>0.4775317</v>
      </c>
      <c r="R7300">
        <v>0.87156829999999996</v>
      </c>
      <c r="S7300">
        <v>-0.32122800000000001</v>
      </c>
      <c r="T7300">
        <v>1.771739</v>
      </c>
      <c r="U7300">
        <v>2.4334410000000002</v>
      </c>
      <c r="V7300">
        <v>-0.17033709999999999</v>
      </c>
      <c r="W7300">
        <v>0.48919829999999997</v>
      </c>
      <c r="X7300">
        <v>0.85537730000000001</v>
      </c>
      <c r="Y7300">
        <v>-0.17189689999999999</v>
      </c>
      <c r="Z7300">
        <v>0.59197069999999996</v>
      </c>
      <c r="AA7300">
        <v>0.78741479999999997</v>
      </c>
      <c r="AB7300">
        <v>35</v>
      </c>
      <c r="AC7300">
        <v>-0.32122800000000001</v>
      </c>
      <c r="AD7300">
        <v>1.771739</v>
      </c>
      <c r="AE7300">
        <v>2.4334410000000002</v>
      </c>
      <c r="AF7300">
        <v>-0.31729369898949</v>
      </c>
      <c r="AG7300">
        <v>1.771739</v>
      </c>
      <c r="AH7300">
        <v>1.5822521030083501</v>
      </c>
      <c r="AI7300">
        <v>42.328187143043401</v>
      </c>
      <c r="AJ7300">
        <v>101.339291391207</v>
      </c>
      <c r="AK7300">
        <v>2.39650914728356</v>
      </c>
      <c r="AL7300">
        <v>60.712098705585902</v>
      </c>
      <c r="AM7300">
        <v>101.262369201011</v>
      </c>
      <c r="AN7300">
        <v>1.0000000148572901</v>
      </c>
    </row>
    <row r="7301" spans="1:40" x14ac:dyDescent="0.25">
      <c r="A7301" t="str">
        <f>"20190304165025777"</f>
        <v>20190304165025777</v>
      </c>
      <c r="B7301" t="str">
        <f>"1551689425772828"</f>
        <v>1551689425772828</v>
      </c>
      <c r="C7301" t="s">
        <v>40</v>
      </c>
      <c r="D7301">
        <v>3.9120330000000001</v>
      </c>
      <c r="E7301">
        <v>0.49822329999999998</v>
      </c>
      <c r="F7301" t="s">
        <v>60</v>
      </c>
      <c r="G7301">
        <v>0</v>
      </c>
      <c r="H7301">
        <v>0</v>
      </c>
      <c r="I7301">
        <v>0</v>
      </c>
      <c r="J7301">
        <v>-187.60159999999999</v>
      </c>
      <c r="K7301">
        <v>1.112463</v>
      </c>
      <c r="L7301">
        <v>-15.90381</v>
      </c>
      <c r="M7301">
        <v>6.5289599999999906E-2</v>
      </c>
      <c r="N7301">
        <v>-1.4242090000000001E-2</v>
      </c>
      <c r="O7301">
        <v>0.99776469999999995</v>
      </c>
      <c r="P7301">
        <v>-0.1091516</v>
      </c>
      <c r="Q7301">
        <v>0.48379850000000002</v>
      </c>
      <c r="R7301">
        <v>0.86834609999999901</v>
      </c>
      <c r="S7301">
        <v>-0.31634519999999999</v>
      </c>
      <c r="T7301">
        <v>1.7740910000000001</v>
      </c>
      <c r="U7301">
        <v>2.4297490000000002</v>
      </c>
      <c r="V7301">
        <v>-0.1670944</v>
      </c>
      <c r="W7301">
        <v>0.49549310000000002</v>
      </c>
      <c r="X7301">
        <v>0.85238840000000005</v>
      </c>
      <c r="Y7301">
        <v>-0.16907179999999999</v>
      </c>
      <c r="Z7301">
        <v>0.59335780000000005</v>
      </c>
      <c r="AA7301">
        <v>0.78698239999999997</v>
      </c>
      <c r="AB7301">
        <v>35</v>
      </c>
      <c r="AC7301">
        <v>-0.31634519999999999</v>
      </c>
      <c r="AD7301">
        <v>1.7740910000000001</v>
      </c>
      <c r="AE7301">
        <v>2.4297490000000002</v>
      </c>
      <c r="AF7301">
        <v>-0.31118722492739598</v>
      </c>
      <c r="AG7301">
        <v>1.7740910000000001</v>
      </c>
      <c r="AH7301">
        <v>1.57712043266817</v>
      </c>
      <c r="AI7301">
        <v>42.180152761029902</v>
      </c>
      <c r="AJ7301">
        <v>101.16185391762799</v>
      </c>
      <c r="AK7301">
        <v>2.39406458233241</v>
      </c>
      <c r="AL7301">
        <v>60.297727774264899</v>
      </c>
      <c r="AM7301">
        <v>101.091096247816</v>
      </c>
      <c r="AN7301">
        <v>0.99999996755676401</v>
      </c>
    </row>
    <row r="7302" spans="1:40" x14ac:dyDescent="0.25">
      <c r="A7302" t="str">
        <f>"20190304165025800"</f>
        <v>20190304165025800</v>
      </c>
      <c r="B7302" t="str">
        <f>"1551689425792347"</f>
        <v>1551689425792347</v>
      </c>
      <c r="C7302" t="s">
        <v>40</v>
      </c>
      <c r="D7302">
        <v>3.8659129999999999</v>
      </c>
      <c r="E7302">
        <v>0.50277649999999996</v>
      </c>
      <c r="F7302" t="s">
        <v>60</v>
      </c>
      <c r="G7302">
        <v>0</v>
      </c>
      <c r="H7302">
        <v>0</v>
      </c>
      <c r="I7302">
        <v>0</v>
      </c>
      <c r="J7302">
        <v>-187.5795</v>
      </c>
      <c r="K7302">
        <v>1.1124700000000001</v>
      </c>
      <c r="L7302">
        <v>-15.543430000000001</v>
      </c>
      <c r="M7302">
        <v>6.3948030000000003E-2</v>
      </c>
      <c r="N7302">
        <v>-1.4296E-2</v>
      </c>
      <c r="O7302">
        <v>0.99785080000000004</v>
      </c>
      <c r="P7302">
        <v>-0.1069623</v>
      </c>
      <c r="Q7302">
        <v>0.48828470000000002</v>
      </c>
      <c r="R7302">
        <v>0.86610450000000005</v>
      </c>
      <c r="S7302">
        <v>-0.30690000000000001</v>
      </c>
      <c r="T7302">
        <v>1.7714019999999999</v>
      </c>
      <c r="U7302">
        <v>2.4293209999999998</v>
      </c>
      <c r="V7302">
        <v>-0.16360810000000001</v>
      </c>
      <c r="W7302">
        <v>0.50001390000000001</v>
      </c>
      <c r="X7302">
        <v>0.85042260000000003</v>
      </c>
      <c r="Y7302">
        <v>-0.16475629999999999</v>
      </c>
      <c r="Z7302">
        <v>0.59328409999999998</v>
      </c>
      <c r="AA7302">
        <v>0.78795269999999995</v>
      </c>
      <c r="AB7302">
        <v>34</v>
      </c>
      <c r="AC7302">
        <v>-0.30690000000000001</v>
      </c>
      <c r="AD7302">
        <v>1.7714019999999999</v>
      </c>
      <c r="AE7302">
        <v>2.4293209999999998</v>
      </c>
      <c r="AF7302">
        <v>-0.30304226987105698</v>
      </c>
      <c r="AG7302">
        <v>1.7714019999999999</v>
      </c>
      <c r="AH7302">
        <v>1.57857888205083</v>
      </c>
      <c r="AI7302">
        <v>42.221190931241701</v>
      </c>
      <c r="AJ7302">
        <v>100.86695444947399</v>
      </c>
      <c r="AK7302">
        <v>2.3919889108834602</v>
      </c>
      <c r="AL7302">
        <v>59.999082184858501</v>
      </c>
      <c r="AM7302">
        <v>100.889769071141</v>
      </c>
      <c r="AN7302">
        <v>1.00000005458478</v>
      </c>
    </row>
    <row r="7303" spans="1:40" x14ac:dyDescent="0.25">
      <c r="A7303" t="str">
        <f>"20190304165025823"</f>
        <v>20190304165025823</v>
      </c>
      <c r="B7303" t="str">
        <f>"1551689425812842"</f>
        <v>1551689425812842</v>
      </c>
      <c r="C7303" t="s">
        <v>40</v>
      </c>
      <c r="D7303">
        <v>3.8723999999999998</v>
      </c>
      <c r="E7303">
        <v>0.50183169999999999</v>
      </c>
      <c r="F7303" t="s">
        <v>60</v>
      </c>
      <c r="G7303">
        <v>0</v>
      </c>
      <c r="H7303">
        <v>0</v>
      </c>
      <c r="I7303">
        <v>0</v>
      </c>
      <c r="J7303">
        <v>-187.55869999999999</v>
      </c>
      <c r="K7303">
        <v>1.1124810000000001</v>
      </c>
      <c r="L7303">
        <v>-15.19922</v>
      </c>
      <c r="M7303">
        <v>6.2664209999999998E-2</v>
      </c>
      <c r="N7303">
        <v>-1.434001E-2</v>
      </c>
      <c r="O7303">
        <v>0.99793169999999998</v>
      </c>
      <c r="P7303">
        <v>-0.1047622</v>
      </c>
      <c r="Q7303">
        <v>0.49176520000000001</v>
      </c>
      <c r="R7303">
        <v>0.86440260000000002</v>
      </c>
      <c r="S7303">
        <v>-0.2736053</v>
      </c>
      <c r="T7303">
        <v>1.69630999999999</v>
      </c>
      <c r="U7303">
        <v>2.4736630000000002</v>
      </c>
      <c r="V7303">
        <v>-0.1602006</v>
      </c>
      <c r="W7303">
        <v>0.50352600000000003</v>
      </c>
      <c r="X7303">
        <v>0.84899789999999997</v>
      </c>
      <c r="Y7303">
        <v>-0.1529218</v>
      </c>
      <c r="Z7303">
        <v>0.5711465</v>
      </c>
      <c r="AA7303">
        <v>0.80647789999999997</v>
      </c>
      <c r="AB7303">
        <v>34</v>
      </c>
      <c r="AC7303">
        <v>-0.2736053</v>
      </c>
      <c r="AD7303">
        <v>1.69630999999999</v>
      </c>
      <c r="AE7303">
        <v>2.4736630000000002</v>
      </c>
      <c r="AF7303">
        <v>-0.29230038590777602</v>
      </c>
      <c r="AG7303">
        <v>1.69630999999999</v>
      </c>
      <c r="AH7303">
        <v>1.6739781891574399</v>
      </c>
      <c r="AI7303">
        <v>45.050560858040797</v>
      </c>
      <c r="AJ7303">
        <v>99.904797015393697</v>
      </c>
      <c r="AK7303">
        <v>2.4010643701235201</v>
      </c>
      <c r="AL7303">
        <v>59.766447898602003</v>
      </c>
      <c r="AM7303">
        <v>100.685715051763</v>
      </c>
      <c r="AN7303">
        <v>1.00000004956038</v>
      </c>
    </row>
    <row r="7304" spans="1:40" x14ac:dyDescent="0.25">
      <c r="A7304" t="str">
        <f>"20190304165025843"</f>
        <v>20190304165025843</v>
      </c>
      <c r="B7304" t="str">
        <f>"1551689425832362"</f>
        <v>1551689425832362</v>
      </c>
      <c r="C7304" t="s">
        <v>40</v>
      </c>
      <c r="D7304">
        <v>3.9248569999999998</v>
      </c>
      <c r="E7304">
        <v>0.50132779999999999</v>
      </c>
      <c r="F7304" t="s">
        <v>60</v>
      </c>
      <c r="G7304">
        <v>0</v>
      </c>
      <c r="H7304">
        <v>0</v>
      </c>
      <c r="I7304">
        <v>0</v>
      </c>
      <c r="J7304">
        <v>-187.54050000000001</v>
      </c>
      <c r="K7304">
        <v>1.11249</v>
      </c>
      <c r="L7304">
        <v>-14.89035</v>
      </c>
      <c r="M7304">
        <v>6.1511099999999999E-2</v>
      </c>
      <c r="N7304">
        <v>-1.4374029999999999E-2</v>
      </c>
      <c r="O7304">
        <v>0.99800290000000003</v>
      </c>
      <c r="P7304">
        <v>-0.1027024</v>
      </c>
      <c r="Q7304">
        <v>0.4960155</v>
      </c>
      <c r="R7304">
        <v>0.86221859999999995</v>
      </c>
      <c r="S7304">
        <v>-0.27825929999999999</v>
      </c>
      <c r="T7304">
        <v>1.6703269999999999</v>
      </c>
      <c r="U7304">
        <v>2.4866030000000001</v>
      </c>
      <c r="V7304">
        <v>-0.1570241</v>
      </c>
      <c r="W7304">
        <v>0.50778990000000002</v>
      </c>
      <c r="X7304">
        <v>0.84704950000000001</v>
      </c>
      <c r="Y7304">
        <v>-0.15340709999999999</v>
      </c>
      <c r="Z7304">
        <v>0.56339450000000002</v>
      </c>
      <c r="AA7304">
        <v>0.81182069999999995</v>
      </c>
      <c r="AB7304">
        <v>34</v>
      </c>
      <c r="AC7304">
        <v>-0.27825929999999999</v>
      </c>
      <c r="AD7304">
        <v>1.6703269999999999</v>
      </c>
      <c r="AE7304">
        <v>2.4866030000000001</v>
      </c>
      <c r="AF7304">
        <v>-0.29793127498419603</v>
      </c>
      <c r="AG7304">
        <v>1.6703269999999999</v>
      </c>
      <c r="AH7304">
        <v>1.70497032967064</v>
      </c>
      <c r="AI7304">
        <v>46.018714942016999</v>
      </c>
      <c r="AJ7304">
        <v>99.911945834403397</v>
      </c>
      <c r="AK7304">
        <v>2.4053438749168299</v>
      </c>
      <c r="AL7304">
        <v>59.483272196359202</v>
      </c>
      <c r="AM7304">
        <v>100.50214198377699</v>
      </c>
      <c r="AN7304">
        <v>1.0000000029865299</v>
      </c>
    </row>
    <row r="7305" spans="1:40" x14ac:dyDescent="0.25">
      <c r="A7305" t="str">
        <f>"20190304165025866"</f>
        <v>20190304165025866</v>
      </c>
      <c r="B7305" t="str">
        <f>"1551689425862618"</f>
        <v>1551689425862618</v>
      </c>
      <c r="C7305" t="s">
        <v>40</v>
      </c>
      <c r="D7305">
        <v>3.9768919999999999</v>
      </c>
      <c r="E7305">
        <v>0.50156329999999905</v>
      </c>
      <c r="F7305" t="s">
        <v>60</v>
      </c>
      <c r="G7305">
        <v>0</v>
      </c>
      <c r="H7305">
        <v>0</v>
      </c>
      <c r="I7305">
        <v>0</v>
      </c>
      <c r="J7305">
        <v>-187.5206</v>
      </c>
      <c r="K7305">
        <v>1.112501</v>
      </c>
      <c r="L7305">
        <v>-14.545439999999999</v>
      </c>
      <c r="M7305">
        <v>6.0222739999999997E-2</v>
      </c>
      <c r="N7305">
        <v>-1.440658E-2</v>
      </c>
      <c r="O7305">
        <v>0.998081</v>
      </c>
      <c r="P7305">
        <v>-0.101622</v>
      </c>
      <c r="Q7305">
        <v>0.50058590000000003</v>
      </c>
      <c r="R7305">
        <v>0.85970159999999995</v>
      </c>
      <c r="S7305">
        <v>-0.27693179999999901</v>
      </c>
      <c r="T7305">
        <v>1.6728970000000001</v>
      </c>
      <c r="U7305">
        <v>2.4840390000000001</v>
      </c>
      <c r="V7305">
        <v>-0.1546961</v>
      </c>
      <c r="W7305">
        <v>0.51236429999999999</v>
      </c>
      <c r="X7305">
        <v>0.84472009999999897</v>
      </c>
      <c r="Y7305">
        <v>-0.15171370000000001</v>
      </c>
      <c r="Z7305">
        <v>0.56453589999999998</v>
      </c>
      <c r="AA7305">
        <v>0.81134589999999995</v>
      </c>
      <c r="AB7305">
        <v>34</v>
      </c>
      <c r="AC7305">
        <v>-0.27693179999999901</v>
      </c>
      <c r="AD7305">
        <v>1.6728970000000001</v>
      </c>
      <c r="AE7305">
        <v>2.4840390000000001</v>
      </c>
      <c r="AF7305">
        <v>-0.29423105189584697</v>
      </c>
      <c r="AG7305">
        <v>1.6728970000000001</v>
      </c>
      <c r="AH7305">
        <v>1.7008886855565799</v>
      </c>
      <c r="AI7305">
        <v>45.897583716082202</v>
      </c>
      <c r="AJ7305">
        <v>99.814279256937397</v>
      </c>
      <c r="AK7305">
        <v>2.4037842259993099</v>
      </c>
      <c r="AL7305">
        <v>59.178558526186897</v>
      </c>
      <c r="AM7305">
        <v>100.377750706873</v>
      </c>
      <c r="AN7305">
        <v>1.00000005330685</v>
      </c>
    </row>
    <row r="7306" spans="1:40" x14ac:dyDescent="0.25">
      <c r="A7306" t="str">
        <f>"20190304165025888"</f>
        <v>20190304165025888</v>
      </c>
      <c r="B7306" t="str">
        <f>"1551689425883115"</f>
        <v>1551689425883115</v>
      </c>
      <c r="C7306" t="s">
        <v>40</v>
      </c>
      <c r="D7306">
        <v>3.9916239999999998</v>
      </c>
      <c r="E7306">
        <v>0.50140640000000003</v>
      </c>
      <c r="F7306" t="s">
        <v>60</v>
      </c>
      <c r="G7306">
        <v>0</v>
      </c>
      <c r="H7306">
        <v>0</v>
      </c>
      <c r="I7306">
        <v>0</v>
      </c>
      <c r="J7306">
        <v>-187.50129999999999</v>
      </c>
      <c r="K7306">
        <v>1.1125100000000001</v>
      </c>
      <c r="L7306">
        <v>-14.205690000000001</v>
      </c>
      <c r="M7306">
        <v>5.8953100000000001E-2</v>
      </c>
      <c r="N7306">
        <v>-1.443381E-2</v>
      </c>
      <c r="O7306">
        <v>0.99815640000000005</v>
      </c>
      <c r="P7306">
        <v>-0.10055799999999999</v>
      </c>
      <c r="Q7306">
        <v>0.50333119999999998</v>
      </c>
      <c r="R7306">
        <v>0.85822240000000005</v>
      </c>
      <c r="S7306">
        <v>-0.27339170000000002</v>
      </c>
      <c r="T7306">
        <v>1.669921</v>
      </c>
      <c r="U7306">
        <v>2.4849239999999999</v>
      </c>
      <c r="V7306">
        <v>-0.15246399999999999</v>
      </c>
      <c r="W7306">
        <v>0.5151232</v>
      </c>
      <c r="X7306">
        <v>0.84344699999999995</v>
      </c>
      <c r="Y7306">
        <v>-0.14932490000000001</v>
      </c>
      <c r="Z7306">
        <v>0.5639478</v>
      </c>
      <c r="AA7306">
        <v>0.81219759999999996</v>
      </c>
      <c r="AB7306">
        <v>34</v>
      </c>
      <c r="AC7306">
        <v>-0.27339170000000002</v>
      </c>
      <c r="AD7306">
        <v>1.669921</v>
      </c>
      <c r="AE7306">
        <v>2.4849239999999999</v>
      </c>
      <c r="AF7306">
        <v>-0.29001669255783602</v>
      </c>
      <c r="AG7306">
        <v>1.669921</v>
      </c>
      <c r="AH7306">
        <v>1.7040958614336901</v>
      </c>
      <c r="AI7306">
        <v>45.989146240597101</v>
      </c>
      <c r="AJ7306">
        <v>99.658514894360707</v>
      </c>
      <c r="AK7306">
        <v>2.4034742630530901</v>
      </c>
      <c r="AL7306">
        <v>58.994310217455499</v>
      </c>
      <c r="AM7306">
        <v>100.24631213096799</v>
      </c>
      <c r="AN7306">
        <v>1.0000000121416199</v>
      </c>
    </row>
    <row r="7307" spans="1:40" x14ac:dyDescent="0.25">
      <c r="A7307" t="str">
        <f>"20190304165025910"</f>
        <v>20190304165025910</v>
      </c>
      <c r="B7307" t="str">
        <f>"1551689425902634"</f>
        <v>1551689425902634</v>
      </c>
      <c r="C7307" t="s">
        <v>40</v>
      </c>
      <c r="D7307">
        <v>3.9722520000000001</v>
      </c>
      <c r="E7307">
        <v>0.50136570000000003</v>
      </c>
      <c r="F7307" t="s">
        <v>60</v>
      </c>
      <c r="G7307">
        <v>0</v>
      </c>
      <c r="H7307">
        <v>0</v>
      </c>
      <c r="I7307">
        <v>0</v>
      </c>
      <c r="J7307">
        <v>-187.482</v>
      </c>
      <c r="K7307">
        <v>1.11252</v>
      </c>
      <c r="L7307">
        <v>-13.855259999999999</v>
      </c>
      <c r="M7307">
        <v>5.7643439999999997E-2</v>
      </c>
      <c r="N7307">
        <v>-1.445752E-2</v>
      </c>
      <c r="O7307">
        <v>0.99823249999999997</v>
      </c>
      <c r="P7307">
        <v>-0.10016559999999999</v>
      </c>
      <c r="Q7307">
        <v>0.50569339999999996</v>
      </c>
      <c r="R7307">
        <v>0.85687860000000005</v>
      </c>
      <c r="S7307">
        <v>-0.2721558</v>
      </c>
      <c r="T7307">
        <v>1.667802</v>
      </c>
      <c r="U7307">
        <v>2.4855649999999998</v>
      </c>
      <c r="V7307">
        <v>-0.15087919999999999</v>
      </c>
      <c r="W7307">
        <v>0.51749499999999904</v>
      </c>
      <c r="X7307">
        <v>0.84227929999999995</v>
      </c>
      <c r="Y7307">
        <v>-0.14763780000000001</v>
      </c>
      <c r="Z7307">
        <v>0.56353529999999996</v>
      </c>
      <c r="AA7307">
        <v>0.81279209999999902</v>
      </c>
      <c r="AB7307">
        <v>34</v>
      </c>
      <c r="AC7307">
        <v>-0.2721558</v>
      </c>
      <c r="AD7307">
        <v>1.667802</v>
      </c>
      <c r="AE7307">
        <v>2.4855649999999998</v>
      </c>
      <c r="AF7307">
        <v>-0.28721331826047602</v>
      </c>
      <c r="AG7307">
        <v>1.667802</v>
      </c>
      <c r="AH7307">
        <v>1.70651304234853</v>
      </c>
      <c r="AI7307">
        <v>46.057205339295201</v>
      </c>
      <c r="AJ7307">
        <v>99.553586059873794</v>
      </c>
      <c r="AK7307">
        <v>2.40338131912018</v>
      </c>
      <c r="AL7307">
        <v>58.835629917973797</v>
      </c>
      <c r="AM7307">
        <v>100.155796087178</v>
      </c>
      <c r="AN7307">
        <v>1.00000001361306</v>
      </c>
    </row>
    <row r="7308" spans="1:40" x14ac:dyDescent="0.25">
      <c r="A7308" t="str">
        <f>"20190304165025932"</f>
        <v>20190304165025932</v>
      </c>
      <c r="B7308" t="str">
        <f>"1551689425923130"</f>
        <v>1551689425923130</v>
      </c>
      <c r="C7308" t="s">
        <v>40</v>
      </c>
      <c r="D7308">
        <v>4.0233540000000003</v>
      </c>
      <c r="E7308">
        <v>0.50102749999999996</v>
      </c>
      <c r="F7308" t="s">
        <v>60</v>
      </c>
      <c r="G7308">
        <v>0</v>
      </c>
      <c r="H7308">
        <v>0</v>
      </c>
      <c r="I7308">
        <v>0</v>
      </c>
      <c r="J7308">
        <v>-187.46459999999999</v>
      </c>
      <c r="K7308">
        <v>1.1125309999999999</v>
      </c>
      <c r="L7308">
        <v>-13.533569999999999</v>
      </c>
      <c r="M7308">
        <v>5.6440360000000002E-2</v>
      </c>
      <c r="N7308">
        <v>-1.44758E-2</v>
      </c>
      <c r="O7308">
        <v>0.99830099999999999</v>
      </c>
      <c r="P7308">
        <v>-9.9858509999999998E-2</v>
      </c>
      <c r="Q7308">
        <v>0.50930390000000003</v>
      </c>
      <c r="R7308">
        <v>0.85477359999999902</v>
      </c>
      <c r="S7308">
        <v>-0.27204899999999999</v>
      </c>
      <c r="T7308">
        <v>1.665</v>
      </c>
      <c r="U7308">
        <v>2.4866640000000002</v>
      </c>
      <c r="V7308">
        <v>-0.14943509999999999</v>
      </c>
      <c r="W7308">
        <v>0.52109850000000002</v>
      </c>
      <c r="X7308">
        <v>0.84031279999999997</v>
      </c>
      <c r="Y7308">
        <v>-0.1464249</v>
      </c>
      <c r="Z7308">
        <v>0.56285769999999902</v>
      </c>
      <c r="AA7308">
        <v>0.8134808</v>
      </c>
      <c r="AB7308">
        <v>34</v>
      </c>
      <c r="AC7308">
        <v>-0.27204899999999999</v>
      </c>
      <c r="AD7308">
        <v>1.665</v>
      </c>
      <c r="AE7308">
        <v>2.4866640000000002</v>
      </c>
      <c r="AF7308">
        <v>-0.28549645994677503</v>
      </c>
      <c r="AG7308">
        <v>1.665</v>
      </c>
      <c r="AH7308">
        <v>1.7098423867989301</v>
      </c>
      <c r="AI7308">
        <v>46.154918269878898</v>
      </c>
      <c r="AJ7308">
        <v>99.479364273404997</v>
      </c>
      <c r="AK7308">
        <v>2.40360026134472</v>
      </c>
      <c r="AL7308">
        <v>58.5940361202492</v>
      </c>
      <c r="AM7308">
        <v>100.083648754412</v>
      </c>
      <c r="AN7308">
        <v>1.0000000488290399</v>
      </c>
    </row>
    <row r="7309" spans="1:40" x14ac:dyDescent="0.25">
      <c r="A7309" t="str">
        <f>"20190304165025954"</f>
        <v>20190304165025954</v>
      </c>
      <c r="B7309" t="str">
        <f>"1551689425942650"</f>
        <v>1551689425942650</v>
      </c>
      <c r="C7309" t="s">
        <v>40</v>
      </c>
      <c r="D7309">
        <v>4.0282910000000003</v>
      </c>
      <c r="E7309">
        <v>0.50047600000000003</v>
      </c>
      <c r="F7309" t="s">
        <v>60</v>
      </c>
      <c r="G7309">
        <v>0</v>
      </c>
      <c r="H7309">
        <v>0</v>
      </c>
      <c r="I7309">
        <v>0</v>
      </c>
      <c r="J7309">
        <v>-187.44640000000001</v>
      </c>
      <c r="K7309">
        <v>1.112547</v>
      </c>
      <c r="L7309">
        <v>-13.189030000000001</v>
      </c>
      <c r="M7309">
        <v>5.5151789999999999E-2</v>
      </c>
      <c r="N7309">
        <v>-1.449229E-2</v>
      </c>
      <c r="O7309">
        <v>0.99837279999999995</v>
      </c>
      <c r="P7309">
        <v>-9.9561940000000002E-2</v>
      </c>
      <c r="Q7309">
        <v>0.512822</v>
      </c>
      <c r="R7309">
        <v>0.85270230000000002</v>
      </c>
      <c r="S7309">
        <v>-0.27374270000000001</v>
      </c>
      <c r="T7309">
        <v>1.673524</v>
      </c>
      <c r="U7309">
        <v>2.480591</v>
      </c>
      <c r="V7309">
        <v>-0.1479356</v>
      </c>
      <c r="W7309">
        <v>0.52460869999999904</v>
      </c>
      <c r="X7309">
        <v>0.83839180000000002</v>
      </c>
      <c r="Y7309">
        <v>-0.1457022</v>
      </c>
      <c r="Z7309">
        <v>0.56578890000000004</v>
      </c>
      <c r="AA7309">
        <v>0.81157489999999999</v>
      </c>
      <c r="AB7309">
        <v>34</v>
      </c>
      <c r="AC7309">
        <v>-0.27374270000000001</v>
      </c>
      <c r="AD7309">
        <v>1.673524</v>
      </c>
      <c r="AE7309">
        <v>2.480591</v>
      </c>
      <c r="AF7309">
        <v>-0.28292546796325901</v>
      </c>
      <c r="AG7309">
        <v>1.673524</v>
      </c>
      <c r="AH7309">
        <v>1.6981180868726999</v>
      </c>
      <c r="AI7309">
        <v>45.810041153169699</v>
      </c>
      <c r="AJ7309">
        <v>99.459229270831003</v>
      </c>
      <c r="AK7309">
        <v>2.4009028376763601</v>
      </c>
      <c r="AL7309">
        <v>58.358095844079699</v>
      </c>
      <c r="AM7309">
        <v>100.006926397299</v>
      </c>
      <c r="AN7309">
        <v>1.00000002008514</v>
      </c>
    </row>
    <row r="7310" spans="1:40" x14ac:dyDescent="0.25">
      <c r="A7310" t="str">
        <f>"20190304165025977"</f>
        <v>20190304165025977</v>
      </c>
      <c r="B7310" t="str">
        <f>"1551689425972905"</f>
        <v>1551689425972905</v>
      </c>
      <c r="C7310" t="s">
        <v>40</v>
      </c>
      <c r="D7310">
        <v>4.0554509999999997</v>
      </c>
      <c r="E7310">
        <v>0.49995800000000001</v>
      </c>
      <c r="F7310" t="s">
        <v>60</v>
      </c>
      <c r="G7310">
        <v>0</v>
      </c>
      <c r="H7310">
        <v>0</v>
      </c>
      <c r="I7310">
        <v>0</v>
      </c>
      <c r="J7310">
        <v>-187.429</v>
      </c>
      <c r="K7310">
        <v>1.112555</v>
      </c>
      <c r="L7310">
        <v>-12.85059</v>
      </c>
      <c r="M7310">
        <v>5.3885639999999999E-2</v>
      </c>
      <c r="N7310">
        <v>-1.45056E-2</v>
      </c>
      <c r="O7310">
        <v>0.99844180000000005</v>
      </c>
      <c r="P7310">
        <v>-9.9176589999999995E-2</v>
      </c>
      <c r="Q7310">
        <v>0.51548859999999996</v>
      </c>
      <c r="R7310">
        <v>0.85113780000000006</v>
      </c>
      <c r="S7310">
        <v>-0.27764889999999998</v>
      </c>
      <c r="T7310">
        <v>1.6788339999999999</v>
      </c>
      <c r="U7310">
        <v>2.4761350000000002</v>
      </c>
      <c r="V7310">
        <v>-0.14639669999999999</v>
      </c>
      <c r="W7310">
        <v>0.52727250000000003</v>
      </c>
      <c r="X7310">
        <v>0.83698969999999995</v>
      </c>
      <c r="Y7310">
        <v>-0.14573699999999901</v>
      </c>
      <c r="Z7310">
        <v>0.56769080000000005</v>
      </c>
      <c r="AA7310">
        <v>0.81023940000000005</v>
      </c>
      <c r="AB7310">
        <v>34</v>
      </c>
      <c r="AC7310">
        <v>-0.27764889999999998</v>
      </c>
      <c r="AD7310">
        <v>1.6788339999999999</v>
      </c>
      <c r="AE7310">
        <v>2.4761350000000002</v>
      </c>
      <c r="AF7310">
        <v>-0.28245675014059402</v>
      </c>
      <c r="AG7310">
        <v>1.6788339999999999</v>
      </c>
      <c r="AH7310">
        <v>1.69023452853529</v>
      </c>
      <c r="AI7310">
        <v>45.5883696050048</v>
      </c>
      <c r="AJ7310">
        <v>99.487089720507896</v>
      </c>
      <c r="AK7310">
        <v>2.3989910747455698</v>
      </c>
      <c r="AL7310">
        <v>58.178647527778899</v>
      </c>
      <c r="AM7310">
        <v>99.921164429060994</v>
      </c>
      <c r="AN7310">
        <v>1.00000002046661</v>
      </c>
    </row>
    <row r="7311" spans="1:40" x14ac:dyDescent="0.25">
      <c r="A7311" t="str">
        <f>"20190304165026000"</f>
        <v>20190304165026000</v>
      </c>
      <c r="B7311" t="str">
        <f>"1551689425992426"</f>
        <v>1551689425992426</v>
      </c>
      <c r="C7311" t="s">
        <v>40</v>
      </c>
      <c r="D7311">
        <v>4.0480479999999996</v>
      </c>
      <c r="E7311">
        <v>0.49946040000000003</v>
      </c>
      <c r="F7311" t="s">
        <v>60</v>
      </c>
      <c r="G7311">
        <v>0</v>
      </c>
      <c r="H7311">
        <v>0</v>
      </c>
      <c r="I7311">
        <v>0</v>
      </c>
      <c r="J7311">
        <v>-187.41120000000001</v>
      </c>
      <c r="K7311">
        <v>1.1125659999999999</v>
      </c>
      <c r="L7311">
        <v>-12.49466</v>
      </c>
      <c r="M7311">
        <v>5.255336E-2</v>
      </c>
      <c r="N7311">
        <v>-1.4517E-2</v>
      </c>
      <c r="O7311">
        <v>0.99851259999999997</v>
      </c>
      <c r="P7311">
        <v>-9.8675639999999995E-2</v>
      </c>
      <c r="Q7311">
        <v>0.51774229999999999</v>
      </c>
      <c r="R7311">
        <v>0.84982709999999995</v>
      </c>
      <c r="S7311">
        <v>-0.2814026</v>
      </c>
      <c r="T7311">
        <v>1.67854399999999</v>
      </c>
      <c r="U7311">
        <v>2.475311</v>
      </c>
      <c r="V7311">
        <v>-0.1447022</v>
      </c>
      <c r="W7311">
        <v>0.52952540000000003</v>
      </c>
      <c r="X7311">
        <v>0.83586130000000003</v>
      </c>
      <c r="Y7311">
        <v>-0.14566119999999999</v>
      </c>
      <c r="Z7311">
        <v>0.56778769999999901</v>
      </c>
      <c r="AA7311">
        <v>0.81018509999999999</v>
      </c>
      <c r="AB7311">
        <v>34</v>
      </c>
      <c r="AC7311">
        <v>-0.2814026</v>
      </c>
      <c r="AD7311">
        <v>1.67854399999999</v>
      </c>
      <c r="AE7311">
        <v>2.475311</v>
      </c>
      <c r="AF7311">
        <v>-0.28275185085271998</v>
      </c>
      <c r="AG7311">
        <v>1.67854399999999</v>
      </c>
      <c r="AH7311">
        <v>1.6899221539770799</v>
      </c>
      <c r="AI7311">
        <v>45.588981262512398</v>
      </c>
      <c r="AJ7311">
        <v>99.498544499928201</v>
      </c>
      <c r="AK7311">
        <v>2.3986028132225599</v>
      </c>
      <c r="AL7311">
        <v>58.026606173886897</v>
      </c>
      <c r="AM7311">
        <v>99.8215566538627</v>
      </c>
      <c r="AN7311">
        <v>0.99999999438384501</v>
      </c>
    </row>
    <row r="7312" spans="1:40" x14ac:dyDescent="0.25">
      <c r="A7312" t="str">
        <f>"20190304165026021"</f>
        <v>20190304165026021</v>
      </c>
      <c r="B7312" t="str">
        <f>"1551689426012922"</f>
        <v>1551689426012922</v>
      </c>
      <c r="C7312" t="s">
        <v>40</v>
      </c>
      <c r="D7312">
        <v>4.0801850000000002</v>
      </c>
      <c r="E7312">
        <v>0.5009207</v>
      </c>
      <c r="F7312" t="s">
        <v>60</v>
      </c>
      <c r="G7312">
        <v>0</v>
      </c>
      <c r="H7312">
        <v>0</v>
      </c>
      <c r="I7312">
        <v>0</v>
      </c>
      <c r="J7312">
        <v>-187.39529999999999</v>
      </c>
      <c r="K7312">
        <v>1.112579</v>
      </c>
      <c r="L7312">
        <v>-12.168089999999999</v>
      </c>
      <c r="M7312">
        <v>5.1330830000000001E-2</v>
      </c>
      <c r="N7312">
        <v>-1.4525639999999999E-2</v>
      </c>
      <c r="O7312">
        <v>0.99857600000000002</v>
      </c>
      <c r="P7312">
        <v>-9.8662009999999994E-2</v>
      </c>
      <c r="Q7312">
        <v>0.51938839999999997</v>
      </c>
      <c r="R7312">
        <v>0.84882369999999996</v>
      </c>
      <c r="S7312">
        <v>-0.29333500000000001</v>
      </c>
      <c r="T7312">
        <v>1.6092010000000001</v>
      </c>
      <c r="U7312">
        <v>2.5156860000000001</v>
      </c>
      <c r="V7312">
        <v>-0.14360539999999999</v>
      </c>
      <c r="W7312">
        <v>0.53117060000000005</v>
      </c>
      <c r="X7312">
        <v>0.83500620000000003</v>
      </c>
      <c r="Y7312">
        <v>-0.1484876</v>
      </c>
      <c r="Z7312">
        <v>0.54567529999999997</v>
      </c>
      <c r="AA7312">
        <v>0.82473619999999903</v>
      </c>
      <c r="AB7312">
        <v>34</v>
      </c>
      <c r="AC7312">
        <v>-0.29333500000000001</v>
      </c>
      <c r="AD7312">
        <v>1.6092010000000001</v>
      </c>
      <c r="AE7312">
        <v>2.5156860000000001</v>
      </c>
      <c r="AF7312">
        <v>-0.30070425467373102</v>
      </c>
      <c r="AG7312">
        <v>1.6092010000000001</v>
      </c>
      <c r="AH7312">
        <v>1.7791098990632099</v>
      </c>
      <c r="AI7312">
        <v>48.271871741610802</v>
      </c>
      <c r="AJ7312">
        <v>99.593435588363903</v>
      </c>
      <c r="AK7312">
        <v>2.4176813148396099</v>
      </c>
      <c r="AL7312">
        <v>57.9154195584847</v>
      </c>
      <c r="AM7312">
        <v>99.758337168574599</v>
      </c>
      <c r="AN7312">
        <v>1.00000003562597</v>
      </c>
    </row>
    <row r="7313" spans="1:40" x14ac:dyDescent="0.25">
      <c r="A7313" t="str">
        <f>"20190304165026043"</f>
        <v>20190304165026043</v>
      </c>
      <c r="B7313" t="str">
        <f>"1551689426033418"</f>
        <v>1551689426033418</v>
      </c>
      <c r="C7313" t="s">
        <v>40</v>
      </c>
      <c r="D7313">
        <v>4.0931540000000002</v>
      </c>
      <c r="E7313">
        <v>0.50047370000000002</v>
      </c>
      <c r="F7313" t="s">
        <v>60</v>
      </c>
      <c r="G7313">
        <v>0</v>
      </c>
      <c r="H7313">
        <v>0</v>
      </c>
      <c r="I7313">
        <v>0</v>
      </c>
      <c r="J7313">
        <v>-187.37989999999999</v>
      </c>
      <c r="K7313">
        <v>1.1125780000000001</v>
      </c>
      <c r="L7313">
        <v>-11.84573</v>
      </c>
      <c r="M7313">
        <v>5.0124019999999998E-2</v>
      </c>
      <c r="N7313">
        <v>-1.45326E-2</v>
      </c>
      <c r="O7313">
        <v>0.99863729999999995</v>
      </c>
      <c r="P7313">
        <v>-9.9103380000000005E-2</v>
      </c>
      <c r="Q7313">
        <v>0.51926700000000003</v>
      </c>
      <c r="R7313">
        <v>0.84884649999999995</v>
      </c>
      <c r="S7313">
        <v>-0.27938839999999998</v>
      </c>
      <c r="T7313">
        <v>1.6307179999999999</v>
      </c>
      <c r="U7313">
        <v>2.5039980000000002</v>
      </c>
      <c r="V7313">
        <v>-0.14302500000000001</v>
      </c>
      <c r="W7313">
        <v>0.53106030000000004</v>
      </c>
      <c r="X7313">
        <v>0.83517589999999997</v>
      </c>
      <c r="Y7313">
        <v>-0.14267089999999999</v>
      </c>
      <c r="Z7313">
        <v>0.55282069999999905</v>
      </c>
      <c r="AA7313">
        <v>0.8209959</v>
      </c>
      <c r="AB7313">
        <v>34</v>
      </c>
      <c r="AC7313">
        <v>-0.27938839999999998</v>
      </c>
      <c r="AD7313">
        <v>1.6307179999999999</v>
      </c>
      <c r="AE7313">
        <v>2.5039980000000002</v>
      </c>
      <c r="AF7313">
        <v>-0.28512168532653298</v>
      </c>
      <c r="AG7313">
        <v>1.6307179999999999</v>
      </c>
      <c r="AH7313">
        <v>1.7526492224076999</v>
      </c>
      <c r="AI7313">
        <v>47.4369524166651</v>
      </c>
      <c r="AJ7313">
        <v>99.239956476498705</v>
      </c>
      <c r="AK7313">
        <v>2.4108742953073601</v>
      </c>
      <c r="AL7313">
        <v>57.922876529220702</v>
      </c>
      <c r="AM7313">
        <v>99.717714081668504</v>
      </c>
      <c r="AN7313">
        <v>0.99999998840094995</v>
      </c>
    </row>
    <row r="7314" spans="1:40" x14ac:dyDescent="0.25">
      <c r="A7314" t="str">
        <f>"20190304165026067"</f>
        <v>20190304165026067</v>
      </c>
      <c r="B7314" t="str">
        <f>"1551689426062699"</f>
        <v>1551689426062699</v>
      </c>
      <c r="C7314" t="s">
        <v>40</v>
      </c>
      <c r="D7314">
        <v>4.0999600000000003</v>
      </c>
      <c r="E7314">
        <v>0.50011740000000005</v>
      </c>
      <c r="F7314" t="s">
        <v>60</v>
      </c>
      <c r="G7314">
        <v>0</v>
      </c>
      <c r="H7314">
        <v>0</v>
      </c>
      <c r="I7314">
        <v>0</v>
      </c>
      <c r="J7314">
        <v>-187.36359999999999</v>
      </c>
      <c r="K7314">
        <v>1.112574</v>
      </c>
      <c r="L7314">
        <v>-11.49277</v>
      </c>
      <c r="M7314">
        <v>4.8802520000000002E-2</v>
      </c>
      <c r="N7314">
        <v>-1.453872E-2</v>
      </c>
      <c r="O7314">
        <v>0.9987026</v>
      </c>
      <c r="P7314">
        <v>-9.9807259999999995E-2</v>
      </c>
      <c r="Q7314">
        <v>0.51865169999999905</v>
      </c>
      <c r="R7314">
        <v>0.84914020000000001</v>
      </c>
      <c r="S7314">
        <v>-0.28407290000000002</v>
      </c>
      <c r="T7314">
        <v>1.631691</v>
      </c>
      <c r="U7314">
        <v>2.502869</v>
      </c>
      <c r="V7314">
        <v>-0.14262159999999999</v>
      </c>
      <c r="W7314">
        <v>0.53045869999999995</v>
      </c>
      <c r="X7314">
        <v>0.83562709999999996</v>
      </c>
      <c r="Y7314">
        <v>-0.14289869999999999</v>
      </c>
      <c r="Z7314">
        <v>0.55322209999999905</v>
      </c>
      <c r="AA7314">
        <v>0.82068589999999997</v>
      </c>
      <c r="AB7314">
        <v>34</v>
      </c>
      <c r="AC7314">
        <v>-0.28407290000000002</v>
      </c>
      <c r="AD7314">
        <v>1.631691</v>
      </c>
      <c r="AE7314">
        <v>2.502869</v>
      </c>
      <c r="AF7314">
        <v>-0.28592005888802102</v>
      </c>
      <c r="AG7314">
        <v>1.631691</v>
      </c>
      <c r="AH7314">
        <v>1.7512061304375099</v>
      </c>
      <c r="AI7314">
        <v>47.399084916234202</v>
      </c>
      <c r="AJ7314">
        <v>99.272883937415003</v>
      </c>
      <c r="AK7314">
        <v>2.4105785012808498</v>
      </c>
      <c r="AL7314">
        <v>57.963547483373098</v>
      </c>
      <c r="AM7314">
        <v>99.685692408493495</v>
      </c>
      <c r="AN7314">
        <v>1.0000000017233299</v>
      </c>
    </row>
    <row r="7315" spans="1:40" x14ac:dyDescent="0.25">
      <c r="A7315" t="str">
        <f>"20190304165026088"</f>
        <v>20190304165026088</v>
      </c>
      <c r="B7315" t="str">
        <f>"1551689426083194"</f>
        <v>1551689426083194</v>
      </c>
      <c r="C7315" t="s">
        <v>40</v>
      </c>
      <c r="D7315">
        <v>4.128711</v>
      </c>
      <c r="E7315">
        <v>0.5000715</v>
      </c>
      <c r="F7315" t="s">
        <v>60</v>
      </c>
      <c r="G7315">
        <v>0</v>
      </c>
      <c r="H7315">
        <v>0</v>
      </c>
      <c r="I7315">
        <v>0</v>
      </c>
      <c r="J7315">
        <v>-187.3492</v>
      </c>
      <c r="K7315">
        <v>1.1125799999999999</v>
      </c>
      <c r="L7315">
        <v>-11.17334</v>
      </c>
      <c r="M7315">
        <v>4.760607E-2</v>
      </c>
      <c r="N7315">
        <v>-1.454308E-2</v>
      </c>
      <c r="O7315">
        <v>0.99876030000000005</v>
      </c>
      <c r="P7315">
        <v>-0.1008921</v>
      </c>
      <c r="Q7315">
        <v>0.51773549999999902</v>
      </c>
      <c r="R7315">
        <v>0.84957090000000002</v>
      </c>
      <c r="S7315">
        <v>-0.28883360000000002</v>
      </c>
      <c r="T7315">
        <v>1.6313120000000001</v>
      </c>
      <c r="U7315">
        <v>2.5026250000000001</v>
      </c>
      <c r="V7315">
        <v>-0.1427098</v>
      </c>
      <c r="W7315">
        <v>0.52955529999999995</v>
      </c>
      <c r="X7315">
        <v>0.83618490000000001</v>
      </c>
      <c r="Y7315">
        <v>-0.14327590000000001</v>
      </c>
      <c r="Z7315">
        <v>0.55316409999999905</v>
      </c>
      <c r="AA7315">
        <v>0.82065919999999903</v>
      </c>
      <c r="AB7315">
        <v>34</v>
      </c>
      <c r="AC7315">
        <v>-0.28883360000000002</v>
      </c>
      <c r="AD7315">
        <v>1.6313120000000001</v>
      </c>
      <c r="AE7315">
        <v>2.5026250000000001</v>
      </c>
      <c r="AF7315">
        <v>-0.28722309018029302</v>
      </c>
      <c r="AG7315">
        <v>1.6313120000000001</v>
      </c>
      <c r="AH7315">
        <v>1.75157933466355</v>
      </c>
      <c r="AI7315">
        <v>47.415025383760302</v>
      </c>
      <c r="AJ7315">
        <v>99.312454681160204</v>
      </c>
      <c r="AK7315">
        <v>2.41074803961284</v>
      </c>
      <c r="AL7315">
        <v>58.024588441453403</v>
      </c>
      <c r="AM7315">
        <v>99.685226131820599</v>
      </c>
      <c r="AN7315">
        <v>1.00000004488106</v>
      </c>
    </row>
    <row r="7316" spans="1:40" x14ac:dyDescent="0.25">
      <c r="A7316" t="str">
        <f>"20190304165026110"</f>
        <v>20190304165026110</v>
      </c>
      <c r="B7316" t="str">
        <f>"1551689426102714"</f>
        <v>1551689426102714</v>
      </c>
      <c r="C7316" t="s">
        <v>40</v>
      </c>
      <c r="D7316">
        <v>4.1406000000000001</v>
      </c>
      <c r="E7316">
        <v>0.50010980000000005</v>
      </c>
      <c r="F7316" t="s">
        <v>60</v>
      </c>
      <c r="G7316">
        <v>0</v>
      </c>
      <c r="H7316">
        <v>0</v>
      </c>
      <c r="I7316">
        <v>0</v>
      </c>
      <c r="J7316">
        <v>-187.33449999999999</v>
      </c>
      <c r="K7316">
        <v>1.112574</v>
      </c>
      <c r="L7316">
        <v>-10.837949999999999</v>
      </c>
      <c r="M7316">
        <v>4.6349420000000002E-2</v>
      </c>
      <c r="N7316">
        <v>-1.454632E-2</v>
      </c>
      <c r="O7316">
        <v>0.99881940000000002</v>
      </c>
      <c r="P7316">
        <v>-0.1026363</v>
      </c>
      <c r="Q7316">
        <v>0.51646519999999996</v>
      </c>
      <c r="R7316">
        <v>0.85013499999999997</v>
      </c>
      <c r="S7316">
        <v>-0.29206850000000001</v>
      </c>
      <c r="T7316">
        <v>1.6299709999999901</v>
      </c>
      <c r="U7316">
        <v>2.5032040000000002</v>
      </c>
      <c r="V7316">
        <v>-0.14340929999999999</v>
      </c>
      <c r="W7316">
        <v>0.5282964</v>
      </c>
      <c r="X7316">
        <v>0.83686130000000003</v>
      </c>
      <c r="Y7316">
        <v>-0.14308989999999999</v>
      </c>
      <c r="Z7316">
        <v>0.55279639999999997</v>
      </c>
      <c r="AA7316">
        <v>0.82093939999999999</v>
      </c>
      <c r="AB7316">
        <v>34</v>
      </c>
      <c r="AC7316">
        <v>-0.29206850000000001</v>
      </c>
      <c r="AD7316">
        <v>1.6299709999999901</v>
      </c>
      <c r="AE7316">
        <v>2.5032040000000002</v>
      </c>
      <c r="AF7316">
        <v>-0.28751812356359002</v>
      </c>
      <c r="AG7316">
        <v>1.6299709999999901</v>
      </c>
      <c r="AH7316">
        <v>1.75348154991619</v>
      </c>
      <c r="AI7316">
        <v>47.469437048746897</v>
      </c>
      <c r="AJ7316">
        <v>99.311917214554995</v>
      </c>
      <c r="AK7316">
        <v>2.4112589404945801</v>
      </c>
      <c r="AL7316">
        <v>58.1095811117141</v>
      </c>
      <c r="AM7316">
        <v>99.724077592551197</v>
      </c>
      <c r="AN7316">
        <v>1.00000007450856</v>
      </c>
    </row>
    <row r="7317" spans="1:40" x14ac:dyDescent="0.25">
      <c r="A7317" t="str">
        <f>"20190304165026144"</f>
        <v>20190304165026144</v>
      </c>
      <c r="B7317" t="str">
        <f>"1551689426132970"</f>
        <v>1551689426132970</v>
      </c>
      <c r="C7317" t="s">
        <v>40</v>
      </c>
      <c r="D7317">
        <v>4.1646369999999999</v>
      </c>
      <c r="E7317">
        <v>0.500274</v>
      </c>
      <c r="F7317" t="s">
        <v>60</v>
      </c>
      <c r="G7317">
        <v>0</v>
      </c>
      <c r="H7317">
        <v>0</v>
      </c>
      <c r="I7317">
        <v>0</v>
      </c>
      <c r="J7317">
        <v>-187.31299999999999</v>
      </c>
      <c r="K7317">
        <v>1.1125609999999999</v>
      </c>
      <c r="L7317">
        <v>-10.32755</v>
      </c>
      <c r="M7317">
        <v>4.44359E-2</v>
      </c>
      <c r="N7317">
        <v>-1.454926E-2</v>
      </c>
      <c r="O7317">
        <v>0.99890630000000002</v>
      </c>
      <c r="P7317">
        <v>-0.1056941</v>
      </c>
      <c r="Q7317">
        <v>0.5140865</v>
      </c>
      <c r="R7317">
        <v>0.8512014</v>
      </c>
      <c r="S7317">
        <v>-0.29693599999999998</v>
      </c>
      <c r="T7317">
        <v>1.6269149999999999</v>
      </c>
      <c r="U7317">
        <v>2.5046390000000001</v>
      </c>
      <c r="V7317">
        <v>-0.14488090000000001</v>
      </c>
      <c r="W7317">
        <v>0.52593480000000004</v>
      </c>
      <c r="X7317">
        <v>0.83809429999999996</v>
      </c>
      <c r="Y7317">
        <v>-0.1427908</v>
      </c>
      <c r="Z7317">
        <v>0.55191569999999901</v>
      </c>
      <c r="AA7317">
        <v>0.82158369999999903</v>
      </c>
      <c r="AB7317">
        <v>34</v>
      </c>
      <c r="AC7317">
        <v>-0.29693599999999998</v>
      </c>
      <c r="AD7317">
        <v>1.6269149999999999</v>
      </c>
      <c r="AE7317">
        <v>2.5046390000000001</v>
      </c>
      <c r="AF7317">
        <v>-0.288084019529803</v>
      </c>
      <c r="AG7317">
        <v>1.6269149999999999</v>
      </c>
      <c r="AH7317">
        <v>1.75764556469497</v>
      </c>
      <c r="AI7317">
        <v>47.590371357597903</v>
      </c>
      <c r="AJ7317">
        <v>99.308206969986699</v>
      </c>
      <c r="AK7317">
        <v>2.4122940846060499</v>
      </c>
      <c r="AL7317">
        <v>58.268804150227602</v>
      </c>
      <c r="AM7317">
        <v>99.807758594772196</v>
      </c>
      <c r="AN7317">
        <v>0.99999997236416904</v>
      </c>
    </row>
    <row r="7318" spans="1:40" x14ac:dyDescent="0.25">
      <c r="A7318" t="str">
        <f>"20190304165026165"</f>
        <v>20190304165026165</v>
      </c>
      <c r="B7318" t="str">
        <f>"1551689426163227"</f>
        <v>1551689426163227</v>
      </c>
      <c r="C7318" t="s">
        <v>40</v>
      </c>
      <c r="D7318">
        <v>4.1634659999999997</v>
      </c>
      <c r="E7318">
        <v>0.50059039999999999</v>
      </c>
      <c r="F7318" t="s">
        <v>60</v>
      </c>
      <c r="G7318">
        <v>0</v>
      </c>
      <c r="H7318">
        <v>0</v>
      </c>
      <c r="I7318">
        <v>0</v>
      </c>
      <c r="J7318">
        <v>-187.3</v>
      </c>
      <c r="K7318">
        <v>1.112554</v>
      </c>
      <c r="L7318">
        <v>-10.00705</v>
      </c>
      <c r="M7318">
        <v>4.3234340000000003E-2</v>
      </c>
      <c r="N7318">
        <v>-1.4550220000000001E-2</v>
      </c>
      <c r="O7318">
        <v>0.99895900000000004</v>
      </c>
      <c r="P7318">
        <v>-0.1071859</v>
      </c>
      <c r="Q7318">
        <v>0.51271469999999997</v>
      </c>
      <c r="R7318">
        <v>0.85184210000000005</v>
      </c>
      <c r="S7318">
        <v>-0.30477910000000002</v>
      </c>
      <c r="T7318">
        <v>1.619156</v>
      </c>
      <c r="U7318">
        <v>2.5086979999999999</v>
      </c>
      <c r="V7318">
        <v>-0.145374799999999</v>
      </c>
      <c r="W7318">
        <v>0.52457430000000005</v>
      </c>
      <c r="X7318">
        <v>0.83886109999999903</v>
      </c>
      <c r="Y7318">
        <v>-0.14418410000000001</v>
      </c>
      <c r="Z7318">
        <v>0.54942659999999999</v>
      </c>
      <c r="AA7318">
        <v>0.8230075</v>
      </c>
      <c r="AB7318">
        <v>34</v>
      </c>
      <c r="AC7318">
        <v>-0.30477910000000002</v>
      </c>
      <c r="AD7318">
        <v>1.619156</v>
      </c>
      <c r="AE7318">
        <v>2.5086979999999999</v>
      </c>
      <c r="AF7318">
        <v>-0.29278004444984301</v>
      </c>
      <c r="AG7318">
        <v>1.619156</v>
      </c>
      <c r="AH7318">
        <v>1.7675762193937301</v>
      </c>
      <c r="AI7318">
        <v>47.895301673420903</v>
      </c>
      <c r="AJ7318">
        <v>99.405038458874202</v>
      </c>
      <c r="AK7318">
        <v>2.4148937860970801</v>
      </c>
      <c r="AL7318">
        <v>58.3604097781487</v>
      </c>
      <c r="AM7318">
        <v>99.831721165075706</v>
      </c>
      <c r="AN7318">
        <v>0.99999998689436898</v>
      </c>
    </row>
    <row r="7319" spans="1:40" x14ac:dyDescent="0.25">
      <c r="A7319" t="str">
        <f>"20190304165026189"</f>
        <v>20190304165026189</v>
      </c>
      <c r="B7319" t="str">
        <f>"1551689426182747"</f>
        <v>1551689426182747</v>
      </c>
      <c r="C7319" t="s">
        <v>40</v>
      </c>
      <c r="D7319">
        <v>4.1900209999999998</v>
      </c>
      <c r="E7319">
        <v>0.50086399999999998</v>
      </c>
      <c r="F7319" t="s">
        <v>60</v>
      </c>
      <c r="G7319">
        <v>0</v>
      </c>
      <c r="H7319">
        <v>0</v>
      </c>
      <c r="I7319">
        <v>0</v>
      </c>
      <c r="J7319">
        <v>-187.28569999999999</v>
      </c>
      <c r="K7319">
        <v>1.11254599999999</v>
      </c>
      <c r="L7319">
        <v>-9.6445620000000005</v>
      </c>
      <c r="M7319">
        <v>4.187577E-2</v>
      </c>
      <c r="N7319">
        <v>-1.455059E-2</v>
      </c>
      <c r="O7319">
        <v>0.99901689999999999</v>
      </c>
      <c r="P7319">
        <v>-0.10891380000000001</v>
      </c>
      <c r="Q7319">
        <v>0.51028220000000002</v>
      </c>
      <c r="R7319">
        <v>0.85308259999999903</v>
      </c>
      <c r="S7319">
        <v>-0.306778</v>
      </c>
      <c r="T7319">
        <v>1.6135520000000001</v>
      </c>
      <c r="U7319">
        <v>2.5119929999999999</v>
      </c>
      <c r="V7319">
        <v>-0.1459908</v>
      </c>
      <c r="W7319">
        <v>0.52216149999999995</v>
      </c>
      <c r="X7319">
        <v>0.84025830000000001</v>
      </c>
      <c r="Y7319">
        <v>-0.14349489999999901</v>
      </c>
      <c r="Z7319">
        <v>0.54768739999999905</v>
      </c>
      <c r="AA7319">
        <v>0.82428619999999997</v>
      </c>
      <c r="AB7319">
        <v>34</v>
      </c>
      <c r="AC7319">
        <v>-0.306778</v>
      </c>
      <c r="AD7319">
        <v>1.6135520000000001</v>
      </c>
      <c r="AE7319">
        <v>2.5119929999999999</v>
      </c>
      <c r="AF7319">
        <v>-0.29271306460494101</v>
      </c>
      <c r="AG7319">
        <v>1.6135520000000001</v>
      </c>
      <c r="AH7319">
        <v>1.7752408751119699</v>
      </c>
      <c r="AI7319">
        <v>48.1139036123026</v>
      </c>
      <c r="AJ7319">
        <v>99.363048295562194</v>
      </c>
      <c r="AK7319">
        <v>2.4167563302001902</v>
      </c>
      <c r="AL7319">
        <v>58.522646595281302</v>
      </c>
      <c r="AM7319">
        <v>99.856469211331103</v>
      </c>
      <c r="AN7319">
        <v>0.999999978242889</v>
      </c>
    </row>
    <row r="7320" spans="1:40" x14ac:dyDescent="0.25">
      <c r="A7320" t="str">
        <f>"20190304165026213"</f>
        <v>20190304165026213</v>
      </c>
      <c r="B7320" t="str">
        <f>"1551689426203242"</f>
        <v>1551689426203242</v>
      </c>
      <c r="C7320" t="s">
        <v>40</v>
      </c>
      <c r="D7320">
        <v>4.1899290000000002</v>
      </c>
      <c r="E7320">
        <v>0.50112679999999998</v>
      </c>
      <c r="F7320" t="s">
        <v>60</v>
      </c>
      <c r="G7320">
        <v>0</v>
      </c>
      <c r="H7320">
        <v>0</v>
      </c>
      <c r="I7320">
        <v>0</v>
      </c>
      <c r="J7320">
        <v>-187.2722</v>
      </c>
      <c r="K7320">
        <v>1.11253</v>
      </c>
      <c r="L7320">
        <v>-9.2887880000000003</v>
      </c>
      <c r="M7320">
        <v>4.0546510000000001E-2</v>
      </c>
      <c r="N7320">
        <v>-1.455029E-2</v>
      </c>
      <c r="O7320">
        <v>0.99907170000000001</v>
      </c>
      <c r="P7320">
        <v>-0.1108804</v>
      </c>
      <c r="Q7320">
        <v>0.50531579999999998</v>
      </c>
      <c r="R7320">
        <v>0.85578120000000002</v>
      </c>
      <c r="S7320">
        <v>-0.30989070000000002</v>
      </c>
      <c r="T7320">
        <v>1.606255</v>
      </c>
      <c r="U7320">
        <v>2.5162960000000001</v>
      </c>
      <c r="V7320">
        <v>-0.14691750000000001</v>
      </c>
      <c r="W7320">
        <v>0.51723589999999997</v>
      </c>
      <c r="X7320">
        <v>0.84313839999999995</v>
      </c>
      <c r="Y7320">
        <v>-0.14320069999999999</v>
      </c>
      <c r="Z7320">
        <v>0.54537029999999997</v>
      </c>
      <c r="AA7320">
        <v>0.8258721</v>
      </c>
      <c r="AB7320">
        <v>34</v>
      </c>
      <c r="AC7320">
        <v>-0.30989070000000002</v>
      </c>
      <c r="AD7320">
        <v>1.606255</v>
      </c>
      <c r="AE7320">
        <v>2.5162960000000001</v>
      </c>
      <c r="AF7320">
        <v>-0.29376062481036203</v>
      </c>
      <c r="AG7320">
        <v>1.606255</v>
      </c>
      <c r="AH7320">
        <v>1.7851257437456001</v>
      </c>
      <c r="AI7320">
        <v>48.399471543561702</v>
      </c>
      <c r="AJ7320">
        <v>99.344851764061403</v>
      </c>
      <c r="AK7320">
        <v>2.41930245126508</v>
      </c>
      <c r="AL7320">
        <v>58.852978451920798</v>
      </c>
      <c r="AM7320">
        <v>99.884587076915096</v>
      </c>
      <c r="AN7320">
        <v>1.0000000448048001</v>
      </c>
    </row>
    <row r="7321" spans="1:40" x14ac:dyDescent="0.25">
      <c r="A7321" t="str">
        <f>"20190304165026233"</f>
        <v>20190304165026233</v>
      </c>
      <c r="B7321" t="str">
        <f>"1551689426222762"</f>
        <v>1551689426222762</v>
      </c>
      <c r="C7321" t="s">
        <v>40</v>
      </c>
      <c r="D7321">
        <v>4.1704470000000002</v>
      </c>
      <c r="E7321">
        <v>0.50135439999999998</v>
      </c>
      <c r="F7321" t="s">
        <v>60</v>
      </c>
      <c r="G7321">
        <v>0</v>
      </c>
      <c r="H7321">
        <v>0</v>
      </c>
      <c r="I7321">
        <v>0</v>
      </c>
      <c r="J7321">
        <v>-187.261</v>
      </c>
      <c r="K7321">
        <v>1.1124989999999999</v>
      </c>
      <c r="L7321">
        <v>-8.9852289999999897</v>
      </c>
      <c r="M7321">
        <v>3.941832E-2</v>
      </c>
      <c r="N7321">
        <v>-1.454955E-2</v>
      </c>
      <c r="O7321">
        <v>0.99911680000000003</v>
      </c>
      <c r="P7321">
        <v>-0.11285530000000001</v>
      </c>
      <c r="Q7321">
        <v>0.4979345</v>
      </c>
      <c r="R7321">
        <v>0.8598401</v>
      </c>
      <c r="S7321">
        <v>-0.31372070000000002</v>
      </c>
      <c r="T7321">
        <v>1.5912850000000001</v>
      </c>
      <c r="U7321">
        <v>2.525299</v>
      </c>
      <c r="V7321">
        <v>-0.14806169999999999</v>
      </c>
      <c r="W7321">
        <v>0.50991419999999998</v>
      </c>
      <c r="X7321">
        <v>0.84738729999999995</v>
      </c>
      <c r="Y7321">
        <v>-0.143345899999999</v>
      </c>
      <c r="Z7321">
        <v>0.54051610000000005</v>
      </c>
      <c r="AA7321">
        <v>0.82903209999999905</v>
      </c>
      <c r="AB7321">
        <v>34</v>
      </c>
      <c r="AC7321">
        <v>-0.31372070000000002</v>
      </c>
      <c r="AD7321">
        <v>1.5912850000000001</v>
      </c>
      <c r="AE7321">
        <v>2.525299</v>
      </c>
      <c r="AF7321">
        <v>-0.296922463713919</v>
      </c>
      <c r="AG7321">
        <v>1.5912850000000001</v>
      </c>
      <c r="AH7321">
        <v>1.80510408174458</v>
      </c>
      <c r="AI7321">
        <v>48.981358310218198</v>
      </c>
      <c r="AJ7321">
        <v>99.340963981340806</v>
      </c>
      <c r="AK7321">
        <v>2.4246137108029999</v>
      </c>
      <c r="AL7321">
        <v>59.341885090801298</v>
      </c>
      <c r="AM7321">
        <v>99.911084858507195</v>
      </c>
      <c r="AN7321">
        <v>0.99999999728490996</v>
      </c>
    </row>
    <row r="7322" spans="1:40" x14ac:dyDescent="0.25">
      <c r="A7322" t="str">
        <f>"20190304165026256"</f>
        <v>20190304165026256</v>
      </c>
      <c r="B7322" t="str">
        <f>"1551689426253018"</f>
        <v>1551689426253018</v>
      </c>
      <c r="C7322" t="s">
        <v>40</v>
      </c>
      <c r="D7322">
        <v>4.1849819999999998</v>
      </c>
      <c r="E7322">
        <v>0.50170919999999997</v>
      </c>
      <c r="F7322" t="s">
        <v>60</v>
      </c>
      <c r="G7322">
        <v>0</v>
      </c>
      <c r="H7322">
        <v>0</v>
      </c>
      <c r="I7322">
        <v>0</v>
      </c>
      <c r="J7322">
        <v>-187.2491</v>
      </c>
      <c r="K7322">
        <v>1.1124419999999999</v>
      </c>
      <c r="L7322">
        <v>-8.6494750000000007</v>
      </c>
      <c r="M7322">
        <v>3.8179669999999999E-2</v>
      </c>
      <c r="N7322">
        <v>-1.454854E-2</v>
      </c>
      <c r="O7322">
        <v>0.99916499999999997</v>
      </c>
      <c r="P7322">
        <v>-0.11564000000000001</v>
      </c>
      <c r="Q7322">
        <v>0.4844812</v>
      </c>
      <c r="R7322">
        <v>0.86712469999999997</v>
      </c>
      <c r="S7322">
        <v>-0.31811519999999999</v>
      </c>
      <c r="T7322">
        <v>1.5685119999999999</v>
      </c>
      <c r="U7322">
        <v>2.5389400000000002</v>
      </c>
      <c r="V7322">
        <v>-0.1500145</v>
      </c>
      <c r="W7322">
        <v>0.49656670000000003</v>
      </c>
      <c r="X7322">
        <v>0.85493699999999995</v>
      </c>
      <c r="Y7322">
        <v>-0.143569899999999</v>
      </c>
      <c r="Z7322">
        <v>0.53309890000000004</v>
      </c>
      <c r="AA7322">
        <v>0.83378249999999998</v>
      </c>
      <c r="AB7322">
        <v>34</v>
      </c>
      <c r="AC7322">
        <v>-0.31811519999999999</v>
      </c>
      <c r="AD7322">
        <v>1.5685119999999999</v>
      </c>
      <c r="AE7322">
        <v>2.5389400000000002</v>
      </c>
      <c r="AF7322">
        <v>-0.30152829575479501</v>
      </c>
      <c r="AG7322">
        <v>1.5685119999999999</v>
      </c>
      <c r="AH7322">
        <v>1.83531210400497</v>
      </c>
      <c r="AI7322">
        <v>49.858266917120801</v>
      </c>
      <c r="AJ7322">
        <v>99.329926786849299</v>
      </c>
      <c r="AK7322">
        <v>2.43300631449898</v>
      </c>
      <c r="AL7322">
        <v>60.2268883633038</v>
      </c>
      <c r="AM7322">
        <v>99.952288020245504</v>
      </c>
      <c r="AN7322">
        <v>1.00000005586406</v>
      </c>
    </row>
    <row r="7323" spans="1:40" x14ac:dyDescent="0.25">
      <c r="A7323" t="str">
        <f>"20190304165026278"</f>
        <v>20190304165026278</v>
      </c>
      <c r="B7323" t="str">
        <f>"1551689426272539"</f>
        <v>1551689426272539</v>
      </c>
      <c r="C7323" t="s">
        <v>40</v>
      </c>
      <c r="D7323">
        <v>4.1992520000000004</v>
      </c>
      <c r="E7323">
        <v>0.50185109999999999</v>
      </c>
      <c r="F7323" t="s">
        <v>60</v>
      </c>
      <c r="G7323">
        <v>0</v>
      </c>
      <c r="H7323">
        <v>0</v>
      </c>
      <c r="I7323">
        <v>0</v>
      </c>
      <c r="J7323">
        <v>-187.2379</v>
      </c>
      <c r="K7323">
        <v>1.112363</v>
      </c>
      <c r="L7323">
        <v>-8.3244319999999998</v>
      </c>
      <c r="M7323">
        <v>3.6995430000000003E-2</v>
      </c>
      <c r="N7323">
        <v>-1.454712E-2</v>
      </c>
      <c r="O7323">
        <v>0.99920949999999997</v>
      </c>
      <c r="P7323">
        <v>-0.1185027</v>
      </c>
      <c r="Q7323">
        <v>0.46797810000000001</v>
      </c>
      <c r="R7323">
        <v>0.87575890000000001</v>
      </c>
      <c r="S7323">
        <v>-0.32420349999999998</v>
      </c>
      <c r="T7323">
        <v>1.5264040000000001</v>
      </c>
      <c r="U7323">
        <v>2.5636290000000002</v>
      </c>
      <c r="V7323">
        <v>-0.1521132</v>
      </c>
      <c r="W7323">
        <v>0.4801898</v>
      </c>
      <c r="X7323">
        <v>0.86387459999999905</v>
      </c>
      <c r="Y7323">
        <v>-0.144414299999999</v>
      </c>
      <c r="Z7323">
        <v>0.51931539999999998</v>
      </c>
      <c r="AA7323">
        <v>0.84229209999999999</v>
      </c>
      <c r="AB7323">
        <v>34</v>
      </c>
      <c r="AC7323">
        <v>-0.32420349999999998</v>
      </c>
      <c r="AD7323">
        <v>1.5264040000000001</v>
      </c>
      <c r="AE7323">
        <v>2.5636290000000002</v>
      </c>
      <c r="AF7323">
        <v>-0.31049364336027102</v>
      </c>
      <c r="AG7323">
        <v>1.5264040000000001</v>
      </c>
      <c r="AH7323">
        <v>1.89029735394146</v>
      </c>
      <c r="AI7323">
        <v>51.451583816654598</v>
      </c>
      <c r="AJ7323">
        <v>99.327910243030203</v>
      </c>
      <c r="AK7323">
        <v>2.4493957540792</v>
      </c>
      <c r="AL7323">
        <v>61.302201025055098</v>
      </c>
      <c r="AM7323">
        <v>99.986414151659602</v>
      </c>
      <c r="AN7323">
        <v>0.99999999708171905</v>
      </c>
    </row>
    <row r="7324" spans="1:40" x14ac:dyDescent="0.25">
      <c r="A7324" t="str">
        <f>"20190304165026300"</f>
        <v>20190304165026300</v>
      </c>
      <c r="B7324" t="str">
        <f>"1551689426293036"</f>
        <v>1551689426293036</v>
      </c>
      <c r="C7324" t="s">
        <v>40</v>
      </c>
      <c r="D7324">
        <v>4.2239329999999997</v>
      </c>
      <c r="E7324">
        <v>0.51810909999999999</v>
      </c>
      <c r="F7324" t="s">
        <v>60</v>
      </c>
      <c r="G7324">
        <v>0</v>
      </c>
      <c r="H7324">
        <v>0</v>
      </c>
      <c r="I7324">
        <v>0</v>
      </c>
      <c r="J7324">
        <v>-187.22649999999999</v>
      </c>
      <c r="K7324">
        <v>1.112274</v>
      </c>
      <c r="L7324">
        <v>-7.9812009999999898</v>
      </c>
      <c r="M7324">
        <v>3.5759659999999999E-2</v>
      </c>
      <c r="N7324">
        <v>-1.454519E-2</v>
      </c>
      <c r="O7324">
        <v>0.99925459999999999</v>
      </c>
      <c r="P7324">
        <v>-0.1211305</v>
      </c>
      <c r="Q7324">
        <v>0.44891520000000001</v>
      </c>
      <c r="R7324">
        <v>0.88532630000000001</v>
      </c>
      <c r="S7324">
        <v>-0.33181759999999999</v>
      </c>
      <c r="T7324">
        <v>1.477163</v>
      </c>
      <c r="U7324">
        <v>2.5913390000000001</v>
      </c>
      <c r="V7324">
        <v>-0.15393689999999999</v>
      </c>
      <c r="W7324">
        <v>0.46126810000000001</v>
      </c>
      <c r="X7324">
        <v>0.87380499999999905</v>
      </c>
      <c r="Y7324">
        <v>-0.14571199999999901</v>
      </c>
      <c r="Z7324">
        <v>0.50316320000000003</v>
      </c>
      <c r="AA7324">
        <v>0.85181849999999903</v>
      </c>
      <c r="AB7324">
        <v>33</v>
      </c>
      <c r="AC7324">
        <v>-0.33181759999999999</v>
      </c>
      <c r="AD7324">
        <v>1.477163</v>
      </c>
      <c r="AE7324">
        <v>2.5913390000000001</v>
      </c>
      <c r="AF7324">
        <v>-0.32149724848047301</v>
      </c>
      <c r="AG7324">
        <v>1.477163</v>
      </c>
      <c r="AH7324">
        <v>1.9533307624426</v>
      </c>
      <c r="AI7324">
        <v>53.2701290222669</v>
      </c>
      <c r="AJ7324">
        <v>99.346473176944301</v>
      </c>
      <c r="AK7324">
        <v>2.46999434753485</v>
      </c>
      <c r="AL7324">
        <v>62.531034115984603</v>
      </c>
      <c r="AM7324">
        <v>99.991192262868594</v>
      </c>
      <c r="AN7324">
        <v>1.0000000036421099</v>
      </c>
    </row>
    <row r="7325" spans="1:40" x14ac:dyDescent="0.25">
      <c r="A7325" t="str">
        <f>"20190304165026323"</f>
        <v>20190304165026323</v>
      </c>
      <c r="B7325" t="str">
        <f>"1551689426312461"</f>
        <v>1551689426312461</v>
      </c>
      <c r="C7325" t="s">
        <v>40</v>
      </c>
      <c r="D7325">
        <v>4.2229400000000004</v>
      </c>
      <c r="E7325">
        <v>0.54166320000000001</v>
      </c>
      <c r="F7325" t="s">
        <v>60</v>
      </c>
      <c r="G7325">
        <v>0</v>
      </c>
      <c r="H7325">
        <v>0</v>
      </c>
      <c r="I7325">
        <v>0</v>
      </c>
      <c r="J7325">
        <v>-187.2159</v>
      </c>
      <c r="K7325">
        <v>1.1121970000000001</v>
      </c>
      <c r="L7325">
        <v>-7.6481929999999902</v>
      </c>
      <c r="M7325">
        <v>3.4578640000000001E-2</v>
      </c>
      <c r="N7325">
        <v>-1.454303E-2</v>
      </c>
      <c r="O7325">
        <v>0.99929619999999997</v>
      </c>
      <c r="P7325">
        <v>-0.1235677</v>
      </c>
      <c r="Q7325">
        <v>0.43242649999999999</v>
      </c>
      <c r="R7325">
        <v>0.89316200000000001</v>
      </c>
      <c r="S7325">
        <v>-0.23440549999999999</v>
      </c>
      <c r="T7325">
        <v>1.2289639999999999</v>
      </c>
      <c r="U7325">
        <v>2.7333370000000001</v>
      </c>
      <c r="V7325">
        <v>-0.1555417</v>
      </c>
      <c r="W7325">
        <v>0.44489630000000002</v>
      </c>
      <c r="X7325">
        <v>0.88197169999999903</v>
      </c>
      <c r="Y7325">
        <v>-0.1122504</v>
      </c>
      <c r="Z7325">
        <v>0.42101549999999999</v>
      </c>
      <c r="AA7325">
        <v>0.90008099999999902</v>
      </c>
      <c r="AB7325">
        <v>33</v>
      </c>
      <c r="AC7325">
        <v>-0.23440549999999999</v>
      </c>
      <c r="AD7325">
        <v>1.2289639999999999</v>
      </c>
      <c r="AE7325">
        <v>2.7333370000000001</v>
      </c>
      <c r="AF7325">
        <v>-0.27383620589160701</v>
      </c>
      <c r="AG7325">
        <v>1.2289639999999999</v>
      </c>
      <c r="AH7325">
        <v>2.2683728786597501</v>
      </c>
      <c r="AI7325">
        <v>61.725210757888803</v>
      </c>
      <c r="AJ7325">
        <v>96.883393277561296</v>
      </c>
      <c r="AK7325">
        <v>2.5943890027504</v>
      </c>
      <c r="AL7325">
        <v>63.5832959916345</v>
      </c>
      <c r="AM7325">
        <v>100.001656570648</v>
      </c>
      <c r="AN7325">
        <v>1.00000000889673</v>
      </c>
    </row>
    <row r="7326" spans="1:40" x14ac:dyDescent="0.25">
      <c r="A7326" t="str">
        <f>"20190304165026346"</f>
        <v>20190304165026346</v>
      </c>
      <c r="B7326" t="str">
        <f>"1551689426342716"</f>
        <v>1551689426342716</v>
      </c>
      <c r="C7326" t="s">
        <v>40</v>
      </c>
      <c r="D7326">
        <v>4.1765280000000002</v>
      </c>
      <c r="E7326">
        <v>0.54879239999999996</v>
      </c>
      <c r="F7326" t="s">
        <v>58</v>
      </c>
      <c r="G7326">
        <v>-203.1362</v>
      </c>
      <c r="H7326">
        <v>82.273569999999907</v>
      </c>
      <c r="I7326">
        <v>391.00349999999997</v>
      </c>
      <c r="J7326">
        <v>-187.20509999999999</v>
      </c>
      <c r="K7326">
        <v>1.112125</v>
      </c>
      <c r="L7326">
        <v>-7.2978820000000004</v>
      </c>
      <c r="M7326">
        <v>3.3357520000000002E-2</v>
      </c>
      <c r="N7326">
        <v>-1.4540590000000001E-2</v>
      </c>
      <c r="O7326">
        <v>0.9993377</v>
      </c>
      <c r="P7326">
        <v>-0.12475319999999999</v>
      </c>
      <c r="Q7326">
        <v>0.41700599999999999</v>
      </c>
      <c r="R7326">
        <v>0.90030140000000003</v>
      </c>
      <c r="S7326">
        <v>-0.1214905</v>
      </c>
      <c r="T7326">
        <v>0.61935560000000001</v>
      </c>
      <c r="U7326">
        <v>3.0421749999999999</v>
      </c>
      <c r="V7326">
        <v>-0.1558195</v>
      </c>
      <c r="W7326">
        <v>0.42958740000000001</v>
      </c>
      <c r="X7326">
        <v>0.88948019999999905</v>
      </c>
      <c r="Y7326">
        <v>-7.2396249999999995E-2</v>
      </c>
      <c r="Z7326">
        <v>0.2132291</v>
      </c>
      <c r="AA7326">
        <v>0.97431619999999997</v>
      </c>
      <c r="AB7326">
        <v>33</v>
      </c>
      <c r="AC7326">
        <v>-15.931100000000001</v>
      </c>
      <c r="AD7326">
        <v>81.161444999999901</v>
      </c>
      <c r="AE7326">
        <v>398.30138199999999</v>
      </c>
      <c r="AF7326">
        <v>-28.0472709818083</v>
      </c>
      <c r="AG7326">
        <v>81.161444999999901</v>
      </c>
      <c r="AH7326">
        <v>381.723667312261</v>
      </c>
      <c r="AI7326">
        <v>78.027952439133102</v>
      </c>
      <c r="AJ7326">
        <v>94.202274780290793</v>
      </c>
      <c r="AK7326">
        <v>391.26306719435797</v>
      </c>
      <c r="AL7326">
        <v>64.558622686936403</v>
      </c>
      <c r="AM7326">
        <v>99.936274392477401</v>
      </c>
      <c r="AN7326">
        <v>1.0000000385055201</v>
      </c>
    </row>
    <row r="7327" spans="1:40" x14ac:dyDescent="0.25">
      <c r="A7327" t="str">
        <f>"20190304165026367"</f>
        <v>20190304165026367</v>
      </c>
      <c r="B7327" t="str">
        <f>"1551689426363213"</f>
        <v>1551689426363213</v>
      </c>
      <c r="C7327" t="s">
        <v>40</v>
      </c>
      <c r="D7327">
        <v>4.2023380000000001</v>
      </c>
      <c r="E7327">
        <v>0.54177959999999903</v>
      </c>
      <c r="F7327" t="s">
        <v>58</v>
      </c>
      <c r="G7327">
        <v>-203.3964</v>
      </c>
      <c r="H7327">
        <v>3.035657</v>
      </c>
      <c r="I7327">
        <v>391.00349999999997</v>
      </c>
      <c r="J7327">
        <v>-187.19589999999999</v>
      </c>
      <c r="K7327">
        <v>1.1120669999999999</v>
      </c>
      <c r="L7327">
        <v>-6.989166</v>
      </c>
      <c r="M7327">
        <v>3.2298390000000003E-2</v>
      </c>
      <c r="N7327">
        <v>-1.4538280000000001E-2</v>
      </c>
      <c r="O7327">
        <v>0.9993725</v>
      </c>
      <c r="P7327">
        <v>-0.12557660000000001</v>
      </c>
      <c r="Q7327">
        <v>0.40331139999999999</v>
      </c>
      <c r="R7327">
        <v>0.90640520000000002</v>
      </c>
      <c r="S7327">
        <v>-0.1343994</v>
      </c>
      <c r="T7327">
        <v>1.5966649999999999E-2</v>
      </c>
      <c r="U7327">
        <v>3.3061829999999999</v>
      </c>
      <c r="V7327">
        <v>-0.1558387</v>
      </c>
      <c r="W7327">
        <v>0.41598869999999999</v>
      </c>
      <c r="X7327">
        <v>0.89591719999999897</v>
      </c>
      <c r="Y7327">
        <v>-7.2858580000000006E-2</v>
      </c>
      <c r="Z7327">
        <v>1.936423E-2</v>
      </c>
      <c r="AA7327">
        <v>0.99715430000000005</v>
      </c>
      <c r="AB7327">
        <v>33</v>
      </c>
      <c r="AC7327">
        <v>-16.200500000000002</v>
      </c>
      <c r="AD7327">
        <v>1.9235899999999999</v>
      </c>
      <c r="AE7327">
        <v>397.99266599999999</v>
      </c>
      <c r="AF7327">
        <v>-29.0472499276637</v>
      </c>
      <c r="AG7327">
        <v>1.9235899999999999</v>
      </c>
      <c r="AH7327">
        <v>397.252407826026</v>
      </c>
      <c r="AI7327">
        <v>89.723301169351899</v>
      </c>
      <c r="AJ7327">
        <v>94.182046955565994</v>
      </c>
      <c r="AK7327">
        <v>398.317610017964</v>
      </c>
      <c r="AL7327">
        <v>65.418403985278005</v>
      </c>
      <c r="AM7327">
        <v>99.8674837584107</v>
      </c>
      <c r="AN7327">
        <v>0.99999996410060898</v>
      </c>
    </row>
    <row r="7328" spans="1:40" x14ac:dyDescent="0.25">
      <c r="A7328" t="str">
        <f>"20190304165026391"</f>
        <v>20190304165026391</v>
      </c>
      <c r="B7328" t="str">
        <f>"1551689426382732"</f>
        <v>1551689426382732</v>
      </c>
      <c r="C7328" t="s">
        <v>40</v>
      </c>
      <c r="D7328">
        <v>4.2155880000000003</v>
      </c>
      <c r="E7328">
        <v>0.54041329999999999</v>
      </c>
      <c r="F7328" t="s">
        <v>41</v>
      </c>
      <c r="G7328">
        <v>-187.2561</v>
      </c>
      <c r="H7328">
        <v>0.96920910000000005</v>
      </c>
      <c r="I7328">
        <v>-6.159948</v>
      </c>
      <c r="J7328">
        <v>-187.18559999999999</v>
      </c>
      <c r="K7328">
        <v>1.11202</v>
      </c>
      <c r="L7328">
        <v>-6.6311649999999904</v>
      </c>
      <c r="M7328">
        <v>3.1084799999999999E-2</v>
      </c>
      <c r="N7328">
        <v>-1.453541E-2</v>
      </c>
      <c r="O7328">
        <v>0.99941100000000005</v>
      </c>
      <c r="P7328">
        <v>-0.12605759999999999</v>
      </c>
      <c r="Q7328">
        <v>0.39253539999999998</v>
      </c>
      <c r="R7328">
        <v>0.91105729999999996</v>
      </c>
      <c r="S7328">
        <v>-0.25773620000000003</v>
      </c>
      <c r="T7328">
        <v>-0.61089380000000004</v>
      </c>
      <c r="U7328">
        <v>3.5458980000000002</v>
      </c>
      <c r="V7328">
        <v>-0.1553252</v>
      </c>
      <c r="W7328">
        <v>0.40528969999999997</v>
      </c>
      <c r="X7328">
        <v>0.90089640000000004</v>
      </c>
      <c r="Y7328">
        <v>-0.10245319999999999</v>
      </c>
      <c r="Z7328">
        <v>-0.1546351</v>
      </c>
      <c r="AA7328">
        <v>0.98264510000000005</v>
      </c>
      <c r="AB7328">
        <v>33</v>
      </c>
      <c r="AC7328">
        <v>-7.0500000000009694E-2</v>
      </c>
      <c r="AD7328">
        <v>-0.14281089999999899</v>
      </c>
      <c r="AE7328">
        <v>0.471216999999999</v>
      </c>
      <c r="AF7328">
        <v>-7.8098808942709499E-2</v>
      </c>
      <c r="AG7328">
        <v>-0.14281089999999899</v>
      </c>
      <c r="AH7328">
        <v>0.430152856070812</v>
      </c>
      <c r="AI7328">
        <v>108.090141965624</v>
      </c>
      <c r="AJ7328">
        <v>100.290559518701</v>
      </c>
      <c r="AK7328">
        <v>0.45991940239889501</v>
      </c>
      <c r="AL7328">
        <v>66.090717268924607</v>
      </c>
      <c r="AM7328">
        <v>99.782297988757307</v>
      </c>
      <c r="AN7328">
        <v>0.99999999110704496</v>
      </c>
    </row>
    <row r="7329" spans="1:40" x14ac:dyDescent="0.25">
      <c r="A7329" t="str">
        <f>"20190304165026414"</f>
        <v>20190304165026414</v>
      </c>
      <c r="B7329" t="str">
        <f>"1551689426403228"</f>
        <v>1551689426403228</v>
      </c>
      <c r="C7329" t="s">
        <v>40</v>
      </c>
      <c r="D7329">
        <v>4.235798</v>
      </c>
      <c r="E7329">
        <v>0.54024839999999996</v>
      </c>
      <c r="F7329" t="s">
        <v>41</v>
      </c>
      <c r="G7329">
        <v>-187.24260000000001</v>
      </c>
      <c r="H7329">
        <v>0.956924</v>
      </c>
      <c r="I7329">
        <v>-5.8746309999999999</v>
      </c>
      <c r="J7329">
        <v>-187.17619999999999</v>
      </c>
      <c r="K7329">
        <v>1.1119870000000001</v>
      </c>
      <c r="L7329">
        <v>-6.2887269999999997</v>
      </c>
      <c r="M7329">
        <v>2.9935050000000001E-2</v>
      </c>
      <c r="N7329">
        <v>-1.45326E-2</v>
      </c>
      <c r="O7329">
        <v>0.99944619999999995</v>
      </c>
      <c r="P7329">
        <v>-0.12525910000000001</v>
      </c>
      <c r="Q7329">
        <v>0.38566159999999999</v>
      </c>
      <c r="R7329">
        <v>0.91409810000000002</v>
      </c>
      <c r="S7329">
        <v>-0.26927190000000001</v>
      </c>
      <c r="T7329">
        <v>-0.73211530000000002</v>
      </c>
      <c r="U7329">
        <v>3.5710449999999998</v>
      </c>
      <c r="V7329">
        <v>-0.1535455</v>
      </c>
      <c r="W7329">
        <v>0.3984704</v>
      </c>
      <c r="X7329">
        <v>0.90423730000000002</v>
      </c>
      <c r="Y7329">
        <v>-0.1035365</v>
      </c>
      <c r="Z7329">
        <v>-0.185615</v>
      </c>
      <c r="AA7329">
        <v>0.97715260000000004</v>
      </c>
      <c r="AB7329">
        <v>33</v>
      </c>
      <c r="AC7329">
        <v>-6.6400000000015696E-2</v>
      </c>
      <c r="AD7329">
        <v>-0.15506300000000001</v>
      </c>
      <c r="AE7329">
        <v>0.41409599999999902</v>
      </c>
      <c r="AF7329">
        <v>-6.9294523812384698E-2</v>
      </c>
      <c r="AG7329">
        <v>-0.15506300000000001</v>
      </c>
      <c r="AH7329">
        <v>0.36238247498668102</v>
      </c>
      <c r="AI7329">
        <v>112.796231899376</v>
      </c>
      <c r="AJ7329">
        <v>100.825378720084</v>
      </c>
      <c r="AK7329">
        <v>0.40020909931791698</v>
      </c>
      <c r="AL7329">
        <v>66.517409124539796</v>
      </c>
      <c r="AM7329">
        <v>99.637277585063202</v>
      </c>
      <c r="AN7329">
        <v>0.99999998747884999</v>
      </c>
    </row>
    <row r="7330" spans="1:40" x14ac:dyDescent="0.25">
      <c r="A7330" t="str">
        <f>"20190304165026458"</f>
        <v>20190304165026458</v>
      </c>
      <c r="B7330" t="str">
        <f>"1551689426452535"</f>
        <v>1551689426452535</v>
      </c>
      <c r="C7330" t="s">
        <v>40</v>
      </c>
      <c r="D7330">
        <v>4.2690720000000004</v>
      </c>
      <c r="E7330">
        <v>0.540440699999999</v>
      </c>
      <c r="F7330" t="s">
        <v>41</v>
      </c>
      <c r="G7330">
        <v>-187.22739999999999</v>
      </c>
      <c r="H7330">
        <v>0.95898700000000003</v>
      </c>
      <c r="I7330">
        <v>-5.5777780000000003</v>
      </c>
      <c r="J7330">
        <v>-187.15989999999999</v>
      </c>
      <c r="K7330">
        <v>1.1119330000000001</v>
      </c>
      <c r="L7330">
        <v>-5.6600950000000001</v>
      </c>
      <c r="M7330">
        <v>2.7840070000000001E-2</v>
      </c>
      <c r="N7330">
        <v>-1.452697E-2</v>
      </c>
      <c r="O7330">
        <v>0.99950680000000003</v>
      </c>
      <c r="P7330">
        <v>-0.1214672</v>
      </c>
      <c r="Q7330">
        <v>0.37380459999999999</v>
      </c>
      <c r="R7330">
        <v>0.91951939999999999</v>
      </c>
      <c r="S7330">
        <v>-0.25767519999999999</v>
      </c>
      <c r="T7330">
        <v>-0.76848340000000004</v>
      </c>
      <c r="U7330">
        <v>3.5708310000000001</v>
      </c>
      <c r="V7330">
        <v>-0.14795520000000001</v>
      </c>
      <c r="W7330">
        <v>0.38671290000000003</v>
      </c>
      <c r="X7330">
        <v>0.91025400000000001</v>
      </c>
      <c r="Y7330">
        <v>-9.81654E-2</v>
      </c>
      <c r="Z7330">
        <v>-0.19526379999999999</v>
      </c>
      <c r="AA7330">
        <v>0.97582559999999996</v>
      </c>
      <c r="AB7330">
        <v>33</v>
      </c>
      <c r="AC7330">
        <v>-6.7499999999995397E-2</v>
      </c>
      <c r="AD7330">
        <v>-0.152946</v>
      </c>
      <c r="AE7330">
        <v>8.2317000000000598E-2</v>
      </c>
      <c r="AF7330">
        <v>-2.2767851227304601E-2</v>
      </c>
      <c r="AG7330">
        <v>-0.152946</v>
      </c>
      <c r="AH7330">
        <v>2.6240150057787001E-2</v>
      </c>
      <c r="AI7330">
        <v>167.202749009488</v>
      </c>
      <c r="AJ7330">
        <v>130.947270683146</v>
      </c>
      <c r="AK7330">
        <v>0.15684195688833899</v>
      </c>
      <c r="AL7330">
        <v>67.249879003007095</v>
      </c>
      <c r="AM7330">
        <v>99.232273320732801</v>
      </c>
      <c r="AN7330">
        <v>0.99999997637472404</v>
      </c>
    </row>
    <row r="7331" spans="1:40" x14ac:dyDescent="0.25">
      <c r="A7331" t="str">
        <f>"20190304165026478"</f>
        <v>20190304165026478</v>
      </c>
      <c r="B7331" t="str">
        <f>"1551689426473032"</f>
        <v>1551689426473032</v>
      </c>
      <c r="C7331" t="s">
        <v>40</v>
      </c>
      <c r="D7331">
        <v>4.3038819999999998</v>
      </c>
      <c r="E7331">
        <v>0.540678199999999</v>
      </c>
      <c r="F7331" t="s">
        <v>41</v>
      </c>
      <c r="G7331">
        <v>-187.2218</v>
      </c>
      <c r="H7331">
        <v>0.90476630000000002</v>
      </c>
      <c r="I7331">
        <v>-4.7126140000000003</v>
      </c>
      <c r="J7331">
        <v>-187.15190000000001</v>
      </c>
      <c r="K7331">
        <v>1.1119159999999999</v>
      </c>
      <c r="L7331">
        <v>-5.3336489999999896</v>
      </c>
      <c r="M7331">
        <v>2.6754670000000001E-2</v>
      </c>
      <c r="N7331">
        <v>-1.4523899999999999E-2</v>
      </c>
      <c r="O7331">
        <v>0.99953650000000005</v>
      </c>
      <c r="P7331">
        <v>-0.1197877</v>
      </c>
      <c r="Q7331">
        <v>0.36973050000000002</v>
      </c>
      <c r="R7331">
        <v>0.92138500000000001</v>
      </c>
      <c r="S7331">
        <v>-0.23202510000000001</v>
      </c>
      <c r="T7331">
        <v>-0.77559909999999999</v>
      </c>
      <c r="U7331">
        <v>3.5472109999999999</v>
      </c>
      <c r="V7331">
        <v>-0.14531759999999999</v>
      </c>
      <c r="W7331">
        <v>0.38267459999999998</v>
      </c>
      <c r="X7331">
        <v>0.9123831</v>
      </c>
      <c r="Y7331">
        <v>-9.0492669999999997E-2</v>
      </c>
      <c r="Z7331">
        <v>-0.19860929999999999</v>
      </c>
      <c r="AA7331">
        <v>0.97589210000000004</v>
      </c>
      <c r="AB7331">
        <v>33</v>
      </c>
      <c r="AC7331">
        <v>-6.9899999999989804E-2</v>
      </c>
      <c r="AD7331">
        <v>-0.20714969999999899</v>
      </c>
      <c r="AE7331">
        <v>0.621034999999999</v>
      </c>
      <c r="AF7331">
        <v>-7.7930305106338998E-2</v>
      </c>
      <c r="AG7331">
        <v>-0.20714969999999899</v>
      </c>
      <c r="AH7331">
        <v>0.55767224302754903</v>
      </c>
      <c r="AI7331">
        <v>110.19754036342501</v>
      </c>
      <c r="AJ7331">
        <v>97.955118840217906</v>
      </c>
      <c r="AK7331">
        <v>0.59998538424484504</v>
      </c>
      <c r="AL7331">
        <v>67.500547460853895</v>
      </c>
      <c r="AM7331">
        <v>99.049633916489896</v>
      </c>
      <c r="AN7331">
        <v>0.999999987760264</v>
      </c>
    </row>
    <row r="7332" spans="1:40" x14ac:dyDescent="0.25">
      <c r="A7332" t="str">
        <f>"20190304165026501"</f>
        <v>20190304165026501</v>
      </c>
      <c r="B7332" t="str">
        <f>"1551689426492552"</f>
        <v>1551689426492552</v>
      </c>
      <c r="C7332" t="s">
        <v>40</v>
      </c>
      <c r="D7332">
        <v>4.2922390000000004</v>
      </c>
      <c r="E7332">
        <v>0.54069860000000003</v>
      </c>
      <c r="F7332" t="s">
        <v>41</v>
      </c>
      <c r="G7332">
        <v>-187.20920000000001</v>
      </c>
      <c r="H7332">
        <v>0.91177680000000005</v>
      </c>
      <c r="I7332">
        <v>-4.4150970000000003</v>
      </c>
      <c r="J7332">
        <v>-187.14429999999999</v>
      </c>
      <c r="K7332">
        <v>1.1119049999999999</v>
      </c>
      <c r="L7332">
        <v>-5.0051880000000004</v>
      </c>
      <c r="M7332">
        <v>2.5663890000000002E-2</v>
      </c>
      <c r="N7332">
        <v>-1.45208E-2</v>
      </c>
      <c r="O7332">
        <v>0.99956520000000004</v>
      </c>
      <c r="P7332">
        <v>-0.1182136</v>
      </c>
      <c r="Q7332">
        <v>0.36887880000000001</v>
      </c>
      <c r="R7332">
        <v>0.92192949999999996</v>
      </c>
      <c r="S7332">
        <v>-0.22087100000000001</v>
      </c>
      <c r="T7332">
        <v>-0.77056519999999995</v>
      </c>
      <c r="U7332">
        <v>3.5364689999999999</v>
      </c>
      <c r="V7332">
        <v>-0.14274879999999901</v>
      </c>
      <c r="W7332">
        <v>0.38183869999999998</v>
      </c>
      <c r="X7332">
        <v>0.91313849999999996</v>
      </c>
      <c r="Y7332">
        <v>-8.6548410000000006E-2</v>
      </c>
      <c r="Z7332">
        <v>-0.19797120000000001</v>
      </c>
      <c r="AA7332">
        <v>0.97637949999999996</v>
      </c>
      <c r="AB7332">
        <v>33</v>
      </c>
      <c r="AC7332">
        <v>-6.4900000000022801E-2</v>
      </c>
      <c r="AD7332">
        <v>-0.20012819999999901</v>
      </c>
      <c r="AE7332">
        <v>0.59009099999999903</v>
      </c>
      <c r="AF7332">
        <v>-7.1857840624846903E-2</v>
      </c>
      <c r="AG7332">
        <v>-0.20012819999999901</v>
      </c>
      <c r="AH7332">
        <v>0.52820238717444301</v>
      </c>
      <c r="AI7332">
        <v>110.577504791736</v>
      </c>
      <c r="AJ7332">
        <v>97.747087256713499</v>
      </c>
      <c r="AK7332">
        <v>0.56939670486514604</v>
      </c>
      <c r="AL7332">
        <v>67.552376645417795</v>
      </c>
      <c r="AM7332">
        <v>98.885002341829207</v>
      </c>
      <c r="AN7332">
        <v>0.999999966450689</v>
      </c>
    </row>
    <row r="7333" spans="1:40" x14ac:dyDescent="0.25">
      <c r="A7333" t="str">
        <f>"20190304165026523"</f>
        <v>20190304165026523</v>
      </c>
      <c r="B7333" t="str">
        <f>"1551689426513554"</f>
        <v>1551689426513554</v>
      </c>
      <c r="C7333" t="s">
        <v>40</v>
      </c>
      <c r="D7333">
        <v>4.3078560000000001</v>
      </c>
      <c r="E7333">
        <v>0.54169389999999995</v>
      </c>
      <c r="F7333" t="s">
        <v>41</v>
      </c>
      <c r="G7333">
        <v>-187.19820000000001</v>
      </c>
      <c r="H7333">
        <v>0.92006330000000003</v>
      </c>
      <c r="I7333">
        <v>-4.1172219999999999</v>
      </c>
      <c r="J7333">
        <v>-187.137</v>
      </c>
      <c r="K7333">
        <v>1.1118870000000001</v>
      </c>
      <c r="L7333">
        <v>-4.6760250000000001</v>
      </c>
      <c r="M7333">
        <v>2.4581450000000001E-2</v>
      </c>
      <c r="N7333">
        <v>-1.451757E-2</v>
      </c>
      <c r="O7333">
        <v>0.99959240000000005</v>
      </c>
      <c r="P7333">
        <v>-0.1165749</v>
      </c>
      <c r="Q7333">
        <v>0.36742799999999998</v>
      </c>
      <c r="R7333">
        <v>0.92271720000000002</v>
      </c>
      <c r="S7333">
        <v>-0.2146149</v>
      </c>
      <c r="T7333">
        <v>-0.7630382</v>
      </c>
      <c r="U7333">
        <v>3.5318299999999998</v>
      </c>
      <c r="V7333">
        <v>-0.1401221</v>
      </c>
      <c r="W7333">
        <v>0.38041000000000003</v>
      </c>
      <c r="X7333">
        <v>0.91414110000000004</v>
      </c>
      <c r="Y7333">
        <v>-8.3852479999999993E-2</v>
      </c>
      <c r="Z7333">
        <v>-0.19629679999999999</v>
      </c>
      <c r="AA7333">
        <v>0.97695259999999995</v>
      </c>
      <c r="AB7333">
        <v>33</v>
      </c>
      <c r="AC7333">
        <v>-6.1200000000013598E-2</v>
      </c>
      <c r="AD7333">
        <v>-0.19182370000000001</v>
      </c>
      <c r="AE7333">
        <v>0.55880300000000005</v>
      </c>
      <c r="AF7333">
        <v>-6.7105280211345097E-2</v>
      </c>
      <c r="AG7333">
        <v>-0.19182370000000001</v>
      </c>
      <c r="AH7333">
        <v>0.49902249457748799</v>
      </c>
      <c r="AI7333">
        <v>110.855328464922</v>
      </c>
      <c r="AJ7333">
        <v>97.658817023170798</v>
      </c>
      <c r="AK7333">
        <v>0.53881620299344402</v>
      </c>
      <c r="AL7333">
        <v>67.640917768046904</v>
      </c>
      <c r="AM7333">
        <v>98.714627652224493</v>
      </c>
      <c r="AN7333">
        <v>0.99999996085880904</v>
      </c>
    </row>
    <row r="7334" spans="1:40" x14ac:dyDescent="0.25">
      <c r="A7334" t="str">
        <f>"20190304165026545"</f>
        <v>20190304165026545</v>
      </c>
      <c r="B7334" t="str">
        <f>"1551689426533074"</f>
        <v>1551689426533074</v>
      </c>
      <c r="C7334" t="s">
        <v>40</v>
      </c>
      <c r="D7334">
        <v>4.2709769999999896</v>
      </c>
      <c r="E7334">
        <v>0.54172180000000003</v>
      </c>
      <c r="F7334" t="s">
        <v>41</v>
      </c>
      <c r="G7334">
        <v>-187.1831</v>
      </c>
      <c r="H7334">
        <v>0.96387800000000001</v>
      </c>
      <c r="I7334">
        <v>-3.8042150000000001</v>
      </c>
      <c r="J7334">
        <v>-187.1301</v>
      </c>
      <c r="K7334">
        <v>1.111856</v>
      </c>
      <c r="L7334">
        <v>-4.3514400000000002</v>
      </c>
      <c r="M7334">
        <v>2.3536629999999999E-2</v>
      </c>
      <c r="N7334">
        <v>-1.451422E-2</v>
      </c>
      <c r="O7334">
        <v>0.9996176</v>
      </c>
      <c r="P7334">
        <v>-0.1149979</v>
      </c>
      <c r="Q7334">
        <v>0.36454189999999997</v>
      </c>
      <c r="R7334">
        <v>0.92405879999999996</v>
      </c>
      <c r="S7334">
        <v>-0.18367</v>
      </c>
      <c r="T7334">
        <v>-0.58778490000000005</v>
      </c>
      <c r="U7334">
        <v>3.4621279999999999</v>
      </c>
      <c r="V7334">
        <v>-0.13759270000000001</v>
      </c>
      <c r="W7334">
        <v>0.37755499999999997</v>
      </c>
      <c r="X7334">
        <v>0.91570759999999995</v>
      </c>
      <c r="Y7334">
        <v>-7.5745450000000006E-2</v>
      </c>
      <c r="Z7334">
        <v>-0.15262000000000001</v>
      </c>
      <c r="AA7334">
        <v>0.98537799999999998</v>
      </c>
      <c r="AB7334">
        <v>33</v>
      </c>
      <c r="AC7334">
        <v>-5.2999999999997202E-2</v>
      </c>
      <c r="AD7334">
        <v>-0.147977999999999</v>
      </c>
      <c r="AE7334">
        <v>0.54722499999999996</v>
      </c>
      <c r="AF7334">
        <v>-6.1417147135993097E-2</v>
      </c>
      <c r="AG7334">
        <v>-0.147977999999999</v>
      </c>
      <c r="AH7334">
        <v>0.50895465057964495</v>
      </c>
      <c r="AI7334">
        <v>106.101037788211</v>
      </c>
      <c r="AJ7334">
        <v>96.880790002618696</v>
      </c>
      <c r="AK7334">
        <v>0.53357697738280696</v>
      </c>
      <c r="AL7334">
        <v>67.817683546048301</v>
      </c>
      <c r="AM7334">
        <v>98.545240902204597</v>
      </c>
      <c r="AN7334">
        <v>0.99999996890802401</v>
      </c>
    </row>
    <row r="7335" spans="1:40" x14ac:dyDescent="0.25">
      <c r="A7335" t="str">
        <f>"20190304165026568"</f>
        <v>20190304165026568</v>
      </c>
      <c r="B7335" t="str">
        <f>"1551689426562354"</f>
        <v>1551689426562354</v>
      </c>
      <c r="C7335" t="s">
        <v>40</v>
      </c>
      <c r="D7335">
        <v>4.2864380000000004</v>
      </c>
      <c r="E7335">
        <v>0.54597719999999905</v>
      </c>
      <c r="F7335" t="s">
        <v>41</v>
      </c>
      <c r="G7335">
        <v>-187.17349999999999</v>
      </c>
      <c r="H7335">
        <v>0.96812830000000005</v>
      </c>
      <c r="I7335">
        <v>-3.5083410000000002</v>
      </c>
      <c r="J7335">
        <v>-187.12350000000001</v>
      </c>
      <c r="K7335">
        <v>1.1118140000000001</v>
      </c>
      <c r="L7335">
        <v>-4.0265810000000002</v>
      </c>
      <c r="M7335">
        <v>2.2528969999999999E-2</v>
      </c>
      <c r="N7335">
        <v>-1.451065E-2</v>
      </c>
      <c r="O7335">
        <v>0.99964090000000005</v>
      </c>
      <c r="P7335">
        <v>-0.11462559999999999</v>
      </c>
      <c r="Q7335">
        <v>0.36134860000000002</v>
      </c>
      <c r="R7335">
        <v>0.92535840000000003</v>
      </c>
      <c r="S7335">
        <v>-0.177948</v>
      </c>
      <c r="T7335">
        <v>-0.589315699999999</v>
      </c>
      <c r="U7335">
        <v>3.4568789999999998</v>
      </c>
      <c r="V7335">
        <v>-0.13628599999999999</v>
      </c>
      <c r="W7335">
        <v>0.37439260000000002</v>
      </c>
      <c r="X7335">
        <v>0.91720029999999997</v>
      </c>
      <c r="Y7335">
        <v>-7.3190199999999997E-2</v>
      </c>
      <c r="Z7335">
        <v>-0.15332390000000001</v>
      </c>
      <c r="AA7335">
        <v>0.98546180000000005</v>
      </c>
      <c r="AB7335">
        <v>33</v>
      </c>
      <c r="AC7335">
        <v>-4.9999999999982898E-2</v>
      </c>
      <c r="AD7335">
        <v>-0.143685699999999</v>
      </c>
      <c r="AE7335">
        <v>0.51823999999999903</v>
      </c>
      <c r="AF7335">
        <v>-5.7299848411366198E-2</v>
      </c>
      <c r="AG7335">
        <v>-0.143685699999999</v>
      </c>
      <c r="AH7335">
        <v>0.48039386270582701</v>
      </c>
      <c r="AI7335">
        <v>106.54113410716501</v>
      </c>
      <c r="AJ7335">
        <v>96.801922503049397</v>
      </c>
      <c r="AK7335">
        <v>0.50468516556154097</v>
      </c>
      <c r="AL7335">
        <v>68.013224171993002</v>
      </c>
      <c r="AM7335">
        <v>98.451691533661105</v>
      </c>
      <c r="AN7335">
        <v>1.00000004152542</v>
      </c>
    </row>
    <row r="7336" spans="1:40" x14ac:dyDescent="0.25">
      <c r="A7336" t="str">
        <f>"20190304165026591"</f>
        <v>20190304165026591</v>
      </c>
      <c r="B7336" t="str">
        <f>"1551689426582851"</f>
        <v>1551689426582851</v>
      </c>
      <c r="C7336" t="s">
        <v>40</v>
      </c>
      <c r="D7336">
        <v>4.2863509999999998</v>
      </c>
      <c r="E7336">
        <v>0.54597709999999999</v>
      </c>
      <c r="F7336" t="s">
        <v>41</v>
      </c>
      <c r="G7336">
        <v>-187.1541</v>
      </c>
      <c r="H7336">
        <v>1.0070399999999999</v>
      </c>
      <c r="I7336">
        <v>-3.194429</v>
      </c>
      <c r="J7336">
        <v>-187.11670000000001</v>
      </c>
      <c r="K7336">
        <v>1.1117570000000001</v>
      </c>
      <c r="L7336">
        <v>-3.6722109999999999</v>
      </c>
      <c r="M7336">
        <v>2.1491860000000002E-2</v>
      </c>
      <c r="N7336">
        <v>-1.450652E-2</v>
      </c>
      <c r="O7336">
        <v>0.99966379999999999</v>
      </c>
      <c r="P7336">
        <v>-0.1144053</v>
      </c>
      <c r="Q7336">
        <v>0.35860599999999998</v>
      </c>
      <c r="R7336">
        <v>0.92645189999999999</v>
      </c>
      <c r="S7336">
        <v>-0.1253204</v>
      </c>
      <c r="T7336">
        <v>-0.42727169999999998</v>
      </c>
      <c r="U7336">
        <v>3.3933110000000002</v>
      </c>
      <c r="V7336">
        <v>-0.13508249999999999</v>
      </c>
      <c r="W7336">
        <v>0.37168329999999999</v>
      </c>
      <c r="X7336">
        <v>0.9184793</v>
      </c>
      <c r="Y7336">
        <v>-5.8092749999999999E-2</v>
      </c>
      <c r="Z7336">
        <v>-0.11032699999999999</v>
      </c>
      <c r="AA7336">
        <v>0.99219610000000003</v>
      </c>
      <c r="AB7336">
        <v>33</v>
      </c>
      <c r="AC7336">
        <v>-3.7399999999991003E-2</v>
      </c>
      <c r="AD7336">
        <v>-0.10471699999999901</v>
      </c>
      <c r="AE7336">
        <v>0.47778199999999899</v>
      </c>
      <c r="AF7336">
        <v>-4.5489021062917002E-2</v>
      </c>
      <c r="AG7336">
        <v>-0.10471699999999901</v>
      </c>
      <c r="AH7336">
        <v>0.45513750534845998</v>
      </c>
      <c r="AI7336">
        <v>102.89491225794499</v>
      </c>
      <c r="AJ7336">
        <v>95.707510831069001</v>
      </c>
      <c r="AK7336">
        <v>0.46923879837571197</v>
      </c>
      <c r="AL7336">
        <v>68.180531524393402</v>
      </c>
      <c r="AM7336">
        <v>98.366619748018095</v>
      </c>
      <c r="AN7336">
        <v>0.99999999091681502</v>
      </c>
    </row>
    <row r="7337" spans="1:40" x14ac:dyDescent="0.25">
      <c r="A7337" t="str">
        <f>"20190304165026616"</f>
        <v>20190304165026616</v>
      </c>
      <c r="B7337" t="str">
        <f>"1551689426612637"</f>
        <v>1551689426612637</v>
      </c>
      <c r="C7337" t="s">
        <v>40</v>
      </c>
      <c r="D7337">
        <v>4.2555110000000003</v>
      </c>
      <c r="E7337">
        <v>0.54627349999999997</v>
      </c>
      <c r="F7337" t="s">
        <v>41</v>
      </c>
      <c r="G7337">
        <v>-187.1448</v>
      </c>
      <c r="H7337">
        <v>1.014581</v>
      </c>
      <c r="I7337">
        <v>-2.896471</v>
      </c>
      <c r="J7337">
        <v>-187.11</v>
      </c>
      <c r="K7337">
        <v>1.1116779999999999</v>
      </c>
      <c r="L7337">
        <v>-3.3123469999999999</v>
      </c>
      <c r="M7337">
        <v>2.0530280000000001E-2</v>
      </c>
      <c r="N7337">
        <v>-1.450213E-2</v>
      </c>
      <c r="O7337">
        <v>0.99968400000000002</v>
      </c>
      <c r="P7337">
        <v>-0.1147035</v>
      </c>
      <c r="Q7337">
        <v>0.35600100000000001</v>
      </c>
      <c r="R7337">
        <v>0.9274192</v>
      </c>
      <c r="S7337">
        <v>-0.1230164</v>
      </c>
      <c r="T7337">
        <v>-0.42431400000000002</v>
      </c>
      <c r="U7337">
        <v>3.3872070000000001</v>
      </c>
      <c r="V7337">
        <v>-0.1344467</v>
      </c>
      <c r="W7337">
        <v>0.36911300000000002</v>
      </c>
      <c r="X7337">
        <v>0.91960839999999999</v>
      </c>
      <c r="Y7337">
        <v>-5.6528710000000003E-2</v>
      </c>
      <c r="Z7337">
        <v>-0.109711</v>
      </c>
      <c r="AA7337">
        <v>0.99235479999999998</v>
      </c>
      <c r="AB7337">
        <v>33</v>
      </c>
      <c r="AC7337">
        <v>-3.4799999999989902E-2</v>
      </c>
      <c r="AD7337">
        <v>-9.7097000000000197E-2</v>
      </c>
      <c r="AE7337">
        <v>0.41587599999999902</v>
      </c>
      <c r="AF7337">
        <v>-4.1106441778148303E-2</v>
      </c>
      <c r="AG7337">
        <v>-9.7097000000000197E-2</v>
      </c>
      <c r="AH7337">
        <v>0.39375887133771698</v>
      </c>
      <c r="AI7337">
        <v>103.78020063464299</v>
      </c>
      <c r="AJ7337">
        <v>95.959802609947005</v>
      </c>
      <c r="AK7337">
        <v>0.40763171579480101</v>
      </c>
      <c r="AL7337">
        <v>68.339075119549307</v>
      </c>
      <c r="AM7337">
        <v>98.317711921430103</v>
      </c>
      <c r="AN7337">
        <v>0.99999996563022397</v>
      </c>
    </row>
    <row r="7338" spans="1:40" x14ac:dyDescent="0.25">
      <c r="A7338" t="str">
        <f>"20190304165026638"</f>
        <v>20190304165026638</v>
      </c>
      <c r="B7338" t="str">
        <f>"1551689426633133"</f>
        <v>1551689426633133</v>
      </c>
      <c r="C7338" t="s">
        <v>40</v>
      </c>
      <c r="D7338">
        <v>4.199452</v>
      </c>
      <c r="E7338">
        <v>0.54635669999999903</v>
      </c>
      <c r="F7338" t="s">
        <v>41</v>
      </c>
      <c r="G7338">
        <v>-187.1447</v>
      </c>
      <c r="H7338">
        <v>0.98928300000000002</v>
      </c>
      <c r="I7338">
        <v>-2.325399</v>
      </c>
      <c r="J7338">
        <v>-187.1044</v>
      </c>
      <c r="K7338">
        <v>1.111594</v>
      </c>
      <c r="L7338">
        <v>-3.004486</v>
      </c>
      <c r="M7338">
        <v>1.9806089999999998E-2</v>
      </c>
      <c r="N7338">
        <v>-1.449832E-2</v>
      </c>
      <c r="O7338">
        <v>0.99969870000000005</v>
      </c>
      <c r="P7338">
        <v>-0.11435099999999999</v>
      </c>
      <c r="Q7338">
        <v>0.35422399999999998</v>
      </c>
      <c r="R7338">
        <v>0.92814289999999999</v>
      </c>
      <c r="S7338">
        <v>-0.11920169999999999</v>
      </c>
      <c r="T7338">
        <v>-0.41928979999999999</v>
      </c>
      <c r="U7338">
        <v>3.3809809999999998</v>
      </c>
      <c r="V7338">
        <v>-0.1333722</v>
      </c>
      <c r="W7338">
        <v>0.36736940000000001</v>
      </c>
      <c r="X7338">
        <v>0.92046269999999997</v>
      </c>
      <c r="Y7338">
        <v>-5.4760440000000001E-2</v>
      </c>
      <c r="Z7338">
        <v>-0.1084992</v>
      </c>
      <c r="AA7338">
        <v>0.99258710000000006</v>
      </c>
      <c r="AB7338">
        <v>33</v>
      </c>
      <c r="AC7338">
        <v>-4.0300000000002001E-2</v>
      </c>
      <c r="AD7338">
        <v>-0.122310999999999</v>
      </c>
      <c r="AE7338">
        <v>0.679087</v>
      </c>
      <c r="AF7338">
        <v>-5.2060647285661003E-2</v>
      </c>
      <c r="AG7338">
        <v>-0.122310999999999</v>
      </c>
      <c r="AH7338">
        <v>0.656919832162565</v>
      </c>
      <c r="AI7338">
        <v>100.514824688259</v>
      </c>
      <c r="AJ7338">
        <v>94.531198540448202</v>
      </c>
      <c r="AK7338">
        <v>0.67023425576830598</v>
      </c>
      <c r="AL7338">
        <v>68.446527453108999</v>
      </c>
      <c r="AM7338">
        <v>98.244602090803994</v>
      </c>
      <c r="AN7338">
        <v>1.0000000009402401</v>
      </c>
    </row>
    <row r="7339" spans="1:40" x14ac:dyDescent="0.25">
      <c r="A7339" t="str">
        <f>"20190304165026658"</f>
        <v>20190304165026658</v>
      </c>
      <c r="B7339" t="str">
        <f>"1551689426652653"</f>
        <v>1551689426652653</v>
      </c>
      <c r="C7339" t="s">
        <v>40</v>
      </c>
      <c r="D7339">
        <v>4.1823439999999996</v>
      </c>
      <c r="E7339">
        <v>0.54657979999999995</v>
      </c>
      <c r="F7339" t="s">
        <v>41</v>
      </c>
      <c r="G7339">
        <v>-187.13759999999999</v>
      </c>
      <c r="H7339">
        <v>0.99164719999999995</v>
      </c>
      <c r="I7339">
        <v>-2.031787</v>
      </c>
      <c r="J7339">
        <v>-187.09899999999999</v>
      </c>
      <c r="K7339">
        <v>1.1115189999999999</v>
      </c>
      <c r="L7339">
        <v>-2.6944270000000001</v>
      </c>
      <c r="M7339">
        <v>1.915619E-2</v>
      </c>
      <c r="N7339">
        <v>-1.449451E-2</v>
      </c>
      <c r="O7339">
        <v>0.99971149999999998</v>
      </c>
      <c r="P7339">
        <v>-0.1138325</v>
      </c>
      <c r="Q7339">
        <v>0.35285650000000002</v>
      </c>
      <c r="R7339">
        <v>0.92872739999999998</v>
      </c>
      <c r="S7339">
        <v>-0.11569210000000001</v>
      </c>
      <c r="T7339">
        <v>-0.41641860000000003</v>
      </c>
      <c r="U7339">
        <v>3.3769230000000001</v>
      </c>
      <c r="V7339">
        <v>-0.13219549999999999</v>
      </c>
      <c r="W7339">
        <v>0.36603409999999997</v>
      </c>
      <c r="X7339">
        <v>0.92116419999999999</v>
      </c>
      <c r="Y7339">
        <v>-5.3127389999999997E-2</v>
      </c>
      <c r="Z7339">
        <v>-0.1078274</v>
      </c>
      <c r="AA7339">
        <v>0.99274910000000005</v>
      </c>
      <c r="AB7339">
        <v>33</v>
      </c>
      <c r="AC7339">
        <v>-3.8599999999973898E-2</v>
      </c>
      <c r="AD7339">
        <v>-0.1198718</v>
      </c>
      <c r="AE7339">
        <v>0.66264000000000001</v>
      </c>
      <c r="AF7339">
        <v>-4.9668020179031297E-2</v>
      </c>
      <c r="AG7339">
        <v>-0.1198718</v>
      </c>
      <c r="AH7339">
        <v>0.64087714003325202</v>
      </c>
      <c r="AI7339">
        <v>100.56341726914199</v>
      </c>
      <c r="AJ7339">
        <v>94.431568433484202</v>
      </c>
      <c r="AK7339">
        <v>0.65388047017856799</v>
      </c>
      <c r="AL7339">
        <v>68.528764236290996</v>
      </c>
      <c r="AM7339">
        <v>98.166709647039397</v>
      </c>
      <c r="AN7339">
        <v>1.0000000479723401</v>
      </c>
    </row>
    <row r="7340" spans="1:40" x14ac:dyDescent="0.25">
      <c r="A7340" t="str">
        <f>"20190304165026680"</f>
        <v>20190304165026680</v>
      </c>
      <c r="B7340" t="str">
        <f>"1551689426673149"</f>
        <v>1551689426673149</v>
      </c>
      <c r="C7340" t="s">
        <v>40</v>
      </c>
      <c r="D7340">
        <v>4.1613089999999904</v>
      </c>
      <c r="E7340">
        <v>0.54671689999999995</v>
      </c>
      <c r="F7340" t="s">
        <v>41</v>
      </c>
      <c r="G7340">
        <v>-187.13159999999999</v>
      </c>
      <c r="H7340">
        <v>0.99460950000000004</v>
      </c>
      <c r="I7340">
        <v>-1.7381549999999999</v>
      </c>
      <c r="J7340">
        <v>-187.0934</v>
      </c>
      <c r="K7340">
        <v>1.1114389999999901</v>
      </c>
      <c r="L7340">
        <v>-2.3681950000000001</v>
      </c>
      <c r="M7340">
        <v>1.856816E-2</v>
      </c>
      <c r="N7340">
        <v>-1.449046E-2</v>
      </c>
      <c r="O7340">
        <v>0.99972260000000002</v>
      </c>
      <c r="P7340">
        <v>-0.1125418</v>
      </c>
      <c r="Q7340">
        <v>0.35149429999999998</v>
      </c>
      <c r="R7340">
        <v>0.92940100000000003</v>
      </c>
      <c r="S7340">
        <v>-0.11524959999999999</v>
      </c>
      <c r="T7340">
        <v>-0.41234120000000002</v>
      </c>
      <c r="U7340">
        <v>3.3727719999999999</v>
      </c>
      <c r="V7340">
        <v>-0.13030159999999999</v>
      </c>
      <c r="W7340">
        <v>0.36470649999999999</v>
      </c>
      <c r="X7340">
        <v>0.92196020000000001</v>
      </c>
      <c r="Y7340">
        <v>-5.2456620000000002E-2</v>
      </c>
      <c r="Z7340">
        <v>-0.10680190000000001</v>
      </c>
      <c r="AA7340">
        <v>0.99289559999999999</v>
      </c>
      <c r="AB7340">
        <v>33</v>
      </c>
      <c r="AC7340">
        <v>-3.8199999999989097E-2</v>
      </c>
      <c r="AD7340">
        <v>-0.116829499999999</v>
      </c>
      <c r="AE7340">
        <v>0.63004000000000004</v>
      </c>
      <c r="AF7340">
        <v>-4.8240646326302802E-2</v>
      </c>
      <c r="AG7340">
        <v>-0.116829499999999</v>
      </c>
      <c r="AH7340">
        <v>0.60837948082189497</v>
      </c>
      <c r="AI7340">
        <v>100.837193245618</v>
      </c>
      <c r="AJ7340">
        <v>94.5337070646124</v>
      </c>
      <c r="AK7340">
        <v>0.62137097189468704</v>
      </c>
      <c r="AL7340">
        <v>68.610478089465403</v>
      </c>
      <c r="AM7340">
        <v>98.044394009651498</v>
      </c>
      <c r="AN7340">
        <v>0.99999997424442399</v>
      </c>
    </row>
    <row r="7341" spans="1:40" x14ac:dyDescent="0.25">
      <c r="A7341" t="str">
        <f>"20190304165026702"</f>
        <v>20190304165026702</v>
      </c>
      <c r="B7341" t="str">
        <f>"1551689426692669"</f>
        <v>1551689426692669</v>
      </c>
      <c r="C7341" t="s">
        <v>40</v>
      </c>
      <c r="D7341">
        <v>4.1332979999999999</v>
      </c>
      <c r="E7341">
        <v>0.54768919999999999</v>
      </c>
      <c r="F7341" t="s">
        <v>41</v>
      </c>
      <c r="G7341">
        <v>-187.12440000000001</v>
      </c>
      <c r="H7341">
        <v>0.99823209999999996</v>
      </c>
      <c r="I7341">
        <v>-1.4445490000000001</v>
      </c>
      <c r="J7341">
        <v>-187.08799999999999</v>
      </c>
      <c r="K7341">
        <v>1.111367</v>
      </c>
      <c r="L7341">
        <v>-2.0514220000000001</v>
      </c>
      <c r="M7341">
        <v>1.8092199999999999E-2</v>
      </c>
      <c r="N7341">
        <v>-1.4486519999999999E-2</v>
      </c>
      <c r="O7341">
        <v>0.99973140000000005</v>
      </c>
      <c r="P7341">
        <v>-0.1114377</v>
      </c>
      <c r="Q7341">
        <v>0.35070709999999999</v>
      </c>
      <c r="R7341">
        <v>0.92983130000000003</v>
      </c>
      <c r="S7341">
        <v>-0.11326600000000001</v>
      </c>
      <c r="T7341">
        <v>-0.41309259999999898</v>
      </c>
      <c r="U7341">
        <v>3.3703919999999998</v>
      </c>
      <c r="V7341">
        <v>-0.128696</v>
      </c>
      <c r="W7341">
        <v>0.36394939999999998</v>
      </c>
      <c r="X7341">
        <v>0.92248479999999999</v>
      </c>
      <c r="Y7341">
        <v>-5.1421189999999999E-2</v>
      </c>
      <c r="Z7341">
        <v>-0.1071146</v>
      </c>
      <c r="AA7341">
        <v>0.99291600000000002</v>
      </c>
      <c r="AB7341">
        <v>33</v>
      </c>
      <c r="AC7341">
        <v>-3.6400000000014601E-2</v>
      </c>
      <c r="AD7341">
        <v>-0.1131349</v>
      </c>
      <c r="AE7341">
        <v>0.606873</v>
      </c>
      <c r="AF7341">
        <v>-4.5789232441233001E-2</v>
      </c>
      <c r="AG7341">
        <v>-0.1131349</v>
      </c>
      <c r="AH7341">
        <v>0.58582846143601996</v>
      </c>
      <c r="AI7341">
        <v>100.89793583666101</v>
      </c>
      <c r="AJ7341">
        <v>94.469237776679094</v>
      </c>
      <c r="AK7341">
        <v>0.59840717378225206</v>
      </c>
      <c r="AL7341">
        <v>68.657059080174093</v>
      </c>
      <c r="AM7341">
        <v>97.942082170158898</v>
      </c>
      <c r="AN7341">
        <v>1.0000000162036999</v>
      </c>
    </row>
    <row r="7342" spans="1:40" x14ac:dyDescent="0.25">
      <c r="A7342" t="str">
        <f>"20190304165026725"</f>
        <v>20190304165026725</v>
      </c>
      <c r="B7342" t="str">
        <f>"1551689426722925"</f>
        <v>1551689426722925</v>
      </c>
      <c r="C7342" t="s">
        <v>40</v>
      </c>
      <c r="D7342">
        <v>4.1044900000000002</v>
      </c>
      <c r="E7342">
        <v>0.54736309999999999</v>
      </c>
      <c r="F7342" t="s">
        <v>41</v>
      </c>
      <c r="G7342">
        <v>-187.11449999999999</v>
      </c>
      <c r="H7342">
        <v>1.0169159999999999</v>
      </c>
      <c r="I7342">
        <v>-1.1393150000000001</v>
      </c>
      <c r="J7342">
        <v>-187.0823</v>
      </c>
      <c r="K7342">
        <v>1.1112770000000001</v>
      </c>
      <c r="L7342">
        <v>-1.7083740000000001</v>
      </c>
      <c r="M7342">
        <v>1.7676020000000001E-2</v>
      </c>
      <c r="N7342">
        <v>-1.448229E-2</v>
      </c>
      <c r="O7342">
        <v>0.99973889999999999</v>
      </c>
      <c r="P7342">
        <v>-0.1110153</v>
      </c>
      <c r="Q7342">
        <v>0.35066979999999998</v>
      </c>
      <c r="R7342">
        <v>0.92989580000000005</v>
      </c>
      <c r="S7342">
        <v>-9.7198489999999999E-2</v>
      </c>
      <c r="T7342">
        <v>-0.34642650000000003</v>
      </c>
      <c r="U7342">
        <v>3.3453979999999999</v>
      </c>
      <c r="V7342">
        <v>-0.12781600000000001</v>
      </c>
      <c r="W7342">
        <v>0.3639365</v>
      </c>
      <c r="X7342">
        <v>0.92261219999999999</v>
      </c>
      <c r="Y7342">
        <v>-4.6554249999999998E-2</v>
      </c>
      <c r="Z7342">
        <v>-8.8481130000000005E-2</v>
      </c>
      <c r="AA7342">
        <v>0.99498929999999997</v>
      </c>
      <c r="AB7342">
        <v>33</v>
      </c>
      <c r="AC7342">
        <v>-3.2199999999988897E-2</v>
      </c>
      <c r="AD7342">
        <v>-9.4361000000000098E-2</v>
      </c>
      <c r="AE7342">
        <v>0.56905899999999998</v>
      </c>
      <c r="AF7342">
        <v>-4.1127486615743003E-2</v>
      </c>
      <c r="AG7342">
        <v>-9.4361000000000098E-2</v>
      </c>
      <c r="AH7342">
        <v>0.55323754511446199</v>
      </c>
      <c r="AI7342">
        <v>99.653174195550903</v>
      </c>
      <c r="AJ7342">
        <v>94.251527964084502</v>
      </c>
      <c r="AK7342">
        <v>0.56273195199899995</v>
      </c>
      <c r="AL7342">
        <v>68.6578520005054</v>
      </c>
      <c r="AM7342">
        <v>97.887386056881397</v>
      </c>
      <c r="AN7342">
        <v>0.99999998873854401</v>
      </c>
    </row>
    <row r="7343" spans="1:40" x14ac:dyDescent="0.25">
      <c r="A7343" t="str">
        <f>"20190304165026748"</f>
        <v>20190304165026748</v>
      </c>
      <c r="B7343" t="str">
        <f>"1551689426742445"</f>
        <v>1551689426742445</v>
      </c>
      <c r="C7343" t="s">
        <v>40</v>
      </c>
      <c r="D7343">
        <v>4.1174520000000001</v>
      </c>
      <c r="E7343">
        <v>0.54705950000000003</v>
      </c>
      <c r="F7343" t="s">
        <v>42</v>
      </c>
      <c r="G7343">
        <v>-187.405</v>
      </c>
      <c r="H7343" s="1">
        <v>-4.5093699999999898E-6</v>
      </c>
      <c r="I7343">
        <v>9.0712360000000007</v>
      </c>
      <c r="J7343">
        <v>-187.07740000000001</v>
      </c>
      <c r="K7343">
        <v>1.111208</v>
      </c>
      <c r="L7343">
        <v>-1.411926</v>
      </c>
      <c r="M7343">
        <v>1.738636E-2</v>
      </c>
      <c r="N7343">
        <v>-1.447878E-2</v>
      </c>
      <c r="O7343">
        <v>0.99974399999999997</v>
      </c>
      <c r="P7343">
        <v>-0.1097776</v>
      </c>
      <c r="Q7343">
        <v>0.35101739999999998</v>
      </c>
      <c r="R7343">
        <v>0.92991159999999995</v>
      </c>
      <c r="S7343">
        <v>-0.1001129</v>
      </c>
      <c r="T7343">
        <v>-0.34476099999999998</v>
      </c>
      <c r="U7343">
        <v>3.3442379999999998</v>
      </c>
      <c r="V7343">
        <v>-0.12625210000000001</v>
      </c>
      <c r="W7343">
        <v>0.36430380000000001</v>
      </c>
      <c r="X7343">
        <v>0.92268260000000002</v>
      </c>
      <c r="Y7343">
        <v>-4.7142049999999998E-2</v>
      </c>
      <c r="Z7343">
        <v>-8.8027629999999996E-2</v>
      </c>
      <c r="AA7343">
        <v>0.99500189999999999</v>
      </c>
      <c r="AB7343">
        <v>33</v>
      </c>
      <c r="AC7343">
        <v>-0.32759999999998901</v>
      </c>
      <c r="AD7343">
        <v>-1.11121250937</v>
      </c>
      <c r="AE7343">
        <v>10.483162</v>
      </c>
      <c r="AF7343">
        <v>-0.50417426061475001</v>
      </c>
      <c r="AG7343">
        <v>-1.11121250937</v>
      </c>
      <c r="AH7343">
        <v>10.359594441575201</v>
      </c>
      <c r="AI7343">
        <v>96.115188254171599</v>
      </c>
      <c r="AJ7343">
        <v>92.786236790526203</v>
      </c>
      <c r="AK7343">
        <v>10.431211910414</v>
      </c>
      <c r="AL7343">
        <v>68.635256704880604</v>
      </c>
      <c r="AM7343">
        <v>97.791485012288405</v>
      </c>
      <c r="AN7343">
        <v>1.0000000158958</v>
      </c>
    </row>
    <row r="7344" spans="1:40" x14ac:dyDescent="0.25">
      <c r="A7344" t="str">
        <f>"20190304165026769"</f>
        <v>20190304165026769</v>
      </c>
      <c r="B7344" t="str">
        <f>"1551689426762941"</f>
        <v>1551689426762941</v>
      </c>
      <c r="C7344" t="s">
        <v>40</v>
      </c>
      <c r="D7344">
        <v>4.1098660000000002</v>
      </c>
      <c r="E7344">
        <v>0.54698400000000003</v>
      </c>
      <c r="F7344" t="s">
        <v>42</v>
      </c>
      <c r="G7344">
        <v>-187.40610000000001</v>
      </c>
      <c r="H7344" s="1">
        <v>-4.64319E-6</v>
      </c>
      <c r="I7344">
        <v>9.3836539999999999</v>
      </c>
      <c r="J7344">
        <v>-187.0718</v>
      </c>
      <c r="K7344">
        <v>1.111151</v>
      </c>
      <c r="L7344">
        <v>-1.0718989999999999</v>
      </c>
      <c r="M7344">
        <v>1.7114529999999999E-2</v>
      </c>
      <c r="N7344">
        <v>-1.447477E-2</v>
      </c>
      <c r="O7344">
        <v>0.99974879999999999</v>
      </c>
      <c r="P7344">
        <v>-0.10806739999999999</v>
      </c>
      <c r="Q7344">
        <v>0.35179500000000002</v>
      </c>
      <c r="R7344">
        <v>0.92981820000000004</v>
      </c>
      <c r="S7344">
        <v>-0.1018372</v>
      </c>
      <c r="T7344">
        <v>-0.34420790000000001</v>
      </c>
      <c r="U7344">
        <v>3.3440249999999998</v>
      </c>
      <c r="V7344">
        <v>-0.12423090000000001</v>
      </c>
      <c r="W7344">
        <v>0.36509849999999999</v>
      </c>
      <c r="X7344">
        <v>0.92264279999999999</v>
      </c>
      <c r="Y7344">
        <v>-4.7385200000000002E-2</v>
      </c>
      <c r="Z7344">
        <v>-8.7874560000000004E-2</v>
      </c>
      <c r="AA7344">
        <v>0.99500390000000005</v>
      </c>
      <c r="AB7344">
        <v>33</v>
      </c>
      <c r="AC7344">
        <v>-0.33430000000001298</v>
      </c>
      <c r="AD7344">
        <v>-1.11115564318999</v>
      </c>
      <c r="AE7344">
        <v>10.455553</v>
      </c>
      <c r="AF7344">
        <v>-0.50748584588617396</v>
      </c>
      <c r="AG7344">
        <v>-1.11115564318999</v>
      </c>
      <c r="AH7344">
        <v>10.3317297925806</v>
      </c>
      <c r="AI7344">
        <v>96.131109964617593</v>
      </c>
      <c r="AJ7344">
        <v>92.812060232101004</v>
      </c>
      <c r="AK7344">
        <v>10.4036940196291</v>
      </c>
      <c r="AL7344">
        <v>68.586354949674302</v>
      </c>
      <c r="AM7344">
        <v>97.668572151854093</v>
      </c>
      <c r="AN7344">
        <v>0.99999998380444899</v>
      </c>
    </row>
    <row r="7345" spans="1:40" x14ac:dyDescent="0.25">
      <c r="A7345" t="str">
        <f>"20190304165026791"</f>
        <v>20190304165026791</v>
      </c>
      <c r="B7345" t="str">
        <f>"1551689426782462"</f>
        <v>1551689426782462</v>
      </c>
      <c r="C7345" t="s">
        <v>40</v>
      </c>
      <c r="D7345">
        <v>4.101566</v>
      </c>
      <c r="E7345">
        <v>0.54695450000000001</v>
      </c>
      <c r="F7345" t="s">
        <v>42</v>
      </c>
      <c r="G7345">
        <v>-187.40459999999999</v>
      </c>
      <c r="H7345" s="1">
        <v>-7.545769E-7</v>
      </c>
      <c r="I7345">
        <v>9.8361769999999993</v>
      </c>
      <c r="J7345">
        <v>-187.0667</v>
      </c>
      <c r="K7345">
        <v>1.1111120000000001</v>
      </c>
      <c r="L7345">
        <v>-0.75903319999999996</v>
      </c>
      <c r="M7345">
        <v>1.6904619999999999E-2</v>
      </c>
      <c r="N7345">
        <v>-1.447084E-2</v>
      </c>
      <c r="O7345">
        <v>0.99975239999999999</v>
      </c>
      <c r="P7345">
        <v>-0.10529860000000001</v>
      </c>
      <c r="Q7345">
        <v>0.35263339999999999</v>
      </c>
      <c r="R7345">
        <v>0.92981820000000004</v>
      </c>
      <c r="S7345">
        <v>-0.10202029999999999</v>
      </c>
      <c r="T7345">
        <v>-0.3405801</v>
      </c>
      <c r="U7345">
        <v>3.343445</v>
      </c>
      <c r="V7345">
        <v>-0.1212271</v>
      </c>
      <c r="W7345">
        <v>0.3659502</v>
      </c>
      <c r="X7345">
        <v>0.92270490000000005</v>
      </c>
      <c r="Y7345">
        <v>-4.7238479999999999E-2</v>
      </c>
      <c r="Z7345">
        <v>-8.6828320000000001E-2</v>
      </c>
      <c r="AA7345">
        <v>0.99510270000000001</v>
      </c>
      <c r="AB7345">
        <v>33</v>
      </c>
      <c r="AC7345">
        <v>-0.33789999999998999</v>
      </c>
      <c r="AD7345">
        <v>-1.1111127545769</v>
      </c>
      <c r="AE7345">
        <v>10.5952102</v>
      </c>
      <c r="AF7345">
        <v>-0.511360448379231</v>
      </c>
      <c r="AG7345">
        <v>-1.1111127545769</v>
      </c>
      <c r="AH7345">
        <v>10.4729234462301</v>
      </c>
      <c r="AI7345">
        <v>96.048922654532902</v>
      </c>
      <c r="AJ7345">
        <v>92.795355611378397</v>
      </c>
      <c r="AK7345">
        <v>10.5441067223424</v>
      </c>
      <c r="AL7345">
        <v>68.533927438452494</v>
      </c>
      <c r="AM7345">
        <v>97.484782530439702</v>
      </c>
      <c r="AN7345">
        <v>0.999999945569228</v>
      </c>
    </row>
    <row r="7346" spans="1:40" x14ac:dyDescent="0.25">
      <c r="A7346" t="str">
        <f>"20190304165026817"</f>
        <v>20190304165026817</v>
      </c>
      <c r="B7346" t="str">
        <f>"1551689426812716"</f>
        <v>1551689426812716</v>
      </c>
      <c r="C7346" t="s">
        <v>40</v>
      </c>
      <c r="D7346">
        <v>4.1208710000000002</v>
      </c>
      <c r="E7346">
        <v>0.54684809999999995</v>
      </c>
      <c r="F7346" t="s">
        <v>42</v>
      </c>
      <c r="G7346">
        <v>-187.3887</v>
      </c>
      <c r="H7346" s="1">
        <v>-8.9967729999999997E-7</v>
      </c>
      <c r="I7346">
        <v>10.25014</v>
      </c>
      <c r="J7346">
        <v>-187.0609</v>
      </c>
      <c r="K7346">
        <v>1.111076</v>
      </c>
      <c r="L7346">
        <v>-0.4003601</v>
      </c>
      <c r="M7346">
        <v>1.6693039999999999E-2</v>
      </c>
      <c r="N7346">
        <v>-1.4466329999999999E-2</v>
      </c>
      <c r="O7346">
        <v>0.99975599999999998</v>
      </c>
      <c r="P7346">
        <v>-0.1015315</v>
      </c>
      <c r="Q7346">
        <v>0.35322049999999999</v>
      </c>
      <c r="R7346">
        <v>0.93001429999999996</v>
      </c>
      <c r="S7346">
        <v>-9.7808839999999994E-2</v>
      </c>
      <c r="T7346">
        <v>-0.33742830000000001</v>
      </c>
      <c r="U7346">
        <v>3.3433229999999998</v>
      </c>
      <c r="V7346">
        <v>-0.117234199999999</v>
      </c>
      <c r="W7346">
        <v>0.3665506</v>
      </c>
      <c r="X7346">
        <v>0.92298259999999999</v>
      </c>
      <c r="Y7346">
        <v>-4.5779640000000003E-2</v>
      </c>
      <c r="Z7346">
        <v>-8.5913799999999999E-2</v>
      </c>
      <c r="AA7346">
        <v>0.99525019999999997</v>
      </c>
      <c r="AB7346">
        <v>33</v>
      </c>
      <c r="AC7346">
        <v>-0.32779999999999598</v>
      </c>
      <c r="AD7346">
        <v>-1.1110768996772999</v>
      </c>
      <c r="AE7346">
        <v>10.650500099999901</v>
      </c>
      <c r="AF7346">
        <v>-0.50012444809676004</v>
      </c>
      <c r="AG7346">
        <v>-1.1110768996772999</v>
      </c>
      <c r="AH7346">
        <v>10.529063958156399</v>
      </c>
      <c r="AI7346">
        <v>96.017095541768498</v>
      </c>
      <c r="AJ7346">
        <v>92.719472396511605</v>
      </c>
      <c r="AK7346">
        <v>10.599330364486701</v>
      </c>
      <c r="AL7346">
        <v>68.496960428510206</v>
      </c>
      <c r="AM7346">
        <v>97.238758453480301</v>
      </c>
      <c r="AN7346">
        <v>1.00000003995637</v>
      </c>
    </row>
    <row r="7347" spans="1:40" x14ac:dyDescent="0.25">
      <c r="A7347" t="str">
        <f>"20190304165026841"</f>
        <v>20190304165026841</v>
      </c>
      <c r="B7347" t="str">
        <f>"1551689426833213"</f>
        <v>1551689426833213</v>
      </c>
      <c r="C7347" t="s">
        <v>40</v>
      </c>
      <c r="D7347">
        <v>4.1294879999999896</v>
      </c>
      <c r="E7347">
        <v>0.54672589999999999</v>
      </c>
      <c r="F7347" t="s">
        <v>41</v>
      </c>
      <c r="G7347">
        <v>-187.08770000000001</v>
      </c>
      <c r="H7347">
        <v>1.0108740000000001</v>
      </c>
      <c r="I7347">
        <v>0.59876490000000004</v>
      </c>
      <c r="J7347">
        <v>-187.05529999999999</v>
      </c>
      <c r="K7347">
        <v>1.111054</v>
      </c>
      <c r="L7347">
        <v>-5.4718019999999999E-2</v>
      </c>
      <c r="M7347">
        <v>1.6505519999999999E-2</v>
      </c>
      <c r="N7347">
        <v>-1.4462060000000001E-2</v>
      </c>
      <c r="O7347">
        <v>0.99975919999999896</v>
      </c>
      <c r="P7347">
        <v>-9.8207680000000006E-2</v>
      </c>
      <c r="Q7347">
        <v>0.35339350000000003</v>
      </c>
      <c r="R7347">
        <v>0.93030550000000001</v>
      </c>
      <c r="S7347">
        <v>-8.9767459999999993E-2</v>
      </c>
      <c r="T7347">
        <v>-0.33529930000000002</v>
      </c>
      <c r="U7347">
        <v>3.3432919999999999</v>
      </c>
      <c r="V7347">
        <v>-0.11372309999999999</v>
      </c>
      <c r="W7347">
        <v>0.366732</v>
      </c>
      <c r="X7347">
        <v>0.92334970000000005</v>
      </c>
      <c r="Y7347">
        <v>-4.3204260000000001E-2</v>
      </c>
      <c r="Z7347">
        <v>-8.5301290000000002E-2</v>
      </c>
      <c r="AA7347">
        <v>0.99541809999999997</v>
      </c>
      <c r="AB7347">
        <v>32</v>
      </c>
      <c r="AC7347">
        <v>-3.2400000000023903E-2</v>
      </c>
      <c r="AD7347">
        <v>-0.10017999999999901</v>
      </c>
      <c r="AE7347">
        <v>0.65348291999999997</v>
      </c>
      <c r="AF7347">
        <v>-4.2193611735603903E-2</v>
      </c>
      <c r="AG7347">
        <v>-0.10017999999999901</v>
      </c>
      <c r="AH7347">
        <v>0.63790417254637399</v>
      </c>
      <c r="AI7347">
        <v>98.906000213821599</v>
      </c>
      <c r="AJ7347">
        <v>93.784266704115097</v>
      </c>
      <c r="AK7347">
        <v>0.64709973468034199</v>
      </c>
      <c r="AL7347">
        <v>68.485787803527202</v>
      </c>
      <c r="AM7347">
        <v>97.021395453334094</v>
      </c>
      <c r="AN7347">
        <v>0.99999998589384997</v>
      </c>
    </row>
    <row r="7348" spans="1:40" x14ac:dyDescent="0.25">
      <c r="A7348" t="str">
        <f>"20190304165026860"</f>
        <v>20190304165026860</v>
      </c>
      <c r="B7348" t="str">
        <f>"1551689426852733"</f>
        <v>1551689426852733</v>
      </c>
      <c r="C7348" t="s">
        <v>40</v>
      </c>
      <c r="D7348">
        <v>4.1334160000000004</v>
      </c>
      <c r="E7348">
        <v>0.54655750000000003</v>
      </c>
      <c r="F7348" t="s">
        <v>41</v>
      </c>
      <c r="G7348">
        <v>-187.07830000000001</v>
      </c>
      <c r="H7348">
        <v>1.0166550000000001</v>
      </c>
      <c r="I7348">
        <v>0.89123960000000002</v>
      </c>
      <c r="J7348">
        <v>-187.05070000000001</v>
      </c>
      <c r="K7348">
        <v>1.1110390000000001</v>
      </c>
      <c r="L7348">
        <v>0.23480219999999999</v>
      </c>
      <c r="M7348">
        <v>1.635091E-2</v>
      </c>
      <c r="N7348">
        <v>-1.4458520000000001E-2</v>
      </c>
      <c r="O7348">
        <v>0.99976180000000003</v>
      </c>
      <c r="P7348">
        <v>-9.4212630000000006E-2</v>
      </c>
      <c r="Q7348">
        <v>0.35348689999999999</v>
      </c>
      <c r="R7348">
        <v>0.93068309999999999</v>
      </c>
      <c r="S7348">
        <v>-8.1924440000000001E-2</v>
      </c>
      <c r="T7348">
        <v>-0.33357940000000003</v>
      </c>
      <c r="U7348">
        <v>3.3428040000000001</v>
      </c>
      <c r="V7348">
        <v>-0.10958030000000001</v>
      </c>
      <c r="W7348">
        <v>0.36683450000000001</v>
      </c>
      <c r="X7348">
        <v>0.92380980000000001</v>
      </c>
      <c r="Y7348">
        <v>-4.0722800000000003E-2</v>
      </c>
      <c r="Z7348">
        <v>-8.4820950000000006E-2</v>
      </c>
      <c r="AA7348">
        <v>0.99556369999999905</v>
      </c>
      <c r="AB7348">
        <v>32</v>
      </c>
      <c r="AC7348">
        <v>-2.7600000000006699E-2</v>
      </c>
      <c r="AD7348">
        <v>-9.4383999999999996E-2</v>
      </c>
      <c r="AE7348">
        <v>0.65643739999999995</v>
      </c>
      <c r="AF7348">
        <v>-3.7555748406544701E-2</v>
      </c>
      <c r="AG7348">
        <v>-9.4383999999999996E-2</v>
      </c>
      <c r="AH7348">
        <v>0.642636314899523</v>
      </c>
      <c r="AI7348">
        <v>98.341265581665397</v>
      </c>
      <c r="AJ7348">
        <v>93.344568630644105</v>
      </c>
      <c r="AK7348">
        <v>0.65061525260480502</v>
      </c>
      <c r="AL7348">
        <v>68.479474656907698</v>
      </c>
      <c r="AM7348">
        <v>96.764691525987502</v>
      </c>
      <c r="AN7348">
        <v>0.99999996955718895</v>
      </c>
    </row>
    <row r="7349" spans="1:40" x14ac:dyDescent="0.25">
      <c r="A7349" t="str">
        <f>"20190304165026882"</f>
        <v>20190304165026882</v>
      </c>
      <c r="B7349" t="str">
        <f>"1551689426873229"</f>
        <v>1551689426873229</v>
      </c>
      <c r="C7349" t="s">
        <v>40</v>
      </c>
      <c r="D7349">
        <v>4.1550969999999996</v>
      </c>
      <c r="E7349">
        <v>0.54646930000000005</v>
      </c>
      <c r="F7349" t="s">
        <v>41</v>
      </c>
      <c r="G7349">
        <v>-187.07079999999999</v>
      </c>
      <c r="H7349">
        <v>1.0165729999999999</v>
      </c>
      <c r="I7349">
        <v>1.179335</v>
      </c>
      <c r="J7349">
        <v>-187.04560000000001</v>
      </c>
      <c r="K7349">
        <v>1.111024</v>
      </c>
      <c r="L7349">
        <v>0.56179809999999997</v>
      </c>
      <c r="M7349">
        <v>1.617325E-2</v>
      </c>
      <c r="N7349">
        <v>-1.445457E-2</v>
      </c>
      <c r="O7349">
        <v>0.99976469999999995</v>
      </c>
      <c r="P7349">
        <v>-9.1096090000000005E-2</v>
      </c>
      <c r="Q7349">
        <v>0.35375400000000001</v>
      </c>
      <c r="R7349">
        <v>0.93089180000000005</v>
      </c>
      <c r="S7349">
        <v>-7.1151729999999996E-2</v>
      </c>
      <c r="T7349">
        <v>-0.3343682</v>
      </c>
      <c r="U7349">
        <v>3.3432309999999998</v>
      </c>
      <c r="V7349">
        <v>-0.106294</v>
      </c>
      <c r="W7349">
        <v>0.36710599999999999</v>
      </c>
      <c r="X7349">
        <v>0.92408590000000002</v>
      </c>
      <c r="Y7349">
        <v>-3.7337960000000003E-2</v>
      </c>
      <c r="Z7349">
        <v>-8.5055950000000005E-2</v>
      </c>
      <c r="AA7349">
        <v>0.99567629999999996</v>
      </c>
      <c r="AB7349">
        <v>32</v>
      </c>
      <c r="AC7349">
        <v>-2.5199999999983898E-2</v>
      </c>
      <c r="AD7349">
        <v>-9.4450999999999993E-2</v>
      </c>
      <c r="AE7349">
        <v>0.61753690000000006</v>
      </c>
      <c r="AF7349">
        <v>-3.43823538389008E-2</v>
      </c>
      <c r="AG7349">
        <v>-9.4450999999999993E-2</v>
      </c>
      <c r="AH7349">
        <v>0.60296670821615705</v>
      </c>
      <c r="AI7349">
        <v>98.888475864125894</v>
      </c>
      <c r="AJ7349">
        <v>93.263584502071495</v>
      </c>
      <c r="AK7349">
        <v>0.61128715745836804</v>
      </c>
      <c r="AL7349">
        <v>68.462752634040399</v>
      </c>
      <c r="AM7349">
        <v>96.561672472143002</v>
      </c>
      <c r="AN7349">
        <v>0.99999999012540497</v>
      </c>
    </row>
    <row r="7350" spans="1:40" x14ac:dyDescent="0.25">
      <c r="A7350" t="str">
        <f>"20190304165026904"</f>
        <v>20190304165026904</v>
      </c>
      <c r="B7350" t="str">
        <f>"1551689426893726"</f>
        <v>1551689426893726</v>
      </c>
      <c r="C7350" t="s">
        <v>40</v>
      </c>
      <c r="D7350">
        <v>4.1548829999999999</v>
      </c>
      <c r="E7350">
        <v>0.54629399999999995</v>
      </c>
      <c r="F7350" t="s">
        <v>41</v>
      </c>
      <c r="G7350">
        <v>-187.0616</v>
      </c>
      <c r="H7350">
        <v>1.020913</v>
      </c>
      <c r="I7350">
        <v>1.470442</v>
      </c>
      <c r="J7350">
        <v>-187.04069999999999</v>
      </c>
      <c r="K7350">
        <v>1.111022</v>
      </c>
      <c r="L7350">
        <v>0.87460329999999997</v>
      </c>
      <c r="M7350">
        <v>1.5998809999999999E-2</v>
      </c>
      <c r="N7350">
        <v>-1.4450879999999999E-2</v>
      </c>
      <c r="O7350">
        <v>0.99976759999999998</v>
      </c>
      <c r="P7350">
        <v>-8.9245030000000003E-2</v>
      </c>
      <c r="Q7350">
        <v>0.35385139999999998</v>
      </c>
      <c r="R7350">
        <v>0.93103409999999998</v>
      </c>
      <c r="S7350">
        <v>-5.9402469999999999E-2</v>
      </c>
      <c r="T7350">
        <v>-0.33151779999999997</v>
      </c>
      <c r="U7350">
        <v>3.3428960000000001</v>
      </c>
      <c r="V7350">
        <v>-0.10427740000000001</v>
      </c>
      <c r="W7350">
        <v>0.3672049</v>
      </c>
      <c r="X7350">
        <v>0.9242764</v>
      </c>
      <c r="Y7350">
        <v>-3.3671819999999998E-2</v>
      </c>
      <c r="Z7350">
        <v>-8.4239439999999999E-2</v>
      </c>
      <c r="AA7350">
        <v>0.99587650000000005</v>
      </c>
      <c r="AB7350">
        <v>32</v>
      </c>
      <c r="AC7350">
        <v>-2.09000000000116E-2</v>
      </c>
      <c r="AD7350">
        <v>-9.0108999999999995E-2</v>
      </c>
      <c r="AE7350">
        <v>0.59583869999999906</v>
      </c>
      <c r="AF7350">
        <v>-2.9751430855818699E-2</v>
      </c>
      <c r="AG7350">
        <v>-9.0108999999999995E-2</v>
      </c>
      <c r="AH7350">
        <v>0.58213065453875301</v>
      </c>
      <c r="AI7350">
        <v>98.787788485932793</v>
      </c>
      <c r="AJ7350">
        <v>92.925717035631294</v>
      </c>
      <c r="AK7350">
        <v>0.58981427455825897</v>
      </c>
      <c r="AL7350">
        <v>68.456661721380101</v>
      </c>
      <c r="AM7350">
        <v>96.436924430451299</v>
      </c>
      <c r="AN7350">
        <v>1.0000000391658601</v>
      </c>
    </row>
    <row r="7351" spans="1:40" x14ac:dyDescent="0.25">
      <c r="A7351" t="str">
        <f>"20190304165026928"</f>
        <v>20190304165026928</v>
      </c>
      <c r="B7351" t="str">
        <f>"1551689426923005"</f>
        <v>1551689426923005</v>
      </c>
      <c r="C7351" t="s">
        <v>40</v>
      </c>
      <c r="D7351">
        <v>4.1610040000000001</v>
      </c>
      <c r="E7351">
        <v>0.54604580000000003</v>
      </c>
      <c r="F7351" t="s">
        <v>41</v>
      </c>
      <c r="G7351">
        <v>-187.05430000000001</v>
      </c>
      <c r="H7351">
        <v>1.023644</v>
      </c>
      <c r="I7351">
        <v>1.760456</v>
      </c>
      <c r="J7351">
        <v>-187.03540000000001</v>
      </c>
      <c r="K7351">
        <v>1.111016</v>
      </c>
      <c r="L7351">
        <v>1.2179869999999999</v>
      </c>
      <c r="M7351">
        <v>1.580262E-2</v>
      </c>
      <c r="N7351">
        <v>-1.444693E-2</v>
      </c>
      <c r="O7351">
        <v>0.99977079999999996</v>
      </c>
      <c r="P7351">
        <v>-8.9578900000000003E-2</v>
      </c>
      <c r="Q7351">
        <v>0.35392760000000001</v>
      </c>
      <c r="R7351">
        <v>0.9309731</v>
      </c>
      <c r="S7351">
        <v>-5.1239010000000001E-2</v>
      </c>
      <c r="T7351">
        <v>-0.32970389999999999</v>
      </c>
      <c r="U7351">
        <v>3.3426209999999998</v>
      </c>
      <c r="V7351">
        <v>-0.10442269999999899</v>
      </c>
      <c r="W7351">
        <v>0.36727759999999998</v>
      </c>
      <c r="X7351">
        <v>0.92423109999999997</v>
      </c>
      <c r="Y7351">
        <v>-3.1048490000000002E-2</v>
      </c>
      <c r="Z7351">
        <v>-8.3723110000000003E-2</v>
      </c>
      <c r="AA7351">
        <v>0.99600520000000003</v>
      </c>
      <c r="AB7351">
        <v>32</v>
      </c>
      <c r="AC7351">
        <v>-1.8900000000002099E-2</v>
      </c>
      <c r="AD7351">
        <v>-8.7372000000000005E-2</v>
      </c>
      <c r="AE7351">
        <v>0.54246899999999898</v>
      </c>
      <c r="AF7351">
        <v>-2.6777168181082001E-2</v>
      </c>
      <c r="AG7351">
        <v>-8.7372000000000005E-2</v>
      </c>
      <c r="AH7351">
        <v>0.52841139466471498</v>
      </c>
      <c r="AI7351">
        <v>99.377001085883194</v>
      </c>
      <c r="AJ7351">
        <v>92.900973556825903</v>
      </c>
      <c r="AK7351">
        <v>0.536255056042651</v>
      </c>
      <c r="AL7351">
        <v>68.452183213476502</v>
      </c>
      <c r="AM7351">
        <v>96.446131471790807</v>
      </c>
      <c r="AN7351">
        <v>1.00000003097212</v>
      </c>
    </row>
    <row r="7352" spans="1:40" x14ac:dyDescent="0.25">
      <c r="A7352" t="str">
        <f>"20190304165026947"</f>
        <v>20190304165026947</v>
      </c>
      <c r="B7352" t="str">
        <f>"1551689426942525"</f>
        <v>1551689426942525</v>
      </c>
      <c r="C7352" t="s">
        <v>40</v>
      </c>
      <c r="D7352">
        <v>4.1702789999999998</v>
      </c>
      <c r="E7352">
        <v>0.54588939999999997</v>
      </c>
      <c r="F7352" t="s">
        <v>41</v>
      </c>
      <c r="G7352">
        <v>-187.0478</v>
      </c>
      <c r="H7352">
        <v>1.0282770000000001</v>
      </c>
      <c r="I7352">
        <v>2.0609549999999999</v>
      </c>
      <c r="J7352">
        <v>-187.03139999999999</v>
      </c>
      <c r="K7352">
        <v>1.111013</v>
      </c>
      <c r="L7352">
        <v>1.4890749999999999</v>
      </c>
      <c r="M7352">
        <v>1.5645590000000001E-2</v>
      </c>
      <c r="N7352">
        <v>-1.4443889999999999E-2</v>
      </c>
      <c r="O7352">
        <v>0.99977329999999998</v>
      </c>
      <c r="P7352">
        <v>-9.098987E-2</v>
      </c>
      <c r="Q7352">
        <v>0.3529986</v>
      </c>
      <c r="R7352">
        <v>0.93118889999999999</v>
      </c>
      <c r="S7352">
        <v>-4.9545289999999999E-2</v>
      </c>
      <c r="T7352">
        <v>-0.32806099999999999</v>
      </c>
      <c r="U7352">
        <v>3.3423769999999902</v>
      </c>
      <c r="V7352">
        <v>-0.105688</v>
      </c>
      <c r="W7352">
        <v>0.36634949999999999</v>
      </c>
      <c r="X7352">
        <v>0.92445549999999999</v>
      </c>
      <c r="Y7352">
        <v>-3.0389240000000001E-2</v>
      </c>
      <c r="Z7352">
        <v>-8.325014E-2</v>
      </c>
      <c r="AA7352">
        <v>0.99606519999999998</v>
      </c>
      <c r="AB7352">
        <v>32</v>
      </c>
      <c r="AC7352">
        <v>-1.6400000000004401E-2</v>
      </c>
      <c r="AD7352">
        <v>-8.2735999999999907E-2</v>
      </c>
      <c r="AE7352">
        <v>0.57187999999999894</v>
      </c>
      <c r="AF7352">
        <v>-2.4827109079711699E-2</v>
      </c>
      <c r="AG7352">
        <v>-8.2735999999999907E-2</v>
      </c>
      <c r="AH7352">
        <v>0.55984517255731703</v>
      </c>
      <c r="AI7352">
        <v>98.398399754345306</v>
      </c>
      <c r="AJ7352">
        <v>92.539196989988497</v>
      </c>
      <c r="AK7352">
        <v>0.56646998885818101</v>
      </c>
      <c r="AL7352">
        <v>68.509341797677095</v>
      </c>
      <c r="AM7352">
        <v>96.522000682751994</v>
      </c>
      <c r="AN7352">
        <v>0.99999994048724805</v>
      </c>
    </row>
    <row r="7353" spans="1:40" x14ac:dyDescent="0.25">
      <c r="A7353" t="str">
        <f>"20190304165026971"</f>
        <v>20190304165026971</v>
      </c>
      <c r="B7353" t="str">
        <f>"1551689426963022"</f>
        <v>1551689426963022</v>
      </c>
      <c r="C7353" t="s">
        <v>40</v>
      </c>
      <c r="D7353">
        <v>4.1659240000000004</v>
      </c>
      <c r="E7353">
        <v>0.5457014</v>
      </c>
      <c r="F7353" t="s">
        <v>41</v>
      </c>
      <c r="G7353">
        <v>-187.0446</v>
      </c>
      <c r="H7353">
        <v>1.026875</v>
      </c>
      <c r="I7353">
        <v>2.3391989999999998</v>
      </c>
      <c r="J7353">
        <v>-187.02610000000001</v>
      </c>
      <c r="K7353">
        <v>1.1110059999999999</v>
      </c>
      <c r="L7353">
        <v>1.838074</v>
      </c>
      <c r="M7353">
        <v>1.5442040000000001E-2</v>
      </c>
      <c r="N7353">
        <v>-1.443993E-2</v>
      </c>
      <c r="O7353">
        <v>0.99977649999999996</v>
      </c>
      <c r="P7353">
        <v>-9.4486189999999998E-2</v>
      </c>
      <c r="Q7353">
        <v>0.35226360000000001</v>
      </c>
      <c r="R7353">
        <v>0.93111909999999998</v>
      </c>
      <c r="S7353">
        <v>-5.230713E-2</v>
      </c>
      <c r="T7353">
        <v>-0.33075670000000001</v>
      </c>
      <c r="U7353">
        <v>3.3419490000000001</v>
      </c>
      <c r="V7353">
        <v>-0.108991</v>
      </c>
      <c r="W7353">
        <v>0.36560900000000002</v>
      </c>
      <c r="X7353">
        <v>0.9243652</v>
      </c>
      <c r="Y7353">
        <v>-3.1008859999999999E-2</v>
      </c>
      <c r="Z7353">
        <v>-8.4060999999999997E-2</v>
      </c>
      <c r="AA7353">
        <v>0.99597800000000003</v>
      </c>
      <c r="AB7353">
        <v>32</v>
      </c>
      <c r="AC7353">
        <v>-1.84999999999888E-2</v>
      </c>
      <c r="AD7353">
        <v>-8.41309999999999E-2</v>
      </c>
      <c r="AE7353">
        <v>0.50112500000000004</v>
      </c>
      <c r="AF7353">
        <v>-2.5518723305537599E-2</v>
      </c>
      <c r="AG7353">
        <v>-8.41309999999999E-2</v>
      </c>
      <c r="AH7353">
        <v>0.48707008115933098</v>
      </c>
      <c r="AI7353">
        <v>99.786767327086906</v>
      </c>
      <c r="AJ7353">
        <v>92.999115706032597</v>
      </c>
      <c r="AK7353">
        <v>0.49494089986654199</v>
      </c>
      <c r="AL7353">
        <v>68.554933616808697</v>
      </c>
      <c r="AM7353">
        <v>96.724641037104703</v>
      </c>
      <c r="AN7353">
        <v>1.00000000096652</v>
      </c>
    </row>
    <row r="7354" spans="1:40" x14ac:dyDescent="0.25">
      <c r="A7354" t="str">
        <f>"20190304165026992"</f>
        <v>20190304165026992</v>
      </c>
      <c r="B7354" t="str">
        <f>"1551689426982541"</f>
        <v>1551689426982541</v>
      </c>
      <c r="C7354" t="s">
        <v>40</v>
      </c>
      <c r="D7354">
        <v>4.1742650000000001</v>
      </c>
      <c r="E7354">
        <v>0.54551879999999997</v>
      </c>
      <c r="F7354" t="s">
        <v>42</v>
      </c>
      <c r="G7354">
        <v>-187.23439999999999</v>
      </c>
      <c r="H7354" s="1">
        <v>-1.9394169999999998E-6</v>
      </c>
      <c r="I7354">
        <v>13.01008</v>
      </c>
      <c r="J7354">
        <v>-187.02170000000001</v>
      </c>
      <c r="K7354">
        <v>1.1110070000000001</v>
      </c>
      <c r="L7354">
        <v>2.1394039999999999</v>
      </c>
      <c r="M7354">
        <v>1.5265829999999999E-2</v>
      </c>
      <c r="N7354">
        <v>-1.443506E-2</v>
      </c>
      <c r="O7354">
        <v>0.99977930000000004</v>
      </c>
      <c r="P7354">
        <v>-9.8859240000000001E-2</v>
      </c>
      <c r="Q7354">
        <v>0.35311520000000002</v>
      </c>
      <c r="R7354">
        <v>0.93034220000000001</v>
      </c>
      <c r="S7354">
        <v>-6.2301639999999998E-2</v>
      </c>
      <c r="T7354">
        <v>-0.33227879999999999</v>
      </c>
      <c r="U7354">
        <v>3.3413089999999999</v>
      </c>
      <c r="V7354">
        <v>-0.1131871</v>
      </c>
      <c r="W7354">
        <v>0.36644280000000001</v>
      </c>
      <c r="X7354">
        <v>0.92353039999999997</v>
      </c>
      <c r="Y7354">
        <v>-3.3810689999999997E-2</v>
      </c>
      <c r="Z7354">
        <v>-8.4526959999999998E-2</v>
      </c>
      <c r="AA7354">
        <v>0.99584740000000005</v>
      </c>
      <c r="AB7354">
        <v>32</v>
      </c>
      <c r="AC7354">
        <v>-0.21269999999998301</v>
      </c>
      <c r="AD7354">
        <v>-1.111008939417</v>
      </c>
      <c r="AE7354">
        <v>10.870676</v>
      </c>
      <c r="AF7354">
        <v>-0.37472971156111401</v>
      </c>
      <c r="AG7354">
        <v>-1.111008939417</v>
      </c>
      <c r="AH7354">
        <v>10.7538768376723</v>
      </c>
      <c r="AI7354">
        <v>95.894886311823896</v>
      </c>
      <c r="AJ7354">
        <v>91.995721865031499</v>
      </c>
      <c r="AK7354">
        <v>10.8176074184644</v>
      </c>
      <c r="AL7354">
        <v>68.503598422733205</v>
      </c>
      <c r="AM7354">
        <v>96.987276326316803</v>
      </c>
      <c r="AN7354">
        <v>1.0000000225012</v>
      </c>
    </row>
    <row r="7355" spans="1:40" x14ac:dyDescent="0.25">
      <c r="A7355" t="str">
        <f>"20190304165027017"</f>
        <v>20190304165027017</v>
      </c>
      <c r="B7355" t="str">
        <f>"1551689427012797"</f>
        <v>1551689427012797</v>
      </c>
      <c r="C7355" t="s">
        <v>40</v>
      </c>
      <c r="D7355">
        <v>4.1590020000000001</v>
      </c>
      <c r="E7355">
        <v>0.54533199999999904</v>
      </c>
      <c r="F7355" t="s">
        <v>42</v>
      </c>
      <c r="G7355">
        <v>-187.27850000000001</v>
      </c>
      <c r="H7355" s="1">
        <v>-2.1153490000000002E-6</v>
      </c>
      <c r="I7355">
        <v>13.438420000000001</v>
      </c>
      <c r="J7355">
        <v>-187.01650000000001</v>
      </c>
      <c r="K7355">
        <v>1.1110059999999999</v>
      </c>
      <c r="L7355">
        <v>2.4960019999999998</v>
      </c>
      <c r="M7355">
        <v>1.505693E-2</v>
      </c>
      <c r="N7355">
        <v>-1.4416160000000001E-2</v>
      </c>
      <c r="O7355">
        <v>0.99978270000000002</v>
      </c>
      <c r="P7355">
        <v>-0.1032589</v>
      </c>
      <c r="Q7355">
        <v>0.35384480000000001</v>
      </c>
      <c r="R7355">
        <v>0.92958669999999999</v>
      </c>
      <c r="S7355">
        <v>-7.5958250000000005E-2</v>
      </c>
      <c r="T7355">
        <v>-0.3285382</v>
      </c>
      <c r="U7355">
        <v>3.3412480000000002</v>
      </c>
      <c r="V7355">
        <v>-0.1173799</v>
      </c>
      <c r="W7355">
        <v>0.36714229999999998</v>
      </c>
      <c r="X7355">
        <v>0.92272880000000002</v>
      </c>
      <c r="Y7355">
        <v>-3.7669769999999998E-2</v>
      </c>
      <c r="Z7355">
        <v>-8.3432599999999996E-2</v>
      </c>
      <c r="AA7355">
        <v>0.99580119999999905</v>
      </c>
      <c r="AB7355">
        <v>32</v>
      </c>
      <c r="AC7355">
        <v>-0.26200000000000001</v>
      </c>
      <c r="AD7355">
        <v>-1.1110081153489999</v>
      </c>
      <c r="AE7355">
        <v>10.942418</v>
      </c>
      <c r="AF7355">
        <v>-0.42239475382300001</v>
      </c>
      <c r="AG7355">
        <v>-1.1110081153489999</v>
      </c>
      <c r="AH7355">
        <v>10.8256960345089</v>
      </c>
      <c r="AI7355">
        <v>95.855152482951496</v>
      </c>
      <c r="AJ7355">
        <v>92.234421369784599</v>
      </c>
      <c r="AK7355">
        <v>10.8907507083768</v>
      </c>
      <c r="AL7355">
        <v>68.460516295967594</v>
      </c>
      <c r="AM7355">
        <v>97.249631551202</v>
      </c>
      <c r="AN7355">
        <v>0.99999997386136896</v>
      </c>
    </row>
    <row r="7356" spans="1:40" x14ac:dyDescent="0.25">
      <c r="A7356" t="str">
        <f>"20190304165027038"</f>
        <v>20190304165027038</v>
      </c>
      <c r="B7356" t="str">
        <f>"1551689427032317"</f>
        <v>1551689427032317</v>
      </c>
      <c r="C7356" t="s">
        <v>40</v>
      </c>
      <c r="D7356">
        <v>4.1506790000000002</v>
      </c>
      <c r="E7356">
        <v>0.54526509999999995</v>
      </c>
      <c r="F7356" t="s">
        <v>41</v>
      </c>
      <c r="G7356">
        <v>-187.04349999999999</v>
      </c>
      <c r="H7356">
        <v>1.014875</v>
      </c>
      <c r="I7356">
        <v>3.4805450000000002</v>
      </c>
      <c r="J7356">
        <v>-187.01220000000001</v>
      </c>
      <c r="K7356">
        <v>1.110995</v>
      </c>
      <c r="L7356">
        <v>2.7967219999999999</v>
      </c>
      <c r="M7356">
        <v>1.488069E-2</v>
      </c>
      <c r="N7356">
        <v>-1.438178E-2</v>
      </c>
      <c r="O7356">
        <v>0.99978579999999995</v>
      </c>
      <c r="P7356">
        <v>-0.105434</v>
      </c>
      <c r="Q7356">
        <v>0.35374870000000003</v>
      </c>
      <c r="R7356">
        <v>0.92937910000000001</v>
      </c>
      <c r="S7356">
        <v>-9.1888429999999993E-2</v>
      </c>
      <c r="T7356">
        <v>-0.32623370000000002</v>
      </c>
      <c r="U7356">
        <v>3.3412169999999999</v>
      </c>
      <c r="V7356">
        <v>-0.11938790000000001</v>
      </c>
      <c r="W7356">
        <v>0.36701060000000002</v>
      </c>
      <c r="X7356">
        <v>0.9225236</v>
      </c>
      <c r="Y7356">
        <v>-4.2236250000000003E-2</v>
      </c>
      <c r="Z7356">
        <v>-8.2772709999999999E-2</v>
      </c>
      <c r="AA7356">
        <v>0.99567300000000003</v>
      </c>
      <c r="AB7356">
        <v>32</v>
      </c>
      <c r="AC7356">
        <v>-3.12999999999874E-2</v>
      </c>
      <c r="AD7356">
        <v>-9.6120000000000205E-2</v>
      </c>
      <c r="AE7356">
        <v>0.68382299999999896</v>
      </c>
      <c r="AF7356">
        <v>-4.0671443622109602E-2</v>
      </c>
      <c r="AG7356">
        <v>-9.6120000000000205E-2</v>
      </c>
      <c r="AH7356">
        <v>0.67006997901983101</v>
      </c>
      <c r="AI7356">
        <v>98.148465137965701</v>
      </c>
      <c r="AJ7356">
        <v>93.473438164258297</v>
      </c>
      <c r="AK7356">
        <v>0.67814968665475595</v>
      </c>
      <c r="AL7356">
        <v>68.468629539028399</v>
      </c>
      <c r="AM7356">
        <v>97.373918641711697</v>
      </c>
      <c r="AN7356">
        <v>1.00000002186786</v>
      </c>
    </row>
    <row r="7357" spans="1:40" x14ac:dyDescent="0.25">
      <c r="A7357" t="str">
        <f>"20190304165027060"</f>
        <v>20190304165027060</v>
      </c>
      <c r="B7357" t="str">
        <f>"1551689427052813"</f>
        <v>1551689427052813</v>
      </c>
      <c r="C7357" t="s">
        <v>40</v>
      </c>
      <c r="D7357">
        <v>4.1400610000000002</v>
      </c>
      <c r="E7357">
        <v>0.54521919999999902</v>
      </c>
      <c r="F7357" t="s">
        <v>41</v>
      </c>
      <c r="G7357">
        <v>-187.04150000000001</v>
      </c>
      <c r="H7357">
        <v>1.015876</v>
      </c>
      <c r="I7357">
        <v>3.769584</v>
      </c>
      <c r="J7357">
        <v>-187.0077</v>
      </c>
      <c r="K7357">
        <v>1.1109929999999999</v>
      </c>
      <c r="L7357">
        <v>3.112549</v>
      </c>
      <c r="M7357">
        <v>1.46961E-2</v>
      </c>
      <c r="N7357">
        <v>-1.433562E-2</v>
      </c>
      <c r="O7357">
        <v>0.99978920000000004</v>
      </c>
      <c r="P7357">
        <v>-0.10770299999999999</v>
      </c>
      <c r="Q7357">
        <v>0.35402470000000003</v>
      </c>
      <c r="R7357">
        <v>0.9290138</v>
      </c>
      <c r="S7357">
        <v>-0.1012726</v>
      </c>
      <c r="T7357">
        <v>-0.32663209999999998</v>
      </c>
      <c r="U7357">
        <v>3.3407900000000001</v>
      </c>
      <c r="V7357">
        <v>-0.1214798</v>
      </c>
      <c r="W7357">
        <v>0.36723820000000001</v>
      </c>
      <c r="X7357">
        <v>0.92215990000000003</v>
      </c>
      <c r="Y7357">
        <v>-4.4847159999999997E-2</v>
      </c>
      <c r="Z7357">
        <v>-8.2939330000000006E-2</v>
      </c>
      <c r="AA7357">
        <v>0.99554500000000001</v>
      </c>
      <c r="AB7357">
        <v>32</v>
      </c>
      <c r="AC7357">
        <v>-3.3800000000013597E-2</v>
      </c>
      <c r="AD7357">
        <v>-9.5117000000000104E-2</v>
      </c>
      <c r="AE7357">
        <v>0.65703499999999904</v>
      </c>
      <c r="AF7357">
        <v>-4.2563523596996E-2</v>
      </c>
      <c r="AG7357">
        <v>-9.5117000000000104E-2</v>
      </c>
      <c r="AH7357">
        <v>0.64302659626942105</v>
      </c>
      <c r="AI7357">
        <v>98.396110832086194</v>
      </c>
      <c r="AJ7357">
        <v>93.787025172134193</v>
      </c>
      <c r="AK7357">
        <v>0.65141545939579104</v>
      </c>
      <c r="AL7357">
        <v>68.454610911891393</v>
      </c>
      <c r="AM7357">
        <v>97.504589387851198</v>
      </c>
      <c r="AN7357">
        <v>1.0000000592576399</v>
      </c>
    </row>
    <row r="7358" spans="1:40" x14ac:dyDescent="0.25">
      <c r="A7358" t="str">
        <f>"20190304165027083"</f>
        <v>20190304165027083</v>
      </c>
      <c r="B7358" t="str">
        <f>"1551689427072333"</f>
        <v>1551689427072333</v>
      </c>
      <c r="C7358" t="s">
        <v>40</v>
      </c>
      <c r="D7358">
        <v>4.1305670000000001</v>
      </c>
      <c r="E7358">
        <v>0.54524609999999996</v>
      </c>
      <c r="F7358" t="s">
        <v>42</v>
      </c>
      <c r="G7358">
        <v>-187.37970000000001</v>
      </c>
      <c r="H7358" s="1">
        <v>-2.5525219999999999E-6</v>
      </c>
      <c r="I7358">
        <v>14.499320000000001</v>
      </c>
      <c r="J7358">
        <v>-187.00299999999999</v>
      </c>
      <c r="K7358">
        <v>1.110981</v>
      </c>
      <c r="L7358">
        <v>3.444458</v>
      </c>
      <c r="M7358">
        <v>1.4502330000000001E-2</v>
      </c>
      <c r="N7358">
        <v>-1.427259E-2</v>
      </c>
      <c r="O7358">
        <v>0.99979300000000004</v>
      </c>
      <c r="P7358">
        <v>-0.10924159999999999</v>
      </c>
      <c r="Q7358">
        <v>0.35393419999999998</v>
      </c>
      <c r="R7358">
        <v>0.92886860000000004</v>
      </c>
      <c r="S7358">
        <v>-0.10916140000000001</v>
      </c>
      <c r="T7358">
        <v>-0.3259572</v>
      </c>
      <c r="U7358">
        <v>3.3407900000000001</v>
      </c>
      <c r="V7358">
        <v>-0.12283579999999999</v>
      </c>
      <c r="W7358">
        <v>0.36708689999999999</v>
      </c>
      <c r="X7358">
        <v>0.92204050000000004</v>
      </c>
      <c r="Y7358">
        <v>-4.7000840000000002E-2</v>
      </c>
      <c r="Z7358">
        <v>-8.2794729999999997E-2</v>
      </c>
      <c r="AA7358">
        <v>0.99545760000000005</v>
      </c>
      <c r="AB7358">
        <v>32</v>
      </c>
      <c r="AC7358">
        <v>-0.37670000000002701</v>
      </c>
      <c r="AD7358">
        <v>-1.110983552522</v>
      </c>
      <c r="AE7358">
        <v>11.054862</v>
      </c>
      <c r="AF7358">
        <v>-0.53163483308957604</v>
      </c>
      <c r="AG7358">
        <v>-1.110983552522</v>
      </c>
      <c r="AH7358">
        <v>10.93789423934</v>
      </c>
      <c r="AI7358">
        <v>95.792963017574806</v>
      </c>
      <c r="AJ7358">
        <v>92.782663513643698</v>
      </c>
      <c r="AK7358">
        <v>11.007018235685599</v>
      </c>
      <c r="AL7358">
        <v>68.463930584308699</v>
      </c>
      <c r="AM7358">
        <v>97.588358704683799</v>
      </c>
      <c r="AN7358">
        <v>1.00000005477674</v>
      </c>
    </row>
    <row r="7359" spans="1:40" x14ac:dyDescent="0.25">
      <c r="A7359" t="str">
        <f>"20190304165027104"</f>
        <v>20190304165027104</v>
      </c>
      <c r="B7359" t="str">
        <f>"1551689427092832"</f>
        <v>1551689427092832</v>
      </c>
      <c r="C7359" t="s">
        <v>40</v>
      </c>
      <c r="D7359">
        <v>4.0830690000000001</v>
      </c>
      <c r="E7359">
        <v>0.54525889999999999</v>
      </c>
      <c r="F7359" t="s">
        <v>42</v>
      </c>
      <c r="G7359">
        <v>-187.3887</v>
      </c>
      <c r="H7359" s="1">
        <v>-2.6909310000000002E-6</v>
      </c>
      <c r="I7359">
        <v>14.825659999999999</v>
      </c>
      <c r="J7359">
        <v>-186.99879999999999</v>
      </c>
      <c r="K7359">
        <v>1.1109610000000001</v>
      </c>
      <c r="L7359">
        <v>3.7495729999999998</v>
      </c>
      <c r="M7359">
        <v>1.4324160000000001E-2</v>
      </c>
      <c r="N7359">
        <v>-1.4197410000000001E-2</v>
      </c>
      <c r="O7359">
        <v>0.99979660000000004</v>
      </c>
      <c r="P7359">
        <v>-0.10988339999999901</v>
      </c>
      <c r="Q7359">
        <v>0.35375830000000003</v>
      </c>
      <c r="R7359">
        <v>0.92885989999999996</v>
      </c>
      <c r="S7359">
        <v>-0.113205</v>
      </c>
      <c r="T7359">
        <v>-0.32610149999999999</v>
      </c>
      <c r="U7359">
        <v>3.340668</v>
      </c>
      <c r="V7359">
        <v>-0.123312</v>
      </c>
      <c r="W7359">
        <v>0.36684159999999999</v>
      </c>
      <c r="X7359">
        <v>0.92207450000000002</v>
      </c>
      <c r="Y7359">
        <v>-4.8026619999999999E-2</v>
      </c>
      <c r="Z7359">
        <v>-8.2911810000000002E-2</v>
      </c>
      <c r="AA7359">
        <v>0.99539889999999998</v>
      </c>
      <c r="AB7359">
        <v>32</v>
      </c>
      <c r="AC7359">
        <v>-0.38990000000001102</v>
      </c>
      <c r="AD7359">
        <v>-1.1109636909309999</v>
      </c>
      <c r="AE7359">
        <v>11.076086999999999</v>
      </c>
      <c r="AF7359">
        <v>-0.54307469066874703</v>
      </c>
      <c r="AG7359">
        <v>-1.1109636909309999</v>
      </c>
      <c r="AH7359">
        <v>10.9592439498715</v>
      </c>
      <c r="AI7359">
        <v>95.781384746640796</v>
      </c>
      <c r="AJ7359">
        <v>92.836916116489604</v>
      </c>
      <c r="AK7359">
        <v>11.0287895253743</v>
      </c>
      <c r="AL7359">
        <v>68.479037973208406</v>
      </c>
      <c r="AM7359">
        <v>97.617154290544406</v>
      </c>
      <c r="AN7359">
        <v>0.99999999619240498</v>
      </c>
    </row>
    <row r="7360" spans="1:40" x14ac:dyDescent="0.25">
      <c r="A7360" t="str">
        <f>"20190304165027126"</f>
        <v>20190304165027126</v>
      </c>
      <c r="B7360" t="str">
        <f>"1551689427123085"</f>
        <v>1551689427123085</v>
      </c>
      <c r="C7360" t="s">
        <v>40</v>
      </c>
      <c r="D7360">
        <v>4.0931040000000003</v>
      </c>
      <c r="E7360">
        <v>0.54536499999999999</v>
      </c>
      <c r="F7360" t="s">
        <v>42</v>
      </c>
      <c r="G7360">
        <v>-187.3861</v>
      </c>
      <c r="H7360" s="1">
        <v>-2.8097960000000001E-6</v>
      </c>
      <c r="I7360">
        <v>15.101679999999901</v>
      </c>
      <c r="J7360">
        <v>-186.99459999999999</v>
      </c>
      <c r="K7360">
        <v>1.1109519999999999</v>
      </c>
      <c r="L7360">
        <v>4.0561829999999999</v>
      </c>
      <c r="M7360">
        <v>1.4145710000000001E-2</v>
      </c>
      <c r="N7360">
        <v>-1.410204E-2</v>
      </c>
      <c r="O7360">
        <v>0.99980049999999998</v>
      </c>
      <c r="P7360">
        <v>-0.1095116</v>
      </c>
      <c r="Q7360">
        <v>0.35465340000000001</v>
      </c>
      <c r="R7360">
        <v>0.92856249999999996</v>
      </c>
      <c r="S7360">
        <v>-0.11398320000000001</v>
      </c>
      <c r="T7360">
        <v>-0.3269435</v>
      </c>
      <c r="U7360">
        <v>3.3407900000000001</v>
      </c>
      <c r="V7360">
        <v>-0.12277150000000001</v>
      </c>
      <c r="W7360">
        <v>0.36764479999999999</v>
      </c>
      <c r="X7360">
        <v>0.9218267</v>
      </c>
      <c r="Y7360">
        <v>-4.8077889999999998E-2</v>
      </c>
      <c r="Z7360">
        <v>-8.3251770000000003E-2</v>
      </c>
      <c r="AA7360">
        <v>0.99536809999999998</v>
      </c>
      <c r="AB7360">
        <v>32</v>
      </c>
      <c r="AC7360">
        <v>-0.39150000000000701</v>
      </c>
      <c r="AD7360">
        <v>-1.110954809796</v>
      </c>
      <c r="AE7360">
        <v>11.0454969999999</v>
      </c>
      <c r="AF7360">
        <v>-0.54224412706992398</v>
      </c>
      <c r="AG7360">
        <v>-1.110954809796</v>
      </c>
      <c r="AH7360">
        <v>10.9284362540293</v>
      </c>
      <c r="AI7360">
        <v>95.797507662843699</v>
      </c>
      <c r="AJ7360">
        <v>92.840556594426801</v>
      </c>
      <c r="AK7360">
        <v>10.99813476191</v>
      </c>
      <c r="AL7360">
        <v>68.429560922692005</v>
      </c>
      <c r="AM7360">
        <v>97.586171311077607</v>
      </c>
      <c r="AN7360">
        <v>1.00000000250609</v>
      </c>
    </row>
    <row r="7361" spans="1:40" x14ac:dyDescent="0.25">
      <c r="A7361" t="str">
        <f>"20190304165027149"</f>
        <v>20190304165027149</v>
      </c>
      <c r="B7361" t="str">
        <f>"1551689427142605"</f>
        <v>1551689427142605</v>
      </c>
      <c r="C7361" t="s">
        <v>40</v>
      </c>
      <c r="D7361">
        <v>4.0820499999999997</v>
      </c>
      <c r="E7361">
        <v>0.54547679999999998</v>
      </c>
      <c r="F7361" t="s">
        <v>42</v>
      </c>
      <c r="G7361">
        <v>-187.3749</v>
      </c>
      <c r="H7361" s="1">
        <v>-2.9980380000000001E-6</v>
      </c>
      <c r="I7361">
        <v>15.535830000000001</v>
      </c>
      <c r="J7361">
        <v>-186.99019999999999</v>
      </c>
      <c r="K7361">
        <v>1.1109389999999999</v>
      </c>
      <c r="L7361">
        <v>4.3827819999999997</v>
      </c>
      <c r="M7361">
        <v>1.39592E-2</v>
      </c>
      <c r="N7361">
        <v>-1.39781E-2</v>
      </c>
      <c r="O7361">
        <v>0.9998049</v>
      </c>
      <c r="P7361">
        <v>-0.1093498</v>
      </c>
      <c r="Q7361">
        <v>0.35484959999999999</v>
      </c>
      <c r="R7361">
        <v>0.92850659999999896</v>
      </c>
      <c r="S7361">
        <v>-0.1106873</v>
      </c>
      <c r="T7361">
        <v>-0.32335269999999999</v>
      </c>
      <c r="U7361">
        <v>3.3412480000000002</v>
      </c>
      <c r="V7361">
        <v>-0.1224394</v>
      </c>
      <c r="W7361">
        <v>0.36772510000000003</v>
      </c>
      <c r="X7361">
        <v>0.92183879999999996</v>
      </c>
      <c r="Y7361">
        <v>-4.6910350000000003E-2</v>
      </c>
      <c r="Z7361">
        <v>-8.2307000000000005E-2</v>
      </c>
      <c r="AA7361">
        <v>0.99550240000000001</v>
      </c>
      <c r="AB7361">
        <v>32</v>
      </c>
      <c r="AC7361">
        <v>-0.38470000000000898</v>
      </c>
      <c r="AD7361">
        <v>-1.110941998038</v>
      </c>
      <c r="AE7361">
        <v>11.153047999999901</v>
      </c>
      <c r="AF7361">
        <v>-0.53506280218792202</v>
      </c>
      <c r="AG7361">
        <v>-1.110941998038</v>
      </c>
      <c r="AH7361">
        <v>11.0372103100079</v>
      </c>
      <c r="AI7361">
        <v>95.741007721164195</v>
      </c>
      <c r="AJ7361">
        <v>92.775416748327203</v>
      </c>
      <c r="AK7361">
        <v>11.1058766314341</v>
      </c>
      <c r="AL7361">
        <v>68.424612646444501</v>
      </c>
      <c r="AM7361">
        <v>97.565790402323003</v>
      </c>
      <c r="AN7361">
        <v>0.99999996451390405</v>
      </c>
    </row>
    <row r="7362" spans="1:40" x14ac:dyDescent="0.25">
      <c r="A7362" t="str">
        <f>"20190304165027170"</f>
        <v>20190304165027170</v>
      </c>
      <c r="B7362" t="str">
        <f>"1551689427163101"</f>
        <v>1551689427163101</v>
      </c>
      <c r="C7362" t="s">
        <v>40</v>
      </c>
      <c r="D7362">
        <v>4.085464</v>
      </c>
      <c r="E7362">
        <v>0.54554859999999905</v>
      </c>
      <c r="F7362" t="s">
        <v>42</v>
      </c>
      <c r="G7362">
        <v>-187.363</v>
      </c>
      <c r="H7362" s="1">
        <v>-3.1640460000000001E-6</v>
      </c>
      <c r="I7362">
        <v>15.917870000000001</v>
      </c>
      <c r="J7362">
        <v>-186.98599999999999</v>
      </c>
      <c r="K7362">
        <v>1.110916</v>
      </c>
      <c r="L7362">
        <v>4.702026</v>
      </c>
      <c r="M7362">
        <v>1.377359E-2</v>
      </c>
      <c r="N7362">
        <v>-1.383909E-2</v>
      </c>
      <c r="O7362">
        <v>0.99980939999999996</v>
      </c>
      <c r="P7362">
        <v>-0.1095618</v>
      </c>
      <c r="Q7362">
        <v>0.35524519999999998</v>
      </c>
      <c r="R7362">
        <v>0.92833019999999999</v>
      </c>
      <c r="S7362">
        <v>-0.1079712</v>
      </c>
      <c r="T7362">
        <v>-0.32179780000000002</v>
      </c>
      <c r="U7362">
        <v>3.341278</v>
      </c>
      <c r="V7362">
        <v>-0.1224819</v>
      </c>
      <c r="W7362">
        <v>0.36798890000000001</v>
      </c>
      <c r="X7362">
        <v>0.92172790000000004</v>
      </c>
      <c r="Y7362">
        <v>-4.5918349999999997E-2</v>
      </c>
      <c r="Z7362">
        <v>-8.1989649999999997E-2</v>
      </c>
      <c r="AA7362">
        <v>0.99557479999999998</v>
      </c>
      <c r="AB7362">
        <v>32</v>
      </c>
      <c r="AC7362">
        <v>-0.37700000000000899</v>
      </c>
      <c r="AD7362">
        <v>-1.1109191640459899</v>
      </c>
      <c r="AE7362">
        <v>11.215844000000001</v>
      </c>
      <c r="AF7362">
        <v>-0.52630386370382298</v>
      </c>
      <c r="AG7362">
        <v>-1.1109191640459899</v>
      </c>
      <c r="AH7362">
        <v>11.100802728902901</v>
      </c>
      <c r="AI7362">
        <v>95.708510225167402</v>
      </c>
      <c r="AJ7362">
        <v>92.714436677726695</v>
      </c>
      <c r="AK7362">
        <v>11.1686596497526</v>
      </c>
      <c r="AL7362">
        <v>68.408358744863804</v>
      </c>
      <c r="AM7362">
        <v>97.569286182250096</v>
      </c>
      <c r="AN7362">
        <v>0.99999998399461398</v>
      </c>
    </row>
    <row r="7363" spans="1:40" x14ac:dyDescent="0.25">
      <c r="A7363" t="str">
        <f>"20190304165027194"</f>
        <v>20190304165027194</v>
      </c>
      <c r="B7363" t="str">
        <f>"1551689427182621"</f>
        <v>1551689427182621</v>
      </c>
      <c r="C7363" t="s">
        <v>40</v>
      </c>
      <c r="D7363">
        <v>4.0789780000000002</v>
      </c>
      <c r="E7363">
        <v>0.54559429999999998</v>
      </c>
      <c r="F7363" t="s">
        <v>42</v>
      </c>
      <c r="G7363">
        <v>-187.35509999999999</v>
      </c>
      <c r="H7363" s="1">
        <v>-3.3328800000000002E-6</v>
      </c>
      <c r="I7363">
        <v>16.30817</v>
      </c>
      <c r="J7363">
        <v>-186.98179999999999</v>
      </c>
      <c r="K7363">
        <v>1.110889</v>
      </c>
      <c r="L7363">
        <v>5.0287480000000002</v>
      </c>
      <c r="M7363">
        <v>1.3576319999999999E-2</v>
      </c>
      <c r="N7363">
        <v>-1.368223E-2</v>
      </c>
      <c r="O7363">
        <v>0.99981419999999999</v>
      </c>
      <c r="P7363">
        <v>-0.1099697</v>
      </c>
      <c r="Q7363">
        <v>0.35558040000000002</v>
      </c>
      <c r="R7363">
        <v>0.92815369999999997</v>
      </c>
      <c r="S7363">
        <v>-0.1062622</v>
      </c>
      <c r="T7363">
        <v>-0.31983859999999997</v>
      </c>
      <c r="U7363">
        <v>3.3414609999999998</v>
      </c>
      <c r="V7363">
        <v>-0.1227033</v>
      </c>
      <c r="W7363">
        <v>0.3681777</v>
      </c>
      <c r="X7363">
        <v>0.92162310000000003</v>
      </c>
      <c r="Y7363">
        <v>-4.5213059999999999E-2</v>
      </c>
      <c r="Z7363">
        <v>-8.1565100000000001E-2</v>
      </c>
      <c r="AA7363">
        <v>0.99564189999999997</v>
      </c>
      <c r="AB7363">
        <v>32</v>
      </c>
      <c r="AC7363">
        <v>-0.37330000000000002</v>
      </c>
      <c r="AD7363">
        <v>-1.11089233287999</v>
      </c>
      <c r="AE7363">
        <v>11.279422</v>
      </c>
      <c r="AF7363">
        <v>-0.52136131653886497</v>
      </c>
      <c r="AG7363">
        <v>-1.11089233287999</v>
      </c>
      <c r="AH7363">
        <v>11.1651308476252</v>
      </c>
      <c r="AI7363">
        <v>95.675889215673905</v>
      </c>
      <c r="AJ7363">
        <v>92.673512768513007</v>
      </c>
      <c r="AK7363">
        <v>11.232366012653999</v>
      </c>
      <c r="AL7363">
        <v>68.396725503931705</v>
      </c>
      <c r="AM7363">
        <v>97.583661688556006</v>
      </c>
      <c r="AN7363">
        <v>1.0000000285308901</v>
      </c>
    </row>
    <row r="7364" spans="1:40" x14ac:dyDescent="0.25">
      <c r="A7364" t="str">
        <f>"20190304165027219"</f>
        <v>20190304165027219</v>
      </c>
      <c r="B7364" t="str">
        <f>"1551689427212877"</f>
        <v>1551689427212877</v>
      </c>
      <c r="C7364" t="s">
        <v>40</v>
      </c>
      <c r="D7364">
        <v>4.0648269999999904</v>
      </c>
      <c r="E7364">
        <v>0.54562670000000002</v>
      </c>
      <c r="F7364" t="s">
        <v>42</v>
      </c>
      <c r="G7364">
        <v>-187.35339999999999</v>
      </c>
      <c r="H7364" s="1">
        <v>-3.4941390000000002E-6</v>
      </c>
      <c r="I7364">
        <v>16.683350000000001</v>
      </c>
      <c r="J7364">
        <v>-186.97730000000001</v>
      </c>
      <c r="K7364">
        <v>1.110857</v>
      </c>
      <c r="L7364">
        <v>5.3752139999999997</v>
      </c>
      <c r="M7364">
        <v>1.336182E-2</v>
      </c>
      <c r="N7364">
        <v>-1.350726E-2</v>
      </c>
      <c r="O7364">
        <v>0.99981949999999997</v>
      </c>
      <c r="P7364">
        <v>-0.11022319999999999</v>
      </c>
      <c r="Q7364">
        <v>0.3555664</v>
      </c>
      <c r="R7364">
        <v>0.92812899999999998</v>
      </c>
      <c r="S7364">
        <v>-0.1065521</v>
      </c>
      <c r="T7364">
        <v>-0.31851550000000001</v>
      </c>
      <c r="U7364">
        <v>3.3416139999999999</v>
      </c>
      <c r="V7364">
        <v>-0.122751399999999</v>
      </c>
      <c r="W7364">
        <v>0.36800440000000001</v>
      </c>
      <c r="X7364">
        <v>0.92168589999999995</v>
      </c>
      <c r="Y7364">
        <v>-4.5084840000000001E-2</v>
      </c>
      <c r="Z7364">
        <v>-8.1345130000000002E-2</v>
      </c>
      <c r="AA7364">
        <v>0.99566580000000005</v>
      </c>
      <c r="AB7364">
        <v>32</v>
      </c>
      <c r="AC7364">
        <v>-0.37609999999997901</v>
      </c>
      <c r="AD7364">
        <v>-1.1108604941389999</v>
      </c>
      <c r="AE7364">
        <v>11.308135999999999</v>
      </c>
      <c r="AF7364">
        <v>-0.52214424352542199</v>
      </c>
      <c r="AG7364">
        <v>-1.1108604941389999</v>
      </c>
      <c r="AH7364">
        <v>11.194193452912399</v>
      </c>
      <c r="AI7364">
        <v>95.661101430098796</v>
      </c>
      <c r="AJ7364">
        <v>92.670580375191406</v>
      </c>
      <c r="AK7364">
        <v>11.2612882349096</v>
      </c>
      <c r="AL7364">
        <v>68.4074044867656</v>
      </c>
      <c r="AM7364">
        <v>97.586088983117193</v>
      </c>
      <c r="AN7364">
        <v>1.0000000214400599</v>
      </c>
    </row>
    <row r="7365" spans="1:40" x14ac:dyDescent="0.25">
      <c r="A7365" t="str">
        <f>"20190304165027241"</f>
        <v>20190304165027241</v>
      </c>
      <c r="B7365" t="str">
        <f>"1551689427232397"</f>
        <v>1551689427232397</v>
      </c>
      <c r="C7365" t="s">
        <v>40</v>
      </c>
      <c r="D7365">
        <v>4.0716549999999998</v>
      </c>
      <c r="E7365">
        <v>0.54567189999999999</v>
      </c>
      <c r="F7365" t="s">
        <v>42</v>
      </c>
      <c r="G7365">
        <v>-187.3518</v>
      </c>
      <c r="H7365" s="1">
        <v>-3.6234720000000002E-6</v>
      </c>
      <c r="I7365">
        <v>16.984169999999999</v>
      </c>
      <c r="J7365">
        <v>-186.9734</v>
      </c>
      <c r="K7365">
        <v>1.1108370000000001</v>
      </c>
      <c r="L7365">
        <v>5.6831050000000003</v>
      </c>
      <c r="M7365">
        <v>1.3170090000000001E-2</v>
      </c>
      <c r="N7365">
        <v>-1.335196E-2</v>
      </c>
      <c r="O7365">
        <v>0.99982409999999999</v>
      </c>
      <c r="P7365">
        <v>-0.1103317</v>
      </c>
      <c r="Q7365">
        <v>0.35553559999999901</v>
      </c>
      <c r="R7365">
        <v>0.92812790000000001</v>
      </c>
      <c r="S7365">
        <v>-0.1078033</v>
      </c>
      <c r="T7365">
        <v>-0.3197969</v>
      </c>
      <c r="U7365">
        <v>3.3420100000000001</v>
      </c>
      <c r="V7365">
        <v>-0.12267690000000001</v>
      </c>
      <c r="W7365">
        <v>0.3678324</v>
      </c>
      <c r="X7365">
        <v>0.92176440000000004</v>
      </c>
      <c r="Y7365">
        <v>-4.5260679999999998E-2</v>
      </c>
      <c r="Z7365">
        <v>-8.186657E-2</v>
      </c>
      <c r="AA7365">
        <v>0.99561509999999998</v>
      </c>
      <c r="AB7365">
        <v>32</v>
      </c>
      <c r="AC7365">
        <v>-0.37839999999999901</v>
      </c>
      <c r="AD7365">
        <v>-1.1108406234720001</v>
      </c>
      <c r="AE7365">
        <v>11.301064999999999</v>
      </c>
      <c r="AF7365">
        <v>-0.52217689410276702</v>
      </c>
      <c r="AG7365">
        <v>-1.1108406234720001</v>
      </c>
      <c r="AH7365">
        <v>11.187132226814301</v>
      </c>
      <c r="AI7365">
        <v>95.664542291614794</v>
      </c>
      <c r="AJ7365">
        <v>92.672430439948499</v>
      </c>
      <c r="AK7365">
        <v>11.2542686594784</v>
      </c>
      <c r="AL7365">
        <v>68.4180011845786</v>
      </c>
      <c r="AM7365">
        <v>97.580900267583104</v>
      </c>
      <c r="AN7365">
        <v>0.99999995269536401</v>
      </c>
    </row>
    <row r="7366" spans="1:40" x14ac:dyDescent="0.25">
      <c r="A7366" t="str">
        <f>"20190304165027261"</f>
        <v>20190304165027261</v>
      </c>
      <c r="B7366" t="str">
        <f>"1551689427252894"</f>
        <v>1551689427252894</v>
      </c>
      <c r="C7366" t="s">
        <v>40</v>
      </c>
      <c r="D7366">
        <v>4.0901649999999998</v>
      </c>
      <c r="E7366">
        <v>0.54570969999999996</v>
      </c>
      <c r="F7366" t="s">
        <v>42</v>
      </c>
      <c r="G7366">
        <v>-187.3485</v>
      </c>
      <c r="H7366" s="1">
        <v>-3.7501680000000001E-6</v>
      </c>
      <c r="I7366">
        <v>17.27816</v>
      </c>
      <c r="J7366">
        <v>-186.96960000000001</v>
      </c>
      <c r="K7366">
        <v>1.110824</v>
      </c>
      <c r="L7366">
        <v>5.9896240000000001</v>
      </c>
      <c r="M7366">
        <v>1.2981940000000001E-2</v>
      </c>
      <c r="N7366">
        <v>-1.3203370000000001E-2</v>
      </c>
      <c r="O7366">
        <v>0.99982859999999996</v>
      </c>
      <c r="P7366">
        <v>-0.1104318</v>
      </c>
      <c r="Q7366">
        <v>0.35679860000000002</v>
      </c>
      <c r="R7366">
        <v>0.92763110000000004</v>
      </c>
      <c r="S7366">
        <v>-0.10812380000000001</v>
      </c>
      <c r="T7366">
        <v>-0.32018340000000001</v>
      </c>
      <c r="U7366">
        <v>3.3421020000000001</v>
      </c>
      <c r="V7366">
        <v>-0.1225942</v>
      </c>
      <c r="W7366">
        <v>0.36895299999999998</v>
      </c>
      <c r="X7366">
        <v>0.92132749999999997</v>
      </c>
      <c r="Y7366">
        <v>-4.5166890000000001E-2</v>
      </c>
      <c r="Z7366">
        <v>-8.2126649999999995E-2</v>
      </c>
      <c r="AA7366">
        <v>0.99559790000000004</v>
      </c>
      <c r="AB7366">
        <v>32</v>
      </c>
      <c r="AC7366">
        <v>-0.37889999999998702</v>
      </c>
      <c r="AD7366">
        <v>-1.1108277501679999</v>
      </c>
      <c r="AE7366">
        <v>11.288536000000001</v>
      </c>
      <c r="AF7366">
        <v>-0.52039452542480902</v>
      </c>
      <c r="AG7366">
        <v>-1.1108277501679999</v>
      </c>
      <c r="AH7366">
        <v>11.1745815121111</v>
      </c>
      <c r="AI7366">
        <v>95.670825743523196</v>
      </c>
      <c r="AJ7366">
        <v>92.666308667355295</v>
      </c>
      <c r="AK7366">
        <v>11.241708976995</v>
      </c>
      <c r="AL7366">
        <v>68.3489396166554</v>
      </c>
      <c r="AM7366">
        <v>97.579399908668606</v>
      </c>
      <c r="AN7366">
        <v>1.00000000816944</v>
      </c>
    </row>
    <row r="7367" spans="1:40" x14ac:dyDescent="0.25">
      <c r="A7367" t="str">
        <f>"20190304165027283"</f>
        <v>20190304165027283</v>
      </c>
      <c r="B7367" t="str">
        <f>"1551689427273390"</f>
        <v>1551689427273390</v>
      </c>
      <c r="C7367" t="s">
        <v>40</v>
      </c>
      <c r="D7367">
        <v>4.1119029999999999</v>
      </c>
      <c r="E7367">
        <v>0.54572369999999903</v>
      </c>
      <c r="F7367" t="s">
        <v>42</v>
      </c>
      <c r="G7367">
        <v>-187.3501</v>
      </c>
      <c r="H7367" s="1">
        <v>-3.9430710000000002E-6</v>
      </c>
      <c r="I7367">
        <v>17.728459999999998</v>
      </c>
      <c r="J7367">
        <v>-186.9657</v>
      </c>
      <c r="K7367">
        <v>1.1108209999999901</v>
      </c>
      <c r="L7367">
        <v>6.3003850000000003</v>
      </c>
      <c r="M7367">
        <v>1.279566E-2</v>
      </c>
      <c r="N7367">
        <v>-1.3059319999999999E-2</v>
      </c>
      <c r="O7367">
        <v>0.99983290000000002</v>
      </c>
      <c r="P7367">
        <v>-0.1105237</v>
      </c>
      <c r="Q7367">
        <v>0.35926390000000002</v>
      </c>
      <c r="R7367">
        <v>0.92666820000000005</v>
      </c>
      <c r="S7367">
        <v>-0.1083527</v>
      </c>
      <c r="T7367">
        <v>-0.31632440000000001</v>
      </c>
      <c r="U7367">
        <v>3.3428040000000001</v>
      </c>
      <c r="V7367">
        <v>-0.1225021</v>
      </c>
      <c r="W7367">
        <v>0.37127329999999997</v>
      </c>
      <c r="X7367">
        <v>0.92040719999999998</v>
      </c>
      <c r="Y7367">
        <v>-4.504561E-2</v>
      </c>
      <c r="Z7367">
        <v>-8.1111710000000004E-2</v>
      </c>
      <c r="AA7367">
        <v>0.99568659999999998</v>
      </c>
      <c r="AB7367">
        <v>32</v>
      </c>
      <c r="AC7367">
        <v>-0.38439999999999902</v>
      </c>
      <c r="AD7367">
        <v>-1.11082494307099</v>
      </c>
      <c r="AE7367">
        <v>11.428075</v>
      </c>
      <c r="AF7367">
        <v>-0.52564996273433395</v>
      </c>
      <c r="AG7367">
        <v>-1.11082494307099</v>
      </c>
      <c r="AH7367">
        <v>11.315431523480999</v>
      </c>
      <c r="AI7367">
        <v>95.600704843653801</v>
      </c>
      <c r="AJ7367">
        <v>92.659720735574197</v>
      </c>
      <c r="AK7367">
        <v>11.3819695351929</v>
      </c>
      <c r="AL7367">
        <v>68.205834036615499</v>
      </c>
      <c r="AM7367">
        <v>97.581256790471201</v>
      </c>
      <c r="AN7367">
        <v>1.0000000208045601</v>
      </c>
    </row>
    <row r="7368" spans="1:40" x14ac:dyDescent="0.25">
      <c r="A7368" t="str">
        <f>"20190304165027306"</f>
        <v>20190304165027306</v>
      </c>
      <c r="B7368" t="str">
        <f>"1551689427302670"</f>
        <v>1551689427302670</v>
      </c>
      <c r="C7368" t="s">
        <v>40</v>
      </c>
      <c r="D7368">
        <v>4.1365439999999998</v>
      </c>
      <c r="E7368">
        <v>0.50962099999999999</v>
      </c>
      <c r="F7368" t="s">
        <v>42</v>
      </c>
      <c r="G7368">
        <v>-187.35579999999999</v>
      </c>
      <c r="H7368" s="1">
        <v>-4.2245879999999998E-6</v>
      </c>
      <c r="I7368">
        <v>18.387049999999999</v>
      </c>
      <c r="J7368">
        <v>-186.96180000000001</v>
      </c>
      <c r="K7368">
        <v>1.110846</v>
      </c>
      <c r="L7368">
        <v>6.6255800000000002</v>
      </c>
      <c r="M7368">
        <v>1.2604010000000001E-2</v>
      </c>
      <c r="N7368">
        <v>-1.2919079999999999E-2</v>
      </c>
      <c r="O7368">
        <v>0.99983710000000003</v>
      </c>
      <c r="P7368">
        <v>-0.10985399999999999</v>
      </c>
      <c r="Q7368">
        <v>0.3675195</v>
      </c>
      <c r="R7368">
        <v>0.92350509999999997</v>
      </c>
      <c r="S7368">
        <v>-0.107910199999999</v>
      </c>
      <c r="T7368">
        <v>-0.30729909999999999</v>
      </c>
      <c r="U7368">
        <v>3.343658</v>
      </c>
      <c r="V7368">
        <v>-0.1216192</v>
      </c>
      <c r="W7368">
        <v>0.37935790000000003</v>
      </c>
      <c r="X7368">
        <v>0.91722199999999998</v>
      </c>
      <c r="Y7368">
        <v>-4.4722209999999998E-2</v>
      </c>
      <c r="Z7368">
        <v>-7.8563939999999999E-2</v>
      </c>
      <c r="AA7368">
        <v>0.9959055</v>
      </c>
      <c r="AB7368">
        <v>32</v>
      </c>
      <c r="AC7368">
        <v>-0.39399999999997598</v>
      </c>
      <c r="AD7368">
        <v>-1.1108502245880001</v>
      </c>
      <c r="AE7368">
        <v>11.761469999999999</v>
      </c>
      <c r="AF7368">
        <v>-0.53743396628742801</v>
      </c>
      <c r="AG7368">
        <v>-1.1108502245880001</v>
      </c>
      <c r="AH7368">
        <v>11.651746629751999</v>
      </c>
      <c r="AI7368">
        <v>95.440235973496598</v>
      </c>
      <c r="AJ7368">
        <v>92.640882072159897</v>
      </c>
      <c r="AK7368">
        <v>11.716911837746499</v>
      </c>
      <c r="AL7368">
        <v>67.706082979477202</v>
      </c>
      <c r="AM7368">
        <v>97.553084036232306</v>
      </c>
      <c r="AN7368">
        <v>0.99999992169252105</v>
      </c>
    </row>
    <row r="7369" spans="1:40" x14ac:dyDescent="0.25">
      <c r="A7369" t="str">
        <f>"20190304165027327"</f>
        <v>20190304165027327</v>
      </c>
      <c r="B7369" t="str">
        <f>"1551689427323165"</f>
        <v>1551689427323165</v>
      </c>
      <c r="C7369" t="s">
        <v>40</v>
      </c>
      <c r="D7369">
        <v>4.2673969999999999</v>
      </c>
      <c r="E7369">
        <v>0.5014516</v>
      </c>
      <c r="F7369" t="s">
        <v>58</v>
      </c>
      <c r="G7369">
        <v>-226.36779999999999</v>
      </c>
      <c r="H7369">
        <v>77.639309999999995</v>
      </c>
      <c r="I7369">
        <v>391.87</v>
      </c>
      <c r="J7369">
        <v>-186.95820000000001</v>
      </c>
      <c r="K7369">
        <v>1.110914</v>
      </c>
      <c r="L7369">
        <v>6.9228820000000004</v>
      </c>
      <c r="M7369">
        <v>1.2429569999999999E-2</v>
      </c>
      <c r="N7369">
        <v>-1.280243E-2</v>
      </c>
      <c r="O7369">
        <v>0.99984079999999997</v>
      </c>
      <c r="P7369">
        <v>-0.1089841</v>
      </c>
      <c r="Q7369">
        <v>0.38602379999999997</v>
      </c>
      <c r="R7369">
        <v>0.91602839999999996</v>
      </c>
      <c r="S7369">
        <v>-0.30450440000000001</v>
      </c>
      <c r="T7369">
        <v>0.59136429999999995</v>
      </c>
      <c r="U7369">
        <v>2.9769290000000002</v>
      </c>
      <c r="V7369">
        <v>-0.1205035</v>
      </c>
      <c r="W7369">
        <v>0.39765859999999997</v>
      </c>
      <c r="X7369">
        <v>0.90958600000000001</v>
      </c>
      <c r="Y7369">
        <v>-0.11205950000000001</v>
      </c>
      <c r="Z7369">
        <v>0.2062679</v>
      </c>
      <c r="AA7369">
        <v>0.97205770000000002</v>
      </c>
      <c r="AB7369">
        <v>32</v>
      </c>
      <c r="AC7369">
        <v>-39.409599999999898</v>
      </c>
      <c r="AD7369">
        <v>76.528396000000001</v>
      </c>
      <c r="AE7369">
        <v>384.94711799999999</v>
      </c>
      <c r="AF7369">
        <v>-42.528289119996501</v>
      </c>
      <c r="AG7369">
        <v>76.528396000000001</v>
      </c>
      <c r="AH7369">
        <v>369.957548223169</v>
      </c>
      <c r="AI7369">
        <v>78.387171040006393</v>
      </c>
      <c r="AJ7369">
        <v>96.5576240895589</v>
      </c>
      <c r="AK7369">
        <v>380.17606218317502</v>
      </c>
      <c r="AL7369">
        <v>66.568114199379195</v>
      </c>
      <c r="AM7369">
        <v>97.5466953752113</v>
      </c>
      <c r="AN7369">
        <v>1.0000000735311001</v>
      </c>
    </row>
    <row r="7370" spans="1:40" x14ac:dyDescent="0.25">
      <c r="A7370" t="str">
        <f>"20190304165027349"</f>
        <v>20190304165027349</v>
      </c>
      <c r="B7370" t="str">
        <f>"1551689427342686"</f>
        <v>1551689427342686</v>
      </c>
      <c r="C7370" t="s">
        <v>40</v>
      </c>
      <c r="D7370">
        <v>4.5679059999999998</v>
      </c>
      <c r="E7370">
        <v>0.4982432</v>
      </c>
      <c r="F7370" t="s">
        <v>58</v>
      </c>
      <c r="G7370">
        <v>-233.0959</v>
      </c>
      <c r="H7370">
        <v>117.21469999999999</v>
      </c>
      <c r="I7370">
        <v>391.00349999999997</v>
      </c>
      <c r="J7370">
        <v>-186.9545</v>
      </c>
      <c r="K7370">
        <v>1.1109880000000001</v>
      </c>
      <c r="L7370">
        <v>7.2364199999999999</v>
      </c>
      <c r="M7370">
        <v>1.2244959999999999E-2</v>
      </c>
      <c r="N7370">
        <v>-1.2691640000000001E-2</v>
      </c>
      <c r="O7370">
        <v>0.99984450000000002</v>
      </c>
      <c r="P7370">
        <v>-0.10868800000000001</v>
      </c>
      <c r="Q7370">
        <v>0.4047751</v>
      </c>
      <c r="R7370">
        <v>0.90793400000000002</v>
      </c>
      <c r="S7370">
        <v>-0.34458919999999998</v>
      </c>
      <c r="T7370">
        <v>0.867146999999999</v>
      </c>
      <c r="U7370">
        <v>2.8685909999999999</v>
      </c>
      <c r="V7370">
        <v>-0.1199469</v>
      </c>
      <c r="W7370">
        <v>0.41620509999999999</v>
      </c>
      <c r="X7370">
        <v>0.90132460000000003</v>
      </c>
      <c r="Y7370">
        <v>-0.1261787</v>
      </c>
      <c r="Z7370">
        <v>0.29935489999999998</v>
      </c>
      <c r="AA7370">
        <v>0.94576190000000004</v>
      </c>
      <c r="AB7370">
        <v>32</v>
      </c>
      <c r="AC7370">
        <v>-46.141399999999997</v>
      </c>
      <c r="AD7370">
        <v>116.103712</v>
      </c>
      <c r="AE7370">
        <v>383.76708000000002</v>
      </c>
      <c r="AF7370">
        <v>-46.630340587785199</v>
      </c>
      <c r="AG7370">
        <v>116.103712</v>
      </c>
      <c r="AH7370">
        <v>351.46277096400399</v>
      </c>
      <c r="AI7370">
        <v>71.8676914667722</v>
      </c>
      <c r="AJ7370">
        <v>97.557582110968596</v>
      </c>
      <c r="AK7370">
        <v>373.06908204407398</v>
      </c>
      <c r="AL7370">
        <v>65.404769399097702</v>
      </c>
      <c r="AM7370">
        <v>97.580295442234601</v>
      </c>
      <c r="AN7370">
        <v>0.99999998932538903</v>
      </c>
    </row>
    <row r="7371" spans="1:40" x14ac:dyDescent="0.25">
      <c r="A7371" t="str">
        <f>"20190304165027372"</f>
        <v>20190304165027372</v>
      </c>
      <c r="B7371" t="str">
        <f>"1551689427363181"</f>
        <v>1551689427363181</v>
      </c>
      <c r="C7371" t="s">
        <v>40</v>
      </c>
      <c r="D7371">
        <v>4.3910589999999896</v>
      </c>
      <c r="E7371">
        <v>0.49722189999999999</v>
      </c>
      <c r="F7371" t="s">
        <v>60</v>
      </c>
      <c r="G7371">
        <v>0</v>
      </c>
      <c r="H7371">
        <v>0</v>
      </c>
      <c r="I7371">
        <v>0</v>
      </c>
      <c r="J7371">
        <v>-186.95050000000001</v>
      </c>
      <c r="K7371">
        <v>1.1110629999999999</v>
      </c>
      <c r="L7371">
        <v>7.5760800000000001</v>
      </c>
      <c r="M7371">
        <v>1.204358E-2</v>
      </c>
      <c r="N7371">
        <v>-1.258484E-2</v>
      </c>
      <c r="O7371">
        <v>0.99984819999999996</v>
      </c>
      <c r="P7371">
        <v>-0.1083446</v>
      </c>
      <c r="Q7371">
        <v>0.42235539999999999</v>
      </c>
      <c r="R7371">
        <v>0.89993179999999995</v>
      </c>
      <c r="S7371">
        <v>-0.35847469999999998</v>
      </c>
      <c r="T7371">
        <v>1.030891</v>
      </c>
      <c r="U7371">
        <v>2.8016969999999999</v>
      </c>
      <c r="V7371">
        <v>-0.1193314</v>
      </c>
      <c r="W7371">
        <v>0.43358730000000001</v>
      </c>
      <c r="X7371">
        <v>0.89317519999999995</v>
      </c>
      <c r="Y7371">
        <v>-0.13091</v>
      </c>
      <c r="Z7371">
        <v>0.35435149999999999</v>
      </c>
      <c r="AA7371">
        <v>0.9259037</v>
      </c>
      <c r="AB7371">
        <v>32</v>
      </c>
      <c r="AC7371">
        <v>-0.35847469999999998</v>
      </c>
      <c r="AD7371">
        <v>1.030891</v>
      </c>
      <c r="AE7371">
        <v>2.8016969999999999</v>
      </c>
      <c r="AF7371">
        <v>-0.34609160006581202</v>
      </c>
      <c r="AG7371">
        <v>1.030891</v>
      </c>
      <c r="AH7371">
        <v>2.4683691377438701</v>
      </c>
      <c r="AI7371">
        <v>67.530263122780795</v>
      </c>
      <c r="AJ7371">
        <v>97.981446458413203</v>
      </c>
      <c r="AK7371">
        <v>2.6972878692648901</v>
      </c>
      <c r="AL7371">
        <v>64.304562574523999</v>
      </c>
      <c r="AM7371">
        <v>97.609856090105794</v>
      </c>
      <c r="AN7371">
        <v>0.99999993382114205</v>
      </c>
    </row>
    <row r="7372" spans="1:40" x14ac:dyDescent="0.25">
      <c r="A7372" t="str">
        <f>"20190304165027397"</f>
        <v>20190304165027397</v>
      </c>
      <c r="B7372" t="str">
        <f>"1551689427393438"</f>
        <v>1551689427393438</v>
      </c>
      <c r="C7372" t="s">
        <v>40</v>
      </c>
      <c r="D7372">
        <v>4.264195</v>
      </c>
      <c r="E7372">
        <v>0.49559049999999999</v>
      </c>
      <c r="F7372" t="s">
        <v>60</v>
      </c>
      <c r="G7372">
        <v>0</v>
      </c>
      <c r="H7372">
        <v>0</v>
      </c>
      <c r="I7372">
        <v>0</v>
      </c>
      <c r="J7372">
        <v>-186.94669999999999</v>
      </c>
      <c r="K7372">
        <v>1.1111420000000001</v>
      </c>
      <c r="L7372">
        <v>7.9178769999999998</v>
      </c>
      <c r="M7372">
        <v>1.183967E-2</v>
      </c>
      <c r="N7372">
        <v>-1.2490889999999999E-2</v>
      </c>
      <c r="O7372">
        <v>0.99985190000000002</v>
      </c>
      <c r="P7372">
        <v>-0.1086564</v>
      </c>
      <c r="Q7372">
        <v>0.44503880000000001</v>
      </c>
      <c r="R7372">
        <v>0.88889499999999999</v>
      </c>
      <c r="S7372">
        <v>-0.35934450000000001</v>
      </c>
      <c r="T7372">
        <v>1.148665</v>
      </c>
      <c r="U7372">
        <v>2.7512210000000001</v>
      </c>
      <c r="V7372">
        <v>-0.11933779999999999</v>
      </c>
      <c r="W7372">
        <v>0.4560478</v>
      </c>
      <c r="X7372">
        <v>0.88191769999999903</v>
      </c>
      <c r="Y7372">
        <v>-0.1311186</v>
      </c>
      <c r="Z7372">
        <v>0.3936906</v>
      </c>
      <c r="AA7372">
        <v>0.90984370000000003</v>
      </c>
      <c r="AB7372">
        <v>32</v>
      </c>
      <c r="AC7372">
        <v>-0.35934450000000001</v>
      </c>
      <c r="AD7372">
        <v>1.148665</v>
      </c>
      <c r="AE7372">
        <v>2.7512210000000001</v>
      </c>
      <c r="AF7372">
        <v>-0.33455542881853501</v>
      </c>
      <c r="AG7372">
        <v>1.148665</v>
      </c>
      <c r="AH7372">
        <v>2.3448805865978</v>
      </c>
      <c r="AI7372">
        <v>64.128943923656493</v>
      </c>
      <c r="AJ7372">
        <v>98.119865005528098</v>
      </c>
      <c r="AK7372">
        <v>2.6324558082862901</v>
      </c>
      <c r="AL7372">
        <v>62.867627249116097</v>
      </c>
      <c r="AM7372">
        <v>97.706242748017303</v>
      </c>
      <c r="AN7372">
        <v>0.99999996798348401</v>
      </c>
    </row>
    <row r="7373" spans="1:40" x14ac:dyDescent="0.25">
      <c r="A7373" t="str">
        <f>"20190304165027416"</f>
        <v>20190304165027416</v>
      </c>
      <c r="B7373" t="str">
        <f>"1551689427412957"</f>
        <v>1551689427412957</v>
      </c>
      <c r="C7373" t="s">
        <v>40</v>
      </c>
      <c r="D7373">
        <v>4.2831729999999997</v>
      </c>
      <c r="E7373">
        <v>0.48464239999999997</v>
      </c>
      <c r="F7373" t="s">
        <v>60</v>
      </c>
      <c r="G7373">
        <v>0</v>
      </c>
      <c r="H7373">
        <v>0</v>
      </c>
      <c r="I7373">
        <v>0</v>
      </c>
      <c r="J7373">
        <v>-186.9434</v>
      </c>
      <c r="K7373">
        <v>1.1112229999999901</v>
      </c>
      <c r="L7373">
        <v>8.2069089999999996</v>
      </c>
      <c r="M7373">
        <v>1.1667E-2</v>
      </c>
      <c r="N7373">
        <v>-1.242123E-2</v>
      </c>
      <c r="O7373">
        <v>0.99985480000000004</v>
      </c>
      <c r="P7373">
        <v>-0.11033419999999999</v>
      </c>
      <c r="Q7373">
        <v>0.46853149999999899</v>
      </c>
      <c r="R7373">
        <v>0.87652989999999997</v>
      </c>
      <c r="S7373">
        <v>-0.369751</v>
      </c>
      <c r="T7373">
        <v>1.2518640000000001</v>
      </c>
      <c r="U7373">
        <v>2.7030029999999998</v>
      </c>
      <c r="V7373">
        <v>-0.12072670000000001</v>
      </c>
      <c r="W7373">
        <v>0.4793229</v>
      </c>
      <c r="X7373">
        <v>0.8692955</v>
      </c>
      <c r="Y7373">
        <v>-0.1344236</v>
      </c>
      <c r="Z7373">
        <v>0.42794320000000002</v>
      </c>
      <c r="AA7373">
        <v>0.89375329999999997</v>
      </c>
      <c r="AB7373">
        <v>32</v>
      </c>
      <c r="AC7373">
        <v>-0.369751</v>
      </c>
      <c r="AD7373">
        <v>1.2518640000000001</v>
      </c>
      <c r="AE7373">
        <v>2.7030029999999998</v>
      </c>
      <c r="AF7373">
        <v>-0.331470713508145</v>
      </c>
      <c r="AG7373">
        <v>1.2518640000000001</v>
      </c>
      <c r="AH7373">
        <v>2.2291430640722201</v>
      </c>
      <c r="AI7373">
        <v>60.948609653143897</v>
      </c>
      <c r="AJ7373">
        <v>98.457834340970194</v>
      </c>
      <c r="AK7373">
        <v>2.5780060334512198</v>
      </c>
      <c r="AL7373">
        <v>61.358811820548702</v>
      </c>
      <c r="AM7373">
        <v>97.906594563864701</v>
      </c>
      <c r="AN7373">
        <v>1.00000002243877</v>
      </c>
    </row>
    <row r="7374" spans="1:40" x14ac:dyDescent="0.25">
      <c r="A7374" t="str">
        <f>"20190304165027441"</f>
        <v>20190304165027441</v>
      </c>
      <c r="B7374" t="str">
        <f>"1551689427432478"</f>
        <v>1551689427432478</v>
      </c>
      <c r="C7374" t="s">
        <v>40</v>
      </c>
      <c r="D7374">
        <v>4.2968089999999997</v>
      </c>
      <c r="E7374">
        <v>0.48324</v>
      </c>
      <c r="F7374" t="s">
        <v>60</v>
      </c>
      <c r="G7374">
        <v>0</v>
      </c>
      <c r="H7374">
        <v>0</v>
      </c>
      <c r="I7374">
        <v>0</v>
      </c>
      <c r="J7374">
        <v>-186.93960000000001</v>
      </c>
      <c r="K7374">
        <v>1.111291</v>
      </c>
      <c r="L7374">
        <v>8.5488889999999902</v>
      </c>
      <c r="M7374">
        <v>1.1462669999999999E-2</v>
      </c>
      <c r="N7374">
        <v>-1.234943E-2</v>
      </c>
      <c r="O7374">
        <v>0.99985800000000002</v>
      </c>
      <c r="P7374">
        <v>-0.112231399999999</v>
      </c>
      <c r="Q7374">
        <v>0.48641079999999998</v>
      </c>
      <c r="R7374">
        <v>0.86649219999999905</v>
      </c>
      <c r="S7374">
        <v>-0.42726140000000001</v>
      </c>
      <c r="T7374">
        <v>1.633656</v>
      </c>
      <c r="U7374">
        <v>2.4955750000000001</v>
      </c>
      <c r="V7374">
        <v>-0.122336</v>
      </c>
      <c r="W7374">
        <v>0.4970137</v>
      </c>
      <c r="X7374">
        <v>0.85907579999999995</v>
      </c>
      <c r="Y7374">
        <v>-0.1526255</v>
      </c>
      <c r="Z7374">
        <v>0.55194929999999998</v>
      </c>
      <c r="AA7374">
        <v>0.81979099999999905</v>
      </c>
      <c r="AB7374">
        <v>32</v>
      </c>
      <c r="AC7374">
        <v>-0.42726140000000001</v>
      </c>
      <c r="AD7374">
        <v>1.633656</v>
      </c>
      <c r="AE7374">
        <v>2.4955750000000001</v>
      </c>
      <c r="AF7374">
        <v>-0.32184797185789799</v>
      </c>
      <c r="AG7374">
        <v>1.633656</v>
      </c>
      <c r="AH7374">
        <v>1.75843282334796</v>
      </c>
      <c r="AI7374">
        <v>47.577069506764502</v>
      </c>
      <c r="AJ7374">
        <v>100.37210578679201</v>
      </c>
      <c r="AK7374">
        <v>2.4216738090734902</v>
      </c>
      <c r="AL7374">
        <v>60.197375226257002</v>
      </c>
      <c r="AM7374">
        <v>98.104667929948207</v>
      </c>
      <c r="AN7374">
        <v>0.99999997251466399</v>
      </c>
    </row>
    <row r="7375" spans="1:40" x14ac:dyDescent="0.25">
      <c r="A7375" t="str">
        <f>"20190304165027462"</f>
        <v>20190304165027462</v>
      </c>
      <c r="B7375" t="str">
        <f>"1551689427452974"</f>
        <v>1551689427452974</v>
      </c>
      <c r="C7375" t="s">
        <v>40</v>
      </c>
      <c r="D7375">
        <v>4.3164490000000004</v>
      </c>
      <c r="E7375">
        <v>0.48345490000000002</v>
      </c>
      <c r="F7375" t="s">
        <v>60</v>
      </c>
      <c r="G7375">
        <v>0</v>
      </c>
      <c r="H7375">
        <v>0</v>
      </c>
      <c r="I7375">
        <v>0</v>
      </c>
      <c r="J7375">
        <v>-186.93610000000001</v>
      </c>
      <c r="K7375">
        <v>1.111329</v>
      </c>
      <c r="L7375">
        <v>8.8684689999999993</v>
      </c>
      <c r="M7375">
        <v>1.1272330000000001E-2</v>
      </c>
      <c r="N7375">
        <v>-1.2291130000000001E-2</v>
      </c>
      <c r="O7375">
        <v>0.99986090000000005</v>
      </c>
      <c r="P7375">
        <v>-0.1132428</v>
      </c>
      <c r="Q7375">
        <v>0.49945830000000002</v>
      </c>
      <c r="R7375">
        <v>0.85890489999999997</v>
      </c>
      <c r="S7375">
        <v>-0.44210820000000001</v>
      </c>
      <c r="T7375">
        <v>1.6893020000000001</v>
      </c>
      <c r="U7375">
        <v>2.4566650000000001</v>
      </c>
      <c r="V7375">
        <v>-0.1231027</v>
      </c>
      <c r="W7375">
        <v>0.50991660000000005</v>
      </c>
      <c r="X7375">
        <v>0.85136999999999996</v>
      </c>
      <c r="Y7375">
        <v>-0.15727629999999901</v>
      </c>
      <c r="Z7375">
        <v>0.57002940000000002</v>
      </c>
      <c r="AA7375">
        <v>0.8064308</v>
      </c>
      <c r="AB7375">
        <v>32</v>
      </c>
      <c r="AC7375">
        <v>-0.44210820000000001</v>
      </c>
      <c r="AD7375">
        <v>1.6893020000000001</v>
      </c>
      <c r="AE7375">
        <v>2.4566650000000001</v>
      </c>
      <c r="AF7375">
        <v>-0.32220129017196197</v>
      </c>
      <c r="AG7375">
        <v>1.6893020000000001</v>
      </c>
      <c r="AH7375">
        <v>1.6814118920348</v>
      </c>
      <c r="AI7375">
        <v>45.3824241290678</v>
      </c>
      <c r="AJ7375">
        <v>100.847826084755</v>
      </c>
      <c r="AK7375">
        <v>2.4051405092568898</v>
      </c>
      <c r="AL7375">
        <v>59.341726868142302</v>
      </c>
      <c r="AM7375">
        <v>98.227583478013699</v>
      </c>
      <c r="AN7375">
        <v>1.0000000453014199</v>
      </c>
    </row>
    <row r="7376" spans="1:40" x14ac:dyDescent="0.25">
      <c r="A7376" t="str">
        <f>"20190304165027485"</f>
        <v>20190304165027485</v>
      </c>
      <c r="B7376" t="str">
        <f>"1551689427472493"</f>
        <v>1551689427472493</v>
      </c>
      <c r="C7376" t="s">
        <v>40</v>
      </c>
      <c r="D7376">
        <v>4.444636</v>
      </c>
      <c r="E7376">
        <v>0.48438140000000002</v>
      </c>
      <c r="F7376" t="s">
        <v>60</v>
      </c>
      <c r="G7376">
        <v>0</v>
      </c>
      <c r="H7376">
        <v>0</v>
      </c>
      <c r="I7376">
        <v>0</v>
      </c>
      <c r="J7376">
        <v>-186.93299999999999</v>
      </c>
      <c r="K7376">
        <v>1.111367</v>
      </c>
      <c r="L7376">
        <v>9.1648560000000003</v>
      </c>
      <c r="M7376">
        <v>1.1095819999999999E-2</v>
      </c>
      <c r="N7376">
        <v>-1.224363E-2</v>
      </c>
      <c r="O7376">
        <v>0.99986350000000002</v>
      </c>
      <c r="P7376">
        <v>-0.11301460000000001</v>
      </c>
      <c r="Q7376">
        <v>0.51181069999999995</v>
      </c>
      <c r="R7376">
        <v>0.85163230000000001</v>
      </c>
      <c r="S7376">
        <v>-0.44490049999999998</v>
      </c>
      <c r="T7376">
        <v>1.70557599999999</v>
      </c>
      <c r="U7376">
        <v>2.4423520000000001</v>
      </c>
      <c r="V7376">
        <v>-0.12264659999999999</v>
      </c>
      <c r="W7376">
        <v>0.52213880000000001</v>
      </c>
      <c r="X7376">
        <v>0.84399579999999996</v>
      </c>
      <c r="Y7376">
        <v>-0.15811810000000001</v>
      </c>
      <c r="Z7376">
        <v>0.57572630000000002</v>
      </c>
      <c r="AA7376">
        <v>0.80220809999999998</v>
      </c>
      <c r="AB7376">
        <v>32</v>
      </c>
      <c r="AC7376">
        <v>-0.44490049999999998</v>
      </c>
      <c r="AD7376">
        <v>1.70557599999999</v>
      </c>
      <c r="AE7376">
        <v>2.4423520000000001</v>
      </c>
      <c r="AF7376">
        <v>-0.32063365394981103</v>
      </c>
      <c r="AG7376">
        <v>1.70557599999999</v>
      </c>
      <c r="AH7376">
        <v>1.6557424268162699</v>
      </c>
      <c r="AI7376">
        <v>44.677823030592201</v>
      </c>
      <c r="AJ7376">
        <v>100.959645387568</v>
      </c>
      <c r="AK7376">
        <v>2.3985992611898799</v>
      </c>
      <c r="AL7376">
        <v>58.524172818205102</v>
      </c>
      <c r="AM7376">
        <v>98.268152732081901</v>
      </c>
      <c r="AN7376">
        <v>1.0000000126873201</v>
      </c>
    </row>
    <row r="7377" spans="1:40" x14ac:dyDescent="0.25">
      <c r="A7377" t="str">
        <f>"20190304165027507"</f>
        <v>20190304165027507</v>
      </c>
      <c r="B7377" t="str">
        <f>"1551689427502750"</f>
        <v>1551689427502750</v>
      </c>
      <c r="C7377" t="s">
        <v>40</v>
      </c>
      <c r="D7377">
        <v>4.36782</v>
      </c>
      <c r="E7377">
        <v>0.4856142</v>
      </c>
      <c r="F7377" t="s">
        <v>60</v>
      </c>
      <c r="G7377">
        <v>0</v>
      </c>
      <c r="H7377">
        <v>0</v>
      </c>
      <c r="I7377">
        <v>0</v>
      </c>
      <c r="J7377">
        <v>-186.92939999999999</v>
      </c>
      <c r="K7377">
        <v>1.111407</v>
      </c>
      <c r="L7377">
        <v>9.4989620000000006</v>
      </c>
      <c r="M7377">
        <v>1.089671E-2</v>
      </c>
      <c r="N7377">
        <v>-1.219694E-2</v>
      </c>
      <c r="O7377">
        <v>0.99986620000000004</v>
      </c>
      <c r="P7377">
        <v>-0.1120022</v>
      </c>
      <c r="Q7377">
        <v>0.52507250000000005</v>
      </c>
      <c r="R7377">
        <v>0.84365540000000006</v>
      </c>
      <c r="S7377">
        <v>-0.43832399999999999</v>
      </c>
      <c r="T7377">
        <v>1.719546</v>
      </c>
      <c r="U7377">
        <v>2.4310610000000001</v>
      </c>
      <c r="V7377">
        <v>-0.121383199999999</v>
      </c>
      <c r="W7377">
        <v>0.53526399999999996</v>
      </c>
      <c r="X7377">
        <v>0.83591789999999999</v>
      </c>
      <c r="Y7377">
        <v>-0.15585019999999999</v>
      </c>
      <c r="Z7377">
        <v>0.58070500000000003</v>
      </c>
      <c r="AA7377">
        <v>0.79905719999999902</v>
      </c>
      <c r="AB7377">
        <v>32</v>
      </c>
      <c r="AC7377">
        <v>-0.43832399999999999</v>
      </c>
      <c r="AD7377">
        <v>1.719546</v>
      </c>
      <c r="AE7377">
        <v>2.4310610000000001</v>
      </c>
      <c r="AF7377">
        <v>-0.313084272090145</v>
      </c>
      <c r="AG7377">
        <v>1.719546</v>
      </c>
      <c r="AH7377">
        <v>1.6342551276827799</v>
      </c>
      <c r="AI7377">
        <v>44.059051560092797</v>
      </c>
      <c r="AJ7377">
        <v>100.84510096461</v>
      </c>
      <c r="AK7377">
        <v>2.3928330551678001</v>
      </c>
      <c r="AL7377">
        <v>57.6381860091184</v>
      </c>
      <c r="AM7377">
        <v>98.262141806112794</v>
      </c>
      <c r="AN7377">
        <v>1.0000000832393201</v>
      </c>
    </row>
    <row r="7378" spans="1:40" x14ac:dyDescent="0.25">
      <c r="A7378" t="str">
        <f>"20190304165027527"</f>
        <v>20190304165027527</v>
      </c>
      <c r="B7378" t="str">
        <f>"1551689427523246"</f>
        <v>1551689427523246</v>
      </c>
      <c r="C7378" t="s">
        <v>40</v>
      </c>
      <c r="D7378">
        <v>4.3699269999999997</v>
      </c>
      <c r="E7378">
        <v>0.48895690000000003</v>
      </c>
      <c r="F7378" t="s">
        <v>60</v>
      </c>
      <c r="G7378">
        <v>0</v>
      </c>
      <c r="H7378">
        <v>0</v>
      </c>
      <c r="I7378">
        <v>0</v>
      </c>
      <c r="J7378">
        <v>-186.9265</v>
      </c>
      <c r="K7378">
        <v>1.1114360000000001</v>
      </c>
      <c r="L7378">
        <v>9.7857059999999993</v>
      </c>
      <c r="M7378">
        <v>1.072566E-2</v>
      </c>
      <c r="N7378">
        <v>-1.2162050000000001E-2</v>
      </c>
      <c r="O7378">
        <v>0.99986850000000005</v>
      </c>
      <c r="P7378">
        <v>-0.11015519999999999</v>
      </c>
      <c r="Q7378">
        <v>0.53675600000000001</v>
      </c>
      <c r="R7378">
        <v>0.83651580000000003</v>
      </c>
      <c r="S7378">
        <v>-0.4298401</v>
      </c>
      <c r="T7378">
        <v>1.7212289999999999</v>
      </c>
      <c r="U7378">
        <v>2.4276430000000002</v>
      </c>
      <c r="V7378">
        <v>-0.11932</v>
      </c>
      <c r="W7378">
        <v>0.54683179999999998</v>
      </c>
      <c r="X7378">
        <v>0.8286964</v>
      </c>
      <c r="Y7378">
        <v>-0.1530215</v>
      </c>
      <c r="Z7378">
        <v>0.58181890000000003</v>
      </c>
      <c r="AA7378">
        <v>0.79879359999999999</v>
      </c>
      <c r="AB7378">
        <v>32</v>
      </c>
      <c r="AC7378">
        <v>-0.4298401</v>
      </c>
      <c r="AD7378">
        <v>1.7212289999999999</v>
      </c>
      <c r="AE7378">
        <v>2.4276430000000002</v>
      </c>
      <c r="AF7378">
        <v>-0.30647432685618198</v>
      </c>
      <c r="AG7378">
        <v>1.7212289999999999</v>
      </c>
      <c r="AH7378">
        <v>1.6289254217851199</v>
      </c>
      <c r="AI7378">
        <v>43.919520390425902</v>
      </c>
      <c r="AJ7378">
        <v>100.655356987354</v>
      </c>
      <c r="AK7378">
        <v>2.3895509647631998</v>
      </c>
      <c r="AL7378">
        <v>56.850068527314697</v>
      </c>
      <c r="AM7378">
        <v>98.193431437540596</v>
      </c>
      <c r="AN7378">
        <v>1.0000000016321</v>
      </c>
    </row>
    <row r="7379" spans="1:40" x14ac:dyDescent="0.25">
      <c r="A7379" t="str">
        <f>"20190304165027550"</f>
        <v>20190304165027550</v>
      </c>
      <c r="B7379" t="str">
        <f>"1551689427542765"</f>
        <v>1551689427542765</v>
      </c>
      <c r="C7379" t="s">
        <v>40</v>
      </c>
      <c r="D7379">
        <v>4.3839930000000003</v>
      </c>
      <c r="E7379">
        <v>0.4891971</v>
      </c>
      <c r="F7379" t="s">
        <v>60</v>
      </c>
      <c r="G7379">
        <v>0</v>
      </c>
      <c r="H7379">
        <v>0</v>
      </c>
      <c r="I7379">
        <v>0</v>
      </c>
      <c r="J7379">
        <v>-186.923</v>
      </c>
      <c r="K7379">
        <v>1.1114869999999999</v>
      </c>
      <c r="L7379">
        <v>10.124359999999999</v>
      </c>
      <c r="M7379">
        <v>1.052356E-2</v>
      </c>
      <c r="N7379">
        <v>-1.212617E-2</v>
      </c>
      <c r="O7379">
        <v>0.99987110000000001</v>
      </c>
      <c r="P7379">
        <v>-0.1078949</v>
      </c>
      <c r="Q7379">
        <v>0.55149700000000001</v>
      </c>
      <c r="R7379">
        <v>0.82716970000000001</v>
      </c>
      <c r="S7379">
        <v>-0.4187012</v>
      </c>
      <c r="T7379">
        <v>1.603839</v>
      </c>
      <c r="U7379">
        <v>2.5020449999999999</v>
      </c>
      <c r="V7379">
        <v>-0.116797499999999</v>
      </c>
      <c r="W7379">
        <v>0.5614306</v>
      </c>
      <c r="X7379">
        <v>0.81923989999999902</v>
      </c>
      <c r="Y7379">
        <v>-0.14943389999999901</v>
      </c>
      <c r="Z7379">
        <v>0.54410119999999995</v>
      </c>
      <c r="AA7379">
        <v>0.82560489999999997</v>
      </c>
      <c r="AB7379">
        <v>32</v>
      </c>
      <c r="AC7379">
        <v>-0.4187012</v>
      </c>
      <c r="AD7379">
        <v>1.603839</v>
      </c>
      <c r="AE7379">
        <v>2.5020449999999999</v>
      </c>
      <c r="AF7379">
        <v>-0.31793217410007502</v>
      </c>
      <c r="AG7379">
        <v>1.603839</v>
      </c>
      <c r="AH7379">
        <v>1.78430801531771</v>
      </c>
      <c r="AI7379">
        <v>48.493747469319302</v>
      </c>
      <c r="AJ7379">
        <v>100.103065874552</v>
      </c>
      <c r="AK7379">
        <v>2.4201519577861199</v>
      </c>
      <c r="AL7379">
        <v>55.845208663806702</v>
      </c>
      <c r="AM7379">
        <v>98.1138736266618</v>
      </c>
      <c r="AN7379">
        <v>0.999999994187309</v>
      </c>
    </row>
    <row r="7380" spans="1:40" x14ac:dyDescent="0.25">
      <c r="A7380" t="str">
        <f>"20190304165027585"</f>
        <v>20190304165027585</v>
      </c>
      <c r="B7380" t="str">
        <f>"1551689427573025"</f>
        <v>1551689427573025</v>
      </c>
      <c r="C7380" t="s">
        <v>40</v>
      </c>
      <c r="D7380">
        <v>4.389634</v>
      </c>
      <c r="E7380">
        <v>0.4898362</v>
      </c>
      <c r="F7380" t="s">
        <v>60</v>
      </c>
      <c r="G7380">
        <v>0</v>
      </c>
      <c r="H7380">
        <v>0</v>
      </c>
      <c r="I7380">
        <v>0</v>
      </c>
      <c r="J7380">
        <v>-186.91829999999999</v>
      </c>
      <c r="K7380">
        <v>1.1115060000000001</v>
      </c>
      <c r="L7380">
        <v>10.60464</v>
      </c>
      <c r="M7380">
        <v>1.0237370000000001E-2</v>
      </c>
      <c r="N7380">
        <v>-1.208415E-2</v>
      </c>
      <c r="O7380">
        <v>0.99987459999999995</v>
      </c>
      <c r="P7380">
        <v>-0.1046599</v>
      </c>
      <c r="Q7380">
        <v>0.55840919999999905</v>
      </c>
      <c r="R7380">
        <v>0.82293709999999898</v>
      </c>
      <c r="S7380">
        <v>-0.413269</v>
      </c>
      <c r="T7380">
        <v>1.6265149999999999</v>
      </c>
      <c r="U7380">
        <v>2.488464</v>
      </c>
      <c r="V7380">
        <v>-0.1132856</v>
      </c>
      <c r="W7380">
        <v>0.56825859999999995</v>
      </c>
      <c r="X7380">
        <v>0.81501440000000003</v>
      </c>
      <c r="Y7380">
        <v>-0.14733640000000001</v>
      </c>
      <c r="Z7380">
        <v>0.55154609999999904</v>
      </c>
      <c r="AA7380">
        <v>0.82102919999999902</v>
      </c>
      <c r="AB7380">
        <v>32</v>
      </c>
      <c r="AC7380">
        <v>-0.413269</v>
      </c>
      <c r="AD7380">
        <v>1.6265149999999999</v>
      </c>
      <c r="AE7380">
        <v>2.488464</v>
      </c>
      <c r="AF7380">
        <v>-0.30988730921006302</v>
      </c>
      <c r="AG7380">
        <v>1.6265149999999999</v>
      </c>
      <c r="AH7380">
        <v>1.7546131729682699</v>
      </c>
      <c r="AI7380">
        <v>47.6081172863814</v>
      </c>
      <c r="AJ7380">
        <v>100.01588684588199</v>
      </c>
      <c r="AK7380">
        <v>2.4125191349268502</v>
      </c>
      <c r="AL7380">
        <v>55.371117037557603</v>
      </c>
      <c r="AM7380">
        <v>97.913311660152502</v>
      </c>
      <c r="AN7380">
        <v>0.99999996792433898</v>
      </c>
    </row>
    <row r="7381" spans="1:40" x14ac:dyDescent="0.25">
      <c r="A7381" t="str">
        <f>"20190304165027605"</f>
        <v>20190304165027605</v>
      </c>
      <c r="B7381" t="str">
        <f>"1551689427603278"</f>
        <v>1551689427603278</v>
      </c>
      <c r="C7381" t="s">
        <v>40</v>
      </c>
      <c r="D7381">
        <v>4.2688899999999999</v>
      </c>
      <c r="E7381">
        <v>0.490537</v>
      </c>
      <c r="F7381" t="s">
        <v>60</v>
      </c>
      <c r="G7381">
        <v>0</v>
      </c>
      <c r="H7381">
        <v>0</v>
      </c>
      <c r="I7381">
        <v>0</v>
      </c>
      <c r="J7381">
        <v>-186.91540000000001</v>
      </c>
      <c r="K7381">
        <v>1.111523</v>
      </c>
      <c r="L7381">
        <v>10.90311</v>
      </c>
      <c r="M7381">
        <v>1.0059449999999999E-2</v>
      </c>
      <c r="N7381">
        <v>-1.206225E-2</v>
      </c>
      <c r="O7381">
        <v>0.9998766</v>
      </c>
      <c r="P7381">
        <v>-0.10218579999999999</v>
      </c>
      <c r="Q7381">
        <v>0.56175569999999997</v>
      </c>
      <c r="R7381">
        <v>0.82096809999999998</v>
      </c>
      <c r="S7381">
        <v>-0.40248109999999998</v>
      </c>
      <c r="T7381">
        <v>1.6207659999999999</v>
      </c>
      <c r="U7381">
        <v>2.494507</v>
      </c>
      <c r="V7381">
        <v>-0.11064690000000001</v>
      </c>
      <c r="W7381">
        <v>0.57156479999999998</v>
      </c>
      <c r="X7381">
        <v>0.81306269999999903</v>
      </c>
      <c r="Y7381">
        <v>-0.14356820000000001</v>
      </c>
      <c r="Z7381">
        <v>0.54957129999999998</v>
      </c>
      <c r="AA7381">
        <v>0.82301859999999905</v>
      </c>
      <c r="AB7381">
        <v>32</v>
      </c>
      <c r="AC7381">
        <v>-0.40248109999999998</v>
      </c>
      <c r="AD7381">
        <v>1.6207659999999999</v>
      </c>
      <c r="AE7381">
        <v>2.494507</v>
      </c>
      <c r="AF7381">
        <v>-0.30292109439729198</v>
      </c>
      <c r="AG7381">
        <v>1.6207659999999999</v>
      </c>
      <c r="AH7381">
        <v>1.7643867496950401</v>
      </c>
      <c r="AI7381">
        <v>47.843759701500197</v>
      </c>
      <c r="AJ7381">
        <v>99.741925064239496</v>
      </c>
      <c r="AK7381">
        <v>2.4148921753747601</v>
      </c>
      <c r="AL7381">
        <v>55.140583969515902</v>
      </c>
      <c r="AM7381">
        <v>97.749579538609495</v>
      </c>
      <c r="AN7381">
        <v>1.0000000056049601</v>
      </c>
    </row>
    <row r="7382" spans="1:40" x14ac:dyDescent="0.25">
      <c r="A7382" t="str">
        <f>"20190304165027630"</f>
        <v>20190304165027630</v>
      </c>
      <c r="B7382" t="str">
        <f>"1551689427622797"</f>
        <v>1551689427622797</v>
      </c>
      <c r="C7382" t="s">
        <v>40</v>
      </c>
      <c r="D7382">
        <v>4.5208469999999998</v>
      </c>
      <c r="E7382">
        <v>0.49047980000000002</v>
      </c>
      <c r="F7382" t="s">
        <v>60</v>
      </c>
      <c r="G7382">
        <v>0</v>
      </c>
      <c r="H7382">
        <v>0</v>
      </c>
      <c r="I7382">
        <v>0</v>
      </c>
      <c r="J7382">
        <v>-186.91200000000001</v>
      </c>
      <c r="K7382">
        <v>1.1115389999999901</v>
      </c>
      <c r="L7382">
        <v>11.26031</v>
      </c>
      <c r="M7382">
        <v>9.8464590000000001E-3</v>
      </c>
      <c r="N7382">
        <v>-1.203982E-2</v>
      </c>
      <c r="O7382">
        <v>0.99987910000000002</v>
      </c>
      <c r="P7382">
        <v>-9.951111E-2</v>
      </c>
      <c r="Q7382">
        <v>0.56731659999999995</v>
      </c>
      <c r="R7382">
        <v>0.817465199999999</v>
      </c>
      <c r="S7382">
        <v>-0.39082339999999999</v>
      </c>
      <c r="T7382">
        <v>1.6205700000000001</v>
      </c>
      <c r="U7382">
        <v>2.4966740000000001</v>
      </c>
      <c r="V7382">
        <v>-0.1077651</v>
      </c>
      <c r="W7382">
        <v>0.57706650000000004</v>
      </c>
      <c r="X7382">
        <v>0.80955589999999999</v>
      </c>
      <c r="Y7382">
        <v>-0.1394879</v>
      </c>
      <c r="Z7382">
        <v>0.54948269999999899</v>
      </c>
      <c r="AA7382">
        <v>0.82377900000000004</v>
      </c>
      <c r="AB7382">
        <v>32</v>
      </c>
      <c r="AC7382">
        <v>-0.39082339999999999</v>
      </c>
      <c r="AD7382">
        <v>1.6205700000000001</v>
      </c>
      <c r="AE7382">
        <v>2.4966740000000001</v>
      </c>
      <c r="AF7382">
        <v>-0.294343147424873</v>
      </c>
      <c r="AG7382">
        <v>1.6205700000000001</v>
      </c>
      <c r="AH7382">
        <v>1.7663187025823499</v>
      </c>
      <c r="AI7382">
        <v>47.854756253434203</v>
      </c>
      <c r="AJ7382">
        <v>99.460955505149101</v>
      </c>
      <c r="AK7382">
        <v>2.4151121655997998</v>
      </c>
      <c r="AL7382">
        <v>54.7555170293749</v>
      </c>
      <c r="AM7382">
        <v>97.582426104282902</v>
      </c>
      <c r="AN7382">
        <v>0.99999990871252997</v>
      </c>
    </row>
    <row r="7383" spans="1:40" x14ac:dyDescent="0.25">
      <c r="A7383" t="str">
        <f>"20190304165027652"</f>
        <v>20190304165027652</v>
      </c>
      <c r="B7383" t="str">
        <f>"1551689427643296"</f>
        <v>1551689427643296</v>
      </c>
      <c r="C7383" t="s">
        <v>40</v>
      </c>
      <c r="D7383">
        <v>4.2536949999999996</v>
      </c>
      <c r="E7383">
        <v>0.49043740000000002</v>
      </c>
      <c r="F7383" t="s">
        <v>60</v>
      </c>
      <c r="G7383">
        <v>0</v>
      </c>
      <c r="H7383">
        <v>0</v>
      </c>
      <c r="I7383">
        <v>0</v>
      </c>
      <c r="J7383">
        <v>-186.9091</v>
      </c>
      <c r="K7383">
        <v>1.111564</v>
      </c>
      <c r="L7383">
        <v>11.573460000000001</v>
      </c>
      <c r="M7383">
        <v>9.6597620000000006E-3</v>
      </c>
      <c r="N7383">
        <v>-1.202314E-2</v>
      </c>
      <c r="O7383">
        <v>0.99988109999999997</v>
      </c>
      <c r="P7383">
        <v>-9.734342E-2</v>
      </c>
      <c r="Q7383">
        <v>0.57418829999999998</v>
      </c>
      <c r="R7383">
        <v>0.81291579999999997</v>
      </c>
      <c r="S7383">
        <v>-0.38253779999999998</v>
      </c>
      <c r="T7383">
        <v>1.6423620000000001</v>
      </c>
      <c r="U7383">
        <v>2.4835210000000001</v>
      </c>
      <c r="V7383">
        <v>-0.1054035</v>
      </c>
      <c r="W7383">
        <v>0.58387069999999996</v>
      </c>
      <c r="X7383">
        <v>0.80497529999999995</v>
      </c>
      <c r="Y7383">
        <v>-0.13655610000000001</v>
      </c>
      <c r="Z7383">
        <v>0.55670520000000001</v>
      </c>
      <c r="AA7383">
        <v>0.81940939999999995</v>
      </c>
      <c r="AB7383">
        <v>32</v>
      </c>
      <c r="AC7383">
        <v>-0.38253779999999998</v>
      </c>
      <c r="AD7383">
        <v>1.6423620000000001</v>
      </c>
      <c r="AE7383">
        <v>2.4835210000000001</v>
      </c>
      <c r="AF7383">
        <v>-0.28483424681258701</v>
      </c>
      <c r="AG7383">
        <v>1.6423620000000001</v>
      </c>
      <c r="AH7383">
        <v>1.7374797983314001</v>
      </c>
      <c r="AI7383">
        <v>46.991148386534697</v>
      </c>
      <c r="AJ7383">
        <v>99.309988119805794</v>
      </c>
      <c r="AK7383">
        <v>2.4077623505676402</v>
      </c>
      <c r="AL7383">
        <v>54.276752442920397</v>
      </c>
      <c r="AM7383">
        <v>97.459871102889196</v>
      </c>
      <c r="AN7383">
        <v>1.00000006287041</v>
      </c>
    </row>
    <row r="7384" spans="1:40" x14ac:dyDescent="0.25">
      <c r="A7384" t="str">
        <f>"20190304165027673"</f>
        <v>20190304165027673</v>
      </c>
      <c r="B7384" t="str">
        <f>"1551689427662817"</f>
        <v>1551689427662817</v>
      </c>
      <c r="C7384" t="s">
        <v>40</v>
      </c>
      <c r="D7384">
        <v>4.2293640000000003</v>
      </c>
      <c r="E7384">
        <v>0.49034100000000003</v>
      </c>
      <c r="F7384" t="s">
        <v>60</v>
      </c>
      <c r="G7384">
        <v>0</v>
      </c>
      <c r="H7384">
        <v>0</v>
      </c>
      <c r="I7384">
        <v>0</v>
      </c>
      <c r="J7384">
        <v>-186.90639999999999</v>
      </c>
      <c r="K7384">
        <v>1.1115839999999999</v>
      </c>
      <c r="L7384">
        <v>11.87372</v>
      </c>
      <c r="M7384">
        <v>9.4810520000000002E-3</v>
      </c>
      <c r="N7384">
        <v>-1.2009290000000001E-2</v>
      </c>
      <c r="O7384">
        <v>0.99988290000000002</v>
      </c>
      <c r="P7384">
        <v>-9.6159990000000001E-2</v>
      </c>
      <c r="Q7384">
        <v>0.58030890000000002</v>
      </c>
      <c r="R7384">
        <v>0.80869950000000002</v>
      </c>
      <c r="S7384">
        <v>-0.37539670000000003</v>
      </c>
      <c r="T7384">
        <v>1.6686449999999999</v>
      </c>
      <c r="U7384">
        <v>2.4668580000000002</v>
      </c>
      <c r="V7384">
        <v>-0.1040375</v>
      </c>
      <c r="W7384">
        <v>0.58993009999999901</v>
      </c>
      <c r="X7384">
        <v>0.80072390000000004</v>
      </c>
      <c r="Y7384">
        <v>-0.1340102</v>
      </c>
      <c r="Z7384">
        <v>0.56541319999999995</v>
      </c>
      <c r="AA7384">
        <v>0.81384829999999997</v>
      </c>
      <c r="AB7384">
        <v>32</v>
      </c>
      <c r="AC7384">
        <v>-0.37539670000000003</v>
      </c>
      <c r="AD7384">
        <v>1.6686449999999999</v>
      </c>
      <c r="AE7384">
        <v>2.4668580000000002</v>
      </c>
      <c r="AF7384">
        <v>-0.27554675025380598</v>
      </c>
      <c r="AG7384">
        <v>1.6686449999999999</v>
      </c>
      <c r="AH7384">
        <v>1.70204252683574</v>
      </c>
      <c r="AI7384">
        <v>45.938130640283397</v>
      </c>
      <c r="AJ7384">
        <v>99.195932916611795</v>
      </c>
      <c r="AK7384">
        <v>2.3994272047215399</v>
      </c>
      <c r="AL7384">
        <v>53.847953806445901</v>
      </c>
      <c r="AM7384">
        <v>97.402928895992702</v>
      </c>
      <c r="AN7384">
        <v>1.0000000441617301</v>
      </c>
    </row>
    <row r="7385" spans="1:40" x14ac:dyDescent="0.25">
      <c r="A7385" t="str">
        <f>"20190304165027695"</f>
        <v>20190304165027695</v>
      </c>
      <c r="B7385" t="str">
        <f>"1551689427693070"</f>
        <v>1551689427693070</v>
      </c>
      <c r="C7385" t="s">
        <v>40</v>
      </c>
      <c r="D7385">
        <v>4.1968100000000002</v>
      </c>
      <c r="E7385">
        <v>0.4905062</v>
      </c>
      <c r="F7385" t="s">
        <v>60</v>
      </c>
      <c r="G7385">
        <v>0</v>
      </c>
      <c r="H7385">
        <v>0</v>
      </c>
      <c r="I7385">
        <v>0</v>
      </c>
      <c r="J7385">
        <v>-186.90360000000001</v>
      </c>
      <c r="K7385">
        <v>1.111591</v>
      </c>
      <c r="L7385">
        <v>12.19144</v>
      </c>
      <c r="M7385">
        <v>9.2919000000000005E-3</v>
      </c>
      <c r="N7385">
        <v>-1.199661E-2</v>
      </c>
      <c r="O7385">
        <v>0.99988480000000002</v>
      </c>
      <c r="P7385">
        <v>-9.5751929999999999E-2</v>
      </c>
      <c r="Q7385">
        <v>0.58373419999999998</v>
      </c>
      <c r="R7385">
        <v>0.80627910000000003</v>
      </c>
      <c r="S7385">
        <v>-0.37191770000000002</v>
      </c>
      <c r="T7385">
        <v>1.6923330000000001</v>
      </c>
      <c r="U7385">
        <v>2.45105</v>
      </c>
      <c r="V7385">
        <v>-0.1034558</v>
      </c>
      <c r="W7385">
        <v>0.59331659999999997</v>
      </c>
      <c r="X7385">
        <v>0.79829340000000004</v>
      </c>
      <c r="Y7385">
        <v>-0.13266720000000001</v>
      </c>
      <c r="Z7385">
        <v>0.57325760000000003</v>
      </c>
      <c r="AA7385">
        <v>0.80856359999999905</v>
      </c>
      <c r="AB7385">
        <v>32</v>
      </c>
      <c r="AC7385">
        <v>-0.37191770000000002</v>
      </c>
      <c r="AD7385">
        <v>1.6923330000000001</v>
      </c>
      <c r="AE7385">
        <v>2.45105</v>
      </c>
      <c r="AF7385">
        <v>-0.26922205350377199</v>
      </c>
      <c r="AG7385">
        <v>1.6923330000000001</v>
      </c>
      <c r="AH7385">
        <v>1.6695064047380099</v>
      </c>
      <c r="AI7385">
        <v>44.978684049471497</v>
      </c>
      <c r="AJ7385">
        <v>99.160568459597201</v>
      </c>
      <c r="AK7385">
        <v>2.3924303819428099</v>
      </c>
      <c r="AL7385">
        <v>53.607281761717601</v>
      </c>
      <c r="AM7385">
        <v>97.384160046787997</v>
      </c>
      <c r="AN7385">
        <v>1.00000002143637</v>
      </c>
    </row>
    <row r="7386" spans="1:40" x14ac:dyDescent="0.25">
      <c r="A7386" t="str">
        <f>"20190304165027719"</f>
        <v>20190304165027719</v>
      </c>
      <c r="B7386" t="str">
        <f>"1551689427712590"</f>
        <v>1551689427712590</v>
      </c>
      <c r="C7386" t="s">
        <v>40</v>
      </c>
      <c r="D7386">
        <v>4.1156079999999999</v>
      </c>
      <c r="E7386">
        <v>0.49053409999999897</v>
      </c>
      <c r="F7386" t="s">
        <v>60</v>
      </c>
      <c r="G7386">
        <v>0</v>
      </c>
      <c r="H7386">
        <v>0</v>
      </c>
      <c r="I7386">
        <v>0</v>
      </c>
      <c r="J7386">
        <v>-186.9007</v>
      </c>
      <c r="K7386">
        <v>1.111599</v>
      </c>
      <c r="L7386">
        <v>12.530760000000001</v>
      </c>
      <c r="M7386">
        <v>9.0898720000000006E-3</v>
      </c>
      <c r="N7386">
        <v>-1.198519E-2</v>
      </c>
      <c r="O7386">
        <v>0.99988690000000002</v>
      </c>
      <c r="P7386">
        <v>-9.5820520000000006E-2</v>
      </c>
      <c r="Q7386">
        <v>0.58524679999999996</v>
      </c>
      <c r="R7386">
        <v>0.80517369999999899</v>
      </c>
      <c r="S7386">
        <v>-0.36940000000000001</v>
      </c>
      <c r="T7386">
        <v>1.7023429999999999</v>
      </c>
      <c r="U7386">
        <v>2.444458</v>
      </c>
      <c r="V7386">
        <v>-0.103352</v>
      </c>
      <c r="W7386">
        <v>0.59480669999999902</v>
      </c>
      <c r="X7386">
        <v>0.79719719999999905</v>
      </c>
      <c r="Y7386">
        <v>-0.1316302</v>
      </c>
      <c r="Z7386">
        <v>0.57656960000000002</v>
      </c>
      <c r="AA7386">
        <v>0.80637530000000002</v>
      </c>
      <c r="AB7386">
        <v>32</v>
      </c>
      <c r="AC7386">
        <v>-0.36940000000000001</v>
      </c>
      <c r="AD7386">
        <v>1.7023429999999999</v>
      </c>
      <c r="AE7386">
        <v>2.444458</v>
      </c>
      <c r="AF7386">
        <v>-0.26564739264541498</v>
      </c>
      <c r="AG7386">
        <v>1.7023429999999999</v>
      </c>
      <c r="AH7386">
        <v>1.6558601580155301</v>
      </c>
      <c r="AI7386">
        <v>44.5708972554458</v>
      </c>
      <c r="AJ7386">
        <v>99.114221539390499</v>
      </c>
      <c r="AK7386">
        <v>2.3896470638509602</v>
      </c>
      <c r="AL7386">
        <v>53.501147057784898</v>
      </c>
      <c r="AM7386">
        <v>97.386864652193694</v>
      </c>
      <c r="AN7386">
        <v>1.00000001097836</v>
      </c>
    </row>
    <row r="7387" spans="1:40" x14ac:dyDescent="0.25">
      <c r="A7387" t="str">
        <f>"20190304165027740"</f>
        <v>20190304165027740</v>
      </c>
      <c r="B7387" t="str">
        <f>"1551689427733086"</f>
        <v>1551689427733086</v>
      </c>
      <c r="C7387" t="s">
        <v>40</v>
      </c>
      <c r="D7387">
        <v>4.1150500000000001</v>
      </c>
      <c r="E7387">
        <v>0.48946230000000002</v>
      </c>
      <c r="F7387" t="s">
        <v>60</v>
      </c>
      <c r="G7387">
        <v>0</v>
      </c>
      <c r="H7387">
        <v>0</v>
      </c>
      <c r="I7387">
        <v>0</v>
      </c>
      <c r="J7387">
        <v>-186.8981</v>
      </c>
      <c r="K7387">
        <v>1.1116189999999999</v>
      </c>
      <c r="L7387">
        <v>12.837859999999999</v>
      </c>
      <c r="M7387">
        <v>8.9067450000000006E-3</v>
      </c>
      <c r="N7387">
        <v>-1.1976260000000001E-2</v>
      </c>
      <c r="O7387">
        <v>0.99988860000000002</v>
      </c>
      <c r="P7387">
        <v>-9.6181420000000004E-2</v>
      </c>
      <c r="Q7387">
        <v>0.58957950000000003</v>
      </c>
      <c r="R7387">
        <v>0.80196339999999999</v>
      </c>
      <c r="S7387">
        <v>-0.36999510000000002</v>
      </c>
      <c r="T7387">
        <v>1.704291</v>
      </c>
      <c r="U7387">
        <v>2.443085</v>
      </c>
      <c r="V7387">
        <v>-0.1035382</v>
      </c>
      <c r="W7387">
        <v>0.59909330000000005</v>
      </c>
      <c r="X7387">
        <v>0.79395660000000001</v>
      </c>
      <c r="Y7387">
        <v>-0.1316426</v>
      </c>
      <c r="Z7387">
        <v>0.57720179999999999</v>
      </c>
      <c r="AA7387">
        <v>0.80592079999999999</v>
      </c>
      <c r="AB7387">
        <v>32</v>
      </c>
      <c r="AC7387">
        <v>-0.36999510000000002</v>
      </c>
      <c r="AD7387">
        <v>1.704291</v>
      </c>
      <c r="AE7387">
        <v>2.443085</v>
      </c>
      <c r="AF7387">
        <v>-0.265456084810622</v>
      </c>
      <c r="AG7387">
        <v>1.704291</v>
      </c>
      <c r="AH7387">
        <v>1.65320881098874</v>
      </c>
      <c r="AI7387">
        <v>44.492871612251903</v>
      </c>
      <c r="AJ7387">
        <v>99.122129180417105</v>
      </c>
      <c r="AK7387">
        <v>2.3891785446832499</v>
      </c>
      <c r="AL7387">
        <v>53.195012902970802</v>
      </c>
      <c r="AM7387">
        <v>97.429892557204994</v>
      </c>
      <c r="AN7387">
        <v>1.0000000118238399</v>
      </c>
    </row>
    <row r="7388" spans="1:40" x14ac:dyDescent="0.25">
      <c r="A7388" t="str">
        <f>"20190304165027763"</f>
        <v>20190304165027763</v>
      </c>
      <c r="B7388" t="str">
        <f>"1551689427753582"</f>
        <v>1551689427753582</v>
      </c>
      <c r="C7388" t="s">
        <v>40</v>
      </c>
      <c r="D7388">
        <v>4.1088279999999999</v>
      </c>
      <c r="E7388">
        <v>0.4895948</v>
      </c>
      <c r="F7388" t="s">
        <v>60</v>
      </c>
      <c r="G7388">
        <v>0</v>
      </c>
      <c r="H7388">
        <v>0</v>
      </c>
      <c r="I7388">
        <v>0</v>
      </c>
      <c r="J7388">
        <v>-186.8954</v>
      </c>
      <c r="K7388">
        <v>1.11164</v>
      </c>
      <c r="L7388">
        <v>13.161960000000001</v>
      </c>
      <c r="M7388">
        <v>8.7136750000000006E-3</v>
      </c>
      <c r="N7388">
        <v>-1.19682E-2</v>
      </c>
      <c r="O7388">
        <v>0.99989039999999996</v>
      </c>
      <c r="P7388">
        <v>-9.696457E-2</v>
      </c>
      <c r="Q7388">
        <v>0.59585900000000003</v>
      </c>
      <c r="R7388">
        <v>0.79721390000000003</v>
      </c>
      <c r="S7388">
        <v>-0.38975520000000002</v>
      </c>
      <c r="T7388">
        <v>1.6492819999999999</v>
      </c>
      <c r="U7388">
        <v>2.4815670000000001</v>
      </c>
      <c r="V7388">
        <v>-0.1041275</v>
      </c>
      <c r="W7388">
        <v>0.6053094</v>
      </c>
      <c r="X7388">
        <v>0.78915019999999902</v>
      </c>
      <c r="Y7388">
        <v>-0.137875</v>
      </c>
      <c r="Z7388">
        <v>0.55842000000000003</v>
      </c>
      <c r="AA7388">
        <v>0.81802050000000004</v>
      </c>
      <c r="AB7388">
        <v>32</v>
      </c>
      <c r="AC7388">
        <v>-0.38975520000000002</v>
      </c>
      <c r="AD7388">
        <v>1.6492819999999999</v>
      </c>
      <c r="AE7388">
        <v>2.4815670000000001</v>
      </c>
      <c r="AF7388">
        <v>-0.28745173049508199</v>
      </c>
      <c r="AG7388">
        <v>1.6492819999999999</v>
      </c>
      <c r="AH7388">
        <v>1.731616525775</v>
      </c>
      <c r="AI7388">
        <v>46.783817073369903</v>
      </c>
      <c r="AJ7388">
        <v>99.425262435761695</v>
      </c>
      <c r="AK7388">
        <v>2.4085795409796402</v>
      </c>
      <c r="AL7388">
        <v>52.748891609471301</v>
      </c>
      <c r="AM7388">
        <v>97.516692573509999</v>
      </c>
      <c r="AN7388">
        <v>1.00000002207232</v>
      </c>
    </row>
    <row r="7389" spans="1:40" x14ac:dyDescent="0.25">
      <c r="A7389" t="str">
        <f>"20190304165027786"</f>
        <v>20190304165027786</v>
      </c>
      <c r="B7389" t="str">
        <f>"1551689427773105"</f>
        <v>1551689427773105</v>
      </c>
      <c r="C7389" t="s">
        <v>40</v>
      </c>
      <c r="D7389">
        <v>4.122541</v>
      </c>
      <c r="E7389">
        <v>0.48941869999999998</v>
      </c>
      <c r="F7389" t="s">
        <v>60</v>
      </c>
      <c r="G7389">
        <v>0</v>
      </c>
      <c r="H7389">
        <v>0</v>
      </c>
      <c r="I7389">
        <v>0</v>
      </c>
      <c r="J7389">
        <v>-186.89269999999999</v>
      </c>
      <c r="K7389">
        <v>1.111653</v>
      </c>
      <c r="L7389">
        <v>13.48944</v>
      </c>
      <c r="M7389">
        <v>8.5186719999999997E-3</v>
      </c>
      <c r="N7389">
        <v>-1.196127E-2</v>
      </c>
      <c r="O7389">
        <v>0.99989220000000001</v>
      </c>
      <c r="P7389">
        <v>-9.7710099999999994E-2</v>
      </c>
      <c r="Q7389">
        <v>0.60035190000000005</v>
      </c>
      <c r="R7389">
        <v>0.79374440000000002</v>
      </c>
      <c r="S7389">
        <v>-0.39247130000000002</v>
      </c>
      <c r="T7389">
        <v>1.66123</v>
      </c>
      <c r="U7389">
        <v>2.4737239999999998</v>
      </c>
      <c r="V7389">
        <v>-0.1046902</v>
      </c>
      <c r="W7389">
        <v>0.60975469999999998</v>
      </c>
      <c r="X7389">
        <v>0.785645699999999</v>
      </c>
      <c r="Y7389">
        <v>-0.13855680000000001</v>
      </c>
      <c r="Z7389">
        <v>0.56227680000000002</v>
      </c>
      <c r="AA7389">
        <v>0.8152587</v>
      </c>
      <c r="AB7389">
        <v>32</v>
      </c>
      <c r="AC7389">
        <v>-0.39247130000000002</v>
      </c>
      <c r="AD7389">
        <v>1.66123</v>
      </c>
      <c r="AE7389">
        <v>2.4737239999999998</v>
      </c>
      <c r="AF7389">
        <v>-0.28719322857098301</v>
      </c>
      <c r="AG7389">
        <v>1.66123</v>
      </c>
      <c r="AH7389">
        <v>1.71559096988836</v>
      </c>
      <c r="AI7389">
        <v>46.317861700581602</v>
      </c>
      <c r="AJ7389">
        <v>99.503305866146306</v>
      </c>
      <c r="AK7389">
        <v>2.4052894710199602</v>
      </c>
      <c r="AL7389">
        <v>52.428231666667102</v>
      </c>
      <c r="AM7389">
        <v>97.590160621886994</v>
      </c>
      <c r="AN7389">
        <v>0.99999999903830905</v>
      </c>
    </row>
    <row r="7390" spans="1:40" x14ac:dyDescent="0.25">
      <c r="A7390" t="str">
        <f>"20190304165027807"</f>
        <v>20190304165027807</v>
      </c>
      <c r="B7390" t="str">
        <f>"1551689427803359"</f>
        <v>1551689427803359</v>
      </c>
      <c r="C7390" t="s">
        <v>40</v>
      </c>
      <c r="D7390">
        <v>4.1350309999999997</v>
      </c>
      <c r="E7390">
        <v>0.48931750000000002</v>
      </c>
      <c r="F7390" t="s">
        <v>60</v>
      </c>
      <c r="G7390">
        <v>0</v>
      </c>
      <c r="H7390">
        <v>0</v>
      </c>
      <c r="I7390">
        <v>0</v>
      </c>
      <c r="J7390">
        <v>-186.8904</v>
      </c>
      <c r="K7390">
        <v>1.1116600000000001</v>
      </c>
      <c r="L7390">
        <v>13.787570000000001</v>
      </c>
      <c r="M7390">
        <v>8.3411470000000001E-3</v>
      </c>
      <c r="N7390">
        <v>-1.195587E-2</v>
      </c>
      <c r="O7390">
        <v>0.9998937</v>
      </c>
      <c r="P7390">
        <v>-9.8032049999999996E-2</v>
      </c>
      <c r="Q7390">
        <v>0.60340769999999899</v>
      </c>
      <c r="R7390">
        <v>0.79138419999999998</v>
      </c>
      <c r="S7390">
        <v>-0.39680480000000001</v>
      </c>
      <c r="T7390">
        <v>1.6727240000000001</v>
      </c>
      <c r="U7390">
        <v>2.4655459999999998</v>
      </c>
      <c r="V7390">
        <v>-0.10485269999999999</v>
      </c>
      <c r="W7390">
        <v>0.6127783</v>
      </c>
      <c r="X7390">
        <v>0.78326799999999996</v>
      </c>
      <c r="Y7390">
        <v>-0.1398017</v>
      </c>
      <c r="Z7390">
        <v>0.56602649999999999</v>
      </c>
      <c r="AA7390">
        <v>0.81244669999999997</v>
      </c>
      <c r="AB7390">
        <v>32</v>
      </c>
      <c r="AC7390">
        <v>-0.39680480000000001</v>
      </c>
      <c r="AD7390">
        <v>1.6727240000000001</v>
      </c>
      <c r="AE7390">
        <v>2.4655459999999998</v>
      </c>
      <c r="AF7390">
        <v>-0.288099459501444</v>
      </c>
      <c r="AG7390">
        <v>1.6727240000000001</v>
      </c>
      <c r="AH7390">
        <v>1.6996061537223499</v>
      </c>
      <c r="AI7390">
        <v>45.862381028807697</v>
      </c>
      <c r="AJ7390">
        <v>99.620731204884606</v>
      </c>
      <c r="AK7390">
        <v>2.4020133131421</v>
      </c>
      <c r="AL7390">
        <v>52.209337681032999</v>
      </c>
      <c r="AM7390">
        <v>97.624609473531805</v>
      </c>
      <c r="AN7390">
        <v>1.0000000467360799</v>
      </c>
    </row>
    <row r="7391" spans="1:40" x14ac:dyDescent="0.25">
      <c r="A7391" t="str">
        <f>"20190304165027832"</f>
        <v>20190304165027832</v>
      </c>
      <c r="B7391" t="str">
        <f>"1551689427822878"</f>
        <v>1551689427822878</v>
      </c>
      <c r="C7391" t="s">
        <v>40</v>
      </c>
      <c r="D7391">
        <v>4.1519779999999997</v>
      </c>
      <c r="E7391">
        <v>0.4897186</v>
      </c>
      <c r="F7391" t="s">
        <v>60</v>
      </c>
      <c r="G7391">
        <v>0</v>
      </c>
      <c r="H7391">
        <v>0</v>
      </c>
      <c r="I7391">
        <v>0</v>
      </c>
      <c r="J7391">
        <v>-186.88759999999999</v>
      </c>
      <c r="K7391">
        <v>1.1116740000000001</v>
      </c>
      <c r="L7391">
        <v>14.14819</v>
      </c>
      <c r="M7391">
        <v>8.1261969999999999E-3</v>
      </c>
      <c r="N7391">
        <v>-1.1950270000000001E-2</v>
      </c>
      <c r="O7391">
        <v>0.9998956</v>
      </c>
      <c r="P7391">
        <v>-9.7522090000000006E-2</v>
      </c>
      <c r="Q7391">
        <v>0.60746309999999903</v>
      </c>
      <c r="R7391">
        <v>0.78833880000000001</v>
      </c>
      <c r="S7391">
        <v>-0.406723</v>
      </c>
      <c r="T7391">
        <v>1.6301479999999999</v>
      </c>
      <c r="U7391">
        <v>2.4974980000000002</v>
      </c>
      <c r="V7391">
        <v>-0.10414959999999999</v>
      </c>
      <c r="W7391">
        <v>0.61679329999999999</v>
      </c>
      <c r="X7391">
        <v>0.78020440000000002</v>
      </c>
      <c r="Y7391">
        <v>-0.14269409999999999</v>
      </c>
      <c r="Z7391">
        <v>0.55121359999999997</v>
      </c>
      <c r="AA7391">
        <v>0.82207180000000002</v>
      </c>
      <c r="AB7391">
        <v>32</v>
      </c>
      <c r="AC7391">
        <v>-0.406723</v>
      </c>
      <c r="AD7391">
        <v>1.6301479999999999</v>
      </c>
      <c r="AE7391">
        <v>2.4974980000000002</v>
      </c>
      <c r="AF7391">
        <v>-0.30176546328869702</v>
      </c>
      <c r="AG7391">
        <v>1.6301479999999999</v>
      </c>
      <c r="AH7391">
        <v>1.76258881392092</v>
      </c>
      <c r="AI7391">
        <v>47.647809751356398</v>
      </c>
      <c r="AJ7391">
        <v>99.715179737268897</v>
      </c>
      <c r="AK7391">
        <v>2.41974466084688</v>
      </c>
      <c r="AL7391">
        <v>51.917659913004698</v>
      </c>
      <c r="AM7391">
        <v>97.603471006059095</v>
      </c>
      <c r="AN7391">
        <v>1.0000000099422</v>
      </c>
    </row>
    <row r="7392" spans="1:40" x14ac:dyDescent="0.25">
      <c r="A7392" t="str">
        <f>"20190304165027854"</f>
        <v>20190304165027854</v>
      </c>
      <c r="B7392" t="str">
        <f>"1551689427843374"</f>
        <v>1551689427843374</v>
      </c>
      <c r="C7392" t="s">
        <v>40</v>
      </c>
      <c r="D7392">
        <v>4.2402899999999999</v>
      </c>
      <c r="E7392">
        <v>0.49013269999999998</v>
      </c>
      <c r="F7392" t="s">
        <v>60</v>
      </c>
      <c r="G7392">
        <v>0</v>
      </c>
      <c r="H7392">
        <v>0</v>
      </c>
      <c r="I7392">
        <v>0</v>
      </c>
      <c r="J7392">
        <v>-186.8853</v>
      </c>
      <c r="K7392">
        <v>1.1116980000000001</v>
      </c>
      <c r="L7392">
        <v>14.458830000000001</v>
      </c>
      <c r="M7392">
        <v>7.9410629999999999E-3</v>
      </c>
      <c r="N7392">
        <v>-1.1946200000000001E-2</v>
      </c>
      <c r="O7392">
        <v>0.99989709999999998</v>
      </c>
      <c r="P7392">
        <v>-9.5204090000000005E-2</v>
      </c>
      <c r="Q7392">
        <v>0.6122938</v>
      </c>
      <c r="R7392">
        <v>0.78487739999999995</v>
      </c>
      <c r="S7392">
        <v>-0.40301510000000001</v>
      </c>
      <c r="T7392">
        <v>1.635993</v>
      </c>
      <c r="U7392">
        <v>2.4949949999999999</v>
      </c>
      <c r="V7392">
        <v>-0.10166</v>
      </c>
      <c r="W7392">
        <v>0.62158040000000003</v>
      </c>
      <c r="X7392">
        <v>0.77672589999999997</v>
      </c>
      <c r="Y7392">
        <v>-0.141256399999999</v>
      </c>
      <c r="Z7392">
        <v>0.55304030000000004</v>
      </c>
      <c r="AA7392">
        <v>0.82109259999999995</v>
      </c>
      <c r="AB7392">
        <v>32</v>
      </c>
      <c r="AC7392">
        <v>-0.40301510000000001</v>
      </c>
      <c r="AD7392">
        <v>1.635993</v>
      </c>
      <c r="AE7392">
        <v>2.4949949999999999</v>
      </c>
      <c r="AF7392">
        <v>-0.29796336748560698</v>
      </c>
      <c r="AG7392">
        <v>1.635993</v>
      </c>
      <c r="AH7392">
        <v>1.7559381573850601</v>
      </c>
      <c r="AI7392">
        <v>47.430633943108198</v>
      </c>
      <c r="AJ7392">
        <v>99.630725229695003</v>
      </c>
      <c r="AK7392">
        <v>2.4183825332178501</v>
      </c>
      <c r="AL7392">
        <v>51.568365934660498</v>
      </c>
      <c r="AM7392">
        <v>97.456642212791493</v>
      </c>
      <c r="AN7392">
        <v>1.0000000364974799</v>
      </c>
    </row>
    <row r="7393" spans="1:40" x14ac:dyDescent="0.25">
      <c r="A7393" t="str">
        <f>"20190304165027879"</f>
        <v>20190304165027879</v>
      </c>
      <c r="B7393" t="str">
        <f>"1551689427872654"</f>
        <v>1551689427872654</v>
      </c>
      <c r="C7393" t="s">
        <v>40</v>
      </c>
      <c r="D7393">
        <v>4.272818</v>
      </c>
      <c r="E7393">
        <v>0.5125229</v>
      </c>
      <c r="F7393" t="s">
        <v>60</v>
      </c>
      <c r="G7393">
        <v>0</v>
      </c>
      <c r="H7393">
        <v>0</v>
      </c>
      <c r="I7393">
        <v>0</v>
      </c>
      <c r="J7393">
        <v>-186.8826</v>
      </c>
      <c r="K7393">
        <v>1.1117220000000001</v>
      </c>
      <c r="L7393">
        <v>14.819699999999999</v>
      </c>
      <c r="M7393">
        <v>7.7260030000000004E-3</v>
      </c>
      <c r="N7393">
        <v>-1.194223E-2</v>
      </c>
      <c r="O7393">
        <v>0.99989890000000003</v>
      </c>
      <c r="P7393">
        <v>-9.2281699999999994E-2</v>
      </c>
      <c r="Q7393">
        <v>0.62077869999999902</v>
      </c>
      <c r="R7393">
        <v>0.77853569999999905</v>
      </c>
      <c r="S7393">
        <v>-0.39260859999999997</v>
      </c>
      <c r="T7393">
        <v>1.649529</v>
      </c>
      <c r="U7393">
        <v>2.4878230000000001</v>
      </c>
      <c r="V7393">
        <v>-9.852313E-2</v>
      </c>
      <c r="W7393">
        <v>0.62998739999999998</v>
      </c>
      <c r="X7393">
        <v>0.77033050000000003</v>
      </c>
      <c r="Y7393">
        <v>-0.13759560000000001</v>
      </c>
      <c r="Z7393">
        <v>0.55749919999999997</v>
      </c>
      <c r="AA7393">
        <v>0.81869539999999996</v>
      </c>
      <c r="AB7393">
        <v>32</v>
      </c>
      <c r="AC7393">
        <v>-0.39260859999999997</v>
      </c>
      <c r="AD7393">
        <v>1.649529</v>
      </c>
      <c r="AE7393">
        <v>2.4878230000000001</v>
      </c>
      <c r="AF7393">
        <v>-0.28819888267696397</v>
      </c>
      <c r="AG7393">
        <v>1.649529</v>
      </c>
      <c r="AH7393">
        <v>1.73885090857937</v>
      </c>
      <c r="AI7393">
        <v>46.897521423999102</v>
      </c>
      <c r="AJ7393">
        <v>99.410710923566</v>
      </c>
      <c r="AK7393">
        <v>2.41404370301876</v>
      </c>
      <c r="AL7393">
        <v>50.950807307665798</v>
      </c>
      <c r="AM7393">
        <v>97.288402342759497</v>
      </c>
      <c r="AN7393">
        <v>1.0000000052669999</v>
      </c>
    </row>
    <row r="7394" spans="1:40" x14ac:dyDescent="0.25">
      <c r="A7394" t="str">
        <f>"20190304165027898"</f>
        <v>20190304165027898</v>
      </c>
      <c r="B7394" t="str">
        <f>"1551689427893150"</f>
        <v>1551689427893150</v>
      </c>
      <c r="C7394" t="s">
        <v>40</v>
      </c>
      <c r="D7394">
        <v>4.3381990000000004</v>
      </c>
      <c r="E7394">
        <v>0.51618059999999999</v>
      </c>
      <c r="F7394" t="s">
        <v>60</v>
      </c>
      <c r="G7394">
        <v>0</v>
      </c>
      <c r="H7394">
        <v>0</v>
      </c>
      <c r="I7394">
        <v>0</v>
      </c>
      <c r="J7394">
        <v>-186.88059999999999</v>
      </c>
      <c r="K7394">
        <v>1.111747</v>
      </c>
      <c r="L7394">
        <v>15.0947</v>
      </c>
      <c r="M7394">
        <v>7.562221E-3</v>
      </c>
      <c r="N7394">
        <v>-1.1939669999999999E-2</v>
      </c>
      <c r="O7394">
        <v>0.99990009999999996</v>
      </c>
      <c r="P7394">
        <v>-8.8237789999999997E-2</v>
      </c>
      <c r="Q7394">
        <v>0.63028759999999995</v>
      </c>
      <c r="R7394">
        <v>0.77133109999999905</v>
      </c>
      <c r="S7394">
        <v>-0.1713867</v>
      </c>
      <c r="T7394">
        <v>1.9035530000000001</v>
      </c>
      <c r="U7394">
        <v>2.3152469999999998</v>
      </c>
      <c r="V7394">
        <v>-9.430094E-2</v>
      </c>
      <c r="W7394">
        <v>0.63940969999999997</v>
      </c>
      <c r="X7394">
        <v>0.76306130000000005</v>
      </c>
      <c r="Y7394">
        <v>-6.4413579999999998E-2</v>
      </c>
      <c r="Z7394">
        <v>0.64304859999999997</v>
      </c>
      <c r="AA7394">
        <v>0.76311169999999995</v>
      </c>
      <c r="AB7394">
        <v>32</v>
      </c>
      <c r="AC7394">
        <v>-0.1713867</v>
      </c>
      <c r="AD7394">
        <v>1.9035530000000001</v>
      </c>
      <c r="AE7394">
        <v>2.3152469999999998</v>
      </c>
      <c r="AF7394">
        <v>-0.112953212488436</v>
      </c>
      <c r="AG7394">
        <v>1.9035530000000001</v>
      </c>
      <c r="AH7394">
        <v>1.3836554977978699</v>
      </c>
      <c r="AI7394">
        <v>36.103213208877001</v>
      </c>
      <c r="AJ7394">
        <v>94.666930081052698</v>
      </c>
      <c r="AK7394">
        <v>2.3560082743077801</v>
      </c>
      <c r="AL7394">
        <v>50.252183120006997</v>
      </c>
      <c r="AM7394">
        <v>97.045029022094198</v>
      </c>
      <c r="AN7394">
        <v>0.99999998964833103</v>
      </c>
    </row>
    <row r="7395" spans="1:40" x14ac:dyDescent="0.25">
      <c r="A7395" t="str">
        <f>"20190304165027920"</f>
        <v>20190304165027920</v>
      </c>
      <c r="B7395" t="str">
        <f>"1551689427912671"</f>
        <v>1551689427912671</v>
      </c>
      <c r="C7395" t="s">
        <v>40</v>
      </c>
      <c r="D7395">
        <v>4.3346559999999998</v>
      </c>
      <c r="E7395">
        <v>0.51765229999999995</v>
      </c>
      <c r="F7395" t="s">
        <v>60</v>
      </c>
      <c r="G7395">
        <v>0</v>
      </c>
      <c r="H7395">
        <v>0</v>
      </c>
      <c r="I7395">
        <v>0</v>
      </c>
      <c r="J7395">
        <v>-186.8784</v>
      </c>
      <c r="K7395">
        <v>1.111774</v>
      </c>
      <c r="L7395">
        <v>15.40582</v>
      </c>
      <c r="M7395">
        <v>7.3770219999999996E-3</v>
      </c>
      <c r="N7395">
        <v>-1.1938229999999999E-2</v>
      </c>
      <c r="O7395">
        <v>0.9999015</v>
      </c>
      <c r="P7395">
        <v>-8.3234630000000004E-2</v>
      </c>
      <c r="Q7395">
        <v>0.64028069999999904</v>
      </c>
      <c r="R7395">
        <v>0.76361809999999997</v>
      </c>
      <c r="S7395">
        <v>-0.1250916</v>
      </c>
      <c r="T7395">
        <v>1.963973</v>
      </c>
      <c r="U7395">
        <v>2.2702330000000002</v>
      </c>
      <c r="V7395">
        <v>-8.9102399999999901E-2</v>
      </c>
      <c r="W7395">
        <v>0.64931110000000003</v>
      </c>
      <c r="X7395">
        <v>0.75528530000000005</v>
      </c>
      <c r="Y7395">
        <v>-4.8845529999999998E-2</v>
      </c>
      <c r="Z7395">
        <v>0.66252480000000002</v>
      </c>
      <c r="AA7395">
        <v>0.74744569999999999</v>
      </c>
      <c r="AB7395">
        <v>32</v>
      </c>
      <c r="AC7395">
        <v>-0.1250916</v>
      </c>
      <c r="AD7395">
        <v>1.963973</v>
      </c>
      <c r="AE7395">
        <v>2.2702330000000002</v>
      </c>
      <c r="AF7395">
        <v>-8.1229389818664496E-2</v>
      </c>
      <c r="AG7395">
        <v>1.963973</v>
      </c>
      <c r="AH7395">
        <v>1.29958844023308</v>
      </c>
      <c r="AI7395">
        <v>33.544589824342403</v>
      </c>
      <c r="AJ7395">
        <v>93.576558887332794</v>
      </c>
      <c r="AK7395">
        <v>2.3564206484596002</v>
      </c>
      <c r="AL7395">
        <v>49.510318769547702</v>
      </c>
      <c r="AM7395">
        <v>96.728190920824304</v>
      </c>
      <c r="AN7395">
        <v>1.00000001333253</v>
      </c>
    </row>
    <row r="7396" spans="1:40" x14ac:dyDescent="0.25">
      <c r="A7396" t="str">
        <f>"20190304165027941"</f>
        <v>20190304165027941</v>
      </c>
      <c r="B7396" t="str">
        <f>"1551689427933166"</f>
        <v>1551689427933166</v>
      </c>
      <c r="C7396" t="s">
        <v>40</v>
      </c>
      <c r="D7396">
        <v>4.3542839999999998</v>
      </c>
      <c r="E7396">
        <v>0.51862399999999997</v>
      </c>
      <c r="F7396" t="s">
        <v>60</v>
      </c>
      <c r="G7396">
        <v>0</v>
      </c>
      <c r="H7396">
        <v>0</v>
      </c>
      <c r="I7396">
        <v>0</v>
      </c>
      <c r="J7396">
        <v>-186.87629999999999</v>
      </c>
      <c r="K7396">
        <v>1.1118030000000001</v>
      </c>
      <c r="L7396">
        <v>15.718780000000001</v>
      </c>
      <c r="M7396">
        <v>7.1896240000000004E-3</v>
      </c>
      <c r="N7396">
        <v>-1.194361E-2</v>
      </c>
      <c r="O7396">
        <v>0.99990279999999998</v>
      </c>
      <c r="P7396">
        <v>-7.8402940000000004E-2</v>
      </c>
      <c r="Q7396">
        <v>0.65077499999999999</v>
      </c>
      <c r="R7396">
        <v>0.75521179999999999</v>
      </c>
      <c r="S7396">
        <v>-9.6405030000000003E-2</v>
      </c>
      <c r="T7396">
        <v>2.0054669999999999</v>
      </c>
      <c r="U7396">
        <v>2.2366030000000001</v>
      </c>
      <c r="V7396">
        <v>-8.4071820000000005E-2</v>
      </c>
      <c r="W7396">
        <v>0.65971089999999999</v>
      </c>
      <c r="X7396">
        <v>0.74680219999999997</v>
      </c>
      <c r="Y7396">
        <v>-3.9141410000000001E-2</v>
      </c>
      <c r="Z7396">
        <v>0.67597309999999999</v>
      </c>
      <c r="AA7396">
        <v>0.73588599999999904</v>
      </c>
      <c r="AB7396">
        <v>32</v>
      </c>
      <c r="AC7396">
        <v>-9.6405030000000003E-2</v>
      </c>
      <c r="AD7396">
        <v>2.0054669999999999</v>
      </c>
      <c r="AE7396">
        <v>2.2366030000000001</v>
      </c>
      <c r="AF7396">
        <v>-6.2404317161759301E-2</v>
      </c>
      <c r="AG7396">
        <v>2.0054669999999999</v>
      </c>
      <c r="AH7396">
        <v>1.2404145807490199</v>
      </c>
      <c r="AI7396">
        <v>31.7698841485178</v>
      </c>
      <c r="AJ7396">
        <v>92.880079021776396</v>
      </c>
      <c r="AK7396">
        <v>2.3589023970957701</v>
      </c>
      <c r="AL7396">
        <v>48.7221736110641</v>
      </c>
      <c r="AM7396">
        <v>96.423072775092905</v>
      </c>
      <c r="AN7396">
        <v>1.0000000342108799</v>
      </c>
    </row>
    <row r="7397" spans="1:40" x14ac:dyDescent="0.25">
      <c r="A7397" t="str">
        <f>"20190304165027964"</f>
        <v>20190304165027964</v>
      </c>
      <c r="B7397" t="str">
        <f>"1551689427952699"</f>
        <v>1551689427952699</v>
      </c>
      <c r="C7397" t="s">
        <v>40</v>
      </c>
      <c r="D7397">
        <v>4.2645660000000003</v>
      </c>
      <c r="E7397">
        <v>0.51901070000000005</v>
      </c>
      <c r="F7397" t="s">
        <v>60</v>
      </c>
      <c r="G7397">
        <v>0</v>
      </c>
      <c r="H7397">
        <v>0</v>
      </c>
      <c r="I7397">
        <v>0</v>
      </c>
      <c r="J7397">
        <v>-186.8741</v>
      </c>
      <c r="K7397">
        <v>1.1118330000000001</v>
      </c>
      <c r="L7397">
        <v>16.04175</v>
      </c>
      <c r="M7397">
        <v>6.9952230000000001E-3</v>
      </c>
      <c r="N7397">
        <v>-1.195761E-2</v>
      </c>
      <c r="O7397">
        <v>0.99990400000000002</v>
      </c>
      <c r="P7397">
        <v>-7.4673030000000001E-2</v>
      </c>
      <c r="Q7397">
        <v>0.66183729999999996</v>
      </c>
      <c r="R7397">
        <v>0.74591919999999901</v>
      </c>
      <c r="S7397">
        <v>-7.3242189999999999E-2</v>
      </c>
      <c r="T7397">
        <v>2.0393910000000002</v>
      </c>
      <c r="U7397">
        <v>2.2074280000000002</v>
      </c>
      <c r="V7397">
        <v>-8.0136579999999999E-2</v>
      </c>
      <c r="W7397">
        <v>0.67067339999999998</v>
      </c>
      <c r="X7397">
        <v>0.73741119999999905</v>
      </c>
      <c r="Y7397">
        <v>-3.1271199999999999E-2</v>
      </c>
      <c r="Z7397">
        <v>0.68703499999999995</v>
      </c>
      <c r="AA7397">
        <v>0.72595109999999996</v>
      </c>
      <c r="AB7397">
        <v>32</v>
      </c>
      <c r="AC7397">
        <v>-7.3242189999999999E-2</v>
      </c>
      <c r="AD7397">
        <v>2.0393910000000002</v>
      </c>
      <c r="AE7397">
        <v>2.2074280000000002</v>
      </c>
      <c r="AF7397">
        <v>-4.7869216150152001E-2</v>
      </c>
      <c r="AG7397">
        <v>2.0393910000000002</v>
      </c>
      <c r="AH7397">
        <v>1.1912180510585</v>
      </c>
      <c r="AI7397">
        <v>30.309540723451899</v>
      </c>
      <c r="AJ7397">
        <v>92.3011984544504</v>
      </c>
      <c r="AK7397">
        <v>2.36228862713756</v>
      </c>
      <c r="AL7397">
        <v>47.880939501546003</v>
      </c>
      <c r="AM7397">
        <v>96.202156936974006</v>
      </c>
      <c r="AN7397">
        <v>0.99999997940354801</v>
      </c>
    </row>
    <row r="7398" spans="1:40" x14ac:dyDescent="0.25">
      <c r="A7398" t="str">
        <f>"20190304165027985"</f>
        <v>20190304165027985</v>
      </c>
      <c r="B7398" t="str">
        <f>"1551689427973185"</f>
        <v>1551689427973185</v>
      </c>
      <c r="C7398" t="s">
        <v>40</v>
      </c>
      <c r="D7398">
        <v>4.3129239999999998</v>
      </c>
      <c r="E7398">
        <v>0.51935419999999999</v>
      </c>
      <c r="F7398" t="s">
        <v>60</v>
      </c>
      <c r="G7398">
        <v>0</v>
      </c>
      <c r="H7398">
        <v>0</v>
      </c>
      <c r="I7398">
        <v>0</v>
      </c>
      <c r="J7398">
        <v>-186.87209999999999</v>
      </c>
      <c r="K7398">
        <v>1.111869</v>
      </c>
      <c r="L7398">
        <v>16.34628</v>
      </c>
      <c r="M7398">
        <v>6.8122030000000002E-3</v>
      </c>
      <c r="N7398">
        <v>-1.1973879999999999E-2</v>
      </c>
      <c r="O7398">
        <v>0.99990509999999999</v>
      </c>
      <c r="P7398">
        <v>-7.2057280000000001E-2</v>
      </c>
      <c r="Q7398">
        <v>0.67236319999999905</v>
      </c>
      <c r="R7398">
        <v>0.73670579999999997</v>
      </c>
      <c r="S7398">
        <v>-5.9204100000000003E-2</v>
      </c>
      <c r="T7398">
        <v>2.067415</v>
      </c>
      <c r="U7398">
        <v>2.1815799999999999</v>
      </c>
      <c r="V7398">
        <v>-7.7328129999999995E-2</v>
      </c>
      <c r="W7398">
        <v>0.68110109999999902</v>
      </c>
      <c r="X7398">
        <v>0.72809449999999998</v>
      </c>
      <c r="Y7398">
        <v>-2.6440140000000001E-2</v>
      </c>
      <c r="Z7398">
        <v>0.69628669999999904</v>
      </c>
      <c r="AA7398">
        <v>0.71727659999999904</v>
      </c>
      <c r="AB7398">
        <v>32</v>
      </c>
      <c r="AC7398">
        <v>-5.9204100000000003E-2</v>
      </c>
      <c r="AD7398">
        <v>2.067415</v>
      </c>
      <c r="AE7398">
        <v>2.1815799999999999</v>
      </c>
      <c r="AF7398">
        <v>-3.9034770377913697E-2</v>
      </c>
      <c r="AG7398">
        <v>2.067415</v>
      </c>
      <c r="AH7398">
        <v>1.14952505081047</v>
      </c>
      <c r="AI7398">
        <v>29.088979104017199</v>
      </c>
      <c r="AJ7398">
        <v>91.944862831935097</v>
      </c>
      <c r="AK7398">
        <v>2.3658267768296701</v>
      </c>
      <c r="AL7398">
        <v>47.070251726888301</v>
      </c>
      <c r="AM7398">
        <v>96.062439330171998</v>
      </c>
      <c r="AN7398">
        <v>0.99999997452037803</v>
      </c>
    </row>
    <row r="7399" spans="1:40" x14ac:dyDescent="0.25">
      <c r="A7399" t="str">
        <f>"20190304165028007"</f>
        <v>20190304165028007</v>
      </c>
      <c r="B7399" t="str">
        <f>"1551689428002462"</f>
        <v>1551689428002462</v>
      </c>
      <c r="C7399" t="s">
        <v>40</v>
      </c>
      <c r="D7399">
        <v>4.2963610000000001</v>
      </c>
      <c r="E7399">
        <v>0.51946570000000003</v>
      </c>
      <c r="F7399" t="s">
        <v>60</v>
      </c>
      <c r="G7399">
        <v>0</v>
      </c>
      <c r="H7399">
        <v>0</v>
      </c>
      <c r="I7399">
        <v>0</v>
      </c>
      <c r="J7399">
        <v>-186.87020000000001</v>
      </c>
      <c r="K7399">
        <v>1.111901</v>
      </c>
      <c r="L7399">
        <v>16.651610000000002</v>
      </c>
      <c r="M7399">
        <v>6.6299870000000004E-3</v>
      </c>
      <c r="N7399">
        <v>-1.199016E-2</v>
      </c>
      <c r="O7399">
        <v>0.99990610000000002</v>
      </c>
      <c r="P7399">
        <v>-6.9208119999999998E-2</v>
      </c>
      <c r="Q7399">
        <v>0.6825135</v>
      </c>
      <c r="R7399">
        <v>0.72758889999999998</v>
      </c>
      <c r="S7399">
        <v>-4.9652099999999998E-2</v>
      </c>
      <c r="T7399">
        <v>2.0905209999999999</v>
      </c>
      <c r="U7399">
        <v>2.1593930000000001</v>
      </c>
      <c r="V7399">
        <v>-7.4289049999999995E-2</v>
      </c>
      <c r="W7399">
        <v>0.69115509999999902</v>
      </c>
      <c r="X7399">
        <v>0.71887809999999996</v>
      </c>
      <c r="Y7399">
        <v>-2.3096140000000001E-2</v>
      </c>
      <c r="Z7399">
        <v>0.70395479999999999</v>
      </c>
      <c r="AA7399">
        <v>0.70986930000000004</v>
      </c>
      <c r="AB7399">
        <v>32</v>
      </c>
      <c r="AC7399">
        <v>-4.9652099999999998E-2</v>
      </c>
      <c r="AD7399">
        <v>2.0905209999999999</v>
      </c>
      <c r="AE7399">
        <v>2.1593930000000001</v>
      </c>
      <c r="AF7399">
        <v>-3.3029211115265703E-2</v>
      </c>
      <c r="AG7399">
        <v>2.0905209999999999</v>
      </c>
      <c r="AH7399">
        <v>1.1147719127340801</v>
      </c>
      <c r="AI7399">
        <v>28.079241635528501</v>
      </c>
      <c r="AJ7399">
        <v>91.697101357165593</v>
      </c>
      <c r="AK7399">
        <v>2.3694061276295999</v>
      </c>
      <c r="AL7399">
        <v>46.278384113007803</v>
      </c>
      <c r="AM7399">
        <v>95.900017740854494</v>
      </c>
      <c r="AN7399">
        <v>0.99999997893276005</v>
      </c>
    </row>
    <row r="7400" spans="1:40" x14ac:dyDescent="0.25">
      <c r="A7400" t="str">
        <f>"20190304165028032"</f>
        <v>20190304165028032</v>
      </c>
      <c r="B7400" t="str">
        <f>"1551689428023362"</f>
        <v>1551689428023362</v>
      </c>
      <c r="C7400" t="s">
        <v>40</v>
      </c>
      <c r="D7400">
        <v>4.4201350000000001</v>
      </c>
      <c r="E7400">
        <v>0.52001589999999998</v>
      </c>
      <c r="F7400" t="s">
        <v>60</v>
      </c>
      <c r="G7400">
        <v>0</v>
      </c>
      <c r="H7400">
        <v>0</v>
      </c>
      <c r="I7400">
        <v>0</v>
      </c>
      <c r="J7400">
        <v>-186.8681</v>
      </c>
      <c r="K7400">
        <v>1.1119399999999999</v>
      </c>
      <c r="L7400">
        <v>17.006620000000002</v>
      </c>
      <c r="M7400">
        <v>6.422629E-3</v>
      </c>
      <c r="N7400">
        <v>-1.200829E-2</v>
      </c>
      <c r="O7400">
        <v>0.99990730000000005</v>
      </c>
      <c r="P7400">
        <v>-6.6793580000000005E-2</v>
      </c>
      <c r="Q7400">
        <v>0.69346140000000001</v>
      </c>
      <c r="R7400">
        <v>0.71739109999999995</v>
      </c>
      <c r="S7400">
        <v>-4.2388919999999997E-2</v>
      </c>
      <c r="T7400">
        <v>2.1061369999999999</v>
      </c>
      <c r="U7400">
        <v>2.1435240000000002</v>
      </c>
      <c r="V7400">
        <v>-7.1657929999999995E-2</v>
      </c>
      <c r="W7400">
        <v>0.70199449999999997</v>
      </c>
      <c r="X7400">
        <v>0.70856819999999998</v>
      </c>
      <c r="Y7400">
        <v>-2.0486150000000002E-2</v>
      </c>
      <c r="Z7400">
        <v>0.70924119999999902</v>
      </c>
      <c r="AA7400">
        <v>0.70466819999999997</v>
      </c>
      <c r="AB7400">
        <v>32</v>
      </c>
      <c r="AC7400">
        <v>-4.2388919999999997E-2</v>
      </c>
      <c r="AD7400">
        <v>2.1061369999999999</v>
      </c>
      <c r="AE7400">
        <v>2.1435240000000002</v>
      </c>
      <c r="AF7400">
        <v>-2.8577539075619399E-2</v>
      </c>
      <c r="AG7400">
        <v>2.1061369999999999</v>
      </c>
      <c r="AH7400">
        <v>1.09066689898156</v>
      </c>
      <c r="AI7400">
        <v>27.385492062618599</v>
      </c>
      <c r="AJ7400">
        <v>91.500914556855093</v>
      </c>
      <c r="AK7400">
        <v>2.3719578459666302</v>
      </c>
      <c r="AL7400">
        <v>45.412758021889204</v>
      </c>
      <c r="AM7400">
        <v>95.774723391486106</v>
      </c>
      <c r="AN7400">
        <v>1.0000000155066799</v>
      </c>
    </row>
    <row r="7401" spans="1:40" x14ac:dyDescent="0.25">
      <c r="A7401" t="str">
        <f>"20190304165028056"</f>
        <v>20190304165028056</v>
      </c>
      <c r="B7401" t="str">
        <f>"1551689428052641"</f>
        <v>1551689428052641</v>
      </c>
      <c r="C7401" t="s">
        <v>40</v>
      </c>
      <c r="D7401">
        <v>4.3476790000000003</v>
      </c>
      <c r="E7401">
        <v>0.54153949999999995</v>
      </c>
      <c r="F7401" t="s">
        <v>60</v>
      </c>
      <c r="G7401">
        <v>0</v>
      </c>
      <c r="H7401">
        <v>0</v>
      </c>
      <c r="I7401">
        <v>0</v>
      </c>
      <c r="J7401">
        <v>-186.86609999999999</v>
      </c>
      <c r="K7401">
        <v>1.111961</v>
      </c>
      <c r="L7401">
        <v>17.348790000000001</v>
      </c>
      <c r="M7401">
        <v>6.227153E-3</v>
      </c>
      <c r="N7401">
        <v>-1.202947E-2</v>
      </c>
      <c r="O7401">
        <v>0.99990829999999997</v>
      </c>
      <c r="P7401">
        <v>-6.3159229999999997E-2</v>
      </c>
      <c r="Q7401">
        <v>0.70633539999999995</v>
      </c>
      <c r="R7401">
        <v>0.70505410000000002</v>
      </c>
      <c r="S7401">
        <v>-3.0364990000000001E-2</v>
      </c>
      <c r="T7401">
        <v>2.1391840000000002</v>
      </c>
      <c r="U7401">
        <v>2.1111759999999999</v>
      </c>
      <c r="V7401">
        <v>-6.7802189999999998E-2</v>
      </c>
      <c r="W7401">
        <v>0.71473690000000001</v>
      </c>
      <c r="X7401">
        <v>0.69609919999999903</v>
      </c>
      <c r="Y7401">
        <v>-1.6308179999999999E-2</v>
      </c>
      <c r="Z7401">
        <v>0.72006190000000003</v>
      </c>
      <c r="AA7401">
        <v>0.69371819999999995</v>
      </c>
      <c r="AB7401">
        <v>32</v>
      </c>
      <c r="AC7401">
        <v>-3.0364990000000001E-2</v>
      </c>
      <c r="AD7401">
        <v>2.1391840000000002</v>
      </c>
      <c r="AE7401">
        <v>2.1111759999999999</v>
      </c>
      <c r="AF7401">
        <v>-2.14715213737755E-2</v>
      </c>
      <c r="AG7401">
        <v>2.1391840000000002</v>
      </c>
      <c r="AH7401">
        <v>1.0416725225496899</v>
      </c>
      <c r="AI7401">
        <v>25.968489118894901</v>
      </c>
      <c r="AJ7401">
        <v>91.1808445940746</v>
      </c>
      <c r="AK7401">
        <v>2.3794223787131901</v>
      </c>
      <c r="AL7401">
        <v>44.378360721073399</v>
      </c>
      <c r="AM7401">
        <v>95.5632349017488</v>
      </c>
      <c r="AN7401">
        <v>1.00000003471552</v>
      </c>
    </row>
    <row r="7402" spans="1:40" x14ac:dyDescent="0.25">
      <c r="A7402" t="str">
        <f>"20190304165028076"</f>
        <v>20190304165028076</v>
      </c>
      <c r="B7402" t="str">
        <f>"1551689428073137"</f>
        <v>1551689428073137</v>
      </c>
      <c r="C7402" t="s">
        <v>40</v>
      </c>
      <c r="D7402">
        <v>4.3876400000000002</v>
      </c>
      <c r="E7402">
        <v>0.54229700000000003</v>
      </c>
      <c r="F7402" t="s">
        <v>60</v>
      </c>
      <c r="G7402">
        <v>0</v>
      </c>
      <c r="H7402">
        <v>0</v>
      </c>
      <c r="I7402">
        <v>0</v>
      </c>
      <c r="J7402">
        <v>-186.86439999999999</v>
      </c>
      <c r="K7402">
        <v>1.111966</v>
      </c>
      <c r="L7402">
        <v>17.643160000000002</v>
      </c>
      <c r="M7402">
        <v>6.0592249999999997E-3</v>
      </c>
      <c r="N7402">
        <v>-1.205548E-2</v>
      </c>
      <c r="O7402">
        <v>0.99990900000000005</v>
      </c>
      <c r="P7402">
        <v>-6.0545590000000003E-2</v>
      </c>
      <c r="Q7402">
        <v>0.71092369999999905</v>
      </c>
      <c r="R7402">
        <v>0.700658</v>
      </c>
      <c r="S7402">
        <v>0.19712830000000001</v>
      </c>
      <c r="T7402">
        <v>2.4130609999999999</v>
      </c>
      <c r="U7402">
        <v>1.855194</v>
      </c>
      <c r="V7402">
        <v>-6.5040329999999993E-2</v>
      </c>
      <c r="W7402">
        <v>0.71929180000000004</v>
      </c>
      <c r="X7402">
        <v>0.69165669999999901</v>
      </c>
      <c r="Y7402">
        <v>5.8155140000000001E-2</v>
      </c>
      <c r="Z7402">
        <v>0.79859930000000001</v>
      </c>
      <c r="AA7402">
        <v>0.59904690000000005</v>
      </c>
      <c r="AB7402">
        <v>32</v>
      </c>
      <c r="AC7402">
        <v>0.19712830000000001</v>
      </c>
      <c r="AD7402">
        <v>2.4130609999999999</v>
      </c>
      <c r="AE7402">
        <v>1.855194</v>
      </c>
      <c r="AF7402">
        <v>6.9542303049237697E-2</v>
      </c>
      <c r="AG7402">
        <v>2.4130609999999999</v>
      </c>
      <c r="AH7402">
        <v>0.69449753773730405</v>
      </c>
      <c r="AI7402">
        <v>16.1323530404411</v>
      </c>
      <c r="AJ7402">
        <v>84.281847279511993</v>
      </c>
      <c r="AK7402">
        <v>2.51197658260533</v>
      </c>
      <c r="AL7402">
        <v>44.003956836949897</v>
      </c>
      <c r="AM7402">
        <v>95.372043847810602</v>
      </c>
      <c r="AN7402">
        <v>0.99999996436431804</v>
      </c>
    </row>
    <row r="7403" spans="1:40" x14ac:dyDescent="0.25">
      <c r="A7403" t="str">
        <f>"20190304165028097"</f>
        <v>20190304165028097</v>
      </c>
      <c r="B7403" t="str">
        <f>"1551689428092657"</f>
        <v>1551689428092657</v>
      </c>
      <c r="C7403" t="s">
        <v>40</v>
      </c>
      <c r="D7403">
        <v>4.3932909999999996</v>
      </c>
      <c r="E7403">
        <v>0.54286610000000002</v>
      </c>
      <c r="F7403" t="s">
        <v>60</v>
      </c>
      <c r="G7403">
        <v>0</v>
      </c>
      <c r="H7403">
        <v>0</v>
      </c>
      <c r="I7403">
        <v>0</v>
      </c>
      <c r="J7403">
        <v>-186.86279999999999</v>
      </c>
      <c r="K7403">
        <v>1.111988</v>
      </c>
      <c r="L7403">
        <v>17.937529999999999</v>
      </c>
      <c r="M7403">
        <v>5.8944879999999998E-3</v>
      </c>
      <c r="N7403">
        <v>-1.208478E-2</v>
      </c>
      <c r="O7403">
        <v>0.99990959999999995</v>
      </c>
      <c r="P7403">
        <v>-5.761985E-2</v>
      </c>
      <c r="Q7403">
        <v>0.71640590000000004</v>
      </c>
      <c r="R7403">
        <v>0.69530029999999998</v>
      </c>
      <c r="S7403">
        <v>0.213501</v>
      </c>
      <c r="T7403">
        <v>2.4312339999999999</v>
      </c>
      <c r="U7403">
        <v>1.8332820000000001</v>
      </c>
      <c r="V7403">
        <v>-6.1968490000000001E-2</v>
      </c>
      <c r="W7403">
        <v>0.7247304</v>
      </c>
      <c r="X7403">
        <v>0.68624030000000003</v>
      </c>
      <c r="Y7403">
        <v>6.3599810000000007E-2</v>
      </c>
      <c r="Z7403">
        <v>0.80390530000000004</v>
      </c>
      <c r="AA7403">
        <v>0.59134699999999996</v>
      </c>
      <c r="AB7403">
        <v>32</v>
      </c>
      <c r="AC7403">
        <v>0.213501</v>
      </c>
      <c r="AD7403">
        <v>2.4312339999999999</v>
      </c>
      <c r="AE7403">
        <v>1.8332820000000001</v>
      </c>
      <c r="AF7403">
        <v>7.4104913234535705E-2</v>
      </c>
      <c r="AG7403">
        <v>2.4312339999999999</v>
      </c>
      <c r="AH7403">
        <v>0.67070870159464402</v>
      </c>
      <c r="AI7403">
        <v>15.5120189340476</v>
      </c>
      <c r="AJ7403">
        <v>83.695106433146094</v>
      </c>
      <c r="AK7403">
        <v>2.5231409915651302</v>
      </c>
      <c r="AL7403">
        <v>43.553574961397103</v>
      </c>
      <c r="AM7403">
        <v>95.159896788709801</v>
      </c>
      <c r="AN7403">
        <v>0.99999999789056504</v>
      </c>
    </row>
    <row r="7404" spans="1:40" x14ac:dyDescent="0.25">
      <c r="A7404" t="str">
        <f>"20190304165028121"</f>
        <v>20190304165028121</v>
      </c>
      <c r="B7404" t="str">
        <f>"1551689428113154"</f>
        <v>1551689428113154</v>
      </c>
      <c r="C7404" t="s">
        <v>40</v>
      </c>
      <c r="D7404">
        <v>4.4037509999999997</v>
      </c>
      <c r="E7404">
        <v>0.54305340000000002</v>
      </c>
      <c r="F7404" t="s">
        <v>60</v>
      </c>
      <c r="G7404">
        <v>0</v>
      </c>
      <c r="H7404">
        <v>0</v>
      </c>
      <c r="I7404">
        <v>0</v>
      </c>
      <c r="J7404">
        <v>-186.86089999999999</v>
      </c>
      <c r="K7404">
        <v>1.1119920000000001</v>
      </c>
      <c r="L7404">
        <v>18.289490000000001</v>
      </c>
      <c r="M7404">
        <v>5.7096019999999898E-3</v>
      </c>
      <c r="N7404">
        <v>-1.2126039999999999E-2</v>
      </c>
      <c r="O7404">
        <v>0.99991019999999997</v>
      </c>
      <c r="P7404">
        <v>-5.5788959999999999E-2</v>
      </c>
      <c r="Q7404">
        <v>0.71746809999999905</v>
      </c>
      <c r="R7404">
        <v>0.69435369999999996</v>
      </c>
      <c r="S7404">
        <v>0.22558590000000001</v>
      </c>
      <c r="T7404">
        <v>2.4350480000000001</v>
      </c>
      <c r="U7404">
        <v>1.8244020000000001</v>
      </c>
      <c r="V7404">
        <v>-6.0000240000000003E-2</v>
      </c>
      <c r="W7404">
        <v>0.72581049999999903</v>
      </c>
      <c r="X7404">
        <v>0.68527309999999997</v>
      </c>
      <c r="Y7404">
        <v>6.7752519999999997E-2</v>
      </c>
      <c r="Z7404">
        <v>0.80552789999999996</v>
      </c>
      <c r="AA7404">
        <v>0.58867169999999902</v>
      </c>
      <c r="AB7404">
        <v>32</v>
      </c>
      <c r="AC7404">
        <v>0.22558590000000001</v>
      </c>
      <c r="AD7404">
        <v>2.4350480000000001</v>
      </c>
      <c r="AE7404">
        <v>1.8244020000000001</v>
      </c>
      <c r="AF7404">
        <v>7.8110403991966407E-2</v>
      </c>
      <c r="AG7404">
        <v>2.4350480000000001</v>
      </c>
      <c r="AH7404">
        <v>0.66276192340109696</v>
      </c>
      <c r="AI7404">
        <v>15.3261608610577</v>
      </c>
      <c r="AJ7404">
        <v>83.278361027639804</v>
      </c>
      <c r="AK7404">
        <v>2.5248392750086301</v>
      </c>
      <c r="AL7404">
        <v>43.463690301999499</v>
      </c>
      <c r="AM7404">
        <v>95.003867636534807</v>
      </c>
      <c r="AN7404">
        <v>1.0000000661469499</v>
      </c>
    </row>
    <row r="7405" spans="1:40" x14ac:dyDescent="0.25">
      <c r="A7405" t="str">
        <f>"20190304165028141"</f>
        <v>20190304165028141</v>
      </c>
      <c r="B7405" t="str">
        <f>"1551689428133106"</f>
        <v>1551689428133106</v>
      </c>
      <c r="C7405" t="s">
        <v>40</v>
      </c>
      <c r="D7405">
        <v>4.4232849999999999</v>
      </c>
      <c r="E7405">
        <v>0.54293290000000005</v>
      </c>
      <c r="F7405" t="s">
        <v>60</v>
      </c>
      <c r="G7405">
        <v>0</v>
      </c>
      <c r="H7405">
        <v>0</v>
      </c>
      <c r="I7405">
        <v>0</v>
      </c>
      <c r="J7405">
        <v>-186.85939999999999</v>
      </c>
      <c r="K7405">
        <v>1.111991</v>
      </c>
      <c r="L7405">
        <v>18.585540000000002</v>
      </c>
      <c r="M7405">
        <v>5.5641190000000002E-3</v>
      </c>
      <c r="N7405">
        <v>-1.2167849999999999E-2</v>
      </c>
      <c r="O7405">
        <v>0.99991050000000004</v>
      </c>
      <c r="P7405">
        <v>-5.4561730000000003E-2</v>
      </c>
      <c r="Q7405">
        <v>0.71794609999999903</v>
      </c>
      <c r="R7405">
        <v>0.69395709999999999</v>
      </c>
      <c r="S7405">
        <v>0.23017879999999999</v>
      </c>
      <c r="T7405">
        <v>2.424585</v>
      </c>
      <c r="U7405">
        <v>1.833771</v>
      </c>
      <c r="V7405">
        <v>-5.8663739999999999E-2</v>
      </c>
      <c r="W7405">
        <v>0.72631380000000001</v>
      </c>
      <c r="X7405">
        <v>0.68485529999999994</v>
      </c>
      <c r="Y7405">
        <v>6.9454569999999993E-2</v>
      </c>
      <c r="Z7405">
        <v>0.80278609999999995</v>
      </c>
      <c r="AA7405">
        <v>0.59220830000000002</v>
      </c>
      <c r="AB7405">
        <v>32</v>
      </c>
      <c r="AC7405">
        <v>0.23017879999999999</v>
      </c>
      <c r="AD7405">
        <v>2.424585</v>
      </c>
      <c r="AE7405">
        <v>1.833771</v>
      </c>
      <c r="AF7405">
        <v>8.0840328184305005E-2</v>
      </c>
      <c r="AG7405">
        <v>2.424585</v>
      </c>
      <c r="AH7405">
        <v>0.67437884569207296</v>
      </c>
      <c r="AI7405">
        <v>15.649325926802099</v>
      </c>
      <c r="AJ7405">
        <v>83.164357012077303</v>
      </c>
      <c r="AK7405">
        <v>2.5179226374936299</v>
      </c>
      <c r="AL7405">
        <v>43.421748054460501</v>
      </c>
      <c r="AM7405">
        <v>94.895924637267001</v>
      </c>
      <c r="AN7405">
        <v>0.99999997619965797</v>
      </c>
    </row>
    <row r="7406" spans="1:40" x14ac:dyDescent="0.25">
      <c r="A7406" t="str">
        <f>"20190304165028165"</f>
        <v>20190304165028165</v>
      </c>
      <c r="B7406" t="str">
        <f>"1551689428152625"</f>
        <v>1551689428152625</v>
      </c>
      <c r="C7406" t="s">
        <v>40</v>
      </c>
      <c r="D7406">
        <v>4.3984370000000004</v>
      </c>
      <c r="E7406">
        <v>0.54272509999999996</v>
      </c>
      <c r="F7406" t="s">
        <v>60</v>
      </c>
      <c r="G7406">
        <v>0</v>
      </c>
      <c r="H7406">
        <v>0</v>
      </c>
      <c r="I7406">
        <v>0</v>
      </c>
      <c r="J7406">
        <v>-186.85769999999999</v>
      </c>
      <c r="K7406">
        <v>1.1119840000000001</v>
      </c>
      <c r="L7406">
        <v>18.91168</v>
      </c>
      <c r="M7406">
        <v>5.4122759999999997E-3</v>
      </c>
      <c r="N7406">
        <v>-1.2222210000000001E-2</v>
      </c>
      <c r="O7406">
        <v>0.99991070000000004</v>
      </c>
      <c r="P7406">
        <v>-5.3231439999999998E-2</v>
      </c>
      <c r="Q7406">
        <v>0.71773710000000002</v>
      </c>
      <c r="R7406">
        <v>0.69427649999999996</v>
      </c>
      <c r="S7406">
        <v>0.22981260000000001</v>
      </c>
      <c r="T7406">
        <v>2.4115790000000001</v>
      </c>
      <c r="U7406">
        <v>1.8461609999999999</v>
      </c>
      <c r="V7406">
        <v>-5.7222759999999998E-2</v>
      </c>
      <c r="W7406">
        <v>0.72614730000000005</v>
      </c>
      <c r="X7406">
        <v>0.68515380000000004</v>
      </c>
      <c r="Y7406">
        <v>6.9559190000000007E-2</v>
      </c>
      <c r="Z7406">
        <v>0.79934740000000004</v>
      </c>
      <c r="AA7406">
        <v>0.59682919999999995</v>
      </c>
      <c r="AB7406">
        <v>32</v>
      </c>
      <c r="AC7406">
        <v>0.22981260000000001</v>
      </c>
      <c r="AD7406">
        <v>2.4115790000000001</v>
      </c>
      <c r="AE7406">
        <v>1.8461609999999999</v>
      </c>
      <c r="AF7406">
        <v>8.2012044379577403E-2</v>
      </c>
      <c r="AG7406">
        <v>2.4115790000000001</v>
      </c>
      <c r="AH7406">
        <v>0.68924397029584406</v>
      </c>
      <c r="AI7406">
        <v>16.056995108479398</v>
      </c>
      <c r="AJ7406">
        <v>83.214370449917695</v>
      </c>
      <c r="AK7406">
        <v>2.5094813207620201</v>
      </c>
      <c r="AL7406">
        <v>43.435628751795498</v>
      </c>
      <c r="AM7406">
        <v>94.774156234025895</v>
      </c>
      <c r="AN7406">
        <v>1.0000000376068701</v>
      </c>
    </row>
    <row r="7407" spans="1:40" x14ac:dyDescent="0.25">
      <c r="A7407" t="str">
        <f>"20190304165028185"</f>
        <v>20190304165028185</v>
      </c>
      <c r="B7407" t="str">
        <f>"1551689428182882"</f>
        <v>1551689428182882</v>
      </c>
      <c r="C7407" t="s">
        <v>40</v>
      </c>
      <c r="D7407">
        <v>4.394692</v>
      </c>
      <c r="E7407">
        <v>0.54242469999999998</v>
      </c>
      <c r="F7407" t="s">
        <v>60</v>
      </c>
      <c r="G7407">
        <v>0</v>
      </c>
      <c r="H7407">
        <v>0</v>
      </c>
      <c r="I7407">
        <v>0</v>
      </c>
      <c r="J7407">
        <v>-186.8563</v>
      </c>
      <c r="K7407">
        <v>1.11198</v>
      </c>
      <c r="L7407">
        <v>19.216640000000002</v>
      </c>
      <c r="M7407">
        <v>5.2733179999999999E-3</v>
      </c>
      <c r="N7407">
        <v>-1.2277730000000001E-2</v>
      </c>
      <c r="O7407">
        <v>0.99991070000000004</v>
      </c>
      <c r="P7407">
        <v>-5.1769519999999999E-2</v>
      </c>
      <c r="Q7407">
        <v>0.71684349999999997</v>
      </c>
      <c r="R7407">
        <v>0.69530959999999997</v>
      </c>
      <c r="S7407">
        <v>0.22941590000000001</v>
      </c>
      <c r="T7407">
        <v>2.3987069999999999</v>
      </c>
      <c r="U7407">
        <v>1.858887</v>
      </c>
      <c r="V7407">
        <v>-5.5661519999999999E-2</v>
      </c>
      <c r="W7407">
        <v>0.72530550000000005</v>
      </c>
      <c r="X7407">
        <v>0.68617329999999999</v>
      </c>
      <c r="Y7407">
        <v>6.963068E-2</v>
      </c>
      <c r="Z7407">
        <v>0.79584160000000004</v>
      </c>
      <c r="AA7407">
        <v>0.60148780000000002</v>
      </c>
      <c r="AB7407">
        <v>32</v>
      </c>
      <c r="AC7407">
        <v>0.22941590000000001</v>
      </c>
      <c r="AD7407">
        <v>2.3987069999999999</v>
      </c>
      <c r="AE7407">
        <v>1.858887</v>
      </c>
      <c r="AF7407">
        <v>8.3180702719640606E-2</v>
      </c>
      <c r="AG7407">
        <v>2.3987069999999999</v>
      </c>
      <c r="AH7407">
        <v>0.70453253264397497</v>
      </c>
      <c r="AI7407">
        <v>16.4757653583627</v>
      </c>
      <c r="AJ7407">
        <v>83.266539430457897</v>
      </c>
      <c r="AK7407">
        <v>2.50141567731308</v>
      </c>
      <c r="AL7407">
        <v>43.505734371295503</v>
      </c>
      <c r="AM7407">
        <v>94.637607562894004</v>
      </c>
      <c r="AN7407">
        <v>1.00000003538592</v>
      </c>
    </row>
    <row r="7408" spans="1:40" x14ac:dyDescent="0.25">
      <c r="A7408" t="str">
        <f>"20190304165028208"</f>
        <v>20190304165028208</v>
      </c>
      <c r="B7408" t="str">
        <f>"1551689428203378"</f>
        <v>1551689428203378</v>
      </c>
      <c r="C7408" t="s">
        <v>40</v>
      </c>
      <c r="D7408">
        <v>4.4132939999999996</v>
      </c>
      <c r="E7408">
        <v>0.54229959999999999</v>
      </c>
      <c r="F7408" t="s">
        <v>60</v>
      </c>
      <c r="G7408">
        <v>0</v>
      </c>
      <c r="H7408">
        <v>0</v>
      </c>
      <c r="I7408">
        <v>0</v>
      </c>
      <c r="J7408">
        <v>-186.85480000000001</v>
      </c>
      <c r="K7408">
        <v>1.111969</v>
      </c>
      <c r="L7408">
        <v>19.534610000000001</v>
      </c>
      <c r="M7408">
        <v>5.1257079999999997E-3</v>
      </c>
      <c r="N7408">
        <v>-1.233775E-2</v>
      </c>
      <c r="O7408">
        <v>0.99991079999999999</v>
      </c>
      <c r="P7408">
        <v>-5.0767180000000002E-2</v>
      </c>
      <c r="Q7408">
        <v>0.71543900000000005</v>
      </c>
      <c r="R7408">
        <v>0.69682840000000001</v>
      </c>
      <c r="S7408">
        <v>0.22875980000000001</v>
      </c>
      <c r="T7408">
        <v>2.3828170000000002</v>
      </c>
      <c r="U7408">
        <v>1.8750309999999999</v>
      </c>
      <c r="V7408">
        <v>-5.455364E-2</v>
      </c>
      <c r="W7408">
        <v>0.72396249999999995</v>
      </c>
      <c r="X7408">
        <v>0.68767889999999998</v>
      </c>
      <c r="Y7408">
        <v>6.9630949999999997E-2</v>
      </c>
      <c r="Z7408">
        <v>0.79139950000000003</v>
      </c>
      <c r="AA7408">
        <v>0.60732079999999999</v>
      </c>
      <c r="AB7408">
        <v>32</v>
      </c>
      <c r="AC7408">
        <v>0.22875980000000001</v>
      </c>
      <c r="AD7408">
        <v>2.3828170000000002</v>
      </c>
      <c r="AE7408">
        <v>1.8750309999999999</v>
      </c>
      <c r="AF7408">
        <v>8.4570116646170798E-2</v>
      </c>
      <c r="AG7408">
        <v>2.3828170000000002</v>
      </c>
      <c r="AH7408">
        <v>0.72403445892625595</v>
      </c>
      <c r="AI7408">
        <v>17.0100384372093</v>
      </c>
      <c r="AJ7408">
        <v>83.337812454092401</v>
      </c>
      <c r="AK7408">
        <v>2.4918256074274501</v>
      </c>
      <c r="AL7408">
        <v>43.617393761944498</v>
      </c>
      <c r="AM7408">
        <v>94.535781216364697</v>
      </c>
      <c r="AN7408">
        <v>1.0000000352743501</v>
      </c>
    </row>
    <row r="7409" spans="1:40" x14ac:dyDescent="0.25">
      <c r="A7409" t="str">
        <f>"20190304165028230"</f>
        <v>20190304165028230</v>
      </c>
      <c r="B7409" t="str">
        <f>"1551689428222898"</f>
        <v>1551689428222898</v>
      </c>
      <c r="C7409" t="s">
        <v>40</v>
      </c>
      <c r="D7409">
        <v>4.3992699999999996</v>
      </c>
      <c r="E7409">
        <v>0.54219410000000001</v>
      </c>
      <c r="F7409" t="s">
        <v>60</v>
      </c>
      <c r="G7409">
        <v>0</v>
      </c>
      <c r="H7409">
        <v>0</v>
      </c>
      <c r="I7409">
        <v>0</v>
      </c>
      <c r="J7409">
        <v>-186.85329999999999</v>
      </c>
      <c r="K7409">
        <v>1.111969</v>
      </c>
      <c r="L7409">
        <v>19.862210000000001</v>
      </c>
      <c r="M7409">
        <v>4.9706280000000004E-3</v>
      </c>
      <c r="N7409">
        <v>-1.240778E-2</v>
      </c>
      <c r="O7409">
        <v>0.99991070000000004</v>
      </c>
      <c r="P7409">
        <v>-5.0313330000000003E-2</v>
      </c>
      <c r="Q7409">
        <v>0.71328409999999998</v>
      </c>
      <c r="R7409">
        <v>0.69906689999999905</v>
      </c>
      <c r="S7409">
        <v>0.22984309999999999</v>
      </c>
      <c r="T7409">
        <v>2.3722300000000001</v>
      </c>
      <c r="U7409">
        <v>1.8863829999999999</v>
      </c>
      <c r="V7409">
        <v>-5.3991690000000002E-2</v>
      </c>
      <c r="W7409">
        <v>0.72188469999999905</v>
      </c>
      <c r="X7409">
        <v>0.68990399999999996</v>
      </c>
      <c r="Y7409">
        <v>7.0169999999999996E-2</v>
      </c>
      <c r="Z7409">
        <v>0.78830710000000004</v>
      </c>
      <c r="AA7409">
        <v>0.61126759999999902</v>
      </c>
      <c r="AB7409">
        <v>32</v>
      </c>
      <c r="AC7409">
        <v>0.22984309999999999</v>
      </c>
      <c r="AD7409">
        <v>2.3722300000000001</v>
      </c>
      <c r="AE7409">
        <v>1.8863829999999999</v>
      </c>
      <c r="AF7409">
        <v>8.6175268933572705E-2</v>
      </c>
      <c r="AG7409">
        <v>2.3722300000000001</v>
      </c>
      <c r="AH7409">
        <v>0.73779269587164298</v>
      </c>
      <c r="AI7409">
        <v>17.386726947077602</v>
      </c>
      <c r="AJ7409">
        <v>83.337955317630204</v>
      </c>
      <c r="AK7409">
        <v>2.4858075975339098</v>
      </c>
      <c r="AL7409">
        <v>43.789699758897399</v>
      </c>
      <c r="AM7409">
        <v>94.474830722772893</v>
      </c>
      <c r="AN7409">
        <v>1.00000007594957</v>
      </c>
    </row>
    <row r="7410" spans="1:40" x14ac:dyDescent="0.25">
      <c r="A7410" t="str">
        <f>"20190304165028256"</f>
        <v>20190304165028256</v>
      </c>
      <c r="B7410" t="str">
        <f>"1551689428253153"</f>
        <v>1551689428253153</v>
      </c>
      <c r="C7410" t="s">
        <v>40</v>
      </c>
      <c r="D7410">
        <v>4.4312199999999997</v>
      </c>
      <c r="E7410">
        <v>0.54195039999999906</v>
      </c>
      <c r="F7410" t="s">
        <v>60</v>
      </c>
      <c r="G7410">
        <v>0</v>
      </c>
      <c r="H7410">
        <v>0</v>
      </c>
      <c r="I7410">
        <v>0</v>
      </c>
      <c r="J7410">
        <v>-186.85169999999999</v>
      </c>
      <c r="K7410">
        <v>1.1119829999999999</v>
      </c>
      <c r="L7410">
        <v>20.212520000000001</v>
      </c>
      <c r="M7410">
        <v>4.8030820000000002E-3</v>
      </c>
      <c r="N7410">
        <v>-1.249948E-2</v>
      </c>
      <c r="O7410">
        <v>0.99991039999999998</v>
      </c>
      <c r="P7410">
        <v>-5.0072390000000001E-2</v>
      </c>
      <c r="Q7410">
        <v>0.7111113</v>
      </c>
      <c r="R7410">
        <v>0.70129419999999898</v>
      </c>
      <c r="S7410">
        <v>0.2297363</v>
      </c>
      <c r="T7410">
        <v>2.3605369999999999</v>
      </c>
      <c r="U7410">
        <v>1.8994139999999999</v>
      </c>
      <c r="V7410">
        <v>-5.3634830000000001E-2</v>
      </c>
      <c r="W7410">
        <v>0.71980379999999999</v>
      </c>
      <c r="X7410">
        <v>0.69210260000000001</v>
      </c>
      <c r="Y7410">
        <v>7.0327459999999994E-2</v>
      </c>
      <c r="Z7410">
        <v>0.7848212</v>
      </c>
      <c r="AA7410">
        <v>0.61571889999999996</v>
      </c>
      <c r="AB7410">
        <v>32</v>
      </c>
      <c r="AC7410">
        <v>0.2297363</v>
      </c>
      <c r="AD7410">
        <v>2.3605369999999999</v>
      </c>
      <c r="AE7410">
        <v>1.8994139999999999</v>
      </c>
      <c r="AF7410">
        <v>8.7466849502402896E-2</v>
      </c>
      <c r="AG7410">
        <v>2.3605369999999999</v>
      </c>
      <c r="AH7410">
        <v>0.75350365901351202</v>
      </c>
      <c r="AI7410">
        <v>17.814911779999399</v>
      </c>
      <c r="AJ7410">
        <v>83.378728478607798</v>
      </c>
      <c r="AK7410">
        <v>2.4794259703160302</v>
      </c>
      <c r="AL7410">
        <v>43.9617221907953</v>
      </c>
      <c r="AM7410">
        <v>94.4313078455029</v>
      </c>
      <c r="AN7410">
        <v>1.0000001072051501</v>
      </c>
    </row>
    <row r="7411" spans="1:40" x14ac:dyDescent="0.25">
      <c r="A7411" t="str">
        <f>"20190304165028275"</f>
        <v>20190304165028275</v>
      </c>
      <c r="B7411" t="str">
        <f>"1551689428272674"</f>
        <v>1551689428272674</v>
      </c>
      <c r="C7411" t="s">
        <v>40</v>
      </c>
      <c r="D7411">
        <v>4.4618289999999998</v>
      </c>
      <c r="E7411">
        <v>0.54159449999999998</v>
      </c>
      <c r="F7411" t="s">
        <v>60</v>
      </c>
      <c r="G7411">
        <v>0</v>
      </c>
      <c r="H7411">
        <v>0</v>
      </c>
      <c r="I7411">
        <v>0</v>
      </c>
      <c r="J7411">
        <v>-186.85050000000001</v>
      </c>
      <c r="K7411">
        <v>1.1119939999999999</v>
      </c>
      <c r="L7411">
        <v>20.50131</v>
      </c>
      <c r="M7411">
        <v>4.6640910000000004E-3</v>
      </c>
      <c r="N7411">
        <v>-1.259095E-2</v>
      </c>
      <c r="O7411">
        <v>0.99990990000000002</v>
      </c>
      <c r="P7411">
        <v>-5.0614100000000002E-2</v>
      </c>
      <c r="Q7411">
        <v>0.70860939999999994</v>
      </c>
      <c r="R7411">
        <v>0.70378339999999995</v>
      </c>
      <c r="S7411">
        <v>0.2273712</v>
      </c>
      <c r="T7411">
        <v>2.3468</v>
      </c>
      <c r="U7411">
        <v>1.914398</v>
      </c>
      <c r="V7411">
        <v>-5.4085599999999998E-2</v>
      </c>
      <c r="W7411">
        <v>0.71739730000000002</v>
      </c>
      <c r="X7411">
        <v>0.6945616</v>
      </c>
      <c r="Y7411">
        <v>6.9727940000000002E-2</v>
      </c>
      <c r="Z7411">
        <v>0.78077469999999904</v>
      </c>
      <c r="AA7411">
        <v>0.62090979999999996</v>
      </c>
      <c r="AB7411">
        <v>32</v>
      </c>
      <c r="AC7411">
        <v>0.2273712</v>
      </c>
      <c r="AD7411">
        <v>2.3468</v>
      </c>
      <c r="AE7411">
        <v>1.914398</v>
      </c>
      <c r="AF7411">
        <v>8.8014615592936302E-2</v>
      </c>
      <c r="AG7411">
        <v>2.3468</v>
      </c>
      <c r="AH7411">
        <v>0.77177813819048302</v>
      </c>
      <c r="AI7411">
        <v>18.314318668629902</v>
      </c>
      <c r="AJ7411">
        <v>83.494019538397595</v>
      </c>
      <c r="AK7411">
        <v>2.4720150297169998</v>
      </c>
      <c r="AL7411">
        <v>44.1599859854173</v>
      </c>
      <c r="AM7411">
        <v>94.452644216941593</v>
      </c>
      <c r="AN7411">
        <v>0.99999997718460398</v>
      </c>
    </row>
    <row r="7412" spans="1:40" x14ac:dyDescent="0.25">
      <c r="A7412" t="str">
        <f>"20190304165028298"</f>
        <v>20190304165028298</v>
      </c>
      <c r="B7412" t="str">
        <f>"1551689428293170"</f>
        <v>1551689428293170</v>
      </c>
      <c r="C7412" t="s">
        <v>40</v>
      </c>
      <c r="D7412">
        <v>4.4460649999999999</v>
      </c>
      <c r="E7412">
        <v>0.54130819999999902</v>
      </c>
      <c r="F7412" t="s">
        <v>60</v>
      </c>
      <c r="G7412">
        <v>0</v>
      </c>
      <c r="H7412">
        <v>0</v>
      </c>
      <c r="I7412">
        <v>0</v>
      </c>
      <c r="J7412">
        <v>-186.8492</v>
      </c>
      <c r="K7412">
        <v>1.1119939999999999</v>
      </c>
      <c r="L7412">
        <v>20.809080000000002</v>
      </c>
      <c r="M7412">
        <v>4.5165370000000002E-3</v>
      </c>
      <c r="N7412">
        <v>-1.269298E-2</v>
      </c>
      <c r="O7412">
        <v>0.99990919999999905</v>
      </c>
      <c r="P7412">
        <v>-5.1605850000000002E-2</v>
      </c>
      <c r="Q7412">
        <v>0.70525899999999997</v>
      </c>
      <c r="R7412">
        <v>0.70706910000000001</v>
      </c>
      <c r="S7412">
        <v>0.2219391</v>
      </c>
      <c r="T7412">
        <v>2.3356569999999999</v>
      </c>
      <c r="U7412">
        <v>1.926971</v>
      </c>
      <c r="V7412">
        <v>-5.4986479999999997E-2</v>
      </c>
      <c r="W7412">
        <v>0.71415969999999995</v>
      </c>
      <c r="X7412">
        <v>0.69781979999999999</v>
      </c>
      <c r="Y7412">
        <v>6.8121810000000005E-2</v>
      </c>
      <c r="Z7412">
        <v>0.77747739999999999</v>
      </c>
      <c r="AA7412">
        <v>0.62521070000000001</v>
      </c>
      <c r="AB7412">
        <v>32</v>
      </c>
      <c r="AC7412">
        <v>0.2219391</v>
      </c>
      <c r="AD7412">
        <v>2.3356569999999999</v>
      </c>
      <c r="AE7412">
        <v>1.926971</v>
      </c>
      <c r="AF7412">
        <v>8.7036611783847001E-2</v>
      </c>
      <c r="AG7412">
        <v>2.3356569999999999</v>
      </c>
      <c r="AH7412">
        <v>0.78694502222266205</v>
      </c>
      <c r="AI7412">
        <v>18.7256868227681</v>
      </c>
      <c r="AJ7412">
        <v>83.688701843815593</v>
      </c>
      <c r="AK7412">
        <v>2.4662018290157901</v>
      </c>
      <c r="AL7412">
        <v>44.425626059567897</v>
      </c>
      <c r="AM7412">
        <v>94.505456700881993</v>
      </c>
      <c r="AN7412">
        <v>1.00000003167945</v>
      </c>
    </row>
    <row r="7413" spans="1:40" x14ac:dyDescent="0.25">
      <c r="A7413" t="str">
        <f>"20190304165028321"</f>
        <v>20190304165028321</v>
      </c>
      <c r="B7413" t="str">
        <f>"1551689428312690"</f>
        <v>1551689428312690</v>
      </c>
      <c r="C7413" t="s">
        <v>40</v>
      </c>
      <c r="D7413">
        <v>4.4709110000000001</v>
      </c>
      <c r="E7413">
        <v>0.54101519999999903</v>
      </c>
      <c r="F7413" t="s">
        <v>60</v>
      </c>
      <c r="G7413">
        <v>0</v>
      </c>
      <c r="H7413">
        <v>0</v>
      </c>
      <c r="I7413">
        <v>0</v>
      </c>
      <c r="J7413">
        <v>-186.84790000000001</v>
      </c>
      <c r="K7413">
        <v>1.1120159999999999</v>
      </c>
      <c r="L7413">
        <v>21.143129999999999</v>
      </c>
      <c r="M7413">
        <v>4.3573079999999998E-3</v>
      </c>
      <c r="N7413">
        <v>-1.28191E-2</v>
      </c>
      <c r="O7413">
        <v>0.99990829999999997</v>
      </c>
      <c r="P7413">
        <v>-5.2694999999999999E-2</v>
      </c>
      <c r="Q7413">
        <v>0.70202900000000001</v>
      </c>
      <c r="R7413">
        <v>0.710196099999999</v>
      </c>
      <c r="S7413">
        <v>0.21537780000000001</v>
      </c>
      <c r="T7413">
        <v>2.3229600000000001</v>
      </c>
      <c r="U7413">
        <v>1.941559</v>
      </c>
      <c r="V7413">
        <v>-5.5977300000000001E-2</v>
      </c>
      <c r="W7413">
        <v>0.71105799999999997</v>
      </c>
      <c r="X7413">
        <v>0.70090169999999996</v>
      </c>
      <c r="Y7413">
        <v>6.6153180000000006E-2</v>
      </c>
      <c r="Z7413">
        <v>0.77365850000000003</v>
      </c>
      <c r="AA7413">
        <v>0.63013999999999903</v>
      </c>
      <c r="AB7413">
        <v>32</v>
      </c>
      <c r="AC7413">
        <v>0.21537780000000001</v>
      </c>
      <c r="AD7413">
        <v>2.3229600000000001</v>
      </c>
      <c r="AE7413">
        <v>1.941559</v>
      </c>
      <c r="AF7413">
        <v>8.5712161242003995E-2</v>
      </c>
      <c r="AG7413">
        <v>2.3229600000000001</v>
      </c>
      <c r="AH7413">
        <v>0.80464930574827298</v>
      </c>
      <c r="AI7413">
        <v>19.205746581105501</v>
      </c>
      <c r="AJ7413">
        <v>83.919716242204501</v>
      </c>
      <c r="AK7413">
        <v>2.4598679317040402</v>
      </c>
      <c r="AL7413">
        <v>44.678941342832303</v>
      </c>
      <c r="AM7413">
        <v>94.566218031276904</v>
      </c>
      <c r="AN7413">
        <v>1.0000000652710801</v>
      </c>
    </row>
    <row r="7414" spans="1:40" x14ac:dyDescent="0.25">
      <c r="A7414" t="str">
        <f>"20190304165028342"</f>
        <v>20190304165028342</v>
      </c>
      <c r="B7414" t="str">
        <f>"1551689428332718"</f>
        <v>1551689428332718</v>
      </c>
      <c r="C7414" t="s">
        <v>40</v>
      </c>
      <c r="D7414">
        <v>4.4891480000000001</v>
      </c>
      <c r="E7414">
        <v>0.54077940000000002</v>
      </c>
      <c r="F7414" t="s">
        <v>60</v>
      </c>
      <c r="G7414">
        <v>0</v>
      </c>
      <c r="H7414">
        <v>0</v>
      </c>
      <c r="I7414">
        <v>0</v>
      </c>
      <c r="J7414">
        <v>-186.8467</v>
      </c>
      <c r="K7414">
        <v>1.1120270000000001</v>
      </c>
      <c r="L7414">
        <v>21.45984</v>
      </c>
      <c r="M7414">
        <v>4.2076730000000003E-3</v>
      </c>
      <c r="N7414">
        <v>-1.295813E-2</v>
      </c>
      <c r="O7414">
        <v>0.9999072</v>
      </c>
      <c r="P7414">
        <v>-5.3315750000000002E-2</v>
      </c>
      <c r="Q7414">
        <v>0.69881329999999997</v>
      </c>
      <c r="R7414">
        <v>0.71331440000000002</v>
      </c>
      <c r="S7414">
        <v>0.20857239999999999</v>
      </c>
      <c r="T7414">
        <v>2.311382</v>
      </c>
      <c r="U7414">
        <v>1.9548650000000001</v>
      </c>
      <c r="V7414">
        <v>-5.6506349999999997E-2</v>
      </c>
      <c r="W7414">
        <v>0.70797969999999999</v>
      </c>
      <c r="X7414">
        <v>0.70396859999999895</v>
      </c>
      <c r="Y7414">
        <v>6.4089789999999994E-2</v>
      </c>
      <c r="Z7414">
        <v>0.77017309999999894</v>
      </c>
      <c r="AA7414">
        <v>0.63460680000000003</v>
      </c>
      <c r="AB7414">
        <v>32</v>
      </c>
      <c r="AC7414">
        <v>0.20857239999999999</v>
      </c>
      <c r="AD7414">
        <v>2.311382</v>
      </c>
      <c r="AE7414">
        <v>1.9548650000000001</v>
      </c>
      <c r="AF7414">
        <v>8.4097995311794502E-2</v>
      </c>
      <c r="AG7414">
        <v>2.311382</v>
      </c>
      <c r="AH7414">
        <v>0.82094911709891905</v>
      </c>
      <c r="AI7414">
        <v>19.6483673781715</v>
      </c>
      <c r="AJ7414">
        <v>84.151025263241195</v>
      </c>
      <c r="AK7414">
        <v>2.4542853696351101</v>
      </c>
      <c r="AL7414">
        <v>44.929225367822099</v>
      </c>
      <c r="AM7414">
        <v>94.589194600213204</v>
      </c>
      <c r="AN7414">
        <v>1.0000000064941801</v>
      </c>
    </row>
    <row r="7415" spans="1:40" x14ac:dyDescent="0.25">
      <c r="A7415" t="str">
        <f>"20190304165028364"</f>
        <v>20190304165028364</v>
      </c>
      <c r="B7415" t="str">
        <f>"1551689428362975"</f>
        <v>1551689428362975</v>
      </c>
      <c r="C7415" t="s">
        <v>40</v>
      </c>
      <c r="D7415">
        <v>4.5169389999999998</v>
      </c>
      <c r="E7415">
        <v>0.54050900000000002</v>
      </c>
      <c r="F7415" t="s">
        <v>60</v>
      </c>
      <c r="G7415">
        <v>0</v>
      </c>
      <c r="H7415">
        <v>0</v>
      </c>
      <c r="I7415">
        <v>0</v>
      </c>
      <c r="J7415">
        <v>-186.84559999999999</v>
      </c>
      <c r="K7415">
        <v>1.1120319999999999</v>
      </c>
      <c r="L7415">
        <v>21.77411</v>
      </c>
      <c r="M7415">
        <v>4.0618720000000002E-3</v>
      </c>
      <c r="N7415">
        <v>-1.3103760000000001E-2</v>
      </c>
      <c r="O7415">
        <v>0.99990590000000001</v>
      </c>
      <c r="P7415">
        <v>-5.370627E-2</v>
      </c>
      <c r="Q7415">
        <v>0.69314719999999996</v>
      </c>
      <c r="R7415">
        <v>0.71879249999999995</v>
      </c>
      <c r="S7415">
        <v>0.20350650000000001</v>
      </c>
      <c r="T7415">
        <v>2.300354</v>
      </c>
      <c r="U7415">
        <v>1.967346</v>
      </c>
      <c r="V7415">
        <v>-5.6813490000000001E-2</v>
      </c>
      <c r="W7415">
        <v>0.70248849999999996</v>
      </c>
      <c r="X7415">
        <v>0.70942380000000005</v>
      </c>
      <c r="Y7415">
        <v>6.2588770000000002E-2</v>
      </c>
      <c r="Z7415">
        <v>0.76684240000000004</v>
      </c>
      <c r="AA7415">
        <v>0.63877659999999903</v>
      </c>
      <c r="AB7415">
        <v>32</v>
      </c>
      <c r="AC7415">
        <v>0.20350650000000001</v>
      </c>
      <c r="AD7415">
        <v>2.300354</v>
      </c>
      <c r="AE7415">
        <v>1.967346</v>
      </c>
      <c r="AF7415">
        <v>8.3101116558006893E-2</v>
      </c>
      <c r="AG7415">
        <v>2.300354</v>
      </c>
      <c r="AH7415">
        <v>0.83654783225428597</v>
      </c>
      <c r="AI7415">
        <v>20.074850282033299</v>
      </c>
      <c r="AJ7415">
        <v>84.326954901182702</v>
      </c>
      <c r="AK7415">
        <v>2.4491522199607201</v>
      </c>
      <c r="AL7415">
        <v>45.373000566047601</v>
      </c>
      <c r="AM7415">
        <v>94.578703017775197</v>
      </c>
      <c r="AN7415">
        <v>0.99999999664233497</v>
      </c>
    </row>
    <row r="7416" spans="1:40" x14ac:dyDescent="0.25">
      <c r="A7416" t="str">
        <f>"20190304165028386"</f>
        <v>20190304165028386</v>
      </c>
      <c r="B7416" t="str">
        <f>"1551689428382494"</f>
        <v>1551689428382494</v>
      </c>
      <c r="C7416" t="s">
        <v>40</v>
      </c>
      <c r="D7416">
        <v>4.4999630000000002</v>
      </c>
      <c r="E7416">
        <v>0.54038079999999999</v>
      </c>
      <c r="F7416" t="s">
        <v>60</v>
      </c>
      <c r="G7416">
        <v>0</v>
      </c>
      <c r="H7416">
        <v>0</v>
      </c>
      <c r="I7416">
        <v>0</v>
      </c>
      <c r="J7416">
        <v>-186.84450000000001</v>
      </c>
      <c r="K7416">
        <v>1.112026</v>
      </c>
      <c r="L7416">
        <v>22.078029999999998</v>
      </c>
      <c r="M7416">
        <v>3.9285559999999997E-3</v>
      </c>
      <c r="N7416">
        <v>-1.324065E-2</v>
      </c>
      <c r="O7416">
        <v>0.99990460000000003</v>
      </c>
      <c r="P7416">
        <v>-5.4443779999999997E-2</v>
      </c>
      <c r="Q7416">
        <v>0.68578139999999999</v>
      </c>
      <c r="R7416">
        <v>0.72576850000000004</v>
      </c>
      <c r="S7416">
        <v>0.19888310000000001</v>
      </c>
      <c r="T7416">
        <v>2.2817099999999999</v>
      </c>
      <c r="U7416">
        <v>1.9882200000000001</v>
      </c>
      <c r="V7416">
        <v>-5.7474329999999997E-2</v>
      </c>
      <c r="W7416">
        <v>0.69531339999999997</v>
      </c>
      <c r="X7416">
        <v>0.71640490000000001</v>
      </c>
      <c r="Y7416">
        <v>6.1224710000000002E-2</v>
      </c>
      <c r="Z7416">
        <v>0.76106200000000002</v>
      </c>
      <c r="AA7416">
        <v>0.64578340000000001</v>
      </c>
      <c r="AB7416">
        <v>32</v>
      </c>
      <c r="AC7416">
        <v>0.19888310000000001</v>
      </c>
      <c r="AD7416">
        <v>2.2817099999999999</v>
      </c>
      <c r="AE7416">
        <v>1.9882200000000001</v>
      </c>
      <c r="AF7416">
        <v>8.2930744431745002E-2</v>
      </c>
      <c r="AG7416">
        <v>2.2817099999999999</v>
      </c>
      <c r="AH7416">
        <v>0.86328598632210196</v>
      </c>
      <c r="AI7416">
        <v>20.811406897363401</v>
      </c>
      <c r="AJ7416">
        <v>84.512773539806005</v>
      </c>
      <c r="AK7416">
        <v>2.4409712670681101</v>
      </c>
      <c r="AL7416">
        <v>45.947803697345897</v>
      </c>
      <c r="AM7416">
        <v>94.586789952213394</v>
      </c>
      <c r="AN7416">
        <v>1.00000000178625</v>
      </c>
    </row>
    <row r="7417" spans="1:40" x14ac:dyDescent="0.25">
      <c r="A7417" t="str">
        <f>"20190304165028410"</f>
        <v>20190304165028410</v>
      </c>
      <c r="B7417" t="str">
        <f>"1551689428402990"</f>
        <v>1551689428402990</v>
      </c>
      <c r="C7417" t="s">
        <v>40</v>
      </c>
      <c r="D7417">
        <v>4.5447150000000001</v>
      </c>
      <c r="E7417">
        <v>0.54023180000000004</v>
      </c>
      <c r="F7417" t="s">
        <v>60</v>
      </c>
      <c r="G7417">
        <v>0</v>
      </c>
      <c r="H7417">
        <v>0</v>
      </c>
      <c r="I7417">
        <v>0</v>
      </c>
      <c r="J7417">
        <v>-186.8433</v>
      </c>
      <c r="K7417">
        <v>1.112009</v>
      </c>
      <c r="L7417">
        <v>22.413419999999999</v>
      </c>
      <c r="M7417">
        <v>3.7968979999999999E-3</v>
      </c>
      <c r="N7417">
        <v>-1.338117E-2</v>
      </c>
      <c r="O7417">
        <v>0.99990330000000005</v>
      </c>
      <c r="P7417">
        <v>-5.5458750000000001E-2</v>
      </c>
      <c r="Q7417">
        <v>0.67535299999999998</v>
      </c>
      <c r="R7417">
        <v>0.73540649999999996</v>
      </c>
      <c r="S7417">
        <v>0.1950836</v>
      </c>
      <c r="T7417">
        <v>2.2603070000000001</v>
      </c>
      <c r="U7417">
        <v>2.0124209999999998</v>
      </c>
      <c r="V7417">
        <v>-5.8412119999999998E-2</v>
      </c>
      <c r="W7417">
        <v>0.68511659999999996</v>
      </c>
      <c r="X7417">
        <v>0.72608760000000006</v>
      </c>
      <c r="Y7417">
        <v>6.0119289999999999E-2</v>
      </c>
      <c r="Z7417">
        <v>0.75427290000000002</v>
      </c>
      <c r="AA7417">
        <v>0.65380280000000002</v>
      </c>
      <c r="AB7417">
        <v>32</v>
      </c>
      <c r="AC7417">
        <v>0.1950836</v>
      </c>
      <c r="AD7417">
        <v>2.2603070000000001</v>
      </c>
      <c r="AE7417">
        <v>2.0124209999999998</v>
      </c>
      <c r="AF7417">
        <v>8.3314902672565305E-2</v>
      </c>
      <c r="AG7417">
        <v>2.2603070000000001</v>
      </c>
      <c r="AH7417">
        <v>0.89481793948549004</v>
      </c>
      <c r="AI7417">
        <v>21.682553038545201</v>
      </c>
      <c r="AJ7417">
        <v>84.680628226285293</v>
      </c>
      <c r="AK7417">
        <v>2.4324120235028799</v>
      </c>
      <c r="AL7417">
        <v>46.755220460277798</v>
      </c>
      <c r="AM7417">
        <v>94.599411885715895</v>
      </c>
      <c r="AN7417">
        <v>0.99999996711610595</v>
      </c>
    </row>
    <row r="7418" spans="1:40" x14ac:dyDescent="0.25">
      <c r="A7418" t="str">
        <f>"20190304165028432"</f>
        <v>20190304165028432</v>
      </c>
      <c r="B7418" t="str">
        <f>"1551689428423016"</f>
        <v>1551689428423016</v>
      </c>
      <c r="C7418" t="s">
        <v>40</v>
      </c>
      <c r="D7418">
        <v>4.5546569999999997</v>
      </c>
      <c r="E7418">
        <v>0.54010059999999904</v>
      </c>
      <c r="F7418" t="s">
        <v>60</v>
      </c>
      <c r="G7418">
        <v>0</v>
      </c>
      <c r="H7418">
        <v>0</v>
      </c>
      <c r="I7418">
        <v>0</v>
      </c>
      <c r="J7418">
        <v>-186.84229999999999</v>
      </c>
      <c r="K7418">
        <v>1.111969</v>
      </c>
      <c r="L7418">
        <v>22.73386</v>
      </c>
      <c r="M7418">
        <v>3.689669E-3</v>
      </c>
      <c r="N7418">
        <v>-1.350351E-2</v>
      </c>
      <c r="O7418">
        <v>0.99990199999999996</v>
      </c>
      <c r="P7418">
        <v>-5.6906890000000002E-2</v>
      </c>
      <c r="Q7418">
        <v>0.66428529999999997</v>
      </c>
      <c r="R7418">
        <v>0.74530980000000002</v>
      </c>
      <c r="S7418">
        <v>0.19015499999999999</v>
      </c>
      <c r="T7418">
        <v>2.2308340000000002</v>
      </c>
      <c r="U7418">
        <v>2.0450740000000001</v>
      </c>
      <c r="V7418">
        <v>-5.9792440000000002E-2</v>
      </c>
      <c r="W7418">
        <v>0.67427389999999998</v>
      </c>
      <c r="X7418">
        <v>0.73605679999999996</v>
      </c>
      <c r="Y7418">
        <v>5.8621220000000002E-2</v>
      </c>
      <c r="Z7418">
        <v>0.74484359999999905</v>
      </c>
      <c r="AA7418">
        <v>0.664659</v>
      </c>
      <c r="AB7418">
        <v>32</v>
      </c>
      <c r="AC7418">
        <v>0.19015499999999999</v>
      </c>
      <c r="AD7418">
        <v>2.2308340000000002</v>
      </c>
      <c r="AE7418">
        <v>2.0450740000000001</v>
      </c>
      <c r="AF7418">
        <v>8.3775724675731994E-2</v>
      </c>
      <c r="AG7418">
        <v>2.2308340000000002</v>
      </c>
      <c r="AH7418">
        <v>0.93854466052193597</v>
      </c>
      <c r="AI7418">
        <v>22.898584032952201</v>
      </c>
      <c r="AJ7418">
        <v>84.899222028154</v>
      </c>
      <c r="AK7418">
        <v>2.4216739638925699</v>
      </c>
      <c r="AL7418">
        <v>47.602211345832004</v>
      </c>
      <c r="AM7418">
        <v>94.6441369195433</v>
      </c>
      <c r="AN7418">
        <v>1.0000000204643</v>
      </c>
    </row>
    <row r="7419" spans="1:40" x14ac:dyDescent="0.25">
      <c r="A7419" t="str">
        <f>"20190304165028458"</f>
        <v>20190304165028458</v>
      </c>
      <c r="B7419" t="str">
        <f>"1551689428453272"</f>
        <v>1551689428453272</v>
      </c>
      <c r="C7419" t="s">
        <v>40</v>
      </c>
      <c r="D7419">
        <v>4.5843400000000001</v>
      </c>
      <c r="E7419">
        <v>0.53981769999999996</v>
      </c>
      <c r="F7419" t="s">
        <v>60</v>
      </c>
      <c r="G7419">
        <v>0</v>
      </c>
      <c r="H7419">
        <v>0</v>
      </c>
      <c r="I7419">
        <v>0</v>
      </c>
      <c r="J7419">
        <v>-186.84119999999999</v>
      </c>
      <c r="K7419">
        <v>1.1119270000000001</v>
      </c>
      <c r="L7419">
        <v>23.076049999999999</v>
      </c>
      <c r="M7419">
        <v>3.5932680000000002E-3</v>
      </c>
      <c r="N7419">
        <v>-1.3620699999999999E-2</v>
      </c>
      <c r="O7419">
        <v>0.99990080000000003</v>
      </c>
      <c r="P7419">
        <v>-5.9294659999999999E-2</v>
      </c>
      <c r="Q7419">
        <v>0.65037789999999995</v>
      </c>
      <c r="R7419">
        <v>0.7572932</v>
      </c>
      <c r="S7419">
        <v>0.1840668</v>
      </c>
      <c r="T7419">
        <v>2.2013340000000001</v>
      </c>
      <c r="U7419">
        <v>2.0772089999999999</v>
      </c>
      <c r="V7419">
        <v>-6.212384E-2</v>
      </c>
      <c r="W7419">
        <v>0.66061930000000002</v>
      </c>
      <c r="X7419">
        <v>0.74814630000000004</v>
      </c>
      <c r="Y7419">
        <v>5.6727739999999999E-2</v>
      </c>
      <c r="Z7419">
        <v>0.73535159999999999</v>
      </c>
      <c r="AA7419">
        <v>0.6753074</v>
      </c>
      <c r="AB7419">
        <v>32</v>
      </c>
      <c r="AC7419">
        <v>0.1840668</v>
      </c>
      <c r="AD7419">
        <v>2.2013340000000001</v>
      </c>
      <c r="AE7419">
        <v>2.0772089999999999</v>
      </c>
      <c r="AF7419">
        <v>8.3525643254788395E-2</v>
      </c>
      <c r="AG7419">
        <v>2.2013340000000001</v>
      </c>
      <c r="AH7419">
        <v>0.98274865544425305</v>
      </c>
      <c r="AI7419">
        <v>24.134420168965299</v>
      </c>
      <c r="AJ7419">
        <v>85.141999711546006</v>
      </c>
      <c r="AK7419">
        <v>2.4121863179312202</v>
      </c>
      <c r="AL7419">
        <v>48.652881709698597</v>
      </c>
      <c r="AM7419">
        <v>94.746780915625294</v>
      </c>
      <c r="AN7419">
        <v>1.0000000586162601</v>
      </c>
    </row>
    <row r="7420" spans="1:40" x14ac:dyDescent="0.25">
      <c r="A7420" t="str">
        <f>"20190304165028479"</f>
        <v>20190304165028479</v>
      </c>
      <c r="B7420" t="str">
        <f>"1551689428472792"</f>
        <v>1551689428472792</v>
      </c>
      <c r="C7420" t="s">
        <v>40</v>
      </c>
      <c r="D7420">
        <v>4.5616960000000004</v>
      </c>
      <c r="E7420">
        <v>0.53974659999999997</v>
      </c>
      <c r="F7420" t="s">
        <v>60</v>
      </c>
      <c r="G7420">
        <v>0</v>
      </c>
      <c r="H7420">
        <v>0</v>
      </c>
      <c r="I7420">
        <v>0</v>
      </c>
      <c r="J7420">
        <v>-186.84020000000001</v>
      </c>
      <c r="K7420">
        <v>1.1118870000000001</v>
      </c>
      <c r="L7420">
        <v>23.383330000000001</v>
      </c>
      <c r="M7420">
        <v>3.5203729999999998E-3</v>
      </c>
      <c r="N7420">
        <v>-1.3713929999999999E-2</v>
      </c>
      <c r="O7420">
        <v>0.99989969999999995</v>
      </c>
      <c r="P7420">
        <v>-6.1804230000000002E-2</v>
      </c>
      <c r="Q7420">
        <v>0.63539630000000002</v>
      </c>
      <c r="R7420">
        <v>0.76970890000000003</v>
      </c>
      <c r="S7420">
        <v>0.1738739</v>
      </c>
      <c r="T7420">
        <v>2.1663100000000002</v>
      </c>
      <c r="U7420">
        <v>2.1146240000000001</v>
      </c>
      <c r="V7420">
        <v>-6.4602969999999996E-2</v>
      </c>
      <c r="W7420">
        <v>0.64588040000000002</v>
      </c>
      <c r="X7420">
        <v>0.7607003</v>
      </c>
      <c r="Y7420">
        <v>5.3464039999999997E-2</v>
      </c>
      <c r="Z7420">
        <v>0.72401389999999999</v>
      </c>
      <c r="AA7420">
        <v>0.6877103</v>
      </c>
      <c r="AB7420">
        <v>32</v>
      </c>
      <c r="AC7420">
        <v>0.1738739</v>
      </c>
      <c r="AD7420">
        <v>2.1663100000000002</v>
      </c>
      <c r="AE7420">
        <v>2.1146240000000001</v>
      </c>
      <c r="AF7420">
        <v>8.1485059710454499E-2</v>
      </c>
      <c r="AG7420">
        <v>2.1663100000000002</v>
      </c>
      <c r="AH7420">
        <v>1.0356383860585701</v>
      </c>
      <c r="AI7420">
        <v>25.619727598635102</v>
      </c>
      <c r="AJ7420">
        <v>85.501179340005507</v>
      </c>
      <c r="AK7420">
        <v>2.40251653433103</v>
      </c>
      <c r="AL7420">
        <v>49.7682825742124</v>
      </c>
      <c r="AM7420">
        <v>94.854233700581005</v>
      </c>
      <c r="AN7420">
        <v>0.99999999062853495</v>
      </c>
    </row>
    <row r="7421" spans="1:40" x14ac:dyDescent="0.25">
      <c r="A7421" t="str">
        <f>"20190304165028501"</f>
        <v>20190304165028501</v>
      </c>
      <c r="B7421" t="str">
        <f>"1551689428493289"</f>
        <v>1551689428493289</v>
      </c>
      <c r="C7421" t="s">
        <v>40</v>
      </c>
      <c r="D7421">
        <v>4.5890940000000002</v>
      </c>
      <c r="E7421">
        <v>0.53614379999999995</v>
      </c>
      <c r="F7421" t="s">
        <v>60</v>
      </c>
      <c r="G7421">
        <v>0</v>
      </c>
      <c r="H7421">
        <v>0</v>
      </c>
      <c r="I7421">
        <v>0</v>
      </c>
      <c r="J7421">
        <v>-186.83920000000001</v>
      </c>
      <c r="K7421">
        <v>1.111842</v>
      </c>
      <c r="L7421">
        <v>23.691410000000001</v>
      </c>
      <c r="M7421">
        <v>3.4566570000000001E-3</v>
      </c>
      <c r="N7421">
        <v>-1.3796859999999999E-2</v>
      </c>
      <c r="O7421">
        <v>0.99989890000000003</v>
      </c>
      <c r="P7421">
        <v>-6.3221570000000005E-2</v>
      </c>
      <c r="Q7421">
        <v>0.6203417</v>
      </c>
      <c r="R7421">
        <v>0.78177949999999996</v>
      </c>
      <c r="S7421">
        <v>0.164932299999999</v>
      </c>
      <c r="T7421">
        <v>2.1290689999999999</v>
      </c>
      <c r="U7421">
        <v>2.1532589999999998</v>
      </c>
      <c r="V7421">
        <v>-6.5999970000000005E-2</v>
      </c>
      <c r="W7421">
        <v>0.6310578</v>
      </c>
      <c r="X7421">
        <v>0.77292309999999997</v>
      </c>
      <c r="Y7421">
        <v>5.0596670000000003E-2</v>
      </c>
      <c r="Z7421">
        <v>0.71188289999999999</v>
      </c>
      <c r="AA7421">
        <v>0.70047320000000002</v>
      </c>
      <c r="AB7421">
        <v>32</v>
      </c>
      <c r="AC7421">
        <v>0.164932299999999</v>
      </c>
      <c r="AD7421">
        <v>2.1290689999999999</v>
      </c>
      <c r="AE7421">
        <v>2.1532589999999998</v>
      </c>
      <c r="AF7421">
        <v>7.9863634592087895E-2</v>
      </c>
      <c r="AG7421">
        <v>2.1290689999999999</v>
      </c>
      <c r="AH7421">
        <v>1.09222361719105</v>
      </c>
      <c r="AI7421">
        <v>27.2201502882948</v>
      </c>
      <c r="AJ7421">
        <v>85.817962402567005</v>
      </c>
      <c r="AK7421">
        <v>2.39421499386357</v>
      </c>
      <c r="AL7421">
        <v>50.871793142999401</v>
      </c>
      <c r="AM7421">
        <v>94.8806521479042</v>
      </c>
      <c r="AN7421">
        <v>1.0000000307472201</v>
      </c>
    </row>
    <row r="7422" spans="1:40" x14ac:dyDescent="0.25">
      <c r="A7422" t="str">
        <f>"20190304165028522"</f>
        <v>20190304165028522</v>
      </c>
      <c r="B7422" t="str">
        <f>"1551689428512808"</f>
        <v>1551689428512808</v>
      </c>
      <c r="C7422" t="s">
        <v>40</v>
      </c>
      <c r="D7422">
        <v>4.5773849999999996</v>
      </c>
      <c r="E7422">
        <v>0.53701409999999905</v>
      </c>
      <c r="F7422" t="s">
        <v>60</v>
      </c>
      <c r="G7422">
        <v>0</v>
      </c>
      <c r="H7422">
        <v>0</v>
      </c>
      <c r="I7422">
        <v>0</v>
      </c>
      <c r="J7422">
        <v>-186.8382</v>
      </c>
      <c r="K7422">
        <v>1.1117790000000001</v>
      </c>
      <c r="L7422">
        <v>23.9953</v>
      </c>
      <c r="M7422">
        <v>3.3999920000000001E-3</v>
      </c>
      <c r="N7422">
        <v>-1.386897E-2</v>
      </c>
      <c r="O7422">
        <v>0.99989799999999995</v>
      </c>
      <c r="P7422">
        <v>-6.4526360000000005E-2</v>
      </c>
      <c r="Q7422">
        <v>0.60342249999999997</v>
      </c>
      <c r="R7422">
        <v>0.79480669999999898</v>
      </c>
      <c r="S7422">
        <v>0.15275569999999999</v>
      </c>
      <c r="T7422">
        <v>2.2405560000000002</v>
      </c>
      <c r="U7422">
        <v>2.071869</v>
      </c>
      <c r="V7422">
        <v>-6.7296739999999994E-2</v>
      </c>
      <c r="W7422">
        <v>0.61437739999999996</v>
      </c>
      <c r="X7422">
        <v>0.78613719999999998</v>
      </c>
      <c r="Y7422">
        <v>4.62645E-2</v>
      </c>
      <c r="Z7422">
        <v>0.74270729999999996</v>
      </c>
      <c r="AA7422">
        <v>0.6680161</v>
      </c>
      <c r="AB7422">
        <v>32</v>
      </c>
      <c r="AC7422">
        <v>0.15275569999999999</v>
      </c>
      <c r="AD7422">
        <v>2.2405560000000002</v>
      </c>
      <c r="AE7422">
        <v>2.071869</v>
      </c>
      <c r="AF7422">
        <v>6.7360265178902298E-2</v>
      </c>
      <c r="AG7422">
        <v>2.2405560000000002</v>
      </c>
      <c r="AH7422">
        <v>0.95804006052143598</v>
      </c>
      <c r="AI7422">
        <v>23.2021966041616</v>
      </c>
      <c r="AJ7422">
        <v>85.9781244754694</v>
      </c>
      <c r="AK7422">
        <v>2.4377180624561299</v>
      </c>
      <c r="AL7422">
        <v>52.093308095714001</v>
      </c>
      <c r="AM7422">
        <v>94.892837744964297</v>
      </c>
      <c r="AN7422">
        <v>1.00000006903461</v>
      </c>
    </row>
    <row r="7423" spans="1:40" x14ac:dyDescent="0.25">
      <c r="A7423" t="str">
        <f>"20190304165028545"</f>
        <v>20190304165028545</v>
      </c>
      <c r="B7423" t="str">
        <f>"1551689428533308"</f>
        <v>1551689428533308</v>
      </c>
      <c r="C7423" t="s">
        <v>40</v>
      </c>
      <c r="D7423">
        <v>4.6375289999999998</v>
      </c>
      <c r="E7423">
        <v>0.53709819999999997</v>
      </c>
      <c r="F7423" t="s">
        <v>60</v>
      </c>
      <c r="G7423">
        <v>0</v>
      </c>
      <c r="H7423">
        <v>0</v>
      </c>
      <c r="I7423">
        <v>0</v>
      </c>
      <c r="J7423">
        <v>-186.8373</v>
      </c>
      <c r="K7423">
        <v>1.1117060000000001</v>
      </c>
      <c r="L7423">
        <v>24.309750000000001</v>
      </c>
      <c r="M7423">
        <v>3.3436690000000001E-3</v>
      </c>
      <c r="N7423">
        <v>-1.3934200000000001E-2</v>
      </c>
      <c r="O7423">
        <v>0.99989729999999999</v>
      </c>
      <c r="P7423">
        <v>-6.6168640000000001E-2</v>
      </c>
      <c r="Q7423">
        <v>0.58118159999999996</v>
      </c>
      <c r="R7423">
        <v>0.81107929999999995</v>
      </c>
      <c r="S7423">
        <v>0.14990229999999999</v>
      </c>
      <c r="T7423">
        <v>2.1637729999999999</v>
      </c>
      <c r="U7423">
        <v>2.1439210000000002</v>
      </c>
      <c r="V7423">
        <v>-6.8942340000000005E-2</v>
      </c>
      <c r="W7423">
        <v>0.59241690000000002</v>
      </c>
      <c r="X7423">
        <v>0.80267630000000001</v>
      </c>
      <c r="Y7423">
        <v>4.5498610000000002E-2</v>
      </c>
      <c r="Z7423">
        <v>0.71930660000000002</v>
      </c>
      <c r="AA7423">
        <v>0.69320119999999996</v>
      </c>
      <c r="AB7423">
        <v>32</v>
      </c>
      <c r="AC7423">
        <v>0.14990229999999999</v>
      </c>
      <c r="AD7423">
        <v>2.1637729999999999</v>
      </c>
      <c r="AE7423">
        <v>2.1439210000000002</v>
      </c>
      <c r="AF7423">
        <v>7.0882344365095204E-2</v>
      </c>
      <c r="AG7423">
        <v>2.1637729999999999</v>
      </c>
      <c r="AH7423">
        <v>1.0649371662168601</v>
      </c>
      <c r="AI7423">
        <v>26.255085496115299</v>
      </c>
      <c r="AJ7423">
        <v>86.192002936008294</v>
      </c>
      <c r="AK7423">
        <v>2.4126808886095299</v>
      </c>
      <c r="AL7423">
        <v>53.671294526396501</v>
      </c>
      <c r="AM7423">
        <v>94.909120051105802</v>
      </c>
      <c r="AN7423">
        <v>1.00000003611598</v>
      </c>
    </row>
    <row r="7424" spans="1:40" x14ac:dyDescent="0.25">
      <c r="A7424" t="str">
        <f>"20190304165028566"</f>
        <v>20190304165028566</v>
      </c>
      <c r="B7424" t="str">
        <f>"1551689428562584"</f>
        <v>1551689428562584</v>
      </c>
      <c r="C7424" t="s">
        <v>40</v>
      </c>
      <c r="D7424">
        <v>4.6729419999999999</v>
      </c>
      <c r="E7424">
        <v>0.53730230000000001</v>
      </c>
      <c r="F7424" t="s">
        <v>60</v>
      </c>
      <c r="G7424">
        <v>0</v>
      </c>
      <c r="H7424">
        <v>0</v>
      </c>
      <c r="I7424">
        <v>0</v>
      </c>
      <c r="J7424">
        <v>-186.83629999999999</v>
      </c>
      <c r="K7424">
        <v>1.111613</v>
      </c>
      <c r="L7424">
        <v>24.60913</v>
      </c>
      <c r="M7424">
        <v>3.289887E-3</v>
      </c>
      <c r="N7424">
        <v>-1.398839E-2</v>
      </c>
      <c r="O7424">
        <v>0.99989680000000003</v>
      </c>
      <c r="P7424">
        <v>-6.8794499999999995E-2</v>
      </c>
      <c r="Q7424">
        <v>0.55313319999999999</v>
      </c>
      <c r="R7424">
        <v>0.83024750000000003</v>
      </c>
      <c r="S7424">
        <v>0.1464539</v>
      </c>
      <c r="T7424">
        <v>2.1209470000000001</v>
      </c>
      <c r="U7424">
        <v>2.1909480000000001</v>
      </c>
      <c r="V7424">
        <v>-7.1582060000000003E-2</v>
      </c>
      <c r="W7424">
        <v>0.56468249999999998</v>
      </c>
      <c r="X7424">
        <v>0.82219809999999904</v>
      </c>
      <c r="Y7424">
        <v>4.4386399999999999E-2</v>
      </c>
      <c r="Z7424">
        <v>0.70478109999999905</v>
      </c>
      <c r="AA7424">
        <v>0.70803490000000002</v>
      </c>
      <c r="AB7424">
        <v>31</v>
      </c>
      <c r="AC7424">
        <v>0.1464539</v>
      </c>
      <c r="AD7424">
        <v>2.1209470000000001</v>
      </c>
      <c r="AE7424">
        <v>2.1909480000000001</v>
      </c>
      <c r="AF7424">
        <v>7.2037192121869403E-2</v>
      </c>
      <c r="AG7424">
        <v>2.1209470000000001</v>
      </c>
      <c r="AH7424">
        <v>1.1337157161696301</v>
      </c>
      <c r="AI7424">
        <v>28.173981577669</v>
      </c>
      <c r="AJ7424">
        <v>86.364268661142802</v>
      </c>
      <c r="AK7424">
        <v>2.40601680354643</v>
      </c>
      <c r="AL7424">
        <v>55.619754193757501</v>
      </c>
      <c r="AM7424">
        <v>94.975728336163797</v>
      </c>
      <c r="AN7424">
        <v>1.0000000163818501</v>
      </c>
    </row>
    <row r="7425" spans="1:40" x14ac:dyDescent="0.25">
      <c r="A7425" t="str">
        <f>"20190304165028588"</f>
        <v>20190304165028588</v>
      </c>
      <c r="B7425" t="str">
        <f>"1551689428583081"</f>
        <v>1551689428583081</v>
      </c>
      <c r="C7425" t="s">
        <v>40</v>
      </c>
      <c r="D7425">
        <v>4.6197220000000003</v>
      </c>
      <c r="E7425">
        <v>0.5468208</v>
      </c>
      <c r="F7425" t="s">
        <v>60</v>
      </c>
      <c r="G7425">
        <v>0</v>
      </c>
      <c r="H7425">
        <v>0</v>
      </c>
      <c r="I7425">
        <v>0</v>
      </c>
      <c r="J7425">
        <v>-186.83539999999999</v>
      </c>
      <c r="K7425">
        <v>1.1115139999999999</v>
      </c>
      <c r="L7425">
        <v>24.920200000000001</v>
      </c>
      <c r="M7425">
        <v>3.2324760000000002E-3</v>
      </c>
      <c r="N7425">
        <v>-1.403736E-2</v>
      </c>
      <c r="O7425">
        <v>0.99989620000000001</v>
      </c>
      <c r="P7425">
        <v>-7.1549219999999997E-2</v>
      </c>
      <c r="Q7425">
        <v>0.52306739999999996</v>
      </c>
      <c r="R7425">
        <v>0.8492828</v>
      </c>
      <c r="S7425">
        <v>0.14031979999999999</v>
      </c>
      <c r="T7425">
        <v>2.0581770000000001</v>
      </c>
      <c r="U7425">
        <v>2.253784</v>
      </c>
      <c r="V7425">
        <v>-7.4345919999999996E-2</v>
      </c>
      <c r="W7425">
        <v>0.53492709999999999</v>
      </c>
      <c r="X7425">
        <v>0.84162090000000001</v>
      </c>
      <c r="Y7425">
        <v>4.2419579999999998E-2</v>
      </c>
      <c r="Z7425">
        <v>0.68398040000000004</v>
      </c>
      <c r="AA7425">
        <v>0.72826610000000003</v>
      </c>
      <c r="AB7425">
        <v>31</v>
      </c>
      <c r="AC7425">
        <v>0.14031979999999999</v>
      </c>
      <c r="AD7425">
        <v>2.0581770000000001</v>
      </c>
      <c r="AE7425">
        <v>2.253784</v>
      </c>
      <c r="AF7425">
        <v>7.2666607115901893E-2</v>
      </c>
      <c r="AG7425">
        <v>2.0581770000000001</v>
      </c>
      <c r="AH7425">
        <v>1.23132521695668</v>
      </c>
      <c r="AI7425">
        <v>30.934299666167998</v>
      </c>
      <c r="AJ7425">
        <v>86.622609176576901</v>
      </c>
      <c r="AK7425">
        <v>2.3994863594178102</v>
      </c>
      <c r="AL7425">
        <v>57.661033391668902</v>
      </c>
      <c r="AM7425">
        <v>95.048209982605599</v>
      </c>
      <c r="AN7425">
        <v>1.0000000287259301</v>
      </c>
    </row>
    <row r="7426" spans="1:40" x14ac:dyDescent="0.25">
      <c r="A7426" t="str">
        <f>"20190304165028669"</f>
        <v>20190304165028669</v>
      </c>
      <c r="B7426" t="str">
        <f>"1551689428663112"</f>
        <v>1551689428663112</v>
      </c>
      <c r="C7426" t="s">
        <v>40</v>
      </c>
      <c r="D7426">
        <v>4.5715729999999999</v>
      </c>
      <c r="E7426">
        <v>0.55688579999999999</v>
      </c>
      <c r="F7426" t="s">
        <v>60</v>
      </c>
      <c r="G7426">
        <v>0</v>
      </c>
      <c r="H7426">
        <v>0</v>
      </c>
      <c r="I7426">
        <v>0</v>
      </c>
      <c r="J7426">
        <v>-186.8322</v>
      </c>
      <c r="K7426">
        <v>1.1111059999999999</v>
      </c>
      <c r="L7426">
        <v>26.056429999999999</v>
      </c>
      <c r="M7426">
        <v>3.0137599999999999E-3</v>
      </c>
      <c r="N7426">
        <v>-1.416445E-2</v>
      </c>
      <c r="O7426">
        <v>0.99989519999999998</v>
      </c>
      <c r="P7426">
        <v>-8.0374689999999999E-2</v>
      </c>
      <c r="Q7426">
        <v>0.40644619999999998</v>
      </c>
      <c r="R7426">
        <v>0.91013259999999996</v>
      </c>
      <c r="S7426">
        <v>0.20133970000000001</v>
      </c>
      <c r="T7426">
        <v>1.935532</v>
      </c>
      <c r="U7426">
        <v>2.3572690000000001</v>
      </c>
      <c r="V7426">
        <v>-8.3155950000000006E-2</v>
      </c>
      <c r="W7426">
        <v>0.41928589999999999</v>
      </c>
      <c r="X7426">
        <v>0.90403789999999995</v>
      </c>
      <c r="Y7426">
        <v>6.2498440000000002E-2</v>
      </c>
      <c r="Z7426">
        <v>0.64416470000000003</v>
      </c>
      <c r="AA7426">
        <v>0.76232919999999904</v>
      </c>
      <c r="AB7426">
        <v>31</v>
      </c>
      <c r="AC7426">
        <v>0.20133970000000001</v>
      </c>
      <c r="AD7426">
        <v>1.935532</v>
      </c>
      <c r="AE7426">
        <v>2.3572690000000001</v>
      </c>
      <c r="AF7426">
        <v>0.116355938350042</v>
      </c>
      <c r="AG7426">
        <v>1.935532</v>
      </c>
      <c r="AH7426">
        <v>1.41248108563234</v>
      </c>
      <c r="AI7426">
        <v>36.212917488366898</v>
      </c>
      <c r="AJ7426">
        <v>85.290779221388306</v>
      </c>
      <c r="AK7426">
        <v>2.3989426097100401</v>
      </c>
      <c r="AL7426">
        <v>65.210489776010107</v>
      </c>
      <c r="AM7426">
        <v>95.255438518781403</v>
      </c>
      <c r="AN7426">
        <v>1.0000000512978</v>
      </c>
    </row>
    <row r="7427" spans="1:40" x14ac:dyDescent="0.25">
      <c r="A7427" t="str">
        <f>"20190304165028691"</f>
        <v>20190304165028691</v>
      </c>
      <c r="B7427" t="str">
        <f>"1551689428682632"</f>
        <v>1551689428682632</v>
      </c>
      <c r="C7427" t="s">
        <v>40</v>
      </c>
      <c r="D7427">
        <v>4.5709109999999997</v>
      </c>
      <c r="E7427">
        <v>0.5574749</v>
      </c>
      <c r="F7427" t="s">
        <v>42</v>
      </c>
      <c r="G7427">
        <v>-186.14500000000001</v>
      </c>
      <c r="H7427" s="1">
        <v>-1.1872850000000001E-6</v>
      </c>
      <c r="I7427">
        <v>60.12285</v>
      </c>
      <c r="J7427">
        <v>-186.8314</v>
      </c>
      <c r="K7427">
        <v>1.11102099999999</v>
      </c>
      <c r="L7427">
        <v>26.363679999999999</v>
      </c>
      <c r="M7427">
        <v>2.953911E-3</v>
      </c>
      <c r="N7427">
        <v>-1.4188009999999999E-2</v>
      </c>
      <c r="O7427">
        <v>0.99989499999999998</v>
      </c>
      <c r="P7427">
        <v>-8.2566490000000006E-2</v>
      </c>
      <c r="Q7427">
        <v>0.3803647</v>
      </c>
      <c r="R7427">
        <v>0.92114359999999995</v>
      </c>
      <c r="S7427">
        <v>6.7596439999999994E-2</v>
      </c>
      <c r="T7427">
        <v>-0.1092963</v>
      </c>
      <c r="U7427">
        <v>3.351013</v>
      </c>
      <c r="V7427">
        <v>-8.5323380000000004E-2</v>
      </c>
      <c r="W7427">
        <v>0.39338459999999997</v>
      </c>
      <c r="X7427">
        <v>0.91540619999999995</v>
      </c>
      <c r="Y7427">
        <v>1.720501E-2</v>
      </c>
      <c r="Z7427">
        <v>-1.84093E-2</v>
      </c>
      <c r="AA7427">
        <v>0.99968250000000003</v>
      </c>
      <c r="AB7427">
        <v>31</v>
      </c>
      <c r="AC7427">
        <v>0.68639999999999102</v>
      </c>
      <c r="AD7427">
        <v>-1.1110221872849999</v>
      </c>
      <c r="AE7427">
        <v>33.759169999999997</v>
      </c>
      <c r="AF7427">
        <v>0.58603092634146903</v>
      </c>
      <c r="AG7427">
        <v>-1.1110221872849999</v>
      </c>
      <c r="AH7427">
        <v>33.724539056042801</v>
      </c>
      <c r="AI7427">
        <v>91.886586788036496</v>
      </c>
      <c r="AJ7427">
        <v>89.004472095051497</v>
      </c>
      <c r="AK7427">
        <v>33.747923448559398</v>
      </c>
      <c r="AL7427">
        <v>66.834736691696506</v>
      </c>
      <c r="AM7427">
        <v>95.325052085675594</v>
      </c>
      <c r="AN7427">
        <v>1.00000001684511</v>
      </c>
    </row>
    <row r="7428" spans="1:40" x14ac:dyDescent="0.25">
      <c r="A7428" t="str">
        <f>"20190304165028712"</f>
        <v>20190304165028712</v>
      </c>
      <c r="B7428" t="str">
        <f>"1551689428703129"</f>
        <v>1551689428703129</v>
      </c>
      <c r="C7428" t="s">
        <v>40</v>
      </c>
      <c r="D7428">
        <v>4.5023920000000004</v>
      </c>
      <c r="E7428">
        <v>0.54527309999999996</v>
      </c>
      <c r="F7428" t="s">
        <v>42</v>
      </c>
      <c r="G7428">
        <v>-186.36009999999999</v>
      </c>
      <c r="H7428" s="1">
        <v>-3.9222889999999996E-6</v>
      </c>
      <c r="I7428">
        <v>47.270690000000002</v>
      </c>
      <c r="J7428">
        <v>-186.8306</v>
      </c>
      <c r="K7428">
        <v>1.11097</v>
      </c>
      <c r="L7428">
        <v>26.666080000000001</v>
      </c>
      <c r="M7428">
        <v>2.894981E-3</v>
      </c>
      <c r="N7428">
        <v>-1.420769E-2</v>
      </c>
      <c r="O7428">
        <v>0.99989490000000003</v>
      </c>
      <c r="P7428">
        <v>-8.4091399999999997E-2</v>
      </c>
      <c r="Q7428">
        <v>0.36301369999999999</v>
      </c>
      <c r="R7428">
        <v>0.92798159999999996</v>
      </c>
      <c r="S7428">
        <v>7.5210570000000004E-2</v>
      </c>
      <c r="T7428">
        <v>-0.17732129999999999</v>
      </c>
      <c r="U7428">
        <v>3.336792</v>
      </c>
      <c r="V7428">
        <v>-8.6812299999999995E-2</v>
      </c>
      <c r="W7428">
        <v>0.3761504</v>
      </c>
      <c r="X7428">
        <v>0.92248280000000005</v>
      </c>
      <c r="Y7428">
        <v>1.9613019999999998E-2</v>
      </c>
      <c r="Z7428">
        <v>-3.8861649999999998E-2</v>
      </c>
      <c r="AA7428">
        <v>0.9990521</v>
      </c>
      <c r="AB7428">
        <v>31</v>
      </c>
      <c r="AC7428">
        <v>0.47050000000001502</v>
      </c>
      <c r="AD7428">
        <v>-1.110973922289</v>
      </c>
      <c r="AE7428">
        <v>20.604610000000001</v>
      </c>
      <c r="AF7428">
        <v>0.409651723837404</v>
      </c>
      <c r="AG7428">
        <v>-1.110973922289</v>
      </c>
      <c r="AH7428">
        <v>20.546184574271901</v>
      </c>
      <c r="AI7428">
        <v>93.094471229002593</v>
      </c>
      <c r="AJ7428">
        <v>88.857782799605999</v>
      </c>
      <c r="AK7428">
        <v>20.580276435240101</v>
      </c>
      <c r="AL7428">
        <v>67.904567738908</v>
      </c>
      <c r="AM7428">
        <v>95.376113751103503</v>
      </c>
      <c r="AN7428">
        <v>1.0000000075736399</v>
      </c>
    </row>
    <row r="7429" spans="1:40" x14ac:dyDescent="0.25">
      <c r="A7429" t="str">
        <f>"20190304165028735"</f>
        <v>20190304165028735</v>
      </c>
      <c r="B7429" t="str">
        <f>"1551689428722648"</f>
        <v>1551689428722648</v>
      </c>
      <c r="C7429" t="s">
        <v>40</v>
      </c>
      <c r="D7429">
        <v>4.5795349999999999</v>
      </c>
      <c r="E7429">
        <v>0.54366939999999997</v>
      </c>
      <c r="F7429" t="s">
        <v>41</v>
      </c>
      <c r="G7429">
        <v>-186.84280000000001</v>
      </c>
      <c r="H7429">
        <v>0.96489360000000002</v>
      </c>
      <c r="I7429">
        <v>27.39367</v>
      </c>
      <c r="J7429">
        <v>-186.8297</v>
      </c>
      <c r="K7429">
        <v>1.1109439999999999</v>
      </c>
      <c r="L7429">
        <v>26.97748</v>
      </c>
      <c r="M7429">
        <v>2.8342300000000001E-3</v>
      </c>
      <c r="N7429">
        <v>-1.4224860000000001E-2</v>
      </c>
      <c r="O7429">
        <v>0.99989479999999997</v>
      </c>
      <c r="P7429">
        <v>-8.3295809999999998E-2</v>
      </c>
      <c r="Q7429">
        <v>0.35785820000000002</v>
      </c>
      <c r="R7429">
        <v>0.93005340000000003</v>
      </c>
      <c r="S7429">
        <v>-5.9249879999999998E-2</v>
      </c>
      <c r="T7429">
        <v>-0.70319679999999996</v>
      </c>
      <c r="U7429">
        <v>3.5025330000000001</v>
      </c>
      <c r="V7429">
        <v>-8.5965529999999998E-2</v>
      </c>
      <c r="W7429">
        <v>0.37104090000000001</v>
      </c>
      <c r="X7429">
        <v>0.92462889999999998</v>
      </c>
      <c r="Y7429">
        <v>-1.9432899999999999E-2</v>
      </c>
      <c r="Z7429">
        <v>-0.18284</v>
      </c>
      <c r="AA7429">
        <v>0.98295060000000001</v>
      </c>
      <c r="AB7429">
        <v>31</v>
      </c>
      <c r="AC7429">
        <v>-1.3100000000008501E-2</v>
      </c>
      <c r="AD7429">
        <v>-0.1460504</v>
      </c>
      <c r="AE7429">
        <v>0.41619</v>
      </c>
      <c r="AF7429">
        <v>-1.2715344088528001E-2</v>
      </c>
      <c r="AG7429">
        <v>-0.1460504</v>
      </c>
      <c r="AH7429">
        <v>0.37056283101154303</v>
      </c>
      <c r="AI7429">
        <v>111.499452994405</v>
      </c>
      <c r="AJ7429">
        <v>91.965253286896299</v>
      </c>
      <c r="AK7429">
        <v>0.39850873396042302</v>
      </c>
      <c r="AL7429">
        <v>68.220173673011303</v>
      </c>
      <c r="AM7429">
        <v>95.311691360969107</v>
      </c>
      <c r="AN7429">
        <v>1.0000000122681001</v>
      </c>
    </row>
    <row r="7430" spans="1:40" x14ac:dyDescent="0.25">
      <c r="A7430" t="str">
        <f>"20190304165028756"</f>
        <v>20190304165028756</v>
      </c>
      <c r="B7430" t="str">
        <f>"1551689428752906"</f>
        <v>1551689428752906</v>
      </c>
      <c r="C7430" t="s">
        <v>40</v>
      </c>
      <c r="D7430">
        <v>4.5502589999999996</v>
      </c>
      <c r="E7430">
        <v>0.54189869999999996</v>
      </c>
      <c r="F7430" t="s">
        <v>41</v>
      </c>
      <c r="G7430">
        <v>-186.84219999999999</v>
      </c>
      <c r="H7430">
        <v>0.96085330000000002</v>
      </c>
      <c r="I7430">
        <v>27.669830000000001</v>
      </c>
      <c r="J7430">
        <v>-186.82900000000001</v>
      </c>
      <c r="K7430">
        <v>1.1109290000000001</v>
      </c>
      <c r="L7430">
        <v>27.26605</v>
      </c>
      <c r="M7430">
        <v>2.7779160000000001E-3</v>
      </c>
      <c r="N7430">
        <v>-1.42381E-2</v>
      </c>
      <c r="O7430">
        <v>0.99989479999999997</v>
      </c>
      <c r="P7430">
        <v>-8.1118140000000005E-2</v>
      </c>
      <c r="Q7430">
        <v>0.3504873</v>
      </c>
      <c r="R7430">
        <v>0.93304799999999999</v>
      </c>
      <c r="S7430">
        <v>-6.3751219999999997E-2</v>
      </c>
      <c r="T7430">
        <v>-0.76153839999999995</v>
      </c>
      <c r="U7430">
        <v>3.5129389999999998</v>
      </c>
      <c r="V7430">
        <v>-8.374318E-2</v>
      </c>
      <c r="W7430">
        <v>0.36372589999999999</v>
      </c>
      <c r="X7430">
        <v>0.92773410000000001</v>
      </c>
      <c r="Y7430">
        <v>-2.052942E-2</v>
      </c>
      <c r="Z7430">
        <v>-0.19788310000000001</v>
      </c>
      <c r="AA7430">
        <v>0.98001059999999995</v>
      </c>
      <c r="AB7430">
        <v>31</v>
      </c>
      <c r="AC7430">
        <v>-1.31999999999834E-2</v>
      </c>
      <c r="AD7430">
        <v>-0.15007569999999901</v>
      </c>
      <c r="AE7430">
        <v>0.40377999999999697</v>
      </c>
      <c r="AF7430">
        <v>-1.25850412527E-2</v>
      </c>
      <c r="AG7430">
        <v>-0.15007569999999901</v>
      </c>
      <c r="AH7430">
        <v>0.35478304256903598</v>
      </c>
      <c r="AI7430">
        <v>112.91577778092</v>
      </c>
      <c r="AJ7430">
        <v>92.031572680112305</v>
      </c>
      <c r="AK7430">
        <v>0.38542457924782703</v>
      </c>
      <c r="AL7430">
        <v>68.670806690366803</v>
      </c>
      <c r="AM7430">
        <v>95.157902862451195</v>
      </c>
      <c r="AN7430">
        <v>1.00000000541506</v>
      </c>
    </row>
    <row r="7431" spans="1:40" x14ac:dyDescent="0.25">
      <c r="A7431" t="str">
        <f>"20190304165028779"</f>
        <v>20190304165028779</v>
      </c>
      <c r="B7431" t="str">
        <f>"1551689428773401"</f>
        <v>1551689428773401</v>
      </c>
      <c r="C7431" t="s">
        <v>40</v>
      </c>
      <c r="D7431">
        <v>4.6640560000000004</v>
      </c>
      <c r="E7431">
        <v>0.54115679999999999</v>
      </c>
      <c r="F7431" t="s">
        <v>41</v>
      </c>
      <c r="G7431">
        <v>-186.8475</v>
      </c>
      <c r="H7431">
        <v>0.89840949999999997</v>
      </c>
      <c r="I7431">
        <v>28.197389999999999</v>
      </c>
      <c r="J7431">
        <v>-186.82820000000001</v>
      </c>
      <c r="K7431">
        <v>1.1109039999999999</v>
      </c>
      <c r="L7431">
        <v>27.582920000000001</v>
      </c>
      <c r="M7431">
        <v>2.716104E-3</v>
      </c>
      <c r="N7431">
        <v>-1.425014E-2</v>
      </c>
      <c r="O7431">
        <v>0.99989479999999997</v>
      </c>
      <c r="P7431">
        <v>-7.8696089999999996E-2</v>
      </c>
      <c r="Q7431">
        <v>0.34360020000000002</v>
      </c>
      <c r="R7431">
        <v>0.93581289999999995</v>
      </c>
      <c r="S7431">
        <v>-7.0083619999999999E-2</v>
      </c>
      <c r="T7431">
        <v>-0.80094409999999905</v>
      </c>
      <c r="U7431">
        <v>3.51004</v>
      </c>
      <c r="V7431">
        <v>-8.1270049999999996E-2</v>
      </c>
      <c r="W7431">
        <v>0.35689019999999999</v>
      </c>
      <c r="X7431">
        <v>0.9306044</v>
      </c>
      <c r="Y7431">
        <v>-2.220099E-2</v>
      </c>
      <c r="Z7431">
        <v>-0.20850250000000001</v>
      </c>
      <c r="AA7431">
        <v>0.97776989999999997</v>
      </c>
      <c r="AB7431">
        <v>31</v>
      </c>
      <c r="AC7431">
        <v>-1.9299999999986901E-2</v>
      </c>
      <c r="AD7431">
        <v>-0.2124945</v>
      </c>
      <c r="AE7431">
        <v>0.61446999999999996</v>
      </c>
      <c r="AF7431">
        <v>-1.87312094160372E-2</v>
      </c>
      <c r="AG7431">
        <v>-0.2124945</v>
      </c>
      <c r="AH7431">
        <v>0.54884388350455304</v>
      </c>
      <c r="AI7431">
        <v>111.15355678532801</v>
      </c>
      <c r="AJ7431">
        <v>91.954659401934506</v>
      </c>
      <c r="AK7431">
        <v>0.588841556954667</v>
      </c>
      <c r="AL7431">
        <v>69.090664913635095</v>
      </c>
      <c r="AM7431">
        <v>94.991000650123596</v>
      </c>
      <c r="AN7431">
        <v>0.99999999259120098</v>
      </c>
    </row>
    <row r="7432" spans="1:40" x14ac:dyDescent="0.25">
      <c r="A7432" t="str">
        <f>"20190304165028802"</f>
        <v>20190304165028802</v>
      </c>
      <c r="B7432" t="str">
        <f>"1551689428792921"</f>
        <v>1551689428792921</v>
      </c>
      <c r="C7432" t="s">
        <v>40</v>
      </c>
      <c r="D7432">
        <v>4.9933100000000001</v>
      </c>
      <c r="E7432">
        <v>0.54074350000000004</v>
      </c>
      <c r="F7432" t="s">
        <v>41</v>
      </c>
      <c r="G7432">
        <v>-186.84460000000001</v>
      </c>
      <c r="H7432">
        <v>0.9040958</v>
      </c>
      <c r="I7432">
        <v>28.47683</v>
      </c>
      <c r="J7432">
        <v>-186.82730000000001</v>
      </c>
      <c r="K7432">
        <v>1.110878</v>
      </c>
      <c r="L7432">
        <v>27.90814</v>
      </c>
      <c r="M7432">
        <v>2.652785E-3</v>
      </c>
      <c r="N7432">
        <v>-1.426026E-2</v>
      </c>
      <c r="O7432">
        <v>0.99989479999999997</v>
      </c>
      <c r="P7432">
        <v>-7.6675010000000002E-2</v>
      </c>
      <c r="Q7432">
        <v>0.33880110000000002</v>
      </c>
      <c r="R7432">
        <v>0.93772849999999996</v>
      </c>
      <c r="S7432">
        <v>-6.4392089999999999E-2</v>
      </c>
      <c r="T7432">
        <v>-0.80913760000000001</v>
      </c>
      <c r="U7432">
        <v>3.4974370000000001</v>
      </c>
      <c r="V7432">
        <v>-7.9194539999999994E-2</v>
      </c>
      <c r="W7432">
        <v>0.35212830000000001</v>
      </c>
      <c r="X7432">
        <v>0.93259530000000002</v>
      </c>
      <c r="Y7432">
        <v>-2.0608060000000001E-2</v>
      </c>
      <c r="Z7432">
        <v>-0.2114383</v>
      </c>
      <c r="AA7432">
        <v>0.97717399999999999</v>
      </c>
      <c r="AB7432">
        <v>31</v>
      </c>
      <c r="AC7432">
        <v>-1.73000000000058E-2</v>
      </c>
      <c r="AD7432">
        <v>-0.2067822</v>
      </c>
      <c r="AE7432">
        <v>0.56868999999999603</v>
      </c>
      <c r="AF7432">
        <v>-1.66141272789278E-2</v>
      </c>
      <c r="AG7432">
        <v>-0.2067822</v>
      </c>
      <c r="AH7432">
        <v>0.50229360943630197</v>
      </c>
      <c r="AI7432">
        <v>112.364762021581</v>
      </c>
      <c r="AJ7432">
        <v>91.894454621763401</v>
      </c>
      <c r="AK7432">
        <v>0.54344620482861805</v>
      </c>
      <c r="AL7432">
        <v>69.382454344137201</v>
      </c>
      <c r="AM7432">
        <v>94.853823484216093</v>
      </c>
      <c r="AN7432">
        <v>1.0000000542043901</v>
      </c>
    </row>
    <row r="7433" spans="1:40" x14ac:dyDescent="0.25">
      <c r="A7433" t="str">
        <f>"20190304165028827"</f>
        <v>20190304165028827</v>
      </c>
      <c r="B7433" t="str">
        <f>"1551689428812440"</f>
        <v>1551689428812440</v>
      </c>
      <c r="C7433" t="s">
        <v>40</v>
      </c>
      <c r="D7433">
        <v>4.8166739999999999</v>
      </c>
      <c r="E7433">
        <v>0.53957889999999997</v>
      </c>
      <c r="F7433" t="s">
        <v>41</v>
      </c>
      <c r="G7433">
        <v>-186.84049999999999</v>
      </c>
      <c r="H7433">
        <v>0.91397700000000004</v>
      </c>
      <c r="I7433">
        <v>28.7577</v>
      </c>
      <c r="J7433">
        <v>-186.82650000000001</v>
      </c>
      <c r="K7433">
        <v>1.11087</v>
      </c>
      <c r="L7433">
        <v>28.237030000000001</v>
      </c>
      <c r="M7433">
        <v>2.5889680000000001E-3</v>
      </c>
      <c r="N7433">
        <v>-1.426857E-2</v>
      </c>
      <c r="O7433">
        <v>0.99989490000000003</v>
      </c>
      <c r="P7433">
        <v>-7.4870660000000006E-2</v>
      </c>
      <c r="Q7433">
        <v>0.33631050000000001</v>
      </c>
      <c r="R7433">
        <v>0.93877029999999995</v>
      </c>
      <c r="S7433">
        <v>-5.4183960000000003E-2</v>
      </c>
      <c r="T7433">
        <v>-0.80811409999999995</v>
      </c>
      <c r="U7433">
        <v>3.486755</v>
      </c>
      <c r="V7433">
        <v>-7.7333120000000005E-2</v>
      </c>
      <c r="W7433">
        <v>0.34966170000000002</v>
      </c>
      <c r="X7433">
        <v>0.93367889999999998</v>
      </c>
      <c r="Y7433">
        <v>-1.7742919999999999E-2</v>
      </c>
      <c r="Z7433">
        <v>-0.21182680000000001</v>
      </c>
      <c r="AA7433">
        <v>0.97714610000000002</v>
      </c>
      <c r="AB7433">
        <v>31</v>
      </c>
      <c r="AC7433">
        <v>-1.3999999999981499E-2</v>
      </c>
      <c r="AD7433">
        <v>-0.19689300000000001</v>
      </c>
      <c r="AE7433">
        <v>0.52067000000000196</v>
      </c>
      <c r="AF7433">
        <v>-1.34291148179461E-2</v>
      </c>
      <c r="AG7433">
        <v>-0.19689300000000001</v>
      </c>
      <c r="AH7433">
        <v>0.45553732056151902</v>
      </c>
      <c r="AI7433">
        <v>113.365974437129</v>
      </c>
      <c r="AJ7433">
        <v>91.688574767677096</v>
      </c>
      <c r="AK7433">
        <v>0.49644883421976299</v>
      </c>
      <c r="AL7433">
        <v>69.533375468001694</v>
      </c>
      <c r="AM7433">
        <v>94.734786996638107</v>
      </c>
      <c r="AN7433">
        <v>1.00000000210051</v>
      </c>
    </row>
    <row r="7434" spans="1:40" x14ac:dyDescent="0.25">
      <c r="A7434" t="str">
        <f>"20190304165028847"</f>
        <v>20190304165028847</v>
      </c>
      <c r="B7434" t="str">
        <f>"1551689428832939"</f>
        <v>1551689428832939</v>
      </c>
      <c r="C7434" t="s">
        <v>40</v>
      </c>
      <c r="D7434">
        <v>4.8699149999999998</v>
      </c>
      <c r="E7434">
        <v>0.53965879999999999</v>
      </c>
      <c r="F7434" t="s">
        <v>41</v>
      </c>
      <c r="G7434">
        <v>-186.8347</v>
      </c>
      <c r="H7434">
        <v>0.9744543</v>
      </c>
      <c r="I7434">
        <v>29.061640000000001</v>
      </c>
      <c r="J7434">
        <v>-186.82589999999999</v>
      </c>
      <c r="K7434">
        <v>1.1108549999999999</v>
      </c>
      <c r="L7434">
        <v>28.51624</v>
      </c>
      <c r="M7434">
        <v>2.5348369999999999E-3</v>
      </c>
      <c r="N7434">
        <v>-1.427437E-2</v>
      </c>
      <c r="O7434">
        <v>0.99989490000000003</v>
      </c>
      <c r="P7434">
        <v>-7.3259740000000004E-2</v>
      </c>
      <c r="Q7434">
        <v>0.3321172</v>
      </c>
      <c r="R7434">
        <v>0.94038889999999997</v>
      </c>
      <c r="S7434">
        <v>-3.3676150000000002E-2</v>
      </c>
      <c r="T7434">
        <v>-0.56148640000000005</v>
      </c>
      <c r="U7434">
        <v>3.3941349999999999</v>
      </c>
      <c r="V7434">
        <v>-7.5674820000000004E-2</v>
      </c>
      <c r="W7434">
        <v>0.34549740000000001</v>
      </c>
      <c r="X7434">
        <v>0.93536350000000001</v>
      </c>
      <c r="Y7434">
        <v>-1.232955E-2</v>
      </c>
      <c r="Z7434">
        <v>-0.1490996</v>
      </c>
      <c r="AA7434">
        <v>0.98874530000000005</v>
      </c>
      <c r="AB7434">
        <v>31</v>
      </c>
      <c r="AC7434">
        <v>-8.8000000000079091E-3</v>
      </c>
      <c r="AD7434">
        <v>-0.13640069999999899</v>
      </c>
      <c r="AE7434">
        <v>0.545399999999997</v>
      </c>
      <c r="AF7434">
        <v>-9.5833630002490292E-3</v>
      </c>
      <c r="AG7434">
        <v>-0.13640069999999899</v>
      </c>
      <c r="AH7434">
        <v>0.51328040725248503</v>
      </c>
      <c r="AI7434">
        <v>104.879521504236</v>
      </c>
      <c r="AJ7434">
        <v>91.069634561044793</v>
      </c>
      <c r="AK7434">
        <v>0.53118148337094795</v>
      </c>
      <c r="AL7434">
        <v>69.787838232292103</v>
      </c>
      <c r="AM7434">
        <v>94.625393980846098</v>
      </c>
      <c r="AN7434">
        <v>1.00000000446052</v>
      </c>
    </row>
    <row r="7435" spans="1:40" x14ac:dyDescent="0.25">
      <c r="A7435" t="str">
        <f>"20190304165028871"</f>
        <v>20190304165028871</v>
      </c>
      <c r="B7435" t="str">
        <f>"1551689428863193"</f>
        <v>1551689428863193</v>
      </c>
      <c r="C7435" t="s">
        <v>40</v>
      </c>
      <c r="D7435">
        <v>5.0352100000000002</v>
      </c>
      <c r="E7435">
        <v>0.54011730000000002</v>
      </c>
      <c r="F7435" t="s">
        <v>41</v>
      </c>
      <c r="G7435">
        <v>-186.8329</v>
      </c>
      <c r="H7435">
        <v>0.96714250000000002</v>
      </c>
      <c r="I7435">
        <v>29.334199999999999</v>
      </c>
      <c r="J7435">
        <v>-186.82509999999999</v>
      </c>
      <c r="K7435">
        <v>1.1108309999999999</v>
      </c>
      <c r="L7435">
        <v>28.848849999999999</v>
      </c>
      <c r="M7435">
        <v>2.4701549999999999E-3</v>
      </c>
      <c r="N7435">
        <v>-1.427992E-2</v>
      </c>
      <c r="O7435">
        <v>0.99989499999999998</v>
      </c>
      <c r="P7435">
        <v>-7.1745710000000004E-2</v>
      </c>
      <c r="Q7435">
        <v>0.3276655</v>
      </c>
      <c r="R7435">
        <v>0.94206579999999995</v>
      </c>
      <c r="S7435">
        <v>-2.938843E-2</v>
      </c>
      <c r="T7435">
        <v>-0.59714650000000002</v>
      </c>
      <c r="U7435">
        <v>3.3987729999999998</v>
      </c>
      <c r="V7435">
        <v>-7.4103240000000001E-2</v>
      </c>
      <c r="W7435">
        <v>0.34107569999999998</v>
      </c>
      <c r="X7435">
        <v>0.93711049999999996</v>
      </c>
      <c r="Y7435">
        <v>-1.0991849999999999E-2</v>
      </c>
      <c r="Z7435">
        <v>-0.15895279999999901</v>
      </c>
      <c r="AA7435">
        <v>0.98722500000000002</v>
      </c>
      <c r="AB7435">
        <v>31</v>
      </c>
      <c r="AC7435">
        <v>-7.80000000000313E-3</v>
      </c>
      <c r="AD7435">
        <v>-0.1436885</v>
      </c>
      <c r="AE7435">
        <v>0.48535</v>
      </c>
      <c r="AF7435">
        <v>-8.2739901749158407E-3</v>
      </c>
      <c r="AG7435">
        <v>-0.1436885</v>
      </c>
      <c r="AH7435">
        <v>0.44622899491388102</v>
      </c>
      <c r="AI7435">
        <v>107.846007167427</v>
      </c>
      <c r="AJ7435">
        <v>91.062258177921294</v>
      </c>
      <c r="AK7435">
        <v>0.46886582286142098</v>
      </c>
      <c r="AL7435">
        <v>70.057575054736205</v>
      </c>
      <c r="AM7435">
        <v>94.521330406837194</v>
      </c>
      <c r="AN7435">
        <v>1.0000000062596099</v>
      </c>
    </row>
    <row r="7436" spans="1:40" x14ac:dyDescent="0.25">
      <c r="A7436" t="str">
        <f>"20190304165028894"</f>
        <v>20190304165028894</v>
      </c>
      <c r="B7436" t="str">
        <f>"1551689428882713"</f>
        <v>1551689428882713</v>
      </c>
      <c r="C7436" t="s">
        <v>40</v>
      </c>
      <c r="D7436">
        <v>4.68452</v>
      </c>
      <c r="E7436">
        <v>0.5402013</v>
      </c>
      <c r="F7436" t="s">
        <v>41</v>
      </c>
      <c r="G7436">
        <v>-186.82990000000001</v>
      </c>
      <c r="H7436">
        <v>0.97829100000000002</v>
      </c>
      <c r="I7436">
        <v>29.615259999999999</v>
      </c>
      <c r="J7436">
        <v>-186.8244</v>
      </c>
      <c r="K7436">
        <v>1.110819</v>
      </c>
      <c r="L7436">
        <v>29.167819999999999</v>
      </c>
      <c r="M7436">
        <v>2.4081419999999998E-3</v>
      </c>
      <c r="N7436">
        <v>-1.428375E-2</v>
      </c>
      <c r="O7436">
        <v>0.99989510000000004</v>
      </c>
      <c r="P7436">
        <v>-7.0214579999999999E-2</v>
      </c>
      <c r="Q7436">
        <v>0.32362540000000001</v>
      </c>
      <c r="R7436">
        <v>0.94357650000000004</v>
      </c>
      <c r="S7436">
        <v>-2.0950320000000001E-2</v>
      </c>
      <c r="T7436">
        <v>-0.58564930000000004</v>
      </c>
      <c r="U7436">
        <v>3.3865970000000001</v>
      </c>
      <c r="V7436">
        <v>-7.2516979999999995E-2</v>
      </c>
      <c r="W7436">
        <v>0.33706120000000001</v>
      </c>
      <c r="X7436">
        <v>0.93868580000000001</v>
      </c>
      <c r="Y7436">
        <v>-8.5070100000000006E-3</v>
      </c>
      <c r="Z7436">
        <v>-0.15630459999999999</v>
      </c>
      <c r="AA7436">
        <v>0.98767229999999995</v>
      </c>
      <c r="AB7436">
        <v>31</v>
      </c>
      <c r="AC7436">
        <v>-5.5000000000120499E-3</v>
      </c>
      <c r="AD7436">
        <v>-0.13252799999999901</v>
      </c>
      <c r="AE7436">
        <v>0.44743999999999601</v>
      </c>
      <c r="AF7436">
        <v>-6.0471589148619097E-3</v>
      </c>
      <c r="AG7436">
        <v>-0.13252799999999901</v>
      </c>
      <c r="AH7436">
        <v>0.41134391065563902</v>
      </c>
      <c r="AI7436">
        <v>107.856249360178</v>
      </c>
      <c r="AJ7436">
        <v>90.842243480654901</v>
      </c>
      <c r="AK7436">
        <v>0.432208342987981</v>
      </c>
      <c r="AL7436">
        <v>70.302072665134105</v>
      </c>
      <c r="AM7436">
        <v>94.417538502138996</v>
      </c>
      <c r="AN7436">
        <v>0.99999999802770001</v>
      </c>
    </row>
    <row r="7437" spans="1:40" x14ac:dyDescent="0.25">
      <c r="A7437" t="str">
        <f>"20190304165028915"</f>
        <v>20190304165028915</v>
      </c>
      <c r="B7437" t="str">
        <f>"1551689428903208"</f>
        <v>1551689428903208</v>
      </c>
      <c r="C7437" t="s">
        <v>40</v>
      </c>
      <c r="D7437">
        <v>4.6417109999999999</v>
      </c>
      <c r="E7437">
        <v>0.54075379999999995</v>
      </c>
      <c r="F7437" t="s">
        <v>41</v>
      </c>
      <c r="G7437">
        <v>-186.828</v>
      </c>
      <c r="H7437">
        <v>0.98577919999999997</v>
      </c>
      <c r="I7437">
        <v>29.894269999999999</v>
      </c>
      <c r="J7437">
        <v>-186.8237</v>
      </c>
      <c r="K7437">
        <v>1.1108089999999999</v>
      </c>
      <c r="L7437">
        <v>29.46649</v>
      </c>
      <c r="M7437">
        <v>2.3498709999999999E-3</v>
      </c>
      <c r="N7437">
        <v>-1.428633E-2</v>
      </c>
      <c r="O7437">
        <v>0.99989519999999998</v>
      </c>
      <c r="P7437">
        <v>-6.8915390000000007E-2</v>
      </c>
      <c r="Q7437">
        <v>0.3207817</v>
      </c>
      <c r="R7437">
        <v>0.94464269999999995</v>
      </c>
      <c r="S7437">
        <v>-1.7349239999999998E-2</v>
      </c>
      <c r="T7437">
        <v>-0.58134019999999897</v>
      </c>
      <c r="U7437">
        <v>3.377472</v>
      </c>
      <c r="V7437">
        <v>-7.1165060000000002E-2</v>
      </c>
      <c r="W7437">
        <v>0.33423550000000002</v>
      </c>
      <c r="X7437">
        <v>0.93979900000000005</v>
      </c>
      <c r="Y7437">
        <v>-7.4143509999999996E-3</v>
      </c>
      <c r="Z7437">
        <v>-0.15552769999999999</v>
      </c>
      <c r="AA7437">
        <v>0.98780369999999995</v>
      </c>
      <c r="AB7437">
        <v>31</v>
      </c>
      <c r="AC7437">
        <v>-4.3000000000006297E-3</v>
      </c>
      <c r="AD7437">
        <v>-0.125029799999999</v>
      </c>
      <c r="AE7437">
        <v>0.427779999999998</v>
      </c>
      <c r="AF7437">
        <v>-4.8878177852791499E-3</v>
      </c>
      <c r="AG7437">
        <v>-0.125029799999999</v>
      </c>
      <c r="AH7437">
        <v>0.39410555929987801</v>
      </c>
      <c r="AI7437">
        <v>107.600335209102</v>
      </c>
      <c r="AJ7437">
        <v>90.710563365420299</v>
      </c>
      <c r="AK7437">
        <v>0.41349187842303697</v>
      </c>
      <c r="AL7437">
        <v>70.473944147951102</v>
      </c>
      <c r="AM7437">
        <v>94.330384265557598</v>
      </c>
      <c r="AN7437">
        <v>0.99999999781302595</v>
      </c>
    </row>
    <row r="7438" spans="1:40" x14ac:dyDescent="0.25">
      <c r="A7438" t="str">
        <f>"20190304165028937"</f>
        <v>20190304165028937</v>
      </c>
      <c r="B7438" t="str">
        <f>"1551689428932490"</f>
        <v>1551689428932490</v>
      </c>
      <c r="C7438" t="s">
        <v>40</v>
      </c>
      <c r="D7438">
        <v>4.7980039999999997</v>
      </c>
      <c r="E7438">
        <v>0.54087280000000004</v>
      </c>
      <c r="F7438" t="s">
        <v>41</v>
      </c>
      <c r="G7438">
        <v>-186.82599999999999</v>
      </c>
      <c r="H7438">
        <v>0.94689710000000005</v>
      </c>
      <c r="I7438">
        <v>30.425609999999999</v>
      </c>
      <c r="J7438">
        <v>-186.82310000000001</v>
      </c>
      <c r="K7438">
        <v>1.1108089999999999</v>
      </c>
      <c r="L7438">
        <v>29.761869999999998</v>
      </c>
      <c r="M7438">
        <v>2.2924320000000001E-3</v>
      </c>
      <c r="N7438">
        <v>-1.428809E-2</v>
      </c>
      <c r="O7438">
        <v>0.99989530000000004</v>
      </c>
      <c r="P7438">
        <v>-6.7510979999999998E-2</v>
      </c>
      <c r="Q7438">
        <v>0.31945410000000002</v>
      </c>
      <c r="R7438">
        <v>0.94519379999999997</v>
      </c>
      <c r="S7438">
        <v>-8.6669920000000001E-3</v>
      </c>
      <c r="T7438">
        <v>-0.5760615</v>
      </c>
      <c r="U7438">
        <v>3.3707889999999998</v>
      </c>
      <c r="V7438">
        <v>-6.9707599999999995E-2</v>
      </c>
      <c r="W7438">
        <v>0.33291789999999999</v>
      </c>
      <c r="X7438">
        <v>0.94037570000000004</v>
      </c>
      <c r="Y7438">
        <v>-4.8266480000000002E-3</v>
      </c>
      <c r="Z7438">
        <v>-0.15435289999999999</v>
      </c>
      <c r="AA7438">
        <v>0.98800399999999999</v>
      </c>
      <c r="AB7438">
        <v>31</v>
      </c>
      <c r="AC7438">
        <v>-2.8999999999825801E-3</v>
      </c>
      <c r="AD7438">
        <v>-0.1639119</v>
      </c>
      <c r="AE7438">
        <v>0.663739999999997</v>
      </c>
      <c r="AF7438">
        <v>-4.1675709138349901E-3</v>
      </c>
      <c r="AG7438">
        <v>-0.1639119</v>
      </c>
      <c r="AH7438">
        <v>0.62558109969544295</v>
      </c>
      <c r="AI7438">
        <v>104.68201497399301</v>
      </c>
      <c r="AJ7438">
        <v>90.381694222997893</v>
      </c>
      <c r="AK7438">
        <v>0.64671183065186899</v>
      </c>
      <c r="AL7438">
        <v>70.554023185579496</v>
      </c>
      <c r="AM7438">
        <v>94.2394331212612</v>
      </c>
      <c r="AN7438">
        <v>0.99999996739432895</v>
      </c>
    </row>
    <row r="7439" spans="1:40" x14ac:dyDescent="0.25">
      <c r="A7439" t="str">
        <f>"20190304165028957"</f>
        <v>20190304165028957</v>
      </c>
      <c r="B7439" t="str">
        <f>"1551689428952985"</f>
        <v>1551689428952985</v>
      </c>
      <c r="C7439" t="s">
        <v>40</v>
      </c>
      <c r="D7439">
        <v>4.7289789999999998</v>
      </c>
      <c r="E7439">
        <v>0.54110119999999995</v>
      </c>
      <c r="F7439" t="s">
        <v>41</v>
      </c>
      <c r="G7439">
        <v>-186.8229</v>
      </c>
      <c r="H7439">
        <v>0.95889829999999998</v>
      </c>
      <c r="I7439">
        <v>30.705690000000001</v>
      </c>
      <c r="J7439">
        <v>-186.82249999999999</v>
      </c>
      <c r="K7439">
        <v>1.1107990000000001</v>
      </c>
      <c r="L7439">
        <v>30.045929999999998</v>
      </c>
      <c r="M7439">
        <v>2.2369909999999998E-3</v>
      </c>
      <c r="N7439">
        <v>-1.428918E-2</v>
      </c>
      <c r="O7439">
        <v>0.99989539999999999</v>
      </c>
      <c r="P7439">
        <v>-6.5158900000000006E-2</v>
      </c>
      <c r="Q7439">
        <v>0.31880039999999998</v>
      </c>
      <c r="R7439">
        <v>0.94557950000000002</v>
      </c>
      <c r="S7439">
        <v>5.1879879999999995E-4</v>
      </c>
      <c r="T7439">
        <v>-0.54025080000000003</v>
      </c>
      <c r="U7439">
        <v>3.356598</v>
      </c>
      <c r="V7439">
        <v>-6.730361E-2</v>
      </c>
      <c r="W7439">
        <v>0.3322717</v>
      </c>
      <c r="X7439">
        <v>0.94077929999999999</v>
      </c>
      <c r="Y7439">
        <v>-2.0816960000000001E-3</v>
      </c>
      <c r="Z7439">
        <v>-0.1447822</v>
      </c>
      <c r="AA7439">
        <v>0.98946140000000005</v>
      </c>
      <c r="AB7439">
        <v>31</v>
      </c>
      <c r="AC7439">
        <v>-4.0000000001327803E-4</v>
      </c>
      <c r="AD7439">
        <v>-0.151900699999999</v>
      </c>
      <c r="AE7439">
        <v>0.65976000000000201</v>
      </c>
      <c r="AF7439">
        <v>-1.78158719919276E-3</v>
      </c>
      <c r="AG7439">
        <v>-0.151900699999999</v>
      </c>
      <c r="AH7439">
        <v>0.62654509222063903</v>
      </c>
      <c r="AI7439">
        <v>103.627890230048</v>
      </c>
      <c r="AJ7439">
        <v>90.162920679612199</v>
      </c>
      <c r="AK7439">
        <v>0.64469818465636097</v>
      </c>
      <c r="AL7439">
        <v>70.5932829279012</v>
      </c>
      <c r="AM7439">
        <v>94.091984394481898</v>
      </c>
      <c r="AN7439">
        <v>0.999999974924205</v>
      </c>
    </row>
    <row r="7440" spans="1:40" x14ac:dyDescent="0.25">
      <c r="A7440" t="str">
        <f>"20190304165028980"</f>
        <v>20190304165028980</v>
      </c>
      <c r="B7440" t="str">
        <f>"1551689428972505"</f>
        <v>1551689428972505</v>
      </c>
      <c r="C7440" t="s">
        <v>40</v>
      </c>
      <c r="D7440">
        <v>4.6711220000000004</v>
      </c>
      <c r="E7440">
        <v>0.54130119999999904</v>
      </c>
      <c r="F7440" t="s">
        <v>41</v>
      </c>
      <c r="G7440">
        <v>-186.8193</v>
      </c>
      <c r="H7440">
        <v>0.96540519999999996</v>
      </c>
      <c r="I7440">
        <v>30.982869999999998</v>
      </c>
      <c r="J7440">
        <v>-186.8218</v>
      </c>
      <c r="K7440">
        <v>1.1107959999999999</v>
      </c>
      <c r="L7440">
        <v>30.358460000000001</v>
      </c>
      <c r="M7440">
        <v>2.175939E-3</v>
      </c>
      <c r="N7440">
        <v>-1.428973E-2</v>
      </c>
      <c r="O7440">
        <v>0.99989550000000005</v>
      </c>
      <c r="P7440">
        <v>-6.2578819999999993E-2</v>
      </c>
      <c r="Q7440">
        <v>0.31837650000000001</v>
      </c>
      <c r="R7440">
        <v>0.94589659999999998</v>
      </c>
      <c r="S7440">
        <v>1.0986330000000001E-2</v>
      </c>
      <c r="T7440">
        <v>-0.51964220000000005</v>
      </c>
      <c r="U7440">
        <v>3.3486020000000001</v>
      </c>
      <c r="V7440">
        <v>-6.4666719999999997E-2</v>
      </c>
      <c r="W7440">
        <v>0.33185300000000001</v>
      </c>
      <c r="X7440">
        <v>0.94111199999999995</v>
      </c>
      <c r="Y7440">
        <v>1.07142E-3</v>
      </c>
      <c r="Z7440">
        <v>-0.1392091</v>
      </c>
      <c r="AA7440">
        <v>0.99026239999999999</v>
      </c>
      <c r="AB7440">
        <v>31</v>
      </c>
      <c r="AC7440">
        <v>2.4999999999977202E-3</v>
      </c>
      <c r="AD7440">
        <v>-0.14539079999999899</v>
      </c>
      <c r="AE7440">
        <v>0.62441000000000402</v>
      </c>
      <c r="AF7440">
        <v>1.08248904229089E-3</v>
      </c>
      <c r="AG7440">
        <v>-0.14539079999999899</v>
      </c>
      <c r="AH7440">
        <v>0.59230175097715998</v>
      </c>
      <c r="AI7440">
        <v>103.79154206307599</v>
      </c>
      <c r="AJ7440">
        <v>89.895286508377296</v>
      </c>
      <c r="AK7440">
        <v>0.60988607191653099</v>
      </c>
      <c r="AL7440">
        <v>70.618716251224498</v>
      </c>
      <c r="AM7440">
        <v>93.930791818812907</v>
      </c>
      <c r="AN7440">
        <v>0.99999999741427903</v>
      </c>
    </row>
    <row r="7441" spans="1:40" x14ac:dyDescent="0.25">
      <c r="A7441" t="str">
        <f>"20190304165029002"</f>
        <v>20190304165029002</v>
      </c>
      <c r="B7441" t="str">
        <f>"1551689428993001"</f>
        <v>1551689428993001</v>
      </c>
      <c r="C7441" t="s">
        <v>40</v>
      </c>
      <c r="D7441">
        <v>4.6250410000000004</v>
      </c>
      <c r="E7441">
        <v>0.54137100000000005</v>
      </c>
      <c r="F7441" t="s">
        <v>41</v>
      </c>
      <c r="G7441">
        <v>-186.81610000000001</v>
      </c>
      <c r="H7441">
        <v>0.97494179999999997</v>
      </c>
      <c r="I7441">
        <v>31.261199999999999</v>
      </c>
      <c r="J7441">
        <v>-186.8212</v>
      </c>
      <c r="K7441">
        <v>1.1108009999999999</v>
      </c>
      <c r="L7441">
        <v>30.663119999999999</v>
      </c>
      <c r="M7441">
        <v>2.116368E-3</v>
      </c>
      <c r="N7441">
        <v>-1.4289720000000001E-2</v>
      </c>
      <c r="O7441">
        <v>0.9998956</v>
      </c>
      <c r="P7441">
        <v>-6.0054339999999998E-2</v>
      </c>
      <c r="Q7441">
        <v>0.31837860000000001</v>
      </c>
      <c r="R7441">
        <v>0.94605950000000005</v>
      </c>
      <c r="S7441">
        <v>2.1102909999999999E-2</v>
      </c>
      <c r="T7441">
        <v>-0.50298329999999902</v>
      </c>
      <c r="U7441">
        <v>3.342285</v>
      </c>
      <c r="V7441">
        <v>-6.2086019999999999E-2</v>
      </c>
      <c r="W7441">
        <v>0.33185750000000003</v>
      </c>
      <c r="X7441">
        <v>0.94128420000000002</v>
      </c>
      <c r="Y7441">
        <v>4.1348069999999999E-3</v>
      </c>
      <c r="Z7441">
        <v>-0.134666799999999</v>
      </c>
      <c r="AA7441">
        <v>0.99088229999999999</v>
      </c>
      <c r="AB7441">
        <v>31</v>
      </c>
      <c r="AC7441">
        <v>5.0999999999987696E-3</v>
      </c>
      <c r="AD7441">
        <v>-0.13585919999999899</v>
      </c>
      <c r="AE7441">
        <v>0.59807999999999595</v>
      </c>
      <c r="AF7441">
        <v>3.64597878847342E-3</v>
      </c>
      <c r="AG7441">
        <v>-0.13585919999999899</v>
      </c>
      <c r="AH7441">
        <v>0.56874374619137702</v>
      </c>
      <c r="AI7441">
        <v>103.43455574430401</v>
      </c>
      <c r="AJ7441">
        <v>89.632705701587597</v>
      </c>
      <c r="AK7441">
        <v>0.58475675645328595</v>
      </c>
      <c r="AL7441">
        <v>70.618443178445702</v>
      </c>
      <c r="AM7441">
        <v>93.773697279568495</v>
      </c>
      <c r="AN7441">
        <v>1.00000000967766</v>
      </c>
    </row>
    <row r="7442" spans="1:40" x14ac:dyDescent="0.25">
      <c r="A7442" t="str">
        <f>"20190304165029027"</f>
        <v>20190304165029027</v>
      </c>
      <c r="B7442" t="str">
        <f>"1551689429023257"</f>
        <v>1551689429023257</v>
      </c>
      <c r="C7442" t="s">
        <v>40</v>
      </c>
      <c r="D7442">
        <v>4.6758959999999998</v>
      </c>
      <c r="E7442">
        <v>0.54142299999999999</v>
      </c>
      <c r="F7442" t="s">
        <v>41</v>
      </c>
      <c r="G7442">
        <v>-186.81319999999999</v>
      </c>
      <c r="H7442">
        <v>0.98355939999999997</v>
      </c>
      <c r="I7442">
        <v>31.538810000000002</v>
      </c>
      <c r="J7442">
        <v>-186.82060000000001</v>
      </c>
      <c r="K7442">
        <v>1.1108020000000001</v>
      </c>
      <c r="L7442">
        <v>30.993680000000001</v>
      </c>
      <c r="M7442">
        <v>2.0517299999999999E-3</v>
      </c>
      <c r="N7442">
        <v>-1.428928E-2</v>
      </c>
      <c r="O7442">
        <v>0.9998958</v>
      </c>
      <c r="P7442">
        <v>-5.8231060000000001E-2</v>
      </c>
      <c r="Q7442">
        <v>0.32030500000000001</v>
      </c>
      <c r="R7442">
        <v>0.94552309999999995</v>
      </c>
      <c r="S7442">
        <v>3.0258179999999999E-2</v>
      </c>
      <c r="T7442">
        <v>-0.48475849999999998</v>
      </c>
      <c r="U7442">
        <v>3.3361209999999999</v>
      </c>
      <c r="V7442">
        <v>-6.0200620000000003E-2</v>
      </c>
      <c r="W7442">
        <v>0.33377610000000002</v>
      </c>
      <c r="X7442">
        <v>0.94072809999999996</v>
      </c>
      <c r="Y7442">
        <v>6.9331319999999998E-3</v>
      </c>
      <c r="Z7442">
        <v>-0.12963549999999999</v>
      </c>
      <c r="AA7442">
        <v>0.99153749999999996</v>
      </c>
      <c r="AB7442">
        <v>31</v>
      </c>
      <c r="AC7442">
        <v>7.40000000001828E-3</v>
      </c>
      <c r="AD7442">
        <v>-0.12724259999999901</v>
      </c>
      <c r="AE7442">
        <v>0.54513</v>
      </c>
      <c r="AF7442">
        <v>5.9569168344304601E-3</v>
      </c>
      <c r="AG7442">
        <v>-0.12724259999999901</v>
      </c>
      <c r="AH7442">
        <v>0.51698223102607099</v>
      </c>
      <c r="AI7442">
        <v>103.826246440692</v>
      </c>
      <c r="AJ7442">
        <v>89.3398398059893</v>
      </c>
      <c r="AK7442">
        <v>0.53244416731674904</v>
      </c>
      <c r="AL7442">
        <v>70.5018691726725</v>
      </c>
      <c r="AM7442">
        <v>93.661572941600497</v>
      </c>
      <c r="AN7442">
        <v>0.99999997885460101</v>
      </c>
    </row>
    <row r="7443" spans="1:40" x14ac:dyDescent="0.25">
      <c r="A7443" t="str">
        <f>"20190304165029046"</f>
        <v>20190304165029046</v>
      </c>
      <c r="B7443" t="str">
        <f>"1551689429042777"</f>
        <v>1551689429042777</v>
      </c>
      <c r="C7443" t="s">
        <v>40</v>
      </c>
      <c r="D7443">
        <v>4.7021389999999998</v>
      </c>
      <c r="E7443">
        <v>0.54134579999999999</v>
      </c>
      <c r="F7443" t="s">
        <v>41</v>
      </c>
      <c r="G7443">
        <v>-186.81100000000001</v>
      </c>
      <c r="H7443">
        <v>0.99789399999999995</v>
      </c>
      <c r="I7443">
        <v>31.818940000000001</v>
      </c>
      <c r="J7443">
        <v>-186.8201</v>
      </c>
      <c r="K7443">
        <v>1.110814</v>
      </c>
      <c r="L7443">
        <v>31.25928</v>
      </c>
      <c r="M7443">
        <v>1.999659E-3</v>
      </c>
      <c r="N7443">
        <v>-1.428867E-2</v>
      </c>
      <c r="O7443">
        <v>0.99989589999999995</v>
      </c>
      <c r="P7443">
        <v>-5.674278E-2</v>
      </c>
      <c r="Q7443">
        <v>0.32221880000000003</v>
      </c>
      <c r="R7443">
        <v>0.94496309999999994</v>
      </c>
      <c r="S7443">
        <v>3.8711549999999997E-2</v>
      </c>
      <c r="T7443">
        <v>-0.45553949999999999</v>
      </c>
      <c r="U7443">
        <v>3.3295590000000002</v>
      </c>
      <c r="V7443">
        <v>-5.8661499999999998E-2</v>
      </c>
      <c r="W7443">
        <v>0.33568170000000003</v>
      </c>
      <c r="X7443">
        <v>0.94014710000000001</v>
      </c>
      <c r="Y7443">
        <v>9.5297950000000006E-3</v>
      </c>
      <c r="Z7443">
        <v>-0.1213755</v>
      </c>
      <c r="AA7443">
        <v>0.99256089999999997</v>
      </c>
      <c r="AB7443">
        <v>31</v>
      </c>
      <c r="AC7443">
        <v>9.1000000000178698E-3</v>
      </c>
      <c r="AD7443">
        <v>-0.11291999999999899</v>
      </c>
      <c r="AE7443">
        <v>0.55966000000000005</v>
      </c>
      <c r="AF7443">
        <v>7.6686363775367904E-3</v>
      </c>
      <c r="AG7443">
        <v>-0.11291999999999899</v>
      </c>
      <c r="AH7443">
        <v>0.53778984005404196</v>
      </c>
      <c r="AI7443">
        <v>101.85698883210399</v>
      </c>
      <c r="AJ7443">
        <v>89.183043840629196</v>
      </c>
      <c r="AK7443">
        <v>0.54957041991836098</v>
      </c>
      <c r="AL7443">
        <v>70.386002344927107</v>
      </c>
      <c r="AM7443">
        <v>93.570403711923106</v>
      </c>
      <c r="AN7443">
        <v>0.99999997246777395</v>
      </c>
    </row>
    <row r="7444" spans="1:40" x14ac:dyDescent="0.25">
      <c r="A7444" t="str">
        <f>"20190304165029071"</f>
        <v>20190304165029071</v>
      </c>
      <c r="B7444" t="str">
        <f>"1551689429063273"</f>
        <v>1551689429063273</v>
      </c>
      <c r="C7444" t="s">
        <v>40</v>
      </c>
      <c r="D7444">
        <v>4.7090630000000004</v>
      </c>
      <c r="E7444">
        <v>0.54129959999999999</v>
      </c>
      <c r="F7444" t="s">
        <v>41</v>
      </c>
      <c r="G7444">
        <v>-186.80889999999999</v>
      </c>
      <c r="H7444">
        <v>1.001214</v>
      </c>
      <c r="I7444">
        <v>32.093389999999999</v>
      </c>
      <c r="J7444">
        <v>-186.81950000000001</v>
      </c>
      <c r="K7444">
        <v>1.1108169999999999</v>
      </c>
      <c r="L7444">
        <v>31.585999999999999</v>
      </c>
      <c r="M7444">
        <v>1.935766E-3</v>
      </c>
      <c r="N7444">
        <v>-1.428753E-2</v>
      </c>
      <c r="O7444">
        <v>0.99989600000000001</v>
      </c>
      <c r="P7444">
        <v>-5.563179E-2</v>
      </c>
      <c r="Q7444">
        <v>0.32457550000000002</v>
      </c>
      <c r="R7444">
        <v>0.94422229999999996</v>
      </c>
      <c r="S7444">
        <v>4.3853759999999999E-2</v>
      </c>
      <c r="T7444">
        <v>-0.43709330000000002</v>
      </c>
      <c r="U7444">
        <v>3.326416</v>
      </c>
      <c r="V7444">
        <v>-5.748901E-2</v>
      </c>
      <c r="W7444">
        <v>0.33802670000000001</v>
      </c>
      <c r="X7444">
        <v>0.93937899999999996</v>
      </c>
      <c r="Y7444">
        <v>1.114573E-2</v>
      </c>
      <c r="Z7444">
        <v>-0.116091899999999</v>
      </c>
      <c r="AA7444">
        <v>0.9931759</v>
      </c>
      <c r="AB7444">
        <v>31</v>
      </c>
      <c r="AC7444">
        <v>1.06000000000108E-2</v>
      </c>
      <c r="AD7444">
        <v>-0.10960299999999901</v>
      </c>
      <c r="AE7444">
        <v>0.50739000000000001</v>
      </c>
      <c r="AF7444">
        <v>9.1890990677471196E-3</v>
      </c>
      <c r="AG7444">
        <v>-0.10960299999999901</v>
      </c>
      <c r="AH7444">
        <v>0.484797917088227</v>
      </c>
      <c r="AI7444">
        <v>102.73704170043899</v>
      </c>
      <c r="AJ7444">
        <v>88.914117538116599</v>
      </c>
      <c r="AK7444">
        <v>0.49711797147534398</v>
      </c>
      <c r="AL7444">
        <v>70.243303909449196</v>
      </c>
      <c r="AM7444">
        <v>93.502073878749997</v>
      </c>
      <c r="AN7444">
        <v>0.99999997091233395</v>
      </c>
    </row>
    <row r="7445" spans="1:40" x14ac:dyDescent="0.25">
      <c r="A7445" t="str">
        <f>"20190304165029094"</f>
        <v>20190304165029094</v>
      </c>
      <c r="B7445" t="str">
        <f>"1551689429082794"</f>
        <v>1551689429082794</v>
      </c>
      <c r="C7445" t="s">
        <v>40</v>
      </c>
      <c r="D7445">
        <v>4.6934709999999997</v>
      </c>
      <c r="E7445">
        <v>0.54128509999999996</v>
      </c>
      <c r="F7445" t="s">
        <v>41</v>
      </c>
      <c r="G7445">
        <v>-186.8082</v>
      </c>
      <c r="H7445">
        <v>1.011795</v>
      </c>
      <c r="I7445">
        <v>32.371090000000002</v>
      </c>
      <c r="J7445">
        <v>-186.81890000000001</v>
      </c>
      <c r="K7445">
        <v>1.110832</v>
      </c>
      <c r="L7445">
        <v>31.907070000000001</v>
      </c>
      <c r="M7445">
        <v>1.8729910000000001E-3</v>
      </c>
      <c r="N7445">
        <v>-1.428606E-2</v>
      </c>
      <c r="O7445">
        <v>0.99989620000000001</v>
      </c>
      <c r="P7445">
        <v>-5.561315E-2</v>
      </c>
      <c r="Q7445">
        <v>0.32616060000000002</v>
      </c>
      <c r="R7445">
        <v>0.94367710000000005</v>
      </c>
      <c r="S7445">
        <v>4.7607419999999998E-2</v>
      </c>
      <c r="T7445">
        <v>-0.41927530000000002</v>
      </c>
      <c r="U7445">
        <v>3.3241580000000002</v>
      </c>
      <c r="V7445">
        <v>-5.7410030000000001E-2</v>
      </c>
      <c r="W7445">
        <v>0.33960279999999998</v>
      </c>
      <c r="X7445">
        <v>0.93881519999999996</v>
      </c>
      <c r="Y7445">
        <v>1.2346340000000001E-2</v>
      </c>
      <c r="Z7445">
        <v>-0.1109406</v>
      </c>
      <c r="AA7445">
        <v>0.99375029999999998</v>
      </c>
      <c r="AB7445">
        <v>31</v>
      </c>
      <c r="AC7445">
        <v>1.0700000000014099E-2</v>
      </c>
      <c r="AD7445">
        <v>-9.9037E-2</v>
      </c>
      <c r="AE7445">
        <v>0.46402000000000099</v>
      </c>
      <c r="AF7445">
        <v>9.4026896519931093E-3</v>
      </c>
      <c r="AG7445">
        <v>-9.9037E-2</v>
      </c>
      <c r="AH7445">
        <v>0.443831887208608</v>
      </c>
      <c r="AI7445">
        <v>102.57621945987199</v>
      </c>
      <c r="AJ7445">
        <v>88.786356111363702</v>
      </c>
      <c r="AK7445">
        <v>0.45484445917791</v>
      </c>
      <c r="AL7445">
        <v>70.147323159775496</v>
      </c>
      <c r="AM7445">
        <v>93.499369632294602</v>
      </c>
      <c r="AN7445">
        <v>0.99999997653174</v>
      </c>
    </row>
    <row r="7446" spans="1:40" x14ac:dyDescent="0.25">
      <c r="A7446" t="str">
        <f>"20190304165029117"</f>
        <v>20190304165029117</v>
      </c>
      <c r="B7446" t="str">
        <f>"1551689429113048"</f>
        <v>1551689429113048</v>
      </c>
      <c r="C7446" t="s">
        <v>40</v>
      </c>
      <c r="D7446">
        <v>4.7046919999999997</v>
      </c>
      <c r="E7446">
        <v>0.53951280000000001</v>
      </c>
      <c r="F7446" t="s">
        <v>41</v>
      </c>
      <c r="G7446">
        <v>-186.80799999999999</v>
      </c>
      <c r="H7446">
        <v>1.0196529999999999</v>
      </c>
      <c r="I7446">
        <v>32.647170000000003</v>
      </c>
      <c r="J7446">
        <v>-186.8184</v>
      </c>
      <c r="K7446">
        <v>1.110851</v>
      </c>
      <c r="L7446">
        <v>32.222990000000003</v>
      </c>
      <c r="M7446">
        <v>1.811331E-3</v>
      </c>
      <c r="N7446">
        <v>-1.4284389999999999E-2</v>
      </c>
      <c r="O7446">
        <v>0.99989629999999996</v>
      </c>
      <c r="P7446">
        <v>-5.7348580000000003E-2</v>
      </c>
      <c r="Q7446">
        <v>0.32822259999999998</v>
      </c>
      <c r="R7446">
        <v>0.94285790000000003</v>
      </c>
      <c r="S7446">
        <v>4.8263550000000002E-2</v>
      </c>
      <c r="T7446">
        <v>-0.40943859999999999</v>
      </c>
      <c r="U7446">
        <v>3.3233950000000001</v>
      </c>
      <c r="V7446">
        <v>-5.9086329999999999E-2</v>
      </c>
      <c r="W7446">
        <v>0.34165069999999997</v>
      </c>
      <c r="X7446">
        <v>0.93796780000000002</v>
      </c>
      <c r="Y7446">
        <v>1.261201E-2</v>
      </c>
      <c r="Z7446">
        <v>-0.1080735</v>
      </c>
      <c r="AA7446">
        <v>0.99406289999999997</v>
      </c>
      <c r="AB7446">
        <v>30</v>
      </c>
      <c r="AC7446">
        <v>1.04000000000041E-2</v>
      </c>
      <c r="AD7446">
        <v>-9.1197999999999793E-2</v>
      </c>
      <c r="AE7446">
        <v>0.424179999999999</v>
      </c>
      <c r="AF7446">
        <v>9.2062762022695893E-3</v>
      </c>
      <c r="AG7446">
        <v>-9.1197999999999793E-2</v>
      </c>
      <c r="AH7446">
        <v>0.40546698014503602</v>
      </c>
      <c r="AI7446">
        <v>102.67290925569399</v>
      </c>
      <c r="AJ7446">
        <v>88.699301840643699</v>
      </c>
      <c r="AK7446">
        <v>0.41569857194059201</v>
      </c>
      <c r="AL7446">
        <v>70.022524304088904</v>
      </c>
      <c r="AM7446">
        <v>93.604526660923497</v>
      </c>
      <c r="AN7446">
        <v>0.99999999452009902</v>
      </c>
    </row>
    <row r="7447" spans="1:40" x14ac:dyDescent="0.25">
      <c r="A7447" t="str">
        <f>"20190304165029137"</f>
        <v>20190304165029137</v>
      </c>
      <c r="B7447" t="str">
        <f>"1551689429132569"</f>
        <v>1551689429132569</v>
      </c>
      <c r="C7447" t="s">
        <v>40</v>
      </c>
      <c r="D7447">
        <v>4.6096190000000004</v>
      </c>
      <c r="E7447">
        <v>0.54016629999999999</v>
      </c>
      <c r="F7447" t="s">
        <v>41</v>
      </c>
      <c r="G7447">
        <v>-186.8056</v>
      </c>
      <c r="H7447">
        <v>1.0334000000000001</v>
      </c>
      <c r="I7447">
        <v>33.197409999999998</v>
      </c>
      <c r="J7447">
        <v>-186.81800000000001</v>
      </c>
      <c r="K7447">
        <v>1.11086</v>
      </c>
      <c r="L7447">
        <v>32.4895</v>
      </c>
      <c r="M7447">
        <v>1.757544E-3</v>
      </c>
      <c r="N7447">
        <v>-1.428285E-2</v>
      </c>
      <c r="O7447">
        <v>0.99989649999999997</v>
      </c>
      <c r="P7447">
        <v>-5.8588800000000003E-2</v>
      </c>
      <c r="Q7447">
        <v>0.33138210000000001</v>
      </c>
      <c r="R7447">
        <v>0.94167579999999995</v>
      </c>
      <c r="S7447">
        <v>4.2724610000000003E-2</v>
      </c>
      <c r="T7447">
        <v>-0.2603259</v>
      </c>
      <c r="U7447">
        <v>3.2750240000000002</v>
      </c>
      <c r="V7447">
        <v>-6.0273859999999999E-2</v>
      </c>
      <c r="W7447">
        <v>0.34479169999999998</v>
      </c>
      <c r="X7447">
        <v>0.93674210000000002</v>
      </c>
      <c r="Y7447">
        <v>1.125176E-2</v>
      </c>
      <c r="Z7447">
        <v>-6.4986390000000005E-2</v>
      </c>
      <c r="AA7447">
        <v>0.99782269999999895</v>
      </c>
      <c r="AB7447">
        <v>30</v>
      </c>
      <c r="AC7447">
        <v>1.23999999999853E-2</v>
      </c>
      <c r="AD7447">
        <v>-7.7459999999999807E-2</v>
      </c>
      <c r="AE7447">
        <v>0.70790999999999804</v>
      </c>
      <c r="AF7447">
        <v>1.1023725667312301E-2</v>
      </c>
      <c r="AG7447">
        <v>-7.7459999999999807E-2</v>
      </c>
      <c r="AH7447">
        <v>0.69955754765773603</v>
      </c>
      <c r="AI7447">
        <v>96.317680663348796</v>
      </c>
      <c r="AJ7447">
        <v>89.097199816288907</v>
      </c>
      <c r="AK7447">
        <v>0.70391926853332698</v>
      </c>
      <c r="AL7447">
        <v>69.830919290731003</v>
      </c>
      <c r="AM7447">
        <v>93.681572185067594</v>
      </c>
      <c r="AN7447">
        <v>1.00000000825029</v>
      </c>
    </row>
    <row r="7448" spans="1:40" x14ac:dyDescent="0.25">
      <c r="A7448" t="str">
        <f>"20190304165029159"</f>
        <v>20190304165029159</v>
      </c>
      <c r="B7448" t="str">
        <f>"1551689429153065"</f>
        <v>1551689429153065</v>
      </c>
      <c r="C7448" t="s">
        <v>40</v>
      </c>
      <c r="D7448">
        <v>4.6865519999999998</v>
      </c>
      <c r="E7448">
        <v>0.54014640000000003</v>
      </c>
      <c r="F7448" t="s">
        <v>41</v>
      </c>
      <c r="G7448">
        <v>-186.80430000000001</v>
      </c>
      <c r="H7448">
        <v>1.0355259999999999</v>
      </c>
      <c r="I7448">
        <v>33.470179999999999</v>
      </c>
      <c r="J7448">
        <v>-186.8175</v>
      </c>
      <c r="K7448">
        <v>1.1108750000000001</v>
      </c>
      <c r="L7448">
        <v>32.800350000000002</v>
      </c>
      <c r="M7448">
        <v>1.691031E-3</v>
      </c>
      <c r="N7448">
        <v>-1.428084E-2</v>
      </c>
      <c r="O7448">
        <v>0.99989660000000002</v>
      </c>
      <c r="P7448">
        <v>-5.8355530000000003E-2</v>
      </c>
      <c r="Q7448">
        <v>0.33364820000000001</v>
      </c>
      <c r="R7448">
        <v>0.94088970000000005</v>
      </c>
      <c r="S7448">
        <v>4.5318600000000001E-2</v>
      </c>
      <c r="T7448">
        <v>-0.25176229999999999</v>
      </c>
      <c r="U7448">
        <v>3.2772220000000001</v>
      </c>
      <c r="V7448">
        <v>-5.9979079999999997E-2</v>
      </c>
      <c r="W7448">
        <v>0.34704380000000001</v>
      </c>
      <c r="X7448">
        <v>0.93592900000000001</v>
      </c>
      <c r="Y7448">
        <v>1.2101199999999999E-2</v>
      </c>
      <c r="Z7448">
        <v>-6.2343030000000001E-2</v>
      </c>
      <c r="AA7448">
        <v>0.99798140000000002</v>
      </c>
      <c r="AB7448">
        <v>30</v>
      </c>
      <c r="AC7448">
        <v>1.31999999999834E-2</v>
      </c>
      <c r="AD7448">
        <v>-7.5349000000000096E-2</v>
      </c>
      <c r="AE7448">
        <v>0.66982999999999704</v>
      </c>
      <c r="AF7448">
        <v>1.19164310380719E-2</v>
      </c>
      <c r="AG7448">
        <v>-7.5349000000000096E-2</v>
      </c>
      <c r="AH7448">
        <v>0.66148423302054704</v>
      </c>
      <c r="AI7448">
        <v>96.497449145397297</v>
      </c>
      <c r="AJ7448">
        <v>88.967946132270001</v>
      </c>
      <c r="AK7448">
        <v>0.66586850328309299</v>
      </c>
      <c r="AL7448">
        <v>69.693392866294502</v>
      </c>
      <c r="AM7448">
        <v>93.666790093637104</v>
      </c>
      <c r="AN7448">
        <v>0.99999999109854298</v>
      </c>
    </row>
    <row r="7449" spans="1:40" x14ac:dyDescent="0.25">
      <c r="A7449" t="str">
        <f>"20190304165029181"</f>
        <v>20190304165029181</v>
      </c>
      <c r="B7449" t="str">
        <f>"1551689429172585"</f>
        <v>1551689429172585</v>
      </c>
      <c r="C7449" t="s">
        <v>40</v>
      </c>
      <c r="D7449">
        <v>4.7058249999999999</v>
      </c>
      <c r="E7449">
        <v>0.5401918</v>
      </c>
      <c r="F7449" t="s">
        <v>41</v>
      </c>
      <c r="G7449">
        <v>-186.80459999999999</v>
      </c>
      <c r="H7449">
        <v>1.039566</v>
      </c>
      <c r="I7449">
        <v>33.744770000000003</v>
      </c>
      <c r="J7449">
        <v>-186.81710000000001</v>
      </c>
      <c r="K7449">
        <v>1.1108899999999999</v>
      </c>
      <c r="L7449">
        <v>33.087890000000002</v>
      </c>
      <c r="M7449">
        <v>1.6136989999999999E-3</v>
      </c>
      <c r="N7449">
        <v>-1.4278870000000001E-2</v>
      </c>
      <c r="O7449">
        <v>0.99989680000000003</v>
      </c>
      <c r="P7449">
        <v>-5.6741729999999997E-2</v>
      </c>
      <c r="Q7449">
        <v>0.33557130000000002</v>
      </c>
      <c r="R7449">
        <v>0.94030429999999998</v>
      </c>
      <c r="S7449">
        <v>4.4174190000000002E-2</v>
      </c>
      <c r="T7449">
        <v>-0.24760650000000001</v>
      </c>
      <c r="U7449">
        <v>3.2790219999999999</v>
      </c>
      <c r="V7449">
        <v>-5.8298320000000001E-2</v>
      </c>
      <c r="W7449">
        <v>0.34895579999999998</v>
      </c>
      <c r="X7449">
        <v>0.93532409999999999</v>
      </c>
      <c r="Y7449">
        <v>1.1824090000000001E-2</v>
      </c>
      <c r="Z7449">
        <v>-6.10459E-2</v>
      </c>
      <c r="AA7449">
        <v>0.99806490000000003</v>
      </c>
      <c r="AB7449">
        <v>30</v>
      </c>
      <c r="AC7449">
        <v>1.2500000000016999E-2</v>
      </c>
      <c r="AD7449">
        <v>-7.1323999999999901E-2</v>
      </c>
      <c r="AE7449">
        <v>0.65688000000000102</v>
      </c>
      <c r="AF7449">
        <v>1.13066167907172E-2</v>
      </c>
      <c r="AG7449">
        <v>-7.1323999999999901E-2</v>
      </c>
      <c r="AH7449">
        <v>0.64924771365462497</v>
      </c>
      <c r="AI7449">
        <v>96.268224736200196</v>
      </c>
      <c r="AJ7449">
        <v>89.002297689408707</v>
      </c>
      <c r="AK7449">
        <v>0.653251518364106</v>
      </c>
      <c r="AL7449">
        <v>69.576539697917696</v>
      </c>
      <c r="AM7449">
        <v>93.566605580598093</v>
      </c>
      <c r="AN7449">
        <v>1.0000000082546301</v>
      </c>
    </row>
    <row r="7450" spans="1:40" x14ac:dyDescent="0.25">
      <c r="A7450" t="str">
        <f>"20190304165029203"</f>
        <v>20190304165029203</v>
      </c>
      <c r="B7450" t="str">
        <f>"1551689429193084"</f>
        <v>1551689429193084</v>
      </c>
      <c r="C7450" t="s">
        <v>40</v>
      </c>
      <c r="D7450">
        <v>4.6946879999999904</v>
      </c>
      <c r="E7450">
        <v>0.54014319999999905</v>
      </c>
      <c r="F7450" t="s">
        <v>41</v>
      </c>
      <c r="G7450">
        <v>-186.8049</v>
      </c>
      <c r="H7450">
        <v>1.040432</v>
      </c>
      <c r="I7450">
        <v>34.016249999999999</v>
      </c>
      <c r="J7450">
        <v>-186.8167</v>
      </c>
      <c r="K7450">
        <v>1.1109089999999999</v>
      </c>
      <c r="L7450">
        <v>33.394559999999998</v>
      </c>
      <c r="M7450">
        <v>1.495562E-3</v>
      </c>
      <c r="N7450">
        <v>-1.427667E-2</v>
      </c>
      <c r="O7450">
        <v>0.99989689999999998</v>
      </c>
      <c r="P7450">
        <v>-5.429954E-2</v>
      </c>
      <c r="Q7450">
        <v>0.33770620000000001</v>
      </c>
      <c r="R7450">
        <v>0.93968399999999996</v>
      </c>
      <c r="S7450">
        <v>4.2938230000000001E-2</v>
      </c>
      <c r="T7450">
        <v>-0.24908549999999999</v>
      </c>
      <c r="U7450">
        <v>3.2819210000000001</v>
      </c>
      <c r="V7450">
        <v>-5.5762260000000001E-2</v>
      </c>
      <c r="W7450">
        <v>0.35107699999999997</v>
      </c>
      <c r="X7450">
        <v>0.93468470000000003</v>
      </c>
      <c r="Y7450">
        <v>1.1554389999999999E-2</v>
      </c>
      <c r="Z7450">
        <v>-6.142943E-2</v>
      </c>
      <c r="AA7450">
        <v>0.99804459999999995</v>
      </c>
      <c r="AB7450">
        <v>30</v>
      </c>
      <c r="AC7450">
        <v>1.17999999999938E-2</v>
      </c>
      <c r="AD7450">
        <v>-7.0476999999999901E-2</v>
      </c>
      <c r="AE7450">
        <v>0.62169000000000096</v>
      </c>
      <c r="AF7450">
        <v>1.07322424366613E-2</v>
      </c>
      <c r="AG7450">
        <v>-7.0476999999999901E-2</v>
      </c>
      <c r="AH7450">
        <v>0.61382139214438103</v>
      </c>
      <c r="AI7450">
        <v>96.548843644339399</v>
      </c>
      <c r="AJ7450">
        <v>88.998324991721901</v>
      </c>
      <c r="AK7450">
        <v>0.61794731976988504</v>
      </c>
      <c r="AL7450">
        <v>69.446796367432398</v>
      </c>
      <c r="AM7450">
        <v>93.414156416169803</v>
      </c>
      <c r="AN7450">
        <v>0.99999998899169795</v>
      </c>
    </row>
    <row r="7451" spans="1:40" x14ac:dyDescent="0.25">
      <c r="A7451" t="str">
        <f>"20190304165029226"</f>
        <v>20190304165029226</v>
      </c>
      <c r="B7451" t="str">
        <f>"1551689429212601"</f>
        <v>1551689429212601</v>
      </c>
      <c r="C7451" t="s">
        <v>40</v>
      </c>
      <c r="D7451">
        <v>4.7306800000000004</v>
      </c>
      <c r="E7451">
        <v>0.54006049999999906</v>
      </c>
      <c r="F7451" t="s">
        <v>41</v>
      </c>
      <c r="G7451">
        <v>-186.80459999999999</v>
      </c>
      <c r="H7451">
        <v>1.0428090000000001</v>
      </c>
      <c r="I7451">
        <v>34.288600000000002</v>
      </c>
      <c r="J7451">
        <v>-186.81639999999999</v>
      </c>
      <c r="K7451">
        <v>1.110959</v>
      </c>
      <c r="L7451">
        <v>33.693939999999998</v>
      </c>
      <c r="M7451">
        <v>1.3242690000000001E-3</v>
      </c>
      <c r="N7451">
        <v>-1.4274459999999999E-2</v>
      </c>
      <c r="O7451">
        <v>0.99989720000000004</v>
      </c>
      <c r="P7451">
        <v>-5.268722E-2</v>
      </c>
      <c r="Q7451">
        <v>0.33896369999999998</v>
      </c>
      <c r="R7451">
        <v>0.93932289999999996</v>
      </c>
      <c r="S7451">
        <v>4.3594359999999999E-2</v>
      </c>
      <c r="T7451">
        <v>-0.2502664</v>
      </c>
      <c r="U7451">
        <v>3.285034</v>
      </c>
      <c r="V7451">
        <v>-5.4021020000000003E-2</v>
      </c>
      <c r="W7451">
        <v>0.35232289999999999</v>
      </c>
      <c r="X7451">
        <v>0.93431810000000004</v>
      </c>
      <c r="Y7451">
        <v>1.191213E-2</v>
      </c>
      <c r="Z7451">
        <v>-6.1716739999999999E-2</v>
      </c>
      <c r="AA7451">
        <v>0.99802259999999998</v>
      </c>
      <c r="AB7451">
        <v>30</v>
      </c>
      <c r="AC7451">
        <v>1.17999999999938E-2</v>
      </c>
      <c r="AD7451">
        <v>-6.8149999999999905E-2</v>
      </c>
      <c r="AE7451">
        <v>0.59465999999999697</v>
      </c>
      <c r="AF7451">
        <v>1.08697138477305E-2</v>
      </c>
      <c r="AG7451">
        <v>-6.8149999999999905E-2</v>
      </c>
      <c r="AH7451">
        <v>0.58696893945144901</v>
      </c>
      <c r="AI7451">
        <v>96.621546057054701</v>
      </c>
      <c r="AJ7451">
        <v>88.939096245612902</v>
      </c>
      <c r="AK7451">
        <v>0.59101193647835104</v>
      </c>
      <c r="AL7451">
        <v>69.370540051254906</v>
      </c>
      <c r="AM7451">
        <v>93.309081026088904</v>
      </c>
      <c r="AN7451">
        <v>1.0000000042269299</v>
      </c>
    </row>
    <row r="7452" spans="1:40" x14ac:dyDescent="0.25">
      <c r="A7452" t="str">
        <f>"20190304165029248"</f>
        <v>20190304165029248</v>
      </c>
      <c r="B7452" t="str">
        <f>"1551689429242856"</f>
        <v>1551689429242856</v>
      </c>
      <c r="C7452" t="s">
        <v>40</v>
      </c>
      <c r="D7452">
        <v>4.6345260000000001</v>
      </c>
      <c r="E7452">
        <v>0.53946090000000002</v>
      </c>
      <c r="F7452" t="s">
        <v>41</v>
      </c>
      <c r="G7452">
        <v>-186.80430000000001</v>
      </c>
      <c r="H7452">
        <v>1.0438670000000001</v>
      </c>
      <c r="I7452">
        <v>34.563070000000003</v>
      </c>
      <c r="J7452">
        <v>-186.81620000000001</v>
      </c>
      <c r="K7452">
        <v>1.1110230000000001</v>
      </c>
      <c r="L7452">
        <v>33.990109999999902</v>
      </c>
      <c r="M7452">
        <v>1.082391E-3</v>
      </c>
      <c r="N7452">
        <v>-1.427225E-2</v>
      </c>
      <c r="O7452">
        <v>0.99989749999999999</v>
      </c>
      <c r="P7452">
        <v>-5.1250759999999999E-2</v>
      </c>
      <c r="Q7452">
        <v>0.34089160000000002</v>
      </c>
      <c r="R7452">
        <v>0.9387046</v>
      </c>
      <c r="S7452">
        <v>4.5501710000000001E-2</v>
      </c>
      <c r="T7452">
        <v>-0.25380979999999997</v>
      </c>
      <c r="U7452">
        <v>3.2879330000000002</v>
      </c>
      <c r="V7452">
        <v>-5.2403369999999998E-2</v>
      </c>
      <c r="W7452">
        <v>0.35423339999999998</v>
      </c>
      <c r="X7452">
        <v>0.93368759999999995</v>
      </c>
      <c r="Y7452">
        <v>1.271971E-2</v>
      </c>
      <c r="Z7452">
        <v>-6.2720860000000003E-2</v>
      </c>
      <c r="AA7452">
        <v>0.99795009999999995</v>
      </c>
      <c r="AB7452">
        <v>30</v>
      </c>
      <c r="AC7452">
        <v>1.18999999999971E-2</v>
      </c>
      <c r="AD7452">
        <v>-6.7155999999999702E-2</v>
      </c>
      <c r="AE7452">
        <v>0.57296000000000902</v>
      </c>
      <c r="AF7452">
        <v>1.11269675727136E-2</v>
      </c>
      <c r="AG7452">
        <v>-6.7155999999999702E-2</v>
      </c>
      <c r="AH7452">
        <v>0.56521106874980198</v>
      </c>
      <c r="AI7452">
        <v>96.774576618343104</v>
      </c>
      <c r="AJ7452">
        <v>88.8721984119084</v>
      </c>
      <c r="AK7452">
        <v>0.56929543295257301</v>
      </c>
      <c r="AL7452">
        <v>69.253530891025804</v>
      </c>
      <c r="AM7452">
        <v>93.212364850760594</v>
      </c>
      <c r="AN7452">
        <v>0.99999997462833801</v>
      </c>
    </row>
    <row r="7453" spans="1:40" x14ac:dyDescent="0.25">
      <c r="A7453" t="str">
        <f>"20190304165029271"</f>
        <v>20190304165029271</v>
      </c>
      <c r="B7453" t="str">
        <f>"1551689429263353"</f>
        <v>1551689429263353</v>
      </c>
      <c r="C7453" t="s">
        <v>40</v>
      </c>
      <c r="D7453">
        <v>4.728027</v>
      </c>
      <c r="E7453">
        <v>0.53150369999999902</v>
      </c>
      <c r="F7453" t="s">
        <v>42</v>
      </c>
      <c r="G7453">
        <v>-186.61109999999999</v>
      </c>
      <c r="H7453" s="1">
        <v>-4.4983060000000004E-6</v>
      </c>
      <c r="I7453">
        <v>48.717199999999998</v>
      </c>
      <c r="J7453">
        <v>-186.81620000000001</v>
      </c>
      <c r="K7453">
        <v>1.111097</v>
      </c>
      <c r="L7453">
        <v>34.306950000000001</v>
      </c>
      <c r="M7453">
        <v>7.3057949999999895E-4</v>
      </c>
      <c r="N7453">
        <v>-1.426991E-2</v>
      </c>
      <c r="O7453">
        <v>0.99989790000000001</v>
      </c>
      <c r="P7453">
        <v>-5.0498099999999997E-2</v>
      </c>
      <c r="Q7453">
        <v>0.3417983</v>
      </c>
      <c r="R7453">
        <v>0.93841560000000002</v>
      </c>
      <c r="S7453">
        <v>4.579163E-2</v>
      </c>
      <c r="T7453">
        <v>-0.24808669999999999</v>
      </c>
      <c r="U7453">
        <v>3.2884829999999998</v>
      </c>
      <c r="V7453">
        <v>-5.1382110000000002E-2</v>
      </c>
      <c r="W7453">
        <v>0.35512549999999998</v>
      </c>
      <c r="X7453">
        <v>0.9334055</v>
      </c>
      <c r="Y7453">
        <v>1.315857E-2</v>
      </c>
      <c r="Z7453">
        <v>-6.0983339999999997E-2</v>
      </c>
      <c r="AA7453">
        <v>0.9980521</v>
      </c>
      <c r="AB7453">
        <v>30</v>
      </c>
      <c r="AC7453">
        <v>0.20510000000001499</v>
      </c>
      <c r="AD7453">
        <v>-1.1111014983059999</v>
      </c>
      <c r="AE7453">
        <v>14.4102499999999</v>
      </c>
      <c r="AF7453">
        <v>0.19342134949891601</v>
      </c>
      <c r="AG7453">
        <v>-1.1111014983059999</v>
      </c>
      <c r="AH7453">
        <v>14.325247198839</v>
      </c>
      <c r="AI7453">
        <v>94.434719757012303</v>
      </c>
      <c r="AJ7453">
        <v>89.226431945214998</v>
      </c>
      <c r="AK7453">
        <v>14.3695743035702</v>
      </c>
      <c r="AL7453">
        <v>69.198864575863198</v>
      </c>
      <c r="AM7453">
        <v>93.150838242499105</v>
      </c>
      <c r="AN7453">
        <v>1.0000000347042699</v>
      </c>
    </row>
    <row r="7454" spans="1:40" x14ac:dyDescent="0.25">
      <c r="A7454" t="str">
        <f>"20190304165029295"</f>
        <v>20190304165029295</v>
      </c>
      <c r="B7454" t="str">
        <f>"1551689429282872"</f>
        <v>1551689429282872</v>
      </c>
      <c r="C7454" t="s">
        <v>40</v>
      </c>
      <c r="D7454">
        <v>4.7483180000000003</v>
      </c>
      <c r="E7454">
        <v>0.53167529999999996</v>
      </c>
      <c r="F7454" t="s">
        <v>42</v>
      </c>
      <c r="G7454">
        <v>-186.87299999999999</v>
      </c>
      <c r="H7454" s="1">
        <v>-3.1049830000000001E-6</v>
      </c>
      <c r="I7454">
        <v>55.577599999999997</v>
      </c>
      <c r="J7454">
        <v>-186.81639999999999</v>
      </c>
      <c r="K7454">
        <v>1.1111740000000001</v>
      </c>
      <c r="L7454">
        <v>34.626339999999999</v>
      </c>
      <c r="M7454">
        <v>2.7422349999999999E-4</v>
      </c>
      <c r="N7454">
        <v>-1.426758E-2</v>
      </c>
      <c r="O7454">
        <v>0.99989819999999996</v>
      </c>
      <c r="P7454">
        <v>-4.9001490000000002E-2</v>
      </c>
      <c r="Q7454">
        <v>0.34323019999999999</v>
      </c>
      <c r="R7454">
        <v>0.93797220000000003</v>
      </c>
      <c r="S7454">
        <v>-8.6975100000000003E-3</v>
      </c>
      <c r="T7454">
        <v>-0.1702079</v>
      </c>
      <c r="U7454">
        <v>3.2584230000000001</v>
      </c>
      <c r="V7454">
        <v>-4.9524159999999998E-2</v>
      </c>
      <c r="W7454">
        <v>0.35654089999999999</v>
      </c>
      <c r="X7454">
        <v>0.93296619999999997</v>
      </c>
      <c r="Y7454">
        <v>-2.9401660000000001E-3</v>
      </c>
      <c r="Z7454">
        <v>-3.7911470000000003E-2</v>
      </c>
      <c r="AA7454">
        <v>0.99927679999999997</v>
      </c>
      <c r="AB7454">
        <v>30</v>
      </c>
      <c r="AC7454">
        <v>-5.6600000000003002E-2</v>
      </c>
      <c r="AD7454">
        <v>-1.1111771049829999</v>
      </c>
      <c r="AE7454">
        <v>20.951260000000001</v>
      </c>
      <c r="AF7454">
        <v>-6.2171034038692098E-2</v>
      </c>
      <c r="AG7454">
        <v>-1.1111771049829999</v>
      </c>
      <c r="AH7454">
        <v>20.8924767553038</v>
      </c>
      <c r="AI7454">
        <v>93.044423565672105</v>
      </c>
      <c r="AJ7454">
        <v>90.170498088174298</v>
      </c>
      <c r="AK7454">
        <v>20.922097523121899</v>
      </c>
      <c r="AL7454">
        <v>69.112087677922602</v>
      </c>
      <c r="AM7454">
        <v>93.038550274688305</v>
      </c>
      <c r="AN7454">
        <v>0.99999999306947696</v>
      </c>
    </row>
    <row r="7455" spans="1:40" x14ac:dyDescent="0.25">
      <c r="A7455" t="str">
        <f>"20190304165029318"</f>
        <v>20190304165029318</v>
      </c>
      <c r="B7455" t="str">
        <f>"1551689429313130"</f>
        <v>1551689429313130</v>
      </c>
      <c r="C7455" t="s">
        <v>40</v>
      </c>
      <c r="D7455">
        <v>4.7547240000000004</v>
      </c>
      <c r="E7455">
        <v>0.53171389999999996</v>
      </c>
      <c r="F7455" t="s">
        <v>42</v>
      </c>
      <c r="G7455">
        <v>-186.83269999999999</v>
      </c>
      <c r="H7455" s="1">
        <v>-3.1697089999999902E-6</v>
      </c>
      <c r="I7455">
        <v>55.71181</v>
      </c>
      <c r="J7455">
        <v>-186.8169</v>
      </c>
      <c r="K7455">
        <v>1.111245</v>
      </c>
      <c r="L7455">
        <v>34.933720000000001</v>
      </c>
      <c r="M7455">
        <v>-2.6422739999999999E-4</v>
      </c>
      <c r="N7455">
        <v>-1.426527E-2</v>
      </c>
      <c r="O7455">
        <v>0.99989819999999996</v>
      </c>
      <c r="P7455">
        <v>-4.8521120000000001E-2</v>
      </c>
      <c r="Q7455">
        <v>0.34414</v>
      </c>
      <c r="R7455">
        <v>0.93766380000000005</v>
      </c>
      <c r="S7455">
        <v>-2.5176999999999999E-3</v>
      </c>
      <c r="T7455">
        <v>-0.17185780000000001</v>
      </c>
      <c r="U7455">
        <v>3.261139</v>
      </c>
      <c r="V7455">
        <v>-4.8597880000000003E-2</v>
      </c>
      <c r="W7455">
        <v>0.35743709999999901</v>
      </c>
      <c r="X7455">
        <v>0.93267199999999995</v>
      </c>
      <c r="Y7455">
        <v>-5.0696539999999998E-4</v>
      </c>
      <c r="Z7455">
        <v>-3.8374819999999997E-2</v>
      </c>
      <c r="AA7455">
        <v>0.99926329999999997</v>
      </c>
      <c r="AB7455">
        <v>30</v>
      </c>
      <c r="AC7455">
        <v>-1.5799999999984399E-2</v>
      </c>
      <c r="AD7455">
        <v>-1.111248169709</v>
      </c>
      <c r="AE7455">
        <v>20.778089999999999</v>
      </c>
      <c r="AF7455">
        <v>-1.02798964666845E-2</v>
      </c>
      <c r="AG7455">
        <v>-1.111248169709</v>
      </c>
      <c r="AH7455">
        <v>20.7188315078077</v>
      </c>
      <c r="AI7455">
        <v>93.070099530301505</v>
      </c>
      <c r="AJ7455">
        <v>90.028427985082899</v>
      </c>
      <c r="AK7455">
        <v>20.7486133806546</v>
      </c>
      <c r="AL7455">
        <v>69.057118291040197</v>
      </c>
      <c r="AM7455">
        <v>92.982760867532207</v>
      </c>
      <c r="AN7455">
        <v>1.00000004699045</v>
      </c>
    </row>
    <row r="7456" spans="1:40" x14ac:dyDescent="0.25">
      <c r="A7456" t="str">
        <f>"20190304165029337"</f>
        <v>20190304165029337</v>
      </c>
      <c r="B7456" t="str">
        <f>"1551689429332650"</f>
        <v>1551689429332650</v>
      </c>
      <c r="C7456" t="s">
        <v>40</v>
      </c>
      <c r="D7456">
        <v>4.7020650000000002</v>
      </c>
      <c r="E7456">
        <v>0.53154429999999997</v>
      </c>
      <c r="F7456" t="s">
        <v>42</v>
      </c>
      <c r="G7456">
        <v>-186.82159999999999</v>
      </c>
      <c r="H7456" s="1">
        <v>-3.0323499999999999E-6</v>
      </c>
      <c r="I7456">
        <v>55.387039999999999</v>
      </c>
      <c r="J7456">
        <v>-186.8175</v>
      </c>
      <c r="K7456">
        <v>1.1112959999999901</v>
      </c>
      <c r="L7456">
        <v>35.188389999999998</v>
      </c>
      <c r="M7456">
        <v>-7.6070819999999998E-4</v>
      </c>
      <c r="N7456">
        <v>-1.4263339999999999E-2</v>
      </c>
      <c r="O7456">
        <v>0.99989799999999995</v>
      </c>
      <c r="P7456">
        <v>-4.9480370000000003E-2</v>
      </c>
      <c r="Q7456">
        <v>0.34490589999999999</v>
      </c>
      <c r="R7456">
        <v>0.93733219999999995</v>
      </c>
      <c r="S7456">
        <v>-7.4768070000000005E-4</v>
      </c>
      <c r="T7456">
        <v>-0.17736299999999999</v>
      </c>
      <c r="U7456">
        <v>3.2644959999999998</v>
      </c>
      <c r="V7456">
        <v>-4.9131910000000001E-2</v>
      </c>
      <c r="W7456">
        <v>0.35819089999999998</v>
      </c>
      <c r="X7456">
        <v>0.93235469999999998</v>
      </c>
      <c r="Y7456">
        <v>5.3167510000000004E-4</v>
      </c>
      <c r="Z7456">
        <v>-4.000302E-2</v>
      </c>
      <c r="AA7456">
        <v>0.99919939999999996</v>
      </c>
      <c r="AB7456">
        <v>30</v>
      </c>
      <c r="AC7456">
        <v>-4.0999999999939904E-3</v>
      </c>
      <c r="AD7456">
        <v>-1.1112990323499901</v>
      </c>
      <c r="AE7456">
        <v>20.198649999999901</v>
      </c>
      <c r="AF7456">
        <v>1.1232840661396799E-2</v>
      </c>
      <c r="AG7456">
        <v>-1.1112990323499901</v>
      </c>
      <c r="AH7456">
        <v>20.137689820576</v>
      </c>
      <c r="AI7456">
        <v>93.158665011137799</v>
      </c>
      <c r="AJ7456">
        <v>89.968040311434606</v>
      </c>
      <c r="AK7456">
        <v>20.168333174205099</v>
      </c>
      <c r="AL7456">
        <v>69.010864977584603</v>
      </c>
      <c r="AM7456">
        <v>93.016501854836804</v>
      </c>
      <c r="AN7456">
        <v>0.99999997601757296</v>
      </c>
    </row>
    <row r="7457" spans="1:40" x14ac:dyDescent="0.25">
      <c r="A7457" t="str">
        <f>"20190304165029360"</f>
        <v>20190304165029360</v>
      </c>
      <c r="B7457" t="str">
        <f>"1551689429353145"</f>
        <v>1551689429353145</v>
      </c>
      <c r="C7457" t="s">
        <v>40</v>
      </c>
      <c r="D7457">
        <v>4.668075</v>
      </c>
      <c r="E7457">
        <v>0.5310937</v>
      </c>
      <c r="F7457" t="s">
        <v>42</v>
      </c>
      <c r="G7457">
        <v>-186.83869999999999</v>
      </c>
      <c r="H7457" s="1">
        <v>-3.048241E-6</v>
      </c>
      <c r="I7457">
        <v>55.431139999999999</v>
      </c>
      <c r="J7457">
        <v>-186.8185</v>
      </c>
      <c r="K7457">
        <v>1.111334</v>
      </c>
      <c r="L7457">
        <v>35.51361</v>
      </c>
      <c r="M7457">
        <v>-1.4457160000000001E-3</v>
      </c>
      <c r="N7457">
        <v>-1.426057E-2</v>
      </c>
      <c r="O7457">
        <v>0.99989720000000004</v>
      </c>
      <c r="P7457">
        <v>-5.156873E-2</v>
      </c>
      <c r="Q7457">
        <v>0.34462219999999999</v>
      </c>
      <c r="R7457">
        <v>0.93732400000000005</v>
      </c>
      <c r="S7457">
        <v>-3.4179689999999999E-3</v>
      </c>
      <c r="T7457">
        <v>-0.17932010000000001</v>
      </c>
      <c r="U7457">
        <v>3.2663880000000001</v>
      </c>
      <c r="V7457">
        <v>-5.0612610000000002E-2</v>
      </c>
      <c r="W7457">
        <v>0.35789890000000002</v>
      </c>
      <c r="X7457">
        <v>0.93238770000000004</v>
      </c>
      <c r="Y7457">
        <v>4.0012270000000001E-4</v>
      </c>
      <c r="Z7457">
        <v>-4.0571259999999998E-2</v>
      </c>
      <c r="AA7457">
        <v>0.99917659999999997</v>
      </c>
      <c r="AB7457">
        <v>30</v>
      </c>
      <c r="AC7457">
        <v>-2.0199999999988401E-2</v>
      </c>
      <c r="AD7457">
        <v>-1.1113370482410001</v>
      </c>
      <c r="AE7457">
        <v>19.917529999999999</v>
      </c>
      <c r="AF7457">
        <v>8.5713580936472196E-3</v>
      </c>
      <c r="AG7457">
        <v>-1.1113370482410001</v>
      </c>
      <c r="AH7457">
        <v>19.8557216820282</v>
      </c>
      <c r="AI7457">
        <v>93.203537528924898</v>
      </c>
      <c r="AJ7457">
        <v>89.975266443556094</v>
      </c>
      <c r="AK7457">
        <v>19.886800321246699</v>
      </c>
      <c r="AL7457">
        <v>69.028784676174794</v>
      </c>
      <c r="AM7457">
        <v>93.107125583369296</v>
      </c>
      <c r="AN7457">
        <v>1.00000004101175</v>
      </c>
    </row>
    <row r="7458" spans="1:40" x14ac:dyDescent="0.25">
      <c r="A7458" t="str">
        <f>"20190304165029382"</f>
        <v>20190304165029382</v>
      </c>
      <c r="B7458" t="str">
        <f>"1551689429372666"</f>
        <v>1551689429372666</v>
      </c>
      <c r="C7458" t="s">
        <v>40</v>
      </c>
      <c r="D7458">
        <v>4.6768049999999999</v>
      </c>
      <c r="E7458">
        <v>0.53102490000000002</v>
      </c>
      <c r="F7458" t="s">
        <v>42</v>
      </c>
      <c r="G7458">
        <v>-186.89279999999999</v>
      </c>
      <c r="H7458" s="1">
        <v>-2.9201580000000001E-6</v>
      </c>
      <c r="I7458">
        <v>55.154949999999999</v>
      </c>
      <c r="J7458">
        <v>-186.81960000000001</v>
      </c>
      <c r="K7458">
        <v>1.111351</v>
      </c>
      <c r="L7458">
        <v>35.794800000000002</v>
      </c>
      <c r="M7458">
        <v>-2.0620730000000002E-3</v>
      </c>
      <c r="N7458">
        <v>-1.425805E-2</v>
      </c>
      <c r="O7458">
        <v>0.99989620000000001</v>
      </c>
      <c r="P7458">
        <v>-5.4602449999999997E-2</v>
      </c>
      <c r="Q7458">
        <v>0.34404099999999999</v>
      </c>
      <c r="R7458">
        <v>0.93736569999999997</v>
      </c>
      <c r="S7458">
        <v>-1.235962E-2</v>
      </c>
      <c r="T7458">
        <v>-0.1849035</v>
      </c>
      <c r="U7458">
        <v>3.2679140000000002</v>
      </c>
      <c r="V7458">
        <v>-5.3086059999999997E-2</v>
      </c>
      <c r="W7458">
        <v>0.35731099999999999</v>
      </c>
      <c r="X7458">
        <v>0.93247559999999996</v>
      </c>
      <c r="Y7458">
        <v>-1.7155650000000001E-3</v>
      </c>
      <c r="Z7458">
        <v>-4.2249769999999999E-2</v>
      </c>
      <c r="AA7458">
        <v>0.99910560000000004</v>
      </c>
      <c r="AB7458">
        <v>30</v>
      </c>
      <c r="AC7458">
        <v>-7.3199999999985693E-2</v>
      </c>
      <c r="AD7458">
        <v>-1.1113539201580001</v>
      </c>
      <c r="AE7458">
        <v>19.360150000000001</v>
      </c>
      <c r="AF7458">
        <v>-3.3164458952656198E-2</v>
      </c>
      <c r="AG7458">
        <v>-1.1113539201580001</v>
      </c>
      <c r="AH7458">
        <v>19.296673486525201</v>
      </c>
      <c r="AI7458">
        <v>93.2961915361264</v>
      </c>
      <c r="AJ7458">
        <v>90.098471980584193</v>
      </c>
      <c r="AK7458">
        <v>19.328678564836</v>
      </c>
      <c r="AL7458">
        <v>69.064853399392305</v>
      </c>
      <c r="AM7458">
        <v>93.258345378329594</v>
      </c>
      <c r="AN7458">
        <v>1.00000001254134</v>
      </c>
    </row>
    <row r="7459" spans="1:40" x14ac:dyDescent="0.25">
      <c r="A7459" t="str">
        <f>"20190304165029405"</f>
        <v>20190304165029405</v>
      </c>
      <c r="B7459" t="str">
        <f>"1551689429393161"</f>
        <v>1551689429393161</v>
      </c>
      <c r="C7459" t="s">
        <v>40</v>
      </c>
      <c r="D7459">
        <v>4.7049599999999998</v>
      </c>
      <c r="E7459">
        <v>0.52757049999999905</v>
      </c>
      <c r="F7459" t="s">
        <v>42</v>
      </c>
      <c r="G7459">
        <v>-186.953</v>
      </c>
      <c r="H7459" s="1">
        <v>-2.814973E-6</v>
      </c>
      <c r="I7459">
        <v>54.934669999999997</v>
      </c>
      <c r="J7459">
        <v>-186.82089999999999</v>
      </c>
      <c r="K7459">
        <v>1.111364</v>
      </c>
      <c r="L7459">
        <v>36.107089999999999</v>
      </c>
      <c r="M7459">
        <v>-2.757776E-3</v>
      </c>
      <c r="N7459">
        <v>-1.42551E-2</v>
      </c>
      <c r="O7459">
        <v>0.99989459999999997</v>
      </c>
      <c r="P7459">
        <v>-5.7407699999999999E-2</v>
      </c>
      <c r="Q7459">
        <v>0.34326950000000001</v>
      </c>
      <c r="R7459">
        <v>0.93748089999999995</v>
      </c>
      <c r="S7459">
        <v>-2.2796629999999998E-2</v>
      </c>
      <c r="T7459">
        <v>-0.18980240000000001</v>
      </c>
      <c r="U7459">
        <v>3.268799</v>
      </c>
      <c r="V7459">
        <v>-5.5248819999999997E-2</v>
      </c>
      <c r="W7459">
        <v>0.35653499999999999</v>
      </c>
      <c r="X7459">
        <v>0.93264689999999995</v>
      </c>
      <c r="Y7459">
        <v>-4.2069809999999899E-3</v>
      </c>
      <c r="Z7459">
        <v>-4.3729070000000002E-2</v>
      </c>
      <c r="AA7459">
        <v>0.99903459999999999</v>
      </c>
      <c r="AB7459">
        <v>30</v>
      </c>
      <c r="AC7459">
        <v>-0.13210000000000799</v>
      </c>
      <c r="AD7459">
        <v>-1.1113668149730001</v>
      </c>
      <c r="AE7459">
        <v>18.827580000000001</v>
      </c>
      <c r="AF7459">
        <v>-7.9893607426914398E-2</v>
      </c>
      <c r="AG7459">
        <v>-1.1113668149730001</v>
      </c>
      <c r="AH7459">
        <v>18.762500216982399</v>
      </c>
      <c r="AI7459">
        <v>93.3898327253427</v>
      </c>
      <c r="AJ7459">
        <v>90.243972753971093</v>
      </c>
      <c r="AK7459">
        <v>18.795556218909699</v>
      </c>
      <c r="AL7459">
        <v>69.112448324110105</v>
      </c>
      <c r="AM7459">
        <v>93.390167423463296</v>
      </c>
      <c r="AN7459">
        <v>0.99999993920799901</v>
      </c>
    </row>
    <row r="7460" spans="1:40" x14ac:dyDescent="0.25">
      <c r="A7460" t="str">
        <f>"20190304165029426"</f>
        <v>20190304165029426</v>
      </c>
      <c r="B7460" t="str">
        <f>"1551689429412681"</f>
        <v>1551689429412681</v>
      </c>
      <c r="C7460" t="s">
        <v>40</v>
      </c>
      <c r="D7460">
        <v>4.6622570000000003</v>
      </c>
      <c r="E7460">
        <v>0.52799890000000005</v>
      </c>
      <c r="F7460" t="s">
        <v>42</v>
      </c>
      <c r="G7460">
        <v>-187.23859999999999</v>
      </c>
      <c r="H7460" s="1">
        <v>-8.6429819999999996E-7</v>
      </c>
      <c r="I7460">
        <v>60.028779999999998</v>
      </c>
      <c r="J7460">
        <v>-186.82230000000001</v>
      </c>
      <c r="K7460">
        <v>1.111367</v>
      </c>
      <c r="L7460">
        <v>36.376739999999998</v>
      </c>
      <c r="M7460">
        <v>-3.3584069999999999E-3</v>
      </c>
      <c r="N7460">
        <v>-1.425247E-2</v>
      </c>
      <c r="O7460">
        <v>0.99989280000000003</v>
      </c>
      <c r="P7460">
        <v>-5.9971259999999998E-2</v>
      </c>
      <c r="Q7460">
        <v>0.34269749999999999</v>
      </c>
      <c r="R7460">
        <v>0.93752970000000002</v>
      </c>
      <c r="S7460">
        <v>-5.6777950000000001E-2</v>
      </c>
      <c r="T7460">
        <v>-0.1510793</v>
      </c>
      <c r="U7460">
        <v>3.2519230000000001</v>
      </c>
      <c r="V7460">
        <v>-5.7253190000000002E-2</v>
      </c>
      <c r="W7460">
        <v>0.35595850000000001</v>
      </c>
      <c r="X7460">
        <v>0.93274630000000003</v>
      </c>
      <c r="Y7460">
        <v>-1.4083689999999999E-2</v>
      </c>
      <c r="Z7460">
        <v>-3.2160759999999997E-2</v>
      </c>
      <c r="AA7460">
        <v>0.99938340000000003</v>
      </c>
      <c r="AB7460">
        <v>30</v>
      </c>
      <c r="AC7460">
        <v>-0.41629999999997802</v>
      </c>
      <c r="AD7460">
        <v>-1.1113678642981999</v>
      </c>
      <c r="AE7460">
        <v>23.65204</v>
      </c>
      <c r="AF7460">
        <v>-0.33611453122564999</v>
      </c>
      <c r="AG7460">
        <v>-1.1113678642981999</v>
      </c>
      <c r="AH7460">
        <v>23.601211969865201</v>
      </c>
      <c r="AI7460">
        <v>92.695761671320398</v>
      </c>
      <c r="AJ7460">
        <v>90.815917517467597</v>
      </c>
      <c r="AK7460">
        <v>23.629754927937899</v>
      </c>
      <c r="AL7460">
        <v>69.147800389721795</v>
      </c>
      <c r="AM7460">
        <v>93.512483153224295</v>
      </c>
      <c r="AN7460">
        <v>1.00000002082555</v>
      </c>
    </row>
    <row r="7461" spans="1:40" x14ac:dyDescent="0.25">
      <c r="A7461" t="str">
        <f>"20190304165029449"</f>
        <v>20190304165029449</v>
      </c>
      <c r="B7461" t="str">
        <f>"1551689429442938"</f>
        <v>1551689429442938</v>
      </c>
      <c r="C7461" t="s">
        <v>40</v>
      </c>
      <c r="D7461">
        <v>4.6688000000000001</v>
      </c>
      <c r="E7461">
        <v>0.52849880000000005</v>
      </c>
      <c r="F7461" t="s">
        <v>42</v>
      </c>
      <c r="G7461">
        <v>-187.2834</v>
      </c>
      <c r="H7461" s="1">
        <v>-7.7264619999999895E-7</v>
      </c>
      <c r="I7461">
        <v>59.794519999999999</v>
      </c>
      <c r="J7461">
        <v>-186.82409999999999</v>
      </c>
      <c r="K7461">
        <v>1.111367</v>
      </c>
      <c r="L7461">
        <v>36.69003</v>
      </c>
      <c r="M7461">
        <v>-4.0505970000000004E-3</v>
      </c>
      <c r="N7461">
        <v>-1.424942E-2</v>
      </c>
      <c r="O7461">
        <v>0.99989030000000001</v>
      </c>
      <c r="P7461">
        <v>-6.1536180000000003E-2</v>
      </c>
      <c r="Q7461">
        <v>0.3419548</v>
      </c>
      <c r="R7461">
        <v>0.93769939999999996</v>
      </c>
      <c r="S7461">
        <v>-6.4041139999999996E-2</v>
      </c>
      <c r="T7461">
        <v>-0.15434519999999999</v>
      </c>
      <c r="U7461">
        <v>3.2522280000000001</v>
      </c>
      <c r="V7461">
        <v>-5.8170550000000001E-2</v>
      </c>
      <c r="W7461">
        <v>0.35521429999999998</v>
      </c>
      <c r="X7461">
        <v>0.93297319999999995</v>
      </c>
      <c r="Y7461">
        <v>-1.5619569999999999E-2</v>
      </c>
      <c r="Z7461">
        <v>-3.3159229999999998E-2</v>
      </c>
      <c r="AA7461">
        <v>0.99932799999999999</v>
      </c>
      <c r="AB7461">
        <v>30</v>
      </c>
      <c r="AC7461">
        <v>-0.45930000000001298</v>
      </c>
      <c r="AD7461">
        <v>-1.1113677726461999</v>
      </c>
      <c r="AE7461">
        <v>23.104489999999998</v>
      </c>
      <c r="AF7461">
        <v>-0.364855889516841</v>
      </c>
      <c r="AG7461">
        <v>-1.1113677726461999</v>
      </c>
      <c r="AH7461">
        <v>23.052842817503301</v>
      </c>
      <c r="AI7461">
        <v>92.759723176519202</v>
      </c>
      <c r="AJ7461">
        <v>90.906740983796297</v>
      </c>
      <c r="AK7461">
        <v>23.0825003003294</v>
      </c>
      <c r="AL7461">
        <v>69.193421140076893</v>
      </c>
      <c r="AM7461">
        <v>93.567753241762603</v>
      </c>
      <c r="AN7461">
        <v>1.0000000018650099</v>
      </c>
    </row>
    <row r="7462" spans="1:40" x14ac:dyDescent="0.25">
      <c r="A7462" t="str">
        <f>"20190304165029472"</f>
        <v>20190304165029472</v>
      </c>
      <c r="B7462" t="str">
        <f>"1551689429462457"</f>
        <v>1551689429462457</v>
      </c>
      <c r="C7462" t="s">
        <v>40</v>
      </c>
      <c r="D7462">
        <v>4.5750729999999997</v>
      </c>
      <c r="E7462">
        <v>0.52895119999999995</v>
      </c>
      <c r="F7462" t="s">
        <v>42</v>
      </c>
      <c r="G7462">
        <v>-187.3013</v>
      </c>
      <c r="H7462" s="1">
        <v>-7.2998009999999896E-7</v>
      </c>
      <c r="I7462">
        <v>59.683079999999997</v>
      </c>
      <c r="J7462">
        <v>-186.8261</v>
      </c>
      <c r="K7462">
        <v>1.111367</v>
      </c>
      <c r="L7462">
        <v>36.991149999999998</v>
      </c>
      <c r="M7462">
        <v>-4.7088709999999999E-3</v>
      </c>
      <c r="N7462">
        <v>-1.4245020000000001E-2</v>
      </c>
      <c r="O7462">
        <v>0.99988750000000004</v>
      </c>
      <c r="P7462">
        <v>-6.2800529999999993E-2</v>
      </c>
      <c r="Q7462">
        <v>0.34183550000000001</v>
      </c>
      <c r="R7462">
        <v>0.93765909999999997</v>
      </c>
      <c r="S7462">
        <v>-6.748962E-2</v>
      </c>
      <c r="T7462">
        <v>-0.15719620000000001</v>
      </c>
      <c r="U7462">
        <v>3.2522280000000001</v>
      </c>
      <c r="V7462">
        <v>-5.8818120000000002E-2</v>
      </c>
      <c r="W7462">
        <v>0.35509039999999997</v>
      </c>
      <c r="X7462">
        <v>0.93297980000000003</v>
      </c>
      <c r="Y7462">
        <v>-1.6019619999999998E-2</v>
      </c>
      <c r="Z7462">
        <v>-3.4036860000000002E-2</v>
      </c>
      <c r="AA7462">
        <v>0.99929219999999996</v>
      </c>
      <c r="AB7462">
        <v>30</v>
      </c>
      <c r="AC7462">
        <v>-0.47520000000000101</v>
      </c>
      <c r="AD7462">
        <v>-1.1113677299800999</v>
      </c>
      <c r="AE7462">
        <v>22.691929999999999</v>
      </c>
      <c r="AF7462">
        <v>-0.36744951384020602</v>
      </c>
      <c r="AG7462">
        <v>-1.1113677299800999</v>
      </c>
      <c r="AH7462">
        <v>22.639634768618802</v>
      </c>
      <c r="AI7462">
        <v>92.809994103117802</v>
      </c>
      <c r="AJ7462">
        <v>90.929849716248</v>
      </c>
      <c r="AK7462">
        <v>22.669874720273999</v>
      </c>
      <c r="AL7462">
        <v>69.201015880612303</v>
      </c>
      <c r="AM7462">
        <v>93.607340664624303</v>
      </c>
      <c r="AN7462">
        <v>1.00000003531026</v>
      </c>
    </row>
    <row r="7463" spans="1:40" x14ac:dyDescent="0.25">
      <c r="A7463" t="str">
        <f>"20190304165029495"</f>
        <v>20190304165029495</v>
      </c>
      <c r="B7463" t="str">
        <f>"1551689429482953"</f>
        <v>1551689429482953</v>
      </c>
      <c r="C7463" t="s">
        <v>40</v>
      </c>
      <c r="D7463">
        <v>4.6283139999999996</v>
      </c>
      <c r="E7463">
        <v>0.5292618</v>
      </c>
      <c r="F7463" t="s">
        <v>42</v>
      </c>
      <c r="G7463">
        <v>-187.3158</v>
      </c>
      <c r="H7463" s="1">
        <v>-8.9885669999999898E-7</v>
      </c>
      <c r="I7463">
        <v>60.190649999999998</v>
      </c>
      <c r="J7463">
        <v>-186.82830000000001</v>
      </c>
      <c r="K7463">
        <v>1.1113690000000001</v>
      </c>
      <c r="L7463">
        <v>37.29965</v>
      </c>
      <c r="M7463">
        <v>-5.3775899999999998E-3</v>
      </c>
      <c r="N7463">
        <v>-1.423377E-2</v>
      </c>
      <c r="O7463">
        <v>0.9998842</v>
      </c>
      <c r="P7463">
        <v>-6.3872230000000002E-2</v>
      </c>
      <c r="Q7463">
        <v>0.34249030000000003</v>
      </c>
      <c r="R7463">
        <v>0.93734770000000001</v>
      </c>
      <c r="S7463">
        <v>-6.8634029999999999E-2</v>
      </c>
      <c r="T7463">
        <v>-0.15576960000000001</v>
      </c>
      <c r="U7463">
        <v>3.2516479999999999</v>
      </c>
      <c r="V7463">
        <v>-5.9265379999999999E-2</v>
      </c>
      <c r="W7463">
        <v>0.35572989999999999</v>
      </c>
      <c r="X7463">
        <v>0.93270779999999998</v>
      </c>
      <c r="Y7463">
        <v>-1.5706640000000001E-2</v>
      </c>
      <c r="Z7463">
        <v>-3.3619129999999997E-2</v>
      </c>
      <c r="AA7463">
        <v>0.99931130000000001</v>
      </c>
      <c r="AB7463">
        <v>30</v>
      </c>
      <c r="AC7463">
        <v>-0.487499999999983</v>
      </c>
      <c r="AD7463">
        <v>-1.1113698988567</v>
      </c>
      <c r="AE7463">
        <v>22.890999999999998</v>
      </c>
      <c r="AF7463">
        <v>-0.36352556416584297</v>
      </c>
      <c r="AG7463">
        <v>-1.1113698988567</v>
      </c>
      <c r="AH7463">
        <v>22.839479049833599</v>
      </c>
      <c r="AI7463">
        <v>92.785465141964295</v>
      </c>
      <c r="AJ7463">
        <v>90.911873774493202</v>
      </c>
      <c r="AK7463">
        <v>22.8693921466154</v>
      </c>
      <c r="AL7463">
        <v>69.161814970029397</v>
      </c>
      <c r="AM7463">
        <v>93.635755178410903</v>
      </c>
      <c r="AN7463">
        <v>0.99999999360069702</v>
      </c>
    </row>
    <row r="7464" spans="1:40" x14ac:dyDescent="0.25">
      <c r="A7464" t="str">
        <f>"20190304165029519"</f>
        <v>20190304165029519</v>
      </c>
      <c r="B7464" t="str">
        <f>"1551689429513209"</f>
        <v>1551689429513209</v>
      </c>
      <c r="C7464" t="s">
        <v>40</v>
      </c>
      <c r="D7464">
        <v>4.5910120000000001</v>
      </c>
      <c r="E7464">
        <v>0.53426499999999999</v>
      </c>
      <c r="F7464" t="s">
        <v>42</v>
      </c>
      <c r="G7464">
        <v>-187.33160000000001</v>
      </c>
      <c r="H7464" s="1">
        <v>-1.163817E-6</v>
      </c>
      <c r="I7464">
        <v>60.981639999999999</v>
      </c>
      <c r="J7464">
        <v>-186.8306</v>
      </c>
      <c r="K7464">
        <v>1.111372</v>
      </c>
      <c r="L7464">
        <v>37.59552</v>
      </c>
      <c r="M7464">
        <v>-6.0153530000000002E-3</v>
      </c>
      <c r="N7464">
        <v>-1.421152E-2</v>
      </c>
      <c r="O7464">
        <v>0.99988089999999996</v>
      </c>
      <c r="P7464">
        <v>-6.4753729999999995E-2</v>
      </c>
      <c r="Q7464">
        <v>0.34318009999999999</v>
      </c>
      <c r="R7464">
        <v>0.9370349</v>
      </c>
      <c r="S7464">
        <v>-6.9107059999999998E-2</v>
      </c>
      <c r="T7464">
        <v>-0.15259210000000001</v>
      </c>
      <c r="U7464">
        <v>3.2515559999999999</v>
      </c>
      <c r="V7464">
        <v>-5.955075E-2</v>
      </c>
      <c r="W7464">
        <v>0.35639520000000002</v>
      </c>
      <c r="X7464">
        <v>0.93243560000000003</v>
      </c>
      <c r="Y7464">
        <v>-1.521579E-2</v>
      </c>
      <c r="Z7464">
        <v>-3.266836E-2</v>
      </c>
      <c r="AA7464">
        <v>0.99935039999999997</v>
      </c>
      <c r="AB7464">
        <v>30</v>
      </c>
      <c r="AC7464">
        <v>-0.501000000000004</v>
      </c>
      <c r="AD7464">
        <v>-1.1113731638169999</v>
      </c>
      <c r="AE7464">
        <v>23.386119999999998</v>
      </c>
      <c r="AF7464">
        <v>-0.35948945287197098</v>
      </c>
      <c r="AG7464">
        <v>-1.1113731638169999</v>
      </c>
      <c r="AH7464">
        <v>23.336032564802</v>
      </c>
      <c r="AI7464">
        <v>92.726315086568206</v>
      </c>
      <c r="AJ7464">
        <v>90.882566446804006</v>
      </c>
      <c r="AK7464">
        <v>23.365247673446099</v>
      </c>
      <c r="AL7464">
        <v>69.121022549595196</v>
      </c>
      <c r="AM7464">
        <v>93.654278055294398</v>
      </c>
      <c r="AN7464">
        <v>0.99999998927798095</v>
      </c>
    </row>
    <row r="7465" spans="1:40" x14ac:dyDescent="0.25">
      <c r="A7465" t="str">
        <f>"20190304165029539"</f>
        <v>20190304165029539</v>
      </c>
      <c r="B7465" t="str">
        <f>"1551689429532729"</f>
        <v>1551689429532729</v>
      </c>
      <c r="C7465" t="s">
        <v>40</v>
      </c>
      <c r="D7465">
        <v>4.8893110000000002</v>
      </c>
      <c r="E7465">
        <v>0.53403400000000001</v>
      </c>
      <c r="F7465" t="s">
        <v>42</v>
      </c>
      <c r="G7465">
        <v>-187.0215</v>
      </c>
      <c r="H7465" s="1">
        <v>-2.724939E-6</v>
      </c>
      <c r="I7465">
        <v>54.75309</v>
      </c>
      <c r="J7465">
        <v>-186.833</v>
      </c>
      <c r="K7465">
        <v>1.1113690000000001</v>
      </c>
      <c r="L7465">
        <v>37.878810000000001</v>
      </c>
      <c r="M7465">
        <v>-6.6242069999999896E-3</v>
      </c>
      <c r="N7465">
        <v>-1.4181030000000001E-2</v>
      </c>
      <c r="O7465">
        <v>0.99987749999999997</v>
      </c>
      <c r="P7465">
        <v>-6.5246910000000005E-2</v>
      </c>
      <c r="Q7465">
        <v>0.3431843</v>
      </c>
      <c r="R7465">
        <v>0.93699909999999997</v>
      </c>
      <c r="S7465">
        <v>-3.645325E-2</v>
      </c>
      <c r="T7465">
        <v>-0.2122531</v>
      </c>
      <c r="U7465">
        <v>3.2767940000000002</v>
      </c>
      <c r="V7465">
        <v>-5.9472650000000002E-2</v>
      </c>
      <c r="W7465">
        <v>0.35637069999999998</v>
      </c>
      <c r="X7465">
        <v>0.93244990000000005</v>
      </c>
      <c r="Y7465">
        <v>-4.4825749999999999E-3</v>
      </c>
      <c r="Z7465">
        <v>-5.0477359999999999E-2</v>
      </c>
      <c r="AA7465">
        <v>0.99871520000000003</v>
      </c>
      <c r="AB7465">
        <v>30</v>
      </c>
      <c r="AC7465">
        <v>-0.188500000000004</v>
      </c>
      <c r="AD7465">
        <v>-1.111371724939</v>
      </c>
      <c r="AE7465">
        <v>16.874279999999999</v>
      </c>
      <c r="AF7465">
        <v>-7.6374642840042695E-2</v>
      </c>
      <c r="AG7465">
        <v>-1.111371724939</v>
      </c>
      <c r="AH7465">
        <v>16.802282863619102</v>
      </c>
      <c r="AI7465">
        <v>93.784225920648794</v>
      </c>
      <c r="AJ7465">
        <v>90.260435715467196</v>
      </c>
      <c r="AK7465">
        <v>16.839171286798202</v>
      </c>
      <c r="AL7465">
        <v>69.122523953146199</v>
      </c>
      <c r="AM7465">
        <v>93.649442662640894</v>
      </c>
      <c r="AN7465">
        <v>0.99999994396325897</v>
      </c>
    </row>
    <row r="7466" spans="1:40" x14ac:dyDescent="0.25">
      <c r="A7466" t="str">
        <f>"20190304165029562"</f>
        <v>20190304165029562</v>
      </c>
      <c r="B7466" t="str">
        <f>"1551689429553226"</f>
        <v>1551689429553226</v>
      </c>
      <c r="C7466" t="s">
        <v>40</v>
      </c>
      <c r="D7466">
        <v>4.4863809999999997</v>
      </c>
      <c r="E7466">
        <v>0.53269679999999997</v>
      </c>
      <c r="F7466" t="s">
        <v>42</v>
      </c>
      <c r="G7466">
        <v>-187.03569999999999</v>
      </c>
      <c r="H7466" s="1">
        <v>-2.792196E-6</v>
      </c>
      <c r="I7466">
        <v>54.915759999999999</v>
      </c>
      <c r="J7466">
        <v>-186.8357</v>
      </c>
      <c r="K7466">
        <v>1.1113599999999999</v>
      </c>
      <c r="L7466">
        <v>38.183039999999998</v>
      </c>
      <c r="M7466">
        <v>-7.2766799999999998E-3</v>
      </c>
      <c r="N7466">
        <v>-1.4143609999999999E-2</v>
      </c>
      <c r="O7466">
        <v>0.99987349999999997</v>
      </c>
      <c r="P7466">
        <v>-6.5293190000000001E-2</v>
      </c>
      <c r="Q7466">
        <v>0.34312890000000001</v>
      </c>
      <c r="R7466">
        <v>0.93701619999999997</v>
      </c>
      <c r="S7466">
        <v>-3.9001460000000002E-2</v>
      </c>
      <c r="T7466">
        <v>-0.21378710000000001</v>
      </c>
      <c r="U7466">
        <v>3.2772830000000002</v>
      </c>
      <c r="V7466">
        <v>-5.890608E-2</v>
      </c>
      <c r="W7466">
        <v>0.3562825</v>
      </c>
      <c r="X7466">
        <v>0.9325196</v>
      </c>
      <c r="Y7466">
        <v>-4.6044390000000001E-3</v>
      </c>
      <c r="Z7466">
        <v>-5.0969939999999998E-2</v>
      </c>
      <c r="AA7466">
        <v>0.99868959999999996</v>
      </c>
      <c r="AB7466">
        <v>30</v>
      </c>
      <c r="AC7466">
        <v>-0.19999999999998799</v>
      </c>
      <c r="AD7466">
        <v>-1.1113627921960001</v>
      </c>
      <c r="AE7466">
        <v>16.732719999999901</v>
      </c>
      <c r="AF7466">
        <v>-7.78803610637014E-2</v>
      </c>
      <c r="AG7466">
        <v>-1.1113627921960001</v>
      </c>
      <c r="AH7466">
        <v>16.6602475015629</v>
      </c>
      <c r="AI7466">
        <v>93.816360192079401</v>
      </c>
      <c r="AJ7466">
        <v>90.267834165908695</v>
      </c>
      <c r="AK7466">
        <v>16.697456076296501</v>
      </c>
      <c r="AL7466">
        <v>69.127933129801306</v>
      </c>
      <c r="AM7466">
        <v>93.614499171361601</v>
      </c>
      <c r="AN7466">
        <v>0.99999997522568795</v>
      </c>
    </row>
    <row r="7467" spans="1:40" x14ac:dyDescent="0.25">
      <c r="A7467" t="str">
        <f>"20190304165029583"</f>
        <v>20190304165029583</v>
      </c>
      <c r="B7467" t="str">
        <f>"1551689429572745"</f>
        <v>1551689429572745</v>
      </c>
      <c r="C7467" t="s">
        <v>40</v>
      </c>
      <c r="D7467">
        <v>4.460191</v>
      </c>
      <c r="E7467">
        <v>0.53276599999999996</v>
      </c>
      <c r="F7467" t="s">
        <v>42</v>
      </c>
      <c r="G7467">
        <v>-187.14179999999999</v>
      </c>
      <c r="H7467" s="1">
        <v>-1.241689E-6</v>
      </c>
      <c r="I7467">
        <v>61.062049999999999</v>
      </c>
      <c r="J7467">
        <v>-186.83840000000001</v>
      </c>
      <c r="K7467">
        <v>1.111351</v>
      </c>
      <c r="L7467">
        <v>38.461550000000003</v>
      </c>
      <c r="M7467">
        <v>-7.8745159999999998E-3</v>
      </c>
      <c r="N7467">
        <v>-1.410367E-2</v>
      </c>
      <c r="O7467">
        <v>0.99986949999999997</v>
      </c>
      <c r="P7467">
        <v>-6.5816769999999997E-2</v>
      </c>
      <c r="Q7467">
        <v>0.343008799999999</v>
      </c>
      <c r="R7467">
        <v>0.93702359999999896</v>
      </c>
      <c r="S7467">
        <v>-4.356384E-2</v>
      </c>
      <c r="T7467">
        <v>-0.15818789999999999</v>
      </c>
      <c r="U7467">
        <v>3.2565309999999998</v>
      </c>
      <c r="V7467">
        <v>-5.8868049999999998E-2</v>
      </c>
      <c r="W7467">
        <v>0.35612569999999999</v>
      </c>
      <c r="X7467">
        <v>0.93258200000000002</v>
      </c>
      <c r="Y7467">
        <v>-5.4908149999999996E-3</v>
      </c>
      <c r="Z7467">
        <v>-3.4422439999999999E-2</v>
      </c>
      <c r="AA7467">
        <v>0.99939230000000001</v>
      </c>
      <c r="AB7467">
        <v>30</v>
      </c>
      <c r="AC7467">
        <v>-0.30339999999998202</v>
      </c>
      <c r="AD7467">
        <v>-1.111352241689</v>
      </c>
      <c r="AE7467">
        <v>22.6005</v>
      </c>
      <c r="AF7467">
        <v>-0.12510243339219099</v>
      </c>
      <c r="AG7467">
        <v>-1.111352241689</v>
      </c>
      <c r="AH7467">
        <v>22.5476766618781</v>
      </c>
      <c r="AI7467">
        <v>92.821724230182099</v>
      </c>
      <c r="AJ7467">
        <v>90.317893856512896</v>
      </c>
      <c r="AK7467">
        <v>22.575395395707901</v>
      </c>
      <c r="AL7467">
        <v>69.137549908106493</v>
      </c>
      <c r="AM7467">
        <v>93.611930762382897</v>
      </c>
      <c r="AN7467">
        <v>1.00000007411764</v>
      </c>
    </row>
    <row r="7468" spans="1:40" x14ac:dyDescent="0.25">
      <c r="A7468" t="str">
        <f>"20190304165029605"</f>
        <v>20190304165029605</v>
      </c>
      <c r="B7468" t="str">
        <f>"1551689429603002"</f>
        <v>1551689429603002</v>
      </c>
      <c r="C7468" t="s">
        <v>40</v>
      </c>
      <c r="D7468">
        <v>4.4536790000000002</v>
      </c>
      <c r="E7468">
        <v>0.52399129999999905</v>
      </c>
      <c r="F7468" t="s">
        <v>42</v>
      </c>
      <c r="G7468">
        <v>-187.15049999999999</v>
      </c>
      <c r="H7468" s="1">
        <v>-1.3974580000000001E-6</v>
      </c>
      <c r="I7468">
        <v>61.526580000000003</v>
      </c>
      <c r="J7468">
        <v>-186.8416</v>
      </c>
      <c r="K7468">
        <v>1.1113360000000001</v>
      </c>
      <c r="L7468">
        <v>38.767490000000002</v>
      </c>
      <c r="M7468">
        <v>-8.5308640000000008E-3</v>
      </c>
      <c r="N7468">
        <v>-1.405081E-2</v>
      </c>
      <c r="O7468">
        <v>0.99986489999999995</v>
      </c>
      <c r="P7468">
        <v>-6.6986909999999997E-2</v>
      </c>
      <c r="Q7468">
        <v>0.34292509999999998</v>
      </c>
      <c r="R7468">
        <v>0.9369712</v>
      </c>
      <c r="S7468">
        <v>-4.405212E-2</v>
      </c>
      <c r="T7468">
        <v>-0.15688289999999999</v>
      </c>
      <c r="U7468">
        <v>3.255951</v>
      </c>
      <c r="V7468">
        <v>-5.9421349999999998E-2</v>
      </c>
      <c r="W7468">
        <v>0.35599239999999999</v>
      </c>
      <c r="X7468">
        <v>0.93259769999999997</v>
      </c>
      <c r="Y7468">
        <v>-4.987025E-3</v>
      </c>
      <c r="Z7468">
        <v>-3.4084000000000003E-2</v>
      </c>
      <c r="AA7468">
        <v>0.99940649999999998</v>
      </c>
      <c r="AB7468">
        <v>30</v>
      </c>
      <c r="AC7468">
        <v>-0.30889999999999401</v>
      </c>
      <c r="AD7468">
        <v>-1.1113373974580001</v>
      </c>
      <c r="AE7468">
        <v>22.75909</v>
      </c>
      <c r="AF7468">
        <v>-0.114442062072364</v>
      </c>
      <c r="AG7468">
        <v>-1.1113373974580001</v>
      </c>
      <c r="AH7468">
        <v>22.706764705218198</v>
      </c>
      <c r="AI7468">
        <v>92.801956455943497</v>
      </c>
      <c r="AJ7468">
        <v>90.288768202854598</v>
      </c>
      <c r="AK7468">
        <v>22.734232583808598</v>
      </c>
      <c r="AL7468">
        <v>69.145720975260602</v>
      </c>
      <c r="AM7468">
        <v>93.6457269027145</v>
      </c>
      <c r="AN7468">
        <v>0.99999997786943595</v>
      </c>
    </row>
    <row r="7469" spans="1:40" x14ac:dyDescent="0.25">
      <c r="A7469" t="str">
        <f>"20190304165029627"</f>
        <v>20190304165029627</v>
      </c>
      <c r="B7469" t="str">
        <f>"1551689429622521"</f>
        <v>1551689429622521</v>
      </c>
      <c r="C7469" t="s">
        <v>40</v>
      </c>
      <c r="D7469">
        <v>4.3602600000000002</v>
      </c>
      <c r="E7469">
        <v>0.52223319999999995</v>
      </c>
      <c r="F7469" t="s">
        <v>42</v>
      </c>
      <c r="G7469">
        <v>-187.5531</v>
      </c>
      <c r="H7469" s="1">
        <v>-4.0552440000000001E-6</v>
      </c>
      <c r="I7469">
        <v>58.0738699999999</v>
      </c>
      <c r="J7469">
        <v>-186.84460000000001</v>
      </c>
      <c r="K7469">
        <v>1.111321</v>
      </c>
      <c r="L7469">
        <v>39.043210000000002</v>
      </c>
      <c r="M7469">
        <v>-9.1169089999999994E-3</v>
      </c>
      <c r="N7469">
        <v>-1.3997580000000001E-2</v>
      </c>
      <c r="O7469">
        <v>0.99986050000000004</v>
      </c>
      <c r="P7469">
        <v>-6.842355E-2</v>
      </c>
      <c r="Q7469">
        <v>0.342885099999999</v>
      </c>
      <c r="R7469">
        <v>0.93688210000000005</v>
      </c>
      <c r="S7469">
        <v>-0.1202087</v>
      </c>
      <c r="T7469">
        <v>-0.18776770000000001</v>
      </c>
      <c r="U7469">
        <v>3.2619319999999998</v>
      </c>
      <c r="V7469">
        <v>-6.0306289999999999E-2</v>
      </c>
      <c r="W7469">
        <v>0.35590149999999998</v>
      </c>
      <c r="X7469">
        <v>0.93257559999999995</v>
      </c>
      <c r="Y7469">
        <v>-2.7665209999999999E-2</v>
      </c>
      <c r="Z7469">
        <v>-4.3456469999999997E-2</v>
      </c>
      <c r="AA7469">
        <v>0.99867220000000001</v>
      </c>
      <c r="AB7469">
        <v>30</v>
      </c>
      <c r="AC7469">
        <v>-0.70849999999998603</v>
      </c>
      <c r="AD7469">
        <v>-1.1113250552439999</v>
      </c>
      <c r="AE7469">
        <v>19.030660000000001</v>
      </c>
      <c r="AF7469">
        <v>-0.53313719429635997</v>
      </c>
      <c r="AG7469">
        <v>-1.1113250552439999</v>
      </c>
      <c r="AH7469">
        <v>18.971721872397399</v>
      </c>
      <c r="AI7469">
        <v>93.351119843315999</v>
      </c>
      <c r="AJ7469">
        <v>91.609683836016202</v>
      </c>
      <c r="AK7469">
        <v>19.011720318002801</v>
      </c>
      <c r="AL7469">
        <v>69.151294393170005</v>
      </c>
      <c r="AM7469">
        <v>93.699959080538704</v>
      </c>
      <c r="AN7469">
        <v>0.99999998801558698</v>
      </c>
    </row>
    <row r="7470" spans="1:40" x14ac:dyDescent="0.25">
      <c r="A7470" t="str">
        <f>"20190304165029651"</f>
        <v>20190304165029651</v>
      </c>
      <c r="B7470" t="str">
        <f>"1551689429643018"</f>
        <v>1551689429643018</v>
      </c>
      <c r="C7470" t="s">
        <v>40</v>
      </c>
      <c r="D7470">
        <v>4.3478430000000001</v>
      </c>
      <c r="E7470">
        <v>0.52135589999999998</v>
      </c>
      <c r="F7470" t="s">
        <v>42</v>
      </c>
      <c r="G7470">
        <v>-187.65110000000001</v>
      </c>
      <c r="H7470" s="1">
        <v>-3.9653330000000002E-6</v>
      </c>
      <c r="I7470">
        <v>57.904820000000001</v>
      </c>
      <c r="J7470">
        <v>-186.84829999999999</v>
      </c>
      <c r="K7470">
        <v>1.1112959999999901</v>
      </c>
      <c r="L7470">
        <v>39.368160000000003</v>
      </c>
      <c r="M7470">
        <v>-9.7936550000000001E-3</v>
      </c>
      <c r="N7470">
        <v>-1.3931529999999999E-2</v>
      </c>
      <c r="O7470">
        <v>0.99985500000000005</v>
      </c>
      <c r="P7470">
        <v>-6.9686579999999998E-2</v>
      </c>
      <c r="Q7470">
        <v>0.34308830000000001</v>
      </c>
      <c r="R7470">
        <v>0.93671459999999995</v>
      </c>
      <c r="S7470">
        <v>-0.139495799999999</v>
      </c>
      <c r="T7470">
        <v>-0.19221260000000001</v>
      </c>
      <c r="U7470">
        <v>3.2622680000000002</v>
      </c>
      <c r="V7470">
        <v>-6.0928000000000003E-2</v>
      </c>
      <c r="W7470">
        <v>0.35604239999999998</v>
      </c>
      <c r="X7470">
        <v>0.93248140000000002</v>
      </c>
      <c r="Y7470">
        <v>-3.2873949999999999E-2</v>
      </c>
      <c r="Z7470">
        <v>-4.4860820000000003E-2</v>
      </c>
      <c r="AA7470">
        <v>0.99845220000000001</v>
      </c>
      <c r="AB7470">
        <v>30</v>
      </c>
      <c r="AC7470">
        <v>-0.80280000000001905</v>
      </c>
      <c r="AD7470">
        <v>-1.11129996533299</v>
      </c>
      <c r="AE7470">
        <v>18.536660000000001</v>
      </c>
      <c r="AF7470">
        <v>-0.61898165479996103</v>
      </c>
      <c r="AG7470">
        <v>-1.11129996533299</v>
      </c>
      <c r="AH7470">
        <v>18.477347384189301</v>
      </c>
      <c r="AI7470">
        <v>93.439921308157395</v>
      </c>
      <c r="AJ7470">
        <v>91.918661706787304</v>
      </c>
      <c r="AK7470">
        <v>18.521082372743098</v>
      </c>
      <c r="AL7470">
        <v>69.142655512384096</v>
      </c>
      <c r="AM7470">
        <v>93.738371674892505</v>
      </c>
      <c r="AN7470">
        <v>0.99999998656386002</v>
      </c>
    </row>
    <row r="7471" spans="1:40" x14ac:dyDescent="0.25">
      <c r="A7471" t="str">
        <f>"20190304165029672"</f>
        <v>20190304165029672</v>
      </c>
      <c r="B7471" t="str">
        <f>"1551689429663513"</f>
        <v>1551689429663513</v>
      </c>
      <c r="C7471" t="s">
        <v>40</v>
      </c>
      <c r="D7471">
        <v>4.3346390000000001</v>
      </c>
      <c r="E7471">
        <v>0.52137730000000004</v>
      </c>
      <c r="F7471" t="s">
        <v>42</v>
      </c>
      <c r="G7471">
        <v>-187.7303</v>
      </c>
      <c r="H7471" s="1">
        <v>-4.2411900000000003E-6</v>
      </c>
      <c r="I7471">
        <v>58.580620000000003</v>
      </c>
      <c r="J7471">
        <v>-186.85169999999999</v>
      </c>
      <c r="K7471">
        <v>1.1112740000000001</v>
      </c>
      <c r="L7471">
        <v>39.648739999999997</v>
      </c>
      <c r="M7471">
        <v>-1.036027E-2</v>
      </c>
      <c r="N7471">
        <v>-1.386915E-2</v>
      </c>
      <c r="O7471">
        <v>0.99985020000000002</v>
      </c>
      <c r="P7471">
        <v>-7.078864E-2</v>
      </c>
      <c r="Q7471">
        <v>0.34265689999999999</v>
      </c>
      <c r="R7471">
        <v>0.93678989999999995</v>
      </c>
      <c r="S7471">
        <v>-0.14968870000000001</v>
      </c>
      <c r="T7471">
        <v>-0.1886032</v>
      </c>
      <c r="U7471">
        <v>3.2606199999999999</v>
      </c>
      <c r="V7471">
        <v>-6.1486199999999998E-2</v>
      </c>
      <c r="W7471">
        <v>0.35555569999999997</v>
      </c>
      <c r="X7471">
        <v>0.93263050000000003</v>
      </c>
      <c r="Y7471">
        <v>-3.5445209999999998E-2</v>
      </c>
      <c r="Z7471">
        <v>-4.3844859999999999E-2</v>
      </c>
      <c r="AA7471">
        <v>0.9984094</v>
      </c>
      <c r="AB7471">
        <v>30</v>
      </c>
      <c r="AC7471">
        <v>-0.87860000000000504</v>
      </c>
      <c r="AD7471">
        <v>-1.11127824119</v>
      </c>
      <c r="AE7471">
        <v>18.9318799999999</v>
      </c>
      <c r="AF7471">
        <v>-0.68005646251010998</v>
      </c>
      <c r="AG7471">
        <v>-1.11127824119</v>
      </c>
      <c r="AH7471">
        <v>18.8750719837285</v>
      </c>
      <c r="AI7471">
        <v>93.367245084696506</v>
      </c>
      <c r="AJ7471">
        <v>92.063436803194193</v>
      </c>
      <c r="AK7471">
        <v>18.919983047362301</v>
      </c>
      <c r="AL7471">
        <v>69.172494846753295</v>
      </c>
      <c r="AM7471">
        <v>93.771921436874607</v>
      </c>
      <c r="AN7471">
        <v>1.00000002906158</v>
      </c>
    </row>
    <row r="7472" spans="1:40" x14ac:dyDescent="0.25">
      <c r="A7472" t="str">
        <f>"20190304165029698"</f>
        <v>20190304165029698</v>
      </c>
      <c r="B7472" t="str">
        <f>"1551689429692793"</f>
        <v>1551689429692793</v>
      </c>
      <c r="C7472" t="s">
        <v>40</v>
      </c>
      <c r="D7472">
        <v>4.2579789999999997</v>
      </c>
      <c r="E7472">
        <v>0.52196880000000001</v>
      </c>
      <c r="F7472" t="s">
        <v>42</v>
      </c>
      <c r="G7472">
        <v>-187.76329999999999</v>
      </c>
      <c r="H7472" s="1">
        <v>-4.463494E-6</v>
      </c>
      <c r="I7472">
        <v>59.112430000000003</v>
      </c>
      <c r="J7472">
        <v>-186.85560000000001</v>
      </c>
      <c r="K7472">
        <v>1.11124</v>
      </c>
      <c r="L7472">
        <v>39.959380000000003</v>
      </c>
      <c r="M7472">
        <v>-1.0962039999999999E-2</v>
      </c>
      <c r="N7472">
        <v>-1.3787260000000001E-2</v>
      </c>
      <c r="O7472">
        <v>0.99984479999999998</v>
      </c>
      <c r="P7472">
        <v>-7.1599220000000005E-2</v>
      </c>
      <c r="Q7472">
        <v>0.34246850000000001</v>
      </c>
      <c r="R7472">
        <v>0.93679710000000005</v>
      </c>
      <c r="S7472">
        <v>-0.15263370000000001</v>
      </c>
      <c r="T7472">
        <v>-0.18607080000000001</v>
      </c>
      <c r="U7472">
        <v>3.258972</v>
      </c>
      <c r="V7472">
        <v>-6.1715109999999997E-2</v>
      </c>
      <c r="W7472">
        <v>0.35529450000000001</v>
      </c>
      <c r="X7472">
        <v>0.93271490000000001</v>
      </c>
      <c r="Y7472">
        <v>-3.5768639999999997E-2</v>
      </c>
      <c r="Z7472">
        <v>-4.318089E-2</v>
      </c>
      <c r="AA7472">
        <v>0.99842679999999995</v>
      </c>
      <c r="AB7472">
        <v>30</v>
      </c>
      <c r="AC7472">
        <v>-0.90769999999997697</v>
      </c>
      <c r="AD7472">
        <v>-1.111244463494</v>
      </c>
      <c r="AE7472">
        <v>19.15305</v>
      </c>
      <c r="AF7472">
        <v>-0.69533357455682399</v>
      </c>
      <c r="AG7472">
        <v>-1.111244463494</v>
      </c>
      <c r="AH7472">
        <v>19.097707018435401</v>
      </c>
      <c r="AI7472">
        <v>93.327932996766094</v>
      </c>
      <c r="AJ7472">
        <v>92.085176447405402</v>
      </c>
      <c r="AK7472">
        <v>19.142642617975898</v>
      </c>
      <c r="AL7472">
        <v>69.188505550971598</v>
      </c>
      <c r="AM7472">
        <v>93.785581758512706</v>
      </c>
      <c r="AN7472">
        <v>1.0000000106072799</v>
      </c>
    </row>
    <row r="7473" spans="1:40" x14ac:dyDescent="0.25">
      <c r="A7473" t="str">
        <f>"20190304165029720"</f>
        <v>20190304165029720</v>
      </c>
      <c r="B7473" t="str">
        <f>"1551689429713290"</f>
        <v>1551689429713290</v>
      </c>
      <c r="C7473" t="s">
        <v>40</v>
      </c>
      <c r="D7473">
        <v>4.202102</v>
      </c>
      <c r="E7473">
        <v>0.52224090000000001</v>
      </c>
      <c r="F7473" t="s">
        <v>42</v>
      </c>
      <c r="G7473">
        <v>-187.79230000000001</v>
      </c>
      <c r="H7473" s="1">
        <v>-8.4847800000000004E-7</v>
      </c>
      <c r="I7473">
        <v>60.415230000000001</v>
      </c>
      <c r="J7473">
        <v>-186.8597</v>
      </c>
      <c r="K7473">
        <v>1.1112029999999999</v>
      </c>
      <c r="L7473">
        <v>40.266750000000002</v>
      </c>
      <c r="M7473">
        <v>-1.152393E-2</v>
      </c>
      <c r="N7473">
        <v>-1.3688999999999899E-2</v>
      </c>
      <c r="O7473">
        <v>0.9998399</v>
      </c>
      <c r="P7473">
        <v>-7.2366040000000006E-2</v>
      </c>
      <c r="Q7473">
        <v>0.34294809999999998</v>
      </c>
      <c r="R7473">
        <v>0.93656280000000003</v>
      </c>
      <c r="S7473">
        <v>-0.1490784</v>
      </c>
      <c r="T7473">
        <v>-0.1768593</v>
      </c>
      <c r="U7473">
        <v>3.255646</v>
      </c>
      <c r="V7473">
        <v>-6.1939279999999999E-2</v>
      </c>
      <c r="W7473">
        <v>0.35568230000000001</v>
      </c>
      <c r="X7473">
        <v>0.93255220000000005</v>
      </c>
      <c r="Y7473">
        <v>-3.4173330000000002E-2</v>
      </c>
      <c r="Z7473">
        <v>-4.0523990000000003E-2</v>
      </c>
      <c r="AA7473">
        <v>0.99859399999999998</v>
      </c>
      <c r="AB7473">
        <v>30</v>
      </c>
      <c r="AC7473">
        <v>-0.93260000000000798</v>
      </c>
      <c r="AD7473">
        <v>-1.111203848478</v>
      </c>
      <c r="AE7473">
        <v>20.148479999999999</v>
      </c>
      <c r="AF7473">
        <v>-0.69820750023742395</v>
      </c>
      <c r="AG7473">
        <v>-1.111203848478</v>
      </c>
      <c r="AH7473">
        <v>20.096893915332501</v>
      </c>
      <c r="AI7473">
        <v>93.162889538113902</v>
      </c>
      <c r="AJ7473">
        <v>91.989773125071693</v>
      </c>
      <c r="AK7473">
        <v>20.139697434430101</v>
      </c>
      <c r="AL7473">
        <v>69.164733008091403</v>
      </c>
      <c r="AM7473">
        <v>93.799952973690395</v>
      </c>
      <c r="AN7473">
        <v>0.99999998933252399</v>
      </c>
    </row>
    <row r="7474" spans="1:40" x14ac:dyDescent="0.25">
      <c r="A7474" t="str">
        <f>"20190304165029739"</f>
        <v>20190304165029739</v>
      </c>
      <c r="B7474" t="str">
        <f>"1551689429732810"</f>
        <v>1551689429732810</v>
      </c>
      <c r="C7474" t="s">
        <v>40</v>
      </c>
      <c r="D7474">
        <v>4.2540829999999996</v>
      </c>
      <c r="E7474">
        <v>0.52244109999999999</v>
      </c>
      <c r="F7474" t="s">
        <v>42</v>
      </c>
      <c r="G7474">
        <v>-187.8066</v>
      </c>
      <c r="H7474" s="1">
        <v>-1.0294879999999999E-6</v>
      </c>
      <c r="I7474">
        <v>60.958269999999999</v>
      </c>
      <c r="J7474">
        <v>-186.86320000000001</v>
      </c>
      <c r="K7474">
        <v>1.1111759999999999</v>
      </c>
      <c r="L7474">
        <v>40.527009999999997</v>
      </c>
      <c r="M7474">
        <v>-1.197752E-2</v>
      </c>
      <c r="N7474">
        <v>-1.3602680000000001E-2</v>
      </c>
      <c r="O7474">
        <v>0.99983569999999999</v>
      </c>
      <c r="P7474">
        <v>-7.3013099999999997E-2</v>
      </c>
      <c r="Q7474">
        <v>0.34358719999999998</v>
      </c>
      <c r="R7474">
        <v>0.93627819999999995</v>
      </c>
      <c r="S7474">
        <v>-0.1489868</v>
      </c>
      <c r="T7474">
        <v>-0.17484240000000001</v>
      </c>
      <c r="U7474">
        <v>3.2557070000000001</v>
      </c>
      <c r="V7474">
        <v>-6.2149700000000002E-2</v>
      </c>
      <c r="W7474">
        <v>0.35624020000000001</v>
      </c>
      <c r="X7474">
        <v>0.93232519999999997</v>
      </c>
      <c r="Y7474">
        <v>-3.3692529999999998E-2</v>
      </c>
      <c r="Z7474">
        <v>-3.9992779999999999E-2</v>
      </c>
      <c r="AA7474">
        <v>0.99863179999999996</v>
      </c>
      <c r="AB7474">
        <v>29</v>
      </c>
      <c r="AC7474">
        <v>-0.94339999999999602</v>
      </c>
      <c r="AD7474">
        <v>-1.1111770294879999</v>
      </c>
      <c r="AE7474">
        <v>20.431260000000002</v>
      </c>
      <c r="AF7474">
        <v>-0.69653796430176096</v>
      </c>
      <c r="AG7474">
        <v>-1.1111770294879999</v>
      </c>
      <c r="AH7474">
        <v>20.380939255934798</v>
      </c>
      <c r="AI7474">
        <v>93.118882101163507</v>
      </c>
      <c r="AJ7474">
        <v>91.957375873663906</v>
      </c>
      <c r="AK7474">
        <v>20.423089004376401</v>
      </c>
      <c r="AL7474">
        <v>69.130526858067199</v>
      </c>
      <c r="AM7474">
        <v>93.813749749601598</v>
      </c>
      <c r="AN7474">
        <v>0.99999997193058399</v>
      </c>
    </row>
    <row r="7475" spans="1:40" x14ac:dyDescent="0.25">
      <c r="A7475" t="str">
        <f>"20190304165029762"</f>
        <v>20190304165029762</v>
      </c>
      <c r="B7475" t="str">
        <f>"1551689429753306"</f>
        <v>1551689429753306</v>
      </c>
      <c r="C7475" t="s">
        <v>40</v>
      </c>
      <c r="D7475">
        <v>4.1984380000000003</v>
      </c>
      <c r="E7475">
        <v>0.52269169999999998</v>
      </c>
      <c r="F7475" t="s">
        <v>42</v>
      </c>
      <c r="G7475">
        <v>-187.8252</v>
      </c>
      <c r="H7475" s="1">
        <v>-1.2279430000000001E-6</v>
      </c>
      <c r="I7475">
        <v>61.556040000000003</v>
      </c>
      <c r="J7475">
        <v>-186.8674</v>
      </c>
      <c r="K7475">
        <v>1.111145</v>
      </c>
      <c r="L7475">
        <v>40.82864</v>
      </c>
      <c r="M7475">
        <v>-1.247322E-2</v>
      </c>
      <c r="N7475">
        <v>-1.349793E-2</v>
      </c>
      <c r="O7475">
        <v>0.99983109999999997</v>
      </c>
      <c r="P7475">
        <v>-7.3981340000000007E-2</v>
      </c>
      <c r="Q7475">
        <v>0.34454000000000001</v>
      </c>
      <c r="R7475">
        <v>0.93585200000000002</v>
      </c>
      <c r="S7475">
        <v>-0.14894099999999999</v>
      </c>
      <c r="T7475">
        <v>-0.17203209999999999</v>
      </c>
      <c r="U7475">
        <v>3.2557070000000001</v>
      </c>
      <c r="V7475">
        <v>-6.2640879999999996E-2</v>
      </c>
      <c r="W7475">
        <v>0.35709279999999999</v>
      </c>
      <c r="X7475">
        <v>0.93196610000000002</v>
      </c>
      <c r="Y7475">
        <v>-3.3184959999999999E-2</v>
      </c>
      <c r="Z7475">
        <v>-3.9238299999999997E-2</v>
      </c>
      <c r="AA7475">
        <v>0.99867870000000003</v>
      </c>
      <c r="AB7475">
        <v>29</v>
      </c>
      <c r="AC7475">
        <v>-0.95779999999999099</v>
      </c>
      <c r="AD7475">
        <v>-1.111146227943</v>
      </c>
      <c r="AE7475">
        <v>20.727399999999999</v>
      </c>
      <c r="AF7475">
        <v>-0.69716527349934898</v>
      </c>
      <c r="AG7475">
        <v>-1.111146227943</v>
      </c>
      <c r="AH7475">
        <v>20.678436629458599</v>
      </c>
      <c r="AI7475">
        <v>93.074060873513403</v>
      </c>
      <c r="AJ7475">
        <v>91.930973029762995</v>
      </c>
      <c r="AK7475">
        <v>20.7200006466453</v>
      </c>
      <c r="AL7475">
        <v>69.078237661802902</v>
      </c>
      <c r="AM7475">
        <v>93.845277111860696</v>
      </c>
      <c r="AN7475">
        <v>0.99999997960411202</v>
      </c>
    </row>
    <row r="7476" spans="1:40" x14ac:dyDescent="0.25">
      <c r="A7476" t="str">
        <f>"20190304165029785"</f>
        <v>20190304165029785</v>
      </c>
      <c r="B7476" t="str">
        <f>"1551689429772825"</f>
        <v>1551689429772825</v>
      </c>
      <c r="C7476" t="s">
        <v>40</v>
      </c>
      <c r="D7476">
        <v>4.2183659999999996</v>
      </c>
      <c r="E7476">
        <v>0.52287600000000001</v>
      </c>
      <c r="F7476" t="s">
        <v>42</v>
      </c>
      <c r="G7476">
        <v>-187.8451</v>
      </c>
      <c r="H7476" s="1">
        <v>-1.489526E-6</v>
      </c>
      <c r="I7476">
        <v>62.213880000000003</v>
      </c>
      <c r="J7476">
        <v>-186.87180000000001</v>
      </c>
      <c r="K7476">
        <v>1.111105</v>
      </c>
      <c r="L7476">
        <v>41.13223</v>
      </c>
      <c r="M7476">
        <v>-1.293879E-2</v>
      </c>
      <c r="N7476">
        <v>-1.337551E-2</v>
      </c>
      <c r="O7476">
        <v>0.99982680000000002</v>
      </c>
      <c r="P7476">
        <v>-7.5761819999999994E-2</v>
      </c>
      <c r="Q7476">
        <v>0.34605269999999999</v>
      </c>
      <c r="R7476">
        <v>0.93515119999999896</v>
      </c>
      <c r="S7476">
        <v>-0.14886469999999999</v>
      </c>
      <c r="T7476">
        <v>-0.16918559999999999</v>
      </c>
      <c r="U7476">
        <v>3.2561650000000002</v>
      </c>
      <c r="V7476">
        <v>-6.3973450000000001E-2</v>
      </c>
      <c r="W7476">
        <v>0.3584852</v>
      </c>
      <c r="X7476">
        <v>0.93134090000000003</v>
      </c>
      <c r="Y7476">
        <v>-3.2691739999999997E-2</v>
      </c>
      <c r="Z7476">
        <v>-3.8483000000000003E-2</v>
      </c>
      <c r="AA7476">
        <v>0.99872430000000001</v>
      </c>
      <c r="AB7476">
        <v>29</v>
      </c>
      <c r="AC7476">
        <v>-0.97329999999999395</v>
      </c>
      <c r="AD7476">
        <v>-1.1111064895260001</v>
      </c>
      <c r="AE7476">
        <v>21.08165</v>
      </c>
      <c r="AF7476">
        <v>-0.69848692263665502</v>
      </c>
      <c r="AG7476">
        <v>-1.1111064895260001</v>
      </c>
      <c r="AH7476">
        <v>21.0341747821568</v>
      </c>
      <c r="AI7476">
        <v>93.022111633548107</v>
      </c>
      <c r="AJ7476">
        <v>91.901935893629798</v>
      </c>
      <c r="AK7476">
        <v>21.075078893766499</v>
      </c>
      <c r="AL7476">
        <v>68.992805163782407</v>
      </c>
      <c r="AM7476">
        <v>93.929452859773093</v>
      </c>
      <c r="AN7476">
        <v>1.00000005646837</v>
      </c>
    </row>
    <row r="7477" spans="1:40" x14ac:dyDescent="0.25">
      <c r="A7477" t="str">
        <f>"20190304165029819"</f>
        <v>20190304165029819</v>
      </c>
      <c r="B7477" t="str">
        <f>"1551689429812843"</f>
        <v>1551689429812843</v>
      </c>
      <c r="C7477" t="s">
        <v>40</v>
      </c>
      <c r="D7477">
        <v>4.2240099999999998</v>
      </c>
      <c r="E7477">
        <v>0.52335010000000004</v>
      </c>
      <c r="F7477" t="s">
        <v>42</v>
      </c>
      <c r="G7477">
        <v>-187.90170000000001</v>
      </c>
      <c r="H7477" s="1">
        <v>-1.8701169999999999E-6</v>
      </c>
      <c r="I7477">
        <v>63.124459999999999</v>
      </c>
      <c r="J7477">
        <v>-186.8783</v>
      </c>
      <c r="K7477">
        <v>1.1110260000000001</v>
      </c>
      <c r="L7477">
        <v>41.57376</v>
      </c>
      <c r="M7477">
        <v>-1.3540750000000001E-2</v>
      </c>
      <c r="N7477">
        <v>-1.316811E-2</v>
      </c>
      <c r="O7477">
        <v>0.99982159999999998</v>
      </c>
      <c r="P7477">
        <v>-7.8104850000000003E-2</v>
      </c>
      <c r="Q7477">
        <v>0.346582</v>
      </c>
      <c r="R7477">
        <v>0.93476230000000005</v>
      </c>
      <c r="S7477">
        <v>-0.1525116</v>
      </c>
      <c r="T7477">
        <v>-0.16453029999999999</v>
      </c>
      <c r="U7477">
        <v>3.256561</v>
      </c>
      <c r="V7477">
        <v>-6.5712580000000007E-2</v>
      </c>
      <c r="W7477">
        <v>0.35882389999999997</v>
      </c>
      <c r="X7477">
        <v>0.93108930000000001</v>
      </c>
      <c r="Y7477">
        <v>-3.3203040000000003E-2</v>
      </c>
      <c r="Z7477">
        <v>-3.7258390000000002E-2</v>
      </c>
      <c r="AA7477">
        <v>0.99875389999999997</v>
      </c>
      <c r="AB7477">
        <v>29</v>
      </c>
      <c r="AC7477">
        <v>-1.0234000000000001</v>
      </c>
      <c r="AD7477">
        <v>-1.111027870117</v>
      </c>
      <c r="AE7477">
        <v>21.550699999999999</v>
      </c>
      <c r="AF7477">
        <v>-0.72953359813841001</v>
      </c>
      <c r="AG7477">
        <v>-1.111027870117</v>
      </c>
      <c r="AH7477">
        <v>21.505553201635799</v>
      </c>
      <c r="AI7477">
        <v>92.955709419045604</v>
      </c>
      <c r="AJ7477">
        <v>91.942901587884094</v>
      </c>
      <c r="AK7477">
        <v>21.5465872171761</v>
      </c>
      <c r="AL7477">
        <v>68.972014952986797</v>
      </c>
      <c r="AM7477">
        <v>94.037014385712894</v>
      </c>
      <c r="AN7477">
        <v>1.00000000947797</v>
      </c>
    </row>
    <row r="7478" spans="1:40" x14ac:dyDescent="0.25">
      <c r="A7478" t="str">
        <f>"20190304165029841"</f>
        <v>20190304165029841</v>
      </c>
      <c r="B7478" t="str">
        <f>"1551689429833338"</f>
        <v>1551689429833338</v>
      </c>
      <c r="C7478" t="s">
        <v>40</v>
      </c>
      <c r="D7478">
        <v>4.7242759999999997</v>
      </c>
      <c r="E7478">
        <v>0.52349460000000003</v>
      </c>
      <c r="F7478" t="s">
        <v>42</v>
      </c>
      <c r="G7478">
        <v>-187.9451</v>
      </c>
      <c r="H7478" s="1">
        <v>-2.0643930000000001E-6</v>
      </c>
      <c r="I7478">
        <v>63.595260000000003</v>
      </c>
      <c r="J7478">
        <v>-186.88249999999999</v>
      </c>
      <c r="K7478">
        <v>1.11097</v>
      </c>
      <c r="L7478">
        <v>41.85886</v>
      </c>
      <c r="M7478">
        <v>-1.387944E-2</v>
      </c>
      <c r="N7478">
        <v>-1.3026630000000001E-2</v>
      </c>
      <c r="O7478">
        <v>0.99981880000000001</v>
      </c>
      <c r="P7478">
        <v>-7.9627249999999997E-2</v>
      </c>
      <c r="Q7478">
        <v>0.3475105</v>
      </c>
      <c r="R7478">
        <v>0.93428900000000004</v>
      </c>
      <c r="S7478">
        <v>-0.15779109999999999</v>
      </c>
      <c r="T7478">
        <v>-0.16432769999999999</v>
      </c>
      <c r="U7478">
        <v>3.2571110000000001</v>
      </c>
      <c r="V7478">
        <v>-6.6890160000000004E-2</v>
      </c>
      <c r="W7478">
        <v>0.35962090000000002</v>
      </c>
      <c r="X7478">
        <v>0.93069789999999997</v>
      </c>
      <c r="Y7478">
        <v>-3.4471399999999999E-2</v>
      </c>
      <c r="Z7478">
        <v>-3.7326230000000002E-2</v>
      </c>
      <c r="AA7478">
        <v>0.99870840000000005</v>
      </c>
      <c r="AB7478">
        <v>29</v>
      </c>
      <c r="AC7478">
        <v>-1.0626</v>
      </c>
      <c r="AD7478">
        <v>-1.1109720643929999</v>
      </c>
      <c r="AE7478">
        <v>21.7364</v>
      </c>
      <c r="AF7478">
        <v>-0.75880542526906603</v>
      </c>
      <c r="AG7478">
        <v>-1.1109720643929999</v>
      </c>
      <c r="AH7478">
        <v>21.6925221366361</v>
      </c>
      <c r="AI7478">
        <v>92.930025286275196</v>
      </c>
      <c r="AJ7478">
        <v>92.003392158237602</v>
      </c>
      <c r="AK7478">
        <v>21.734202567605902</v>
      </c>
      <c r="AL7478">
        <v>68.923084706038395</v>
      </c>
      <c r="AM7478">
        <v>94.110834836577496</v>
      </c>
      <c r="AN7478">
        <v>1.0000000331430201</v>
      </c>
    </row>
    <row r="7479" spans="1:40" x14ac:dyDescent="0.25">
      <c r="A7479" t="str">
        <f>"20190304165029863"</f>
        <v>20190304165029863</v>
      </c>
      <c r="B7479" t="str">
        <f>"1551689429852858"</f>
        <v>1551689429852858</v>
      </c>
      <c r="C7479" t="s">
        <v>40</v>
      </c>
      <c r="D7479">
        <v>4.2231909999999999</v>
      </c>
      <c r="E7479">
        <v>0.52367169999999996</v>
      </c>
      <c r="F7479" t="s">
        <v>42</v>
      </c>
      <c r="G7479">
        <v>-188.0016</v>
      </c>
      <c r="H7479" s="1">
        <v>-2.3967050000000002E-6</v>
      </c>
      <c r="I7479">
        <v>64.393249999999995</v>
      </c>
      <c r="J7479">
        <v>-186.8871</v>
      </c>
      <c r="K7479">
        <v>1.110911</v>
      </c>
      <c r="L7479">
        <v>42.158140000000003</v>
      </c>
      <c r="M7479">
        <v>-1.4195889999999999E-2</v>
      </c>
      <c r="N7479">
        <v>-1.288299E-2</v>
      </c>
      <c r="O7479">
        <v>0.99981620000000004</v>
      </c>
      <c r="P7479">
        <v>-8.1536259999999999E-2</v>
      </c>
      <c r="Q7479">
        <v>0.34776269999999998</v>
      </c>
      <c r="R7479">
        <v>0.93403049999999999</v>
      </c>
      <c r="S7479">
        <v>-0.1617432</v>
      </c>
      <c r="T7479">
        <v>-0.1605704</v>
      </c>
      <c r="U7479">
        <v>3.2569270000000001</v>
      </c>
      <c r="V7479">
        <v>-6.8473649999999997E-2</v>
      </c>
      <c r="W7479">
        <v>0.35974149999999999</v>
      </c>
      <c r="X7479">
        <v>0.93053609999999998</v>
      </c>
      <c r="Y7479">
        <v>-3.5368669999999998E-2</v>
      </c>
      <c r="Z7479">
        <v>-3.632138E-2</v>
      </c>
      <c r="AA7479">
        <v>0.99871410000000005</v>
      </c>
      <c r="AB7479">
        <v>29</v>
      </c>
      <c r="AC7479">
        <v>-1.1144999999999901</v>
      </c>
      <c r="AD7479">
        <v>-1.110913396705</v>
      </c>
      <c r="AE7479">
        <v>22.235109999999899</v>
      </c>
      <c r="AF7479">
        <v>-0.79673046658758195</v>
      </c>
      <c r="AG7479">
        <v>-1.110913396705</v>
      </c>
      <c r="AH7479">
        <v>22.193430979721501</v>
      </c>
      <c r="AI7479">
        <v>92.863761553577206</v>
      </c>
      <c r="AJ7479">
        <v>92.056000170628593</v>
      </c>
      <c r="AK7479">
        <v>22.235496096625099</v>
      </c>
      <c r="AL7479">
        <v>68.915678724861294</v>
      </c>
      <c r="AM7479">
        <v>94.208534085337106</v>
      </c>
      <c r="AN7479">
        <v>1.0000000104848901</v>
      </c>
    </row>
    <row r="7480" spans="1:40" x14ac:dyDescent="0.25">
      <c r="A7480" t="str">
        <f>"20190304165029887"</f>
        <v>20190304165029887</v>
      </c>
      <c r="B7480" t="str">
        <f>"1551689429883114"</f>
        <v>1551689429883114</v>
      </c>
      <c r="C7480" t="s">
        <v>40</v>
      </c>
      <c r="D7480">
        <v>4.2542650000000002</v>
      </c>
      <c r="E7480">
        <v>0.52403199999999905</v>
      </c>
      <c r="F7480" t="s">
        <v>42</v>
      </c>
      <c r="G7480">
        <v>-188.0351</v>
      </c>
      <c r="H7480" s="1">
        <v>-2.4865860000000001E-6</v>
      </c>
      <c r="I7480">
        <v>64.616590000000002</v>
      </c>
      <c r="J7480">
        <v>-186.89160000000001</v>
      </c>
      <c r="K7480">
        <v>1.1108579999999999</v>
      </c>
      <c r="L7480">
        <v>42.455379999999998</v>
      </c>
      <c r="M7480">
        <v>-1.4464090000000001E-2</v>
      </c>
      <c r="N7480">
        <v>-1.274351E-2</v>
      </c>
      <c r="O7480">
        <v>0.99981419999999999</v>
      </c>
      <c r="P7480">
        <v>-8.2966310000000001E-2</v>
      </c>
      <c r="Q7480">
        <v>0.34700160000000002</v>
      </c>
      <c r="R7480">
        <v>0.93418760000000001</v>
      </c>
      <c r="S7480">
        <v>-0.16650390000000001</v>
      </c>
      <c r="T7480">
        <v>-0.16112599999999999</v>
      </c>
      <c r="U7480">
        <v>3.257355</v>
      </c>
      <c r="V7480">
        <v>-6.9621569999999994E-2</v>
      </c>
      <c r="W7480">
        <v>0.35885820000000002</v>
      </c>
      <c r="X7480">
        <v>0.93079199999999995</v>
      </c>
      <c r="Y7480">
        <v>-3.6549180000000001E-2</v>
      </c>
      <c r="Z7480">
        <v>-3.6621239999999999E-2</v>
      </c>
      <c r="AA7480">
        <v>0.99866060000000001</v>
      </c>
      <c r="AB7480">
        <v>29</v>
      </c>
      <c r="AC7480">
        <v>-1.14349999999998</v>
      </c>
      <c r="AD7480">
        <v>-1.1108604865859999</v>
      </c>
      <c r="AE7480">
        <v>22.161210000000001</v>
      </c>
      <c r="AF7480">
        <v>-0.82075580218519695</v>
      </c>
      <c r="AG7480">
        <v>-1.1108604865859999</v>
      </c>
      <c r="AH7480">
        <v>22.12000011528</v>
      </c>
      <c r="AI7480">
        <v>92.872989721680597</v>
      </c>
      <c r="AJ7480">
        <v>92.124967448861099</v>
      </c>
      <c r="AK7480">
        <v>22.163078671688801</v>
      </c>
      <c r="AL7480">
        <v>68.969910571203798</v>
      </c>
      <c r="AM7480">
        <v>94.277655775880206</v>
      </c>
      <c r="AN7480">
        <v>1.00000005899025</v>
      </c>
    </row>
    <row r="7481" spans="1:40" x14ac:dyDescent="0.25">
      <c r="A7481" t="str">
        <f>"20190304165029910"</f>
        <v>20190304165029910</v>
      </c>
      <c r="B7481" t="str">
        <f>"1551689429902634"</f>
        <v>1551689429902634</v>
      </c>
      <c r="C7481" t="s">
        <v>40</v>
      </c>
      <c r="D7481">
        <v>4.2468440000000003</v>
      </c>
      <c r="E7481">
        <v>0.52427950000000001</v>
      </c>
      <c r="F7481" t="s">
        <v>42</v>
      </c>
      <c r="G7481">
        <v>-188.0308</v>
      </c>
      <c r="H7481" s="1">
        <v>-2.4199549999999999E-6</v>
      </c>
      <c r="I7481">
        <v>64.459500000000006</v>
      </c>
      <c r="J7481">
        <v>-186.8963</v>
      </c>
      <c r="K7481">
        <v>1.1108180000000001</v>
      </c>
      <c r="L7481">
        <v>42.763489999999997</v>
      </c>
      <c r="M7481">
        <v>-1.469848E-2</v>
      </c>
      <c r="N7481">
        <v>-1.259967E-2</v>
      </c>
      <c r="O7481">
        <v>0.99981260000000005</v>
      </c>
      <c r="P7481">
        <v>-8.3060590000000004E-2</v>
      </c>
      <c r="Q7481">
        <v>0.34728769999999998</v>
      </c>
      <c r="R7481">
        <v>0.93407289999999998</v>
      </c>
      <c r="S7481">
        <v>-0.16864009999999999</v>
      </c>
      <c r="T7481">
        <v>-0.1644497</v>
      </c>
      <c r="U7481">
        <v>3.2574459999999998</v>
      </c>
      <c r="V7481">
        <v>-6.9473289999999993E-2</v>
      </c>
      <c r="W7481">
        <v>0.3590139</v>
      </c>
      <c r="X7481">
        <v>0.93074299999999999</v>
      </c>
      <c r="Y7481">
        <v>-3.696427E-2</v>
      </c>
      <c r="Z7481">
        <v>-3.777813E-2</v>
      </c>
      <c r="AA7481">
        <v>0.99860230000000005</v>
      </c>
      <c r="AB7481">
        <v>29</v>
      </c>
      <c r="AC7481">
        <v>-1.1345000000000001</v>
      </c>
      <c r="AD7481">
        <v>-1.110820419955</v>
      </c>
      <c r="AE7481">
        <v>21.696010000000001</v>
      </c>
      <c r="AF7481">
        <v>-0.81332752558451704</v>
      </c>
      <c r="AG7481">
        <v>-1.110820419955</v>
      </c>
      <c r="AH7481">
        <v>21.653734968910499</v>
      </c>
      <c r="AI7481">
        <v>92.934590714438897</v>
      </c>
      <c r="AJ7481">
        <v>92.151053323895397</v>
      </c>
      <c r="AK7481">
        <v>21.697457495593302</v>
      </c>
      <c r="AL7481">
        <v>68.960351959203905</v>
      </c>
      <c r="AM7481">
        <v>94.268802828791394</v>
      </c>
      <c r="AN7481">
        <v>1.0000000252328101</v>
      </c>
    </row>
    <row r="7482" spans="1:40" x14ac:dyDescent="0.25">
      <c r="A7482" t="str">
        <f>"20190304165029932"</f>
        <v>20190304165029932</v>
      </c>
      <c r="B7482" t="str">
        <f>"1551689429923130"</f>
        <v>1551689429923130</v>
      </c>
      <c r="C7482" t="s">
        <v>40</v>
      </c>
      <c r="D7482">
        <v>4.2652269999999897</v>
      </c>
      <c r="E7482">
        <v>0.52447929999999998</v>
      </c>
      <c r="F7482" t="s">
        <v>42</v>
      </c>
      <c r="G7482">
        <v>-188.04349999999999</v>
      </c>
      <c r="H7482" s="1">
        <v>-2.6074300000000002E-6</v>
      </c>
      <c r="I7482">
        <v>64.901759999999996</v>
      </c>
      <c r="J7482">
        <v>-186.90090000000001</v>
      </c>
      <c r="K7482">
        <v>1.1107800000000001</v>
      </c>
      <c r="L7482">
        <v>43.058410000000002</v>
      </c>
      <c r="M7482">
        <v>-1.489351E-2</v>
      </c>
      <c r="N7482">
        <v>-1.2462880000000001E-2</v>
      </c>
      <c r="O7482">
        <v>0.99981140000000002</v>
      </c>
      <c r="P7482">
        <v>-8.2673109999999994E-2</v>
      </c>
      <c r="Q7482">
        <v>0.3478388</v>
      </c>
      <c r="R7482">
        <v>0.93390220000000002</v>
      </c>
      <c r="S7482">
        <v>-0.16879269999999999</v>
      </c>
      <c r="T7482">
        <v>-0.16345019999999999</v>
      </c>
      <c r="U7482">
        <v>3.2575069999999999</v>
      </c>
      <c r="V7482">
        <v>-6.8886909999999996E-2</v>
      </c>
      <c r="W7482">
        <v>0.35943940000000002</v>
      </c>
      <c r="X7482">
        <v>0.93062230000000001</v>
      </c>
      <c r="Y7482">
        <v>-3.68157E-2</v>
      </c>
      <c r="Z7482">
        <v>-3.7608299999999997E-2</v>
      </c>
      <c r="AA7482">
        <v>0.99861409999999995</v>
      </c>
      <c r="AB7482">
        <v>30</v>
      </c>
      <c r="AC7482">
        <v>-1.1425999999999801</v>
      </c>
      <c r="AD7482">
        <v>-1.11078260742999</v>
      </c>
      <c r="AE7482">
        <v>21.843350000000001</v>
      </c>
      <c r="AF7482">
        <v>-0.81502197296734502</v>
      </c>
      <c r="AG7482">
        <v>-1.11078260742999</v>
      </c>
      <c r="AH7482">
        <v>21.801721267977999</v>
      </c>
      <c r="AI7482">
        <v>92.9146259379567</v>
      </c>
      <c r="AJ7482">
        <v>92.140912796702693</v>
      </c>
      <c r="AK7482">
        <v>21.845208835440101</v>
      </c>
      <c r="AL7482">
        <v>68.934227834783599</v>
      </c>
      <c r="AM7482">
        <v>94.233451086848802</v>
      </c>
      <c r="AN7482">
        <v>0.99999997694949805</v>
      </c>
    </row>
    <row r="7483" spans="1:40" x14ac:dyDescent="0.25">
      <c r="A7483" t="str">
        <f>"20190304165029952"</f>
        <v>20190304165029952</v>
      </c>
      <c r="B7483" t="str">
        <f>"1551689429942901"</f>
        <v>1551689429942901</v>
      </c>
      <c r="C7483" t="s">
        <v>40</v>
      </c>
      <c r="D7483">
        <v>4.7978160000000001</v>
      </c>
      <c r="E7483">
        <v>0.52463700000000002</v>
      </c>
      <c r="F7483" t="s">
        <v>42</v>
      </c>
      <c r="G7483">
        <v>-188.0428</v>
      </c>
      <c r="H7483" s="1">
        <v>-2.7395050000000001E-6</v>
      </c>
      <c r="I7483">
        <v>65.209360000000004</v>
      </c>
      <c r="J7483">
        <v>-186.90520000000001</v>
      </c>
      <c r="K7483">
        <v>1.110757</v>
      </c>
      <c r="L7483">
        <v>43.331449999999997</v>
      </c>
      <c r="M7483">
        <v>-1.5058709999999999E-2</v>
      </c>
      <c r="N7483">
        <v>-1.2337600000000001E-2</v>
      </c>
      <c r="O7483">
        <v>0.99981050000000005</v>
      </c>
      <c r="P7483">
        <v>-8.2006860000000001E-2</v>
      </c>
      <c r="Q7483">
        <v>0.3493232</v>
      </c>
      <c r="R7483">
        <v>0.93340679999999998</v>
      </c>
      <c r="S7483">
        <v>-0.167968799999999</v>
      </c>
      <c r="T7483">
        <v>-0.16339100000000001</v>
      </c>
      <c r="U7483">
        <v>3.2583009999999999</v>
      </c>
      <c r="V7483">
        <v>-6.8061659999999996E-2</v>
      </c>
      <c r="W7483">
        <v>0.3608037</v>
      </c>
      <c r="X7483">
        <v>0.93015499999999995</v>
      </c>
      <c r="Y7483">
        <v>-3.6386330000000001E-2</v>
      </c>
      <c r="Z7483">
        <v>-3.7703760000000003E-2</v>
      </c>
      <c r="AA7483">
        <v>0.99862629999999997</v>
      </c>
      <c r="AB7483">
        <v>30</v>
      </c>
      <c r="AC7483">
        <v>-1.13759999999999</v>
      </c>
      <c r="AD7483">
        <v>-1.110759739505</v>
      </c>
      <c r="AE7483">
        <v>21.87791</v>
      </c>
      <c r="AF7483">
        <v>-0.80592101014784001</v>
      </c>
      <c r="AG7483">
        <v>-1.110759739505</v>
      </c>
      <c r="AH7483">
        <v>21.836425516454799</v>
      </c>
      <c r="AI7483">
        <v>92.909993249274194</v>
      </c>
      <c r="AJ7483">
        <v>92.113666615433104</v>
      </c>
      <c r="AK7483">
        <v>21.8795058264391</v>
      </c>
      <c r="AL7483">
        <v>68.850438068926806</v>
      </c>
      <c r="AM7483">
        <v>94.185010361450395</v>
      </c>
      <c r="AN7483">
        <v>1.0000000117603201</v>
      </c>
    </row>
    <row r="7484" spans="1:40" x14ac:dyDescent="0.25">
      <c r="A7484" t="str">
        <f>"20190304165029977"</f>
        <v>20190304165029977</v>
      </c>
      <c r="B7484" t="str">
        <f>"1551689429973157"</f>
        <v>1551689429973157</v>
      </c>
      <c r="C7484" t="s">
        <v>40</v>
      </c>
      <c r="D7484">
        <v>4.3399929999999998</v>
      </c>
      <c r="E7484">
        <v>0.5249045</v>
      </c>
      <c r="F7484" t="s">
        <v>42</v>
      </c>
      <c r="G7484">
        <v>-188.06280000000001</v>
      </c>
      <c r="H7484" s="1">
        <v>-3.1375419999999999E-6</v>
      </c>
      <c r="I7484">
        <v>66.145449999999997</v>
      </c>
      <c r="J7484">
        <v>-186.9101</v>
      </c>
      <c r="K7484">
        <v>1.110733</v>
      </c>
      <c r="L7484">
        <v>43.643219999999999</v>
      </c>
      <c r="M7484">
        <v>-1.523834E-2</v>
      </c>
      <c r="N7484">
        <v>-1.219628E-2</v>
      </c>
      <c r="O7484">
        <v>0.99980950000000002</v>
      </c>
      <c r="P7484">
        <v>-8.1603709999999996E-2</v>
      </c>
      <c r="Q7484">
        <v>0.349487099999999</v>
      </c>
      <c r="R7484">
        <v>0.93338080000000001</v>
      </c>
      <c r="S7484">
        <v>-0.16535949999999999</v>
      </c>
      <c r="T7484">
        <v>-0.15866729999999901</v>
      </c>
      <c r="U7484">
        <v>3.2588810000000001</v>
      </c>
      <c r="V7484">
        <v>-6.7481890000000003E-2</v>
      </c>
      <c r="W7484">
        <v>0.36083799999999999</v>
      </c>
      <c r="X7484">
        <v>0.93018389999999995</v>
      </c>
      <c r="Y7484">
        <v>-3.5403520000000001E-2</v>
      </c>
      <c r="Z7484">
        <v>-3.6394419999999997E-2</v>
      </c>
      <c r="AA7484">
        <v>0.99871019999999999</v>
      </c>
      <c r="AB7484">
        <v>30</v>
      </c>
      <c r="AC7484">
        <v>-1.15270000000001</v>
      </c>
      <c r="AD7484">
        <v>-1.110736137542</v>
      </c>
      <c r="AE7484">
        <v>22.502230000000001</v>
      </c>
      <c r="AF7484">
        <v>-0.807681217302195</v>
      </c>
      <c r="AG7484">
        <v>-1.110736137542</v>
      </c>
      <c r="AH7484">
        <v>22.462596003012099</v>
      </c>
      <c r="AI7484">
        <v>92.829045188435998</v>
      </c>
      <c r="AJ7484">
        <v>92.059280988317795</v>
      </c>
      <c r="AK7484">
        <v>22.504539606722901</v>
      </c>
      <c r="AL7484">
        <v>68.8483301192678</v>
      </c>
      <c r="AM7484">
        <v>94.149357748803197</v>
      </c>
      <c r="AN7484">
        <v>0.99999997777059002</v>
      </c>
    </row>
    <row r="7485" spans="1:40" x14ac:dyDescent="0.25">
      <c r="A7485" t="str">
        <f>"20190304165029996"</f>
        <v>20190304165029996</v>
      </c>
      <c r="B7485" t="str">
        <f>"1551689429992677"</f>
        <v>1551689429992677</v>
      </c>
      <c r="C7485" t="s">
        <v>40</v>
      </c>
      <c r="D7485">
        <v>4.3436019999999997</v>
      </c>
      <c r="E7485">
        <v>0.52502939999999998</v>
      </c>
      <c r="F7485" t="s">
        <v>42</v>
      </c>
      <c r="G7485">
        <v>-188.0204</v>
      </c>
      <c r="H7485" s="1">
        <v>-3.144027E-6</v>
      </c>
      <c r="I7485">
        <v>66.143039999999999</v>
      </c>
      <c r="J7485">
        <v>-186.9144</v>
      </c>
      <c r="K7485">
        <v>1.110716</v>
      </c>
      <c r="L7485">
        <v>43.916229999999999</v>
      </c>
      <c r="M7485">
        <v>-1.539187E-2</v>
      </c>
      <c r="N7485">
        <v>-1.20792E-2</v>
      </c>
      <c r="O7485">
        <v>0.99980849999999999</v>
      </c>
      <c r="P7485">
        <v>-8.1195439999999994E-2</v>
      </c>
      <c r="Q7485">
        <v>0.3494352</v>
      </c>
      <c r="R7485">
        <v>0.93343580000000004</v>
      </c>
      <c r="S7485">
        <v>-0.1608887</v>
      </c>
      <c r="T7485">
        <v>-0.16095019999999999</v>
      </c>
      <c r="U7485">
        <v>3.2603149999999999</v>
      </c>
      <c r="V7485">
        <v>-6.6925219999999994E-2</v>
      </c>
      <c r="W7485">
        <v>0.36067880000000002</v>
      </c>
      <c r="X7485">
        <v>0.9302859</v>
      </c>
      <c r="Y7485">
        <v>-3.3860840000000003E-2</v>
      </c>
      <c r="Z7485">
        <v>-3.7190099999999997E-2</v>
      </c>
      <c r="AA7485">
        <v>0.99873440000000002</v>
      </c>
      <c r="AB7485">
        <v>30</v>
      </c>
      <c r="AC7485">
        <v>-1.1059999999999901</v>
      </c>
      <c r="AD7485">
        <v>-1.1107191440269999</v>
      </c>
      <c r="AE7485">
        <v>22.22681</v>
      </c>
      <c r="AF7485">
        <v>-0.76183404882962402</v>
      </c>
      <c r="AG7485">
        <v>-1.1107191440269999</v>
      </c>
      <c r="AH7485">
        <v>22.185935244064801</v>
      </c>
      <c r="AI7485">
        <v>92.864383950678899</v>
      </c>
      <c r="AJ7485">
        <v>91.966684338553605</v>
      </c>
      <c r="AK7485">
        <v>22.226781386172501</v>
      </c>
      <c r="AL7485">
        <v>68.8581111142868</v>
      </c>
      <c r="AM7485">
        <v>94.114797388674106</v>
      </c>
      <c r="AN7485">
        <v>1.0000000187901401</v>
      </c>
    </row>
    <row r="7486" spans="1:40" x14ac:dyDescent="0.25">
      <c r="A7486" t="str">
        <f>"20190304165030018"</f>
        <v>20190304165030018</v>
      </c>
      <c r="B7486" t="str">
        <f>"1551689430013172"</f>
        <v>1551689430013172</v>
      </c>
      <c r="C7486" t="s">
        <v>40</v>
      </c>
      <c r="D7486">
        <v>4.3528929999999999</v>
      </c>
      <c r="E7486">
        <v>0.52515049999999996</v>
      </c>
      <c r="F7486" t="s">
        <v>42</v>
      </c>
      <c r="G7486">
        <v>-187.9906</v>
      </c>
      <c r="H7486" s="1">
        <v>-3.2298809999999999E-6</v>
      </c>
      <c r="I7486">
        <v>66.330839999999995</v>
      </c>
      <c r="J7486">
        <v>-186.91900000000001</v>
      </c>
      <c r="K7486">
        <v>1.1106990000000001</v>
      </c>
      <c r="L7486">
        <v>44.201509999999999</v>
      </c>
      <c r="M7486">
        <v>-1.5552150000000001E-2</v>
      </c>
      <c r="N7486">
        <v>-1.1966829999999999E-2</v>
      </c>
      <c r="O7486">
        <v>0.99980740000000001</v>
      </c>
      <c r="P7486">
        <v>-8.1324049999999995E-2</v>
      </c>
      <c r="Q7486">
        <v>0.34872219999999998</v>
      </c>
      <c r="R7486">
        <v>0.93369120000000005</v>
      </c>
      <c r="S7486">
        <v>-0.15655520000000001</v>
      </c>
      <c r="T7486">
        <v>-0.1615837</v>
      </c>
      <c r="U7486">
        <v>3.2608030000000001</v>
      </c>
      <c r="V7486">
        <v>-6.6898509999999994E-2</v>
      </c>
      <c r="W7486">
        <v>0.35986469999999998</v>
      </c>
      <c r="X7486">
        <v>0.93060299999999996</v>
      </c>
      <c r="Y7486">
        <v>-3.2369200000000001E-2</v>
      </c>
      <c r="Z7486">
        <v>-3.7490999999999997E-2</v>
      </c>
      <c r="AA7486">
        <v>0.99877260000000001</v>
      </c>
      <c r="AB7486">
        <v>30</v>
      </c>
      <c r="AC7486">
        <v>-1.0715999999999799</v>
      </c>
      <c r="AD7486">
        <v>-1.1107022298810001</v>
      </c>
      <c r="AE7486">
        <v>22.12933</v>
      </c>
      <c r="AF7486">
        <v>-0.725463763465787</v>
      </c>
      <c r="AG7486">
        <v>-1.1107022298810001</v>
      </c>
      <c r="AH7486">
        <v>22.087807197340901</v>
      </c>
      <c r="AI7486">
        <v>92.8771882799808</v>
      </c>
      <c r="AJ7486">
        <v>91.881176999589798</v>
      </c>
      <c r="AK7486">
        <v>22.127611346516101</v>
      </c>
      <c r="AL7486">
        <v>68.908112497374603</v>
      </c>
      <c r="AM7486">
        <v>94.111764063105596</v>
      </c>
      <c r="AN7486">
        <v>0.99999997827765397</v>
      </c>
    </row>
    <row r="7487" spans="1:40" x14ac:dyDescent="0.25">
      <c r="A7487" t="str">
        <f>"20190304165030041"</f>
        <v>20190304165030041</v>
      </c>
      <c r="B7487" t="str">
        <f>"1551689430032693"</f>
        <v>1551689430032693</v>
      </c>
      <c r="C7487" t="s">
        <v>40</v>
      </c>
      <c r="D7487">
        <v>4.4656339999999997</v>
      </c>
      <c r="E7487">
        <v>0.5251344</v>
      </c>
      <c r="F7487" t="s">
        <v>42</v>
      </c>
      <c r="G7487">
        <v>-187.95410000000001</v>
      </c>
      <c r="H7487" s="1">
        <v>-3.191775E-6</v>
      </c>
      <c r="I7487">
        <v>66.226929999999996</v>
      </c>
      <c r="J7487">
        <v>-186.92400000000001</v>
      </c>
      <c r="K7487">
        <v>1.110687</v>
      </c>
      <c r="L7487">
        <v>44.511629999999997</v>
      </c>
      <c r="M7487">
        <v>-1.572842E-2</v>
      </c>
      <c r="N7487">
        <v>-1.1848569999999999E-2</v>
      </c>
      <c r="O7487">
        <v>0.99980610000000003</v>
      </c>
      <c r="P7487">
        <v>-8.1615690000000005E-2</v>
      </c>
      <c r="Q7487">
        <v>0.34900049999999999</v>
      </c>
      <c r="R7487">
        <v>0.9335618</v>
      </c>
      <c r="S7487">
        <v>-0.15325929999999999</v>
      </c>
      <c r="T7487">
        <v>-0.1644533</v>
      </c>
      <c r="U7487">
        <v>3.261139</v>
      </c>
      <c r="V7487">
        <v>-6.7027020000000007E-2</v>
      </c>
      <c r="W7487">
        <v>0.36003109999999999</v>
      </c>
      <c r="X7487">
        <v>0.93052939999999995</v>
      </c>
      <c r="Y7487">
        <v>-3.1179559999999999E-2</v>
      </c>
      <c r="Z7487">
        <v>-3.8482200000000001E-2</v>
      </c>
      <c r="AA7487">
        <v>0.99877269999999896</v>
      </c>
      <c r="AB7487">
        <v>30</v>
      </c>
      <c r="AC7487">
        <v>-1.0301</v>
      </c>
      <c r="AD7487">
        <v>-1.1106901917749901</v>
      </c>
      <c r="AE7487">
        <v>21.715299999999999</v>
      </c>
      <c r="AF7487">
        <v>-0.68660902066021601</v>
      </c>
      <c r="AG7487">
        <v>-1.1106901917749901</v>
      </c>
      <c r="AH7487">
        <v>21.672246985868</v>
      </c>
      <c r="AI7487">
        <v>92.932340305208797</v>
      </c>
      <c r="AJ7487">
        <v>91.814608563765105</v>
      </c>
      <c r="AK7487">
        <v>21.711548863814901</v>
      </c>
      <c r="AL7487">
        <v>68.897893770537095</v>
      </c>
      <c r="AM7487">
        <v>94.119960187668497</v>
      </c>
      <c r="AN7487">
        <v>0.99999998932082501</v>
      </c>
    </row>
    <row r="7488" spans="1:40" x14ac:dyDescent="0.25">
      <c r="A7488" t="str">
        <f>"20190304165030063"</f>
        <v>20190304165030063</v>
      </c>
      <c r="B7488" t="str">
        <f>"1551689430053192"</f>
        <v>1551689430053192</v>
      </c>
      <c r="C7488" t="s">
        <v>40</v>
      </c>
      <c r="D7488">
        <v>4.3990839999999896</v>
      </c>
      <c r="E7488">
        <v>0.49955270000000002</v>
      </c>
      <c r="F7488" t="s">
        <v>42</v>
      </c>
      <c r="G7488">
        <v>-187.96170000000001</v>
      </c>
      <c r="H7488" s="1">
        <v>-3.3395290000000001E-6</v>
      </c>
      <c r="I7488">
        <v>66.574489999999997</v>
      </c>
      <c r="J7488">
        <v>-186.9289</v>
      </c>
      <c r="K7488">
        <v>1.1106819999999999</v>
      </c>
      <c r="L7488">
        <v>44.810420000000001</v>
      </c>
      <c r="M7488">
        <v>-1.5900999999999998E-2</v>
      </c>
      <c r="N7488">
        <v>-1.1729949999999999E-2</v>
      </c>
      <c r="O7488">
        <v>0.99980469999999999</v>
      </c>
      <c r="P7488">
        <v>-8.2111370000000003E-2</v>
      </c>
      <c r="Q7488">
        <v>0.34920109999999999</v>
      </c>
      <c r="R7488">
        <v>0.93344320000000003</v>
      </c>
      <c r="S7488">
        <v>-0.15339659999999999</v>
      </c>
      <c r="T7488">
        <v>-0.16418929999999901</v>
      </c>
      <c r="U7488">
        <v>3.2614749999999999</v>
      </c>
      <c r="V7488">
        <v>-6.736354E-2</v>
      </c>
      <c r="W7488">
        <v>0.360120099999999</v>
      </c>
      <c r="X7488">
        <v>0.93047069999999998</v>
      </c>
      <c r="Y7488">
        <v>-3.1044329999999998E-2</v>
      </c>
      <c r="Z7488">
        <v>-3.8514840000000002E-2</v>
      </c>
      <c r="AA7488">
        <v>0.99877570000000004</v>
      </c>
      <c r="AB7488">
        <v>30</v>
      </c>
      <c r="AC7488">
        <v>-1.0327999999999999</v>
      </c>
      <c r="AD7488">
        <v>-1.1106853395289999</v>
      </c>
      <c r="AE7488">
        <v>21.76407</v>
      </c>
      <c r="AF7488">
        <v>-0.68479564565847795</v>
      </c>
      <c r="AG7488">
        <v>-1.1106853395289999</v>
      </c>
      <c r="AH7488">
        <v>21.721298612646599</v>
      </c>
      <c r="AI7488">
        <v>92.925731468673604</v>
      </c>
      <c r="AJ7488">
        <v>91.805734992477298</v>
      </c>
      <c r="AK7488">
        <v>21.760454508569399</v>
      </c>
      <c r="AL7488">
        <v>68.8924286673616</v>
      </c>
      <c r="AM7488">
        <v>94.140833655861101</v>
      </c>
      <c r="AN7488">
        <v>1.0000000282519099</v>
      </c>
    </row>
    <row r="7489" spans="1:40" x14ac:dyDescent="0.25">
      <c r="A7489" t="str">
        <f>"20190304165030085"</f>
        <v>20190304165030085</v>
      </c>
      <c r="B7489" t="str">
        <f>"1551689430072714"</f>
        <v>1551689430072714</v>
      </c>
      <c r="C7489" t="s">
        <v>40</v>
      </c>
      <c r="D7489">
        <v>4.4390299999999998</v>
      </c>
      <c r="E7489">
        <v>0.49177949999999998</v>
      </c>
      <c r="F7489" t="s">
        <v>48</v>
      </c>
      <c r="G7489">
        <v>-196.10650000000001</v>
      </c>
      <c r="H7489" s="1">
        <v>-5.6295970000000004E-6</v>
      </c>
      <c r="I7489">
        <v>128.9897</v>
      </c>
      <c r="J7489">
        <v>-186.93350000000001</v>
      </c>
      <c r="K7489">
        <v>1.1106659999999999</v>
      </c>
      <c r="L7489">
        <v>45.088590000000003</v>
      </c>
      <c r="M7489">
        <v>-1.6064120000000001E-2</v>
      </c>
      <c r="N7489">
        <v>-1.1619340000000001E-2</v>
      </c>
      <c r="O7489">
        <v>0.99980340000000001</v>
      </c>
      <c r="P7489">
        <v>-8.3065550000000002E-2</v>
      </c>
      <c r="Q7489">
        <v>0.34944180000000002</v>
      </c>
      <c r="R7489">
        <v>0.93326869999999995</v>
      </c>
      <c r="S7489">
        <v>-0.34877010000000003</v>
      </c>
      <c r="T7489">
        <v>-4.2209030000000002E-2</v>
      </c>
      <c r="U7489">
        <v>3.199036</v>
      </c>
      <c r="V7489">
        <v>-6.8168510000000002E-2</v>
      </c>
      <c r="W7489">
        <v>0.36025580000000001</v>
      </c>
      <c r="X7489">
        <v>0.93035950000000001</v>
      </c>
      <c r="Y7489">
        <v>-9.2383400000000004E-2</v>
      </c>
      <c r="Z7489">
        <v>-1.5144309999999999E-3</v>
      </c>
      <c r="AA7489">
        <v>0.99572240000000001</v>
      </c>
      <c r="AB7489">
        <v>30</v>
      </c>
      <c r="AC7489">
        <v>-9.173</v>
      </c>
      <c r="AD7489">
        <v>-1.1106716295969901</v>
      </c>
      <c r="AE7489">
        <v>83.901109999999903</v>
      </c>
      <c r="AF7489">
        <v>-7.8225729905389398</v>
      </c>
      <c r="AG7489">
        <v>-1.1106716295969901</v>
      </c>
      <c r="AH7489">
        <v>84.023098001808506</v>
      </c>
      <c r="AI7489">
        <v>90.754067974421602</v>
      </c>
      <c r="AJ7489">
        <v>95.3189202898064</v>
      </c>
      <c r="AK7489">
        <v>84.393763024779403</v>
      </c>
      <c r="AL7489">
        <v>68.8840934449412</v>
      </c>
      <c r="AM7489">
        <v>94.190638958146906</v>
      </c>
      <c r="AN7489">
        <v>0.99999999321475497</v>
      </c>
    </row>
    <row r="7490" spans="1:40" x14ac:dyDescent="0.25">
      <c r="A7490" t="str">
        <f>"20190304165030109"</f>
        <v>20190304165030109</v>
      </c>
      <c r="B7490" t="str">
        <f>"1551689430102965"</f>
        <v>1551689430102965</v>
      </c>
      <c r="C7490" t="s">
        <v>40</v>
      </c>
      <c r="D7490">
        <v>4.4325510000000001</v>
      </c>
      <c r="E7490">
        <v>0.48792479999999999</v>
      </c>
      <c r="F7490" t="s">
        <v>58</v>
      </c>
      <c r="G7490">
        <v>-231.41489999999999</v>
      </c>
      <c r="H7490">
        <v>6.5633530000000002</v>
      </c>
      <c r="I7490">
        <v>390.11860000000001</v>
      </c>
      <c r="J7490">
        <v>-186.93879999999999</v>
      </c>
      <c r="K7490">
        <v>1.1106510000000001</v>
      </c>
      <c r="L7490">
        <v>45.406010000000002</v>
      </c>
      <c r="M7490">
        <v>-1.6252369999999999E-2</v>
      </c>
      <c r="N7490">
        <v>-1.149853E-2</v>
      </c>
      <c r="O7490">
        <v>0.99980179999999996</v>
      </c>
      <c r="P7490">
        <v>-8.4836449999999994E-2</v>
      </c>
      <c r="Q7490">
        <v>0.34946549999999998</v>
      </c>
      <c r="R7490">
        <v>0.93310059999999995</v>
      </c>
      <c r="S7490">
        <v>-0.40733340000000001</v>
      </c>
      <c r="T7490">
        <v>4.9932360000000002E-2</v>
      </c>
      <c r="U7490">
        <v>3.1595759999999999</v>
      </c>
      <c r="V7490">
        <v>-6.9766739999999994E-2</v>
      </c>
      <c r="W7490">
        <v>0.36016540000000002</v>
      </c>
      <c r="X7490">
        <v>0.93027599999999999</v>
      </c>
      <c r="Y7490">
        <v>-0.1116806</v>
      </c>
      <c r="Z7490">
        <v>2.716816E-2</v>
      </c>
      <c r="AA7490">
        <v>0.9933727</v>
      </c>
      <c r="AB7490">
        <v>30</v>
      </c>
      <c r="AC7490">
        <v>-44.476100000000002</v>
      </c>
      <c r="AD7490">
        <v>5.4527019999999897</v>
      </c>
      <c r="AE7490">
        <v>344.71258999999998</v>
      </c>
      <c r="AF7490">
        <v>-38.8578943853963</v>
      </c>
      <c r="AG7490">
        <v>5.4527019999999897</v>
      </c>
      <c r="AH7490">
        <v>345.30495977720602</v>
      </c>
      <c r="AI7490">
        <v>89.100992398702999</v>
      </c>
      <c r="AJ7490">
        <v>96.420603279473198</v>
      </c>
      <c r="AK7490">
        <v>347.527240891855</v>
      </c>
      <c r="AL7490">
        <v>68.889645292801902</v>
      </c>
      <c r="AM7490">
        <v>94.288910796243897</v>
      </c>
      <c r="AN7490">
        <v>0.999999974771693</v>
      </c>
    </row>
    <row r="7491" spans="1:40" x14ac:dyDescent="0.25">
      <c r="A7491" t="str">
        <f>"20190304165030132"</f>
        <v>20190304165030132</v>
      </c>
      <c r="B7491" t="str">
        <f>"1551689430123461"</f>
        <v>1551689430123461</v>
      </c>
      <c r="C7491" t="s">
        <v>40</v>
      </c>
      <c r="D7491">
        <v>4.4289199999999997</v>
      </c>
      <c r="E7491">
        <v>0.48712559999999999</v>
      </c>
      <c r="F7491" t="s">
        <v>59</v>
      </c>
      <c r="G7491">
        <v>-241.41679999999999</v>
      </c>
      <c r="H7491">
        <v>8.3237749999999995</v>
      </c>
      <c r="I7491">
        <v>431.9375</v>
      </c>
      <c r="J7491">
        <v>-186.94390000000001</v>
      </c>
      <c r="K7491">
        <v>1.1106419999999999</v>
      </c>
      <c r="L7491">
        <v>45.708069999999999</v>
      </c>
      <c r="M7491">
        <v>-1.6432599999999999E-2</v>
      </c>
      <c r="N7491">
        <v>-1.138982E-2</v>
      </c>
      <c r="O7491">
        <v>0.99980009999999997</v>
      </c>
      <c r="P7491">
        <v>-8.6609409999999998E-2</v>
      </c>
      <c r="Q7491">
        <v>0.34918399999999999</v>
      </c>
      <c r="R7491">
        <v>0.93304310000000001</v>
      </c>
      <c r="S7491">
        <v>-0.44433590000000001</v>
      </c>
      <c r="T7491">
        <v>5.8832290000000002E-2</v>
      </c>
      <c r="U7491">
        <v>3.1526489999999998</v>
      </c>
      <c r="V7491">
        <v>-7.1372669999999999E-2</v>
      </c>
      <c r="W7491">
        <v>0.35978199999999999</v>
      </c>
      <c r="X7491">
        <v>0.93030259999999998</v>
      </c>
      <c r="Y7491">
        <v>-0.12321219999999999</v>
      </c>
      <c r="Z7491">
        <v>2.9865289999999999E-2</v>
      </c>
      <c r="AA7491">
        <v>0.9919308</v>
      </c>
      <c r="AB7491">
        <v>30</v>
      </c>
      <c r="AC7491">
        <v>-54.472899999999903</v>
      </c>
      <c r="AD7491">
        <v>7.2131329999999902</v>
      </c>
      <c r="AE7491">
        <v>386.22942999999998</v>
      </c>
      <c r="AF7491">
        <v>-48.1019284392816</v>
      </c>
      <c r="AG7491">
        <v>7.2131329999999902</v>
      </c>
      <c r="AH7491">
        <v>386.94013579945602</v>
      </c>
      <c r="AI7491">
        <v>88.940201846579598</v>
      </c>
      <c r="AJ7491">
        <v>97.086291349648604</v>
      </c>
      <c r="AK7491">
        <v>389.98524779759902</v>
      </c>
      <c r="AL7491">
        <v>68.913192302904406</v>
      </c>
      <c r="AM7491">
        <v>94.387129261788303</v>
      </c>
      <c r="AN7491">
        <v>1.00000003655684</v>
      </c>
    </row>
    <row r="7492" spans="1:40" x14ac:dyDescent="0.25">
      <c r="A7492" t="str">
        <f>"20190304165030153"</f>
        <v>20190304165030153</v>
      </c>
      <c r="B7492" t="str">
        <f>"1551689430143488"</f>
        <v>1551689430143488</v>
      </c>
      <c r="C7492" t="s">
        <v>40</v>
      </c>
      <c r="D7492">
        <v>4.4352340000000003</v>
      </c>
      <c r="E7492">
        <v>0.48635919999999999</v>
      </c>
      <c r="F7492" t="s">
        <v>59</v>
      </c>
      <c r="G7492">
        <v>-242.6422</v>
      </c>
      <c r="H7492">
        <v>8.3895300000000006</v>
      </c>
      <c r="I7492">
        <v>429.72430000000003</v>
      </c>
      <c r="J7492">
        <v>-186.94880000000001</v>
      </c>
      <c r="K7492">
        <v>1.1106400000000001</v>
      </c>
      <c r="L7492">
        <v>45.994199999999999</v>
      </c>
      <c r="M7492">
        <v>-1.660356E-2</v>
      </c>
      <c r="N7492">
        <v>-1.129513E-2</v>
      </c>
      <c r="O7492">
        <v>0.99979839999999998</v>
      </c>
      <c r="P7492">
        <v>-8.7470880000000001E-2</v>
      </c>
      <c r="Q7492">
        <v>0.34994340000000002</v>
      </c>
      <c r="R7492">
        <v>0.93267809999999995</v>
      </c>
      <c r="S7492">
        <v>-0.456955</v>
      </c>
      <c r="T7492">
        <v>5.9717060000000002E-2</v>
      </c>
      <c r="U7492">
        <v>3.1505130000000001</v>
      </c>
      <c r="V7492">
        <v>-7.2081599999999996E-2</v>
      </c>
      <c r="W7492">
        <v>0.36044920000000003</v>
      </c>
      <c r="X7492">
        <v>0.92998959999999997</v>
      </c>
      <c r="Y7492">
        <v>-0.12702749999999999</v>
      </c>
      <c r="Z7492">
        <v>3.0050830000000001E-2</v>
      </c>
      <c r="AA7492">
        <v>0.99144390000000004</v>
      </c>
      <c r="AB7492">
        <v>30</v>
      </c>
      <c r="AC7492">
        <v>-55.693399999999997</v>
      </c>
      <c r="AD7492">
        <v>7.2788899999999996</v>
      </c>
      <c r="AE7492">
        <v>383.73009999999999</v>
      </c>
      <c r="AF7492">
        <v>-49.296658157636301</v>
      </c>
      <c r="AG7492">
        <v>7.2788899999999996</v>
      </c>
      <c r="AH7492">
        <v>384.46648156886999</v>
      </c>
      <c r="AI7492">
        <v>88.924185833650498</v>
      </c>
      <c r="AJ7492">
        <v>97.306651489413596</v>
      </c>
      <c r="AK7492">
        <v>387.68236766080798</v>
      </c>
      <c r="AL7492">
        <v>68.872214940402998</v>
      </c>
      <c r="AM7492">
        <v>94.432018268662006</v>
      </c>
      <c r="AN7492">
        <v>1.00000001947367</v>
      </c>
    </row>
    <row r="7493" spans="1:40" x14ac:dyDescent="0.25">
      <c r="A7493" t="str">
        <f>"20190304165030176"</f>
        <v>20190304165030176</v>
      </c>
      <c r="B7493" t="str">
        <f>"1551689430163010"</f>
        <v>1551689430163010</v>
      </c>
      <c r="C7493" t="s">
        <v>40</v>
      </c>
      <c r="D7493">
        <v>4.4470140000000002</v>
      </c>
      <c r="E7493">
        <v>0.486043</v>
      </c>
      <c r="F7493" t="s">
        <v>59</v>
      </c>
      <c r="G7493">
        <v>-242.6421</v>
      </c>
      <c r="H7493">
        <v>8.5474149999999902</v>
      </c>
      <c r="I7493">
        <v>423.09010000000001</v>
      </c>
      <c r="J7493">
        <v>-186.95400000000001</v>
      </c>
      <c r="K7493">
        <v>1.110638</v>
      </c>
      <c r="L7493">
        <v>46.293950000000002</v>
      </c>
      <c r="M7493">
        <v>-1.6782470000000001E-2</v>
      </c>
      <c r="N7493">
        <v>-1.1205619999999999E-2</v>
      </c>
      <c r="O7493">
        <v>0.99979640000000003</v>
      </c>
      <c r="P7493">
        <v>-8.8169860000000003E-2</v>
      </c>
      <c r="Q7493">
        <v>0.35164390000000001</v>
      </c>
      <c r="R7493">
        <v>0.93197240000000003</v>
      </c>
      <c r="S7493">
        <v>-0.46516420000000003</v>
      </c>
      <c r="T7493">
        <v>6.2114000000000003E-2</v>
      </c>
      <c r="U7493">
        <v>3.149597</v>
      </c>
      <c r="V7493">
        <v>-7.2626339999999998E-2</v>
      </c>
      <c r="W7493">
        <v>0.3620583</v>
      </c>
      <c r="X7493">
        <v>0.92932190000000003</v>
      </c>
      <c r="Y7493">
        <v>-0.12941829999999999</v>
      </c>
      <c r="Z7493">
        <v>3.071291E-2</v>
      </c>
      <c r="AA7493">
        <v>0.9911143</v>
      </c>
      <c r="AB7493">
        <v>30</v>
      </c>
      <c r="AC7493">
        <v>-55.688099999999899</v>
      </c>
      <c r="AD7493">
        <v>7.4367769999999904</v>
      </c>
      <c r="AE7493">
        <v>376.79615000000001</v>
      </c>
      <c r="AF7493">
        <v>-49.337480908316003</v>
      </c>
      <c r="AG7493">
        <v>7.4367769999999904</v>
      </c>
      <c r="AH7493">
        <v>377.533797199687</v>
      </c>
      <c r="AI7493">
        <v>88.881028150368905</v>
      </c>
      <c r="AJ7493">
        <v>97.445425994813903</v>
      </c>
      <c r="AK7493">
        <v>380.816570940053</v>
      </c>
      <c r="AL7493">
        <v>68.773342712663606</v>
      </c>
      <c r="AM7493">
        <v>94.468572561463205</v>
      </c>
      <c r="AN7493">
        <v>0.99999999584014698</v>
      </c>
    </row>
    <row r="7494" spans="1:40" x14ac:dyDescent="0.25">
      <c r="A7494" t="str">
        <f>"20190304165030196"</f>
        <v>20190304165030196</v>
      </c>
      <c r="B7494" t="str">
        <f>"1551689430182528"</f>
        <v>1551689430182528</v>
      </c>
      <c r="C7494" t="s">
        <v>40</v>
      </c>
      <c r="D7494">
        <v>4.449052</v>
      </c>
      <c r="E7494">
        <v>0.48593049999999999</v>
      </c>
      <c r="F7494" t="s">
        <v>59</v>
      </c>
      <c r="G7494">
        <v>-242.642</v>
      </c>
      <c r="H7494">
        <v>9.0208510000000004</v>
      </c>
      <c r="I7494">
        <v>419.4409</v>
      </c>
      <c r="J7494">
        <v>-186.95859999999999</v>
      </c>
      <c r="K7494">
        <v>1.1106370000000001</v>
      </c>
      <c r="L7494">
        <v>46.561279999999996</v>
      </c>
      <c r="M7494">
        <v>-1.6941629999999999E-2</v>
      </c>
      <c r="N7494">
        <v>-1.1129790000000001E-2</v>
      </c>
      <c r="O7494">
        <v>0.99979450000000003</v>
      </c>
      <c r="P7494">
        <v>-8.8798050000000003E-2</v>
      </c>
      <c r="Q7494">
        <v>0.35261219999999999</v>
      </c>
      <c r="R7494">
        <v>0.93154689999999996</v>
      </c>
      <c r="S7494">
        <v>-0.47000120000000001</v>
      </c>
      <c r="T7494">
        <v>6.6761609999999999E-2</v>
      </c>
      <c r="U7494">
        <v>3.1493229999999999</v>
      </c>
      <c r="V7494">
        <v>-7.3114020000000002E-2</v>
      </c>
      <c r="W7494">
        <v>0.36295119999999997</v>
      </c>
      <c r="X7494">
        <v>0.92893530000000002</v>
      </c>
      <c r="Y7494">
        <v>-0.13075699999999901</v>
      </c>
      <c r="Z7494">
        <v>3.2094299999999999E-2</v>
      </c>
      <c r="AA7494">
        <v>0.99089490000000002</v>
      </c>
      <c r="AB7494">
        <v>30</v>
      </c>
      <c r="AC7494">
        <v>-55.683399999999999</v>
      </c>
      <c r="AD7494">
        <v>7.9102139999999901</v>
      </c>
      <c r="AE7494">
        <v>372.87961999999999</v>
      </c>
      <c r="AF7494">
        <v>-49.336108994274902</v>
      </c>
      <c r="AG7494">
        <v>7.9102139999999901</v>
      </c>
      <c r="AH7494">
        <v>373.60505886644103</v>
      </c>
      <c r="AI7494">
        <v>88.797513238448403</v>
      </c>
      <c r="AJ7494">
        <v>97.522621321075903</v>
      </c>
      <c r="AK7494">
        <v>376.93150988849101</v>
      </c>
      <c r="AL7494">
        <v>68.718449955754494</v>
      </c>
      <c r="AM7494">
        <v>94.500320372050197</v>
      </c>
      <c r="AN7494">
        <v>1.00000001254404</v>
      </c>
    </row>
    <row r="7495" spans="1:40" x14ac:dyDescent="0.25">
      <c r="A7495" t="str">
        <f>"20190304165030219"</f>
        <v>20190304165030219</v>
      </c>
      <c r="B7495" t="str">
        <f>"1551689430212784"</f>
        <v>1551689430212784</v>
      </c>
      <c r="C7495" t="s">
        <v>40</v>
      </c>
      <c r="D7495">
        <v>4.4703809999999997</v>
      </c>
      <c r="E7495">
        <v>0.48567709999999997</v>
      </c>
      <c r="F7495" t="s">
        <v>59</v>
      </c>
      <c r="G7495">
        <v>-242.64189999999999</v>
      </c>
      <c r="H7495">
        <v>9.2995760000000001</v>
      </c>
      <c r="I7495">
        <v>417.93430000000001</v>
      </c>
      <c r="J7495">
        <v>-186.964</v>
      </c>
      <c r="K7495">
        <v>1.11063</v>
      </c>
      <c r="L7495">
        <v>46.86853</v>
      </c>
      <c r="M7495">
        <v>-1.7124759999999999E-2</v>
      </c>
      <c r="N7495">
        <v>-1.104817E-2</v>
      </c>
      <c r="O7495">
        <v>0.99979229999999997</v>
      </c>
      <c r="P7495">
        <v>-8.9385399999999907E-2</v>
      </c>
      <c r="Q7495">
        <v>0.3535432</v>
      </c>
      <c r="R7495">
        <v>0.93113769999999996</v>
      </c>
      <c r="S7495">
        <v>-0.47218320000000003</v>
      </c>
      <c r="T7495">
        <v>6.9440840000000004E-2</v>
      </c>
      <c r="U7495">
        <v>3.1491699999999998</v>
      </c>
      <c r="V7495">
        <v>-7.3537839999999993E-2</v>
      </c>
      <c r="W7495">
        <v>0.36380190000000001</v>
      </c>
      <c r="X7495">
        <v>0.92856899999999998</v>
      </c>
      <c r="Y7495">
        <v>-0.1312509</v>
      </c>
      <c r="Z7495">
        <v>3.2853109999999998E-2</v>
      </c>
      <c r="AA7495">
        <v>0.99080469999999998</v>
      </c>
      <c r="AB7495">
        <v>30</v>
      </c>
      <c r="AC7495">
        <v>-55.677899999999902</v>
      </c>
      <c r="AD7495">
        <v>8.1889459999999996</v>
      </c>
      <c r="AE7495">
        <v>371.06576999999999</v>
      </c>
      <c r="AF7495">
        <v>-49.291456455648998</v>
      </c>
      <c r="AG7495">
        <v>8.1889459999999996</v>
      </c>
      <c r="AH7495">
        <v>371.787795149153</v>
      </c>
      <c r="AI7495">
        <v>88.749157022976405</v>
      </c>
      <c r="AJ7495">
        <v>97.5522046468528</v>
      </c>
      <c r="AK7495">
        <v>375.13047215332801</v>
      </c>
      <c r="AL7495">
        <v>68.666132098894707</v>
      </c>
      <c r="AM7495">
        <v>94.528077387730207</v>
      </c>
      <c r="AN7495">
        <v>1.00000001205823</v>
      </c>
    </row>
    <row r="7496" spans="1:40" x14ac:dyDescent="0.25">
      <c r="A7496" t="str">
        <f>"20190304165030242"</f>
        <v>20190304165030242</v>
      </c>
      <c r="B7496" t="str">
        <f>"1551689430232812"</f>
        <v>1551689430232812</v>
      </c>
      <c r="C7496" t="s">
        <v>40</v>
      </c>
      <c r="D7496">
        <v>4.4807860000000002</v>
      </c>
      <c r="E7496">
        <v>0.48557430000000001</v>
      </c>
      <c r="F7496" t="s">
        <v>59</v>
      </c>
      <c r="G7496">
        <v>-242.64179999999999</v>
      </c>
      <c r="H7496">
        <v>9.5425190000000004</v>
      </c>
      <c r="I7496">
        <v>415.71710000000002</v>
      </c>
      <c r="J7496">
        <v>-186.96969999999999</v>
      </c>
      <c r="K7496">
        <v>1.1106229999999999</v>
      </c>
      <c r="L7496">
        <v>47.185670000000002</v>
      </c>
      <c r="M7496">
        <v>-1.731386E-2</v>
      </c>
      <c r="N7496">
        <v>-1.0972839999999999E-2</v>
      </c>
      <c r="O7496">
        <v>0.99978990000000001</v>
      </c>
      <c r="P7496">
        <v>-8.9549669999999998E-2</v>
      </c>
      <c r="Q7496">
        <v>0.35374420000000001</v>
      </c>
      <c r="R7496">
        <v>0.93104560000000003</v>
      </c>
      <c r="S7496">
        <v>-0.47532649999999999</v>
      </c>
      <c r="T7496">
        <v>7.1984049999999994E-2</v>
      </c>
      <c r="U7496">
        <v>3.148895</v>
      </c>
      <c r="V7496">
        <v>-7.3528079999999996E-2</v>
      </c>
      <c r="W7496">
        <v>0.36393199999999998</v>
      </c>
      <c r="X7496">
        <v>0.92851879999999998</v>
      </c>
      <c r="Y7496">
        <v>-0.1320402</v>
      </c>
      <c r="Z7496">
        <v>3.3575250000000001E-2</v>
      </c>
      <c r="AA7496">
        <v>0.99067559999999999</v>
      </c>
      <c r="AB7496">
        <v>30</v>
      </c>
      <c r="AC7496">
        <v>-55.6721</v>
      </c>
      <c r="AD7496">
        <v>8.4318960000000001</v>
      </c>
      <c r="AE7496">
        <v>368.53143</v>
      </c>
      <c r="AF7496">
        <v>-49.2574582055788</v>
      </c>
      <c r="AG7496">
        <v>8.4318960000000001</v>
      </c>
      <c r="AH7496">
        <v>369.251155414827</v>
      </c>
      <c r="AI7496">
        <v>88.703353225634501</v>
      </c>
      <c r="AJ7496">
        <v>97.598297860010405</v>
      </c>
      <c r="AK7496">
        <v>372.61751144332197</v>
      </c>
      <c r="AL7496">
        <v>68.658129526560103</v>
      </c>
      <c r="AM7496">
        <v>94.527722675047997</v>
      </c>
      <c r="AN7496">
        <v>1.00000002056296</v>
      </c>
    </row>
    <row r="7497" spans="1:40" x14ac:dyDescent="0.25">
      <c r="A7497" t="str">
        <f>"20190304165030265"</f>
        <v>20190304165030265</v>
      </c>
      <c r="B7497" t="str">
        <f>"1551689430253311"</f>
        <v>1551689430253311</v>
      </c>
      <c r="C7497" t="s">
        <v>40</v>
      </c>
      <c r="D7497">
        <v>4.5119920000000002</v>
      </c>
      <c r="E7497">
        <v>0.4855061</v>
      </c>
      <c r="F7497" t="s">
        <v>59</v>
      </c>
      <c r="G7497">
        <v>-242.64179999999999</v>
      </c>
      <c r="H7497">
        <v>9.5420970000000001</v>
      </c>
      <c r="I7497">
        <v>414.73079999999999</v>
      </c>
      <c r="J7497">
        <v>-186.97499999999999</v>
      </c>
      <c r="K7497">
        <v>1.110616</v>
      </c>
      <c r="L7497">
        <v>47.480350000000001</v>
      </c>
      <c r="M7497">
        <v>-1.7489620000000001E-2</v>
      </c>
      <c r="N7497">
        <v>-1.091113E-2</v>
      </c>
      <c r="O7497">
        <v>0.99978750000000005</v>
      </c>
      <c r="P7497">
        <v>-9.0339790000000003E-2</v>
      </c>
      <c r="Q7497">
        <v>0.3538153</v>
      </c>
      <c r="R7497">
        <v>0.9309423</v>
      </c>
      <c r="S7497">
        <v>-0.47695920000000003</v>
      </c>
      <c r="T7497">
        <v>7.2235110000000005E-2</v>
      </c>
      <c r="U7497">
        <v>3.1488649999999998</v>
      </c>
      <c r="V7497">
        <v>-7.415592E-2</v>
      </c>
      <c r="W7497">
        <v>0.36394490000000002</v>
      </c>
      <c r="X7497">
        <v>0.92846379999999995</v>
      </c>
      <c r="Y7497">
        <v>-0.1323696</v>
      </c>
      <c r="Z7497">
        <v>3.3591030000000001E-2</v>
      </c>
      <c r="AA7497">
        <v>0.99063109999999999</v>
      </c>
      <c r="AB7497">
        <v>30</v>
      </c>
      <c r="AC7497">
        <v>-55.666800000000002</v>
      </c>
      <c r="AD7497">
        <v>8.4314809999999998</v>
      </c>
      <c r="AE7497">
        <v>367.25045</v>
      </c>
      <c r="AF7497">
        <v>-49.209476055691198</v>
      </c>
      <c r="AG7497">
        <v>8.4314809999999998</v>
      </c>
      <c r="AH7497">
        <v>367.97831890170499</v>
      </c>
      <c r="AI7497">
        <v>88.698990178235803</v>
      </c>
      <c r="AJ7497">
        <v>97.616932084198496</v>
      </c>
      <c r="AK7497">
        <v>371.34984258412402</v>
      </c>
      <c r="AL7497">
        <v>68.657335740903605</v>
      </c>
      <c r="AM7497">
        <v>94.5664904386296</v>
      </c>
      <c r="AN7497">
        <v>1.00000000930874</v>
      </c>
    </row>
    <row r="7498" spans="1:40" x14ac:dyDescent="0.25">
      <c r="A7498" t="str">
        <f>"20190304165030286"</f>
        <v>20190304165030286</v>
      </c>
      <c r="B7498" t="str">
        <f>"1551689430272828"</f>
        <v>1551689430272828</v>
      </c>
      <c r="C7498" t="s">
        <v>40</v>
      </c>
      <c r="D7498">
        <v>4.5485239999999996</v>
      </c>
      <c r="E7498">
        <v>0.4855447</v>
      </c>
      <c r="F7498" t="s">
        <v>62</v>
      </c>
      <c r="G7498">
        <v>-232.00489999999999</v>
      </c>
      <c r="H7498">
        <v>7.7380679999999904</v>
      </c>
      <c r="I7498">
        <v>342.59320000000002</v>
      </c>
      <c r="J7498">
        <v>-186.98009999999999</v>
      </c>
      <c r="K7498">
        <v>1.1106049999999901</v>
      </c>
      <c r="L7498">
        <v>47.765779999999999</v>
      </c>
      <c r="M7498">
        <v>-1.7659620000000001E-2</v>
      </c>
      <c r="N7498">
        <v>-1.0858390000000001E-2</v>
      </c>
      <c r="O7498">
        <v>0.99978509999999998</v>
      </c>
      <c r="P7498">
        <v>-9.0217839999999994E-2</v>
      </c>
      <c r="Q7498">
        <v>0.35379169999999999</v>
      </c>
      <c r="R7498">
        <v>0.93096299999999998</v>
      </c>
      <c r="S7498">
        <v>-0.48049930000000002</v>
      </c>
      <c r="T7498">
        <v>7.0719240000000003E-2</v>
      </c>
      <c r="U7498">
        <v>3.1490480000000001</v>
      </c>
      <c r="V7498">
        <v>-7.3875259999999998E-2</v>
      </c>
      <c r="W7498">
        <v>0.36387249999999999</v>
      </c>
      <c r="X7498">
        <v>0.92851450000000002</v>
      </c>
      <c r="Y7498">
        <v>-0.1332834</v>
      </c>
      <c r="Z7498">
        <v>3.3057589999999998E-2</v>
      </c>
      <c r="AA7498">
        <v>0.99052649999999998</v>
      </c>
      <c r="AB7498">
        <v>30</v>
      </c>
      <c r="AC7498">
        <v>-45.024799999999999</v>
      </c>
      <c r="AD7498">
        <v>6.6274629999999997</v>
      </c>
      <c r="AE7498">
        <v>294.82742000000002</v>
      </c>
      <c r="AF7498">
        <v>-39.791281996235597</v>
      </c>
      <c r="AG7498">
        <v>6.6274629999999997</v>
      </c>
      <c r="AH7498">
        <v>295.43072380642502</v>
      </c>
      <c r="AI7498">
        <v>88.726383275371404</v>
      </c>
      <c r="AJ7498">
        <v>97.670949521323294</v>
      </c>
      <c r="AK7498">
        <v>298.17206770170299</v>
      </c>
      <c r="AL7498">
        <v>68.661788291124907</v>
      </c>
      <c r="AM7498">
        <v>94.549032834004507</v>
      </c>
      <c r="AN7498">
        <v>0.99999996350328302</v>
      </c>
    </row>
    <row r="7499" spans="1:40" x14ac:dyDescent="0.25">
      <c r="A7499" t="str">
        <f>"20190304165030309"</f>
        <v>20190304165030309</v>
      </c>
      <c r="B7499" t="str">
        <f>"1551689430303086"</f>
        <v>1551689430303086</v>
      </c>
      <c r="C7499" t="s">
        <v>40</v>
      </c>
      <c r="D7499">
        <v>4.4977429999999998</v>
      </c>
      <c r="E7499">
        <v>0.48564249999999998</v>
      </c>
      <c r="F7499" t="s">
        <v>62</v>
      </c>
      <c r="G7499">
        <v>-232.0069</v>
      </c>
      <c r="H7499">
        <v>7.6418039999999996</v>
      </c>
      <c r="I7499">
        <v>342.57420000000002</v>
      </c>
      <c r="J7499">
        <v>-186.98589999999999</v>
      </c>
      <c r="K7499">
        <v>1.110598</v>
      </c>
      <c r="L7499">
        <v>48.080930000000002</v>
      </c>
      <c r="M7499">
        <v>-1.7847149999999999E-2</v>
      </c>
      <c r="N7499">
        <v>-1.080733E-2</v>
      </c>
      <c r="O7499">
        <v>0.99978230000000001</v>
      </c>
      <c r="P7499">
        <v>-9.0407180000000004E-2</v>
      </c>
      <c r="Q7499">
        <v>0.35377769999999997</v>
      </c>
      <c r="R7499">
        <v>0.93095000000000006</v>
      </c>
      <c r="S7499">
        <v>-0.48100280000000001</v>
      </c>
      <c r="T7499">
        <v>6.9770219999999994E-2</v>
      </c>
      <c r="U7499">
        <v>3.1493229999999999</v>
      </c>
      <c r="V7499">
        <v>-7.3890010000000006E-2</v>
      </c>
      <c r="W7499">
        <v>0.3638112</v>
      </c>
      <c r="X7499">
        <v>0.92853739999999996</v>
      </c>
      <c r="Y7499">
        <v>-0.1332409</v>
      </c>
      <c r="Z7499">
        <v>3.2706329999999999E-2</v>
      </c>
      <c r="AA7499">
        <v>0.99054379999999997</v>
      </c>
      <c r="AB7499">
        <v>30</v>
      </c>
      <c r="AC7499">
        <v>-45.021000000000001</v>
      </c>
      <c r="AD7499">
        <v>6.5312059999999903</v>
      </c>
      <c r="AE7499">
        <v>294.49327</v>
      </c>
      <c r="AF7499">
        <v>-39.7385567226181</v>
      </c>
      <c r="AG7499">
        <v>6.5312059999999903</v>
      </c>
      <c r="AH7499">
        <v>295.10806798178299</v>
      </c>
      <c r="AI7499">
        <v>88.743498205547894</v>
      </c>
      <c r="AJ7499">
        <v>97.669182353664695</v>
      </c>
      <c r="AK7499">
        <v>297.84321602170502</v>
      </c>
      <c r="AL7499">
        <v>68.665560069422597</v>
      </c>
      <c r="AM7499">
        <v>94.549825543263296</v>
      </c>
      <c r="AN7499">
        <v>1.0000000130109901</v>
      </c>
    </row>
    <row r="7500" spans="1:40" x14ac:dyDescent="0.25">
      <c r="A7500" t="str">
        <f>"20190304165030333"</f>
        <v>20190304165030333</v>
      </c>
      <c r="B7500" t="str">
        <f>"1551689430322604"</f>
        <v>1551689430322604</v>
      </c>
      <c r="C7500" t="s">
        <v>40</v>
      </c>
      <c r="D7500">
        <v>4.4892820000000002</v>
      </c>
      <c r="E7500">
        <v>0.48559849999999999</v>
      </c>
      <c r="F7500" t="s">
        <v>59</v>
      </c>
      <c r="G7500">
        <v>-242.642</v>
      </c>
      <c r="H7500">
        <v>9.0027010000000001</v>
      </c>
      <c r="I7500">
        <v>412.00619999999998</v>
      </c>
      <c r="J7500">
        <v>-186.99160000000001</v>
      </c>
      <c r="K7500">
        <v>1.110595</v>
      </c>
      <c r="L7500">
        <v>48.392940000000003</v>
      </c>
      <c r="M7500">
        <v>-1.803279E-2</v>
      </c>
      <c r="N7500">
        <v>-1.076351E-2</v>
      </c>
      <c r="O7500">
        <v>0.99977950000000004</v>
      </c>
      <c r="P7500">
        <v>-9.0580969999999997E-2</v>
      </c>
      <c r="Q7500">
        <v>0.35333389999999998</v>
      </c>
      <c r="R7500">
        <v>0.93110159999999997</v>
      </c>
      <c r="S7500">
        <v>-0.48170469999999999</v>
      </c>
      <c r="T7500">
        <v>6.8306569999999997E-2</v>
      </c>
      <c r="U7500">
        <v>3.1497799999999998</v>
      </c>
      <c r="V7500">
        <v>-7.3888560000000006E-2</v>
      </c>
      <c r="W7500">
        <v>0.36332829999999999</v>
      </c>
      <c r="X7500">
        <v>0.92872659999999996</v>
      </c>
      <c r="Y7500">
        <v>-0.13325319999999999</v>
      </c>
      <c r="Z7500">
        <v>3.2199419999999999E-2</v>
      </c>
      <c r="AA7500">
        <v>0.99055879999999996</v>
      </c>
      <c r="AB7500">
        <v>30</v>
      </c>
      <c r="AC7500">
        <v>-55.650399999999898</v>
      </c>
      <c r="AD7500">
        <v>7.8921060000000001</v>
      </c>
      <c r="AE7500">
        <v>363.61326000000003</v>
      </c>
      <c r="AF7500">
        <v>-49.061425345271502</v>
      </c>
      <c r="AG7500">
        <v>7.8921060000000001</v>
      </c>
      <c r="AH7500">
        <v>364.38998572391199</v>
      </c>
      <c r="AI7500">
        <v>88.770350732980205</v>
      </c>
      <c r="AJ7500">
        <v>97.668182974573895</v>
      </c>
      <c r="AK7500">
        <v>367.76265510502498</v>
      </c>
      <c r="AL7500">
        <v>68.6952612017392</v>
      </c>
      <c r="AM7500">
        <v>94.548813652211606</v>
      </c>
      <c r="AN7500">
        <v>1.00000003521366</v>
      </c>
    </row>
    <row r="7501" spans="1:40" x14ac:dyDescent="0.25">
      <c r="A7501" t="str">
        <f>"20190304165030355"</f>
        <v>20190304165030355</v>
      </c>
      <c r="B7501" t="str">
        <f>"1551689430342634"</f>
        <v>1551689430342634</v>
      </c>
      <c r="C7501" t="s">
        <v>40</v>
      </c>
      <c r="D7501">
        <v>4.5077439999999998</v>
      </c>
      <c r="E7501">
        <v>0.48554849999999999</v>
      </c>
      <c r="F7501" t="s">
        <v>59</v>
      </c>
      <c r="G7501">
        <v>-242.6421</v>
      </c>
      <c r="H7501">
        <v>8.7139849999999992</v>
      </c>
      <c r="I7501">
        <v>411.39409999999998</v>
      </c>
      <c r="J7501">
        <v>-186.99700000000001</v>
      </c>
      <c r="K7501">
        <v>1.1105929999999999</v>
      </c>
      <c r="L7501">
        <v>48.681579999999997</v>
      </c>
      <c r="M7501">
        <v>-1.8204519999999998E-2</v>
      </c>
      <c r="N7501">
        <v>-1.072875E-2</v>
      </c>
      <c r="O7501">
        <v>0.99977669999999996</v>
      </c>
      <c r="P7501">
        <v>-9.0503539999999993E-2</v>
      </c>
      <c r="Q7501">
        <v>0.35291240000000001</v>
      </c>
      <c r="R7501">
        <v>0.93126900000000001</v>
      </c>
      <c r="S7501">
        <v>-0.48291020000000001</v>
      </c>
      <c r="T7501">
        <v>6.5979120000000002E-2</v>
      </c>
      <c r="U7501">
        <v>3.1499630000000001</v>
      </c>
      <c r="V7501">
        <v>-7.3647389999999993E-2</v>
      </c>
      <c r="W7501">
        <v>0.36287659999999999</v>
      </c>
      <c r="X7501">
        <v>0.92892240000000004</v>
      </c>
      <c r="Y7501">
        <v>-0.13344790000000001</v>
      </c>
      <c r="Z7501">
        <v>3.1431889999999997E-2</v>
      </c>
      <c r="AA7501">
        <v>0.99055729999999997</v>
      </c>
      <c r="AB7501">
        <v>30</v>
      </c>
      <c r="AC7501">
        <v>-55.6450999999999</v>
      </c>
      <c r="AD7501">
        <v>7.6033920000000004</v>
      </c>
      <c r="AE7501">
        <v>362.71251999999998</v>
      </c>
      <c r="AF7501">
        <v>-49.011448281080199</v>
      </c>
      <c r="AG7501">
        <v>7.6033920000000004</v>
      </c>
      <c r="AH7501">
        <v>363.509392634736</v>
      </c>
      <c r="AI7501">
        <v>88.812482081353906</v>
      </c>
      <c r="AJ7501">
        <v>97.678800628757799</v>
      </c>
      <c r="AK7501">
        <v>366.87738028691399</v>
      </c>
      <c r="AL7501">
        <v>68.723038790743104</v>
      </c>
      <c r="AM7501">
        <v>94.533076762726196</v>
      </c>
      <c r="AN7501">
        <v>1.00000009505156</v>
      </c>
    </row>
    <row r="7502" spans="1:40" x14ac:dyDescent="0.25">
      <c r="A7502" t="str">
        <f>"20190304165030375"</f>
        <v>20190304165030375</v>
      </c>
      <c r="B7502" t="str">
        <f>"1551689430363130"</f>
        <v>1551689430363130</v>
      </c>
      <c r="C7502" t="s">
        <v>40</v>
      </c>
      <c r="D7502">
        <v>4.4744440000000001</v>
      </c>
      <c r="E7502">
        <v>0.48554580000000003</v>
      </c>
      <c r="F7502" t="s">
        <v>59</v>
      </c>
      <c r="G7502">
        <v>-242.6422</v>
      </c>
      <c r="H7502">
        <v>8.4486509999999999</v>
      </c>
      <c r="I7502">
        <v>411.4461</v>
      </c>
      <c r="J7502">
        <v>-187.00219999999999</v>
      </c>
      <c r="K7502">
        <v>1.110595</v>
      </c>
      <c r="L7502">
        <v>48.959589999999999</v>
      </c>
      <c r="M7502">
        <v>-1.8369690000000001E-2</v>
      </c>
      <c r="N7502">
        <v>-1.07089E-2</v>
      </c>
      <c r="O7502">
        <v>0.99977389999999999</v>
      </c>
      <c r="P7502">
        <v>-8.9925179999999993E-2</v>
      </c>
      <c r="Q7502">
        <v>0.35286089999999998</v>
      </c>
      <c r="R7502">
        <v>0.93134459999999997</v>
      </c>
      <c r="S7502">
        <v>-0.48323060000000001</v>
      </c>
      <c r="T7502">
        <v>6.3724989999999995E-2</v>
      </c>
      <c r="U7502">
        <v>3.150299</v>
      </c>
      <c r="V7502">
        <v>-7.2913749999999999E-2</v>
      </c>
      <c r="W7502">
        <v>0.3628072</v>
      </c>
      <c r="X7502">
        <v>0.92900720000000003</v>
      </c>
      <c r="Y7502">
        <v>-0.13336979999999901</v>
      </c>
      <c r="Z7502">
        <v>3.0702239999999999E-2</v>
      </c>
      <c r="AA7502">
        <v>0.99059070000000005</v>
      </c>
      <c r="AB7502">
        <v>30</v>
      </c>
      <c r="AC7502">
        <v>-55.64</v>
      </c>
      <c r="AD7502">
        <v>7.3380559999999999</v>
      </c>
      <c r="AE7502">
        <v>362.48651000000001</v>
      </c>
      <c r="AF7502">
        <v>-48.951864653877898</v>
      </c>
      <c r="AG7502">
        <v>7.3380559999999999</v>
      </c>
      <c r="AH7502">
        <v>363.30202998246602</v>
      </c>
      <c r="AI7502">
        <v>88.853244516411905</v>
      </c>
      <c r="AJ7502">
        <v>97.673902058597207</v>
      </c>
      <c r="AK7502">
        <v>366.65855657318502</v>
      </c>
      <c r="AL7502">
        <v>68.727302203434903</v>
      </c>
      <c r="AM7502">
        <v>94.487697836005694</v>
      </c>
      <c r="AN7502">
        <v>0.99999992848136798</v>
      </c>
    </row>
    <row r="7503" spans="1:40" x14ac:dyDescent="0.25">
      <c r="A7503" t="str">
        <f>"20190304165030398"</f>
        <v>20190304165030398</v>
      </c>
      <c r="B7503" t="str">
        <f>"1551689430393383"</f>
        <v>1551689430393383</v>
      </c>
      <c r="C7503" t="s">
        <v>40</v>
      </c>
      <c r="D7503">
        <v>4.6006900000000002</v>
      </c>
      <c r="E7503">
        <v>0.48560680000000001</v>
      </c>
      <c r="F7503" t="s">
        <v>59</v>
      </c>
      <c r="G7503">
        <v>-242.6422</v>
      </c>
      <c r="H7503">
        <v>8.3892619999999898</v>
      </c>
      <c r="I7503">
        <v>413.09519999999998</v>
      </c>
      <c r="J7503">
        <v>-187.00810000000001</v>
      </c>
      <c r="K7503">
        <v>1.1105969999999901</v>
      </c>
      <c r="L7503">
        <v>49.264009999999999</v>
      </c>
      <c r="M7503">
        <v>-1.8550959999999998E-2</v>
      </c>
      <c r="N7503">
        <v>-1.0699810000000001E-2</v>
      </c>
      <c r="O7503">
        <v>0.99977059999999995</v>
      </c>
      <c r="P7503">
        <v>-8.9664789999999994E-2</v>
      </c>
      <c r="Q7503">
        <v>0.35341699999999998</v>
      </c>
      <c r="R7503">
        <v>0.93115879999999995</v>
      </c>
      <c r="S7503">
        <v>-0.48144530000000002</v>
      </c>
      <c r="T7503">
        <v>6.2981609999999993E-2</v>
      </c>
      <c r="U7503">
        <v>3.1508180000000001</v>
      </c>
      <c r="V7503">
        <v>-7.2487880000000005E-2</v>
      </c>
      <c r="W7503">
        <v>0.36335329999999999</v>
      </c>
      <c r="X7503">
        <v>0.92882719999999996</v>
      </c>
      <c r="Y7503">
        <v>-0.13261809999999999</v>
      </c>
      <c r="Z7503">
        <v>3.0458320000000001E-2</v>
      </c>
      <c r="AA7503">
        <v>0.99069910000000005</v>
      </c>
      <c r="AB7503">
        <v>30</v>
      </c>
      <c r="AC7503">
        <v>-55.634099999999897</v>
      </c>
      <c r="AD7503">
        <v>7.2786649999999904</v>
      </c>
      <c r="AE7503">
        <v>363.83118999999999</v>
      </c>
      <c r="AF7503">
        <v>-48.855614050040401</v>
      </c>
      <c r="AG7503">
        <v>7.2786649999999904</v>
      </c>
      <c r="AH7503">
        <v>364.65808790116</v>
      </c>
      <c r="AI7503">
        <v>88.866637851255902</v>
      </c>
      <c r="AJ7503">
        <v>97.630847327167999</v>
      </c>
      <c r="AK7503">
        <v>367.98827571013601</v>
      </c>
      <c r="AL7503">
        <v>68.693723847064703</v>
      </c>
      <c r="AM7503">
        <v>94.462453646560107</v>
      </c>
      <c r="AN7503">
        <v>1.0000000404138101</v>
      </c>
    </row>
    <row r="7504" spans="1:40" x14ac:dyDescent="0.25">
      <c r="A7504" t="str">
        <f>"20190304165030420"</f>
        <v>20190304165030420</v>
      </c>
      <c r="B7504" t="str">
        <f>"1551689430412903"</f>
        <v>1551689430412903</v>
      </c>
      <c r="C7504" t="s">
        <v>40</v>
      </c>
      <c r="D7504">
        <v>4.4370580000000004</v>
      </c>
      <c r="E7504">
        <v>0.52216660000000004</v>
      </c>
      <c r="F7504" t="s">
        <v>59</v>
      </c>
      <c r="G7504">
        <v>-242.6422</v>
      </c>
      <c r="H7504">
        <v>8.5358630000000009</v>
      </c>
      <c r="I7504">
        <v>414.4871</v>
      </c>
      <c r="J7504">
        <v>-187.01400000000001</v>
      </c>
      <c r="K7504">
        <v>1.1105940000000001</v>
      </c>
      <c r="L7504">
        <v>49.572879999999998</v>
      </c>
      <c r="M7504">
        <v>-1.8734770000000001E-2</v>
      </c>
      <c r="N7504">
        <v>-1.06956E-2</v>
      </c>
      <c r="O7504">
        <v>0.99976730000000003</v>
      </c>
      <c r="P7504">
        <v>-8.9373220000000003E-2</v>
      </c>
      <c r="Q7504">
        <v>0.35389169999999998</v>
      </c>
      <c r="R7504">
        <v>0.93100649999999996</v>
      </c>
      <c r="S7504">
        <v>-0.48002620000000001</v>
      </c>
      <c r="T7504">
        <v>6.4067479999999996E-2</v>
      </c>
      <c r="U7504">
        <v>3.1512449999999999</v>
      </c>
      <c r="V7504">
        <v>-7.2028579999999995E-2</v>
      </c>
      <c r="W7504">
        <v>0.3638228</v>
      </c>
      <c r="X7504">
        <v>0.92867909999999998</v>
      </c>
      <c r="Y7504">
        <v>-0.1319785</v>
      </c>
      <c r="Z7504">
        <v>3.0793500000000001E-2</v>
      </c>
      <c r="AA7504">
        <v>0.99077420000000005</v>
      </c>
      <c r="AB7504">
        <v>30</v>
      </c>
      <c r="AC7504">
        <v>-55.6281999999999</v>
      </c>
      <c r="AD7504">
        <v>7.4252690000000001</v>
      </c>
      <c r="AE7504">
        <v>364.91422</v>
      </c>
      <c r="AF7504">
        <v>-48.761729784352397</v>
      </c>
      <c r="AG7504">
        <v>7.4252690000000001</v>
      </c>
      <c r="AH7504">
        <v>365.74441342954702</v>
      </c>
      <c r="AI7504">
        <v>88.847150332835696</v>
      </c>
      <c r="AJ7504">
        <v>97.593998138607404</v>
      </c>
      <c r="AK7504">
        <v>369.05530326254399</v>
      </c>
      <c r="AL7504">
        <v>68.664846438655303</v>
      </c>
      <c r="AM7504">
        <v>94.4349959668629</v>
      </c>
      <c r="AN7504">
        <v>1.00000000845673</v>
      </c>
    </row>
    <row r="7505" spans="1:40" x14ac:dyDescent="0.25">
      <c r="A7505" t="str">
        <f>"20190304165030444"</f>
        <v>20190304165030444</v>
      </c>
      <c r="B7505" t="str">
        <f>"1551689430433399"</f>
        <v>1551689430433399</v>
      </c>
      <c r="C7505" t="s">
        <v>40</v>
      </c>
      <c r="D7505">
        <v>4.4611219999999996</v>
      </c>
      <c r="E7505">
        <v>0.53125169999999999</v>
      </c>
      <c r="F7505" t="s">
        <v>42</v>
      </c>
      <c r="G7505">
        <v>-189.31710000000001</v>
      </c>
      <c r="H7505" s="1">
        <v>-2.8921479999999999E-6</v>
      </c>
      <c r="I7505">
        <v>86.092069999999893</v>
      </c>
      <c r="J7505">
        <v>-187.01990000000001</v>
      </c>
      <c r="K7505">
        <v>1.1105959999999999</v>
      </c>
      <c r="L7505">
        <v>49.878079999999997</v>
      </c>
      <c r="M7505">
        <v>-1.891634E-2</v>
      </c>
      <c r="N7505">
        <v>-1.0693899999999999E-2</v>
      </c>
      <c r="O7505">
        <v>0.99976390000000004</v>
      </c>
      <c r="P7505">
        <v>-8.934607E-2</v>
      </c>
      <c r="Q7505">
        <v>0.35372870000000001</v>
      </c>
      <c r="R7505">
        <v>0.93107099999999998</v>
      </c>
      <c r="S7505">
        <v>-0.20434569999999999</v>
      </c>
      <c r="T7505">
        <v>-9.8537920000000001E-2</v>
      </c>
      <c r="U7505">
        <v>3.240173</v>
      </c>
      <c r="V7505">
        <v>-7.1830699999999997E-2</v>
      </c>
      <c r="W7505">
        <v>0.3636588</v>
      </c>
      <c r="X7505">
        <v>0.92875859999999999</v>
      </c>
      <c r="Y7505">
        <v>-4.4028240000000003E-2</v>
      </c>
      <c r="Z7505">
        <v>-1.9659920000000001E-2</v>
      </c>
      <c r="AA7505">
        <v>0.99883679999999997</v>
      </c>
      <c r="AB7505">
        <v>30</v>
      </c>
      <c r="AC7505">
        <v>-2.2972000000000001</v>
      </c>
      <c r="AD7505">
        <v>-1.1105988921479999</v>
      </c>
      <c r="AE7505">
        <v>36.213990000000003</v>
      </c>
      <c r="AF7505">
        <v>-1.61020526985831</v>
      </c>
      <c r="AG7505">
        <v>-1.1105988921479999</v>
      </c>
      <c r="AH7505">
        <v>36.217040749137098</v>
      </c>
      <c r="AI7505">
        <v>91.754697647860297</v>
      </c>
      <c r="AJ7505">
        <v>92.545687002940994</v>
      </c>
      <c r="AK7505">
        <v>36.269825358484603</v>
      </c>
      <c r="AL7505">
        <v>68.674932735148403</v>
      </c>
      <c r="AM7505">
        <v>94.422483279560595</v>
      </c>
      <c r="AN7505">
        <v>0.99999995467694303</v>
      </c>
    </row>
    <row r="7506" spans="1:40" x14ac:dyDescent="0.25">
      <c r="A7506" t="str">
        <f>"20190304165030466"</f>
        <v>20190304165030466</v>
      </c>
      <c r="B7506" t="str">
        <f>"1551689430462679"</f>
        <v>1551689430462679</v>
      </c>
      <c r="C7506" t="s">
        <v>40</v>
      </c>
      <c r="D7506">
        <v>4.4102579999999998</v>
      </c>
      <c r="E7506">
        <v>0.53671159999999996</v>
      </c>
      <c r="F7506" t="s">
        <v>42</v>
      </c>
      <c r="G7506">
        <v>-188.00790000000001</v>
      </c>
      <c r="H7506" s="1">
        <v>-1.9932919999999998E-6</v>
      </c>
      <c r="I7506">
        <v>73.455469999999906</v>
      </c>
      <c r="J7506">
        <v>-187.0257</v>
      </c>
      <c r="K7506">
        <v>1.1106009999999999</v>
      </c>
      <c r="L7506">
        <v>50.173769999999998</v>
      </c>
      <c r="M7506">
        <v>-1.9092100000000001E-2</v>
      </c>
      <c r="N7506">
        <v>-1.0694270000000001E-2</v>
      </c>
      <c r="O7506">
        <v>0.99976050000000005</v>
      </c>
      <c r="P7506">
        <v>-8.9284790000000003E-2</v>
      </c>
      <c r="Q7506">
        <v>0.35369719999999999</v>
      </c>
      <c r="R7506">
        <v>0.9310889</v>
      </c>
      <c r="S7506">
        <v>-0.13691710000000001</v>
      </c>
      <c r="T7506">
        <v>-0.15390989999999999</v>
      </c>
      <c r="U7506">
        <v>3.2674259999999999</v>
      </c>
      <c r="V7506">
        <v>-7.1605749999999996E-2</v>
      </c>
      <c r="W7506">
        <v>0.36362820000000001</v>
      </c>
      <c r="X7506">
        <v>0.92878799999999995</v>
      </c>
      <c r="Y7506">
        <v>-2.2748170000000002E-2</v>
      </c>
      <c r="Z7506">
        <v>-3.6331790000000003E-2</v>
      </c>
      <c r="AA7506">
        <v>0.99908079999999999</v>
      </c>
      <c r="AB7506">
        <v>30</v>
      </c>
      <c r="AC7506">
        <v>-0.98220000000000596</v>
      </c>
      <c r="AD7506">
        <v>-1.1106029932920001</v>
      </c>
      <c r="AE7506">
        <v>23.281699999999901</v>
      </c>
      <c r="AF7506">
        <v>-0.53628080250904098</v>
      </c>
      <c r="AG7506">
        <v>-1.1106029932920001</v>
      </c>
      <c r="AH7506">
        <v>23.243411465665002</v>
      </c>
      <c r="AI7506">
        <v>92.734865874766299</v>
      </c>
      <c r="AJ7506">
        <v>91.321715451316194</v>
      </c>
      <c r="AK7506">
        <v>23.276108194241999</v>
      </c>
      <c r="AL7506">
        <v>68.6768158543168</v>
      </c>
      <c r="AM7506">
        <v>94.408549208590202</v>
      </c>
      <c r="AN7506">
        <v>1.00000000010615</v>
      </c>
    </row>
    <row r="7507" spans="1:40" x14ac:dyDescent="0.25">
      <c r="A7507" t="str">
        <f>"20190304165030488"</f>
        <v>20190304165030488</v>
      </c>
      <c r="B7507" t="str">
        <f>"1551689430483175"</f>
        <v>1551689430483175</v>
      </c>
      <c r="C7507" t="s">
        <v>40</v>
      </c>
      <c r="D7507">
        <v>4.4479610000000003</v>
      </c>
      <c r="E7507">
        <v>0.53863319999999903</v>
      </c>
      <c r="F7507" t="s">
        <v>42</v>
      </c>
      <c r="G7507">
        <v>-187.61539999999999</v>
      </c>
      <c r="H7507" s="1">
        <v>-8.7645299999999997E-7</v>
      </c>
      <c r="I7507">
        <v>70.359119999999905</v>
      </c>
      <c r="J7507">
        <v>-187.03149999999999</v>
      </c>
      <c r="K7507">
        <v>1.1106039999999999</v>
      </c>
      <c r="L7507">
        <v>50.468510000000002</v>
      </c>
      <c r="M7507">
        <v>-1.926723E-2</v>
      </c>
      <c r="N7507">
        <v>-1.069898E-2</v>
      </c>
      <c r="O7507">
        <v>0.99975709999999995</v>
      </c>
      <c r="P7507">
        <v>-8.9091749999999997E-2</v>
      </c>
      <c r="Q7507">
        <v>0.3536762</v>
      </c>
      <c r="R7507">
        <v>0.93111540000000004</v>
      </c>
      <c r="S7507">
        <v>-9.587097E-2</v>
      </c>
      <c r="T7507">
        <v>-0.18054509999999999</v>
      </c>
      <c r="U7507">
        <v>3.2814329999999998</v>
      </c>
      <c r="V7507">
        <v>-7.1248829999999999E-2</v>
      </c>
      <c r="W7507">
        <v>0.36361179999999999</v>
      </c>
      <c r="X7507">
        <v>0.92882189999999998</v>
      </c>
      <c r="Y7507">
        <v>-9.9061310000000003E-3</v>
      </c>
      <c r="Z7507">
        <v>-4.4225830000000001E-2</v>
      </c>
      <c r="AA7507">
        <v>0.99897239999999998</v>
      </c>
      <c r="AB7507">
        <v>30</v>
      </c>
      <c r="AC7507">
        <v>-0.58389999999999898</v>
      </c>
      <c r="AD7507">
        <v>-1.1106048764530001</v>
      </c>
      <c r="AE7507">
        <v>19.890609999999899</v>
      </c>
      <c r="AF7507">
        <v>-0.199909988862701</v>
      </c>
      <c r="AG7507">
        <v>-1.1106048764530001</v>
      </c>
      <c r="AH7507">
        <v>19.836379044373501</v>
      </c>
      <c r="AI7507">
        <v>93.204384520888595</v>
      </c>
      <c r="AJ7507">
        <v>90.577404316942904</v>
      </c>
      <c r="AK7507">
        <v>19.868450890477298</v>
      </c>
      <c r="AL7507">
        <v>68.6778252082769</v>
      </c>
      <c r="AM7507">
        <v>94.386501230748607</v>
      </c>
      <c r="AN7507">
        <v>1.0000000293975999</v>
      </c>
    </row>
    <row r="7508" spans="1:40" x14ac:dyDescent="0.25">
      <c r="A7508" t="str">
        <f>"20190304165030511"</f>
        <v>20190304165030511</v>
      </c>
      <c r="B7508" t="str">
        <f>"1551689430502695"</f>
        <v>1551689430502695</v>
      </c>
      <c r="C7508" t="s">
        <v>40</v>
      </c>
      <c r="D7508">
        <v>4.4700569999999997</v>
      </c>
      <c r="E7508">
        <v>0.53991420000000001</v>
      </c>
      <c r="F7508" t="s">
        <v>42</v>
      </c>
      <c r="G7508">
        <v>-187.49379999999999</v>
      </c>
      <c r="H7508" s="1">
        <v>-4.5027110000000002E-6</v>
      </c>
      <c r="I7508">
        <v>69.092419999999905</v>
      </c>
      <c r="J7508">
        <v>-187.03790000000001</v>
      </c>
      <c r="K7508">
        <v>1.110606</v>
      </c>
      <c r="L7508">
        <v>50.788939999999997</v>
      </c>
      <c r="M7508">
        <v>-1.9457550000000001E-2</v>
      </c>
      <c r="N7508">
        <v>-1.0710269999999999E-2</v>
      </c>
      <c r="O7508">
        <v>0.99975329999999996</v>
      </c>
      <c r="P7508">
        <v>-8.8882160000000002E-2</v>
      </c>
      <c r="Q7508">
        <v>0.35344910000000002</v>
      </c>
      <c r="R7508">
        <v>0.93122159999999998</v>
      </c>
      <c r="S7508">
        <v>-8.1634520000000002E-2</v>
      </c>
      <c r="T7508">
        <v>-0.1961128</v>
      </c>
      <c r="U7508">
        <v>3.2886350000000002</v>
      </c>
      <c r="V7508">
        <v>-7.0859699999999998E-2</v>
      </c>
      <c r="W7508">
        <v>0.36339680000000002</v>
      </c>
      <c r="X7508">
        <v>0.92893579999999998</v>
      </c>
      <c r="Y7508">
        <v>-5.3266009999999898E-3</v>
      </c>
      <c r="Z7508">
        <v>-4.8809169999999999E-2</v>
      </c>
      <c r="AA7508">
        <v>0.99879390000000001</v>
      </c>
      <c r="AB7508">
        <v>30</v>
      </c>
      <c r="AC7508">
        <v>-0.45589999999998498</v>
      </c>
      <c r="AD7508">
        <v>-1.110610502711</v>
      </c>
      <c r="AE7508">
        <v>18.303479999999901</v>
      </c>
      <c r="AF7508">
        <v>-9.9287044516791795E-2</v>
      </c>
      <c r="AG7508">
        <v>-1.110610502711</v>
      </c>
      <c r="AH7508">
        <v>18.241765390832299</v>
      </c>
      <c r="AI7508">
        <v>93.483977831424994</v>
      </c>
      <c r="AJ7508">
        <v>90.3118487884784</v>
      </c>
      <c r="AK7508">
        <v>18.275812380852098</v>
      </c>
      <c r="AL7508">
        <v>68.691048285653807</v>
      </c>
      <c r="AM7508">
        <v>94.362103965260204</v>
      </c>
      <c r="AN7508">
        <v>1.00000002592798</v>
      </c>
    </row>
    <row r="7509" spans="1:40" x14ac:dyDescent="0.25">
      <c r="A7509" t="str">
        <f>"20190304165030533"</f>
        <v>20190304165030533</v>
      </c>
      <c r="B7509" t="str">
        <f>"1551689430523192"</f>
        <v>1551689430523192</v>
      </c>
      <c r="C7509" t="s">
        <v>40</v>
      </c>
      <c r="D7509">
        <v>4.4503450000000004</v>
      </c>
      <c r="E7509">
        <v>0.54087589999999997</v>
      </c>
      <c r="F7509" t="s">
        <v>42</v>
      </c>
      <c r="G7509">
        <v>-187.41890000000001</v>
      </c>
      <c r="H7509" s="1">
        <v>-4.0218810000000001E-6</v>
      </c>
      <c r="I7509">
        <v>67.940629999999999</v>
      </c>
      <c r="J7509">
        <v>-187.04390000000001</v>
      </c>
      <c r="K7509">
        <v>1.1106039999999999</v>
      </c>
      <c r="L7509">
        <v>51.08719</v>
      </c>
      <c r="M7509">
        <v>-1.963442E-2</v>
      </c>
      <c r="N7509">
        <v>-1.072326E-2</v>
      </c>
      <c r="O7509">
        <v>0.99974969999999996</v>
      </c>
      <c r="P7509">
        <v>-8.8415930000000004E-2</v>
      </c>
      <c r="Q7509">
        <v>0.35365629999999998</v>
      </c>
      <c r="R7509">
        <v>0.93118730000000005</v>
      </c>
      <c r="S7509">
        <v>-7.3211670000000006E-2</v>
      </c>
      <c r="T7509">
        <v>-0.213397</v>
      </c>
      <c r="U7509">
        <v>3.2955930000000002</v>
      </c>
      <c r="V7509">
        <v>-7.0229570000000005E-2</v>
      </c>
      <c r="W7509">
        <v>0.36361579999999999</v>
      </c>
      <c r="X7509">
        <v>0.92889790000000005</v>
      </c>
      <c r="Y7509">
        <v>-2.5412379999999999E-3</v>
      </c>
      <c r="Z7509">
        <v>-5.388797E-2</v>
      </c>
      <c r="AA7509">
        <v>0.99854370000000003</v>
      </c>
      <c r="AB7509">
        <v>30</v>
      </c>
      <c r="AC7509">
        <v>-0.375</v>
      </c>
      <c r="AD7509">
        <v>-1.1106080218809999</v>
      </c>
      <c r="AE7509">
        <v>16.853439999999999</v>
      </c>
      <c r="AF7509">
        <v>-4.3810991695377201E-2</v>
      </c>
      <c r="AG7509">
        <v>-1.1106080218809999</v>
      </c>
      <c r="AH7509">
        <v>16.784701773365299</v>
      </c>
      <c r="AI7509">
        <v>93.785608741710007</v>
      </c>
      <c r="AJ7509">
        <v>90.149551612754706</v>
      </c>
      <c r="AK7509">
        <v>16.821461981708701</v>
      </c>
      <c r="AL7509">
        <v>68.677577980938807</v>
      </c>
      <c r="AM7509">
        <v>94.323636803286902</v>
      </c>
      <c r="AN7509">
        <v>0.99999997556821696</v>
      </c>
    </row>
    <row r="7510" spans="1:40" x14ac:dyDescent="0.25">
      <c r="A7510" t="str">
        <f>"20190304165030556"</f>
        <v>20190304165030556</v>
      </c>
      <c r="B7510" t="str">
        <f>"1551689430553447"</f>
        <v>1551689430553447</v>
      </c>
      <c r="C7510" t="s">
        <v>40</v>
      </c>
      <c r="D7510">
        <v>4.475212</v>
      </c>
      <c r="E7510">
        <v>0.54195199999999999</v>
      </c>
      <c r="F7510" t="s">
        <v>42</v>
      </c>
      <c r="G7510">
        <v>-187.36680000000001</v>
      </c>
      <c r="H7510" s="1">
        <v>-3.8283299999999998E-6</v>
      </c>
      <c r="I7510">
        <v>67.4679</v>
      </c>
      <c r="J7510">
        <v>-187.05</v>
      </c>
      <c r="K7510">
        <v>1.110608</v>
      </c>
      <c r="L7510">
        <v>51.391629999999999</v>
      </c>
      <c r="M7510">
        <v>-1.9814999999999999E-2</v>
      </c>
      <c r="N7510">
        <v>-1.0736610000000001E-2</v>
      </c>
      <c r="O7510">
        <v>0.99974600000000002</v>
      </c>
      <c r="P7510">
        <v>-8.8181120000000002E-2</v>
      </c>
      <c r="Q7510">
        <v>0.35412719999999998</v>
      </c>
      <c r="R7510">
        <v>0.93103060000000004</v>
      </c>
      <c r="S7510">
        <v>-6.5063480000000007E-2</v>
      </c>
      <c r="T7510">
        <v>-0.22377340000000001</v>
      </c>
      <c r="U7510">
        <v>3.3005070000000001</v>
      </c>
      <c r="V7510">
        <v>-6.9829649999999993E-2</v>
      </c>
      <c r="W7510">
        <v>0.36409770000000002</v>
      </c>
      <c r="X7510">
        <v>0.92873930000000005</v>
      </c>
      <c r="Y7510">
        <v>1.387045E-4</v>
      </c>
      <c r="Z7510">
        <v>-5.6904150000000001E-2</v>
      </c>
      <c r="AA7510">
        <v>0.99837960000000003</v>
      </c>
      <c r="AB7510">
        <v>30</v>
      </c>
      <c r="AC7510">
        <v>-0.31680000000000003</v>
      </c>
      <c r="AD7510">
        <v>-1.1106118283299999</v>
      </c>
      <c r="AE7510">
        <v>16.076270000000001</v>
      </c>
      <c r="AF7510">
        <v>1.8231650219845399E-3</v>
      </c>
      <c r="AG7510">
        <v>-1.1106118283299999</v>
      </c>
      <c r="AH7510">
        <v>16.003044730656399</v>
      </c>
      <c r="AI7510">
        <v>93.969963516899995</v>
      </c>
      <c r="AJ7510">
        <v>89.993472513360899</v>
      </c>
      <c r="AK7510">
        <v>16.041536790736298</v>
      </c>
      <c r="AL7510">
        <v>68.647935857942997</v>
      </c>
      <c r="AM7510">
        <v>94.299839965646598</v>
      </c>
      <c r="AN7510">
        <v>1.0000000012644501</v>
      </c>
    </row>
    <row r="7511" spans="1:40" x14ac:dyDescent="0.25">
      <c r="A7511" t="str">
        <f>"20190304165030575"</f>
        <v>20190304165030575</v>
      </c>
      <c r="B7511" t="str">
        <f>"1551689430572969"</f>
        <v>1551689430572969</v>
      </c>
      <c r="C7511" t="s">
        <v>40</v>
      </c>
      <c r="D7511">
        <v>4.4540699999999998</v>
      </c>
      <c r="E7511">
        <v>0.54237040000000003</v>
      </c>
      <c r="F7511" t="s">
        <v>41</v>
      </c>
      <c r="G7511">
        <v>-187.0668</v>
      </c>
      <c r="H7511">
        <v>1.0398000000000001</v>
      </c>
      <c r="I7511">
        <v>52.38673</v>
      </c>
      <c r="J7511">
        <v>-187.05549999999999</v>
      </c>
      <c r="K7511">
        <v>1.1106100000000001</v>
      </c>
      <c r="L7511">
        <v>51.659610000000001</v>
      </c>
      <c r="M7511">
        <v>-1.9973950000000001E-2</v>
      </c>
      <c r="N7511">
        <v>-1.075253E-2</v>
      </c>
      <c r="O7511">
        <v>0.99974269999999998</v>
      </c>
      <c r="P7511">
        <v>-8.7790859999999998E-2</v>
      </c>
      <c r="Q7511">
        <v>0.35404429999999998</v>
      </c>
      <c r="R7511">
        <v>0.93109909999999996</v>
      </c>
      <c r="S7511">
        <v>-5.6152340000000002E-2</v>
      </c>
      <c r="T7511">
        <v>-0.2352939</v>
      </c>
      <c r="U7511">
        <v>3.3063959999999999</v>
      </c>
      <c r="V7511">
        <v>-6.9289980000000001E-2</v>
      </c>
      <c r="W7511">
        <v>0.36403059999999998</v>
      </c>
      <c r="X7511">
        <v>0.92880600000000002</v>
      </c>
      <c r="Y7511">
        <v>3.0246299999999999E-3</v>
      </c>
      <c r="Z7511">
        <v>-6.0229570000000003E-2</v>
      </c>
      <c r="AA7511">
        <v>0.99817999999999996</v>
      </c>
      <c r="AB7511">
        <v>30</v>
      </c>
      <c r="AC7511">
        <v>-1.1300000000005601E-2</v>
      </c>
      <c r="AD7511">
        <v>-7.0809999999999998E-2</v>
      </c>
      <c r="AE7511">
        <v>0.72711999999999899</v>
      </c>
      <c r="AF7511">
        <v>3.1962475955430798E-3</v>
      </c>
      <c r="AG7511">
        <v>-7.0809999999999998E-2</v>
      </c>
      <c r="AH7511">
        <v>0.72037052621738895</v>
      </c>
      <c r="AI7511">
        <v>95.613892795938099</v>
      </c>
      <c r="AJ7511">
        <v>89.7457831919656</v>
      </c>
      <c r="AK7511">
        <v>0.723849409160089</v>
      </c>
      <c r="AL7511">
        <v>68.652063257703404</v>
      </c>
      <c r="AM7511">
        <v>94.266427093422806</v>
      </c>
      <c r="AN7511">
        <v>0.99999998235038001</v>
      </c>
    </row>
    <row r="7512" spans="1:40" x14ac:dyDescent="0.25">
      <c r="A7512" t="str">
        <f>"20190304165030600"</f>
        <v>20190304165030600</v>
      </c>
      <c r="B7512" t="str">
        <f>"1551689430593463"</f>
        <v>1551689430593463</v>
      </c>
      <c r="C7512" t="s">
        <v>40</v>
      </c>
      <c r="D7512">
        <v>4.493309</v>
      </c>
      <c r="E7512">
        <v>0.54281219999999997</v>
      </c>
      <c r="F7512" t="s">
        <v>41</v>
      </c>
      <c r="G7512">
        <v>-187.07079999999999</v>
      </c>
      <c r="H7512">
        <v>1.0380769999999999</v>
      </c>
      <c r="I7512">
        <v>52.655529999999999</v>
      </c>
      <c r="J7512">
        <v>-187.06209999999999</v>
      </c>
      <c r="K7512">
        <v>1.110614</v>
      </c>
      <c r="L7512">
        <v>51.981259999999999</v>
      </c>
      <c r="M7512">
        <v>-2.016474E-2</v>
      </c>
      <c r="N7512">
        <v>-1.077524E-2</v>
      </c>
      <c r="O7512">
        <v>0.99973860000000003</v>
      </c>
      <c r="P7512">
        <v>-8.7271059999999998E-2</v>
      </c>
      <c r="Q7512">
        <v>0.35417710000000002</v>
      </c>
      <c r="R7512">
        <v>0.93109739999999996</v>
      </c>
      <c r="S7512">
        <v>-5.096436E-2</v>
      </c>
      <c r="T7512">
        <v>-0.24098600000000001</v>
      </c>
      <c r="U7512">
        <v>3.3088380000000002</v>
      </c>
      <c r="V7512">
        <v>-6.8592860000000005E-2</v>
      </c>
      <c r="W7512">
        <v>0.36418430000000002</v>
      </c>
      <c r="X7512">
        <v>0.92879750000000005</v>
      </c>
      <c r="Y7512">
        <v>4.7933480000000002E-3</v>
      </c>
      <c r="Z7512">
        <v>-6.1862449999999999E-2</v>
      </c>
      <c r="AA7512">
        <v>0.99807319999999999</v>
      </c>
      <c r="AB7512">
        <v>30</v>
      </c>
      <c r="AC7512">
        <v>-8.7000000000045895E-3</v>
      </c>
      <c r="AD7512">
        <v>-7.2536999999999796E-2</v>
      </c>
      <c r="AE7512">
        <v>0.67427000000000703</v>
      </c>
      <c r="AF7512">
        <v>4.8429984458216203E-3</v>
      </c>
      <c r="AG7512">
        <v>-7.2536999999999796E-2</v>
      </c>
      <c r="AH7512">
        <v>0.666595010285151</v>
      </c>
      <c r="AI7512">
        <v>96.210167836371795</v>
      </c>
      <c r="AJ7512">
        <v>89.583737524651895</v>
      </c>
      <c r="AK7512">
        <v>0.67054752161200804</v>
      </c>
      <c r="AL7512">
        <v>68.642608028547897</v>
      </c>
      <c r="AM7512">
        <v>94.223697603602801</v>
      </c>
      <c r="AN7512">
        <v>0.99999999040785903</v>
      </c>
    </row>
    <row r="7513" spans="1:40" x14ac:dyDescent="0.25">
      <c r="A7513" t="str">
        <f>"20190304165030622"</f>
        <v>20190304165030622</v>
      </c>
      <c r="B7513" t="str">
        <f>"1551689430612983"</f>
        <v>1551689430612983</v>
      </c>
      <c r="C7513" t="s">
        <v>40</v>
      </c>
      <c r="D7513">
        <v>4.4857230000000001</v>
      </c>
      <c r="E7513">
        <v>0.54296529999999998</v>
      </c>
      <c r="F7513" t="s">
        <v>41</v>
      </c>
      <c r="G7513">
        <v>-187.0752</v>
      </c>
      <c r="H7513">
        <v>1.039696</v>
      </c>
      <c r="I7513">
        <v>52.92745</v>
      </c>
      <c r="J7513">
        <v>-187.0686</v>
      </c>
      <c r="K7513">
        <v>1.110622</v>
      </c>
      <c r="L7513">
        <v>52.294400000000003</v>
      </c>
      <c r="M7513">
        <v>-2.0350320000000002E-2</v>
      </c>
      <c r="N7513">
        <v>-1.079865E-2</v>
      </c>
      <c r="O7513">
        <v>0.99973460000000003</v>
      </c>
      <c r="P7513">
        <v>-8.663477E-2</v>
      </c>
      <c r="Q7513">
        <v>0.35430699999999998</v>
      </c>
      <c r="R7513">
        <v>0.93110740000000003</v>
      </c>
      <c r="S7513">
        <v>-4.6386719999999999E-2</v>
      </c>
      <c r="T7513">
        <v>-0.24827099999999999</v>
      </c>
      <c r="U7513">
        <v>3.312103</v>
      </c>
      <c r="V7513">
        <v>-6.7783759999999998E-2</v>
      </c>
      <c r="W7513">
        <v>0.36433660000000001</v>
      </c>
      <c r="X7513">
        <v>0.92879719999999999</v>
      </c>
      <c r="Y7513">
        <v>6.3743069999999897E-3</v>
      </c>
      <c r="Z7513">
        <v>-6.3950149999999997E-2</v>
      </c>
      <c r="AA7513">
        <v>0.99793270000000001</v>
      </c>
      <c r="AB7513">
        <v>30</v>
      </c>
      <c r="AC7513">
        <v>-6.5999999999917201E-3</v>
      </c>
      <c r="AD7513">
        <v>-7.0926000000000003E-2</v>
      </c>
      <c r="AE7513">
        <v>0.633049999999997</v>
      </c>
      <c r="AF7513">
        <v>6.2069825964263898E-3</v>
      </c>
      <c r="AG7513">
        <v>-7.0926000000000003E-2</v>
      </c>
      <c r="AH7513">
        <v>0.62520607595811994</v>
      </c>
      <c r="AI7513">
        <v>96.471887144177302</v>
      </c>
      <c r="AJ7513">
        <v>89.431191991701397</v>
      </c>
      <c r="AK7513">
        <v>0.62924690028946795</v>
      </c>
      <c r="AL7513">
        <v>68.633238749790806</v>
      </c>
      <c r="AM7513">
        <v>94.174054661298996</v>
      </c>
      <c r="AN7513">
        <v>1.0000000174735599</v>
      </c>
    </row>
    <row r="7514" spans="1:40" x14ac:dyDescent="0.25">
      <c r="A7514" t="str">
        <f>"20190304165030644"</f>
        <v>20190304165030644</v>
      </c>
      <c r="B7514" t="str">
        <f>"1551689430632503"</f>
        <v>1551689430632503</v>
      </c>
      <c r="C7514" t="s">
        <v>40</v>
      </c>
      <c r="D7514">
        <v>4.8107329999999999</v>
      </c>
      <c r="E7514">
        <v>0.54310849999999999</v>
      </c>
      <c r="F7514" t="s">
        <v>41</v>
      </c>
      <c r="G7514">
        <v>-187.08090000000001</v>
      </c>
      <c r="H7514">
        <v>1.041326</v>
      </c>
      <c r="I7514">
        <v>53.199680000000001</v>
      </c>
      <c r="J7514">
        <v>-187.07480000000001</v>
      </c>
      <c r="K7514">
        <v>1.1106279999999999</v>
      </c>
      <c r="L7514">
        <v>52.588230000000003</v>
      </c>
      <c r="M7514">
        <v>-2.0524589999999999E-2</v>
      </c>
      <c r="N7514">
        <v>-1.0826499999999999E-2</v>
      </c>
      <c r="O7514">
        <v>0.99973069999999997</v>
      </c>
      <c r="P7514">
        <v>-8.6471000000000006E-2</v>
      </c>
      <c r="Q7514">
        <v>0.35439809999999999</v>
      </c>
      <c r="R7514">
        <v>0.93108800000000003</v>
      </c>
      <c r="S7514">
        <v>-4.4815059999999997E-2</v>
      </c>
      <c r="T7514">
        <v>-0.2536989</v>
      </c>
      <c r="U7514">
        <v>3.3143310000000001</v>
      </c>
      <c r="V7514">
        <v>-6.7457589999999998E-2</v>
      </c>
      <c r="W7514">
        <v>0.36445339999999998</v>
      </c>
      <c r="X7514">
        <v>0.92877509999999996</v>
      </c>
      <c r="Y7514">
        <v>7.032132E-3</v>
      </c>
      <c r="Z7514">
        <v>-6.5496369999999998E-2</v>
      </c>
      <c r="AA7514">
        <v>0.99782800000000005</v>
      </c>
      <c r="AB7514">
        <v>30</v>
      </c>
      <c r="AC7514">
        <v>-6.1000000000035401E-3</v>
      </c>
      <c r="AD7514">
        <v>-6.9302000000000197E-2</v>
      </c>
      <c r="AE7514">
        <v>0.61145000000000405</v>
      </c>
      <c r="AF7514">
        <v>6.3699608941342701E-3</v>
      </c>
      <c r="AG7514">
        <v>-6.9302000000000197E-2</v>
      </c>
      <c r="AH7514">
        <v>0.60369210162562204</v>
      </c>
      <c r="AI7514">
        <v>96.548351590718397</v>
      </c>
      <c r="AJ7514">
        <v>89.395456177467096</v>
      </c>
      <c r="AK7514">
        <v>0.60769029708475197</v>
      </c>
      <c r="AL7514">
        <v>68.626052045590399</v>
      </c>
      <c r="AM7514">
        <v>94.154138424765605</v>
      </c>
      <c r="AN7514">
        <v>0.999999996800089</v>
      </c>
    </row>
    <row r="7515" spans="1:40" x14ac:dyDescent="0.25">
      <c r="A7515" t="str">
        <f>"20190304165030665"</f>
        <v>20190304165030665</v>
      </c>
      <c r="B7515" t="str">
        <f>"1551689430653003"</f>
        <v>1551689430653003</v>
      </c>
      <c r="C7515" t="s">
        <v>40</v>
      </c>
      <c r="D7515">
        <v>4.4603809999999999</v>
      </c>
      <c r="E7515">
        <v>0.54319539999999999</v>
      </c>
      <c r="F7515" t="s">
        <v>41</v>
      </c>
      <c r="G7515">
        <v>-187.08600000000001</v>
      </c>
      <c r="H7515">
        <v>1.0430109999999999</v>
      </c>
      <c r="I7515">
        <v>53.472000000000001</v>
      </c>
      <c r="J7515">
        <v>-187.08090000000001</v>
      </c>
      <c r="K7515">
        <v>1.1106229999999999</v>
      </c>
      <c r="L7515">
        <v>52.873989999999999</v>
      </c>
      <c r="M7515">
        <v>-2.0694069999999998E-2</v>
      </c>
      <c r="N7515">
        <v>-1.085937E-2</v>
      </c>
      <c r="O7515">
        <v>0.99972689999999997</v>
      </c>
      <c r="P7515">
        <v>-8.6443389999999995E-2</v>
      </c>
      <c r="Q7515">
        <v>0.35437809999999997</v>
      </c>
      <c r="R7515">
        <v>0.93109810000000004</v>
      </c>
      <c r="S7515">
        <v>-4.2114260000000001E-2</v>
      </c>
      <c r="T7515">
        <v>-0.25362069999999998</v>
      </c>
      <c r="U7515">
        <v>3.314667</v>
      </c>
      <c r="V7515">
        <v>-6.7271719999999993E-2</v>
      </c>
      <c r="W7515">
        <v>0.36446400000000001</v>
      </c>
      <c r="X7515">
        <v>0.92878439999999995</v>
      </c>
      <c r="Y7515">
        <v>8.0153859999999993E-3</v>
      </c>
      <c r="Z7515">
        <v>-6.5432160000000003E-2</v>
      </c>
      <c r="AA7515">
        <v>0.99782479999999996</v>
      </c>
      <c r="AB7515">
        <v>30</v>
      </c>
      <c r="AC7515">
        <v>-5.0999999999703496E-3</v>
      </c>
      <c r="AD7515">
        <v>-6.76119999999997E-2</v>
      </c>
      <c r="AE7515">
        <v>0.59801000000000204</v>
      </c>
      <c r="AF7515">
        <v>7.1852407328766802E-3</v>
      </c>
      <c r="AG7515">
        <v>-6.76119999999997E-2</v>
      </c>
      <c r="AH7515">
        <v>0.59044045525300204</v>
      </c>
      <c r="AI7515">
        <v>96.532070449460804</v>
      </c>
      <c r="AJ7515">
        <v>89.302785497488401</v>
      </c>
      <c r="AK7515">
        <v>0.59434244457868002</v>
      </c>
      <c r="AL7515">
        <v>68.625399400211606</v>
      </c>
      <c r="AM7515">
        <v>94.142690843469296</v>
      </c>
      <c r="AN7515">
        <v>0.99999997664555895</v>
      </c>
    </row>
    <row r="7516" spans="1:40" x14ac:dyDescent="0.25">
      <c r="A7516" t="str">
        <f>"20190304165030689"</f>
        <v>20190304165030689</v>
      </c>
      <c r="B7516" t="str">
        <f>"1551689430683256"</f>
        <v>1551689430683256</v>
      </c>
      <c r="C7516" t="s">
        <v>40</v>
      </c>
      <c r="D7516">
        <v>4.4647969999999999</v>
      </c>
      <c r="E7516">
        <v>0.54339359999999903</v>
      </c>
      <c r="F7516" t="s">
        <v>41</v>
      </c>
      <c r="G7516">
        <v>-187.09129999999999</v>
      </c>
      <c r="H7516">
        <v>1.0446530000000001</v>
      </c>
      <c r="I7516">
        <v>53.744450000000001</v>
      </c>
      <c r="J7516">
        <v>-187.08750000000001</v>
      </c>
      <c r="K7516">
        <v>1.1106290000000001</v>
      </c>
      <c r="L7516">
        <v>53.184840000000001</v>
      </c>
      <c r="M7516">
        <v>-2.0878509999999999E-2</v>
      </c>
      <c r="N7516">
        <v>-1.0899280000000001E-2</v>
      </c>
      <c r="O7516">
        <v>0.99972260000000002</v>
      </c>
      <c r="P7516">
        <v>-8.5940089999999997E-2</v>
      </c>
      <c r="Q7516">
        <v>0.35457309999999997</v>
      </c>
      <c r="R7516">
        <v>0.93107039999999996</v>
      </c>
      <c r="S7516">
        <v>-3.9474490000000001E-2</v>
      </c>
      <c r="T7516">
        <v>-0.2511408</v>
      </c>
      <c r="U7516">
        <v>3.313904</v>
      </c>
      <c r="V7516">
        <v>-6.6597340000000005E-2</v>
      </c>
      <c r="W7516">
        <v>0.36469629999999997</v>
      </c>
      <c r="X7516">
        <v>0.92874190000000001</v>
      </c>
      <c r="Y7516">
        <v>8.9906410000000006E-3</v>
      </c>
      <c r="Z7516">
        <v>-6.4667169999999996E-2</v>
      </c>
      <c r="AA7516">
        <v>0.99786640000000004</v>
      </c>
      <c r="AB7516">
        <v>30</v>
      </c>
      <c r="AC7516">
        <v>-3.7999999999840301E-3</v>
      </c>
      <c r="AD7516">
        <v>-6.5976000000000007E-2</v>
      </c>
      <c r="AE7516">
        <v>0.55960999999999905</v>
      </c>
      <c r="AF7516">
        <v>7.7772501817846198E-3</v>
      </c>
      <c r="AG7516">
        <v>-6.5976000000000007E-2</v>
      </c>
      <c r="AH7516">
        <v>0.55189657933331404</v>
      </c>
      <c r="AI7516">
        <v>96.816353349487997</v>
      </c>
      <c r="AJ7516">
        <v>89.192649246686898</v>
      </c>
      <c r="AK7516">
        <v>0.55588051996468002</v>
      </c>
      <c r="AL7516">
        <v>68.611107590138502</v>
      </c>
      <c r="AM7516">
        <v>94.101491004922394</v>
      </c>
      <c r="AN7516">
        <v>1.0000000568721801</v>
      </c>
    </row>
    <row r="7517" spans="1:40" x14ac:dyDescent="0.25">
      <c r="A7517" t="str">
        <f>"20190304165030712"</f>
        <v>20190304165030712</v>
      </c>
      <c r="B7517" t="str">
        <f>"1551689430702776"</f>
        <v>1551689430702776</v>
      </c>
      <c r="C7517" t="s">
        <v>40</v>
      </c>
      <c r="D7517">
        <v>4.4662269999999999</v>
      </c>
      <c r="E7517">
        <v>0.54347959999999995</v>
      </c>
      <c r="F7517" t="s">
        <v>42</v>
      </c>
      <c r="G7517">
        <v>-187.2422</v>
      </c>
      <c r="H7517" s="1">
        <v>-3.9170370000000003E-6</v>
      </c>
      <c r="I7517">
        <v>67.623189999999994</v>
      </c>
      <c r="J7517">
        <v>-187.09450000000001</v>
      </c>
      <c r="K7517">
        <v>1.110633</v>
      </c>
      <c r="L7517">
        <v>53.509610000000002</v>
      </c>
      <c r="M7517">
        <v>-2.1071340000000001E-2</v>
      </c>
      <c r="N7517">
        <v>-1.0948050000000001E-2</v>
      </c>
      <c r="O7517">
        <v>0.999718</v>
      </c>
      <c r="P7517">
        <v>-8.5592559999999998E-2</v>
      </c>
      <c r="Q7517">
        <v>0.35557630000000001</v>
      </c>
      <c r="R7517">
        <v>0.93071990000000004</v>
      </c>
      <c r="S7517">
        <v>-3.5537720000000002E-2</v>
      </c>
      <c r="T7517">
        <v>-0.25507079999999999</v>
      </c>
      <c r="U7517">
        <v>3.3159480000000001</v>
      </c>
      <c r="V7517">
        <v>-6.6078440000000002E-2</v>
      </c>
      <c r="W7517">
        <v>0.36574069999999997</v>
      </c>
      <c r="X7517">
        <v>0.92836810000000003</v>
      </c>
      <c r="Y7517">
        <v>1.037539E-2</v>
      </c>
      <c r="Z7517">
        <v>-6.5746940000000004E-2</v>
      </c>
      <c r="AA7517">
        <v>0.99778239999999996</v>
      </c>
      <c r="AB7517">
        <v>30</v>
      </c>
      <c r="AC7517">
        <v>-0.14769999999998601</v>
      </c>
      <c r="AD7517">
        <v>-1.1106369170370001</v>
      </c>
      <c r="AE7517">
        <v>14.113580000000001</v>
      </c>
      <c r="AF7517">
        <v>0.148821190568382</v>
      </c>
      <c r="AG7517">
        <v>-1.1106369170370001</v>
      </c>
      <c r="AH7517">
        <v>14.026706841826</v>
      </c>
      <c r="AI7517">
        <v>94.526989943120697</v>
      </c>
      <c r="AJ7517">
        <v>89.392123447944101</v>
      </c>
      <c r="AK7517">
        <v>14.071395344271201</v>
      </c>
      <c r="AL7517">
        <v>68.546825673073101</v>
      </c>
      <c r="AM7517">
        <v>94.071274712128002</v>
      </c>
      <c r="AN7517">
        <v>0.999999974483466</v>
      </c>
    </row>
    <row r="7518" spans="1:40" x14ac:dyDescent="0.25">
      <c r="A7518" t="str">
        <f>"20190304165030734"</f>
        <v>20190304165030734</v>
      </c>
      <c r="B7518" t="str">
        <f>"1551689430723271"</f>
        <v>1551689430723271</v>
      </c>
      <c r="C7518" t="s">
        <v>40</v>
      </c>
      <c r="D7518">
        <v>4.4939479999999996</v>
      </c>
      <c r="E7518">
        <v>0.5435276</v>
      </c>
      <c r="F7518" t="s">
        <v>42</v>
      </c>
      <c r="G7518">
        <v>-187.24250000000001</v>
      </c>
      <c r="H7518" s="1">
        <v>-4.0487480000000004E-6</v>
      </c>
      <c r="I7518">
        <v>67.930329999999998</v>
      </c>
      <c r="J7518">
        <v>-187.10120000000001</v>
      </c>
      <c r="K7518">
        <v>1.110644</v>
      </c>
      <c r="L7518">
        <v>53.817720000000001</v>
      </c>
      <c r="M7518">
        <v>-2.125438E-2</v>
      </c>
      <c r="N7518">
        <v>-1.100303E-2</v>
      </c>
      <c r="O7518">
        <v>0.99971350000000003</v>
      </c>
      <c r="P7518">
        <v>-8.4727440000000001E-2</v>
      </c>
      <c r="Q7518">
        <v>0.35654049999999998</v>
      </c>
      <c r="R7518">
        <v>0.93043010000000004</v>
      </c>
      <c r="S7518">
        <v>-3.4057619999999997E-2</v>
      </c>
      <c r="T7518">
        <v>-0.2555269</v>
      </c>
      <c r="U7518">
        <v>3.3178100000000001</v>
      </c>
      <c r="V7518">
        <v>-6.5049220000000005E-2</v>
      </c>
      <c r="W7518">
        <v>0.36675289999999999</v>
      </c>
      <c r="X7518">
        <v>0.92804149999999996</v>
      </c>
      <c r="Y7518">
        <v>1.100925E-2</v>
      </c>
      <c r="Z7518">
        <v>-6.578502E-2</v>
      </c>
      <c r="AA7518">
        <v>0.99777309999999997</v>
      </c>
      <c r="AB7518">
        <v>30</v>
      </c>
      <c r="AC7518">
        <v>-0.14130000000000101</v>
      </c>
      <c r="AD7518">
        <v>-1.1106480487479999</v>
      </c>
      <c r="AE7518">
        <v>14.11261</v>
      </c>
      <c r="AF7518">
        <v>0.15772807790815699</v>
      </c>
      <c r="AG7518">
        <v>-1.1106480487479999</v>
      </c>
      <c r="AH7518">
        <v>14.0255659487953</v>
      </c>
      <c r="AI7518">
        <v>94.527370516451995</v>
      </c>
      <c r="AJ7518">
        <v>89.355692863338703</v>
      </c>
      <c r="AK7518">
        <v>14.070355980527101</v>
      </c>
      <c r="AL7518">
        <v>68.4845022682875</v>
      </c>
      <c r="AM7518">
        <v>94.009475870152599</v>
      </c>
      <c r="AN7518">
        <v>1.00000005820163</v>
      </c>
    </row>
    <row r="7519" spans="1:40" x14ac:dyDescent="0.25">
      <c r="A7519" t="str">
        <f>"20190304165030757"</f>
        <v>20190304165030757</v>
      </c>
      <c r="B7519" t="str">
        <f>"1551689430752552"</f>
        <v>1551689430752552</v>
      </c>
      <c r="C7519" t="s">
        <v>40</v>
      </c>
      <c r="D7519">
        <v>4.475911</v>
      </c>
      <c r="E7519">
        <v>0.5436223</v>
      </c>
      <c r="F7519" t="s">
        <v>42</v>
      </c>
      <c r="G7519">
        <v>-187.23650000000001</v>
      </c>
      <c r="H7519" s="1">
        <v>-4.2019009999999998E-6</v>
      </c>
      <c r="I7519">
        <v>68.284840000000003</v>
      </c>
      <c r="J7519">
        <v>-187.10769999999999</v>
      </c>
      <c r="K7519">
        <v>1.1106549999999999</v>
      </c>
      <c r="L7519">
        <v>54.111330000000002</v>
      </c>
      <c r="M7519">
        <v>-2.1428590000000001E-2</v>
      </c>
      <c r="N7519">
        <v>-1.1063750000000001E-2</v>
      </c>
      <c r="O7519">
        <v>0.99970919999999996</v>
      </c>
      <c r="P7519">
        <v>-8.4420019999999998E-2</v>
      </c>
      <c r="Q7519">
        <v>0.3573943</v>
      </c>
      <c r="R7519">
        <v>0.93013040000000002</v>
      </c>
      <c r="S7519">
        <v>-3.1036379999999999E-2</v>
      </c>
      <c r="T7519">
        <v>-0.2548107</v>
      </c>
      <c r="U7519">
        <v>3.3191220000000001</v>
      </c>
      <c r="V7519">
        <v>-6.4586669999999999E-2</v>
      </c>
      <c r="W7519">
        <v>0.3676603</v>
      </c>
      <c r="X7519">
        <v>0.92771459999999994</v>
      </c>
      <c r="Y7519">
        <v>1.209495E-2</v>
      </c>
      <c r="Z7519">
        <v>-6.5479609999999994E-2</v>
      </c>
      <c r="AA7519">
        <v>0.99778060000000002</v>
      </c>
      <c r="AB7519">
        <v>30</v>
      </c>
      <c r="AC7519">
        <v>-0.12880000000001199</v>
      </c>
      <c r="AD7519">
        <v>-1.110659201901</v>
      </c>
      <c r="AE7519">
        <v>14.17351</v>
      </c>
      <c r="AF7519">
        <v>0.173898747287896</v>
      </c>
      <c r="AG7519">
        <v>-1.110659201901</v>
      </c>
      <c r="AH7519">
        <v>14.086523504292099</v>
      </c>
      <c r="AI7519">
        <v>94.507846725209703</v>
      </c>
      <c r="AJ7519">
        <v>89.292717030503198</v>
      </c>
      <c r="AK7519">
        <v>14.131310946760999</v>
      </c>
      <c r="AL7519">
        <v>68.428604915311595</v>
      </c>
      <c r="AM7519">
        <v>93.982455709721705</v>
      </c>
      <c r="AN7519">
        <v>0.99999995659546803</v>
      </c>
    </row>
    <row r="7520" spans="1:40" x14ac:dyDescent="0.25">
      <c r="A7520" t="str">
        <f>"20190304165030777"</f>
        <v>20190304165030777</v>
      </c>
      <c r="B7520" t="str">
        <f>"1551689430773047"</f>
        <v>1551689430773047</v>
      </c>
      <c r="C7520" t="s">
        <v>40</v>
      </c>
      <c r="D7520">
        <v>4.4300899999999999</v>
      </c>
      <c r="E7520">
        <v>0.54380360000000005</v>
      </c>
      <c r="F7520" t="s">
        <v>41</v>
      </c>
      <c r="G7520">
        <v>-187.11609999999999</v>
      </c>
      <c r="H7520">
        <v>1.0351649999999999</v>
      </c>
      <c r="I7520">
        <v>55.092799999999997</v>
      </c>
      <c r="J7520">
        <v>-187.1138</v>
      </c>
      <c r="K7520">
        <v>1.1106670000000001</v>
      </c>
      <c r="L7520">
        <v>54.388240000000003</v>
      </c>
      <c r="M7520">
        <v>-2.1591740000000002E-2</v>
      </c>
      <c r="N7520">
        <v>-1.113155E-2</v>
      </c>
      <c r="O7520">
        <v>0.99970490000000001</v>
      </c>
      <c r="P7520">
        <v>-8.4233310000000006E-2</v>
      </c>
      <c r="Q7520">
        <v>0.35721249999999999</v>
      </c>
      <c r="R7520">
        <v>0.93021719999999997</v>
      </c>
      <c r="S7520">
        <v>-2.8854370000000001E-2</v>
      </c>
      <c r="T7520">
        <v>-0.25544240000000001</v>
      </c>
      <c r="U7520">
        <v>3.3208920000000002</v>
      </c>
      <c r="V7520">
        <v>-6.4246159999999997E-2</v>
      </c>
      <c r="W7520">
        <v>0.36754239999999999</v>
      </c>
      <c r="X7520">
        <v>0.92778499999999997</v>
      </c>
      <c r="Y7520">
        <v>1.2918260000000001E-2</v>
      </c>
      <c r="Z7520">
        <v>-6.5559370000000006E-2</v>
      </c>
      <c r="AA7520">
        <v>0.99776509999999996</v>
      </c>
      <c r="AB7520">
        <v>30</v>
      </c>
      <c r="AC7520">
        <v>-2.29999999999108E-3</v>
      </c>
      <c r="AD7520">
        <v>-7.5502000000000097E-2</v>
      </c>
      <c r="AE7520">
        <v>0.70455999999999297</v>
      </c>
      <c r="AF7520">
        <v>1.2767538466116101E-2</v>
      </c>
      <c r="AG7520">
        <v>-7.5502000000000097E-2</v>
      </c>
      <c r="AH7520">
        <v>0.69644769577286203</v>
      </c>
      <c r="AI7520">
        <v>96.186249038388297</v>
      </c>
      <c r="AJ7520">
        <v>88.949750081135406</v>
      </c>
      <c r="AK7520">
        <v>0.70064467099223204</v>
      </c>
      <c r="AL7520">
        <v>68.435869553101099</v>
      </c>
      <c r="AM7520">
        <v>93.9612270291302</v>
      </c>
      <c r="AN7520">
        <v>0.99999999554875196</v>
      </c>
    </row>
    <row r="7521" spans="1:40" x14ac:dyDescent="0.25">
      <c r="A7521" t="str">
        <f>"20190304165030800"</f>
        <v>20190304165030800</v>
      </c>
      <c r="B7521" t="str">
        <f>"1551689430792567"</f>
        <v>1551689430792567</v>
      </c>
      <c r="C7521" t="s">
        <v>40</v>
      </c>
      <c r="D7521">
        <v>4.6104370000000001</v>
      </c>
      <c r="E7521">
        <v>0.56582159999999904</v>
      </c>
      <c r="F7521" t="s">
        <v>41</v>
      </c>
      <c r="G7521">
        <v>-187.12129999999999</v>
      </c>
      <c r="H7521">
        <v>1.034913</v>
      </c>
      <c r="I7521">
        <v>55.364170000000001</v>
      </c>
      <c r="J7521">
        <v>-187.1207</v>
      </c>
      <c r="K7521">
        <v>1.110681</v>
      </c>
      <c r="L7521">
        <v>54.699979999999996</v>
      </c>
      <c r="M7521">
        <v>-2.1772610000000001E-2</v>
      </c>
      <c r="N7521">
        <v>-1.1212669999999999E-2</v>
      </c>
      <c r="O7521">
        <v>0.99970009999999998</v>
      </c>
      <c r="P7521">
        <v>-8.4436910000000004E-2</v>
      </c>
      <c r="Q7521">
        <v>0.35661189999999998</v>
      </c>
      <c r="R7521">
        <v>0.93042910000000001</v>
      </c>
      <c r="S7521">
        <v>-2.5619510000000002E-2</v>
      </c>
      <c r="T7521">
        <v>-0.25784679999999999</v>
      </c>
      <c r="U7521">
        <v>3.3217469999999998</v>
      </c>
      <c r="V7521">
        <v>-6.4275460000000006E-2</v>
      </c>
      <c r="W7521">
        <v>0.3670194</v>
      </c>
      <c r="X7521">
        <v>0.92798999999999998</v>
      </c>
      <c r="Y7521">
        <v>1.4072640000000001E-2</v>
      </c>
      <c r="Z7521">
        <v>-6.6175639999999994E-2</v>
      </c>
      <c r="AA7521">
        <v>0.9977087</v>
      </c>
      <c r="AB7521">
        <v>30</v>
      </c>
      <c r="AC7521">
        <v>-5.9999999999149601E-4</v>
      </c>
      <c r="AD7521">
        <v>-7.5768000000000002E-2</v>
      </c>
      <c r="AE7521">
        <v>0.66418999999998996</v>
      </c>
      <c r="AF7521">
        <v>1.3684125493288599E-2</v>
      </c>
      <c r="AG7521">
        <v>-7.5768000000000002E-2</v>
      </c>
      <c r="AH7521">
        <v>0.65551519752086096</v>
      </c>
      <c r="AI7521">
        <v>96.591875030528101</v>
      </c>
      <c r="AJ7521">
        <v>88.804102819492201</v>
      </c>
      <c r="AK7521">
        <v>0.66002137790781401</v>
      </c>
      <c r="AL7521">
        <v>68.468087184076893</v>
      </c>
      <c r="AM7521">
        <v>93.962155150707602</v>
      </c>
      <c r="AN7521">
        <v>1.0000000074172799</v>
      </c>
    </row>
    <row r="7522" spans="1:40" x14ac:dyDescent="0.25">
      <c r="A7522" t="str">
        <f>"20190304165030824"</f>
        <v>20190304165030824</v>
      </c>
      <c r="B7522" t="str">
        <f>"1551689430813064"</f>
        <v>1551689430813064</v>
      </c>
      <c r="C7522" t="s">
        <v>40</v>
      </c>
      <c r="D7522">
        <v>4.5865960000000001</v>
      </c>
      <c r="E7522">
        <v>0.57324770000000003</v>
      </c>
      <c r="F7522" t="s">
        <v>41</v>
      </c>
      <c r="G7522">
        <v>-187.08</v>
      </c>
      <c r="H7522">
        <v>1.026097</v>
      </c>
      <c r="I7522">
        <v>55.631880000000002</v>
      </c>
      <c r="J7522">
        <v>-187.12809999999999</v>
      </c>
      <c r="K7522">
        <v>1.1106910000000001</v>
      </c>
      <c r="L7522">
        <v>55.028230000000001</v>
      </c>
      <c r="M7522">
        <v>-2.1956960000000001E-2</v>
      </c>
      <c r="N7522">
        <v>-1.1301780000000001E-2</v>
      </c>
      <c r="O7522">
        <v>0.99969509999999995</v>
      </c>
      <c r="P7522">
        <v>-8.4401420000000005E-2</v>
      </c>
      <c r="Q7522">
        <v>0.35606379999999999</v>
      </c>
      <c r="R7522">
        <v>0.93064219999999998</v>
      </c>
      <c r="S7522">
        <v>0.14616390000000001</v>
      </c>
      <c r="T7522">
        <v>-0.30447269999999999</v>
      </c>
      <c r="U7522">
        <v>3.354279</v>
      </c>
      <c r="V7522">
        <v>-6.4061000000000007E-2</v>
      </c>
      <c r="W7522">
        <v>0.36655720000000003</v>
      </c>
      <c r="X7522">
        <v>0.92818750000000005</v>
      </c>
      <c r="Y7522">
        <v>6.5287419999999999E-2</v>
      </c>
      <c r="Z7522">
        <v>-7.8961500000000004E-2</v>
      </c>
      <c r="AA7522">
        <v>0.99473739999999999</v>
      </c>
      <c r="AB7522">
        <v>30</v>
      </c>
      <c r="AC7522">
        <v>4.8099999999976703E-2</v>
      </c>
      <c r="AD7522">
        <v>-8.4594000000000003E-2</v>
      </c>
      <c r="AE7522">
        <v>0.60364999999999402</v>
      </c>
      <c r="AF7522">
        <v>6.0169384612690197E-2</v>
      </c>
      <c r="AG7522">
        <v>-8.4594000000000003E-2</v>
      </c>
      <c r="AH7522">
        <v>0.590916741369374</v>
      </c>
      <c r="AI7522">
        <v>98.105600929686602</v>
      </c>
      <c r="AJ7522">
        <v>84.185964559285495</v>
      </c>
      <c r="AK7522">
        <v>0.59996591145769995</v>
      </c>
      <c r="AL7522">
        <v>68.496553397987</v>
      </c>
      <c r="AM7522">
        <v>93.948139405752897</v>
      </c>
      <c r="AN7522">
        <v>1.00000001387454</v>
      </c>
    </row>
    <row r="7523" spans="1:40" x14ac:dyDescent="0.25">
      <c r="A7523" t="str">
        <f>"20190304165030845"</f>
        <v>20190304165030845</v>
      </c>
      <c r="B7523" t="str">
        <f>"1551689430832584"</f>
        <v>1551689430832584</v>
      </c>
      <c r="C7523" t="s">
        <v>40</v>
      </c>
      <c r="D7523">
        <v>4.5168730000000004</v>
      </c>
      <c r="E7523">
        <v>0.57575339999999997</v>
      </c>
      <c r="F7523" t="s">
        <v>41</v>
      </c>
      <c r="G7523">
        <v>-187.07470000000001</v>
      </c>
      <c r="H7523">
        <v>1.027574</v>
      </c>
      <c r="I7523">
        <v>55.904330000000002</v>
      </c>
      <c r="J7523">
        <v>-187.1345</v>
      </c>
      <c r="K7523">
        <v>1.110697</v>
      </c>
      <c r="L7523">
        <v>55.312899999999999</v>
      </c>
      <c r="M7523">
        <v>-2.211248E-2</v>
      </c>
      <c r="N7523">
        <v>-1.138575E-2</v>
      </c>
      <c r="O7523">
        <v>0.99969070000000004</v>
      </c>
      <c r="P7523">
        <v>-8.4590310000000002E-2</v>
      </c>
      <c r="Q7523">
        <v>0.35550850000000001</v>
      </c>
      <c r="R7523">
        <v>0.93083740000000004</v>
      </c>
      <c r="S7523">
        <v>0.20477290000000001</v>
      </c>
      <c r="T7523">
        <v>-0.3191909</v>
      </c>
      <c r="U7523">
        <v>3.3642880000000002</v>
      </c>
      <c r="V7523">
        <v>-6.4097319999999999E-2</v>
      </c>
      <c r="W7523">
        <v>0.36608289999999999</v>
      </c>
      <c r="X7523">
        <v>0.92837210000000003</v>
      </c>
      <c r="Y7523">
        <v>8.2553619999999994E-2</v>
      </c>
      <c r="Z7523">
        <v>-8.2821149999999996E-2</v>
      </c>
      <c r="AA7523">
        <v>0.99313929999999995</v>
      </c>
      <c r="AB7523">
        <v>30</v>
      </c>
      <c r="AC7523">
        <v>5.97999999999956E-2</v>
      </c>
      <c r="AD7523">
        <v>-8.3123000000000002E-2</v>
      </c>
      <c r="AE7523">
        <v>0.59143000000000201</v>
      </c>
      <c r="AF7523">
        <v>7.1466801462993307E-2</v>
      </c>
      <c r="AG7523">
        <v>-8.3123000000000002E-2</v>
      </c>
      <c r="AH7523">
        <v>0.57864851644430504</v>
      </c>
      <c r="AI7523">
        <v>98.113810856378194</v>
      </c>
      <c r="AJ7523">
        <v>82.959258872464304</v>
      </c>
      <c r="AK7523">
        <v>0.58894061026859601</v>
      </c>
      <c r="AL7523">
        <v>68.525757589118896</v>
      </c>
      <c r="AM7523">
        <v>93.949587740142604</v>
      </c>
      <c r="AN7523">
        <v>0.99999995608100001</v>
      </c>
    </row>
    <row r="7524" spans="1:40" x14ac:dyDescent="0.25">
      <c r="A7524" t="str">
        <f>"20190304165030870"</f>
        <v>20190304165030870</v>
      </c>
      <c r="B7524" t="str">
        <f>"1551689430862839"</f>
        <v>1551689430862839</v>
      </c>
      <c r="C7524" t="s">
        <v>40</v>
      </c>
      <c r="D7524">
        <v>4.5174180000000002</v>
      </c>
      <c r="E7524">
        <v>0.57775209999999999</v>
      </c>
      <c r="F7524" t="s">
        <v>41</v>
      </c>
      <c r="G7524">
        <v>-187.07749999999999</v>
      </c>
      <c r="H7524">
        <v>1.0251570000000001</v>
      </c>
      <c r="I7524">
        <v>56.174709999999997</v>
      </c>
      <c r="J7524">
        <v>-187.1421</v>
      </c>
      <c r="K7524">
        <v>1.110703</v>
      </c>
      <c r="L7524">
        <v>55.6464199999999</v>
      </c>
      <c r="M7524">
        <v>-2.2279429999999999E-2</v>
      </c>
      <c r="N7524">
        <v>-1.149851E-2</v>
      </c>
      <c r="O7524">
        <v>0.99968559999999995</v>
      </c>
      <c r="P7524">
        <v>-8.507352E-2</v>
      </c>
      <c r="Q7524">
        <v>0.35565590000000002</v>
      </c>
      <c r="R7524">
        <v>0.93073700000000004</v>
      </c>
      <c r="S7524">
        <v>0.2228851</v>
      </c>
      <c r="T7524">
        <v>-0.33460210000000001</v>
      </c>
      <c r="U7524">
        <v>3.3709410000000002</v>
      </c>
      <c r="V7524">
        <v>-6.4420240000000004E-2</v>
      </c>
      <c r="W7524">
        <v>0.36633539999999998</v>
      </c>
      <c r="X7524">
        <v>0.92825020000000003</v>
      </c>
      <c r="Y7524">
        <v>8.7885279999999996E-2</v>
      </c>
      <c r="Z7524">
        <v>-8.6983669999999999E-2</v>
      </c>
      <c r="AA7524">
        <v>0.99232549999999997</v>
      </c>
      <c r="AB7524">
        <v>30</v>
      </c>
      <c r="AC7524">
        <v>6.46000000000128E-2</v>
      </c>
      <c r="AD7524">
        <v>-8.5546000000000094E-2</v>
      </c>
      <c r="AE7524">
        <v>0.52829000000000503</v>
      </c>
      <c r="AF7524">
        <v>7.4431794942722604E-2</v>
      </c>
      <c r="AG7524">
        <v>-8.5546000000000094E-2</v>
      </c>
      <c r="AH7524">
        <v>0.51345440019561395</v>
      </c>
      <c r="AI7524">
        <v>99.362987197269405</v>
      </c>
      <c r="AJ7524">
        <v>81.751699484423895</v>
      </c>
      <c r="AK7524">
        <v>0.52582661714165202</v>
      </c>
      <c r="AL7524">
        <v>68.510211667869697</v>
      </c>
      <c r="AM7524">
        <v>93.969941779906193</v>
      </c>
      <c r="AN7524">
        <v>1.00000001320742</v>
      </c>
    </row>
    <row r="7525" spans="1:40" x14ac:dyDescent="0.25">
      <c r="A7525" t="str">
        <f>"20190304165030904"</f>
        <v>20190304165030904</v>
      </c>
      <c r="B7525" t="str">
        <f>"1551689430893096"</f>
        <v>1551689430893096</v>
      </c>
      <c r="C7525" t="s">
        <v>40</v>
      </c>
      <c r="D7525">
        <v>4.5535399999999999</v>
      </c>
      <c r="E7525">
        <v>0.57874899999999996</v>
      </c>
      <c r="F7525" t="s">
        <v>41</v>
      </c>
      <c r="G7525">
        <v>-187.08539999999999</v>
      </c>
      <c r="H7525">
        <v>1.0307040000000001</v>
      </c>
      <c r="I7525">
        <v>56.448770000000003</v>
      </c>
      <c r="J7525">
        <v>-187.15260000000001</v>
      </c>
      <c r="K7525">
        <v>1.1107049999999901</v>
      </c>
      <c r="L7525">
        <v>56.1049199999999</v>
      </c>
      <c r="M7525">
        <v>-2.245567E-2</v>
      </c>
      <c r="N7525">
        <v>-1.16752E-2</v>
      </c>
      <c r="O7525">
        <v>0.99967969999999895</v>
      </c>
      <c r="P7525">
        <v>-8.5740049999999998E-2</v>
      </c>
      <c r="Q7525">
        <v>0.35539850000000001</v>
      </c>
      <c r="R7525">
        <v>0.9307742</v>
      </c>
      <c r="S7525">
        <v>0.23831179999999999</v>
      </c>
      <c r="T7525">
        <v>-0.33638190000000001</v>
      </c>
      <c r="U7525">
        <v>3.3735659999999998</v>
      </c>
      <c r="V7525">
        <v>-6.4903829999999996E-2</v>
      </c>
      <c r="W7525">
        <v>0.36624580000000001</v>
      </c>
      <c r="X7525">
        <v>0.92825190000000002</v>
      </c>
      <c r="Y7525">
        <v>9.2520099999999994E-2</v>
      </c>
      <c r="Z7525">
        <v>-8.7213109999999996E-2</v>
      </c>
      <c r="AA7525">
        <v>0.99188399999999999</v>
      </c>
      <c r="AB7525">
        <v>30</v>
      </c>
      <c r="AC7525">
        <v>6.7200000000013901E-2</v>
      </c>
      <c r="AD7525">
        <v>-8.0000999999999697E-2</v>
      </c>
      <c r="AE7525">
        <v>0.34385000000000299</v>
      </c>
      <c r="AF7525">
        <v>7.1192935096555304E-2</v>
      </c>
      <c r="AG7525">
        <v>-8.0000999999999697E-2</v>
      </c>
      <c r="AH7525">
        <v>0.32529325038379803</v>
      </c>
      <c r="AI7525">
        <v>103.509195941176</v>
      </c>
      <c r="AJ7525">
        <v>77.655023475685098</v>
      </c>
      <c r="AK7525">
        <v>0.34246794412604298</v>
      </c>
      <c r="AL7525">
        <v>68.515729446334603</v>
      </c>
      <c r="AM7525">
        <v>93.999639683515099</v>
      </c>
      <c r="AN7525">
        <v>1.0000000415099499</v>
      </c>
    </row>
    <row r="7526" spans="1:40" x14ac:dyDescent="0.25">
      <c r="A7526" t="str">
        <f>"20190304165030928"</f>
        <v>20190304165030928</v>
      </c>
      <c r="B7526" t="str">
        <f>"1551689430923351"</f>
        <v>1551689430923351</v>
      </c>
      <c r="C7526" t="s">
        <v>40</v>
      </c>
      <c r="D7526">
        <v>4.5786490000000004</v>
      </c>
      <c r="E7526">
        <v>0.57955590000000001</v>
      </c>
      <c r="F7526" t="s">
        <v>41</v>
      </c>
      <c r="G7526">
        <v>-187.08799999999999</v>
      </c>
      <c r="H7526">
        <v>1.023949</v>
      </c>
      <c r="I7526">
        <v>56.988239999999998</v>
      </c>
      <c r="J7526">
        <v>-187.16</v>
      </c>
      <c r="K7526">
        <v>1.1106990000000001</v>
      </c>
      <c r="L7526">
        <v>56.427520000000001</v>
      </c>
      <c r="M7526">
        <v>-2.2550830000000001E-2</v>
      </c>
      <c r="N7526">
        <v>-1.1808239999999999E-2</v>
      </c>
      <c r="O7526">
        <v>0.99967600000000001</v>
      </c>
      <c r="P7526">
        <v>-8.6471930000000002E-2</v>
      </c>
      <c r="Q7526">
        <v>0.35349609999999998</v>
      </c>
      <c r="R7526">
        <v>0.93143069999999895</v>
      </c>
      <c r="S7526">
        <v>0.2464142</v>
      </c>
      <c r="T7526">
        <v>-0.33122410000000002</v>
      </c>
      <c r="U7526">
        <v>3.3722840000000001</v>
      </c>
      <c r="V7526">
        <v>-6.5512570000000006E-2</v>
      </c>
      <c r="W7526">
        <v>0.36447790000000002</v>
      </c>
      <c r="X7526">
        <v>0.92890470000000003</v>
      </c>
      <c r="Y7526">
        <v>9.5020709999999994E-2</v>
      </c>
      <c r="Z7526">
        <v>-8.5593840000000004E-2</v>
      </c>
      <c r="AA7526">
        <v>0.99178869999999997</v>
      </c>
      <c r="AB7526">
        <v>30</v>
      </c>
      <c r="AC7526">
        <v>7.2000000000002701E-2</v>
      </c>
      <c r="AD7526">
        <v>-8.6749999999999799E-2</v>
      </c>
      <c r="AE7526">
        <v>0.56072000000000999</v>
      </c>
      <c r="AF7526">
        <v>8.2680355749725695E-2</v>
      </c>
      <c r="AG7526">
        <v>-8.6749999999999799E-2</v>
      </c>
      <c r="AH7526">
        <v>0.54609446340305001</v>
      </c>
      <c r="AI7526">
        <v>98.926253765369495</v>
      </c>
      <c r="AJ7526">
        <v>81.390631911838796</v>
      </c>
      <c r="AK7526">
        <v>0.55908922962830099</v>
      </c>
      <c r="AL7526">
        <v>68.624544439181705</v>
      </c>
      <c r="AM7526">
        <v>94.034201569280199</v>
      </c>
      <c r="AN7526">
        <v>0.99999998904925202</v>
      </c>
    </row>
    <row r="7527" spans="1:40" x14ac:dyDescent="0.25">
      <c r="A7527" t="str">
        <f>"20190304165030949"</f>
        <v>20190304165030949</v>
      </c>
      <c r="B7527" t="str">
        <f>"1551689430942871"</f>
        <v>1551689430942871</v>
      </c>
      <c r="C7527" t="s">
        <v>40</v>
      </c>
      <c r="D7527">
        <v>4.5754400000000004</v>
      </c>
      <c r="E7527">
        <v>0.5798565</v>
      </c>
      <c r="F7527" t="s">
        <v>41</v>
      </c>
      <c r="G7527">
        <v>-187.0976</v>
      </c>
      <c r="H7527">
        <v>1.0291330000000001</v>
      </c>
      <c r="I7527">
        <v>57.261780000000002</v>
      </c>
      <c r="J7527">
        <v>-187.1669</v>
      </c>
      <c r="K7527">
        <v>1.1106849999999999</v>
      </c>
      <c r="L7527">
        <v>56.726840000000003</v>
      </c>
      <c r="M7527">
        <v>-2.2622400000000001E-2</v>
      </c>
      <c r="N7527">
        <v>-1.1930959999999999E-2</v>
      </c>
      <c r="O7527">
        <v>0.99967289999999998</v>
      </c>
      <c r="P7527">
        <v>-8.7270680000000003E-2</v>
      </c>
      <c r="Q7527">
        <v>0.35095609999999999</v>
      </c>
      <c r="R7527">
        <v>0.93231629999999999</v>
      </c>
      <c r="S7527">
        <v>0.25172420000000001</v>
      </c>
      <c r="T7527">
        <v>-0.32942890000000002</v>
      </c>
      <c r="U7527">
        <v>3.3692319999999998</v>
      </c>
      <c r="V7527">
        <v>-6.6203390000000001E-2</v>
      </c>
      <c r="W7527">
        <v>0.36206680000000002</v>
      </c>
      <c r="X7527">
        <v>0.92979820000000002</v>
      </c>
      <c r="Y7527">
        <v>9.6713830000000001E-2</v>
      </c>
      <c r="Z7527">
        <v>-8.5020949999999998E-2</v>
      </c>
      <c r="AA7527">
        <v>0.99167430000000001</v>
      </c>
      <c r="AB7527">
        <v>30</v>
      </c>
      <c r="AC7527">
        <v>6.9299999999998294E-2</v>
      </c>
      <c r="AD7527">
        <v>-8.1551999999999999E-2</v>
      </c>
      <c r="AE7527">
        <v>0.53493999999999797</v>
      </c>
      <c r="AF7527">
        <v>7.9566059339199094E-2</v>
      </c>
      <c r="AG7527">
        <v>-8.1551999999999999E-2</v>
      </c>
      <c r="AH7527">
        <v>0.52131912028528604</v>
      </c>
      <c r="AI7527">
        <v>98.790765839917498</v>
      </c>
      <c r="AJ7527">
        <v>81.322228628176802</v>
      </c>
      <c r="AK7527">
        <v>0.53362450438280495</v>
      </c>
      <c r="AL7527">
        <v>68.772819779204696</v>
      </c>
      <c r="AM7527">
        <v>94.072694662833598</v>
      </c>
      <c r="AN7527">
        <v>0.99999997461648504</v>
      </c>
    </row>
    <row r="7528" spans="1:40" x14ac:dyDescent="0.25">
      <c r="A7528" t="str">
        <f>"20190304165030969"</f>
        <v>20190304165030969</v>
      </c>
      <c r="B7528" t="str">
        <f>"1551689430963368"</f>
        <v>1551689430963368</v>
      </c>
      <c r="C7528" t="s">
        <v>40</v>
      </c>
      <c r="D7528">
        <v>4.6793009999999997</v>
      </c>
      <c r="E7528">
        <v>0.58001819999999904</v>
      </c>
      <c r="F7528" t="s">
        <v>41</v>
      </c>
      <c r="G7528">
        <v>-187.10659999999999</v>
      </c>
      <c r="H7528">
        <v>1.030473</v>
      </c>
      <c r="I7528">
        <v>57.53331</v>
      </c>
      <c r="J7528">
        <v>-187.173</v>
      </c>
      <c r="K7528">
        <v>1.11066</v>
      </c>
      <c r="L7528">
        <v>56.995849999999997</v>
      </c>
      <c r="M7528">
        <v>-2.2667159999999999E-2</v>
      </c>
      <c r="N7528">
        <v>-1.2044249999999999E-2</v>
      </c>
      <c r="O7528">
        <v>0.99967050000000002</v>
      </c>
      <c r="P7528">
        <v>-8.8003460000000006E-2</v>
      </c>
      <c r="Q7528">
        <v>0.34661500000000001</v>
      </c>
      <c r="R7528">
        <v>0.93387010000000004</v>
      </c>
      <c r="S7528">
        <v>0.2517548</v>
      </c>
      <c r="T7528">
        <v>-0.33493129999999999</v>
      </c>
      <c r="U7528">
        <v>3.367432</v>
      </c>
      <c r="V7528">
        <v>-6.6840720000000006E-2</v>
      </c>
      <c r="W7528">
        <v>0.35785339999999999</v>
      </c>
      <c r="X7528">
        <v>0.93138240000000005</v>
      </c>
      <c r="Y7528">
        <v>9.6795149999999996E-2</v>
      </c>
      <c r="Z7528">
        <v>-8.6564269999999999E-2</v>
      </c>
      <c r="AA7528">
        <v>0.99153279999999999</v>
      </c>
      <c r="AB7528">
        <v>30</v>
      </c>
      <c r="AC7528">
        <v>6.6400000000015696E-2</v>
      </c>
      <c r="AD7528">
        <v>-8.0186999999999994E-2</v>
      </c>
      <c r="AE7528">
        <v>0.53746000000000205</v>
      </c>
      <c r="AF7528">
        <v>7.6880908981709697E-2</v>
      </c>
      <c r="AG7528">
        <v>-8.0186999999999994E-2</v>
      </c>
      <c r="AH7528">
        <v>0.52432101035092205</v>
      </c>
      <c r="AI7528">
        <v>98.604544605843699</v>
      </c>
      <c r="AJ7528">
        <v>81.658195067440005</v>
      </c>
      <c r="AK7528">
        <v>0.53596002745565396</v>
      </c>
      <c r="AL7528">
        <v>69.031574683724401</v>
      </c>
      <c r="AM7528">
        <v>94.104798209024693</v>
      </c>
      <c r="AN7528">
        <v>0.99999995638571804</v>
      </c>
    </row>
    <row r="7529" spans="1:40" x14ac:dyDescent="0.25">
      <c r="A7529" t="str">
        <f>"20190304165030990"</f>
        <v>20190304165030990</v>
      </c>
      <c r="B7529" t="str">
        <f>"1551689430982888"</f>
        <v>1551689430982888</v>
      </c>
      <c r="C7529" t="s">
        <v>40</v>
      </c>
      <c r="D7529">
        <v>4.560003</v>
      </c>
      <c r="E7529">
        <v>0.58029049999999904</v>
      </c>
      <c r="F7529" t="s">
        <v>41</v>
      </c>
      <c r="G7529">
        <v>-187.11279999999999</v>
      </c>
      <c r="H7529">
        <v>1.0267919999999999</v>
      </c>
      <c r="I7529">
        <v>57.802280000000003</v>
      </c>
      <c r="J7529">
        <v>-187.17959999999999</v>
      </c>
      <c r="K7529">
        <v>1.1106339999999999</v>
      </c>
      <c r="L7529">
        <v>57.284579999999998</v>
      </c>
      <c r="M7529">
        <v>-2.2695699999999999E-2</v>
      </c>
      <c r="N7529">
        <v>-1.217438E-2</v>
      </c>
      <c r="O7529">
        <v>0.99966829999999995</v>
      </c>
      <c r="P7529">
        <v>-8.8519039999999993E-2</v>
      </c>
      <c r="Q7529">
        <v>0.34030379999999999</v>
      </c>
      <c r="R7529">
        <v>0.93613979999999997</v>
      </c>
      <c r="S7529">
        <v>0.25068659999999998</v>
      </c>
      <c r="T7529">
        <v>-0.35008060000000002</v>
      </c>
      <c r="U7529">
        <v>3.3659970000000001</v>
      </c>
      <c r="V7529">
        <v>-6.7260879999999995E-2</v>
      </c>
      <c r="W7529">
        <v>0.35169489999999998</v>
      </c>
      <c r="X7529">
        <v>0.93369519999999995</v>
      </c>
      <c r="Y7529">
        <v>9.6510159999999998E-2</v>
      </c>
      <c r="Z7529">
        <v>-9.0897339999999993E-2</v>
      </c>
      <c r="AA7529">
        <v>0.99117279999999996</v>
      </c>
      <c r="AB7529">
        <v>30</v>
      </c>
      <c r="AC7529">
        <v>6.6800000000000595E-2</v>
      </c>
      <c r="AD7529">
        <v>-8.3842000000000194E-2</v>
      </c>
      <c r="AE7529">
        <v>0.51769999999999705</v>
      </c>
      <c r="AF7529">
        <v>7.6558134728100705E-2</v>
      </c>
      <c r="AG7529">
        <v>-8.3842000000000194E-2</v>
      </c>
      <c r="AH7529">
        <v>0.50307190630697696</v>
      </c>
      <c r="AI7529">
        <v>99.3561712680158</v>
      </c>
      <c r="AJ7529">
        <v>81.347044766017603</v>
      </c>
      <c r="AK7529">
        <v>0.51572470550903604</v>
      </c>
      <c r="AL7529">
        <v>69.408982732436897</v>
      </c>
      <c r="AM7529">
        <v>94.120315733977407</v>
      </c>
      <c r="AN7529">
        <v>1.00000002758371</v>
      </c>
    </row>
    <row r="7530" spans="1:40" x14ac:dyDescent="0.25">
      <c r="A7530" t="str">
        <f>"20190304165031013"</f>
        <v>20190304165031013</v>
      </c>
      <c r="B7530" t="str">
        <f>"1551689431003384"</f>
        <v>1551689431003384</v>
      </c>
      <c r="C7530" t="s">
        <v>40</v>
      </c>
      <c r="D7530">
        <v>4.5567960000000003</v>
      </c>
      <c r="E7530">
        <v>0.57999709999999904</v>
      </c>
      <c r="F7530" t="s">
        <v>41</v>
      </c>
      <c r="G7530">
        <v>-187.12100000000001</v>
      </c>
      <c r="H7530">
        <v>1.0242169999999999</v>
      </c>
      <c r="I7530">
        <v>58.071539999999999</v>
      </c>
      <c r="J7530">
        <v>-187.1866</v>
      </c>
      <c r="K7530">
        <v>1.1106</v>
      </c>
      <c r="L7530">
        <v>57.589689999999997</v>
      </c>
      <c r="M7530">
        <v>-2.2709130000000001E-2</v>
      </c>
      <c r="N7530">
        <v>-1.231897E-2</v>
      </c>
      <c r="O7530">
        <v>0.99966619999999995</v>
      </c>
      <c r="P7530">
        <v>-8.8333309999999998E-2</v>
      </c>
      <c r="Q7530">
        <v>0.33063819999999999</v>
      </c>
      <c r="R7530">
        <v>0.93961459999999997</v>
      </c>
      <c r="S7530">
        <v>0.25007629999999997</v>
      </c>
      <c r="T7530">
        <v>-0.36925409999999997</v>
      </c>
      <c r="U7530">
        <v>3.3625180000000001</v>
      </c>
      <c r="V7530">
        <v>-6.6969539999999994E-2</v>
      </c>
      <c r="W7530">
        <v>0.34221030000000002</v>
      </c>
      <c r="X7530">
        <v>0.93723380000000001</v>
      </c>
      <c r="Y7530">
        <v>9.6377560000000001E-2</v>
      </c>
      <c r="Z7530">
        <v>-9.6449699999999999E-2</v>
      </c>
      <c r="AA7530">
        <v>0.99066080000000001</v>
      </c>
      <c r="AB7530">
        <v>30</v>
      </c>
      <c r="AC7530">
        <v>6.5600000000017603E-2</v>
      </c>
      <c r="AD7530">
        <v>-8.6383000000000099E-2</v>
      </c>
      <c r="AE7530">
        <v>0.48184999999999401</v>
      </c>
      <c r="AF7530">
        <v>7.4185443377384003E-2</v>
      </c>
      <c r="AG7530">
        <v>-8.6383000000000099E-2</v>
      </c>
      <c r="AH7530">
        <v>0.465545961196485</v>
      </c>
      <c r="AI7530">
        <v>100.38369065208001</v>
      </c>
      <c r="AJ7530">
        <v>80.945956057417106</v>
      </c>
      <c r="AK7530">
        <v>0.47926876038863397</v>
      </c>
      <c r="AL7530">
        <v>69.988405217714103</v>
      </c>
      <c r="AM7530">
        <v>94.087092853355301</v>
      </c>
      <c r="AN7530">
        <v>1.0000000022881701</v>
      </c>
    </row>
    <row r="7531" spans="1:40" x14ac:dyDescent="0.25">
      <c r="A7531" t="str">
        <f>"20190304165031037"</f>
        <v>20190304165031037</v>
      </c>
      <c r="B7531" t="str">
        <f>"1551689431032665"</f>
        <v>1551689431032665</v>
      </c>
      <c r="C7531" t="s">
        <v>40</v>
      </c>
      <c r="D7531">
        <v>4.7774340000000004</v>
      </c>
      <c r="E7531">
        <v>0.57911880000000004</v>
      </c>
      <c r="F7531" t="s">
        <v>41</v>
      </c>
      <c r="G7531">
        <v>-187.13120000000001</v>
      </c>
      <c r="H7531">
        <v>1.021485</v>
      </c>
      <c r="I7531">
        <v>58.340449999999997</v>
      </c>
      <c r="J7531">
        <v>-187.19380000000001</v>
      </c>
      <c r="K7531">
        <v>1.1105700000000001</v>
      </c>
      <c r="L7531">
        <v>57.907870000000003</v>
      </c>
      <c r="M7531">
        <v>-2.2710310000000001E-2</v>
      </c>
      <c r="N7531">
        <v>-1.2471339999999999E-2</v>
      </c>
      <c r="O7531">
        <v>0.99966429999999995</v>
      </c>
      <c r="P7531">
        <v>-8.8136259999999994E-2</v>
      </c>
      <c r="Q7531">
        <v>0.32094339999999999</v>
      </c>
      <c r="R7531">
        <v>0.94298850000000001</v>
      </c>
      <c r="S7531">
        <v>0.24708559999999999</v>
      </c>
      <c r="T7531">
        <v>-0.39839289999999999</v>
      </c>
      <c r="U7531">
        <v>3.3562319999999999</v>
      </c>
      <c r="V7531">
        <v>-6.668723E-2</v>
      </c>
      <c r="W7531">
        <v>0.33270250000000001</v>
      </c>
      <c r="X7531">
        <v>0.94067100000000003</v>
      </c>
      <c r="Y7531">
        <v>9.5568769999999997E-2</v>
      </c>
      <c r="Z7531">
        <v>-0.1049987</v>
      </c>
      <c r="AA7531">
        <v>0.98986969999999996</v>
      </c>
      <c r="AB7531">
        <v>30</v>
      </c>
      <c r="AC7531">
        <v>6.2600000000003306E-2</v>
      </c>
      <c r="AD7531">
        <v>-8.9084999999999998E-2</v>
      </c>
      <c r="AE7531">
        <v>0.43258000000000102</v>
      </c>
      <c r="AF7531">
        <v>6.9520694095540403E-2</v>
      </c>
      <c r="AG7531">
        <v>-8.9084999999999998E-2</v>
      </c>
      <c r="AH7531">
        <v>0.41385476439676699</v>
      </c>
      <c r="AI7531">
        <v>101.984968592961</v>
      </c>
      <c r="AJ7531">
        <v>80.464294138898694</v>
      </c>
      <c r="AK7531">
        <v>0.42900469711464601</v>
      </c>
      <c r="AL7531">
        <v>70.567112140532998</v>
      </c>
      <c r="AM7531">
        <v>94.055099998211304</v>
      </c>
      <c r="AN7531">
        <v>1.00000003519616</v>
      </c>
    </row>
    <row r="7532" spans="1:40" x14ac:dyDescent="0.25">
      <c r="A7532" t="str">
        <f>"20190304165031057"</f>
        <v>20190304165031057</v>
      </c>
      <c r="B7532" t="str">
        <f>"1551689431053159"</f>
        <v>1551689431053159</v>
      </c>
      <c r="C7532" t="s">
        <v>40</v>
      </c>
      <c r="D7532">
        <v>4.5857900000000003</v>
      </c>
      <c r="E7532">
        <v>0.5756291</v>
      </c>
      <c r="F7532" t="s">
        <v>41</v>
      </c>
      <c r="G7532">
        <v>-187.1249</v>
      </c>
      <c r="H7532">
        <v>0.98838510000000002</v>
      </c>
      <c r="I7532">
        <v>58.864609999999999</v>
      </c>
      <c r="J7532">
        <v>-187.19980000000001</v>
      </c>
      <c r="K7532">
        <v>1.110587</v>
      </c>
      <c r="L7532">
        <v>58.1744699999999</v>
      </c>
      <c r="M7532">
        <v>-2.2705510000000002E-2</v>
      </c>
      <c r="N7532">
        <v>-1.260264E-2</v>
      </c>
      <c r="O7532">
        <v>0.99966279999999996</v>
      </c>
      <c r="P7532">
        <v>-8.6516019999999999E-2</v>
      </c>
      <c r="Q7532">
        <v>0.32244260000000002</v>
      </c>
      <c r="R7532">
        <v>0.94262699999999999</v>
      </c>
      <c r="S7532">
        <v>0.24081420000000001</v>
      </c>
      <c r="T7532">
        <v>-0.42778100000000002</v>
      </c>
      <c r="U7532">
        <v>3.3494869999999999</v>
      </c>
      <c r="V7532">
        <v>-6.5076350000000005E-2</v>
      </c>
      <c r="W7532">
        <v>0.33432079999999997</v>
      </c>
      <c r="X7532">
        <v>0.94020990000000004</v>
      </c>
      <c r="Y7532">
        <v>9.3792959999999995E-2</v>
      </c>
      <c r="Z7532">
        <v>-0.11367620000000001</v>
      </c>
      <c r="AA7532">
        <v>0.98908070000000003</v>
      </c>
      <c r="AB7532">
        <v>30</v>
      </c>
      <c r="AC7532">
        <v>7.4900000000013706E-2</v>
      </c>
      <c r="AD7532">
        <v>-0.122201899999999</v>
      </c>
      <c r="AE7532">
        <v>0.69014000000000597</v>
      </c>
      <c r="AF7532">
        <v>8.7830213529985393E-2</v>
      </c>
      <c r="AG7532">
        <v>-0.122201899999999</v>
      </c>
      <c r="AH7532">
        <v>0.66757435879406002</v>
      </c>
      <c r="AI7532">
        <v>100.28662111411801</v>
      </c>
      <c r="AJ7532">
        <v>82.504860983316703</v>
      </c>
      <c r="AK7532">
        <v>0.68432665832308004</v>
      </c>
      <c r="AL7532">
        <v>70.468758400398301</v>
      </c>
      <c r="AM7532">
        <v>93.959395754665707</v>
      </c>
      <c r="AN7532">
        <v>0.99999999234998604</v>
      </c>
    </row>
    <row r="7533" spans="1:40" x14ac:dyDescent="0.25">
      <c r="A7533" t="str">
        <f>"20190304165031079"</f>
        <v>20190304165031079</v>
      </c>
      <c r="B7533" t="str">
        <f>"1551689431072680"</f>
        <v>1551689431072680</v>
      </c>
      <c r="C7533" t="s">
        <v>40</v>
      </c>
      <c r="D7533">
        <v>4.6628939999999997</v>
      </c>
      <c r="E7533">
        <v>0.57350669999999904</v>
      </c>
      <c r="F7533" t="s">
        <v>41</v>
      </c>
      <c r="G7533">
        <v>-187.1283</v>
      </c>
      <c r="H7533">
        <v>1.042756</v>
      </c>
      <c r="I7533">
        <v>59.161090000000002</v>
      </c>
      <c r="J7533">
        <v>-187.20689999999999</v>
      </c>
      <c r="K7533">
        <v>1.1106370000000001</v>
      </c>
      <c r="L7533">
        <v>58.485599999999998</v>
      </c>
      <c r="M7533">
        <v>-2.269763E-2</v>
      </c>
      <c r="N7533">
        <v>-1.2754049999999999E-2</v>
      </c>
      <c r="O7533">
        <v>0.99966100000000002</v>
      </c>
      <c r="P7533">
        <v>-8.2988149999999997E-2</v>
      </c>
      <c r="Q7533">
        <v>0.33216859999999998</v>
      </c>
      <c r="R7533">
        <v>0.93956209999999996</v>
      </c>
      <c r="S7533">
        <v>0.2375641</v>
      </c>
      <c r="T7533">
        <v>-0.22562769999999999</v>
      </c>
      <c r="U7533">
        <v>3.2815859999999999</v>
      </c>
      <c r="V7533">
        <v>-6.1623940000000002E-2</v>
      </c>
      <c r="W7533">
        <v>0.34414830000000002</v>
      </c>
      <c r="X7533">
        <v>0.93689080000000002</v>
      </c>
      <c r="Y7533">
        <v>9.4664910000000005E-2</v>
      </c>
      <c r="Z7533">
        <v>-5.5584139999999997E-2</v>
      </c>
      <c r="AA7533">
        <v>0.99395619999999996</v>
      </c>
      <c r="AB7533">
        <v>30</v>
      </c>
      <c r="AC7533">
        <v>7.8599999999994397E-2</v>
      </c>
      <c r="AD7533">
        <v>-6.7880999999999997E-2</v>
      </c>
      <c r="AE7533">
        <v>0.67549000000000303</v>
      </c>
      <c r="AF7533">
        <v>9.2986532936256097E-2</v>
      </c>
      <c r="AG7533">
        <v>-6.7880999999999997E-2</v>
      </c>
      <c r="AH7533">
        <v>0.66688714897813794</v>
      </c>
      <c r="AI7533">
        <v>95.75668513862</v>
      </c>
      <c r="AJ7533">
        <v>82.062215768595607</v>
      </c>
      <c r="AK7533">
        <v>0.67675164938158405</v>
      </c>
      <c r="AL7533">
        <v>69.870185792633293</v>
      </c>
      <c r="AM7533">
        <v>93.763205968071105</v>
      </c>
      <c r="AN7533">
        <v>0.99999996674932601</v>
      </c>
    </row>
    <row r="7534" spans="1:40" x14ac:dyDescent="0.25">
      <c r="A7534" t="str">
        <f>"20190304165031101"</f>
        <v>20190304165031101</v>
      </c>
      <c r="B7534" t="str">
        <f>"1551689431093176"</f>
        <v>1551689431093176</v>
      </c>
      <c r="C7534" t="s">
        <v>40</v>
      </c>
      <c r="D7534">
        <v>4.659173</v>
      </c>
      <c r="E7534">
        <v>0.57279290000000005</v>
      </c>
      <c r="F7534" t="s">
        <v>41</v>
      </c>
      <c r="G7534">
        <v>-187.14259999999999</v>
      </c>
      <c r="H7534">
        <v>1.033229</v>
      </c>
      <c r="I7534">
        <v>59.425449999999998</v>
      </c>
      <c r="J7534">
        <v>-187.21379999999999</v>
      </c>
      <c r="K7534">
        <v>1.1106849999999999</v>
      </c>
      <c r="L7534">
        <v>58.789149999999999</v>
      </c>
      <c r="M7534">
        <v>-2.2690720000000001E-2</v>
      </c>
      <c r="N7534">
        <v>-1.2901869999999999E-2</v>
      </c>
      <c r="O7534">
        <v>0.99965930000000003</v>
      </c>
      <c r="P7534">
        <v>-8.0200030000000005E-2</v>
      </c>
      <c r="Q7534">
        <v>0.33777479999999999</v>
      </c>
      <c r="R7534">
        <v>0.93780390000000002</v>
      </c>
      <c r="S7534">
        <v>0.2257538</v>
      </c>
      <c r="T7534">
        <v>-0.2725862</v>
      </c>
      <c r="U7534">
        <v>3.3092959999999998</v>
      </c>
      <c r="V7534">
        <v>-5.8882570000000002E-2</v>
      </c>
      <c r="W7534">
        <v>0.34986899999999999</v>
      </c>
      <c r="X7534">
        <v>0.93494619999999995</v>
      </c>
      <c r="Y7534">
        <v>9.0464859999999994E-2</v>
      </c>
      <c r="Z7534">
        <v>-6.8922239999999996E-2</v>
      </c>
      <c r="AA7534">
        <v>0.9935119</v>
      </c>
      <c r="AB7534">
        <v>30</v>
      </c>
      <c r="AC7534">
        <v>7.1200000000004496E-2</v>
      </c>
      <c r="AD7534">
        <v>-7.74559999999999E-2</v>
      </c>
      <c r="AE7534">
        <v>0.63629999999999798</v>
      </c>
      <c r="AF7534">
        <v>8.4386012321485807E-2</v>
      </c>
      <c r="AG7534">
        <v>-7.74559999999999E-2</v>
      </c>
      <c r="AH7534">
        <v>0.62536838624153601</v>
      </c>
      <c r="AI7534">
        <v>96.997719417723005</v>
      </c>
      <c r="AJ7534">
        <v>82.315036243848496</v>
      </c>
      <c r="AK7534">
        <v>0.63577201064679201</v>
      </c>
      <c r="AL7534">
        <v>69.520695839768806</v>
      </c>
      <c r="AM7534">
        <v>93.603707660864302</v>
      </c>
      <c r="AN7534">
        <v>0.99999993555262001</v>
      </c>
    </row>
    <row r="7535" spans="1:40" x14ac:dyDescent="0.25">
      <c r="A7535" t="str">
        <f>"20190304165031126"</f>
        <v>20190304165031126</v>
      </c>
      <c r="B7535" t="str">
        <f>"1551689431123432"</f>
        <v>1551689431123432</v>
      </c>
      <c r="C7535" t="s">
        <v>40</v>
      </c>
      <c r="D7535">
        <v>4.6791130000000001</v>
      </c>
      <c r="E7535">
        <v>0.57211119999999904</v>
      </c>
      <c r="F7535" t="s">
        <v>41</v>
      </c>
      <c r="G7535">
        <v>-187.1516</v>
      </c>
      <c r="H7535">
        <v>1.0360309999999999</v>
      </c>
      <c r="I7535">
        <v>59.695720000000001</v>
      </c>
      <c r="J7535">
        <v>-187.22120000000001</v>
      </c>
      <c r="K7535">
        <v>1.1107180000000001</v>
      </c>
      <c r="L7535">
        <v>59.11609</v>
      </c>
      <c r="M7535">
        <v>-2.2685730000000001E-2</v>
      </c>
      <c r="N7535">
        <v>-1.305574E-2</v>
      </c>
      <c r="O7535">
        <v>0.99965740000000003</v>
      </c>
      <c r="P7535">
        <v>-7.8175750000000002E-2</v>
      </c>
      <c r="Q7535">
        <v>0.33883410000000003</v>
      </c>
      <c r="R7535">
        <v>0.93759269999999995</v>
      </c>
      <c r="S7535">
        <v>0.227356</v>
      </c>
      <c r="T7535">
        <v>-0.27313379999999998</v>
      </c>
      <c r="U7535">
        <v>3.3167719999999998</v>
      </c>
      <c r="V7535">
        <v>-5.6868160000000001E-2</v>
      </c>
      <c r="W7535">
        <v>0.35106900000000002</v>
      </c>
      <c r="X7535">
        <v>0.93462109999999998</v>
      </c>
      <c r="Y7535">
        <v>9.078543E-2</v>
      </c>
      <c r="Z7535">
        <v>-6.8746139999999997E-2</v>
      </c>
      <c r="AA7535">
        <v>0.99349480000000001</v>
      </c>
      <c r="AB7535">
        <v>30</v>
      </c>
      <c r="AC7535">
        <v>6.9600000000008294E-2</v>
      </c>
      <c r="AD7535">
        <v>-7.4687000000000101E-2</v>
      </c>
      <c r="AE7535">
        <v>0.57962999999999398</v>
      </c>
      <c r="AF7535">
        <v>8.1400251074181001E-2</v>
      </c>
      <c r="AG7535">
        <v>-7.4687000000000101E-2</v>
      </c>
      <c r="AH7535">
        <v>0.56859549494518202</v>
      </c>
      <c r="AI7535">
        <v>97.408478109743797</v>
      </c>
      <c r="AJ7535">
        <v>81.852881129003904</v>
      </c>
      <c r="AK7535">
        <v>0.57922792207894902</v>
      </c>
      <c r="AL7535">
        <v>69.447286461800701</v>
      </c>
      <c r="AM7535">
        <v>93.481938757085899</v>
      </c>
      <c r="AN7535">
        <v>1.0000000154739901</v>
      </c>
    </row>
    <row r="7536" spans="1:40" x14ac:dyDescent="0.25">
      <c r="A7536" t="str">
        <f>"20190304165031147"</f>
        <v>20190304165031147</v>
      </c>
      <c r="B7536" t="str">
        <f>"1551689431142952"</f>
        <v>1551689431142952</v>
      </c>
      <c r="C7536" t="s">
        <v>40</v>
      </c>
      <c r="D7536">
        <v>4.6109609999999996</v>
      </c>
      <c r="E7536">
        <v>0.5719436</v>
      </c>
      <c r="F7536" t="s">
        <v>41</v>
      </c>
      <c r="G7536">
        <v>-187.16300000000001</v>
      </c>
      <c r="H7536">
        <v>1.0375449999999999</v>
      </c>
      <c r="I7536">
        <v>59.964979999999997</v>
      </c>
      <c r="J7536">
        <v>-187.22739999999999</v>
      </c>
      <c r="K7536">
        <v>1.1107359999999999</v>
      </c>
      <c r="L7536">
        <v>59.393369999999997</v>
      </c>
      <c r="M7536">
        <v>-2.268351E-2</v>
      </c>
      <c r="N7536">
        <v>-1.3180799999999999E-2</v>
      </c>
      <c r="O7536">
        <v>0.99965579999999998</v>
      </c>
      <c r="P7536">
        <v>-7.7328060000000004E-2</v>
      </c>
      <c r="Q7536">
        <v>0.33907290000000001</v>
      </c>
      <c r="R7536">
        <v>0.93757670000000004</v>
      </c>
      <c r="S7536">
        <v>0.22692870000000001</v>
      </c>
      <c r="T7536">
        <v>-0.28639779999999998</v>
      </c>
      <c r="U7536">
        <v>3.3221129999999999</v>
      </c>
      <c r="V7536">
        <v>-5.6023219999999999E-2</v>
      </c>
      <c r="W7536">
        <v>0.35142390000000001</v>
      </c>
      <c r="X7536">
        <v>0.93453869999999895</v>
      </c>
      <c r="Y7536">
        <v>9.0526560000000006E-2</v>
      </c>
      <c r="Z7536">
        <v>-7.2432679999999999E-2</v>
      </c>
      <c r="AA7536">
        <v>0.99325649999999999</v>
      </c>
      <c r="AB7536">
        <v>30</v>
      </c>
      <c r="AC7536">
        <v>6.4400000000006202E-2</v>
      </c>
      <c r="AD7536">
        <v>-7.3190999999999895E-2</v>
      </c>
      <c r="AE7536">
        <v>0.57161000000000595</v>
      </c>
      <c r="AF7536">
        <v>7.6118344042121394E-2</v>
      </c>
      <c r="AG7536">
        <v>-7.3190999999999895E-2</v>
      </c>
      <c r="AH7536">
        <v>0.560920832502811</v>
      </c>
      <c r="AI7536">
        <v>97.367386867344706</v>
      </c>
      <c r="AJ7536">
        <v>82.272027591920207</v>
      </c>
      <c r="AK7536">
        <v>0.57077412793184701</v>
      </c>
      <c r="AL7536">
        <v>69.425567406700196</v>
      </c>
      <c r="AM7536">
        <v>93.4306307493963</v>
      </c>
      <c r="AN7536">
        <v>0.99999997023403298</v>
      </c>
    </row>
    <row r="7537" spans="1:40" x14ac:dyDescent="0.25">
      <c r="A7537" t="str">
        <f>"20190304165031168"</f>
        <v>20190304165031168</v>
      </c>
      <c r="B7537" t="str">
        <f>"1551689431163448"</f>
        <v>1551689431163448</v>
      </c>
      <c r="C7537" t="s">
        <v>40</v>
      </c>
      <c r="D7537">
        <v>4.6468829999999999</v>
      </c>
      <c r="E7537">
        <v>0.57167919999999905</v>
      </c>
      <c r="F7537" t="s">
        <v>41</v>
      </c>
      <c r="G7537">
        <v>-187.1703</v>
      </c>
      <c r="H7537">
        <v>1.0368949999999999</v>
      </c>
      <c r="I7537">
        <v>60.232950000000002</v>
      </c>
      <c r="J7537">
        <v>-187.23390000000001</v>
      </c>
      <c r="K7537">
        <v>1.110754</v>
      </c>
      <c r="L7537">
        <v>59.677430000000001</v>
      </c>
      <c r="M7537">
        <v>-2.2682609999999999E-2</v>
      </c>
      <c r="N7537">
        <v>-1.3301139999999999E-2</v>
      </c>
      <c r="O7537">
        <v>0.99965420000000005</v>
      </c>
      <c r="P7537">
        <v>-7.7059600000000006E-2</v>
      </c>
      <c r="Q7537">
        <v>0.33972619999999998</v>
      </c>
      <c r="R7537">
        <v>0.93736229999999998</v>
      </c>
      <c r="S7537">
        <v>0.2259369</v>
      </c>
      <c r="T7537">
        <v>-0.29237160000000001</v>
      </c>
      <c r="U7537">
        <v>3.3240970000000001</v>
      </c>
      <c r="V7537">
        <v>-5.5761039999999998E-2</v>
      </c>
      <c r="W7537">
        <v>0.35218680000000002</v>
      </c>
      <c r="X7537">
        <v>0.93426719999999996</v>
      </c>
      <c r="Y7537">
        <v>9.0180990000000003E-2</v>
      </c>
      <c r="Z7537">
        <v>-7.4036669999999999E-2</v>
      </c>
      <c r="AA7537">
        <v>0.99316970000000004</v>
      </c>
      <c r="AB7537">
        <v>30</v>
      </c>
      <c r="AC7537">
        <v>6.3600000000008095E-2</v>
      </c>
      <c r="AD7537">
        <v>-7.3858999999999897E-2</v>
      </c>
      <c r="AE7537">
        <v>0.55551999999999402</v>
      </c>
      <c r="AF7537">
        <v>7.4878886697665195E-2</v>
      </c>
      <c r="AG7537">
        <v>-7.3858999999999897E-2</v>
      </c>
      <c r="AH7537">
        <v>0.54443486884290604</v>
      </c>
      <c r="AI7537">
        <v>97.654492291619107</v>
      </c>
      <c r="AJ7537">
        <v>82.168951534412898</v>
      </c>
      <c r="AK7537">
        <v>0.55450097021202305</v>
      </c>
      <c r="AL7537">
        <v>69.378872358057194</v>
      </c>
      <c r="AM7537">
        <v>93.415603950153596</v>
      </c>
      <c r="AN7537">
        <v>1.0000000183359801</v>
      </c>
    </row>
    <row r="7538" spans="1:40" x14ac:dyDescent="0.25">
      <c r="A7538" t="str">
        <f>"20190304165031192"</f>
        <v>20190304165031192</v>
      </c>
      <c r="B7538" t="str">
        <f>"1551689431182968"</f>
        <v>1551689431182968</v>
      </c>
      <c r="C7538" t="s">
        <v>40</v>
      </c>
      <c r="D7538">
        <v>4.6800420000000003</v>
      </c>
      <c r="E7538">
        <v>0.57165299999999997</v>
      </c>
      <c r="F7538" t="s">
        <v>41</v>
      </c>
      <c r="G7538">
        <v>-187.1789</v>
      </c>
      <c r="H7538">
        <v>1.0370250000000001</v>
      </c>
      <c r="I7538">
        <v>60.50094</v>
      </c>
      <c r="J7538">
        <v>-187.24119999999999</v>
      </c>
      <c r="K7538">
        <v>1.11076</v>
      </c>
      <c r="L7538">
        <v>59.998840000000001</v>
      </c>
      <c r="M7538">
        <v>-2.268247E-2</v>
      </c>
      <c r="N7538">
        <v>-1.3425100000000001E-2</v>
      </c>
      <c r="O7538">
        <v>0.9996526</v>
      </c>
      <c r="P7538">
        <v>-7.6434249999999995E-2</v>
      </c>
      <c r="Q7538">
        <v>0.33933370000000002</v>
      </c>
      <c r="R7538">
        <v>0.93755560000000004</v>
      </c>
      <c r="S7538">
        <v>0.2214661</v>
      </c>
      <c r="T7538">
        <v>-0.29785869999999998</v>
      </c>
      <c r="U7538">
        <v>3.3266300000000002</v>
      </c>
      <c r="V7538">
        <v>-5.513183E-2</v>
      </c>
      <c r="W7538">
        <v>0.35191230000000001</v>
      </c>
      <c r="X7538">
        <v>0.93440789999999996</v>
      </c>
      <c r="Y7538">
        <v>8.8793010000000006E-2</v>
      </c>
      <c r="Z7538">
        <v>-7.5482960000000002E-2</v>
      </c>
      <c r="AA7538">
        <v>0.99318580000000001</v>
      </c>
      <c r="AB7538">
        <v>30</v>
      </c>
      <c r="AC7538">
        <v>6.2299999999993298E-2</v>
      </c>
      <c r="AD7538">
        <v>-7.3734999999999801E-2</v>
      </c>
      <c r="AE7538">
        <v>0.50209999999999799</v>
      </c>
      <c r="AF7538">
        <v>7.2141654788314996E-2</v>
      </c>
      <c r="AG7538">
        <v>-7.3734999999999801E-2</v>
      </c>
      <c r="AH7538">
        <v>0.49014736864807401</v>
      </c>
      <c r="AI7538">
        <v>98.465245154291296</v>
      </c>
      <c r="AJ7538">
        <v>81.627116111848906</v>
      </c>
      <c r="AK7538">
        <v>0.50088492847482202</v>
      </c>
      <c r="AL7538">
        <v>69.395674408085299</v>
      </c>
      <c r="AM7538">
        <v>93.376644496573306</v>
      </c>
      <c r="AN7538">
        <v>0.99999995457642299</v>
      </c>
    </row>
    <row r="7539" spans="1:40" x14ac:dyDescent="0.25">
      <c r="A7539" t="str">
        <f>"20190304165031214"</f>
        <v>20190304165031214</v>
      </c>
      <c r="B7539" t="str">
        <f>"1551689431202488"</f>
        <v>1551689431202488</v>
      </c>
      <c r="C7539" t="s">
        <v>40</v>
      </c>
      <c r="D7539">
        <v>4.5859889999999996</v>
      </c>
      <c r="E7539">
        <v>0.57198040000000006</v>
      </c>
      <c r="F7539" t="s">
        <v>41</v>
      </c>
      <c r="G7539">
        <v>-187.1901</v>
      </c>
      <c r="H7539">
        <v>1.040726</v>
      </c>
      <c r="I7539">
        <v>60.770310000000002</v>
      </c>
      <c r="J7539">
        <v>-187.24770000000001</v>
      </c>
      <c r="K7539">
        <v>1.1107530000000001</v>
      </c>
      <c r="L7539">
        <v>60.287140000000001</v>
      </c>
      <c r="M7539">
        <v>-2.2682609999999999E-2</v>
      </c>
      <c r="N7539">
        <v>-1.3524069999999999E-2</v>
      </c>
      <c r="O7539">
        <v>0.99965130000000002</v>
      </c>
      <c r="P7539">
        <v>-7.6399250000000002E-2</v>
      </c>
      <c r="Q7539">
        <v>0.33749020000000002</v>
      </c>
      <c r="R7539">
        <v>0.93822360000000005</v>
      </c>
      <c r="S7539">
        <v>0.22016910000000001</v>
      </c>
      <c r="T7539">
        <v>-0.302037099999999</v>
      </c>
      <c r="U7539">
        <v>3.3270870000000001</v>
      </c>
      <c r="V7539">
        <v>-5.5081560000000002E-2</v>
      </c>
      <c r="W7539">
        <v>0.35017039999999999</v>
      </c>
      <c r="X7539">
        <v>0.93506509999999998</v>
      </c>
      <c r="Y7539">
        <v>8.839197E-2</v>
      </c>
      <c r="Z7539">
        <v>-7.6612739999999999E-2</v>
      </c>
      <c r="AA7539">
        <v>0.99313510000000005</v>
      </c>
      <c r="AB7539">
        <v>30</v>
      </c>
      <c r="AC7539">
        <v>5.7600000000007798E-2</v>
      </c>
      <c r="AD7539">
        <v>-7.0027000000000006E-2</v>
      </c>
      <c r="AE7539">
        <v>0.48316999999999399</v>
      </c>
      <c r="AF7539">
        <v>6.7154886654265694E-2</v>
      </c>
      <c r="AG7539">
        <v>-7.0027000000000006E-2</v>
      </c>
      <c r="AH7539">
        <v>0.47196414580928198</v>
      </c>
      <c r="AI7539">
        <v>98.356642621743205</v>
      </c>
      <c r="AJ7539">
        <v>81.9018512628504</v>
      </c>
      <c r="AK7539">
        <v>0.48183370000450598</v>
      </c>
      <c r="AL7539">
        <v>69.502262414359294</v>
      </c>
      <c r="AM7539">
        <v>93.371207130436304</v>
      </c>
      <c r="AN7539">
        <v>1.0000000142631</v>
      </c>
    </row>
    <row r="7540" spans="1:40" x14ac:dyDescent="0.25">
      <c r="A7540" t="str">
        <f>"20190304165031234"</f>
        <v>20190304165031234</v>
      </c>
      <c r="B7540" t="str">
        <f>"1551689431222983"</f>
        <v>1551689431222983</v>
      </c>
      <c r="C7540" t="s">
        <v>40</v>
      </c>
      <c r="D7540">
        <v>4.5857700000000001</v>
      </c>
      <c r="E7540">
        <v>0.57204699999999997</v>
      </c>
      <c r="F7540" t="s">
        <v>41</v>
      </c>
      <c r="G7540">
        <v>-187.19739999999999</v>
      </c>
      <c r="H7540">
        <v>1.0415319999999999</v>
      </c>
      <c r="I7540">
        <v>61.038040000000002</v>
      </c>
      <c r="J7540">
        <v>-187.25399999999999</v>
      </c>
      <c r="K7540">
        <v>1.110746</v>
      </c>
      <c r="L7540">
        <v>60.564239999999998</v>
      </c>
      <c r="M7540">
        <v>-2.2682810000000001E-2</v>
      </c>
      <c r="N7540">
        <v>-1.360897E-2</v>
      </c>
      <c r="O7540">
        <v>0.99965009999999999</v>
      </c>
      <c r="P7540">
        <v>-7.6984990000000003E-2</v>
      </c>
      <c r="Q7540">
        <v>0.33615420000000001</v>
      </c>
      <c r="R7540">
        <v>0.93865529999999997</v>
      </c>
      <c r="S7540">
        <v>0.2219238</v>
      </c>
      <c r="T7540">
        <v>-0.30661310000000003</v>
      </c>
      <c r="U7540">
        <v>3.3258969999999999</v>
      </c>
      <c r="V7540">
        <v>-5.5657690000000003E-2</v>
      </c>
      <c r="W7540">
        <v>0.34892000000000001</v>
      </c>
      <c r="X7540">
        <v>0.9354983</v>
      </c>
      <c r="Y7540">
        <v>8.8928900000000005E-2</v>
      </c>
      <c r="Z7540">
        <v>-7.7911800000000003E-2</v>
      </c>
      <c r="AA7540">
        <v>0.99298609999999998</v>
      </c>
      <c r="AB7540">
        <v>30</v>
      </c>
      <c r="AC7540">
        <v>5.66000000000315E-2</v>
      </c>
      <c r="AD7540">
        <v>-6.9214000000000095E-2</v>
      </c>
      <c r="AE7540">
        <v>0.473799999999997</v>
      </c>
      <c r="AF7540">
        <v>6.5946046248303802E-2</v>
      </c>
      <c r="AG7540">
        <v>-6.9214000000000095E-2</v>
      </c>
      <c r="AH7540">
        <v>0.462659786752118</v>
      </c>
      <c r="AI7540">
        <v>98.424453699067797</v>
      </c>
      <c r="AJ7540">
        <v>81.887885568060995</v>
      </c>
      <c r="AK7540">
        <v>0.472433632470529</v>
      </c>
      <c r="AL7540">
        <v>69.578728434492206</v>
      </c>
      <c r="AM7540">
        <v>93.404812259596994</v>
      </c>
      <c r="AN7540">
        <v>1.0000000070795101</v>
      </c>
    </row>
    <row r="7541" spans="1:40" x14ac:dyDescent="0.25">
      <c r="A7541" t="str">
        <f>"20190304165031259"</f>
        <v>20190304165031259</v>
      </c>
      <c r="B7541" t="str">
        <f>"1551689431253240"</f>
        <v>1551689431253240</v>
      </c>
      <c r="C7541" t="s">
        <v>40</v>
      </c>
      <c r="D7541">
        <v>4.6040720000000004</v>
      </c>
      <c r="E7541">
        <v>0.57221499999999903</v>
      </c>
      <c r="F7541" t="s">
        <v>41</v>
      </c>
      <c r="G7541">
        <v>-187.20439999999999</v>
      </c>
      <c r="H7541">
        <v>1.041555</v>
      </c>
      <c r="I7541">
        <v>61.305059999999997</v>
      </c>
      <c r="J7541">
        <v>-187.2611</v>
      </c>
      <c r="K7541">
        <v>1.110749</v>
      </c>
      <c r="L7541">
        <v>60.878509999999999</v>
      </c>
      <c r="M7541">
        <v>-2.268309E-2</v>
      </c>
      <c r="N7541">
        <v>-1.3693510000000001E-2</v>
      </c>
      <c r="O7541">
        <v>0.99964889999999995</v>
      </c>
      <c r="P7541">
        <v>-7.6368690000000003E-2</v>
      </c>
      <c r="Q7541">
        <v>0.33641310000000002</v>
      </c>
      <c r="R7541">
        <v>0.93861280000000002</v>
      </c>
      <c r="S7541">
        <v>0.2219238</v>
      </c>
      <c r="T7541">
        <v>-0.31060490000000002</v>
      </c>
      <c r="U7541">
        <v>3.3254999999999999</v>
      </c>
      <c r="V7541">
        <v>-5.5042279999999999E-2</v>
      </c>
      <c r="W7541">
        <v>0.3492574</v>
      </c>
      <c r="X7541">
        <v>0.93540880000000004</v>
      </c>
      <c r="Y7541">
        <v>8.893007E-2</v>
      </c>
      <c r="Z7541">
        <v>-7.9020599999999996E-2</v>
      </c>
      <c r="AA7541">
        <v>0.99289839999999996</v>
      </c>
      <c r="AB7541">
        <v>30</v>
      </c>
      <c r="AC7541">
        <v>5.6700000000006398E-2</v>
      </c>
      <c r="AD7541">
        <v>-6.9193999999999894E-2</v>
      </c>
      <c r="AE7541">
        <v>0.42654999999999799</v>
      </c>
      <c r="AF7541">
        <v>6.4689076305312995E-2</v>
      </c>
      <c r="AG7541">
        <v>-6.9193999999999894E-2</v>
      </c>
      <c r="AH7541">
        <v>0.41443756901336398</v>
      </c>
      <c r="AI7541">
        <v>99.367229768748103</v>
      </c>
      <c r="AJ7541">
        <v>81.1283552147557</v>
      </c>
      <c r="AK7541">
        <v>0.42512466976046198</v>
      </c>
      <c r="AL7541">
        <v>69.558098961854995</v>
      </c>
      <c r="AM7541">
        <v>93.367573617547293</v>
      </c>
      <c r="AN7541">
        <v>1.0000000035798899</v>
      </c>
    </row>
    <row r="7542" spans="1:40" x14ac:dyDescent="0.25">
      <c r="A7542" t="str">
        <f>"20190304165031280"</f>
        <v>20190304165031280</v>
      </c>
      <c r="B7542" t="str">
        <f>"1551689431272760"</f>
        <v>1551689431272760</v>
      </c>
      <c r="C7542" t="s">
        <v>40</v>
      </c>
      <c r="D7542">
        <v>4.6190569999999997</v>
      </c>
      <c r="E7542">
        <v>0.57231889999999996</v>
      </c>
      <c r="F7542" t="s">
        <v>41</v>
      </c>
      <c r="G7542">
        <v>-187.1962</v>
      </c>
      <c r="H7542">
        <v>1.0248740000000001</v>
      </c>
      <c r="I7542">
        <v>61.830419999999997</v>
      </c>
      <c r="J7542">
        <v>-187.26779999999999</v>
      </c>
      <c r="K7542">
        <v>1.1107610000000001</v>
      </c>
      <c r="L7542">
        <v>61.173000000000002</v>
      </c>
      <c r="M7542">
        <v>-2.2683370000000001E-2</v>
      </c>
      <c r="N7542">
        <v>-1.3762969999999999E-2</v>
      </c>
      <c r="O7542">
        <v>0.99964799999999998</v>
      </c>
      <c r="P7542">
        <v>-7.5134229999999996E-2</v>
      </c>
      <c r="Q7542">
        <v>0.33705740000000001</v>
      </c>
      <c r="R7542">
        <v>0.93848129999999996</v>
      </c>
      <c r="S7542">
        <v>0.22650149999999999</v>
      </c>
      <c r="T7542">
        <v>-0.29969980000000002</v>
      </c>
      <c r="U7542">
        <v>3.3220519999999998</v>
      </c>
      <c r="V7542">
        <v>-5.3811629999999999E-2</v>
      </c>
      <c r="W7542">
        <v>0.349964099999999</v>
      </c>
      <c r="X7542">
        <v>0.93521620000000005</v>
      </c>
      <c r="Y7542">
        <v>9.0378280000000005E-2</v>
      </c>
      <c r="Z7542">
        <v>-7.5802240000000007E-2</v>
      </c>
      <c r="AA7542">
        <v>0.99301850000000003</v>
      </c>
      <c r="AB7542">
        <v>30</v>
      </c>
      <c r="AC7542">
        <v>7.1599999999989394E-2</v>
      </c>
      <c r="AD7542">
        <v>-8.5887000000000005E-2</v>
      </c>
      <c r="AE7542">
        <v>0.65741999999999401</v>
      </c>
      <c r="AF7542">
        <v>8.5060734027861407E-2</v>
      </c>
      <c r="AG7542">
        <v>-8.5887000000000005E-2</v>
      </c>
      <c r="AH7542">
        <v>0.64475125740302097</v>
      </c>
      <c r="AI7542">
        <v>97.523240457440494</v>
      </c>
      <c r="AJ7542">
        <v>82.484485221733095</v>
      </c>
      <c r="AK7542">
        <v>0.65598482388324697</v>
      </c>
      <c r="AL7542">
        <v>69.514879641076206</v>
      </c>
      <c r="AM7542">
        <v>93.293124596147194</v>
      </c>
      <c r="AN7542">
        <v>0.99999995177725198</v>
      </c>
    </row>
    <row r="7543" spans="1:40" x14ac:dyDescent="0.25">
      <c r="A7543" t="str">
        <f>"20190304165031303"</f>
        <v>20190304165031303</v>
      </c>
      <c r="B7543" t="str">
        <f>"1551689431293272"</f>
        <v>1551689431293272</v>
      </c>
      <c r="C7543" t="s">
        <v>40</v>
      </c>
      <c r="D7543">
        <v>4.6316230000000003</v>
      </c>
      <c r="E7543">
        <v>0.57252899999999995</v>
      </c>
      <c r="F7543" t="s">
        <v>41</v>
      </c>
      <c r="G7543">
        <v>-187.203</v>
      </c>
      <c r="H7543">
        <v>1.02972</v>
      </c>
      <c r="I7543">
        <v>62.098849999999999</v>
      </c>
      <c r="J7543">
        <v>-187.2747</v>
      </c>
      <c r="K7543">
        <v>1.1107720000000001</v>
      </c>
      <c r="L7543">
        <v>61.478879999999997</v>
      </c>
      <c r="M7543">
        <v>-2.2683640000000001E-2</v>
      </c>
      <c r="N7543">
        <v>-1.382572E-2</v>
      </c>
      <c r="O7543">
        <v>0.99964710000000001</v>
      </c>
      <c r="P7543">
        <v>-7.4000919999999998E-2</v>
      </c>
      <c r="Q7543">
        <v>0.33725719999999998</v>
      </c>
      <c r="R7543">
        <v>0.93849959999999999</v>
      </c>
      <c r="S7543">
        <v>0.23156740000000001</v>
      </c>
      <c r="T7543">
        <v>-0.2905973</v>
      </c>
      <c r="U7543">
        <v>3.31955</v>
      </c>
      <c r="V7543">
        <v>-5.2677929999999998E-2</v>
      </c>
      <c r="W7543">
        <v>0.35022229999999999</v>
      </c>
      <c r="X7543">
        <v>0.93518409999999996</v>
      </c>
      <c r="Y7543">
        <v>9.1951820000000004E-2</v>
      </c>
      <c r="Z7543">
        <v>-7.3092130000000005E-2</v>
      </c>
      <c r="AA7543">
        <v>0.99307719999999999</v>
      </c>
      <c r="AB7543">
        <v>30</v>
      </c>
      <c r="AC7543">
        <v>7.16999999999927E-2</v>
      </c>
      <c r="AD7543">
        <v>-8.1051999999999902E-2</v>
      </c>
      <c r="AE7543">
        <v>0.61996999999999503</v>
      </c>
      <c r="AF7543">
        <v>8.4323849503137704E-2</v>
      </c>
      <c r="AG7543">
        <v>-8.1051999999999902E-2</v>
      </c>
      <c r="AH7543">
        <v>0.607930430218517</v>
      </c>
      <c r="AI7543">
        <v>97.522956768556796</v>
      </c>
      <c r="AJ7543">
        <v>82.103094770856302</v>
      </c>
      <c r="AK7543">
        <v>0.61907943455157599</v>
      </c>
      <c r="AL7543">
        <v>69.499086617780193</v>
      </c>
      <c r="AM7543">
        <v>93.224003597569094</v>
      </c>
      <c r="AN7543">
        <v>0.99999996230959098</v>
      </c>
    </row>
    <row r="7544" spans="1:40" x14ac:dyDescent="0.25">
      <c r="A7544" t="str">
        <f>"20190304165031325"</f>
        <v>20190304165031325</v>
      </c>
      <c r="B7544" t="str">
        <f>"1551689431312785"</f>
        <v>1551689431312785</v>
      </c>
      <c r="C7544" t="s">
        <v>40</v>
      </c>
      <c r="D7544">
        <v>4.6093120000000001</v>
      </c>
      <c r="E7544">
        <v>0.57269009999999998</v>
      </c>
      <c r="F7544" t="s">
        <v>41</v>
      </c>
      <c r="G7544">
        <v>-187.21119999999999</v>
      </c>
      <c r="H7544">
        <v>1.0334129999999999</v>
      </c>
      <c r="I7544">
        <v>62.36636</v>
      </c>
      <c r="J7544">
        <v>-187.28139999999999</v>
      </c>
      <c r="K7544">
        <v>1.1107750000000001</v>
      </c>
      <c r="L7544">
        <v>61.771610000000003</v>
      </c>
      <c r="M7544">
        <v>-2.2683829999999999E-2</v>
      </c>
      <c r="N7544">
        <v>-1.3877789999999999E-2</v>
      </c>
      <c r="O7544">
        <v>0.99964640000000005</v>
      </c>
      <c r="P7544">
        <v>-7.3758710000000005E-2</v>
      </c>
      <c r="Q7544">
        <v>0.33764499999999997</v>
      </c>
      <c r="R7544">
        <v>0.93837919999999997</v>
      </c>
      <c r="S7544">
        <v>0.23721310000000001</v>
      </c>
      <c r="T7544">
        <v>-0.28934569999999998</v>
      </c>
      <c r="U7544">
        <v>3.3192750000000002</v>
      </c>
      <c r="V7544">
        <v>-5.2438279999999997E-2</v>
      </c>
      <c r="W7544">
        <v>0.35065689999999999</v>
      </c>
      <c r="X7544">
        <v>0.93503480000000005</v>
      </c>
      <c r="Y7544">
        <v>9.3639349999999996E-2</v>
      </c>
      <c r="Z7544">
        <v>-7.2663229999999995E-2</v>
      </c>
      <c r="AA7544">
        <v>0.99295100000000003</v>
      </c>
      <c r="AB7544">
        <v>30</v>
      </c>
      <c r="AC7544">
        <v>7.0199999999999804E-2</v>
      </c>
      <c r="AD7544">
        <v>-7.7362000000000097E-2</v>
      </c>
      <c r="AE7544">
        <v>0.594750000000004</v>
      </c>
      <c r="AF7544">
        <v>8.2301083438367895E-2</v>
      </c>
      <c r="AG7544">
        <v>-7.7362000000000097E-2</v>
      </c>
      <c r="AH7544">
        <v>0.58327133907458895</v>
      </c>
      <c r="AI7544">
        <v>97.482044046063095</v>
      </c>
      <c r="AJ7544">
        <v>81.968440927694402</v>
      </c>
      <c r="AK7544">
        <v>0.59410756800851605</v>
      </c>
      <c r="AL7544">
        <v>69.472501890915694</v>
      </c>
      <c r="AM7544">
        <v>93.209878606078107</v>
      </c>
      <c r="AN7544">
        <v>1.0000000559690001</v>
      </c>
    </row>
    <row r="7545" spans="1:40" x14ac:dyDescent="0.25">
      <c r="A7545" t="str">
        <f>"20190304165031348"</f>
        <v>20190304165031348</v>
      </c>
      <c r="B7545" t="str">
        <f>"1551689431343033"</f>
        <v>1551689431343033</v>
      </c>
      <c r="C7545" t="s">
        <v>40</v>
      </c>
      <c r="D7545">
        <v>4.6997530000000003</v>
      </c>
      <c r="E7545">
        <v>0.57273999999999903</v>
      </c>
      <c r="F7545" t="s">
        <v>41</v>
      </c>
      <c r="G7545">
        <v>-187.21899999999999</v>
      </c>
      <c r="H7545">
        <v>1.0361069999999999</v>
      </c>
      <c r="I7545">
        <v>62.63306</v>
      </c>
      <c r="J7545">
        <v>-187.28829999999999</v>
      </c>
      <c r="K7545">
        <v>1.1107880000000001</v>
      </c>
      <c r="L7545">
        <v>62.07846</v>
      </c>
      <c r="M7545">
        <v>-2.2683990000000001E-2</v>
      </c>
      <c r="N7545">
        <v>-1.392493E-2</v>
      </c>
      <c r="O7545">
        <v>0.99964569999999997</v>
      </c>
      <c r="P7545">
        <v>-7.3348689999999994E-2</v>
      </c>
      <c r="Q7545">
        <v>0.33901520000000002</v>
      </c>
      <c r="R7545">
        <v>0.93791720000000001</v>
      </c>
      <c r="S7545">
        <v>0.23970030000000001</v>
      </c>
      <c r="T7545">
        <v>-0.28774490000000003</v>
      </c>
      <c r="U7545">
        <v>3.319366</v>
      </c>
      <c r="V7545">
        <v>-5.2038840000000003E-2</v>
      </c>
      <c r="W7545">
        <v>0.3520644</v>
      </c>
      <c r="X7545">
        <v>0.93452800000000003</v>
      </c>
      <c r="Y7545">
        <v>9.4380060000000002E-2</v>
      </c>
      <c r="Z7545">
        <v>-7.2132810000000006E-2</v>
      </c>
      <c r="AA7545">
        <v>0.99291960000000001</v>
      </c>
      <c r="AB7545">
        <v>30</v>
      </c>
      <c r="AC7545">
        <v>6.92999999999699E-2</v>
      </c>
      <c r="AD7545">
        <v>-7.4680999999999997E-2</v>
      </c>
      <c r="AE7545">
        <v>0.55459999999999998</v>
      </c>
      <c r="AF7545">
        <v>8.0427976147675495E-2</v>
      </c>
      <c r="AG7545">
        <v>-7.4680999999999997E-2</v>
      </c>
      <c r="AH7545">
        <v>0.54318712943310299</v>
      </c>
      <c r="AI7545">
        <v>97.744930643936101</v>
      </c>
      <c r="AJ7545">
        <v>81.577592241313994</v>
      </c>
      <c r="AK7545">
        <v>0.55416438778577803</v>
      </c>
      <c r="AL7545">
        <v>69.386364493104594</v>
      </c>
      <c r="AM7545">
        <v>93.187202371993394</v>
      </c>
      <c r="AN7545">
        <v>0.99999998269995205</v>
      </c>
    </row>
    <row r="7546" spans="1:40" x14ac:dyDescent="0.25">
      <c r="A7546" t="str">
        <f>"20190304165031370"</f>
        <v>20190304165031370</v>
      </c>
      <c r="B7546" t="str">
        <f>"1551689431362552"</f>
        <v>1551689431362552</v>
      </c>
      <c r="C7546" t="s">
        <v>40</v>
      </c>
      <c r="D7546">
        <v>4.6200060000000001</v>
      </c>
      <c r="E7546">
        <v>0.57138140000000004</v>
      </c>
      <c r="F7546" t="s">
        <v>41</v>
      </c>
      <c r="G7546">
        <v>-187.2286</v>
      </c>
      <c r="H7546">
        <v>1.0406899999999999</v>
      </c>
      <c r="I7546">
        <v>62.900329999999997</v>
      </c>
      <c r="J7546">
        <v>-187.29499999999999</v>
      </c>
      <c r="K7546">
        <v>1.1108070000000001</v>
      </c>
      <c r="L7546">
        <v>62.370699999999999</v>
      </c>
      <c r="M7546">
        <v>-2.2684090000000001E-2</v>
      </c>
      <c r="N7546">
        <v>-1.396348E-2</v>
      </c>
      <c r="O7546">
        <v>0.99964520000000001</v>
      </c>
      <c r="P7546">
        <v>-7.3770559999999999E-2</v>
      </c>
      <c r="Q7546">
        <v>0.34168009999999999</v>
      </c>
      <c r="R7546">
        <v>0.93691650000000004</v>
      </c>
      <c r="S7546">
        <v>0.2411652</v>
      </c>
      <c r="T7546">
        <v>-0.28315220000000002</v>
      </c>
      <c r="U7546">
        <v>3.3197939999999999</v>
      </c>
      <c r="V7546">
        <v>-5.2483160000000001E-2</v>
      </c>
      <c r="W7546">
        <v>0.354751599999999</v>
      </c>
      <c r="X7546">
        <v>0.93348640000000005</v>
      </c>
      <c r="Y7546">
        <v>9.4814609999999994E-2</v>
      </c>
      <c r="Z7546">
        <v>-7.0715790000000001E-2</v>
      </c>
      <c r="AA7546">
        <v>0.99298010000000003</v>
      </c>
      <c r="AB7546">
        <v>30</v>
      </c>
      <c r="AC7546">
        <v>6.6399999999987303E-2</v>
      </c>
      <c r="AD7546">
        <v>-7.0116999999999902E-2</v>
      </c>
      <c r="AE7546">
        <v>0.52963000000000404</v>
      </c>
      <c r="AF7546">
        <v>7.7068399865222806E-2</v>
      </c>
      <c r="AG7546">
        <v>-7.0116999999999902E-2</v>
      </c>
      <c r="AH7546">
        <v>0.51903115949512502</v>
      </c>
      <c r="AI7546">
        <v>97.611175850361803</v>
      </c>
      <c r="AJ7546">
        <v>81.554139932233795</v>
      </c>
      <c r="AK7546">
        <v>0.52938575393907195</v>
      </c>
      <c r="AL7546">
        <v>69.2217791309278</v>
      </c>
      <c r="AM7546">
        <v>93.217937744442693</v>
      </c>
      <c r="AN7546">
        <v>1.0000000193855501</v>
      </c>
    </row>
    <row r="7547" spans="1:40" x14ac:dyDescent="0.25">
      <c r="A7547" t="str">
        <f>"20190304165031392"</f>
        <v>20190304165031392</v>
      </c>
      <c r="B7547" t="str">
        <f>"1551689431383048"</f>
        <v>1551689431383048</v>
      </c>
      <c r="C7547" t="s">
        <v>40</v>
      </c>
      <c r="D7547">
        <v>4.533175</v>
      </c>
      <c r="E7547">
        <v>0.50410519999999903</v>
      </c>
      <c r="F7547" t="s">
        <v>41</v>
      </c>
      <c r="G7547">
        <v>-187.2396</v>
      </c>
      <c r="H7547">
        <v>1.0479400000000001</v>
      </c>
      <c r="I7547">
        <v>63.17004</v>
      </c>
      <c r="J7547">
        <v>-187.3015</v>
      </c>
      <c r="K7547">
        <v>1.110827</v>
      </c>
      <c r="L7547">
        <v>62.658909999999999</v>
      </c>
      <c r="M7547">
        <v>-2.2684180000000002E-2</v>
      </c>
      <c r="N7547">
        <v>-1.399622E-2</v>
      </c>
      <c r="O7547">
        <v>0.99964470000000005</v>
      </c>
      <c r="P7547">
        <v>-7.4655979999999997E-2</v>
      </c>
      <c r="Q7547">
        <v>0.3450645</v>
      </c>
      <c r="R7547">
        <v>0.93560509999999997</v>
      </c>
      <c r="S7547">
        <v>0.22929379999999999</v>
      </c>
      <c r="T7547">
        <v>-0.26075019999999999</v>
      </c>
      <c r="U7547">
        <v>3.3151250000000001</v>
      </c>
      <c r="V7547">
        <v>-5.3397189999999997E-2</v>
      </c>
      <c r="W7547">
        <v>0.35814820000000003</v>
      </c>
      <c r="X7547">
        <v>0.93213659999999998</v>
      </c>
      <c r="Y7547">
        <v>9.1414270000000006E-2</v>
      </c>
      <c r="Z7547">
        <v>-6.4153559999999998E-2</v>
      </c>
      <c r="AA7547">
        <v>0.99374430000000002</v>
      </c>
      <c r="AB7547">
        <v>30</v>
      </c>
      <c r="AC7547">
        <v>6.1900000000008497E-2</v>
      </c>
      <c r="AD7547">
        <v>-6.2887000000000096E-2</v>
      </c>
      <c r="AE7547">
        <v>0.51113000000000097</v>
      </c>
      <c r="AF7547">
        <v>7.2399648975967304E-2</v>
      </c>
      <c r="AG7547">
        <v>-6.2887000000000096E-2</v>
      </c>
      <c r="AH7547">
        <v>0.50210334997669703</v>
      </c>
      <c r="AI7547">
        <v>97.066622416995202</v>
      </c>
      <c r="AJ7547">
        <v>81.794919096773299</v>
      </c>
      <c r="AK7547">
        <v>0.51117928166022597</v>
      </c>
      <c r="AL7547">
        <v>69.013486254167603</v>
      </c>
      <c r="AM7547">
        <v>93.278589905622198</v>
      </c>
      <c r="AN7547">
        <v>1.0000000170613399</v>
      </c>
    </row>
    <row r="7548" spans="1:40" x14ac:dyDescent="0.25">
      <c r="A7548" t="str">
        <f>"20190304165031414"</f>
        <v>20190304165031414</v>
      </c>
      <c r="B7548" t="str">
        <f>"1551689431402568"</f>
        <v>1551689431402568</v>
      </c>
      <c r="C7548" t="s">
        <v>40</v>
      </c>
      <c r="D7548">
        <v>4.661232</v>
      </c>
      <c r="E7548">
        <v>0.47437190000000001</v>
      </c>
      <c r="F7548" t="s">
        <v>58</v>
      </c>
      <c r="G7548">
        <v>-214.32300000000001</v>
      </c>
      <c r="H7548">
        <v>46.72063</v>
      </c>
      <c r="I7548">
        <v>391.87</v>
      </c>
      <c r="J7548">
        <v>-187.30799999999999</v>
      </c>
      <c r="K7548">
        <v>1.110846</v>
      </c>
      <c r="L7548">
        <v>62.946809999999999</v>
      </c>
      <c r="M7548">
        <v>-2.268425E-2</v>
      </c>
      <c r="N7548">
        <v>-1.402434E-2</v>
      </c>
      <c r="O7548">
        <v>0.99964430000000004</v>
      </c>
      <c r="P7548">
        <v>-7.6276969999999999E-2</v>
      </c>
      <c r="Q7548">
        <v>0.34912860000000001</v>
      </c>
      <c r="R7548">
        <v>0.93396520000000005</v>
      </c>
      <c r="S7548">
        <v>-0.24884029999999999</v>
      </c>
      <c r="T7548">
        <v>0.42002109999999898</v>
      </c>
      <c r="U7548">
        <v>3.0317080000000001</v>
      </c>
      <c r="V7548">
        <v>-5.5055140000000002E-2</v>
      </c>
      <c r="W7548">
        <v>0.36221569999999997</v>
      </c>
      <c r="X7548">
        <v>0.93046689999999999</v>
      </c>
      <c r="Y7548">
        <v>-5.8289489999999999E-2</v>
      </c>
      <c r="Z7548">
        <v>0.150703</v>
      </c>
      <c r="AA7548">
        <v>0.98685909999999999</v>
      </c>
      <c r="AB7548">
        <v>30</v>
      </c>
      <c r="AC7548">
        <v>-27.014999999999901</v>
      </c>
      <c r="AD7548">
        <v>45.609783999999998</v>
      </c>
      <c r="AE7548">
        <v>328.92318999999998</v>
      </c>
      <c r="AF7548">
        <v>-19.179628396244301</v>
      </c>
      <c r="AG7548">
        <v>45.609783999999998</v>
      </c>
      <c r="AH7548">
        <v>323.27718621734402</v>
      </c>
      <c r="AI7548">
        <v>81.983302065135405</v>
      </c>
      <c r="AJ7548">
        <v>93.395306473077497</v>
      </c>
      <c r="AK7548">
        <v>327.041663508716</v>
      </c>
      <c r="AL7548">
        <v>68.763667016888505</v>
      </c>
      <c r="AM7548">
        <v>93.386207123001597</v>
      </c>
      <c r="AN7548">
        <v>0.99999996688125903</v>
      </c>
    </row>
    <row r="7549" spans="1:40" x14ac:dyDescent="0.25">
      <c r="A7549" t="str">
        <f>"20190304165031436"</f>
        <v>20190304165031436</v>
      </c>
      <c r="B7549" t="str">
        <f>"1551689431432824"</f>
        <v>1551689431432824</v>
      </c>
      <c r="C7549" t="s">
        <v>40</v>
      </c>
      <c r="D7549">
        <v>4.6083540000000003</v>
      </c>
      <c r="E7549">
        <v>0.46992800000000001</v>
      </c>
      <c r="F7549" t="s">
        <v>59</v>
      </c>
      <c r="G7549">
        <v>-242.6063</v>
      </c>
      <c r="H7549">
        <v>116.52800000000001</v>
      </c>
      <c r="I7549">
        <v>414.96879999999999</v>
      </c>
      <c r="J7549">
        <v>-187.31450000000001</v>
      </c>
      <c r="K7549">
        <v>1.1108610000000001</v>
      </c>
      <c r="L7549">
        <v>63.231450000000002</v>
      </c>
      <c r="M7549">
        <v>-2.2684289999999999E-2</v>
      </c>
      <c r="N7549">
        <v>-1.4048100000000001E-2</v>
      </c>
      <c r="O7549">
        <v>0.99964399999999998</v>
      </c>
      <c r="P7549">
        <v>-7.7341380000000001E-2</v>
      </c>
      <c r="Q7549">
        <v>0.3517615</v>
      </c>
      <c r="R7549">
        <v>0.93288919999999997</v>
      </c>
      <c r="S7549">
        <v>-0.44441219999999998</v>
      </c>
      <c r="T7549">
        <v>0.92756559999999999</v>
      </c>
      <c r="U7549">
        <v>2.8290709999999999</v>
      </c>
      <c r="V7549">
        <v>-5.6142989999999997E-2</v>
      </c>
      <c r="W7549">
        <v>0.36485610000000002</v>
      </c>
      <c r="X7549">
        <v>0.92936969999999997</v>
      </c>
      <c r="Y7549">
        <v>-0.12476</v>
      </c>
      <c r="Z7549">
        <v>0.32182040000000001</v>
      </c>
      <c r="AA7549">
        <v>0.93854490000000002</v>
      </c>
      <c r="AB7549">
        <v>30</v>
      </c>
      <c r="AC7549">
        <v>-55.291800000000002</v>
      </c>
      <c r="AD7549">
        <v>115.41713900000001</v>
      </c>
      <c r="AE7549">
        <v>351.73734999999999</v>
      </c>
      <c r="AF7549">
        <v>-42.8005694632147</v>
      </c>
      <c r="AG7549">
        <v>115.41713900000001</v>
      </c>
      <c r="AH7549">
        <v>319.34571983602899</v>
      </c>
      <c r="AI7549">
        <v>70.291736895613198</v>
      </c>
      <c r="AJ7549">
        <v>97.633622908467203</v>
      </c>
      <c r="AK7549">
        <v>342.24946091836699</v>
      </c>
      <c r="AL7549">
        <v>68.601273419952406</v>
      </c>
      <c r="AM7549">
        <v>93.457022444103401</v>
      </c>
      <c r="AN7549">
        <v>1.0000000241557101</v>
      </c>
    </row>
    <row r="7550" spans="1:40" x14ac:dyDescent="0.25">
      <c r="A7550" t="str">
        <f>"20190304165031459"</f>
        <v>20190304165031459</v>
      </c>
      <c r="B7550" t="str">
        <f>"1551689431453320"</f>
        <v>1551689431453320</v>
      </c>
      <c r="C7550" t="s">
        <v>40</v>
      </c>
      <c r="D7550">
        <v>4.615208</v>
      </c>
      <c r="E7550">
        <v>0.46930749999999999</v>
      </c>
      <c r="F7550" t="s">
        <v>59</v>
      </c>
      <c r="G7550">
        <v>-242.8203</v>
      </c>
      <c r="H7550">
        <v>128.1619</v>
      </c>
      <c r="I7550">
        <v>390.88350000000003</v>
      </c>
      <c r="J7550">
        <v>-187.32130000000001</v>
      </c>
      <c r="K7550">
        <v>1.110862</v>
      </c>
      <c r="L7550">
        <v>63.528559999999999</v>
      </c>
      <c r="M7550">
        <v>-2.2684369999999999E-2</v>
      </c>
      <c r="N7550">
        <v>-1.406897E-2</v>
      </c>
      <c r="O7550">
        <v>0.99964370000000002</v>
      </c>
      <c r="P7550">
        <v>-7.8202560000000004E-2</v>
      </c>
      <c r="Q7550">
        <v>0.35283730000000002</v>
      </c>
      <c r="R7550">
        <v>0.93241099999999999</v>
      </c>
      <c r="S7550">
        <v>-0.46952820000000001</v>
      </c>
      <c r="T7550">
        <v>1.074735</v>
      </c>
      <c r="U7550">
        <v>2.7716370000000001</v>
      </c>
      <c r="V7550">
        <v>-5.7015070000000001E-2</v>
      </c>
      <c r="W7550">
        <v>0.36594399999999999</v>
      </c>
      <c r="X7550">
        <v>0.92888870000000001</v>
      </c>
      <c r="Y7550">
        <v>-0.1330807</v>
      </c>
      <c r="Z7550">
        <v>0.3706605</v>
      </c>
      <c r="AA7550">
        <v>0.91918460000000002</v>
      </c>
      <c r="AB7550">
        <v>30</v>
      </c>
      <c r="AC7550">
        <v>-55.499000000000002</v>
      </c>
      <c r="AD7550">
        <v>127.051037999999</v>
      </c>
      <c r="AE7550">
        <v>327.35494</v>
      </c>
      <c r="AF7550">
        <v>-41.9200471107402</v>
      </c>
      <c r="AG7550">
        <v>127.051037999999</v>
      </c>
      <c r="AH7550">
        <v>286.569212898665</v>
      </c>
      <c r="AI7550">
        <v>66.313742749794599</v>
      </c>
      <c r="AJ7550">
        <v>98.322340084529401</v>
      </c>
      <c r="AK7550">
        <v>316.26123756793902</v>
      </c>
      <c r="AL7550">
        <v>68.534309771176694</v>
      </c>
      <c r="AM7550">
        <v>93.512401088612293</v>
      </c>
      <c r="AN7550">
        <v>0.99999997316539702</v>
      </c>
    </row>
    <row r="7551" spans="1:40" x14ac:dyDescent="0.25">
      <c r="A7551" t="str">
        <f>"20190304165031480"</f>
        <v>20190304165031480</v>
      </c>
      <c r="B7551" t="str">
        <f>"1551689431472840"</f>
        <v>1551689431472840</v>
      </c>
      <c r="C7551" t="s">
        <v>40</v>
      </c>
      <c r="D7551">
        <v>4.6235339999999896</v>
      </c>
      <c r="E7551">
        <v>0.46922269999999999</v>
      </c>
      <c r="F7551" t="s">
        <v>59</v>
      </c>
      <c r="G7551">
        <v>-243.5778</v>
      </c>
      <c r="H7551">
        <v>133.33840000000001</v>
      </c>
      <c r="I7551">
        <v>390.88350000000003</v>
      </c>
      <c r="J7551">
        <v>-187.32810000000001</v>
      </c>
      <c r="K7551">
        <v>1.110868</v>
      </c>
      <c r="L7551">
        <v>63.8292199999999</v>
      </c>
      <c r="M7551">
        <v>-2.2684449999999998E-2</v>
      </c>
      <c r="N7551">
        <v>-1.408681E-2</v>
      </c>
      <c r="O7551">
        <v>0.99964339999999996</v>
      </c>
      <c r="P7551">
        <v>-7.9130930000000002E-2</v>
      </c>
      <c r="Q7551">
        <v>0.3530162</v>
      </c>
      <c r="R7551">
        <v>0.93226489999999995</v>
      </c>
      <c r="S7551">
        <v>-0.4736938</v>
      </c>
      <c r="T7551">
        <v>1.1133879999999901</v>
      </c>
      <c r="U7551">
        <v>2.7564090000000001</v>
      </c>
      <c r="V7551">
        <v>-5.7946200000000003E-2</v>
      </c>
      <c r="W7551">
        <v>0.36613800000000002</v>
      </c>
      <c r="X7551">
        <v>0.92875469999999904</v>
      </c>
      <c r="Y7551">
        <v>-0.13441040000000001</v>
      </c>
      <c r="Z7551">
        <v>0.38338529999999998</v>
      </c>
      <c r="AA7551">
        <v>0.91375580000000001</v>
      </c>
      <c r="AB7551">
        <v>29</v>
      </c>
      <c r="AC7551">
        <v>-56.249699999999898</v>
      </c>
      <c r="AD7551">
        <v>132.227532</v>
      </c>
      <c r="AE7551">
        <v>327.05428000000001</v>
      </c>
      <c r="AF7551">
        <v>-42.127270466373602</v>
      </c>
      <c r="AG7551">
        <v>132.227532</v>
      </c>
      <c r="AH7551">
        <v>283.27343814315202</v>
      </c>
      <c r="AI7551">
        <v>65.216929529814607</v>
      </c>
      <c r="AJ7551">
        <v>98.458798777559494</v>
      </c>
      <c r="AK7551">
        <v>315.440434778422</v>
      </c>
      <c r="AL7551">
        <v>68.522367055993598</v>
      </c>
      <c r="AM7551">
        <v>93.570129709582304</v>
      </c>
      <c r="AN7551">
        <v>1.00000004495526</v>
      </c>
    </row>
    <row r="7552" spans="1:40" x14ac:dyDescent="0.25">
      <c r="A7552" t="str">
        <f>"20190304165031505"</f>
        <v>20190304165031505</v>
      </c>
      <c r="B7552" t="str">
        <f>"1551689431493348"</f>
        <v>1551689431493348</v>
      </c>
      <c r="C7552" t="s">
        <v>40</v>
      </c>
      <c r="D7552">
        <v>4.6285610000000004</v>
      </c>
      <c r="E7552">
        <v>0.46474300000000002</v>
      </c>
      <c r="F7552" t="s">
        <v>59</v>
      </c>
      <c r="G7552">
        <v>-243.87549999999999</v>
      </c>
      <c r="H7552">
        <v>135.36510000000001</v>
      </c>
      <c r="I7552">
        <v>390.88350000000003</v>
      </c>
      <c r="J7552">
        <v>-187.33510000000001</v>
      </c>
      <c r="K7552">
        <v>1.1108800000000001</v>
      </c>
      <c r="L7552">
        <v>64.139009999999999</v>
      </c>
      <c r="M7552">
        <v>-2.268454E-2</v>
      </c>
      <c r="N7552">
        <v>-1.4102160000000001E-2</v>
      </c>
      <c r="O7552">
        <v>0.99964319999999895</v>
      </c>
      <c r="P7552">
        <v>-7.9063320000000006E-2</v>
      </c>
      <c r="Q7552">
        <v>0.35513270000000002</v>
      </c>
      <c r="R7552">
        <v>0.93146649999999998</v>
      </c>
      <c r="S7552">
        <v>-0.47549439999999998</v>
      </c>
      <c r="T7552">
        <v>1.1289119999999999</v>
      </c>
      <c r="U7552">
        <v>2.7501220000000002</v>
      </c>
      <c r="V7552">
        <v>-5.7896759999999999E-2</v>
      </c>
      <c r="W7552">
        <v>0.36825750000000002</v>
      </c>
      <c r="X7552">
        <v>0.92791939999999995</v>
      </c>
      <c r="Y7552">
        <v>-0.13498470000000001</v>
      </c>
      <c r="Z7552">
        <v>0.3884978</v>
      </c>
      <c r="AA7552">
        <v>0.91150900000000001</v>
      </c>
      <c r="AB7552">
        <v>29</v>
      </c>
      <c r="AC7552">
        <v>-56.540399999999899</v>
      </c>
      <c r="AD7552">
        <v>134.25422</v>
      </c>
      <c r="AE7552">
        <v>326.74448999999998</v>
      </c>
      <c r="AF7552">
        <v>-42.196333959432003</v>
      </c>
      <c r="AG7552">
        <v>134.25422</v>
      </c>
      <c r="AH7552">
        <v>281.75797946239101</v>
      </c>
      <c r="AI7552">
        <v>64.768660311196101</v>
      </c>
      <c r="AJ7552">
        <v>98.517368242229196</v>
      </c>
      <c r="AK7552">
        <v>314.94806743041499</v>
      </c>
      <c r="AL7552">
        <v>68.391807518362398</v>
      </c>
      <c r="AM7552">
        <v>93.570294268116101</v>
      </c>
      <c r="AN7552">
        <v>1.0000000170105501</v>
      </c>
    </row>
    <row r="7553" spans="1:40" x14ac:dyDescent="0.25">
      <c r="A7553" t="str">
        <f>"20190304165031525"</f>
        <v>20190304165031525</v>
      </c>
      <c r="B7553" t="str">
        <f>"1551689431522617"</f>
        <v>1551689431522617</v>
      </c>
      <c r="C7553" t="s">
        <v>40</v>
      </c>
      <c r="D7553">
        <v>4.5936430000000001</v>
      </c>
      <c r="E7553">
        <v>0.46696280000000001</v>
      </c>
      <c r="F7553" t="s">
        <v>60</v>
      </c>
      <c r="G7553">
        <v>0</v>
      </c>
      <c r="H7553">
        <v>0</v>
      </c>
      <c r="I7553">
        <v>0</v>
      </c>
      <c r="J7553">
        <v>-187.34119999999999</v>
      </c>
      <c r="K7553">
        <v>1.1108960000000001</v>
      </c>
      <c r="L7553">
        <v>64.409090000000006</v>
      </c>
      <c r="M7553">
        <v>-2.2684610000000001E-2</v>
      </c>
      <c r="N7553">
        <v>-1.411341E-2</v>
      </c>
      <c r="O7553">
        <v>0.99964299999999995</v>
      </c>
      <c r="P7553">
        <v>-7.8765950000000001E-2</v>
      </c>
      <c r="Q7553">
        <v>0.3589483</v>
      </c>
      <c r="R7553">
        <v>0.93002799999999997</v>
      </c>
      <c r="S7553">
        <v>-0.48217769999999999</v>
      </c>
      <c r="T7553">
        <v>1.4224589999999999</v>
      </c>
      <c r="U7553">
        <v>2.6374819999999999</v>
      </c>
      <c r="V7553">
        <v>-5.7631809999999999E-2</v>
      </c>
      <c r="W7553">
        <v>0.37206270000000002</v>
      </c>
      <c r="X7553">
        <v>0.92641680000000004</v>
      </c>
      <c r="Y7553">
        <v>-0.1357776</v>
      </c>
      <c r="Z7553">
        <v>0.48171710000000001</v>
      </c>
      <c r="AA7553">
        <v>0.86574419999999996</v>
      </c>
      <c r="AB7553">
        <v>29</v>
      </c>
      <c r="AC7553">
        <v>-0.48217769999999999</v>
      </c>
      <c r="AD7553">
        <v>1.4224589999999999</v>
      </c>
      <c r="AE7553">
        <v>2.6374819999999999</v>
      </c>
      <c r="AF7553">
        <v>-0.329480511735884</v>
      </c>
      <c r="AG7553">
        <v>1.4224589999999999</v>
      </c>
      <c r="AH7553">
        <v>2.0661855958235398</v>
      </c>
      <c r="AI7553">
        <v>55.789890959192903</v>
      </c>
      <c r="AJ7553">
        <v>99.060284255462193</v>
      </c>
      <c r="AK7553">
        <v>2.53003358291613</v>
      </c>
      <c r="AL7553">
        <v>68.157116201561294</v>
      </c>
      <c r="AM7553">
        <v>93.559747274347203</v>
      </c>
      <c r="AN7553">
        <v>1.0000000827886999</v>
      </c>
    </row>
    <row r="7554" spans="1:40" x14ac:dyDescent="0.25">
      <c r="A7554" t="str">
        <f>"20190304165031549"</f>
        <v>20190304165031549</v>
      </c>
      <c r="B7554" t="str">
        <f>"1551689431543112"</f>
        <v>1551689431543112</v>
      </c>
      <c r="C7554" t="s">
        <v>40</v>
      </c>
      <c r="D7554">
        <v>4.5804939999999998</v>
      </c>
      <c r="E7554">
        <v>0.46785019999999999</v>
      </c>
      <c r="F7554" t="s">
        <v>60</v>
      </c>
      <c r="G7554">
        <v>0</v>
      </c>
      <c r="H7554">
        <v>0</v>
      </c>
      <c r="I7554">
        <v>0</v>
      </c>
      <c r="J7554">
        <v>-187.3484</v>
      </c>
      <c r="K7554">
        <v>1.11091299999999</v>
      </c>
      <c r="L7554">
        <v>64.723879999999994</v>
      </c>
      <c r="M7554">
        <v>-2.2684699999999999E-2</v>
      </c>
      <c r="N7554">
        <v>-1.4124370000000001E-2</v>
      </c>
      <c r="O7554">
        <v>0.9996429</v>
      </c>
      <c r="P7554">
        <v>-7.8141589999999997E-2</v>
      </c>
      <c r="Q7554">
        <v>0.3625449</v>
      </c>
      <c r="R7554">
        <v>0.92868459999999997</v>
      </c>
      <c r="S7554">
        <v>-0.45993040000000002</v>
      </c>
      <c r="T7554">
        <v>1.471122</v>
      </c>
      <c r="U7554">
        <v>2.6189879999999999</v>
      </c>
      <c r="V7554">
        <v>-5.7037450000000003E-2</v>
      </c>
      <c r="W7554">
        <v>0.37564979999999998</v>
      </c>
      <c r="X7554">
        <v>0.92500479999999996</v>
      </c>
      <c r="Y7554">
        <v>-0.1282413</v>
      </c>
      <c r="Z7554">
        <v>0.497029</v>
      </c>
      <c r="AA7554">
        <v>0.85820529999999995</v>
      </c>
      <c r="AB7554">
        <v>29</v>
      </c>
      <c r="AC7554">
        <v>-0.45993040000000002</v>
      </c>
      <c r="AD7554">
        <v>1.471122</v>
      </c>
      <c r="AE7554">
        <v>2.6189879999999999</v>
      </c>
      <c r="AF7554">
        <v>-0.30656181905926899</v>
      </c>
      <c r="AG7554">
        <v>1.471122</v>
      </c>
      <c r="AH7554">
        <v>2.0126964497089102</v>
      </c>
      <c r="AI7554">
        <v>54.148607800454201</v>
      </c>
      <c r="AJ7554">
        <v>98.660385580831701</v>
      </c>
      <c r="AK7554">
        <v>2.5117975807098398</v>
      </c>
      <c r="AL7554">
        <v>67.935518971918398</v>
      </c>
      <c r="AM7554">
        <v>93.528492758841097</v>
      </c>
      <c r="AN7554">
        <v>0.99999996148279002</v>
      </c>
    </row>
    <row r="7555" spans="1:40" x14ac:dyDescent="0.25">
      <c r="A7555" t="str">
        <f>"20190304165031571"</f>
        <v>20190304165031571</v>
      </c>
      <c r="B7555" t="str">
        <f>"1551689431562632"</f>
        <v>1551689431562632</v>
      </c>
      <c r="C7555" t="s">
        <v>40</v>
      </c>
      <c r="D7555">
        <v>4.5950350000000002</v>
      </c>
      <c r="E7555">
        <v>0.4687733</v>
      </c>
      <c r="F7555" t="s">
        <v>60</v>
      </c>
      <c r="G7555">
        <v>0</v>
      </c>
      <c r="H7555">
        <v>0</v>
      </c>
      <c r="I7555">
        <v>0</v>
      </c>
      <c r="J7555">
        <v>-187.35489999999999</v>
      </c>
      <c r="K7555">
        <v>1.1109359999999999</v>
      </c>
      <c r="L7555">
        <v>65.011229999999998</v>
      </c>
      <c r="M7555">
        <v>-2.268477E-2</v>
      </c>
      <c r="N7555">
        <v>-1.4132530000000001E-2</v>
      </c>
      <c r="O7555">
        <v>0.99964280000000005</v>
      </c>
      <c r="P7555">
        <v>-7.75473E-2</v>
      </c>
      <c r="Q7555">
        <v>0.36622860000000002</v>
      </c>
      <c r="R7555">
        <v>0.927288</v>
      </c>
      <c r="S7555">
        <v>-0.45079039999999998</v>
      </c>
      <c r="T7555">
        <v>1.486497</v>
      </c>
      <c r="U7555">
        <v>2.6121219999999998</v>
      </c>
      <c r="V7555">
        <v>-5.6475480000000002E-2</v>
      </c>
      <c r="W7555">
        <v>0.37932090000000002</v>
      </c>
      <c r="X7555">
        <v>0.92354000000000003</v>
      </c>
      <c r="Y7555">
        <v>-0.12521769999999999</v>
      </c>
      <c r="Z7555">
        <v>0.50201359999999995</v>
      </c>
      <c r="AA7555">
        <v>0.85574699999999904</v>
      </c>
      <c r="AB7555">
        <v>29</v>
      </c>
      <c r="AC7555">
        <v>-0.45079039999999998</v>
      </c>
      <c r="AD7555">
        <v>1.486497</v>
      </c>
      <c r="AE7555">
        <v>2.6121219999999998</v>
      </c>
      <c r="AF7555">
        <v>-0.297769850190374</v>
      </c>
      <c r="AG7555">
        <v>1.486497</v>
      </c>
      <c r="AH7555">
        <v>1.9944563970059901</v>
      </c>
      <c r="AI7555">
        <v>53.6044344541884</v>
      </c>
      <c r="AJ7555">
        <v>98.4914671246637</v>
      </c>
      <c r="AK7555">
        <v>2.5052338282582598</v>
      </c>
      <c r="AL7555">
        <v>67.708375502671203</v>
      </c>
      <c r="AM7555">
        <v>93.499341977409401</v>
      </c>
      <c r="AN7555">
        <v>0.99999997830901999</v>
      </c>
    </row>
    <row r="7556" spans="1:40" x14ac:dyDescent="0.25">
      <c r="A7556" t="str">
        <f>"20190304165031593"</f>
        <v>20190304165031593</v>
      </c>
      <c r="B7556" t="str">
        <f>"1551689431583131"</f>
        <v>1551689431583131</v>
      </c>
      <c r="C7556" t="s">
        <v>40</v>
      </c>
      <c r="D7556">
        <v>4.6090770000000001</v>
      </c>
      <c r="E7556">
        <v>0.46874120000000002</v>
      </c>
      <c r="F7556" t="s">
        <v>60</v>
      </c>
      <c r="G7556">
        <v>0</v>
      </c>
      <c r="H7556">
        <v>0</v>
      </c>
      <c r="I7556">
        <v>0</v>
      </c>
      <c r="J7556">
        <v>-187.36150000000001</v>
      </c>
      <c r="K7556">
        <v>1.1109659999999999</v>
      </c>
      <c r="L7556">
        <v>65.299530000000004</v>
      </c>
      <c r="M7556">
        <v>-2.268483E-2</v>
      </c>
      <c r="N7556">
        <v>-1.4139209999999999E-2</v>
      </c>
      <c r="O7556">
        <v>0.9996427</v>
      </c>
      <c r="P7556">
        <v>-7.7119869999999993E-2</v>
      </c>
      <c r="Q7556">
        <v>0.37415029999999999</v>
      </c>
      <c r="R7556">
        <v>0.92415590000000003</v>
      </c>
      <c r="S7556">
        <v>-0.44181819999999999</v>
      </c>
      <c r="T7556">
        <v>1.4982139999999999</v>
      </c>
      <c r="U7556">
        <v>2.6065670000000001</v>
      </c>
      <c r="V7556">
        <v>-5.6118300000000003E-2</v>
      </c>
      <c r="W7556">
        <v>0.38720320000000003</v>
      </c>
      <c r="X7556">
        <v>0.92028500000000002</v>
      </c>
      <c r="Y7556">
        <v>-0.12227730000000001</v>
      </c>
      <c r="Z7556">
        <v>0.50588639999999996</v>
      </c>
      <c r="AA7556">
        <v>0.85388949999999997</v>
      </c>
      <c r="AB7556">
        <v>29</v>
      </c>
      <c r="AC7556">
        <v>-0.44181819999999999</v>
      </c>
      <c r="AD7556">
        <v>1.4982139999999999</v>
      </c>
      <c r="AE7556">
        <v>2.6065670000000001</v>
      </c>
      <c r="AF7556">
        <v>-0.289572720979071</v>
      </c>
      <c r="AG7556">
        <v>1.4982139999999999</v>
      </c>
      <c r="AH7556">
        <v>1.9800320836843299</v>
      </c>
      <c r="AI7556">
        <v>53.177902968564098</v>
      </c>
      <c r="AJ7556">
        <v>98.3203221697879</v>
      </c>
      <c r="AK7556">
        <v>2.4998049129783202</v>
      </c>
      <c r="AL7556">
        <v>67.219414865141403</v>
      </c>
      <c r="AM7556">
        <v>93.489533380723202</v>
      </c>
      <c r="AN7556">
        <v>1.0000000314550599</v>
      </c>
    </row>
    <row r="7557" spans="1:40" x14ac:dyDescent="0.25">
      <c r="A7557" t="str">
        <f>"20190304165031615"</f>
        <v>20190304165031615</v>
      </c>
      <c r="B7557" t="str">
        <f>"1551689431602652"</f>
        <v>1551689431602652</v>
      </c>
      <c r="C7557" t="s">
        <v>40</v>
      </c>
      <c r="D7557">
        <v>4.4849019999999999</v>
      </c>
      <c r="E7557">
        <v>0.46824979999999999</v>
      </c>
      <c r="F7557" t="s">
        <v>60</v>
      </c>
      <c r="G7557">
        <v>0</v>
      </c>
      <c r="H7557">
        <v>0</v>
      </c>
      <c r="I7557">
        <v>0</v>
      </c>
      <c r="J7557">
        <v>-187.36779999999999</v>
      </c>
      <c r="K7557">
        <v>1.1110139999999999</v>
      </c>
      <c r="L7557">
        <v>65.578490000000002</v>
      </c>
      <c r="M7557">
        <v>-2.2684889999999999E-2</v>
      </c>
      <c r="N7557">
        <v>-1.414436E-2</v>
      </c>
      <c r="O7557">
        <v>0.99964260000000005</v>
      </c>
      <c r="P7557">
        <v>-7.6239849999999998E-2</v>
      </c>
      <c r="Q7557">
        <v>0.38711319999999999</v>
      </c>
      <c r="R7557">
        <v>0.91887470000000004</v>
      </c>
      <c r="S7557">
        <v>-0.43995669999999998</v>
      </c>
      <c r="T7557">
        <v>1.52584599999999</v>
      </c>
      <c r="U7557">
        <v>2.591736</v>
      </c>
      <c r="V7557">
        <v>-5.5357860000000002E-2</v>
      </c>
      <c r="W7557">
        <v>0.40009499999999998</v>
      </c>
      <c r="X7557">
        <v>0.91480030000000001</v>
      </c>
      <c r="Y7557">
        <v>-0.12161470000000001</v>
      </c>
      <c r="Z7557">
        <v>0.51478950000000001</v>
      </c>
      <c r="AA7557">
        <v>0.84864689999999998</v>
      </c>
      <c r="AB7557">
        <v>29</v>
      </c>
      <c r="AC7557">
        <v>-0.43995669999999998</v>
      </c>
      <c r="AD7557">
        <v>1.52584599999999</v>
      </c>
      <c r="AE7557">
        <v>2.591736</v>
      </c>
      <c r="AF7557">
        <v>-0.28502064791499698</v>
      </c>
      <c r="AG7557">
        <v>1.52584599999999</v>
      </c>
      <c r="AH7557">
        <v>1.9455821150291901</v>
      </c>
      <c r="AI7557">
        <v>52.189272948200902</v>
      </c>
      <c r="AJ7557">
        <v>98.334337537394305</v>
      </c>
      <c r="AK7557">
        <v>2.4889219657866599</v>
      </c>
      <c r="AL7557">
        <v>66.415883612189106</v>
      </c>
      <c r="AM7557">
        <v>93.462951049663005</v>
      </c>
      <c r="AN7557">
        <v>1.00000004528443</v>
      </c>
    </row>
    <row r="7558" spans="1:40" x14ac:dyDescent="0.25">
      <c r="A7558" t="str">
        <f>"20190304165031637"</f>
        <v>20190304165031637</v>
      </c>
      <c r="B7558" t="str">
        <f>"1551689431632904"</f>
        <v>1551689431632904</v>
      </c>
      <c r="C7558" t="s">
        <v>40</v>
      </c>
      <c r="D7558">
        <v>4.3982479999999997</v>
      </c>
      <c r="E7558">
        <v>0.46816489999999999</v>
      </c>
      <c r="F7558" t="s">
        <v>60</v>
      </c>
      <c r="G7558">
        <v>0</v>
      </c>
      <c r="H7558">
        <v>0</v>
      </c>
      <c r="I7558">
        <v>0</v>
      </c>
      <c r="J7558">
        <v>-187.37450000000001</v>
      </c>
      <c r="K7558">
        <v>1.11107</v>
      </c>
      <c r="L7558">
        <v>65.873900000000006</v>
      </c>
      <c r="M7558">
        <v>-2.2684960000000001E-2</v>
      </c>
      <c r="N7558">
        <v>-1.4148630000000001E-2</v>
      </c>
      <c r="O7558">
        <v>0.99964260000000005</v>
      </c>
      <c r="P7558">
        <v>-7.5579090000000002E-2</v>
      </c>
      <c r="Q7558">
        <v>0.39974209999999999</v>
      </c>
      <c r="R7558">
        <v>0.91350640000000005</v>
      </c>
      <c r="S7558">
        <v>-0.44000240000000002</v>
      </c>
      <c r="T7558">
        <v>1.5722910000000001</v>
      </c>
      <c r="U7558">
        <v>2.5659480000000001</v>
      </c>
      <c r="V7558">
        <v>-5.4818510000000001E-2</v>
      </c>
      <c r="W7558">
        <v>0.41265059999999898</v>
      </c>
      <c r="X7558">
        <v>0.9092384</v>
      </c>
      <c r="Y7558">
        <v>-0.1215233</v>
      </c>
      <c r="Z7558">
        <v>0.52966389999999997</v>
      </c>
      <c r="AA7558">
        <v>0.83945709999999996</v>
      </c>
      <c r="AB7558">
        <v>29</v>
      </c>
      <c r="AC7558">
        <v>-0.44000240000000002</v>
      </c>
      <c r="AD7558">
        <v>1.5722910000000001</v>
      </c>
      <c r="AE7558">
        <v>2.5659480000000001</v>
      </c>
      <c r="AF7558">
        <v>-0.27966846212274299</v>
      </c>
      <c r="AG7558">
        <v>1.5722910000000001</v>
      </c>
      <c r="AH7558">
        <v>1.8870033190566</v>
      </c>
      <c r="AI7558">
        <v>50.504035884910401</v>
      </c>
      <c r="AJ7558">
        <v>98.430308980805407</v>
      </c>
      <c r="AK7558">
        <v>2.4720628963514901</v>
      </c>
      <c r="AL7558">
        <v>65.628550246943604</v>
      </c>
      <c r="AM7558">
        <v>93.450219328945394</v>
      </c>
      <c r="AN7558">
        <v>1.00000002737676</v>
      </c>
    </row>
    <row r="7559" spans="1:40" x14ac:dyDescent="0.25">
      <c r="A7559" t="str">
        <f>"20190304165031661"</f>
        <v>20190304165031661</v>
      </c>
      <c r="B7559" t="str">
        <f>"1551689431653400"</f>
        <v>1551689431653400</v>
      </c>
      <c r="C7559" t="s">
        <v>40</v>
      </c>
      <c r="D7559">
        <v>4.3731910000000003</v>
      </c>
      <c r="E7559">
        <v>0.4679103</v>
      </c>
      <c r="F7559" t="s">
        <v>60</v>
      </c>
      <c r="G7559">
        <v>0</v>
      </c>
      <c r="H7559">
        <v>0</v>
      </c>
      <c r="I7559">
        <v>0</v>
      </c>
      <c r="J7559">
        <v>-187.38140000000001</v>
      </c>
      <c r="K7559">
        <v>1.11111</v>
      </c>
      <c r="L7559">
        <v>66.177639999999997</v>
      </c>
      <c r="M7559">
        <v>-2.2685070000000002E-2</v>
      </c>
      <c r="N7559">
        <v>-1.415198E-2</v>
      </c>
      <c r="O7559">
        <v>0.99964249999999999</v>
      </c>
      <c r="P7559">
        <v>-7.5760430000000004E-2</v>
      </c>
      <c r="Q7559">
        <v>0.4089064</v>
      </c>
      <c r="R7559">
        <v>0.90942619999999996</v>
      </c>
      <c r="S7559">
        <v>-0.43737789999999999</v>
      </c>
      <c r="T7559">
        <v>1.6159829999999999</v>
      </c>
      <c r="U7559">
        <v>2.5407410000000001</v>
      </c>
      <c r="V7559">
        <v>-5.5092080000000002E-2</v>
      </c>
      <c r="W7559">
        <v>0.42175869999999999</v>
      </c>
      <c r="X7559">
        <v>0.90503290000000003</v>
      </c>
      <c r="Y7559">
        <v>-0.120577</v>
      </c>
      <c r="Z7559">
        <v>0.54368749999999999</v>
      </c>
      <c r="AA7559">
        <v>0.83058120000000002</v>
      </c>
      <c r="AB7559">
        <v>29</v>
      </c>
      <c r="AC7559">
        <v>-0.43737789999999999</v>
      </c>
      <c r="AD7559">
        <v>1.6159829999999999</v>
      </c>
      <c r="AE7559">
        <v>2.5407410000000001</v>
      </c>
      <c r="AF7559">
        <v>-0.27254337735024498</v>
      </c>
      <c r="AG7559">
        <v>1.6159829999999999</v>
      </c>
      <c r="AH7559">
        <v>1.83073456542393</v>
      </c>
      <c r="AI7559">
        <v>48.876611044018297</v>
      </c>
      <c r="AJ7559">
        <v>98.467494462435496</v>
      </c>
      <c r="AK7559">
        <v>2.4570856716574601</v>
      </c>
      <c r="AL7559">
        <v>65.054329721021901</v>
      </c>
      <c r="AM7559">
        <v>93.483468315480707</v>
      </c>
      <c r="AN7559">
        <v>1.00000004419341</v>
      </c>
    </row>
    <row r="7560" spans="1:40" x14ac:dyDescent="0.25">
      <c r="A7560" t="str">
        <f>"20190304165031681"</f>
        <v>20190304165031681</v>
      </c>
      <c r="B7560" t="str">
        <f>"1551689431672920"</f>
        <v>1551689431672920</v>
      </c>
      <c r="C7560" t="s">
        <v>40</v>
      </c>
      <c r="D7560">
        <v>4.3217400000000001</v>
      </c>
      <c r="E7560">
        <v>0.46801930000000003</v>
      </c>
      <c r="F7560" t="s">
        <v>60</v>
      </c>
      <c r="G7560">
        <v>0</v>
      </c>
      <c r="H7560">
        <v>0</v>
      </c>
      <c r="I7560">
        <v>0</v>
      </c>
      <c r="J7560">
        <v>-187.3878</v>
      </c>
      <c r="K7560">
        <v>1.1111310000000001</v>
      </c>
      <c r="L7560">
        <v>66.457059999999998</v>
      </c>
      <c r="M7560">
        <v>-2.2685139999999999E-2</v>
      </c>
      <c r="N7560">
        <v>-1.415427E-2</v>
      </c>
      <c r="O7560">
        <v>0.99964240000000004</v>
      </c>
      <c r="P7560">
        <v>-7.6729569999999997E-2</v>
      </c>
      <c r="Q7560">
        <v>0.41481889999999999</v>
      </c>
      <c r="R7560">
        <v>0.90666310000000006</v>
      </c>
      <c r="S7560">
        <v>-0.43847659999999999</v>
      </c>
      <c r="T7560">
        <v>1.645605</v>
      </c>
      <c r="U7560">
        <v>2.5223390000000001</v>
      </c>
      <c r="V7560">
        <v>-5.6123220000000001E-2</v>
      </c>
      <c r="W7560">
        <v>0.42763410000000002</v>
      </c>
      <c r="X7560">
        <v>0.90220800000000001</v>
      </c>
      <c r="Y7560">
        <v>-0.1208897</v>
      </c>
      <c r="Z7560">
        <v>0.55322669999999996</v>
      </c>
      <c r="AA7560">
        <v>0.82421230000000001</v>
      </c>
      <c r="AB7560">
        <v>29</v>
      </c>
      <c r="AC7560">
        <v>-0.43847659999999999</v>
      </c>
      <c r="AD7560">
        <v>1.645605</v>
      </c>
      <c r="AE7560">
        <v>2.5223390000000001</v>
      </c>
      <c r="AF7560">
        <v>-0.26970713986513201</v>
      </c>
      <c r="AG7560">
        <v>1.645605</v>
      </c>
      <c r="AH7560">
        <v>1.79147724940307</v>
      </c>
      <c r="AI7560">
        <v>47.749935476029599</v>
      </c>
      <c r="AJ7560">
        <v>98.561589870888895</v>
      </c>
      <c r="AK7560">
        <v>2.4474779861007998</v>
      </c>
      <c r="AL7560">
        <v>64.682492575575793</v>
      </c>
      <c r="AM7560">
        <v>93.5595843329628</v>
      </c>
      <c r="AN7560">
        <v>1.00000000728498</v>
      </c>
    </row>
    <row r="7561" spans="1:40" x14ac:dyDescent="0.25">
      <c r="A7561" t="str">
        <f>"20190304165031705"</f>
        <v>20190304165031705</v>
      </c>
      <c r="B7561" t="str">
        <f>"1551689431693416"</f>
        <v>1551689431693416</v>
      </c>
      <c r="C7561" t="s">
        <v>40</v>
      </c>
      <c r="D7561">
        <v>4.2887219999999999</v>
      </c>
      <c r="E7561">
        <v>0.468275</v>
      </c>
      <c r="F7561" t="s">
        <v>60</v>
      </c>
      <c r="G7561">
        <v>0</v>
      </c>
      <c r="H7561">
        <v>0</v>
      </c>
      <c r="I7561">
        <v>0</v>
      </c>
      <c r="J7561">
        <v>-187.39439999999999</v>
      </c>
      <c r="K7561">
        <v>1.1111530000000001</v>
      </c>
      <c r="L7561">
        <v>66.748350000000002</v>
      </c>
      <c r="M7561">
        <v>-2.2684289999999999E-2</v>
      </c>
      <c r="N7561">
        <v>-1.4155920000000001E-2</v>
      </c>
      <c r="O7561">
        <v>0.99964240000000004</v>
      </c>
      <c r="P7561">
        <v>-7.8333440000000004E-2</v>
      </c>
      <c r="Q7561">
        <v>0.41932700000000001</v>
      </c>
      <c r="R7561">
        <v>0.90444950000000002</v>
      </c>
      <c r="S7561">
        <v>-0.43917850000000003</v>
      </c>
      <c r="T7561">
        <v>1.6635359999999999</v>
      </c>
      <c r="U7561">
        <v>2.5105590000000002</v>
      </c>
      <c r="V7561">
        <v>-5.7777460000000003E-2</v>
      </c>
      <c r="W7561">
        <v>0.43211250000000001</v>
      </c>
      <c r="X7561">
        <v>0.89996699999999996</v>
      </c>
      <c r="Y7561">
        <v>-0.1211073</v>
      </c>
      <c r="Z7561">
        <v>0.55905689999999997</v>
      </c>
      <c r="AA7561">
        <v>0.82023679999999999</v>
      </c>
      <c r="AB7561">
        <v>29</v>
      </c>
      <c r="AC7561">
        <v>-0.43917850000000003</v>
      </c>
      <c r="AD7561">
        <v>1.6635359999999999</v>
      </c>
      <c r="AE7561">
        <v>2.5105590000000002</v>
      </c>
      <c r="AF7561">
        <v>-0.267954702985851</v>
      </c>
      <c r="AG7561">
        <v>1.6635359999999999</v>
      </c>
      <c r="AH7561">
        <v>1.76706595917723</v>
      </c>
      <c r="AI7561">
        <v>47.053494559561699</v>
      </c>
      <c r="AJ7561">
        <v>98.622540052627201</v>
      </c>
      <c r="AK7561">
        <v>2.4416539169651301</v>
      </c>
      <c r="AL7561">
        <v>64.398301081858804</v>
      </c>
      <c r="AM7561">
        <v>93.673321122536606</v>
      </c>
      <c r="AN7561">
        <v>1.0000000243146501</v>
      </c>
    </row>
    <row r="7562" spans="1:40" x14ac:dyDescent="0.25">
      <c r="A7562" t="str">
        <f>"20190304165031726"</f>
        <v>20190304165031726</v>
      </c>
      <c r="B7562" t="str">
        <f>"1551689431722696"</f>
        <v>1551689431722696</v>
      </c>
      <c r="C7562" t="s">
        <v>40</v>
      </c>
      <c r="D7562">
        <v>4.1855869999999999</v>
      </c>
      <c r="E7562">
        <v>0.46844580000000002</v>
      </c>
      <c r="F7562" t="s">
        <v>60</v>
      </c>
      <c r="G7562">
        <v>0</v>
      </c>
      <c r="H7562">
        <v>0</v>
      </c>
      <c r="I7562">
        <v>0</v>
      </c>
      <c r="J7562">
        <v>-187.4007</v>
      </c>
      <c r="K7562">
        <v>1.1111660000000001</v>
      </c>
      <c r="L7562">
        <v>67.025669999999906</v>
      </c>
      <c r="M7562">
        <v>-2.268003E-2</v>
      </c>
      <c r="N7562">
        <v>-1.4156899999999899E-2</v>
      </c>
      <c r="O7562">
        <v>0.99964260000000005</v>
      </c>
      <c r="P7562">
        <v>-8.0212039999999998E-2</v>
      </c>
      <c r="Q7562">
        <v>0.42506280000000002</v>
      </c>
      <c r="R7562">
        <v>0.90160280000000004</v>
      </c>
      <c r="S7562">
        <v>-0.44044489999999997</v>
      </c>
      <c r="T7562">
        <v>1.6744749999999999</v>
      </c>
      <c r="U7562">
        <v>2.5024410000000001</v>
      </c>
      <c r="V7562">
        <v>-5.9721290000000003E-2</v>
      </c>
      <c r="W7562">
        <v>0.43780980000000003</v>
      </c>
      <c r="X7562">
        <v>0.89708189999999999</v>
      </c>
      <c r="Y7562">
        <v>-0.1215458</v>
      </c>
      <c r="Z7562">
        <v>0.56271719999999903</v>
      </c>
      <c r="AA7562">
        <v>0.81766499999999998</v>
      </c>
      <c r="AB7562">
        <v>29</v>
      </c>
      <c r="AC7562">
        <v>-0.44044489999999997</v>
      </c>
      <c r="AD7562">
        <v>1.6744749999999999</v>
      </c>
      <c r="AE7562">
        <v>2.5024410000000001</v>
      </c>
      <c r="AF7562">
        <v>-0.26742874060597599</v>
      </c>
      <c r="AG7562">
        <v>1.6744749999999999</v>
      </c>
      <c r="AH7562">
        <v>1.75124059249432</v>
      </c>
      <c r="AI7562">
        <v>46.613477244469202</v>
      </c>
      <c r="AJ7562">
        <v>98.682457099165603</v>
      </c>
      <c r="AK7562">
        <v>2.4376686135992598</v>
      </c>
      <c r="AL7562">
        <v>64.035778792729204</v>
      </c>
      <c r="AM7562">
        <v>93.808722729011905</v>
      </c>
      <c r="AN7562">
        <v>0.99999999438145704</v>
      </c>
    </row>
    <row r="7563" spans="1:40" x14ac:dyDescent="0.25">
      <c r="A7563" t="str">
        <f>"20190304165031750"</f>
        <v>20190304165031750</v>
      </c>
      <c r="B7563" t="str">
        <f>"1551689431742944"</f>
        <v>1551689431742944</v>
      </c>
      <c r="C7563" t="s">
        <v>40</v>
      </c>
      <c r="D7563">
        <v>4.188504</v>
      </c>
      <c r="E7563">
        <v>0.46818779999999999</v>
      </c>
      <c r="F7563" t="s">
        <v>60</v>
      </c>
      <c r="G7563">
        <v>0</v>
      </c>
      <c r="H7563">
        <v>0</v>
      </c>
      <c r="I7563">
        <v>0</v>
      </c>
      <c r="J7563">
        <v>-187.4076</v>
      </c>
      <c r="K7563">
        <v>1.1111799999999901</v>
      </c>
      <c r="L7563">
        <v>67.331479999999999</v>
      </c>
      <c r="M7563">
        <v>-2.2670220000000001E-2</v>
      </c>
      <c r="N7563">
        <v>-1.4157400000000001E-2</v>
      </c>
      <c r="O7563">
        <v>0.9996427</v>
      </c>
      <c r="P7563">
        <v>-8.2505579999999995E-2</v>
      </c>
      <c r="Q7563">
        <v>0.43123830000000002</v>
      </c>
      <c r="R7563">
        <v>0.89845779999999997</v>
      </c>
      <c r="S7563">
        <v>-0.45336910000000002</v>
      </c>
      <c r="T7563">
        <v>1.605359</v>
      </c>
      <c r="U7563">
        <v>2.5302120000000001</v>
      </c>
      <c r="V7563">
        <v>-6.2090050000000001E-2</v>
      </c>
      <c r="W7563">
        <v>0.44394119999999998</v>
      </c>
      <c r="X7563">
        <v>0.89390210000000003</v>
      </c>
      <c r="Y7563">
        <v>-0.12643769999999999</v>
      </c>
      <c r="Z7563">
        <v>0.54235040000000001</v>
      </c>
      <c r="AA7563">
        <v>0.83058390000000004</v>
      </c>
      <c r="AB7563">
        <v>29</v>
      </c>
      <c r="AC7563">
        <v>-0.45336910000000002</v>
      </c>
      <c r="AD7563">
        <v>1.605359</v>
      </c>
      <c r="AE7563">
        <v>2.5302120000000001</v>
      </c>
      <c r="AF7563">
        <v>-0.28480268674524001</v>
      </c>
      <c r="AG7563">
        <v>1.605359</v>
      </c>
      <c r="AH7563">
        <v>1.8271744865657</v>
      </c>
      <c r="AI7563">
        <v>49.038116433788403</v>
      </c>
      <c r="AJ7563">
        <v>98.859435007159306</v>
      </c>
      <c r="AK7563">
        <v>2.4488480339978098</v>
      </c>
      <c r="AL7563">
        <v>63.6443820458868</v>
      </c>
      <c r="AM7563">
        <v>93.973358060973595</v>
      </c>
      <c r="AN7563">
        <v>0.999999963875425</v>
      </c>
    </row>
    <row r="7564" spans="1:40" x14ac:dyDescent="0.25">
      <c r="A7564" t="str">
        <f>"20190304165031772"</f>
        <v>20190304165031772</v>
      </c>
      <c r="B7564" t="str">
        <f>"1551689431763440"</f>
        <v>1551689431763440</v>
      </c>
      <c r="C7564" t="s">
        <v>40</v>
      </c>
      <c r="D7564">
        <v>4.1199620000000001</v>
      </c>
      <c r="E7564">
        <v>0.46829520000000002</v>
      </c>
      <c r="F7564" t="s">
        <v>60</v>
      </c>
      <c r="G7564">
        <v>0</v>
      </c>
      <c r="H7564">
        <v>0</v>
      </c>
      <c r="I7564">
        <v>0</v>
      </c>
      <c r="J7564">
        <v>-187.4143</v>
      </c>
      <c r="K7564">
        <v>1.111189</v>
      </c>
      <c r="L7564">
        <v>67.62567</v>
      </c>
      <c r="M7564">
        <v>-2.2656740000000002E-2</v>
      </c>
      <c r="N7564">
        <v>-1.4157390000000001E-2</v>
      </c>
      <c r="O7564">
        <v>0.99964299999999995</v>
      </c>
      <c r="P7564">
        <v>-8.3934220000000004E-2</v>
      </c>
      <c r="Q7564">
        <v>0.43441259999999998</v>
      </c>
      <c r="R7564">
        <v>0.89679469999999994</v>
      </c>
      <c r="S7564">
        <v>-0.46122740000000001</v>
      </c>
      <c r="T7564">
        <v>1.6197999999999999</v>
      </c>
      <c r="U7564">
        <v>2.5192260000000002</v>
      </c>
      <c r="V7564">
        <v>-6.3563690000000006E-2</v>
      </c>
      <c r="W7564">
        <v>0.44709339999999997</v>
      </c>
      <c r="X7564">
        <v>0.89222599999999996</v>
      </c>
      <c r="Y7564">
        <v>-0.1290491</v>
      </c>
      <c r="Z7564">
        <v>0.54714659999999904</v>
      </c>
      <c r="AA7564">
        <v>0.82702900000000001</v>
      </c>
      <c r="AB7564">
        <v>29</v>
      </c>
      <c r="AC7564">
        <v>-0.46122740000000001</v>
      </c>
      <c r="AD7564">
        <v>1.6197999999999999</v>
      </c>
      <c r="AE7564">
        <v>2.5192260000000002</v>
      </c>
      <c r="AF7564">
        <v>-0.28858798043509798</v>
      </c>
      <c r="AG7564">
        <v>1.6197999999999999</v>
      </c>
      <c r="AH7564">
        <v>1.8064383241333899</v>
      </c>
      <c r="AI7564">
        <v>48.476599461300601</v>
      </c>
      <c r="AJ7564">
        <v>99.076602495381294</v>
      </c>
      <c r="AK7564">
        <v>2.4434104201606099</v>
      </c>
      <c r="AL7564">
        <v>63.442649355895398</v>
      </c>
      <c r="AM7564">
        <v>94.074963595635893</v>
      </c>
      <c r="AN7564">
        <v>1.0000000430429801</v>
      </c>
    </row>
    <row r="7565" spans="1:40" x14ac:dyDescent="0.25">
      <c r="A7565" t="str">
        <f>"20190304165031794"</f>
        <v>20190304165031794</v>
      </c>
      <c r="B7565" t="str">
        <f>"1551689431782970"</f>
        <v>1551689431782970</v>
      </c>
      <c r="C7565" t="s">
        <v>40</v>
      </c>
      <c r="D7565">
        <v>4.0861159999999996</v>
      </c>
      <c r="E7565">
        <v>0.4691514</v>
      </c>
      <c r="F7565" t="s">
        <v>60</v>
      </c>
      <c r="G7565">
        <v>0</v>
      </c>
      <c r="H7565">
        <v>0</v>
      </c>
      <c r="I7565">
        <v>0</v>
      </c>
      <c r="J7565">
        <v>-187.42070000000001</v>
      </c>
      <c r="K7565">
        <v>1.1111930000000001</v>
      </c>
      <c r="L7565">
        <v>67.908999999999907</v>
      </c>
      <c r="M7565">
        <v>-2.2640259999999999E-2</v>
      </c>
      <c r="N7565">
        <v>-1.415697E-2</v>
      </c>
      <c r="O7565">
        <v>0.99964339999999996</v>
      </c>
      <c r="P7565">
        <v>-8.4819240000000004E-2</v>
      </c>
      <c r="Q7565">
        <v>0.43483050000000001</v>
      </c>
      <c r="R7565">
        <v>0.89650889999999905</v>
      </c>
      <c r="S7565">
        <v>-0.4634857</v>
      </c>
      <c r="T7565">
        <v>1.6301110000000001</v>
      </c>
      <c r="U7565">
        <v>2.512238</v>
      </c>
      <c r="V7565">
        <v>-6.4465980000000006E-2</v>
      </c>
      <c r="W7565">
        <v>0.4475075</v>
      </c>
      <c r="X7565">
        <v>0.89195360000000001</v>
      </c>
      <c r="Y7565">
        <v>-0.12980149999999999</v>
      </c>
      <c r="Z7565">
        <v>0.55051549999999905</v>
      </c>
      <c r="AA7565">
        <v>0.82467219999999997</v>
      </c>
      <c r="AB7565">
        <v>29</v>
      </c>
      <c r="AC7565">
        <v>-0.4634857</v>
      </c>
      <c r="AD7565">
        <v>1.6301110000000001</v>
      </c>
      <c r="AE7565">
        <v>2.512238</v>
      </c>
      <c r="AF7565">
        <v>-0.28886573239440799</v>
      </c>
      <c r="AG7565">
        <v>1.6301110000000001</v>
      </c>
      <c r="AH7565">
        <v>1.79231138997483</v>
      </c>
      <c r="AI7565">
        <v>48.078858459703397</v>
      </c>
      <c r="AJ7565">
        <v>99.155593641894498</v>
      </c>
      <c r="AK7565">
        <v>2.43989454737418</v>
      </c>
      <c r="AL7565">
        <v>63.416120868693497</v>
      </c>
      <c r="AM7565">
        <v>94.133866619157502</v>
      </c>
      <c r="AN7565">
        <v>1.0000000248432801</v>
      </c>
    </row>
    <row r="7566" spans="1:40" x14ac:dyDescent="0.25">
      <c r="A7566" t="str">
        <f>"20190304165031818"</f>
        <v>20190304165031818</v>
      </c>
      <c r="B7566" t="str">
        <f>"1551689431813217"</f>
        <v>1551689431813217</v>
      </c>
      <c r="C7566" t="s">
        <v>40</v>
      </c>
      <c r="D7566">
        <v>4.0508499999999996</v>
      </c>
      <c r="E7566">
        <v>0.46997339999999999</v>
      </c>
      <c r="F7566" t="s">
        <v>60</v>
      </c>
      <c r="G7566">
        <v>0</v>
      </c>
      <c r="H7566">
        <v>0</v>
      </c>
      <c r="I7566">
        <v>0</v>
      </c>
      <c r="J7566">
        <v>-187.4273</v>
      </c>
      <c r="K7566">
        <v>1.111189</v>
      </c>
      <c r="L7566">
        <v>68.200990000000004</v>
      </c>
      <c r="M7566">
        <v>-2.2620410000000001E-2</v>
      </c>
      <c r="N7566">
        <v>-1.4156139999999999E-2</v>
      </c>
      <c r="O7566">
        <v>0.99964390000000003</v>
      </c>
      <c r="P7566">
        <v>-8.5497470000000006E-2</v>
      </c>
      <c r="Q7566">
        <v>0.43395840000000002</v>
      </c>
      <c r="R7566">
        <v>0.89686690000000002</v>
      </c>
      <c r="S7566">
        <v>-0.45880130000000002</v>
      </c>
      <c r="T7566">
        <v>1.6291800000000001</v>
      </c>
      <c r="U7566">
        <v>2.5126949999999999</v>
      </c>
      <c r="V7566">
        <v>-6.5152089999999996E-2</v>
      </c>
      <c r="W7566">
        <v>0.44664039999999999</v>
      </c>
      <c r="X7566">
        <v>0.89233830000000003</v>
      </c>
      <c r="Y7566">
        <v>-0.12831869999999901</v>
      </c>
      <c r="Z7566">
        <v>0.55034689999999997</v>
      </c>
      <c r="AA7566">
        <v>0.82501679999999999</v>
      </c>
      <c r="AB7566">
        <v>29</v>
      </c>
      <c r="AC7566">
        <v>-0.45880130000000002</v>
      </c>
      <c r="AD7566">
        <v>1.6291800000000001</v>
      </c>
      <c r="AE7566">
        <v>2.5126949999999999</v>
      </c>
      <c r="AF7566">
        <v>-0.28563464938048599</v>
      </c>
      <c r="AG7566">
        <v>1.6291800000000001</v>
      </c>
      <c r="AH7566">
        <v>1.79298670204151</v>
      </c>
      <c r="AI7566">
        <v>48.097570512715201</v>
      </c>
      <c r="AJ7566">
        <v>99.051536575844906</v>
      </c>
      <c r="AK7566">
        <v>2.4393884354535298</v>
      </c>
      <c r="AL7566">
        <v>63.471662254987599</v>
      </c>
      <c r="AM7566">
        <v>94.175913612972295</v>
      </c>
      <c r="AN7566">
        <v>1.0000000416952</v>
      </c>
    </row>
    <row r="7567" spans="1:40" x14ac:dyDescent="0.25">
      <c r="A7567" t="str">
        <f>"20190304165031839"</f>
        <v>20190304165031839</v>
      </c>
      <c r="B7567" t="str">
        <f>"1551689431832736"</f>
        <v>1551689431832736</v>
      </c>
      <c r="C7567" t="s">
        <v>40</v>
      </c>
      <c r="D7567">
        <v>4.0658279999999998</v>
      </c>
      <c r="E7567">
        <v>0.47030349999999999</v>
      </c>
      <c r="F7567" t="s">
        <v>60</v>
      </c>
      <c r="G7567">
        <v>0</v>
      </c>
      <c r="H7567">
        <v>0</v>
      </c>
      <c r="I7567">
        <v>0</v>
      </c>
      <c r="J7567">
        <v>-187.43360000000001</v>
      </c>
      <c r="K7567">
        <v>1.111186</v>
      </c>
      <c r="L7567">
        <v>68.481229999999996</v>
      </c>
      <c r="M7567">
        <v>-2.2599350000000001E-2</v>
      </c>
      <c r="N7567">
        <v>-1.415518E-2</v>
      </c>
      <c r="O7567">
        <v>0.99964439999999999</v>
      </c>
      <c r="P7567">
        <v>-8.6254910000000004E-2</v>
      </c>
      <c r="Q7567">
        <v>0.43309550000000002</v>
      </c>
      <c r="R7567">
        <v>0.89721139999999999</v>
      </c>
      <c r="S7567">
        <v>-0.45463559999999997</v>
      </c>
      <c r="T7567">
        <v>1.618527</v>
      </c>
      <c r="U7567">
        <v>2.518494</v>
      </c>
      <c r="V7567">
        <v>-6.5919699999999998E-2</v>
      </c>
      <c r="W7567">
        <v>0.44578180000000001</v>
      </c>
      <c r="X7567">
        <v>0.89271119999999904</v>
      </c>
      <c r="Y7567">
        <v>-0.1270461</v>
      </c>
      <c r="Z7567">
        <v>0.54711359999999998</v>
      </c>
      <c r="AA7567">
        <v>0.82736089999999995</v>
      </c>
      <c r="AB7567">
        <v>29</v>
      </c>
      <c r="AC7567">
        <v>-0.45463559999999997</v>
      </c>
      <c r="AD7567">
        <v>1.618527</v>
      </c>
      <c r="AE7567">
        <v>2.518494</v>
      </c>
      <c r="AF7567">
        <v>-0.28400351237557098</v>
      </c>
      <c r="AG7567">
        <v>1.618527</v>
      </c>
      <c r="AH7567">
        <v>1.8058383810149301</v>
      </c>
      <c r="AI7567">
        <v>48.478581407635403</v>
      </c>
      <c r="AJ7567">
        <v>98.937677799300701</v>
      </c>
      <c r="AK7567">
        <v>2.4415855305758298</v>
      </c>
      <c r="AL7567">
        <v>63.526632563934598</v>
      </c>
      <c r="AM7567">
        <v>94.223177902123794</v>
      </c>
      <c r="AN7567">
        <v>1.0000000533323801</v>
      </c>
    </row>
    <row r="7568" spans="1:40" x14ac:dyDescent="0.25">
      <c r="A7568" t="str">
        <f>"20190304165031862"</f>
        <v>20190304165031862</v>
      </c>
      <c r="B7568" t="str">
        <f>"1551689431852690"</f>
        <v>1551689431852690</v>
      </c>
      <c r="C7568" t="s">
        <v>40</v>
      </c>
      <c r="D7568">
        <v>4.0335020000000004</v>
      </c>
      <c r="E7568">
        <v>0.47065659999999998</v>
      </c>
      <c r="F7568" t="s">
        <v>60</v>
      </c>
      <c r="G7568">
        <v>0</v>
      </c>
      <c r="H7568">
        <v>0</v>
      </c>
      <c r="I7568">
        <v>0</v>
      </c>
      <c r="J7568">
        <v>-187.44030000000001</v>
      </c>
      <c r="K7568">
        <v>1.1111819999999999</v>
      </c>
      <c r="L7568">
        <v>68.780029999999996</v>
      </c>
      <c r="M7568">
        <v>-2.2576510000000001E-2</v>
      </c>
      <c r="N7568">
        <v>-1.4153890000000001E-2</v>
      </c>
      <c r="O7568">
        <v>0.99964489999999995</v>
      </c>
      <c r="P7568">
        <v>-8.7467009999999998E-2</v>
      </c>
      <c r="Q7568">
        <v>0.43321799999999999</v>
      </c>
      <c r="R7568">
        <v>0.89703489999999997</v>
      </c>
      <c r="S7568">
        <v>-0.45477289999999998</v>
      </c>
      <c r="T7568">
        <v>1.61312099999999</v>
      </c>
      <c r="U7568">
        <v>2.5213009999999998</v>
      </c>
      <c r="V7568">
        <v>-6.7156019999999997E-2</v>
      </c>
      <c r="W7568">
        <v>0.4459013</v>
      </c>
      <c r="X7568">
        <v>0.89255930000000006</v>
      </c>
      <c r="Y7568">
        <v>-0.1271428</v>
      </c>
      <c r="Z7568">
        <v>0.54543249999999999</v>
      </c>
      <c r="AA7568">
        <v>0.82845530000000001</v>
      </c>
      <c r="AB7568">
        <v>29</v>
      </c>
      <c r="AC7568">
        <v>-0.45477289999999998</v>
      </c>
      <c r="AD7568">
        <v>1.61312099999999</v>
      </c>
      <c r="AE7568">
        <v>2.5213009999999998</v>
      </c>
      <c r="AF7568">
        <v>-0.28481596582124002</v>
      </c>
      <c r="AG7568">
        <v>1.61312099999999</v>
      </c>
      <c r="AH7568">
        <v>1.8124102396525601</v>
      </c>
      <c r="AI7568">
        <v>48.676405460450297</v>
      </c>
      <c r="AJ7568">
        <v>98.930856730045605</v>
      </c>
      <c r="AK7568">
        <v>2.4429716273066102</v>
      </c>
      <c r="AL7568">
        <v>63.518981954164801</v>
      </c>
      <c r="AM7568">
        <v>94.302818107301505</v>
      </c>
      <c r="AN7568">
        <v>1.00000000219021</v>
      </c>
    </row>
    <row r="7569" spans="1:40" x14ac:dyDescent="0.25">
      <c r="A7569" t="str">
        <f>"20190304165031885"</f>
        <v>20190304165031885</v>
      </c>
      <c r="B7569" t="str">
        <f>"1551689431882945"</f>
        <v>1551689431882945</v>
      </c>
      <c r="C7569" t="s">
        <v>40</v>
      </c>
      <c r="D7569">
        <v>4.0583819999999999</v>
      </c>
      <c r="E7569">
        <v>0.47083009999999997</v>
      </c>
      <c r="F7569" t="s">
        <v>60</v>
      </c>
      <c r="G7569">
        <v>0</v>
      </c>
      <c r="H7569">
        <v>0</v>
      </c>
      <c r="I7569">
        <v>0</v>
      </c>
      <c r="J7569">
        <v>-187.447</v>
      </c>
      <c r="K7569">
        <v>1.111192</v>
      </c>
      <c r="L7569">
        <v>69.078639999999993</v>
      </c>
      <c r="M7569">
        <v>-2.2554769999999998E-2</v>
      </c>
      <c r="N7569">
        <v>-1.4152100000000001E-2</v>
      </c>
      <c r="O7569">
        <v>0.99964540000000002</v>
      </c>
      <c r="P7569">
        <v>-8.8702900000000001E-2</v>
      </c>
      <c r="Q7569">
        <v>0.43493660000000001</v>
      </c>
      <c r="R7569">
        <v>0.89608149999999998</v>
      </c>
      <c r="S7569">
        <v>-0.45608520000000002</v>
      </c>
      <c r="T7569">
        <v>1.610209</v>
      </c>
      <c r="U7569">
        <v>2.5222470000000001</v>
      </c>
      <c r="V7569">
        <v>-6.8432789999999993E-2</v>
      </c>
      <c r="W7569">
        <v>0.44760470000000002</v>
      </c>
      <c r="X7569">
        <v>0.89160919999999899</v>
      </c>
      <c r="Y7569">
        <v>-0.12762689999999999</v>
      </c>
      <c r="Z7569">
        <v>0.54457730000000004</v>
      </c>
      <c r="AA7569">
        <v>0.82894330000000005</v>
      </c>
      <c r="AB7569">
        <v>29</v>
      </c>
      <c r="AC7569">
        <v>-0.45608520000000002</v>
      </c>
      <c r="AD7569">
        <v>1.610209</v>
      </c>
      <c r="AE7569">
        <v>2.5222470000000001</v>
      </c>
      <c r="AF7569">
        <v>-0.28614614400905197</v>
      </c>
      <c r="AG7569">
        <v>1.610209</v>
      </c>
      <c r="AH7569">
        <v>1.81542796639152</v>
      </c>
      <c r="AI7569">
        <v>48.777044105477998</v>
      </c>
      <c r="AJ7569">
        <v>98.957217955387307</v>
      </c>
      <c r="AK7569">
        <v>2.4434466109511601</v>
      </c>
      <c r="AL7569">
        <v>63.409892174097102</v>
      </c>
      <c r="AM7569">
        <v>94.388960944227705</v>
      </c>
      <c r="AN7569">
        <v>0.99999998986695604</v>
      </c>
    </row>
    <row r="7570" spans="1:40" x14ac:dyDescent="0.25">
      <c r="A7570" t="str">
        <f>"20190304165031906"</f>
        <v>20190304165031906</v>
      </c>
      <c r="B7570" t="str">
        <f>"1551689431903441"</f>
        <v>1551689431903441</v>
      </c>
      <c r="C7570" t="s">
        <v>40</v>
      </c>
      <c r="D7570">
        <v>4.058719</v>
      </c>
      <c r="E7570">
        <v>0.4709139</v>
      </c>
      <c r="F7570" t="s">
        <v>60</v>
      </c>
      <c r="G7570">
        <v>0</v>
      </c>
      <c r="H7570">
        <v>0</v>
      </c>
      <c r="I7570">
        <v>0</v>
      </c>
      <c r="J7570">
        <v>-187.453</v>
      </c>
      <c r="K7570">
        <v>1.1112</v>
      </c>
      <c r="L7570">
        <v>69.346339999999998</v>
      </c>
      <c r="M7570">
        <v>-2.2535909999999999E-2</v>
      </c>
      <c r="N7570">
        <v>-1.415025E-2</v>
      </c>
      <c r="O7570">
        <v>0.99964589999999998</v>
      </c>
      <c r="P7570">
        <v>-9.0603329999999996E-2</v>
      </c>
      <c r="Q7570">
        <v>0.43619010000000003</v>
      </c>
      <c r="R7570">
        <v>0.89528169999999996</v>
      </c>
      <c r="S7570">
        <v>-0.45796199999999998</v>
      </c>
      <c r="T7570">
        <v>1.6155550000000001</v>
      </c>
      <c r="U7570">
        <v>2.5184329999999999</v>
      </c>
      <c r="V7570">
        <v>-7.036734E-2</v>
      </c>
      <c r="W7570">
        <v>0.44884639999999998</v>
      </c>
      <c r="X7570">
        <v>0.89083409999999996</v>
      </c>
      <c r="Y7570">
        <v>-0.12826489999999999</v>
      </c>
      <c r="Z7570">
        <v>0.5463403</v>
      </c>
      <c r="AA7570">
        <v>0.82768379999999997</v>
      </c>
      <c r="AB7570">
        <v>29</v>
      </c>
      <c r="AC7570">
        <v>-0.45796199999999998</v>
      </c>
      <c r="AD7570">
        <v>1.6155550000000001</v>
      </c>
      <c r="AE7570">
        <v>2.5184329999999999</v>
      </c>
      <c r="AF7570">
        <v>-0.28682921255025001</v>
      </c>
      <c r="AG7570">
        <v>1.6155550000000001</v>
      </c>
      <c r="AH7570">
        <v>1.8079398443146599</v>
      </c>
      <c r="AI7570">
        <v>48.569949965943103</v>
      </c>
      <c r="AJ7570">
        <v>99.014828773038701</v>
      </c>
      <c r="AK7570">
        <v>2.4415027003584702</v>
      </c>
      <c r="AL7570">
        <v>63.330306445173903</v>
      </c>
      <c r="AM7570">
        <v>94.5164385849328</v>
      </c>
      <c r="AN7570">
        <v>1.00000002352722</v>
      </c>
    </row>
    <row r="7571" spans="1:40" x14ac:dyDescent="0.25">
      <c r="A7571" t="str">
        <f>"20190304165031939"</f>
        <v>20190304165031939</v>
      </c>
      <c r="B7571" t="str">
        <f>"1551689431932721"</f>
        <v>1551689431932721</v>
      </c>
      <c r="C7571" t="s">
        <v>40</v>
      </c>
      <c r="D7571">
        <v>4.0494490000000001</v>
      </c>
      <c r="E7571">
        <v>0.47111710000000001</v>
      </c>
      <c r="F7571" t="s">
        <v>60</v>
      </c>
      <c r="G7571">
        <v>0</v>
      </c>
      <c r="H7571">
        <v>0</v>
      </c>
      <c r="I7571">
        <v>0</v>
      </c>
      <c r="J7571">
        <v>-187.46250000000001</v>
      </c>
      <c r="K7571">
        <v>1.1111930000000001</v>
      </c>
      <c r="L7571">
        <v>69.767969999999906</v>
      </c>
      <c r="M7571">
        <v>-2.2507220000000001E-2</v>
      </c>
      <c r="N7571">
        <v>-1.4147059999999999E-2</v>
      </c>
      <c r="O7571">
        <v>0.99964660000000005</v>
      </c>
      <c r="P7571">
        <v>-9.2767240000000001E-2</v>
      </c>
      <c r="Q7571">
        <v>0.43390659999999998</v>
      </c>
      <c r="R7571">
        <v>0.896169199999999</v>
      </c>
      <c r="S7571">
        <v>-0.46229550000000003</v>
      </c>
      <c r="T7571">
        <v>1.6194200000000001</v>
      </c>
      <c r="U7571">
        <v>2.5151059999999998</v>
      </c>
      <c r="V7571">
        <v>-7.2537030000000002E-2</v>
      </c>
      <c r="W7571">
        <v>0.44657340000000001</v>
      </c>
      <c r="X7571">
        <v>0.89180190000000004</v>
      </c>
      <c r="Y7571">
        <v>-0.12972429999999999</v>
      </c>
      <c r="Z7571">
        <v>0.54762089999999997</v>
      </c>
      <c r="AA7571">
        <v>0.82660929999999999</v>
      </c>
      <c r="AB7571">
        <v>29</v>
      </c>
      <c r="AC7571">
        <v>-0.46229550000000003</v>
      </c>
      <c r="AD7571">
        <v>1.6194200000000001</v>
      </c>
      <c r="AE7571">
        <v>2.5151059999999998</v>
      </c>
      <c r="AF7571">
        <v>-0.28947621778960397</v>
      </c>
      <c r="AG7571">
        <v>1.6194200000000001</v>
      </c>
      <c r="AH7571">
        <v>1.8021570248027901</v>
      </c>
      <c r="AI7571">
        <v>48.419662562061397</v>
      </c>
      <c r="AJ7571">
        <v>99.125336608681494</v>
      </c>
      <c r="AK7571">
        <v>2.44009990760867</v>
      </c>
      <c r="AL7571">
        <v>63.475952268058599</v>
      </c>
      <c r="AM7571">
        <v>94.650064825405707</v>
      </c>
      <c r="AN7571">
        <v>1.0000000255761901</v>
      </c>
    </row>
    <row r="7572" spans="1:40" x14ac:dyDescent="0.25">
      <c r="A7572" t="str">
        <f>"20190304165031963"</f>
        <v>20190304165031963</v>
      </c>
      <c r="B7572" t="str">
        <f>"1551689431953217"</f>
        <v>1551689431953217</v>
      </c>
      <c r="C7572" t="s">
        <v>40</v>
      </c>
      <c r="D7572">
        <v>4.0441599999999998</v>
      </c>
      <c r="E7572">
        <v>0.4712575</v>
      </c>
      <c r="F7572" t="s">
        <v>60</v>
      </c>
      <c r="G7572">
        <v>0</v>
      </c>
      <c r="H7572">
        <v>0</v>
      </c>
      <c r="I7572">
        <v>0</v>
      </c>
      <c r="J7572">
        <v>-187.46940000000001</v>
      </c>
      <c r="K7572">
        <v>1.1112</v>
      </c>
      <c r="L7572">
        <v>70.076999999999998</v>
      </c>
      <c r="M7572">
        <v>-2.248671E-2</v>
      </c>
      <c r="N7572">
        <v>-1.4144540000000001E-2</v>
      </c>
      <c r="O7572">
        <v>0.99964710000000001</v>
      </c>
      <c r="P7572">
        <v>-9.3983109999999995E-2</v>
      </c>
      <c r="Q7572">
        <v>0.4326815</v>
      </c>
      <c r="R7572">
        <v>0.89663479999999995</v>
      </c>
      <c r="S7572">
        <v>-0.46678160000000002</v>
      </c>
      <c r="T7572">
        <v>1.610579</v>
      </c>
      <c r="U7572">
        <v>2.5194399999999999</v>
      </c>
      <c r="V7572">
        <v>-7.3760729999999997E-2</v>
      </c>
      <c r="W7572">
        <v>0.4453532</v>
      </c>
      <c r="X7572">
        <v>0.89231159999999998</v>
      </c>
      <c r="Y7572">
        <v>-0.1312516</v>
      </c>
      <c r="Z7572">
        <v>0.54480240000000002</v>
      </c>
      <c r="AA7572">
        <v>0.82822899999999999</v>
      </c>
      <c r="AB7572">
        <v>29</v>
      </c>
      <c r="AC7572">
        <v>-0.46678160000000002</v>
      </c>
      <c r="AD7572">
        <v>1.610579</v>
      </c>
      <c r="AE7572">
        <v>2.5194399999999999</v>
      </c>
      <c r="AF7572">
        <v>-0.29389017875033502</v>
      </c>
      <c r="AG7572">
        <v>1.610579</v>
      </c>
      <c r="AH7572">
        <v>1.81299833009075</v>
      </c>
      <c r="AI7572">
        <v>48.752328344360897</v>
      </c>
      <c r="AJ7572">
        <v>99.207653118775298</v>
      </c>
      <c r="AK7572">
        <v>2.4428055791075001</v>
      </c>
      <c r="AL7572">
        <v>63.554062948552001</v>
      </c>
      <c r="AM7572">
        <v>94.725470159983502</v>
      </c>
      <c r="AN7572">
        <v>1.0000000547674599</v>
      </c>
    </row>
    <row r="7573" spans="1:40" x14ac:dyDescent="0.25">
      <c r="A7573" t="str">
        <f>"20190304165031985"</f>
        <v>20190304165031985</v>
      </c>
      <c r="B7573" t="str">
        <f>"1551689431983474"</f>
        <v>1551689431983474</v>
      </c>
      <c r="C7573" t="s">
        <v>40</v>
      </c>
      <c r="D7573">
        <v>4.0888330000000002</v>
      </c>
      <c r="E7573">
        <v>0.47143160000000001</v>
      </c>
      <c r="F7573" t="s">
        <v>60</v>
      </c>
      <c r="G7573">
        <v>0</v>
      </c>
      <c r="H7573">
        <v>0</v>
      </c>
      <c r="I7573">
        <v>0</v>
      </c>
      <c r="J7573">
        <v>-187.47579999999999</v>
      </c>
      <c r="K7573">
        <v>1.111197</v>
      </c>
      <c r="L7573">
        <v>70.359679999999997</v>
      </c>
      <c r="M7573">
        <v>-2.2468120000000001E-2</v>
      </c>
      <c r="N7573">
        <v>-1.414208E-2</v>
      </c>
      <c r="O7573">
        <v>0.99964759999999997</v>
      </c>
      <c r="P7573">
        <v>-9.4478380000000001E-2</v>
      </c>
      <c r="Q7573">
        <v>0.43195149999999999</v>
      </c>
      <c r="R7573">
        <v>0.89693459999999903</v>
      </c>
      <c r="S7573">
        <v>-0.4685974</v>
      </c>
      <c r="T7573">
        <v>1.6063019999999999</v>
      </c>
      <c r="U7573">
        <v>2.5216059999999998</v>
      </c>
      <c r="V7573">
        <v>-7.4265979999999995E-2</v>
      </c>
      <c r="W7573">
        <v>0.44462499999999999</v>
      </c>
      <c r="X7573">
        <v>0.89263269999999995</v>
      </c>
      <c r="Y7573">
        <v>-0.13188139999999901</v>
      </c>
      <c r="Z7573">
        <v>0.54343350000000001</v>
      </c>
      <c r="AA7573">
        <v>0.82902790000000004</v>
      </c>
      <c r="AB7573">
        <v>29</v>
      </c>
      <c r="AC7573">
        <v>-0.4685974</v>
      </c>
      <c r="AD7573">
        <v>1.6063019999999999</v>
      </c>
      <c r="AE7573">
        <v>2.5216059999999998</v>
      </c>
      <c r="AF7573">
        <v>-0.29579438957105902</v>
      </c>
      <c r="AG7573">
        <v>1.6063019999999999</v>
      </c>
      <c r="AH7573">
        <v>1.81828806643289</v>
      </c>
      <c r="AI7573">
        <v>48.913128554917101</v>
      </c>
      <c r="AJ7573">
        <v>99.239789185903206</v>
      </c>
      <c r="AK7573">
        <v>2.4441505535948398</v>
      </c>
      <c r="AL7573">
        <v>63.6006506088763</v>
      </c>
      <c r="AM7573">
        <v>94.7559872438447</v>
      </c>
      <c r="AN7573">
        <v>0.99999998175982496</v>
      </c>
    </row>
    <row r="7574" spans="1:40" x14ac:dyDescent="0.25">
      <c r="A7574" t="str">
        <f>"20190304165032006"</f>
        <v>20190304165032006</v>
      </c>
      <c r="B7574" t="str">
        <f>"1551689432002993"</f>
        <v>1551689432002993</v>
      </c>
      <c r="C7574" t="s">
        <v>40</v>
      </c>
      <c r="D7574">
        <v>4.1092909999999998</v>
      </c>
      <c r="E7574">
        <v>0.47162549999999998</v>
      </c>
      <c r="F7574" t="s">
        <v>60</v>
      </c>
      <c r="G7574">
        <v>0</v>
      </c>
      <c r="H7574">
        <v>0</v>
      </c>
      <c r="I7574">
        <v>0</v>
      </c>
      <c r="J7574">
        <v>-187.48169999999999</v>
      </c>
      <c r="K7574">
        <v>1.1111879999999901</v>
      </c>
      <c r="L7574">
        <v>70.622919999999993</v>
      </c>
      <c r="M7574">
        <v>-2.2450589999999999E-2</v>
      </c>
      <c r="N7574">
        <v>-1.413971E-2</v>
      </c>
      <c r="O7574">
        <v>0.99964799999999998</v>
      </c>
      <c r="P7574">
        <v>-9.3782199999999996E-2</v>
      </c>
      <c r="Q7574">
        <v>0.42946279999999998</v>
      </c>
      <c r="R7574">
        <v>0.8982019</v>
      </c>
      <c r="S7574">
        <v>-0.46768189999999998</v>
      </c>
      <c r="T7574">
        <v>1.6030260000000001</v>
      </c>
      <c r="U7574">
        <v>2.5234380000000001</v>
      </c>
      <c r="V7574">
        <v>-7.355797E-2</v>
      </c>
      <c r="W7574">
        <v>0.44215260000000001</v>
      </c>
      <c r="X7574">
        <v>0.89391849999999995</v>
      </c>
      <c r="Y7574">
        <v>-0.13161619999999999</v>
      </c>
      <c r="Z7574">
        <v>0.54241600000000001</v>
      </c>
      <c r="AA7574">
        <v>0.82973619999999904</v>
      </c>
      <c r="AB7574">
        <v>29</v>
      </c>
      <c r="AC7574">
        <v>-0.46768189999999998</v>
      </c>
      <c r="AD7574">
        <v>1.6030260000000001</v>
      </c>
      <c r="AE7574">
        <v>2.5234380000000001</v>
      </c>
      <c r="AF7574">
        <v>-0.29558424540886202</v>
      </c>
      <c r="AG7574">
        <v>1.6030260000000001</v>
      </c>
      <c r="AH7574">
        <v>1.8223266571657899</v>
      </c>
      <c r="AI7574">
        <v>49.031865499642301</v>
      </c>
      <c r="AJ7574">
        <v>99.213226593437</v>
      </c>
      <c r="AK7574">
        <v>2.4449819729860902</v>
      </c>
      <c r="AL7574">
        <v>63.758693392079401</v>
      </c>
      <c r="AM7574">
        <v>94.704105787800302</v>
      </c>
      <c r="AN7574">
        <v>0.99999999063976497</v>
      </c>
    </row>
    <row r="7575" spans="1:40" x14ac:dyDescent="0.25">
      <c r="A7575" t="str">
        <f>"20190304165032029"</f>
        <v>20190304165032029</v>
      </c>
      <c r="B7575" t="str">
        <f>"1551689432023489"</f>
        <v>1551689432023489</v>
      </c>
      <c r="C7575" t="s">
        <v>40</v>
      </c>
      <c r="D7575">
        <v>4.1168250000000004</v>
      </c>
      <c r="E7575">
        <v>0.4717905</v>
      </c>
      <c r="F7575" t="s">
        <v>60</v>
      </c>
      <c r="G7575">
        <v>0</v>
      </c>
      <c r="H7575">
        <v>0</v>
      </c>
      <c r="I7575">
        <v>0</v>
      </c>
      <c r="J7575">
        <v>-187.48820000000001</v>
      </c>
      <c r="K7575">
        <v>1.1111709999999999</v>
      </c>
      <c r="L7575">
        <v>70.913849999999996</v>
      </c>
      <c r="M7575">
        <v>-2.243123E-2</v>
      </c>
      <c r="N7575">
        <v>-1.413711E-2</v>
      </c>
      <c r="O7575">
        <v>0.99964850000000005</v>
      </c>
      <c r="P7575">
        <v>-9.3195810000000004E-2</v>
      </c>
      <c r="Q7575">
        <v>0.42533290000000001</v>
      </c>
      <c r="R7575">
        <v>0.90022579999999996</v>
      </c>
      <c r="S7575">
        <v>-0.46369929999999898</v>
      </c>
      <c r="T7575">
        <v>1.5949409999999999</v>
      </c>
      <c r="U7575">
        <v>2.5289920000000001</v>
      </c>
      <c r="V7575">
        <v>-7.2944079999999994E-2</v>
      </c>
      <c r="W7575">
        <v>0.43804890000000002</v>
      </c>
      <c r="X7575">
        <v>0.89598679999999997</v>
      </c>
      <c r="Y7575">
        <v>-0.1303368</v>
      </c>
      <c r="Z7575">
        <v>0.53979560000000004</v>
      </c>
      <c r="AA7575">
        <v>0.83164479999999996</v>
      </c>
      <c r="AB7575">
        <v>29</v>
      </c>
      <c r="AC7575">
        <v>-0.46369929999999898</v>
      </c>
      <c r="AD7575">
        <v>1.5949409999999999</v>
      </c>
      <c r="AE7575">
        <v>2.5289920000000001</v>
      </c>
      <c r="AF7575">
        <v>-0.29379606865379998</v>
      </c>
      <c r="AG7575">
        <v>1.5949409999999999</v>
      </c>
      <c r="AH7575">
        <v>1.83330411946044</v>
      </c>
      <c r="AI7575">
        <v>49.336726871040497</v>
      </c>
      <c r="AJ7575">
        <v>99.104519557501405</v>
      </c>
      <c r="AK7575">
        <v>2.4476839906058299</v>
      </c>
      <c r="AL7575">
        <v>64.020540924427607</v>
      </c>
      <c r="AM7575">
        <v>94.654299515834296</v>
      </c>
      <c r="AN7575">
        <v>1.00000001168624</v>
      </c>
    </row>
    <row r="7576" spans="1:40" x14ac:dyDescent="0.25">
      <c r="A7576" t="str">
        <f>"20190304165032050"</f>
        <v>20190304165032050</v>
      </c>
      <c r="B7576" t="str">
        <f>"1551689432043009"</f>
        <v>1551689432043009</v>
      </c>
      <c r="C7576" t="s">
        <v>40</v>
      </c>
      <c r="D7576">
        <v>4.1657830000000002</v>
      </c>
      <c r="E7576">
        <v>0.4719469</v>
      </c>
      <c r="F7576" t="s">
        <v>60</v>
      </c>
      <c r="G7576">
        <v>0</v>
      </c>
      <c r="H7576">
        <v>0</v>
      </c>
      <c r="I7576">
        <v>0</v>
      </c>
      <c r="J7576">
        <v>-187.49440000000001</v>
      </c>
      <c r="K7576">
        <v>1.1111519999999999</v>
      </c>
      <c r="L7576">
        <v>71.194580000000002</v>
      </c>
      <c r="M7576">
        <v>-2.2412620000000001E-2</v>
      </c>
      <c r="N7576">
        <v>-1.4134580000000001E-2</v>
      </c>
      <c r="O7576">
        <v>0.99964889999999995</v>
      </c>
      <c r="P7576">
        <v>-9.1769249999999997E-2</v>
      </c>
      <c r="Q7576">
        <v>0.4199888</v>
      </c>
      <c r="R7576">
        <v>0.9028775</v>
      </c>
      <c r="S7576">
        <v>-0.46067809999999998</v>
      </c>
      <c r="T7576">
        <v>1.582001</v>
      </c>
      <c r="U7576">
        <v>2.5373540000000001</v>
      </c>
      <c r="V7576">
        <v>-7.1475730000000001E-2</v>
      </c>
      <c r="W7576">
        <v>0.43274020000000002</v>
      </c>
      <c r="X7576">
        <v>0.898680699999999</v>
      </c>
      <c r="Y7576">
        <v>-0.12937660000000001</v>
      </c>
      <c r="Z7576">
        <v>0.53558419999999995</v>
      </c>
      <c r="AA7576">
        <v>0.8345127</v>
      </c>
      <c r="AB7576">
        <v>29</v>
      </c>
      <c r="AC7576">
        <v>-0.46067809999999998</v>
      </c>
      <c r="AD7576">
        <v>1.582001</v>
      </c>
      <c r="AE7576">
        <v>2.5373540000000001</v>
      </c>
      <c r="AF7576">
        <v>-0.293307957743067</v>
      </c>
      <c r="AG7576">
        <v>1.582001</v>
      </c>
      <c r="AH7576">
        <v>1.85060735783554</v>
      </c>
      <c r="AI7576">
        <v>49.825055613093497</v>
      </c>
      <c r="AJ7576">
        <v>99.006056996748697</v>
      </c>
      <c r="AK7576">
        <v>2.4522447502138598</v>
      </c>
      <c r="AL7576">
        <v>64.358411860577405</v>
      </c>
      <c r="AM7576">
        <v>94.547393989009194</v>
      </c>
      <c r="AN7576">
        <v>0.99999993061377801</v>
      </c>
    </row>
    <row r="7577" spans="1:40" x14ac:dyDescent="0.25">
      <c r="A7577" t="str">
        <f>"20190304165032074"</f>
        <v>20190304165032074</v>
      </c>
      <c r="B7577" t="str">
        <f>"1551689432063505"</f>
        <v>1551689432063505</v>
      </c>
      <c r="C7577" t="s">
        <v>40</v>
      </c>
      <c r="D7577">
        <v>4.1808350000000001</v>
      </c>
      <c r="E7577">
        <v>0.47210540000000001</v>
      </c>
      <c r="F7577" t="s">
        <v>60</v>
      </c>
      <c r="G7577">
        <v>0</v>
      </c>
      <c r="H7577">
        <v>0</v>
      </c>
      <c r="I7577">
        <v>0</v>
      </c>
      <c r="J7577">
        <v>-187.50110000000001</v>
      </c>
      <c r="K7577">
        <v>1.1111359999999999</v>
      </c>
      <c r="L7577">
        <v>71.491240000000005</v>
      </c>
      <c r="M7577">
        <v>-2.2393090000000001E-2</v>
      </c>
      <c r="N7577">
        <v>-1.4131919999999999E-2</v>
      </c>
      <c r="O7577">
        <v>0.99964929999999996</v>
      </c>
      <c r="P7577">
        <v>-8.9376810000000001E-2</v>
      </c>
      <c r="Q7577">
        <v>0.41443839999999998</v>
      </c>
      <c r="R7577">
        <v>0.90567799999999998</v>
      </c>
      <c r="S7577">
        <v>-0.45547490000000002</v>
      </c>
      <c r="T7577">
        <v>1.565795</v>
      </c>
      <c r="U7577">
        <v>2.5480649999999998</v>
      </c>
      <c r="V7577">
        <v>-6.9039669999999997E-2</v>
      </c>
      <c r="W7577">
        <v>0.4272263</v>
      </c>
      <c r="X7577">
        <v>0.90150490000000005</v>
      </c>
      <c r="Y7577">
        <v>-0.127696</v>
      </c>
      <c r="Z7577">
        <v>0.5302888</v>
      </c>
      <c r="AA7577">
        <v>0.83814529999999998</v>
      </c>
      <c r="AB7577">
        <v>28</v>
      </c>
      <c r="AC7577">
        <v>-0.45547490000000002</v>
      </c>
      <c r="AD7577">
        <v>1.565795</v>
      </c>
      <c r="AE7577">
        <v>2.5480649999999998</v>
      </c>
      <c r="AF7577">
        <v>-0.29159483203914599</v>
      </c>
      <c r="AG7577">
        <v>1.565795</v>
      </c>
      <c r="AH7577">
        <v>1.87245368816475</v>
      </c>
      <c r="AI7577">
        <v>50.434193442623098</v>
      </c>
      <c r="AJ7577">
        <v>98.851501966845703</v>
      </c>
      <c r="AK7577">
        <v>2.45821568264844</v>
      </c>
      <c r="AL7577">
        <v>64.708335746754699</v>
      </c>
      <c r="AM7577">
        <v>94.379316820596799</v>
      </c>
      <c r="AN7577">
        <v>0.99999993608470195</v>
      </c>
    </row>
    <row r="7578" spans="1:40" x14ac:dyDescent="0.25">
      <c r="A7578" t="str">
        <f>"20190304165032094"</f>
        <v>20190304165032094</v>
      </c>
      <c r="B7578" t="str">
        <f>"1551689432083024"</f>
        <v>1551689432083024</v>
      </c>
      <c r="C7578" t="s">
        <v>40</v>
      </c>
      <c r="D7578">
        <v>4.1954960000000003</v>
      </c>
      <c r="E7578">
        <v>0.47218729999999998</v>
      </c>
      <c r="F7578" t="s">
        <v>60</v>
      </c>
      <c r="G7578">
        <v>0</v>
      </c>
      <c r="H7578">
        <v>0</v>
      </c>
      <c r="I7578">
        <v>0</v>
      </c>
      <c r="J7578">
        <v>-187.5069</v>
      </c>
      <c r="K7578">
        <v>1.1111180000000001</v>
      </c>
      <c r="L7578">
        <v>71.750640000000004</v>
      </c>
      <c r="M7578">
        <v>-2.2375760000000001E-2</v>
      </c>
      <c r="N7578">
        <v>-1.412948E-2</v>
      </c>
      <c r="O7578">
        <v>0.99964980000000003</v>
      </c>
      <c r="P7578">
        <v>-8.5801989999999995E-2</v>
      </c>
      <c r="Q7578">
        <v>0.41036260000000002</v>
      </c>
      <c r="R7578">
        <v>0.90787700000000005</v>
      </c>
      <c r="S7578">
        <v>-0.44761659999999998</v>
      </c>
      <c r="T7578">
        <v>1.5497179999999999</v>
      </c>
      <c r="U7578">
        <v>2.559113</v>
      </c>
      <c r="V7578">
        <v>-6.5432260000000006E-2</v>
      </c>
      <c r="W7578">
        <v>0.4231781</v>
      </c>
      <c r="X7578">
        <v>0.90368079999999995</v>
      </c>
      <c r="Y7578">
        <v>-0.125131399999999</v>
      </c>
      <c r="Z7578">
        <v>0.52501469999999995</v>
      </c>
      <c r="AA7578">
        <v>0.84184429999999999</v>
      </c>
      <c r="AB7578">
        <v>28</v>
      </c>
      <c r="AC7578">
        <v>-0.44761659999999998</v>
      </c>
      <c r="AD7578">
        <v>1.5497179999999999</v>
      </c>
      <c r="AE7578">
        <v>2.559113</v>
      </c>
      <c r="AF7578">
        <v>-0.28782189289361398</v>
      </c>
      <c r="AG7578">
        <v>1.5497179999999999</v>
      </c>
      <c r="AH7578">
        <v>1.89440755043881</v>
      </c>
      <c r="AI7578">
        <v>51.0351911729392</v>
      </c>
      <c r="AJ7578">
        <v>98.6390170249596</v>
      </c>
      <c r="AK7578">
        <v>2.4643959277503402</v>
      </c>
      <c r="AL7578">
        <v>64.9646035214015</v>
      </c>
      <c r="AM7578">
        <v>94.141353096248906</v>
      </c>
      <c r="AN7578">
        <v>1.00000003662847</v>
      </c>
    </row>
    <row r="7579" spans="1:40" x14ac:dyDescent="0.25">
      <c r="A7579" t="str">
        <f>"20190304165032118"</f>
        <v>20190304165032118</v>
      </c>
      <c r="B7579" t="str">
        <f>"1551689432113281"</f>
        <v>1551689432113281</v>
      </c>
      <c r="C7579" t="s">
        <v>40</v>
      </c>
      <c r="D7579">
        <v>4.2668790000000003</v>
      </c>
      <c r="E7579">
        <v>0.47215079999999998</v>
      </c>
      <c r="F7579" t="s">
        <v>60</v>
      </c>
      <c r="G7579">
        <v>0</v>
      </c>
      <c r="H7579">
        <v>0</v>
      </c>
      <c r="I7579">
        <v>0</v>
      </c>
      <c r="J7579">
        <v>-187.51310000000001</v>
      </c>
      <c r="K7579">
        <v>1.1111150000000001</v>
      </c>
      <c r="L7579">
        <v>72.032989999999998</v>
      </c>
      <c r="M7579">
        <v>-2.2359319999999999E-2</v>
      </c>
      <c r="N7579">
        <v>-1.412677E-2</v>
      </c>
      <c r="O7579">
        <v>0.99965020000000004</v>
      </c>
      <c r="P7579">
        <v>-8.1788990000000006E-2</v>
      </c>
      <c r="Q7579">
        <v>0.40738180000000002</v>
      </c>
      <c r="R7579">
        <v>0.90958819999999996</v>
      </c>
      <c r="S7579">
        <v>-0.43731690000000001</v>
      </c>
      <c r="T7579">
        <v>1.5361419999999999</v>
      </c>
      <c r="U7579">
        <v>2.568756</v>
      </c>
      <c r="V7579">
        <v>-6.1398349999999997E-2</v>
      </c>
      <c r="W7579">
        <v>0.42021770000000003</v>
      </c>
      <c r="X7579">
        <v>0.90534380000000003</v>
      </c>
      <c r="Y7579">
        <v>-0.1217642</v>
      </c>
      <c r="Z7579">
        <v>0.52057799999999999</v>
      </c>
      <c r="AA7579">
        <v>0.84508700000000003</v>
      </c>
      <c r="AB7579">
        <v>28</v>
      </c>
      <c r="AC7579">
        <v>-0.43731690000000001</v>
      </c>
      <c r="AD7579">
        <v>1.5361419999999999</v>
      </c>
      <c r="AE7579">
        <v>2.568756</v>
      </c>
      <c r="AF7579">
        <v>-0.28182116656016998</v>
      </c>
      <c r="AG7579">
        <v>1.5361419999999999</v>
      </c>
      <c r="AH7579">
        <v>1.9130317139845801</v>
      </c>
      <c r="AI7579">
        <v>51.535869609216199</v>
      </c>
      <c r="AJ7579">
        <v>98.380337716384105</v>
      </c>
      <c r="AK7579">
        <v>2.4695841254745901</v>
      </c>
      <c r="AL7579">
        <v>65.151668353771299</v>
      </c>
      <c r="AM7579">
        <v>93.879728324504896</v>
      </c>
      <c r="AN7579">
        <v>1.00000003448722</v>
      </c>
    </row>
    <row r="7580" spans="1:40" x14ac:dyDescent="0.25">
      <c r="A7580" t="str">
        <f>"20190304165032141"</f>
        <v>20190304165032141</v>
      </c>
      <c r="B7580" t="str">
        <f>"1551689432132801"</f>
        <v>1551689432132801</v>
      </c>
      <c r="C7580" t="s">
        <v>40</v>
      </c>
      <c r="D7580">
        <v>4.4264390000000002</v>
      </c>
      <c r="E7580">
        <v>0.5015001</v>
      </c>
      <c r="F7580" t="s">
        <v>60</v>
      </c>
      <c r="G7580">
        <v>0</v>
      </c>
      <c r="H7580">
        <v>0</v>
      </c>
      <c r="I7580">
        <v>0</v>
      </c>
      <c r="J7580">
        <v>-187.52</v>
      </c>
      <c r="K7580">
        <v>1.111108</v>
      </c>
      <c r="L7580">
        <v>72.339320000000001</v>
      </c>
      <c r="M7580">
        <v>-2.2346270000000001E-2</v>
      </c>
      <c r="N7580">
        <v>-1.4123800000000001E-2</v>
      </c>
      <c r="O7580">
        <v>0.9996505</v>
      </c>
      <c r="P7580">
        <v>-7.7938450000000006E-2</v>
      </c>
      <c r="Q7580">
        <v>0.40461540000000001</v>
      </c>
      <c r="R7580">
        <v>0.91115970000000002</v>
      </c>
      <c r="S7580">
        <v>-0.42701719999999999</v>
      </c>
      <c r="T7580">
        <v>1.5254650000000001</v>
      </c>
      <c r="U7580">
        <v>2.5765690000000001</v>
      </c>
      <c r="V7580">
        <v>-5.7529259999999999E-2</v>
      </c>
      <c r="W7580">
        <v>0.41746939999999999</v>
      </c>
      <c r="X7580">
        <v>0.90686800000000001</v>
      </c>
      <c r="Y7580">
        <v>-0.1183906</v>
      </c>
      <c r="Z7580">
        <v>0.51708790000000004</v>
      </c>
      <c r="AA7580">
        <v>0.84770499999999904</v>
      </c>
      <c r="AB7580">
        <v>28</v>
      </c>
      <c r="AC7580">
        <v>-0.42701719999999999</v>
      </c>
      <c r="AD7580">
        <v>1.5254650000000001</v>
      </c>
      <c r="AE7580">
        <v>2.5765690000000001</v>
      </c>
      <c r="AF7580">
        <v>-0.27538039140144399</v>
      </c>
      <c r="AG7580">
        <v>1.5254650000000001</v>
      </c>
      <c r="AH7580">
        <v>1.92779098092226</v>
      </c>
      <c r="AI7580">
        <v>51.926621756552599</v>
      </c>
      <c r="AJ7580">
        <v>98.129568750768996</v>
      </c>
      <c r="AK7580">
        <v>2.4737129769475299</v>
      </c>
      <c r="AL7580">
        <v>65.325075574266805</v>
      </c>
      <c r="AM7580">
        <v>93.629825774907104</v>
      </c>
      <c r="AN7580">
        <v>0.99999994255825198</v>
      </c>
    </row>
    <row r="7581" spans="1:40" x14ac:dyDescent="0.25">
      <c r="A7581" t="str">
        <f>"20190304165032166"</f>
        <v>20190304165032166</v>
      </c>
      <c r="B7581" t="str">
        <f>"1551689432153296"</f>
        <v>1551689432153296</v>
      </c>
      <c r="C7581" t="s">
        <v>40</v>
      </c>
      <c r="D7581">
        <v>4.4744780000000004</v>
      </c>
      <c r="E7581">
        <v>0.54501040000000001</v>
      </c>
      <c r="F7581" t="s">
        <v>60</v>
      </c>
      <c r="G7581">
        <v>0</v>
      </c>
      <c r="H7581">
        <v>0</v>
      </c>
      <c r="I7581">
        <v>0</v>
      </c>
      <c r="J7581">
        <v>-187.52690000000001</v>
      </c>
      <c r="K7581">
        <v>1.1110869999999999</v>
      </c>
      <c r="L7581">
        <v>72.654110000000003</v>
      </c>
      <c r="M7581">
        <v>-2.2337869999999999E-2</v>
      </c>
      <c r="N7581">
        <v>-1.412077E-2</v>
      </c>
      <c r="O7581">
        <v>0.99965079999999995</v>
      </c>
      <c r="P7581">
        <v>-7.4467800000000001E-2</v>
      </c>
      <c r="Q7581">
        <v>0.400779</v>
      </c>
      <c r="R7581">
        <v>0.91314329999999999</v>
      </c>
      <c r="S7581">
        <v>-0.20251459999999999</v>
      </c>
      <c r="T7581">
        <v>1.3638709999999901</v>
      </c>
      <c r="U7581">
        <v>2.6695250000000001</v>
      </c>
      <c r="V7581">
        <v>-5.402705E-2</v>
      </c>
      <c r="W7581">
        <v>0.41365619999999997</v>
      </c>
      <c r="X7581">
        <v>0.90882870000000004</v>
      </c>
      <c r="Y7581">
        <v>-4.4785129999999999E-2</v>
      </c>
      <c r="Z7581">
        <v>0.4665976</v>
      </c>
      <c r="AA7581">
        <v>0.88333519999999899</v>
      </c>
      <c r="AB7581">
        <v>28</v>
      </c>
      <c r="AC7581">
        <v>-0.20251459999999999</v>
      </c>
      <c r="AD7581">
        <v>1.3638709999999901</v>
      </c>
      <c r="AE7581">
        <v>2.6695250000000001</v>
      </c>
      <c r="AF7581">
        <v>-0.113396815614866</v>
      </c>
      <c r="AG7581">
        <v>1.3638709999999901</v>
      </c>
      <c r="AH7581">
        <v>2.1225254088148202</v>
      </c>
      <c r="AI7581">
        <v>57.313543004677399</v>
      </c>
      <c r="AJ7581">
        <v>93.058143813872306</v>
      </c>
      <c r="AK7581">
        <v>2.5254934277279601</v>
      </c>
      <c r="AL7581">
        <v>65.565280272596993</v>
      </c>
      <c r="AM7581">
        <v>93.402052774147194</v>
      </c>
      <c r="AN7581">
        <v>0.99999998993691597</v>
      </c>
    </row>
    <row r="7582" spans="1:40" x14ac:dyDescent="0.25">
      <c r="A7582" t="str">
        <f>"20190304165032206"</f>
        <v>20190304165032206</v>
      </c>
      <c r="B7582" t="str">
        <f>"1551689432193313"</f>
        <v>1551689432193313</v>
      </c>
      <c r="C7582" t="s">
        <v>40</v>
      </c>
      <c r="D7582">
        <v>4.4262030000000001</v>
      </c>
      <c r="E7582">
        <v>0.574376</v>
      </c>
      <c r="F7582" t="s">
        <v>58</v>
      </c>
      <c r="G7582">
        <v>-174.84809999999999</v>
      </c>
      <c r="H7582">
        <v>115.5915</v>
      </c>
      <c r="I7582">
        <v>391.00349999999997</v>
      </c>
      <c r="J7582">
        <v>-187.5384</v>
      </c>
      <c r="K7582">
        <v>1.1110500000000001</v>
      </c>
      <c r="L7582">
        <v>73.166259999999994</v>
      </c>
      <c r="M7582">
        <v>-2.2332299999999999E-2</v>
      </c>
      <c r="N7582">
        <v>-1.411574E-2</v>
      </c>
      <c r="O7582">
        <v>0.99965099999999996</v>
      </c>
      <c r="P7582">
        <v>-6.7870829999999993E-2</v>
      </c>
      <c r="Q7582">
        <v>0.39242739999999998</v>
      </c>
      <c r="R7582">
        <v>0.91727550000000002</v>
      </c>
      <c r="S7582">
        <v>0.113327</v>
      </c>
      <c r="T7582">
        <v>1.0232559999999999</v>
      </c>
      <c r="U7582">
        <v>2.8454899999999999</v>
      </c>
      <c r="V7582">
        <v>-4.734973E-2</v>
      </c>
      <c r="W7582">
        <v>0.40535690000000002</v>
      </c>
      <c r="X7582">
        <v>0.91293139999999995</v>
      </c>
      <c r="Y7582">
        <v>5.9713509999999997E-2</v>
      </c>
      <c r="Z7582">
        <v>0.3510974</v>
      </c>
      <c r="AA7582">
        <v>0.93443290000000001</v>
      </c>
      <c r="AB7582">
        <v>28</v>
      </c>
      <c r="AC7582">
        <v>12.690300000000001</v>
      </c>
      <c r="AD7582">
        <v>114.48045</v>
      </c>
      <c r="AE7582">
        <v>317.83723999999899</v>
      </c>
      <c r="AF7582">
        <v>17.516954175211801</v>
      </c>
      <c r="AG7582">
        <v>114.48045</v>
      </c>
      <c r="AH7582">
        <v>281.06848348290498</v>
      </c>
      <c r="AI7582">
        <v>67.877483093299205</v>
      </c>
      <c r="AJ7582">
        <v>86.433783248319699</v>
      </c>
      <c r="AK7582">
        <v>303.99360112206199</v>
      </c>
      <c r="AL7582">
        <v>66.086505158601</v>
      </c>
      <c r="AM7582">
        <v>92.969019326323306</v>
      </c>
      <c r="AN7582">
        <v>0.99999997720732103</v>
      </c>
    </row>
    <row r="7583" spans="1:40" x14ac:dyDescent="0.25">
      <c r="A7583" t="str">
        <f>"20190304165032229"</f>
        <v>20190304165032229</v>
      </c>
      <c r="B7583" t="str">
        <f>"1551689432223569"</f>
        <v>1551689432223569</v>
      </c>
      <c r="C7583" t="s">
        <v>40</v>
      </c>
      <c r="D7583">
        <v>4.3673890000000002</v>
      </c>
      <c r="E7583">
        <v>0.55877659999999996</v>
      </c>
      <c r="F7583" t="s">
        <v>63</v>
      </c>
      <c r="G7583">
        <v>-165.31319999999999</v>
      </c>
      <c r="H7583">
        <v>24.08447</v>
      </c>
      <c r="I7583">
        <v>315.18990000000002</v>
      </c>
      <c r="J7583">
        <v>-187.54470000000001</v>
      </c>
      <c r="K7583">
        <v>1.1110409999999999</v>
      </c>
      <c r="L7583">
        <v>73.449370000000002</v>
      </c>
      <c r="M7583">
        <v>-2.2332810000000002E-2</v>
      </c>
      <c r="N7583">
        <v>-1.411302E-2</v>
      </c>
      <c r="O7583">
        <v>0.99965099999999996</v>
      </c>
      <c r="P7583">
        <v>-6.3743449999999993E-2</v>
      </c>
      <c r="Q7583">
        <v>0.38848759999999999</v>
      </c>
      <c r="R7583">
        <v>0.91924660000000002</v>
      </c>
      <c r="S7583">
        <v>0.290512099999999</v>
      </c>
      <c r="T7583">
        <v>0.30029339999999999</v>
      </c>
      <c r="U7583">
        <v>3.1635740000000001</v>
      </c>
      <c r="V7583">
        <v>-4.3180589999999998E-2</v>
      </c>
      <c r="W7583">
        <v>0.40144089999999999</v>
      </c>
      <c r="X7583">
        <v>0.91486639999999997</v>
      </c>
      <c r="Y7583">
        <v>0.1131929</v>
      </c>
      <c r="Z7583">
        <v>0.10801719999999999</v>
      </c>
      <c r="AA7583">
        <v>0.98768400000000001</v>
      </c>
      <c r="AB7583">
        <v>28</v>
      </c>
      <c r="AC7583">
        <v>22.2315</v>
      </c>
      <c r="AD7583">
        <v>22.973428999999999</v>
      </c>
      <c r="AE7583">
        <v>241.74053000000001</v>
      </c>
      <c r="AF7583">
        <v>27.380032221884399</v>
      </c>
      <c r="AG7583">
        <v>22.973428999999999</v>
      </c>
      <c r="AH7583">
        <v>239.04290970979099</v>
      </c>
      <c r="AI7583">
        <v>84.545842675260999</v>
      </c>
      <c r="AJ7583">
        <v>83.465803438382807</v>
      </c>
      <c r="AK7583">
        <v>241.70013919527</v>
      </c>
      <c r="AL7583">
        <v>66.331711566489204</v>
      </c>
      <c r="AM7583">
        <v>92.702286186813396</v>
      </c>
      <c r="AN7583">
        <v>0.99999994469725695</v>
      </c>
    </row>
    <row r="7584" spans="1:40" x14ac:dyDescent="0.25">
      <c r="A7584" t="str">
        <f>"20190304165032252"</f>
        <v>20190304165032252</v>
      </c>
      <c r="B7584" t="str">
        <f>"1551689432243089"</f>
        <v>1551689432243089</v>
      </c>
      <c r="C7584" t="s">
        <v>40</v>
      </c>
      <c r="D7584">
        <v>4.3780609999999998</v>
      </c>
      <c r="E7584">
        <v>0.55630919999999995</v>
      </c>
      <c r="F7584" t="s">
        <v>41</v>
      </c>
      <c r="G7584">
        <v>-187.52209999999999</v>
      </c>
      <c r="H7584">
        <v>1.009061</v>
      </c>
      <c r="I7584">
        <v>74.239450000000005</v>
      </c>
      <c r="J7584">
        <v>-187.55119999999999</v>
      </c>
      <c r="K7584">
        <v>1.11104</v>
      </c>
      <c r="L7584">
        <v>73.741849999999999</v>
      </c>
      <c r="M7584">
        <v>-2.233479E-2</v>
      </c>
      <c r="N7584">
        <v>-1.411021E-2</v>
      </c>
      <c r="O7584">
        <v>0.99965099999999996</v>
      </c>
      <c r="P7584">
        <v>-5.9289080000000001E-2</v>
      </c>
      <c r="Q7584">
        <v>0.38563829999999999</v>
      </c>
      <c r="R7584">
        <v>0.92074319999999998</v>
      </c>
      <c r="S7584">
        <v>9.8831180000000005E-2</v>
      </c>
      <c r="T7584">
        <v>-0.44647510000000001</v>
      </c>
      <c r="U7584">
        <v>3.459076</v>
      </c>
      <c r="V7584">
        <v>-3.8692259999999999E-2</v>
      </c>
      <c r="W7584">
        <v>0.39860909999999999</v>
      </c>
      <c r="X7584">
        <v>0.91630429999999996</v>
      </c>
      <c r="Y7584">
        <v>5.0643680000000003E-2</v>
      </c>
      <c r="Z7584">
        <v>-0.1138446</v>
      </c>
      <c r="AA7584">
        <v>0.9922069</v>
      </c>
      <c r="AB7584">
        <v>28</v>
      </c>
      <c r="AC7584">
        <v>2.9099999999999598E-2</v>
      </c>
      <c r="AD7584">
        <v>-0.101979</v>
      </c>
      <c r="AE7584">
        <v>0.49760000000000498</v>
      </c>
      <c r="AF7584">
        <v>3.8592244738512298E-2</v>
      </c>
      <c r="AG7584">
        <v>-0.101979</v>
      </c>
      <c r="AH7584">
        <v>0.476865237092928</v>
      </c>
      <c r="AI7584">
        <v>102.032855344076</v>
      </c>
      <c r="AJ7584">
        <v>85.373191228275502</v>
      </c>
      <c r="AK7584">
        <v>0.48917229290164399</v>
      </c>
      <c r="AL7584">
        <v>66.508743095997602</v>
      </c>
      <c r="AM7584">
        <v>92.417959812504193</v>
      </c>
      <c r="AN7584">
        <v>0.999999937892601</v>
      </c>
    </row>
    <row r="7585" spans="1:40" x14ac:dyDescent="0.25">
      <c r="A7585" t="str">
        <f>"20190304165032274"</f>
        <v>20190304165032274</v>
      </c>
      <c r="B7585" t="str">
        <f>"1551689432263585"</f>
        <v>1551689432263585</v>
      </c>
      <c r="C7585" t="s">
        <v>40</v>
      </c>
      <c r="D7585">
        <v>4.5409309999999996</v>
      </c>
      <c r="E7585">
        <v>0.55459209999999903</v>
      </c>
      <c r="F7585" t="s">
        <v>41</v>
      </c>
      <c r="G7585">
        <v>-187.5316</v>
      </c>
      <c r="H7585">
        <v>1.00604</v>
      </c>
      <c r="I7585">
        <v>74.489109999999997</v>
      </c>
      <c r="J7585">
        <v>-187.5573</v>
      </c>
      <c r="K7585">
        <v>1.111038</v>
      </c>
      <c r="L7585">
        <v>74.01746</v>
      </c>
      <c r="M7585">
        <v>-2.2336910000000001E-2</v>
      </c>
      <c r="N7585">
        <v>-1.410748E-2</v>
      </c>
      <c r="O7585">
        <v>0.99965099999999996</v>
      </c>
      <c r="P7585">
        <v>-5.4792470000000003E-2</v>
      </c>
      <c r="Q7585">
        <v>0.38319839999999999</v>
      </c>
      <c r="R7585">
        <v>0.92203950000000001</v>
      </c>
      <c r="S7585">
        <v>9.0118409999999996E-2</v>
      </c>
      <c r="T7585">
        <v>-0.48738589999999998</v>
      </c>
      <c r="U7585">
        <v>3.4681700000000002</v>
      </c>
      <c r="V7585">
        <v>-3.4166299999999997E-2</v>
      </c>
      <c r="W7585">
        <v>0.39618320000000001</v>
      </c>
      <c r="X7585">
        <v>0.91753560000000001</v>
      </c>
      <c r="Y7585">
        <v>4.8044389999999999E-2</v>
      </c>
      <c r="Z7585">
        <v>-0.1250202</v>
      </c>
      <c r="AA7585">
        <v>0.99099029999999999</v>
      </c>
      <c r="AB7585">
        <v>28</v>
      </c>
      <c r="AC7585">
        <v>2.57000000000005E-2</v>
      </c>
      <c r="AD7585">
        <v>-0.10499799999999899</v>
      </c>
      <c r="AE7585">
        <v>0.47164999999999602</v>
      </c>
      <c r="AF7585">
        <v>3.4523932361576498E-2</v>
      </c>
      <c r="AG7585">
        <v>-0.10499799999999899</v>
      </c>
      <c r="AH7585">
        <v>0.44878280645921798</v>
      </c>
      <c r="AI7585">
        <v>103.13071683243901</v>
      </c>
      <c r="AJ7585">
        <v>85.60101821472</v>
      </c>
      <c r="AK7585">
        <v>0.46219312985278999</v>
      </c>
      <c r="AL7585">
        <v>66.660212843029797</v>
      </c>
      <c r="AM7585">
        <v>92.132539326293596</v>
      </c>
      <c r="AN7585">
        <v>1.00000002064264</v>
      </c>
    </row>
    <row r="7586" spans="1:40" x14ac:dyDescent="0.25">
      <c r="A7586" t="str">
        <f>"20190304165032296"</f>
        <v>20190304165032296</v>
      </c>
      <c r="B7586" t="str">
        <f>"1551689432292865"</f>
        <v>1551689432292865</v>
      </c>
      <c r="C7586" t="s">
        <v>40</v>
      </c>
      <c r="D7586">
        <v>4.6378019999999998</v>
      </c>
      <c r="E7586">
        <v>0.55277449999999995</v>
      </c>
      <c r="F7586" t="s">
        <v>41</v>
      </c>
      <c r="G7586">
        <v>-187.53870000000001</v>
      </c>
      <c r="H7586">
        <v>1.004508</v>
      </c>
      <c r="I7586">
        <v>74.73921</v>
      </c>
      <c r="J7586">
        <v>-187.5633</v>
      </c>
      <c r="K7586">
        <v>1.1110359999999999</v>
      </c>
      <c r="L7586">
        <v>74.285579999999996</v>
      </c>
      <c r="M7586">
        <v>-2.2338449999999999E-2</v>
      </c>
      <c r="N7586">
        <v>-1.410488E-2</v>
      </c>
      <c r="O7586">
        <v>0.99965099999999996</v>
      </c>
      <c r="P7586">
        <v>-5.0563629999999998E-2</v>
      </c>
      <c r="Q7586">
        <v>0.3813918</v>
      </c>
      <c r="R7586">
        <v>0.92302960000000001</v>
      </c>
      <c r="S7586">
        <v>8.8745119999999997E-2</v>
      </c>
      <c r="T7586">
        <v>-0.51247559999999903</v>
      </c>
      <c r="U7586">
        <v>3.471924</v>
      </c>
      <c r="V7586">
        <v>-2.9915270000000001E-2</v>
      </c>
      <c r="W7586">
        <v>0.39438689999999998</v>
      </c>
      <c r="X7586">
        <v>0.91845739999999998</v>
      </c>
      <c r="Y7586">
        <v>4.7601739999999997E-2</v>
      </c>
      <c r="Z7586">
        <v>-0.1318906</v>
      </c>
      <c r="AA7586">
        <v>0.99012060000000002</v>
      </c>
      <c r="AB7586">
        <v>28</v>
      </c>
      <c r="AC7586">
        <v>2.4599999999992399E-2</v>
      </c>
      <c r="AD7586">
        <v>-0.106528</v>
      </c>
      <c r="AE7586">
        <v>0.45362999999998899</v>
      </c>
      <c r="AF7586">
        <v>3.29182314581647E-2</v>
      </c>
      <c r="AG7586">
        <v>-0.106528</v>
      </c>
      <c r="AH7586">
        <v>0.42935867072675798</v>
      </c>
      <c r="AI7586">
        <v>103.895065311663</v>
      </c>
      <c r="AJ7586">
        <v>85.615802445020705</v>
      </c>
      <c r="AK7586">
        <v>0.44359969891173501</v>
      </c>
      <c r="AL7586">
        <v>66.772257262230198</v>
      </c>
      <c r="AM7586">
        <v>91.865533420082599</v>
      </c>
      <c r="AN7586">
        <v>0.99999997294277099</v>
      </c>
    </row>
    <row r="7587" spans="1:40" x14ac:dyDescent="0.25">
      <c r="A7587" t="str">
        <f>"20190304165032319"</f>
        <v>20190304165032319</v>
      </c>
      <c r="B7587" t="str">
        <f>"1551689432313361"</f>
        <v>1551689432313361</v>
      </c>
      <c r="C7587" t="s">
        <v>40</v>
      </c>
      <c r="D7587">
        <v>4.5499689999999999</v>
      </c>
      <c r="E7587">
        <v>0.55269159999999995</v>
      </c>
      <c r="F7587" t="s">
        <v>41</v>
      </c>
      <c r="G7587">
        <v>-187.53960000000001</v>
      </c>
      <c r="H7587">
        <v>0.97087489999999999</v>
      </c>
      <c r="I7587">
        <v>75.223569999999995</v>
      </c>
      <c r="J7587">
        <v>-187.56970000000001</v>
      </c>
      <c r="K7587">
        <v>1.111029</v>
      </c>
      <c r="L7587">
        <v>74.572479999999999</v>
      </c>
      <c r="M7587">
        <v>-2.2339359999999999E-2</v>
      </c>
      <c r="N7587">
        <v>-1.410201E-2</v>
      </c>
      <c r="O7587">
        <v>0.99965099999999996</v>
      </c>
      <c r="P7587">
        <v>-4.6238399999999999E-2</v>
      </c>
      <c r="Q7587">
        <v>0.38022070000000002</v>
      </c>
      <c r="R7587">
        <v>0.92373930000000004</v>
      </c>
      <c r="S7587">
        <v>8.7188719999999997E-2</v>
      </c>
      <c r="T7587">
        <v>-0.51839970000000002</v>
      </c>
      <c r="U7587">
        <v>3.469147</v>
      </c>
      <c r="V7587">
        <v>-2.5574690000000001E-2</v>
      </c>
      <c r="W7587">
        <v>0.39322190000000001</v>
      </c>
      <c r="X7587">
        <v>0.91908780000000001</v>
      </c>
      <c r="Y7587">
        <v>4.7172899999999997E-2</v>
      </c>
      <c r="Z7587">
        <v>-0.13366439999999999</v>
      </c>
      <c r="AA7587">
        <v>0.98990330000000004</v>
      </c>
      <c r="AB7587">
        <v>28</v>
      </c>
      <c r="AC7587">
        <v>3.0100000000004401E-2</v>
      </c>
      <c r="AD7587">
        <v>-0.1401541</v>
      </c>
      <c r="AE7587">
        <v>0.65108999999999595</v>
      </c>
      <c r="AF7587">
        <v>4.2666058688440998E-2</v>
      </c>
      <c r="AG7587">
        <v>-0.1401541</v>
      </c>
      <c r="AH7587">
        <v>0.62151707681450397</v>
      </c>
      <c r="AI7587">
        <v>102.678951182882</v>
      </c>
      <c r="AJ7587">
        <v>86.072906278131597</v>
      </c>
      <c r="AK7587">
        <v>0.63855073493252001</v>
      </c>
      <c r="AL7587">
        <v>66.844874344139598</v>
      </c>
      <c r="AM7587">
        <v>91.593910590028102</v>
      </c>
      <c r="AN7587">
        <v>0.99999995575852196</v>
      </c>
    </row>
    <row r="7588" spans="1:40" x14ac:dyDescent="0.25">
      <c r="A7588" t="str">
        <f>"20190304165032341"</f>
        <v>20190304165032341</v>
      </c>
      <c r="B7588" t="str">
        <f>"1551689432332882"</f>
        <v>1551689432332882</v>
      </c>
      <c r="C7588" t="s">
        <v>40</v>
      </c>
      <c r="D7588">
        <v>4.4667949999999896</v>
      </c>
      <c r="E7588">
        <v>0.55232060000000005</v>
      </c>
      <c r="F7588" t="s">
        <v>41</v>
      </c>
      <c r="G7588">
        <v>-187.54339999999999</v>
      </c>
      <c r="H7588">
        <v>0.97589859999999995</v>
      </c>
      <c r="I7588">
        <v>75.476019999999906</v>
      </c>
      <c r="J7588">
        <v>-187.57589999999999</v>
      </c>
      <c r="K7588">
        <v>1.1110199999999999</v>
      </c>
      <c r="L7588">
        <v>74.854159999999993</v>
      </c>
      <c r="M7588">
        <v>-2.233976E-2</v>
      </c>
      <c r="N7588">
        <v>-1.4099179999999999E-2</v>
      </c>
      <c r="O7588">
        <v>0.99965099999999996</v>
      </c>
      <c r="P7588">
        <v>-4.226121E-2</v>
      </c>
      <c r="Q7588">
        <v>0.3792392</v>
      </c>
      <c r="R7588">
        <v>0.92433310000000002</v>
      </c>
      <c r="S7588">
        <v>0.10034179999999999</v>
      </c>
      <c r="T7588">
        <v>-0.51838059999999997</v>
      </c>
      <c r="U7588">
        <v>3.4660639999999998</v>
      </c>
      <c r="V7588">
        <v>-2.158473E-2</v>
      </c>
      <c r="W7588">
        <v>0.3922448</v>
      </c>
      <c r="X7588">
        <v>0.91960759999999997</v>
      </c>
      <c r="Y7588">
        <v>5.0943969999999998E-2</v>
      </c>
      <c r="Z7588">
        <v>-0.13376869999999999</v>
      </c>
      <c r="AA7588">
        <v>0.98970230000000003</v>
      </c>
      <c r="AB7588">
        <v>28</v>
      </c>
      <c r="AC7588">
        <v>3.2499999999998801E-2</v>
      </c>
      <c r="AD7588">
        <v>-0.1351214</v>
      </c>
      <c r="AE7588">
        <v>0.62185999999999797</v>
      </c>
      <c r="AF7588">
        <v>4.4299643149169302E-2</v>
      </c>
      <c r="AG7588">
        <v>-0.1351214</v>
      </c>
      <c r="AH7588">
        <v>0.59305493639609397</v>
      </c>
      <c r="AI7588">
        <v>102.800663868969</v>
      </c>
      <c r="AJ7588">
        <v>85.7280895760221</v>
      </c>
      <c r="AK7588">
        <v>0.60986425432622204</v>
      </c>
      <c r="AL7588">
        <v>66.905750552815604</v>
      </c>
      <c r="AM7588">
        <v>91.344580988711996</v>
      </c>
      <c r="AN7588">
        <v>1.00000001083698</v>
      </c>
    </row>
    <row r="7589" spans="1:40" x14ac:dyDescent="0.25">
      <c r="A7589" t="str">
        <f>"20190304165032365"</f>
        <v>20190304165032365</v>
      </c>
      <c r="B7589" t="str">
        <f>"1551689432353377"</f>
        <v>1551689432353377</v>
      </c>
      <c r="C7589" t="s">
        <v>40</v>
      </c>
      <c r="D7589">
        <v>4.453684</v>
      </c>
      <c r="E7589">
        <v>0.55261169999999904</v>
      </c>
      <c r="F7589" t="s">
        <v>41</v>
      </c>
      <c r="G7589">
        <v>-187.5471</v>
      </c>
      <c r="H7589">
        <v>0.9831394</v>
      </c>
      <c r="I7589">
        <v>75.729259999999996</v>
      </c>
      <c r="J7589">
        <v>-187.58250000000001</v>
      </c>
      <c r="K7589">
        <v>1.1110040000000001</v>
      </c>
      <c r="L7589">
        <v>75.149659999999997</v>
      </c>
      <c r="M7589">
        <v>-2.2339930000000001E-2</v>
      </c>
      <c r="N7589">
        <v>-1.409618E-2</v>
      </c>
      <c r="O7589">
        <v>0.99965110000000001</v>
      </c>
      <c r="P7589">
        <v>-3.8714440000000003E-2</v>
      </c>
      <c r="Q7589">
        <v>0.3785155</v>
      </c>
      <c r="R7589">
        <v>0.92478499999999997</v>
      </c>
      <c r="S7589">
        <v>0.113525399999999</v>
      </c>
      <c r="T7589">
        <v>-0.50535079999999999</v>
      </c>
      <c r="U7589">
        <v>3.4580989999999998</v>
      </c>
      <c r="V7589">
        <v>-1.8028639999999999E-2</v>
      </c>
      <c r="W7589">
        <v>0.39152320000000002</v>
      </c>
      <c r="X7589">
        <v>0.91999160000000002</v>
      </c>
      <c r="Y7589">
        <v>5.4790659999999998E-2</v>
      </c>
      <c r="Z7589">
        <v>-0.1304312</v>
      </c>
      <c r="AA7589">
        <v>0.98994230000000005</v>
      </c>
      <c r="AB7589">
        <v>28</v>
      </c>
      <c r="AC7589">
        <v>3.5400000000009799E-2</v>
      </c>
      <c r="AD7589">
        <v>-0.12786459999999999</v>
      </c>
      <c r="AE7589">
        <v>0.579599999999999</v>
      </c>
      <c r="AF7589">
        <v>4.6105164041422703E-2</v>
      </c>
      <c r="AG7589">
        <v>-0.12786459999999999</v>
      </c>
      <c r="AH7589">
        <v>0.55190413999921395</v>
      </c>
      <c r="AI7589">
        <v>103.00035971440499</v>
      </c>
      <c r="AJ7589">
        <v>85.224692637069595</v>
      </c>
      <c r="AK7589">
        <v>0.56839530419657602</v>
      </c>
      <c r="AL7589">
        <v>66.950689298332506</v>
      </c>
      <c r="AM7589">
        <v>91.122654581939699</v>
      </c>
      <c r="AN7589">
        <v>0.99999999603452405</v>
      </c>
    </row>
    <row r="7590" spans="1:40" x14ac:dyDescent="0.25">
      <c r="A7590" t="str">
        <f>"20190304165032386"</f>
        <v>20190304165032386</v>
      </c>
      <c r="B7590" t="str">
        <f>"1551689432383633"</f>
        <v>1551689432383633</v>
      </c>
      <c r="C7590" t="s">
        <v>40</v>
      </c>
      <c r="D7590">
        <v>4.4496149999999997</v>
      </c>
      <c r="E7590">
        <v>0.5485968</v>
      </c>
      <c r="F7590" t="s">
        <v>41</v>
      </c>
      <c r="G7590">
        <v>-187.55099999999999</v>
      </c>
      <c r="H7590">
        <v>0.99164200000000002</v>
      </c>
      <c r="I7590">
        <v>75.982849999999999</v>
      </c>
      <c r="J7590">
        <v>-187.58840000000001</v>
      </c>
      <c r="K7590">
        <v>1.1109929999999999</v>
      </c>
      <c r="L7590">
        <v>75.413700000000006</v>
      </c>
      <c r="M7590">
        <v>-2.2339890000000001E-2</v>
      </c>
      <c r="N7590">
        <v>-1.409347E-2</v>
      </c>
      <c r="O7590">
        <v>0.99965110000000001</v>
      </c>
      <c r="P7590">
        <v>-3.5589500000000003E-2</v>
      </c>
      <c r="Q7590">
        <v>0.37751109999999999</v>
      </c>
      <c r="R7590">
        <v>0.9253209</v>
      </c>
      <c r="S7590">
        <v>0.1298523</v>
      </c>
      <c r="T7590">
        <v>-0.49453320000000001</v>
      </c>
      <c r="U7590">
        <v>3.4518430000000002</v>
      </c>
      <c r="V7590">
        <v>-1.4892229999999999E-2</v>
      </c>
      <c r="W7590">
        <v>0.39052340000000002</v>
      </c>
      <c r="X7590">
        <v>0.92047259999999997</v>
      </c>
      <c r="Y7590">
        <v>5.9534900000000002E-2</v>
      </c>
      <c r="Z7590">
        <v>-0.12761939999999999</v>
      </c>
      <c r="AA7590">
        <v>0.99003479999999999</v>
      </c>
      <c r="AB7590">
        <v>28</v>
      </c>
      <c r="AC7590">
        <v>3.7400000000019397E-2</v>
      </c>
      <c r="AD7590">
        <v>-0.119351</v>
      </c>
      <c r="AE7590">
        <v>0.56914999999999305</v>
      </c>
      <c r="AF7590">
        <v>4.8004776674380897E-2</v>
      </c>
      <c r="AG7590">
        <v>-0.119351</v>
      </c>
      <c r="AH7590">
        <v>0.54433837013984998</v>
      </c>
      <c r="AI7590">
        <v>102.320558270821</v>
      </c>
      <c r="AJ7590">
        <v>84.960168358843305</v>
      </c>
      <c r="AK7590">
        <v>0.55933297863711395</v>
      </c>
      <c r="AL7590">
        <v>67.012930563687704</v>
      </c>
      <c r="AM7590">
        <v>90.926901560384593</v>
      </c>
      <c r="AN7590">
        <v>1.00000005590634</v>
      </c>
    </row>
    <row r="7591" spans="1:40" x14ac:dyDescent="0.25">
      <c r="A7591" t="str">
        <f>"20190304165032408"</f>
        <v>20190304165032408</v>
      </c>
      <c r="B7591" t="str">
        <f>"1551689432393394"</f>
        <v>1551689432393394</v>
      </c>
      <c r="C7591" t="s">
        <v>40</v>
      </c>
      <c r="D7591">
        <v>4.4445769999999998</v>
      </c>
      <c r="E7591">
        <v>0.5479638</v>
      </c>
      <c r="F7591" t="s">
        <v>41</v>
      </c>
      <c r="G7591">
        <v>-187.55520000000001</v>
      </c>
      <c r="H7591">
        <v>1.041947</v>
      </c>
      <c r="I7591">
        <v>76.256860000000003</v>
      </c>
      <c r="J7591">
        <v>-187.5943</v>
      </c>
      <c r="K7591">
        <v>1.1109899999999999</v>
      </c>
      <c r="L7591">
        <v>75.678740000000005</v>
      </c>
      <c r="M7591">
        <v>-2.2339959999999999E-2</v>
      </c>
      <c r="N7591">
        <v>-1.409067E-2</v>
      </c>
      <c r="O7591">
        <v>0.99965110000000001</v>
      </c>
      <c r="P7591">
        <v>-3.2841000000000002E-2</v>
      </c>
      <c r="Q7591">
        <v>0.37565870000000001</v>
      </c>
      <c r="R7591">
        <v>0.926176</v>
      </c>
      <c r="S7591">
        <v>0.1324158</v>
      </c>
      <c r="T7591">
        <v>-0.27511200000000002</v>
      </c>
      <c r="U7591">
        <v>3.3594360000000001</v>
      </c>
      <c r="V7591">
        <v>-1.212541E-2</v>
      </c>
      <c r="W7591">
        <v>0.38867940000000001</v>
      </c>
      <c r="X7591">
        <v>0.92129329999999998</v>
      </c>
      <c r="Y7591">
        <v>6.1569180000000001E-2</v>
      </c>
      <c r="Z7591">
        <v>-6.7421729999999999E-2</v>
      </c>
      <c r="AA7591">
        <v>0.99582300000000001</v>
      </c>
      <c r="AB7591">
        <v>28</v>
      </c>
      <c r="AC7591">
        <v>3.9099999999990503E-2</v>
      </c>
      <c r="AD7591">
        <v>-6.9042999999999896E-2</v>
      </c>
      <c r="AE7591">
        <v>0.57811999999999797</v>
      </c>
      <c r="AF7591">
        <v>5.1278655830294798E-2</v>
      </c>
      <c r="AG7591">
        <v>-6.9042999999999896E-2</v>
      </c>
      <c r="AH7591">
        <v>0.56902322950052797</v>
      </c>
      <c r="AI7591">
        <v>96.890568970829406</v>
      </c>
      <c r="AJ7591">
        <v>84.850586821320306</v>
      </c>
      <c r="AK7591">
        <v>0.57548577054864902</v>
      </c>
      <c r="AL7591">
        <v>67.127647817809304</v>
      </c>
      <c r="AM7591">
        <v>90.754042939569601</v>
      </c>
      <c r="AN7591">
        <v>1.00000002308845</v>
      </c>
    </row>
    <row r="7592" spans="1:40" x14ac:dyDescent="0.25">
      <c r="A7592" t="str">
        <f>"20190304165032430"</f>
        <v>20190304165032430</v>
      </c>
      <c r="B7592" t="str">
        <f>"1551689432422673"</f>
        <v>1551689432422673</v>
      </c>
      <c r="C7592" t="s">
        <v>40</v>
      </c>
      <c r="D7592">
        <v>4.4335319999999996</v>
      </c>
      <c r="E7592">
        <v>0.54681959999999996</v>
      </c>
      <c r="F7592" t="s">
        <v>41</v>
      </c>
      <c r="G7592">
        <v>-187.56129999999999</v>
      </c>
      <c r="H7592">
        <v>1.040592</v>
      </c>
      <c r="I7592">
        <v>76.504940000000005</v>
      </c>
      <c r="J7592">
        <v>-187.60069999999999</v>
      </c>
      <c r="K7592">
        <v>1.110992</v>
      </c>
      <c r="L7592">
        <v>75.965149999999994</v>
      </c>
      <c r="M7592">
        <v>-2.2339879999999999E-2</v>
      </c>
      <c r="N7592">
        <v>-1.408765E-2</v>
      </c>
      <c r="O7592">
        <v>0.99965119999999996</v>
      </c>
      <c r="P7592">
        <v>-3.0405270000000002E-2</v>
      </c>
      <c r="Q7592">
        <v>0.37354720000000002</v>
      </c>
      <c r="R7592">
        <v>0.92711279999999996</v>
      </c>
      <c r="S7592">
        <v>0.1339417</v>
      </c>
      <c r="T7592">
        <v>-0.28631390000000001</v>
      </c>
      <c r="U7592">
        <v>3.359985</v>
      </c>
      <c r="V7592">
        <v>-9.6692440000000004E-3</v>
      </c>
      <c r="W7592">
        <v>0.38657789999999997</v>
      </c>
      <c r="X7592">
        <v>0.92220610000000003</v>
      </c>
      <c r="Y7592">
        <v>6.20034E-2</v>
      </c>
      <c r="Z7592">
        <v>-7.0706779999999997E-2</v>
      </c>
      <c r="AA7592">
        <v>0.99556820000000001</v>
      </c>
      <c r="AB7592">
        <v>28</v>
      </c>
      <c r="AC7592">
        <v>3.9400000000000497E-2</v>
      </c>
      <c r="AD7592">
        <v>-7.0400000000000004E-2</v>
      </c>
      <c r="AE7592">
        <v>0.53979000000000998</v>
      </c>
      <c r="AF7592">
        <v>5.0594176355013801E-2</v>
      </c>
      <c r="AG7592">
        <v>-7.0400000000000004E-2</v>
      </c>
      <c r="AH7592">
        <v>0.52981083734508805</v>
      </c>
      <c r="AI7592">
        <v>97.5351043779295</v>
      </c>
      <c r="AJ7592">
        <v>84.545092815920199</v>
      </c>
      <c r="AK7592">
        <v>0.53685701452933099</v>
      </c>
      <c r="AL7592">
        <v>67.258267483229204</v>
      </c>
      <c r="AM7592">
        <v>90.600718833201</v>
      </c>
      <c r="AN7592">
        <v>1.0000000289625699</v>
      </c>
    </row>
    <row r="7593" spans="1:40" x14ac:dyDescent="0.25">
      <c r="A7593" t="str">
        <f>"20190304165032453"</f>
        <v>20190304165032453</v>
      </c>
      <c r="B7593" t="str">
        <f>"1551689432443172"</f>
        <v>1551689432443172</v>
      </c>
      <c r="C7593" t="s">
        <v>40</v>
      </c>
      <c r="D7593">
        <v>4.3622990000000001</v>
      </c>
      <c r="E7593">
        <v>0.5465177</v>
      </c>
      <c r="F7593" t="s">
        <v>41</v>
      </c>
      <c r="G7593">
        <v>-187.5693</v>
      </c>
      <c r="H7593">
        <v>1.0460670000000001</v>
      </c>
      <c r="I7593">
        <v>76.757450000000006</v>
      </c>
      <c r="J7593">
        <v>-187.6071</v>
      </c>
      <c r="K7593">
        <v>1.1109830000000001</v>
      </c>
      <c r="L7593">
        <v>76.250699999999995</v>
      </c>
      <c r="M7593">
        <v>-2.233982E-2</v>
      </c>
      <c r="N7593">
        <v>-1.4084640000000001E-2</v>
      </c>
      <c r="O7593">
        <v>0.99965119999999996</v>
      </c>
      <c r="P7593">
        <v>-3.004648E-2</v>
      </c>
      <c r="Q7593">
        <v>0.37324259999999998</v>
      </c>
      <c r="R7593">
        <v>0.92724709999999999</v>
      </c>
      <c r="S7593">
        <v>0.1323242</v>
      </c>
      <c r="T7593">
        <v>-0.2746152</v>
      </c>
      <c r="U7593">
        <v>3.3508300000000002</v>
      </c>
      <c r="V7593">
        <v>-9.3073059999999996E-3</v>
      </c>
      <c r="W7593">
        <v>0.38627220000000001</v>
      </c>
      <c r="X7593">
        <v>0.92233790000000004</v>
      </c>
      <c r="Y7593">
        <v>6.1642290000000002E-2</v>
      </c>
      <c r="Z7593">
        <v>-6.748883E-2</v>
      </c>
      <c r="AA7593">
        <v>0.99581399999999998</v>
      </c>
      <c r="AB7593">
        <v>28</v>
      </c>
      <c r="AC7593">
        <v>3.7800000000004198E-2</v>
      </c>
      <c r="AD7593">
        <v>-6.4915999999999904E-2</v>
      </c>
      <c r="AE7593">
        <v>0.50675000000001003</v>
      </c>
      <c r="AF7593">
        <v>4.8323772926332699E-2</v>
      </c>
      <c r="AG7593">
        <v>-6.4915999999999904E-2</v>
      </c>
      <c r="AH7593">
        <v>0.49765746953877799</v>
      </c>
      <c r="AI7593">
        <v>97.397473360071899</v>
      </c>
      <c r="AJ7593">
        <v>84.453825705349402</v>
      </c>
      <c r="AK7593">
        <v>0.50419463610155102</v>
      </c>
      <c r="AL7593">
        <v>67.277257755504195</v>
      </c>
      <c r="AM7593">
        <v>90.578151730435295</v>
      </c>
      <c r="AN7593">
        <v>1.00000002010711</v>
      </c>
    </row>
    <row r="7594" spans="1:40" x14ac:dyDescent="0.25">
      <c r="A7594" t="str">
        <f>"20190304165032475"</f>
        <v>20190304165032475</v>
      </c>
      <c r="B7594" t="str">
        <f>"1551689432462692"</f>
        <v>1551689432462692</v>
      </c>
      <c r="C7594" t="s">
        <v>40</v>
      </c>
      <c r="D7594">
        <v>4.3983239999999997</v>
      </c>
      <c r="E7594">
        <v>0.54649650000000005</v>
      </c>
      <c r="F7594" t="s">
        <v>41</v>
      </c>
      <c r="G7594">
        <v>-187.5779</v>
      </c>
      <c r="H7594">
        <v>1.04819</v>
      </c>
      <c r="I7594">
        <v>77.007599999999996</v>
      </c>
      <c r="J7594">
        <v>-187.6129</v>
      </c>
      <c r="K7594">
        <v>1.110978</v>
      </c>
      <c r="L7594">
        <v>76.511049999999997</v>
      </c>
      <c r="M7594">
        <v>-2.23398E-2</v>
      </c>
      <c r="N7594">
        <v>-1.408188E-2</v>
      </c>
      <c r="O7594">
        <v>0.99965130000000002</v>
      </c>
      <c r="P7594">
        <v>-2.827907E-2</v>
      </c>
      <c r="Q7594">
        <v>0.37234840000000002</v>
      </c>
      <c r="R7594">
        <v>0.92766210000000004</v>
      </c>
      <c r="S7594">
        <v>0.128418</v>
      </c>
      <c r="T7594">
        <v>-0.2780859</v>
      </c>
      <c r="U7594">
        <v>3.3515009999999998</v>
      </c>
      <c r="V7594">
        <v>-7.5317619999999896E-3</v>
      </c>
      <c r="W7594">
        <v>0.38538099999999997</v>
      </c>
      <c r="X7594">
        <v>0.92272679999999996</v>
      </c>
      <c r="Y7594">
        <v>6.0473190000000003E-2</v>
      </c>
      <c r="Z7594">
        <v>-6.8504819999999994E-2</v>
      </c>
      <c r="AA7594">
        <v>0.99581629999999999</v>
      </c>
      <c r="AB7594">
        <v>28</v>
      </c>
      <c r="AC7594">
        <v>3.4999999999996499E-2</v>
      </c>
      <c r="AD7594">
        <v>-6.2787999999999997E-2</v>
      </c>
      <c r="AE7594">
        <v>0.49654999999999899</v>
      </c>
      <c r="AF7594">
        <v>4.5363450303295402E-2</v>
      </c>
      <c r="AG7594">
        <v>-6.2787999999999997E-2</v>
      </c>
      <c r="AH7594">
        <v>0.487881798961534</v>
      </c>
      <c r="AI7594">
        <v>97.302222440728897</v>
      </c>
      <c r="AJ7594">
        <v>84.687888092949507</v>
      </c>
      <c r="AK7594">
        <v>0.49399273813019001</v>
      </c>
      <c r="AL7594">
        <v>67.332604638436493</v>
      </c>
      <c r="AM7594">
        <v>90.467666693243004</v>
      </c>
      <c r="AN7594">
        <v>0.99999999501903203</v>
      </c>
    </row>
    <row r="7595" spans="1:40" x14ac:dyDescent="0.25">
      <c r="A7595" t="str">
        <f>"20190304165032497"</f>
        <v>20190304165032497</v>
      </c>
      <c r="B7595" t="str">
        <f>"1551689432492945"</f>
        <v>1551689432492945</v>
      </c>
      <c r="C7595" t="s">
        <v>40</v>
      </c>
      <c r="D7595">
        <v>4.397748</v>
      </c>
      <c r="E7595">
        <v>0.54569380000000001</v>
      </c>
      <c r="F7595" t="s">
        <v>41</v>
      </c>
      <c r="G7595">
        <v>-187.58359999999999</v>
      </c>
      <c r="H7595">
        <v>1.0489379999999999</v>
      </c>
      <c r="I7595">
        <v>77.256150000000005</v>
      </c>
      <c r="J7595">
        <v>-187.619</v>
      </c>
      <c r="K7595">
        <v>1.110984</v>
      </c>
      <c r="L7595">
        <v>76.783630000000002</v>
      </c>
      <c r="M7595">
        <v>-2.2339830000000001E-2</v>
      </c>
      <c r="N7595">
        <v>-1.407898E-2</v>
      </c>
      <c r="O7595">
        <v>0.99965130000000002</v>
      </c>
      <c r="P7595">
        <v>-2.6803980000000002E-2</v>
      </c>
      <c r="Q7595">
        <v>0.37253180000000002</v>
      </c>
      <c r="R7595">
        <v>0.92763229999999997</v>
      </c>
      <c r="S7595">
        <v>0.1317596</v>
      </c>
      <c r="T7595">
        <v>-0.27893889999999999</v>
      </c>
      <c r="U7595">
        <v>3.3499150000000002</v>
      </c>
      <c r="V7595">
        <v>-6.0572919999999997E-3</v>
      </c>
      <c r="W7595">
        <v>0.38556049999999997</v>
      </c>
      <c r="X7595">
        <v>0.92266269999999995</v>
      </c>
      <c r="Y7595">
        <v>6.1481510000000003E-2</v>
      </c>
      <c r="Z7595">
        <v>-6.8794099999999997E-2</v>
      </c>
      <c r="AA7595">
        <v>0.99573460000000003</v>
      </c>
      <c r="AB7595">
        <v>28</v>
      </c>
      <c r="AC7595">
        <v>3.54000000000382E-2</v>
      </c>
      <c r="AD7595">
        <v>-6.2045999999999997E-2</v>
      </c>
      <c r="AE7595">
        <v>0.47252000000000199</v>
      </c>
      <c r="AF7595">
        <v>4.51736896685348E-2</v>
      </c>
      <c r="AG7595">
        <v>-6.2045999999999997E-2</v>
      </c>
      <c r="AH7595">
        <v>0.46366132293482498</v>
      </c>
      <c r="AI7595">
        <v>97.586398234537796</v>
      </c>
      <c r="AJ7595">
        <v>84.435337856725198</v>
      </c>
      <c r="AK7595">
        <v>0.46997041474963203</v>
      </c>
      <c r="AL7595">
        <v>67.321459380339803</v>
      </c>
      <c r="AM7595">
        <v>90.376142095071302</v>
      </c>
      <c r="AN7595">
        <v>1.0000000239589499</v>
      </c>
    </row>
    <row r="7596" spans="1:40" x14ac:dyDescent="0.25">
      <c r="A7596" t="str">
        <f>"20190304165032520"</f>
        <v>20190304165032520</v>
      </c>
      <c r="B7596" t="str">
        <f>"1551689432513442"</f>
        <v>1551689432513442</v>
      </c>
      <c r="C7596" t="s">
        <v>40</v>
      </c>
      <c r="D7596">
        <v>4.3516309999999896</v>
      </c>
      <c r="E7596">
        <v>0.54526390000000002</v>
      </c>
      <c r="F7596" t="s">
        <v>41</v>
      </c>
      <c r="G7596">
        <v>-187.58250000000001</v>
      </c>
      <c r="H7596">
        <v>1.031083</v>
      </c>
      <c r="I7596">
        <v>77.739649999999997</v>
      </c>
      <c r="J7596">
        <v>-187.62540000000001</v>
      </c>
      <c r="K7596">
        <v>1.1109880000000001</v>
      </c>
      <c r="L7596">
        <v>77.070009999999996</v>
      </c>
      <c r="M7596">
        <v>-2.2339899999999999E-2</v>
      </c>
      <c r="N7596">
        <v>-1.407595E-2</v>
      </c>
      <c r="O7596">
        <v>0.99965130000000002</v>
      </c>
      <c r="P7596">
        <v>-2.559753E-2</v>
      </c>
      <c r="Q7596">
        <v>0.37335810000000003</v>
      </c>
      <c r="R7596">
        <v>0.92733410000000005</v>
      </c>
      <c r="S7596">
        <v>0.1275482</v>
      </c>
      <c r="T7596">
        <v>-0.28001710000000002</v>
      </c>
      <c r="U7596">
        <v>3.3501889999999999</v>
      </c>
      <c r="V7596">
        <v>-4.857475E-3</v>
      </c>
      <c r="W7596">
        <v>0.38637959999999999</v>
      </c>
      <c r="X7596">
        <v>0.92232709999999996</v>
      </c>
      <c r="Y7596">
        <v>6.022839E-2</v>
      </c>
      <c r="Z7596">
        <v>-6.9114079999999994E-2</v>
      </c>
      <c r="AA7596">
        <v>0.99578909999999998</v>
      </c>
      <c r="AB7596">
        <v>28</v>
      </c>
      <c r="AC7596">
        <v>4.2900000000002998E-2</v>
      </c>
      <c r="AD7596">
        <v>-7.9904999999999796E-2</v>
      </c>
      <c r="AE7596">
        <v>0.66964000000000101</v>
      </c>
      <c r="AF7596">
        <v>5.7041596220950001E-2</v>
      </c>
      <c r="AG7596">
        <v>-7.9904999999999796E-2</v>
      </c>
      <c r="AH7596">
        <v>0.65916716239388995</v>
      </c>
      <c r="AI7596">
        <v>96.886249710303304</v>
      </c>
      <c r="AJ7596">
        <v>85.054181493626103</v>
      </c>
      <c r="AK7596">
        <v>0.66643821971946304</v>
      </c>
      <c r="AL7596">
        <v>67.270586581622993</v>
      </c>
      <c r="AM7596">
        <v>90.301747876100194</v>
      </c>
      <c r="AN7596">
        <v>1.00000003487697</v>
      </c>
    </row>
    <row r="7597" spans="1:40" x14ac:dyDescent="0.25">
      <c r="A7597" t="str">
        <f>"20190304165032542"</f>
        <v>20190304165032542</v>
      </c>
      <c r="B7597" t="str">
        <f>"1551689432532961"</f>
        <v>1551689432532961</v>
      </c>
      <c r="C7597" t="s">
        <v>40</v>
      </c>
      <c r="D7597">
        <v>4.3376219999999996</v>
      </c>
      <c r="E7597">
        <v>0.54487319999999995</v>
      </c>
      <c r="F7597" t="s">
        <v>41</v>
      </c>
      <c r="G7597">
        <v>-187.5909</v>
      </c>
      <c r="H7597">
        <v>1.034691</v>
      </c>
      <c r="I7597">
        <v>77.988369999999904</v>
      </c>
      <c r="J7597">
        <v>-187.63149999999999</v>
      </c>
      <c r="K7597">
        <v>1.1109960000000001</v>
      </c>
      <c r="L7597">
        <v>77.346220000000002</v>
      </c>
      <c r="M7597">
        <v>-2.2339979999999999E-2</v>
      </c>
      <c r="N7597">
        <v>-1.4072980000000001E-2</v>
      </c>
      <c r="O7597">
        <v>0.99965139999999997</v>
      </c>
      <c r="P7597">
        <v>-2.4414499999999999E-2</v>
      </c>
      <c r="Q7597">
        <v>0.37524950000000001</v>
      </c>
      <c r="R7597">
        <v>0.92660220000000004</v>
      </c>
      <c r="S7597">
        <v>0.1252441</v>
      </c>
      <c r="T7597">
        <v>-0.27841460000000001</v>
      </c>
      <c r="U7597">
        <v>3.350616</v>
      </c>
      <c r="V7597">
        <v>-3.6910419999999998E-3</v>
      </c>
      <c r="W7597">
        <v>0.38825720000000002</v>
      </c>
      <c r="X7597">
        <v>0.92154369999999997</v>
      </c>
      <c r="Y7597">
        <v>5.9541749999999997E-2</v>
      </c>
      <c r="Z7597">
        <v>-6.8636320000000001E-2</v>
      </c>
      <c r="AA7597">
        <v>0.99586339999999995</v>
      </c>
      <c r="AB7597">
        <v>28</v>
      </c>
      <c r="AC7597">
        <v>4.0599999999983503E-2</v>
      </c>
      <c r="AD7597">
        <v>-7.6304999999999804E-2</v>
      </c>
      <c r="AE7597">
        <v>0.64214999999998601</v>
      </c>
      <c r="AF7597">
        <v>5.4175001692657002E-2</v>
      </c>
      <c r="AG7597">
        <v>-7.6304999999999804E-2</v>
      </c>
      <c r="AH7597">
        <v>0.63219164419520602</v>
      </c>
      <c r="AI7597">
        <v>96.857368646879195</v>
      </c>
      <c r="AJ7597">
        <v>85.102063972023799</v>
      </c>
      <c r="AK7597">
        <v>0.63908032266972303</v>
      </c>
      <c r="AL7597">
        <v>67.153900142776706</v>
      </c>
      <c r="AM7597">
        <v>90.2294845027279</v>
      </c>
      <c r="AN7597">
        <v>1.00000003407628</v>
      </c>
    </row>
    <row r="7598" spans="1:40" x14ac:dyDescent="0.25">
      <c r="A7598" t="str">
        <f>"20190304165032566"</f>
        <v>20190304165032566</v>
      </c>
      <c r="B7598" t="str">
        <f>"1551689432553457"</f>
        <v>1551689432553457</v>
      </c>
      <c r="C7598" t="s">
        <v>40</v>
      </c>
      <c r="D7598">
        <v>4.4659789999999999</v>
      </c>
      <c r="E7598">
        <v>0.54465140000000001</v>
      </c>
      <c r="F7598" t="s">
        <v>41</v>
      </c>
      <c r="G7598">
        <v>-187.59889999999999</v>
      </c>
      <c r="H7598">
        <v>1.038627</v>
      </c>
      <c r="I7598">
        <v>78.236940000000004</v>
      </c>
      <c r="J7598">
        <v>-187.63800000000001</v>
      </c>
      <c r="K7598">
        <v>1.1109979999999999</v>
      </c>
      <c r="L7598">
        <v>77.636870000000002</v>
      </c>
      <c r="M7598">
        <v>-2.2340059999999998E-2</v>
      </c>
      <c r="N7598">
        <v>-1.406986E-2</v>
      </c>
      <c r="O7598">
        <v>0.99965139999999997</v>
      </c>
      <c r="P7598">
        <v>-2.3829409999999999E-2</v>
      </c>
      <c r="Q7598">
        <v>0.37624259999999998</v>
      </c>
      <c r="R7598">
        <v>0.9262148</v>
      </c>
      <c r="S7598">
        <v>0.1224823</v>
      </c>
      <c r="T7598">
        <v>-0.27227600000000002</v>
      </c>
      <c r="U7598">
        <v>3.3511350000000002</v>
      </c>
      <c r="V7598">
        <v>-3.1144250000000001E-3</v>
      </c>
      <c r="W7598">
        <v>0.38924180000000003</v>
      </c>
      <c r="X7598">
        <v>0.92113040000000002</v>
      </c>
      <c r="Y7598">
        <v>5.8722290000000003E-2</v>
      </c>
      <c r="Z7598">
        <v>-6.6817639999999998E-2</v>
      </c>
      <c r="AA7598">
        <v>0.99603569999999997</v>
      </c>
      <c r="AB7598">
        <v>28</v>
      </c>
      <c r="AC7598">
        <v>3.9100000000019002E-2</v>
      </c>
      <c r="AD7598">
        <v>-7.2370999999999894E-2</v>
      </c>
      <c r="AE7598">
        <v>0.60007000000000199</v>
      </c>
      <c r="AF7598">
        <v>5.1747659418049603E-2</v>
      </c>
      <c r="AG7598">
        <v>-7.2370999999999894E-2</v>
      </c>
      <c r="AH7598">
        <v>0.59049397577418095</v>
      </c>
      <c r="AI7598">
        <v>96.960915031724795</v>
      </c>
      <c r="AJ7598">
        <v>84.991706308585705</v>
      </c>
      <c r="AK7598">
        <v>0.59715870363065604</v>
      </c>
      <c r="AL7598">
        <v>67.092670907973599</v>
      </c>
      <c r="AM7598">
        <v>90.193721462390002</v>
      </c>
      <c r="AN7598">
        <v>1.00000004615723</v>
      </c>
    </row>
    <row r="7599" spans="1:40" x14ac:dyDescent="0.25">
      <c r="A7599" t="str">
        <f>"20190304165032588"</f>
        <v>20190304165032588</v>
      </c>
      <c r="B7599" t="str">
        <f>"1551689432582737"</f>
        <v>1551689432582737</v>
      </c>
      <c r="C7599" t="s">
        <v>40</v>
      </c>
      <c r="D7599">
        <v>4.2163269999999997</v>
      </c>
      <c r="E7599">
        <v>0.5444251</v>
      </c>
      <c r="F7599" t="s">
        <v>41</v>
      </c>
      <c r="G7599">
        <v>-187.60720000000001</v>
      </c>
      <c r="H7599">
        <v>1.0437970000000001</v>
      </c>
      <c r="I7599">
        <v>78.486230000000006</v>
      </c>
      <c r="J7599">
        <v>-187.64400000000001</v>
      </c>
      <c r="K7599">
        <v>1.111003</v>
      </c>
      <c r="L7599">
        <v>77.90549</v>
      </c>
      <c r="M7599">
        <v>-2.2340120000000002E-2</v>
      </c>
      <c r="N7599">
        <v>-1.406702E-2</v>
      </c>
      <c r="O7599">
        <v>0.99965139999999997</v>
      </c>
      <c r="P7599">
        <v>-2.3198590000000002E-2</v>
      </c>
      <c r="Q7599">
        <v>0.3770849</v>
      </c>
      <c r="R7599">
        <v>0.92588809999999999</v>
      </c>
      <c r="S7599">
        <v>0.1210632</v>
      </c>
      <c r="T7599">
        <v>-0.26506190000000002</v>
      </c>
      <c r="U7599">
        <v>3.3497620000000001</v>
      </c>
      <c r="V7599">
        <v>-2.4915229999999998E-3</v>
      </c>
      <c r="W7599">
        <v>0.39007609999999998</v>
      </c>
      <c r="X7599">
        <v>0.92077920000000002</v>
      </c>
      <c r="Y7599">
        <v>5.8321989999999997E-2</v>
      </c>
      <c r="Z7599">
        <v>-6.4723119999999995E-2</v>
      </c>
      <c r="AA7599">
        <v>0.99619749999999996</v>
      </c>
      <c r="AB7599">
        <v>28</v>
      </c>
      <c r="AC7599">
        <v>3.67999999999995E-2</v>
      </c>
      <c r="AD7599">
        <v>-6.7206000000000099E-2</v>
      </c>
      <c r="AE7599">
        <v>0.58074000000000503</v>
      </c>
      <c r="AF7599">
        <v>4.9110827152278803E-2</v>
      </c>
      <c r="AG7599">
        <v>-6.7206000000000099E-2</v>
      </c>
      <c r="AH7599">
        <v>0.57214123935754602</v>
      </c>
      <c r="AI7599">
        <v>96.675168044641893</v>
      </c>
      <c r="AJ7599">
        <v>85.093933893544204</v>
      </c>
      <c r="AK7599">
        <v>0.57816443816026097</v>
      </c>
      <c r="AL7599">
        <v>67.040764219157097</v>
      </c>
      <c r="AM7599">
        <v>90.155035435265802</v>
      </c>
      <c r="AN7599">
        <v>0.99999995331535296</v>
      </c>
    </row>
    <row r="7600" spans="1:40" x14ac:dyDescent="0.25">
      <c r="A7600" t="str">
        <f>"20190304165032609"</f>
        <v>20190304165032609</v>
      </c>
      <c r="B7600" t="str">
        <f>"1551689432603233"</f>
        <v>1551689432603233</v>
      </c>
      <c r="C7600" t="s">
        <v>40</v>
      </c>
      <c r="D7600">
        <v>4.2242559999999996</v>
      </c>
      <c r="E7600">
        <v>0.54431680000000005</v>
      </c>
      <c r="F7600" t="s">
        <v>41</v>
      </c>
      <c r="G7600">
        <v>-187.61449999999999</v>
      </c>
      <c r="H7600">
        <v>1.047053</v>
      </c>
      <c r="I7600">
        <v>78.735290000000006</v>
      </c>
      <c r="J7600">
        <v>-187.6498</v>
      </c>
      <c r="K7600">
        <v>1.1110040000000001</v>
      </c>
      <c r="L7600">
        <v>78.164400000000001</v>
      </c>
      <c r="M7600">
        <v>-2.2340189999999999E-2</v>
      </c>
      <c r="N7600">
        <v>-1.40643E-2</v>
      </c>
      <c r="O7600">
        <v>0.99965150000000003</v>
      </c>
      <c r="P7600">
        <v>-2.2836800000000001E-2</v>
      </c>
      <c r="Q7600">
        <v>0.37821169999999998</v>
      </c>
      <c r="R7600">
        <v>0.92543739999999997</v>
      </c>
      <c r="S7600">
        <v>0.1187439</v>
      </c>
      <c r="T7600">
        <v>-0.25805410000000001</v>
      </c>
      <c r="U7600">
        <v>3.3482059999999998</v>
      </c>
      <c r="V7600">
        <v>-2.139607E-3</v>
      </c>
      <c r="W7600">
        <v>0.39119409999999999</v>
      </c>
      <c r="X7600">
        <v>0.9203057</v>
      </c>
      <c r="Y7600">
        <v>5.7655449999999997E-2</v>
      </c>
      <c r="Z7600">
        <v>-6.2691949999999996E-2</v>
      </c>
      <c r="AA7600">
        <v>0.99636619999999998</v>
      </c>
      <c r="AB7600">
        <v>28</v>
      </c>
      <c r="AC7600">
        <v>3.53000000000065E-2</v>
      </c>
      <c r="AD7600">
        <v>-6.3950999999999994E-2</v>
      </c>
      <c r="AE7600">
        <v>0.570890000000005</v>
      </c>
      <c r="AF7600">
        <v>4.7453047074447197E-2</v>
      </c>
      <c r="AG7600">
        <v>-6.3950999999999994E-2</v>
      </c>
      <c r="AH7600">
        <v>0.56292191773383304</v>
      </c>
      <c r="AI7600">
        <v>96.458612666531906</v>
      </c>
      <c r="AJ7600">
        <v>85.181487189549898</v>
      </c>
      <c r="AK7600">
        <v>0.56852669905887898</v>
      </c>
      <c r="AL7600">
        <v>66.971179581945194</v>
      </c>
      <c r="AM7600">
        <v>90.133205988016897</v>
      </c>
      <c r="AN7600">
        <v>0.99999999162270703</v>
      </c>
    </row>
    <row r="7601" spans="1:40" x14ac:dyDescent="0.25">
      <c r="A7601" t="str">
        <f>"20190304165032632"</f>
        <v>20190304165032632</v>
      </c>
      <c r="B7601" t="str">
        <f>"1551689432622753"</f>
        <v>1551689432622753</v>
      </c>
      <c r="C7601" t="s">
        <v>40</v>
      </c>
      <c r="D7601">
        <v>4.1922309999999996</v>
      </c>
      <c r="E7601">
        <v>0.54430699999999999</v>
      </c>
      <c r="F7601" t="s">
        <v>41</v>
      </c>
      <c r="G7601">
        <v>-187.6206</v>
      </c>
      <c r="H7601">
        <v>1.049069</v>
      </c>
      <c r="I7601">
        <v>78.982910000000004</v>
      </c>
      <c r="J7601">
        <v>-187.65620000000001</v>
      </c>
      <c r="K7601">
        <v>1.1109979999999999</v>
      </c>
      <c r="L7601">
        <v>78.451969999999903</v>
      </c>
      <c r="M7601">
        <v>-2.2340280000000001E-2</v>
      </c>
      <c r="N7601">
        <v>-1.406144E-2</v>
      </c>
      <c r="O7601">
        <v>0.99965159999999997</v>
      </c>
      <c r="P7601">
        <v>-2.3156989999999999E-2</v>
      </c>
      <c r="Q7601">
        <v>0.37865260000000001</v>
      </c>
      <c r="R7601">
        <v>0.92524919999999999</v>
      </c>
      <c r="S7601">
        <v>0.11868289999999999</v>
      </c>
      <c r="T7601">
        <v>-0.25339660000000003</v>
      </c>
      <c r="U7601">
        <v>3.3482059999999998</v>
      </c>
      <c r="V7601">
        <v>-2.4638490000000002E-3</v>
      </c>
      <c r="W7601">
        <v>0.39162979999999997</v>
      </c>
      <c r="X7601">
        <v>0.92011960000000004</v>
      </c>
      <c r="Y7601">
        <v>5.7641020000000001E-2</v>
      </c>
      <c r="Z7601">
        <v>-6.131665E-2</v>
      </c>
      <c r="AA7601">
        <v>0.99645260000000002</v>
      </c>
      <c r="AB7601">
        <v>28</v>
      </c>
      <c r="AC7601">
        <v>3.56000000000165E-2</v>
      </c>
      <c r="AD7601">
        <v>-6.1928999999999901E-2</v>
      </c>
      <c r="AE7601">
        <v>0.53094000000001496</v>
      </c>
      <c r="AF7601">
        <v>4.6819507085225899E-2</v>
      </c>
      <c r="AG7601">
        <v>-6.1928999999999901E-2</v>
      </c>
      <c r="AH7601">
        <v>0.52292947964007497</v>
      </c>
      <c r="AI7601">
        <v>96.727251867800604</v>
      </c>
      <c r="AJ7601">
        <v>84.883771947127499</v>
      </c>
      <c r="AK7601">
        <v>0.52866105205636504</v>
      </c>
      <c r="AL7601">
        <v>66.944052206868307</v>
      </c>
      <c r="AM7601">
        <v>90.153423328501205</v>
      </c>
      <c r="AN7601">
        <v>1.00000002455204</v>
      </c>
    </row>
    <row r="7602" spans="1:40" x14ac:dyDescent="0.25">
      <c r="A7602" t="str">
        <f>"20190304165032654"</f>
        <v>20190304165032654</v>
      </c>
      <c r="B7602" t="str">
        <f>"1551689432643249"</f>
        <v>1551689432643249</v>
      </c>
      <c r="C7602" t="s">
        <v>40</v>
      </c>
      <c r="D7602">
        <v>4.2059129999999998</v>
      </c>
      <c r="E7602">
        <v>0.54419960000000001</v>
      </c>
      <c r="F7602" t="s">
        <v>41</v>
      </c>
      <c r="G7602">
        <v>-187.62790000000001</v>
      </c>
      <c r="H7602">
        <v>1.051882</v>
      </c>
      <c r="I7602">
        <v>79.24033</v>
      </c>
      <c r="J7602">
        <v>-187.66239999999999</v>
      </c>
      <c r="K7602">
        <v>1.111002</v>
      </c>
      <c r="L7602">
        <v>78.728179999999995</v>
      </c>
      <c r="M7602">
        <v>-2.234038E-2</v>
      </c>
      <c r="N7602">
        <v>-1.4058609999999999E-2</v>
      </c>
      <c r="O7602">
        <v>0.99965159999999997</v>
      </c>
      <c r="P7602">
        <v>-2.378075E-2</v>
      </c>
      <c r="Q7602">
        <v>0.37768210000000002</v>
      </c>
      <c r="R7602">
        <v>0.92562990000000001</v>
      </c>
      <c r="S7602">
        <v>0.1200867</v>
      </c>
      <c r="T7602">
        <v>-0.25108740000000002</v>
      </c>
      <c r="U7602">
        <v>3.3481450000000001</v>
      </c>
      <c r="V7602">
        <v>-3.0785930000000001E-3</v>
      </c>
      <c r="W7602">
        <v>0.39066269999999997</v>
      </c>
      <c r="X7602">
        <v>0.92052880000000004</v>
      </c>
      <c r="Y7602">
        <v>5.8060519999999997E-2</v>
      </c>
      <c r="Z7602">
        <v>-6.0635809999999998E-2</v>
      </c>
      <c r="AA7602">
        <v>0.99646990000000002</v>
      </c>
      <c r="AB7602">
        <v>27</v>
      </c>
      <c r="AC7602">
        <v>3.4499999999979901E-2</v>
      </c>
      <c r="AD7602">
        <v>-5.9119999999999999E-2</v>
      </c>
      <c r="AE7602">
        <v>0.512149999999991</v>
      </c>
      <c r="AF7602">
        <v>4.5332803044517603E-2</v>
      </c>
      <c r="AG7602">
        <v>-5.9119999999999999E-2</v>
      </c>
      <c r="AH7602">
        <v>0.50455835295483598</v>
      </c>
      <c r="AI7602">
        <v>96.656405068412795</v>
      </c>
      <c r="AJ7602">
        <v>84.8659596864088</v>
      </c>
      <c r="AK7602">
        <v>0.51002879229350395</v>
      </c>
      <c r="AL7602">
        <v>67.004260335775598</v>
      </c>
      <c r="AM7602">
        <v>90.191617826742799</v>
      </c>
      <c r="AN7602">
        <v>1.0000000472677899</v>
      </c>
    </row>
    <row r="7603" spans="1:40" x14ac:dyDescent="0.25">
      <c r="A7603" t="str">
        <f>"20190304165032675"</f>
        <v>20190304165032675</v>
      </c>
      <c r="B7603" t="str">
        <f>"1551689432662773"</f>
        <v>1551689432662773</v>
      </c>
      <c r="C7603" t="s">
        <v>40</v>
      </c>
      <c r="D7603">
        <v>4.2291660000000002</v>
      </c>
      <c r="E7603">
        <v>0.54412569999999905</v>
      </c>
      <c r="F7603" t="s">
        <v>42</v>
      </c>
      <c r="G7603">
        <v>-187.136</v>
      </c>
      <c r="H7603" s="1">
        <v>-2.0757829999999998E-6</v>
      </c>
      <c r="I7603">
        <v>93.28725</v>
      </c>
      <c r="J7603">
        <v>-187.66800000000001</v>
      </c>
      <c r="K7603">
        <v>1.1110009999999999</v>
      </c>
      <c r="L7603">
        <v>78.979460000000003</v>
      </c>
      <c r="M7603">
        <v>-2.2340450000000001E-2</v>
      </c>
      <c r="N7603">
        <v>-1.405582E-2</v>
      </c>
      <c r="O7603">
        <v>0.99965159999999997</v>
      </c>
      <c r="P7603">
        <v>-2.3597199999999999E-2</v>
      </c>
      <c r="Q7603">
        <v>0.37694480000000002</v>
      </c>
      <c r="R7603">
        <v>0.92593510000000001</v>
      </c>
      <c r="S7603">
        <v>0.1210632</v>
      </c>
      <c r="T7603">
        <v>-0.25551810000000003</v>
      </c>
      <c r="U7603">
        <v>3.3484189999999998</v>
      </c>
      <c r="V7603">
        <v>-2.8886350000000001E-3</v>
      </c>
      <c r="W7603">
        <v>0.3899263</v>
      </c>
      <c r="X7603">
        <v>0.92084149999999998</v>
      </c>
      <c r="Y7603">
        <v>5.8344300000000002E-2</v>
      </c>
      <c r="Z7603">
        <v>-6.1942610000000002E-2</v>
      </c>
      <c r="AA7603">
        <v>0.99637290000000001</v>
      </c>
      <c r="AB7603">
        <v>27</v>
      </c>
      <c r="AC7603">
        <v>0.53200000000001002</v>
      </c>
      <c r="AD7603">
        <v>-1.1110030757830001</v>
      </c>
      <c r="AE7603">
        <v>14.307789999999899</v>
      </c>
      <c r="AF7603">
        <v>0.84644460773160601</v>
      </c>
      <c r="AG7603">
        <v>-1.1110030757830001</v>
      </c>
      <c r="AH7603">
        <v>14.2067896936616</v>
      </c>
      <c r="AI7603">
        <v>94.463675401602401</v>
      </c>
      <c r="AJ7603">
        <v>86.590331757701605</v>
      </c>
      <c r="AK7603">
        <v>14.275281773341201</v>
      </c>
      <c r="AL7603">
        <v>67.050085521590304</v>
      </c>
      <c r="AM7603">
        <v>90.179733484176893</v>
      </c>
      <c r="AN7603">
        <v>0.99999996588305096</v>
      </c>
    </row>
    <row r="7604" spans="1:40" x14ac:dyDescent="0.25">
      <c r="A7604" t="str">
        <f>"20190304165032697"</f>
        <v>20190304165032697</v>
      </c>
      <c r="B7604" t="str">
        <f>"1551689432693025"</f>
        <v>1551689432693025</v>
      </c>
      <c r="C7604" t="s">
        <v>40</v>
      </c>
      <c r="D7604">
        <v>4.2069330000000003</v>
      </c>
      <c r="E7604">
        <v>0.54401880000000002</v>
      </c>
      <c r="F7604" t="s">
        <v>42</v>
      </c>
      <c r="G7604">
        <v>-187.14320000000001</v>
      </c>
      <c r="H7604" s="1">
        <v>-2.0803039999999999E-6</v>
      </c>
      <c r="I7604">
        <v>93.300759999999997</v>
      </c>
      <c r="J7604">
        <v>-187.67410000000001</v>
      </c>
      <c r="K7604">
        <v>1.110997</v>
      </c>
      <c r="L7604">
        <v>79.252229999999997</v>
      </c>
      <c r="M7604">
        <v>-2.2340519999999999E-2</v>
      </c>
      <c r="N7604">
        <v>-1.405271E-2</v>
      </c>
      <c r="O7604">
        <v>0.99965170000000003</v>
      </c>
      <c r="P7604">
        <v>-2.3475889999999999E-2</v>
      </c>
      <c r="Q7604">
        <v>0.3753995</v>
      </c>
      <c r="R7604">
        <v>0.92656579999999999</v>
      </c>
      <c r="S7604">
        <v>0.1227264</v>
      </c>
      <c r="T7604">
        <v>-0.25979350000000001</v>
      </c>
      <c r="U7604">
        <v>3.348846</v>
      </c>
      <c r="V7604">
        <v>-2.7531330000000001E-3</v>
      </c>
      <c r="W7604">
        <v>0.38838729999999999</v>
      </c>
      <c r="X7604">
        <v>0.92149210000000004</v>
      </c>
      <c r="Y7604">
        <v>5.8830250000000001E-2</v>
      </c>
      <c r="Z7604">
        <v>-6.319893E-2</v>
      </c>
      <c r="AA7604">
        <v>0.99626550000000003</v>
      </c>
      <c r="AB7604">
        <v>27</v>
      </c>
      <c r="AC7604">
        <v>0.53090000000000204</v>
      </c>
      <c r="AD7604">
        <v>-1.110999080304</v>
      </c>
      <c r="AE7604">
        <v>14.0485299999999</v>
      </c>
      <c r="AF7604">
        <v>0.83940765287144303</v>
      </c>
      <c r="AG7604">
        <v>-1.110999080304</v>
      </c>
      <c r="AH7604">
        <v>13.9460654471533</v>
      </c>
      <c r="AI7604">
        <v>94.5465970275188</v>
      </c>
      <c r="AJ7604">
        <v>86.555547281875803</v>
      </c>
      <c r="AK7604">
        <v>14.015408150332901</v>
      </c>
      <c r="AL7604">
        <v>67.145809922332504</v>
      </c>
      <c r="AM7604">
        <v>90.171181534803793</v>
      </c>
      <c r="AN7604">
        <v>0.99999998245250699</v>
      </c>
    </row>
    <row r="7605" spans="1:40" x14ac:dyDescent="0.25">
      <c r="A7605" t="str">
        <f>"20190304165032721"</f>
        <v>20190304165032721</v>
      </c>
      <c r="B7605" t="str">
        <f>"1551689432713522"</f>
        <v>1551689432713522</v>
      </c>
      <c r="C7605" t="s">
        <v>40</v>
      </c>
      <c r="D7605">
        <v>4.2583549999999999</v>
      </c>
      <c r="E7605">
        <v>0.54400869999999901</v>
      </c>
      <c r="F7605" t="s">
        <v>41</v>
      </c>
      <c r="G7605">
        <v>-187.63939999999999</v>
      </c>
      <c r="H7605">
        <v>1.035712</v>
      </c>
      <c r="I7605">
        <v>80.1982</v>
      </c>
      <c r="J7605">
        <v>-187.6806</v>
      </c>
      <c r="K7605">
        <v>1.1109929999999999</v>
      </c>
      <c r="L7605">
        <v>79.54016</v>
      </c>
      <c r="M7605">
        <v>-2.2340619999999999E-2</v>
      </c>
      <c r="N7605">
        <v>-1.4049590000000001E-2</v>
      </c>
      <c r="O7605">
        <v>0.99965170000000003</v>
      </c>
      <c r="P7605">
        <v>-2.3202509999999999E-2</v>
      </c>
      <c r="Q7605">
        <v>0.37413689999999999</v>
      </c>
      <c r="R7605">
        <v>0.9270832</v>
      </c>
      <c r="S7605">
        <v>0.1229095</v>
      </c>
      <c r="T7605">
        <v>-0.26652219999999999</v>
      </c>
      <c r="U7605">
        <v>3.3488769999999999</v>
      </c>
      <c r="V7605">
        <v>-2.4685060000000001E-3</v>
      </c>
      <c r="W7605">
        <v>0.38712930000000001</v>
      </c>
      <c r="X7605">
        <v>0.92202220000000001</v>
      </c>
      <c r="Y7605">
        <v>5.8878850000000003E-2</v>
      </c>
      <c r="Z7605">
        <v>-6.5190780000000004E-2</v>
      </c>
      <c r="AA7605">
        <v>0.99613419999999997</v>
      </c>
      <c r="AB7605">
        <v>27</v>
      </c>
      <c r="AC7605">
        <v>4.1200000000003401E-2</v>
      </c>
      <c r="AD7605">
        <v>-7.5280999999999904E-2</v>
      </c>
      <c r="AE7605">
        <v>0.65803999999999896</v>
      </c>
      <c r="AF7605">
        <v>5.51729160423488E-2</v>
      </c>
      <c r="AG7605">
        <v>-7.5280999999999904E-2</v>
      </c>
      <c r="AH7605">
        <v>0.64850090802270499</v>
      </c>
      <c r="AI7605">
        <v>96.5978993371168</v>
      </c>
      <c r="AJ7605">
        <v>85.1371215180109</v>
      </c>
      <c r="AK7605">
        <v>0.65518295714394903</v>
      </c>
      <c r="AL7605">
        <v>67.224007933585796</v>
      </c>
      <c r="AM7605">
        <v>90.153396130351794</v>
      </c>
      <c r="AN7605">
        <v>1.0000000628665899</v>
      </c>
    </row>
    <row r="7606" spans="1:40" x14ac:dyDescent="0.25">
      <c r="A7606" t="str">
        <f>"20190304165032744"</f>
        <v>20190304165032744</v>
      </c>
      <c r="B7606" t="str">
        <f>"1551689432733050"</f>
        <v>1551689432733050</v>
      </c>
      <c r="C7606" t="s">
        <v>40</v>
      </c>
      <c r="D7606">
        <v>4.2878259999999999</v>
      </c>
      <c r="E7606">
        <v>0.54394259999999905</v>
      </c>
      <c r="F7606" t="s">
        <v>41</v>
      </c>
      <c r="G7606">
        <v>-187.64660000000001</v>
      </c>
      <c r="H7606">
        <v>1.037819</v>
      </c>
      <c r="I7606">
        <v>80.443209999999993</v>
      </c>
      <c r="J7606">
        <v>-187.68680000000001</v>
      </c>
      <c r="K7606">
        <v>1.1109910000000001</v>
      </c>
      <c r="L7606">
        <v>79.821719999999999</v>
      </c>
      <c r="M7606">
        <v>-2.234069E-2</v>
      </c>
      <c r="N7606">
        <v>-1.404657E-2</v>
      </c>
      <c r="O7606">
        <v>0.99965170000000003</v>
      </c>
      <c r="P7606">
        <v>-2.2555430000000001E-2</v>
      </c>
      <c r="Q7606">
        <v>0.37318889999999999</v>
      </c>
      <c r="R7606">
        <v>0.92748120000000001</v>
      </c>
      <c r="S7606">
        <v>0.1251526</v>
      </c>
      <c r="T7606">
        <v>-0.27139029999999997</v>
      </c>
      <c r="U7606">
        <v>3.3486020000000001</v>
      </c>
      <c r="V7606">
        <v>-1.812E-3</v>
      </c>
      <c r="W7606">
        <v>0.38618390000000002</v>
      </c>
      <c r="X7606">
        <v>0.92242000000000002</v>
      </c>
      <c r="Y7606">
        <v>5.9543640000000002E-2</v>
      </c>
      <c r="Z7606">
        <v>-6.6636609999999999E-2</v>
      </c>
      <c r="AA7606">
        <v>0.99599899999999997</v>
      </c>
      <c r="AB7606">
        <v>27</v>
      </c>
      <c r="AC7606">
        <v>4.0199999999998598E-2</v>
      </c>
      <c r="AD7606">
        <v>-7.3172000000000001E-2</v>
      </c>
      <c r="AE7606">
        <v>0.62148999999999399</v>
      </c>
      <c r="AF7606">
        <v>5.3339545804621198E-2</v>
      </c>
      <c r="AG7606">
        <v>-7.3172000000000001E-2</v>
      </c>
      <c r="AH7606">
        <v>0.61198871352061501</v>
      </c>
      <c r="AI7606">
        <v>96.792653240975795</v>
      </c>
      <c r="AJ7606">
        <v>85.018817719811196</v>
      </c>
      <c r="AK7606">
        <v>0.61865130259885603</v>
      </c>
      <c r="AL7606">
        <v>67.282741426981303</v>
      </c>
      <c r="AM7606">
        <v>90.112551569714199</v>
      </c>
      <c r="AN7606">
        <v>0.99999997218160397</v>
      </c>
    </row>
    <row r="7607" spans="1:40" x14ac:dyDescent="0.25">
      <c r="A7607" t="str">
        <f>"20190304165032770"</f>
        <v>20190304165032770</v>
      </c>
      <c r="B7607" t="str">
        <f>"1551689432763298"</f>
        <v>1551689432763298</v>
      </c>
      <c r="C7607" t="s">
        <v>40</v>
      </c>
      <c r="D7607">
        <v>4.2541250000000002</v>
      </c>
      <c r="E7607">
        <v>0.54397189999999995</v>
      </c>
      <c r="F7607" t="s">
        <v>41</v>
      </c>
      <c r="G7607">
        <v>-187.65379999999999</v>
      </c>
      <c r="H7607">
        <v>1.0396190000000001</v>
      </c>
      <c r="I7607">
        <v>80.68777</v>
      </c>
      <c r="J7607">
        <v>-187.69370000000001</v>
      </c>
      <c r="K7607">
        <v>1.1109800000000001</v>
      </c>
      <c r="L7607">
        <v>80.13</v>
      </c>
      <c r="M7607">
        <v>-2.2340769999999999E-2</v>
      </c>
      <c r="N7607">
        <v>-1.404325E-2</v>
      </c>
      <c r="O7607">
        <v>0.99965179999999998</v>
      </c>
      <c r="P7607">
        <v>-2.1816370000000002E-2</v>
      </c>
      <c r="Q7607">
        <v>0.37281540000000002</v>
      </c>
      <c r="R7607">
        <v>0.92764899999999995</v>
      </c>
      <c r="S7607">
        <v>0.1277161</v>
      </c>
      <c r="T7607">
        <v>-0.27597379999999999</v>
      </c>
      <c r="U7607">
        <v>3.3487239999999998</v>
      </c>
      <c r="V7607">
        <v>-1.0692810000000001E-3</v>
      </c>
      <c r="W7607">
        <v>0.38580950000000003</v>
      </c>
      <c r="X7607">
        <v>0.92257789999999995</v>
      </c>
      <c r="Y7607">
        <v>6.0299140000000001E-2</v>
      </c>
      <c r="Z7607">
        <v>-6.7988220000000002E-2</v>
      </c>
      <c r="AA7607">
        <v>0.99586220000000003</v>
      </c>
      <c r="AB7607">
        <v>27</v>
      </c>
      <c r="AC7607">
        <v>3.9900000000017102E-2</v>
      </c>
      <c r="AD7607">
        <v>-7.1360999999999702E-2</v>
      </c>
      <c r="AE7607">
        <v>0.55777000000000498</v>
      </c>
      <c r="AF7607">
        <v>5.1513370582341102E-2</v>
      </c>
      <c r="AG7607">
        <v>-7.1360999999999702E-2</v>
      </c>
      <c r="AH7607">
        <v>0.54781791631507604</v>
      </c>
      <c r="AI7607">
        <v>97.389555209174603</v>
      </c>
      <c r="AJ7607">
        <v>84.628059599346898</v>
      </c>
      <c r="AK7607">
        <v>0.55484276070391803</v>
      </c>
      <c r="AL7607">
        <v>67.305996932946201</v>
      </c>
      <c r="AM7607">
        <v>90.066406599356696</v>
      </c>
      <c r="AN7607">
        <v>1.00000004761025</v>
      </c>
    </row>
    <row r="7608" spans="1:40" x14ac:dyDescent="0.25">
      <c r="A7608" t="str">
        <f>"20190304165032790"</f>
        <v>20190304165032790</v>
      </c>
      <c r="B7608" t="str">
        <f>"1551689432782818"</f>
        <v>1551689432782818</v>
      </c>
      <c r="C7608" t="s">
        <v>40</v>
      </c>
      <c r="D7608">
        <v>4.3522959999999999</v>
      </c>
      <c r="E7608">
        <v>0.54390229999999995</v>
      </c>
      <c r="F7608" t="s">
        <v>41</v>
      </c>
      <c r="G7608">
        <v>-187.66200000000001</v>
      </c>
      <c r="H7608">
        <v>1.0444960000000001</v>
      </c>
      <c r="I7608">
        <v>80.934229999999999</v>
      </c>
      <c r="J7608">
        <v>-187.69929999999999</v>
      </c>
      <c r="K7608">
        <v>1.110981</v>
      </c>
      <c r="L7608">
        <v>80.379819999999995</v>
      </c>
      <c r="M7608">
        <v>-2.2340820000000001E-2</v>
      </c>
      <c r="N7608">
        <v>-1.4040540000000001E-2</v>
      </c>
      <c r="O7608">
        <v>0.99965179999999998</v>
      </c>
      <c r="P7608">
        <v>-2.0551489999999999E-2</v>
      </c>
      <c r="Q7608">
        <v>0.3730966</v>
      </c>
      <c r="R7608">
        <v>0.92756479999999997</v>
      </c>
      <c r="S7608">
        <v>0.13146969999999999</v>
      </c>
      <c r="T7608">
        <v>-0.27684439999999999</v>
      </c>
      <c r="U7608">
        <v>3.348328</v>
      </c>
      <c r="V7608">
        <v>1.932569E-4</v>
      </c>
      <c r="W7608">
        <v>0.3860866</v>
      </c>
      <c r="X7608">
        <v>0.92246249999999996</v>
      </c>
      <c r="Y7608">
        <v>6.1416819999999997E-2</v>
      </c>
      <c r="Z7608">
        <v>-6.8253049999999996E-2</v>
      </c>
      <c r="AA7608">
        <v>0.99577579999999999</v>
      </c>
      <c r="AB7608">
        <v>27</v>
      </c>
      <c r="AC7608">
        <v>3.72999999999876E-2</v>
      </c>
      <c r="AD7608">
        <v>-6.64850000000001E-2</v>
      </c>
      <c r="AE7608">
        <v>0.55441000000000396</v>
      </c>
      <c r="AF7608">
        <v>4.8976729428183E-2</v>
      </c>
      <c r="AG7608">
        <v>-6.64850000000001E-2</v>
      </c>
      <c r="AH7608">
        <v>0.54562696939032196</v>
      </c>
      <c r="AI7608">
        <v>96.919729756582001</v>
      </c>
      <c r="AJ7608">
        <v>84.870745744321198</v>
      </c>
      <c r="AK7608">
        <v>0.55184034373770596</v>
      </c>
      <c r="AL7608">
        <v>67.288785270548601</v>
      </c>
      <c r="AM7608">
        <v>89.987996471867604</v>
      </c>
      <c r="AN7608">
        <v>0.999999981977019</v>
      </c>
    </row>
    <row r="7609" spans="1:40" x14ac:dyDescent="0.25">
      <c r="A7609" t="str">
        <f>"20190304165032811"</f>
        <v>20190304165032811</v>
      </c>
      <c r="B7609" t="str">
        <f>"1551689432803314"</f>
        <v>1551689432803314</v>
      </c>
      <c r="C7609" t="s">
        <v>40</v>
      </c>
      <c r="D7609">
        <v>4.3332499999999996</v>
      </c>
      <c r="E7609">
        <v>0.54388029999999998</v>
      </c>
      <c r="F7609" t="s">
        <v>41</v>
      </c>
      <c r="G7609">
        <v>-187.66679999999999</v>
      </c>
      <c r="H7609">
        <v>1.045145</v>
      </c>
      <c r="I7609">
        <v>81.177909999999997</v>
      </c>
      <c r="J7609">
        <v>-187.70490000000001</v>
      </c>
      <c r="K7609">
        <v>1.1109899999999999</v>
      </c>
      <c r="L7609">
        <v>80.631129999999999</v>
      </c>
      <c r="M7609">
        <v>-2.234088E-2</v>
      </c>
      <c r="N7609">
        <v>-1.4037849999999999E-2</v>
      </c>
      <c r="O7609">
        <v>0.99965179999999998</v>
      </c>
      <c r="P7609">
        <v>-1.9277820000000001E-2</v>
      </c>
      <c r="Q7609">
        <v>0.37334780000000001</v>
      </c>
      <c r="R7609">
        <v>0.92749110000000001</v>
      </c>
      <c r="S7609">
        <v>0.13629150000000001</v>
      </c>
      <c r="T7609">
        <v>-0.27624490000000002</v>
      </c>
      <c r="U7609">
        <v>3.3484189999999998</v>
      </c>
      <c r="V7609">
        <v>1.4650360000000001E-3</v>
      </c>
      <c r="W7609">
        <v>0.38633390000000001</v>
      </c>
      <c r="X7609">
        <v>0.92235789999999995</v>
      </c>
      <c r="Y7609">
        <v>6.2847E-2</v>
      </c>
      <c r="Z7609">
        <v>-6.8070140000000001E-2</v>
      </c>
      <c r="AA7609">
        <v>0.99569909999999995</v>
      </c>
      <c r="AB7609">
        <v>27</v>
      </c>
      <c r="AC7609">
        <v>3.8100000000014199E-2</v>
      </c>
      <c r="AD7609">
        <v>-6.5844999999999904E-2</v>
      </c>
      <c r="AE7609">
        <v>0.54677999999999805</v>
      </c>
      <c r="AF7609">
        <v>4.9591550349683301E-2</v>
      </c>
      <c r="AG7609">
        <v>-6.5844999999999904E-2</v>
      </c>
      <c r="AH7609">
        <v>0.53802759128046895</v>
      </c>
      <c r="AI7609">
        <v>96.948124743049206</v>
      </c>
      <c r="AJ7609">
        <v>84.733763292399502</v>
      </c>
      <c r="AK7609">
        <v>0.54430558960031605</v>
      </c>
      <c r="AL7609">
        <v>67.273426092084193</v>
      </c>
      <c r="AM7609">
        <v>89.908993776662797</v>
      </c>
      <c r="AN7609">
        <v>1.0000000621560401</v>
      </c>
    </row>
    <row r="7610" spans="1:40" x14ac:dyDescent="0.25">
      <c r="A7610" t="str">
        <f>"20190304165032833"</f>
        <v>20190304165032833</v>
      </c>
      <c r="B7610" t="str">
        <f>"1551689432822834"</f>
        <v>1551689432822834</v>
      </c>
      <c r="C7610" t="s">
        <v>40</v>
      </c>
      <c r="D7610">
        <v>4.3207180000000003</v>
      </c>
      <c r="E7610">
        <v>0.54383159999999997</v>
      </c>
      <c r="F7610" t="s">
        <v>41</v>
      </c>
      <c r="G7610">
        <v>-187.67169999999999</v>
      </c>
      <c r="H7610">
        <v>1.0460849999999999</v>
      </c>
      <c r="I7610">
        <v>81.421549999999996</v>
      </c>
      <c r="J7610">
        <v>-187.71109999999999</v>
      </c>
      <c r="K7610">
        <v>1.1110040000000001</v>
      </c>
      <c r="L7610">
        <v>80.907380000000003</v>
      </c>
      <c r="M7610">
        <v>-2.234096E-2</v>
      </c>
      <c r="N7610">
        <v>-1.403485E-2</v>
      </c>
      <c r="O7610">
        <v>0.99965190000000004</v>
      </c>
      <c r="P7610">
        <v>-1.7964649999999999E-2</v>
      </c>
      <c r="Q7610">
        <v>0.37409799999999999</v>
      </c>
      <c r="R7610">
        <v>0.92721520000000002</v>
      </c>
      <c r="S7610">
        <v>0.14016719999999999</v>
      </c>
      <c r="T7610">
        <v>-0.27498909999999999</v>
      </c>
      <c r="U7610">
        <v>3.3481139999999998</v>
      </c>
      <c r="V7610">
        <v>2.7718299999999999E-3</v>
      </c>
      <c r="W7610">
        <v>0.387077</v>
      </c>
      <c r="X7610">
        <v>0.92204319999999895</v>
      </c>
      <c r="Y7610">
        <v>6.4001820000000001E-2</v>
      </c>
      <c r="Z7610">
        <v>-6.7704429999999996E-2</v>
      </c>
      <c r="AA7610">
        <v>0.99565049999999999</v>
      </c>
      <c r="AB7610">
        <v>27</v>
      </c>
      <c r="AC7610">
        <v>3.9400000000000497E-2</v>
      </c>
      <c r="AD7610">
        <v>-6.4919000000000102E-2</v>
      </c>
      <c r="AE7610">
        <v>0.51416999999999202</v>
      </c>
      <c r="AF7610">
        <v>5.0084582726192602E-2</v>
      </c>
      <c r="AG7610">
        <v>-6.4919000000000102E-2</v>
      </c>
      <c r="AH7610">
        <v>0.50515537954711998</v>
      </c>
      <c r="AI7610">
        <v>97.287764451183904</v>
      </c>
      <c r="AJ7610">
        <v>84.337806823551105</v>
      </c>
      <c r="AK7610">
        <v>0.511766450124715</v>
      </c>
      <c r="AL7610">
        <v>67.2272557623034</v>
      </c>
      <c r="AM7610">
        <v>89.827758957365404</v>
      </c>
      <c r="AN7610">
        <v>0.99999997481839398</v>
      </c>
    </row>
    <row r="7611" spans="1:40" x14ac:dyDescent="0.25">
      <c r="A7611" t="str">
        <f>"20190304165032856"</f>
        <v>20190304165032856</v>
      </c>
      <c r="B7611" t="str">
        <f>"1551689432853089"</f>
        <v>1551689432853089</v>
      </c>
      <c r="C7611" t="s">
        <v>40</v>
      </c>
      <c r="D7611">
        <v>4.3453790000000003</v>
      </c>
      <c r="E7611">
        <v>0.54376919999999995</v>
      </c>
      <c r="F7611" t="s">
        <v>41</v>
      </c>
      <c r="G7611">
        <v>-187.67840000000001</v>
      </c>
      <c r="H7611">
        <v>1.049245</v>
      </c>
      <c r="I7611">
        <v>81.666979999999995</v>
      </c>
      <c r="J7611">
        <v>-187.71719999999999</v>
      </c>
      <c r="K7611">
        <v>1.1110089999999999</v>
      </c>
      <c r="L7611">
        <v>81.180909999999997</v>
      </c>
      <c r="M7611">
        <v>-2.2341050000000001E-2</v>
      </c>
      <c r="N7611">
        <v>-1.4031979999999999E-2</v>
      </c>
      <c r="O7611">
        <v>0.99965190000000004</v>
      </c>
      <c r="P7611">
        <v>-1.6900510000000001E-2</v>
      </c>
      <c r="Q7611">
        <v>0.37539119999999998</v>
      </c>
      <c r="R7611">
        <v>0.92671239999999999</v>
      </c>
      <c r="S7611">
        <v>0.1443024</v>
      </c>
      <c r="T7611">
        <v>-0.27220830000000001</v>
      </c>
      <c r="U7611">
        <v>3.3481139999999998</v>
      </c>
      <c r="V7611">
        <v>3.8246209999999998E-3</v>
      </c>
      <c r="W7611">
        <v>0.38835999999999998</v>
      </c>
      <c r="X7611">
        <v>0.92149979999999998</v>
      </c>
      <c r="Y7611">
        <v>6.5231289999999997E-2</v>
      </c>
      <c r="Z7611">
        <v>-6.6880110000000006E-2</v>
      </c>
      <c r="AA7611">
        <v>0.99562640000000002</v>
      </c>
      <c r="AB7611">
        <v>27</v>
      </c>
      <c r="AC7611">
        <v>3.87999999999806E-2</v>
      </c>
      <c r="AD7611">
        <v>-6.1763999999999902E-2</v>
      </c>
      <c r="AE7611">
        <v>0.48607000000001199</v>
      </c>
      <c r="AF7611">
        <v>4.8866676962328097E-2</v>
      </c>
      <c r="AG7611">
        <v>-6.1763999999999902E-2</v>
      </c>
      <c r="AH7611">
        <v>0.477421944617196</v>
      </c>
      <c r="AI7611">
        <v>97.333508989748793</v>
      </c>
      <c r="AJ7611">
        <v>84.155824373945293</v>
      </c>
      <c r="AK7611">
        <v>0.48387442277455101</v>
      </c>
      <c r="AL7611">
        <v>67.147507749485001</v>
      </c>
      <c r="AM7611">
        <v>89.762199206908605</v>
      </c>
      <c r="AN7611">
        <v>0.99999999936291595</v>
      </c>
    </row>
    <row r="7612" spans="1:40" x14ac:dyDescent="0.25">
      <c r="A7612" t="str">
        <f>"20190304165032900"</f>
        <v>20190304165032900</v>
      </c>
      <c r="B7612" t="str">
        <f>"1551689432893106"</f>
        <v>1551689432893106</v>
      </c>
      <c r="C7612" t="s">
        <v>40</v>
      </c>
      <c r="D7612">
        <v>4.419505</v>
      </c>
      <c r="E7612">
        <v>0.48325220000000002</v>
      </c>
      <c r="F7612" t="s">
        <v>41</v>
      </c>
      <c r="G7612">
        <v>-187.67490000000001</v>
      </c>
      <c r="H7612">
        <v>1.034152</v>
      </c>
      <c r="I7612">
        <v>82.141249999999999</v>
      </c>
      <c r="J7612">
        <v>-187.72919999999999</v>
      </c>
      <c r="K7612">
        <v>1.1110530000000001</v>
      </c>
      <c r="L7612">
        <v>81.717159999999893</v>
      </c>
      <c r="M7612">
        <v>-2.2341199999999999E-2</v>
      </c>
      <c r="N7612">
        <v>-1.402633E-2</v>
      </c>
      <c r="O7612">
        <v>0.99965199999999999</v>
      </c>
      <c r="P7612">
        <v>-1.7348639999999999E-2</v>
      </c>
      <c r="Q7612">
        <v>0.3789401</v>
      </c>
      <c r="R7612">
        <v>0.92525860000000004</v>
      </c>
      <c r="S7612">
        <v>0.14735409999999999</v>
      </c>
      <c r="T7612">
        <v>-0.26798149999999998</v>
      </c>
      <c r="U7612">
        <v>3.3484799999999999</v>
      </c>
      <c r="V7612">
        <v>3.3444009999999999E-3</v>
      </c>
      <c r="W7612">
        <v>0.39188299999999998</v>
      </c>
      <c r="X7612">
        <v>0.92000899999999997</v>
      </c>
      <c r="Y7612">
        <v>6.613608E-2</v>
      </c>
      <c r="Z7612">
        <v>-6.5623870000000001E-2</v>
      </c>
      <c r="AA7612">
        <v>0.99565029999999999</v>
      </c>
      <c r="AB7612">
        <v>27</v>
      </c>
      <c r="AC7612">
        <v>5.42999999999835E-2</v>
      </c>
      <c r="AD7612">
        <v>-7.6901000000000094E-2</v>
      </c>
      <c r="AE7612">
        <v>0.42409000000000602</v>
      </c>
      <c r="AF7612">
        <v>6.1763939399176397E-2</v>
      </c>
      <c r="AG7612">
        <v>-7.6901000000000094E-2</v>
      </c>
      <c r="AH7612">
        <v>0.40952247697983402</v>
      </c>
      <c r="AI7612">
        <v>100.51900652942599</v>
      </c>
      <c r="AJ7612">
        <v>81.423324143459396</v>
      </c>
      <c r="AK7612">
        <v>0.42123296067948401</v>
      </c>
      <c r="AL7612">
        <v>66.928284370956803</v>
      </c>
      <c r="AM7612">
        <v>89.791720278553697</v>
      </c>
      <c r="AN7612">
        <v>1.0000000153940201</v>
      </c>
    </row>
    <row r="7613" spans="1:40" x14ac:dyDescent="0.25">
      <c r="A7613" t="str">
        <f>"20190304165032923"</f>
        <v>20190304165032923</v>
      </c>
      <c r="B7613" t="str">
        <f>"1551689432913602"</f>
        <v>1551689432913602</v>
      </c>
      <c r="C7613" t="s">
        <v>40</v>
      </c>
      <c r="D7613">
        <v>4.7025790000000001</v>
      </c>
      <c r="E7613">
        <v>0.4713405</v>
      </c>
      <c r="F7613" t="s">
        <v>58</v>
      </c>
      <c r="G7613">
        <v>-212.5198</v>
      </c>
      <c r="H7613">
        <v>72.175899999999999</v>
      </c>
      <c r="I7613">
        <v>391.87</v>
      </c>
      <c r="J7613">
        <v>-187.7355</v>
      </c>
      <c r="K7613">
        <v>1.111102</v>
      </c>
      <c r="L7613">
        <v>81.997249999999994</v>
      </c>
      <c r="M7613">
        <v>-2.234127E-2</v>
      </c>
      <c r="N7613">
        <v>-1.402339E-2</v>
      </c>
      <c r="O7613">
        <v>0.99965199999999999</v>
      </c>
      <c r="P7613">
        <v>-1.793231E-2</v>
      </c>
      <c r="Q7613">
        <v>0.38428089999999998</v>
      </c>
      <c r="R7613">
        <v>0.92304209999999998</v>
      </c>
      <c r="S7613">
        <v>-0.2366028</v>
      </c>
      <c r="T7613">
        <v>0.67824609999999996</v>
      </c>
      <c r="U7613">
        <v>2.9601139999999999</v>
      </c>
      <c r="V7613">
        <v>2.7116110000000001E-3</v>
      </c>
      <c r="W7613">
        <v>0.39718949999999997</v>
      </c>
      <c r="X7613">
        <v>0.91773260000000001</v>
      </c>
      <c r="Y7613">
        <v>-5.5210660000000002E-2</v>
      </c>
      <c r="Z7613">
        <v>0.2363885</v>
      </c>
      <c r="AA7613">
        <v>0.97008879999999997</v>
      </c>
      <c r="AB7613">
        <v>27</v>
      </c>
      <c r="AC7613">
        <v>-24.784300000000002</v>
      </c>
      <c r="AD7613">
        <v>71.064797999999996</v>
      </c>
      <c r="AE7613">
        <v>309.87275</v>
      </c>
      <c r="AF7613">
        <v>-16.967739612152901</v>
      </c>
      <c r="AG7613">
        <v>71.064797999999996</v>
      </c>
      <c r="AH7613">
        <v>294.93569577962501</v>
      </c>
      <c r="AI7613">
        <v>76.474344632206098</v>
      </c>
      <c r="AJ7613">
        <v>93.292614131362001</v>
      </c>
      <c r="AK7613">
        <v>303.85057898141002</v>
      </c>
      <c r="AL7613">
        <v>66.597401998541699</v>
      </c>
      <c r="AM7613">
        <v>89.830709496571998</v>
      </c>
      <c r="AN7613">
        <v>0.99999998842361204</v>
      </c>
    </row>
    <row r="7614" spans="1:40" x14ac:dyDescent="0.25">
      <c r="A7614" t="str">
        <f>"20190304165032944"</f>
        <v>20190304165032944</v>
      </c>
      <c r="B7614" t="str">
        <f>"1551689432933125"</f>
        <v>1551689432933125</v>
      </c>
      <c r="C7614" t="s">
        <v>40</v>
      </c>
      <c r="D7614">
        <v>4.4764059999999999</v>
      </c>
      <c r="E7614">
        <v>0.46221180000000001</v>
      </c>
      <c r="F7614" t="s">
        <v>58</v>
      </c>
      <c r="G7614">
        <v>-221.1113</v>
      </c>
      <c r="H7614">
        <v>102.3446</v>
      </c>
      <c r="I7614">
        <v>391.87</v>
      </c>
      <c r="J7614">
        <v>-187.74100000000001</v>
      </c>
      <c r="K7614">
        <v>1.1111200000000001</v>
      </c>
      <c r="L7614">
        <v>82.246700000000004</v>
      </c>
      <c r="M7614">
        <v>-2.234133E-2</v>
      </c>
      <c r="N7614">
        <v>-1.402074E-2</v>
      </c>
      <c r="O7614">
        <v>0.99965210000000004</v>
      </c>
      <c r="P7614">
        <v>-1.9084819999999999E-2</v>
      </c>
      <c r="Q7614">
        <v>0.39161190000000001</v>
      </c>
      <c r="R7614">
        <v>0.91993250000000004</v>
      </c>
      <c r="S7614">
        <v>-0.30758669999999999</v>
      </c>
      <c r="T7614">
        <v>0.93295360000000005</v>
      </c>
      <c r="U7614">
        <v>2.8557429999999999</v>
      </c>
      <c r="V7614">
        <v>1.49024799999999E-3</v>
      </c>
      <c r="W7614">
        <v>0.40447440000000001</v>
      </c>
      <c r="X7614">
        <v>0.91454809999999997</v>
      </c>
      <c r="Y7614">
        <v>-7.9308169999999997E-2</v>
      </c>
      <c r="Z7614">
        <v>0.32242369999999998</v>
      </c>
      <c r="AA7614">
        <v>0.94326730000000003</v>
      </c>
      <c r="AB7614">
        <v>27</v>
      </c>
      <c r="AC7614">
        <v>-33.3703</v>
      </c>
      <c r="AD7614">
        <v>101.23348</v>
      </c>
      <c r="AE7614">
        <v>309.62329999999997</v>
      </c>
      <c r="AF7614">
        <v>-23.916551235390301</v>
      </c>
      <c r="AG7614">
        <v>101.23348</v>
      </c>
      <c r="AH7614">
        <v>280.63588358741202</v>
      </c>
      <c r="AI7614">
        <v>70.230241240467606</v>
      </c>
      <c r="AJ7614">
        <v>94.871131636108402</v>
      </c>
      <c r="AK7614">
        <v>299.293698651998</v>
      </c>
      <c r="AL7614">
        <v>66.141805316062701</v>
      </c>
      <c r="AM7614">
        <v>89.906637119189895</v>
      </c>
      <c r="AN7614">
        <v>0.99999999415403495</v>
      </c>
    </row>
    <row r="7615" spans="1:40" x14ac:dyDescent="0.25">
      <c r="A7615" t="str">
        <f>"20190304165032968"</f>
        <v>20190304165032968</v>
      </c>
      <c r="B7615" t="str">
        <f>"1551689432963378"</f>
        <v>1551689432963378</v>
      </c>
      <c r="C7615" t="s">
        <v>40</v>
      </c>
      <c r="D7615">
        <v>4.477716</v>
      </c>
      <c r="E7615">
        <v>0.45535969999999998</v>
      </c>
      <c r="F7615" t="s">
        <v>58</v>
      </c>
      <c r="G7615">
        <v>-228.49549999999999</v>
      </c>
      <c r="H7615">
        <v>127.0668</v>
      </c>
      <c r="I7615">
        <v>391.87</v>
      </c>
      <c r="J7615">
        <v>-187.7473</v>
      </c>
      <c r="K7615">
        <v>1.111119</v>
      </c>
      <c r="L7615">
        <v>82.526919999999905</v>
      </c>
      <c r="M7615">
        <v>-2.2341389999999999E-2</v>
      </c>
      <c r="N7615">
        <v>-1.4017770000000001E-2</v>
      </c>
      <c r="O7615">
        <v>0.99965210000000004</v>
      </c>
      <c r="P7615">
        <v>-2.1425110000000001E-2</v>
      </c>
      <c r="Q7615">
        <v>0.39472570000000001</v>
      </c>
      <c r="R7615">
        <v>0.91854919999999995</v>
      </c>
      <c r="S7615">
        <v>-0.36503600000000003</v>
      </c>
      <c r="T7615">
        <v>1.1281810000000001</v>
      </c>
      <c r="U7615">
        <v>2.773285</v>
      </c>
      <c r="V7615">
        <v>-8.8029169999999997E-4</v>
      </c>
      <c r="W7615">
        <v>0.4075666</v>
      </c>
      <c r="X7615">
        <v>0.91317499999999996</v>
      </c>
      <c r="Y7615">
        <v>-9.8413760000000003E-2</v>
      </c>
      <c r="Z7615">
        <v>0.38733260000000003</v>
      </c>
      <c r="AA7615">
        <v>0.9166723</v>
      </c>
      <c r="AB7615">
        <v>27</v>
      </c>
      <c r="AC7615">
        <v>-40.748199999999997</v>
      </c>
      <c r="AD7615">
        <v>125.955681</v>
      </c>
      <c r="AE7615">
        <v>309.34307999999999</v>
      </c>
      <c r="AF7615">
        <v>-29.0862663647174</v>
      </c>
      <c r="AG7615">
        <v>125.955681</v>
      </c>
      <c r="AH7615">
        <v>266.71256567844102</v>
      </c>
      <c r="AI7615">
        <v>64.851395808165705</v>
      </c>
      <c r="AJ7615">
        <v>96.2237804260145</v>
      </c>
      <c r="AK7615">
        <v>296.38899635106202</v>
      </c>
      <c r="AL7615">
        <v>65.947934770830898</v>
      </c>
      <c r="AM7615">
        <v>90.055232549650498</v>
      </c>
      <c r="AN7615">
        <v>0.99999994448701701</v>
      </c>
    </row>
    <row r="7616" spans="1:40" x14ac:dyDescent="0.25">
      <c r="A7616" t="str">
        <f>"20190304165033000"</f>
        <v>20190304165033000</v>
      </c>
      <c r="B7616" t="str">
        <f>"1551689432992657"</f>
        <v>1551689432992657</v>
      </c>
      <c r="C7616" t="s">
        <v>40</v>
      </c>
      <c r="D7616">
        <v>4.5147810000000002</v>
      </c>
      <c r="E7616">
        <v>0.45214860000000001</v>
      </c>
      <c r="F7616" t="s">
        <v>58</v>
      </c>
      <c r="G7616">
        <v>-234.71520000000001</v>
      </c>
      <c r="H7616">
        <v>145.86420000000001</v>
      </c>
      <c r="I7616">
        <v>391.5086</v>
      </c>
      <c r="J7616">
        <v>-187.756</v>
      </c>
      <c r="K7616">
        <v>1.1110949999999999</v>
      </c>
      <c r="L7616">
        <v>82.91431</v>
      </c>
      <c r="M7616">
        <v>-2.2341070000000001E-2</v>
      </c>
      <c r="N7616">
        <v>-1.401371E-2</v>
      </c>
      <c r="O7616">
        <v>0.99965219999999999</v>
      </c>
      <c r="P7616">
        <v>-2.3931830000000001E-2</v>
      </c>
      <c r="Q7616">
        <v>0.39202340000000002</v>
      </c>
      <c r="R7616">
        <v>0.91964389999999996</v>
      </c>
      <c r="S7616">
        <v>-0.41204829999999998</v>
      </c>
      <c r="T7616">
        <v>1.269917</v>
      </c>
      <c r="U7616">
        <v>2.710693</v>
      </c>
      <c r="V7616">
        <v>-3.3618770000000001E-3</v>
      </c>
      <c r="W7616">
        <v>0.40487679999999998</v>
      </c>
      <c r="X7616">
        <v>0.91436510000000004</v>
      </c>
      <c r="Y7616">
        <v>-0.1136945</v>
      </c>
      <c r="Z7616">
        <v>0.43339280000000002</v>
      </c>
      <c r="AA7616">
        <v>0.89400460000000004</v>
      </c>
      <c r="AB7616">
        <v>27</v>
      </c>
      <c r="AC7616">
        <v>-46.959200000000003</v>
      </c>
      <c r="AD7616">
        <v>144.75310500000001</v>
      </c>
      <c r="AE7616">
        <v>308.59429</v>
      </c>
      <c r="AF7616">
        <v>-32.963660225868502</v>
      </c>
      <c r="AG7616">
        <v>144.75310500000001</v>
      </c>
      <c r="AH7616">
        <v>254.776876128949</v>
      </c>
      <c r="AI7616">
        <v>60.600487397603402</v>
      </c>
      <c r="AJ7616">
        <v>97.3721152500584</v>
      </c>
      <c r="AK7616">
        <v>294.87509374759497</v>
      </c>
      <c r="AL7616">
        <v>66.116593753646697</v>
      </c>
      <c r="AM7616">
        <v>90.210660375569304</v>
      </c>
      <c r="AN7616">
        <v>1.0000000307465999</v>
      </c>
    </row>
    <row r="7617" spans="1:40" x14ac:dyDescent="0.25">
      <c r="A7617" t="str">
        <f>"20190304165033022"</f>
        <v>20190304165033022</v>
      </c>
      <c r="B7617" t="str">
        <f>"1551689433013158"</f>
        <v>1551689433013158</v>
      </c>
      <c r="C7617" t="s">
        <v>40</v>
      </c>
      <c r="D7617">
        <v>4.5630410000000001</v>
      </c>
      <c r="E7617">
        <v>0.45104109999999997</v>
      </c>
      <c r="F7617" t="s">
        <v>60</v>
      </c>
      <c r="G7617">
        <v>0</v>
      </c>
      <c r="H7617">
        <v>0</v>
      </c>
      <c r="I7617">
        <v>0</v>
      </c>
      <c r="J7617">
        <v>-187.76220000000001</v>
      </c>
      <c r="K7617">
        <v>1.1111009999999999</v>
      </c>
      <c r="L7617">
        <v>83.194640000000007</v>
      </c>
      <c r="M7617">
        <v>-2.2338230000000001E-2</v>
      </c>
      <c r="N7617">
        <v>-1.4010740000000001E-2</v>
      </c>
      <c r="O7617">
        <v>0.99965230000000005</v>
      </c>
      <c r="P7617">
        <v>-2.5983220000000001E-2</v>
      </c>
      <c r="Q7617">
        <v>0.39305990000000002</v>
      </c>
      <c r="R7617">
        <v>0.91914560000000001</v>
      </c>
      <c r="S7617">
        <v>-0.43778990000000001</v>
      </c>
      <c r="T7617">
        <v>1.321204</v>
      </c>
      <c r="U7617">
        <v>2.6875610000000001</v>
      </c>
      <c r="V7617">
        <v>-5.4253819999999899E-3</v>
      </c>
      <c r="W7617">
        <v>0.4059043</v>
      </c>
      <c r="X7617">
        <v>0.91389949999999998</v>
      </c>
      <c r="Y7617">
        <v>-0.1219571</v>
      </c>
      <c r="Z7617">
        <v>0.4496019</v>
      </c>
      <c r="AA7617">
        <v>0.88486419999999999</v>
      </c>
      <c r="AB7617">
        <v>27</v>
      </c>
      <c r="AC7617">
        <v>-0.43778990000000001</v>
      </c>
      <c r="AD7617">
        <v>1.321204</v>
      </c>
      <c r="AE7617">
        <v>2.6875610000000001</v>
      </c>
      <c r="AF7617">
        <v>-0.30567610927551703</v>
      </c>
      <c r="AG7617">
        <v>1.321204</v>
      </c>
      <c r="AH7617">
        <v>2.1827908280289501</v>
      </c>
      <c r="AI7617">
        <v>59.060144583538303</v>
      </c>
      <c r="AJ7617">
        <v>97.971808772533095</v>
      </c>
      <c r="AK7617">
        <v>2.5697458419705899</v>
      </c>
      <c r="AL7617">
        <v>66.052192751158998</v>
      </c>
      <c r="AM7617">
        <v>90.3401335039797</v>
      </c>
      <c r="AN7617">
        <v>1.0000000158142901</v>
      </c>
    </row>
    <row r="7618" spans="1:40" x14ac:dyDescent="0.25">
      <c r="A7618" t="str">
        <f>"20190304165033044"</f>
        <v>20190304165033044</v>
      </c>
      <c r="B7618" t="str">
        <f>"1551689433033649"</f>
        <v>1551689433033649</v>
      </c>
      <c r="C7618" t="s">
        <v>40</v>
      </c>
      <c r="D7618">
        <v>4.5762729999999996</v>
      </c>
      <c r="E7618">
        <v>0.45047959999999898</v>
      </c>
      <c r="F7618" t="s">
        <v>60</v>
      </c>
      <c r="G7618">
        <v>0</v>
      </c>
      <c r="H7618">
        <v>0</v>
      </c>
      <c r="I7618">
        <v>0</v>
      </c>
      <c r="J7618">
        <v>-187.76779999999999</v>
      </c>
      <c r="K7618">
        <v>1.11111</v>
      </c>
      <c r="L7618">
        <v>83.442899999999995</v>
      </c>
      <c r="M7618">
        <v>-2.2330550000000001E-2</v>
      </c>
      <c r="N7618">
        <v>-1.4008059999999999E-2</v>
      </c>
      <c r="O7618">
        <v>0.99965250000000005</v>
      </c>
      <c r="P7618">
        <v>-2.7575760000000001E-2</v>
      </c>
      <c r="Q7618">
        <v>0.39670759999999999</v>
      </c>
      <c r="R7618">
        <v>0.91753070000000003</v>
      </c>
      <c r="S7618">
        <v>-0.45027159999999999</v>
      </c>
      <c r="T7618">
        <v>1.3437790000000001</v>
      </c>
      <c r="U7618">
        <v>2.6765140000000001</v>
      </c>
      <c r="V7618">
        <v>-7.0574949999999996E-3</v>
      </c>
      <c r="W7618">
        <v>0.40952729999999998</v>
      </c>
      <c r="X7618">
        <v>0.91227049999999998</v>
      </c>
      <c r="Y7618">
        <v>-0.12598139999999999</v>
      </c>
      <c r="Z7618">
        <v>0.45674880000000001</v>
      </c>
      <c r="AA7618">
        <v>0.88063009999999997</v>
      </c>
      <c r="AB7618">
        <v>27</v>
      </c>
      <c r="AC7618">
        <v>-0.45027159999999999</v>
      </c>
      <c r="AD7618">
        <v>1.3437790000000001</v>
      </c>
      <c r="AE7618">
        <v>2.6765140000000001</v>
      </c>
      <c r="AF7618">
        <v>-0.313529877257127</v>
      </c>
      <c r="AG7618">
        <v>1.3437790000000001</v>
      </c>
      <c r="AH7618">
        <v>2.1571262537187699</v>
      </c>
      <c r="AI7618">
        <v>58.347367333099498</v>
      </c>
      <c r="AJ7618">
        <v>98.269807716810305</v>
      </c>
      <c r="AK7618">
        <v>2.5607101865023001</v>
      </c>
      <c r="AL7618">
        <v>65.824854506556093</v>
      </c>
      <c r="AM7618">
        <v>90.443242010828499</v>
      </c>
      <c r="AN7618">
        <v>0.999999941425605</v>
      </c>
    </row>
    <row r="7619" spans="1:40" x14ac:dyDescent="0.25">
      <c r="A7619" t="str">
        <f>"20190304165033065"</f>
        <v>20190304165033065</v>
      </c>
      <c r="B7619" t="str">
        <f>"1551689433062930"</f>
        <v>1551689433062930</v>
      </c>
      <c r="C7619" t="s">
        <v>40</v>
      </c>
      <c r="D7619">
        <v>4.597029</v>
      </c>
      <c r="E7619">
        <v>0.4501386</v>
      </c>
      <c r="F7619" t="s">
        <v>60</v>
      </c>
      <c r="G7619">
        <v>0</v>
      </c>
      <c r="H7619">
        <v>0</v>
      </c>
      <c r="I7619">
        <v>0</v>
      </c>
      <c r="J7619">
        <v>-187.77359999999999</v>
      </c>
      <c r="K7619">
        <v>1.111116</v>
      </c>
      <c r="L7619">
        <v>83.704219999999907</v>
      </c>
      <c r="M7619">
        <v>-2.2309249999999999E-2</v>
      </c>
      <c r="N7619">
        <v>-1.4005220000000001E-2</v>
      </c>
      <c r="O7619">
        <v>0.99965300000000001</v>
      </c>
      <c r="P7619">
        <v>-2.9325170000000001E-2</v>
      </c>
      <c r="Q7619">
        <v>0.39871669999999998</v>
      </c>
      <c r="R7619">
        <v>0.91660520000000001</v>
      </c>
      <c r="S7619">
        <v>-0.45787050000000001</v>
      </c>
      <c r="T7619">
        <v>1.366797</v>
      </c>
      <c r="U7619">
        <v>2.6649479999999999</v>
      </c>
      <c r="V7619">
        <v>-8.838383E-3</v>
      </c>
      <c r="W7619">
        <v>0.41152129999999998</v>
      </c>
      <c r="X7619">
        <v>0.91135730000000004</v>
      </c>
      <c r="Y7619">
        <v>-0.12843940000000001</v>
      </c>
      <c r="Z7619">
        <v>0.46413260000000001</v>
      </c>
      <c r="AA7619">
        <v>0.87640419999999997</v>
      </c>
      <c r="AB7619">
        <v>27</v>
      </c>
      <c r="AC7619">
        <v>-0.45787050000000001</v>
      </c>
      <c r="AD7619">
        <v>1.366797</v>
      </c>
      <c r="AE7619">
        <v>2.6649479999999999</v>
      </c>
      <c r="AF7619">
        <v>-0.31724153323342402</v>
      </c>
      <c r="AG7619">
        <v>1.366797</v>
      </c>
      <c r="AH7619">
        <v>2.1302221911339698</v>
      </c>
      <c r="AI7619">
        <v>57.599851504234103</v>
      </c>
      <c r="AJ7619">
        <v>98.470470977838403</v>
      </c>
      <c r="AK7619">
        <v>2.5508082666513499</v>
      </c>
      <c r="AL7619">
        <v>65.699563956862605</v>
      </c>
      <c r="AM7619">
        <v>90.555639559221504</v>
      </c>
      <c r="AN7619">
        <v>1.00000001281551</v>
      </c>
    </row>
    <row r="7620" spans="1:40" x14ac:dyDescent="0.25">
      <c r="A7620" t="str">
        <f>"20190304165033090"</f>
        <v>20190304165033090</v>
      </c>
      <c r="B7620" t="str">
        <f>"1551689433083426"</f>
        <v>1551689433083426</v>
      </c>
      <c r="C7620" t="s">
        <v>40</v>
      </c>
      <c r="D7620">
        <v>4.5681890000000003</v>
      </c>
      <c r="E7620">
        <v>0.45002389999999998</v>
      </c>
      <c r="F7620" t="s">
        <v>60</v>
      </c>
      <c r="G7620">
        <v>0</v>
      </c>
      <c r="H7620">
        <v>0</v>
      </c>
      <c r="I7620">
        <v>0</v>
      </c>
      <c r="J7620">
        <v>-187.7799</v>
      </c>
      <c r="K7620">
        <v>1.111102</v>
      </c>
      <c r="L7620">
        <v>83.986789999999999</v>
      </c>
      <c r="M7620">
        <v>-2.2263620000000001E-2</v>
      </c>
      <c r="N7620">
        <v>-1.4002250000000001E-2</v>
      </c>
      <c r="O7620">
        <v>0.99965409999999999</v>
      </c>
      <c r="P7620">
        <v>-3.058661E-2</v>
      </c>
      <c r="Q7620">
        <v>0.398702</v>
      </c>
      <c r="R7620">
        <v>0.91657040000000001</v>
      </c>
      <c r="S7620">
        <v>-0.46449279999999998</v>
      </c>
      <c r="T7620">
        <v>1.383578</v>
      </c>
      <c r="U7620">
        <v>2.65625</v>
      </c>
      <c r="V7620">
        <v>-1.012652E-2</v>
      </c>
      <c r="W7620">
        <v>0.41150439999999999</v>
      </c>
      <c r="X7620">
        <v>0.91135149999999998</v>
      </c>
      <c r="Y7620">
        <v>-0.13061300000000001</v>
      </c>
      <c r="Z7620">
        <v>0.46949950000000001</v>
      </c>
      <c r="AA7620">
        <v>0.87321849999999901</v>
      </c>
      <c r="AB7620">
        <v>27</v>
      </c>
      <c r="AC7620">
        <v>-0.46449279999999998</v>
      </c>
      <c r="AD7620">
        <v>1.383578</v>
      </c>
      <c r="AE7620">
        <v>2.65625</v>
      </c>
      <c r="AF7620">
        <v>-0.320783893259942</v>
      </c>
      <c r="AG7620">
        <v>1.383578</v>
      </c>
      <c r="AH7620">
        <v>2.1103569526389401</v>
      </c>
      <c r="AI7620">
        <v>57.049986577466697</v>
      </c>
      <c r="AJ7620">
        <v>98.643058299657</v>
      </c>
      <c r="AK7620">
        <v>2.5437761017453</v>
      </c>
      <c r="AL7620">
        <v>65.700625716686901</v>
      </c>
      <c r="AM7620">
        <v>90.6366182315478</v>
      </c>
      <c r="AN7620">
        <v>0.99999998708946003</v>
      </c>
    </row>
    <row r="7621" spans="1:40" x14ac:dyDescent="0.25">
      <c r="A7621" t="str">
        <f>"20190304165033112"</f>
        <v>20190304165033112</v>
      </c>
      <c r="B7621" t="str">
        <f>"1551689433102946"</f>
        <v>1551689433102946</v>
      </c>
      <c r="C7621" t="s">
        <v>40</v>
      </c>
      <c r="D7621">
        <v>4.583386</v>
      </c>
      <c r="E7621">
        <v>0.44989639999999997</v>
      </c>
      <c r="F7621" t="s">
        <v>60</v>
      </c>
      <c r="G7621">
        <v>0</v>
      </c>
      <c r="H7621">
        <v>0</v>
      </c>
      <c r="I7621">
        <v>0</v>
      </c>
      <c r="J7621">
        <v>-187.78579999999999</v>
      </c>
      <c r="K7621">
        <v>1.111078</v>
      </c>
      <c r="L7621">
        <v>84.256559999999993</v>
      </c>
      <c r="M7621">
        <v>-2.2191900000000001E-2</v>
      </c>
      <c r="N7621">
        <v>-1.399952E-2</v>
      </c>
      <c r="O7621">
        <v>0.99965570000000004</v>
      </c>
      <c r="P7621">
        <v>-3.096233E-2</v>
      </c>
      <c r="Q7621">
        <v>0.39792309999999997</v>
      </c>
      <c r="R7621">
        <v>0.91689620000000005</v>
      </c>
      <c r="S7621">
        <v>-0.46865839999999998</v>
      </c>
      <c r="T7621">
        <v>1.3881730000000001</v>
      </c>
      <c r="U7621">
        <v>2.6535950000000001</v>
      </c>
      <c r="V7621">
        <v>-1.0540799999999999E-2</v>
      </c>
      <c r="W7621">
        <v>0.4107285</v>
      </c>
      <c r="X7621">
        <v>0.91169679999999997</v>
      </c>
      <c r="Y7621">
        <v>-0.13203529999999999</v>
      </c>
      <c r="Z7621">
        <v>0.47094760000000002</v>
      </c>
      <c r="AA7621">
        <v>0.87222420000000001</v>
      </c>
      <c r="AB7621">
        <v>27</v>
      </c>
      <c r="AC7621">
        <v>-0.46865839999999998</v>
      </c>
      <c r="AD7621">
        <v>1.3881730000000001</v>
      </c>
      <c r="AE7621">
        <v>2.6535950000000001</v>
      </c>
      <c r="AF7621">
        <v>-0.32373426291864499</v>
      </c>
      <c r="AG7621">
        <v>1.3881730000000001</v>
      </c>
      <c r="AH7621">
        <v>2.1047667317733501</v>
      </c>
      <c r="AI7621">
        <v>56.900798936962403</v>
      </c>
      <c r="AJ7621">
        <v>98.744141127856395</v>
      </c>
      <c r="AK7621">
        <v>2.54202107506927</v>
      </c>
      <c r="AL7621">
        <v>65.749394579782503</v>
      </c>
      <c r="AM7621">
        <v>90.662409305793901</v>
      </c>
      <c r="AN7621">
        <v>1.00000003215356</v>
      </c>
    </row>
    <row r="7622" spans="1:40" x14ac:dyDescent="0.25">
      <c r="A7622" t="str">
        <f>"20190304165033134"</f>
        <v>20190304165033134</v>
      </c>
      <c r="B7622" t="str">
        <f>"1551689433123441"</f>
        <v>1551689433123441</v>
      </c>
      <c r="C7622" t="s">
        <v>40</v>
      </c>
      <c r="D7622">
        <v>4.5713460000000001</v>
      </c>
      <c r="E7622">
        <v>0.44942919999999997</v>
      </c>
      <c r="F7622" t="s">
        <v>60</v>
      </c>
      <c r="G7622">
        <v>0</v>
      </c>
      <c r="H7622">
        <v>0</v>
      </c>
      <c r="I7622">
        <v>0</v>
      </c>
      <c r="J7622">
        <v>-187.79140000000001</v>
      </c>
      <c r="K7622">
        <v>1.111059</v>
      </c>
      <c r="L7622">
        <v>84.514160000000004</v>
      </c>
      <c r="M7622">
        <v>-2.209347E-2</v>
      </c>
      <c r="N7622">
        <v>-1.3996979999999999E-2</v>
      </c>
      <c r="O7622">
        <v>0.99965789999999999</v>
      </c>
      <c r="P7622">
        <v>-3.110655E-2</v>
      </c>
      <c r="Q7622">
        <v>0.39809369999999999</v>
      </c>
      <c r="R7622">
        <v>0.9168172</v>
      </c>
      <c r="S7622">
        <v>-0.4704895</v>
      </c>
      <c r="T7622">
        <v>1.390117</v>
      </c>
      <c r="U7622">
        <v>2.6527400000000001</v>
      </c>
      <c r="V7622">
        <v>-1.0754659999999999E-2</v>
      </c>
      <c r="W7622">
        <v>0.41089629999999999</v>
      </c>
      <c r="X7622">
        <v>0.91161859999999995</v>
      </c>
      <c r="Y7622">
        <v>-0.13271450000000001</v>
      </c>
      <c r="Z7622">
        <v>0.4715203</v>
      </c>
      <c r="AA7622">
        <v>0.87181160000000002</v>
      </c>
      <c r="AB7622">
        <v>27</v>
      </c>
      <c r="AC7622">
        <v>-0.4704895</v>
      </c>
      <c r="AD7622">
        <v>1.390117</v>
      </c>
      <c r="AE7622">
        <v>2.6527400000000001</v>
      </c>
      <c r="AF7622">
        <v>-0.32518545539487498</v>
      </c>
      <c r="AG7622">
        <v>1.390117</v>
      </c>
      <c r="AH7622">
        <v>2.1026836645598701</v>
      </c>
      <c r="AI7622">
        <v>56.841464115026199</v>
      </c>
      <c r="AJ7622">
        <v>98.791293325644105</v>
      </c>
      <c r="AK7622">
        <v>2.54154469708803</v>
      </c>
      <c r="AL7622">
        <v>65.738847349885305</v>
      </c>
      <c r="AM7622">
        <v>90.675905519825605</v>
      </c>
      <c r="AN7622">
        <v>0.99999995196568103</v>
      </c>
    </row>
    <row r="7623" spans="1:40" x14ac:dyDescent="0.25">
      <c r="A7623" t="str">
        <f>"20190304165033155"</f>
        <v>20190304165033155</v>
      </c>
      <c r="B7623" t="str">
        <f>"1551689433142961"</f>
        <v>1551689433142961</v>
      </c>
      <c r="C7623" t="s">
        <v>40</v>
      </c>
      <c r="D7623">
        <v>4.5371430000000004</v>
      </c>
      <c r="E7623">
        <v>0.44901400000000002</v>
      </c>
      <c r="F7623" t="s">
        <v>60</v>
      </c>
      <c r="G7623">
        <v>0</v>
      </c>
      <c r="H7623">
        <v>0</v>
      </c>
      <c r="I7623">
        <v>0</v>
      </c>
      <c r="J7623">
        <v>-187.79679999999999</v>
      </c>
      <c r="K7623">
        <v>1.1110359999999999</v>
      </c>
      <c r="L7623">
        <v>84.765749999999997</v>
      </c>
      <c r="M7623">
        <v>-2.1967839999999999E-2</v>
      </c>
      <c r="N7623">
        <v>-1.399452E-2</v>
      </c>
      <c r="O7623">
        <v>0.99966069999999996</v>
      </c>
      <c r="P7623">
        <v>-3.0709230000000001E-2</v>
      </c>
      <c r="Q7623">
        <v>0.39890409999999998</v>
      </c>
      <c r="R7623">
        <v>0.91647829999999997</v>
      </c>
      <c r="S7623">
        <v>-0.4733734</v>
      </c>
      <c r="T7623">
        <v>1.4008160000000001</v>
      </c>
      <c r="U7623">
        <v>2.647888</v>
      </c>
      <c r="V7623">
        <v>-1.045752E-2</v>
      </c>
      <c r="W7623">
        <v>0.4116995</v>
      </c>
      <c r="X7623">
        <v>0.91125970000000001</v>
      </c>
      <c r="Y7623">
        <v>-0.1337276</v>
      </c>
      <c r="Z7623">
        <v>0.4748579</v>
      </c>
      <c r="AA7623">
        <v>0.86984300000000003</v>
      </c>
      <c r="AB7623">
        <v>27</v>
      </c>
      <c r="AC7623">
        <v>-0.4733734</v>
      </c>
      <c r="AD7623">
        <v>1.4008160000000001</v>
      </c>
      <c r="AE7623">
        <v>2.647888</v>
      </c>
      <c r="AF7623">
        <v>-0.32652843837525702</v>
      </c>
      <c r="AG7623">
        <v>1.4008160000000001</v>
      </c>
      <c r="AH7623">
        <v>2.0906508512477502</v>
      </c>
      <c r="AI7623">
        <v>56.494947175515598</v>
      </c>
      <c r="AJ7623">
        <v>98.877027261684304</v>
      </c>
      <c r="AK7623">
        <v>2.53766177193627</v>
      </c>
      <c r="AL7623">
        <v>65.688361489235405</v>
      </c>
      <c r="AM7623">
        <v>90.657491447696501</v>
      </c>
      <c r="AN7623">
        <v>1.0000000394344399</v>
      </c>
    </row>
    <row r="7624" spans="1:40" x14ac:dyDescent="0.25">
      <c r="A7624" t="str">
        <f>"20190304165033179"</f>
        <v>20190304165033179</v>
      </c>
      <c r="B7624" t="str">
        <f>"1551689433173218"</f>
        <v>1551689433173218</v>
      </c>
      <c r="C7624" t="s">
        <v>40</v>
      </c>
      <c r="D7624">
        <v>4.4562330000000001</v>
      </c>
      <c r="E7624">
        <v>0.44878010000000002</v>
      </c>
      <c r="F7624" t="s">
        <v>60</v>
      </c>
      <c r="G7624">
        <v>0</v>
      </c>
      <c r="H7624">
        <v>0</v>
      </c>
      <c r="I7624">
        <v>0</v>
      </c>
      <c r="J7624">
        <v>-187.80279999999999</v>
      </c>
      <c r="K7624">
        <v>1.111027</v>
      </c>
      <c r="L7624">
        <v>85.047640000000001</v>
      </c>
      <c r="M7624">
        <v>-2.1796240000000001E-2</v>
      </c>
      <c r="N7624">
        <v>-1.3991730000000001E-2</v>
      </c>
      <c r="O7624">
        <v>0.99966449999999996</v>
      </c>
      <c r="P7624">
        <v>-2.968287E-2</v>
      </c>
      <c r="Q7624">
        <v>0.40016889999999999</v>
      </c>
      <c r="R7624">
        <v>0.91596060000000001</v>
      </c>
      <c r="S7624">
        <v>-0.47431950000000001</v>
      </c>
      <c r="T7624">
        <v>1.4130510000000001</v>
      </c>
      <c r="U7624">
        <v>2.6424560000000001</v>
      </c>
      <c r="V7624">
        <v>-9.5785839999999994E-3</v>
      </c>
      <c r="W7624">
        <v>0.41295460000000001</v>
      </c>
      <c r="X7624">
        <v>0.91070130000000005</v>
      </c>
      <c r="Y7624">
        <v>-0.13414870000000001</v>
      </c>
      <c r="Z7624">
        <v>0.47869869999999998</v>
      </c>
      <c r="AA7624">
        <v>0.86767030000000001</v>
      </c>
      <c r="AB7624">
        <v>27</v>
      </c>
      <c r="AC7624">
        <v>-0.47431950000000001</v>
      </c>
      <c r="AD7624">
        <v>1.4130510000000001</v>
      </c>
      <c r="AE7624">
        <v>2.6424560000000001</v>
      </c>
      <c r="AF7624">
        <v>-0.32622987184663399</v>
      </c>
      <c r="AG7624">
        <v>1.4130510000000001</v>
      </c>
      <c r="AH7624">
        <v>2.0768236677015701</v>
      </c>
      <c r="AI7624">
        <v>56.093037187892499</v>
      </c>
      <c r="AJ7624">
        <v>98.927140297909602</v>
      </c>
      <c r="AK7624">
        <v>2.5330486779001098</v>
      </c>
      <c r="AL7624">
        <v>65.609427623640201</v>
      </c>
      <c r="AM7624">
        <v>90.602603950291794</v>
      </c>
      <c r="AN7624">
        <v>1.0000000543771399</v>
      </c>
    </row>
    <row r="7625" spans="1:40" x14ac:dyDescent="0.25">
      <c r="A7625" t="str">
        <f>"20190304165033201"</f>
        <v>20190304165033201</v>
      </c>
      <c r="B7625" t="str">
        <f>"1551689433192737"</f>
        <v>1551689433192737</v>
      </c>
      <c r="C7625" t="s">
        <v>40</v>
      </c>
      <c r="D7625">
        <v>4.4554309999999999</v>
      </c>
      <c r="E7625">
        <v>0.44855089999999997</v>
      </c>
      <c r="F7625" t="s">
        <v>60</v>
      </c>
      <c r="G7625">
        <v>0</v>
      </c>
      <c r="H7625">
        <v>0</v>
      </c>
      <c r="I7625">
        <v>0</v>
      </c>
      <c r="J7625">
        <v>-187.80860000000001</v>
      </c>
      <c r="K7625">
        <v>1.111022</v>
      </c>
      <c r="L7625">
        <v>85.321809999999999</v>
      </c>
      <c r="M7625">
        <v>-2.160871E-2</v>
      </c>
      <c r="N7625">
        <v>-1.398902E-2</v>
      </c>
      <c r="O7625">
        <v>0.99966869999999997</v>
      </c>
      <c r="P7625">
        <v>-2.8175539999999999E-2</v>
      </c>
      <c r="Q7625">
        <v>0.40157569999999998</v>
      </c>
      <c r="R7625">
        <v>0.91539230000000005</v>
      </c>
      <c r="S7625">
        <v>-0.4701843</v>
      </c>
      <c r="T7625">
        <v>1.4376580000000001</v>
      </c>
      <c r="U7625">
        <v>2.6319270000000001</v>
      </c>
      <c r="V7625">
        <v>-8.2414020000000001E-3</v>
      </c>
      <c r="W7625">
        <v>0.4143502</v>
      </c>
      <c r="X7625">
        <v>0.91008020000000001</v>
      </c>
      <c r="Y7625">
        <v>-0.1328715</v>
      </c>
      <c r="Z7625">
        <v>0.48647420000000002</v>
      </c>
      <c r="AA7625">
        <v>0.86353230000000003</v>
      </c>
      <c r="AB7625">
        <v>27</v>
      </c>
      <c r="AC7625">
        <v>-0.4701843</v>
      </c>
      <c r="AD7625">
        <v>1.4376580000000001</v>
      </c>
      <c r="AE7625">
        <v>2.6319270000000001</v>
      </c>
      <c r="AF7625">
        <v>-0.32051903728568898</v>
      </c>
      <c r="AG7625">
        <v>1.4376580000000001</v>
      </c>
      <c r="AH7625">
        <v>2.0490075583219798</v>
      </c>
      <c r="AI7625">
        <v>55.270052468013098</v>
      </c>
      <c r="AJ7625">
        <v>98.890529393223403</v>
      </c>
      <c r="AK7625">
        <v>2.5234945912934199</v>
      </c>
      <c r="AL7625">
        <v>65.521597582958705</v>
      </c>
      <c r="AM7625">
        <v>90.518838498969998</v>
      </c>
      <c r="AN7625">
        <v>0.99999998968950199</v>
      </c>
    </row>
    <row r="7626" spans="1:40" x14ac:dyDescent="0.25">
      <c r="A7626" t="str">
        <f>"20190304165033223"</f>
        <v>20190304165033223</v>
      </c>
      <c r="B7626" t="str">
        <f>"1551689433213236"</f>
        <v>1551689433213236</v>
      </c>
      <c r="C7626" t="s">
        <v>40</v>
      </c>
      <c r="D7626">
        <v>4.4327399999999999</v>
      </c>
      <c r="E7626">
        <v>0.44833119999999999</v>
      </c>
      <c r="F7626" t="s">
        <v>60</v>
      </c>
      <c r="G7626">
        <v>0</v>
      </c>
      <c r="H7626">
        <v>0</v>
      </c>
      <c r="I7626">
        <v>0</v>
      </c>
      <c r="J7626">
        <v>-187.81399999999999</v>
      </c>
      <c r="K7626">
        <v>1.111011</v>
      </c>
      <c r="L7626">
        <v>85.58417</v>
      </c>
      <c r="M7626">
        <v>-2.14179E-2</v>
      </c>
      <c r="N7626">
        <v>-1.39864E-2</v>
      </c>
      <c r="O7626">
        <v>0.99967280000000003</v>
      </c>
      <c r="P7626">
        <v>-2.5398589999999999E-2</v>
      </c>
      <c r="Q7626">
        <v>0.40200639999999999</v>
      </c>
      <c r="R7626">
        <v>0.91528449999999995</v>
      </c>
      <c r="S7626">
        <v>-0.46583560000000002</v>
      </c>
      <c r="T7626">
        <v>1.453889</v>
      </c>
      <c r="U7626">
        <v>2.6251530000000001</v>
      </c>
      <c r="V7626">
        <v>-5.6342390000000001E-3</v>
      </c>
      <c r="W7626">
        <v>0.41477560000000002</v>
      </c>
      <c r="X7626">
        <v>0.90990629999999995</v>
      </c>
      <c r="Y7626">
        <v>-0.1315617</v>
      </c>
      <c r="Z7626">
        <v>0.4915873</v>
      </c>
      <c r="AA7626">
        <v>0.86083299999999996</v>
      </c>
      <c r="AB7626">
        <v>27</v>
      </c>
      <c r="AC7626">
        <v>-0.46583560000000002</v>
      </c>
      <c r="AD7626">
        <v>1.453889</v>
      </c>
      <c r="AE7626">
        <v>2.6251530000000001</v>
      </c>
      <c r="AF7626">
        <v>-0.31563838796749</v>
      </c>
      <c r="AG7626">
        <v>1.453889</v>
      </c>
      <c r="AH7626">
        <v>2.0306778998918</v>
      </c>
      <c r="AI7626">
        <v>54.721846512190098</v>
      </c>
      <c r="AJ7626">
        <v>98.835069438460593</v>
      </c>
      <c r="AK7626">
        <v>2.51735447432194</v>
      </c>
      <c r="AL7626">
        <v>65.494814488970505</v>
      </c>
      <c r="AM7626">
        <v>90.354777178385405</v>
      </c>
      <c r="AN7626">
        <v>1.00000000889207</v>
      </c>
    </row>
    <row r="7627" spans="1:40" x14ac:dyDescent="0.25">
      <c r="A7627" t="str">
        <f>"20190304165033244"</f>
        <v>20190304165033244</v>
      </c>
      <c r="B7627" t="str">
        <f>"1551689433232754"</f>
        <v>1551689433232754</v>
      </c>
      <c r="C7627" t="s">
        <v>40</v>
      </c>
      <c r="D7627">
        <v>4.4034879999999896</v>
      </c>
      <c r="E7627">
        <v>0.44813819999999999</v>
      </c>
      <c r="F7627" t="s">
        <v>60</v>
      </c>
      <c r="G7627">
        <v>0</v>
      </c>
      <c r="H7627">
        <v>0</v>
      </c>
      <c r="I7627">
        <v>0</v>
      </c>
      <c r="J7627">
        <v>-187.81899999999999</v>
      </c>
      <c r="K7627">
        <v>1.111005</v>
      </c>
      <c r="L7627">
        <v>85.826539999999994</v>
      </c>
      <c r="M7627">
        <v>-2.1237160000000001E-2</v>
      </c>
      <c r="N7627">
        <v>-1.398396E-2</v>
      </c>
      <c r="O7627">
        <v>0.99967660000000003</v>
      </c>
      <c r="P7627">
        <v>-2.224015E-2</v>
      </c>
      <c r="Q7627">
        <v>0.4018118</v>
      </c>
      <c r="R7627">
        <v>0.91545220000000005</v>
      </c>
      <c r="S7627">
        <v>-0.45777889999999999</v>
      </c>
      <c r="T7627">
        <v>1.4648139999999901</v>
      </c>
      <c r="U7627">
        <v>2.6215820000000001</v>
      </c>
      <c r="V7627">
        <v>-2.635086E-3</v>
      </c>
      <c r="W7627">
        <v>0.41457899999999998</v>
      </c>
      <c r="X7627">
        <v>0.91000959999999997</v>
      </c>
      <c r="Y7627">
        <v>-0.1290385</v>
      </c>
      <c r="Z7627">
        <v>0.4949945</v>
      </c>
      <c r="AA7627">
        <v>0.85926100000000005</v>
      </c>
      <c r="AB7627">
        <v>27</v>
      </c>
      <c r="AC7627">
        <v>-0.45777889999999999</v>
      </c>
      <c r="AD7627">
        <v>1.4648139999999901</v>
      </c>
      <c r="AE7627">
        <v>2.6215820000000001</v>
      </c>
      <c r="AF7627">
        <v>-0.30852326061217</v>
      </c>
      <c r="AG7627">
        <v>1.4648139999999901</v>
      </c>
      <c r="AH7627">
        <v>2.0190197440770299</v>
      </c>
      <c r="AI7627">
        <v>54.352568382542401</v>
      </c>
      <c r="AJ7627">
        <v>98.688071407140598</v>
      </c>
      <c r="AK7627">
        <v>2.5134254283562201</v>
      </c>
      <c r="AL7627">
        <v>65.507195219149907</v>
      </c>
      <c r="AM7627">
        <v>90.165909111809597</v>
      </c>
      <c r="AN7627">
        <v>1.00000008150569</v>
      </c>
    </row>
    <row r="7628" spans="1:40" x14ac:dyDescent="0.25">
      <c r="A7628" t="str">
        <f>"20190304165033267"</f>
        <v>20190304165033267</v>
      </c>
      <c r="B7628" t="str">
        <f>"1551689433263033"</f>
        <v>1551689433263033</v>
      </c>
      <c r="C7628" t="s">
        <v>40</v>
      </c>
      <c r="D7628">
        <v>4.3912659999999999</v>
      </c>
      <c r="E7628">
        <v>0.44794390000000001</v>
      </c>
      <c r="F7628" t="s">
        <v>60</v>
      </c>
      <c r="G7628">
        <v>0</v>
      </c>
      <c r="H7628">
        <v>0</v>
      </c>
      <c r="I7628">
        <v>0</v>
      </c>
      <c r="J7628">
        <v>-187.8246</v>
      </c>
      <c r="K7628">
        <v>1.1109990000000001</v>
      </c>
      <c r="L7628">
        <v>86.098819999999904</v>
      </c>
      <c r="M7628">
        <v>-2.1034089999999998E-2</v>
      </c>
      <c r="N7628">
        <v>-1.3981159999999999E-2</v>
      </c>
      <c r="O7628">
        <v>0.99968100000000004</v>
      </c>
      <c r="P7628">
        <v>-1.8982869999999999E-2</v>
      </c>
      <c r="Q7628">
        <v>0.40084340000000002</v>
      </c>
      <c r="R7628">
        <v>0.91594989999999998</v>
      </c>
      <c r="S7628">
        <v>-0.44894410000000001</v>
      </c>
      <c r="T7628">
        <v>1.4720059999999999</v>
      </c>
      <c r="U7628">
        <v>2.6200869999999998</v>
      </c>
      <c r="V7628">
        <v>4.4687280000000002E-4</v>
      </c>
      <c r="W7628">
        <v>0.41361320000000001</v>
      </c>
      <c r="X7628">
        <v>0.91045259999999995</v>
      </c>
      <c r="Y7628">
        <v>-0.12628879999999901</v>
      </c>
      <c r="Z7628">
        <v>0.49718780000000001</v>
      </c>
      <c r="AA7628">
        <v>0.85840280000000002</v>
      </c>
      <c r="AB7628">
        <v>26</v>
      </c>
      <c r="AC7628">
        <v>-0.44894410000000001</v>
      </c>
      <c r="AD7628">
        <v>1.4720059999999999</v>
      </c>
      <c r="AE7628">
        <v>2.6200869999999998</v>
      </c>
      <c r="AF7628">
        <v>-0.30133011656867598</v>
      </c>
      <c r="AG7628">
        <v>1.4720059999999999</v>
      </c>
      <c r="AH7628">
        <v>2.01200255963714</v>
      </c>
      <c r="AI7628">
        <v>54.112649135669997</v>
      </c>
      <c r="AJ7628">
        <v>98.517668046140898</v>
      </c>
      <c r="AK7628">
        <v>2.51112640127368</v>
      </c>
      <c r="AL7628">
        <v>65.567986805462496</v>
      </c>
      <c r="AM7628">
        <v>89.971877807407907</v>
      </c>
      <c r="AN7628">
        <v>1.0000000078781399</v>
      </c>
    </row>
    <row r="7629" spans="1:40" x14ac:dyDescent="0.25">
      <c r="A7629" t="str">
        <f>"20190304165033291"</f>
        <v>20190304165033291</v>
      </c>
      <c r="B7629" t="str">
        <f>"1551689433283530"</f>
        <v>1551689433283530</v>
      </c>
      <c r="C7629" t="s">
        <v>40</v>
      </c>
      <c r="D7629">
        <v>4.3953309999999997</v>
      </c>
      <c r="E7629">
        <v>0.44780049999999999</v>
      </c>
      <c r="F7629" t="s">
        <v>60</v>
      </c>
      <c r="G7629">
        <v>0</v>
      </c>
      <c r="H7629">
        <v>0</v>
      </c>
      <c r="I7629">
        <v>0</v>
      </c>
      <c r="J7629">
        <v>-187.83009999999999</v>
      </c>
      <c r="K7629">
        <v>1.110994</v>
      </c>
      <c r="L7629">
        <v>86.373660000000001</v>
      </c>
      <c r="M7629">
        <v>-2.0832259999999998E-2</v>
      </c>
      <c r="N7629">
        <v>-1.3978300000000001E-2</v>
      </c>
      <c r="O7629">
        <v>0.9996853</v>
      </c>
      <c r="P7629">
        <v>-1.602696E-2</v>
      </c>
      <c r="Q7629">
        <v>0.3995862</v>
      </c>
      <c r="R7629">
        <v>0.91655549999999997</v>
      </c>
      <c r="S7629">
        <v>-0.43963619999999998</v>
      </c>
      <c r="T7629">
        <v>1.4787380000000001</v>
      </c>
      <c r="U7629">
        <v>2.619049</v>
      </c>
      <c r="V7629">
        <v>3.2286440000000001E-3</v>
      </c>
      <c r="W7629">
        <v>0.41235949999999999</v>
      </c>
      <c r="X7629">
        <v>0.91101549999999998</v>
      </c>
      <c r="Y7629">
        <v>-0.1233779</v>
      </c>
      <c r="Z7629">
        <v>0.49920550000000002</v>
      </c>
      <c r="AA7629">
        <v>0.85765480000000005</v>
      </c>
      <c r="AB7629">
        <v>26</v>
      </c>
      <c r="AC7629">
        <v>-0.43963619999999998</v>
      </c>
      <c r="AD7629">
        <v>1.4787380000000001</v>
      </c>
      <c r="AE7629">
        <v>2.619049</v>
      </c>
      <c r="AF7629">
        <v>-0.29386335351877102</v>
      </c>
      <c r="AG7629">
        <v>1.4787380000000001</v>
      </c>
      <c r="AH7629">
        <v>2.0057604824866799</v>
      </c>
      <c r="AI7629">
        <v>53.890812914735697</v>
      </c>
      <c r="AJ7629">
        <v>98.335086880273494</v>
      </c>
      <c r="AK7629">
        <v>2.5092024342986901</v>
      </c>
      <c r="AL7629">
        <v>65.646858962184893</v>
      </c>
      <c r="AM7629">
        <v>89.796944288789902</v>
      </c>
      <c r="AN7629">
        <v>1.0000000113112799</v>
      </c>
    </row>
    <row r="7630" spans="1:40" x14ac:dyDescent="0.25">
      <c r="A7630" t="str">
        <f>"20190304165033311"</f>
        <v>20190304165033311</v>
      </c>
      <c r="B7630" t="str">
        <f>"1551689433303049"</f>
        <v>1551689433303049</v>
      </c>
      <c r="C7630" t="s">
        <v>40</v>
      </c>
      <c r="D7630">
        <v>4.369472</v>
      </c>
      <c r="E7630">
        <v>0.44769100000000001</v>
      </c>
      <c r="F7630" t="s">
        <v>60</v>
      </c>
      <c r="G7630">
        <v>0</v>
      </c>
      <c r="H7630">
        <v>0</v>
      </c>
      <c r="I7630">
        <v>0</v>
      </c>
      <c r="J7630">
        <v>-187.83519999999999</v>
      </c>
      <c r="K7630">
        <v>1.1109830000000001</v>
      </c>
      <c r="L7630">
        <v>86.626769999999993</v>
      </c>
      <c r="M7630">
        <v>-2.0650740000000001E-2</v>
      </c>
      <c r="N7630">
        <v>-1.3975680000000001E-2</v>
      </c>
      <c r="O7630">
        <v>0.99968900000000005</v>
      </c>
      <c r="P7630">
        <v>-1.3460059999999999E-2</v>
      </c>
      <c r="Q7630">
        <v>0.39763389999999998</v>
      </c>
      <c r="R7630">
        <v>0.91744539999999997</v>
      </c>
      <c r="S7630">
        <v>-0.43087769999999997</v>
      </c>
      <c r="T7630">
        <v>1.480642</v>
      </c>
      <c r="U7630">
        <v>2.6200869999999998</v>
      </c>
      <c r="V7630">
        <v>5.6449769999999998E-3</v>
      </c>
      <c r="W7630">
        <v>0.41041630000000001</v>
      </c>
      <c r="X7630">
        <v>0.91188080000000005</v>
      </c>
      <c r="Y7630">
        <v>-0.1206526</v>
      </c>
      <c r="Z7630">
        <v>0.49971729999999998</v>
      </c>
      <c r="AA7630">
        <v>0.85774450000000002</v>
      </c>
      <c r="AB7630">
        <v>26</v>
      </c>
      <c r="AC7630">
        <v>-0.43087769999999997</v>
      </c>
      <c r="AD7630">
        <v>1.480642</v>
      </c>
      <c r="AE7630">
        <v>2.6200869999999998</v>
      </c>
      <c r="AF7630">
        <v>-0.28733059875769701</v>
      </c>
      <c r="AG7630">
        <v>1.480642</v>
      </c>
      <c r="AH7630">
        <v>2.0049909179287799</v>
      </c>
      <c r="AI7630">
        <v>53.832826643814201</v>
      </c>
      <c r="AJ7630">
        <v>98.155398409099405</v>
      </c>
      <c r="AK7630">
        <v>2.5089536038203901</v>
      </c>
      <c r="AL7630">
        <v>65.769011182773497</v>
      </c>
      <c r="AM7630">
        <v>89.6453163328964</v>
      </c>
      <c r="AN7630">
        <v>0.99999999923982996</v>
      </c>
    </row>
    <row r="7631" spans="1:40" x14ac:dyDescent="0.25">
      <c r="A7631" t="str">
        <f>"20190304165033334"</f>
        <v>20190304165033334</v>
      </c>
      <c r="B7631" t="str">
        <f>"1551689433323545"</f>
        <v>1551689433323545</v>
      </c>
      <c r="C7631" t="s">
        <v>40</v>
      </c>
      <c r="D7631">
        <v>4.3810880000000001</v>
      </c>
      <c r="E7631">
        <v>0.44753860000000001</v>
      </c>
      <c r="F7631" t="s">
        <v>60</v>
      </c>
      <c r="G7631">
        <v>0</v>
      </c>
      <c r="H7631">
        <v>0</v>
      </c>
      <c r="I7631">
        <v>0</v>
      </c>
      <c r="J7631">
        <v>-187.84030000000001</v>
      </c>
      <c r="K7631">
        <v>1.1109709999999999</v>
      </c>
      <c r="L7631">
        <v>86.884369999999905</v>
      </c>
      <c r="M7631">
        <v>-2.0469279999999999E-2</v>
      </c>
      <c r="N7631">
        <v>-1.3973019999999999E-2</v>
      </c>
      <c r="O7631">
        <v>0.9996929</v>
      </c>
      <c r="P7631">
        <v>-1.1073639999999999E-2</v>
      </c>
      <c r="Q7631">
        <v>0.39351979999999998</v>
      </c>
      <c r="R7631">
        <v>0.91924950000000005</v>
      </c>
      <c r="S7631">
        <v>-0.42352289999999998</v>
      </c>
      <c r="T7631">
        <v>1.4792179999999999</v>
      </c>
      <c r="U7631">
        <v>2.62262</v>
      </c>
      <c r="V7631">
        <v>7.8981309999999992E-3</v>
      </c>
      <c r="W7631">
        <v>0.4063235</v>
      </c>
      <c r="X7631">
        <v>0.91369520000000004</v>
      </c>
      <c r="Y7631">
        <v>-0.11839619999999999</v>
      </c>
      <c r="Z7631">
        <v>0.49916110000000002</v>
      </c>
      <c r="AA7631">
        <v>0.85838250000000005</v>
      </c>
      <c r="AB7631">
        <v>26</v>
      </c>
      <c r="AC7631">
        <v>-0.42352289999999998</v>
      </c>
      <c r="AD7631">
        <v>1.4792179999999999</v>
      </c>
      <c r="AE7631">
        <v>2.62262</v>
      </c>
      <c r="AF7631">
        <v>-0.28224078112930001</v>
      </c>
      <c r="AG7631">
        <v>1.4792179999999999</v>
      </c>
      <c r="AH7631">
        <v>2.0081426512129998</v>
      </c>
      <c r="AI7631">
        <v>53.891468651853103</v>
      </c>
      <c r="AJ7631">
        <v>98.000412319811602</v>
      </c>
      <c r="AK7631">
        <v>2.51005630567867</v>
      </c>
      <c r="AL7631">
        <v>66.025910007089095</v>
      </c>
      <c r="AM7631">
        <v>89.504738230421907</v>
      </c>
      <c r="AN7631">
        <v>1.0000000428142899</v>
      </c>
    </row>
    <row r="7632" spans="1:40" x14ac:dyDescent="0.25">
      <c r="A7632" t="str">
        <f>"20190304165033356"</f>
        <v>20190304165033356</v>
      </c>
      <c r="B7632" t="str">
        <f>"1551689433352826"</f>
        <v>1551689433352826</v>
      </c>
      <c r="C7632" t="s">
        <v>40</v>
      </c>
      <c r="D7632">
        <v>4.368773</v>
      </c>
      <c r="E7632">
        <v>0.44722770000000001</v>
      </c>
      <c r="F7632" t="s">
        <v>60</v>
      </c>
      <c r="G7632">
        <v>0</v>
      </c>
      <c r="H7632">
        <v>0</v>
      </c>
      <c r="I7632">
        <v>0</v>
      </c>
      <c r="J7632">
        <v>-187.84530000000001</v>
      </c>
      <c r="K7632">
        <v>1.110962</v>
      </c>
      <c r="L7632">
        <v>87.141169999999903</v>
      </c>
      <c r="M7632">
        <v>-2.029067E-2</v>
      </c>
      <c r="N7632">
        <v>-1.3970339999999999E-2</v>
      </c>
      <c r="O7632">
        <v>0.99969649999999999</v>
      </c>
      <c r="P7632">
        <v>-8.3330519999999901E-3</v>
      </c>
      <c r="Q7632">
        <v>0.39082070000000002</v>
      </c>
      <c r="R7632">
        <v>0.9204291</v>
      </c>
      <c r="S7632">
        <v>-0.41720580000000002</v>
      </c>
      <c r="T7632">
        <v>1.4717309999999999</v>
      </c>
      <c r="U7632">
        <v>2.628479</v>
      </c>
      <c r="V7632">
        <v>1.0495050000000001E-2</v>
      </c>
      <c r="W7632">
        <v>0.40363739999999998</v>
      </c>
      <c r="X7632">
        <v>0.91485879999999997</v>
      </c>
      <c r="Y7632">
        <v>-0.116477</v>
      </c>
      <c r="Z7632">
        <v>0.49661159999999999</v>
      </c>
      <c r="AA7632">
        <v>0.8601221</v>
      </c>
      <c r="AB7632">
        <v>26</v>
      </c>
      <c r="AC7632">
        <v>-0.41720580000000002</v>
      </c>
      <c r="AD7632">
        <v>1.4717309999999999</v>
      </c>
      <c r="AE7632">
        <v>2.628479</v>
      </c>
      <c r="AF7632">
        <v>-0.27858800066502498</v>
      </c>
      <c r="AG7632">
        <v>1.4717309999999999</v>
      </c>
      <c r="AH7632">
        <v>2.0189903787908499</v>
      </c>
      <c r="AI7632">
        <v>54.166866481994496</v>
      </c>
      <c r="AJ7632">
        <v>97.8562810825197</v>
      </c>
      <c r="AK7632">
        <v>2.51394621265562</v>
      </c>
      <c r="AL7632">
        <v>66.194231237992099</v>
      </c>
      <c r="AM7632">
        <v>89.342744809840298</v>
      </c>
      <c r="AN7632">
        <v>0.99999996034534999</v>
      </c>
    </row>
    <row r="7633" spans="1:40" x14ac:dyDescent="0.25">
      <c r="A7633" t="str">
        <f>"20190304165033382"</f>
        <v>20190304165033382</v>
      </c>
      <c r="B7633" t="str">
        <f>"1551689433373321"</f>
        <v>1551689433373321</v>
      </c>
      <c r="C7633" t="s">
        <v>40</v>
      </c>
      <c r="D7633">
        <v>4.3842059999999998</v>
      </c>
      <c r="E7633">
        <v>0.44698520000000003</v>
      </c>
      <c r="F7633" t="s">
        <v>60</v>
      </c>
      <c r="G7633">
        <v>0</v>
      </c>
      <c r="H7633">
        <v>0</v>
      </c>
      <c r="I7633">
        <v>0</v>
      </c>
      <c r="J7633">
        <v>-187.8511</v>
      </c>
      <c r="K7633">
        <v>1.1109549999999999</v>
      </c>
      <c r="L7633">
        <v>87.440889999999996</v>
      </c>
      <c r="M7633">
        <v>-2.0084040000000001E-2</v>
      </c>
      <c r="N7633">
        <v>-1.3967179999999999E-2</v>
      </c>
      <c r="O7633">
        <v>0.9997007</v>
      </c>
      <c r="P7633">
        <v>-4.4559609999999996E-3</v>
      </c>
      <c r="Q7633">
        <v>0.38741569999999997</v>
      </c>
      <c r="R7633">
        <v>0.9218944</v>
      </c>
      <c r="S7633">
        <v>-0.41046139999999998</v>
      </c>
      <c r="T7633">
        <v>1.4709319999999999</v>
      </c>
      <c r="U7633">
        <v>2.6310730000000002</v>
      </c>
      <c r="V7633">
        <v>1.420768E-2</v>
      </c>
      <c r="W7633">
        <v>0.40024749999999998</v>
      </c>
      <c r="X7633">
        <v>0.91629700000000003</v>
      </c>
      <c r="Y7633">
        <v>-0.1144266</v>
      </c>
      <c r="Z7633">
        <v>0.49618489999999998</v>
      </c>
      <c r="AA7633">
        <v>0.86064339999999995</v>
      </c>
      <c r="AB7633">
        <v>26</v>
      </c>
      <c r="AC7633">
        <v>-0.41046139999999998</v>
      </c>
      <c r="AD7633">
        <v>1.4709319999999999</v>
      </c>
      <c r="AE7633">
        <v>2.6310730000000002</v>
      </c>
      <c r="AF7633">
        <v>-0.27394399431463001</v>
      </c>
      <c r="AG7633">
        <v>1.4709319999999999</v>
      </c>
      <c r="AH7633">
        <v>2.0218667998342701</v>
      </c>
      <c r="AI7633">
        <v>54.211236874565003</v>
      </c>
      <c r="AJ7633">
        <v>97.716053508103897</v>
      </c>
      <c r="AK7633">
        <v>2.5152796299650499</v>
      </c>
      <c r="AL7633">
        <v>66.406349588442694</v>
      </c>
      <c r="AM7633">
        <v>89.111669172303905</v>
      </c>
      <c r="AN7633">
        <v>1.0000000558181099</v>
      </c>
    </row>
    <row r="7634" spans="1:40" x14ac:dyDescent="0.25">
      <c r="A7634" t="str">
        <f>"20190304165033404"</f>
        <v>20190304165033404</v>
      </c>
      <c r="B7634" t="str">
        <f>"1551689433392841"</f>
        <v>1551689433392841</v>
      </c>
      <c r="C7634" t="s">
        <v>40</v>
      </c>
      <c r="D7634">
        <v>4.3735689999999998</v>
      </c>
      <c r="E7634">
        <v>0.4467489</v>
      </c>
      <c r="F7634" t="s">
        <v>60</v>
      </c>
      <c r="G7634">
        <v>0</v>
      </c>
      <c r="H7634">
        <v>0</v>
      </c>
      <c r="I7634">
        <v>0</v>
      </c>
      <c r="J7634">
        <v>-187.8563</v>
      </c>
      <c r="K7634">
        <v>1.1109439999999999</v>
      </c>
      <c r="L7634">
        <v>87.708529999999996</v>
      </c>
      <c r="M7634">
        <v>-1.989991E-2</v>
      </c>
      <c r="N7634">
        <v>-1.396439E-2</v>
      </c>
      <c r="O7634">
        <v>0.9997045</v>
      </c>
      <c r="P7634">
        <v>-1.9763410000000001E-4</v>
      </c>
      <c r="Q7634">
        <v>0.38275439999999999</v>
      </c>
      <c r="R7634">
        <v>0.92385010000000001</v>
      </c>
      <c r="S7634">
        <v>-0.40043640000000003</v>
      </c>
      <c r="T7634">
        <v>1.465489</v>
      </c>
      <c r="U7634">
        <v>2.6363829999999999</v>
      </c>
      <c r="V7634">
        <v>1.833127E-2</v>
      </c>
      <c r="W7634">
        <v>0.39560909999999999</v>
      </c>
      <c r="X7634">
        <v>0.91823600000000005</v>
      </c>
      <c r="Y7634">
        <v>-0.1112934</v>
      </c>
      <c r="Z7634">
        <v>0.49428620000000001</v>
      </c>
      <c r="AA7634">
        <v>0.86214550000000001</v>
      </c>
      <c r="AB7634">
        <v>26</v>
      </c>
      <c r="AC7634">
        <v>-0.40043640000000003</v>
      </c>
      <c r="AD7634">
        <v>1.465489</v>
      </c>
      <c r="AE7634">
        <v>2.6363829999999999</v>
      </c>
      <c r="AF7634">
        <v>-0.26719012629838801</v>
      </c>
      <c r="AG7634">
        <v>1.465489</v>
      </c>
      <c r="AH7634">
        <v>2.03055280122233</v>
      </c>
      <c r="AI7634">
        <v>54.414344251269704</v>
      </c>
      <c r="AJ7634">
        <v>97.496193977699093</v>
      </c>
      <c r="AK7634">
        <v>2.51837115041929</v>
      </c>
      <c r="AL7634">
        <v>66.696031866389006</v>
      </c>
      <c r="AM7634">
        <v>88.856323530588497</v>
      </c>
      <c r="AN7634">
        <v>0.99999997357931103</v>
      </c>
    </row>
    <row r="7635" spans="1:40" x14ac:dyDescent="0.25">
      <c r="A7635" t="str">
        <f>"20190304165033424"</f>
        <v>20190304165033424</v>
      </c>
      <c r="B7635" t="str">
        <f>"1551689433413345"</f>
        <v>1551689433413345</v>
      </c>
      <c r="C7635" t="s">
        <v>40</v>
      </c>
      <c r="D7635">
        <v>4.4032660000000003</v>
      </c>
      <c r="E7635">
        <v>0.4464824</v>
      </c>
      <c r="F7635" t="s">
        <v>60</v>
      </c>
      <c r="G7635">
        <v>0</v>
      </c>
      <c r="H7635">
        <v>0</v>
      </c>
      <c r="I7635">
        <v>0</v>
      </c>
      <c r="J7635">
        <v>-187.86060000000001</v>
      </c>
      <c r="K7635">
        <v>1.110911</v>
      </c>
      <c r="L7635">
        <v>87.936040000000006</v>
      </c>
      <c r="M7635">
        <v>-1.9743469999999999E-2</v>
      </c>
      <c r="N7635">
        <v>-1.3961960000000001E-2</v>
      </c>
      <c r="O7635">
        <v>0.99970760000000003</v>
      </c>
      <c r="P7635">
        <v>5.1260159999999997E-3</v>
      </c>
      <c r="Q7635">
        <v>0.37776140000000002</v>
      </c>
      <c r="R7635">
        <v>0.92588879999999996</v>
      </c>
      <c r="S7635">
        <v>-0.389679</v>
      </c>
      <c r="T7635">
        <v>1.456021</v>
      </c>
      <c r="U7635">
        <v>2.6439509999999999</v>
      </c>
      <c r="V7635">
        <v>2.3546859999999999E-2</v>
      </c>
      <c r="W7635">
        <v>0.39063930000000002</v>
      </c>
      <c r="X7635">
        <v>0.92024260000000002</v>
      </c>
      <c r="Y7635">
        <v>-0.10789600000000001</v>
      </c>
      <c r="Z7635">
        <v>0.4910757</v>
      </c>
      <c r="AA7635">
        <v>0.86440910000000004</v>
      </c>
      <c r="AB7635">
        <v>26</v>
      </c>
      <c r="AC7635">
        <v>-0.389679</v>
      </c>
      <c r="AD7635">
        <v>1.456021</v>
      </c>
      <c r="AE7635">
        <v>2.6439509999999999</v>
      </c>
      <c r="AF7635">
        <v>-0.26017237905067397</v>
      </c>
      <c r="AG7635">
        <v>1.456021</v>
      </c>
      <c r="AH7635">
        <v>2.0443288464409801</v>
      </c>
      <c r="AI7635">
        <v>54.757807518721599</v>
      </c>
      <c r="AJ7635">
        <v>97.252782880229802</v>
      </c>
      <c r="AK7635">
        <v>2.5232850119739898</v>
      </c>
      <c r="AL7635">
        <v>67.005715154906596</v>
      </c>
      <c r="AM7635">
        <v>88.534254581194403</v>
      </c>
      <c r="AN7635">
        <v>0.99999998008755397</v>
      </c>
    </row>
    <row r="7636" spans="1:40" x14ac:dyDescent="0.25">
      <c r="A7636" t="str">
        <f>"20190304165033446"</f>
        <v>20190304165033446</v>
      </c>
      <c r="B7636" t="str">
        <f>"1551689433443594"</f>
        <v>1551689433443594</v>
      </c>
      <c r="C7636" t="s">
        <v>40</v>
      </c>
      <c r="D7636">
        <v>4.3964109999999996</v>
      </c>
      <c r="E7636">
        <v>0.4459516</v>
      </c>
      <c r="F7636" t="s">
        <v>60</v>
      </c>
      <c r="G7636">
        <v>0</v>
      </c>
      <c r="H7636">
        <v>0</v>
      </c>
      <c r="I7636">
        <v>0</v>
      </c>
      <c r="J7636">
        <v>-187.86539999999999</v>
      </c>
      <c r="K7636">
        <v>1.110894</v>
      </c>
      <c r="L7636">
        <v>88.191769999999906</v>
      </c>
      <c r="M7636">
        <v>-1.9567350000000001E-2</v>
      </c>
      <c r="N7636">
        <v>-1.395922E-2</v>
      </c>
      <c r="O7636">
        <v>0.99971109999999996</v>
      </c>
      <c r="P7636">
        <v>1.175322E-2</v>
      </c>
      <c r="Q7636">
        <v>0.3736526</v>
      </c>
      <c r="R7636">
        <v>0.92749429999999999</v>
      </c>
      <c r="S7636">
        <v>-0.3762665</v>
      </c>
      <c r="T7636">
        <v>1.4453750000000001</v>
      </c>
      <c r="U7636">
        <v>2.6525270000000001</v>
      </c>
      <c r="V7636">
        <v>3.0038820000000001E-2</v>
      </c>
      <c r="W7636">
        <v>0.38654709999999998</v>
      </c>
      <c r="X7636">
        <v>0.9217803</v>
      </c>
      <c r="Y7636">
        <v>-0.10364619999999999</v>
      </c>
      <c r="Z7636">
        <v>0.48746590000000001</v>
      </c>
      <c r="AA7636">
        <v>0.86696859999999998</v>
      </c>
      <c r="AB7636">
        <v>26</v>
      </c>
      <c r="AC7636">
        <v>-0.3762665</v>
      </c>
      <c r="AD7636">
        <v>1.4453750000000001</v>
      </c>
      <c r="AE7636">
        <v>2.6525270000000001</v>
      </c>
      <c r="AF7636">
        <v>-0.251177574683839</v>
      </c>
      <c r="AG7636">
        <v>1.4453750000000001</v>
      </c>
      <c r="AH7636">
        <v>2.05983680993638</v>
      </c>
      <c r="AI7636">
        <v>55.1414580571575</v>
      </c>
      <c r="AJ7636">
        <v>96.9523534953141</v>
      </c>
      <c r="AK7636">
        <v>2.5288587837635301</v>
      </c>
      <c r="AL7636">
        <v>67.260179195282205</v>
      </c>
      <c r="AM7636">
        <v>88.133515387537997</v>
      </c>
      <c r="AN7636">
        <v>0.99999995634674499</v>
      </c>
    </row>
    <row r="7637" spans="1:40" x14ac:dyDescent="0.25">
      <c r="A7637" t="str">
        <f>"20190304165033469"</f>
        <v>20190304165033469</v>
      </c>
      <c r="B7637" t="str">
        <f>"1551689433463621"</f>
        <v>1551689433463621</v>
      </c>
      <c r="C7637" t="s">
        <v>40</v>
      </c>
      <c r="D7637">
        <v>4.4233440000000002</v>
      </c>
      <c r="E7637">
        <v>0.4456214</v>
      </c>
      <c r="F7637" t="s">
        <v>60</v>
      </c>
      <c r="G7637">
        <v>0</v>
      </c>
      <c r="H7637">
        <v>0</v>
      </c>
      <c r="I7637">
        <v>0</v>
      </c>
      <c r="J7637">
        <v>-187.87039999999999</v>
      </c>
      <c r="K7637">
        <v>1.1108830000000001</v>
      </c>
      <c r="L7637">
        <v>88.459140000000005</v>
      </c>
      <c r="M7637">
        <v>-1.9382940000000001E-2</v>
      </c>
      <c r="N7637">
        <v>-1.395649E-2</v>
      </c>
      <c r="O7637">
        <v>0.99971469999999996</v>
      </c>
      <c r="P7637">
        <v>1.8902200000000001E-2</v>
      </c>
      <c r="Q7637">
        <v>0.37090499999999998</v>
      </c>
      <c r="R7637">
        <v>0.92847840000000004</v>
      </c>
      <c r="S7637">
        <v>-0.36091610000000002</v>
      </c>
      <c r="T7637">
        <v>1.4394129999999901</v>
      </c>
      <c r="U7637">
        <v>2.6592099999999999</v>
      </c>
      <c r="V7637">
        <v>3.7032929999999999E-2</v>
      </c>
      <c r="W7637">
        <v>0.38380649999999999</v>
      </c>
      <c r="X7637">
        <v>0.92267069999999995</v>
      </c>
      <c r="Y7637">
        <v>-9.8752430000000002E-2</v>
      </c>
      <c r="Z7637">
        <v>0.48531439999999998</v>
      </c>
      <c r="AA7637">
        <v>0.86874499999999999</v>
      </c>
      <c r="AB7637">
        <v>26</v>
      </c>
      <c r="AC7637">
        <v>-0.36091610000000002</v>
      </c>
      <c r="AD7637">
        <v>1.4394129999999901</v>
      </c>
      <c r="AE7637">
        <v>2.6592099999999999</v>
      </c>
      <c r="AF7637">
        <v>-0.240195850351797</v>
      </c>
      <c r="AG7637">
        <v>1.4394129999999901</v>
      </c>
      <c r="AH7637">
        <v>2.0701318001508602</v>
      </c>
      <c r="AI7637">
        <v>55.367528562945402</v>
      </c>
      <c r="AJ7637">
        <v>96.618391820399196</v>
      </c>
      <c r="AK7637">
        <v>2.5327948004311498</v>
      </c>
      <c r="AL7637">
        <v>67.430334757524804</v>
      </c>
      <c r="AM7637">
        <v>87.701571857948295</v>
      </c>
      <c r="AN7637">
        <v>1.00000004399256</v>
      </c>
    </row>
    <row r="7638" spans="1:40" x14ac:dyDescent="0.25">
      <c r="A7638" t="str">
        <f>"20190304165033490"</f>
        <v>20190304165033490</v>
      </c>
      <c r="B7638" t="str">
        <f>"1551689433483141"</f>
        <v>1551689433483141</v>
      </c>
      <c r="C7638" t="s">
        <v>40</v>
      </c>
      <c r="D7638">
        <v>5.0042470000000003</v>
      </c>
      <c r="E7638">
        <v>0.44571070000000002</v>
      </c>
      <c r="F7638" t="s">
        <v>60</v>
      </c>
      <c r="G7638">
        <v>0</v>
      </c>
      <c r="H7638">
        <v>0</v>
      </c>
      <c r="I7638">
        <v>0</v>
      </c>
      <c r="J7638">
        <v>-187.87520000000001</v>
      </c>
      <c r="K7638">
        <v>1.1108800000000001</v>
      </c>
      <c r="L7638">
        <v>88.717410000000001</v>
      </c>
      <c r="M7638">
        <v>-1.9204760000000001E-2</v>
      </c>
      <c r="N7638">
        <v>-1.3953770000000001E-2</v>
      </c>
      <c r="O7638">
        <v>0.9997182</v>
      </c>
      <c r="P7638">
        <v>2.3491999999999999E-2</v>
      </c>
      <c r="Q7638">
        <v>0.36965949999999997</v>
      </c>
      <c r="R7638">
        <v>0.92887030000000004</v>
      </c>
      <c r="S7638">
        <v>-0.34292600000000001</v>
      </c>
      <c r="T7638">
        <v>1.435073</v>
      </c>
      <c r="U7638">
        <v>2.6647949999999998</v>
      </c>
      <c r="V7638">
        <v>4.146325E-2</v>
      </c>
      <c r="W7638">
        <v>0.3825614</v>
      </c>
      <c r="X7638">
        <v>0.92299920000000002</v>
      </c>
      <c r="Y7638">
        <v>-9.3005489999999996E-2</v>
      </c>
      <c r="Z7638">
        <v>0.48375059999999898</v>
      </c>
      <c r="AA7638">
        <v>0.87025019999999997</v>
      </c>
      <c r="AB7638">
        <v>26</v>
      </c>
      <c r="AC7638">
        <v>-0.34292600000000001</v>
      </c>
      <c r="AD7638">
        <v>1.435073</v>
      </c>
      <c r="AE7638">
        <v>2.6647949999999998</v>
      </c>
      <c r="AF7638">
        <v>-0.226937828464126</v>
      </c>
      <c r="AG7638">
        <v>1.435073</v>
      </c>
      <c r="AH7638">
        <v>2.0780439214995199</v>
      </c>
      <c r="AI7638">
        <v>55.530137150963398</v>
      </c>
      <c r="AJ7638">
        <v>96.2324264125849</v>
      </c>
      <c r="AK7638">
        <v>2.5355870785674299</v>
      </c>
      <c r="AL7638">
        <v>67.507567209650503</v>
      </c>
      <c r="AM7638">
        <v>87.427870882254894</v>
      </c>
      <c r="AN7638">
        <v>0.99999997453558098</v>
      </c>
    </row>
    <row r="7639" spans="1:40" x14ac:dyDescent="0.25">
      <c r="A7639" t="str">
        <f>"20190304165033570"</f>
        <v>20190304165033570</v>
      </c>
      <c r="B7639" t="str">
        <f>"1551689433563173"</f>
        <v>1551689433563173</v>
      </c>
      <c r="C7639" t="s">
        <v>40</v>
      </c>
      <c r="D7639">
        <v>4.6041629999999998</v>
      </c>
      <c r="E7639">
        <v>0.57299979999999995</v>
      </c>
      <c r="F7639" t="s">
        <v>60</v>
      </c>
      <c r="G7639">
        <v>0</v>
      </c>
      <c r="H7639">
        <v>0</v>
      </c>
      <c r="I7639">
        <v>0</v>
      </c>
      <c r="J7639">
        <v>-187.8921</v>
      </c>
      <c r="K7639">
        <v>1.110868</v>
      </c>
      <c r="L7639">
        <v>89.653289999999998</v>
      </c>
      <c r="M7639">
        <v>-1.855679E-2</v>
      </c>
      <c r="N7639">
        <v>-1.394308E-2</v>
      </c>
      <c r="O7639">
        <v>0.99973060000000002</v>
      </c>
      <c r="P7639">
        <v>4.6368520000000003E-2</v>
      </c>
      <c r="Q7639">
        <v>0.36516389999999999</v>
      </c>
      <c r="R7639">
        <v>0.92978780000000005</v>
      </c>
      <c r="S7639">
        <v>-0.32904050000000001</v>
      </c>
      <c r="T7639">
        <v>1.432644</v>
      </c>
      <c r="U7639">
        <v>2.6679080000000002</v>
      </c>
      <c r="V7639">
        <v>6.3748719999999995E-2</v>
      </c>
      <c r="W7639">
        <v>0.37805610000000001</v>
      </c>
      <c r="X7639">
        <v>0.9235852</v>
      </c>
      <c r="Y7639">
        <v>-8.9101E-2</v>
      </c>
      <c r="Z7639">
        <v>0.48291440000000002</v>
      </c>
      <c r="AA7639">
        <v>0.87112269999999903</v>
      </c>
      <c r="AB7639">
        <v>26</v>
      </c>
      <c r="AC7639">
        <v>-0.32904050000000001</v>
      </c>
      <c r="AD7639">
        <v>1.432644</v>
      </c>
      <c r="AE7639">
        <v>2.6679080000000002</v>
      </c>
      <c r="AF7639">
        <v>-0.21765002906046199</v>
      </c>
      <c r="AG7639">
        <v>1.432644</v>
      </c>
      <c r="AH7639">
        <v>2.0821441085305499</v>
      </c>
      <c r="AI7639">
        <v>55.614866847762698</v>
      </c>
      <c r="AJ7639">
        <v>95.967551707097201</v>
      </c>
      <c r="AK7639">
        <v>2.5367625932622202</v>
      </c>
      <c r="AL7639">
        <v>67.7866743595565</v>
      </c>
      <c r="AM7639">
        <v>86.051529758618699</v>
      </c>
      <c r="AN7639">
        <v>0.99999996785394296</v>
      </c>
    </row>
    <row r="7640" spans="1:40" x14ac:dyDescent="0.25">
      <c r="A7640" t="str">
        <f>"20190304165033592"</f>
        <v>20190304165033592</v>
      </c>
      <c r="B7640" t="str">
        <f>"1551689433583670"</f>
        <v>1551689433583670</v>
      </c>
      <c r="C7640" t="s">
        <v>40</v>
      </c>
      <c r="D7640">
        <v>4.6639169999999996</v>
      </c>
      <c r="E7640">
        <v>0.57085529999999995</v>
      </c>
      <c r="F7640" t="s">
        <v>64</v>
      </c>
      <c r="G7640">
        <v>-172.58019999999999</v>
      </c>
      <c r="H7640">
        <v>5.2911510000000002</v>
      </c>
      <c r="I7640">
        <v>166.233</v>
      </c>
      <c r="J7640">
        <v>-187.8964</v>
      </c>
      <c r="K7640">
        <v>1.110867</v>
      </c>
      <c r="L7640">
        <v>89.896819999999906</v>
      </c>
      <c r="M7640">
        <v>-1.8387959999999998E-2</v>
      </c>
      <c r="N7640">
        <v>-1.3940360000000001E-2</v>
      </c>
      <c r="O7640">
        <v>0.99973369999999995</v>
      </c>
      <c r="P7640">
        <v>5.1635830000000001E-2</v>
      </c>
      <c r="Q7640">
        <v>0.36460890000000001</v>
      </c>
      <c r="R7640">
        <v>0.929728</v>
      </c>
      <c r="S7640">
        <v>0.6254883</v>
      </c>
      <c r="T7640">
        <v>0.17076369999999999</v>
      </c>
      <c r="U7640">
        <v>3.1282649999999999</v>
      </c>
      <c r="V7640">
        <v>6.8856799999999996E-2</v>
      </c>
      <c r="W7640">
        <v>0.37749490000000002</v>
      </c>
      <c r="X7640">
        <v>0.92344809999999999</v>
      </c>
      <c r="Y7640">
        <v>0.21368000000000001</v>
      </c>
      <c r="Z7640">
        <v>6.7276379999999997E-2</v>
      </c>
      <c r="AA7640">
        <v>0.97458440000000002</v>
      </c>
      <c r="AB7640">
        <v>26</v>
      </c>
      <c r="AC7640">
        <v>15.3162</v>
      </c>
      <c r="AD7640">
        <v>4.1802839999999897</v>
      </c>
      <c r="AE7640">
        <v>76.336179999999999</v>
      </c>
      <c r="AF7640">
        <v>16.669359093328801</v>
      </c>
      <c r="AG7640">
        <v>4.1802839999999897</v>
      </c>
      <c r="AH7640">
        <v>75.823029659243602</v>
      </c>
      <c r="AI7640">
        <v>86.917815438995206</v>
      </c>
      <c r="AJ7640">
        <v>77.601020068458894</v>
      </c>
      <c r="AK7640">
        <v>77.746216201237303</v>
      </c>
      <c r="AL7640">
        <v>67.821403536971303</v>
      </c>
      <c r="AM7640">
        <v>85.735638364121499</v>
      </c>
      <c r="AN7640">
        <v>1.00000002591292</v>
      </c>
    </row>
    <row r="7641" spans="1:40" x14ac:dyDescent="0.25">
      <c r="A7641" t="str">
        <f>"20190304165033614"</f>
        <v>20190304165033614</v>
      </c>
      <c r="B7641" t="str">
        <f>"1551689433603189"</f>
        <v>1551689433603189</v>
      </c>
      <c r="C7641" t="s">
        <v>40</v>
      </c>
      <c r="D7641">
        <v>4.6387619999999998</v>
      </c>
      <c r="E7641">
        <v>0.56700989999999996</v>
      </c>
      <c r="F7641" t="s">
        <v>65</v>
      </c>
      <c r="G7641">
        <v>-168.41489999999999</v>
      </c>
      <c r="H7641">
        <v>0.28686519999999999</v>
      </c>
      <c r="I7641">
        <v>193.37719999999999</v>
      </c>
      <c r="J7641">
        <v>-187.9008</v>
      </c>
      <c r="K7641">
        <v>1.11086</v>
      </c>
      <c r="L7641">
        <v>90.150239999999997</v>
      </c>
      <c r="M7641">
        <v>-1.8212180000000001E-2</v>
      </c>
      <c r="N7641">
        <v>-1.3937440000000001E-2</v>
      </c>
      <c r="O7641">
        <v>0.99973699999999999</v>
      </c>
      <c r="P7641">
        <v>5.6346250000000001E-2</v>
      </c>
      <c r="Q7641">
        <v>0.36381400000000003</v>
      </c>
      <c r="R7641">
        <v>0.92976579999999998</v>
      </c>
      <c r="S7641">
        <v>0.60305790000000004</v>
      </c>
      <c r="T7641">
        <v>-2.5506259999999999E-2</v>
      </c>
      <c r="U7641">
        <v>3.2032780000000001</v>
      </c>
      <c r="V7641">
        <v>7.3403309999999999E-2</v>
      </c>
      <c r="W7641">
        <v>0.3766951</v>
      </c>
      <c r="X7641">
        <v>0.92342449999999998</v>
      </c>
      <c r="Y7641">
        <v>0.20284740000000001</v>
      </c>
      <c r="Z7641">
        <v>6.152505E-3</v>
      </c>
      <c r="AA7641">
        <v>0.97919100000000003</v>
      </c>
      <c r="AB7641">
        <v>26</v>
      </c>
      <c r="AC7641">
        <v>19.485900000000001</v>
      </c>
      <c r="AD7641">
        <v>-0.82399479999999903</v>
      </c>
      <c r="AE7641">
        <v>103.22696000000001</v>
      </c>
      <c r="AF7641">
        <v>21.361523839437002</v>
      </c>
      <c r="AG7641">
        <v>-0.82399479999999903</v>
      </c>
      <c r="AH7641">
        <v>102.848592889545</v>
      </c>
      <c r="AI7641">
        <v>90.449436974290407</v>
      </c>
      <c r="AJ7641">
        <v>78.266562174014297</v>
      </c>
      <c r="AK7641">
        <v>105.046783518262</v>
      </c>
      <c r="AL7641">
        <v>67.870881424047994</v>
      </c>
      <c r="AM7641">
        <v>85.4550966570269</v>
      </c>
      <c r="AN7641">
        <v>1.0000000257416</v>
      </c>
    </row>
    <row r="7642" spans="1:40" x14ac:dyDescent="0.25">
      <c r="A7642" t="str">
        <f>"20190304165033636"</f>
        <v>20190304165033636</v>
      </c>
      <c r="B7642" t="str">
        <f>"1551689433622709"</f>
        <v>1551689433622709</v>
      </c>
      <c r="C7642" t="s">
        <v>40</v>
      </c>
      <c r="D7642">
        <v>4.7677189999999996</v>
      </c>
      <c r="E7642">
        <v>0.56434169999999995</v>
      </c>
      <c r="F7642" t="s">
        <v>42</v>
      </c>
      <c r="G7642">
        <v>-183.63829999999999</v>
      </c>
      <c r="H7642" s="1">
        <v>-3.2850630000000001E-6</v>
      </c>
      <c r="I7642">
        <v>114.3274</v>
      </c>
      <c r="J7642">
        <v>-187.9051</v>
      </c>
      <c r="K7642">
        <v>1.110862</v>
      </c>
      <c r="L7642">
        <v>90.394620000000003</v>
      </c>
      <c r="M7642">
        <v>-1.804269E-2</v>
      </c>
      <c r="N7642">
        <v>-1.393461E-2</v>
      </c>
      <c r="O7642">
        <v>0.99974010000000002</v>
      </c>
      <c r="P7642">
        <v>6.0242240000000002E-2</v>
      </c>
      <c r="Q7642">
        <v>0.36375039999999997</v>
      </c>
      <c r="R7642">
        <v>0.92954639999999999</v>
      </c>
      <c r="S7642">
        <v>0.57304379999999999</v>
      </c>
      <c r="T7642">
        <v>-0.1493428</v>
      </c>
      <c r="U7642">
        <v>3.2503359999999999</v>
      </c>
      <c r="V7642">
        <v>7.7136999999999997E-2</v>
      </c>
      <c r="W7642">
        <v>0.3766236</v>
      </c>
      <c r="X7642">
        <v>0.92314929999999995</v>
      </c>
      <c r="Y7642">
        <v>0.1912046</v>
      </c>
      <c r="Z7642">
        <v>-3.1170170000000001E-2</v>
      </c>
      <c r="AA7642">
        <v>0.98105509999999996</v>
      </c>
      <c r="AB7642">
        <v>26</v>
      </c>
      <c r="AC7642">
        <v>4.2668000000000097</v>
      </c>
      <c r="AD7642">
        <v>-1.1108652850630001</v>
      </c>
      <c r="AE7642">
        <v>23.932780000000001</v>
      </c>
      <c r="AF7642">
        <v>4.6881696889632902</v>
      </c>
      <c r="AG7642">
        <v>-1.1108652850630001</v>
      </c>
      <c r="AH7642">
        <v>23.802190468943198</v>
      </c>
      <c r="AI7642">
        <v>92.621796397834999</v>
      </c>
      <c r="AJ7642">
        <v>78.857435844489601</v>
      </c>
      <c r="AK7642">
        <v>24.2849177028444</v>
      </c>
      <c r="AL7642">
        <v>67.875304136120405</v>
      </c>
      <c r="AM7642">
        <v>85.223544620912904</v>
      </c>
      <c r="AN7642">
        <v>1.00000004146822</v>
      </c>
    </row>
    <row r="7643" spans="1:40" x14ac:dyDescent="0.25">
      <c r="A7643" t="str">
        <f>"20190304165033658"</f>
        <v>20190304165033658</v>
      </c>
      <c r="B7643" t="str">
        <f>"1551689433652965"</f>
        <v>1551689433652965</v>
      </c>
      <c r="C7643" t="s">
        <v>40</v>
      </c>
      <c r="D7643">
        <v>4.6287339999999997</v>
      </c>
      <c r="E7643">
        <v>0.56158169999999996</v>
      </c>
      <c r="F7643" t="s">
        <v>42</v>
      </c>
      <c r="G7643">
        <v>-185.03200000000001</v>
      </c>
      <c r="H7643" s="1">
        <v>-4.1722870000000001E-6</v>
      </c>
      <c r="I7643">
        <v>107.3043</v>
      </c>
      <c r="J7643">
        <v>-187.90950000000001</v>
      </c>
      <c r="K7643">
        <v>1.110862</v>
      </c>
      <c r="L7643">
        <v>90.653289999999998</v>
      </c>
      <c r="M7643">
        <v>-1.7863219999999999E-2</v>
      </c>
      <c r="N7643">
        <v>-1.393175E-2</v>
      </c>
      <c r="O7643">
        <v>0.99974339999999995</v>
      </c>
      <c r="P7643">
        <v>6.3924850000000005E-2</v>
      </c>
      <c r="Q7643">
        <v>0.36367709999999998</v>
      </c>
      <c r="R7643">
        <v>0.92932910000000002</v>
      </c>
      <c r="S7643">
        <v>0.55653379999999997</v>
      </c>
      <c r="T7643">
        <v>-0.21518399999999999</v>
      </c>
      <c r="U7643">
        <v>3.2755429999999999</v>
      </c>
      <c r="V7643">
        <v>8.06481E-2</v>
      </c>
      <c r="W7643">
        <v>0.37654320000000002</v>
      </c>
      <c r="X7643">
        <v>0.92288199999999998</v>
      </c>
      <c r="Y7643">
        <v>0.18477569999999999</v>
      </c>
      <c r="Z7643">
        <v>-5.0583099999999999E-2</v>
      </c>
      <c r="AA7643">
        <v>0.98147819999999997</v>
      </c>
      <c r="AB7643">
        <v>26</v>
      </c>
      <c r="AC7643">
        <v>2.8774999999999902</v>
      </c>
      <c r="AD7643">
        <v>-1.1108661722869999</v>
      </c>
      <c r="AE7643">
        <v>16.651009999999999</v>
      </c>
      <c r="AF7643">
        <v>3.16084980412078</v>
      </c>
      <c r="AG7643">
        <v>-1.1108661722869999</v>
      </c>
      <c r="AH7643">
        <v>16.525526596980601</v>
      </c>
      <c r="AI7643">
        <v>93.777433609116201</v>
      </c>
      <c r="AJ7643">
        <v>79.171777726747706</v>
      </c>
      <c r="AK7643">
        <v>16.861732545751501</v>
      </c>
      <c r="AL7643">
        <v>67.880276795490502</v>
      </c>
      <c r="AM7643">
        <v>85.005767715609906</v>
      </c>
      <c r="AN7643">
        <v>1.0000000417119199</v>
      </c>
    </row>
    <row r="7644" spans="1:40" x14ac:dyDescent="0.25">
      <c r="A7644" t="str">
        <f>"20190304165033681"</f>
        <v>20190304165033681</v>
      </c>
      <c r="B7644" t="str">
        <f>"1551689433673461"</f>
        <v>1551689433673461</v>
      </c>
      <c r="C7644" t="s">
        <v>40</v>
      </c>
      <c r="D7644">
        <v>4.5759429999999996</v>
      </c>
      <c r="E7644">
        <v>0.56051470000000003</v>
      </c>
      <c r="F7644" t="s">
        <v>42</v>
      </c>
      <c r="G7644">
        <v>-185.49359999999999</v>
      </c>
      <c r="H7644" s="1">
        <v>-3.2315119999999998E-6</v>
      </c>
      <c r="I7644">
        <v>105.3022</v>
      </c>
      <c r="J7644">
        <v>-187.91409999999999</v>
      </c>
      <c r="K7644">
        <v>1.110859</v>
      </c>
      <c r="L7644">
        <v>90.924869999999999</v>
      </c>
      <c r="M7644">
        <v>-1.7674749999999999E-2</v>
      </c>
      <c r="N7644">
        <v>-1.392879E-2</v>
      </c>
      <c r="O7644">
        <v>0.99974669999999999</v>
      </c>
      <c r="P7644">
        <v>6.6706089999999996E-2</v>
      </c>
      <c r="Q7644">
        <v>0.36211510000000002</v>
      </c>
      <c r="R7644">
        <v>0.92974349999999994</v>
      </c>
      <c r="S7644">
        <v>0.54232789999999997</v>
      </c>
      <c r="T7644">
        <v>-0.24937000000000001</v>
      </c>
      <c r="U7644">
        <v>3.2884220000000002</v>
      </c>
      <c r="V7644">
        <v>8.3260440000000005E-2</v>
      </c>
      <c r="W7644">
        <v>0.37498290000000001</v>
      </c>
      <c r="X7644">
        <v>0.92328520000000003</v>
      </c>
      <c r="Y7644">
        <v>0.1797282</v>
      </c>
      <c r="Z7644">
        <v>-6.0565349999999997E-2</v>
      </c>
      <c r="AA7644">
        <v>0.98185009999999995</v>
      </c>
      <c r="AB7644">
        <v>26</v>
      </c>
      <c r="AC7644">
        <v>2.4205000000000001</v>
      </c>
      <c r="AD7644">
        <v>-1.110862231512</v>
      </c>
      <c r="AE7644">
        <v>14.377329999999899</v>
      </c>
      <c r="AF7644">
        <v>2.65882687810889</v>
      </c>
      <c r="AG7644">
        <v>-1.110862231512</v>
      </c>
      <c r="AH7644">
        <v>14.249574533760899</v>
      </c>
      <c r="AI7644">
        <v>94.382292650578904</v>
      </c>
      <c r="AJ7644">
        <v>79.430726205309796</v>
      </c>
      <c r="AK7644">
        <v>14.538010512389899</v>
      </c>
      <c r="AL7644">
        <v>67.976744468450903</v>
      </c>
      <c r="AM7644">
        <v>84.847092600755104</v>
      </c>
      <c r="AN7644">
        <v>1.00000001835022</v>
      </c>
    </row>
    <row r="7645" spans="1:40" x14ac:dyDescent="0.25">
      <c r="A7645" t="str">
        <f>"20190304165033703"</f>
        <v>20190304165033703</v>
      </c>
      <c r="B7645" t="str">
        <f>"1551689433692980"</f>
        <v>1551689433692980</v>
      </c>
      <c r="C7645" t="s">
        <v>40</v>
      </c>
      <c r="D7645">
        <v>4.6789339999999999</v>
      </c>
      <c r="E7645">
        <v>0.55962840000000003</v>
      </c>
      <c r="F7645" t="s">
        <v>42</v>
      </c>
      <c r="G7645">
        <v>-185.70599999999999</v>
      </c>
      <c r="H7645" s="1">
        <v>-2.7989960000000001E-6</v>
      </c>
      <c r="I7645">
        <v>104.3818</v>
      </c>
      <c r="J7645">
        <v>-187.91849999999999</v>
      </c>
      <c r="K7645">
        <v>1.1108450000000001</v>
      </c>
      <c r="L7645">
        <v>91.184299999999993</v>
      </c>
      <c r="M7645">
        <v>-1.7494849999999999E-2</v>
      </c>
      <c r="N7645">
        <v>-1.392615E-2</v>
      </c>
      <c r="O7645">
        <v>0.99975000000000003</v>
      </c>
      <c r="P7645">
        <v>6.9229250000000006E-2</v>
      </c>
      <c r="Q7645">
        <v>0.35879919999999998</v>
      </c>
      <c r="R7645">
        <v>0.93084389999999995</v>
      </c>
      <c r="S7645">
        <v>0.54048160000000001</v>
      </c>
      <c r="T7645">
        <v>-0.27190340000000002</v>
      </c>
      <c r="U7645">
        <v>3.2938230000000002</v>
      </c>
      <c r="V7645">
        <v>8.5633840000000003E-2</v>
      </c>
      <c r="W7645">
        <v>0.37167929999999999</v>
      </c>
      <c r="X7645">
        <v>0.92440330000000004</v>
      </c>
      <c r="Y7645">
        <v>0.17868100000000001</v>
      </c>
      <c r="Z7645">
        <v>-6.7143359999999999E-2</v>
      </c>
      <c r="AA7645">
        <v>0.98161339999999997</v>
      </c>
      <c r="AB7645">
        <v>26</v>
      </c>
      <c r="AC7645">
        <v>2.2124999999999999</v>
      </c>
      <c r="AD7645">
        <v>-1.1108477989959999</v>
      </c>
      <c r="AE7645">
        <v>13.1975</v>
      </c>
      <c r="AF7645">
        <v>2.4263517622484501</v>
      </c>
      <c r="AG7645">
        <v>-1.1108477989959999</v>
      </c>
      <c r="AH7645">
        <v>13.066724610743799</v>
      </c>
      <c r="AI7645">
        <v>94.777942893552407</v>
      </c>
      <c r="AJ7645">
        <v>79.480596080966393</v>
      </c>
      <c r="AK7645">
        <v>13.3364334722488</v>
      </c>
      <c r="AL7645">
        <v>68.180779950864604</v>
      </c>
      <c r="AM7645">
        <v>84.707402744111107</v>
      </c>
      <c r="AN7645">
        <v>1.0000000588262601</v>
      </c>
    </row>
    <row r="7646" spans="1:40" x14ac:dyDescent="0.25">
      <c r="A7646" t="str">
        <f>"20190304165033724"</f>
        <v>20190304165033724</v>
      </c>
      <c r="B7646" t="str">
        <f>"1551689433713477"</f>
        <v>1551689433713477</v>
      </c>
      <c r="C7646" t="s">
        <v>40</v>
      </c>
      <c r="D7646">
        <v>4.5876169999999998</v>
      </c>
      <c r="E7646">
        <v>0.55860069999999995</v>
      </c>
      <c r="F7646" t="s">
        <v>42</v>
      </c>
      <c r="G7646">
        <v>-185.89359999999999</v>
      </c>
      <c r="H7646" s="1">
        <v>-2.418476E-6</v>
      </c>
      <c r="I7646">
        <v>103.5442</v>
      </c>
      <c r="J7646">
        <v>-187.92240000000001</v>
      </c>
      <c r="K7646">
        <v>1.110827</v>
      </c>
      <c r="L7646">
        <v>91.418549999999996</v>
      </c>
      <c r="M7646">
        <v>-1.7332899999999998E-2</v>
      </c>
      <c r="N7646">
        <v>-1.392375E-2</v>
      </c>
      <c r="O7646">
        <v>0.9997528</v>
      </c>
      <c r="P7646">
        <v>7.1027610000000005E-2</v>
      </c>
      <c r="Q7646">
        <v>0.3556841</v>
      </c>
      <c r="R7646">
        <v>0.93190340000000005</v>
      </c>
      <c r="S7646">
        <v>0.54013059999999902</v>
      </c>
      <c r="T7646">
        <v>-0.29631039999999997</v>
      </c>
      <c r="U7646">
        <v>3.2969059999999999</v>
      </c>
      <c r="V7646">
        <v>8.7298130000000002E-2</v>
      </c>
      <c r="W7646">
        <v>0.36857630000000002</v>
      </c>
      <c r="X7646">
        <v>0.92548940000000002</v>
      </c>
      <c r="Y7646">
        <v>0.17818239999999999</v>
      </c>
      <c r="Z7646">
        <v>-7.4298310000000006E-2</v>
      </c>
      <c r="AA7646">
        <v>0.98118850000000002</v>
      </c>
      <c r="AB7646">
        <v>26</v>
      </c>
      <c r="AC7646">
        <v>2.0288000000000102</v>
      </c>
      <c r="AD7646">
        <v>-1.1108294184759999</v>
      </c>
      <c r="AE7646">
        <v>12.12565</v>
      </c>
      <c r="AF7646">
        <v>2.2205599449800202</v>
      </c>
      <c r="AG7646">
        <v>-1.1108294184759999</v>
      </c>
      <c r="AH7646">
        <v>11.9907690473292</v>
      </c>
      <c r="AI7646">
        <v>95.204797517086504</v>
      </c>
      <c r="AJ7646">
        <v>79.508305120956607</v>
      </c>
      <c r="AK7646">
        <v>12.2451366187801</v>
      </c>
      <c r="AL7646">
        <v>68.372160147411705</v>
      </c>
      <c r="AM7646">
        <v>84.6114362961887</v>
      </c>
      <c r="AN7646">
        <v>1.0000000409677701</v>
      </c>
    </row>
    <row r="7647" spans="1:40" x14ac:dyDescent="0.25">
      <c r="A7647" t="str">
        <f>"20190304165033739"</f>
        <v>20190304165033739</v>
      </c>
      <c r="B7647" t="str">
        <f>"1551689433732997"</f>
        <v>1551689433732997</v>
      </c>
      <c r="C7647" t="s">
        <v>40</v>
      </c>
      <c r="D7647">
        <v>4.8821329999999996</v>
      </c>
      <c r="E7647">
        <v>0.55742499999999995</v>
      </c>
      <c r="F7647" t="s">
        <v>41</v>
      </c>
      <c r="G7647">
        <v>-187.78270000000001</v>
      </c>
      <c r="H7647">
        <v>1.029399</v>
      </c>
      <c r="I7647">
        <v>92.274829999999994</v>
      </c>
      <c r="J7647">
        <v>-187.92519999999999</v>
      </c>
      <c r="K7647">
        <v>1.1108209999999901</v>
      </c>
      <c r="L7647">
        <v>91.588499999999996</v>
      </c>
      <c r="M7647">
        <v>-1.7216039999999998E-2</v>
      </c>
      <c r="N7647">
        <v>-1.392199E-2</v>
      </c>
      <c r="O7647">
        <v>0.99975480000000005</v>
      </c>
      <c r="P7647">
        <v>7.1742280000000005E-2</v>
      </c>
      <c r="Q7647">
        <v>0.35469899999999999</v>
      </c>
      <c r="R7647">
        <v>0.93222400000000005</v>
      </c>
      <c r="S7647">
        <v>0.53741459999999996</v>
      </c>
      <c r="T7647">
        <v>-0.31365969999999999</v>
      </c>
      <c r="U7647">
        <v>3.297974</v>
      </c>
      <c r="V7647">
        <v>8.7908520000000004E-2</v>
      </c>
      <c r="W7647">
        <v>0.36759380000000003</v>
      </c>
      <c r="X7647">
        <v>0.92582229999999999</v>
      </c>
      <c r="Y7647">
        <v>0.1771605</v>
      </c>
      <c r="Z7647">
        <v>-7.9411339999999997E-2</v>
      </c>
      <c r="AA7647">
        <v>0.98097299999999998</v>
      </c>
      <c r="AB7647">
        <v>26</v>
      </c>
      <c r="AC7647">
        <v>0.142499999999984</v>
      </c>
      <c r="AD7647">
        <v>-8.14219999999998E-2</v>
      </c>
      <c r="AE7647">
        <v>0.68633000000001199</v>
      </c>
      <c r="AF7647">
        <v>0.15224180529529499</v>
      </c>
      <c r="AG7647">
        <v>-8.14219999999998E-2</v>
      </c>
      <c r="AH7647">
        <v>0.67467181998751602</v>
      </c>
      <c r="AI7647">
        <v>96.714177244435803</v>
      </c>
      <c r="AJ7647">
        <v>77.284003294409999</v>
      </c>
      <c r="AK7647">
        <v>0.69641164123586996</v>
      </c>
      <c r="AL7647">
        <v>68.432703435110696</v>
      </c>
      <c r="AM7647">
        <v>84.575922866454505</v>
      </c>
      <c r="AN7647">
        <v>1.00000002043216</v>
      </c>
    </row>
    <row r="7648" spans="1:40" x14ac:dyDescent="0.25">
      <c r="A7648" t="str">
        <f>"20190304165033758"</f>
        <v>20190304165033758</v>
      </c>
      <c r="B7648" t="str">
        <f>"1551689433753509"</f>
        <v>1551689433753509</v>
      </c>
      <c r="C7648" t="s">
        <v>40</v>
      </c>
      <c r="D7648">
        <v>4.5960760000000001</v>
      </c>
      <c r="E7648">
        <v>0.55685459999999998</v>
      </c>
      <c r="F7648" t="s">
        <v>41</v>
      </c>
      <c r="G7648">
        <v>-187.77879999999999</v>
      </c>
      <c r="H7648">
        <v>1.021622</v>
      </c>
      <c r="I7648">
        <v>92.499380000000002</v>
      </c>
      <c r="J7648">
        <v>-187.9288</v>
      </c>
      <c r="K7648">
        <v>1.1108129999999901</v>
      </c>
      <c r="L7648">
        <v>91.807370000000006</v>
      </c>
      <c r="M7648">
        <v>-1.7067700000000002E-2</v>
      </c>
      <c r="N7648">
        <v>-1.391968E-2</v>
      </c>
      <c r="O7648">
        <v>0.99975740000000002</v>
      </c>
      <c r="P7648">
        <v>7.3427690000000004E-2</v>
      </c>
      <c r="Q7648">
        <v>0.35251130000000003</v>
      </c>
      <c r="R7648">
        <v>0.93292240000000004</v>
      </c>
      <c r="S7648">
        <v>0.53019709999999998</v>
      </c>
      <c r="T7648">
        <v>-0.3232063</v>
      </c>
      <c r="U7648">
        <v>3.3002929999999999</v>
      </c>
      <c r="V7648">
        <v>8.9465290000000003E-2</v>
      </c>
      <c r="W7648">
        <v>0.36541319999999999</v>
      </c>
      <c r="X7648">
        <v>0.92653609999999997</v>
      </c>
      <c r="Y7648">
        <v>0.1747765</v>
      </c>
      <c r="Z7648">
        <v>-8.2202440000000002E-2</v>
      </c>
      <c r="AA7648">
        <v>0.98117069999999995</v>
      </c>
      <c r="AB7648">
        <v>26</v>
      </c>
      <c r="AC7648">
        <v>0.15000000000000499</v>
      </c>
      <c r="AD7648">
        <v>-8.9190999999999798E-2</v>
      </c>
      <c r="AE7648">
        <v>0.69201000000001001</v>
      </c>
      <c r="AF7648">
        <v>0.15926338214246499</v>
      </c>
      <c r="AG7648">
        <v>-8.9190999999999798E-2</v>
      </c>
      <c r="AH7648">
        <v>0.67858215693691304</v>
      </c>
      <c r="AI7648">
        <v>97.291954822539196</v>
      </c>
      <c r="AJ7648">
        <v>76.791727063734996</v>
      </c>
      <c r="AK7648">
        <v>0.70270449200614205</v>
      </c>
      <c r="AL7648">
        <v>68.566985936170695</v>
      </c>
      <c r="AM7648">
        <v>84.484682078479295</v>
      </c>
      <c r="AN7648">
        <v>0.999999994726117</v>
      </c>
    </row>
    <row r="7649" spans="1:40" x14ac:dyDescent="0.25">
      <c r="A7649" t="str">
        <f>"20190304165033782"</f>
        <v>20190304165033782</v>
      </c>
      <c r="B7649" t="str">
        <f>"1551689433773989"</f>
        <v>1551689433773989</v>
      </c>
      <c r="C7649" t="s">
        <v>40</v>
      </c>
      <c r="D7649">
        <v>4.673006</v>
      </c>
      <c r="E7649">
        <v>0.55630990000000002</v>
      </c>
      <c r="F7649" t="s">
        <v>41</v>
      </c>
      <c r="G7649">
        <v>-187.78120000000001</v>
      </c>
      <c r="H7649">
        <v>1.0176510000000001</v>
      </c>
      <c r="I7649">
        <v>92.725359999999995</v>
      </c>
      <c r="J7649">
        <v>-187.9332</v>
      </c>
      <c r="K7649">
        <v>1.1108119999999999</v>
      </c>
      <c r="L7649">
        <v>92.081019999999995</v>
      </c>
      <c r="M7649">
        <v>-1.6888710000000001E-2</v>
      </c>
      <c r="N7649">
        <v>-1.3916899999999901E-2</v>
      </c>
      <c r="O7649">
        <v>0.99976050000000005</v>
      </c>
      <c r="P7649">
        <v>7.4539010000000003E-2</v>
      </c>
      <c r="Q7649">
        <v>0.35073890000000002</v>
      </c>
      <c r="R7649">
        <v>0.9335021</v>
      </c>
      <c r="S7649">
        <v>0.53005979999999997</v>
      </c>
      <c r="T7649">
        <v>-0.33499469999999998</v>
      </c>
      <c r="U7649">
        <v>3.3005680000000002</v>
      </c>
      <c r="V7649">
        <v>9.0415430000000005E-2</v>
      </c>
      <c r="W7649">
        <v>0.3636469</v>
      </c>
      <c r="X7649">
        <v>0.92713860000000003</v>
      </c>
      <c r="Y7649">
        <v>0.17449719999999999</v>
      </c>
      <c r="Z7649">
        <v>-8.5674910000000007E-2</v>
      </c>
      <c r="AA7649">
        <v>0.98092330000000005</v>
      </c>
      <c r="AB7649">
        <v>26</v>
      </c>
      <c r="AC7649">
        <v>0.15199999999998601</v>
      </c>
      <c r="AD7649">
        <v>-9.3160999999999994E-2</v>
      </c>
      <c r="AE7649">
        <v>0.64433999999999902</v>
      </c>
      <c r="AF7649">
        <v>0.15969901325824601</v>
      </c>
      <c r="AG7649">
        <v>-9.3160999999999994E-2</v>
      </c>
      <c r="AH7649">
        <v>0.62922065049839604</v>
      </c>
      <c r="AI7649">
        <v>98.166630103339699</v>
      </c>
      <c r="AJ7649">
        <v>75.758783215083199</v>
      </c>
      <c r="AK7649">
        <v>0.65582114465018804</v>
      </c>
      <c r="AL7649">
        <v>68.675665697196294</v>
      </c>
      <c r="AM7649">
        <v>84.430074312990598</v>
      </c>
      <c r="AN7649">
        <v>1.0000000007358201</v>
      </c>
    </row>
    <row r="7650" spans="1:40" x14ac:dyDescent="0.25">
      <c r="A7650" t="str">
        <f>"20190304165033807"</f>
        <v>20190304165033807</v>
      </c>
      <c r="B7650" t="str">
        <f>"1551689433803270"</f>
        <v>1551689433803270</v>
      </c>
      <c r="C7650" t="s">
        <v>40</v>
      </c>
      <c r="D7650">
        <v>4.6184120000000002</v>
      </c>
      <c r="E7650">
        <v>0.55566389999999999</v>
      </c>
      <c r="F7650" t="s">
        <v>41</v>
      </c>
      <c r="G7650">
        <v>-187.79339999999999</v>
      </c>
      <c r="H7650">
        <v>1.0197400000000001</v>
      </c>
      <c r="I7650">
        <v>92.954710000000006</v>
      </c>
      <c r="J7650">
        <v>-187.93770000000001</v>
      </c>
      <c r="K7650">
        <v>1.110816</v>
      </c>
      <c r="L7650">
        <v>92.360439999999997</v>
      </c>
      <c r="M7650">
        <v>-1.671566E-2</v>
      </c>
      <c r="N7650">
        <v>-1.391413E-2</v>
      </c>
      <c r="O7650">
        <v>0.99976350000000003</v>
      </c>
      <c r="P7650">
        <v>7.5745679999999996E-2</v>
      </c>
      <c r="Q7650">
        <v>0.34926489999999999</v>
      </c>
      <c r="R7650">
        <v>0.9339575</v>
      </c>
      <c r="S7650">
        <v>0.5279083</v>
      </c>
      <c r="T7650">
        <v>-0.34408919999999998</v>
      </c>
      <c r="U7650">
        <v>3.3008419999999998</v>
      </c>
      <c r="V7650">
        <v>9.1461909999999993E-2</v>
      </c>
      <c r="W7650">
        <v>0.3621779</v>
      </c>
      <c r="X7650">
        <v>0.92761079999999996</v>
      </c>
      <c r="Y7650">
        <v>0.1736509</v>
      </c>
      <c r="Z7650">
        <v>-8.8360850000000005E-2</v>
      </c>
      <c r="AA7650">
        <v>0.98083520000000002</v>
      </c>
      <c r="AB7650">
        <v>26</v>
      </c>
      <c r="AC7650">
        <v>0.144300000000015</v>
      </c>
      <c r="AD7650">
        <v>-9.1076000000000101E-2</v>
      </c>
      <c r="AE7650">
        <v>0.59426999999999397</v>
      </c>
      <c r="AF7650">
        <v>0.150868165274994</v>
      </c>
      <c r="AG7650">
        <v>-9.1076000000000101E-2</v>
      </c>
      <c r="AH7650">
        <v>0.57893393338273602</v>
      </c>
      <c r="AI7650">
        <v>98.655825045218094</v>
      </c>
      <c r="AJ7650">
        <v>75.393774804050494</v>
      </c>
      <c r="AK7650">
        <v>0.60516158196918701</v>
      </c>
      <c r="AL7650">
        <v>68.765990281209298</v>
      </c>
      <c r="AM7650">
        <v>84.368869210644306</v>
      </c>
      <c r="AN7650">
        <v>0.99999995425294796</v>
      </c>
    </row>
    <row r="7651" spans="1:40" x14ac:dyDescent="0.25">
      <c r="A7651" t="str">
        <f>"20190304165033828"</f>
        <v>20190304165033828</v>
      </c>
      <c r="B7651" t="str">
        <f>"1551689433822789"</f>
        <v>1551689433822789</v>
      </c>
      <c r="C7651" t="s">
        <v>40</v>
      </c>
      <c r="D7651">
        <v>4.5953489999999997</v>
      </c>
      <c r="E7651">
        <v>0.5553302</v>
      </c>
      <c r="F7651" t="s">
        <v>41</v>
      </c>
      <c r="G7651">
        <v>-187.80619999999999</v>
      </c>
      <c r="H7651">
        <v>1.023596</v>
      </c>
      <c r="I7651">
        <v>93.184650000000005</v>
      </c>
      <c r="J7651">
        <v>-187.94159999999999</v>
      </c>
      <c r="K7651">
        <v>1.110822</v>
      </c>
      <c r="L7651">
        <v>92.602329999999995</v>
      </c>
      <c r="M7651">
        <v>-1.65784E-2</v>
      </c>
      <c r="N7651">
        <v>-1.3911710000000001E-2</v>
      </c>
      <c r="O7651">
        <v>0.99976580000000004</v>
      </c>
      <c r="P7651">
        <v>7.7190090000000003E-2</v>
      </c>
      <c r="Q7651">
        <v>0.34976669999999999</v>
      </c>
      <c r="R7651">
        <v>0.93365140000000002</v>
      </c>
      <c r="S7651">
        <v>0.52635189999999998</v>
      </c>
      <c r="T7651">
        <v>-0.34922839999999999</v>
      </c>
      <c r="U7651">
        <v>3.300049</v>
      </c>
      <c r="V7651">
        <v>9.2765639999999996E-2</v>
      </c>
      <c r="W7651">
        <v>0.36267480000000002</v>
      </c>
      <c r="X7651">
        <v>0.92728719999999998</v>
      </c>
      <c r="Y7651">
        <v>0.17307819999999999</v>
      </c>
      <c r="Z7651">
        <v>-8.9909630000000004E-2</v>
      </c>
      <c r="AA7651">
        <v>0.98079570000000005</v>
      </c>
      <c r="AB7651">
        <v>26</v>
      </c>
      <c r="AC7651">
        <v>0.13540000000000399</v>
      </c>
      <c r="AD7651">
        <v>-8.7225999999999998E-2</v>
      </c>
      <c r="AE7651">
        <v>0.58231999999999495</v>
      </c>
      <c r="AF7651">
        <v>0.142013311041741</v>
      </c>
      <c r="AG7651">
        <v>-8.7225999999999998E-2</v>
      </c>
      <c r="AH7651">
        <v>0.56790636856311405</v>
      </c>
      <c r="AI7651">
        <v>98.474950731592102</v>
      </c>
      <c r="AJ7651">
        <v>75.960269948971302</v>
      </c>
      <c r="AK7651">
        <v>0.591856231735024</v>
      </c>
      <c r="AL7651">
        <v>68.735444490667106</v>
      </c>
      <c r="AM7651">
        <v>84.287148222715402</v>
      </c>
      <c r="AN7651">
        <v>1.0000000129017399</v>
      </c>
    </row>
    <row r="7652" spans="1:40" x14ac:dyDescent="0.25">
      <c r="A7652" t="str">
        <f>"20190304165033848"</f>
        <v>20190304165033848</v>
      </c>
      <c r="B7652" t="str">
        <f>"1551689433843286"</f>
        <v>1551689433843286</v>
      </c>
      <c r="C7652" t="s">
        <v>40</v>
      </c>
      <c r="D7652">
        <v>4.5002779999999998</v>
      </c>
      <c r="E7652">
        <v>0.554953699999999</v>
      </c>
      <c r="F7652" t="s">
        <v>41</v>
      </c>
      <c r="G7652">
        <v>-187.8116</v>
      </c>
      <c r="H7652">
        <v>1.025442</v>
      </c>
      <c r="I7652">
        <v>93.413640000000001</v>
      </c>
      <c r="J7652">
        <v>-187.9452</v>
      </c>
      <c r="K7652">
        <v>1.110841</v>
      </c>
      <c r="L7652">
        <v>92.830290000000005</v>
      </c>
      <c r="M7652">
        <v>-1.6465480000000001E-2</v>
      </c>
      <c r="N7652">
        <v>-1.3909360000000001E-2</v>
      </c>
      <c r="O7652">
        <v>0.99976770000000004</v>
      </c>
      <c r="P7652">
        <v>7.8581559999999995E-2</v>
      </c>
      <c r="Q7652">
        <v>0.35084009999999999</v>
      </c>
      <c r="R7652">
        <v>0.93313250000000003</v>
      </c>
      <c r="S7652">
        <v>0.52871699999999999</v>
      </c>
      <c r="T7652">
        <v>-0.34725030000000001</v>
      </c>
      <c r="U7652">
        <v>3.2995909999999999</v>
      </c>
      <c r="V7652">
        <v>9.4032909999999997E-2</v>
      </c>
      <c r="W7652">
        <v>0.36374099999999998</v>
      </c>
      <c r="X7652">
        <v>0.92674179999999995</v>
      </c>
      <c r="Y7652">
        <v>0.173682</v>
      </c>
      <c r="Z7652">
        <v>-8.9332830000000002E-2</v>
      </c>
      <c r="AA7652">
        <v>0.98074170000000005</v>
      </c>
      <c r="AB7652">
        <v>26</v>
      </c>
      <c r="AC7652">
        <v>0.133600000000001</v>
      </c>
      <c r="AD7652">
        <v>-8.5399000000000003E-2</v>
      </c>
      <c r="AE7652">
        <v>0.58334999999999504</v>
      </c>
      <c r="AF7652">
        <v>0.14033038138460499</v>
      </c>
      <c r="AG7652">
        <v>-8.5399000000000003E-2</v>
      </c>
      <c r="AH7652">
        <v>0.56947459759253205</v>
      </c>
      <c r="AI7652">
        <v>98.284355237014793</v>
      </c>
      <c r="AJ7652">
        <v>76.156928846556795</v>
      </c>
      <c r="AK7652">
        <v>0.59269462832366304</v>
      </c>
      <c r="AL7652">
        <v>68.669878534771499</v>
      </c>
      <c r="AM7652">
        <v>84.2062472747605</v>
      </c>
      <c r="AN7652">
        <v>1.00000003355565</v>
      </c>
    </row>
    <row r="7653" spans="1:40" x14ac:dyDescent="0.25">
      <c r="A7653" t="str">
        <f>"20190304165033872"</f>
        <v>20190304165033872</v>
      </c>
      <c r="B7653" t="str">
        <f>"1551689433862806"</f>
        <v>1551689433862806</v>
      </c>
      <c r="C7653" t="s">
        <v>40</v>
      </c>
      <c r="D7653">
        <v>4.4755570000000002</v>
      </c>
      <c r="E7653">
        <v>0.55468850000000003</v>
      </c>
      <c r="F7653" t="s">
        <v>41</v>
      </c>
      <c r="G7653">
        <v>-187.8142</v>
      </c>
      <c r="H7653">
        <v>1.026694</v>
      </c>
      <c r="I7653">
        <v>93.642169999999993</v>
      </c>
      <c r="J7653">
        <v>-187.94970000000001</v>
      </c>
      <c r="K7653">
        <v>1.11087</v>
      </c>
      <c r="L7653">
        <v>93.111270000000005</v>
      </c>
      <c r="M7653">
        <v>-1.635261E-2</v>
      </c>
      <c r="N7653">
        <v>-1.39065E-2</v>
      </c>
      <c r="O7653">
        <v>0.99976960000000004</v>
      </c>
      <c r="P7653">
        <v>8.0123799999999995E-2</v>
      </c>
      <c r="Q7653">
        <v>0.35206900000000002</v>
      </c>
      <c r="R7653">
        <v>0.93253830000000004</v>
      </c>
      <c r="S7653">
        <v>0.53184509999999996</v>
      </c>
      <c r="T7653">
        <v>-0.34192919999999999</v>
      </c>
      <c r="U7653">
        <v>3.2987669999999998</v>
      </c>
      <c r="V7653">
        <v>9.5443249999999993E-2</v>
      </c>
      <c r="W7653">
        <v>0.36496260000000003</v>
      </c>
      <c r="X7653">
        <v>0.92611710000000003</v>
      </c>
      <c r="Y7653">
        <v>0.1745389</v>
      </c>
      <c r="Z7653">
        <v>-8.7778809999999999E-2</v>
      </c>
      <c r="AA7653">
        <v>0.98072990000000004</v>
      </c>
      <c r="AB7653">
        <v>26</v>
      </c>
      <c r="AC7653">
        <v>0.135500000000007</v>
      </c>
      <c r="AD7653">
        <v>-8.4176000000000001E-2</v>
      </c>
      <c r="AE7653">
        <v>0.53090000000000204</v>
      </c>
      <c r="AF7653">
        <v>0.140840243065078</v>
      </c>
      <c r="AG7653">
        <v>-8.4176000000000001E-2</v>
      </c>
      <c r="AH7653">
        <v>0.51642448672147001</v>
      </c>
      <c r="AI7653">
        <v>98.936832147915894</v>
      </c>
      <c r="AJ7653">
        <v>74.745170315233295</v>
      </c>
      <c r="AK7653">
        <v>0.54186328859608601</v>
      </c>
      <c r="AL7653">
        <v>68.594718895606604</v>
      </c>
      <c r="AM7653">
        <v>84.116016368960899</v>
      </c>
      <c r="AN7653">
        <v>0.99999999814086604</v>
      </c>
    </row>
    <row r="7654" spans="1:40" x14ac:dyDescent="0.25">
      <c r="A7654" t="str">
        <f>"20190304165033896"</f>
        <v>20190304165033896</v>
      </c>
      <c r="B7654" t="str">
        <f>"1551689433883301"</f>
        <v>1551689433883301</v>
      </c>
      <c r="C7654" t="s">
        <v>40</v>
      </c>
      <c r="D7654">
        <v>4.5912389999999998</v>
      </c>
      <c r="E7654">
        <v>0.55460609999999999</v>
      </c>
      <c r="F7654" t="s">
        <v>41</v>
      </c>
      <c r="G7654">
        <v>-187.82579999999999</v>
      </c>
      <c r="H7654">
        <v>1.0331539999999999</v>
      </c>
      <c r="I7654">
        <v>93.873220000000003</v>
      </c>
      <c r="J7654">
        <v>-187.9539</v>
      </c>
      <c r="K7654">
        <v>1.1108960000000001</v>
      </c>
      <c r="L7654">
        <v>93.374939999999995</v>
      </c>
      <c r="M7654">
        <v>-1.6278190000000001E-2</v>
      </c>
      <c r="N7654">
        <v>-1.3903779999999999E-2</v>
      </c>
      <c r="O7654">
        <v>0.99977079999999996</v>
      </c>
      <c r="P7654">
        <v>8.1726439999999997E-2</v>
      </c>
      <c r="Q7654">
        <v>0.353755599999999</v>
      </c>
      <c r="R7654">
        <v>0.93176049999999999</v>
      </c>
      <c r="S7654">
        <v>0.5363464</v>
      </c>
      <c r="T7654">
        <v>-0.33637479999999997</v>
      </c>
      <c r="U7654">
        <v>3.2979129999999999</v>
      </c>
      <c r="V7654">
        <v>9.6944440000000007E-2</v>
      </c>
      <c r="W7654">
        <v>0.36664059999999998</v>
      </c>
      <c r="X7654">
        <v>0.92529799999999995</v>
      </c>
      <c r="Y7654">
        <v>0.17583360000000001</v>
      </c>
      <c r="Z7654">
        <v>-8.6148279999999994E-2</v>
      </c>
      <c r="AA7654">
        <v>0.98064320000000005</v>
      </c>
      <c r="AB7654">
        <v>25</v>
      </c>
      <c r="AC7654">
        <v>0.12810000000001701</v>
      </c>
      <c r="AD7654">
        <v>-7.77419999999997E-2</v>
      </c>
      <c r="AE7654">
        <v>0.49827999999997902</v>
      </c>
      <c r="AF7654">
        <v>0.13315454002611199</v>
      </c>
      <c r="AG7654">
        <v>-7.77419999999997E-2</v>
      </c>
      <c r="AH7654">
        <v>0.48505313907139802</v>
      </c>
      <c r="AI7654">
        <v>98.785965434092006</v>
      </c>
      <c r="AJ7654">
        <v>74.649567153468297</v>
      </c>
      <c r="AK7654">
        <v>0.50897003626596904</v>
      </c>
      <c r="AL7654">
        <v>68.491416395150694</v>
      </c>
      <c r="AM7654">
        <v>84.018882365651606</v>
      </c>
      <c r="AN7654">
        <v>0.99999997140963603</v>
      </c>
    </row>
    <row r="7655" spans="1:40" x14ac:dyDescent="0.25">
      <c r="A7655" t="str">
        <f>"20190304165033915"</f>
        <v>20190304165033915</v>
      </c>
      <c r="B7655" t="str">
        <f>"1551689433902821"</f>
        <v>1551689433902821</v>
      </c>
      <c r="C7655" t="s">
        <v>40</v>
      </c>
      <c r="D7655">
        <v>4.4013770000000001</v>
      </c>
      <c r="E7655">
        <v>0.55442550000000002</v>
      </c>
      <c r="F7655" t="s">
        <v>41</v>
      </c>
      <c r="G7655">
        <v>-187.79820000000001</v>
      </c>
      <c r="H7655">
        <v>1.016216</v>
      </c>
      <c r="I7655">
        <v>94.321269999999998</v>
      </c>
      <c r="J7655">
        <v>-187.95750000000001</v>
      </c>
      <c r="K7655">
        <v>1.110919</v>
      </c>
      <c r="L7655">
        <v>93.599029999999999</v>
      </c>
      <c r="M7655">
        <v>-1.6240399999999999E-2</v>
      </c>
      <c r="N7655">
        <v>-1.3901490000000001E-2</v>
      </c>
      <c r="O7655">
        <v>0.99977150000000004</v>
      </c>
      <c r="P7655">
        <v>8.3186860000000001E-2</v>
      </c>
      <c r="Q7655">
        <v>0.35419810000000002</v>
      </c>
      <c r="R7655">
        <v>0.93146320000000005</v>
      </c>
      <c r="S7655">
        <v>0.54251099999999997</v>
      </c>
      <c r="T7655">
        <v>-0.32990839999999999</v>
      </c>
      <c r="U7655">
        <v>3.2973629999999998</v>
      </c>
      <c r="V7655">
        <v>9.8347489999999996E-2</v>
      </c>
      <c r="W7655">
        <v>0.36708069999999998</v>
      </c>
      <c r="X7655">
        <v>0.92497549999999995</v>
      </c>
      <c r="Y7655">
        <v>0.17763519999999999</v>
      </c>
      <c r="Z7655">
        <v>-8.422984E-2</v>
      </c>
      <c r="AA7655">
        <v>0.9804851</v>
      </c>
      <c r="AB7655">
        <v>25</v>
      </c>
      <c r="AC7655">
        <v>0.159300000000001</v>
      </c>
      <c r="AD7655">
        <v>-9.4702999999999898E-2</v>
      </c>
      <c r="AE7655">
        <v>0.72223999999999899</v>
      </c>
      <c r="AF7655">
        <v>0.168250965334165</v>
      </c>
      <c r="AG7655">
        <v>-9.4702999999999898E-2</v>
      </c>
      <c r="AH7655">
        <v>0.70794992803104395</v>
      </c>
      <c r="AI7655">
        <v>97.415126649395802</v>
      </c>
      <c r="AJ7655">
        <v>76.631135784706302</v>
      </c>
      <c r="AK7655">
        <v>0.73380525082888204</v>
      </c>
      <c r="AL7655">
        <v>68.464312876364303</v>
      </c>
      <c r="AM7655">
        <v>83.930860839328702</v>
      </c>
      <c r="AN7655">
        <v>1.0000000723510101</v>
      </c>
    </row>
    <row r="7656" spans="1:40" x14ac:dyDescent="0.25">
      <c r="A7656" t="str">
        <f>"20190304165033936"</f>
        <v>20190304165033936</v>
      </c>
      <c r="B7656" t="str">
        <f>"1551689433923317"</f>
        <v>1551689433923317</v>
      </c>
      <c r="C7656" t="s">
        <v>40</v>
      </c>
      <c r="D7656">
        <v>4.3083519999999904</v>
      </c>
      <c r="E7656">
        <v>0.55428279999999996</v>
      </c>
      <c r="F7656" t="s">
        <v>41</v>
      </c>
      <c r="G7656">
        <v>-187.80009999999999</v>
      </c>
      <c r="H7656">
        <v>1.016467</v>
      </c>
      <c r="I7656">
        <v>94.54871</v>
      </c>
      <c r="J7656">
        <v>-187.9614</v>
      </c>
      <c r="K7656">
        <v>1.1109340000000001</v>
      </c>
      <c r="L7656">
        <v>93.841489999999993</v>
      </c>
      <c r="M7656">
        <v>-1.6220370000000001E-2</v>
      </c>
      <c r="N7656">
        <v>-1.389905E-2</v>
      </c>
      <c r="O7656">
        <v>0.99977179999999999</v>
      </c>
      <c r="P7656">
        <v>8.3643729999999999E-2</v>
      </c>
      <c r="Q7656">
        <v>0.35385050000000001</v>
      </c>
      <c r="R7656">
        <v>0.9315544</v>
      </c>
      <c r="S7656">
        <v>0.545929</v>
      </c>
      <c r="T7656">
        <v>-0.32791039999999999</v>
      </c>
      <c r="U7656">
        <v>3.2966609999999998</v>
      </c>
      <c r="V7656">
        <v>9.8771319999999996E-2</v>
      </c>
      <c r="W7656">
        <v>0.36673600000000001</v>
      </c>
      <c r="X7656">
        <v>0.92506699999999997</v>
      </c>
      <c r="Y7656">
        <v>0.17864639999999901</v>
      </c>
      <c r="Z7656">
        <v>-8.3646399999999996E-2</v>
      </c>
      <c r="AA7656">
        <v>0.98035130000000004</v>
      </c>
      <c r="AB7656">
        <v>25</v>
      </c>
      <c r="AC7656">
        <v>0.16130000000001099</v>
      </c>
      <c r="AD7656">
        <v>-9.4466999999999995E-2</v>
      </c>
      <c r="AE7656">
        <v>0.70721999999999197</v>
      </c>
      <c r="AF7656">
        <v>0.16987024242118701</v>
      </c>
      <c r="AG7656">
        <v>-9.4466999999999995E-2</v>
      </c>
      <c r="AH7656">
        <v>0.69276106438014295</v>
      </c>
      <c r="AI7656">
        <v>97.544323030076299</v>
      </c>
      <c r="AJ7656">
        <v>76.222481566710798</v>
      </c>
      <c r="AK7656">
        <v>0.71951219980646697</v>
      </c>
      <c r="AL7656">
        <v>68.485542021613398</v>
      </c>
      <c r="AM7656">
        <v>83.905500592187494</v>
      </c>
      <c r="AN7656">
        <v>1.00000001091977</v>
      </c>
    </row>
    <row r="7657" spans="1:40" x14ac:dyDescent="0.25">
      <c r="A7657" t="str">
        <f>"20190304165033961"</f>
        <v>20190304165033961</v>
      </c>
      <c r="B7657" t="str">
        <f>"1551689433953574"</f>
        <v>1551689433953574</v>
      </c>
      <c r="C7657" t="s">
        <v>40</v>
      </c>
      <c r="D7657">
        <v>4.3163289999999996</v>
      </c>
      <c r="E7657">
        <v>0.55413489999999999</v>
      </c>
      <c r="F7657" t="s">
        <v>41</v>
      </c>
      <c r="G7657">
        <v>-187.80629999999999</v>
      </c>
      <c r="H7657">
        <v>1.017914</v>
      </c>
      <c r="I7657">
        <v>94.775549999999996</v>
      </c>
      <c r="J7657">
        <v>-187.9658</v>
      </c>
      <c r="K7657">
        <v>1.110946</v>
      </c>
      <c r="L7657">
        <v>94.110810000000001</v>
      </c>
      <c r="M7657">
        <v>-1.6217970000000002E-2</v>
      </c>
      <c r="N7657">
        <v>-1.3896260000000001E-2</v>
      </c>
      <c r="O7657">
        <v>0.99977190000000005</v>
      </c>
      <c r="P7657">
        <v>8.4218390000000004E-2</v>
      </c>
      <c r="Q7657">
        <v>0.35350910000000002</v>
      </c>
      <c r="R7657">
        <v>0.93163220000000002</v>
      </c>
      <c r="S7657">
        <v>0.5473633</v>
      </c>
      <c r="T7657">
        <v>-0.32823000000000002</v>
      </c>
      <c r="U7657">
        <v>3.2959589999999999</v>
      </c>
      <c r="V7657">
        <v>9.9332829999999997E-2</v>
      </c>
      <c r="W7657">
        <v>0.36639660000000002</v>
      </c>
      <c r="X7657">
        <v>0.92514130000000006</v>
      </c>
      <c r="Y7657">
        <v>0.1790909</v>
      </c>
      <c r="Z7657">
        <v>-8.375631E-2</v>
      </c>
      <c r="AA7657">
        <v>0.98026080000000004</v>
      </c>
      <c r="AB7657">
        <v>25</v>
      </c>
      <c r="AC7657">
        <v>0.159500000000008</v>
      </c>
      <c r="AD7657">
        <v>-9.3032000000000004E-2</v>
      </c>
      <c r="AE7657">
        <v>0.664739999999994</v>
      </c>
      <c r="AF7657">
        <v>0.167164830452181</v>
      </c>
      <c r="AG7657">
        <v>-9.3032000000000004E-2</v>
      </c>
      <c r="AH7657">
        <v>0.650026772675521</v>
      </c>
      <c r="AI7657">
        <v>97.891495655250694</v>
      </c>
      <c r="AJ7657">
        <v>75.577979375082407</v>
      </c>
      <c r="AK7657">
        <v>0.67759415490325703</v>
      </c>
      <c r="AL7657">
        <v>68.506441769350005</v>
      </c>
      <c r="AM7657">
        <v>83.8716051018841</v>
      </c>
      <c r="AN7657">
        <v>0.99999995228652805</v>
      </c>
    </row>
    <row r="7658" spans="1:40" x14ac:dyDescent="0.25">
      <c r="A7658" t="str">
        <f>"20190304165033982"</f>
        <v>20190304165033982</v>
      </c>
      <c r="B7658" t="str">
        <f>"1551689433973093"</f>
        <v>1551689433973093</v>
      </c>
      <c r="C7658" t="s">
        <v>40</v>
      </c>
      <c r="D7658">
        <v>4.2445979999999999</v>
      </c>
      <c r="E7658">
        <v>0.55401639999999996</v>
      </c>
      <c r="F7658" t="s">
        <v>41</v>
      </c>
      <c r="G7658">
        <v>-187.81649999999999</v>
      </c>
      <c r="H7658">
        <v>1.022003</v>
      </c>
      <c r="I7658">
        <v>95.003590000000003</v>
      </c>
      <c r="J7658">
        <v>-187.9699</v>
      </c>
      <c r="K7658">
        <v>1.1109439999999999</v>
      </c>
      <c r="L7658">
        <v>94.365260000000006</v>
      </c>
      <c r="M7658">
        <v>-1.6227129999999999E-2</v>
      </c>
      <c r="N7658">
        <v>-1.3893600000000001E-2</v>
      </c>
      <c r="O7658">
        <v>0.99977179999999999</v>
      </c>
      <c r="P7658">
        <v>8.5256579999999998E-2</v>
      </c>
      <c r="Q7658">
        <v>0.35057929999999998</v>
      </c>
      <c r="R7658">
        <v>0.93264440000000004</v>
      </c>
      <c r="S7658">
        <v>0.550216699999999</v>
      </c>
      <c r="T7658">
        <v>-0.32828550000000001</v>
      </c>
      <c r="U7658">
        <v>3.2949830000000002</v>
      </c>
      <c r="V7658">
        <v>0.10038900000000001</v>
      </c>
      <c r="W7658">
        <v>0.36348029999999998</v>
      </c>
      <c r="X7658">
        <v>0.92617709999999998</v>
      </c>
      <c r="Y7658">
        <v>0.17997160000000001</v>
      </c>
      <c r="Z7658">
        <v>-8.3788719999999997E-2</v>
      </c>
      <c r="AA7658">
        <v>0.98009679999999999</v>
      </c>
      <c r="AB7658">
        <v>25</v>
      </c>
      <c r="AC7658">
        <v>0.15340000000000401</v>
      </c>
      <c r="AD7658">
        <v>-8.8941000000000103E-2</v>
      </c>
      <c r="AE7658">
        <v>0.63833000000000995</v>
      </c>
      <c r="AF7658">
        <v>0.160787964396545</v>
      </c>
      <c r="AG7658">
        <v>-8.8941000000000103E-2</v>
      </c>
      <c r="AH7658">
        <v>0.624298104960195</v>
      </c>
      <c r="AI7658">
        <v>97.855130994065902</v>
      </c>
      <c r="AJ7658">
        <v>75.557349342916396</v>
      </c>
      <c r="AK7658">
        <v>0.65077753098326596</v>
      </c>
      <c r="AL7658">
        <v>68.685911229515099</v>
      </c>
      <c r="AM7658">
        <v>83.813820147193496</v>
      </c>
      <c r="AN7658">
        <v>0.99999995018674803</v>
      </c>
    </row>
    <row r="7659" spans="1:40" x14ac:dyDescent="0.25">
      <c r="A7659" t="str">
        <f>"20190304165034016"</f>
        <v>20190304165034016</v>
      </c>
      <c r="B7659" t="str">
        <f>"1551689434003349"</f>
        <v>1551689434003349</v>
      </c>
      <c r="C7659" t="s">
        <v>40</v>
      </c>
      <c r="D7659">
        <v>4.4894179999999997</v>
      </c>
      <c r="E7659">
        <v>0.55373039999999996</v>
      </c>
      <c r="F7659" t="s">
        <v>41</v>
      </c>
      <c r="G7659">
        <v>-187.8246</v>
      </c>
      <c r="H7659">
        <v>1.0223120000000001</v>
      </c>
      <c r="I7659">
        <v>95.228759999999994</v>
      </c>
      <c r="J7659">
        <v>-187.9759</v>
      </c>
      <c r="K7659">
        <v>1.1109469999999999</v>
      </c>
      <c r="L7659">
        <v>94.729680000000002</v>
      </c>
      <c r="M7659">
        <v>-1.6248490000000001E-2</v>
      </c>
      <c r="N7659">
        <v>-1.3889739999999999E-2</v>
      </c>
      <c r="O7659">
        <v>0.99977150000000004</v>
      </c>
      <c r="P7659">
        <v>8.4929060000000001E-2</v>
      </c>
      <c r="Q7659">
        <v>0.35150890000000001</v>
      </c>
      <c r="R7659">
        <v>0.93232429999999999</v>
      </c>
      <c r="S7659">
        <v>0.55398559999999997</v>
      </c>
      <c r="T7659">
        <v>-0.33805069999999998</v>
      </c>
      <c r="U7659">
        <v>3.293091</v>
      </c>
      <c r="V7659">
        <v>0.1000726</v>
      </c>
      <c r="W7659">
        <v>0.36440280000000003</v>
      </c>
      <c r="X7659">
        <v>0.92584880000000003</v>
      </c>
      <c r="Y7659">
        <v>0.18112890000000001</v>
      </c>
      <c r="Z7659">
        <v>-8.6707549999999994E-2</v>
      </c>
      <c r="AA7659">
        <v>0.97962959999999999</v>
      </c>
      <c r="AB7659">
        <v>25</v>
      </c>
      <c r="AC7659">
        <v>0.151299999999992</v>
      </c>
      <c r="AD7659">
        <v>-8.8634999999999797E-2</v>
      </c>
      <c r="AE7659">
        <v>0.49907999999999197</v>
      </c>
      <c r="AF7659">
        <v>0.154915239582713</v>
      </c>
      <c r="AG7659">
        <v>-8.8634999999999797E-2</v>
      </c>
      <c r="AH7659">
        <v>0.48261472138380701</v>
      </c>
      <c r="AI7659">
        <v>99.918897703310407</v>
      </c>
      <c r="AJ7659">
        <v>72.2038095686368</v>
      </c>
      <c r="AK7659">
        <v>0.51455987404415704</v>
      </c>
      <c r="AL7659">
        <v>68.629164552670403</v>
      </c>
      <c r="AM7659">
        <v>83.830997050972698</v>
      </c>
      <c r="AN7659">
        <v>0.99999996319001905</v>
      </c>
    </row>
    <row r="7660" spans="1:40" x14ac:dyDescent="0.25">
      <c r="A7660" t="str">
        <f>"20190304165034040"</f>
        <v>20190304165034040</v>
      </c>
      <c r="B7660" t="str">
        <f>"1551689434033605"</f>
        <v>1551689434033605</v>
      </c>
      <c r="C7660" t="s">
        <v>40</v>
      </c>
      <c r="D7660">
        <v>4.2764340000000001</v>
      </c>
      <c r="E7660">
        <v>0.4963687</v>
      </c>
      <c r="F7660" t="s">
        <v>41</v>
      </c>
      <c r="G7660">
        <v>-187.81610000000001</v>
      </c>
      <c r="H7660">
        <v>1.015301</v>
      </c>
      <c r="I7660">
        <v>95.677940000000007</v>
      </c>
      <c r="J7660">
        <v>-187.9804</v>
      </c>
      <c r="K7660">
        <v>1.1109530000000001</v>
      </c>
      <c r="L7660">
        <v>95.007810000000006</v>
      </c>
      <c r="M7660">
        <v>-1.626126E-2</v>
      </c>
      <c r="N7660">
        <v>-1.3886809999999999E-2</v>
      </c>
      <c r="O7660">
        <v>0.99977139999999998</v>
      </c>
      <c r="P7660">
        <v>8.4859240000000002E-2</v>
      </c>
      <c r="Q7660">
        <v>0.35140909999999997</v>
      </c>
      <c r="R7660">
        <v>0.93236819999999998</v>
      </c>
      <c r="S7660">
        <v>0.55462650000000002</v>
      </c>
      <c r="T7660">
        <v>-0.33211950000000001</v>
      </c>
      <c r="U7660">
        <v>3.2924500000000001</v>
      </c>
      <c r="V7660">
        <v>0.1000163</v>
      </c>
      <c r="W7660">
        <v>0.36430059999999997</v>
      </c>
      <c r="X7660">
        <v>0.92589520000000003</v>
      </c>
      <c r="Y7660">
        <v>0.18138499999999999</v>
      </c>
      <c r="Z7660">
        <v>-8.4976360000000001E-2</v>
      </c>
      <c r="AA7660">
        <v>0.97973390000000005</v>
      </c>
      <c r="AB7660">
        <v>25</v>
      </c>
      <c r="AC7660">
        <v>0.164299999999997</v>
      </c>
      <c r="AD7660">
        <v>-9.5652000000000001E-2</v>
      </c>
      <c r="AE7660">
        <v>0.67013000000001399</v>
      </c>
      <c r="AF7660">
        <v>0.171873339851839</v>
      </c>
      <c r="AG7660">
        <v>-9.5652000000000001E-2</v>
      </c>
      <c r="AH7660">
        <v>0.65478542937488604</v>
      </c>
      <c r="AI7660">
        <v>98.042364058940905</v>
      </c>
      <c r="AJ7660">
        <v>75.292337522815501</v>
      </c>
      <c r="AK7660">
        <v>0.68369123775098894</v>
      </c>
      <c r="AL7660">
        <v>68.635454443609106</v>
      </c>
      <c r="AM7660">
        <v>83.834747540977901</v>
      </c>
      <c r="AN7660">
        <v>1.00000005440454</v>
      </c>
    </row>
    <row r="7661" spans="1:40" x14ac:dyDescent="0.25">
      <c r="A7661" t="str">
        <f>"20190304165034060"</f>
        <v>20190304165034060</v>
      </c>
      <c r="B7661" t="str">
        <f>"1551689434053126"</f>
        <v>1551689434053126</v>
      </c>
      <c r="C7661" t="s">
        <v>40</v>
      </c>
      <c r="D7661">
        <v>4.2352449999999999</v>
      </c>
      <c r="E7661">
        <v>0.49206220000000001</v>
      </c>
      <c r="F7661" t="s">
        <v>41</v>
      </c>
      <c r="G7661">
        <v>-187.9512</v>
      </c>
      <c r="H7661">
        <v>1.046497</v>
      </c>
      <c r="I7661">
        <v>95.914370000000005</v>
      </c>
      <c r="J7661">
        <v>-187.98429999999999</v>
      </c>
      <c r="K7661">
        <v>1.110951</v>
      </c>
      <c r="L7661">
        <v>95.243650000000002</v>
      </c>
      <c r="M7661">
        <v>-1.6264919999999999E-2</v>
      </c>
      <c r="N7661">
        <v>-1.388434E-2</v>
      </c>
      <c r="O7661">
        <v>0.99977130000000003</v>
      </c>
      <c r="P7661">
        <v>8.452366E-2</v>
      </c>
      <c r="Q7661">
        <v>0.35030519999999998</v>
      </c>
      <c r="R7661">
        <v>0.93281409999999998</v>
      </c>
      <c r="S7661">
        <v>0.10565190000000001</v>
      </c>
      <c r="T7661">
        <v>-0.2344117</v>
      </c>
      <c r="U7661">
        <v>3.2963559999999998</v>
      </c>
      <c r="V7661">
        <v>9.9694130000000006E-2</v>
      </c>
      <c r="W7661">
        <v>0.36320000000000002</v>
      </c>
      <c r="X7661">
        <v>0.92636220000000002</v>
      </c>
      <c r="Y7661">
        <v>4.8208010000000003E-2</v>
      </c>
      <c r="Z7661">
        <v>-5.7000019999999998E-2</v>
      </c>
      <c r="AA7661">
        <v>0.99720960000000003</v>
      </c>
      <c r="AB7661">
        <v>25</v>
      </c>
      <c r="AC7661">
        <v>3.3099999999990297E-2</v>
      </c>
      <c r="AD7661">
        <v>-6.4453999999999997E-2</v>
      </c>
      <c r="AE7661">
        <v>0.67071999999998799</v>
      </c>
      <c r="AF7661">
        <v>4.3604191348720102E-2</v>
      </c>
      <c r="AG7661">
        <v>-6.4453999999999997E-2</v>
      </c>
      <c r="AH7661">
        <v>0.66397619165474597</v>
      </c>
      <c r="AI7661">
        <v>95.532644054009296</v>
      </c>
      <c r="AJ7661">
        <v>86.2427058579038</v>
      </c>
      <c r="AK7661">
        <v>0.66852077507248497</v>
      </c>
      <c r="AL7661">
        <v>68.703151413521795</v>
      </c>
      <c r="AM7661">
        <v>83.857529105880602</v>
      </c>
      <c r="AN7661">
        <v>1.0000000425726401</v>
      </c>
    </row>
    <row r="7662" spans="1:40" x14ac:dyDescent="0.25">
      <c r="A7662" t="str">
        <f>"20190304165034084"</f>
        <v>20190304165034084</v>
      </c>
      <c r="B7662" t="str">
        <f>"1551689434072649"</f>
        <v>1551689434072649</v>
      </c>
      <c r="C7662" t="s">
        <v>40</v>
      </c>
      <c r="D7662">
        <v>4.235754</v>
      </c>
      <c r="E7662">
        <v>0.49004890000000001</v>
      </c>
      <c r="F7662" t="s">
        <v>41</v>
      </c>
      <c r="G7662">
        <v>-187.96430000000001</v>
      </c>
      <c r="H7662">
        <v>1.0491870000000001</v>
      </c>
      <c r="I7662">
        <v>96.141840000000002</v>
      </c>
      <c r="J7662">
        <v>-187.98840000000001</v>
      </c>
      <c r="K7662">
        <v>1.1109450000000001</v>
      </c>
      <c r="L7662">
        <v>95.501009999999994</v>
      </c>
      <c r="M7662">
        <v>-1.6250319999999999E-2</v>
      </c>
      <c r="N7662">
        <v>-1.3881630000000001E-2</v>
      </c>
      <c r="O7662">
        <v>0.99977159999999998</v>
      </c>
      <c r="P7662">
        <v>8.3413940000000006E-2</v>
      </c>
      <c r="Q7662">
        <v>0.35054550000000001</v>
      </c>
      <c r="R7662">
        <v>0.93282370000000003</v>
      </c>
      <c r="S7662">
        <v>7.318115E-2</v>
      </c>
      <c r="T7662">
        <v>-0.226548</v>
      </c>
      <c r="U7662">
        <v>3.2945250000000001</v>
      </c>
      <c r="V7662">
        <v>9.8579349999999996E-2</v>
      </c>
      <c r="W7662">
        <v>0.36343589999999998</v>
      </c>
      <c r="X7662">
        <v>0.92638889999999996</v>
      </c>
      <c r="Y7662">
        <v>3.8397140000000003E-2</v>
      </c>
      <c r="Z7662">
        <v>-5.4697639999999999E-2</v>
      </c>
      <c r="AA7662">
        <v>0.9977644</v>
      </c>
      <c r="AB7662">
        <v>25</v>
      </c>
      <c r="AC7662">
        <v>2.4100000000004201E-2</v>
      </c>
      <c r="AD7662">
        <v>-6.1757999999999903E-2</v>
      </c>
      <c r="AE7662">
        <v>0.640830000000008</v>
      </c>
      <c r="AF7662">
        <v>3.4194379837346203E-2</v>
      </c>
      <c r="AG7662">
        <v>-6.1757999999999903E-2</v>
      </c>
      <c r="AH7662">
        <v>0.63446935648431602</v>
      </c>
      <c r="AI7662">
        <v>95.551538124166896</v>
      </c>
      <c r="AJ7662">
        <v>86.915059762172405</v>
      </c>
      <c r="AK7662">
        <v>0.63838442218939095</v>
      </c>
      <c r="AL7662">
        <v>68.688642306955003</v>
      </c>
      <c r="AM7662">
        <v>83.925871621334807</v>
      </c>
      <c r="AN7662">
        <v>0.99999996784921996</v>
      </c>
    </row>
    <row r="7663" spans="1:40" x14ac:dyDescent="0.25">
      <c r="A7663" t="str">
        <f>"20190304165034104"</f>
        <v>20190304165034104</v>
      </c>
      <c r="B7663" t="str">
        <f>"1551689434093141"</f>
        <v>1551689434093141</v>
      </c>
      <c r="C7663" t="s">
        <v>40</v>
      </c>
      <c r="D7663">
        <v>4.2256340000000003</v>
      </c>
      <c r="E7663">
        <v>0.48906579999999999</v>
      </c>
      <c r="F7663" t="s">
        <v>42</v>
      </c>
      <c r="G7663">
        <v>-187.70339999999999</v>
      </c>
      <c r="H7663" s="1">
        <v>-1.3575389999999999E-6</v>
      </c>
      <c r="I7663">
        <v>111.8416</v>
      </c>
      <c r="J7663">
        <v>-187.9922</v>
      </c>
      <c r="K7663">
        <v>1.1109370000000001</v>
      </c>
      <c r="L7663">
        <v>95.730680000000007</v>
      </c>
      <c r="M7663">
        <v>-1.6212600000000001E-2</v>
      </c>
      <c r="N7663">
        <v>-1.3879239999999999E-2</v>
      </c>
      <c r="O7663">
        <v>0.99977229999999995</v>
      </c>
      <c r="P7663">
        <v>8.203945E-2</v>
      </c>
      <c r="Q7663">
        <v>0.35101979999999999</v>
      </c>
      <c r="R7663">
        <v>0.93276720000000002</v>
      </c>
      <c r="S7663">
        <v>5.7479860000000001E-2</v>
      </c>
      <c r="T7663">
        <v>-0.2240219</v>
      </c>
      <c r="U7663">
        <v>3.2950740000000001</v>
      </c>
      <c r="V7663">
        <v>9.7182779999999996E-2</v>
      </c>
      <c r="W7663">
        <v>0.36390359999999999</v>
      </c>
      <c r="X7663">
        <v>0.92635290000000003</v>
      </c>
      <c r="Y7663">
        <v>3.3606419999999998E-2</v>
      </c>
      <c r="Z7663">
        <v>-5.3936900000000003E-2</v>
      </c>
      <c r="AA7663">
        <v>0.9979787</v>
      </c>
      <c r="AB7663">
        <v>25</v>
      </c>
      <c r="AC7663">
        <v>0.28880000000000899</v>
      </c>
      <c r="AD7663">
        <v>-1.1109383575389999</v>
      </c>
      <c r="AE7663">
        <v>16.110919999999901</v>
      </c>
      <c r="AF7663">
        <v>0.54738516777316604</v>
      </c>
      <c r="AG7663">
        <v>-1.1109383575389999</v>
      </c>
      <c r="AH7663">
        <v>16.0279330774577</v>
      </c>
      <c r="AI7663">
        <v>93.962677380353199</v>
      </c>
      <c r="AJ7663">
        <v>88.043997635918004</v>
      </c>
      <c r="AK7663">
        <v>16.075710040045301</v>
      </c>
      <c r="AL7663">
        <v>68.659876258802797</v>
      </c>
      <c r="AM7663">
        <v>84.011062714330805</v>
      </c>
      <c r="AN7663">
        <v>1.0000000090799399</v>
      </c>
    </row>
    <row r="7664" spans="1:40" x14ac:dyDescent="0.25">
      <c r="A7664" t="str">
        <f>"20190304165034126"</f>
        <v>20190304165034126</v>
      </c>
      <c r="B7664" t="str">
        <f>"1551689434112665"</f>
        <v>1551689434112665</v>
      </c>
      <c r="C7664" t="s">
        <v>40</v>
      </c>
      <c r="D7664">
        <v>4.2358789999999997</v>
      </c>
      <c r="E7664">
        <v>0.48841509999999999</v>
      </c>
      <c r="F7664" t="s">
        <v>42</v>
      </c>
      <c r="G7664">
        <v>-187.7475</v>
      </c>
      <c r="H7664" s="1">
        <v>-1.5407459999999999E-6</v>
      </c>
      <c r="I7664">
        <v>112.2929</v>
      </c>
      <c r="J7664">
        <v>-187.99610000000001</v>
      </c>
      <c r="K7664">
        <v>1.11091299999999</v>
      </c>
      <c r="L7664">
        <v>95.977509999999995</v>
      </c>
      <c r="M7664">
        <v>-1.613622E-2</v>
      </c>
      <c r="N7664">
        <v>-1.387671E-2</v>
      </c>
      <c r="O7664">
        <v>0.99977349999999998</v>
      </c>
      <c r="P7664">
        <v>8.0368369999999995E-2</v>
      </c>
      <c r="Q7664">
        <v>0.3513927</v>
      </c>
      <c r="R7664">
        <v>0.9327723</v>
      </c>
      <c r="S7664">
        <v>4.8675540000000003E-2</v>
      </c>
      <c r="T7664">
        <v>-0.22102669999999999</v>
      </c>
      <c r="U7664">
        <v>3.2951350000000001</v>
      </c>
      <c r="V7664">
        <v>9.5463880000000001E-2</v>
      </c>
      <c r="W7664">
        <v>0.36426910000000001</v>
      </c>
      <c r="X7664">
        <v>0.92638799999999999</v>
      </c>
      <c r="Y7664">
        <v>3.0866279999999999E-2</v>
      </c>
      <c r="Z7664">
        <v>-5.3039929999999999E-2</v>
      </c>
      <c r="AA7664">
        <v>0.99811519999999998</v>
      </c>
      <c r="AB7664">
        <v>25</v>
      </c>
      <c r="AC7664">
        <v>0.24860000000001001</v>
      </c>
      <c r="AD7664">
        <v>-1.1109145407459899</v>
      </c>
      <c r="AE7664">
        <v>16.315390000000001</v>
      </c>
      <c r="AF7664">
        <v>0.50950008284177295</v>
      </c>
      <c r="AG7664">
        <v>-1.1109145407459899</v>
      </c>
      <c r="AH7664">
        <v>16.2340061603247</v>
      </c>
      <c r="AI7664">
        <v>93.912802404980198</v>
      </c>
      <c r="AJ7664">
        <v>88.202376850929099</v>
      </c>
      <c r="AK7664">
        <v>16.279947096496301</v>
      </c>
      <c r="AL7664">
        <v>68.637391833732906</v>
      </c>
      <c r="AM7664">
        <v>84.116462400500495</v>
      </c>
      <c r="AN7664">
        <v>1.0000000280717301</v>
      </c>
    </row>
    <row r="7665" spans="1:40" x14ac:dyDescent="0.25">
      <c r="A7665" t="str">
        <f>"20190304165034149"</f>
        <v>20190304165034149</v>
      </c>
      <c r="B7665" t="str">
        <f>"1551689434142916"</f>
        <v>1551689434142916</v>
      </c>
      <c r="C7665" t="s">
        <v>40</v>
      </c>
      <c r="D7665">
        <v>4.2457750000000001</v>
      </c>
      <c r="E7665">
        <v>0.48790559999999999</v>
      </c>
      <c r="F7665" t="s">
        <v>42</v>
      </c>
      <c r="G7665">
        <v>-187.791</v>
      </c>
      <c r="H7665" s="1">
        <v>-1.651969E-6</v>
      </c>
      <c r="I7665">
        <v>112.5702</v>
      </c>
      <c r="J7665">
        <v>-188.00020000000001</v>
      </c>
      <c r="K7665">
        <v>1.1108720000000001</v>
      </c>
      <c r="L7665">
        <v>96.234830000000002</v>
      </c>
      <c r="M7665">
        <v>-1.600673E-2</v>
      </c>
      <c r="N7665">
        <v>-1.387409E-2</v>
      </c>
      <c r="O7665">
        <v>0.99977559999999999</v>
      </c>
      <c r="P7665">
        <v>7.9033619999999999E-2</v>
      </c>
      <c r="Q7665">
        <v>0.35085300000000003</v>
      </c>
      <c r="R7665">
        <v>0.93308939999999996</v>
      </c>
      <c r="S7665">
        <v>4.0740970000000001E-2</v>
      </c>
      <c r="T7665">
        <v>-0.22066350000000001</v>
      </c>
      <c r="U7665">
        <v>3.2958370000000001</v>
      </c>
      <c r="V7665">
        <v>9.4046149999999995E-2</v>
      </c>
      <c r="W7665">
        <v>0.3637242</v>
      </c>
      <c r="X7665">
        <v>0.92674699999999999</v>
      </c>
      <c r="Y7665">
        <v>2.8332639999999999E-2</v>
      </c>
      <c r="Z7665">
        <v>-5.2922959999999998E-2</v>
      </c>
      <c r="AA7665">
        <v>0.99819659999999999</v>
      </c>
      <c r="AB7665">
        <v>25</v>
      </c>
      <c r="AC7665">
        <v>0.20920000000000899</v>
      </c>
      <c r="AD7665">
        <v>-1.1108736519689999</v>
      </c>
      <c r="AE7665">
        <v>16.335369999999902</v>
      </c>
      <c r="AF7665">
        <v>0.46850793263711898</v>
      </c>
      <c r="AG7665">
        <v>-1.1108736519689999</v>
      </c>
      <c r="AH7665">
        <v>16.254768852131299</v>
      </c>
      <c r="AI7665">
        <v>93.907976757310493</v>
      </c>
      <c r="AJ7665">
        <v>88.349032354616398</v>
      </c>
      <c r="AK7665">
        <v>16.299418713248699</v>
      </c>
      <c r="AL7665">
        <v>68.670910843283593</v>
      </c>
      <c r="AM7665">
        <v>84.205469347102493</v>
      </c>
      <c r="AN7665">
        <v>0.99999998700223103</v>
      </c>
    </row>
    <row r="7666" spans="1:40" x14ac:dyDescent="0.25">
      <c r="A7666" t="str">
        <f>"20190304165034173"</f>
        <v>20190304165034173</v>
      </c>
      <c r="B7666" t="str">
        <f>"1551689434163413"</f>
        <v>1551689434163413</v>
      </c>
      <c r="C7666" t="s">
        <v>40</v>
      </c>
      <c r="D7666">
        <v>4.297504</v>
      </c>
      <c r="E7666">
        <v>0.48785119999999998</v>
      </c>
      <c r="F7666" t="s">
        <v>42</v>
      </c>
      <c r="G7666">
        <v>-187.8304</v>
      </c>
      <c r="H7666" s="1">
        <v>-1.6248329999999999E-6</v>
      </c>
      <c r="I7666">
        <v>112.5232</v>
      </c>
      <c r="J7666">
        <v>-188.0042</v>
      </c>
      <c r="K7666">
        <v>1.1108359999999999</v>
      </c>
      <c r="L7666">
        <v>96.497280000000003</v>
      </c>
      <c r="M7666">
        <v>-1.5811789999999999E-2</v>
      </c>
      <c r="N7666">
        <v>-1.3871440000000001E-2</v>
      </c>
      <c r="O7666">
        <v>0.99977870000000002</v>
      </c>
      <c r="P7666">
        <v>7.8007320000000005E-2</v>
      </c>
      <c r="Q7666">
        <v>0.35117310000000002</v>
      </c>
      <c r="R7666">
        <v>0.93305530000000003</v>
      </c>
      <c r="S7666">
        <v>3.4347530000000001E-2</v>
      </c>
      <c r="T7666">
        <v>-0.22484179999999901</v>
      </c>
      <c r="U7666">
        <v>3.296783</v>
      </c>
      <c r="V7666">
        <v>9.2877779999999993E-2</v>
      </c>
      <c r="W7666">
        <v>0.36403150000000001</v>
      </c>
      <c r="X7666">
        <v>0.92674420000000002</v>
      </c>
      <c r="Y7666">
        <v>2.6198869999999999E-2</v>
      </c>
      <c r="Z7666">
        <v>-5.4169059999999998E-2</v>
      </c>
      <c r="AA7666">
        <v>0.99818799999999996</v>
      </c>
      <c r="AB7666">
        <v>25</v>
      </c>
      <c r="AC7666">
        <v>0.17379999999999901</v>
      </c>
      <c r="AD7666">
        <v>-1.1108376248330001</v>
      </c>
      <c r="AE7666">
        <v>16.025919999999999</v>
      </c>
      <c r="AF7666">
        <v>0.42515868023760001</v>
      </c>
      <c r="AG7666">
        <v>-1.1108376248330001</v>
      </c>
      <c r="AH7666">
        <v>15.944569877405099</v>
      </c>
      <c r="AI7666">
        <v>93.983872102978395</v>
      </c>
      <c r="AJ7666">
        <v>88.472581744989398</v>
      </c>
      <c r="AK7666">
        <v>15.988872027368901</v>
      </c>
      <c r="AL7666">
        <v>68.652008593026096</v>
      </c>
      <c r="AM7666">
        <v>84.276958922886806</v>
      </c>
      <c r="AN7666">
        <v>1.0000000136217999</v>
      </c>
    </row>
    <row r="7667" spans="1:40" x14ac:dyDescent="0.25">
      <c r="A7667" t="str">
        <f>"20190304165034193"</f>
        <v>20190304165034193</v>
      </c>
      <c r="B7667" t="str">
        <f>"1551689434182933"</f>
        <v>1551689434182933</v>
      </c>
      <c r="C7667" t="s">
        <v>40</v>
      </c>
      <c r="D7667">
        <v>4.3264880000000003</v>
      </c>
      <c r="E7667">
        <v>0.48786990000000002</v>
      </c>
      <c r="F7667" t="s">
        <v>42</v>
      </c>
      <c r="G7667">
        <v>-187.84460000000001</v>
      </c>
      <c r="H7667" s="1">
        <v>-1.7076570000000001E-6</v>
      </c>
      <c r="I7667">
        <v>112.7221</v>
      </c>
      <c r="J7667">
        <v>-188.0076</v>
      </c>
      <c r="K7667">
        <v>1.1108089999999999</v>
      </c>
      <c r="L7667">
        <v>96.727599999999995</v>
      </c>
      <c r="M7667">
        <v>-1.5576069999999999E-2</v>
      </c>
      <c r="N7667">
        <v>-1.38692E-2</v>
      </c>
      <c r="O7667">
        <v>0.99978250000000002</v>
      </c>
      <c r="P7667">
        <v>7.7302190000000007E-2</v>
      </c>
      <c r="Q7667">
        <v>0.35428700000000002</v>
      </c>
      <c r="R7667">
        <v>0.93193619999999999</v>
      </c>
      <c r="S7667">
        <v>3.2424929999999998E-2</v>
      </c>
      <c r="T7667">
        <v>-0.22576499999999999</v>
      </c>
      <c r="U7667">
        <v>3.2975159999999999</v>
      </c>
      <c r="V7667">
        <v>9.1976409999999995E-2</v>
      </c>
      <c r="W7667">
        <v>0.36711830000000001</v>
      </c>
      <c r="X7667">
        <v>0.92561570000000004</v>
      </c>
      <c r="Y7667">
        <v>2.5379209999999999E-2</v>
      </c>
      <c r="Z7667">
        <v>-5.4435770000000001E-2</v>
      </c>
      <c r="AA7667">
        <v>0.99819469999999999</v>
      </c>
      <c r="AB7667">
        <v>25</v>
      </c>
      <c r="AC7667">
        <v>0.16299999999998199</v>
      </c>
      <c r="AD7667">
        <v>-1.110810707657</v>
      </c>
      <c r="AE7667">
        <v>15.9945</v>
      </c>
      <c r="AF7667">
        <v>0.41015755339257998</v>
      </c>
      <c r="AG7667">
        <v>-1.110810707657</v>
      </c>
      <c r="AH7667">
        <v>15.913274565674</v>
      </c>
      <c r="AI7667">
        <v>93.991677945938093</v>
      </c>
      <c r="AJ7667">
        <v>88.523553731467302</v>
      </c>
      <c r="AK7667">
        <v>15.9572690974796</v>
      </c>
      <c r="AL7667">
        <v>68.461994430055199</v>
      </c>
      <c r="AM7667">
        <v>84.325271983899896</v>
      </c>
      <c r="AN7667">
        <v>0.99999996513893297</v>
      </c>
    </row>
    <row r="7668" spans="1:40" x14ac:dyDescent="0.25">
      <c r="A7668" t="str">
        <f>"20190304165034220"</f>
        <v>20190304165034220</v>
      </c>
      <c r="B7668" t="str">
        <f>"1551689434213190"</f>
        <v>1551689434213190</v>
      </c>
      <c r="C7668" t="s">
        <v>40</v>
      </c>
      <c r="D7668">
        <v>4.3504769999999997</v>
      </c>
      <c r="E7668">
        <v>0.48803089999999999</v>
      </c>
      <c r="F7668" t="s">
        <v>42</v>
      </c>
      <c r="G7668">
        <v>-187.8569</v>
      </c>
      <c r="H7668" s="1">
        <v>-2.1094309999999999E-6</v>
      </c>
      <c r="I7668">
        <v>113.66370000000001</v>
      </c>
      <c r="J7668">
        <v>-188.01140000000001</v>
      </c>
      <c r="K7668">
        <v>1.1107670000000001</v>
      </c>
      <c r="L7668">
        <v>96.992279999999994</v>
      </c>
      <c r="M7668">
        <v>-1.5225799999999901E-2</v>
      </c>
      <c r="N7668">
        <v>-1.3866679999999999E-2</v>
      </c>
      <c r="O7668">
        <v>0.99978789999999995</v>
      </c>
      <c r="P7668">
        <v>7.6940250000000002E-2</v>
      </c>
      <c r="Q7668">
        <v>0.35630899999999999</v>
      </c>
      <c r="R7668">
        <v>0.93119499999999999</v>
      </c>
      <c r="S7668">
        <v>2.9357910000000001E-2</v>
      </c>
      <c r="T7668">
        <v>-0.21637200000000001</v>
      </c>
      <c r="U7668">
        <v>3.29895</v>
      </c>
      <c r="V7668">
        <v>9.1326619999999997E-2</v>
      </c>
      <c r="W7668">
        <v>0.36911650000000001</v>
      </c>
      <c r="X7668">
        <v>0.92488510000000002</v>
      </c>
      <c r="Y7668">
        <v>2.409932E-2</v>
      </c>
      <c r="Z7668">
        <v>-5.1581170000000003E-2</v>
      </c>
      <c r="AA7668">
        <v>0.99837799999999999</v>
      </c>
      <c r="AB7668">
        <v>25</v>
      </c>
      <c r="AC7668">
        <v>0.15450000000001199</v>
      </c>
      <c r="AD7668">
        <v>-1.1107691094309999</v>
      </c>
      <c r="AE7668">
        <v>16.671419999999902</v>
      </c>
      <c r="AF7668">
        <v>0.40653766986550899</v>
      </c>
      <c r="AG7668">
        <v>-1.1107691094309999</v>
      </c>
      <c r="AH7668">
        <v>16.593479421804801</v>
      </c>
      <c r="AI7668">
        <v>93.828526159862903</v>
      </c>
      <c r="AJ7668">
        <v>88.596543056367906</v>
      </c>
      <c r="AK7668">
        <v>16.635583554938702</v>
      </c>
      <c r="AL7668">
        <v>68.338860018989905</v>
      </c>
      <c r="AM7668">
        <v>84.360681051951502</v>
      </c>
      <c r="AN7668">
        <v>0.99999999514744198</v>
      </c>
    </row>
    <row r="7669" spans="1:40" x14ac:dyDescent="0.25">
      <c r="A7669" t="str">
        <f>"20190304165034239"</f>
        <v>20190304165034239</v>
      </c>
      <c r="B7669" t="str">
        <f>"1551689434232709"</f>
        <v>1551689434232709</v>
      </c>
      <c r="C7669" t="s">
        <v>40</v>
      </c>
      <c r="D7669">
        <v>4.34619</v>
      </c>
      <c r="E7669">
        <v>0.48804579999999997</v>
      </c>
      <c r="F7669" t="s">
        <v>42</v>
      </c>
      <c r="G7669">
        <v>-187.8579</v>
      </c>
      <c r="H7669" s="1">
        <v>-2.4323840000000002E-6</v>
      </c>
      <c r="I7669">
        <v>114.417</v>
      </c>
      <c r="J7669">
        <v>-188.0146</v>
      </c>
      <c r="K7669">
        <v>1.1107209999999901</v>
      </c>
      <c r="L7669">
        <v>97.234769999999997</v>
      </c>
      <c r="M7669">
        <v>-1.483105E-2</v>
      </c>
      <c r="N7669">
        <v>-1.3864420000000001E-2</v>
      </c>
      <c r="O7669">
        <v>0.99979390000000001</v>
      </c>
      <c r="P7669">
        <v>7.6408279999999995E-2</v>
      </c>
      <c r="Q7669">
        <v>0.35697069999999997</v>
      </c>
      <c r="R7669">
        <v>0.93098530000000002</v>
      </c>
      <c r="S7669">
        <v>2.9052729999999999E-2</v>
      </c>
      <c r="T7669">
        <v>-0.2103498</v>
      </c>
      <c r="U7669">
        <v>3.2997740000000002</v>
      </c>
      <c r="V7669">
        <v>9.0469110000000005E-2</v>
      </c>
      <c r="W7669">
        <v>0.36976350000000002</v>
      </c>
      <c r="X7669">
        <v>0.9247109</v>
      </c>
      <c r="Y7669">
        <v>2.3611440000000001E-2</v>
      </c>
      <c r="Z7669">
        <v>-4.9753659999999998E-2</v>
      </c>
      <c r="AA7669">
        <v>0.99848239999999999</v>
      </c>
      <c r="AB7669">
        <v>25</v>
      </c>
      <c r="AC7669">
        <v>0.15670000000000001</v>
      </c>
      <c r="AD7669">
        <v>-1.1107234323839901</v>
      </c>
      <c r="AE7669">
        <v>17.182230000000001</v>
      </c>
      <c r="AF7669">
        <v>0.40982532605411898</v>
      </c>
      <c r="AG7669">
        <v>-1.1107234323839901</v>
      </c>
      <c r="AH7669">
        <v>17.106536530300101</v>
      </c>
      <c r="AI7669">
        <v>93.713924169749305</v>
      </c>
      <c r="AJ7669">
        <v>88.627614030733199</v>
      </c>
      <c r="AK7669">
        <v>17.147456237110401</v>
      </c>
      <c r="AL7669">
        <v>68.298967021154994</v>
      </c>
      <c r="AM7669">
        <v>84.412249025170397</v>
      </c>
      <c r="AN7669">
        <v>0.99999997718762501</v>
      </c>
    </row>
    <row r="7670" spans="1:40" x14ac:dyDescent="0.25">
      <c r="A7670" t="str">
        <f>"20190304165034262"</f>
        <v>20190304165034262</v>
      </c>
      <c r="B7670" t="str">
        <f>"1551689434253205"</f>
        <v>1551689434253205</v>
      </c>
      <c r="C7670" t="s">
        <v>40</v>
      </c>
      <c r="D7670">
        <v>4.3585419999999999</v>
      </c>
      <c r="E7670">
        <v>0.48813309999999999</v>
      </c>
      <c r="F7670" t="s">
        <v>42</v>
      </c>
      <c r="G7670">
        <v>-187.87639999999999</v>
      </c>
      <c r="H7670" s="1">
        <v>-2.5404950000000001E-6</v>
      </c>
      <c r="I7670">
        <v>114.67659999999999</v>
      </c>
      <c r="J7670">
        <v>-188.018</v>
      </c>
      <c r="K7670">
        <v>1.110679</v>
      </c>
      <c r="L7670">
        <v>97.494569999999996</v>
      </c>
      <c r="M7670">
        <v>-1.434476E-2</v>
      </c>
      <c r="N7670">
        <v>-1.3862009999999999E-2</v>
      </c>
      <c r="O7670">
        <v>0.99980100000000005</v>
      </c>
      <c r="P7670">
        <v>7.6401129999999998E-2</v>
      </c>
      <c r="Q7670">
        <v>0.35798550000000001</v>
      </c>
      <c r="R7670">
        <v>0.93059619999999998</v>
      </c>
      <c r="S7670">
        <v>2.6168819999999999E-2</v>
      </c>
      <c r="T7670">
        <v>-0.21020259999999999</v>
      </c>
      <c r="U7670">
        <v>3.3008419999999998</v>
      </c>
      <c r="V7670">
        <v>9.0046570000000006E-2</v>
      </c>
      <c r="W7670">
        <v>0.37076150000000002</v>
      </c>
      <c r="X7670">
        <v>0.92435250000000002</v>
      </c>
      <c r="Y7670">
        <v>2.2250780000000001E-2</v>
      </c>
      <c r="Z7670">
        <v>-4.9693220000000003E-2</v>
      </c>
      <c r="AA7670">
        <v>0.99851659999999998</v>
      </c>
      <c r="AB7670">
        <v>25</v>
      </c>
      <c r="AC7670">
        <v>0.14160000000001099</v>
      </c>
      <c r="AD7670">
        <v>-1.1106815404949999</v>
      </c>
      <c r="AE7670">
        <v>17.182029999999902</v>
      </c>
      <c r="AF7670">
        <v>0.38646643577540901</v>
      </c>
      <c r="AG7670">
        <v>-1.1106815404949999</v>
      </c>
      <c r="AH7670">
        <v>17.106753045676001</v>
      </c>
      <c r="AI7670">
        <v>93.713855273849106</v>
      </c>
      <c r="AJ7670">
        <v>88.705825136074694</v>
      </c>
      <c r="AK7670">
        <v>17.147127151687101</v>
      </c>
      <c r="AL7670">
        <v>68.2374115946389</v>
      </c>
      <c r="AM7670">
        <v>84.436039888007002</v>
      </c>
      <c r="AN7670">
        <v>1.0000000094536301</v>
      </c>
    </row>
    <row r="7671" spans="1:40" x14ac:dyDescent="0.25">
      <c r="A7671" t="str">
        <f>"20190304165034284"</f>
        <v>20190304165034284</v>
      </c>
      <c r="B7671" t="str">
        <f>"1551689434272729"</f>
        <v>1551689434272729</v>
      </c>
      <c r="C7671" t="s">
        <v>40</v>
      </c>
      <c r="D7671">
        <v>4.4314269999999896</v>
      </c>
      <c r="E7671">
        <v>0.48828510000000003</v>
      </c>
      <c r="F7671" t="s">
        <v>42</v>
      </c>
      <c r="G7671">
        <v>-187.876</v>
      </c>
      <c r="H7671" s="1">
        <v>-2.7103870000000002E-6</v>
      </c>
      <c r="I7671">
        <v>115.07250000000001</v>
      </c>
      <c r="J7671">
        <v>-188.02090000000001</v>
      </c>
      <c r="K7671">
        <v>1.110641</v>
      </c>
      <c r="L7671">
        <v>97.734800000000007</v>
      </c>
      <c r="M7671">
        <v>-1.3838059999999999E-2</v>
      </c>
      <c r="N7671">
        <v>-1.38598E-2</v>
      </c>
      <c r="O7671">
        <v>0.99980820000000004</v>
      </c>
      <c r="P7671">
        <v>7.7225710000000003E-2</v>
      </c>
      <c r="Q7671">
        <v>0.358178</v>
      </c>
      <c r="R7671">
        <v>0.93045409999999995</v>
      </c>
      <c r="S7671">
        <v>2.6672359999999999E-2</v>
      </c>
      <c r="T7671">
        <v>-0.20862929999999999</v>
      </c>
      <c r="U7671">
        <v>3.3018190000000001</v>
      </c>
      <c r="V7671">
        <v>9.0432689999999996E-2</v>
      </c>
      <c r="W7671">
        <v>0.37094129999999997</v>
      </c>
      <c r="X7671">
        <v>0.92424269999999997</v>
      </c>
      <c r="Y7671">
        <v>2.1894500000000001E-2</v>
      </c>
      <c r="Z7671">
        <v>-4.9203719999999999E-2</v>
      </c>
      <c r="AA7671">
        <v>0.99854869999999996</v>
      </c>
      <c r="AB7671">
        <v>25</v>
      </c>
      <c r="AC7671">
        <v>0.144900000000035</v>
      </c>
      <c r="AD7671">
        <v>-1.1106437103869999</v>
      </c>
      <c r="AE7671">
        <v>17.337699999999899</v>
      </c>
      <c r="AF7671">
        <v>0.38325667235927702</v>
      </c>
      <c r="AG7671">
        <v>-1.1106437103869999</v>
      </c>
      <c r="AH7671">
        <v>17.263197698990801</v>
      </c>
      <c r="AI7671">
        <v>93.680199128859002</v>
      </c>
      <c r="AJ7671">
        <v>88.728197199308298</v>
      </c>
      <c r="AK7671">
        <v>17.303132951080599</v>
      </c>
      <c r="AL7671">
        <v>68.226319602140705</v>
      </c>
      <c r="AM7671">
        <v>84.411672662208503</v>
      </c>
      <c r="AN7671">
        <v>1.0000000439848</v>
      </c>
    </row>
    <row r="7672" spans="1:40" x14ac:dyDescent="0.25">
      <c r="A7672" t="str">
        <f>"20190304165034305"</f>
        <v>20190304165034305</v>
      </c>
      <c r="B7672" t="str">
        <f>"1551689434293221"</f>
        <v>1551689434293221</v>
      </c>
      <c r="C7672" t="s">
        <v>40</v>
      </c>
      <c r="D7672">
        <v>4.4031989999999999</v>
      </c>
      <c r="E7672">
        <v>0.48837710000000001</v>
      </c>
      <c r="F7672" t="s">
        <v>42</v>
      </c>
      <c r="G7672">
        <v>-187.86879999999999</v>
      </c>
      <c r="H7672" s="1">
        <v>-2.736065E-6</v>
      </c>
      <c r="I7672">
        <v>115.1294</v>
      </c>
      <c r="J7672">
        <v>-188.02359999999999</v>
      </c>
      <c r="K7672">
        <v>1.1106</v>
      </c>
      <c r="L7672">
        <v>97.970519999999993</v>
      </c>
      <c r="M7672">
        <v>-1.328444E-2</v>
      </c>
      <c r="N7672">
        <v>-1.3857690000000001E-2</v>
      </c>
      <c r="O7672">
        <v>0.99981569999999997</v>
      </c>
      <c r="P7672">
        <v>7.8617110000000004E-2</v>
      </c>
      <c r="Q7672">
        <v>0.3567282</v>
      </c>
      <c r="R7672">
        <v>0.93089440000000001</v>
      </c>
      <c r="S7672">
        <v>2.886963E-2</v>
      </c>
      <c r="T7672">
        <v>-0.2108988</v>
      </c>
      <c r="U7672">
        <v>3.3030400000000002</v>
      </c>
      <c r="V7672">
        <v>9.1347070000000002E-2</v>
      </c>
      <c r="W7672">
        <v>0.36948700000000001</v>
      </c>
      <c r="X7672">
        <v>0.92473510000000003</v>
      </c>
      <c r="Y7672">
        <v>2.2001699999999999E-2</v>
      </c>
      <c r="Z7672">
        <v>-4.9866349999999997E-2</v>
      </c>
      <c r="AA7672">
        <v>0.99851350000000005</v>
      </c>
      <c r="AB7672">
        <v>25</v>
      </c>
      <c r="AC7672">
        <v>0.154799999999994</v>
      </c>
      <c r="AD7672">
        <v>-1.1106027360649999</v>
      </c>
      <c r="AE7672">
        <v>17.15888</v>
      </c>
      <c r="AF7672">
        <v>0.38115769836744001</v>
      </c>
      <c r="AG7672">
        <v>-1.1106027360649999</v>
      </c>
      <c r="AH7672">
        <v>17.0837461380425</v>
      </c>
      <c r="AI7672">
        <v>93.718602955588693</v>
      </c>
      <c r="AJ7672">
        <v>88.721878405603206</v>
      </c>
      <c r="AK7672">
        <v>17.1240503893635</v>
      </c>
      <c r="AL7672">
        <v>68.316016536371606</v>
      </c>
      <c r="AM7672">
        <v>84.358517381001207</v>
      </c>
      <c r="AN7672">
        <v>0.999999967769297</v>
      </c>
    </row>
    <row r="7673" spans="1:40" x14ac:dyDescent="0.25">
      <c r="A7673" t="str">
        <f>"20190304165034327"</f>
        <v>20190304165034327</v>
      </c>
      <c r="B7673" t="str">
        <f>"1551689434312745"</f>
        <v>1551689434312745</v>
      </c>
      <c r="C7673" t="s">
        <v>40</v>
      </c>
      <c r="D7673">
        <v>4.6407040000000004</v>
      </c>
      <c r="E7673">
        <v>0.47611690000000001</v>
      </c>
      <c r="F7673" t="s">
        <v>42</v>
      </c>
      <c r="G7673">
        <v>-187.86869999999999</v>
      </c>
      <c r="H7673" s="1">
        <v>-2.5996920000000001E-6</v>
      </c>
      <c r="I7673">
        <v>114.8115</v>
      </c>
      <c r="J7673">
        <v>-188.02610000000001</v>
      </c>
      <c r="K7673">
        <v>1.1105590000000001</v>
      </c>
      <c r="L7673">
        <v>98.212459999999993</v>
      </c>
      <c r="M7673">
        <v>-1.265526E-2</v>
      </c>
      <c r="N7673">
        <v>-1.3855640000000001E-2</v>
      </c>
      <c r="O7673">
        <v>0.99982389999999999</v>
      </c>
      <c r="P7673">
        <v>8.0285780000000001E-2</v>
      </c>
      <c r="Q7673">
        <v>0.35693509999999901</v>
      </c>
      <c r="R7673">
        <v>0.93067259999999996</v>
      </c>
      <c r="S7673">
        <v>3.0380250000000001E-2</v>
      </c>
      <c r="T7673">
        <v>-0.21786449999999999</v>
      </c>
      <c r="U7673">
        <v>3.3036500000000002</v>
      </c>
      <c r="V7673">
        <v>9.2464909999999997E-2</v>
      </c>
      <c r="W7673">
        <v>0.36967929999999999</v>
      </c>
      <c r="X7673">
        <v>0.92454709999999996</v>
      </c>
      <c r="Y7673">
        <v>2.1826290000000002E-2</v>
      </c>
      <c r="Z7673">
        <v>-5.1953829999999999E-2</v>
      </c>
      <c r="AA7673">
        <v>0.99841089999999999</v>
      </c>
      <c r="AB7673">
        <v>25</v>
      </c>
      <c r="AC7673">
        <v>0.15740000000002299</v>
      </c>
      <c r="AD7673">
        <v>-1.110561599692</v>
      </c>
      <c r="AE7673">
        <v>16.599039999999999</v>
      </c>
      <c r="AF7673">
        <v>0.36583528840999702</v>
      </c>
      <c r="AG7673">
        <v>-1.110561599692</v>
      </c>
      <c r="AH7673">
        <v>16.521768574159999</v>
      </c>
      <c r="AI7673">
        <v>93.844588122897903</v>
      </c>
      <c r="AJ7673">
        <v>88.731528451716798</v>
      </c>
      <c r="AK7673">
        <v>16.563092082792298</v>
      </c>
      <c r="AL7673">
        <v>68.304158436283998</v>
      </c>
      <c r="AM7673">
        <v>84.28878101011</v>
      </c>
      <c r="AN7673">
        <v>0.99999994227410205</v>
      </c>
    </row>
    <row r="7674" spans="1:40" x14ac:dyDescent="0.25">
      <c r="A7674" t="str">
        <f>"20190304165034350"</f>
        <v>20190304165034350</v>
      </c>
      <c r="B7674" t="str">
        <f>"1551689434342998"</f>
        <v>1551689434342998</v>
      </c>
      <c r="C7674" t="s">
        <v>40</v>
      </c>
      <c r="D7674">
        <v>4.4387239999999997</v>
      </c>
      <c r="E7674">
        <v>0.4718466</v>
      </c>
      <c r="F7674" t="s">
        <v>42</v>
      </c>
      <c r="G7674">
        <v>-188.36600000000001</v>
      </c>
      <c r="H7674" s="1">
        <v>-3.2806419999999999E-6</v>
      </c>
      <c r="I7674">
        <v>116.6044</v>
      </c>
      <c r="J7674">
        <v>-188.02860000000001</v>
      </c>
      <c r="K7674">
        <v>1.1105119999999999</v>
      </c>
      <c r="L7674">
        <v>98.476929999999996</v>
      </c>
      <c r="M7674">
        <v>-1.189787E-2</v>
      </c>
      <c r="N7674">
        <v>-1.3853610000000001E-2</v>
      </c>
      <c r="O7674">
        <v>0.99983319999999998</v>
      </c>
      <c r="P7674">
        <v>8.271365E-2</v>
      </c>
      <c r="Q7674">
        <v>0.3565506</v>
      </c>
      <c r="R7674">
        <v>0.93060739999999997</v>
      </c>
      <c r="S7674">
        <v>-6.1080929999999999E-2</v>
      </c>
      <c r="T7674">
        <v>-0.1995844</v>
      </c>
      <c r="U7674">
        <v>3.3052980000000001</v>
      </c>
      <c r="V7674">
        <v>9.4231709999999996E-2</v>
      </c>
      <c r="W7674">
        <v>0.36927919999999997</v>
      </c>
      <c r="X7674">
        <v>0.92452869999999998</v>
      </c>
      <c r="Y7674">
        <v>-6.5549619999999897E-3</v>
      </c>
      <c r="Z7674">
        <v>-4.6428539999999997E-2</v>
      </c>
      <c r="AA7674">
        <v>0.99890009999999996</v>
      </c>
      <c r="AB7674">
        <v>25</v>
      </c>
      <c r="AC7674">
        <v>-0.337399999999973</v>
      </c>
      <c r="AD7674">
        <v>-1.110515280642</v>
      </c>
      <c r="AE7674">
        <v>18.127469999999899</v>
      </c>
      <c r="AF7674">
        <v>-0.12122233672160899</v>
      </c>
      <c r="AG7674">
        <v>-1.110515280642</v>
      </c>
      <c r="AH7674">
        <v>18.062437133046</v>
      </c>
      <c r="AI7674">
        <v>93.518153177001295</v>
      </c>
      <c r="AJ7674">
        <v>90.384523082326794</v>
      </c>
      <c r="AK7674">
        <v>18.096949307236802</v>
      </c>
      <c r="AL7674">
        <v>68.328830127821703</v>
      </c>
      <c r="AM7674">
        <v>84.180279289280705</v>
      </c>
      <c r="AN7674">
        <v>1.0000000299229199</v>
      </c>
    </row>
    <row r="7675" spans="1:40" x14ac:dyDescent="0.25">
      <c r="A7675" t="str">
        <f>"20190304165034374"</f>
        <v>20190304165034374</v>
      </c>
      <c r="B7675" t="str">
        <f>"1551689434363493"</f>
        <v>1551689434363493</v>
      </c>
      <c r="C7675" t="s">
        <v>40</v>
      </c>
      <c r="D7675">
        <v>4.4339360000000001</v>
      </c>
      <c r="E7675">
        <v>0.47020020000000001</v>
      </c>
      <c r="F7675" t="s">
        <v>42</v>
      </c>
      <c r="G7675">
        <v>-188.55109999999999</v>
      </c>
      <c r="H7675" s="1">
        <v>-4.1817930000000004E-6</v>
      </c>
      <c r="I7675">
        <v>118.78149999999999</v>
      </c>
      <c r="J7675">
        <v>-188.0308</v>
      </c>
      <c r="K7675">
        <v>1.1104560000000001</v>
      </c>
      <c r="L7675">
        <v>98.733429999999998</v>
      </c>
      <c r="M7675">
        <v>-1.109248E-2</v>
      </c>
      <c r="N7675">
        <v>-1.3851749999999999E-2</v>
      </c>
      <c r="O7675">
        <v>0.99984249999999997</v>
      </c>
      <c r="P7675">
        <v>8.5291530000000004E-2</v>
      </c>
      <c r="Q7675">
        <v>0.35589989999999999</v>
      </c>
      <c r="R7675">
        <v>0.9306238</v>
      </c>
      <c r="S7675">
        <v>-8.4930420000000006E-2</v>
      </c>
      <c r="T7675">
        <v>-0.180509</v>
      </c>
      <c r="U7675">
        <v>3.3004150000000001</v>
      </c>
      <c r="V7675">
        <v>9.6105659999999996E-2</v>
      </c>
      <c r="W7675">
        <v>0.368614</v>
      </c>
      <c r="X7675">
        <v>0.92460129999999996</v>
      </c>
      <c r="Y7675">
        <v>-1.460497E-2</v>
      </c>
      <c r="Z7675">
        <v>-4.0759879999999998E-2</v>
      </c>
      <c r="AA7675">
        <v>0.99906220000000001</v>
      </c>
      <c r="AB7675">
        <v>25</v>
      </c>
      <c r="AC7675">
        <v>-0.52029999999999099</v>
      </c>
      <c r="AD7675">
        <v>-1.110460181793</v>
      </c>
      <c r="AE7675">
        <v>20.048069999999999</v>
      </c>
      <c r="AF7675">
        <v>-0.296953372190362</v>
      </c>
      <c r="AG7675">
        <v>-1.110460181793</v>
      </c>
      <c r="AH7675">
        <v>19.9913154606399</v>
      </c>
      <c r="AI7675">
        <v>93.178998831670498</v>
      </c>
      <c r="AJ7675">
        <v>90.851015721026897</v>
      </c>
      <c r="AK7675">
        <v>20.024335119234902</v>
      </c>
      <c r="AL7675">
        <v>68.369837179704206</v>
      </c>
      <c r="AM7675">
        <v>84.065825434680804</v>
      </c>
      <c r="AN7675">
        <v>1.0000000714208599</v>
      </c>
    </row>
    <row r="7676" spans="1:40" x14ac:dyDescent="0.25">
      <c r="A7676" t="str">
        <f>"20190304165034394"</f>
        <v>20190304165034394</v>
      </c>
      <c r="B7676" t="str">
        <f>"1551689434383014"</f>
        <v>1551689434383014</v>
      </c>
      <c r="C7676" t="s">
        <v>40</v>
      </c>
      <c r="D7676">
        <v>4.4359999999999999</v>
      </c>
      <c r="E7676">
        <v>0.46926790000000002</v>
      </c>
      <c r="F7676" t="s">
        <v>42</v>
      </c>
      <c r="G7676">
        <v>-188.5736</v>
      </c>
      <c r="H7676" s="1">
        <v>-4.1968259999999997E-6</v>
      </c>
      <c r="I7676">
        <v>118.8259</v>
      </c>
      <c r="J7676">
        <v>-188.0324</v>
      </c>
      <c r="K7676">
        <v>1.1103989999999999</v>
      </c>
      <c r="L7676">
        <v>98.958370000000002</v>
      </c>
      <c r="M7676">
        <v>-1.032171E-2</v>
      </c>
      <c r="N7676">
        <v>-1.384989E-2</v>
      </c>
      <c r="O7676">
        <v>0.99985080000000004</v>
      </c>
      <c r="P7676">
        <v>8.6502590000000004E-2</v>
      </c>
      <c r="Q7676">
        <v>0.35479830000000001</v>
      </c>
      <c r="R7676">
        <v>0.9309326</v>
      </c>
      <c r="S7676">
        <v>-8.9202879999999998E-2</v>
      </c>
      <c r="T7676">
        <v>-0.18247150000000001</v>
      </c>
      <c r="U7676">
        <v>3.3016049999999999</v>
      </c>
      <c r="V7676">
        <v>9.6641599999999994E-2</v>
      </c>
      <c r="W7676">
        <v>0.36750470000000002</v>
      </c>
      <c r="X7676">
        <v>0.92498689999999995</v>
      </c>
      <c r="Y7676">
        <v>-1.6656750000000001E-2</v>
      </c>
      <c r="Z7676">
        <v>-4.1332880000000002E-2</v>
      </c>
      <c r="AA7676">
        <v>0.99900659999999997</v>
      </c>
      <c r="AB7676">
        <v>25</v>
      </c>
      <c r="AC7676">
        <v>-0.54120000000000301</v>
      </c>
      <c r="AD7676">
        <v>-1.110403196826</v>
      </c>
      <c r="AE7676">
        <v>19.867529999999999</v>
      </c>
      <c r="AF7676">
        <v>-0.33503881350874698</v>
      </c>
      <c r="AG7676">
        <v>-1.110403196826</v>
      </c>
      <c r="AH7676">
        <v>19.8102221698344</v>
      </c>
      <c r="AI7676">
        <v>93.207730024675996</v>
      </c>
      <c r="AJ7676">
        <v>90.968917960463401</v>
      </c>
      <c r="AK7676">
        <v>19.844146458950501</v>
      </c>
      <c r="AL7676">
        <v>68.438193029705005</v>
      </c>
      <c r="AM7676">
        <v>84.035440742438198</v>
      </c>
      <c r="AN7676">
        <v>1.00000003427212</v>
      </c>
    </row>
    <row r="7677" spans="1:40" x14ac:dyDescent="0.25">
      <c r="A7677" t="str">
        <f>"20190304165034418"</f>
        <v>20190304165034418</v>
      </c>
      <c r="B7677" t="str">
        <f>"1551689434413270"</f>
        <v>1551689434413270</v>
      </c>
      <c r="C7677" t="s">
        <v>40</v>
      </c>
      <c r="D7677">
        <v>4.4506800000000002</v>
      </c>
      <c r="E7677">
        <v>0.46862209999999899</v>
      </c>
      <c r="F7677" t="s">
        <v>42</v>
      </c>
      <c r="G7677">
        <v>-188.58539999999999</v>
      </c>
      <c r="H7677" s="1">
        <v>-4.1062279999999997E-6</v>
      </c>
      <c r="I7677">
        <v>118.61960000000001</v>
      </c>
      <c r="J7677">
        <v>-188.03389999999999</v>
      </c>
      <c r="K7677">
        <v>1.1103430000000001</v>
      </c>
      <c r="L7677">
        <v>99.210849999999994</v>
      </c>
      <c r="M7677">
        <v>-9.3819379999999994E-3</v>
      </c>
      <c r="N7677">
        <v>-1.384784E-2</v>
      </c>
      <c r="O7677">
        <v>0.99986010000000003</v>
      </c>
      <c r="P7677">
        <v>8.8061349999999997E-2</v>
      </c>
      <c r="Q7677">
        <v>0.3541974</v>
      </c>
      <c r="R7677">
        <v>0.93101529999999999</v>
      </c>
      <c r="S7677">
        <v>-9.2895510000000001E-2</v>
      </c>
      <c r="T7677">
        <v>-0.1865039</v>
      </c>
      <c r="U7677">
        <v>3.3023069999999999</v>
      </c>
      <c r="V7677">
        <v>9.7369159999999996E-2</v>
      </c>
      <c r="W7677">
        <v>0.36689169999999999</v>
      </c>
      <c r="X7677">
        <v>0.92515389999999997</v>
      </c>
      <c r="Y7677">
        <v>-1.8704439999999999E-2</v>
      </c>
      <c r="Z7677">
        <v>-4.253784E-2</v>
      </c>
      <c r="AA7677">
        <v>0.99891969999999997</v>
      </c>
      <c r="AB7677">
        <v>25</v>
      </c>
      <c r="AC7677">
        <v>-0.55150000000000399</v>
      </c>
      <c r="AD7677">
        <v>-1.1103471062279999</v>
      </c>
      <c r="AE7677">
        <v>19.408750000000001</v>
      </c>
      <c r="AF7677">
        <v>-0.368162613852064</v>
      </c>
      <c r="AG7677">
        <v>-1.1103471062279999</v>
      </c>
      <c r="AH7677">
        <v>19.349792927063799</v>
      </c>
      <c r="AI7677">
        <v>93.283603039817095</v>
      </c>
      <c r="AJ7677">
        <v>91.090017816295301</v>
      </c>
      <c r="AK7677">
        <v>19.385120601296101</v>
      </c>
      <c r="AL7677">
        <v>68.4759525180433</v>
      </c>
      <c r="AM7677">
        <v>83.991941070462801</v>
      </c>
      <c r="AN7677">
        <v>1.0000000057666001</v>
      </c>
    </row>
    <row r="7678" spans="1:40" x14ac:dyDescent="0.25">
      <c r="A7678" t="str">
        <f>"20190304165034441"</f>
        <v>20190304165034441</v>
      </c>
      <c r="B7678" t="str">
        <f>"1551689434432789"</f>
        <v>1551689434432789</v>
      </c>
      <c r="C7678" t="s">
        <v>40</v>
      </c>
      <c r="D7678">
        <v>4.4813239999999999</v>
      </c>
      <c r="E7678">
        <v>0.46830719999999998</v>
      </c>
      <c r="F7678" t="s">
        <v>42</v>
      </c>
      <c r="G7678">
        <v>-188.58699999999999</v>
      </c>
      <c r="H7678" s="1">
        <v>-4.0832259999999996E-6</v>
      </c>
      <c r="I7678">
        <v>118.56659999999999</v>
      </c>
      <c r="J7678">
        <v>-188.0352</v>
      </c>
      <c r="K7678">
        <v>1.110304</v>
      </c>
      <c r="L7678">
        <v>99.468779999999995</v>
      </c>
      <c r="M7678">
        <v>-8.3469930000000005E-3</v>
      </c>
      <c r="N7678">
        <v>-1.384583E-2</v>
      </c>
      <c r="O7678">
        <v>0.99986929999999996</v>
      </c>
      <c r="P7678">
        <v>8.9630130000000002E-2</v>
      </c>
      <c r="Q7678">
        <v>0.35528349999999997</v>
      </c>
      <c r="R7678">
        <v>0.93045149999999999</v>
      </c>
      <c r="S7678">
        <v>-9.4390870000000002E-2</v>
      </c>
      <c r="T7678">
        <v>-0.1894952</v>
      </c>
      <c r="U7678">
        <v>3.3033139999999999</v>
      </c>
      <c r="V7678">
        <v>9.8012340000000003E-2</v>
      </c>
      <c r="W7678">
        <v>0.36795739999999999</v>
      </c>
      <c r="X7678">
        <v>0.9246626</v>
      </c>
      <c r="Y7678">
        <v>-2.018066E-2</v>
      </c>
      <c r="Z7678">
        <v>-4.3423610000000001E-2</v>
      </c>
      <c r="AA7678">
        <v>0.99885290000000004</v>
      </c>
      <c r="AB7678">
        <v>25</v>
      </c>
      <c r="AC7678">
        <v>-0.55180000000001395</v>
      </c>
      <c r="AD7678">
        <v>-1.1103080832259999</v>
      </c>
      <c r="AE7678">
        <v>19.097819999999899</v>
      </c>
      <c r="AF7678">
        <v>-0.39103551528844299</v>
      </c>
      <c r="AG7678">
        <v>-1.1103080832259999</v>
      </c>
      <c r="AH7678">
        <v>19.037467510528501</v>
      </c>
      <c r="AI7678">
        <v>93.337135789161493</v>
      </c>
      <c r="AJ7678">
        <v>91.176707698772603</v>
      </c>
      <c r="AK7678">
        <v>19.0738266225821</v>
      </c>
      <c r="AL7678">
        <v>68.410300008930093</v>
      </c>
      <c r="AM7678">
        <v>83.949358126233307</v>
      </c>
      <c r="AN7678">
        <v>0.99999999542289697</v>
      </c>
    </row>
    <row r="7679" spans="1:40" x14ac:dyDescent="0.25">
      <c r="A7679" t="str">
        <f>"20190304165034463"</f>
        <v>20190304165034463</v>
      </c>
      <c r="B7679" t="str">
        <f>"1551689434453289"</f>
        <v>1551689434453289</v>
      </c>
      <c r="C7679" t="s">
        <v>40</v>
      </c>
      <c r="D7679">
        <v>4.4557869999999999</v>
      </c>
      <c r="E7679">
        <v>0.46799960000000002</v>
      </c>
      <c r="F7679" t="s">
        <v>48</v>
      </c>
      <c r="G7679">
        <v>-188.60149999999999</v>
      </c>
      <c r="H7679" s="1">
        <v>-3.673319E-7</v>
      </c>
      <c r="I7679">
        <v>119.6383</v>
      </c>
      <c r="J7679">
        <v>-188.036</v>
      </c>
      <c r="K7679">
        <v>1.1102799999999999</v>
      </c>
      <c r="L7679">
        <v>99.714200000000005</v>
      </c>
      <c r="M7679">
        <v>-7.3092679999999998E-3</v>
      </c>
      <c r="N7679">
        <v>-1.384399E-2</v>
      </c>
      <c r="O7679">
        <v>0.99987749999999997</v>
      </c>
      <c r="P7679">
        <v>9.1232779999999999E-2</v>
      </c>
      <c r="Q7679">
        <v>0.357261</v>
      </c>
      <c r="R7679">
        <v>0.92953810000000003</v>
      </c>
      <c r="S7679">
        <v>-9.2742920000000006E-2</v>
      </c>
      <c r="T7679">
        <v>-0.18180250000000001</v>
      </c>
      <c r="U7679">
        <v>3.3025820000000001</v>
      </c>
      <c r="V7679">
        <v>9.8677940000000006E-2</v>
      </c>
      <c r="W7679">
        <v>0.36991230000000003</v>
      </c>
      <c r="X7679">
        <v>0.92381139999999995</v>
      </c>
      <c r="Y7679">
        <v>-2.072941E-2</v>
      </c>
      <c r="Z7679">
        <v>-4.1119570000000001E-2</v>
      </c>
      <c r="AA7679">
        <v>0.99893920000000003</v>
      </c>
      <c r="AB7679">
        <v>25</v>
      </c>
      <c r="AC7679">
        <v>-0.56550000000001399</v>
      </c>
      <c r="AD7679">
        <v>-1.1102803673318999</v>
      </c>
      <c r="AE7679">
        <v>19.924099999999999</v>
      </c>
      <c r="AF7679">
        <v>-0.41854168954454402</v>
      </c>
      <c r="AG7679">
        <v>-1.1102803673318999</v>
      </c>
      <c r="AH7679">
        <v>19.866060415369802</v>
      </c>
      <c r="AI7679">
        <v>93.198127805277295</v>
      </c>
      <c r="AJ7679">
        <v>91.206939107163294</v>
      </c>
      <c r="AK7679">
        <v>19.901463666451601</v>
      </c>
      <c r="AL7679">
        <v>68.289790710145994</v>
      </c>
      <c r="AM7679">
        <v>83.903005840417094</v>
      </c>
      <c r="AN7679">
        <v>0.99999997415194597</v>
      </c>
    </row>
    <row r="7680" spans="1:40" x14ac:dyDescent="0.25">
      <c r="A7680" t="str">
        <f>"20190304165034483"</f>
        <v>20190304165034483</v>
      </c>
      <c r="B7680" t="str">
        <f>"1551689434472808"</f>
        <v>1551689434472808</v>
      </c>
      <c r="C7680" t="s">
        <v>40</v>
      </c>
      <c r="D7680">
        <v>4.457033</v>
      </c>
      <c r="E7680">
        <v>0.46802179999999999</v>
      </c>
      <c r="F7680" t="s">
        <v>48</v>
      </c>
      <c r="G7680">
        <v>-188.6217</v>
      </c>
      <c r="H7680" s="1">
        <v>-8.1264299999999998E-7</v>
      </c>
      <c r="I7680">
        <v>120.7594</v>
      </c>
      <c r="J7680">
        <v>-188.03649999999999</v>
      </c>
      <c r="K7680">
        <v>1.1102479999999999</v>
      </c>
      <c r="L7680">
        <v>99.938140000000004</v>
      </c>
      <c r="M7680">
        <v>-6.3216959999999999E-3</v>
      </c>
      <c r="N7680">
        <v>-1.3842190000000001E-2</v>
      </c>
      <c r="O7680">
        <v>0.9998842</v>
      </c>
      <c r="P7680">
        <v>9.3476390000000006E-2</v>
      </c>
      <c r="Q7680">
        <v>0.35652929999999999</v>
      </c>
      <c r="R7680">
        <v>0.92959619999999998</v>
      </c>
      <c r="S7680">
        <v>-9.1934199999999994E-2</v>
      </c>
      <c r="T7680">
        <v>-0.17427809999999999</v>
      </c>
      <c r="U7680">
        <v>3.3034059999999998</v>
      </c>
      <c r="V7680">
        <v>0.1000263</v>
      </c>
      <c r="W7680">
        <v>0.36917240000000001</v>
      </c>
      <c r="X7680">
        <v>0.92396239999999996</v>
      </c>
      <c r="Y7680">
        <v>-2.1468060000000001E-2</v>
      </c>
      <c r="Z7680">
        <v>-3.8839239999999997E-2</v>
      </c>
      <c r="AA7680">
        <v>0.99901490000000004</v>
      </c>
      <c r="AB7680">
        <v>25</v>
      </c>
      <c r="AC7680">
        <v>-0.58520000000001404</v>
      </c>
      <c r="AD7680">
        <v>-1.1102488126429999</v>
      </c>
      <c r="AE7680">
        <v>20.821259999999899</v>
      </c>
      <c r="AF7680">
        <v>-0.45226509313712299</v>
      </c>
      <c r="AG7680">
        <v>-1.1102488126429999</v>
      </c>
      <c r="AH7680">
        <v>20.7655470672299</v>
      </c>
      <c r="AI7680">
        <v>93.059732612391002</v>
      </c>
      <c r="AJ7680">
        <v>91.247681309661402</v>
      </c>
      <c r="AK7680">
        <v>20.800123584771899</v>
      </c>
      <c r="AL7680">
        <v>68.335414329812394</v>
      </c>
      <c r="AM7680">
        <v>83.821337399502596</v>
      </c>
      <c r="AN7680">
        <v>1.0000000191136</v>
      </c>
    </row>
    <row r="7681" spans="1:40" x14ac:dyDescent="0.25">
      <c r="A7681" t="str">
        <f>"20190304165034505"</f>
        <v>20190304165034505</v>
      </c>
      <c r="B7681" t="str">
        <f>"1551689434493302"</f>
        <v>1551689434493302</v>
      </c>
      <c r="C7681" t="s">
        <v>40</v>
      </c>
      <c r="D7681">
        <v>4.4763830000000002</v>
      </c>
      <c r="E7681">
        <v>0.46803600000000001</v>
      </c>
      <c r="F7681" t="s">
        <v>48</v>
      </c>
      <c r="G7681">
        <v>-188.59569999999999</v>
      </c>
      <c r="H7681" s="1">
        <v>-1.0087679999999999E-6</v>
      </c>
      <c r="I7681">
        <v>121.1105</v>
      </c>
      <c r="J7681">
        <v>-188.0368</v>
      </c>
      <c r="K7681">
        <v>1.1102160000000001</v>
      </c>
      <c r="L7681">
        <v>100.182</v>
      </c>
      <c r="M7681">
        <v>-5.2089199999999997E-3</v>
      </c>
      <c r="N7681">
        <v>-1.3840109999999999E-2</v>
      </c>
      <c r="O7681">
        <v>0.99989059999999996</v>
      </c>
      <c r="P7681">
        <v>9.5630389999999996E-2</v>
      </c>
      <c r="Q7681">
        <v>0.3546068</v>
      </c>
      <c r="R7681">
        <v>0.9301123</v>
      </c>
      <c r="S7681">
        <v>-8.7219240000000003E-2</v>
      </c>
      <c r="T7681">
        <v>-0.1731731</v>
      </c>
      <c r="U7681">
        <v>3.3023989999999999</v>
      </c>
      <c r="V7681">
        <v>0.1011654</v>
      </c>
      <c r="W7681">
        <v>0.36724869999999998</v>
      </c>
      <c r="X7681">
        <v>0.92460469999999895</v>
      </c>
      <c r="Y7681">
        <v>-2.11644E-2</v>
      </c>
      <c r="Z7681">
        <v>-3.8525400000000001E-2</v>
      </c>
      <c r="AA7681">
        <v>0.99903350000000002</v>
      </c>
      <c r="AB7681">
        <v>25</v>
      </c>
      <c r="AC7681">
        <v>-0.55889999999999396</v>
      </c>
      <c r="AD7681">
        <v>-1.1102170087679999</v>
      </c>
      <c r="AE7681">
        <v>20.9285</v>
      </c>
      <c r="AF7681">
        <v>-0.44860556455907302</v>
      </c>
      <c r="AG7681">
        <v>-1.1102170087679999</v>
      </c>
      <c r="AH7681">
        <v>20.872432308013298</v>
      </c>
      <c r="AI7681">
        <v>93.044025442547493</v>
      </c>
      <c r="AJ7681">
        <v>91.231253189602398</v>
      </c>
      <c r="AK7681">
        <v>20.906751522216599</v>
      </c>
      <c r="AL7681">
        <v>68.453961606114206</v>
      </c>
      <c r="AM7681">
        <v>83.755834594710507</v>
      </c>
      <c r="AN7681">
        <v>0.99999994853546803</v>
      </c>
    </row>
    <row r="7682" spans="1:40" x14ac:dyDescent="0.25">
      <c r="A7682" t="str">
        <f>"20190304165034529"</f>
        <v>20190304165034529</v>
      </c>
      <c r="B7682" t="str">
        <f>"1551689434523558"</f>
        <v>1551689434523558</v>
      </c>
      <c r="C7682" t="s">
        <v>40</v>
      </c>
      <c r="D7682">
        <v>4.4861559999999896</v>
      </c>
      <c r="E7682">
        <v>0.46794010000000003</v>
      </c>
      <c r="F7682" t="s">
        <v>48</v>
      </c>
      <c r="G7682">
        <v>-188.55959999999999</v>
      </c>
      <c r="H7682" s="1">
        <v>-9.1163390000000003E-7</v>
      </c>
      <c r="I7682">
        <v>120.9241</v>
      </c>
      <c r="J7682">
        <v>-188.0368</v>
      </c>
      <c r="K7682">
        <v>1.110204</v>
      </c>
      <c r="L7682">
        <v>100.4332</v>
      </c>
      <c r="M7682">
        <v>-4.0351099999999997E-3</v>
      </c>
      <c r="N7682">
        <v>-1.383795E-2</v>
      </c>
      <c r="O7682">
        <v>0.99989609999999995</v>
      </c>
      <c r="P7682">
        <v>9.8260829999999993E-2</v>
      </c>
      <c r="Q7682">
        <v>0.35513860000000003</v>
      </c>
      <c r="R7682">
        <v>0.92963510000000005</v>
      </c>
      <c r="S7682">
        <v>-8.3206180000000005E-2</v>
      </c>
      <c r="T7682">
        <v>-0.17670439999999901</v>
      </c>
      <c r="U7682">
        <v>3.301361</v>
      </c>
      <c r="V7682">
        <v>0.102718</v>
      </c>
      <c r="W7682">
        <v>0.3677667</v>
      </c>
      <c r="X7682">
        <v>0.92422760000000004</v>
      </c>
      <c r="Y7682">
        <v>-2.1131549999999999E-2</v>
      </c>
      <c r="Z7682">
        <v>-3.9610550000000001E-2</v>
      </c>
      <c r="AA7682">
        <v>0.99899170000000004</v>
      </c>
      <c r="AB7682">
        <v>24</v>
      </c>
      <c r="AC7682">
        <v>-0.52279999999998905</v>
      </c>
      <c r="AD7682">
        <v>-1.1102049116338999</v>
      </c>
      <c r="AE7682">
        <v>20.4909</v>
      </c>
      <c r="AF7682">
        <v>-0.43881747214906403</v>
      </c>
      <c r="AG7682">
        <v>-1.1102049116338999</v>
      </c>
      <c r="AH7682">
        <v>20.432900851254999</v>
      </c>
      <c r="AI7682">
        <v>93.109345533519303</v>
      </c>
      <c r="AJ7682">
        <v>91.230296422196702</v>
      </c>
      <c r="AK7682">
        <v>20.467744206846501</v>
      </c>
      <c r="AL7682">
        <v>68.422050223296395</v>
      </c>
      <c r="AM7682">
        <v>83.658213371857698</v>
      </c>
      <c r="AN7682">
        <v>0.99999999487732405</v>
      </c>
    </row>
    <row r="7683" spans="1:40" x14ac:dyDescent="0.25">
      <c r="A7683" t="str">
        <f>"20190304165034544"</f>
        <v>20190304165034544</v>
      </c>
      <c r="B7683" t="str">
        <f>"1551689434533318"</f>
        <v>1551689434533318</v>
      </c>
      <c r="C7683" t="s">
        <v>40</v>
      </c>
      <c r="D7683">
        <v>4.6528070000000001</v>
      </c>
      <c r="E7683">
        <v>0.46807549999999998</v>
      </c>
      <c r="F7683" t="s">
        <v>48</v>
      </c>
      <c r="G7683">
        <v>-188.53649999999999</v>
      </c>
      <c r="H7683" s="1">
        <v>-1.3289000000000001E-6</v>
      </c>
      <c r="I7683">
        <v>121.6794</v>
      </c>
      <c r="J7683">
        <v>-188.03659999999999</v>
      </c>
      <c r="K7683">
        <v>1.1101989999999999</v>
      </c>
      <c r="L7683">
        <v>100.59780000000001</v>
      </c>
      <c r="M7683">
        <v>-3.257041E-3</v>
      </c>
      <c r="N7683">
        <v>-1.383649E-2</v>
      </c>
      <c r="O7683">
        <v>0.99989899999999998</v>
      </c>
      <c r="P7683">
        <v>0.1003672</v>
      </c>
      <c r="Q7683">
        <v>0.35565449999999998</v>
      </c>
      <c r="R7683">
        <v>0.9292127</v>
      </c>
      <c r="S7683">
        <v>-7.7651979999999995E-2</v>
      </c>
      <c r="T7683">
        <v>-0.1725005</v>
      </c>
      <c r="U7683">
        <v>3.3011780000000002</v>
      </c>
      <c r="V7683">
        <v>0.1041067</v>
      </c>
      <c r="W7683">
        <v>0.36827219999999999</v>
      </c>
      <c r="X7683">
        <v>0.92387090000000005</v>
      </c>
      <c r="Y7683">
        <v>-2.023287E-2</v>
      </c>
      <c r="Z7683">
        <v>-3.8347970000000002E-2</v>
      </c>
      <c r="AA7683">
        <v>0.99905960000000005</v>
      </c>
      <c r="AB7683">
        <v>24</v>
      </c>
      <c r="AC7683">
        <v>-0.49989999999999601</v>
      </c>
      <c r="AD7683">
        <v>-1.1102003289</v>
      </c>
      <c r="AE7683">
        <v>21.081599999999899</v>
      </c>
      <c r="AF7683">
        <v>-0.430035198105929</v>
      </c>
      <c r="AG7683">
        <v>-1.1102003289</v>
      </c>
      <c r="AH7683">
        <v>21.024841256678499</v>
      </c>
      <c r="AI7683">
        <v>93.0220207575328</v>
      </c>
      <c r="AJ7683">
        <v>91.171745674379295</v>
      </c>
      <c r="AK7683">
        <v>21.0585238065357</v>
      </c>
      <c r="AL7683">
        <v>68.390901877314207</v>
      </c>
      <c r="AM7683">
        <v>83.570727402524199</v>
      </c>
      <c r="AN7683">
        <v>1.0000000290722599</v>
      </c>
    </row>
    <row r="7684" spans="1:40" x14ac:dyDescent="0.25">
      <c r="A7684" t="str">
        <f>"20190304165034562"</f>
        <v>20190304165034562</v>
      </c>
      <c r="B7684" t="str">
        <f>"1551689434553813"</f>
        <v>1551689434553813</v>
      </c>
      <c r="C7684" t="s">
        <v>40</v>
      </c>
      <c r="D7684">
        <v>4.5089180000000004</v>
      </c>
      <c r="E7684">
        <v>0.46802310000000003</v>
      </c>
      <c r="F7684" t="s">
        <v>48</v>
      </c>
      <c r="G7684">
        <v>-188.4879</v>
      </c>
      <c r="H7684" s="1">
        <v>-1.44534699999999E-6</v>
      </c>
      <c r="I7684">
        <v>121.87949999999999</v>
      </c>
      <c r="J7684">
        <v>-188.0361</v>
      </c>
      <c r="K7684">
        <v>1.1102000000000001</v>
      </c>
      <c r="L7684">
        <v>100.8065</v>
      </c>
      <c r="M7684">
        <v>-2.2660800000000002E-3</v>
      </c>
      <c r="N7684">
        <v>-1.3834549999999999E-2</v>
      </c>
      <c r="O7684">
        <v>0.9999017</v>
      </c>
      <c r="P7684">
        <v>0.1029717</v>
      </c>
      <c r="Q7684">
        <v>0.3554773</v>
      </c>
      <c r="R7684">
        <v>0.92899549999999997</v>
      </c>
      <c r="S7684">
        <v>-7.0022580000000001E-2</v>
      </c>
      <c r="T7684">
        <v>-0.1722571</v>
      </c>
      <c r="U7684">
        <v>3.3020320000000001</v>
      </c>
      <c r="V7684">
        <v>0.105792899999999</v>
      </c>
      <c r="W7684">
        <v>0.36808679999999999</v>
      </c>
      <c r="X7684">
        <v>0.92375320000000005</v>
      </c>
      <c r="Y7684">
        <v>-1.8911130000000002E-2</v>
      </c>
      <c r="Z7684">
        <v>-3.8265019999999997E-2</v>
      </c>
      <c r="AA7684">
        <v>0.99908859999999999</v>
      </c>
      <c r="AB7684">
        <v>24</v>
      </c>
      <c r="AC7684">
        <v>-0.45179999999999099</v>
      </c>
      <c r="AD7684">
        <v>-1.1102014453469999</v>
      </c>
      <c r="AE7684">
        <v>21.073</v>
      </c>
      <c r="AF7684">
        <v>-0.402923339312456</v>
      </c>
      <c r="AG7684">
        <v>-1.1102014453469999</v>
      </c>
      <c r="AH7684">
        <v>21.015666323619101</v>
      </c>
      <c r="AI7684">
        <v>93.023417258037497</v>
      </c>
      <c r="AJ7684">
        <v>91.098370063928499</v>
      </c>
      <c r="AK7684">
        <v>21.048827176170899</v>
      </c>
      <c r="AL7684">
        <v>68.402326473042905</v>
      </c>
      <c r="AM7684">
        <v>83.466661348502399</v>
      </c>
      <c r="AN7684">
        <v>1.00000000226744</v>
      </c>
    </row>
    <row r="7685" spans="1:40" x14ac:dyDescent="0.25">
      <c r="A7685" t="str">
        <f>"20190304165034584"</f>
        <v>20190304165034584</v>
      </c>
      <c r="B7685" t="str">
        <f>"1551689434573333"</f>
        <v>1551689434573333</v>
      </c>
      <c r="C7685" t="s">
        <v>40</v>
      </c>
      <c r="D7685">
        <v>4.4816050000000001</v>
      </c>
      <c r="E7685">
        <v>0.46794750000000002</v>
      </c>
      <c r="F7685" t="s">
        <v>48</v>
      </c>
      <c r="G7685">
        <v>-188.4461</v>
      </c>
      <c r="H7685" s="1">
        <v>-1.6635330000000001E-6</v>
      </c>
      <c r="I7685">
        <v>122.26690000000001</v>
      </c>
      <c r="J7685">
        <v>-188.03530000000001</v>
      </c>
      <c r="K7685">
        <v>1.110198</v>
      </c>
      <c r="L7685">
        <v>101.0378</v>
      </c>
      <c r="M7685">
        <v>-1.166512E-3</v>
      </c>
      <c r="N7685">
        <v>-1.383231E-2</v>
      </c>
      <c r="O7685">
        <v>0.9999036</v>
      </c>
      <c r="P7685">
        <v>0.10550710000000001</v>
      </c>
      <c r="Q7685">
        <v>0.35410950000000002</v>
      </c>
      <c r="R7685">
        <v>0.92923339999999999</v>
      </c>
      <c r="S7685">
        <v>-6.3079830000000003E-2</v>
      </c>
      <c r="T7685">
        <v>-0.1708026</v>
      </c>
      <c r="U7685">
        <v>3.3016359999999998</v>
      </c>
      <c r="V7685">
        <v>0.1073036</v>
      </c>
      <c r="W7685">
        <v>0.36671999999999999</v>
      </c>
      <c r="X7685">
        <v>0.92412249999999996</v>
      </c>
      <c r="Y7685">
        <v>-1.791392E-2</v>
      </c>
      <c r="Z7685">
        <v>-3.7836099999999998E-2</v>
      </c>
      <c r="AA7685">
        <v>0.99912339999999999</v>
      </c>
      <c r="AB7685">
        <v>24</v>
      </c>
      <c r="AC7685">
        <v>-0.410799999999994</v>
      </c>
      <c r="AD7685">
        <v>-1.110199663533</v>
      </c>
      <c r="AE7685">
        <v>21.229099999999999</v>
      </c>
      <c r="AF7685">
        <v>-0.38498086576052198</v>
      </c>
      <c r="AG7685">
        <v>-1.110199663533</v>
      </c>
      <c r="AH7685">
        <v>21.171684360971302</v>
      </c>
      <c r="AI7685">
        <v>93.0012285201081</v>
      </c>
      <c r="AJ7685">
        <v>91.041738001502495</v>
      </c>
      <c r="AK7685">
        <v>21.2042677836446</v>
      </c>
      <c r="AL7685">
        <v>68.486527341510296</v>
      </c>
      <c r="AM7685">
        <v>83.376814742043294</v>
      </c>
      <c r="AN7685">
        <v>1.0000000079896001</v>
      </c>
    </row>
    <row r="7686" spans="1:40" x14ac:dyDescent="0.25">
      <c r="A7686" t="str">
        <f>"20190304165034601"</f>
        <v>20190304165034601</v>
      </c>
      <c r="B7686" t="str">
        <f>"1551689434592854"</f>
        <v>1551689434592854</v>
      </c>
      <c r="C7686" t="s">
        <v>40</v>
      </c>
      <c r="D7686">
        <v>4.4469640000000004</v>
      </c>
      <c r="E7686">
        <v>0.46782030000000002</v>
      </c>
      <c r="F7686" t="s">
        <v>48</v>
      </c>
      <c r="G7686">
        <v>-188.38720000000001</v>
      </c>
      <c r="H7686" s="1">
        <v>-1.5275899999999999E-6</v>
      </c>
      <c r="I7686">
        <v>122.0039</v>
      </c>
      <c r="J7686">
        <v>-188.03460000000001</v>
      </c>
      <c r="K7686">
        <v>1.1102000000000001</v>
      </c>
      <c r="L7686">
        <v>101.2243</v>
      </c>
      <c r="M7686">
        <v>-2.8081150000000001E-4</v>
      </c>
      <c r="N7686">
        <v>-1.3830500000000001E-2</v>
      </c>
      <c r="O7686">
        <v>0.99990429999999997</v>
      </c>
      <c r="P7686">
        <v>0.1069219</v>
      </c>
      <c r="Q7686">
        <v>0.35383559999999997</v>
      </c>
      <c r="R7686">
        <v>0.929176</v>
      </c>
      <c r="S7686">
        <v>-5.5404660000000001E-2</v>
      </c>
      <c r="T7686">
        <v>-0.17481350000000001</v>
      </c>
      <c r="U7686">
        <v>3.301361</v>
      </c>
      <c r="V7686">
        <v>0.1078914</v>
      </c>
      <c r="W7686">
        <v>0.36644409999999999</v>
      </c>
      <c r="X7686">
        <v>0.92416350000000003</v>
      </c>
      <c r="Y7686">
        <v>-1.647879E-2</v>
      </c>
      <c r="Z7686">
        <v>-3.9054390000000001E-2</v>
      </c>
      <c r="AA7686">
        <v>0.99910120000000002</v>
      </c>
      <c r="AB7686">
        <v>24</v>
      </c>
      <c r="AC7686">
        <v>-0.35259999999999497</v>
      </c>
      <c r="AD7686">
        <v>-1.1102015275899999</v>
      </c>
      <c r="AE7686">
        <v>20.779599999999999</v>
      </c>
      <c r="AF7686">
        <v>-0.345777541080941</v>
      </c>
      <c r="AG7686">
        <v>-1.1102015275899999</v>
      </c>
      <c r="AH7686">
        <v>20.720568472058201</v>
      </c>
      <c r="AI7686">
        <v>93.066531058893602</v>
      </c>
      <c r="AJ7686">
        <v>90.956043028456094</v>
      </c>
      <c r="AK7686">
        <v>20.753170055319998</v>
      </c>
      <c r="AL7686">
        <v>68.503517944954993</v>
      </c>
      <c r="AM7686">
        <v>83.341151240544306</v>
      </c>
      <c r="AN7686">
        <v>1.0000000036755099</v>
      </c>
    </row>
    <row r="7687" spans="1:40" x14ac:dyDescent="0.25">
      <c r="A7687" t="str">
        <f>"20190304165034620"</f>
        <v>20190304165034620</v>
      </c>
      <c r="B7687" t="str">
        <f>"1551689434613349"</f>
        <v>1551689434613349</v>
      </c>
      <c r="C7687" t="s">
        <v>40</v>
      </c>
      <c r="D7687">
        <v>4.4720079999999998</v>
      </c>
      <c r="E7687">
        <v>0.46770400000000001</v>
      </c>
      <c r="F7687" t="s">
        <v>48</v>
      </c>
      <c r="G7687">
        <v>-188.3631</v>
      </c>
      <c r="H7687" s="1">
        <v>-1.660867E-6</v>
      </c>
      <c r="I7687">
        <v>122.241</v>
      </c>
      <c r="J7687">
        <v>-188.03360000000001</v>
      </c>
      <c r="K7687">
        <v>1.110201</v>
      </c>
      <c r="L7687">
        <v>101.4238</v>
      </c>
      <c r="M7687">
        <v>6.6365479999999904E-4</v>
      </c>
      <c r="N7687">
        <v>-1.382853E-2</v>
      </c>
      <c r="O7687">
        <v>0.99990420000000002</v>
      </c>
      <c r="P7687">
        <v>0.10880090000000001</v>
      </c>
      <c r="Q7687">
        <v>0.35341869999999997</v>
      </c>
      <c r="R7687">
        <v>0.92911650000000001</v>
      </c>
      <c r="S7687">
        <v>-5.160522E-2</v>
      </c>
      <c r="T7687">
        <v>-0.17437620000000001</v>
      </c>
      <c r="U7687">
        <v>3.3010250000000001</v>
      </c>
      <c r="V7687">
        <v>0.1088871</v>
      </c>
      <c r="W7687">
        <v>0.36602610000000002</v>
      </c>
      <c r="X7687">
        <v>0.92421229999999999</v>
      </c>
      <c r="Y7687">
        <v>-1.6275459999999999E-2</v>
      </c>
      <c r="Z7687">
        <v>-3.8930199999999998E-2</v>
      </c>
      <c r="AA7687">
        <v>0.99910940000000004</v>
      </c>
      <c r="AB7687">
        <v>24</v>
      </c>
      <c r="AC7687">
        <v>-0.32949999999999502</v>
      </c>
      <c r="AD7687">
        <v>-1.1102026608669999</v>
      </c>
      <c r="AE7687">
        <v>20.8172</v>
      </c>
      <c r="AF7687">
        <v>-0.34234323450668203</v>
      </c>
      <c r="AG7687">
        <v>-1.1102026608669999</v>
      </c>
      <c r="AH7687">
        <v>20.757951772700501</v>
      </c>
      <c r="AI7687">
        <v>93.0610320347607</v>
      </c>
      <c r="AJ7687">
        <v>90.944844878503204</v>
      </c>
      <c r="AK7687">
        <v>20.7904379616248</v>
      </c>
      <c r="AL7687">
        <v>68.529254371989197</v>
      </c>
      <c r="AM7687">
        <v>83.280609569501493</v>
      </c>
      <c r="AN7687">
        <v>0.99999994094945299</v>
      </c>
    </row>
    <row r="7688" spans="1:40" x14ac:dyDescent="0.25">
      <c r="A7688" t="str">
        <f>"20190304165034642"</f>
        <v>20190304165034642</v>
      </c>
      <c r="B7688" t="str">
        <f>"1551689434633845"</f>
        <v>1551689434633845</v>
      </c>
      <c r="C7688" t="s">
        <v>40</v>
      </c>
      <c r="D7688">
        <v>4.4629399999999997</v>
      </c>
      <c r="E7688">
        <v>0.46757409999999999</v>
      </c>
      <c r="F7688" t="s">
        <v>48</v>
      </c>
      <c r="G7688">
        <v>-188.3305</v>
      </c>
      <c r="H7688" s="1">
        <v>-1.964077E-6</v>
      </c>
      <c r="I7688">
        <v>122.78579999999999</v>
      </c>
      <c r="J7688">
        <v>-188.03200000000001</v>
      </c>
      <c r="K7688">
        <v>1.1102050000000001</v>
      </c>
      <c r="L7688">
        <v>101.6713</v>
      </c>
      <c r="M7688">
        <v>1.829944E-3</v>
      </c>
      <c r="N7688">
        <v>-1.3826049999999999E-2</v>
      </c>
      <c r="O7688">
        <v>0.99990270000000003</v>
      </c>
      <c r="P7688">
        <v>0.11018600000000001</v>
      </c>
      <c r="Q7688">
        <v>0.35230099999999998</v>
      </c>
      <c r="R7688">
        <v>0.92937780000000003</v>
      </c>
      <c r="S7688">
        <v>-4.586792E-2</v>
      </c>
      <c r="T7688">
        <v>-0.17147679999999901</v>
      </c>
      <c r="U7688">
        <v>3.2994690000000002</v>
      </c>
      <c r="V7688">
        <v>0.109179</v>
      </c>
      <c r="W7688">
        <v>0.36491289999999998</v>
      </c>
      <c r="X7688">
        <v>0.92461800000000005</v>
      </c>
      <c r="Y7688">
        <v>-1.571295E-2</v>
      </c>
      <c r="Z7688">
        <v>-3.8082610000000003E-2</v>
      </c>
      <c r="AA7688">
        <v>0.99915109999999996</v>
      </c>
      <c r="AB7688">
        <v>24</v>
      </c>
      <c r="AC7688">
        <v>-0.29849999999999</v>
      </c>
      <c r="AD7688">
        <v>-1.11020696407699</v>
      </c>
      <c r="AE7688">
        <v>21.1144999999999</v>
      </c>
      <c r="AF7688">
        <v>-0.33621221138496898</v>
      </c>
      <c r="AG7688">
        <v>-1.11020696407699</v>
      </c>
      <c r="AH7688">
        <v>21.055717470362499</v>
      </c>
      <c r="AI7688">
        <v>93.017861434889895</v>
      </c>
      <c r="AJ7688">
        <v>90.914806337548796</v>
      </c>
      <c r="AK7688">
        <v>21.087646534070601</v>
      </c>
      <c r="AL7688">
        <v>68.597776632213794</v>
      </c>
      <c r="AM7688">
        <v>83.265690852676798</v>
      </c>
      <c r="AN7688">
        <v>0.99999996227570398</v>
      </c>
    </row>
    <row r="7689" spans="1:40" x14ac:dyDescent="0.25">
      <c r="A7689" t="str">
        <f>"20190304165034665"</f>
        <v>20190304165034665</v>
      </c>
      <c r="B7689" t="str">
        <f>"1551689434653366"</f>
        <v>1551689434653366</v>
      </c>
      <c r="C7689" t="s">
        <v>40</v>
      </c>
      <c r="D7689">
        <v>4.8479809999999999</v>
      </c>
      <c r="E7689">
        <v>0.46768389999999999</v>
      </c>
      <c r="F7689" t="s">
        <v>48</v>
      </c>
      <c r="G7689">
        <v>-188.29929999999999</v>
      </c>
      <c r="H7689" s="1">
        <v>-2.0902400000000002E-6</v>
      </c>
      <c r="I7689">
        <v>123.008</v>
      </c>
      <c r="J7689">
        <v>-188.03030000000001</v>
      </c>
      <c r="K7689">
        <v>1.110204</v>
      </c>
      <c r="L7689">
        <v>101.9097</v>
      </c>
      <c r="M7689">
        <v>2.9473809999999998E-3</v>
      </c>
      <c r="N7689">
        <v>-1.382362E-2</v>
      </c>
      <c r="O7689">
        <v>0.99990009999999996</v>
      </c>
      <c r="P7689">
        <v>0.11134040000000001</v>
      </c>
      <c r="Q7689">
        <v>0.3510027</v>
      </c>
      <c r="R7689">
        <v>0.92973139999999999</v>
      </c>
      <c r="S7689">
        <v>-4.1305540000000002E-2</v>
      </c>
      <c r="T7689">
        <v>-0.1716</v>
      </c>
      <c r="U7689">
        <v>3.2979129999999999</v>
      </c>
      <c r="V7689">
        <v>0.1092849</v>
      </c>
      <c r="W7689">
        <v>0.36362070000000002</v>
      </c>
      <c r="X7689">
        <v>0.92511449999999995</v>
      </c>
      <c r="Y7689">
        <v>-1.545499E-2</v>
      </c>
      <c r="Z7689">
        <v>-3.8146989999999999E-2</v>
      </c>
      <c r="AA7689">
        <v>0.99915259999999995</v>
      </c>
      <c r="AB7689">
        <v>24</v>
      </c>
      <c r="AC7689">
        <v>-0.26899999999997698</v>
      </c>
      <c r="AD7689">
        <v>-1.1102060902399999</v>
      </c>
      <c r="AE7689">
        <v>21.098299999999899</v>
      </c>
      <c r="AF7689">
        <v>-0.330275141853489</v>
      </c>
      <c r="AG7689">
        <v>-1.1102060902399999</v>
      </c>
      <c r="AH7689">
        <v>21.039168861380102</v>
      </c>
      <c r="AI7689">
        <v>93.020241270386407</v>
      </c>
      <c r="AJ7689">
        <v>90.899361454257203</v>
      </c>
      <c r="AK7689">
        <v>21.0710290591086</v>
      </c>
      <c r="AL7689">
        <v>68.677277605906298</v>
      </c>
      <c r="AM7689">
        <v>83.2628033242664</v>
      </c>
      <c r="AN7689">
        <v>1.0000000204733701</v>
      </c>
    </row>
    <row r="7690" spans="1:40" x14ac:dyDescent="0.25">
      <c r="A7690" t="str">
        <f>"20190304165034685"</f>
        <v>20190304165034685</v>
      </c>
      <c r="B7690" t="str">
        <f>"1551689434672889"</f>
        <v>1551689434672889</v>
      </c>
      <c r="C7690" t="s">
        <v>40</v>
      </c>
      <c r="D7690">
        <v>4.9933069999999997</v>
      </c>
      <c r="E7690">
        <v>0.50852649999999999</v>
      </c>
      <c r="F7690" t="s">
        <v>48</v>
      </c>
      <c r="G7690">
        <v>-188.26220000000001</v>
      </c>
      <c r="H7690" s="1">
        <v>-1.9575159999999999E-6</v>
      </c>
      <c r="I7690">
        <v>122.7564</v>
      </c>
      <c r="J7690">
        <v>-188.0284</v>
      </c>
      <c r="K7690">
        <v>1.110223</v>
      </c>
      <c r="L7690">
        <v>102.13979999999999</v>
      </c>
      <c r="M7690">
        <v>4.020994E-3</v>
      </c>
      <c r="N7690">
        <v>-1.38213E-2</v>
      </c>
      <c r="O7690">
        <v>0.99989640000000002</v>
      </c>
      <c r="P7690">
        <v>0.1125473</v>
      </c>
      <c r="Q7690">
        <v>0.3510644</v>
      </c>
      <c r="R7690">
        <v>0.92956269999999996</v>
      </c>
      <c r="S7690">
        <v>-3.668213E-2</v>
      </c>
      <c r="T7690">
        <v>-0.1756066</v>
      </c>
      <c r="U7690">
        <v>3.2974239999999999</v>
      </c>
      <c r="V7690">
        <v>0.1094888</v>
      </c>
      <c r="W7690">
        <v>0.36368070000000002</v>
      </c>
      <c r="X7690">
        <v>0.92506679999999997</v>
      </c>
      <c r="Y7690">
        <v>-1.5129190000000001E-2</v>
      </c>
      <c r="Z7690">
        <v>-3.9367869999999999E-2</v>
      </c>
      <c r="AA7690">
        <v>0.99911019999999995</v>
      </c>
      <c r="AB7690">
        <v>24</v>
      </c>
      <c r="AC7690">
        <v>-0.23380000000000201</v>
      </c>
      <c r="AD7690">
        <v>-1.1102249575159999</v>
      </c>
      <c r="AE7690">
        <v>20.616599999999998</v>
      </c>
      <c r="AF7690">
        <v>-0.31578960256222</v>
      </c>
      <c r="AG7690">
        <v>-1.1102249575159999</v>
      </c>
      <c r="AH7690">
        <v>20.555890073129799</v>
      </c>
      <c r="AI7690">
        <v>93.091180964822499</v>
      </c>
      <c r="AJ7690">
        <v>90.880136456918905</v>
      </c>
      <c r="AK7690">
        <v>20.588271885419999</v>
      </c>
      <c r="AL7690">
        <v>68.673587111688306</v>
      </c>
      <c r="AM7690">
        <v>83.250004334858502</v>
      </c>
      <c r="AN7690">
        <v>1.00000001667008</v>
      </c>
    </row>
    <row r="7691" spans="1:40" x14ac:dyDescent="0.25">
      <c r="A7691" t="str">
        <f>"20190304165034708"</f>
        <v>20190304165034708</v>
      </c>
      <c r="B7691" t="str">
        <f>"1551689434703142"</f>
        <v>1551689434703142</v>
      </c>
      <c r="C7691" t="s">
        <v>40</v>
      </c>
      <c r="D7691">
        <v>4.5526229999999996</v>
      </c>
      <c r="E7691">
        <v>0.56532910000000003</v>
      </c>
      <c r="F7691" t="s">
        <v>41</v>
      </c>
      <c r="G7691">
        <v>-187.9554</v>
      </c>
      <c r="H7691">
        <v>1.045401</v>
      </c>
      <c r="I7691">
        <v>102.97709999999999</v>
      </c>
      <c r="J7691">
        <v>-188.02619999999999</v>
      </c>
      <c r="K7691">
        <v>1.110239</v>
      </c>
      <c r="L7691">
        <v>102.3707</v>
      </c>
      <c r="M7691">
        <v>5.0961189999999996E-3</v>
      </c>
      <c r="N7691">
        <v>-1.381903E-2</v>
      </c>
      <c r="O7691">
        <v>0.99989150000000004</v>
      </c>
      <c r="P7691">
        <v>0.1133998</v>
      </c>
      <c r="Q7691">
        <v>0.35377710000000001</v>
      </c>
      <c r="R7691">
        <v>0.92842999999999998</v>
      </c>
      <c r="S7691">
        <v>0.28630070000000002</v>
      </c>
      <c r="T7691">
        <v>-0.25459359999999998</v>
      </c>
      <c r="U7691">
        <v>3.288818</v>
      </c>
      <c r="V7691">
        <v>0.1093476</v>
      </c>
      <c r="W7691">
        <v>0.36637839999999999</v>
      </c>
      <c r="X7691">
        <v>0.92401840000000002</v>
      </c>
      <c r="Y7691">
        <v>8.1422170000000002E-2</v>
      </c>
      <c r="Z7691">
        <v>-6.312458E-2</v>
      </c>
      <c r="AA7691">
        <v>0.99467870000000003</v>
      </c>
      <c r="AB7691">
        <v>24</v>
      </c>
      <c r="AC7691">
        <v>7.07999999999913E-2</v>
      </c>
      <c r="AD7691">
        <v>-6.4837999999999896E-2</v>
      </c>
      <c r="AE7691">
        <v>0.60639999999999294</v>
      </c>
      <c r="AF7691">
        <v>6.6953349136262497E-2</v>
      </c>
      <c r="AG7691">
        <v>-6.4837999999999896E-2</v>
      </c>
      <c r="AH7691">
        <v>0.59998587776461099</v>
      </c>
      <c r="AI7691">
        <v>96.130026225043906</v>
      </c>
      <c r="AJ7691">
        <v>83.632618731930293</v>
      </c>
      <c r="AK7691">
        <v>0.60718182673852605</v>
      </c>
      <c r="AL7691">
        <v>68.507563934883194</v>
      </c>
      <c r="AM7691">
        <v>83.251050853226502</v>
      </c>
      <c r="AN7691">
        <v>1.0000000165754399</v>
      </c>
    </row>
    <row r="7692" spans="1:40" x14ac:dyDescent="0.25">
      <c r="A7692" t="str">
        <f>"20190304165034730"</f>
        <v>20190304165034730</v>
      </c>
      <c r="B7692" t="str">
        <f>"1551689434723638"</f>
        <v>1551689434723638</v>
      </c>
      <c r="C7692" t="s">
        <v>40</v>
      </c>
      <c r="D7692">
        <v>4.4767619999999999</v>
      </c>
      <c r="E7692">
        <v>0.56722130000000004</v>
      </c>
      <c r="F7692" t="s">
        <v>41</v>
      </c>
      <c r="G7692">
        <v>-187.8434</v>
      </c>
      <c r="H7692">
        <v>1.0188330000000001</v>
      </c>
      <c r="I7692">
        <v>103.18899999999999</v>
      </c>
      <c r="J7692">
        <v>-188.02359999999999</v>
      </c>
      <c r="K7692">
        <v>1.110257</v>
      </c>
      <c r="L7692">
        <v>102.62050000000001</v>
      </c>
      <c r="M7692">
        <v>6.2577700000000002E-3</v>
      </c>
      <c r="N7692">
        <v>-1.381662E-2</v>
      </c>
      <c r="O7692">
        <v>0.99988500000000002</v>
      </c>
      <c r="P7692">
        <v>0.1142825</v>
      </c>
      <c r="Q7692">
        <v>0.35567739999999998</v>
      </c>
      <c r="R7692">
        <v>0.92759530000000001</v>
      </c>
      <c r="S7692">
        <v>0.73268129999999998</v>
      </c>
      <c r="T7692">
        <v>-0.3665273</v>
      </c>
      <c r="U7692">
        <v>3.2814329999999998</v>
      </c>
      <c r="V7692">
        <v>0.1091554</v>
      </c>
      <c r="W7692">
        <v>0.36826819999999999</v>
      </c>
      <c r="X7692">
        <v>0.92328960000000004</v>
      </c>
      <c r="Y7692">
        <v>0.21064659999999999</v>
      </c>
      <c r="Z7692">
        <v>-9.4706299999999993E-2</v>
      </c>
      <c r="AA7692">
        <v>0.97296389999999999</v>
      </c>
      <c r="AB7692">
        <v>24</v>
      </c>
      <c r="AC7692">
        <v>0.18019999999998501</v>
      </c>
      <c r="AD7692">
        <v>-9.1423999999999894E-2</v>
      </c>
      <c r="AE7692">
        <v>0.56849999999998602</v>
      </c>
      <c r="AF7692">
        <v>0.17258277898381599</v>
      </c>
      <c r="AG7692">
        <v>-9.1423999999999894E-2</v>
      </c>
      <c r="AH7692">
        <v>0.55653761953659397</v>
      </c>
      <c r="AI7692">
        <v>98.917116770048693</v>
      </c>
      <c r="AJ7692">
        <v>72.771293216523105</v>
      </c>
      <c r="AK7692">
        <v>0.58981122856150803</v>
      </c>
      <c r="AL7692">
        <v>68.391148337685493</v>
      </c>
      <c r="AM7692">
        <v>83.2575352520427</v>
      </c>
      <c r="AN7692">
        <v>1.0000000269742699</v>
      </c>
    </row>
    <row r="7693" spans="1:40" x14ac:dyDescent="0.25">
      <c r="A7693" t="str">
        <f>"20190304165034752"</f>
        <v>20190304165034752</v>
      </c>
      <c r="B7693" t="str">
        <f>"1551689434743158"</f>
        <v>1551689434743158</v>
      </c>
      <c r="C7693" t="s">
        <v>40</v>
      </c>
      <c r="D7693">
        <v>4.4674449999999997</v>
      </c>
      <c r="E7693">
        <v>0.56750880000000004</v>
      </c>
      <c r="F7693" t="s">
        <v>42</v>
      </c>
      <c r="G7693">
        <v>-185.7269</v>
      </c>
      <c r="H7693" s="1">
        <v>-2.161555E-6</v>
      </c>
      <c r="I7693">
        <v>112.6589</v>
      </c>
      <c r="J7693">
        <v>-188.0206</v>
      </c>
      <c r="K7693">
        <v>1.1102510000000001</v>
      </c>
      <c r="L7693">
        <v>102.8719</v>
      </c>
      <c r="M7693">
        <v>7.4270359999999997E-3</v>
      </c>
      <c r="N7693">
        <v>-1.381422E-2</v>
      </c>
      <c r="O7693">
        <v>0.99987700000000002</v>
      </c>
      <c r="P7693">
        <v>0.1157359</v>
      </c>
      <c r="Q7693">
        <v>0.35637780000000002</v>
      </c>
      <c r="R7693">
        <v>0.92714620000000003</v>
      </c>
      <c r="S7693">
        <v>0.75061040000000001</v>
      </c>
      <c r="T7693">
        <v>-0.36286390000000002</v>
      </c>
      <c r="U7693">
        <v>3.2808229999999998</v>
      </c>
      <c r="V7693">
        <v>0.1095241</v>
      </c>
      <c r="W7693">
        <v>0.36896230000000002</v>
      </c>
      <c r="X7693">
        <v>0.92296869999999998</v>
      </c>
      <c r="Y7693">
        <v>0.2146219</v>
      </c>
      <c r="Z7693">
        <v>-9.3546080000000004E-2</v>
      </c>
      <c r="AA7693">
        <v>0.97220709999999999</v>
      </c>
      <c r="AB7693">
        <v>24</v>
      </c>
      <c r="AC7693">
        <v>2.2936999999999999</v>
      </c>
      <c r="AD7693">
        <v>-1.110253161555</v>
      </c>
      <c r="AE7693">
        <v>9.7870000000000008</v>
      </c>
      <c r="AF7693">
        <v>2.1941747223838002</v>
      </c>
      <c r="AG7693">
        <v>-1.110253161555</v>
      </c>
      <c r="AH7693">
        <v>9.6856125619108298</v>
      </c>
      <c r="AI7693">
        <v>96.378968401503499</v>
      </c>
      <c r="AJ7693">
        <v>77.2356826488585</v>
      </c>
      <c r="AK7693">
        <v>9.9929052579585491</v>
      </c>
      <c r="AL7693">
        <v>68.348365318335794</v>
      </c>
      <c r="AM7693">
        <v>83.232641325084799</v>
      </c>
      <c r="AN7693">
        <v>0.99999996424089399</v>
      </c>
    </row>
    <row r="7694" spans="1:40" x14ac:dyDescent="0.25">
      <c r="A7694" t="str">
        <f>"20190304165034774"</f>
        <v>20190304165034774</v>
      </c>
      <c r="B7694" t="str">
        <f>"1551689434763657"</f>
        <v>1551689434763657</v>
      </c>
      <c r="C7694" t="s">
        <v>40</v>
      </c>
      <c r="D7694">
        <v>4.3502989999999997</v>
      </c>
      <c r="E7694">
        <v>0.5683338</v>
      </c>
      <c r="F7694" t="s">
        <v>42</v>
      </c>
      <c r="G7694">
        <v>-185.70009999999999</v>
      </c>
      <c r="H7694" s="1">
        <v>-2.257645E-6</v>
      </c>
      <c r="I7694">
        <v>112.9203</v>
      </c>
      <c r="J7694">
        <v>-188.01779999999999</v>
      </c>
      <c r="K7694">
        <v>1.1102559999999999</v>
      </c>
      <c r="L7694">
        <v>103.092</v>
      </c>
      <c r="M7694">
        <v>8.4510319999999903E-3</v>
      </c>
      <c r="N7694">
        <v>-1.3812E-2</v>
      </c>
      <c r="O7694">
        <v>0.99986889999999995</v>
      </c>
      <c r="P7694">
        <v>0.1169907</v>
      </c>
      <c r="Q7694">
        <v>0.35603279999999998</v>
      </c>
      <c r="R7694">
        <v>0.92712130000000004</v>
      </c>
      <c r="S7694">
        <v>0.75756840000000003</v>
      </c>
      <c r="T7694">
        <v>-0.36246220000000001</v>
      </c>
      <c r="U7694">
        <v>3.2804869999999999</v>
      </c>
      <c r="V7694">
        <v>0.1098252</v>
      </c>
      <c r="W7694">
        <v>0.36861699999999997</v>
      </c>
      <c r="X7694">
        <v>0.92307090000000003</v>
      </c>
      <c r="Y7694">
        <v>0.2156045</v>
      </c>
      <c r="Z7694">
        <v>-9.3405130000000003E-2</v>
      </c>
      <c r="AA7694">
        <v>0.97200319999999996</v>
      </c>
      <c r="AB7694">
        <v>24</v>
      </c>
      <c r="AC7694">
        <v>2.3176999999999999</v>
      </c>
      <c r="AD7694">
        <v>-1.110258257645</v>
      </c>
      <c r="AE7694">
        <v>9.8282999999999792</v>
      </c>
      <c r="AF7694">
        <v>2.2078593831069302</v>
      </c>
      <c r="AG7694">
        <v>-1.110258257645</v>
      </c>
      <c r="AH7694">
        <v>9.7299136453367403</v>
      </c>
      <c r="AI7694">
        <v>96.349681849007197</v>
      </c>
      <c r="AJ7694">
        <v>77.215247253751002</v>
      </c>
      <c r="AK7694">
        <v>10.0388513287104</v>
      </c>
      <c r="AL7694">
        <v>68.369650122514102</v>
      </c>
      <c r="AM7694">
        <v>83.214954281125699</v>
      </c>
      <c r="AN7694">
        <v>0.99999997683542396</v>
      </c>
    </row>
    <row r="7695" spans="1:40" x14ac:dyDescent="0.25">
      <c r="A7695" t="str">
        <f>"20190304165034787"</f>
        <v>20190304165034787</v>
      </c>
      <c r="B7695" t="str">
        <f>"1551689434783174"</f>
        <v>1551689434783174</v>
      </c>
      <c r="C7695" t="s">
        <v>40</v>
      </c>
      <c r="D7695">
        <v>4.5705150000000003</v>
      </c>
      <c r="E7695">
        <v>0.56873960000000001</v>
      </c>
      <c r="F7695" t="s">
        <v>42</v>
      </c>
      <c r="G7695">
        <v>-185.58240000000001</v>
      </c>
      <c r="H7695" s="1">
        <v>-2.4717910000000002E-6</v>
      </c>
      <c r="I7695">
        <v>113.4575</v>
      </c>
      <c r="J7695">
        <v>-188.01589999999999</v>
      </c>
      <c r="K7695">
        <v>1.1102590000000001</v>
      </c>
      <c r="L7695">
        <v>103.2317</v>
      </c>
      <c r="M7695">
        <v>9.10007E-3</v>
      </c>
      <c r="N7695">
        <v>-1.381056E-2</v>
      </c>
      <c r="O7695">
        <v>0.99986319999999995</v>
      </c>
      <c r="P7695">
        <v>0.11767619999999999</v>
      </c>
      <c r="Q7695">
        <v>0.35585080000000002</v>
      </c>
      <c r="R7695">
        <v>0.92710440000000005</v>
      </c>
      <c r="S7695">
        <v>0.76910400000000001</v>
      </c>
      <c r="T7695">
        <v>-0.35061809999999899</v>
      </c>
      <c r="U7695">
        <v>3.2734220000000001</v>
      </c>
      <c r="V7695">
        <v>0.10990610000000001</v>
      </c>
      <c r="W7695">
        <v>0.36843540000000002</v>
      </c>
      <c r="X7695">
        <v>0.9231338</v>
      </c>
      <c r="Y7695">
        <v>0.2187509</v>
      </c>
      <c r="Z7695">
        <v>-9.0079010000000001E-2</v>
      </c>
      <c r="AA7695">
        <v>0.97161399999999998</v>
      </c>
      <c r="AB7695">
        <v>24</v>
      </c>
      <c r="AC7695">
        <v>2.43349999999998</v>
      </c>
      <c r="AD7695">
        <v>-1.110261471791</v>
      </c>
      <c r="AE7695">
        <v>10.2257999999999</v>
      </c>
      <c r="AF7695">
        <v>2.3145127522168099</v>
      </c>
      <c r="AG7695">
        <v>-1.110261471791</v>
      </c>
      <c r="AH7695">
        <v>10.134457549815201</v>
      </c>
      <c r="AI7695">
        <v>96.096264000290404</v>
      </c>
      <c r="AJ7695">
        <v>77.135393672252206</v>
      </c>
      <c r="AK7695">
        <v>10.4545147972024</v>
      </c>
      <c r="AL7695">
        <v>68.380843418111098</v>
      </c>
      <c r="AM7695">
        <v>83.210461227266606</v>
      </c>
      <c r="AN7695">
        <v>1.0000000037464001</v>
      </c>
    </row>
    <row r="7696" spans="1:40" x14ac:dyDescent="0.25">
      <c r="A7696" t="str">
        <f>"20190304165034808"</f>
        <v>20190304165034808</v>
      </c>
      <c r="B7696" t="str">
        <f>"1551689434803670"</f>
        <v>1551689434803670</v>
      </c>
      <c r="C7696" t="s">
        <v>40</v>
      </c>
      <c r="D7696">
        <v>4.7257920000000002</v>
      </c>
      <c r="E7696">
        <v>0.56833730000000005</v>
      </c>
      <c r="F7696" t="s">
        <v>42</v>
      </c>
      <c r="G7696">
        <v>-185.51050000000001</v>
      </c>
      <c r="H7696" s="1">
        <v>-2.6029920000000001E-6</v>
      </c>
      <c r="I7696">
        <v>113.7869</v>
      </c>
      <c r="J7696">
        <v>-188.01259999999999</v>
      </c>
      <c r="K7696">
        <v>1.110263</v>
      </c>
      <c r="L7696">
        <v>103.4622</v>
      </c>
      <c r="M7696">
        <v>1.016853E-2</v>
      </c>
      <c r="N7696">
        <v>-1.380816E-2</v>
      </c>
      <c r="O7696">
        <v>0.99985299999999999</v>
      </c>
      <c r="P7696">
        <v>0.1184881</v>
      </c>
      <c r="Q7696">
        <v>0.3557633</v>
      </c>
      <c r="R7696">
        <v>0.92703460000000004</v>
      </c>
      <c r="S7696">
        <v>0.77601619999999905</v>
      </c>
      <c r="T7696">
        <v>-0.34389360000000002</v>
      </c>
      <c r="U7696">
        <v>3.2693789999999998</v>
      </c>
      <c r="V7696">
        <v>0.1097225</v>
      </c>
      <c r="W7696">
        <v>0.3683476</v>
      </c>
      <c r="X7696">
        <v>0.92319070000000003</v>
      </c>
      <c r="Y7696">
        <v>0.2199623</v>
      </c>
      <c r="Z7696">
        <v>-8.8192610000000005E-2</v>
      </c>
      <c r="AA7696">
        <v>0.97151359999999998</v>
      </c>
      <c r="AB7696">
        <v>24</v>
      </c>
      <c r="AC7696">
        <v>2.50209999999998</v>
      </c>
      <c r="AD7696">
        <v>-1.1102656029919999</v>
      </c>
      <c r="AE7696">
        <v>10.3247</v>
      </c>
      <c r="AF7696">
        <v>2.3710759914955801</v>
      </c>
      <c r="AG7696">
        <v>-1.1102656029919999</v>
      </c>
      <c r="AH7696">
        <v>10.237791013563999</v>
      </c>
      <c r="AI7696">
        <v>96.030999133776007</v>
      </c>
      <c r="AJ7696">
        <v>76.960179508017902</v>
      </c>
      <c r="AK7696">
        <v>10.56726340658</v>
      </c>
      <c r="AL7696">
        <v>68.386255030719099</v>
      </c>
      <c r="AM7696">
        <v>83.222111536098097</v>
      </c>
      <c r="AN7696">
        <v>1.00000002499924</v>
      </c>
    </row>
    <row r="7697" spans="1:40" x14ac:dyDescent="0.25">
      <c r="A7697" t="str">
        <f>"20190304165034832"</f>
        <v>20190304165034832</v>
      </c>
      <c r="B7697" t="str">
        <f>"1551689434824166"</f>
        <v>1551689434824166</v>
      </c>
      <c r="C7697" t="s">
        <v>40</v>
      </c>
      <c r="D7697">
        <v>4.5820819999999998</v>
      </c>
      <c r="E7697">
        <v>0.56779369999999996</v>
      </c>
      <c r="F7697" t="s">
        <v>42</v>
      </c>
      <c r="G7697">
        <v>-185.53729999999999</v>
      </c>
      <c r="H7697" s="1">
        <v>-2.6286499999999998E-6</v>
      </c>
      <c r="I7697">
        <v>113.8832</v>
      </c>
      <c r="J7697">
        <v>-188.0085</v>
      </c>
      <c r="K7697">
        <v>1.1102719999999999</v>
      </c>
      <c r="L7697">
        <v>103.72320000000001</v>
      </c>
      <c r="M7697">
        <v>1.136935E-2</v>
      </c>
      <c r="N7697">
        <v>-1.380548E-2</v>
      </c>
      <c r="O7697">
        <v>0.99984010000000001</v>
      </c>
      <c r="P7697">
        <v>0.1200016</v>
      </c>
      <c r="Q7697">
        <v>0.35557909999999998</v>
      </c>
      <c r="R7697">
        <v>0.92691049999999997</v>
      </c>
      <c r="S7697">
        <v>0.77685550000000003</v>
      </c>
      <c r="T7697">
        <v>-0.34845029999999999</v>
      </c>
      <c r="U7697">
        <v>3.2705540000000002</v>
      </c>
      <c r="V7697">
        <v>0.1101148</v>
      </c>
      <c r="W7697">
        <v>0.36816270000000001</v>
      </c>
      <c r="X7697">
        <v>0.92321770000000003</v>
      </c>
      <c r="Y7697">
        <v>0.21892030000000001</v>
      </c>
      <c r="Z7697">
        <v>-8.9506370000000002E-2</v>
      </c>
      <c r="AA7697">
        <v>0.97162879999999996</v>
      </c>
      <c r="AB7697">
        <v>24</v>
      </c>
      <c r="AC7697">
        <v>2.4712000000000098</v>
      </c>
      <c r="AD7697">
        <v>-1.11027462864999</v>
      </c>
      <c r="AE7697">
        <v>10.159999999999901</v>
      </c>
      <c r="AF7697">
        <v>2.3292545870846602</v>
      </c>
      <c r="AG7697">
        <v>-1.11027462864999</v>
      </c>
      <c r="AH7697">
        <v>10.0738602757195</v>
      </c>
      <c r="AI7697">
        <v>96.128960609508397</v>
      </c>
      <c r="AJ7697">
        <v>76.980990583760502</v>
      </c>
      <c r="AK7697">
        <v>10.3990767636939</v>
      </c>
      <c r="AL7697">
        <v>68.397648818854293</v>
      </c>
      <c r="AM7697">
        <v>83.198301696741396</v>
      </c>
      <c r="AN7697">
        <v>0.99999998222180897</v>
      </c>
    </row>
    <row r="7698" spans="1:40" x14ac:dyDescent="0.25">
      <c r="A7698" t="str">
        <f>"20190304165034856"</f>
        <v>20190304165034856</v>
      </c>
      <c r="B7698" t="str">
        <f>"1551689434843686"</f>
        <v>1551689434843686</v>
      </c>
      <c r="C7698" t="s">
        <v>40</v>
      </c>
      <c r="D7698">
        <v>4.5815640000000002</v>
      </c>
      <c r="E7698">
        <v>0.56761410000000001</v>
      </c>
      <c r="F7698" t="s">
        <v>42</v>
      </c>
      <c r="G7698">
        <v>-185.5899</v>
      </c>
      <c r="H7698" s="1">
        <v>-2.6195309999999999E-6</v>
      </c>
      <c r="I7698">
        <v>113.89749999999999</v>
      </c>
      <c r="J7698">
        <v>-188.0044</v>
      </c>
      <c r="K7698">
        <v>1.110287</v>
      </c>
      <c r="L7698">
        <v>103.9688</v>
      </c>
      <c r="M7698">
        <v>1.2484210000000001E-2</v>
      </c>
      <c r="N7698">
        <v>-1.380295E-2</v>
      </c>
      <c r="O7698">
        <v>0.99982680000000002</v>
      </c>
      <c r="P7698">
        <v>0.12235989999999999</v>
      </c>
      <c r="Q7698">
        <v>0.35552450000000002</v>
      </c>
      <c r="R7698">
        <v>0.92662310000000003</v>
      </c>
      <c r="S7698">
        <v>0.77801509999999996</v>
      </c>
      <c r="T7698">
        <v>-0.35715150000000001</v>
      </c>
      <c r="U7698">
        <v>3.2728579999999998</v>
      </c>
      <c r="V7698">
        <v>0.1114305</v>
      </c>
      <c r="W7698">
        <v>0.36810510000000002</v>
      </c>
      <c r="X7698">
        <v>0.92308279999999998</v>
      </c>
      <c r="Y7698">
        <v>0.21794930000000001</v>
      </c>
      <c r="Z7698">
        <v>-9.1996369999999994E-2</v>
      </c>
      <c r="AA7698">
        <v>0.97161450000000005</v>
      </c>
      <c r="AB7698">
        <v>24</v>
      </c>
      <c r="AC7698">
        <v>2.4144999999999999</v>
      </c>
      <c r="AD7698">
        <v>-1.1102896195309999</v>
      </c>
      <c r="AE7698">
        <v>9.9286999999999903</v>
      </c>
      <c r="AF7698">
        <v>2.2636217107732901</v>
      </c>
      <c r="AG7698">
        <v>-1.1102896195309999</v>
      </c>
      <c r="AH7698">
        <v>9.8418703387524999</v>
      </c>
      <c r="AI7698">
        <v>96.2740369122224</v>
      </c>
      <c r="AJ7698">
        <v>77.047282302664797</v>
      </c>
      <c r="AK7698">
        <v>10.159681985846699</v>
      </c>
      <c r="AL7698">
        <v>68.401198466201706</v>
      </c>
      <c r="AM7698">
        <v>83.116810822761494</v>
      </c>
      <c r="AN7698">
        <v>0.99999998831604997</v>
      </c>
    </row>
    <row r="7699" spans="1:40" x14ac:dyDescent="0.25">
      <c r="A7699" t="str">
        <f>"20190304165034874"</f>
        <v>20190304165034874</v>
      </c>
      <c r="B7699" t="str">
        <f>"1551689434863206"</f>
        <v>1551689434863206</v>
      </c>
      <c r="C7699" t="s">
        <v>40</v>
      </c>
      <c r="D7699">
        <v>4.6021000000000001</v>
      </c>
      <c r="E7699">
        <v>0.56749589999999905</v>
      </c>
      <c r="F7699" t="s">
        <v>42</v>
      </c>
      <c r="G7699">
        <v>-185.6156</v>
      </c>
      <c r="H7699" s="1">
        <v>-2.6306989999999998E-6</v>
      </c>
      <c r="I7699">
        <v>113.9504</v>
      </c>
      <c r="J7699">
        <v>-188.00069999999999</v>
      </c>
      <c r="K7699">
        <v>1.1103080000000001</v>
      </c>
      <c r="L7699">
        <v>104.17749999999999</v>
      </c>
      <c r="M7699">
        <v>1.3408399999999999E-2</v>
      </c>
      <c r="N7699">
        <v>-1.380061E-2</v>
      </c>
      <c r="O7699">
        <v>0.99981489999999995</v>
      </c>
      <c r="P7699">
        <v>0.1246327</v>
      </c>
      <c r="Q7699">
        <v>0.35557699999999998</v>
      </c>
      <c r="R7699">
        <v>0.92630000000000001</v>
      </c>
      <c r="S7699">
        <v>0.78349299999999999</v>
      </c>
      <c r="T7699">
        <v>-0.36415599999999998</v>
      </c>
      <c r="U7699">
        <v>3.273819</v>
      </c>
      <c r="V7699">
        <v>0.1128344</v>
      </c>
      <c r="W7699">
        <v>0.36815510000000001</v>
      </c>
      <c r="X7699">
        <v>0.9228923</v>
      </c>
      <c r="Y7699">
        <v>0.21847469999999999</v>
      </c>
      <c r="Z7699">
        <v>-9.3992850000000003E-2</v>
      </c>
      <c r="AA7699">
        <v>0.97130539999999999</v>
      </c>
      <c r="AB7699">
        <v>24</v>
      </c>
      <c r="AC7699">
        <v>2.3850999999999898</v>
      </c>
      <c r="AD7699">
        <v>-1.110310630699</v>
      </c>
      <c r="AE7699">
        <v>9.7728999999999999</v>
      </c>
      <c r="AF7699">
        <v>2.22670852524818</v>
      </c>
      <c r="AG7699">
        <v>-1.110310630699</v>
      </c>
      <c r="AH7699">
        <v>9.6860104595780392</v>
      </c>
      <c r="AI7699">
        <v>96.374440989392895</v>
      </c>
      <c r="AJ7699">
        <v>77.053268815894498</v>
      </c>
      <c r="AK7699">
        <v>10.0004909467541</v>
      </c>
      <c r="AL7699">
        <v>68.398117302905703</v>
      </c>
      <c r="AM7699">
        <v>83.0295135201671</v>
      </c>
      <c r="AN7699">
        <v>0.99999998843932902</v>
      </c>
    </row>
    <row r="7700" spans="1:40" x14ac:dyDescent="0.25">
      <c r="A7700" t="str">
        <f>"20190304165034899"</f>
        <v>20190304165034899</v>
      </c>
      <c r="B7700" t="str">
        <f>"1551689434893462"</f>
        <v>1551689434893462</v>
      </c>
      <c r="C7700" t="s">
        <v>40</v>
      </c>
      <c r="D7700">
        <v>4.6168040000000001</v>
      </c>
      <c r="E7700">
        <v>0.56729439999999998</v>
      </c>
      <c r="F7700" t="s">
        <v>42</v>
      </c>
      <c r="G7700">
        <v>-185.6223</v>
      </c>
      <c r="H7700" s="1">
        <v>-2.6650630000000002E-6</v>
      </c>
      <c r="I7700">
        <v>114.035</v>
      </c>
      <c r="J7700">
        <v>-187.99610000000001</v>
      </c>
      <c r="K7700">
        <v>1.1103339999999999</v>
      </c>
      <c r="L7700">
        <v>104.42610000000001</v>
      </c>
      <c r="M7700">
        <v>1.4477469999999999E-2</v>
      </c>
      <c r="N7700">
        <v>-1.379769E-2</v>
      </c>
      <c r="O7700">
        <v>0.99980000000000002</v>
      </c>
      <c r="P7700">
        <v>0.12750549999999999</v>
      </c>
      <c r="Q7700">
        <v>0.35546509999999998</v>
      </c>
      <c r="R7700">
        <v>0.92595190000000005</v>
      </c>
      <c r="S7700">
        <v>0.78996279999999997</v>
      </c>
      <c r="T7700">
        <v>-0.36876769999999998</v>
      </c>
      <c r="U7700">
        <v>3.2739560000000001</v>
      </c>
      <c r="V7700">
        <v>0.1146968</v>
      </c>
      <c r="W7700">
        <v>0.36804160000000002</v>
      </c>
      <c r="X7700">
        <v>0.92270799999999997</v>
      </c>
      <c r="Y7700">
        <v>0.21920500000000001</v>
      </c>
      <c r="Z7700">
        <v>-9.5306630000000003E-2</v>
      </c>
      <c r="AA7700">
        <v>0.97101280000000001</v>
      </c>
      <c r="AB7700">
        <v>24</v>
      </c>
      <c r="AC7700">
        <v>2.3738000000000099</v>
      </c>
      <c r="AD7700">
        <v>-1.110336665063</v>
      </c>
      <c r="AE7700">
        <v>9.6088999999999896</v>
      </c>
      <c r="AF7700">
        <v>2.2066557986576498</v>
      </c>
      <c r="AG7700">
        <v>-1.110336665063</v>
      </c>
      <c r="AH7700">
        <v>9.5224280565730997</v>
      </c>
      <c r="AI7700">
        <v>96.480575441395402</v>
      </c>
      <c r="AJ7700">
        <v>76.952995077803806</v>
      </c>
      <c r="AK7700">
        <v>9.8376223456759693</v>
      </c>
      <c r="AL7700">
        <v>68.405112041025205</v>
      </c>
      <c r="AM7700">
        <v>82.914220498893499</v>
      </c>
      <c r="AN7700">
        <v>1.0000000142623999</v>
      </c>
    </row>
    <row r="7701" spans="1:40" x14ac:dyDescent="0.25">
      <c r="A7701" t="str">
        <f>"20190304165034920"</f>
        <v>20190304165034920</v>
      </c>
      <c r="B7701" t="str">
        <f>"1551689434912982"</f>
        <v>1551689434912982</v>
      </c>
      <c r="C7701" t="s">
        <v>40</v>
      </c>
      <c r="D7701">
        <v>4.6132099999999996</v>
      </c>
      <c r="E7701">
        <v>0.56705689999999997</v>
      </c>
      <c r="F7701" t="s">
        <v>42</v>
      </c>
      <c r="G7701">
        <v>-185.64</v>
      </c>
      <c r="H7701" s="1">
        <v>-2.6893120000000001E-6</v>
      </c>
      <c r="I7701">
        <v>114.0988</v>
      </c>
      <c r="J7701">
        <v>-187.9914</v>
      </c>
      <c r="K7701">
        <v>1.110365</v>
      </c>
      <c r="L7701">
        <v>104.66540000000001</v>
      </c>
      <c r="M7701">
        <v>1.5451950000000001E-2</v>
      </c>
      <c r="N7701">
        <v>-1.379477E-2</v>
      </c>
      <c r="O7701">
        <v>0.99978540000000005</v>
      </c>
      <c r="P7701">
        <v>0.13061529999999999</v>
      </c>
      <c r="Q7701">
        <v>0.35559390000000002</v>
      </c>
      <c r="R7701">
        <v>0.92546890000000004</v>
      </c>
      <c r="S7701">
        <v>0.79756159999999998</v>
      </c>
      <c r="T7701">
        <v>-0.37586639999999999</v>
      </c>
      <c r="U7701">
        <v>3.2743679999999999</v>
      </c>
      <c r="V7701">
        <v>0.1168778</v>
      </c>
      <c r="W7701">
        <v>0.36816979999999999</v>
      </c>
      <c r="X7701">
        <v>0.92238310000000001</v>
      </c>
      <c r="Y7701">
        <v>0.22030449999999999</v>
      </c>
      <c r="Z7701">
        <v>-9.7327150000000001E-2</v>
      </c>
      <c r="AA7701">
        <v>0.97056339999999997</v>
      </c>
      <c r="AB7701">
        <v>24</v>
      </c>
      <c r="AC7701">
        <v>2.3514000000000101</v>
      </c>
      <c r="AD7701">
        <v>-1.110367689312</v>
      </c>
      <c r="AE7701">
        <v>9.43339999999999</v>
      </c>
      <c r="AF7701">
        <v>2.17694434259734</v>
      </c>
      <c r="AG7701">
        <v>-1.110367689312</v>
      </c>
      <c r="AH7701">
        <v>9.3466903086373794</v>
      </c>
      <c r="AI7701">
        <v>96.599842082586605</v>
      </c>
      <c r="AJ7701">
        <v>76.888943709687794</v>
      </c>
      <c r="AK7701">
        <v>9.6608810572230208</v>
      </c>
      <c r="AL7701">
        <v>68.397211745817998</v>
      </c>
      <c r="AM7701">
        <v>82.778374338789007</v>
      </c>
      <c r="AN7701">
        <v>1.00000000246524</v>
      </c>
    </row>
    <row r="7702" spans="1:40" x14ac:dyDescent="0.25">
      <c r="A7702" t="str">
        <f>"20190304165034943"</f>
        <v>20190304165034943</v>
      </c>
      <c r="B7702" t="str">
        <f>"1551689434933478"</f>
        <v>1551689434933478</v>
      </c>
      <c r="C7702" t="s">
        <v>40</v>
      </c>
      <c r="D7702">
        <v>5.4178119999999996</v>
      </c>
      <c r="E7702">
        <v>0.56705130000000004</v>
      </c>
      <c r="F7702" t="s">
        <v>42</v>
      </c>
      <c r="G7702">
        <v>-185.62739999999999</v>
      </c>
      <c r="H7702" s="1">
        <v>-2.7712339999999999E-6</v>
      </c>
      <c r="I7702">
        <v>114.2846</v>
      </c>
      <c r="J7702">
        <v>-187.98650000000001</v>
      </c>
      <c r="K7702">
        <v>1.110414</v>
      </c>
      <c r="L7702">
        <v>104.9081</v>
      </c>
      <c r="M7702">
        <v>1.6381280000000002E-2</v>
      </c>
      <c r="N7702">
        <v>-1.37917E-2</v>
      </c>
      <c r="O7702">
        <v>0.99977070000000001</v>
      </c>
      <c r="P7702">
        <v>0.1335616</v>
      </c>
      <c r="Q7702">
        <v>0.3559774</v>
      </c>
      <c r="R7702">
        <v>0.92490079999999997</v>
      </c>
      <c r="S7702">
        <v>0.80442809999999998</v>
      </c>
      <c r="T7702">
        <v>-0.3778396</v>
      </c>
      <c r="U7702">
        <v>3.2732389999999998</v>
      </c>
      <c r="V7702">
        <v>0.118933</v>
      </c>
      <c r="W7702">
        <v>0.36855369999999998</v>
      </c>
      <c r="X7702">
        <v>0.92196699999999998</v>
      </c>
      <c r="Y7702">
        <v>0.22138070000000001</v>
      </c>
      <c r="Z7702">
        <v>-9.7901840000000004E-2</v>
      </c>
      <c r="AA7702">
        <v>0.97026069999999998</v>
      </c>
      <c r="AB7702">
        <v>24</v>
      </c>
      <c r="AC7702">
        <v>2.35910000000001</v>
      </c>
      <c r="AD7702">
        <v>-1.1104167712340001</v>
      </c>
      <c r="AE7702">
        <v>9.3764999999999894</v>
      </c>
      <c r="AF7702">
        <v>2.1764628611718599</v>
      </c>
      <c r="AG7702">
        <v>-1.1104167712340001</v>
      </c>
      <c r="AH7702">
        <v>9.2913405487365992</v>
      </c>
      <c r="AI7702">
        <v>96.637152834172895</v>
      </c>
      <c r="AJ7702">
        <v>76.816375299359606</v>
      </c>
      <c r="AK7702">
        <v>9.60723816632518</v>
      </c>
      <c r="AL7702">
        <v>68.373552586286195</v>
      </c>
      <c r="AM7702">
        <v>82.6494840483697</v>
      </c>
      <c r="AN7702">
        <v>1.00000001868084</v>
      </c>
    </row>
    <row r="7703" spans="1:40" x14ac:dyDescent="0.25">
      <c r="A7703" t="str">
        <f>"20190304165034963"</f>
        <v>20190304165034963</v>
      </c>
      <c r="B7703" t="str">
        <f>"1551689434953000"</f>
        <v>1551689434953000</v>
      </c>
      <c r="C7703" t="s">
        <v>40</v>
      </c>
      <c r="D7703">
        <v>4.7907390000000003</v>
      </c>
      <c r="E7703">
        <v>0.56717589999999996</v>
      </c>
      <c r="F7703" t="s">
        <v>42</v>
      </c>
      <c r="G7703">
        <v>-185.58799999999999</v>
      </c>
      <c r="H7703" s="1">
        <v>-2.8917639999999998E-6</v>
      </c>
      <c r="I7703">
        <v>114.5492</v>
      </c>
      <c r="J7703">
        <v>-187.9821</v>
      </c>
      <c r="K7703">
        <v>1.11046</v>
      </c>
      <c r="L7703">
        <v>105.12430000000001</v>
      </c>
      <c r="M7703">
        <v>1.7149500000000002E-2</v>
      </c>
      <c r="N7703">
        <v>-1.378886E-2</v>
      </c>
      <c r="O7703">
        <v>0.99975780000000003</v>
      </c>
      <c r="P7703">
        <v>0.1368374</v>
      </c>
      <c r="Q7703">
        <v>0.35684310000000002</v>
      </c>
      <c r="R7703">
        <v>0.92408789999999996</v>
      </c>
      <c r="S7703">
        <v>0.81379699999999999</v>
      </c>
      <c r="T7703">
        <v>-0.37674679999999999</v>
      </c>
      <c r="U7703">
        <v>3.2710880000000002</v>
      </c>
      <c r="V7703">
        <v>0.1214716</v>
      </c>
      <c r="W7703">
        <v>0.36941659999999998</v>
      </c>
      <c r="X7703">
        <v>0.92129050000000001</v>
      </c>
      <c r="Y7703">
        <v>0.22340399999999999</v>
      </c>
      <c r="Z7703">
        <v>-9.7591999999999998E-2</v>
      </c>
      <c r="AA7703">
        <v>0.96982809999999997</v>
      </c>
      <c r="AB7703">
        <v>24</v>
      </c>
      <c r="AC7703">
        <v>2.3940999999999999</v>
      </c>
      <c r="AD7703">
        <v>-1.110462891764</v>
      </c>
      <c r="AE7703">
        <v>9.4248999999999903</v>
      </c>
      <c r="AF7703">
        <v>2.20336685908442</v>
      </c>
      <c r="AG7703">
        <v>-1.110462891764</v>
      </c>
      <c r="AH7703">
        <v>9.3427399928789292</v>
      </c>
      <c r="AI7703">
        <v>96.598914964973801</v>
      </c>
      <c r="AJ7703">
        <v>76.729992581202396</v>
      </c>
      <c r="AK7703">
        <v>9.6630607948121607</v>
      </c>
      <c r="AL7703">
        <v>68.320359815437698</v>
      </c>
      <c r="AM7703">
        <v>82.488910791047005</v>
      </c>
      <c r="AN7703">
        <v>1.0000000796761801</v>
      </c>
    </row>
    <row r="7704" spans="1:40" x14ac:dyDescent="0.25">
      <c r="A7704" t="str">
        <f>"20190304165034986"</f>
        <v>20190304165034986</v>
      </c>
      <c r="B7704" t="str">
        <f>"1551689434973557"</f>
        <v>1551689434973557</v>
      </c>
      <c r="C7704" t="s">
        <v>40</v>
      </c>
      <c r="D7704">
        <v>4.6200020000000004</v>
      </c>
      <c r="E7704">
        <v>0.56707390000000002</v>
      </c>
      <c r="F7704" t="s">
        <v>42</v>
      </c>
      <c r="G7704">
        <v>-185.50049999999999</v>
      </c>
      <c r="H7704" s="1">
        <v>-3.0769539999999999E-6</v>
      </c>
      <c r="I7704">
        <v>114.9448</v>
      </c>
      <c r="J7704">
        <v>-187.97710000000001</v>
      </c>
      <c r="K7704">
        <v>1.1105240000000001</v>
      </c>
      <c r="L7704">
        <v>105.3596</v>
      </c>
      <c r="M7704">
        <v>1.79081E-2</v>
      </c>
      <c r="N7704">
        <v>-1.378569E-2</v>
      </c>
      <c r="O7704">
        <v>0.99974459999999998</v>
      </c>
      <c r="P7704">
        <v>0.14072270000000001</v>
      </c>
      <c r="Q7704">
        <v>0.35776449999999999</v>
      </c>
      <c r="R7704">
        <v>0.92314770000000002</v>
      </c>
      <c r="S7704">
        <v>0.82550049999999997</v>
      </c>
      <c r="T7704">
        <v>-0.36940420000000002</v>
      </c>
      <c r="U7704">
        <v>3.2668460000000001</v>
      </c>
      <c r="V7704">
        <v>0.1246221</v>
      </c>
      <c r="W7704">
        <v>0.37033630000000001</v>
      </c>
      <c r="X7704">
        <v>0.92050010000000004</v>
      </c>
      <c r="Y7704">
        <v>0.2262778</v>
      </c>
      <c r="Z7704">
        <v>-9.5502580000000004E-2</v>
      </c>
      <c r="AA7704">
        <v>0.9693697</v>
      </c>
      <c r="AB7704">
        <v>24</v>
      </c>
      <c r="AC7704">
        <v>2.4766000000000101</v>
      </c>
      <c r="AD7704">
        <v>-1.1105270769540001</v>
      </c>
      <c r="AE7704">
        <v>9.5852000000000004</v>
      </c>
      <c r="AF7704">
        <v>2.2758957806220499</v>
      </c>
      <c r="AG7704">
        <v>-1.1105270769540001</v>
      </c>
      <c r="AH7704">
        <v>9.5083726550254202</v>
      </c>
      <c r="AI7704">
        <v>96.480235535059293</v>
      </c>
      <c r="AJ7704">
        <v>76.539105211735901</v>
      </c>
      <c r="AK7704">
        <v>9.8398232981967997</v>
      </c>
      <c r="AL7704">
        <v>68.263641613930204</v>
      </c>
      <c r="AM7704">
        <v>82.289877433395702</v>
      </c>
      <c r="AN7704">
        <v>1.0000000385030501</v>
      </c>
    </row>
    <row r="7705" spans="1:40" x14ac:dyDescent="0.25">
      <c r="A7705" t="str">
        <f>"20190304165035023"</f>
        <v>20190304165035023</v>
      </c>
      <c r="B7705" t="str">
        <f>"1551689435013574"</f>
        <v>1551689435013574</v>
      </c>
      <c r="C7705" t="s">
        <v>40</v>
      </c>
      <c r="D7705">
        <v>4.6416199999999996</v>
      </c>
      <c r="E7705">
        <v>0.56682489999999996</v>
      </c>
      <c r="F7705" t="s">
        <v>42</v>
      </c>
      <c r="G7705">
        <v>-185.4716</v>
      </c>
      <c r="H7705" s="1">
        <v>-3.1665559999999999E-6</v>
      </c>
      <c r="I7705">
        <v>115.1417</v>
      </c>
      <c r="J7705">
        <v>-187.96860000000001</v>
      </c>
      <c r="K7705">
        <v>1.1106279999999999</v>
      </c>
      <c r="L7705">
        <v>105.75190000000001</v>
      </c>
      <c r="M7705">
        <v>1.8976389999999999E-2</v>
      </c>
      <c r="N7705">
        <v>-1.378035E-2</v>
      </c>
      <c r="O7705">
        <v>0.99972499999999997</v>
      </c>
      <c r="P7705">
        <v>0.1447271</v>
      </c>
      <c r="Q7705">
        <v>0.35887720000000001</v>
      </c>
      <c r="R7705">
        <v>0.92209609999999997</v>
      </c>
      <c r="S7705">
        <v>0.83648679999999997</v>
      </c>
      <c r="T7705">
        <v>-0.37076569999999998</v>
      </c>
      <c r="U7705">
        <v>3.2658999999999998</v>
      </c>
      <c r="V7705">
        <v>0.12756509999999999</v>
      </c>
      <c r="W7705">
        <v>0.37146059999999997</v>
      </c>
      <c r="X7705">
        <v>0.91964349999999995</v>
      </c>
      <c r="Y7705">
        <v>0.22835530000000001</v>
      </c>
      <c r="Z7705">
        <v>-9.5864210000000005E-2</v>
      </c>
      <c r="AA7705">
        <v>0.96884669999999895</v>
      </c>
      <c r="AB7705">
        <v>24</v>
      </c>
      <c r="AC7705">
        <v>2.4970000000000101</v>
      </c>
      <c r="AD7705">
        <v>-1.110631166556</v>
      </c>
      <c r="AE7705">
        <v>9.3897999999999904</v>
      </c>
      <c r="AF7705">
        <v>2.2884473475668101</v>
      </c>
      <c r="AG7705">
        <v>-1.110631166556</v>
      </c>
      <c r="AH7705">
        <v>9.3138006014050898</v>
      </c>
      <c r="AI7705">
        <v>96.605512812837702</v>
      </c>
      <c r="AJ7705">
        <v>76.195599497828596</v>
      </c>
      <c r="AK7705">
        <v>9.6549145254344406</v>
      </c>
      <c r="AL7705">
        <v>68.194275490034897</v>
      </c>
      <c r="AM7705">
        <v>82.102810619330896</v>
      </c>
      <c r="AN7705">
        <v>0.99999999959130903</v>
      </c>
    </row>
    <row r="7706" spans="1:40" x14ac:dyDescent="0.25">
      <c r="A7706" t="str">
        <f>"20190304165035043"</f>
        <v>20190304165035043</v>
      </c>
      <c r="B7706" t="str">
        <f>"1551689435033093"</f>
        <v>1551689435033093</v>
      </c>
      <c r="C7706" t="s">
        <v>40</v>
      </c>
      <c r="D7706">
        <v>4.6647809999999996</v>
      </c>
      <c r="E7706">
        <v>0.56670679999999996</v>
      </c>
      <c r="F7706" t="s">
        <v>42</v>
      </c>
      <c r="G7706">
        <v>-185.45400000000001</v>
      </c>
      <c r="H7706" s="1">
        <v>-3.2999329999999998E-6</v>
      </c>
      <c r="I7706">
        <v>115.4453</v>
      </c>
      <c r="J7706">
        <v>-187.96369999999999</v>
      </c>
      <c r="K7706">
        <v>1.1106929999999999</v>
      </c>
      <c r="L7706">
        <v>105.9751</v>
      </c>
      <c r="M7706">
        <v>1.9476259999999999E-2</v>
      </c>
      <c r="N7706">
        <v>-1.3777330000000001E-2</v>
      </c>
      <c r="O7706">
        <v>0.99971540000000003</v>
      </c>
      <c r="P7706">
        <v>0.14669279999999901</v>
      </c>
      <c r="Q7706">
        <v>0.35930800000000002</v>
      </c>
      <c r="R7706">
        <v>0.92161760000000004</v>
      </c>
      <c r="S7706">
        <v>0.84727479999999999</v>
      </c>
      <c r="T7706">
        <v>-0.37421919999999997</v>
      </c>
      <c r="U7706">
        <v>3.2661129999999998</v>
      </c>
      <c r="V7706">
        <v>0.129025</v>
      </c>
      <c r="W7706">
        <v>0.37190020000000001</v>
      </c>
      <c r="X7706">
        <v>0.91926209999999997</v>
      </c>
      <c r="Y7706">
        <v>0.23082730000000001</v>
      </c>
      <c r="Z7706">
        <v>-9.6792059999999999E-2</v>
      </c>
      <c r="AA7706">
        <v>0.96816840000000004</v>
      </c>
      <c r="AB7706">
        <v>24</v>
      </c>
      <c r="AC7706">
        <v>2.5096999999999801</v>
      </c>
      <c r="AD7706">
        <v>-1.1106962999329999</v>
      </c>
      <c r="AE7706">
        <v>9.4702000000000002</v>
      </c>
      <c r="AF7706">
        <v>2.2952619263481302</v>
      </c>
      <c r="AG7706">
        <v>-1.1106962999329999</v>
      </c>
      <c r="AH7706">
        <v>9.3965167562429404</v>
      </c>
      <c r="AI7706">
        <v>96.550410533510899</v>
      </c>
      <c r="AJ7706">
        <v>76.273308581509298</v>
      </c>
      <c r="AK7706">
        <v>9.7363443207182492</v>
      </c>
      <c r="AL7706">
        <v>68.167144845161403</v>
      </c>
      <c r="AM7706">
        <v>82.010321288522206</v>
      </c>
      <c r="AN7706">
        <v>1.0000000089407199</v>
      </c>
    </row>
    <row r="7707" spans="1:40" x14ac:dyDescent="0.25">
      <c r="A7707" t="str">
        <f>"20190304165035064"</f>
        <v>20190304165035064</v>
      </c>
      <c r="B7707" t="str">
        <f>"1551689435053592"</f>
        <v>1551689435053592</v>
      </c>
      <c r="C7707" t="s">
        <v>40</v>
      </c>
      <c r="D7707">
        <v>4.6766350000000001</v>
      </c>
      <c r="E7707">
        <v>0.5665869</v>
      </c>
      <c r="F7707" t="s">
        <v>42</v>
      </c>
      <c r="G7707">
        <v>-185.43709999999999</v>
      </c>
      <c r="H7707" s="1">
        <v>-3.3833310000000001E-6</v>
      </c>
      <c r="I7707">
        <v>115.6327</v>
      </c>
      <c r="J7707">
        <v>-187.959</v>
      </c>
      <c r="K7707">
        <v>1.110746</v>
      </c>
      <c r="L7707">
        <v>106.1913</v>
      </c>
      <c r="M7707">
        <v>1.989602E-2</v>
      </c>
      <c r="N7707">
        <v>-1.377447E-2</v>
      </c>
      <c r="O7707">
        <v>0.99970720000000002</v>
      </c>
      <c r="P7707">
        <v>0.1483912</v>
      </c>
      <c r="Q7707">
        <v>0.35932900000000001</v>
      </c>
      <c r="R7707">
        <v>0.92133750000000003</v>
      </c>
      <c r="S7707">
        <v>0.85435490000000003</v>
      </c>
      <c r="T7707">
        <v>-0.37556699999999998</v>
      </c>
      <c r="U7707">
        <v>3.2655789999999998</v>
      </c>
      <c r="V7707">
        <v>0.13029479999999999</v>
      </c>
      <c r="W7707">
        <v>0.3719307</v>
      </c>
      <c r="X7707">
        <v>0.91907059999999996</v>
      </c>
      <c r="Y7707">
        <v>0.23241200000000001</v>
      </c>
      <c r="Z7707">
        <v>-9.715464E-2</v>
      </c>
      <c r="AA7707">
        <v>0.96775290000000003</v>
      </c>
      <c r="AB7707">
        <v>24</v>
      </c>
      <c r="AC7707">
        <v>2.5219000000000098</v>
      </c>
      <c r="AD7707">
        <v>-1.110749383331</v>
      </c>
      <c r="AE7707">
        <v>9.4413999999999998</v>
      </c>
      <c r="AF7707">
        <v>2.3037741605861899</v>
      </c>
      <c r="AG7707">
        <v>-1.110749383331</v>
      </c>
      <c r="AH7707">
        <v>9.3686773995511405</v>
      </c>
      <c r="AI7707">
        <v>96.567556141038494</v>
      </c>
      <c r="AJ7707">
        <v>76.184968721370495</v>
      </c>
      <c r="AK7707">
        <v>9.7115012120894697</v>
      </c>
      <c r="AL7707">
        <v>68.165261482448699</v>
      </c>
      <c r="AM7707">
        <v>81.931062222362499</v>
      </c>
      <c r="AN7707">
        <v>0.99999997414694397</v>
      </c>
    </row>
    <row r="7708" spans="1:40" x14ac:dyDescent="0.25">
      <c r="A7708" t="str">
        <f>"20190304165035086"</f>
        <v>20190304165035086</v>
      </c>
      <c r="B7708" t="str">
        <f>"1551689435072983"</f>
        <v>1551689435072983</v>
      </c>
      <c r="C7708" t="s">
        <v>40</v>
      </c>
      <c r="D7708">
        <v>4.6843810000000001</v>
      </c>
      <c r="E7708">
        <v>0.56643639999999995</v>
      </c>
      <c r="F7708" t="s">
        <v>42</v>
      </c>
      <c r="G7708">
        <v>-185.4324</v>
      </c>
      <c r="H7708" s="1">
        <v>-3.4455479999999999E-6</v>
      </c>
      <c r="I7708">
        <v>115.7758</v>
      </c>
      <c r="J7708">
        <v>-187.9538</v>
      </c>
      <c r="K7708">
        <v>1.110795</v>
      </c>
      <c r="L7708">
        <v>106.42230000000001</v>
      </c>
      <c r="M7708">
        <v>2.0274779999999999E-2</v>
      </c>
      <c r="N7708">
        <v>-1.3771419999999999E-2</v>
      </c>
      <c r="O7708">
        <v>0.99969960000000002</v>
      </c>
      <c r="P7708">
        <v>0.15036070000000001</v>
      </c>
      <c r="Q7708">
        <v>0.35948180000000002</v>
      </c>
      <c r="R7708">
        <v>0.92095850000000001</v>
      </c>
      <c r="S7708">
        <v>0.86071779999999998</v>
      </c>
      <c r="T7708">
        <v>-0.3783897</v>
      </c>
      <c r="U7708">
        <v>3.2650760000000001</v>
      </c>
      <c r="V7708">
        <v>0.13187750000000001</v>
      </c>
      <c r="W7708">
        <v>0.37209140000000002</v>
      </c>
      <c r="X7708">
        <v>0.91877980000000004</v>
      </c>
      <c r="Y7708">
        <v>0.2338218</v>
      </c>
      <c r="Z7708">
        <v>-9.795131E-2</v>
      </c>
      <c r="AA7708">
        <v>0.96733290000000005</v>
      </c>
      <c r="AB7708">
        <v>24</v>
      </c>
      <c r="AC7708">
        <v>2.5213999999999999</v>
      </c>
      <c r="AD7708">
        <v>-1.110798445548</v>
      </c>
      <c r="AE7708">
        <v>9.3534999999999897</v>
      </c>
      <c r="AF7708">
        <v>2.3009704744430799</v>
      </c>
      <c r="AG7708">
        <v>-1.110798445548</v>
      </c>
      <c r="AH7708">
        <v>9.2806809000725892</v>
      </c>
      <c r="AI7708">
        <v>96.626463514391702</v>
      </c>
      <c r="AJ7708">
        <v>76.075370961917599</v>
      </c>
      <c r="AK7708">
        <v>9.6259740431741694</v>
      </c>
      <c r="AL7708">
        <v>68.155342781928596</v>
      </c>
      <c r="AM7708">
        <v>81.831812706011704</v>
      </c>
      <c r="AN7708">
        <v>1.0000000029241201</v>
      </c>
    </row>
    <row r="7709" spans="1:40" x14ac:dyDescent="0.25">
      <c r="A7709" t="str">
        <f>"20190304165035110"</f>
        <v>20190304165035110</v>
      </c>
      <c r="B7709" t="str">
        <f>"1551689435103240"</f>
        <v>1551689435103240</v>
      </c>
      <c r="C7709" t="s">
        <v>40</v>
      </c>
      <c r="D7709">
        <v>4.9824699999999904</v>
      </c>
      <c r="E7709">
        <v>0.56650480000000003</v>
      </c>
      <c r="F7709" t="s">
        <v>42</v>
      </c>
      <c r="G7709">
        <v>-185.4288</v>
      </c>
      <c r="H7709" s="1">
        <v>-3.511271E-6</v>
      </c>
      <c r="I7709">
        <v>115.92749999999999</v>
      </c>
      <c r="J7709">
        <v>-187.94829999999999</v>
      </c>
      <c r="K7709">
        <v>1.1108439999999999</v>
      </c>
      <c r="L7709">
        <v>106.6724</v>
      </c>
      <c r="M7709">
        <v>2.0614230000000001E-2</v>
      </c>
      <c r="N7709">
        <v>-1.376817E-2</v>
      </c>
      <c r="O7709">
        <v>0.99969269999999999</v>
      </c>
      <c r="P7709">
        <v>0.15226010000000001</v>
      </c>
      <c r="Q7709">
        <v>0.35859920000000001</v>
      </c>
      <c r="R7709">
        <v>0.92099050000000005</v>
      </c>
      <c r="S7709">
        <v>0.86727909999999997</v>
      </c>
      <c r="T7709">
        <v>-0.38153110000000001</v>
      </c>
      <c r="U7709">
        <v>3.2648160000000002</v>
      </c>
      <c r="V7709">
        <v>0.13342019999999999</v>
      </c>
      <c r="W7709">
        <v>0.37122149999999998</v>
      </c>
      <c r="X7709">
        <v>0.91890899999999998</v>
      </c>
      <c r="Y7709">
        <v>0.23530229999999999</v>
      </c>
      <c r="Z7709">
        <v>-9.8830260000000003E-2</v>
      </c>
      <c r="AA7709">
        <v>0.96688439999999998</v>
      </c>
      <c r="AB7709">
        <v>24</v>
      </c>
      <c r="AC7709">
        <v>2.5194999999999901</v>
      </c>
      <c r="AD7709">
        <v>-1.1108475112709999</v>
      </c>
      <c r="AE7709">
        <v>9.2551000000000005</v>
      </c>
      <c r="AF7709">
        <v>2.2973472884894299</v>
      </c>
      <c r="AG7709">
        <v>-1.1108475112709999</v>
      </c>
      <c r="AH7709">
        <v>9.1819260039656498</v>
      </c>
      <c r="AI7709">
        <v>96.6938474603119</v>
      </c>
      <c r="AJ7709">
        <v>75.952799288535999</v>
      </c>
      <c r="AK7709">
        <v>9.5299292704367602</v>
      </c>
      <c r="AL7709">
        <v>68.209031081376295</v>
      </c>
      <c r="AM7709">
        <v>81.738718844351197</v>
      </c>
      <c r="AN7709">
        <v>1.0000000510556399</v>
      </c>
    </row>
    <row r="7710" spans="1:40" x14ac:dyDescent="0.25">
      <c r="A7710" t="str">
        <f>"20190304165035132"</f>
        <v>20190304165035132</v>
      </c>
      <c r="B7710" t="str">
        <f>"1551689435123739"</f>
        <v>1551689435123739</v>
      </c>
      <c r="C7710" t="s">
        <v>40</v>
      </c>
      <c r="D7710">
        <v>4.7058559999999998</v>
      </c>
      <c r="E7710">
        <v>0.56067650000000002</v>
      </c>
      <c r="F7710" t="s">
        <v>42</v>
      </c>
      <c r="G7710">
        <v>-185.4102</v>
      </c>
      <c r="H7710" s="1">
        <v>-3.600296E-6</v>
      </c>
      <c r="I7710">
        <v>116.12739999999999</v>
      </c>
      <c r="J7710">
        <v>-187.94309999999999</v>
      </c>
      <c r="K7710">
        <v>1.11087</v>
      </c>
      <c r="L7710">
        <v>106.9091</v>
      </c>
      <c r="M7710">
        <v>2.088402E-2</v>
      </c>
      <c r="N7710">
        <v>-1.376515E-2</v>
      </c>
      <c r="O7710">
        <v>0.99968710000000005</v>
      </c>
      <c r="P7710">
        <v>0.1537975</v>
      </c>
      <c r="Q7710">
        <v>0.35794100000000001</v>
      </c>
      <c r="R7710">
        <v>0.92099109999999995</v>
      </c>
      <c r="S7710">
        <v>0.87559509999999996</v>
      </c>
      <c r="T7710">
        <v>-0.38322469999999997</v>
      </c>
      <c r="U7710">
        <v>3.2618100000000001</v>
      </c>
      <c r="V7710">
        <v>0.13467579999999901</v>
      </c>
      <c r="W7710">
        <v>0.37057230000000002</v>
      </c>
      <c r="X7710">
        <v>0.91898780000000002</v>
      </c>
      <c r="Y7710">
        <v>0.23754510000000001</v>
      </c>
      <c r="Z7710">
        <v>-9.9358740000000001E-2</v>
      </c>
      <c r="AA7710">
        <v>0.96628159999999996</v>
      </c>
      <c r="AB7710">
        <v>24</v>
      </c>
      <c r="AC7710">
        <v>2.5328999999999802</v>
      </c>
      <c r="AD7710">
        <v>-1.110873600296</v>
      </c>
      <c r="AE7710">
        <v>9.2182999999999993</v>
      </c>
      <c r="AF7710">
        <v>2.3086413622339799</v>
      </c>
      <c r="AG7710">
        <v>-1.110873600296</v>
      </c>
      <c r="AH7710">
        <v>9.1457003756891098</v>
      </c>
      <c r="AI7710">
        <v>96.716772941978903</v>
      </c>
      <c r="AJ7710">
        <v>75.832838664104699</v>
      </c>
      <c r="AK7710">
        <v>9.4977734473471198</v>
      </c>
      <c r="AL7710">
        <v>68.249082908958499</v>
      </c>
      <c r="AM7710">
        <v>81.662765924056004</v>
      </c>
      <c r="AN7710">
        <v>0.99999998859088401</v>
      </c>
    </row>
    <row r="7711" spans="1:40" x14ac:dyDescent="0.25">
      <c r="A7711" t="str">
        <f>"20190304165035152"</f>
        <v>20190304165035152</v>
      </c>
      <c r="B7711" t="str">
        <f>"1551689435143259"</f>
        <v>1551689435143259</v>
      </c>
      <c r="C7711" t="s">
        <v>40</v>
      </c>
      <c r="D7711">
        <v>4.9700860000000002</v>
      </c>
      <c r="E7711">
        <v>0.56238759999999999</v>
      </c>
      <c r="F7711" t="s">
        <v>41</v>
      </c>
      <c r="G7711">
        <v>-187.75569999999999</v>
      </c>
      <c r="H7711">
        <v>1.0071209999999999</v>
      </c>
      <c r="I7711">
        <v>107.6515</v>
      </c>
      <c r="J7711">
        <v>-187.9383</v>
      </c>
      <c r="K7711">
        <v>1.1108899999999999</v>
      </c>
      <c r="L7711">
        <v>107.1229</v>
      </c>
      <c r="M7711">
        <v>2.110004E-2</v>
      </c>
      <c r="N7711">
        <v>-1.376251E-2</v>
      </c>
      <c r="O7711">
        <v>0.99968270000000004</v>
      </c>
      <c r="P7711">
        <v>0.1549056</v>
      </c>
      <c r="Q7711">
        <v>0.35754950000000002</v>
      </c>
      <c r="R7711">
        <v>0.92095749999999998</v>
      </c>
      <c r="S7711">
        <v>0.83197019999999899</v>
      </c>
      <c r="T7711">
        <v>-0.460781</v>
      </c>
      <c r="U7711">
        <v>3.2975159999999999</v>
      </c>
      <c r="V7711">
        <v>0.13556399999999999</v>
      </c>
      <c r="W7711">
        <v>0.37018610000000002</v>
      </c>
      <c r="X7711">
        <v>0.91901279999999996</v>
      </c>
      <c r="Y7711">
        <v>0.2221013</v>
      </c>
      <c r="Z7711">
        <v>-0.1209402</v>
      </c>
      <c r="AA7711">
        <v>0.96749390000000002</v>
      </c>
      <c r="AB7711">
        <v>24</v>
      </c>
      <c r="AC7711">
        <v>0.18260000000000701</v>
      </c>
      <c r="AD7711">
        <v>-0.103769</v>
      </c>
      <c r="AE7711">
        <v>0.52859999999999696</v>
      </c>
      <c r="AF7711">
        <v>0.165699937627102</v>
      </c>
      <c r="AG7711">
        <v>-0.103769</v>
      </c>
      <c r="AH7711">
        <v>0.51461780580636396</v>
      </c>
      <c r="AI7711">
        <v>100.865128732332</v>
      </c>
      <c r="AJ7711">
        <v>72.152147174117502</v>
      </c>
      <c r="AK7711">
        <v>0.55050518684530303</v>
      </c>
      <c r="AL7711">
        <v>68.272903546300995</v>
      </c>
      <c r="AM7711">
        <v>81.608786488288104</v>
      </c>
      <c r="AN7711">
        <v>0.99999993664652298</v>
      </c>
    </row>
    <row r="7712" spans="1:40" x14ac:dyDescent="0.25">
      <c r="A7712" t="str">
        <f>"20190304165035176"</f>
        <v>20190304165035176</v>
      </c>
      <c r="B7712" t="str">
        <f>"1551689435173512"</f>
        <v>1551689435173512</v>
      </c>
      <c r="C7712" t="s">
        <v>40</v>
      </c>
      <c r="D7712">
        <v>4.7304110000000001</v>
      </c>
      <c r="E7712">
        <v>0.56397849999999905</v>
      </c>
      <c r="F7712" t="s">
        <v>41</v>
      </c>
      <c r="G7712">
        <v>-187.74420000000001</v>
      </c>
      <c r="H7712">
        <v>1.013776</v>
      </c>
      <c r="I7712">
        <v>107.86709999999999</v>
      </c>
      <c r="J7712">
        <v>-187.93289999999999</v>
      </c>
      <c r="K7712">
        <v>1.1109039999999999</v>
      </c>
      <c r="L7712">
        <v>107.3668</v>
      </c>
      <c r="M7712">
        <v>2.1330729999999999E-2</v>
      </c>
      <c r="N7712">
        <v>-1.3759550000000001E-2</v>
      </c>
      <c r="O7712">
        <v>0.99967779999999995</v>
      </c>
      <c r="P7712">
        <v>0.15647929999999999</v>
      </c>
      <c r="Q7712">
        <v>0.35793900000000001</v>
      </c>
      <c r="R7712">
        <v>0.92054000000000002</v>
      </c>
      <c r="S7712">
        <v>0.85536190000000001</v>
      </c>
      <c r="T7712">
        <v>-0.42802639999999997</v>
      </c>
      <c r="U7712">
        <v>3.2797999999999998</v>
      </c>
      <c r="V7712">
        <v>0.13692070000000001</v>
      </c>
      <c r="W7712">
        <v>0.37057190000000001</v>
      </c>
      <c r="X7712">
        <v>0.91865620000000003</v>
      </c>
      <c r="Y7712">
        <v>0.22985340000000001</v>
      </c>
      <c r="Z7712">
        <v>-0.11194510000000001</v>
      </c>
      <c r="AA7712">
        <v>0.9667656</v>
      </c>
      <c r="AB7712">
        <v>24</v>
      </c>
      <c r="AC7712">
        <v>0.18869999999998299</v>
      </c>
      <c r="AD7712">
        <v>-9.7128000000000103E-2</v>
      </c>
      <c r="AE7712">
        <v>0.50029999999999497</v>
      </c>
      <c r="AF7712">
        <v>0.17229908155448501</v>
      </c>
      <c r="AG7712">
        <v>-9.7128000000000103E-2</v>
      </c>
      <c r="AH7712">
        <v>0.488106030214015</v>
      </c>
      <c r="AI7712">
        <v>100.62751709786799</v>
      </c>
      <c r="AJ7712">
        <v>70.557213203112198</v>
      </c>
      <c r="AK7712">
        <v>0.52665768637683796</v>
      </c>
      <c r="AL7712">
        <v>68.249108130104702</v>
      </c>
      <c r="AM7712">
        <v>81.522780508936094</v>
      </c>
      <c r="AN7712">
        <v>1.00000001247827</v>
      </c>
    </row>
    <row r="7713" spans="1:40" x14ac:dyDescent="0.25">
      <c r="A7713" t="str">
        <f>"20190304165035198"</f>
        <v>20190304165035198</v>
      </c>
      <c r="B7713" t="str">
        <f>"1551689435193031"</f>
        <v>1551689435193031</v>
      </c>
      <c r="C7713" t="s">
        <v>40</v>
      </c>
      <c r="D7713">
        <v>4.7421899999999999</v>
      </c>
      <c r="E7713">
        <v>0.56294100000000002</v>
      </c>
      <c r="F7713" t="s">
        <v>42</v>
      </c>
      <c r="G7713">
        <v>-185.40110000000001</v>
      </c>
      <c r="H7713" s="1">
        <v>-3.8704019999999999E-6</v>
      </c>
      <c r="I7713">
        <v>116.75320000000001</v>
      </c>
      <c r="J7713">
        <v>-187.92760000000001</v>
      </c>
      <c r="K7713">
        <v>1.110908</v>
      </c>
      <c r="L7713">
        <v>107.5998</v>
      </c>
      <c r="M7713">
        <v>2.1544730000000002E-2</v>
      </c>
      <c r="N7713">
        <v>-1.375681E-2</v>
      </c>
      <c r="O7713">
        <v>0.99967320000000004</v>
      </c>
      <c r="P7713">
        <v>0.15855540000000001</v>
      </c>
      <c r="Q7713">
        <v>0.35866510000000001</v>
      </c>
      <c r="R7713">
        <v>0.91990190000000005</v>
      </c>
      <c r="S7713">
        <v>0.87918090000000004</v>
      </c>
      <c r="T7713">
        <v>-0.38577250000000002</v>
      </c>
      <c r="U7713">
        <v>3.2595209999999999</v>
      </c>
      <c r="V7713">
        <v>0.1388112</v>
      </c>
      <c r="W7713">
        <v>0.37128749999999999</v>
      </c>
      <c r="X7713">
        <v>0.91808339999999999</v>
      </c>
      <c r="Y7713">
        <v>0.2380418</v>
      </c>
      <c r="Z7713">
        <v>-0.1001619</v>
      </c>
      <c r="AA7713">
        <v>0.96607639999999995</v>
      </c>
      <c r="AB7713">
        <v>23</v>
      </c>
      <c r="AC7713">
        <v>2.5264999999999902</v>
      </c>
      <c r="AD7713">
        <v>-1.110911870402</v>
      </c>
      <c r="AE7713">
        <v>9.1533999999999995</v>
      </c>
      <c r="AF7713">
        <v>2.2972449428497699</v>
      </c>
      <c r="AG7713">
        <v>-1.110911870402</v>
      </c>
      <c r="AH7713">
        <v>9.0814158691848803</v>
      </c>
      <c r="AI7713">
        <v>96.763264057612503</v>
      </c>
      <c r="AJ7713">
        <v>75.8041895304262</v>
      </c>
      <c r="AK7713">
        <v>9.4331104997414208</v>
      </c>
      <c r="AL7713">
        <v>68.204958315630904</v>
      </c>
      <c r="AM7713">
        <v>81.402187920072095</v>
      </c>
      <c r="AN7713">
        <v>1.00000004312862</v>
      </c>
    </row>
    <row r="7714" spans="1:40" x14ac:dyDescent="0.25">
      <c r="A7714" t="str">
        <f>"20190304165035224"</f>
        <v>20190304165035224</v>
      </c>
      <c r="B7714" t="str">
        <f>"1551689435213528"</f>
        <v>1551689435213528</v>
      </c>
      <c r="C7714" t="s">
        <v>40</v>
      </c>
      <c r="D7714">
        <v>4.7378479999999996</v>
      </c>
      <c r="E7714">
        <v>0.5628244</v>
      </c>
      <c r="F7714" t="s">
        <v>42</v>
      </c>
      <c r="G7714">
        <v>-185.5188</v>
      </c>
      <c r="H7714" s="1">
        <v>-3.7711670000000001E-6</v>
      </c>
      <c r="I7714">
        <v>116.5705</v>
      </c>
      <c r="J7714">
        <v>-187.92150000000001</v>
      </c>
      <c r="K7714">
        <v>1.1109039999999999</v>
      </c>
      <c r="L7714">
        <v>107.8669</v>
      </c>
      <c r="M7714">
        <v>2.1793949999999999E-2</v>
      </c>
      <c r="N7714">
        <v>-1.3753799999999899E-2</v>
      </c>
      <c r="O7714">
        <v>0.99966790000000005</v>
      </c>
      <c r="P7714">
        <v>0.161021</v>
      </c>
      <c r="Q7714">
        <v>0.35876200000000003</v>
      </c>
      <c r="R7714">
        <v>0.91943569999999997</v>
      </c>
      <c r="S7714">
        <v>0.87745669999999898</v>
      </c>
      <c r="T7714">
        <v>-0.40466930000000001</v>
      </c>
      <c r="U7714">
        <v>3.2677610000000001</v>
      </c>
      <c r="V7714">
        <v>0.141062299999999</v>
      </c>
      <c r="W7714">
        <v>0.37137379999999998</v>
      </c>
      <c r="X7714">
        <v>0.9177052</v>
      </c>
      <c r="Y7714">
        <v>0.23656379999999999</v>
      </c>
      <c r="Z7714">
        <v>-0.1054104</v>
      </c>
      <c r="AA7714">
        <v>0.96588099999999999</v>
      </c>
      <c r="AB7714">
        <v>23</v>
      </c>
      <c r="AC7714">
        <v>2.40270000000001</v>
      </c>
      <c r="AD7714">
        <v>-1.1109077711669999</v>
      </c>
      <c r="AE7714">
        <v>8.7035999999999891</v>
      </c>
      <c r="AF7714">
        <v>2.1794336841998501</v>
      </c>
      <c r="AG7714">
        <v>-1.1109077711669999</v>
      </c>
      <c r="AH7714">
        <v>8.6233631508349209</v>
      </c>
      <c r="AI7714">
        <v>97.119269345544694</v>
      </c>
      <c r="AJ7714">
        <v>75.816315678794794</v>
      </c>
      <c r="AK7714">
        <v>8.9636175337327799</v>
      </c>
      <c r="AL7714">
        <v>68.199630862194795</v>
      </c>
      <c r="AM7714">
        <v>81.261346720450106</v>
      </c>
      <c r="AN7714">
        <v>0.99999995295738298</v>
      </c>
    </row>
    <row r="7715" spans="1:40" x14ac:dyDescent="0.25">
      <c r="A7715" t="str">
        <f>"20190304165035244"</f>
        <v>20190304165035244</v>
      </c>
      <c r="B7715" t="str">
        <f>"1551689435233048"</f>
        <v>1551689435233048</v>
      </c>
      <c r="C7715" t="s">
        <v>40</v>
      </c>
      <c r="D7715">
        <v>4.7453120000000002</v>
      </c>
      <c r="E7715">
        <v>0.56271139999999997</v>
      </c>
      <c r="F7715" t="s">
        <v>42</v>
      </c>
      <c r="G7715">
        <v>-185.53229999999999</v>
      </c>
      <c r="H7715" s="1">
        <v>-3.8257450000000002E-6</v>
      </c>
      <c r="I7715">
        <v>116.7034</v>
      </c>
      <c r="J7715">
        <v>-187.91650000000001</v>
      </c>
      <c r="K7715">
        <v>1.1109</v>
      </c>
      <c r="L7715">
        <v>108.08410000000001</v>
      </c>
      <c r="M7715">
        <v>2.200769E-2</v>
      </c>
      <c r="N7715">
        <v>-1.3751330000000001E-2</v>
      </c>
      <c r="O7715">
        <v>0.99966319999999997</v>
      </c>
      <c r="P7715">
        <v>0.1632122</v>
      </c>
      <c r="Q7715">
        <v>0.35887529999999901</v>
      </c>
      <c r="R7715">
        <v>0.91900499999999996</v>
      </c>
      <c r="S7715">
        <v>0.88372799999999996</v>
      </c>
      <c r="T7715">
        <v>-0.41090549999999998</v>
      </c>
      <c r="U7715">
        <v>3.2684479999999998</v>
      </c>
      <c r="V7715">
        <v>0.14307410000000001</v>
      </c>
      <c r="W7715">
        <v>0.37147609999999998</v>
      </c>
      <c r="X7715">
        <v>0.91735230000000001</v>
      </c>
      <c r="Y7715">
        <v>0.23798040000000001</v>
      </c>
      <c r="Z7715">
        <v>-0.1071481</v>
      </c>
      <c r="AA7715">
        <v>0.96534169999999997</v>
      </c>
      <c r="AB7715">
        <v>23</v>
      </c>
      <c r="AC7715">
        <v>2.3842000000000199</v>
      </c>
      <c r="AD7715">
        <v>-1.1109038257449999</v>
      </c>
      <c r="AE7715">
        <v>8.6192999999999902</v>
      </c>
      <c r="AF7715">
        <v>2.16057416892858</v>
      </c>
      <c r="AG7715">
        <v>-1.1109038257449999</v>
      </c>
      <c r="AH7715">
        <v>8.5379402378879803</v>
      </c>
      <c r="AI7715">
        <v>97.189190614425698</v>
      </c>
      <c r="AJ7715">
        <v>75.799097140934904</v>
      </c>
      <c r="AK7715">
        <v>8.8768582029478704</v>
      </c>
      <c r="AL7715">
        <v>68.193318206233798</v>
      </c>
      <c r="AM7715">
        <v>81.135327496282997</v>
      </c>
      <c r="AN7715">
        <v>0.99999996663865398</v>
      </c>
    </row>
    <row r="7716" spans="1:40" x14ac:dyDescent="0.25">
      <c r="A7716" t="str">
        <f>"20190304165035265"</f>
        <v>20190304165035265</v>
      </c>
      <c r="B7716" t="str">
        <f>"1551689435253543"</f>
        <v>1551689435253543</v>
      </c>
      <c r="C7716" t="s">
        <v>40</v>
      </c>
      <c r="D7716">
        <v>4.7833759999999996</v>
      </c>
      <c r="E7716">
        <v>0.56318780000000002</v>
      </c>
      <c r="F7716" t="s">
        <v>42</v>
      </c>
      <c r="G7716">
        <v>-185.55119999999999</v>
      </c>
      <c r="H7716" s="1">
        <v>-3.8546250000000004E-6</v>
      </c>
      <c r="I7716">
        <v>116.77849999999999</v>
      </c>
      <c r="J7716">
        <v>-187.91159999999999</v>
      </c>
      <c r="K7716">
        <v>1.1108849999999999</v>
      </c>
      <c r="L7716">
        <v>108.2983</v>
      </c>
      <c r="M7716">
        <v>2.2235660000000001E-2</v>
      </c>
      <c r="N7716">
        <v>-1.3749020000000001E-2</v>
      </c>
      <c r="O7716">
        <v>0.99965820000000005</v>
      </c>
      <c r="P7716">
        <v>0.16502459999999999</v>
      </c>
      <c r="Q7716">
        <v>0.35923739999999998</v>
      </c>
      <c r="R7716">
        <v>0.91853980000000002</v>
      </c>
      <c r="S7716">
        <v>0.88949579999999995</v>
      </c>
      <c r="T7716">
        <v>-0.41776229999999998</v>
      </c>
      <c r="U7716">
        <v>3.269577</v>
      </c>
      <c r="V7716">
        <v>0.14469770000000001</v>
      </c>
      <c r="W7716">
        <v>0.37182490000000001</v>
      </c>
      <c r="X7716">
        <v>0.91695629999999995</v>
      </c>
      <c r="Y7716">
        <v>0.23920259999999999</v>
      </c>
      <c r="Z7716">
        <v>-0.1090512</v>
      </c>
      <c r="AA7716">
        <v>0.96482639999999997</v>
      </c>
      <c r="AB7716">
        <v>23</v>
      </c>
      <c r="AC7716">
        <v>2.3603999999999901</v>
      </c>
      <c r="AD7716">
        <v>-1.110888854625</v>
      </c>
      <c r="AE7716">
        <v>8.4801999999999893</v>
      </c>
      <c r="AF7716">
        <v>2.13719742117802</v>
      </c>
      <c r="AG7716">
        <v>-1.110888854625</v>
      </c>
      <c r="AH7716">
        <v>8.3968598474115694</v>
      </c>
      <c r="AI7716">
        <v>97.306057790002896</v>
      </c>
      <c r="AJ7716">
        <v>75.720090346579198</v>
      </c>
      <c r="AK7716">
        <v>8.7354989646552408</v>
      </c>
      <c r="AL7716">
        <v>68.171792728265402</v>
      </c>
      <c r="AM7716">
        <v>81.032547769846104</v>
      </c>
      <c r="AN7716">
        <v>1.00000001837749</v>
      </c>
    </row>
    <row r="7717" spans="1:40" x14ac:dyDescent="0.25">
      <c r="A7717" t="str">
        <f>"20190304165035287"</f>
        <v>20190304165035287</v>
      </c>
      <c r="B7717" t="str">
        <f>"1551689435282824"</f>
        <v>1551689435282824</v>
      </c>
      <c r="C7717" t="s">
        <v>40</v>
      </c>
      <c r="D7717">
        <v>4.753063</v>
      </c>
      <c r="E7717">
        <v>0.56289029999999995</v>
      </c>
      <c r="F7717" t="s">
        <v>42</v>
      </c>
      <c r="G7717">
        <v>-185.4657</v>
      </c>
      <c r="H7717" s="1">
        <v>-4.0355179999999998E-6</v>
      </c>
      <c r="I7717">
        <v>117.1648</v>
      </c>
      <c r="J7717">
        <v>-187.90600000000001</v>
      </c>
      <c r="K7717">
        <v>1.1108750000000001</v>
      </c>
      <c r="L7717">
        <v>108.53319999999999</v>
      </c>
      <c r="M7717">
        <v>2.251185E-2</v>
      </c>
      <c r="N7717">
        <v>-1.3746619999999999E-2</v>
      </c>
      <c r="O7717">
        <v>0.99965210000000004</v>
      </c>
      <c r="P7717">
        <v>0.16723099999999999</v>
      </c>
      <c r="Q7717">
        <v>0.359857599999999</v>
      </c>
      <c r="R7717">
        <v>0.91789779999999999</v>
      </c>
      <c r="S7717">
        <v>0.90045169999999997</v>
      </c>
      <c r="T7717">
        <v>-0.40897450000000002</v>
      </c>
      <c r="U7717">
        <v>3.264221</v>
      </c>
      <c r="V7717">
        <v>0.146679799999999</v>
      </c>
      <c r="W7717">
        <v>0.3724287</v>
      </c>
      <c r="X7717">
        <v>0.91639619999999999</v>
      </c>
      <c r="Y7717">
        <v>0.24241789999999999</v>
      </c>
      <c r="Z7717">
        <v>-0.106595</v>
      </c>
      <c r="AA7717">
        <v>0.96429819999999999</v>
      </c>
      <c r="AB7717">
        <v>23</v>
      </c>
      <c r="AC7717">
        <v>2.4402999999999802</v>
      </c>
      <c r="AD7717">
        <v>-1.110879035518</v>
      </c>
      <c r="AE7717">
        <v>8.6316000000000006</v>
      </c>
      <c r="AF7717">
        <v>2.2114318840143898</v>
      </c>
      <c r="AG7717">
        <v>-1.110879035518</v>
      </c>
      <c r="AH7717">
        <v>8.5531684104932708</v>
      </c>
      <c r="AI7717">
        <v>97.167001990078106</v>
      </c>
      <c r="AJ7717">
        <v>75.503565610194102</v>
      </c>
      <c r="AK7717">
        <v>8.9039975891421292</v>
      </c>
      <c r="AL7717">
        <v>68.134521410116605</v>
      </c>
      <c r="AM7717">
        <v>80.906284350810296</v>
      </c>
      <c r="AN7717">
        <v>1.0000000478430799</v>
      </c>
    </row>
    <row r="7718" spans="1:40" x14ac:dyDescent="0.25">
      <c r="A7718" t="str">
        <f>"20190304165035310"</f>
        <v>20190304165035310</v>
      </c>
      <c r="B7718" t="str">
        <f>"1551689435303320"</f>
        <v>1551689435303320</v>
      </c>
      <c r="C7718" t="s">
        <v>40</v>
      </c>
      <c r="D7718">
        <v>4.7302439999999999</v>
      </c>
      <c r="E7718">
        <v>0.56241030000000003</v>
      </c>
      <c r="F7718" t="s">
        <v>42</v>
      </c>
      <c r="G7718">
        <v>-185.48320000000001</v>
      </c>
      <c r="H7718" s="1">
        <v>-4.07069E-6</v>
      </c>
      <c r="I7718">
        <v>117.254</v>
      </c>
      <c r="J7718">
        <v>-187.90029999999999</v>
      </c>
      <c r="K7718">
        <v>1.1108549999999999</v>
      </c>
      <c r="L7718">
        <v>108.7706</v>
      </c>
      <c r="M7718">
        <v>2.2823E-2</v>
      </c>
      <c r="N7718">
        <v>-1.374418E-2</v>
      </c>
      <c r="O7718">
        <v>0.99964509999999995</v>
      </c>
      <c r="P7718">
        <v>0.1696154</v>
      </c>
      <c r="Q7718">
        <v>0.3607764</v>
      </c>
      <c r="R7718">
        <v>0.9170992</v>
      </c>
      <c r="S7718">
        <v>0.90739440000000005</v>
      </c>
      <c r="T7718">
        <v>-0.4160451</v>
      </c>
      <c r="U7718">
        <v>3.2661129999999998</v>
      </c>
      <c r="V7718">
        <v>0.14881620000000001</v>
      </c>
      <c r="W7718">
        <v>0.3733264</v>
      </c>
      <c r="X7718">
        <v>0.91568620000000001</v>
      </c>
      <c r="Y7718">
        <v>0.24381639999999999</v>
      </c>
      <c r="Z7718">
        <v>-0.1085243</v>
      </c>
      <c r="AA7718">
        <v>0.96373030000000004</v>
      </c>
      <c r="AB7718">
        <v>23</v>
      </c>
      <c r="AC7718">
        <v>2.4170999999999698</v>
      </c>
      <c r="AD7718">
        <v>-1.1108590706899999</v>
      </c>
      <c r="AE7718">
        <v>8.4833999999999801</v>
      </c>
      <c r="AF7718">
        <v>2.1881334168187401</v>
      </c>
      <c r="AG7718">
        <v>-1.1108590706899999</v>
      </c>
      <c r="AH7718">
        <v>8.4030945495777605</v>
      </c>
      <c r="AI7718">
        <v>97.290268592337597</v>
      </c>
      <c r="AJ7718">
        <v>75.404525673375502</v>
      </c>
      <c r="AK7718">
        <v>8.7540809759720908</v>
      </c>
      <c r="AL7718">
        <v>68.079089062359699</v>
      </c>
      <c r="AM7718">
        <v>80.769065676311399</v>
      </c>
      <c r="AN7718">
        <v>1.00000003959491</v>
      </c>
    </row>
    <row r="7719" spans="1:40" x14ac:dyDescent="0.25">
      <c r="A7719" t="str">
        <f>"20190304165035333"</f>
        <v>20190304165035333</v>
      </c>
      <c r="B7719" t="str">
        <f>"1551689435322843"</f>
        <v>1551689435322843</v>
      </c>
      <c r="C7719" t="s">
        <v>40</v>
      </c>
      <c r="D7719">
        <v>4.7837779999999999</v>
      </c>
      <c r="E7719">
        <v>0.56228230000000001</v>
      </c>
      <c r="F7719" t="s">
        <v>42</v>
      </c>
      <c r="G7719">
        <v>-185.482</v>
      </c>
      <c r="H7719" s="1">
        <v>-4.1388110000000002E-6</v>
      </c>
      <c r="I7719">
        <v>117.4123</v>
      </c>
      <c r="J7719">
        <v>-187.8946</v>
      </c>
      <c r="K7719">
        <v>1.1108309999999999</v>
      </c>
      <c r="L7719">
        <v>109.00700000000001</v>
      </c>
      <c r="M7719">
        <v>2.3173760000000002E-2</v>
      </c>
      <c r="N7719">
        <v>-1.374161E-2</v>
      </c>
      <c r="O7719">
        <v>0.999637</v>
      </c>
      <c r="P7719">
        <v>0.17180290000000001</v>
      </c>
      <c r="Q7719">
        <v>0.36138949999999997</v>
      </c>
      <c r="R7719">
        <v>0.9164504</v>
      </c>
      <c r="S7719">
        <v>0.91433719999999996</v>
      </c>
      <c r="T7719">
        <v>-0.41999540000000002</v>
      </c>
      <c r="U7719">
        <v>3.2672880000000002</v>
      </c>
      <c r="V7719">
        <v>0.1507221</v>
      </c>
      <c r="W7719">
        <v>0.37391770000000002</v>
      </c>
      <c r="X7719">
        <v>0.91513299999999997</v>
      </c>
      <c r="Y7719">
        <v>0.24525269999999999</v>
      </c>
      <c r="Z7719">
        <v>-0.109571</v>
      </c>
      <c r="AA7719">
        <v>0.96324730000000003</v>
      </c>
      <c r="AB7719">
        <v>23</v>
      </c>
      <c r="AC7719">
        <v>2.4125999999999901</v>
      </c>
      <c r="AD7719">
        <v>-1.1108351388109901</v>
      </c>
      <c r="AE7719">
        <v>8.4052999999999898</v>
      </c>
      <c r="AF7719">
        <v>2.1819422328089</v>
      </c>
      <c r="AG7719">
        <v>-1.1108351388109901</v>
      </c>
      <c r="AH7719">
        <v>8.3246261736469993</v>
      </c>
      <c r="AI7719">
        <v>97.355036435567797</v>
      </c>
      <c r="AJ7719">
        <v>75.312767421236103</v>
      </c>
      <c r="AK7719">
        <v>8.6772246452365795</v>
      </c>
      <c r="AL7719">
        <v>68.042564185011699</v>
      </c>
      <c r="AM7719">
        <v>80.647367480227501</v>
      </c>
      <c r="AN7719">
        <v>1.0000000027453499</v>
      </c>
    </row>
    <row r="7720" spans="1:40" x14ac:dyDescent="0.25">
      <c r="A7720" t="str">
        <f>"20190304165035354"</f>
        <v>20190304165035354</v>
      </c>
      <c r="B7720" t="str">
        <f>"1551689435343340"</f>
        <v>1551689435343340</v>
      </c>
      <c r="C7720" t="s">
        <v>40</v>
      </c>
      <c r="D7720">
        <v>4.8454090000000001</v>
      </c>
      <c r="E7720">
        <v>0.56197169999999996</v>
      </c>
      <c r="F7720" t="s">
        <v>42</v>
      </c>
      <c r="G7720">
        <v>-185.46449999999999</v>
      </c>
      <c r="H7720" s="1">
        <v>-4.2280040000000001E-6</v>
      </c>
      <c r="I7720">
        <v>117.613</v>
      </c>
      <c r="J7720">
        <v>-187.88919999999999</v>
      </c>
      <c r="K7720">
        <v>1.1108049999999901</v>
      </c>
      <c r="L7720">
        <v>109.2227</v>
      </c>
      <c r="M7720">
        <v>2.354208E-2</v>
      </c>
      <c r="N7720">
        <v>-1.373922E-2</v>
      </c>
      <c r="O7720">
        <v>0.99962839999999997</v>
      </c>
      <c r="P7720">
        <v>0.17456920000000001</v>
      </c>
      <c r="Q7720">
        <v>0.36137069999999999</v>
      </c>
      <c r="R7720">
        <v>0.9159349</v>
      </c>
      <c r="S7720">
        <v>0.92245480000000002</v>
      </c>
      <c r="T7720">
        <v>-0.42167660000000001</v>
      </c>
      <c r="U7720">
        <v>3.2668460000000001</v>
      </c>
      <c r="V7720">
        <v>0.1531922</v>
      </c>
      <c r="W7720">
        <v>0.37387700000000001</v>
      </c>
      <c r="X7720">
        <v>0.91473939999999998</v>
      </c>
      <c r="Y7720">
        <v>0.24713189999999999</v>
      </c>
      <c r="Z7720">
        <v>-0.1100047</v>
      </c>
      <c r="AA7720">
        <v>0.96271739999999995</v>
      </c>
      <c r="AB7720">
        <v>23</v>
      </c>
      <c r="AC7720">
        <v>2.4247000000000001</v>
      </c>
      <c r="AD7720">
        <v>-1.1108092280039901</v>
      </c>
      <c r="AE7720">
        <v>8.3902999999999892</v>
      </c>
      <c r="AF7720">
        <v>2.1910403416686499</v>
      </c>
      <c r="AG7720">
        <v>-1.1108092280039901</v>
      </c>
      <c r="AH7720">
        <v>8.31062375733881</v>
      </c>
      <c r="AI7720">
        <v>97.364370812872806</v>
      </c>
      <c r="AJ7720">
        <v>75.230429427255999</v>
      </c>
      <c r="AK7720">
        <v>8.6660845920105505</v>
      </c>
      <c r="AL7720">
        <v>68.045078781884101</v>
      </c>
      <c r="AM7720">
        <v>80.492851718167003</v>
      </c>
      <c r="AN7720">
        <v>1.00000001559109</v>
      </c>
    </row>
    <row r="7721" spans="1:40" x14ac:dyDescent="0.25">
      <c r="A7721" t="str">
        <f>"20190304165035376"</f>
        <v>20190304165035376</v>
      </c>
      <c r="B7721" t="str">
        <f>"1551689435373592"</f>
        <v>1551689435373592</v>
      </c>
      <c r="C7721" t="s">
        <v>40</v>
      </c>
      <c r="D7721">
        <v>4.6398299999999999</v>
      </c>
      <c r="E7721">
        <v>0.56043889999999996</v>
      </c>
      <c r="F7721" t="s">
        <v>42</v>
      </c>
      <c r="G7721">
        <v>-185.4537</v>
      </c>
      <c r="H7721" s="1">
        <v>-4.2917890000000001E-6</v>
      </c>
      <c r="I7721">
        <v>117.7572</v>
      </c>
      <c r="J7721">
        <v>-187.88319999999999</v>
      </c>
      <c r="K7721">
        <v>1.1107560000000001</v>
      </c>
      <c r="L7721">
        <v>109.455</v>
      </c>
      <c r="M7721">
        <v>2.4007199999999999E-2</v>
      </c>
      <c r="N7721">
        <v>-1.373684E-2</v>
      </c>
      <c r="O7721">
        <v>0.99961739999999999</v>
      </c>
      <c r="P7721">
        <v>0.17714659999999999</v>
      </c>
      <c r="Q7721">
        <v>0.36136049999999997</v>
      </c>
      <c r="R7721">
        <v>0.91544400000000004</v>
      </c>
      <c r="S7721">
        <v>0.93185419999999997</v>
      </c>
      <c r="T7721">
        <v>-0.42501250000000002</v>
      </c>
      <c r="U7721">
        <v>3.2654269999999999</v>
      </c>
      <c r="V7721">
        <v>0.15539639999999999</v>
      </c>
      <c r="W7721">
        <v>0.3738399</v>
      </c>
      <c r="X7721">
        <v>0.91438269999999999</v>
      </c>
      <c r="Y7721">
        <v>0.2493225</v>
      </c>
      <c r="Z7721">
        <v>-0.1109387</v>
      </c>
      <c r="AA7721">
        <v>0.96204520000000004</v>
      </c>
      <c r="AB7721">
        <v>23</v>
      </c>
      <c r="AC7721">
        <v>2.4294999999999898</v>
      </c>
      <c r="AD7721">
        <v>-1.1107602917889901</v>
      </c>
      <c r="AE7721">
        <v>8.3021999999999991</v>
      </c>
      <c r="AF7721">
        <v>2.1933048235038899</v>
      </c>
      <c r="AG7721">
        <v>-1.1107602917889901</v>
      </c>
      <c r="AH7721">
        <v>8.2225632347489501</v>
      </c>
      <c r="AI7721">
        <v>97.436388741592296</v>
      </c>
      <c r="AJ7721">
        <v>75.064541066333803</v>
      </c>
      <c r="AK7721">
        <v>8.5822444980358004</v>
      </c>
      <c r="AL7721">
        <v>68.0473706809953</v>
      </c>
      <c r="AM7721">
        <v>80.354918071520899</v>
      </c>
      <c r="AN7721">
        <v>1.0000000170121299</v>
      </c>
    </row>
    <row r="7722" spans="1:40" x14ac:dyDescent="0.25">
      <c r="A7722" t="str">
        <f>"20190304165035399"</f>
        <v>20190304165035399</v>
      </c>
      <c r="B7722" t="str">
        <f>"1551689435393111"</f>
        <v>1551689435393111</v>
      </c>
      <c r="C7722" t="s">
        <v>40</v>
      </c>
      <c r="D7722">
        <v>4.7347289999999997</v>
      </c>
      <c r="E7722">
        <v>0.55958629999999998</v>
      </c>
      <c r="F7722" t="s">
        <v>42</v>
      </c>
      <c r="G7722">
        <v>-185.45820000000001</v>
      </c>
      <c r="H7722" s="1">
        <v>-4.3808350000000004E-6</v>
      </c>
      <c r="I7722">
        <v>117.9666</v>
      </c>
      <c r="J7722">
        <v>-187.8768</v>
      </c>
      <c r="K7722">
        <v>1.110689</v>
      </c>
      <c r="L7722">
        <v>109.69710000000001</v>
      </c>
      <c r="M7722">
        <v>2.458983E-2</v>
      </c>
      <c r="N7722">
        <v>-1.3734619999999999E-2</v>
      </c>
      <c r="O7722">
        <v>0.99960329999999997</v>
      </c>
      <c r="P7722">
        <v>0.17938209999999999</v>
      </c>
      <c r="Q7722">
        <v>0.36079739999999999</v>
      </c>
      <c r="R7722">
        <v>0.91523080000000001</v>
      </c>
      <c r="S7722">
        <v>0.93029790000000001</v>
      </c>
      <c r="T7722">
        <v>-0.42611300000000002</v>
      </c>
      <c r="U7722">
        <v>3.2652589999999999</v>
      </c>
      <c r="V7722">
        <v>0.15715760000000001</v>
      </c>
      <c r="W7722">
        <v>0.37324849999999998</v>
      </c>
      <c r="X7722">
        <v>0.91432329999999995</v>
      </c>
      <c r="Y7722">
        <v>0.2483368</v>
      </c>
      <c r="Z7722">
        <v>-0.1112871</v>
      </c>
      <c r="AA7722">
        <v>0.9622598</v>
      </c>
      <c r="AB7722">
        <v>23</v>
      </c>
      <c r="AC7722">
        <v>2.4185999999999899</v>
      </c>
      <c r="AD7722">
        <v>-1.1106933808349999</v>
      </c>
      <c r="AE7722">
        <v>8.2694999999999901</v>
      </c>
      <c r="AF7722">
        <v>2.1783042628539002</v>
      </c>
      <c r="AG7722">
        <v>-1.1106933808349999</v>
      </c>
      <c r="AH7722">
        <v>8.1903684166996396</v>
      </c>
      <c r="AI7722">
        <v>97.466283481592697</v>
      </c>
      <c r="AJ7722">
        <v>75.106430410385599</v>
      </c>
      <c r="AK7722">
        <v>8.5475601225770301</v>
      </c>
      <c r="AL7722">
        <v>68.083899844921703</v>
      </c>
      <c r="AM7722">
        <v>80.247070912299904</v>
      </c>
      <c r="AN7722">
        <v>1.0000000254564401</v>
      </c>
    </row>
    <row r="7723" spans="1:40" x14ac:dyDescent="0.25">
      <c r="A7723" t="str">
        <f>"20190304165035423"</f>
        <v>20190304165035423</v>
      </c>
      <c r="B7723" t="str">
        <f>"1551689435413607"</f>
        <v>1551689435413607</v>
      </c>
      <c r="C7723" t="s">
        <v>40</v>
      </c>
      <c r="D7723">
        <v>4.734947</v>
      </c>
      <c r="E7723">
        <v>0.55878930000000004</v>
      </c>
      <c r="F7723" t="s">
        <v>42</v>
      </c>
      <c r="G7723">
        <v>-185.45320000000001</v>
      </c>
      <c r="H7723" s="1">
        <v>-4.4649549999999998E-6</v>
      </c>
      <c r="I7723">
        <v>118.16070000000001</v>
      </c>
      <c r="J7723">
        <v>-187.87010000000001</v>
      </c>
      <c r="K7723">
        <v>1.1106229999999999</v>
      </c>
      <c r="L7723">
        <v>109.9371</v>
      </c>
      <c r="M7723">
        <v>2.525519E-2</v>
      </c>
      <c r="N7723">
        <v>-1.3732599999999999E-2</v>
      </c>
      <c r="O7723">
        <v>0.99958670000000005</v>
      </c>
      <c r="P7723">
        <v>0.18154000000000001</v>
      </c>
      <c r="Q7723">
        <v>0.3604501</v>
      </c>
      <c r="R7723">
        <v>0.91494200000000003</v>
      </c>
      <c r="S7723">
        <v>0.93450929999999999</v>
      </c>
      <c r="T7723">
        <v>-0.42828040000000001</v>
      </c>
      <c r="U7723">
        <v>3.2635350000000001</v>
      </c>
      <c r="V7723">
        <v>0.1587681</v>
      </c>
      <c r="W7723">
        <v>0.37287160000000003</v>
      </c>
      <c r="X7723">
        <v>0.91419879999999998</v>
      </c>
      <c r="Y7723">
        <v>0.24895239999999999</v>
      </c>
      <c r="Z7723">
        <v>-0.11194469999999999</v>
      </c>
      <c r="AA7723">
        <v>0.96202449999999995</v>
      </c>
      <c r="AB7723">
        <v>23</v>
      </c>
      <c r="AC7723">
        <v>2.4168999999999898</v>
      </c>
      <c r="AD7723">
        <v>-1.1106274649550001</v>
      </c>
      <c r="AE7723">
        <v>8.2235999999999994</v>
      </c>
      <c r="AF7723">
        <v>2.1719551696270099</v>
      </c>
      <c r="AG7723">
        <v>-1.1106274649550001</v>
      </c>
      <c r="AH7723">
        <v>8.1452681282641297</v>
      </c>
      <c r="AI7723">
        <v>97.505434542200902</v>
      </c>
      <c r="AJ7723">
        <v>75.069346799483597</v>
      </c>
      <c r="AK7723">
        <v>8.5027216528648903</v>
      </c>
      <c r="AL7723">
        <v>68.107174164336598</v>
      </c>
      <c r="AM7723">
        <v>80.147759169773906</v>
      </c>
      <c r="AN7723">
        <v>0.99999999279280405</v>
      </c>
    </row>
    <row r="7724" spans="1:40" x14ac:dyDescent="0.25">
      <c r="A7724" t="str">
        <f>"20190304165035444"</f>
        <v>20190304165035444</v>
      </c>
      <c r="B7724" t="str">
        <f>"1551689435433127"</f>
        <v>1551689435433127</v>
      </c>
      <c r="C7724" t="s">
        <v>40</v>
      </c>
      <c r="D7724">
        <v>4.7401249999999999</v>
      </c>
      <c r="E7724">
        <v>0.55809240000000004</v>
      </c>
      <c r="F7724" t="s">
        <v>42</v>
      </c>
      <c r="G7724">
        <v>-185.45070000000001</v>
      </c>
      <c r="H7724" s="1">
        <v>-4.5467650000000003E-6</v>
      </c>
      <c r="I7724">
        <v>118.3503</v>
      </c>
      <c r="J7724">
        <v>-187.8638</v>
      </c>
      <c r="K7724">
        <v>1.110563</v>
      </c>
      <c r="L7724">
        <v>110.1571</v>
      </c>
      <c r="M7724">
        <v>2.595942E-2</v>
      </c>
      <c r="N7724">
        <v>-1.3730910000000001E-2</v>
      </c>
      <c r="O7724">
        <v>0.99956869999999998</v>
      </c>
      <c r="P7724">
        <v>0.18493029999999999</v>
      </c>
      <c r="Q7724">
        <v>0.3604482</v>
      </c>
      <c r="R7724">
        <v>0.91426359999999995</v>
      </c>
      <c r="S7724">
        <v>0.93817139999999999</v>
      </c>
      <c r="T7724">
        <v>-0.43066860000000001</v>
      </c>
      <c r="U7724">
        <v>3.2624050000000002</v>
      </c>
      <c r="V7724">
        <v>0.1615837</v>
      </c>
      <c r="W7724">
        <v>0.3728339</v>
      </c>
      <c r="X7724">
        <v>0.91372070000000005</v>
      </c>
      <c r="Y7724">
        <v>0.24933279999999999</v>
      </c>
      <c r="Z7724">
        <v>-0.112650399999999</v>
      </c>
      <c r="AA7724">
        <v>0.96184360000000002</v>
      </c>
      <c r="AB7724">
        <v>23</v>
      </c>
      <c r="AC7724">
        <v>2.41309999999998</v>
      </c>
      <c r="AD7724">
        <v>-1.110567546765</v>
      </c>
      <c r="AE7724">
        <v>8.1931999999999992</v>
      </c>
      <c r="AF7724">
        <v>2.16300684808306</v>
      </c>
      <c r="AG7724">
        <v>-1.110567546765</v>
      </c>
      <c r="AH7724">
        <v>8.1158753925674407</v>
      </c>
      <c r="AI7724">
        <v>97.532156842964795</v>
      </c>
      <c r="AJ7724">
        <v>75.076667606817495</v>
      </c>
      <c r="AK7724">
        <v>8.4722719673334108</v>
      </c>
      <c r="AL7724">
        <v>68.109501402234798</v>
      </c>
      <c r="AM7724">
        <v>79.971414039826598</v>
      </c>
      <c r="AN7724">
        <v>0.99999996335169405</v>
      </c>
    </row>
    <row r="7725" spans="1:40" x14ac:dyDescent="0.25">
      <c r="A7725" t="str">
        <f>"20190304165035467"</f>
        <v>20190304165035467</v>
      </c>
      <c r="B7725" t="str">
        <f>"1551689435463384"</f>
        <v>1551689435463384</v>
      </c>
      <c r="C7725" t="s">
        <v>40</v>
      </c>
      <c r="D7725">
        <v>4.7155849999999999</v>
      </c>
      <c r="E7725">
        <v>0.55723059999999902</v>
      </c>
      <c r="F7725" t="s">
        <v>42</v>
      </c>
      <c r="G7725">
        <v>-185.43960000000001</v>
      </c>
      <c r="H7725" s="1">
        <v>-4.626611E-6</v>
      </c>
      <c r="I7725">
        <v>118.5318</v>
      </c>
      <c r="J7725">
        <v>-187.8571</v>
      </c>
      <c r="K7725">
        <v>1.1104889999999901</v>
      </c>
      <c r="L7725">
        <v>110.3779</v>
      </c>
      <c r="M7725">
        <v>2.6782110000000001E-2</v>
      </c>
      <c r="N7725">
        <v>-1.3729430000000001E-2</v>
      </c>
      <c r="O7725">
        <v>0.99954699999999996</v>
      </c>
      <c r="P7725">
        <v>0.18815879999999999</v>
      </c>
      <c r="Q7725">
        <v>0.361232</v>
      </c>
      <c r="R7725">
        <v>0.91329499999999997</v>
      </c>
      <c r="S7725">
        <v>0.94392399999999999</v>
      </c>
      <c r="T7725">
        <v>-0.43242619999999998</v>
      </c>
      <c r="U7725">
        <v>3.2608950000000001</v>
      </c>
      <c r="V7725">
        <v>0.1641476</v>
      </c>
      <c r="W7725">
        <v>0.37357400000000002</v>
      </c>
      <c r="X7725">
        <v>0.91296109999999997</v>
      </c>
      <c r="Y7725">
        <v>0.2502027</v>
      </c>
      <c r="Z7725">
        <v>-0.1131684</v>
      </c>
      <c r="AA7725">
        <v>0.96155690000000005</v>
      </c>
      <c r="AB7725">
        <v>23</v>
      </c>
      <c r="AC7725">
        <v>2.41749999999998</v>
      </c>
      <c r="AD7725">
        <v>-1.1104936266109999</v>
      </c>
      <c r="AE7725">
        <v>8.1539000000000001</v>
      </c>
      <c r="AF7725">
        <v>2.1613829622494798</v>
      </c>
      <c r="AG7725">
        <v>-1.1104936266109999</v>
      </c>
      <c r="AH7725">
        <v>8.0780006872950896</v>
      </c>
      <c r="AI7725">
        <v>97.564611650955399</v>
      </c>
      <c r="AJ7725">
        <v>75.020588274971502</v>
      </c>
      <c r="AK7725">
        <v>8.4355715578842592</v>
      </c>
      <c r="AL7725">
        <v>68.063794565355593</v>
      </c>
      <c r="AM7725">
        <v>79.807296767786596</v>
      </c>
      <c r="AN7725">
        <v>0.99999996908748401</v>
      </c>
    </row>
    <row r="7726" spans="1:40" x14ac:dyDescent="0.25">
      <c r="A7726" t="str">
        <f>"20190304165035489"</f>
        <v>20190304165035489</v>
      </c>
      <c r="B7726" t="str">
        <f>"1551689435482904"</f>
        <v>1551689435482904</v>
      </c>
      <c r="C7726" t="s">
        <v>40</v>
      </c>
      <c r="D7726">
        <v>4.7432349999999897</v>
      </c>
      <c r="E7726">
        <v>0.55673879999999998</v>
      </c>
      <c r="F7726" t="s">
        <v>42</v>
      </c>
      <c r="G7726">
        <v>-185.42580000000001</v>
      </c>
      <c r="H7726" s="1">
        <v>-4.7239109999999999E-6</v>
      </c>
      <c r="I7726">
        <v>118.753</v>
      </c>
      <c r="J7726">
        <v>-187.8494</v>
      </c>
      <c r="K7726">
        <v>1.1103970000000001</v>
      </c>
      <c r="L7726">
        <v>110.6238</v>
      </c>
      <c r="M7726">
        <v>2.7855629999999999E-2</v>
      </c>
      <c r="N7726">
        <v>-1.372837E-2</v>
      </c>
      <c r="O7726">
        <v>0.99951769999999995</v>
      </c>
      <c r="P7726">
        <v>0.19079689999999999</v>
      </c>
      <c r="Q7726">
        <v>0.36141800000000002</v>
      </c>
      <c r="R7726">
        <v>0.91267379999999998</v>
      </c>
      <c r="S7726">
        <v>0.94662480000000004</v>
      </c>
      <c r="T7726">
        <v>-0.4323668</v>
      </c>
      <c r="U7726">
        <v>3.2607879999999998</v>
      </c>
      <c r="V7726">
        <v>0.16590569999999999</v>
      </c>
      <c r="W7726">
        <v>0.37371199999999999</v>
      </c>
      <c r="X7726">
        <v>0.91258669999999997</v>
      </c>
      <c r="Y7726">
        <v>0.24990760000000001</v>
      </c>
      <c r="Z7726">
        <v>-0.1131437</v>
      </c>
      <c r="AA7726">
        <v>0.96163650000000001</v>
      </c>
      <c r="AB7726">
        <v>23</v>
      </c>
      <c r="AC7726">
        <v>2.4235999999999902</v>
      </c>
      <c r="AD7726">
        <v>-1.11040172391099</v>
      </c>
      <c r="AE7726">
        <v>8.1291999999999796</v>
      </c>
      <c r="AF7726">
        <v>2.1591963182392102</v>
      </c>
      <c r="AG7726">
        <v>-1.11040172391099</v>
      </c>
      <c r="AH7726">
        <v>8.0555310797941093</v>
      </c>
      <c r="AI7726">
        <v>97.583956592271605</v>
      </c>
      <c r="AJ7726">
        <v>74.995200376218094</v>
      </c>
      <c r="AK7726">
        <v>8.4134833277716297</v>
      </c>
      <c r="AL7726">
        <v>68.055269288937893</v>
      </c>
      <c r="AM7726">
        <v>79.6963176500511</v>
      </c>
      <c r="AN7726">
        <v>0.99999992262668602</v>
      </c>
    </row>
    <row r="7727" spans="1:40" x14ac:dyDescent="0.25">
      <c r="A7727" t="str">
        <f>"20190304165035511"</f>
        <v>20190304165035511</v>
      </c>
      <c r="B7727" t="str">
        <f>"1551689435503400"</f>
        <v>1551689435503400</v>
      </c>
      <c r="C7727" t="s">
        <v>40</v>
      </c>
      <c r="D7727">
        <v>5.0353159999999999</v>
      </c>
      <c r="E7727">
        <v>0.55649380000000004</v>
      </c>
      <c r="F7727" t="s">
        <v>42</v>
      </c>
      <c r="G7727">
        <v>-185.41</v>
      </c>
      <c r="H7727" s="1">
        <v>-4.8176630000000001E-6</v>
      </c>
      <c r="I7727">
        <v>118.965</v>
      </c>
      <c r="J7727">
        <v>-187.84180000000001</v>
      </c>
      <c r="K7727">
        <v>1.110287</v>
      </c>
      <c r="L7727">
        <v>110.851</v>
      </c>
      <c r="M7727">
        <v>2.9015180000000002E-2</v>
      </c>
      <c r="N7727">
        <v>-1.372811E-2</v>
      </c>
      <c r="O7727">
        <v>0.9994847</v>
      </c>
      <c r="P7727">
        <v>0.19201509999999999</v>
      </c>
      <c r="Q7727">
        <v>0.36160750000000003</v>
      </c>
      <c r="R7727">
        <v>0.91234329999999997</v>
      </c>
      <c r="S7727">
        <v>0.95326230000000001</v>
      </c>
      <c r="T7727">
        <v>-0.4339249</v>
      </c>
      <c r="U7727">
        <v>3.2595830000000001</v>
      </c>
      <c r="V7727">
        <v>0.16616889999999901</v>
      </c>
      <c r="W7727">
        <v>0.37385499999999999</v>
      </c>
      <c r="X7727">
        <v>0.91248030000000002</v>
      </c>
      <c r="Y7727">
        <v>0.25066949999999999</v>
      </c>
      <c r="Z7727">
        <v>-0.1135869</v>
      </c>
      <c r="AA7727">
        <v>0.96138590000000002</v>
      </c>
      <c r="AB7727">
        <v>23</v>
      </c>
      <c r="AC7727">
        <v>2.4318</v>
      </c>
      <c r="AD7727">
        <v>-1.1102918176629999</v>
      </c>
      <c r="AE7727">
        <v>8.1140000000000008</v>
      </c>
      <c r="AF7727">
        <v>2.1582438030245799</v>
      </c>
      <c r="AG7727">
        <v>-1.1102918176629999</v>
      </c>
      <c r="AH7727">
        <v>8.0429627426249706</v>
      </c>
      <c r="AI7727">
        <v>97.594362189856</v>
      </c>
      <c r="AJ7727">
        <v>74.979142397506706</v>
      </c>
      <c r="AK7727">
        <v>8.4011912198757095</v>
      </c>
      <c r="AL7727">
        <v>68.046437048416706</v>
      </c>
      <c r="AM7727">
        <v>79.679144936892598</v>
      </c>
      <c r="AN7727">
        <v>0.99999998112014898</v>
      </c>
    </row>
    <row r="7728" spans="1:40" x14ac:dyDescent="0.25">
      <c r="A7728" t="str">
        <f>"20190304165035532"</f>
        <v>20190304165035532</v>
      </c>
      <c r="B7728" t="str">
        <f>"1551689435522923"</f>
        <v>1551689435522923</v>
      </c>
      <c r="C7728" t="s">
        <v>40</v>
      </c>
      <c r="D7728">
        <v>4.7605300000000002</v>
      </c>
      <c r="E7728">
        <v>0.54496309999999903</v>
      </c>
      <c r="F7728" t="s">
        <v>42</v>
      </c>
      <c r="G7728">
        <v>-185.39590000000001</v>
      </c>
      <c r="H7728" s="1">
        <v>-4.9140080000000001E-6</v>
      </c>
      <c r="I7728">
        <v>119.1837</v>
      </c>
      <c r="J7728">
        <v>-187.83420000000001</v>
      </c>
      <c r="K7728">
        <v>1.1101719999999999</v>
      </c>
      <c r="L7728">
        <v>111.0652</v>
      </c>
      <c r="M7728">
        <v>3.027852E-2</v>
      </c>
      <c r="N7728">
        <v>-1.3727110000000001E-2</v>
      </c>
      <c r="O7728">
        <v>0.99944719999999998</v>
      </c>
      <c r="P7728">
        <v>0.1946764</v>
      </c>
      <c r="Q7728">
        <v>0.36168850000000002</v>
      </c>
      <c r="R7728">
        <v>0.91174699999999997</v>
      </c>
      <c r="S7728">
        <v>0.95660400000000001</v>
      </c>
      <c r="T7728">
        <v>-0.4342452</v>
      </c>
      <c r="U7728">
        <v>3.2590029999999999</v>
      </c>
      <c r="V7728">
        <v>0.16779639999999901</v>
      </c>
      <c r="W7728">
        <v>0.37387930000000003</v>
      </c>
      <c r="X7728">
        <v>0.91217250000000005</v>
      </c>
      <c r="Y7728">
        <v>0.25039729999999999</v>
      </c>
      <c r="Z7728">
        <v>-0.1136841</v>
      </c>
      <c r="AA7728">
        <v>0.96144529999999995</v>
      </c>
      <c r="AB7728">
        <v>23</v>
      </c>
      <c r="AC7728">
        <v>2.4382999999999901</v>
      </c>
      <c r="AD7728">
        <v>-1.110176914008</v>
      </c>
      <c r="AE7728">
        <v>8.1184999999999903</v>
      </c>
      <c r="AF7728">
        <v>2.15438950978012</v>
      </c>
      <c r="AG7728">
        <v>-1.110176914008</v>
      </c>
      <c r="AH7728">
        <v>8.0505260790456195</v>
      </c>
      <c r="AI7728">
        <v>97.587904771856003</v>
      </c>
      <c r="AJ7728">
        <v>75.018212178376302</v>
      </c>
      <c r="AK7728">
        <v>8.4074286847787594</v>
      </c>
      <c r="AL7728">
        <v>68.0449367134282</v>
      </c>
      <c r="AM7728">
        <v>79.576824639782799</v>
      </c>
      <c r="AN7728">
        <v>1.0000000162888401</v>
      </c>
    </row>
    <row r="7729" spans="1:40" x14ac:dyDescent="0.25">
      <c r="A7729" t="str">
        <f>"20190304165035544"</f>
        <v>20190304165035544</v>
      </c>
      <c r="B7729" t="str">
        <f>"1551689435533657"</f>
        <v>1551689435533657</v>
      </c>
      <c r="C7729" t="s">
        <v>40</v>
      </c>
      <c r="D7729">
        <v>4.9730480000000004</v>
      </c>
      <c r="E7729">
        <v>0.54628009999999905</v>
      </c>
      <c r="F7729" t="s">
        <v>41</v>
      </c>
      <c r="G7729">
        <v>-187.6387</v>
      </c>
      <c r="H7729">
        <v>1.0022869999999999</v>
      </c>
      <c r="I7729">
        <v>111.8022</v>
      </c>
      <c r="J7729">
        <v>-187.8297</v>
      </c>
      <c r="K7729">
        <v>1.1101000000000001</v>
      </c>
      <c r="L7729">
        <v>111.1853</v>
      </c>
      <c r="M7729">
        <v>3.1077589999999999E-2</v>
      </c>
      <c r="N7729">
        <v>-1.372601E-2</v>
      </c>
      <c r="O7729">
        <v>0.9994227</v>
      </c>
      <c r="P7729">
        <v>0.19651070000000001</v>
      </c>
      <c r="Q7729">
        <v>0.36198249999999998</v>
      </c>
      <c r="R7729">
        <v>0.91123659999999995</v>
      </c>
      <c r="S7729">
        <v>0.87353519999999896</v>
      </c>
      <c r="T7729">
        <v>-0.48231859999999999</v>
      </c>
      <c r="U7729">
        <v>3.2951969999999999</v>
      </c>
      <c r="V7729">
        <v>0.16897909999999999</v>
      </c>
      <c r="W7729">
        <v>0.3741353</v>
      </c>
      <c r="X7729">
        <v>0.91184909999999997</v>
      </c>
      <c r="Y7729">
        <v>0.22376950000000001</v>
      </c>
      <c r="Z7729">
        <v>-0.12696950000000001</v>
      </c>
      <c r="AA7729">
        <v>0.96633639999999998</v>
      </c>
      <c r="AB7729">
        <v>23</v>
      </c>
      <c r="AC7729">
        <v>0.191000000000002</v>
      </c>
      <c r="AD7729">
        <v>-0.10781299999999901</v>
      </c>
      <c r="AE7729">
        <v>0.616900000000001</v>
      </c>
      <c r="AF7729">
        <v>0.1670774815196</v>
      </c>
      <c r="AG7729">
        <v>-0.10781299999999901</v>
      </c>
      <c r="AH7729">
        <v>0.60565785588075305</v>
      </c>
      <c r="AI7729">
        <v>99.737126634805307</v>
      </c>
      <c r="AJ7729">
        <v>74.577886829091597</v>
      </c>
      <c r="AK7729">
        <v>0.63746369793895197</v>
      </c>
      <c r="AL7729">
        <v>68.029120126173893</v>
      </c>
      <c r="AM7729">
        <v>79.501345046248304</v>
      </c>
      <c r="AN7729">
        <v>0.99999997005685404</v>
      </c>
    </row>
    <row r="7730" spans="1:40" x14ac:dyDescent="0.25">
      <c r="A7730" t="str">
        <f>"20190304165035556"</f>
        <v>20190304165035556</v>
      </c>
      <c r="B7730" t="str">
        <f>"1551689435553177"</f>
        <v>1551689435553177</v>
      </c>
      <c r="C7730" t="s">
        <v>40</v>
      </c>
      <c r="D7730">
        <v>5.0079669999999998</v>
      </c>
      <c r="E7730">
        <v>0.54592430000000003</v>
      </c>
      <c r="F7730" t="s">
        <v>41</v>
      </c>
      <c r="G7730">
        <v>-187.60939999999999</v>
      </c>
      <c r="H7730">
        <v>0.98971580000000003</v>
      </c>
      <c r="I7730">
        <v>112.0013</v>
      </c>
      <c r="J7730">
        <v>-187.82490000000001</v>
      </c>
      <c r="K7730">
        <v>1.1100239999999999</v>
      </c>
      <c r="L7730">
        <v>111.3117</v>
      </c>
      <c r="M7730">
        <v>3.195419E-2</v>
      </c>
      <c r="N7730">
        <v>-1.372465E-2</v>
      </c>
      <c r="O7730">
        <v>0.99939509999999998</v>
      </c>
      <c r="P7730">
        <v>0.1985768</v>
      </c>
      <c r="Q7730">
        <v>0.36220570000000002</v>
      </c>
      <c r="R7730">
        <v>0.91069990000000001</v>
      </c>
      <c r="S7730">
        <v>0.88941959999999998</v>
      </c>
      <c r="T7730">
        <v>-0.48594670000000001</v>
      </c>
      <c r="U7730">
        <v>3.293472</v>
      </c>
      <c r="V7730">
        <v>0.1703286</v>
      </c>
      <c r="W7730">
        <v>0.37431789999999998</v>
      </c>
      <c r="X7730">
        <v>0.91152299999999997</v>
      </c>
      <c r="Y7730">
        <v>0.22735050000000001</v>
      </c>
      <c r="Z7730">
        <v>-0.12793070000000001</v>
      </c>
      <c r="AA7730">
        <v>0.96537320000000004</v>
      </c>
      <c r="AB7730">
        <v>23</v>
      </c>
      <c r="AC7730">
        <v>0.21550000000002001</v>
      </c>
      <c r="AD7730">
        <v>-0.120308199999999</v>
      </c>
      <c r="AE7730">
        <v>0.68959999999999799</v>
      </c>
      <c r="AF7730">
        <v>0.18813549208196101</v>
      </c>
      <c r="AG7730">
        <v>-0.120308199999999</v>
      </c>
      <c r="AH7730">
        <v>0.67735244859474197</v>
      </c>
      <c r="AI7730">
        <v>99.711335094136601</v>
      </c>
      <c r="AJ7730">
        <v>74.477299845690595</v>
      </c>
      <c r="AK7730">
        <v>0.71321481054830405</v>
      </c>
      <c r="AL7730">
        <v>68.017837693075606</v>
      </c>
      <c r="AM7730">
        <v>79.415686979532396</v>
      </c>
      <c r="AN7730">
        <v>0.99999995088368299</v>
      </c>
    </row>
    <row r="7731" spans="1:40" x14ac:dyDescent="0.25">
      <c r="A7731" t="str">
        <f>"20190304165035568"</f>
        <v>20190304165035568</v>
      </c>
      <c r="B7731" t="str">
        <f>"1551689435562936"</f>
        <v>1551689435562936</v>
      </c>
      <c r="C7731" t="s">
        <v>40</v>
      </c>
      <c r="D7731">
        <v>4.695157</v>
      </c>
      <c r="E7731">
        <v>0.54578559999999998</v>
      </c>
      <c r="F7731" t="s">
        <v>41</v>
      </c>
      <c r="G7731">
        <v>-187.5829</v>
      </c>
      <c r="H7731">
        <v>0.97916199999999998</v>
      </c>
      <c r="I7731">
        <v>112.2032</v>
      </c>
      <c r="J7731">
        <v>-187.81950000000001</v>
      </c>
      <c r="K7731">
        <v>1.1099399999999999</v>
      </c>
      <c r="L7731">
        <v>111.44499999999999</v>
      </c>
      <c r="M7731">
        <v>3.2982280000000003E-2</v>
      </c>
      <c r="N7731">
        <v>-1.372349E-2</v>
      </c>
      <c r="O7731">
        <v>0.99936170000000002</v>
      </c>
      <c r="P7731">
        <v>0.20072780000000001</v>
      </c>
      <c r="Q7731">
        <v>0.36248069999999999</v>
      </c>
      <c r="R7731">
        <v>0.91011880000000001</v>
      </c>
      <c r="S7731">
        <v>0.89315800000000001</v>
      </c>
      <c r="T7731">
        <v>-0.48313</v>
      </c>
      <c r="U7731">
        <v>3.2915649999999999</v>
      </c>
      <c r="V7731">
        <v>0.17163120000000001</v>
      </c>
      <c r="W7731">
        <v>0.37454870000000001</v>
      </c>
      <c r="X7731">
        <v>0.91118379999999999</v>
      </c>
      <c r="Y7731">
        <v>0.22753809999999999</v>
      </c>
      <c r="Z7731">
        <v>-0.12717600000000001</v>
      </c>
      <c r="AA7731">
        <v>0.96542879999999998</v>
      </c>
      <c r="AB7731">
        <v>23</v>
      </c>
      <c r="AC7731">
        <v>0.236600000000009</v>
      </c>
      <c r="AD7731">
        <v>-0.13077799999999901</v>
      </c>
      <c r="AE7731">
        <v>0.75820000000000198</v>
      </c>
      <c r="AF7731">
        <v>0.205880115070256</v>
      </c>
      <c r="AG7731">
        <v>-0.13077799999999901</v>
      </c>
      <c r="AH7731">
        <v>0.74538366216182494</v>
      </c>
      <c r="AI7731">
        <v>99.598928888535198</v>
      </c>
      <c r="AJ7731">
        <v>74.559479830950494</v>
      </c>
      <c r="AK7731">
        <v>0.78427438494643897</v>
      </c>
      <c r="AL7731">
        <v>68.003576521624495</v>
      </c>
      <c r="AM7731">
        <v>79.332713631737604</v>
      </c>
      <c r="AN7731">
        <v>0.999999957433784</v>
      </c>
    </row>
    <row r="7732" spans="1:40" x14ac:dyDescent="0.25">
      <c r="A7732" t="str">
        <f>"20190304165035581"</f>
        <v>20190304165035581</v>
      </c>
      <c r="B7732" t="str">
        <f>"1551689435573672"</f>
        <v>1551689435573672</v>
      </c>
      <c r="C7732" t="s">
        <v>40</v>
      </c>
      <c r="D7732">
        <v>4.781873</v>
      </c>
      <c r="E7732">
        <v>0.54582739999999996</v>
      </c>
      <c r="F7732" t="s">
        <v>41</v>
      </c>
      <c r="G7732">
        <v>-187.6103</v>
      </c>
      <c r="H7732">
        <v>0.99853959999999997</v>
      </c>
      <c r="I7732">
        <v>112.2102</v>
      </c>
      <c r="J7732">
        <v>-187.8143</v>
      </c>
      <c r="K7732">
        <v>1.1098629999999901</v>
      </c>
      <c r="L7732">
        <v>111.571</v>
      </c>
      <c r="M7732">
        <v>3.4007099999999998E-2</v>
      </c>
      <c r="N7732">
        <v>-1.3722659999999999E-2</v>
      </c>
      <c r="O7732">
        <v>0.99932739999999998</v>
      </c>
      <c r="P7732">
        <v>0.2025206</v>
      </c>
      <c r="Q7732">
        <v>0.36252519999999999</v>
      </c>
      <c r="R7732">
        <v>0.9097037</v>
      </c>
      <c r="S7732">
        <v>0.89874270000000001</v>
      </c>
      <c r="T7732">
        <v>-0.4786918</v>
      </c>
      <c r="U7732">
        <v>3.2887119999999999</v>
      </c>
      <c r="V7732">
        <v>0.172567</v>
      </c>
      <c r="W7732">
        <v>0.37455579999999999</v>
      </c>
      <c r="X7732">
        <v>0.91100420000000004</v>
      </c>
      <c r="Y7732">
        <v>0.22831940000000001</v>
      </c>
      <c r="Z7732">
        <v>-0.12597449999999999</v>
      </c>
      <c r="AA7732">
        <v>0.96540179999999998</v>
      </c>
      <c r="AB7732">
        <v>23</v>
      </c>
      <c r="AC7732">
        <v>0.20400000000000701</v>
      </c>
      <c r="AD7732">
        <v>-0.111323399999999</v>
      </c>
      <c r="AE7732">
        <v>0.63920000000000199</v>
      </c>
      <c r="AF7732">
        <v>0.177262905753579</v>
      </c>
      <c r="AG7732">
        <v>-0.111323399999999</v>
      </c>
      <c r="AH7732">
        <v>0.62846785497197699</v>
      </c>
      <c r="AI7732">
        <v>99.674936425837998</v>
      </c>
      <c r="AJ7732">
        <v>74.248594816690101</v>
      </c>
      <c r="AK7732">
        <v>0.66240990472428796</v>
      </c>
      <c r="AL7732">
        <v>68.003139570294294</v>
      </c>
      <c r="AM7732">
        <v>79.273831670088498</v>
      </c>
      <c r="AN7732">
        <v>1.0000000346101301</v>
      </c>
    </row>
    <row r="7733" spans="1:40" x14ac:dyDescent="0.25">
      <c r="A7733" t="str">
        <f>"20190304165035600"</f>
        <v>20190304165035600</v>
      </c>
      <c r="B7733" t="str">
        <f>"1551689435593192"</f>
        <v>1551689435593192</v>
      </c>
      <c r="C7733" t="s">
        <v>40</v>
      </c>
      <c r="D7733">
        <v>4.757765</v>
      </c>
      <c r="E7733">
        <v>0.54583749999999998</v>
      </c>
      <c r="F7733" t="s">
        <v>41</v>
      </c>
      <c r="G7733">
        <v>-187.583</v>
      </c>
      <c r="H7733">
        <v>0.98820600000000003</v>
      </c>
      <c r="I7733">
        <v>112.411</v>
      </c>
      <c r="J7733">
        <v>-187.80590000000001</v>
      </c>
      <c r="K7733">
        <v>1.1097539999999999</v>
      </c>
      <c r="L7733">
        <v>111.7634</v>
      </c>
      <c r="M7733">
        <v>3.5690340000000001E-2</v>
      </c>
      <c r="N7733">
        <v>-1.372196E-2</v>
      </c>
      <c r="O7733">
        <v>0.99926870000000001</v>
      </c>
      <c r="P7733">
        <v>0.20650009999999999</v>
      </c>
      <c r="Q7733">
        <v>0.36297210000000002</v>
      </c>
      <c r="R7733">
        <v>0.9086303</v>
      </c>
      <c r="S7733">
        <v>0.90460209999999996</v>
      </c>
      <c r="T7733">
        <v>-0.47589160000000003</v>
      </c>
      <c r="U7733">
        <v>3.286041</v>
      </c>
      <c r="V7733">
        <v>0.17514160000000001</v>
      </c>
      <c r="W7733">
        <v>0.37493870000000001</v>
      </c>
      <c r="X7733">
        <v>0.91035509999999997</v>
      </c>
      <c r="Y7733">
        <v>0.2285066</v>
      </c>
      <c r="Z7733">
        <v>-0.1252373</v>
      </c>
      <c r="AA7733">
        <v>0.96545340000000002</v>
      </c>
      <c r="AB7733">
        <v>23</v>
      </c>
      <c r="AC7733">
        <v>0.22290000000000901</v>
      </c>
      <c r="AD7733">
        <v>-0.121548</v>
      </c>
      <c r="AE7733">
        <v>0.64759999999999696</v>
      </c>
      <c r="AF7733">
        <v>0.193546740707571</v>
      </c>
      <c r="AG7733">
        <v>-0.121548</v>
      </c>
      <c r="AH7733">
        <v>0.63513901043058196</v>
      </c>
      <c r="AI7733">
        <v>100.373777316653</v>
      </c>
      <c r="AJ7733">
        <v>73.0523799166522</v>
      </c>
      <c r="AK7733">
        <v>0.67500801455483606</v>
      </c>
      <c r="AL7733">
        <v>67.979476021507693</v>
      </c>
      <c r="AM7733">
        <v>79.110023495375501</v>
      </c>
      <c r="AN7733">
        <v>1.0000000084521301</v>
      </c>
    </row>
    <row r="7734" spans="1:40" x14ac:dyDescent="0.25">
      <c r="A7734" t="str">
        <f>"20190304165035622"</f>
        <v>20190304165035622</v>
      </c>
      <c r="B7734" t="str">
        <f>"1551689435613689"</f>
        <v>1551689435613689</v>
      </c>
      <c r="C7734" t="s">
        <v>40</v>
      </c>
      <c r="D7734">
        <v>4.7899370000000001</v>
      </c>
      <c r="E7734">
        <v>0.54574719999999999</v>
      </c>
      <c r="F7734" t="s">
        <v>41</v>
      </c>
      <c r="G7734">
        <v>-187.56780000000001</v>
      </c>
      <c r="H7734">
        <v>0.986591</v>
      </c>
      <c r="I7734">
        <v>112.61539999999999</v>
      </c>
      <c r="J7734">
        <v>-187.7955</v>
      </c>
      <c r="K7734">
        <v>1.109634</v>
      </c>
      <c r="L7734">
        <v>111.9879</v>
      </c>
      <c r="M7734">
        <v>3.7841739999999999E-2</v>
      </c>
      <c r="N7734">
        <v>-1.3722379999999999E-2</v>
      </c>
      <c r="O7734">
        <v>0.99918949999999995</v>
      </c>
      <c r="P7734">
        <v>0.21001890000000001</v>
      </c>
      <c r="Q7734">
        <v>0.36277480000000001</v>
      </c>
      <c r="R7734">
        <v>0.90790219999999999</v>
      </c>
      <c r="S7734">
        <v>0.91680910000000004</v>
      </c>
      <c r="T7734">
        <v>-0.47450949999999997</v>
      </c>
      <c r="U7734">
        <v>3.282867</v>
      </c>
      <c r="V7734">
        <v>0.176822799999999</v>
      </c>
      <c r="W7734">
        <v>0.37468220000000002</v>
      </c>
      <c r="X7734">
        <v>0.91013560000000004</v>
      </c>
      <c r="Y7734">
        <v>0.22999539999999999</v>
      </c>
      <c r="Z7734">
        <v>-0.1248653</v>
      </c>
      <c r="AA7734">
        <v>0.96514800000000001</v>
      </c>
      <c r="AB7734">
        <v>23</v>
      </c>
      <c r="AC7734">
        <v>0.22769999999999799</v>
      </c>
      <c r="AD7734">
        <v>-0.123043</v>
      </c>
      <c r="AE7734">
        <v>0.62749999999999695</v>
      </c>
      <c r="AF7734">
        <v>0.19709263891908199</v>
      </c>
      <c r="AG7734">
        <v>-0.123043</v>
      </c>
      <c r="AH7734">
        <v>0.61478040146373703</v>
      </c>
      <c r="AI7734">
        <v>100.790413405717</v>
      </c>
      <c r="AJ7734">
        <v>72.224653101991294</v>
      </c>
      <c r="AK7734">
        <v>0.65722144684193096</v>
      </c>
      <c r="AL7734">
        <v>67.995326202520303</v>
      </c>
      <c r="AM7734">
        <v>79.005437710452796</v>
      </c>
      <c r="AN7734">
        <v>0.99999993199201698</v>
      </c>
    </row>
    <row r="7735" spans="1:40" x14ac:dyDescent="0.25">
      <c r="A7735" t="str">
        <f>"20190304165035639"</f>
        <v>20190304165035639</v>
      </c>
      <c r="B7735" t="str">
        <f>"1551689435633208"</f>
        <v>1551689435633208</v>
      </c>
      <c r="C7735" t="s">
        <v>40</v>
      </c>
      <c r="D7735">
        <v>4.9870559999999999</v>
      </c>
      <c r="E7735">
        <v>0.54525239999999997</v>
      </c>
      <c r="F7735" t="s">
        <v>41</v>
      </c>
      <c r="G7735">
        <v>-187.56010000000001</v>
      </c>
      <c r="H7735">
        <v>0.98887650000000005</v>
      </c>
      <c r="I7735">
        <v>112.8199</v>
      </c>
      <c r="J7735">
        <v>-187.7878</v>
      </c>
      <c r="K7735">
        <v>1.1095569999999999</v>
      </c>
      <c r="L7735">
        <v>112.1452</v>
      </c>
      <c r="M7735">
        <v>3.944458E-2</v>
      </c>
      <c r="N7735">
        <v>-1.3723880000000001E-2</v>
      </c>
      <c r="O7735">
        <v>0.99912749999999995</v>
      </c>
      <c r="P7735">
        <v>0.21232799999999999</v>
      </c>
      <c r="Q7735">
        <v>0.36256110000000003</v>
      </c>
      <c r="R7735">
        <v>0.90745039999999999</v>
      </c>
      <c r="S7735">
        <v>0.92823789999999995</v>
      </c>
      <c r="T7735">
        <v>-0.4761088</v>
      </c>
      <c r="U7735">
        <v>3.279846</v>
      </c>
      <c r="V7735">
        <v>0.1777492</v>
      </c>
      <c r="W7735">
        <v>0.3744325</v>
      </c>
      <c r="X7735">
        <v>0.91005800000000003</v>
      </c>
      <c r="Y7735">
        <v>0.23176269999999999</v>
      </c>
      <c r="Z7735">
        <v>-0.12534120000000001</v>
      </c>
      <c r="AA7735">
        <v>0.96466350000000001</v>
      </c>
      <c r="AB7735">
        <v>23</v>
      </c>
      <c r="AC7735">
        <v>0.22769999999999799</v>
      </c>
      <c r="AD7735">
        <v>-0.120680499999999</v>
      </c>
      <c r="AE7735">
        <v>0.67470000000000097</v>
      </c>
      <c r="AF7735">
        <v>0.19529773422205199</v>
      </c>
      <c r="AG7735">
        <v>-0.120680499999999</v>
      </c>
      <c r="AH7735">
        <v>0.66408365843123296</v>
      </c>
      <c r="AI7735">
        <v>99.889663229955005</v>
      </c>
      <c r="AJ7735">
        <v>73.612126376994894</v>
      </c>
      <c r="AK7735">
        <v>0.70264649253228895</v>
      </c>
      <c r="AL7735">
        <v>68.010758225378197</v>
      </c>
      <c r="AM7735">
        <v>78.948330905640901</v>
      </c>
      <c r="AN7735">
        <v>1.0000000192604399</v>
      </c>
    </row>
    <row r="7736" spans="1:40" x14ac:dyDescent="0.25">
      <c r="A7736" t="str">
        <f>"20190304165035656"</f>
        <v>20190304165035656</v>
      </c>
      <c r="B7736" t="str">
        <f>"1551689435642969"</f>
        <v>1551689435642969</v>
      </c>
      <c r="C7736" t="s">
        <v>40</v>
      </c>
      <c r="D7736">
        <v>4.7757199999999997</v>
      </c>
      <c r="E7736">
        <v>0.54526129999999995</v>
      </c>
      <c r="F7736" t="s">
        <v>41</v>
      </c>
      <c r="G7736">
        <v>-187.53829999999999</v>
      </c>
      <c r="H7736">
        <v>0.98156710000000003</v>
      </c>
      <c r="I7736">
        <v>113.0214</v>
      </c>
      <c r="J7736">
        <v>-187.77799999999999</v>
      </c>
      <c r="K7736">
        <v>1.109472</v>
      </c>
      <c r="L7736">
        <v>112.33580000000001</v>
      </c>
      <c r="M7736">
        <v>4.1504039999999999E-2</v>
      </c>
      <c r="N7736">
        <v>-1.3727140000000001E-2</v>
      </c>
      <c r="O7736">
        <v>0.99904409999999999</v>
      </c>
      <c r="P7736">
        <v>0.21524209999999999</v>
      </c>
      <c r="Q7736">
        <v>0.3626258</v>
      </c>
      <c r="R7736">
        <v>0.90673769999999998</v>
      </c>
      <c r="S7736">
        <v>0.93280030000000003</v>
      </c>
      <c r="T7736">
        <v>-0.4788444</v>
      </c>
      <c r="U7736">
        <v>3.2790219999999999</v>
      </c>
      <c r="V7736">
        <v>0.17888209999999999</v>
      </c>
      <c r="W7736">
        <v>0.3744555</v>
      </c>
      <c r="X7736">
        <v>0.90982649999999998</v>
      </c>
      <c r="Y7736">
        <v>0.23103650000000001</v>
      </c>
      <c r="Z7736">
        <v>-0.12612809999999999</v>
      </c>
      <c r="AA7736">
        <v>0.96473509999999996</v>
      </c>
      <c r="AB7736">
        <v>23</v>
      </c>
      <c r="AC7736">
        <v>0.239699999999999</v>
      </c>
      <c r="AD7736">
        <v>-0.12790489999999999</v>
      </c>
      <c r="AE7736">
        <v>0.68559999999999299</v>
      </c>
      <c r="AF7736">
        <v>0.204687519729641</v>
      </c>
      <c r="AG7736">
        <v>-0.12790489999999999</v>
      </c>
      <c r="AH7736">
        <v>0.67405389929875303</v>
      </c>
      <c r="AI7736">
        <v>100.29095908101201</v>
      </c>
      <c r="AJ7736">
        <v>73.1082267930733</v>
      </c>
      <c r="AK7736">
        <v>0.71596459642704102</v>
      </c>
      <c r="AL7736">
        <v>68.009336437059403</v>
      </c>
      <c r="AM7736">
        <v>78.876883490314697</v>
      </c>
      <c r="AN7736">
        <v>0.99999999364145498</v>
      </c>
    </row>
    <row r="7737" spans="1:40" x14ac:dyDescent="0.25">
      <c r="A7737" t="str">
        <f>"20190304165035679"</f>
        <v>20190304165035679</v>
      </c>
      <c r="B7737" t="str">
        <f>"1551689435673224"</f>
        <v>1551689435673224</v>
      </c>
      <c r="C7737" t="s">
        <v>40</v>
      </c>
      <c r="D7737">
        <v>4.7963079999999998</v>
      </c>
      <c r="E7737">
        <v>0.5451956</v>
      </c>
      <c r="F7737" t="s">
        <v>41</v>
      </c>
      <c r="G7737">
        <v>-187.52160000000001</v>
      </c>
      <c r="H7737">
        <v>0.97954399999999997</v>
      </c>
      <c r="I7737">
        <v>113.2247</v>
      </c>
      <c r="J7737">
        <v>-187.76599999999999</v>
      </c>
      <c r="K7737">
        <v>1.1093869999999999</v>
      </c>
      <c r="L7737">
        <v>112.5564</v>
      </c>
      <c r="M7737">
        <v>4.4035869999999998E-2</v>
      </c>
      <c r="N7737">
        <v>-1.3731419999999999E-2</v>
      </c>
      <c r="O7737">
        <v>0.99893560000000003</v>
      </c>
      <c r="P7737">
        <v>0.21822559999999999</v>
      </c>
      <c r="Q7737">
        <v>0.36330400000000002</v>
      </c>
      <c r="R7737">
        <v>0.90575260000000002</v>
      </c>
      <c r="S7737">
        <v>0.94503780000000004</v>
      </c>
      <c r="T7737">
        <v>-0.47889019999999999</v>
      </c>
      <c r="U7737">
        <v>3.275757</v>
      </c>
      <c r="V7737">
        <v>0.179674</v>
      </c>
      <c r="W7737">
        <v>0.37508849999999999</v>
      </c>
      <c r="X7737">
        <v>0.90940960000000004</v>
      </c>
      <c r="Y7737">
        <v>0.232153</v>
      </c>
      <c r="Z7737">
        <v>-0.12616369999999999</v>
      </c>
      <c r="AA7737">
        <v>0.96446240000000005</v>
      </c>
      <c r="AB7737">
        <v>23</v>
      </c>
      <c r="AC7737">
        <v>0.24439999999998399</v>
      </c>
      <c r="AD7737">
        <v>-0.12984299999999999</v>
      </c>
      <c r="AE7737">
        <v>0.668300000000002</v>
      </c>
      <c r="AF7737">
        <v>0.20781180492156801</v>
      </c>
      <c r="AG7737">
        <v>-0.12984299999999999</v>
      </c>
      <c r="AH7737">
        <v>0.65655488491319103</v>
      </c>
      <c r="AI7737">
        <v>100.67748067983899</v>
      </c>
      <c r="AJ7737">
        <v>72.436454189189206</v>
      </c>
      <c r="AK7737">
        <v>0.70079188623808597</v>
      </c>
      <c r="AL7737">
        <v>67.970216635007802</v>
      </c>
      <c r="AM7737">
        <v>78.823885706401896</v>
      </c>
      <c r="AN7737">
        <v>0.99999997484020398</v>
      </c>
    </row>
    <row r="7738" spans="1:40" x14ac:dyDescent="0.25">
      <c r="A7738" t="str">
        <f>"20190304165035690"</f>
        <v>20190304165035690</v>
      </c>
      <c r="B7738" t="str">
        <f>"1551689435682984"</f>
        <v>1551689435682984</v>
      </c>
      <c r="C7738" t="s">
        <v>40</v>
      </c>
      <c r="D7738">
        <v>4.6790760000000002</v>
      </c>
      <c r="E7738">
        <v>0.54509969999999996</v>
      </c>
      <c r="F7738" t="s">
        <v>41</v>
      </c>
      <c r="G7738">
        <v>-187.5112</v>
      </c>
      <c r="H7738">
        <v>0.98202599999999995</v>
      </c>
      <c r="I7738">
        <v>113.4285</v>
      </c>
      <c r="J7738">
        <v>-187.7585</v>
      </c>
      <c r="K7738">
        <v>1.1093409999999999</v>
      </c>
      <c r="L7738">
        <v>112.6884</v>
      </c>
      <c r="M7738">
        <v>4.5618730000000003E-2</v>
      </c>
      <c r="N7738">
        <v>-1.373398E-2</v>
      </c>
      <c r="O7738">
        <v>0.99886450000000004</v>
      </c>
      <c r="P7738">
        <v>0.2203832</v>
      </c>
      <c r="Q7738">
        <v>0.36360179999999998</v>
      </c>
      <c r="R7738">
        <v>0.90511050000000004</v>
      </c>
      <c r="S7738">
        <v>0.95591740000000003</v>
      </c>
      <c r="T7738">
        <v>-0.47793439999999998</v>
      </c>
      <c r="U7738">
        <v>3.2735439999999998</v>
      </c>
      <c r="V7738">
        <v>0.1804588</v>
      </c>
      <c r="W7738">
        <v>0.37535859999999999</v>
      </c>
      <c r="X7738">
        <v>0.90914280000000003</v>
      </c>
      <c r="Y7738">
        <v>0.23375119999999999</v>
      </c>
      <c r="Z7738">
        <v>-0.1258763</v>
      </c>
      <c r="AA7738">
        <v>0.96411389999999997</v>
      </c>
      <c r="AB7738">
        <v>23</v>
      </c>
      <c r="AC7738">
        <v>0.247299999999995</v>
      </c>
      <c r="AD7738">
        <v>-0.12731499999999901</v>
      </c>
      <c r="AE7738">
        <v>0.74009999999999798</v>
      </c>
      <c r="AF7738">
        <v>0.20774665321206201</v>
      </c>
      <c r="AG7738">
        <v>-0.12731499999999901</v>
      </c>
      <c r="AH7738">
        <v>0.731148691846637</v>
      </c>
      <c r="AI7738">
        <v>99.508764250175105</v>
      </c>
      <c r="AJ7738">
        <v>74.138171504487104</v>
      </c>
      <c r="AK7738">
        <v>0.77067904521588104</v>
      </c>
      <c r="AL7738">
        <v>67.953522783515695</v>
      </c>
      <c r="AM7738">
        <v>78.773096030576596</v>
      </c>
      <c r="AN7738">
        <v>1.0000000439416099</v>
      </c>
    </row>
    <row r="7739" spans="1:40" x14ac:dyDescent="0.25">
      <c r="A7739" t="str">
        <f>"20190304165035702"</f>
        <v>20190304165035702</v>
      </c>
      <c r="B7739" t="str">
        <f>"1551689435693720"</f>
        <v>1551689435693720</v>
      </c>
      <c r="C7739" t="s">
        <v>40</v>
      </c>
      <c r="D7739">
        <v>4.6729960000000004</v>
      </c>
      <c r="E7739">
        <v>0.544964</v>
      </c>
      <c r="F7739" t="s">
        <v>41</v>
      </c>
      <c r="G7739">
        <v>-187.53809999999999</v>
      </c>
      <c r="H7739">
        <v>1.0021770000000001</v>
      </c>
      <c r="I7739">
        <v>113.4361</v>
      </c>
      <c r="J7739">
        <v>-187.7518</v>
      </c>
      <c r="K7739">
        <v>1.1092949999999999</v>
      </c>
      <c r="L7739">
        <v>112.8018</v>
      </c>
      <c r="M7739">
        <v>4.7016959999999997E-2</v>
      </c>
      <c r="N7739">
        <v>-1.3736190000000001E-2</v>
      </c>
      <c r="O7739">
        <v>0.99879960000000001</v>
      </c>
      <c r="P7739">
        <v>0.22220500000000001</v>
      </c>
      <c r="Q7739">
        <v>0.36400680000000002</v>
      </c>
      <c r="R7739">
        <v>0.90450209999999998</v>
      </c>
      <c r="S7739">
        <v>0.9625397</v>
      </c>
      <c r="T7739">
        <v>-0.46833249999999998</v>
      </c>
      <c r="U7739">
        <v>3.2682950000000002</v>
      </c>
      <c r="V7739">
        <v>0.18106910000000001</v>
      </c>
      <c r="W7739">
        <v>0.37574039999999997</v>
      </c>
      <c r="X7739">
        <v>0.90886369999999905</v>
      </c>
      <c r="Y7739">
        <v>0.23470170000000001</v>
      </c>
      <c r="Z7739">
        <v>-0.1232664</v>
      </c>
      <c r="AA7739">
        <v>0.96422019999999997</v>
      </c>
      <c r="AB7739">
        <v>23</v>
      </c>
      <c r="AC7739">
        <v>0.21370000000001699</v>
      </c>
      <c r="AD7739">
        <v>-0.107118</v>
      </c>
      <c r="AE7739">
        <v>0.63429999999999598</v>
      </c>
      <c r="AF7739">
        <v>0.179052074880136</v>
      </c>
      <c r="AG7739">
        <v>-0.107118</v>
      </c>
      <c r="AH7739">
        <v>0.62757347451468604</v>
      </c>
      <c r="AI7739">
        <v>99.321200676027999</v>
      </c>
      <c r="AJ7739">
        <v>74.076099125581706</v>
      </c>
      <c r="AK7739">
        <v>0.66134890742883801</v>
      </c>
      <c r="AL7739">
        <v>67.929919606425997</v>
      </c>
      <c r="AM7739">
        <v>78.732726031757394</v>
      </c>
      <c r="AN7739">
        <v>1.00000004617232</v>
      </c>
    </row>
    <row r="7740" spans="1:40" x14ac:dyDescent="0.25">
      <c r="A7740" t="str">
        <f>"20190304165035713"</f>
        <v>20190304165035713</v>
      </c>
      <c r="B7740" t="str">
        <f>"1551689435703480"</f>
        <v>1551689435703480</v>
      </c>
      <c r="C7740" t="s">
        <v>40</v>
      </c>
      <c r="D7740">
        <v>4.8057299999999996</v>
      </c>
      <c r="E7740">
        <v>0.54493859999999905</v>
      </c>
      <c r="F7740" t="s">
        <v>41</v>
      </c>
      <c r="G7740">
        <v>-187.5042</v>
      </c>
      <c r="H7740">
        <v>0.99187150000000002</v>
      </c>
      <c r="I7740">
        <v>113.63630000000001</v>
      </c>
      <c r="J7740">
        <v>-187.74449999999999</v>
      </c>
      <c r="K7740">
        <v>1.109248</v>
      </c>
      <c r="L7740">
        <v>112.9224</v>
      </c>
      <c r="M7740">
        <v>4.8529040000000002E-2</v>
      </c>
      <c r="N7740">
        <v>-1.3738520000000001E-2</v>
      </c>
      <c r="O7740">
        <v>0.99872729999999998</v>
      </c>
      <c r="P7740">
        <v>0.2240925</v>
      </c>
      <c r="Q7740">
        <v>0.36410789999999998</v>
      </c>
      <c r="R7740">
        <v>0.90399560000000001</v>
      </c>
      <c r="S7740">
        <v>0.96830749999999999</v>
      </c>
      <c r="T7740">
        <v>-0.45919470000000001</v>
      </c>
      <c r="U7740">
        <v>3.2636569999999998</v>
      </c>
      <c r="V7740">
        <v>0.1816373</v>
      </c>
      <c r="W7740">
        <v>0.37581900000000001</v>
      </c>
      <c r="X7740">
        <v>0.90871780000000002</v>
      </c>
      <c r="Y7740">
        <v>0.23526</v>
      </c>
      <c r="Z7740">
        <v>-0.1207675</v>
      </c>
      <c r="AA7740">
        <v>0.96440029999999999</v>
      </c>
      <c r="AB7740">
        <v>23</v>
      </c>
      <c r="AC7740">
        <v>0.24029999999998999</v>
      </c>
      <c r="AD7740">
        <v>-0.11737649999999999</v>
      </c>
      <c r="AE7740">
        <v>0.71390000000000897</v>
      </c>
      <c r="AF7740">
        <v>0.20050022624861399</v>
      </c>
      <c r="AG7740">
        <v>-0.11737649999999999</v>
      </c>
      <c r="AH7740">
        <v>0.70754119003421301</v>
      </c>
      <c r="AI7740">
        <v>99.068421126874497</v>
      </c>
      <c r="AJ7740">
        <v>74.178540575662495</v>
      </c>
      <c r="AK7740">
        <v>0.74470941921868095</v>
      </c>
      <c r="AL7740">
        <v>67.925059727717098</v>
      </c>
      <c r="AM7740">
        <v>78.696509809501094</v>
      </c>
      <c r="AN7740">
        <v>1.0000000347745599</v>
      </c>
    </row>
    <row r="7741" spans="1:40" x14ac:dyDescent="0.25">
      <c r="A7741" t="str">
        <f>"20190304165035725"</f>
        <v>20190304165035725</v>
      </c>
      <c r="B7741" t="str">
        <f>"1551689435713240"</f>
        <v>1551689435713240</v>
      </c>
      <c r="C7741" t="s">
        <v>40</v>
      </c>
      <c r="D7741">
        <v>4.8129239999999998</v>
      </c>
      <c r="E7741">
        <v>0.54489030000000005</v>
      </c>
      <c r="F7741" t="s">
        <v>41</v>
      </c>
      <c r="G7741">
        <v>-187.52959999999999</v>
      </c>
      <c r="H7741">
        <v>1.0078129999999901</v>
      </c>
      <c r="I7741">
        <v>113.6417</v>
      </c>
      <c r="J7741">
        <v>-187.73699999999999</v>
      </c>
      <c r="K7741">
        <v>1.1092040000000001</v>
      </c>
      <c r="L7741">
        <v>113.0406</v>
      </c>
      <c r="M7741">
        <v>5.0073590000000001E-2</v>
      </c>
      <c r="N7741">
        <v>-1.3741099999999999E-2</v>
      </c>
      <c r="O7741">
        <v>0.99865099999999996</v>
      </c>
      <c r="P7741">
        <v>0.22591120000000001</v>
      </c>
      <c r="Q7741">
        <v>0.36367060000000001</v>
      </c>
      <c r="R7741">
        <v>0.90371889999999999</v>
      </c>
      <c r="S7741">
        <v>0.97453310000000004</v>
      </c>
      <c r="T7741">
        <v>-0.45999400000000001</v>
      </c>
      <c r="U7741">
        <v>3.2622990000000001</v>
      </c>
      <c r="V7741">
        <v>0.18209439999999999</v>
      </c>
      <c r="W7741">
        <v>0.3753629</v>
      </c>
      <c r="X7741">
        <v>0.90881480000000003</v>
      </c>
      <c r="Y7741">
        <v>0.23554900000000001</v>
      </c>
      <c r="Z7741">
        <v>-0.1209958</v>
      </c>
      <c r="AA7741">
        <v>0.96430110000000002</v>
      </c>
      <c r="AB7741">
        <v>23</v>
      </c>
      <c r="AC7741">
        <v>0.207400000000006</v>
      </c>
      <c r="AD7741">
        <v>-0.101391</v>
      </c>
      <c r="AE7741">
        <v>0.60110000000000197</v>
      </c>
      <c r="AF7741">
        <v>0.172648163201225</v>
      </c>
      <c r="AG7741">
        <v>-0.101391</v>
      </c>
      <c r="AH7741">
        <v>0.59558933822952098</v>
      </c>
      <c r="AI7741">
        <v>99.285998494532706</v>
      </c>
      <c r="AJ7741">
        <v>73.834296382239501</v>
      </c>
      <c r="AK7741">
        <v>0.628342409002</v>
      </c>
      <c r="AL7741">
        <v>67.953256163627898</v>
      </c>
      <c r="AM7741">
        <v>78.669977136920096</v>
      </c>
      <c r="AN7741">
        <v>1.0000000089534</v>
      </c>
    </row>
    <row r="7742" spans="1:40" x14ac:dyDescent="0.25">
      <c r="A7742" t="str">
        <f>"20190304165035738"</f>
        <v>20190304165035738</v>
      </c>
      <c r="B7742" t="str">
        <f>"1551689435733736"</f>
        <v>1551689435733736</v>
      </c>
      <c r="C7742" t="s">
        <v>40</v>
      </c>
      <c r="D7742">
        <v>5.1842079999999999</v>
      </c>
      <c r="E7742">
        <v>0.54496899999999904</v>
      </c>
      <c r="F7742" t="s">
        <v>41</v>
      </c>
      <c r="G7742">
        <v>-187.49639999999999</v>
      </c>
      <c r="H7742">
        <v>0.99568990000000002</v>
      </c>
      <c r="I7742">
        <v>113.84</v>
      </c>
      <c r="J7742">
        <v>-187.72890000000001</v>
      </c>
      <c r="K7742">
        <v>1.1091549999999999</v>
      </c>
      <c r="L7742">
        <v>113.16759999999999</v>
      </c>
      <c r="M7742">
        <v>5.1757829999999998E-2</v>
      </c>
      <c r="N7742">
        <v>-1.374389E-2</v>
      </c>
      <c r="O7742">
        <v>0.99856509999999998</v>
      </c>
      <c r="P7742">
        <v>0.22770989999999999</v>
      </c>
      <c r="Q7742">
        <v>0.36361959999999999</v>
      </c>
      <c r="R7742">
        <v>0.90328790000000003</v>
      </c>
      <c r="S7742">
        <v>0.98107909999999998</v>
      </c>
      <c r="T7742">
        <v>-0.46294580000000002</v>
      </c>
      <c r="U7742">
        <v>3.2606660000000001</v>
      </c>
      <c r="V7742">
        <v>0.18241689999999999</v>
      </c>
      <c r="W7742">
        <v>0.37529050000000003</v>
      </c>
      <c r="X7742">
        <v>0.90878000000000003</v>
      </c>
      <c r="Y7742">
        <v>0.23578769999999999</v>
      </c>
      <c r="Z7742">
        <v>-0.1218506</v>
      </c>
      <c r="AA7742">
        <v>0.96413519999999997</v>
      </c>
      <c r="AB7742">
        <v>23</v>
      </c>
      <c r="AC7742">
        <v>0.232500000000015</v>
      </c>
      <c r="AD7742">
        <v>-0.1134651</v>
      </c>
      <c r="AE7742">
        <v>0.67240000000000999</v>
      </c>
      <c r="AF7742">
        <v>0.19248726524455601</v>
      </c>
      <c r="AG7742">
        <v>-0.1134651</v>
      </c>
      <c r="AH7742">
        <v>0.66657938065436395</v>
      </c>
      <c r="AI7742">
        <v>99.287816708758697</v>
      </c>
      <c r="AJ7742">
        <v>73.892937524695299</v>
      </c>
      <c r="AK7742">
        <v>0.70303182496448502</v>
      </c>
      <c r="AL7742">
        <v>67.957731044277295</v>
      </c>
      <c r="AM7742">
        <v>78.650008030064498</v>
      </c>
      <c r="AN7742">
        <v>0.99999998659792899</v>
      </c>
    </row>
    <row r="7743" spans="1:40" x14ac:dyDescent="0.25">
      <c r="A7743" t="str">
        <f>"20190304165035757"</f>
        <v>20190304165035757</v>
      </c>
      <c r="B7743" t="str">
        <f>"1551689435743496"</f>
        <v>1551689435743496</v>
      </c>
      <c r="C7743" t="s">
        <v>40</v>
      </c>
      <c r="D7743">
        <v>4.8298170000000002</v>
      </c>
      <c r="E7743">
        <v>0.54493219999999898</v>
      </c>
      <c r="F7743" t="s">
        <v>48</v>
      </c>
      <c r="G7743">
        <v>-185.3681</v>
      </c>
      <c r="H7743" s="1">
        <v>-1.613957E-6</v>
      </c>
      <c r="I7743">
        <v>120.9499</v>
      </c>
      <c r="J7743">
        <v>-187.71700000000001</v>
      </c>
      <c r="K7743">
        <v>1.1090869999999999</v>
      </c>
      <c r="L7743">
        <v>113.34520000000001</v>
      </c>
      <c r="M7743">
        <v>5.4197189999999999E-2</v>
      </c>
      <c r="N7743">
        <v>-1.374819E-2</v>
      </c>
      <c r="O7743">
        <v>0.99843559999999998</v>
      </c>
      <c r="P7743">
        <v>0.23033200000000001</v>
      </c>
      <c r="Q7743">
        <v>0.36341089999999998</v>
      </c>
      <c r="R7743">
        <v>0.90270689999999998</v>
      </c>
      <c r="S7743">
        <v>0.98860170000000003</v>
      </c>
      <c r="T7743">
        <v>-0.46447729999999998</v>
      </c>
      <c r="U7743">
        <v>3.258972</v>
      </c>
      <c r="V7743">
        <v>0.18289730000000001</v>
      </c>
      <c r="W7743">
        <v>0.37505230000000001</v>
      </c>
      <c r="X7743">
        <v>0.90878179999999997</v>
      </c>
      <c r="Y7743">
        <v>0.23557600000000001</v>
      </c>
      <c r="Z7743">
        <v>-0.1222922</v>
      </c>
      <c r="AA7743">
        <v>0.96413099999999996</v>
      </c>
      <c r="AB7743">
        <v>23</v>
      </c>
      <c r="AC7743">
        <v>2.3489000000000102</v>
      </c>
      <c r="AD7743">
        <v>-1.109088613957</v>
      </c>
      <c r="AE7743">
        <v>7.6046999999999896</v>
      </c>
      <c r="AF7743">
        <v>1.89643071389844</v>
      </c>
      <c r="AG7743">
        <v>-1.109088613957</v>
      </c>
      <c r="AH7743">
        <v>7.5737726936535097</v>
      </c>
      <c r="AI7743">
        <v>98.084922063711502</v>
      </c>
      <c r="AJ7743">
        <v>75.942487148690404</v>
      </c>
      <c r="AK7743">
        <v>7.88597234469903</v>
      </c>
      <c r="AL7743">
        <v>67.972454784520707</v>
      </c>
      <c r="AM7743">
        <v>78.620918283563597</v>
      </c>
      <c r="AN7743">
        <v>1.00000000504691</v>
      </c>
    </row>
    <row r="7744" spans="1:40" x14ac:dyDescent="0.25">
      <c r="A7744" t="str">
        <f>"20190304165035768"</f>
        <v>20190304165035768</v>
      </c>
      <c r="B7744" t="str">
        <f>"1551689435763017"</f>
        <v>1551689435763017</v>
      </c>
      <c r="C7744" t="s">
        <v>40</v>
      </c>
      <c r="D7744">
        <v>5.1789800000000001</v>
      </c>
      <c r="E7744">
        <v>0.54555109999999996</v>
      </c>
      <c r="F7744" t="s">
        <v>48</v>
      </c>
      <c r="G7744">
        <v>-185.34270000000001</v>
      </c>
      <c r="H7744" s="1">
        <v>-1.6619389999999999E-6</v>
      </c>
      <c r="I7744">
        <v>121.0898</v>
      </c>
      <c r="J7744">
        <v>-187.7072</v>
      </c>
      <c r="K7744">
        <v>1.10904</v>
      </c>
      <c r="L7744">
        <v>113.4849</v>
      </c>
      <c r="M7744">
        <v>5.6185039999999999E-2</v>
      </c>
      <c r="N7744">
        <v>-1.375184E-2</v>
      </c>
      <c r="O7744">
        <v>0.99832560000000004</v>
      </c>
      <c r="P7744">
        <v>0.232853</v>
      </c>
      <c r="Q7744">
        <v>0.36337799999999998</v>
      </c>
      <c r="R7744">
        <v>0.90207309999999996</v>
      </c>
      <c r="S7744">
        <v>0.99830629999999998</v>
      </c>
      <c r="T7744">
        <v>-0.4663351</v>
      </c>
      <c r="U7744">
        <v>3.256348</v>
      </c>
      <c r="V7744">
        <v>0.18367710000000001</v>
      </c>
      <c r="W7744">
        <v>0.37499440000000001</v>
      </c>
      <c r="X7744">
        <v>0.90864840000000002</v>
      </c>
      <c r="Y7744">
        <v>0.23646510000000001</v>
      </c>
      <c r="Z7744">
        <v>-0.1228365</v>
      </c>
      <c r="AA7744">
        <v>0.96384409999999998</v>
      </c>
      <c r="AB7744">
        <v>23</v>
      </c>
      <c r="AC7744">
        <v>2.3644999999999898</v>
      </c>
      <c r="AD7744">
        <v>-1.109041661939</v>
      </c>
      <c r="AE7744">
        <v>7.6048999999999998</v>
      </c>
      <c r="AF7744">
        <v>1.8966613036434099</v>
      </c>
      <c r="AG7744">
        <v>-1.109041661939</v>
      </c>
      <c r="AH7744">
        <v>7.5787758620636501</v>
      </c>
      <c r="AI7744">
        <v>98.079571039686698</v>
      </c>
      <c r="AJ7744">
        <v>75.949759140721994</v>
      </c>
      <c r="AK7744">
        <v>7.8908263873977997</v>
      </c>
      <c r="AL7744">
        <v>67.976033182988701</v>
      </c>
      <c r="AM7744">
        <v>78.572042670086702</v>
      </c>
      <c r="AN7744">
        <v>0.999999995959165</v>
      </c>
    </row>
    <row r="7745" spans="1:40" x14ac:dyDescent="0.25">
      <c r="A7745" t="str">
        <f>"20190304165035781"</f>
        <v>20190304165035781</v>
      </c>
      <c r="B7745" t="str">
        <f>"1551689435773752"</f>
        <v>1551689435773752</v>
      </c>
      <c r="C7745" t="s">
        <v>40</v>
      </c>
      <c r="D7745">
        <v>4.8797459999999999</v>
      </c>
      <c r="E7745">
        <v>0.54555109999999996</v>
      </c>
      <c r="F7745" t="s">
        <v>41</v>
      </c>
      <c r="G7745">
        <v>-187.47049999999999</v>
      </c>
      <c r="H7745">
        <v>0.99990760000000001</v>
      </c>
      <c r="I7745">
        <v>114.2458</v>
      </c>
      <c r="J7745">
        <v>-187.69880000000001</v>
      </c>
      <c r="K7745">
        <v>1.109003</v>
      </c>
      <c r="L7745">
        <v>113.6016</v>
      </c>
      <c r="M7745">
        <v>5.7872350000000003E-2</v>
      </c>
      <c r="N7745">
        <v>-1.37547E-2</v>
      </c>
      <c r="O7745">
        <v>0.99822920000000004</v>
      </c>
      <c r="P7745">
        <v>0.23512540000000001</v>
      </c>
      <c r="Q7745">
        <v>0.36356880000000003</v>
      </c>
      <c r="R7745">
        <v>0.90140659999999895</v>
      </c>
      <c r="S7745">
        <v>1.0113529999999999</v>
      </c>
      <c r="T7745">
        <v>-0.46640369999999998</v>
      </c>
      <c r="U7745">
        <v>3.2525019999999998</v>
      </c>
      <c r="V7745">
        <v>0.18447649999999999</v>
      </c>
      <c r="W7745">
        <v>0.37516319999999997</v>
      </c>
      <c r="X7745">
        <v>0.90841669999999997</v>
      </c>
      <c r="Y7745">
        <v>0.23866799999999999</v>
      </c>
      <c r="Z7745">
        <v>-0.1228752</v>
      </c>
      <c r="AA7745">
        <v>0.96329609999999999</v>
      </c>
      <c r="AB7745">
        <v>23</v>
      </c>
      <c r="AC7745">
        <v>0.22830000000001799</v>
      </c>
      <c r="AD7745">
        <v>-0.1090954</v>
      </c>
      <c r="AE7745">
        <v>0.644199999999997</v>
      </c>
      <c r="AF7745">
        <v>0.18589587964926499</v>
      </c>
      <c r="AG7745">
        <v>-0.1090954</v>
      </c>
      <c r="AH7745">
        <v>0.64002612532335901</v>
      </c>
      <c r="AI7745">
        <v>99.296292107031405</v>
      </c>
      <c r="AJ7745">
        <v>73.804036824568499</v>
      </c>
      <c r="AK7745">
        <v>0.67534622636701402</v>
      </c>
      <c r="AL7745">
        <v>67.965598965928706</v>
      </c>
      <c r="AM7745">
        <v>78.520773352444806</v>
      </c>
      <c r="AN7745">
        <v>0.99999995326268798</v>
      </c>
    </row>
    <row r="7746" spans="1:40" x14ac:dyDescent="0.25">
      <c r="A7746" t="str">
        <f>"20190304165035792"</f>
        <v>20190304165035792</v>
      </c>
      <c r="B7746" t="str">
        <f>"1551689435783512"</f>
        <v>1551689435783512</v>
      </c>
      <c r="C7746" t="s">
        <v>40</v>
      </c>
      <c r="D7746">
        <v>4.862444</v>
      </c>
      <c r="E7746">
        <v>0.57050999999999996</v>
      </c>
      <c r="F7746" t="s">
        <v>48</v>
      </c>
      <c r="G7746">
        <v>-185.2747</v>
      </c>
      <c r="H7746" s="1">
        <v>-1.753552E-6</v>
      </c>
      <c r="I7746">
        <v>121.3394</v>
      </c>
      <c r="J7746">
        <v>-187.68989999999999</v>
      </c>
      <c r="K7746">
        <v>1.1089629999999999</v>
      </c>
      <c r="L7746">
        <v>113.7218</v>
      </c>
      <c r="M7746">
        <v>5.9635649999999998E-2</v>
      </c>
      <c r="N7746">
        <v>-1.3757490000000001E-2</v>
      </c>
      <c r="O7746">
        <v>0.99812540000000005</v>
      </c>
      <c r="P7746">
        <v>0.23728299999999999</v>
      </c>
      <c r="Q7746">
        <v>0.36359209999999997</v>
      </c>
      <c r="R7746">
        <v>0.90083159999999896</v>
      </c>
      <c r="S7746">
        <v>1.018295</v>
      </c>
      <c r="T7746">
        <v>-0.46586290000000002</v>
      </c>
      <c r="U7746">
        <v>3.2504270000000002</v>
      </c>
      <c r="V7746">
        <v>0.185084</v>
      </c>
      <c r="W7746">
        <v>0.37516759999999999</v>
      </c>
      <c r="X7746">
        <v>0.90829130000000002</v>
      </c>
      <c r="Y7746">
        <v>0.23900779999999999</v>
      </c>
      <c r="Z7746">
        <v>-0.1227345</v>
      </c>
      <c r="AA7746">
        <v>0.96322969999999997</v>
      </c>
      <c r="AB7746">
        <v>23</v>
      </c>
      <c r="AC7746">
        <v>2.4151999999999898</v>
      </c>
      <c r="AD7746">
        <v>-1.108964753552</v>
      </c>
      <c r="AE7746">
        <v>7.6175999999999897</v>
      </c>
      <c r="AF7746">
        <v>1.9196102423968799</v>
      </c>
      <c r="AG7746">
        <v>-1.108964753552</v>
      </c>
      <c r="AH7746">
        <v>7.6016957999181898</v>
      </c>
      <c r="AI7746">
        <v>98.050724214531698</v>
      </c>
      <c r="AJ7746">
        <v>75.8277325098814</v>
      </c>
      <c r="AK7746">
        <v>7.9183638045892701</v>
      </c>
      <c r="AL7746">
        <v>67.965326933113801</v>
      </c>
      <c r="AM7746">
        <v>78.482431957777905</v>
      </c>
      <c r="AN7746">
        <v>0.99999995040072298</v>
      </c>
    </row>
    <row r="7747" spans="1:40" x14ac:dyDescent="0.25">
      <c r="A7747" t="str">
        <f>"20190304165035804"</f>
        <v>20190304165035804</v>
      </c>
      <c r="B7747" t="str">
        <f>"1551689435793273"</f>
        <v>1551689435793273</v>
      </c>
      <c r="C7747" t="s">
        <v>40</v>
      </c>
      <c r="D7747">
        <v>4.8554349999999999</v>
      </c>
      <c r="E7747">
        <v>0.57038610000000001</v>
      </c>
      <c r="F7747" t="s">
        <v>48</v>
      </c>
      <c r="G7747">
        <v>-184.8998</v>
      </c>
      <c r="H7747" s="1">
        <v>-1.7712690000000001E-6</v>
      </c>
      <c r="I7747">
        <v>121.0609</v>
      </c>
      <c r="J7747">
        <v>-187.68109999999999</v>
      </c>
      <c r="K7747">
        <v>1.108932</v>
      </c>
      <c r="L7747">
        <v>113.8361</v>
      </c>
      <c r="M7747">
        <v>6.1350990000000001E-2</v>
      </c>
      <c r="N7747">
        <v>-1.375987E-2</v>
      </c>
      <c r="O7747">
        <v>0.99802139999999995</v>
      </c>
      <c r="P7747">
        <v>0.2398016</v>
      </c>
      <c r="Q7747">
        <v>0.36366019999999999</v>
      </c>
      <c r="R7747">
        <v>0.90013690000000002</v>
      </c>
      <c r="S7747">
        <v>1.218369</v>
      </c>
      <c r="T7747">
        <v>-0.48425869999999999</v>
      </c>
      <c r="U7747">
        <v>3.2047880000000002</v>
      </c>
      <c r="V7747">
        <v>0.18609780000000001</v>
      </c>
      <c r="W7747">
        <v>0.37521670000000001</v>
      </c>
      <c r="X7747">
        <v>0.90806390000000003</v>
      </c>
      <c r="Y7747">
        <v>0.29414249999999997</v>
      </c>
      <c r="Z7747">
        <v>-0.1274072</v>
      </c>
      <c r="AA7747">
        <v>0.9472315</v>
      </c>
      <c r="AB7747">
        <v>23</v>
      </c>
      <c r="AC7747">
        <v>2.7812999999999799</v>
      </c>
      <c r="AD7747">
        <v>-1.1089337712689999</v>
      </c>
      <c r="AE7747">
        <v>7.2248000000000001</v>
      </c>
      <c r="AF7747">
        <v>2.28586691146287</v>
      </c>
      <c r="AG7747">
        <v>-1.1089337712689999</v>
      </c>
      <c r="AH7747">
        <v>7.2334214789075002</v>
      </c>
      <c r="AI7747">
        <v>98.316671137887099</v>
      </c>
      <c r="AJ7747">
        <v>72.462702423589604</v>
      </c>
      <c r="AK7747">
        <v>7.6666360248483203</v>
      </c>
      <c r="AL7747">
        <v>67.962293261095397</v>
      </c>
      <c r="AM7747">
        <v>78.418222307428707</v>
      </c>
      <c r="AN7747">
        <v>1.0000000048034601</v>
      </c>
    </row>
    <row r="7748" spans="1:40" x14ac:dyDescent="0.25">
      <c r="A7748" t="str">
        <f>"20190304165035818"</f>
        <v>20190304165035818</v>
      </c>
      <c r="B7748" t="str">
        <f>"1551689435812793"</f>
        <v>1551689435812793</v>
      </c>
      <c r="C7748" t="s">
        <v>40</v>
      </c>
      <c r="D7748">
        <v>4.8313350000000002</v>
      </c>
      <c r="E7748">
        <v>0.57081130000000002</v>
      </c>
      <c r="F7748" t="s">
        <v>48</v>
      </c>
      <c r="G7748">
        <v>-184.9443</v>
      </c>
      <c r="H7748" s="1">
        <v>-1.7434440000000001E-6</v>
      </c>
      <c r="I7748">
        <v>121.00660000000001</v>
      </c>
      <c r="J7748">
        <v>-187.67019999999999</v>
      </c>
      <c r="K7748">
        <v>1.1088990000000001</v>
      </c>
      <c r="L7748">
        <v>113.9753</v>
      </c>
      <c r="M7748">
        <v>6.3462889999999994E-2</v>
      </c>
      <c r="N7748">
        <v>-1.376253E-2</v>
      </c>
      <c r="O7748">
        <v>0.99788929999999998</v>
      </c>
      <c r="P7748">
        <v>0.242646</v>
      </c>
      <c r="Q7748">
        <v>0.3635814</v>
      </c>
      <c r="R7748">
        <v>0.89940620000000004</v>
      </c>
      <c r="S7748">
        <v>1.224091</v>
      </c>
      <c r="T7748">
        <v>-0.49598730000000002</v>
      </c>
      <c r="U7748">
        <v>3.2071079999999998</v>
      </c>
      <c r="V7748">
        <v>0.18707969999999999</v>
      </c>
      <c r="W7748">
        <v>0.3751177</v>
      </c>
      <c r="X7748">
        <v>0.90790300000000002</v>
      </c>
      <c r="Y7748">
        <v>0.29321639999999999</v>
      </c>
      <c r="Z7748">
        <v>-0.13060930000000001</v>
      </c>
      <c r="AA7748">
        <v>0.94708250000000005</v>
      </c>
      <c r="AB7748">
        <v>23</v>
      </c>
      <c r="AC7748">
        <v>2.72589999999999</v>
      </c>
      <c r="AD7748">
        <v>-1.1089007434439999</v>
      </c>
      <c r="AE7748">
        <v>7.0312999999999999</v>
      </c>
      <c r="AF7748">
        <v>2.2260036139438402</v>
      </c>
      <c r="AG7748">
        <v>-1.1089007434439999</v>
      </c>
      <c r="AH7748">
        <v>7.0379558397049697</v>
      </c>
      <c r="AI7748">
        <v>98.543380220407897</v>
      </c>
      <c r="AJ7748">
        <v>72.448590523503597</v>
      </c>
      <c r="AK7748">
        <v>7.4644206305472203</v>
      </c>
      <c r="AL7748">
        <v>67.968411940334803</v>
      </c>
      <c r="AM7748">
        <v>78.356770842877793</v>
      </c>
      <c r="AN7748">
        <v>0.99999998020718905</v>
      </c>
    </row>
    <row r="7749" spans="1:40" x14ac:dyDescent="0.25">
      <c r="A7749" t="str">
        <f>"20190304165035836"</f>
        <v>20190304165035836</v>
      </c>
      <c r="B7749" t="str">
        <f>"1551689435823528"</f>
        <v>1551689435823528</v>
      </c>
      <c r="C7749" t="s">
        <v>40</v>
      </c>
      <c r="D7749">
        <v>4.8198030000000003</v>
      </c>
      <c r="E7749">
        <v>0.57126809999999995</v>
      </c>
      <c r="F7749" t="s">
        <v>48</v>
      </c>
      <c r="G7749">
        <v>-184.93770000000001</v>
      </c>
      <c r="H7749" s="1">
        <v>-1.761295E-6</v>
      </c>
      <c r="I7749">
        <v>121.0613</v>
      </c>
      <c r="J7749">
        <v>-187.6557</v>
      </c>
      <c r="K7749">
        <v>1.1088709999999999</v>
      </c>
      <c r="L7749">
        <v>114.1551</v>
      </c>
      <c r="M7749">
        <v>6.6251110000000002E-2</v>
      </c>
      <c r="N7749">
        <v>-1.3765670000000001E-2</v>
      </c>
      <c r="O7749">
        <v>0.99770800000000004</v>
      </c>
      <c r="P7749">
        <v>0.24703810000000001</v>
      </c>
      <c r="Q7749">
        <v>0.36306270000000002</v>
      </c>
      <c r="R7749">
        <v>0.89841959999999998</v>
      </c>
      <c r="S7749">
        <v>1.2358549999999999</v>
      </c>
      <c r="T7749">
        <v>-0.50153340000000002</v>
      </c>
      <c r="U7749">
        <v>3.2048649999999999</v>
      </c>
      <c r="V7749">
        <v>0.1890047</v>
      </c>
      <c r="W7749">
        <v>0.37457299999999999</v>
      </c>
      <c r="X7749">
        <v>0.90772920000000001</v>
      </c>
      <c r="Y7749">
        <v>0.29372209999999899</v>
      </c>
      <c r="Z7749">
        <v>-0.1321447</v>
      </c>
      <c r="AA7749">
        <v>0.94671280000000002</v>
      </c>
      <c r="AB7749">
        <v>23</v>
      </c>
      <c r="AC7749">
        <v>2.71799999999998</v>
      </c>
      <c r="AD7749">
        <v>-1.108872761295</v>
      </c>
      <c r="AE7749">
        <v>6.9061999999999903</v>
      </c>
      <c r="AF7749">
        <v>2.2052144564691001</v>
      </c>
      <c r="AG7749">
        <v>-1.108872761295</v>
      </c>
      <c r="AH7749">
        <v>6.9167126119581503</v>
      </c>
      <c r="AI7749">
        <v>98.684389436505498</v>
      </c>
      <c r="AJ7749">
        <v>72.316466696170096</v>
      </c>
      <c r="AK7749">
        <v>7.3439419221684501</v>
      </c>
      <c r="AL7749">
        <v>68.002076016121606</v>
      </c>
      <c r="AM7749">
        <v>78.238096387831405</v>
      </c>
      <c r="AN7749">
        <v>1.00000000474186</v>
      </c>
    </row>
    <row r="7750" spans="1:40" x14ac:dyDescent="0.25">
      <c r="A7750" t="str">
        <f>"20190304165035857"</f>
        <v>20190304165035857</v>
      </c>
      <c r="B7750" t="str">
        <f>"1551689435852808"</f>
        <v>1551689435852808</v>
      </c>
      <c r="C7750" t="s">
        <v>40</v>
      </c>
      <c r="D7750">
        <v>4.830311</v>
      </c>
      <c r="E7750">
        <v>0.57190819999999998</v>
      </c>
      <c r="F7750" t="s">
        <v>48</v>
      </c>
      <c r="G7750">
        <v>-184.88890000000001</v>
      </c>
      <c r="H7750" s="1">
        <v>-1.820154E-6</v>
      </c>
      <c r="I7750">
        <v>121.217</v>
      </c>
      <c r="J7750">
        <v>-187.63749999999999</v>
      </c>
      <c r="K7750">
        <v>1.1088309999999999</v>
      </c>
      <c r="L7750">
        <v>114.3704</v>
      </c>
      <c r="M7750">
        <v>6.9658300000000006E-2</v>
      </c>
      <c r="N7750">
        <v>-1.3769150000000001E-2</v>
      </c>
      <c r="O7750">
        <v>0.99747589999999997</v>
      </c>
      <c r="P7750">
        <v>0.25084119999999999</v>
      </c>
      <c r="Q7750">
        <v>0.36285820000000002</v>
      </c>
      <c r="R7750">
        <v>0.89744789999999997</v>
      </c>
      <c r="S7750">
        <v>1.2527919999999999</v>
      </c>
      <c r="T7750">
        <v>-0.50209619999999999</v>
      </c>
      <c r="U7750">
        <v>3.197632</v>
      </c>
      <c r="V7750">
        <v>0.18977359999999999</v>
      </c>
      <c r="W7750">
        <v>0.37435289999999999</v>
      </c>
      <c r="X7750">
        <v>0.90765960000000001</v>
      </c>
      <c r="Y7750">
        <v>0.2955199</v>
      </c>
      <c r="Z7750">
        <v>-0.1323888</v>
      </c>
      <c r="AA7750">
        <v>0.94611900000000004</v>
      </c>
      <c r="AB7750">
        <v>22</v>
      </c>
      <c r="AC7750">
        <v>2.7485999999999802</v>
      </c>
      <c r="AD7750">
        <v>-1.1088328201540001</v>
      </c>
      <c r="AE7750">
        <v>6.8465999999999996</v>
      </c>
      <c r="AF7750">
        <v>2.2149225698359101</v>
      </c>
      <c r="AG7750">
        <v>-1.1088328201540001</v>
      </c>
      <c r="AH7750">
        <v>6.8663461288062999</v>
      </c>
      <c r="AI7750">
        <v>98.737407800422702</v>
      </c>
      <c r="AJ7750">
        <v>72.121513472749697</v>
      </c>
      <c r="AK7750">
        <v>7.2994589781704002</v>
      </c>
      <c r="AL7750">
        <v>68.015676964856695</v>
      </c>
      <c r="AM7750">
        <v>78.190707994613106</v>
      </c>
      <c r="AN7750">
        <v>1.00000003123376</v>
      </c>
    </row>
    <row r="7751" spans="1:40" x14ac:dyDescent="0.25">
      <c r="A7751" t="str">
        <f>"20190304165035881"</f>
        <v>20190304165035881</v>
      </c>
      <c r="B7751" t="str">
        <f>"1551689435873304"</f>
        <v>1551689435873304</v>
      </c>
      <c r="C7751" t="s">
        <v>40</v>
      </c>
      <c r="D7751">
        <v>4.8379690000000002</v>
      </c>
      <c r="E7751">
        <v>0.57199009999999995</v>
      </c>
      <c r="F7751" t="s">
        <v>48</v>
      </c>
      <c r="G7751">
        <v>-184.81360000000001</v>
      </c>
      <c r="H7751" s="1">
        <v>-1.9110590000000001E-6</v>
      </c>
      <c r="I7751">
        <v>121.4576</v>
      </c>
      <c r="J7751">
        <v>-187.6163</v>
      </c>
      <c r="K7751">
        <v>1.1088089999999999</v>
      </c>
      <c r="L7751">
        <v>114.6093</v>
      </c>
      <c r="M7751">
        <v>7.3492039999999995E-2</v>
      </c>
      <c r="N7751">
        <v>-1.377222E-2</v>
      </c>
      <c r="O7751">
        <v>0.99720070000000005</v>
      </c>
      <c r="P7751">
        <v>0.25620749999999998</v>
      </c>
      <c r="Q7751">
        <v>0.36269249999999997</v>
      </c>
      <c r="R7751">
        <v>0.89599769999999901</v>
      </c>
      <c r="S7751">
        <v>1.270813</v>
      </c>
      <c r="T7751">
        <v>-0.49899460000000001</v>
      </c>
      <c r="U7751">
        <v>3.189362</v>
      </c>
      <c r="V7751">
        <v>0.19173850000000001</v>
      </c>
      <c r="W7751">
        <v>0.37416630000000001</v>
      </c>
      <c r="X7751">
        <v>0.90732349999999995</v>
      </c>
      <c r="Y7751">
        <v>0.29734429999999901</v>
      </c>
      <c r="Z7751">
        <v>-0.1316137</v>
      </c>
      <c r="AA7751">
        <v>0.94565540000000003</v>
      </c>
      <c r="AB7751">
        <v>22</v>
      </c>
      <c r="AC7751">
        <v>2.8026999999999802</v>
      </c>
      <c r="AD7751">
        <v>-1.1088109110590001</v>
      </c>
      <c r="AE7751">
        <v>6.8482999999999903</v>
      </c>
      <c r="AF7751">
        <v>2.2414464775953999</v>
      </c>
      <c r="AG7751">
        <v>-1.1088109110590001</v>
      </c>
      <c r="AH7751">
        <v>6.8812602300130203</v>
      </c>
      <c r="AI7751">
        <v>98.7106502687259</v>
      </c>
      <c r="AJ7751">
        <v>71.957914155019296</v>
      </c>
      <c r="AK7751">
        <v>7.3215631050730599</v>
      </c>
      <c r="AL7751">
        <v>68.027205608688803</v>
      </c>
      <c r="AM7751">
        <v>78.067628963304998</v>
      </c>
      <c r="AN7751">
        <v>1.00000000304509</v>
      </c>
    </row>
    <row r="7752" spans="1:40" x14ac:dyDescent="0.25">
      <c r="A7752" t="str">
        <f>"20190304165035893"</f>
        <v>20190304165035893</v>
      </c>
      <c r="B7752" t="str">
        <f>"1551689435883064"</f>
        <v>1551689435883064</v>
      </c>
      <c r="C7752" t="s">
        <v>40</v>
      </c>
      <c r="D7752">
        <v>4.8412519999999999</v>
      </c>
      <c r="E7752">
        <v>0.57194419999999901</v>
      </c>
      <c r="F7752" t="s">
        <v>48</v>
      </c>
      <c r="G7752">
        <v>-184.7585</v>
      </c>
      <c r="H7752" s="1">
        <v>-1.9859299999999999E-6</v>
      </c>
      <c r="I7752">
        <v>121.6621</v>
      </c>
      <c r="J7752">
        <v>-187.60429999999999</v>
      </c>
      <c r="K7752">
        <v>1.108808</v>
      </c>
      <c r="L7752">
        <v>114.7403</v>
      </c>
      <c r="M7752">
        <v>7.5607300000000002E-2</v>
      </c>
      <c r="N7752">
        <v>-1.3773540000000001E-2</v>
      </c>
      <c r="O7752">
        <v>0.99704250000000005</v>
      </c>
      <c r="P7752">
        <v>0.25872779999999901</v>
      </c>
      <c r="Q7752">
        <v>0.36231210000000003</v>
      </c>
      <c r="R7752">
        <v>0.89542719999999898</v>
      </c>
      <c r="S7752">
        <v>1.2893520000000001</v>
      </c>
      <c r="T7752">
        <v>-0.50026870000000001</v>
      </c>
      <c r="U7752">
        <v>3.1820369999999998</v>
      </c>
      <c r="V7752">
        <v>0.1923619</v>
      </c>
      <c r="W7752">
        <v>0.37378070000000002</v>
      </c>
      <c r="X7752">
        <v>0.90735049999999995</v>
      </c>
      <c r="Y7752">
        <v>0.30078510000000003</v>
      </c>
      <c r="Z7752">
        <v>-0.132024</v>
      </c>
      <c r="AA7752">
        <v>0.94450940000000005</v>
      </c>
      <c r="AB7752">
        <v>22</v>
      </c>
      <c r="AC7752">
        <v>2.8457999999999899</v>
      </c>
      <c r="AD7752">
        <v>-1.10880998593</v>
      </c>
      <c r="AE7752">
        <v>6.9217999999999904</v>
      </c>
      <c r="AF7752">
        <v>2.26455584269983</v>
      </c>
      <c r="AG7752">
        <v>-1.10880998593</v>
      </c>
      <c r="AH7752">
        <v>6.9642958733339198</v>
      </c>
      <c r="AI7752">
        <v>98.609761840523703</v>
      </c>
      <c r="AJ7752">
        <v>71.987209484408496</v>
      </c>
      <c r="AK7752">
        <v>7.4066922280421403</v>
      </c>
      <c r="AL7752">
        <v>68.051027799877801</v>
      </c>
      <c r="AM7752">
        <v>78.030296440716796</v>
      </c>
      <c r="AN7752">
        <v>1.00000002105717</v>
      </c>
    </row>
    <row r="7753" spans="1:40" x14ac:dyDescent="0.25">
      <c r="A7753" t="str">
        <f>"20190304165035914"</f>
        <v>20190304165035914</v>
      </c>
      <c r="B7753" t="str">
        <f>"1551689435903560"</f>
        <v>1551689435903560</v>
      </c>
      <c r="C7753" t="s">
        <v>40</v>
      </c>
      <c r="D7753">
        <v>4.7734569999999996</v>
      </c>
      <c r="E7753">
        <v>0.57197640000000005</v>
      </c>
      <c r="F7753" t="s">
        <v>48</v>
      </c>
      <c r="G7753">
        <v>-184.73699999999999</v>
      </c>
      <c r="H7753" s="1">
        <v>-2.0208190000000001E-6</v>
      </c>
      <c r="I7753">
        <v>121.7611</v>
      </c>
      <c r="J7753">
        <v>-187.5856</v>
      </c>
      <c r="K7753">
        <v>1.1088119999999999</v>
      </c>
      <c r="L7753">
        <v>114.9387</v>
      </c>
      <c r="M7753">
        <v>7.8825889999999996E-2</v>
      </c>
      <c r="N7753">
        <v>-1.3774740000000001E-2</v>
      </c>
      <c r="O7753">
        <v>0.99679320000000005</v>
      </c>
      <c r="P7753">
        <v>0.26206400000000002</v>
      </c>
      <c r="Q7753">
        <v>0.36258849999999998</v>
      </c>
      <c r="R7753">
        <v>0.89434449999999999</v>
      </c>
      <c r="S7753">
        <v>1.2980959999999999</v>
      </c>
      <c r="T7753">
        <v>-0.50197420000000004</v>
      </c>
      <c r="U7753">
        <v>3.178391</v>
      </c>
      <c r="V7753">
        <v>0.19282920000000001</v>
      </c>
      <c r="W7753">
        <v>0.3740522</v>
      </c>
      <c r="X7753">
        <v>0.90713940000000004</v>
      </c>
      <c r="Y7753">
        <v>0.3002881</v>
      </c>
      <c r="Z7753">
        <v>-0.13255600000000001</v>
      </c>
      <c r="AA7753">
        <v>0.94459300000000002</v>
      </c>
      <c r="AB7753">
        <v>22</v>
      </c>
      <c r="AC7753">
        <v>2.8485999999999998</v>
      </c>
      <c r="AD7753">
        <v>-1.108814020819</v>
      </c>
      <c r="AE7753">
        <v>6.8224</v>
      </c>
      <c r="AF7753">
        <v>2.2512637780773002</v>
      </c>
      <c r="AG7753">
        <v>-1.108814020819</v>
      </c>
      <c r="AH7753">
        <v>6.8711776217312499</v>
      </c>
      <c r="AI7753">
        <v>98.718426762990603</v>
      </c>
      <c r="AJ7753">
        <v>71.859201169384207</v>
      </c>
      <c r="AK7753">
        <v>7.3151034880326904</v>
      </c>
      <c r="AL7753">
        <v>68.034255336079099</v>
      </c>
      <c r="AM7753">
        <v>77.999349273231601</v>
      </c>
      <c r="AN7753">
        <v>1.0000000198649199</v>
      </c>
    </row>
    <row r="7754" spans="1:40" x14ac:dyDescent="0.25">
      <c r="A7754" t="str">
        <f>"20190304165035934"</f>
        <v>20190304165035934</v>
      </c>
      <c r="B7754" t="str">
        <f>"1551689435923080"</f>
        <v>1551689435923080</v>
      </c>
      <c r="C7754" t="s">
        <v>40</v>
      </c>
      <c r="D7754">
        <v>4.8472419999999996</v>
      </c>
      <c r="E7754">
        <v>0.57218610000000003</v>
      </c>
      <c r="F7754" t="s">
        <v>48</v>
      </c>
      <c r="G7754">
        <v>-184.67080000000001</v>
      </c>
      <c r="H7754" s="1">
        <v>-2.099748E-6</v>
      </c>
      <c r="I7754">
        <v>121.9693</v>
      </c>
      <c r="J7754">
        <v>-187.5652</v>
      </c>
      <c r="K7754">
        <v>1.108814</v>
      </c>
      <c r="L7754">
        <v>115.1473</v>
      </c>
      <c r="M7754">
        <v>8.2229659999999996E-2</v>
      </c>
      <c r="N7754">
        <v>-1.3775559999999999E-2</v>
      </c>
      <c r="O7754">
        <v>0.99651820000000002</v>
      </c>
      <c r="P7754">
        <v>0.2647217</v>
      </c>
      <c r="Q7754">
        <v>0.36314350000000001</v>
      </c>
      <c r="R7754">
        <v>0.89333600000000002</v>
      </c>
      <c r="S7754">
        <v>1.315018</v>
      </c>
      <c r="T7754">
        <v>-0.50024749999999996</v>
      </c>
      <c r="U7754">
        <v>3.1718899999999999</v>
      </c>
      <c r="V7754">
        <v>0.19244649999999999</v>
      </c>
      <c r="W7754">
        <v>0.37460840000000001</v>
      </c>
      <c r="X7754">
        <v>0.90699110000000005</v>
      </c>
      <c r="Y7754">
        <v>0.30204180000000003</v>
      </c>
      <c r="Z7754">
        <v>-0.13210439999999901</v>
      </c>
      <c r="AA7754">
        <v>0.94409699999999996</v>
      </c>
      <c r="AB7754">
        <v>22</v>
      </c>
      <c r="AC7754">
        <v>2.8943999999999899</v>
      </c>
      <c r="AD7754">
        <v>-1.1088160997480001</v>
      </c>
      <c r="AE7754">
        <v>6.8220000000000001</v>
      </c>
      <c r="AF7754">
        <v>2.2726915660055198</v>
      </c>
      <c r="AG7754">
        <v>-1.1088160997480001</v>
      </c>
      <c r="AH7754">
        <v>6.8828293447948603</v>
      </c>
      <c r="AI7754">
        <v>98.697403699024605</v>
      </c>
      <c r="AJ7754">
        <v>71.7269171088695</v>
      </c>
      <c r="AK7754">
        <v>7.3326625373613297</v>
      </c>
      <c r="AL7754">
        <v>67.999887946747407</v>
      </c>
      <c r="AM7754">
        <v>78.020576117401106</v>
      </c>
      <c r="AN7754">
        <v>0.99999998209600904</v>
      </c>
    </row>
    <row r="7755" spans="1:40" x14ac:dyDescent="0.25">
      <c r="A7755" t="str">
        <f>"20190304165035947"</f>
        <v>20190304165035947</v>
      </c>
      <c r="B7755" t="str">
        <f>"1551689435943576"</f>
        <v>1551689435943576</v>
      </c>
      <c r="C7755" t="s">
        <v>40</v>
      </c>
      <c r="D7755">
        <v>4.9894939999999997</v>
      </c>
      <c r="E7755">
        <v>0.57175520000000002</v>
      </c>
      <c r="F7755" t="s">
        <v>48</v>
      </c>
      <c r="G7755">
        <v>-184.5669</v>
      </c>
      <c r="H7755" s="1">
        <v>-2.216012E-6</v>
      </c>
      <c r="I7755">
        <v>122.2702</v>
      </c>
      <c r="J7755">
        <v>-187.5521</v>
      </c>
      <c r="K7755">
        <v>1.108814</v>
      </c>
      <c r="L7755">
        <v>115.2758</v>
      </c>
      <c r="M7755">
        <v>8.4340869999999998E-2</v>
      </c>
      <c r="N7755">
        <v>-1.377596E-2</v>
      </c>
      <c r="O7755">
        <v>0.9963417</v>
      </c>
      <c r="P7755">
        <v>0.26676369999999999</v>
      </c>
      <c r="Q7755">
        <v>0.36371609999999999</v>
      </c>
      <c r="R7755">
        <v>0.89249529999999999</v>
      </c>
      <c r="S7755">
        <v>1.3317410000000001</v>
      </c>
      <c r="T7755">
        <v>-0.4925023</v>
      </c>
      <c r="U7755">
        <v>3.1637569999999999</v>
      </c>
      <c r="V7755">
        <v>0.19262299999999999</v>
      </c>
      <c r="W7755">
        <v>0.37517650000000002</v>
      </c>
      <c r="X7755">
        <v>0.90671880000000005</v>
      </c>
      <c r="Y7755">
        <v>0.30523810000000001</v>
      </c>
      <c r="Z7755">
        <v>-0.12998680000000001</v>
      </c>
      <c r="AA7755">
        <v>0.9433627</v>
      </c>
      <c r="AB7755">
        <v>22</v>
      </c>
      <c r="AC7755">
        <v>2.9851999999999901</v>
      </c>
      <c r="AD7755">
        <v>-1.1088162160120001</v>
      </c>
      <c r="AE7755">
        <v>6.99439999999999</v>
      </c>
      <c r="AF7755">
        <v>2.3349530215382002</v>
      </c>
      <c r="AG7755">
        <v>-1.1088162160120001</v>
      </c>
      <c r="AH7755">
        <v>7.07095079326937</v>
      </c>
      <c r="AI7755">
        <v>98.469361693682202</v>
      </c>
      <c r="AJ7755">
        <v>71.7258630703558</v>
      </c>
      <c r="AK7755">
        <v>7.5286004100708102</v>
      </c>
      <c r="AL7755">
        <v>67.964778066961202</v>
      </c>
      <c r="AM7755">
        <v>78.006410620336197</v>
      </c>
      <c r="AN7755">
        <v>1.00000000427734</v>
      </c>
    </row>
    <row r="7756" spans="1:40" x14ac:dyDescent="0.25">
      <c r="A7756" t="str">
        <f>"20190304165035960"</f>
        <v>20190304165035960</v>
      </c>
      <c r="B7756" t="str">
        <f>"1551689435953337"</f>
        <v>1551689435953337</v>
      </c>
      <c r="C7756" t="s">
        <v>40</v>
      </c>
      <c r="D7756">
        <v>4.8791289999999998</v>
      </c>
      <c r="E7756">
        <v>0.57164740000000003</v>
      </c>
      <c r="F7756" t="s">
        <v>48</v>
      </c>
      <c r="G7756">
        <v>-184.53890000000001</v>
      </c>
      <c r="H7756" s="1">
        <v>-2.279017E-6</v>
      </c>
      <c r="I7756">
        <v>122.3972</v>
      </c>
      <c r="J7756">
        <v>-187.5385</v>
      </c>
      <c r="K7756">
        <v>1.1088199999999999</v>
      </c>
      <c r="L7756">
        <v>115.4079</v>
      </c>
      <c r="M7756">
        <v>8.6515880000000003E-2</v>
      </c>
      <c r="N7756">
        <v>-1.3776429999999999E-2</v>
      </c>
      <c r="O7756">
        <v>0.99615520000000002</v>
      </c>
      <c r="P7756">
        <v>0.26863589999999998</v>
      </c>
      <c r="Q7756">
        <v>0.36426799999999998</v>
      </c>
      <c r="R7756">
        <v>0.89170830000000001</v>
      </c>
      <c r="S7756">
        <v>1.337936</v>
      </c>
      <c r="T7756">
        <v>-0.49234290000000003</v>
      </c>
      <c r="U7756">
        <v>3.1620789999999999</v>
      </c>
      <c r="V7756">
        <v>0.1925702</v>
      </c>
      <c r="W7756">
        <v>0.37572539999999999</v>
      </c>
      <c r="X7756">
        <v>0.90650269999999999</v>
      </c>
      <c r="Y7756">
        <v>0.30491239999999997</v>
      </c>
      <c r="Z7756">
        <v>-0.12993260000000001</v>
      </c>
      <c r="AA7756">
        <v>0.94347550000000002</v>
      </c>
      <c r="AB7756">
        <v>22</v>
      </c>
      <c r="AC7756">
        <v>2.9995999999999801</v>
      </c>
      <c r="AD7756">
        <v>-1.1088222790169999</v>
      </c>
      <c r="AE7756">
        <v>6.9893000000000001</v>
      </c>
      <c r="AF7756">
        <v>2.3340015809076098</v>
      </c>
      <c r="AG7756">
        <v>-1.1088222790169999</v>
      </c>
      <c r="AH7756">
        <v>7.0723127268813304</v>
      </c>
      <c r="AI7756">
        <v>98.468292178411204</v>
      </c>
      <c r="AJ7756">
        <v>71.736099077154606</v>
      </c>
      <c r="AK7756">
        <v>7.52958548214517</v>
      </c>
      <c r="AL7756">
        <v>67.930845959740793</v>
      </c>
      <c r="AM7756">
        <v>78.006827409239506</v>
      </c>
      <c r="AN7756">
        <v>1.0000000016202399</v>
      </c>
    </row>
    <row r="7757" spans="1:40" x14ac:dyDescent="0.25">
      <c r="A7757" t="str">
        <f>"20190304165035972"</f>
        <v>20190304165035972</v>
      </c>
      <c r="B7757" t="str">
        <f>"1551689435963097"</f>
        <v>1551689435963097</v>
      </c>
      <c r="C7757" t="s">
        <v>40</v>
      </c>
      <c r="D7757">
        <v>4.8643720000000004</v>
      </c>
      <c r="E7757">
        <v>0.5715479</v>
      </c>
      <c r="F7757" t="s">
        <v>48</v>
      </c>
      <c r="G7757">
        <v>-184.5069</v>
      </c>
      <c r="H7757" s="1">
        <v>-2.3560099999999998E-6</v>
      </c>
      <c r="I7757">
        <v>122.5295</v>
      </c>
      <c r="J7757">
        <v>-187.52510000000001</v>
      </c>
      <c r="K7757">
        <v>1.1088169999999999</v>
      </c>
      <c r="L7757">
        <v>115.5359</v>
      </c>
      <c r="M7757">
        <v>8.8633840000000005E-2</v>
      </c>
      <c r="N7757">
        <v>-1.3776969999999999E-2</v>
      </c>
      <c r="O7757">
        <v>0.99596899999999999</v>
      </c>
      <c r="P7757">
        <v>0.2707388</v>
      </c>
      <c r="Q7757">
        <v>0.3648769</v>
      </c>
      <c r="R7757">
        <v>0.89082289999999997</v>
      </c>
      <c r="S7757">
        <v>1.345215</v>
      </c>
      <c r="T7757">
        <v>-0.4920118</v>
      </c>
      <c r="U7757">
        <v>3.1600649999999999</v>
      </c>
      <c r="V7757">
        <v>0.19281180000000001</v>
      </c>
      <c r="W7757">
        <v>0.37632719999999997</v>
      </c>
      <c r="X7757">
        <v>0.9062017</v>
      </c>
      <c r="Y7757">
        <v>0.30495240000000001</v>
      </c>
      <c r="Z7757">
        <v>-0.1298252</v>
      </c>
      <c r="AA7757">
        <v>0.94347729999999996</v>
      </c>
      <c r="AB7757">
        <v>22</v>
      </c>
      <c r="AC7757">
        <v>3.0182000000000002</v>
      </c>
      <c r="AD7757">
        <v>-1.1088193560099999</v>
      </c>
      <c r="AE7757">
        <v>6.9935999999999998</v>
      </c>
      <c r="AF7757">
        <v>2.3368706972584099</v>
      </c>
      <c r="AG7757">
        <v>-1.1088193560099999</v>
      </c>
      <c r="AH7757">
        <v>7.0835059066238397</v>
      </c>
      <c r="AI7757">
        <v>98.455371143033503</v>
      </c>
      <c r="AJ7757">
        <v>71.742115910734597</v>
      </c>
      <c r="AK7757">
        <v>7.5409880618618104</v>
      </c>
      <c r="AL7757">
        <v>67.893635171061206</v>
      </c>
      <c r="AM7757">
        <v>77.988344525349106</v>
      </c>
      <c r="AN7757">
        <v>1.00000003638098</v>
      </c>
    </row>
    <row r="7758" spans="1:40" x14ac:dyDescent="0.25">
      <c r="A7758" t="str">
        <f>"20190304165035991"</f>
        <v>20190304165035991</v>
      </c>
      <c r="B7758" t="str">
        <f>"1551689435983592"</f>
        <v>1551689435983592</v>
      </c>
      <c r="C7758" t="s">
        <v>40</v>
      </c>
      <c r="D7758">
        <v>4.8408170000000004</v>
      </c>
      <c r="E7758">
        <v>0.57130170000000002</v>
      </c>
      <c r="F7758" t="s">
        <v>48</v>
      </c>
      <c r="G7758">
        <v>-184.47</v>
      </c>
      <c r="H7758" s="1">
        <v>-2.433629E-6</v>
      </c>
      <c r="I7758">
        <v>122.6618</v>
      </c>
      <c r="J7758">
        <v>-187.5059</v>
      </c>
      <c r="K7758">
        <v>1.1088089999999999</v>
      </c>
      <c r="L7758">
        <v>115.7128</v>
      </c>
      <c r="M7758">
        <v>9.1581640000000006E-2</v>
      </c>
      <c r="N7758">
        <v>-1.3777670000000001E-2</v>
      </c>
      <c r="O7758">
        <v>0.99570230000000004</v>
      </c>
      <c r="P7758">
        <v>0.273142</v>
      </c>
      <c r="Q7758">
        <v>0.365645</v>
      </c>
      <c r="R7758">
        <v>0.889773699999999</v>
      </c>
      <c r="S7758">
        <v>1.353699</v>
      </c>
      <c r="T7758">
        <v>-0.49132029999999899</v>
      </c>
      <c r="U7758">
        <v>3.1575009999999999</v>
      </c>
      <c r="V7758">
        <v>0.1926158</v>
      </c>
      <c r="W7758">
        <v>0.3770886</v>
      </c>
      <c r="X7758">
        <v>0.90592680000000003</v>
      </c>
      <c r="Y7758">
        <v>0.30456699999999998</v>
      </c>
      <c r="Z7758">
        <v>-0.12962199999999999</v>
      </c>
      <c r="AA7758">
        <v>0.94362970000000002</v>
      </c>
      <c r="AB7758">
        <v>22</v>
      </c>
      <c r="AC7758">
        <v>3.0358999999999901</v>
      </c>
      <c r="AD7758">
        <v>-1.108811433629</v>
      </c>
      <c r="AE7758">
        <v>6.9489999999999901</v>
      </c>
      <c r="AF7758">
        <v>2.3367191789250801</v>
      </c>
      <c r="AG7758">
        <v>-1.108811433629</v>
      </c>
      <c r="AH7758">
        <v>7.0471821336917104</v>
      </c>
      <c r="AI7758">
        <v>98.494067983643802</v>
      </c>
      <c r="AJ7758">
        <v>71.655405014151995</v>
      </c>
      <c r="AK7758">
        <v>7.5068299129477003</v>
      </c>
      <c r="AL7758">
        <v>67.846540272894202</v>
      </c>
      <c r="AM7758">
        <v>77.996664991254605</v>
      </c>
      <c r="AN7758">
        <v>1.0000000128089199</v>
      </c>
    </row>
    <row r="7759" spans="1:40" x14ac:dyDescent="0.25">
      <c r="A7759" t="str">
        <f>"20190304165036003"</f>
        <v>20190304165036003</v>
      </c>
      <c r="B7759" t="str">
        <f>"1551689435993353"</f>
        <v>1551689435993353</v>
      </c>
      <c r="C7759" t="s">
        <v>40</v>
      </c>
      <c r="D7759">
        <v>5.0086950000000003</v>
      </c>
      <c r="E7759">
        <v>0.57212079999999998</v>
      </c>
      <c r="F7759" t="s">
        <v>48</v>
      </c>
      <c r="G7759">
        <v>-184.4358</v>
      </c>
      <c r="H7759" s="1">
        <v>-2.5231859999999999E-6</v>
      </c>
      <c r="I7759">
        <v>122.8164</v>
      </c>
      <c r="J7759">
        <v>-187.49289999999999</v>
      </c>
      <c r="K7759">
        <v>1.1088</v>
      </c>
      <c r="L7759">
        <v>115.8305</v>
      </c>
      <c r="M7759">
        <v>9.3556139999999996E-2</v>
      </c>
      <c r="N7759">
        <v>-1.3778149999999999E-2</v>
      </c>
      <c r="O7759">
        <v>0.99551869999999998</v>
      </c>
      <c r="P7759">
        <v>0.27456809999999998</v>
      </c>
      <c r="Q7759">
        <v>0.36605919999999997</v>
      </c>
      <c r="R7759">
        <v>0.88916419999999996</v>
      </c>
      <c r="S7759">
        <v>1.3637539999999999</v>
      </c>
      <c r="T7759">
        <v>-0.49253010000000003</v>
      </c>
      <c r="U7759">
        <v>3.1553960000000001</v>
      </c>
      <c r="V7759">
        <v>0.19229599999999999</v>
      </c>
      <c r="W7759">
        <v>0.3774998</v>
      </c>
      <c r="X7759">
        <v>0.9058235</v>
      </c>
      <c r="Y7759">
        <v>0.30542829999999999</v>
      </c>
      <c r="Z7759">
        <v>-0.12991539999999999</v>
      </c>
      <c r="AA7759">
        <v>0.94331100000000001</v>
      </c>
      <c r="AB7759">
        <v>22</v>
      </c>
      <c r="AC7759">
        <v>3.0570999999999899</v>
      </c>
      <c r="AD7759">
        <v>-1.1088025231859999</v>
      </c>
      <c r="AE7759">
        <v>6.9859</v>
      </c>
      <c r="AF7759">
        <v>2.34056633343639</v>
      </c>
      <c r="AG7759">
        <v>-1.1088025231859999</v>
      </c>
      <c r="AH7759">
        <v>7.0913583588516804</v>
      </c>
      <c r="AI7759">
        <v>98.445631025184497</v>
      </c>
      <c r="AJ7759">
        <v>71.734063934982899</v>
      </c>
      <c r="AK7759">
        <v>7.5495070812798897</v>
      </c>
      <c r="AL7759">
        <v>67.821100494933603</v>
      </c>
      <c r="AM7759">
        <v>78.014690362666897</v>
      </c>
      <c r="AN7759">
        <v>1.00000003188414</v>
      </c>
    </row>
    <row r="7760" spans="1:40" x14ac:dyDescent="0.25">
      <c r="A7760" t="str">
        <f>"20190304165036014"</f>
        <v>20190304165036014</v>
      </c>
      <c r="B7760" t="str">
        <f>"1551689436003112"</f>
        <v>1551689436003112</v>
      </c>
      <c r="C7760" t="s">
        <v>40</v>
      </c>
      <c r="D7760">
        <v>4.8236780000000001</v>
      </c>
      <c r="E7760">
        <v>0.57222329999999999</v>
      </c>
      <c r="F7760" t="s">
        <v>48</v>
      </c>
      <c r="G7760">
        <v>-184.2782</v>
      </c>
      <c r="H7760" s="1">
        <v>-2.739469E-6</v>
      </c>
      <c r="I7760">
        <v>123.1709</v>
      </c>
      <c r="J7760">
        <v>-187.4795</v>
      </c>
      <c r="K7760">
        <v>1.1087910000000001</v>
      </c>
      <c r="L7760">
        <v>115.9495</v>
      </c>
      <c r="M7760">
        <v>9.5561030000000005E-2</v>
      </c>
      <c r="N7760">
        <v>-1.37786E-2</v>
      </c>
      <c r="O7760">
        <v>0.9953282</v>
      </c>
      <c r="P7760">
        <v>0.27607039999999999</v>
      </c>
      <c r="Q7760">
        <v>0.36620629999999998</v>
      </c>
      <c r="R7760">
        <v>0.88863829999999999</v>
      </c>
      <c r="S7760">
        <v>1.3769990000000001</v>
      </c>
      <c r="T7760">
        <v>-0.47495219999999999</v>
      </c>
      <c r="U7760">
        <v>3.144272</v>
      </c>
      <c r="V7760">
        <v>0.19201679999999999</v>
      </c>
      <c r="W7760">
        <v>0.37764419999999999</v>
      </c>
      <c r="X7760">
        <v>0.90582249999999997</v>
      </c>
      <c r="Y7760">
        <v>0.30831920000000002</v>
      </c>
      <c r="Z7760">
        <v>-0.1251293</v>
      </c>
      <c r="AA7760">
        <v>0.94301749999999995</v>
      </c>
      <c r="AB7760">
        <v>22</v>
      </c>
      <c r="AC7760">
        <v>3.2012999999999998</v>
      </c>
      <c r="AD7760">
        <v>-1.108793739469</v>
      </c>
      <c r="AE7760">
        <v>7.2214</v>
      </c>
      <c r="AF7760">
        <v>2.44825807083632</v>
      </c>
      <c r="AG7760">
        <v>-1.108793739469</v>
      </c>
      <c r="AH7760">
        <v>7.34948520165403</v>
      </c>
      <c r="AI7760">
        <v>98.145649515657396</v>
      </c>
      <c r="AJ7760">
        <v>71.576069789434996</v>
      </c>
      <c r="AK7760">
        <v>7.8254919249483903</v>
      </c>
      <c r="AL7760">
        <v>67.812164821826499</v>
      </c>
      <c r="AM7760">
        <v>78.031577182001797</v>
      </c>
      <c r="AN7760">
        <v>0.99999999739106404</v>
      </c>
    </row>
    <row r="7761" spans="1:40" x14ac:dyDescent="0.25">
      <c r="A7761" t="str">
        <f>"20190304165036028"</f>
        <v>20190304165036028</v>
      </c>
      <c r="B7761" t="str">
        <f>"1551689436023608"</f>
        <v>1551689436023608</v>
      </c>
      <c r="C7761" t="s">
        <v>40</v>
      </c>
      <c r="D7761">
        <v>4.8561230000000002</v>
      </c>
      <c r="E7761">
        <v>0.57235659999999999</v>
      </c>
      <c r="F7761" t="s">
        <v>48</v>
      </c>
      <c r="G7761">
        <v>-184.22970000000001</v>
      </c>
      <c r="H7761" s="1">
        <v>-2.8258219999999999E-6</v>
      </c>
      <c r="I7761">
        <v>123.31610000000001</v>
      </c>
      <c r="J7761">
        <v>-187.465</v>
      </c>
      <c r="K7761">
        <v>1.1087819999999999</v>
      </c>
      <c r="L7761">
        <v>116.0749</v>
      </c>
      <c r="M7761">
        <v>9.7699519999999998E-2</v>
      </c>
      <c r="N7761">
        <v>-1.377915E-2</v>
      </c>
      <c r="O7761">
        <v>0.99512060000000002</v>
      </c>
      <c r="P7761">
        <v>0.27752470000000001</v>
      </c>
      <c r="Q7761">
        <v>0.36602059999999997</v>
      </c>
      <c r="R7761">
        <v>0.88826170000000004</v>
      </c>
      <c r="S7761">
        <v>1.3853759999999999</v>
      </c>
      <c r="T7761">
        <v>-0.47267389999999998</v>
      </c>
      <c r="U7761">
        <v>3.1403500000000002</v>
      </c>
      <c r="V7761">
        <v>0.1915549</v>
      </c>
      <c r="W7761">
        <v>0.3774574</v>
      </c>
      <c r="X7761">
        <v>0.90599819999999998</v>
      </c>
      <c r="Y7761">
        <v>0.308849599999999</v>
      </c>
      <c r="Z7761">
        <v>-0.124513899999999</v>
      </c>
      <c r="AA7761">
        <v>0.94292529999999997</v>
      </c>
      <c r="AB7761">
        <v>22</v>
      </c>
      <c r="AC7761">
        <v>3.2352999999999899</v>
      </c>
      <c r="AD7761">
        <v>-1.1087848258220001</v>
      </c>
      <c r="AE7761">
        <v>7.2412000000000001</v>
      </c>
      <c r="AF7761">
        <v>2.4641296494978899</v>
      </c>
      <c r="AG7761">
        <v>-1.1087848258220001</v>
      </c>
      <c r="AH7761">
        <v>7.3784586707093096</v>
      </c>
      <c r="AI7761">
        <v>98.112000438955505</v>
      </c>
      <c r="AJ7761">
        <v>71.532605564139601</v>
      </c>
      <c r="AK7761">
        <v>7.8576708428689699</v>
      </c>
      <c r="AL7761">
        <v>67.823724425455197</v>
      </c>
      <c r="AM7761">
        <v>78.061789282343398</v>
      </c>
      <c r="AN7761">
        <v>1.0000000534660001</v>
      </c>
    </row>
    <row r="7762" spans="1:40" x14ac:dyDescent="0.25">
      <c r="A7762" t="str">
        <f>"20190304165036041"</f>
        <v>20190304165036041</v>
      </c>
      <c r="B7762" t="str">
        <f>"1551689436033369"</f>
        <v>1551689436033369</v>
      </c>
      <c r="C7762" t="s">
        <v>40</v>
      </c>
      <c r="D7762">
        <v>4.8464919999999996</v>
      </c>
      <c r="E7762">
        <v>0.57236359999999997</v>
      </c>
      <c r="F7762" t="s">
        <v>48</v>
      </c>
      <c r="G7762">
        <v>-184.18960000000001</v>
      </c>
      <c r="H7762" s="1">
        <v>-2.9027510000000001E-6</v>
      </c>
      <c r="I7762">
        <v>123.44629999999999</v>
      </c>
      <c r="J7762">
        <v>-187.4495</v>
      </c>
      <c r="K7762">
        <v>1.1087659999999999</v>
      </c>
      <c r="L7762">
        <v>116.2063</v>
      </c>
      <c r="M7762">
        <v>9.9956279999999995E-2</v>
      </c>
      <c r="N7762">
        <v>-1.37798E-2</v>
      </c>
      <c r="O7762">
        <v>0.99489640000000001</v>
      </c>
      <c r="P7762">
        <v>0.27919860000000002</v>
      </c>
      <c r="Q7762">
        <v>0.36587229999999998</v>
      </c>
      <c r="R7762">
        <v>0.88779819999999998</v>
      </c>
      <c r="S7762">
        <v>1.393616</v>
      </c>
      <c r="T7762">
        <v>-0.47176600000000002</v>
      </c>
      <c r="U7762">
        <v>3.136368</v>
      </c>
      <c r="V7762">
        <v>0.191214</v>
      </c>
      <c r="W7762">
        <v>0.37730599999999997</v>
      </c>
      <c r="X7762">
        <v>0.90613319999999997</v>
      </c>
      <c r="Y7762">
        <v>0.30921880000000002</v>
      </c>
      <c r="Z7762">
        <v>-0.1242944</v>
      </c>
      <c r="AA7762">
        <v>0.94283329999999999</v>
      </c>
      <c r="AB7762">
        <v>22</v>
      </c>
      <c r="AC7762">
        <v>3.25989999999998</v>
      </c>
      <c r="AD7762">
        <v>-1.1087689027509999</v>
      </c>
      <c r="AE7762">
        <v>7.2399999999999904</v>
      </c>
      <c r="AF7762">
        <v>2.4716219495204301</v>
      </c>
      <c r="AG7762">
        <v>-1.1087689027509999</v>
      </c>
      <c r="AH7762">
        <v>7.3855933207590398</v>
      </c>
      <c r="AI7762">
        <v>98.102489993755</v>
      </c>
      <c r="AJ7762">
        <v>71.496951285133306</v>
      </c>
      <c r="AK7762">
        <v>7.8667192806594599</v>
      </c>
      <c r="AL7762">
        <v>67.833090245144206</v>
      </c>
      <c r="AM7762">
        <v>78.084151826792393</v>
      </c>
      <c r="AN7762">
        <v>0.99999999378712001</v>
      </c>
    </row>
    <row r="7763" spans="1:40" x14ac:dyDescent="0.25">
      <c r="A7763" t="str">
        <f>"20190304165036058"</f>
        <v>20190304165036058</v>
      </c>
      <c r="B7763" t="str">
        <f>"1551689436052888"</f>
        <v>1551689436052888</v>
      </c>
      <c r="C7763" t="s">
        <v>40</v>
      </c>
      <c r="D7763">
        <v>4.8293549999999996</v>
      </c>
      <c r="E7763">
        <v>0.57225230000000005</v>
      </c>
      <c r="F7763" t="s">
        <v>48</v>
      </c>
      <c r="G7763">
        <v>-184.16</v>
      </c>
      <c r="H7763" s="1">
        <v>-2.9715400000000001E-6</v>
      </c>
      <c r="I7763">
        <v>123.5642</v>
      </c>
      <c r="J7763">
        <v>-187.42859999999999</v>
      </c>
      <c r="K7763">
        <v>1.1087400000000001</v>
      </c>
      <c r="L7763">
        <v>116.38030000000001</v>
      </c>
      <c r="M7763">
        <v>0.1029819</v>
      </c>
      <c r="N7763">
        <v>-1.3780860000000001E-2</v>
      </c>
      <c r="O7763">
        <v>0.99458780000000002</v>
      </c>
      <c r="P7763">
        <v>0.28082839999999998</v>
      </c>
      <c r="Q7763">
        <v>0.36583949999999998</v>
      </c>
      <c r="R7763">
        <v>0.88729749999999996</v>
      </c>
      <c r="S7763">
        <v>1.4007719999999999</v>
      </c>
      <c r="T7763">
        <v>-0.47213850000000002</v>
      </c>
      <c r="U7763">
        <v>3.1331790000000002</v>
      </c>
      <c r="V7763">
        <v>0.190137</v>
      </c>
      <c r="W7763">
        <v>0.37727240000000001</v>
      </c>
      <c r="X7763">
        <v>0.90637380000000001</v>
      </c>
      <c r="Y7763">
        <v>0.308475</v>
      </c>
      <c r="Z7763">
        <v>-0.12442880000000001</v>
      </c>
      <c r="AA7763">
        <v>0.94305919999999999</v>
      </c>
      <c r="AB7763">
        <v>22</v>
      </c>
      <c r="AC7763">
        <v>3.26859999999999</v>
      </c>
      <c r="AD7763">
        <v>-1.1087429715399999</v>
      </c>
      <c r="AE7763">
        <v>7.1838999999999897</v>
      </c>
      <c r="AF7763">
        <v>2.4627352978980199</v>
      </c>
      <c r="AG7763">
        <v>-1.1087429715399999</v>
      </c>
      <c r="AH7763">
        <v>7.3375328997807898</v>
      </c>
      <c r="AI7763">
        <v>98.152283931374996</v>
      </c>
      <c r="AJ7763">
        <v>71.446427891343603</v>
      </c>
      <c r="AK7763">
        <v>7.8188084245502303</v>
      </c>
      <c r="AL7763">
        <v>67.835169250898304</v>
      </c>
      <c r="AM7763">
        <v>78.152420977806699</v>
      </c>
      <c r="AN7763">
        <v>1.0000000039485999</v>
      </c>
    </row>
    <row r="7764" spans="1:40" x14ac:dyDescent="0.25">
      <c r="A7764" t="str">
        <f>"20190304165036074"</f>
        <v>20190304165036074</v>
      </c>
      <c r="B7764" t="str">
        <f>"1551689436063624"</f>
        <v>1551689436063624</v>
      </c>
      <c r="C7764" t="s">
        <v>40</v>
      </c>
      <c r="D7764">
        <v>4.8663400000000001</v>
      </c>
      <c r="E7764">
        <v>0.57205119999999998</v>
      </c>
      <c r="F7764" t="s">
        <v>48</v>
      </c>
      <c r="G7764">
        <v>-184.1421</v>
      </c>
      <c r="H7764" s="1">
        <v>-3.0435350000000001E-6</v>
      </c>
      <c r="I7764">
        <v>123.691</v>
      </c>
      <c r="J7764">
        <v>-187.40969999999999</v>
      </c>
      <c r="K7764">
        <v>1.108722</v>
      </c>
      <c r="L7764">
        <v>116.53360000000001</v>
      </c>
      <c r="M7764">
        <v>0.1056822</v>
      </c>
      <c r="N7764">
        <v>-1.3782050000000001E-2</v>
      </c>
      <c r="O7764">
        <v>0.99430439999999998</v>
      </c>
      <c r="P7764">
        <v>0.28239439999999999</v>
      </c>
      <c r="Q7764">
        <v>0.3665254</v>
      </c>
      <c r="R7764">
        <v>0.88651709999999995</v>
      </c>
      <c r="S7764">
        <v>1.4076839999999999</v>
      </c>
      <c r="T7764">
        <v>-0.47489690000000001</v>
      </c>
      <c r="U7764">
        <v>3.1313170000000001</v>
      </c>
      <c r="V7764">
        <v>0.1893272</v>
      </c>
      <c r="W7764">
        <v>0.37795139999999999</v>
      </c>
      <c r="X7764">
        <v>0.90626039999999997</v>
      </c>
      <c r="Y7764">
        <v>0.30779610000000002</v>
      </c>
      <c r="Z7764">
        <v>-0.12519859999999999</v>
      </c>
      <c r="AA7764">
        <v>0.94317910000000005</v>
      </c>
      <c r="AB7764">
        <v>22</v>
      </c>
      <c r="AC7764">
        <v>3.2675999999999799</v>
      </c>
      <c r="AD7764">
        <v>-1.108725043535</v>
      </c>
      <c r="AE7764">
        <v>7.1573999999999902</v>
      </c>
      <c r="AF7764">
        <v>2.44427961346921</v>
      </c>
      <c r="AG7764">
        <v>-1.108725043535</v>
      </c>
      <c r="AH7764">
        <v>7.3173681769514296</v>
      </c>
      <c r="AI7764">
        <v>98.178194672969695</v>
      </c>
      <c r="AJ7764">
        <v>71.528717776265495</v>
      </c>
      <c r="AK7764">
        <v>7.7940779498311699</v>
      </c>
      <c r="AL7764">
        <v>67.793154297994604</v>
      </c>
      <c r="AM7764">
        <v>78.200027963570605</v>
      </c>
      <c r="AN7764">
        <v>0.999999981014979</v>
      </c>
    </row>
    <row r="7765" spans="1:40" x14ac:dyDescent="0.25">
      <c r="A7765" t="str">
        <f>"20190304165036091"</f>
        <v>20190304165036091</v>
      </c>
      <c r="B7765" t="str">
        <f>"1551689436083144"</f>
        <v>1551689436083144</v>
      </c>
      <c r="C7765" t="s">
        <v>40</v>
      </c>
      <c r="D7765">
        <v>4.8906809999999998</v>
      </c>
      <c r="E7765">
        <v>0.54674609999999901</v>
      </c>
      <c r="F7765" t="s">
        <v>48</v>
      </c>
      <c r="G7765">
        <v>-184.12209999999999</v>
      </c>
      <c r="H7765" s="1">
        <v>-3.1194740000000001E-6</v>
      </c>
      <c r="I7765">
        <v>123.8245</v>
      </c>
      <c r="J7765">
        <v>-187.38740000000001</v>
      </c>
      <c r="K7765">
        <v>1.1087089999999999</v>
      </c>
      <c r="L7765">
        <v>116.709</v>
      </c>
      <c r="M7765">
        <v>0.1088211</v>
      </c>
      <c r="N7765">
        <v>-1.378356E-2</v>
      </c>
      <c r="O7765">
        <v>0.99396580000000001</v>
      </c>
      <c r="P7765">
        <v>0.281833</v>
      </c>
      <c r="Q7765">
        <v>0.37022250000000001</v>
      </c>
      <c r="R7765">
        <v>0.88515840000000001</v>
      </c>
      <c r="S7765">
        <v>1.41188</v>
      </c>
      <c r="T7765">
        <v>-0.47615279999999999</v>
      </c>
      <c r="U7765">
        <v>3.1311650000000002</v>
      </c>
      <c r="V7765">
        <v>0.18608630000000001</v>
      </c>
      <c r="W7765">
        <v>0.38164439999999999</v>
      </c>
      <c r="X7765">
        <v>0.90538359999999996</v>
      </c>
      <c r="Y7765">
        <v>0.30584739999999999</v>
      </c>
      <c r="Z7765">
        <v>-0.1255107</v>
      </c>
      <c r="AA7765">
        <v>0.94377140000000004</v>
      </c>
      <c r="AB7765">
        <v>22</v>
      </c>
      <c r="AC7765">
        <v>3.2653000000000199</v>
      </c>
      <c r="AD7765">
        <v>-1.1087121194739999</v>
      </c>
      <c r="AE7765">
        <v>7.1154999999999902</v>
      </c>
      <c r="AF7765">
        <v>2.4229222066101901</v>
      </c>
      <c r="AG7765">
        <v>-1.1087121194739999</v>
      </c>
      <c r="AH7765">
        <v>7.2825487681085503</v>
      </c>
      <c r="AI7765">
        <v>98.219917362471406</v>
      </c>
      <c r="AJ7765">
        <v>71.597586832092304</v>
      </c>
      <c r="AK7765">
        <v>7.7546960703197598</v>
      </c>
      <c r="AL7765">
        <v>67.564422430687799</v>
      </c>
      <c r="AM7765">
        <v>78.385564208659702</v>
      </c>
      <c r="AN7765">
        <v>1.0000000111239999</v>
      </c>
    </row>
    <row r="7766" spans="1:40" x14ac:dyDescent="0.25">
      <c r="A7766" t="str">
        <f>"20190304165036113"</f>
        <v>20190304165036113</v>
      </c>
      <c r="B7766" t="str">
        <f>"1551689436103644"</f>
        <v>1551689436103644</v>
      </c>
      <c r="C7766" t="s">
        <v>40</v>
      </c>
      <c r="D7766">
        <v>4.9838909999999998</v>
      </c>
      <c r="E7766">
        <v>0.53660240000000003</v>
      </c>
      <c r="F7766" t="s">
        <v>48</v>
      </c>
      <c r="G7766">
        <v>-175.8184</v>
      </c>
      <c r="H7766" s="1">
        <v>-8.3333819999999996E-6</v>
      </c>
      <c r="I7766">
        <v>145.73990000000001</v>
      </c>
      <c r="J7766">
        <v>-187.36</v>
      </c>
      <c r="K7766">
        <v>1.108697</v>
      </c>
      <c r="L7766">
        <v>116.9194</v>
      </c>
      <c r="M7766">
        <v>0.11264979999999999</v>
      </c>
      <c r="N7766">
        <v>-1.3785540000000001E-2</v>
      </c>
      <c r="O7766">
        <v>0.99353919999999996</v>
      </c>
      <c r="P7766">
        <v>0.27890320000000002</v>
      </c>
      <c r="Q7766">
        <v>0.3773165</v>
      </c>
      <c r="R7766">
        <v>0.88308850000000005</v>
      </c>
      <c r="S7766">
        <v>1.2157899999999999</v>
      </c>
      <c r="T7766">
        <v>-0.1165147</v>
      </c>
      <c r="U7766">
        <v>3.0508419999999998</v>
      </c>
      <c r="V7766">
        <v>0.17997679999999999</v>
      </c>
      <c r="W7766">
        <v>0.38873609999999997</v>
      </c>
      <c r="X7766">
        <v>0.90359979999999995</v>
      </c>
      <c r="Y7766">
        <v>0.26300580000000001</v>
      </c>
      <c r="Z7766">
        <v>-2.228012E-2</v>
      </c>
      <c r="AA7766">
        <v>0.96453699999999998</v>
      </c>
      <c r="AB7766">
        <v>22</v>
      </c>
      <c r="AC7766">
        <v>11.541600000000001</v>
      </c>
      <c r="AD7766">
        <v>-1.1087053333820001</v>
      </c>
      <c r="AE7766">
        <v>28.820499999999999</v>
      </c>
      <c r="AF7766">
        <v>8.2107174289437896</v>
      </c>
      <c r="AG7766">
        <v>-1.1087053333820001</v>
      </c>
      <c r="AH7766">
        <v>29.8991657109082</v>
      </c>
      <c r="AI7766">
        <v>92.047892414878305</v>
      </c>
      <c r="AJ7766">
        <v>74.644333504000102</v>
      </c>
      <c r="AK7766">
        <v>31.025879817058801</v>
      </c>
      <c r="AL7766">
        <v>67.124121343178004</v>
      </c>
      <c r="AM7766">
        <v>78.735384833301694</v>
      </c>
      <c r="AN7766">
        <v>1.00000000127074</v>
      </c>
    </row>
    <row r="7767" spans="1:40" x14ac:dyDescent="0.25">
      <c r="A7767" t="str">
        <f>"20190304165036126"</f>
        <v>20190304165036126</v>
      </c>
      <c r="B7767" t="str">
        <f>"1551689436113401"</f>
        <v>1551689436113401</v>
      </c>
      <c r="C7767" t="s">
        <v>40</v>
      </c>
      <c r="D7767">
        <v>4.5298499999999997</v>
      </c>
      <c r="E7767">
        <v>0.45329079999999999</v>
      </c>
      <c r="F7767" t="s">
        <v>65</v>
      </c>
      <c r="G7767">
        <v>-166.9419</v>
      </c>
      <c r="H7767">
        <v>1.8982159999999999</v>
      </c>
      <c r="I7767">
        <v>171.4786</v>
      </c>
      <c r="J7767">
        <v>-187.34289999999999</v>
      </c>
      <c r="K7767">
        <v>1.108684</v>
      </c>
      <c r="L7767">
        <v>117.0461</v>
      </c>
      <c r="M7767">
        <v>0.11500150000000001</v>
      </c>
      <c r="N7767">
        <v>-1.3786970000000001E-2</v>
      </c>
      <c r="O7767">
        <v>0.99326959999999997</v>
      </c>
      <c r="P7767">
        <v>0.27730349999999998</v>
      </c>
      <c r="Q7767">
        <v>0.38062200000000002</v>
      </c>
      <c r="R7767">
        <v>0.88217330000000005</v>
      </c>
      <c r="S7767">
        <v>1.1307069999999999</v>
      </c>
      <c r="T7767">
        <v>4.3723579999999998E-2</v>
      </c>
      <c r="U7767">
        <v>3.0213619999999999</v>
      </c>
      <c r="V7767">
        <v>0.1763855</v>
      </c>
      <c r="W7767">
        <v>0.392044</v>
      </c>
      <c r="X7767">
        <v>0.90287850000000003</v>
      </c>
      <c r="Y7767">
        <v>0.24032439999999999</v>
      </c>
      <c r="Z7767">
        <v>2.7151930000000001E-2</v>
      </c>
      <c r="AA7767">
        <v>0.97031279999999998</v>
      </c>
      <c r="AB7767">
        <v>22</v>
      </c>
      <c r="AC7767">
        <v>20.4009999999999</v>
      </c>
      <c r="AD7767">
        <v>0.78953199999999901</v>
      </c>
      <c r="AE7767">
        <v>54.432499999999997</v>
      </c>
      <c r="AF7767">
        <v>14.0026224752621</v>
      </c>
      <c r="AG7767">
        <v>0.78953199999999901</v>
      </c>
      <c r="AH7767">
        <v>56.407251700528498</v>
      </c>
      <c r="AI7767">
        <v>89.221702956397493</v>
      </c>
      <c r="AJ7767">
        <v>76.058621954796095</v>
      </c>
      <c r="AK7767">
        <v>58.124649172021002</v>
      </c>
      <c r="AL7767">
        <v>66.918256148975203</v>
      </c>
      <c r="AM7767">
        <v>78.945973027031798</v>
      </c>
      <c r="AN7767">
        <v>0.99999996415424897</v>
      </c>
    </row>
    <row r="7768" spans="1:40" x14ac:dyDescent="0.25">
      <c r="A7768" t="str">
        <f>"20190304165036138"</f>
        <v>20190304165036138</v>
      </c>
      <c r="B7768" t="str">
        <f>"1551689436132921"</f>
        <v>1551689436132921</v>
      </c>
      <c r="C7768" t="s">
        <v>40</v>
      </c>
      <c r="D7768">
        <v>4.7685269999999997</v>
      </c>
      <c r="E7768">
        <v>0.43268990000000002</v>
      </c>
      <c r="F7768" t="s">
        <v>66</v>
      </c>
      <c r="G7768">
        <v>-158.22880000000001</v>
      </c>
      <c r="H7768">
        <v>47.130769999999998</v>
      </c>
      <c r="I7768">
        <v>294.31459999999998</v>
      </c>
      <c r="J7768">
        <v>-187.32560000000001</v>
      </c>
      <c r="K7768">
        <v>1.108665</v>
      </c>
      <c r="L7768">
        <v>117.17319999999999</v>
      </c>
      <c r="M7768">
        <v>0.1173825</v>
      </c>
      <c r="N7768">
        <v>-1.3788470000000001E-2</v>
      </c>
      <c r="O7768">
        <v>0.99299099999999996</v>
      </c>
      <c r="P7768">
        <v>0.27579629999999999</v>
      </c>
      <c r="Q7768">
        <v>0.38345679999999999</v>
      </c>
      <c r="R7768">
        <v>0.88141780000000003</v>
      </c>
      <c r="S7768">
        <v>0.47998049999999998</v>
      </c>
      <c r="T7768">
        <v>0.75872680000000003</v>
      </c>
      <c r="U7768">
        <v>2.9224700000000001</v>
      </c>
      <c r="V7768">
        <v>0.17284330000000001</v>
      </c>
      <c r="W7768">
        <v>0.39488289999999998</v>
      </c>
      <c r="X7768">
        <v>0.90232630000000003</v>
      </c>
      <c r="Y7768">
        <v>3.9552740000000003E-2</v>
      </c>
      <c r="Z7768">
        <v>0.26030890000000001</v>
      </c>
      <c r="AA7768">
        <v>0.96471490000000004</v>
      </c>
      <c r="AB7768">
        <v>22</v>
      </c>
      <c r="AC7768">
        <v>29.096800000000002</v>
      </c>
      <c r="AD7768">
        <v>46.022105000000003</v>
      </c>
      <c r="AE7768">
        <v>177.14139999999901</v>
      </c>
      <c r="AF7768">
        <v>7.6007699916092797</v>
      </c>
      <c r="AG7768">
        <v>46.022105000000003</v>
      </c>
      <c r="AH7768">
        <v>168.272610752497</v>
      </c>
      <c r="AI7768">
        <v>74.718675923977003</v>
      </c>
      <c r="AJ7768">
        <v>87.413742929282506</v>
      </c>
      <c r="AK7768">
        <v>174.618090078199</v>
      </c>
      <c r="AL7768">
        <v>66.741329736821299</v>
      </c>
      <c r="AM7768">
        <v>79.156177948554102</v>
      </c>
      <c r="AN7768">
        <v>1.0000000313694899</v>
      </c>
    </row>
    <row r="7769" spans="1:40" x14ac:dyDescent="0.25">
      <c r="A7769" t="str">
        <f>"20190304165036151"</f>
        <v>20190304165036151</v>
      </c>
      <c r="B7769" t="str">
        <f>"1551689436143656"</f>
        <v>1551689436143656</v>
      </c>
      <c r="C7769" t="s">
        <v>40</v>
      </c>
      <c r="D7769">
        <v>4.7082670000000002</v>
      </c>
      <c r="E7769">
        <v>0.43268990000000002</v>
      </c>
      <c r="F7769" t="s">
        <v>63</v>
      </c>
      <c r="G7769">
        <v>-165.92529999999999</v>
      </c>
      <c r="H7769">
        <v>65.102779999999996</v>
      </c>
      <c r="I7769">
        <v>313.58659999999998</v>
      </c>
      <c r="J7769">
        <v>-187.3075</v>
      </c>
      <c r="K7769">
        <v>1.108649</v>
      </c>
      <c r="L7769">
        <v>117.3031</v>
      </c>
      <c r="M7769">
        <v>0.1198533</v>
      </c>
      <c r="N7769">
        <v>-1.379026E-2</v>
      </c>
      <c r="O7769">
        <v>0.99269589999999996</v>
      </c>
      <c r="P7769">
        <v>0.27423999999999998</v>
      </c>
      <c r="Q7769">
        <v>0.38588709999999998</v>
      </c>
      <c r="R7769">
        <v>0.88084259999999903</v>
      </c>
      <c r="S7769">
        <v>0.31538389999999999</v>
      </c>
      <c r="T7769">
        <v>0.94310640000000001</v>
      </c>
      <c r="U7769">
        <v>2.8946230000000002</v>
      </c>
      <c r="V7769">
        <v>0.1691522</v>
      </c>
      <c r="W7769">
        <v>0.3973199</v>
      </c>
      <c r="X7769">
        <v>0.90195590000000003</v>
      </c>
      <c r="Y7769">
        <v>-1.734198E-2</v>
      </c>
      <c r="Z7769">
        <v>0.31870989999999999</v>
      </c>
      <c r="AA7769">
        <v>0.94769360000000002</v>
      </c>
      <c r="AB7769">
        <v>22</v>
      </c>
      <c r="AC7769">
        <v>21.382200000000001</v>
      </c>
      <c r="AD7769">
        <v>63.994131000000003</v>
      </c>
      <c r="AE7769">
        <v>196.2835</v>
      </c>
      <c r="AF7769">
        <v>-2.0808332903521198</v>
      </c>
      <c r="AG7769">
        <v>63.994131000000003</v>
      </c>
      <c r="AH7769">
        <v>178.663051153379</v>
      </c>
      <c r="AI7769">
        <v>70.294554670005496</v>
      </c>
      <c r="AJ7769">
        <v>90.667276050611093</v>
      </c>
      <c r="AK7769">
        <v>189.78952688982201</v>
      </c>
      <c r="AL7769">
        <v>66.589261141707098</v>
      </c>
      <c r="AM7769">
        <v>79.378168145973106</v>
      </c>
      <c r="AN7769">
        <v>1.0000000076228299</v>
      </c>
    </row>
    <row r="7770" spans="1:40" x14ac:dyDescent="0.25">
      <c r="A7770" t="str">
        <f>"20190304165036163"</f>
        <v>20190304165036163</v>
      </c>
      <c r="B7770" t="str">
        <f>"1551689436153416"</f>
        <v>1551689436153416</v>
      </c>
      <c r="C7770" t="s">
        <v>40</v>
      </c>
      <c r="D7770">
        <v>4.6831839999999998</v>
      </c>
      <c r="E7770">
        <v>0.37785780000000002</v>
      </c>
      <c r="F7770" t="s">
        <v>63</v>
      </c>
      <c r="G7770">
        <v>-166.25880000000001</v>
      </c>
      <c r="H7770">
        <v>65.634389999999996</v>
      </c>
      <c r="I7770">
        <v>313.58659999999998</v>
      </c>
      <c r="J7770">
        <v>-187.29159999999999</v>
      </c>
      <c r="K7770">
        <v>1.1086320000000001</v>
      </c>
      <c r="L7770">
        <v>117.4144</v>
      </c>
      <c r="M7770">
        <v>0.1219972</v>
      </c>
      <c r="N7770">
        <v>-1.3791909999999999E-2</v>
      </c>
      <c r="O7770">
        <v>0.99243459999999994</v>
      </c>
      <c r="P7770">
        <v>0.27222679999999999</v>
      </c>
      <c r="Q7770">
        <v>0.38727549999999999</v>
      </c>
      <c r="R7770">
        <v>0.88085769999999997</v>
      </c>
      <c r="S7770">
        <v>0.31019590000000002</v>
      </c>
      <c r="T7770">
        <v>0.95091870000000001</v>
      </c>
      <c r="U7770">
        <v>2.892639</v>
      </c>
      <c r="V7770">
        <v>0.1652257</v>
      </c>
      <c r="W7770">
        <v>0.39872580000000002</v>
      </c>
      <c r="X7770">
        <v>0.90206330000000001</v>
      </c>
      <c r="Y7770">
        <v>-2.120737E-2</v>
      </c>
      <c r="Z7770">
        <v>0.32107459999999999</v>
      </c>
      <c r="AA7770">
        <v>0.9468164</v>
      </c>
      <c r="AB7770">
        <v>22</v>
      </c>
      <c r="AC7770">
        <v>21.032799999999899</v>
      </c>
      <c r="AD7770">
        <v>64.525757999999996</v>
      </c>
      <c r="AE7770">
        <v>196.1722</v>
      </c>
      <c r="AF7770">
        <v>-2.7634851736059001</v>
      </c>
      <c r="AG7770">
        <v>64.525757999999996</v>
      </c>
      <c r="AH7770">
        <v>178.21106644821501</v>
      </c>
      <c r="AI7770">
        <v>70.098153502579706</v>
      </c>
      <c r="AJ7770">
        <v>90.888403570879703</v>
      </c>
      <c r="AK7770">
        <v>189.553144264054</v>
      </c>
      <c r="AL7770">
        <v>66.501453689770301</v>
      </c>
      <c r="AM7770">
        <v>79.620518136298898</v>
      </c>
      <c r="AN7770">
        <v>0.99999999636650905</v>
      </c>
    </row>
    <row r="7771" spans="1:40" x14ac:dyDescent="0.25">
      <c r="A7771" t="str">
        <f>"20190304165036180"</f>
        <v>20190304165036180</v>
      </c>
      <c r="B7771" t="str">
        <f>"1551689436172936"</f>
        <v>1551689436172936</v>
      </c>
      <c r="C7771" t="s">
        <v>40</v>
      </c>
      <c r="D7771">
        <v>4.6966989999999997</v>
      </c>
      <c r="E7771">
        <v>0.3726912</v>
      </c>
      <c r="F7771" t="s">
        <v>58</v>
      </c>
      <c r="G7771">
        <v>-198.9307</v>
      </c>
      <c r="H7771">
        <v>127.8214</v>
      </c>
      <c r="I7771">
        <v>391.87</v>
      </c>
      <c r="J7771">
        <v>-187.26660000000001</v>
      </c>
      <c r="K7771">
        <v>1.1086049999999901</v>
      </c>
      <c r="L7771">
        <v>117.587</v>
      </c>
      <c r="M7771">
        <v>0.125358</v>
      </c>
      <c r="N7771">
        <v>-1.379446E-2</v>
      </c>
      <c r="O7771">
        <v>0.99201569999999994</v>
      </c>
      <c r="P7771">
        <v>0.26717269999999999</v>
      </c>
      <c r="Q7771">
        <v>0.38997700000000002</v>
      </c>
      <c r="R7771">
        <v>0.88121319999999903</v>
      </c>
      <c r="S7771">
        <v>-0.1213837</v>
      </c>
      <c r="T7771">
        <v>1.321483</v>
      </c>
      <c r="U7771">
        <v>2.8622890000000001</v>
      </c>
      <c r="V7771">
        <v>0.15714739999999999</v>
      </c>
      <c r="W7771">
        <v>0.40146890000000002</v>
      </c>
      <c r="X7771">
        <v>0.90229009999999998</v>
      </c>
      <c r="Y7771">
        <v>-0.16367100000000001</v>
      </c>
      <c r="Z7771">
        <v>0.42385119999999998</v>
      </c>
      <c r="AA7771">
        <v>0.89082090000000003</v>
      </c>
      <c r="AB7771">
        <v>22</v>
      </c>
      <c r="AC7771">
        <v>-11.6640999999999</v>
      </c>
      <c r="AD7771">
        <v>126.712795</v>
      </c>
      <c r="AE7771">
        <v>274.28300000000002</v>
      </c>
      <c r="AF7771">
        <v>-37.887423250420802</v>
      </c>
      <c r="AG7771">
        <v>126.712795</v>
      </c>
      <c r="AH7771">
        <v>223.12280817754299</v>
      </c>
      <c r="AI7771">
        <v>60.755905650724301</v>
      </c>
      <c r="AJ7771">
        <v>99.637199789976506</v>
      </c>
      <c r="AK7771">
        <v>259.37497332298898</v>
      </c>
      <c r="AL7771">
        <v>66.329961419004107</v>
      </c>
      <c r="AM7771">
        <v>80.120178661361095</v>
      </c>
      <c r="AN7771">
        <v>1.00000000377599</v>
      </c>
    </row>
    <row r="7772" spans="1:40" x14ac:dyDescent="0.25">
      <c r="A7772" t="str">
        <f>"20190304165036192"</f>
        <v>20190304165036192</v>
      </c>
      <c r="B7772" t="str">
        <f>"1551689436183673"</f>
        <v>1551689436183673</v>
      </c>
      <c r="C7772" t="s">
        <v>40</v>
      </c>
      <c r="D7772">
        <v>4.6953069999999997</v>
      </c>
      <c r="E7772">
        <v>0.3719771</v>
      </c>
      <c r="F7772" t="s">
        <v>58</v>
      </c>
      <c r="G7772">
        <v>-204.27780000000001</v>
      </c>
      <c r="H7772">
        <v>131.7235</v>
      </c>
      <c r="I7772">
        <v>391.00349999999997</v>
      </c>
      <c r="J7772">
        <v>-187.24879999999999</v>
      </c>
      <c r="K7772">
        <v>1.108589</v>
      </c>
      <c r="L7772">
        <v>117.70740000000001</v>
      </c>
      <c r="M7772">
        <v>0.12772720000000001</v>
      </c>
      <c r="N7772">
        <v>-1.379617E-2</v>
      </c>
      <c r="O7772">
        <v>0.99171339999999997</v>
      </c>
      <c r="P7772">
        <v>0.26410729999999999</v>
      </c>
      <c r="Q7772">
        <v>0.39188129999999999</v>
      </c>
      <c r="R7772">
        <v>0.88129249999999903</v>
      </c>
      <c r="S7772">
        <v>-0.177612299999999</v>
      </c>
      <c r="T7772">
        <v>1.3637410000000001</v>
      </c>
      <c r="U7772">
        <v>2.8547210000000001</v>
      </c>
      <c r="V7772">
        <v>0.15196579999999901</v>
      </c>
      <c r="W7772">
        <v>0.40339960000000002</v>
      </c>
      <c r="X7772">
        <v>0.90231660000000002</v>
      </c>
      <c r="Y7772">
        <v>-0.18331790000000001</v>
      </c>
      <c r="Z7772">
        <v>0.43432009999999999</v>
      </c>
      <c r="AA7772">
        <v>0.88190740000000001</v>
      </c>
      <c r="AB7772">
        <v>22</v>
      </c>
      <c r="AC7772">
        <v>-17.029</v>
      </c>
      <c r="AD7772">
        <v>130.61491100000001</v>
      </c>
      <c r="AE7772">
        <v>273.29610000000002</v>
      </c>
      <c r="AF7772">
        <v>-42.1987455541598</v>
      </c>
      <c r="AG7772">
        <v>130.61491100000001</v>
      </c>
      <c r="AH7772">
        <v>219.04332731360901</v>
      </c>
      <c r="AI7772">
        <v>59.649729155741802</v>
      </c>
      <c r="AJ7772">
        <v>100.904451426253</v>
      </c>
      <c r="AK7772">
        <v>258.497520960065</v>
      </c>
      <c r="AL7772">
        <v>66.2091244603359</v>
      </c>
      <c r="AM7772">
        <v>80.440107999424697</v>
      </c>
      <c r="AN7772">
        <v>1.00000004414267</v>
      </c>
    </row>
    <row r="7773" spans="1:40" x14ac:dyDescent="0.25">
      <c r="A7773" t="str">
        <f>"20190304165036204"</f>
        <v>20190304165036204</v>
      </c>
      <c r="B7773" t="str">
        <f>"1551689436193433"</f>
        <v>1551689436193433</v>
      </c>
      <c r="C7773" t="s">
        <v>40</v>
      </c>
      <c r="D7773">
        <v>4.6770529999999999</v>
      </c>
      <c r="E7773">
        <v>0.37186330000000001</v>
      </c>
      <c r="F7773" t="s">
        <v>58</v>
      </c>
      <c r="G7773">
        <v>-205.8152</v>
      </c>
      <c r="H7773">
        <v>133.52789999999999</v>
      </c>
      <c r="I7773">
        <v>391.87</v>
      </c>
      <c r="J7773">
        <v>-187.23249999999999</v>
      </c>
      <c r="K7773">
        <v>1.108584</v>
      </c>
      <c r="L7773">
        <v>117.8146</v>
      </c>
      <c r="M7773">
        <v>0.12986400000000001</v>
      </c>
      <c r="N7773">
        <v>-1.3797520000000001E-2</v>
      </c>
      <c r="O7773">
        <v>0.99143579999999998</v>
      </c>
      <c r="P7773">
        <v>0.2606559</v>
      </c>
      <c r="Q7773">
        <v>0.39473069999999999</v>
      </c>
      <c r="R7773">
        <v>0.88104830000000001</v>
      </c>
      <c r="S7773">
        <v>-0.1929932</v>
      </c>
      <c r="T7773">
        <v>1.376466</v>
      </c>
      <c r="U7773">
        <v>2.8498540000000001</v>
      </c>
      <c r="V7773">
        <v>0.1466565</v>
      </c>
      <c r="W7773">
        <v>0.40627210000000002</v>
      </c>
      <c r="X7773">
        <v>0.90190630000000005</v>
      </c>
      <c r="Y7773">
        <v>-0.19016730000000001</v>
      </c>
      <c r="Z7773">
        <v>0.43756060000000002</v>
      </c>
      <c r="AA7773">
        <v>0.87884989999999996</v>
      </c>
      <c r="AB7773">
        <v>22</v>
      </c>
      <c r="AC7773">
        <v>-18.582699999999999</v>
      </c>
      <c r="AD7773">
        <v>132.41931599999899</v>
      </c>
      <c r="AE7773">
        <v>274.05540000000002</v>
      </c>
      <c r="AF7773">
        <v>-43.832101895544703</v>
      </c>
      <c r="AG7773">
        <v>132.41931599999899</v>
      </c>
      <c r="AH7773">
        <v>218.53377638579201</v>
      </c>
      <c r="AI7773">
        <v>59.284956108551498</v>
      </c>
      <c r="AJ7773">
        <v>101.341528713636</v>
      </c>
      <c r="AK7773">
        <v>259.25497069087203</v>
      </c>
      <c r="AL7773">
        <v>66.029133491197896</v>
      </c>
      <c r="AM7773">
        <v>80.764127174771602</v>
      </c>
      <c r="AN7773">
        <v>1.00000006110517</v>
      </c>
    </row>
    <row r="7774" spans="1:40" x14ac:dyDescent="0.25">
      <c r="A7774" t="str">
        <f>"20190304165036216"</f>
        <v>20190304165036216</v>
      </c>
      <c r="B7774" t="str">
        <f>"1551689436212952"</f>
        <v>1551689436212952</v>
      </c>
      <c r="C7774" t="s">
        <v>40</v>
      </c>
      <c r="D7774">
        <v>4.6970419999999997</v>
      </c>
      <c r="E7774">
        <v>0.37277549999999998</v>
      </c>
      <c r="F7774" t="s">
        <v>58</v>
      </c>
      <c r="G7774">
        <v>-207.0061</v>
      </c>
      <c r="H7774">
        <v>134.73320000000001</v>
      </c>
      <c r="I7774">
        <v>391.87</v>
      </c>
      <c r="J7774">
        <v>-187.21469999999999</v>
      </c>
      <c r="K7774">
        <v>1.1085799999999999</v>
      </c>
      <c r="L7774">
        <v>117.9312</v>
      </c>
      <c r="M7774">
        <v>0.13219810000000001</v>
      </c>
      <c r="N7774">
        <v>-1.379886E-2</v>
      </c>
      <c r="O7774">
        <v>0.99112730000000004</v>
      </c>
      <c r="P7774">
        <v>0.25707980000000002</v>
      </c>
      <c r="Q7774">
        <v>0.39846749999999997</v>
      </c>
      <c r="R7774">
        <v>0.8804168</v>
      </c>
      <c r="S7774">
        <v>-0.20523069999999999</v>
      </c>
      <c r="T7774">
        <v>1.3868819999999999</v>
      </c>
      <c r="U7774">
        <v>2.8444060000000002</v>
      </c>
      <c r="V7774">
        <v>0.141102799999999</v>
      </c>
      <c r="W7774">
        <v>0.41002840000000002</v>
      </c>
      <c r="X7774">
        <v>0.901092</v>
      </c>
      <c r="Y7774">
        <v>-0.19625999999999999</v>
      </c>
      <c r="Z7774">
        <v>0.44029099999999999</v>
      </c>
      <c r="AA7774">
        <v>0.87614259999999999</v>
      </c>
      <c r="AB7774">
        <v>22</v>
      </c>
      <c r="AC7774">
        <v>-19.791399999999999</v>
      </c>
      <c r="AD7774">
        <v>133.62461999999999</v>
      </c>
      <c r="AE7774">
        <v>273.93880000000001</v>
      </c>
      <c r="AF7774">
        <v>-45.148489464154302</v>
      </c>
      <c r="AG7774">
        <v>133.62461999999999</v>
      </c>
      <c r="AH7774">
        <v>217.44695338880999</v>
      </c>
      <c r="AI7774">
        <v>58.965373711073298</v>
      </c>
      <c r="AJ7774">
        <v>101.72965634971899</v>
      </c>
      <c r="AK7774">
        <v>259.18546006501703</v>
      </c>
      <c r="AL7774">
        <v>65.7933821915084</v>
      </c>
      <c r="AM7774">
        <v>81.100275655110806</v>
      </c>
      <c r="AN7774">
        <v>1.00000004071919</v>
      </c>
    </row>
    <row r="7775" spans="1:40" x14ac:dyDescent="0.25">
      <c r="A7775" t="str">
        <f>"20190304165036227"</f>
        <v>20190304165036227</v>
      </c>
      <c r="B7775" t="str">
        <f>"1551689436223688"</f>
        <v>1551689436223688</v>
      </c>
      <c r="C7775" t="s">
        <v>40</v>
      </c>
      <c r="D7775">
        <v>4.6910400000000001</v>
      </c>
      <c r="E7775">
        <v>0.37345650000000002</v>
      </c>
      <c r="F7775" t="s">
        <v>58</v>
      </c>
      <c r="G7775">
        <v>-207.47110000000001</v>
      </c>
      <c r="H7775">
        <v>135.69479999999999</v>
      </c>
      <c r="I7775">
        <v>391.87</v>
      </c>
      <c r="J7775">
        <v>-187.19640000000001</v>
      </c>
      <c r="K7775">
        <v>1.1085830000000001</v>
      </c>
      <c r="L7775">
        <v>118.0483</v>
      </c>
      <c r="M7775">
        <v>0.1345691</v>
      </c>
      <c r="N7775">
        <v>-1.380001E-2</v>
      </c>
      <c r="O7775">
        <v>0.99080809999999997</v>
      </c>
      <c r="P7775">
        <v>0.25236599999999998</v>
      </c>
      <c r="Q7775">
        <v>0.40309410000000001</v>
      </c>
      <c r="R7775">
        <v>0.87967410000000001</v>
      </c>
      <c r="S7775">
        <v>-0.20983889999999999</v>
      </c>
      <c r="T7775">
        <v>1.394196</v>
      </c>
      <c r="U7775">
        <v>2.8377690000000002</v>
      </c>
      <c r="V7775">
        <v>0.13440839999999901</v>
      </c>
      <c r="W7775">
        <v>0.41467959999999898</v>
      </c>
      <c r="X7775">
        <v>0.89998619999999996</v>
      </c>
      <c r="Y7775">
        <v>-0.2000856</v>
      </c>
      <c r="Z7775">
        <v>0.4425074</v>
      </c>
      <c r="AA7775">
        <v>0.8741584</v>
      </c>
      <c r="AB7775">
        <v>22</v>
      </c>
      <c r="AC7775">
        <v>-20.274699999999999</v>
      </c>
      <c r="AD7775">
        <v>134.58621699999901</v>
      </c>
      <c r="AE7775">
        <v>273.82170000000002</v>
      </c>
      <c r="AF7775">
        <v>-45.910904747580098</v>
      </c>
      <c r="AG7775">
        <v>134.58621699999901</v>
      </c>
      <c r="AH7775">
        <v>216.56818283405099</v>
      </c>
      <c r="AI7775">
        <v>58.702947499362097</v>
      </c>
      <c r="AJ7775">
        <v>101.969093935115</v>
      </c>
      <c r="AK7775">
        <v>259.081143268196</v>
      </c>
      <c r="AL7775">
        <v>65.500858340001599</v>
      </c>
      <c r="AM7775">
        <v>81.505943263078095</v>
      </c>
      <c r="AN7775">
        <v>0.99999997441857902</v>
      </c>
    </row>
    <row r="7776" spans="1:40" x14ac:dyDescent="0.25">
      <c r="A7776" t="str">
        <f>"20190304165036240"</f>
        <v>20190304165036240</v>
      </c>
      <c r="B7776" t="str">
        <f>"1551689436233449"</f>
        <v>1551689436233449</v>
      </c>
      <c r="C7776" t="s">
        <v>40</v>
      </c>
      <c r="D7776">
        <v>4.7402100000000003</v>
      </c>
      <c r="E7776">
        <v>0.37458829999999999</v>
      </c>
      <c r="F7776" t="s">
        <v>58</v>
      </c>
      <c r="G7776">
        <v>-208.46420000000001</v>
      </c>
      <c r="H7776">
        <v>136.9265</v>
      </c>
      <c r="I7776">
        <v>391.87</v>
      </c>
      <c r="J7776">
        <v>-187.1781</v>
      </c>
      <c r="K7776">
        <v>1.108589</v>
      </c>
      <c r="L7776">
        <v>118.164</v>
      </c>
      <c r="M7776">
        <v>0.13691909999999999</v>
      </c>
      <c r="N7776">
        <v>-1.3801030000000001E-2</v>
      </c>
      <c r="O7776">
        <v>0.99048610000000004</v>
      </c>
      <c r="P7776">
        <v>0.2470792</v>
      </c>
      <c r="Q7776">
        <v>0.40781820000000002</v>
      </c>
      <c r="R7776">
        <v>0.87899729999999998</v>
      </c>
      <c r="S7776">
        <v>-0.21981809999999999</v>
      </c>
      <c r="T7776">
        <v>1.4037740000000001</v>
      </c>
      <c r="U7776">
        <v>2.830139</v>
      </c>
      <c r="V7776">
        <v>0.1271601</v>
      </c>
      <c r="W7776">
        <v>0.419433</v>
      </c>
      <c r="X7776">
        <v>0.89883609999999903</v>
      </c>
      <c r="Y7776">
        <v>-0.20553940000000001</v>
      </c>
      <c r="Z7776">
        <v>0.44528909999999999</v>
      </c>
      <c r="AA7776">
        <v>0.87147640000000004</v>
      </c>
      <c r="AB7776">
        <v>22</v>
      </c>
      <c r="AC7776">
        <v>-21.286100000000001</v>
      </c>
      <c r="AD7776">
        <v>135.81791100000001</v>
      </c>
      <c r="AE7776">
        <v>273.70599999999899</v>
      </c>
      <c r="AF7776">
        <v>-47.049316487475799</v>
      </c>
      <c r="AG7776">
        <v>135.81791100000001</v>
      </c>
      <c r="AH7776">
        <v>215.475053071974</v>
      </c>
      <c r="AI7776">
        <v>58.374851104844701</v>
      </c>
      <c r="AJ7776">
        <v>102.317299687309</v>
      </c>
      <c r="AK7776">
        <v>259.016682139804</v>
      </c>
      <c r="AL7776">
        <v>65.2012053015346</v>
      </c>
      <c r="AM7776">
        <v>81.947690812095004</v>
      </c>
      <c r="AN7776">
        <v>1.0000000335921</v>
      </c>
    </row>
    <row r="7777" spans="1:40" x14ac:dyDescent="0.25">
      <c r="A7777" t="str">
        <f>"20190304165036252"</f>
        <v>20190304165036252</v>
      </c>
      <c r="B7777" t="str">
        <f>"1551689436243209"</f>
        <v>1551689436243209</v>
      </c>
      <c r="C7777" t="s">
        <v>40</v>
      </c>
      <c r="D7777">
        <v>4.7120439999999997</v>
      </c>
      <c r="E7777">
        <v>0.37552239999999998</v>
      </c>
      <c r="F7777" t="s">
        <v>58</v>
      </c>
      <c r="G7777">
        <v>-209.29169999999999</v>
      </c>
      <c r="H7777">
        <v>137.77350000000001</v>
      </c>
      <c r="I7777">
        <v>391.87</v>
      </c>
      <c r="J7777">
        <v>-187.1575</v>
      </c>
      <c r="K7777">
        <v>1.1085910000000001</v>
      </c>
      <c r="L7777">
        <v>118.2914</v>
      </c>
      <c r="M7777">
        <v>0.13952429999999999</v>
      </c>
      <c r="N7777">
        <v>-1.3802E-2</v>
      </c>
      <c r="O7777">
        <v>0.99012239999999996</v>
      </c>
      <c r="P7777">
        <v>0.2420255</v>
      </c>
      <c r="Q7777">
        <v>0.41229130000000003</v>
      </c>
      <c r="R7777">
        <v>0.87831630000000005</v>
      </c>
      <c r="S7777">
        <v>-0.2280884</v>
      </c>
      <c r="T7777">
        <v>1.4096120000000001</v>
      </c>
      <c r="U7777">
        <v>2.823105</v>
      </c>
      <c r="V7777">
        <v>0.1199119</v>
      </c>
      <c r="W7777">
        <v>0.4239366</v>
      </c>
      <c r="X7777">
        <v>0.89771869999999998</v>
      </c>
      <c r="Y7777">
        <v>-0.2107426</v>
      </c>
      <c r="Z7777">
        <v>0.44705719999999999</v>
      </c>
      <c r="AA7777">
        <v>0.86932589999999998</v>
      </c>
      <c r="AB7777">
        <v>22</v>
      </c>
      <c r="AC7777">
        <v>-22.1342</v>
      </c>
      <c r="AD7777">
        <v>136.66490899999999</v>
      </c>
      <c r="AE7777">
        <v>273.57859999999999</v>
      </c>
      <c r="AF7777">
        <v>-48.153750567333397</v>
      </c>
      <c r="AG7777">
        <v>136.66490899999999</v>
      </c>
      <c r="AH7777">
        <v>214.60750069826</v>
      </c>
      <c r="AI7777">
        <v>58.144687454103703</v>
      </c>
      <c r="AJ7777">
        <v>102.646597728267</v>
      </c>
      <c r="AK7777">
        <v>258.94489838889098</v>
      </c>
      <c r="AL7777">
        <v>64.916627376383303</v>
      </c>
      <c r="AM7777">
        <v>82.391807331176807</v>
      </c>
      <c r="AN7777">
        <v>0.99999998445542904</v>
      </c>
    </row>
    <row r="7778" spans="1:40" x14ac:dyDescent="0.25">
      <c r="A7778" t="str">
        <f>"20190304165036271"</f>
        <v>20190304165036271</v>
      </c>
      <c r="B7778" t="str">
        <f>"1551689436263704"</f>
        <v>1551689436263704</v>
      </c>
      <c r="C7778" t="s">
        <v>40</v>
      </c>
      <c r="D7778">
        <v>4.7657249999999998</v>
      </c>
      <c r="E7778">
        <v>0.37555169999999999</v>
      </c>
      <c r="F7778" t="s">
        <v>58</v>
      </c>
      <c r="G7778">
        <v>-210.18700000000001</v>
      </c>
      <c r="H7778">
        <v>138.8278</v>
      </c>
      <c r="I7778">
        <v>391.87</v>
      </c>
      <c r="J7778">
        <v>-187.12819999999999</v>
      </c>
      <c r="K7778">
        <v>1.108611</v>
      </c>
      <c r="L7778">
        <v>118.46980000000001</v>
      </c>
      <c r="M7778">
        <v>0.14319599999999999</v>
      </c>
      <c r="N7778">
        <v>-1.380315E-2</v>
      </c>
      <c r="O7778">
        <v>0.98959810000000004</v>
      </c>
      <c r="P7778">
        <v>0.22725490000000001</v>
      </c>
      <c r="Q7778">
        <v>0.42032019999999998</v>
      </c>
      <c r="R7778">
        <v>0.87845669999999898</v>
      </c>
      <c r="S7778">
        <v>-0.2370148</v>
      </c>
      <c r="T7778">
        <v>1.417384</v>
      </c>
      <c r="U7778">
        <v>2.8156279999999998</v>
      </c>
      <c r="V7778">
        <v>0.1019848</v>
      </c>
      <c r="W7778">
        <v>0.43206090000000003</v>
      </c>
      <c r="X7778">
        <v>0.89605949999999901</v>
      </c>
      <c r="Y7778">
        <v>-0.2171911</v>
      </c>
      <c r="Z7778">
        <v>0.44917040000000003</v>
      </c>
      <c r="AA7778">
        <v>0.86664529999999995</v>
      </c>
      <c r="AB7778">
        <v>22</v>
      </c>
      <c r="AC7778">
        <v>-23.058800000000002</v>
      </c>
      <c r="AD7778">
        <v>137.719189</v>
      </c>
      <c r="AE7778">
        <v>273.40019999999998</v>
      </c>
      <c r="AF7778">
        <v>-49.502540406223403</v>
      </c>
      <c r="AG7778">
        <v>137.719189</v>
      </c>
      <c r="AH7778">
        <v>213.490980433381</v>
      </c>
      <c r="AI7778">
        <v>57.854332236249299</v>
      </c>
      <c r="AJ7778">
        <v>103.054581363442</v>
      </c>
      <c r="AK7778">
        <v>258.83484164983298</v>
      </c>
      <c r="AL7778">
        <v>64.401580734085996</v>
      </c>
      <c r="AM7778">
        <v>83.506835265164398</v>
      </c>
      <c r="AN7778">
        <v>1.0000000741400401</v>
      </c>
    </row>
    <row r="7779" spans="1:40" x14ac:dyDescent="0.25">
      <c r="A7779" t="str">
        <f>"20190304165036292"</f>
        <v>20190304165036292</v>
      </c>
      <c r="B7779" t="str">
        <f>"1551689436283228"</f>
        <v>1551689436283228</v>
      </c>
      <c r="C7779" t="s">
        <v>40</v>
      </c>
      <c r="D7779">
        <v>3.8478979999999998</v>
      </c>
      <c r="E7779">
        <v>0.3523154</v>
      </c>
      <c r="F7779" t="s">
        <v>58</v>
      </c>
      <c r="G7779">
        <v>-214.8605</v>
      </c>
      <c r="H7779">
        <v>142.048</v>
      </c>
      <c r="I7779">
        <v>391.87009999999998</v>
      </c>
      <c r="J7779">
        <v>-187.09399999999999</v>
      </c>
      <c r="K7779">
        <v>1.1086339999999999</v>
      </c>
      <c r="L7779">
        <v>118.67230000000001</v>
      </c>
      <c r="M7779">
        <v>0.147389299999999</v>
      </c>
      <c r="N7779">
        <v>-1.380412E-2</v>
      </c>
      <c r="O7779">
        <v>0.98898220000000003</v>
      </c>
      <c r="P7779">
        <v>0.21218770000000001</v>
      </c>
      <c r="Q7779">
        <v>0.42742330000000001</v>
      </c>
      <c r="R7779">
        <v>0.87879789999999902</v>
      </c>
      <c r="S7779">
        <v>-0.28384399999999999</v>
      </c>
      <c r="T7779">
        <v>1.442536</v>
      </c>
      <c r="U7779">
        <v>2.7982939999999998</v>
      </c>
      <c r="V7779">
        <v>8.3262729999999993E-2</v>
      </c>
      <c r="W7779">
        <v>0.43926759999999898</v>
      </c>
      <c r="X7779">
        <v>0.89448939999999999</v>
      </c>
      <c r="Y7779">
        <v>-0.23577310000000001</v>
      </c>
      <c r="Z7779">
        <v>0.45574579999999998</v>
      </c>
      <c r="AA7779">
        <v>0.85831619999999997</v>
      </c>
      <c r="AB7779">
        <v>22</v>
      </c>
      <c r="AC7779">
        <v>-27.766499999999901</v>
      </c>
      <c r="AD7779">
        <v>140.93936599999901</v>
      </c>
      <c r="AE7779">
        <v>273.19779999999997</v>
      </c>
      <c r="AF7779">
        <v>-53.611241967903702</v>
      </c>
      <c r="AG7779">
        <v>140.93936599999901</v>
      </c>
      <c r="AH7779">
        <v>210.63529787736701</v>
      </c>
      <c r="AI7779">
        <v>57.038941152184201</v>
      </c>
      <c r="AJ7779">
        <v>104.279814415175</v>
      </c>
      <c r="AK7779">
        <v>259.04690475994897</v>
      </c>
      <c r="AL7779">
        <v>63.942839433126203</v>
      </c>
      <c r="AM7779">
        <v>84.681998825284197</v>
      </c>
      <c r="AN7779">
        <v>0.99999999666458605</v>
      </c>
    </row>
    <row r="7780" spans="1:40" x14ac:dyDescent="0.25">
      <c r="A7780" t="str">
        <f>"20190304165036304"</f>
        <v>20190304165036304</v>
      </c>
      <c r="B7780" t="str">
        <f>"1551689436292985"</f>
        <v>1551689436292985</v>
      </c>
      <c r="C7780" t="s">
        <v>40</v>
      </c>
      <c r="D7780">
        <v>4.66092</v>
      </c>
      <c r="E7780">
        <v>0.35347440000000002</v>
      </c>
      <c r="F7780" t="s">
        <v>60</v>
      </c>
      <c r="G7780">
        <v>0</v>
      </c>
      <c r="H7780">
        <v>0</v>
      </c>
      <c r="I7780">
        <v>0</v>
      </c>
      <c r="J7780">
        <v>-187.0745</v>
      </c>
      <c r="K7780">
        <v>1.1086419999999999</v>
      </c>
      <c r="L7780">
        <v>118.78530000000001</v>
      </c>
      <c r="M7780">
        <v>0.14974179999999901</v>
      </c>
      <c r="N7780">
        <v>-1.3804469999999999E-2</v>
      </c>
      <c r="O7780">
        <v>0.98862870000000003</v>
      </c>
      <c r="P7780">
        <v>0.20518910000000001</v>
      </c>
      <c r="Q7780">
        <v>0.43025869999999999</v>
      </c>
      <c r="R7780">
        <v>0.87907619999999898</v>
      </c>
      <c r="S7780">
        <v>-0.5103607</v>
      </c>
      <c r="T7780">
        <v>1.6061810000000001</v>
      </c>
      <c r="U7780">
        <v>2.7557680000000002</v>
      </c>
      <c r="V7780">
        <v>7.4180780000000002E-2</v>
      </c>
      <c r="W7780">
        <v>0.44215510000000002</v>
      </c>
      <c r="X7780">
        <v>0.89386580000000004</v>
      </c>
      <c r="Y7780">
        <v>-0.30401129999999998</v>
      </c>
      <c r="Z7780">
        <v>0.4920332</v>
      </c>
      <c r="AA7780">
        <v>0.81576990000000005</v>
      </c>
      <c r="AB7780">
        <v>22</v>
      </c>
      <c r="AC7780">
        <v>-0.5103607</v>
      </c>
      <c r="AD7780">
        <v>1.6061810000000001</v>
      </c>
      <c r="AE7780">
        <v>2.7557680000000002</v>
      </c>
      <c r="AF7780">
        <v>-0.69050717718312404</v>
      </c>
      <c r="AG7780">
        <v>1.6061810000000001</v>
      </c>
      <c r="AH7780">
        <v>1.9935101418344701</v>
      </c>
      <c r="AI7780">
        <v>52.7169915689284</v>
      </c>
      <c r="AJ7780">
        <v>109.104937499606</v>
      </c>
      <c r="AK7780">
        <v>2.6515467659649699</v>
      </c>
      <c r="AL7780">
        <v>63.758533802871398</v>
      </c>
      <c r="AM7780">
        <v>85.255967496150305</v>
      </c>
      <c r="AN7780">
        <v>0.99999999449352905</v>
      </c>
    </row>
    <row r="7781" spans="1:40" x14ac:dyDescent="0.25">
      <c r="A7781" t="str">
        <f>"20190304165036317"</f>
        <v>20190304165036317</v>
      </c>
      <c r="B7781" t="str">
        <f>"1551689436313481"</f>
        <v>1551689436313481</v>
      </c>
      <c r="C7781" t="s">
        <v>40</v>
      </c>
      <c r="D7781">
        <v>4.6276320000000002</v>
      </c>
      <c r="E7781">
        <v>0.35537950000000001</v>
      </c>
      <c r="F7781" t="s">
        <v>60</v>
      </c>
      <c r="G7781">
        <v>0</v>
      </c>
      <c r="H7781">
        <v>0</v>
      </c>
      <c r="I7781">
        <v>0</v>
      </c>
      <c r="J7781">
        <v>-187.05240000000001</v>
      </c>
      <c r="K7781">
        <v>1.10866</v>
      </c>
      <c r="L7781">
        <v>118.9117</v>
      </c>
      <c r="M7781">
        <v>0.15237719999999999</v>
      </c>
      <c r="N7781">
        <v>-1.3804790000000001E-2</v>
      </c>
      <c r="O7781">
        <v>0.98822600000000005</v>
      </c>
      <c r="P7781">
        <v>0.1993762</v>
      </c>
      <c r="Q7781">
        <v>0.432921</v>
      </c>
      <c r="R7781">
        <v>0.87910669999999902</v>
      </c>
      <c r="S7781">
        <v>-0.52328490000000005</v>
      </c>
      <c r="T7781">
        <v>1.616047</v>
      </c>
      <c r="U7781">
        <v>2.7438660000000001</v>
      </c>
      <c r="V7781">
        <v>6.6052659999999999E-2</v>
      </c>
      <c r="W7781">
        <v>0.44486170000000003</v>
      </c>
      <c r="X7781">
        <v>0.89316019999999896</v>
      </c>
      <c r="Y7781">
        <v>-0.310550299999999</v>
      </c>
      <c r="Z7781">
        <v>0.49474560000000001</v>
      </c>
      <c r="AA7781">
        <v>0.81165589999999999</v>
      </c>
      <c r="AB7781">
        <v>22</v>
      </c>
      <c r="AC7781">
        <v>-0.52328490000000005</v>
      </c>
      <c r="AD7781">
        <v>1.616047</v>
      </c>
      <c r="AE7781">
        <v>2.7438660000000001</v>
      </c>
      <c r="AF7781">
        <v>-0.70076372199645598</v>
      </c>
      <c r="AG7781">
        <v>1.616047</v>
      </c>
      <c r="AH7781">
        <v>1.9720210850390101</v>
      </c>
      <c r="AI7781">
        <v>52.325301693754</v>
      </c>
      <c r="AJ7781">
        <v>109.562825028945</v>
      </c>
      <c r="AK7781">
        <v>2.6441529570192701</v>
      </c>
      <c r="AL7781">
        <v>63.585509698546097</v>
      </c>
      <c r="AM7781">
        <v>85.770454437947194</v>
      </c>
      <c r="AN7781">
        <v>1.000000014442</v>
      </c>
    </row>
    <row r="7782" spans="1:40" x14ac:dyDescent="0.25">
      <c r="A7782" t="str">
        <f>"20190304165036328"</f>
        <v>20190304165036328</v>
      </c>
      <c r="B7782" t="str">
        <f>"1551689436323241"</f>
        <v>1551689436323241</v>
      </c>
      <c r="C7782" t="s">
        <v>40</v>
      </c>
      <c r="D7782">
        <v>4.6375080000000004</v>
      </c>
      <c r="E7782">
        <v>0.3565314</v>
      </c>
      <c r="F7782" t="s">
        <v>60</v>
      </c>
      <c r="G7782">
        <v>0</v>
      </c>
      <c r="H7782">
        <v>0</v>
      </c>
      <c r="I7782">
        <v>0</v>
      </c>
      <c r="J7782">
        <v>-187.03360000000001</v>
      </c>
      <c r="K7782">
        <v>1.1086689999999999</v>
      </c>
      <c r="L7782">
        <v>119.0171</v>
      </c>
      <c r="M7782">
        <v>0.1545842</v>
      </c>
      <c r="N7782">
        <v>-1.380495E-2</v>
      </c>
      <c r="O7782">
        <v>0.98788319999999996</v>
      </c>
      <c r="P7782">
        <v>0.1938173</v>
      </c>
      <c r="Q7782">
        <v>0.43555260000000001</v>
      </c>
      <c r="R7782">
        <v>0.87905</v>
      </c>
      <c r="S7782">
        <v>-0.52665709999999999</v>
      </c>
      <c r="T7782">
        <v>1.624153</v>
      </c>
      <c r="U7782">
        <v>2.7321620000000002</v>
      </c>
      <c r="V7782">
        <v>5.8581510000000003E-2</v>
      </c>
      <c r="W7782">
        <v>0.44753219999999999</v>
      </c>
      <c r="X7782">
        <v>0.892346999999999</v>
      </c>
      <c r="Y7782">
        <v>-0.31394050000000001</v>
      </c>
      <c r="Z7782">
        <v>0.49745099999999998</v>
      </c>
      <c r="AA7782">
        <v>0.80869269999999904</v>
      </c>
      <c r="AB7782">
        <v>22</v>
      </c>
      <c r="AC7782">
        <v>-0.52665709999999999</v>
      </c>
      <c r="AD7782">
        <v>1.624153</v>
      </c>
      <c r="AE7782">
        <v>2.7321620000000002</v>
      </c>
      <c r="AF7782">
        <v>-0.703141042627771</v>
      </c>
      <c r="AG7782">
        <v>1.624153</v>
      </c>
      <c r="AH7782">
        <v>1.9526040743961699</v>
      </c>
      <c r="AI7782">
        <v>51.9535142381581</v>
      </c>
      <c r="AJ7782">
        <v>109.804164404766</v>
      </c>
      <c r="AK7782">
        <v>2.6353259693224298</v>
      </c>
      <c r="AL7782">
        <v>63.414538092551098</v>
      </c>
      <c r="AM7782">
        <v>86.243990464930604</v>
      </c>
      <c r="AN7782">
        <v>1.0000000158798501</v>
      </c>
    </row>
    <row r="7783" spans="1:40" x14ac:dyDescent="0.25">
      <c r="A7783" t="str">
        <f>"20190304165036339"</f>
        <v>20190304165036339</v>
      </c>
      <c r="B7783" t="str">
        <f>"1551689436333000"</f>
        <v>1551689436333000</v>
      </c>
      <c r="C7783" t="s">
        <v>40</v>
      </c>
      <c r="D7783">
        <v>4.5965360000000004</v>
      </c>
      <c r="E7783">
        <v>0.3565314</v>
      </c>
      <c r="F7783" t="s">
        <v>60</v>
      </c>
      <c r="G7783">
        <v>0</v>
      </c>
      <c r="H7783">
        <v>0</v>
      </c>
      <c r="I7783">
        <v>0</v>
      </c>
      <c r="J7783">
        <v>-187.0129</v>
      </c>
      <c r="K7783">
        <v>1.1086780000000001</v>
      </c>
      <c r="L7783">
        <v>119.1323</v>
      </c>
      <c r="M7783">
        <v>0.157001</v>
      </c>
      <c r="N7783">
        <v>-1.3805080000000001E-2</v>
      </c>
      <c r="O7783">
        <v>0.98750199999999999</v>
      </c>
      <c r="P7783">
        <v>0.18871070000000001</v>
      </c>
      <c r="Q7783">
        <v>0.4381446</v>
      </c>
      <c r="R7783">
        <v>0.87887289999999996</v>
      </c>
      <c r="S7783">
        <v>-0.53561400000000003</v>
      </c>
      <c r="T7783">
        <v>1.627386</v>
      </c>
      <c r="U7783">
        <v>2.7245330000000001</v>
      </c>
      <c r="V7783">
        <v>5.1388549999999998E-2</v>
      </c>
      <c r="W7783">
        <v>0.45016050000000002</v>
      </c>
      <c r="X7783">
        <v>0.89146780000000003</v>
      </c>
      <c r="Y7783">
        <v>-0.31909860000000001</v>
      </c>
      <c r="Z7783">
        <v>0.4983013</v>
      </c>
      <c r="AA7783">
        <v>0.80614629999999998</v>
      </c>
      <c r="AB7783">
        <v>22</v>
      </c>
      <c r="AC7783">
        <v>-0.53561400000000003</v>
      </c>
      <c r="AD7783">
        <v>1.627386</v>
      </c>
      <c r="AE7783">
        <v>2.7245330000000001</v>
      </c>
      <c r="AF7783">
        <v>-0.71214307503376595</v>
      </c>
      <c r="AG7783">
        <v>1.627386</v>
      </c>
      <c r="AH7783">
        <v>1.94018223464493</v>
      </c>
      <c r="AI7783">
        <v>51.7826393748798</v>
      </c>
      <c r="AJ7783">
        <v>110.15564031376699</v>
      </c>
      <c r="AK7783">
        <v>2.63055888661447</v>
      </c>
      <c r="AL7783">
        <v>63.246019475582003</v>
      </c>
      <c r="AM7783">
        <v>86.700843003897802</v>
      </c>
      <c r="AN7783">
        <v>1.0000000486340901</v>
      </c>
    </row>
    <row r="7784" spans="1:40" x14ac:dyDescent="0.25">
      <c r="A7784" t="str">
        <f>"20190304165036351"</f>
        <v>20190304165036351</v>
      </c>
      <c r="B7784" t="str">
        <f>"1551689436343737"</f>
        <v>1551689436343737</v>
      </c>
      <c r="C7784" t="s">
        <v>40</v>
      </c>
      <c r="D7784">
        <v>4.5932339999999998</v>
      </c>
      <c r="E7784">
        <v>0.37226779999999998</v>
      </c>
      <c r="F7784" t="s">
        <v>60</v>
      </c>
      <c r="G7784">
        <v>0</v>
      </c>
      <c r="H7784">
        <v>0</v>
      </c>
      <c r="I7784">
        <v>0</v>
      </c>
      <c r="J7784">
        <v>-186.99199999999999</v>
      </c>
      <c r="K7784">
        <v>1.108689</v>
      </c>
      <c r="L7784">
        <v>119.2467</v>
      </c>
      <c r="M7784">
        <v>0.15940889999999999</v>
      </c>
      <c r="N7784">
        <v>-1.380517E-2</v>
      </c>
      <c r="O7784">
        <v>0.98711610000000005</v>
      </c>
      <c r="P7784">
        <v>0.18459100000000001</v>
      </c>
      <c r="Q7784">
        <v>0.44033149999999999</v>
      </c>
      <c r="R7784">
        <v>0.87865479999999996</v>
      </c>
      <c r="S7784">
        <v>-0.55220029999999998</v>
      </c>
      <c r="T7784">
        <v>1.6321380000000001</v>
      </c>
      <c r="U7784">
        <v>2.718353</v>
      </c>
      <c r="V7784">
        <v>4.5185780000000002E-2</v>
      </c>
      <c r="W7784">
        <v>0.45237830000000001</v>
      </c>
      <c r="X7784">
        <v>0.89068069999999899</v>
      </c>
      <c r="Y7784">
        <v>-0.32634390000000002</v>
      </c>
      <c r="Z7784">
        <v>0.49899250000000001</v>
      </c>
      <c r="AA7784">
        <v>0.80281139999999995</v>
      </c>
      <c r="AB7784">
        <v>22</v>
      </c>
      <c r="AC7784">
        <v>-0.55220029999999998</v>
      </c>
      <c r="AD7784">
        <v>1.6321380000000001</v>
      </c>
      <c r="AE7784">
        <v>2.718353</v>
      </c>
      <c r="AF7784">
        <v>-0.72686136985962002</v>
      </c>
      <c r="AG7784">
        <v>1.6321380000000001</v>
      </c>
      <c r="AH7784">
        <v>1.92804238142374</v>
      </c>
      <c r="AI7784">
        <v>51.617030771590997</v>
      </c>
      <c r="AJ7784">
        <v>110.65616692578899</v>
      </c>
      <c r="AK7784">
        <v>2.6286021621014299</v>
      </c>
      <c r="AL7784">
        <v>63.103623960405002</v>
      </c>
      <c r="AM7784">
        <v>87.0957753552849</v>
      </c>
      <c r="AN7784">
        <v>0.99999999518879401</v>
      </c>
    </row>
    <row r="7785" spans="1:40" x14ac:dyDescent="0.25">
      <c r="A7785" t="str">
        <f>"20190304165036363"</f>
        <v>20190304165036363</v>
      </c>
      <c r="B7785" t="str">
        <f>"1551689436353497"</f>
        <v>1551689436353497</v>
      </c>
      <c r="C7785" t="s">
        <v>40</v>
      </c>
      <c r="D7785">
        <v>4.5445919999999997</v>
      </c>
      <c r="E7785">
        <v>0.37424420000000003</v>
      </c>
      <c r="F7785" t="s">
        <v>60</v>
      </c>
      <c r="G7785">
        <v>0</v>
      </c>
      <c r="H7785">
        <v>0</v>
      </c>
      <c r="I7785">
        <v>0</v>
      </c>
      <c r="J7785">
        <v>-186.97239999999999</v>
      </c>
      <c r="K7785">
        <v>1.1086940000000001</v>
      </c>
      <c r="L7785">
        <v>119.3524</v>
      </c>
      <c r="M7785">
        <v>0.16164049999999999</v>
      </c>
      <c r="N7785">
        <v>-1.380526E-2</v>
      </c>
      <c r="O7785">
        <v>0.9867532</v>
      </c>
      <c r="P7785">
        <v>0.18131910000000001</v>
      </c>
      <c r="Q7785">
        <v>0.44221539999999998</v>
      </c>
      <c r="R7785">
        <v>0.87839</v>
      </c>
      <c r="S7785">
        <v>-0.44316100000000003</v>
      </c>
      <c r="T7785">
        <v>1.598001</v>
      </c>
      <c r="U7785">
        <v>2.7065730000000001</v>
      </c>
      <c r="V7785">
        <v>3.9989190000000001E-2</v>
      </c>
      <c r="W7785">
        <v>0.45428659999999998</v>
      </c>
      <c r="X7785">
        <v>0.88995759999999902</v>
      </c>
      <c r="Y7785">
        <v>-0.29789019999999999</v>
      </c>
      <c r="Z7785">
        <v>0.49645250000000002</v>
      </c>
      <c r="AA7785">
        <v>0.81535040000000003</v>
      </c>
      <c r="AB7785">
        <v>22</v>
      </c>
      <c r="AC7785">
        <v>-0.44316100000000003</v>
      </c>
      <c r="AD7785">
        <v>1.598001</v>
      </c>
      <c r="AE7785">
        <v>2.7065730000000001</v>
      </c>
      <c r="AF7785">
        <v>-0.65313421977277997</v>
      </c>
      <c r="AG7785">
        <v>1.598001</v>
      </c>
      <c r="AH7785">
        <v>1.94054273664268</v>
      </c>
      <c r="AI7785">
        <v>52.029340409516699</v>
      </c>
      <c r="AJ7785">
        <v>108.601841574102</v>
      </c>
      <c r="AK7785">
        <v>2.5972865875324298</v>
      </c>
      <c r="AL7785">
        <v>62.980957499983496</v>
      </c>
      <c r="AM7785">
        <v>87.427212648653295</v>
      </c>
      <c r="AN7785">
        <v>0.99999999002708795</v>
      </c>
    </row>
    <row r="7786" spans="1:40" x14ac:dyDescent="0.25">
      <c r="A7786" t="str">
        <f>"20190304165036381"</f>
        <v>20190304165036381</v>
      </c>
      <c r="B7786" t="str">
        <f>"1551689436373020"</f>
        <v>1551689436373020</v>
      </c>
      <c r="C7786" t="s">
        <v>40</v>
      </c>
      <c r="D7786">
        <v>4.5575999999999999</v>
      </c>
      <c r="E7786">
        <v>0.37777579999999999</v>
      </c>
      <c r="F7786" t="s">
        <v>60</v>
      </c>
      <c r="G7786">
        <v>0</v>
      </c>
      <c r="H7786">
        <v>0</v>
      </c>
      <c r="I7786">
        <v>0</v>
      </c>
      <c r="J7786">
        <v>-186.93819999999999</v>
      </c>
      <c r="K7786">
        <v>1.108698</v>
      </c>
      <c r="L7786">
        <v>119.53360000000001</v>
      </c>
      <c r="M7786">
        <v>0.16548399999999999</v>
      </c>
      <c r="N7786">
        <v>-1.380546E-2</v>
      </c>
      <c r="O7786">
        <v>0.98611590000000005</v>
      </c>
      <c r="P7786">
        <v>0.17673520000000001</v>
      </c>
      <c r="Q7786">
        <v>0.44480740000000002</v>
      </c>
      <c r="R7786">
        <v>0.8780154</v>
      </c>
      <c r="S7786">
        <v>-0.43869019999999997</v>
      </c>
      <c r="T7786">
        <v>1.594112</v>
      </c>
      <c r="U7786">
        <v>2.7033689999999999</v>
      </c>
      <c r="V7786">
        <v>3.2066810000000001E-2</v>
      </c>
      <c r="W7786">
        <v>0.45691709999999902</v>
      </c>
      <c r="X7786">
        <v>0.88893109999999997</v>
      </c>
      <c r="Y7786">
        <v>-0.30049179999999998</v>
      </c>
      <c r="Z7786">
        <v>0.49537500000000001</v>
      </c>
      <c r="AA7786">
        <v>0.81505099999999997</v>
      </c>
      <c r="AB7786">
        <v>22</v>
      </c>
      <c r="AC7786">
        <v>-0.43869019999999997</v>
      </c>
      <c r="AD7786">
        <v>1.594112</v>
      </c>
      <c r="AE7786">
        <v>2.7033689999999999</v>
      </c>
      <c r="AF7786">
        <v>-0.65734238529011102</v>
      </c>
      <c r="AG7786">
        <v>1.594112</v>
      </c>
      <c r="AH7786">
        <v>1.9371774992920401</v>
      </c>
      <c r="AI7786">
        <v>52.072050363294501</v>
      </c>
      <c r="AJ7786">
        <v>108.74361438823701</v>
      </c>
      <c r="AK7786">
        <v>2.5934434144214999</v>
      </c>
      <c r="AL7786">
        <v>62.811648436618199</v>
      </c>
      <c r="AM7786">
        <v>87.934039494641794</v>
      </c>
      <c r="AN7786">
        <v>1.0000000085615901</v>
      </c>
    </row>
    <row r="7787" spans="1:40" x14ac:dyDescent="0.25">
      <c r="A7787" t="str">
        <f>"20190304165036393"</f>
        <v>20190304165036393</v>
      </c>
      <c r="B7787" t="str">
        <f>"1551689436383754"</f>
        <v>1551689436383754</v>
      </c>
      <c r="C7787" t="s">
        <v>40</v>
      </c>
      <c r="D7787">
        <v>4.5686819999999999</v>
      </c>
      <c r="E7787">
        <v>0.37951259999999998</v>
      </c>
      <c r="F7787" t="s">
        <v>60</v>
      </c>
      <c r="G7787">
        <v>0</v>
      </c>
      <c r="H7787">
        <v>0</v>
      </c>
      <c r="I7787">
        <v>0</v>
      </c>
      <c r="J7787">
        <v>-186.9162</v>
      </c>
      <c r="K7787">
        <v>1.1086929999999999</v>
      </c>
      <c r="L7787">
        <v>119.6485</v>
      </c>
      <c r="M7787">
        <v>0.16793669999999999</v>
      </c>
      <c r="N7787">
        <v>-1.3805629999999999E-2</v>
      </c>
      <c r="O7787">
        <v>0.9857011</v>
      </c>
      <c r="P7787">
        <v>0.1770562</v>
      </c>
      <c r="Q7787">
        <v>0.44539230000000002</v>
      </c>
      <c r="R7787">
        <v>0.87765409999999899</v>
      </c>
      <c r="S7787">
        <v>-0.4268188</v>
      </c>
      <c r="T7787">
        <v>1.5728139999999999</v>
      </c>
      <c r="U7787">
        <v>2.7059169999999999</v>
      </c>
      <c r="V7787">
        <v>3.0230090000000001E-2</v>
      </c>
      <c r="W7787">
        <v>0.45751120000000001</v>
      </c>
      <c r="X7787">
        <v>0.88868989999999903</v>
      </c>
      <c r="Y7787">
        <v>-0.2996914</v>
      </c>
      <c r="Z7787">
        <v>0.49014400000000002</v>
      </c>
      <c r="AA7787">
        <v>0.81850109999999998</v>
      </c>
      <c r="AB7787">
        <v>22</v>
      </c>
      <c r="AC7787">
        <v>-0.4268188</v>
      </c>
      <c r="AD7787">
        <v>1.5728139999999999</v>
      </c>
      <c r="AE7787">
        <v>2.7059169999999999</v>
      </c>
      <c r="AF7787">
        <v>-0.65823502087654795</v>
      </c>
      <c r="AG7787">
        <v>1.5728139999999999</v>
      </c>
      <c r="AH7787">
        <v>1.9522392790287699</v>
      </c>
      <c r="AI7787">
        <v>52.641163567198802</v>
      </c>
      <c r="AJ7787">
        <v>108.63252346541699</v>
      </c>
      <c r="AK7787">
        <v>2.5919597650980499</v>
      </c>
      <c r="AL7787">
        <v>62.773375371053902</v>
      </c>
      <c r="AM7787">
        <v>88.051751270061999</v>
      </c>
      <c r="AN7787">
        <v>1.0000000474144199</v>
      </c>
    </row>
    <row r="7788" spans="1:40" x14ac:dyDescent="0.25">
      <c r="A7788" t="str">
        <f>"20190304165036405"</f>
        <v>20190304165036405</v>
      </c>
      <c r="B7788" t="str">
        <f>"1551689436393512"</f>
        <v>1551689436393512</v>
      </c>
      <c r="C7788" t="s">
        <v>40</v>
      </c>
      <c r="D7788">
        <v>4.5276180000000004</v>
      </c>
      <c r="E7788">
        <v>0.38082260000000001</v>
      </c>
      <c r="F7788" t="s">
        <v>60</v>
      </c>
      <c r="G7788">
        <v>0</v>
      </c>
      <c r="H7788">
        <v>0</v>
      </c>
      <c r="I7788">
        <v>0</v>
      </c>
      <c r="J7788">
        <v>-186.8948</v>
      </c>
      <c r="K7788">
        <v>1.108681</v>
      </c>
      <c r="L7788">
        <v>119.7578</v>
      </c>
      <c r="M7788">
        <v>0.17028889999999999</v>
      </c>
      <c r="N7788">
        <v>-1.3806000000000001E-2</v>
      </c>
      <c r="O7788">
        <v>0.98529739999999999</v>
      </c>
      <c r="P7788">
        <v>0.178011</v>
      </c>
      <c r="Q7788">
        <v>0.44602740000000002</v>
      </c>
      <c r="R7788">
        <v>0.87713829999999904</v>
      </c>
      <c r="S7788">
        <v>-0.41242980000000001</v>
      </c>
      <c r="T7788">
        <v>1.5700769999999999</v>
      </c>
      <c r="U7788">
        <v>2.7046359999999998</v>
      </c>
      <c r="V7788">
        <v>2.9138259999999999E-2</v>
      </c>
      <c r="W7788">
        <v>0.45814919999999998</v>
      </c>
      <c r="X7788">
        <v>0.88839760000000001</v>
      </c>
      <c r="Y7788">
        <v>-0.2977803</v>
      </c>
      <c r="Z7788">
        <v>0.48970330000000001</v>
      </c>
      <c r="AA7788">
        <v>0.81946180000000002</v>
      </c>
      <c r="AB7788">
        <v>22</v>
      </c>
      <c r="AC7788">
        <v>-0.41242980000000001</v>
      </c>
      <c r="AD7788">
        <v>1.5700769999999999</v>
      </c>
      <c r="AE7788">
        <v>2.7046359999999998</v>
      </c>
      <c r="AF7788">
        <v>-0.65221826708348696</v>
      </c>
      <c r="AG7788">
        <v>1.5700769999999999</v>
      </c>
      <c r="AH7788">
        <v>1.95201453231922</v>
      </c>
      <c r="AI7788">
        <v>52.660740177381797</v>
      </c>
      <c r="AJ7788">
        <v>108.475799634716</v>
      </c>
      <c r="AK7788">
        <v>2.5886079634104102</v>
      </c>
      <c r="AL7788">
        <v>62.732257244567897</v>
      </c>
      <c r="AM7788">
        <v>88.121448042761202</v>
      </c>
      <c r="AN7788">
        <v>1.0000000116711101</v>
      </c>
    </row>
    <row r="7789" spans="1:40" x14ac:dyDescent="0.25">
      <c r="A7789" t="str">
        <f>"20190304165036417"</f>
        <v>20190304165036417</v>
      </c>
      <c r="B7789" t="str">
        <f>"1551689436413033"</f>
        <v>1551689436413033</v>
      </c>
      <c r="C7789" t="s">
        <v>40</v>
      </c>
      <c r="D7789">
        <v>4.4951470000000002</v>
      </c>
      <c r="E7789">
        <v>0.38207740000000001</v>
      </c>
      <c r="F7789" t="s">
        <v>60</v>
      </c>
      <c r="G7789">
        <v>0</v>
      </c>
      <c r="H7789">
        <v>0</v>
      </c>
      <c r="I7789">
        <v>0</v>
      </c>
      <c r="J7789">
        <v>-186.87270000000001</v>
      </c>
      <c r="K7789">
        <v>1.108665</v>
      </c>
      <c r="L7789">
        <v>119.8702</v>
      </c>
      <c r="M7789">
        <v>0.172713899999999</v>
      </c>
      <c r="N7789">
        <v>-1.380641E-2</v>
      </c>
      <c r="O7789">
        <v>0.98487530000000001</v>
      </c>
      <c r="P7789">
        <v>0.17841290000000001</v>
      </c>
      <c r="Q7789">
        <v>0.44630819999999999</v>
      </c>
      <c r="R7789">
        <v>0.87691379999999997</v>
      </c>
      <c r="S7789">
        <v>-0.3997192</v>
      </c>
      <c r="T7789">
        <v>1.564565</v>
      </c>
      <c r="U7789">
        <v>2.705765</v>
      </c>
      <c r="V7789">
        <v>2.7385110000000001E-2</v>
      </c>
      <c r="W7789">
        <v>0.45844040000000003</v>
      </c>
      <c r="X7789">
        <v>0.88830319999999996</v>
      </c>
      <c r="Y7789">
        <v>-0.29640339999999998</v>
      </c>
      <c r="Z7789">
        <v>0.48824190000000001</v>
      </c>
      <c r="AA7789">
        <v>0.82083189999999995</v>
      </c>
      <c r="AB7789">
        <v>22</v>
      </c>
      <c r="AC7789">
        <v>-0.3997192</v>
      </c>
      <c r="AD7789">
        <v>1.564565</v>
      </c>
      <c r="AE7789">
        <v>2.705765</v>
      </c>
      <c r="AF7789">
        <v>-0.64878703196971199</v>
      </c>
      <c r="AG7789">
        <v>1.564565</v>
      </c>
      <c r="AH7789">
        <v>1.9560165871191599</v>
      </c>
      <c r="AI7789">
        <v>52.794226164846897</v>
      </c>
      <c r="AJ7789">
        <v>108.350058176095</v>
      </c>
      <c r="AK7789">
        <v>2.5874290601217198</v>
      </c>
      <c r="AL7789">
        <v>62.713486699736798</v>
      </c>
      <c r="AM7789">
        <v>88.234212786556597</v>
      </c>
      <c r="AN7789">
        <v>1.0000000598660499</v>
      </c>
    </row>
    <row r="7790" spans="1:40" x14ac:dyDescent="0.25">
      <c r="A7790" t="str">
        <f>"20190304165036428"</f>
        <v>20190304165036428</v>
      </c>
      <c r="B7790" t="str">
        <f>"1551689436423769"</f>
        <v>1551689436423769</v>
      </c>
      <c r="C7790" t="s">
        <v>40</v>
      </c>
      <c r="D7790">
        <v>4.4580539999999997</v>
      </c>
      <c r="E7790">
        <v>0.3930227</v>
      </c>
      <c r="F7790" t="s">
        <v>60</v>
      </c>
      <c r="G7790">
        <v>0</v>
      </c>
      <c r="H7790">
        <v>0</v>
      </c>
      <c r="I7790">
        <v>0</v>
      </c>
      <c r="J7790">
        <v>-186.84870000000001</v>
      </c>
      <c r="K7790">
        <v>1.1086450000000001</v>
      </c>
      <c r="L7790">
        <v>119.9897</v>
      </c>
      <c r="M7790">
        <v>0.17532220000000001</v>
      </c>
      <c r="N7790">
        <v>-1.3807160000000001E-2</v>
      </c>
      <c r="O7790">
        <v>0.98441429999999996</v>
      </c>
      <c r="P7790">
        <v>0.18111669999999999</v>
      </c>
      <c r="Q7790">
        <v>0.44575019999999999</v>
      </c>
      <c r="R7790">
        <v>0.87664330000000001</v>
      </c>
      <c r="S7790">
        <v>-0.3890381</v>
      </c>
      <c r="T7790">
        <v>1.5586310000000001</v>
      </c>
      <c r="U7790">
        <v>2.7069700000000001</v>
      </c>
      <c r="V7790">
        <v>2.77395E-2</v>
      </c>
      <c r="W7790">
        <v>0.4578835</v>
      </c>
      <c r="X7790">
        <v>0.88857929999999996</v>
      </c>
      <c r="Y7790">
        <v>-0.29581079999999998</v>
      </c>
      <c r="Z7790">
        <v>0.48655939999999998</v>
      </c>
      <c r="AA7790">
        <v>0.82204379999999999</v>
      </c>
      <c r="AB7790">
        <v>22</v>
      </c>
      <c r="AC7790">
        <v>-0.3890381</v>
      </c>
      <c r="AD7790">
        <v>1.5586310000000001</v>
      </c>
      <c r="AE7790">
        <v>2.7069700000000001</v>
      </c>
      <c r="AF7790">
        <v>-0.647370387799305</v>
      </c>
      <c r="AG7790">
        <v>1.5586310000000001</v>
      </c>
      <c r="AH7790">
        <v>1.9601328181009201</v>
      </c>
      <c r="AI7790">
        <v>52.945296228061302</v>
      </c>
      <c r="AJ7790">
        <v>108.276768875689</v>
      </c>
      <c r="AK7790">
        <v>2.5866077549092501</v>
      </c>
      <c r="AL7790">
        <v>62.749381556517498</v>
      </c>
      <c r="AM7790">
        <v>88.211931929748502</v>
      </c>
      <c r="AN7790">
        <v>0.99999997591049405</v>
      </c>
    </row>
    <row r="7791" spans="1:40" x14ac:dyDescent="0.25">
      <c r="A7791" t="str">
        <f>"20190304165036441"</f>
        <v>20190304165036441</v>
      </c>
      <c r="B7791" t="str">
        <f>"1551689436433529"</f>
        <v>1551689436433529</v>
      </c>
      <c r="C7791" t="s">
        <v>40</v>
      </c>
      <c r="D7791">
        <v>4.4606769999999996</v>
      </c>
      <c r="E7791">
        <v>0.39372849999999998</v>
      </c>
      <c r="F7791" t="s">
        <v>60</v>
      </c>
      <c r="G7791">
        <v>0</v>
      </c>
      <c r="H7791">
        <v>0</v>
      </c>
      <c r="I7791">
        <v>0</v>
      </c>
      <c r="J7791">
        <v>-186.82560000000001</v>
      </c>
      <c r="K7791">
        <v>1.108627</v>
      </c>
      <c r="L7791">
        <v>120.10299999999999</v>
      </c>
      <c r="M7791">
        <v>0.17780989999999999</v>
      </c>
      <c r="N7791">
        <v>-1.3808040000000001E-2</v>
      </c>
      <c r="O7791">
        <v>0.98396799999999995</v>
      </c>
      <c r="P7791">
        <v>0.18399470000000001</v>
      </c>
      <c r="Q7791">
        <v>0.44493880000000002</v>
      </c>
      <c r="R7791">
        <v>0.87645609999999996</v>
      </c>
      <c r="S7791">
        <v>-0.29531859999999999</v>
      </c>
      <c r="T7791">
        <v>1.4955240000000001</v>
      </c>
      <c r="U7791">
        <v>2.7227169999999998</v>
      </c>
      <c r="V7791">
        <v>2.835696E-2</v>
      </c>
      <c r="W7791">
        <v>0.4570728</v>
      </c>
      <c r="X7791">
        <v>0.88897719999999902</v>
      </c>
      <c r="Y7791">
        <v>-0.27038610000000002</v>
      </c>
      <c r="Z7791">
        <v>0.4722828</v>
      </c>
      <c r="AA7791">
        <v>0.83895189999999997</v>
      </c>
      <c r="AB7791">
        <v>22</v>
      </c>
      <c r="AC7791">
        <v>-0.29531859999999999</v>
      </c>
      <c r="AD7791">
        <v>1.4955240000000001</v>
      </c>
      <c r="AE7791">
        <v>2.7227169999999998</v>
      </c>
      <c r="AF7791">
        <v>-0.59681568781559202</v>
      </c>
      <c r="AG7791">
        <v>1.4955240000000001</v>
      </c>
      <c r="AH7791">
        <v>2.0234275315303401</v>
      </c>
      <c r="AI7791">
        <v>54.666764716387704</v>
      </c>
      <c r="AJ7791">
        <v>106.433573207793</v>
      </c>
      <c r="AK7791">
        <v>2.5859311621065602</v>
      </c>
      <c r="AL7791">
        <v>62.801620483997397</v>
      </c>
      <c r="AM7791">
        <v>88.172975185778895</v>
      </c>
      <c r="AN7791">
        <v>1.00000006190005</v>
      </c>
    </row>
    <row r="7792" spans="1:40" x14ac:dyDescent="0.25">
      <c r="A7792" t="str">
        <f>"20190304165036455"</f>
        <v>20190304165036455</v>
      </c>
      <c r="B7792" t="str">
        <f>"1551689436443289"</f>
        <v>1551689436443289</v>
      </c>
      <c r="C7792" t="s">
        <v>40</v>
      </c>
      <c r="D7792">
        <v>4.434869</v>
      </c>
      <c r="E7792">
        <v>0.39404679999999997</v>
      </c>
      <c r="F7792" t="s">
        <v>60</v>
      </c>
      <c r="G7792">
        <v>0</v>
      </c>
      <c r="H7792">
        <v>0</v>
      </c>
      <c r="I7792">
        <v>0</v>
      </c>
      <c r="J7792">
        <v>-186.798</v>
      </c>
      <c r="K7792">
        <v>1.1085989999999999</v>
      </c>
      <c r="L7792">
        <v>120.2371</v>
      </c>
      <c r="M7792">
        <v>0.18077750000000001</v>
      </c>
      <c r="N7792">
        <v>-1.380925E-2</v>
      </c>
      <c r="O7792">
        <v>0.98342700000000005</v>
      </c>
      <c r="P7792">
        <v>0.1877492</v>
      </c>
      <c r="Q7792">
        <v>0.44408690000000001</v>
      </c>
      <c r="R7792">
        <v>0.87609199999999998</v>
      </c>
      <c r="S7792">
        <v>-0.28080749999999999</v>
      </c>
      <c r="T7792">
        <v>1.490783</v>
      </c>
      <c r="U7792">
        <v>2.7250209999999999</v>
      </c>
      <c r="V7792">
        <v>2.943424E-2</v>
      </c>
      <c r="W7792">
        <v>0.45621879999999998</v>
      </c>
      <c r="X7792">
        <v>0.88938069999999902</v>
      </c>
      <c r="Y7792">
        <v>-0.26885679999999901</v>
      </c>
      <c r="Z7792">
        <v>0.47070800000000002</v>
      </c>
      <c r="AA7792">
        <v>0.8403273</v>
      </c>
      <c r="AB7792">
        <v>22</v>
      </c>
      <c r="AC7792">
        <v>-0.28080749999999999</v>
      </c>
      <c r="AD7792">
        <v>1.490783</v>
      </c>
      <c r="AE7792">
        <v>2.7250209999999999</v>
      </c>
      <c r="AF7792">
        <v>-0.59318254874603005</v>
      </c>
      <c r="AG7792">
        <v>1.490783</v>
      </c>
      <c r="AH7792">
        <v>2.0285925573457901</v>
      </c>
      <c r="AI7792">
        <v>54.802820101078602</v>
      </c>
      <c r="AJ7792">
        <v>106.299494488821</v>
      </c>
      <c r="AK7792">
        <v>2.5864043096438998</v>
      </c>
      <c r="AL7792">
        <v>62.856618542080099</v>
      </c>
      <c r="AM7792">
        <v>88.104476060924895</v>
      </c>
      <c r="AN7792">
        <v>0.999999998745153</v>
      </c>
    </row>
    <row r="7793" spans="1:40" x14ac:dyDescent="0.25">
      <c r="A7793" t="str">
        <f>"20190304165036473"</f>
        <v>20190304165036473</v>
      </c>
      <c r="B7793" t="str">
        <f>"1551689436462808"</f>
        <v>1551689436462808</v>
      </c>
      <c r="C7793" t="s">
        <v>40</v>
      </c>
      <c r="D7793">
        <v>4.4100070000000002</v>
      </c>
      <c r="E7793">
        <v>0.39449689999999998</v>
      </c>
      <c r="F7793" t="s">
        <v>60</v>
      </c>
      <c r="G7793">
        <v>0</v>
      </c>
      <c r="H7793">
        <v>0</v>
      </c>
      <c r="I7793">
        <v>0</v>
      </c>
      <c r="J7793">
        <v>-186.76150000000001</v>
      </c>
      <c r="K7793">
        <v>1.1085510000000001</v>
      </c>
      <c r="L7793">
        <v>120.4104</v>
      </c>
      <c r="M7793">
        <v>0.1846729</v>
      </c>
      <c r="N7793">
        <v>-1.381138E-2</v>
      </c>
      <c r="O7793">
        <v>0.98270299999999999</v>
      </c>
      <c r="P7793">
        <v>0.19555410000000001</v>
      </c>
      <c r="Q7793">
        <v>0.44108530000000001</v>
      </c>
      <c r="R7793">
        <v>0.87590089999999998</v>
      </c>
      <c r="S7793">
        <v>-0.26669310000000002</v>
      </c>
      <c r="T7793">
        <v>1.4902500000000001</v>
      </c>
      <c r="U7793">
        <v>2.7260589999999998</v>
      </c>
      <c r="V7793">
        <v>3.3609550000000002E-2</v>
      </c>
      <c r="W7793">
        <v>0.4532061</v>
      </c>
      <c r="X7793">
        <v>0.89077189999999995</v>
      </c>
      <c r="Y7793">
        <v>-0.26833269999999998</v>
      </c>
      <c r="Z7793">
        <v>0.47008450000000002</v>
      </c>
      <c r="AA7793">
        <v>0.84084369999999997</v>
      </c>
      <c r="AB7793">
        <v>22</v>
      </c>
      <c r="AC7793">
        <v>-0.26669310000000002</v>
      </c>
      <c r="AD7793">
        <v>1.4902500000000001</v>
      </c>
      <c r="AE7793">
        <v>2.7260589999999998</v>
      </c>
      <c r="AF7793">
        <v>-0.59072114681703902</v>
      </c>
      <c r="AG7793">
        <v>1.4902500000000001</v>
      </c>
      <c r="AH7793">
        <v>2.0292280883940199</v>
      </c>
      <c r="AI7793">
        <v>54.8114574923462</v>
      </c>
      <c r="AJ7793">
        <v>106.230612491107</v>
      </c>
      <c r="AK7793">
        <v>2.5860323220184398</v>
      </c>
      <c r="AL7793">
        <v>63.050428429887603</v>
      </c>
      <c r="AM7793">
        <v>87.839208516862996</v>
      </c>
      <c r="AN7793">
        <v>0.999999974379011</v>
      </c>
    </row>
    <row r="7794" spans="1:40" x14ac:dyDescent="0.25">
      <c r="A7794" t="str">
        <f>"20190304165036492"</f>
        <v>20190304165036492</v>
      </c>
      <c r="B7794" t="str">
        <f>"1551689436483305"</f>
        <v>1551689436483305</v>
      </c>
      <c r="C7794" t="s">
        <v>40</v>
      </c>
      <c r="D7794">
        <v>4.360417</v>
      </c>
      <c r="E7794">
        <v>0.39438529999999999</v>
      </c>
      <c r="F7794" t="s">
        <v>58</v>
      </c>
      <c r="G7794">
        <v>-210.3451</v>
      </c>
      <c r="H7794">
        <v>147.5104</v>
      </c>
      <c r="I7794">
        <v>390.11860000000001</v>
      </c>
      <c r="J7794">
        <v>-186.72219999999999</v>
      </c>
      <c r="K7794">
        <v>1.1084879999999999</v>
      </c>
      <c r="L7794">
        <v>120.5934</v>
      </c>
      <c r="M7794">
        <v>0.18885759999999999</v>
      </c>
      <c r="N7794">
        <v>-1.381422E-2</v>
      </c>
      <c r="O7794">
        <v>0.98190730000000004</v>
      </c>
      <c r="P7794">
        <v>0.20684279999999999</v>
      </c>
      <c r="Q7794">
        <v>0.43730849999999999</v>
      </c>
      <c r="R7794">
        <v>0.87520129999999996</v>
      </c>
      <c r="S7794">
        <v>-0.23886109999999999</v>
      </c>
      <c r="T7794">
        <v>1.482804</v>
      </c>
      <c r="U7794">
        <v>2.7316889999999998</v>
      </c>
      <c r="V7794">
        <v>4.1028630000000003E-2</v>
      </c>
      <c r="W7794">
        <v>0.4493972</v>
      </c>
      <c r="X7794">
        <v>0.8923894</v>
      </c>
      <c r="Y7794">
        <v>-0.26385530000000001</v>
      </c>
      <c r="Z7794">
        <v>0.46754210000000002</v>
      </c>
      <c r="AA7794">
        <v>0.84367329999999996</v>
      </c>
      <c r="AB7794">
        <v>22</v>
      </c>
      <c r="AC7794">
        <v>-23.622900000000001</v>
      </c>
      <c r="AD7794">
        <v>146.40191200000001</v>
      </c>
      <c r="AE7794">
        <v>269.52519999999998</v>
      </c>
      <c r="AF7794">
        <v>-57.3208880050625</v>
      </c>
      <c r="AG7794">
        <v>146.40191200000001</v>
      </c>
      <c r="AH7794">
        <v>201.27800175763201</v>
      </c>
      <c r="AI7794">
        <v>55.025394203203298</v>
      </c>
      <c r="AJ7794">
        <v>105.896140271059</v>
      </c>
      <c r="AK7794">
        <v>255.405634296681</v>
      </c>
      <c r="AL7794">
        <v>63.294984972585702</v>
      </c>
      <c r="AM7794">
        <v>87.3676143172232</v>
      </c>
      <c r="AN7794">
        <v>1.0000000165399301</v>
      </c>
    </row>
    <row r="7795" spans="1:40" x14ac:dyDescent="0.25">
      <c r="A7795" t="str">
        <f>"20190304165036505"</f>
        <v>20190304165036505</v>
      </c>
      <c r="B7795" t="str">
        <f>"1551689436493066"</f>
        <v>1551689436493066</v>
      </c>
      <c r="C7795" t="s">
        <v>40</v>
      </c>
      <c r="D7795">
        <v>4.3838679999999997</v>
      </c>
      <c r="E7795">
        <v>0.39431319999999997</v>
      </c>
      <c r="F7795" t="s">
        <v>58</v>
      </c>
      <c r="G7795">
        <v>-206.83709999999999</v>
      </c>
      <c r="H7795">
        <v>146.5984</v>
      </c>
      <c r="I7795">
        <v>390.11860000000001</v>
      </c>
      <c r="J7795">
        <v>-186.69640000000001</v>
      </c>
      <c r="K7795">
        <v>1.108447</v>
      </c>
      <c r="L7795">
        <v>120.71080000000001</v>
      </c>
      <c r="M7795">
        <v>0.19158910000000001</v>
      </c>
      <c r="N7795">
        <v>-1.381654E-2</v>
      </c>
      <c r="O7795">
        <v>0.98137799999999997</v>
      </c>
      <c r="P7795">
        <v>0.2148583</v>
      </c>
      <c r="Q7795">
        <v>0.43476609999999999</v>
      </c>
      <c r="R7795">
        <v>0.8745366</v>
      </c>
      <c r="S7795">
        <v>-0.2043152</v>
      </c>
      <c r="T7795">
        <v>1.477797</v>
      </c>
      <c r="U7795">
        <v>2.7376710000000002</v>
      </c>
      <c r="V7795">
        <v>4.6539980000000002E-2</v>
      </c>
      <c r="W7795">
        <v>0.44682810000000001</v>
      </c>
      <c r="X7795">
        <v>0.89340849999999905</v>
      </c>
      <c r="Y7795">
        <v>-0.25583260000000002</v>
      </c>
      <c r="Z7795">
        <v>0.46595130000000001</v>
      </c>
      <c r="AA7795">
        <v>0.84701780000000004</v>
      </c>
      <c r="AB7795">
        <v>22</v>
      </c>
      <c r="AC7795">
        <v>-20.140699999999899</v>
      </c>
      <c r="AD7795">
        <v>145.48995300000001</v>
      </c>
      <c r="AE7795">
        <v>269.40780000000001</v>
      </c>
      <c r="AF7795">
        <v>-55.338794575075802</v>
      </c>
      <c r="AG7795">
        <v>145.48995300000001</v>
      </c>
      <c r="AH7795">
        <v>201.97933706598701</v>
      </c>
      <c r="AI7795">
        <v>55.211603975781102</v>
      </c>
      <c r="AJ7795">
        <v>105.322035139335</v>
      </c>
      <c r="AK7795">
        <v>255.000708255056</v>
      </c>
      <c r="AL7795">
        <v>63.459641457638099</v>
      </c>
      <c r="AM7795">
        <v>87.018008740240603</v>
      </c>
      <c r="AN7795">
        <v>1.0000000342801201</v>
      </c>
    </row>
    <row r="7796" spans="1:40" x14ac:dyDescent="0.25">
      <c r="A7796" t="str">
        <f>"20190304165036526"</f>
        <v>20190304165036526</v>
      </c>
      <c r="B7796" t="str">
        <f>"1551689436523321"</f>
        <v>1551689436523321</v>
      </c>
      <c r="C7796" t="s">
        <v>40</v>
      </c>
      <c r="D7796">
        <v>4.3736750000000004</v>
      </c>
      <c r="E7796">
        <v>0.39352860000000001</v>
      </c>
      <c r="F7796" t="s">
        <v>58</v>
      </c>
      <c r="G7796">
        <v>-204.35040000000001</v>
      </c>
      <c r="H7796">
        <v>146.02979999999999</v>
      </c>
      <c r="I7796">
        <v>390.11860000000001</v>
      </c>
      <c r="J7796">
        <v>-186.65209999999999</v>
      </c>
      <c r="K7796">
        <v>1.1083670000000001</v>
      </c>
      <c r="L7796">
        <v>120.9085</v>
      </c>
      <c r="M7796">
        <v>0.19625819999999999</v>
      </c>
      <c r="N7796">
        <v>-1.382098E-2</v>
      </c>
      <c r="O7796">
        <v>0.98045490000000002</v>
      </c>
      <c r="P7796">
        <v>0.23504549999999999</v>
      </c>
      <c r="Q7796">
        <v>0.42760979999999998</v>
      </c>
      <c r="R7796">
        <v>0.87287090000000001</v>
      </c>
      <c r="S7796">
        <v>-0.17964169999999999</v>
      </c>
      <c r="T7796">
        <v>1.474674</v>
      </c>
      <c r="U7796">
        <v>2.741409</v>
      </c>
      <c r="V7796">
        <v>6.2390019999999997E-2</v>
      </c>
      <c r="W7796">
        <v>0.43958809999999898</v>
      </c>
      <c r="X7796">
        <v>0.89603009999999905</v>
      </c>
      <c r="Y7796">
        <v>-0.25278339999999999</v>
      </c>
      <c r="Z7796">
        <v>0.46442559999999999</v>
      </c>
      <c r="AA7796">
        <v>0.84876929999999995</v>
      </c>
      <c r="AB7796">
        <v>22</v>
      </c>
      <c r="AC7796">
        <v>-17.6983</v>
      </c>
      <c r="AD7796">
        <v>144.92143300000001</v>
      </c>
      <c r="AE7796">
        <v>269.21010000000001</v>
      </c>
      <c r="AF7796">
        <v>-54.475333713115099</v>
      </c>
      <c r="AG7796">
        <v>144.92143300000001</v>
      </c>
      <c r="AH7796">
        <v>202.16626141892999</v>
      </c>
      <c r="AI7796">
        <v>55.310752794706197</v>
      </c>
      <c r="AJ7796">
        <v>105.080631457709</v>
      </c>
      <c r="AK7796">
        <v>254.63892275540999</v>
      </c>
      <c r="AL7796">
        <v>63.922398882510002</v>
      </c>
      <c r="AM7796">
        <v>86.016959042389203</v>
      </c>
      <c r="AN7796">
        <v>1.0000000761815999</v>
      </c>
    </row>
    <row r="7797" spans="1:40" x14ac:dyDescent="0.25">
      <c r="A7797" t="str">
        <f>"20190304165036537"</f>
        <v>20190304165036537</v>
      </c>
      <c r="B7797" t="str">
        <f>"1551689436533082"</f>
        <v>1551689436533082</v>
      </c>
      <c r="C7797" t="s">
        <v>40</v>
      </c>
      <c r="D7797">
        <v>4.3805759999999996</v>
      </c>
      <c r="E7797">
        <v>0.39372069999999998</v>
      </c>
      <c r="F7797" t="s">
        <v>58</v>
      </c>
      <c r="G7797">
        <v>-198.66200000000001</v>
      </c>
      <c r="H7797">
        <v>144.75899999999999</v>
      </c>
      <c r="I7797">
        <v>391.87</v>
      </c>
      <c r="J7797">
        <v>-186.62690000000001</v>
      </c>
      <c r="K7797">
        <v>1.1083190000000001</v>
      </c>
      <c r="L7797">
        <v>121.01949999999999</v>
      </c>
      <c r="M7797">
        <v>0.19891739999999999</v>
      </c>
      <c r="N7797">
        <v>-1.38237E-2</v>
      </c>
      <c r="O7797">
        <v>0.97991879999999998</v>
      </c>
      <c r="P7797">
        <v>0.24681330000000001</v>
      </c>
      <c r="Q7797">
        <v>0.42381770000000002</v>
      </c>
      <c r="R7797">
        <v>0.871470999999999</v>
      </c>
      <c r="S7797">
        <v>-0.1220856</v>
      </c>
      <c r="T7797">
        <v>1.460269</v>
      </c>
      <c r="U7797">
        <v>2.7544400000000002</v>
      </c>
      <c r="V7797">
        <v>7.1761199999999997E-2</v>
      </c>
      <c r="W7797">
        <v>0.4357396</v>
      </c>
      <c r="X7797">
        <v>0.89720750000000005</v>
      </c>
      <c r="Y7797">
        <v>-0.23750360000000001</v>
      </c>
      <c r="Z7797">
        <v>0.46014460000000001</v>
      </c>
      <c r="AA7797">
        <v>0.85548760000000001</v>
      </c>
      <c r="AB7797">
        <v>22</v>
      </c>
      <c r="AC7797">
        <v>-12.0351</v>
      </c>
      <c r="AD7797">
        <v>143.65068099999999</v>
      </c>
      <c r="AE7797">
        <v>270.85050000000001</v>
      </c>
      <c r="AF7797">
        <v>-51.280299793028902</v>
      </c>
      <c r="AG7797">
        <v>143.65068099999999</v>
      </c>
      <c r="AH7797">
        <v>205.38381850950199</v>
      </c>
      <c r="AI7797">
        <v>55.839442760647799</v>
      </c>
      <c r="AJ7797">
        <v>104.019003881869</v>
      </c>
      <c r="AK7797">
        <v>255.82748133101501</v>
      </c>
      <c r="AL7797">
        <v>64.167634426529204</v>
      </c>
      <c r="AM7797">
        <v>85.427055933267994</v>
      </c>
      <c r="AN7797">
        <v>0.99999998344492402</v>
      </c>
    </row>
    <row r="7798" spans="1:40" x14ac:dyDescent="0.25">
      <c r="A7798" t="str">
        <f>"20190304165036548"</f>
        <v>20190304165036548</v>
      </c>
      <c r="B7798" t="str">
        <f>"1551689436543817"</f>
        <v>1551689436543817</v>
      </c>
      <c r="C7798" t="s">
        <v>40</v>
      </c>
      <c r="D7798">
        <v>4.1583079999999999</v>
      </c>
      <c r="E7798">
        <v>0.39372069999999998</v>
      </c>
      <c r="F7798" t="s">
        <v>58</v>
      </c>
      <c r="G7798">
        <v>-194.8038</v>
      </c>
      <c r="H7798">
        <v>143.0436</v>
      </c>
      <c r="I7798">
        <v>391.87</v>
      </c>
      <c r="J7798">
        <v>-186.60230000000001</v>
      </c>
      <c r="K7798">
        <v>1.1082700000000001</v>
      </c>
      <c r="L7798">
        <v>121.12560000000001</v>
      </c>
      <c r="M7798">
        <v>0.20149549999999999</v>
      </c>
      <c r="N7798">
        <v>-1.382652E-2</v>
      </c>
      <c r="O7798">
        <v>0.97939189999999998</v>
      </c>
      <c r="P7798">
        <v>0.2610442</v>
      </c>
      <c r="Q7798">
        <v>0.41865239999999998</v>
      </c>
      <c r="R7798">
        <v>0.86981960000000003</v>
      </c>
      <c r="S7798">
        <v>-8.3389279999999996E-2</v>
      </c>
      <c r="T7798">
        <v>1.447454</v>
      </c>
      <c r="U7798">
        <v>2.7621310000000001</v>
      </c>
      <c r="V7798">
        <v>8.365003E-2</v>
      </c>
      <c r="W7798">
        <v>0.4305022</v>
      </c>
      <c r="X7798">
        <v>0.89870490000000003</v>
      </c>
      <c r="Y7798">
        <v>-0.2280143</v>
      </c>
      <c r="Z7798">
        <v>0.45640979999999998</v>
      </c>
      <c r="AA7798">
        <v>0.86005789999999904</v>
      </c>
      <c r="AB7798">
        <v>21</v>
      </c>
      <c r="AC7798">
        <v>-8.2014999999999798</v>
      </c>
      <c r="AD7798">
        <v>141.93532999999999</v>
      </c>
      <c r="AE7798">
        <v>270.74439999999998</v>
      </c>
      <c r="AF7798">
        <v>-49.1082566858612</v>
      </c>
      <c r="AG7798">
        <v>141.93532999999999</v>
      </c>
      <c r="AH7798">
        <v>206.764708764929</v>
      </c>
      <c r="AI7798">
        <v>56.261867242593397</v>
      </c>
      <c r="AJ7798">
        <v>103.360648201091</v>
      </c>
      <c r="AK7798">
        <v>255.556067366007</v>
      </c>
      <c r="AL7798">
        <v>64.500564341290698</v>
      </c>
      <c r="AM7798">
        <v>84.6823209218214</v>
      </c>
      <c r="AN7798">
        <v>0.99999998450392502</v>
      </c>
    </row>
    <row r="7799" spans="1:40" x14ac:dyDescent="0.25">
      <c r="A7799" t="str">
        <f>"20190304165036560"</f>
        <v>20190304165036560</v>
      </c>
      <c r="B7799" t="str">
        <f>"1551689436553577"</f>
        <v>1551689436553577</v>
      </c>
      <c r="C7799" t="s">
        <v>40</v>
      </c>
      <c r="D7799">
        <v>4.5610869999999997</v>
      </c>
      <c r="E7799">
        <v>0.43801200000000001</v>
      </c>
      <c r="F7799" t="s">
        <v>58</v>
      </c>
      <c r="G7799">
        <v>-190.33170000000001</v>
      </c>
      <c r="H7799">
        <v>140.92859999999999</v>
      </c>
      <c r="I7799">
        <v>391.87</v>
      </c>
      <c r="J7799">
        <v>-186.5762</v>
      </c>
      <c r="K7799">
        <v>1.108217</v>
      </c>
      <c r="L7799">
        <v>121.23690000000001</v>
      </c>
      <c r="M7799">
        <v>0.20422380000000001</v>
      </c>
      <c r="N7799">
        <v>-1.382943E-2</v>
      </c>
      <c r="O7799">
        <v>0.97882650000000004</v>
      </c>
      <c r="P7799">
        <v>0.27659450000000002</v>
      </c>
      <c r="Q7799">
        <v>0.4132016</v>
      </c>
      <c r="R7799">
        <v>0.86761739999999998</v>
      </c>
      <c r="S7799">
        <v>-3.8177490000000001E-2</v>
      </c>
      <c r="T7799">
        <v>1.4313070000000001</v>
      </c>
      <c r="U7799">
        <v>2.7715450000000001</v>
      </c>
      <c r="V7799">
        <v>9.679343E-2</v>
      </c>
      <c r="W7799">
        <v>0.42496539999999999</v>
      </c>
      <c r="X7799">
        <v>0.90001969999999998</v>
      </c>
      <c r="Y7799">
        <v>-0.21661250000000001</v>
      </c>
      <c r="Z7799">
        <v>0.45166869999999998</v>
      </c>
      <c r="AA7799">
        <v>0.86549089999999995</v>
      </c>
      <c r="AB7799">
        <v>21</v>
      </c>
      <c r="AC7799">
        <v>-3.7555000000000098</v>
      </c>
      <c r="AD7799">
        <v>139.82038299999999</v>
      </c>
      <c r="AE7799">
        <v>270.63310000000001</v>
      </c>
      <c r="AF7799">
        <v>-46.533159271063397</v>
      </c>
      <c r="AG7799">
        <v>139.82038299999999</v>
      </c>
      <c r="AH7799">
        <v>208.51523857490801</v>
      </c>
      <c r="AI7799">
        <v>56.797110273642197</v>
      </c>
      <c r="AJ7799">
        <v>102.580234945954</v>
      </c>
      <c r="AK7799">
        <v>255.33052918122399</v>
      </c>
      <c r="AL7799">
        <v>64.851526899313399</v>
      </c>
      <c r="AM7799">
        <v>83.861666755832204</v>
      </c>
      <c r="AN7799">
        <v>1.0000000098382</v>
      </c>
    </row>
    <row r="7800" spans="1:40" x14ac:dyDescent="0.25">
      <c r="A7800" t="str">
        <f>"20190304165036571"</f>
        <v>20190304165036571</v>
      </c>
      <c r="B7800" t="str">
        <f>"1551689436563337"</f>
        <v>1551689436563337</v>
      </c>
      <c r="C7800" t="s">
        <v>40</v>
      </c>
      <c r="D7800">
        <v>4.4022269999999999</v>
      </c>
      <c r="E7800">
        <v>0.43801200000000001</v>
      </c>
      <c r="F7800" t="s">
        <v>63</v>
      </c>
      <c r="G7800">
        <v>-161.3314</v>
      </c>
      <c r="H7800">
        <v>100.6679</v>
      </c>
      <c r="I7800">
        <v>314.52839999999998</v>
      </c>
      <c r="J7800">
        <v>-186.55070000000001</v>
      </c>
      <c r="K7800">
        <v>1.1081650000000001</v>
      </c>
      <c r="L7800">
        <v>121.3443</v>
      </c>
      <c r="M7800">
        <v>0.20688719999999999</v>
      </c>
      <c r="N7800">
        <v>-1.3832240000000001E-2</v>
      </c>
      <c r="O7800">
        <v>0.978267</v>
      </c>
      <c r="P7800">
        <v>0.29202889999999998</v>
      </c>
      <c r="Q7800">
        <v>0.40748600000000001</v>
      </c>
      <c r="R7800">
        <v>0.86525969999999996</v>
      </c>
      <c r="S7800">
        <v>0.35090640000000001</v>
      </c>
      <c r="T7800">
        <v>1.383896</v>
      </c>
      <c r="U7800">
        <v>2.6867830000000001</v>
      </c>
      <c r="V7800">
        <v>0.109903</v>
      </c>
      <c r="W7800">
        <v>0.4191607</v>
      </c>
      <c r="X7800">
        <v>0.90123560000000003</v>
      </c>
      <c r="Y7800">
        <v>-9.3123059999999994E-2</v>
      </c>
      <c r="Z7800">
        <v>0.45362330000000001</v>
      </c>
      <c r="AA7800">
        <v>0.88631479999999996</v>
      </c>
      <c r="AB7800">
        <v>21</v>
      </c>
      <c r="AC7800">
        <v>25.2193</v>
      </c>
      <c r="AD7800">
        <v>99.559735000000003</v>
      </c>
      <c r="AE7800">
        <v>193.1841</v>
      </c>
      <c r="AF7800">
        <v>-12.129884156983801</v>
      </c>
      <c r="AG7800">
        <v>99.559735000000003</v>
      </c>
      <c r="AH7800">
        <v>154.004011398458</v>
      </c>
      <c r="AI7800">
        <v>57.199071169972598</v>
      </c>
      <c r="AJ7800">
        <v>94.503514685154002</v>
      </c>
      <c r="AK7800">
        <v>183.78386885074599</v>
      </c>
      <c r="AL7800">
        <v>65.218389274336303</v>
      </c>
      <c r="AM7800">
        <v>83.047279353278697</v>
      </c>
      <c r="AN7800">
        <v>0.99999998427042402</v>
      </c>
    </row>
    <row r="7801" spans="1:40" x14ac:dyDescent="0.25">
      <c r="A7801" t="str">
        <f>"20190304165036687"</f>
        <v>20190304165036687</v>
      </c>
      <c r="B7801" t="str">
        <f>"1551689436682759"</f>
        <v>1551689436682759</v>
      </c>
      <c r="C7801" t="s">
        <v>40</v>
      </c>
      <c r="D7801">
        <v>4.2653980000000002</v>
      </c>
      <c r="E7801">
        <v>0.61667749999999999</v>
      </c>
      <c r="F7801" t="s">
        <v>63</v>
      </c>
      <c r="G7801">
        <v>-157.79689999999999</v>
      </c>
      <c r="H7801">
        <v>99.641419999999997</v>
      </c>
      <c r="I7801">
        <v>315.19</v>
      </c>
      <c r="J7801">
        <v>-186.2764</v>
      </c>
      <c r="K7801">
        <v>1.107734</v>
      </c>
      <c r="L7801">
        <v>122.41589999999999</v>
      </c>
      <c r="M7801">
        <v>0.23515939999999999</v>
      </c>
      <c r="N7801">
        <v>-1.3868419999999999E-2</v>
      </c>
      <c r="O7801">
        <v>0.97185779999999999</v>
      </c>
      <c r="P7801">
        <v>0.43249359999999998</v>
      </c>
      <c r="Q7801">
        <v>0.38079829999999998</v>
      </c>
      <c r="R7801">
        <v>0.81727709999999998</v>
      </c>
      <c r="S7801">
        <v>0.39884950000000002</v>
      </c>
      <c r="T7801">
        <v>1.3667750000000001</v>
      </c>
      <c r="U7801">
        <v>2.6888730000000001</v>
      </c>
      <c r="V7801">
        <v>0.2314717</v>
      </c>
      <c r="W7801">
        <v>0.39124510000000001</v>
      </c>
      <c r="X7801">
        <v>0.89070090000000002</v>
      </c>
      <c r="Y7801">
        <v>-0.1060287</v>
      </c>
      <c r="Z7801">
        <v>0.44424419999999998</v>
      </c>
      <c r="AA7801">
        <v>0.88960949999999905</v>
      </c>
      <c r="AB7801">
        <v>21</v>
      </c>
      <c r="AC7801">
        <v>28.479500000000002</v>
      </c>
      <c r="AD7801">
        <v>98.533686000000003</v>
      </c>
      <c r="AE7801">
        <v>192.7741</v>
      </c>
      <c r="AF7801">
        <v>-14.0611691824025</v>
      </c>
      <c r="AG7801">
        <v>98.533686000000003</v>
      </c>
      <c r="AH7801">
        <v>154.54976247146001</v>
      </c>
      <c r="AI7801">
        <v>57.587282718892702</v>
      </c>
      <c r="AJ7801">
        <v>95.198543598417302</v>
      </c>
      <c r="AK7801">
        <v>183.826637992179</v>
      </c>
      <c r="AL7801">
        <v>66.968004260893295</v>
      </c>
      <c r="AM7801">
        <v>75.432444062008301</v>
      </c>
      <c r="AN7801">
        <v>0.99999998471785401</v>
      </c>
    </row>
    <row r="7802" spans="1:40" x14ac:dyDescent="0.25">
      <c r="A7802" t="str">
        <f>"20190304165036698"</f>
        <v>20190304165036698</v>
      </c>
      <c r="B7802" t="str">
        <f>"1551689436693496"</f>
        <v>1551689436693496</v>
      </c>
      <c r="C7802" t="s">
        <v>40</v>
      </c>
      <c r="D7802">
        <v>4.555669</v>
      </c>
      <c r="E7802">
        <v>0.61167799999999894</v>
      </c>
      <c r="F7802" t="s">
        <v>42</v>
      </c>
      <c r="G7802">
        <v>-166.0625</v>
      </c>
      <c r="H7802" s="1">
        <v>-3.345203E-6</v>
      </c>
      <c r="I7802">
        <v>145.26679999999999</v>
      </c>
      <c r="J7802">
        <v>-186.24879999999999</v>
      </c>
      <c r="K7802">
        <v>1.1076950000000001</v>
      </c>
      <c r="L7802">
        <v>122.5163</v>
      </c>
      <c r="M7802">
        <v>0.2379646</v>
      </c>
      <c r="N7802">
        <v>-1.387236E-2</v>
      </c>
      <c r="O7802">
        <v>0.97117469999999995</v>
      </c>
      <c r="P7802">
        <v>0.44451269999999998</v>
      </c>
      <c r="Q7802">
        <v>0.3786117</v>
      </c>
      <c r="R7802">
        <v>0.81182619999999905</v>
      </c>
      <c r="S7802">
        <v>2.2463069999999998</v>
      </c>
      <c r="T7802">
        <v>-0.1230996</v>
      </c>
      <c r="U7802">
        <v>2.5393520000000001</v>
      </c>
      <c r="V7802">
        <v>0.24186650000000001</v>
      </c>
      <c r="W7802">
        <v>0.38893030000000001</v>
      </c>
      <c r="X7802">
        <v>0.88895100000000005</v>
      </c>
      <c r="Y7802">
        <v>0.46493289999999998</v>
      </c>
      <c r="Z7802">
        <v>-2.4719959999999999E-2</v>
      </c>
      <c r="AA7802">
        <v>0.88500080000000003</v>
      </c>
      <c r="AB7802">
        <v>21</v>
      </c>
      <c r="AC7802">
        <v>20.1862999999999</v>
      </c>
      <c r="AD7802">
        <v>-1.107698345203</v>
      </c>
      <c r="AE7802">
        <v>22.750499999999899</v>
      </c>
      <c r="AF7802">
        <v>14.1731776222265</v>
      </c>
      <c r="AG7802">
        <v>-1.107698345203</v>
      </c>
      <c r="AH7802">
        <v>26.8652912983049</v>
      </c>
      <c r="AI7802">
        <v>92.088524751886993</v>
      </c>
      <c r="AJ7802">
        <v>62.185456007277203</v>
      </c>
      <c r="AK7802">
        <v>30.3948981916032</v>
      </c>
      <c r="AL7802">
        <v>67.112044849245507</v>
      </c>
      <c r="AM7802">
        <v>74.779362745946102</v>
      </c>
      <c r="AN7802">
        <v>1.0000000312406601</v>
      </c>
    </row>
    <row r="7803" spans="1:40" x14ac:dyDescent="0.25">
      <c r="A7803" t="str">
        <f>"20190304165036708"</f>
        <v>20190304165036708</v>
      </c>
      <c r="B7803" t="str">
        <f>"1551689436703255"</f>
        <v>1551689436703255</v>
      </c>
      <c r="C7803" t="s">
        <v>40</v>
      </c>
      <c r="D7803">
        <v>4.6936629999999999</v>
      </c>
      <c r="E7803">
        <v>0.61167799999999894</v>
      </c>
      <c r="F7803" t="s">
        <v>42</v>
      </c>
      <c r="G7803">
        <v>-167.88839999999999</v>
      </c>
      <c r="H7803" s="1">
        <v>-1.9320139999999998E-6</v>
      </c>
      <c r="I7803">
        <v>143.1994</v>
      </c>
      <c r="J7803">
        <v>-186.21969999999999</v>
      </c>
      <c r="K7803">
        <v>1.1076509999999999</v>
      </c>
      <c r="L7803">
        <v>122.6204</v>
      </c>
      <c r="M7803">
        <v>0.24092189999999999</v>
      </c>
      <c r="N7803">
        <v>-1.3876899999999999E-2</v>
      </c>
      <c r="O7803">
        <v>0.97044529999999996</v>
      </c>
      <c r="P7803">
        <v>0.45633570000000001</v>
      </c>
      <c r="Q7803">
        <v>0.37672549999999999</v>
      </c>
      <c r="R7803">
        <v>0.8061239</v>
      </c>
      <c r="S7803">
        <v>2.2451780000000001</v>
      </c>
      <c r="T7803">
        <v>-0.13545309999999999</v>
      </c>
      <c r="U7803">
        <v>2.5292050000000001</v>
      </c>
      <c r="V7803">
        <v>0.2520076</v>
      </c>
      <c r="W7803">
        <v>0.38691209999999998</v>
      </c>
      <c r="X7803">
        <v>0.88701249999999998</v>
      </c>
      <c r="Y7803">
        <v>0.46369519999999997</v>
      </c>
      <c r="Z7803">
        <v>-2.8574539999999999E-2</v>
      </c>
      <c r="AA7803">
        <v>0.88553389999999998</v>
      </c>
      <c r="AB7803">
        <v>21</v>
      </c>
      <c r="AC7803">
        <v>18.331299999999999</v>
      </c>
      <c r="AD7803">
        <v>-1.1076529320139901</v>
      </c>
      <c r="AE7803">
        <v>20.578999999999901</v>
      </c>
      <c r="AF7803">
        <v>12.812131908156401</v>
      </c>
      <c r="AG7803">
        <v>-1.1076529320139901</v>
      </c>
      <c r="AH7803">
        <v>24.350220109197501</v>
      </c>
      <c r="AI7803">
        <v>92.305259824187502</v>
      </c>
      <c r="AJ7803">
        <v>62.248412651986101</v>
      </c>
      <c r="AK7803">
        <v>27.5374442971051</v>
      </c>
      <c r="AL7803">
        <v>67.237502569962402</v>
      </c>
      <c r="AM7803">
        <v>74.139712529479993</v>
      </c>
      <c r="AN7803">
        <v>0.99999998937020895</v>
      </c>
    </row>
    <row r="7804" spans="1:40" x14ac:dyDescent="0.25">
      <c r="A7804" t="str">
        <f>"20190304165036718"</f>
        <v>20190304165036718</v>
      </c>
      <c r="B7804" t="str">
        <f>"1551689436713016"</f>
        <v>1551689436713016</v>
      </c>
      <c r="C7804" t="s">
        <v>40</v>
      </c>
      <c r="D7804">
        <v>4.4750050000000003</v>
      </c>
      <c r="E7804">
        <v>0.58065059999999902</v>
      </c>
      <c r="F7804" t="s">
        <v>42</v>
      </c>
      <c r="G7804">
        <v>-168.60990000000001</v>
      </c>
      <c r="H7804" s="1">
        <v>-1.252735E-6</v>
      </c>
      <c r="I7804">
        <v>141.92830000000001</v>
      </c>
      <c r="J7804">
        <v>-186.19399999999999</v>
      </c>
      <c r="K7804">
        <v>1.107612</v>
      </c>
      <c r="L7804">
        <v>122.7118</v>
      </c>
      <c r="M7804">
        <v>0.2435389</v>
      </c>
      <c r="N7804">
        <v>-1.3880999999999999E-2</v>
      </c>
      <c r="O7804">
        <v>0.96979179999999998</v>
      </c>
      <c r="P7804">
        <v>0.4672885</v>
      </c>
      <c r="Q7804">
        <v>0.37487520000000002</v>
      </c>
      <c r="R7804">
        <v>0.80069349999999995</v>
      </c>
      <c r="S7804">
        <v>2.278778</v>
      </c>
      <c r="T7804">
        <v>-0.1433345</v>
      </c>
      <c r="U7804">
        <v>2.4985200000000001</v>
      </c>
      <c r="V7804">
        <v>0.26155899999999999</v>
      </c>
      <c r="W7804">
        <v>0.38493569999999999</v>
      </c>
      <c r="X7804">
        <v>0.88510529999999998</v>
      </c>
      <c r="Y7804">
        <v>0.47313349999999998</v>
      </c>
      <c r="Z7804">
        <v>-3.1065659999999998E-2</v>
      </c>
      <c r="AA7804">
        <v>0.88044290000000003</v>
      </c>
      <c r="AB7804">
        <v>21</v>
      </c>
      <c r="AC7804">
        <v>17.584099999999999</v>
      </c>
      <c r="AD7804">
        <v>-1.107613252735</v>
      </c>
      <c r="AE7804">
        <v>19.2165</v>
      </c>
      <c r="AF7804">
        <v>12.351808480588801</v>
      </c>
      <c r="AG7804">
        <v>-1.107613252735</v>
      </c>
      <c r="AH7804">
        <v>22.879254729056299</v>
      </c>
      <c r="AI7804">
        <v>92.439304974933407</v>
      </c>
      <c r="AJ7804">
        <v>61.636749501238</v>
      </c>
      <c r="AK7804">
        <v>26.024109529738499</v>
      </c>
      <c r="AL7804">
        <v>67.360251449716202</v>
      </c>
      <c r="AM7804">
        <v>73.536971757066596</v>
      </c>
      <c r="AN7804">
        <v>0.99999999785178995</v>
      </c>
    </row>
    <row r="7805" spans="1:40" x14ac:dyDescent="0.25">
      <c r="A7805" t="str">
        <f>"20190304165036729"</f>
        <v>20190304165036729</v>
      </c>
      <c r="B7805" t="str">
        <f>"1551689436722776"</f>
        <v>1551689436722776</v>
      </c>
      <c r="C7805" t="s">
        <v>40</v>
      </c>
      <c r="D7805">
        <v>4.4921759999999997</v>
      </c>
      <c r="E7805">
        <v>0.58190019999999998</v>
      </c>
      <c r="F7805" t="s">
        <v>48</v>
      </c>
      <c r="G7805">
        <v>-180.1062</v>
      </c>
      <c r="H7805" s="1">
        <v>-5.7059389999999999E-6</v>
      </c>
      <c r="I7805">
        <v>130.43700000000001</v>
      </c>
      <c r="J7805">
        <v>-186.16290000000001</v>
      </c>
      <c r="K7805">
        <v>1.107567</v>
      </c>
      <c r="L7805">
        <v>122.8206</v>
      </c>
      <c r="M7805">
        <v>0.2466921</v>
      </c>
      <c r="N7805">
        <v>-1.3886330000000001E-2</v>
      </c>
      <c r="O7805">
        <v>0.96899440000000003</v>
      </c>
      <c r="P7805">
        <v>0.4780006</v>
      </c>
      <c r="Q7805">
        <v>0.37322119999999998</v>
      </c>
      <c r="R7805">
        <v>0.79512349999999998</v>
      </c>
      <c r="S7805">
        <v>2.1199340000000002</v>
      </c>
      <c r="T7805">
        <v>-0.38570140000000003</v>
      </c>
      <c r="U7805">
        <v>2.6901090000000001</v>
      </c>
      <c r="V7805">
        <v>0.27043840000000002</v>
      </c>
      <c r="W7805">
        <v>0.38315700000000003</v>
      </c>
      <c r="X7805">
        <v>0.88320650000000001</v>
      </c>
      <c r="Y7805">
        <v>0.4024798</v>
      </c>
      <c r="Z7805">
        <v>-0.10162549999999999</v>
      </c>
      <c r="AA7805">
        <v>0.90977039999999998</v>
      </c>
      <c r="AB7805">
        <v>21</v>
      </c>
      <c r="AC7805">
        <v>6.0567000000000002</v>
      </c>
      <c r="AD7805">
        <v>-1.1075727059389999</v>
      </c>
      <c r="AE7805">
        <v>7.6164000000000103</v>
      </c>
      <c r="AF7805">
        <v>3.9393545049898302</v>
      </c>
      <c r="AG7805">
        <v>-1.1075727059389999</v>
      </c>
      <c r="AH7805">
        <v>8.7617395578887702</v>
      </c>
      <c r="AI7805">
        <v>96.576764332578406</v>
      </c>
      <c r="AJ7805">
        <v>65.790900829238097</v>
      </c>
      <c r="AK7805">
        <v>9.6702280890989201</v>
      </c>
      <c r="AL7805">
        <v>67.4706271159327</v>
      </c>
      <c r="AM7805">
        <v>72.975378053952099</v>
      </c>
      <c r="AN7805">
        <v>0.99999996824290405</v>
      </c>
    </row>
    <row r="7806" spans="1:40" x14ac:dyDescent="0.25">
      <c r="A7806" t="str">
        <f>"20190304165036741"</f>
        <v>20190304165036741</v>
      </c>
      <c r="B7806" t="str">
        <f>"1551689436733512"</f>
        <v>1551689436733512</v>
      </c>
      <c r="C7806" t="s">
        <v>40</v>
      </c>
      <c r="D7806">
        <v>4.4713029999999998</v>
      </c>
      <c r="E7806">
        <v>0.58220050000000001</v>
      </c>
      <c r="F7806" t="s">
        <v>48</v>
      </c>
      <c r="G7806">
        <v>-179.6155</v>
      </c>
      <c r="H7806" s="1">
        <v>-5.6496320000000001E-6</v>
      </c>
      <c r="I7806">
        <v>130.84809999999999</v>
      </c>
      <c r="J7806">
        <v>-186.1336</v>
      </c>
      <c r="K7806">
        <v>1.107526</v>
      </c>
      <c r="L7806">
        <v>122.9217</v>
      </c>
      <c r="M7806">
        <v>0.2496602</v>
      </c>
      <c r="N7806">
        <v>-1.3891540000000001E-2</v>
      </c>
      <c r="O7806">
        <v>0.96823389999999998</v>
      </c>
      <c r="P7806">
        <v>0.48814649999999998</v>
      </c>
      <c r="Q7806">
        <v>0.37151469999999998</v>
      </c>
      <c r="R7806">
        <v>0.78974040000000001</v>
      </c>
      <c r="S7806">
        <v>2.1586910000000001</v>
      </c>
      <c r="T7806">
        <v>-0.36516890000000002</v>
      </c>
      <c r="U7806">
        <v>2.6466980000000002</v>
      </c>
      <c r="V7806">
        <v>0.27890280000000001</v>
      </c>
      <c r="W7806">
        <v>0.38132929999999998</v>
      </c>
      <c r="X7806">
        <v>0.88136329999999996</v>
      </c>
      <c r="Y7806">
        <v>0.4152651</v>
      </c>
      <c r="Z7806">
        <v>-9.6123210000000001E-2</v>
      </c>
      <c r="AA7806">
        <v>0.90460779999999996</v>
      </c>
      <c r="AB7806">
        <v>21</v>
      </c>
      <c r="AC7806">
        <v>6.5180999999999996</v>
      </c>
      <c r="AD7806">
        <v>-1.107531649632</v>
      </c>
      <c r="AE7806">
        <v>7.9263999999999797</v>
      </c>
      <c r="AF7806">
        <v>4.2826747023305902</v>
      </c>
      <c r="AG7806">
        <v>-1.107531649632</v>
      </c>
      <c r="AH7806">
        <v>9.1957106391797208</v>
      </c>
      <c r="AI7806">
        <v>96.230877937395803</v>
      </c>
      <c r="AJ7806">
        <v>65.027415300462394</v>
      </c>
      <c r="AK7806">
        <v>10.2043629453504</v>
      </c>
      <c r="AL7806">
        <v>67.5839539778638</v>
      </c>
      <c r="AM7806">
        <v>72.440297388444606</v>
      </c>
      <c r="AN7806">
        <v>1.0000000367366</v>
      </c>
    </row>
    <row r="7807" spans="1:40" x14ac:dyDescent="0.25">
      <c r="A7807" t="str">
        <f>"20190304165036753"</f>
        <v>20190304165036753</v>
      </c>
      <c r="B7807" t="str">
        <f>"1551689436743272"</f>
        <v>1551689436743272</v>
      </c>
      <c r="C7807" t="s">
        <v>40</v>
      </c>
      <c r="D7807">
        <v>4.4803730000000002</v>
      </c>
      <c r="E7807">
        <v>0.58166899999999999</v>
      </c>
      <c r="F7807" t="s">
        <v>48</v>
      </c>
      <c r="G7807">
        <v>-179.2073</v>
      </c>
      <c r="H7807" s="1">
        <v>-5.5128639999999899E-6</v>
      </c>
      <c r="I7807">
        <v>131.18360000000001</v>
      </c>
      <c r="J7807">
        <v>-186.10249999999999</v>
      </c>
      <c r="K7807">
        <v>1.1074729999999999</v>
      </c>
      <c r="L7807">
        <v>123.0277</v>
      </c>
      <c r="M7807">
        <v>0.25280249999999999</v>
      </c>
      <c r="N7807">
        <v>-1.389715E-2</v>
      </c>
      <c r="O7807">
        <v>0.96741809999999995</v>
      </c>
      <c r="P7807">
        <v>0.4980019</v>
      </c>
      <c r="Q7807">
        <v>0.37007709999999999</v>
      </c>
      <c r="R7807">
        <v>0.78424300000000002</v>
      </c>
      <c r="S7807">
        <v>2.1885530000000002</v>
      </c>
      <c r="T7807">
        <v>-0.34995720000000002</v>
      </c>
      <c r="U7807">
        <v>2.6105960000000001</v>
      </c>
      <c r="V7807">
        <v>0.286972</v>
      </c>
      <c r="W7807">
        <v>0.37977050000000001</v>
      </c>
      <c r="X7807">
        <v>0.87944389999999995</v>
      </c>
      <c r="Y7807">
        <v>0.42475380000000001</v>
      </c>
      <c r="Z7807">
        <v>-9.2063439999999996E-2</v>
      </c>
      <c r="AA7807">
        <v>0.90061559999999896</v>
      </c>
      <c r="AB7807">
        <v>21</v>
      </c>
      <c r="AC7807">
        <v>6.8951999999999796</v>
      </c>
      <c r="AD7807">
        <v>-1.1074785128639999</v>
      </c>
      <c r="AE7807">
        <v>8.1559000000000097</v>
      </c>
      <c r="AF7807">
        <v>4.5601196889907003</v>
      </c>
      <c r="AG7807">
        <v>-1.1074785128639999</v>
      </c>
      <c r="AH7807">
        <v>9.5317251845645998</v>
      </c>
      <c r="AI7807">
        <v>95.983409872740694</v>
      </c>
      <c r="AJ7807">
        <v>64.432851174085101</v>
      </c>
      <c r="AK7807">
        <v>10.6242639852574</v>
      </c>
      <c r="AL7807">
        <v>67.680533957246297</v>
      </c>
      <c r="AM7807">
        <v>71.927938722222507</v>
      </c>
      <c r="AN7807">
        <v>1.0000000673507199</v>
      </c>
    </row>
    <row r="7808" spans="1:40" x14ac:dyDescent="0.25">
      <c r="A7808" t="str">
        <f>"20190304165036763"</f>
        <v>20190304165036763</v>
      </c>
      <c r="B7808" t="str">
        <f>"1551689436753032"</f>
        <v>1551689436753032</v>
      </c>
      <c r="C7808" t="s">
        <v>40</v>
      </c>
      <c r="D7808">
        <v>4.4968519999999996</v>
      </c>
      <c r="E7808">
        <v>0.58105379999999995</v>
      </c>
      <c r="F7808" t="s">
        <v>48</v>
      </c>
      <c r="G7808">
        <v>-178.96780000000001</v>
      </c>
      <c r="H7808" s="1">
        <v>-5.4144430000000003E-6</v>
      </c>
      <c r="I7808">
        <v>131.34960000000001</v>
      </c>
      <c r="J7808">
        <v>-186.07259999999999</v>
      </c>
      <c r="K7808">
        <v>1.107426</v>
      </c>
      <c r="L7808">
        <v>123.1283</v>
      </c>
      <c r="M7808">
        <v>0.25583699999999998</v>
      </c>
      <c r="N7808">
        <v>-1.3902940000000001E-2</v>
      </c>
      <c r="O7808">
        <v>0.96662000000000003</v>
      </c>
      <c r="P7808">
        <v>0.50700420000000002</v>
      </c>
      <c r="Q7808">
        <v>0.36886089999999999</v>
      </c>
      <c r="R7808">
        <v>0.77903040000000001</v>
      </c>
      <c r="S7808">
        <v>2.2135470000000002</v>
      </c>
      <c r="T7808">
        <v>-0.3435938</v>
      </c>
      <c r="U7808">
        <v>2.5818479999999999</v>
      </c>
      <c r="V7808">
        <v>0.29425709999999999</v>
      </c>
      <c r="W7808">
        <v>0.37843919999999998</v>
      </c>
      <c r="X7808">
        <v>0.87760839999999996</v>
      </c>
      <c r="Y7808">
        <v>0.43196299999999999</v>
      </c>
      <c r="Z7808">
        <v>-9.0475639999999996E-2</v>
      </c>
      <c r="AA7808">
        <v>0.89734169999999902</v>
      </c>
      <c r="AB7808">
        <v>21</v>
      </c>
      <c r="AC7808">
        <v>7.1047999999999796</v>
      </c>
      <c r="AD7808">
        <v>-1.107431414443</v>
      </c>
      <c r="AE7808">
        <v>8.22130000000001</v>
      </c>
      <c r="AF7808">
        <v>4.7158049973213103</v>
      </c>
      <c r="AG7808">
        <v>-1.107431414443</v>
      </c>
      <c r="AH7808">
        <v>9.6650931590487499</v>
      </c>
      <c r="AI7808">
        <v>95.879402746790603</v>
      </c>
      <c r="AJ7808">
        <v>63.991265230790901</v>
      </c>
      <c r="AK7808">
        <v>10.811070570648701</v>
      </c>
      <c r="AL7808">
        <v>67.762963106182895</v>
      </c>
      <c r="AM7808">
        <v>71.463990788964196</v>
      </c>
      <c r="AN7808">
        <v>0.99999998637380405</v>
      </c>
    </row>
    <row r="7809" spans="1:40" x14ac:dyDescent="0.25">
      <c r="A7809" t="str">
        <f>"20190304165036775"</f>
        <v>20190304165036775</v>
      </c>
      <c r="B7809" t="str">
        <f>"1551689436762792"</f>
        <v>1551689436762792</v>
      </c>
      <c r="C7809" t="s">
        <v>40</v>
      </c>
      <c r="D7809">
        <v>4.5031699999999999</v>
      </c>
      <c r="E7809">
        <v>0.58038269999999903</v>
      </c>
      <c r="F7809" t="s">
        <v>48</v>
      </c>
      <c r="G7809">
        <v>-178.69479999999999</v>
      </c>
      <c r="H7809" s="1">
        <v>-5.3097689999999997E-6</v>
      </c>
      <c r="I7809">
        <v>131.56440000000001</v>
      </c>
      <c r="J7809">
        <v>-186.04089999999999</v>
      </c>
      <c r="K7809">
        <v>1.1073770000000001</v>
      </c>
      <c r="L7809">
        <v>123.23399999999999</v>
      </c>
      <c r="M7809">
        <v>0.2590421</v>
      </c>
      <c r="N7809">
        <v>-1.390893E-2</v>
      </c>
      <c r="O7809">
        <v>0.96576589999999995</v>
      </c>
      <c r="P7809">
        <v>0.51530299999999996</v>
      </c>
      <c r="Q7809">
        <v>0.3674808</v>
      </c>
      <c r="R7809">
        <v>0.77422270000000004</v>
      </c>
      <c r="S7809">
        <v>2.234756</v>
      </c>
      <c r="T7809">
        <v>-0.335447099999999</v>
      </c>
      <c r="U7809">
        <v>2.5553590000000002</v>
      </c>
      <c r="V7809">
        <v>0.30061529999999997</v>
      </c>
      <c r="W7809">
        <v>0.37695309999999999</v>
      </c>
      <c r="X7809">
        <v>0.87609179999999998</v>
      </c>
      <c r="Y7809">
        <v>0.43791059999999998</v>
      </c>
      <c r="Z7809">
        <v>-8.8338449999999999E-2</v>
      </c>
      <c r="AA7809">
        <v>0.89466789999999996</v>
      </c>
      <c r="AB7809">
        <v>21</v>
      </c>
      <c r="AC7809">
        <v>7.3460999999999999</v>
      </c>
      <c r="AD7809">
        <v>-1.1073823097689901</v>
      </c>
      <c r="AE7809">
        <v>8.3304000000000098</v>
      </c>
      <c r="AF7809">
        <v>4.8885701139064199</v>
      </c>
      <c r="AG7809">
        <v>-1.1073823097689901</v>
      </c>
      <c r="AH7809">
        <v>9.8511995458970993</v>
      </c>
      <c r="AI7809">
        <v>95.749978082904804</v>
      </c>
      <c r="AJ7809">
        <v>63.607502962432498</v>
      </c>
      <c r="AK7809">
        <v>11.0530785680574</v>
      </c>
      <c r="AL7809">
        <v>67.854922583103104</v>
      </c>
      <c r="AM7809">
        <v>71.061255249754893</v>
      </c>
      <c r="AN7809">
        <v>1.00000002011046</v>
      </c>
    </row>
    <row r="7810" spans="1:40" x14ac:dyDescent="0.25">
      <c r="A7810" t="str">
        <f>"20190304165036786"</f>
        <v>20190304165036786</v>
      </c>
      <c r="B7810" t="str">
        <f>"1551689436783288"</f>
        <v>1551689436783288</v>
      </c>
      <c r="C7810" t="s">
        <v>40</v>
      </c>
      <c r="D7810">
        <v>4.6193730000000004</v>
      </c>
      <c r="E7810">
        <v>0.57838449999999997</v>
      </c>
      <c r="F7810" t="s">
        <v>48</v>
      </c>
      <c r="G7810">
        <v>-178.4545</v>
      </c>
      <c r="H7810" s="1">
        <v>-5.2176469999999899E-6</v>
      </c>
      <c r="I7810">
        <v>131.75370000000001</v>
      </c>
      <c r="J7810">
        <v>-186.01060000000001</v>
      </c>
      <c r="K7810">
        <v>1.107324</v>
      </c>
      <c r="L7810">
        <v>123.3327</v>
      </c>
      <c r="M7810">
        <v>0.26211420000000002</v>
      </c>
      <c r="N7810">
        <v>-1.391541E-2</v>
      </c>
      <c r="O7810">
        <v>0.96493660000000003</v>
      </c>
      <c r="P7810">
        <v>0.52257169999999997</v>
      </c>
      <c r="Q7810">
        <v>0.36621530000000002</v>
      </c>
      <c r="R7810">
        <v>0.76993849999999997</v>
      </c>
      <c r="S7810">
        <v>2.2537229999999999</v>
      </c>
      <c r="T7810">
        <v>-0.32897530000000003</v>
      </c>
      <c r="U7810">
        <v>2.5309910000000002</v>
      </c>
      <c r="V7810">
        <v>0.30597679999999999</v>
      </c>
      <c r="W7810">
        <v>0.37559229999999999</v>
      </c>
      <c r="X7810">
        <v>0.87481919999999902</v>
      </c>
      <c r="Y7810">
        <v>0.44315080000000001</v>
      </c>
      <c r="Z7810">
        <v>-8.6666499999999994E-2</v>
      </c>
      <c r="AA7810">
        <v>0.89224789999999998</v>
      </c>
      <c r="AB7810">
        <v>21</v>
      </c>
      <c r="AC7810">
        <v>7.5561000000000096</v>
      </c>
      <c r="AD7810">
        <v>-1.107329217647</v>
      </c>
      <c r="AE7810">
        <v>8.4209999999999994</v>
      </c>
      <c r="AF7810">
        <v>5.0361448584074404</v>
      </c>
      <c r="AG7810">
        <v>-1.107329217647</v>
      </c>
      <c r="AH7810">
        <v>10.011371977723099</v>
      </c>
      <c r="AI7810">
        <v>95.643049512387904</v>
      </c>
      <c r="AJ7810">
        <v>63.295664016727699</v>
      </c>
      <c r="AK7810">
        <v>11.261283315300201</v>
      </c>
      <c r="AL7810">
        <v>67.939074804555503</v>
      </c>
      <c r="AM7810">
        <v>70.722202883705705</v>
      </c>
      <c r="AN7810">
        <v>1.00000000532308</v>
      </c>
    </row>
    <row r="7811" spans="1:40" x14ac:dyDescent="0.25">
      <c r="A7811" t="str">
        <f>"20190304165036797"</f>
        <v>20190304165036797</v>
      </c>
      <c r="B7811" t="str">
        <f>"1551689436793048"</f>
        <v>1551689436793048</v>
      </c>
      <c r="C7811" t="s">
        <v>40</v>
      </c>
      <c r="D7811">
        <v>4.6139519999999896</v>
      </c>
      <c r="E7811">
        <v>0.5772659</v>
      </c>
      <c r="F7811" t="s">
        <v>48</v>
      </c>
      <c r="G7811">
        <v>-178.16739999999999</v>
      </c>
      <c r="H7811" s="1">
        <v>-5.1382570000000003E-6</v>
      </c>
      <c r="I7811">
        <v>132.06059999999999</v>
      </c>
      <c r="J7811">
        <v>-185.9813</v>
      </c>
      <c r="K7811">
        <v>1.1072709999999999</v>
      </c>
      <c r="L7811">
        <v>123.428</v>
      </c>
      <c r="M7811">
        <v>0.26508559999999998</v>
      </c>
      <c r="N7811">
        <v>-1.392153E-2</v>
      </c>
      <c r="O7811">
        <v>0.96412439999999999</v>
      </c>
      <c r="P7811">
        <v>0.52981869999999998</v>
      </c>
      <c r="Q7811">
        <v>0.36484699999999998</v>
      </c>
      <c r="R7811">
        <v>0.76562319999999995</v>
      </c>
      <c r="S7811">
        <v>2.2596280000000002</v>
      </c>
      <c r="T7811">
        <v>-0.31902160000000002</v>
      </c>
      <c r="U7811">
        <v>2.5144959999999998</v>
      </c>
      <c r="V7811">
        <v>0.31142370000000003</v>
      </c>
      <c r="W7811">
        <v>0.37412689999999998</v>
      </c>
      <c r="X7811">
        <v>0.87352410000000003</v>
      </c>
      <c r="Y7811">
        <v>0.44461479999999998</v>
      </c>
      <c r="Z7811">
        <v>-8.3952499999999999E-2</v>
      </c>
      <c r="AA7811">
        <v>0.89177890000000004</v>
      </c>
      <c r="AB7811">
        <v>21</v>
      </c>
      <c r="AC7811">
        <v>7.8139000000000101</v>
      </c>
      <c r="AD7811">
        <v>-1.107276138257</v>
      </c>
      <c r="AE7811">
        <v>8.6325999999999894</v>
      </c>
      <c r="AF7811">
        <v>5.1986893810620298</v>
      </c>
      <c r="AG7811">
        <v>-1.107276138257</v>
      </c>
      <c r="AH7811">
        <v>10.302096368622101</v>
      </c>
      <c r="AI7811">
        <v>95.481062688356403</v>
      </c>
      <c r="AJ7811">
        <v>63.223373458186103</v>
      </c>
      <c r="AK7811">
        <v>11.592481240679099</v>
      </c>
      <c r="AL7811">
        <v>68.029639925947095</v>
      </c>
      <c r="AM7811">
        <v>70.378129768039798</v>
      </c>
      <c r="AN7811">
        <v>1.00000000575305</v>
      </c>
    </row>
    <row r="7812" spans="1:40" x14ac:dyDescent="0.25">
      <c r="A7812" t="str">
        <f>"20190304165036808"</f>
        <v>20190304165036808</v>
      </c>
      <c r="B7812" t="str">
        <f>"1551689436803784"</f>
        <v>1551689436803784</v>
      </c>
      <c r="C7812" t="s">
        <v>40</v>
      </c>
      <c r="D7812">
        <v>4.5657480000000001</v>
      </c>
      <c r="E7812">
        <v>0.57667539999999995</v>
      </c>
      <c r="F7812" t="s">
        <v>48</v>
      </c>
      <c r="G7812">
        <v>-178.124</v>
      </c>
      <c r="H7812" s="1">
        <v>-5.1114629999999997E-6</v>
      </c>
      <c r="I7812">
        <v>132.06790000000001</v>
      </c>
      <c r="J7812">
        <v>-185.94730000000001</v>
      </c>
      <c r="K7812">
        <v>1.1072169999999999</v>
      </c>
      <c r="L7812">
        <v>123.536</v>
      </c>
      <c r="M7812">
        <v>0.26852579999999998</v>
      </c>
      <c r="N7812">
        <v>-1.392937E-2</v>
      </c>
      <c r="O7812">
        <v>0.96317180000000002</v>
      </c>
      <c r="P7812">
        <v>0.53598979999999996</v>
      </c>
      <c r="Q7812">
        <v>0.36338589999999998</v>
      </c>
      <c r="R7812">
        <v>0.76201430000000003</v>
      </c>
      <c r="S7812">
        <v>2.2722319999999998</v>
      </c>
      <c r="T7812">
        <v>-0.32021260000000001</v>
      </c>
      <c r="U7812">
        <v>2.4985810000000002</v>
      </c>
      <c r="V7812">
        <v>0.31523139999999999</v>
      </c>
      <c r="W7812">
        <v>0.37258740000000001</v>
      </c>
      <c r="X7812">
        <v>0.87281600000000004</v>
      </c>
      <c r="Y7812">
        <v>0.44667240000000002</v>
      </c>
      <c r="Z7812">
        <v>-8.4445160000000005E-2</v>
      </c>
      <c r="AA7812">
        <v>0.89070360000000004</v>
      </c>
      <c r="AB7812">
        <v>21</v>
      </c>
      <c r="AC7812">
        <v>7.8232999999999802</v>
      </c>
      <c r="AD7812">
        <v>-1.1072221114630001</v>
      </c>
      <c r="AE7812">
        <v>8.5319000000000091</v>
      </c>
      <c r="AF7812">
        <v>5.1971070704962097</v>
      </c>
      <c r="AG7812">
        <v>-1.1072221114630001</v>
      </c>
      <c r="AH7812">
        <v>10.2258877140954</v>
      </c>
      <c r="AI7812">
        <v>95.513421572709603</v>
      </c>
      <c r="AJ7812">
        <v>63.058938079111897</v>
      </c>
      <c r="AK7812">
        <v>11.524089649408401</v>
      </c>
      <c r="AL7812">
        <v>68.124722021065693</v>
      </c>
      <c r="AM7812">
        <v>70.142007253385003</v>
      </c>
      <c r="AN7812">
        <v>0.99999998802036005</v>
      </c>
    </row>
    <row r="7813" spans="1:40" x14ac:dyDescent="0.25">
      <c r="A7813" t="str">
        <f>"20190304165036819"</f>
        <v>20190304165036819</v>
      </c>
      <c r="B7813" t="str">
        <f>"1551689436803784"</f>
        <v>1551689436803784</v>
      </c>
      <c r="C7813" t="s">
        <v>40</v>
      </c>
      <c r="D7813">
        <v>4.5657480000000001</v>
      </c>
      <c r="E7813">
        <v>0.57667539999999995</v>
      </c>
      <c r="F7813" t="s">
        <v>48</v>
      </c>
      <c r="G7813">
        <v>-178.00980000000001</v>
      </c>
      <c r="H7813" s="1">
        <v>-5.0695689999999999E-6</v>
      </c>
      <c r="I7813">
        <v>132.16290000000001</v>
      </c>
      <c r="J7813">
        <v>-185.91669999999999</v>
      </c>
      <c r="K7813">
        <v>1.1071629999999999</v>
      </c>
      <c r="L7813">
        <v>123.6328</v>
      </c>
      <c r="M7813">
        <v>0.27163490000000001</v>
      </c>
      <c r="N7813">
        <v>-1.3936469999999999E-2</v>
      </c>
      <c r="O7813">
        <v>0.96229949999999997</v>
      </c>
      <c r="P7813">
        <v>0.54171230000000004</v>
      </c>
      <c r="Q7813">
        <v>0.36206300000000002</v>
      </c>
      <c r="R7813">
        <v>0.75858959999999998</v>
      </c>
      <c r="S7813">
        <v>2.2839809999999998</v>
      </c>
      <c r="T7813">
        <v>-0.31859530000000003</v>
      </c>
      <c r="U7813">
        <v>2.4823300000000001</v>
      </c>
      <c r="V7813">
        <v>0.31886199999999998</v>
      </c>
      <c r="W7813">
        <v>0.37118960000000001</v>
      </c>
      <c r="X7813">
        <v>0.87209249999999905</v>
      </c>
      <c r="Y7813">
        <v>0.44898559999999998</v>
      </c>
      <c r="Z7813">
        <v>-8.4117890000000001E-2</v>
      </c>
      <c r="AA7813">
        <v>0.88957079999999999</v>
      </c>
      <c r="AB7813">
        <v>21</v>
      </c>
      <c r="AC7813">
        <v>7.9068999999999701</v>
      </c>
      <c r="AD7813">
        <v>-1.1071680695689901</v>
      </c>
      <c r="AE7813">
        <v>8.5300999999999991</v>
      </c>
      <c r="AF7813">
        <v>5.2447230851248099</v>
      </c>
      <c r="AG7813">
        <v>-1.1071680695689901</v>
      </c>
      <c r="AH7813">
        <v>10.264299072488701</v>
      </c>
      <c r="AI7813">
        <v>95.486607711736994</v>
      </c>
      <c r="AJ7813">
        <v>62.9344448238136</v>
      </c>
      <c r="AK7813">
        <v>11.579670842619301</v>
      </c>
      <c r="AL7813">
        <v>68.210998546691798</v>
      </c>
      <c r="AM7813">
        <v>69.916139990006997</v>
      </c>
      <c r="AN7813">
        <v>1.0000000113742</v>
      </c>
    </row>
    <row r="7814" spans="1:40" x14ac:dyDescent="0.25">
      <c r="A7814" t="str">
        <f>"20190304165036832"</f>
        <v>20190304165036832</v>
      </c>
      <c r="B7814" t="str">
        <f>"1551689436823304"</f>
        <v>1551689436823304</v>
      </c>
      <c r="C7814" t="s">
        <v>40</v>
      </c>
      <c r="D7814">
        <v>4.5479770000000004</v>
      </c>
      <c r="E7814">
        <v>0.57573619999999903</v>
      </c>
      <c r="F7814" t="s">
        <v>48</v>
      </c>
      <c r="G7814">
        <v>-178.06880000000001</v>
      </c>
      <c r="H7814" s="1">
        <v>-5.0703319999999996E-6</v>
      </c>
      <c r="I7814">
        <v>132.05879999999999</v>
      </c>
      <c r="J7814">
        <v>-185.87780000000001</v>
      </c>
      <c r="K7814">
        <v>1.1070979999999999</v>
      </c>
      <c r="L7814">
        <v>123.7535</v>
      </c>
      <c r="M7814">
        <v>0.27557399999999999</v>
      </c>
      <c r="N7814">
        <v>-1.394576E-2</v>
      </c>
      <c r="O7814">
        <v>0.96117870000000005</v>
      </c>
      <c r="P7814">
        <v>0.54807939999999999</v>
      </c>
      <c r="Q7814">
        <v>0.36097600000000002</v>
      </c>
      <c r="R7814">
        <v>0.75452330000000001</v>
      </c>
      <c r="S7814">
        <v>2.2986599999999999</v>
      </c>
      <c r="T7814">
        <v>-0.324293099999999</v>
      </c>
      <c r="U7814">
        <v>2.4680019999999998</v>
      </c>
      <c r="V7814">
        <v>0.32255060000000002</v>
      </c>
      <c r="W7814">
        <v>0.37001689999999998</v>
      </c>
      <c r="X7814">
        <v>0.87123390000000001</v>
      </c>
      <c r="Y7814">
        <v>0.45062669999999999</v>
      </c>
      <c r="Z7814">
        <v>-8.5880910000000005E-2</v>
      </c>
      <c r="AA7814">
        <v>0.88857189999999997</v>
      </c>
      <c r="AB7814">
        <v>21</v>
      </c>
      <c r="AC7814">
        <v>7.8089999999999904</v>
      </c>
      <c r="AD7814">
        <v>-1.1071030703319999</v>
      </c>
      <c r="AE7814">
        <v>8.3052999999999795</v>
      </c>
      <c r="AF7814">
        <v>5.16887787908533</v>
      </c>
      <c r="AG7814">
        <v>-1.1071030703319999</v>
      </c>
      <c r="AH7814">
        <v>10.041119674383401</v>
      </c>
      <c r="AI7814">
        <v>95.598861073104501</v>
      </c>
      <c r="AJ7814">
        <v>62.761900825320502</v>
      </c>
      <c r="AK7814">
        <v>11.347557448743199</v>
      </c>
      <c r="AL7814">
        <v>68.283339355150503</v>
      </c>
      <c r="AM7814">
        <v>69.684301882485997</v>
      </c>
      <c r="AN7814">
        <v>0.99999995217758897</v>
      </c>
    </row>
    <row r="7815" spans="1:40" x14ac:dyDescent="0.25">
      <c r="A7815" t="str">
        <f>"20190304165036843"</f>
        <v>20190304165036843</v>
      </c>
      <c r="B7815" t="str">
        <f>"1551689436833064"</f>
        <v>1551689436833064</v>
      </c>
      <c r="C7815" t="s">
        <v>40</v>
      </c>
      <c r="D7815">
        <v>4.4645979999999996</v>
      </c>
      <c r="E7815">
        <v>0.5626698</v>
      </c>
      <c r="F7815" t="s">
        <v>48</v>
      </c>
      <c r="G7815">
        <v>-177.97380000000001</v>
      </c>
      <c r="H7815" s="1">
        <v>-5.0402769999999901E-6</v>
      </c>
      <c r="I7815">
        <v>132.15049999999999</v>
      </c>
      <c r="J7815">
        <v>-185.8451</v>
      </c>
      <c r="K7815">
        <v>1.1070439999999999</v>
      </c>
      <c r="L7815">
        <v>123.8533</v>
      </c>
      <c r="M7815">
        <v>0.27889520000000001</v>
      </c>
      <c r="N7815">
        <v>-1.395388E-2</v>
      </c>
      <c r="O7815">
        <v>0.96022019999999997</v>
      </c>
      <c r="P7815">
        <v>0.55404699999999996</v>
      </c>
      <c r="Q7815">
        <v>0.36001699999999998</v>
      </c>
      <c r="R7815">
        <v>0.75061299999999997</v>
      </c>
      <c r="S7815">
        <v>2.3092959999999998</v>
      </c>
      <c r="T7815">
        <v>-0.32345659999999998</v>
      </c>
      <c r="U7815">
        <v>2.4532929999999999</v>
      </c>
      <c r="V7815">
        <v>0.32637650000000001</v>
      </c>
      <c r="W7815">
        <v>0.36897340000000001</v>
      </c>
      <c r="X7815">
        <v>0.87025110000000006</v>
      </c>
      <c r="Y7815">
        <v>0.45224619999999999</v>
      </c>
      <c r="Z7815">
        <v>-8.5760439999999993E-2</v>
      </c>
      <c r="AA7815">
        <v>0.88776039999999901</v>
      </c>
      <c r="AB7815">
        <v>21</v>
      </c>
      <c r="AC7815">
        <v>7.87129999999999</v>
      </c>
      <c r="AD7815">
        <v>-1.1070490402769999</v>
      </c>
      <c r="AE7815">
        <v>8.2971999999999895</v>
      </c>
      <c r="AF7815">
        <v>5.1959581571684597</v>
      </c>
      <c r="AG7815">
        <v>-1.1070490402769999</v>
      </c>
      <c r="AH7815">
        <v>10.069052533835301</v>
      </c>
      <c r="AI7815">
        <v>95.580307493232795</v>
      </c>
      <c r="AJ7815">
        <v>62.704796284153304</v>
      </c>
      <c r="AK7815">
        <v>11.384610563289399</v>
      </c>
      <c r="AL7815">
        <v>68.347681489786098</v>
      </c>
      <c r="AM7815">
        <v>69.4420882447141</v>
      </c>
      <c r="AN7815">
        <v>0.99999998335550899</v>
      </c>
    </row>
    <row r="7816" spans="1:40" x14ac:dyDescent="0.25">
      <c r="A7816" t="str">
        <f>"20190304165036858"</f>
        <v>20190304165036858</v>
      </c>
      <c r="B7816" t="str">
        <f>"1551689436853560"</f>
        <v>1551689436853560</v>
      </c>
      <c r="C7816" t="s">
        <v>40</v>
      </c>
      <c r="D7816">
        <v>4.5618860000000003</v>
      </c>
      <c r="E7816">
        <v>0.56334629999999997</v>
      </c>
      <c r="F7816" t="s">
        <v>48</v>
      </c>
      <c r="G7816">
        <v>-173.1711</v>
      </c>
      <c r="H7816" s="1">
        <v>-4.3369799999999996E-6</v>
      </c>
      <c r="I7816">
        <v>137.8064</v>
      </c>
      <c r="J7816">
        <v>-185.803</v>
      </c>
      <c r="K7816">
        <v>1.1069770000000001</v>
      </c>
      <c r="L7816">
        <v>123.9806</v>
      </c>
      <c r="M7816">
        <v>0.28317229999999999</v>
      </c>
      <c r="N7816">
        <v>-1.3964290000000001E-2</v>
      </c>
      <c r="O7816">
        <v>0.95896740000000003</v>
      </c>
      <c r="P7816">
        <v>0.56019259999999904</v>
      </c>
      <c r="Q7816">
        <v>0.35915720000000001</v>
      </c>
      <c r="R7816">
        <v>0.74645189999999995</v>
      </c>
      <c r="S7816">
        <v>2.2239529999999998</v>
      </c>
      <c r="T7816">
        <v>-0.1942576</v>
      </c>
      <c r="U7816">
        <v>2.4483950000000001</v>
      </c>
      <c r="V7816">
        <v>0.32959460000000002</v>
      </c>
      <c r="W7816">
        <v>0.36802699999999999</v>
      </c>
      <c r="X7816">
        <v>0.86943859999999995</v>
      </c>
      <c r="Y7816">
        <v>0.43424299999999999</v>
      </c>
      <c r="Z7816">
        <v>-4.755736E-2</v>
      </c>
      <c r="AA7816">
        <v>0.89953950000000005</v>
      </c>
      <c r="AB7816">
        <v>21</v>
      </c>
      <c r="AC7816">
        <v>12.6319</v>
      </c>
      <c r="AD7816">
        <v>-1.1069813369799999</v>
      </c>
      <c r="AE7816">
        <v>13.825799999999999</v>
      </c>
      <c r="AF7816">
        <v>8.1707474823115298</v>
      </c>
      <c r="AG7816">
        <v>-1.1069813369799999</v>
      </c>
      <c r="AH7816">
        <v>16.778513003725099</v>
      </c>
      <c r="AI7816">
        <v>93.394613472680405</v>
      </c>
      <c r="AJ7816">
        <v>64.034989795576095</v>
      </c>
      <c r="AK7816">
        <v>18.695053375593599</v>
      </c>
      <c r="AL7816">
        <v>68.406010839897306</v>
      </c>
      <c r="AM7816">
        <v>69.238833646871896</v>
      </c>
      <c r="AN7816">
        <v>0.999999976124059</v>
      </c>
    </row>
    <row r="7817" spans="1:40" x14ac:dyDescent="0.25">
      <c r="A7817" t="str">
        <f>"20190304165036873"</f>
        <v>20190304165036873</v>
      </c>
      <c r="B7817" t="str">
        <f>"1551689436863319"</f>
        <v>1551689436863319</v>
      </c>
      <c r="C7817" t="s">
        <v>40</v>
      </c>
      <c r="D7817">
        <v>4.8818519999999896</v>
      </c>
      <c r="E7817">
        <v>0.56301730000000005</v>
      </c>
      <c r="F7817" t="s">
        <v>48</v>
      </c>
      <c r="G7817">
        <v>-173.4426</v>
      </c>
      <c r="H7817" s="1">
        <v>-4.2867650000000003E-6</v>
      </c>
      <c r="I7817">
        <v>137.3569</v>
      </c>
      <c r="J7817">
        <v>-185.756</v>
      </c>
      <c r="K7817">
        <v>1.1068960000000001</v>
      </c>
      <c r="L7817">
        <v>124.1199</v>
      </c>
      <c r="M7817">
        <v>0.28796539999999998</v>
      </c>
      <c r="N7817">
        <v>-1.3976580000000001E-2</v>
      </c>
      <c r="O7817">
        <v>0.95753880000000002</v>
      </c>
      <c r="P7817">
        <v>0.56964569999999903</v>
      </c>
      <c r="Q7817">
        <v>0.35777130000000001</v>
      </c>
      <c r="R7817">
        <v>0.73993489999999995</v>
      </c>
      <c r="S7817">
        <v>2.2457889999999998</v>
      </c>
      <c r="T7817">
        <v>-0.20112869999999999</v>
      </c>
      <c r="U7817">
        <v>2.4303590000000002</v>
      </c>
      <c r="V7817">
        <v>0.33619939999999998</v>
      </c>
      <c r="W7817">
        <v>0.36649690000000001</v>
      </c>
      <c r="X7817">
        <v>0.867554099999999</v>
      </c>
      <c r="Y7817">
        <v>0.4373476</v>
      </c>
      <c r="Z7817">
        <v>-4.9691100000000002E-2</v>
      </c>
      <c r="AA7817">
        <v>0.89791860000000001</v>
      </c>
      <c r="AB7817">
        <v>21</v>
      </c>
      <c r="AC7817">
        <v>12.3133999999999</v>
      </c>
      <c r="AD7817">
        <v>-1.106900286765</v>
      </c>
      <c r="AE7817">
        <v>13.236999999999901</v>
      </c>
      <c r="AF7817">
        <v>7.9497383552084004</v>
      </c>
      <c r="AG7817">
        <v>-1.106900286765</v>
      </c>
      <c r="AH7817">
        <v>16.161772884255601</v>
      </c>
      <c r="AI7817">
        <v>93.516770352713195</v>
      </c>
      <c r="AJ7817">
        <v>63.808105658365399</v>
      </c>
      <c r="AK7817">
        <v>18.0451231894762</v>
      </c>
      <c r="AL7817">
        <v>68.500267917387902</v>
      </c>
      <c r="AM7817">
        <v>68.8173765585354</v>
      </c>
      <c r="AN7817">
        <v>1.00000006534838</v>
      </c>
    </row>
    <row r="7818" spans="1:40" x14ac:dyDescent="0.25">
      <c r="A7818" t="str">
        <f>"20190304165036894"</f>
        <v>20190304165036894</v>
      </c>
      <c r="B7818" t="str">
        <f>"1551689436883816"</f>
        <v>1551689436883816</v>
      </c>
      <c r="C7818" t="s">
        <v>40</v>
      </c>
      <c r="D7818">
        <v>4.7182050000000002</v>
      </c>
      <c r="E7818">
        <v>0.57400169999999995</v>
      </c>
      <c r="F7818" t="s">
        <v>48</v>
      </c>
      <c r="G7818">
        <v>-172.89160000000001</v>
      </c>
      <c r="H7818" s="1">
        <v>-4.1929260000000004E-6</v>
      </c>
      <c r="I7818">
        <v>137.7535</v>
      </c>
      <c r="J7818">
        <v>-185.69049999999999</v>
      </c>
      <c r="K7818">
        <v>1.1067940000000001</v>
      </c>
      <c r="L7818">
        <v>124.30970000000001</v>
      </c>
      <c r="M7818">
        <v>0.29464240000000003</v>
      </c>
      <c r="N7818">
        <v>-1.399474E-2</v>
      </c>
      <c r="O7818">
        <v>0.9555051</v>
      </c>
      <c r="P7818">
        <v>0.58001759999999902</v>
      </c>
      <c r="Q7818">
        <v>0.35728339999999997</v>
      </c>
      <c r="R7818">
        <v>0.73207119999999903</v>
      </c>
      <c r="S7818">
        <v>2.267487</v>
      </c>
      <c r="T7818">
        <v>-0.195103</v>
      </c>
      <c r="U7818">
        <v>2.4030610000000001</v>
      </c>
      <c r="V7818">
        <v>0.342416099999999</v>
      </c>
      <c r="W7818">
        <v>0.36584420000000001</v>
      </c>
      <c r="X7818">
        <v>0.86539539999999904</v>
      </c>
      <c r="Y7818">
        <v>0.44049739999999998</v>
      </c>
      <c r="Z7818">
        <v>-4.7972620000000001E-2</v>
      </c>
      <c r="AA7818">
        <v>0.89647129999999997</v>
      </c>
      <c r="AB7818">
        <v>21</v>
      </c>
      <c r="AC7818">
        <v>12.7988999999999</v>
      </c>
      <c r="AD7818">
        <v>-1.106798192926</v>
      </c>
      <c r="AE7818">
        <v>13.4437999999999</v>
      </c>
      <c r="AF7818">
        <v>8.2398147783510307</v>
      </c>
      <c r="AG7818">
        <v>-1.106798192926</v>
      </c>
      <c r="AH7818">
        <v>16.559470161122501</v>
      </c>
      <c r="AI7818">
        <v>93.424445422609494</v>
      </c>
      <c r="AJ7818">
        <v>63.545554762909099</v>
      </c>
      <c r="AK7818">
        <v>18.5293173602943</v>
      </c>
      <c r="AL7818">
        <v>68.540454131687099</v>
      </c>
      <c r="AM7818">
        <v>68.412488569299597</v>
      </c>
      <c r="AN7818">
        <v>0.99999998127700396</v>
      </c>
    </row>
    <row r="7819" spans="1:40" x14ac:dyDescent="0.25">
      <c r="A7819" t="str">
        <f>"20190304165036907"</f>
        <v>20190304165036907</v>
      </c>
      <c r="B7819" t="str">
        <f>"1551689436893576"</f>
        <v>1551689436893576</v>
      </c>
      <c r="C7819" t="s">
        <v>40</v>
      </c>
      <c r="D7819">
        <v>4.7174589999999998</v>
      </c>
      <c r="E7819">
        <v>0.57301859999999905</v>
      </c>
      <c r="F7819" t="s">
        <v>48</v>
      </c>
      <c r="G7819">
        <v>-179.16159999999999</v>
      </c>
      <c r="H7819" s="1">
        <v>-5.3586739999999997E-6</v>
      </c>
      <c r="I7819">
        <v>130.85419999999999</v>
      </c>
      <c r="J7819">
        <v>-185.65</v>
      </c>
      <c r="K7819">
        <v>1.1067260000000001</v>
      </c>
      <c r="L7819">
        <v>124.42400000000001</v>
      </c>
      <c r="M7819">
        <v>0.29877480000000001</v>
      </c>
      <c r="N7819">
        <v>-1.400677E-2</v>
      </c>
      <c r="O7819">
        <v>0.95422079999999998</v>
      </c>
      <c r="P7819">
        <v>0.5854914</v>
      </c>
      <c r="Q7819">
        <v>0.35775620000000002</v>
      </c>
      <c r="R7819">
        <v>0.72746840000000002</v>
      </c>
      <c r="S7819">
        <v>2.3937379999999999</v>
      </c>
      <c r="T7819">
        <v>-0.4057965</v>
      </c>
      <c r="U7819">
        <v>2.3994749999999998</v>
      </c>
      <c r="V7819">
        <v>0.34530850000000002</v>
      </c>
      <c r="W7819">
        <v>0.36622359999999998</v>
      </c>
      <c r="X7819">
        <v>0.86408469999999904</v>
      </c>
      <c r="Y7819">
        <v>0.45771600000000001</v>
      </c>
      <c r="Z7819">
        <v>-0.1098601</v>
      </c>
      <c r="AA7819">
        <v>0.88228499999999999</v>
      </c>
      <c r="AB7819">
        <v>21</v>
      </c>
      <c r="AC7819">
        <v>6.4884000000000102</v>
      </c>
      <c r="AD7819">
        <v>-1.106731358674</v>
      </c>
      <c r="AE7819">
        <v>6.4301999999999904</v>
      </c>
      <c r="AF7819">
        <v>4.2088254126348197</v>
      </c>
      <c r="AG7819">
        <v>-1.106731358674</v>
      </c>
      <c r="AH7819">
        <v>7.9583783710906602</v>
      </c>
      <c r="AI7819">
        <v>97.008334247111407</v>
      </c>
      <c r="AJ7819">
        <v>62.127667045674798</v>
      </c>
      <c r="AK7819">
        <v>9.0705486025794801</v>
      </c>
      <c r="AL7819">
        <v>68.517096058393903</v>
      </c>
      <c r="AM7819">
        <v>68.217192339040395</v>
      </c>
      <c r="AN7819">
        <v>1.00000002707164</v>
      </c>
    </row>
    <row r="7820" spans="1:40" x14ac:dyDescent="0.25">
      <c r="A7820" t="str">
        <f>"20190304165036920"</f>
        <v>20190304165036920</v>
      </c>
      <c r="B7820" t="str">
        <f>"1551689436913096"</f>
        <v>1551689436913096</v>
      </c>
      <c r="C7820" t="s">
        <v>40</v>
      </c>
      <c r="D7820">
        <v>4.7206739999999998</v>
      </c>
      <c r="E7820">
        <v>0.57242799999999905</v>
      </c>
      <c r="F7820" t="s">
        <v>48</v>
      </c>
      <c r="G7820">
        <v>-179.6018</v>
      </c>
      <c r="H7820" s="1">
        <v>-5.5014399999999998E-6</v>
      </c>
      <c r="I7820">
        <v>130.4487</v>
      </c>
      <c r="J7820">
        <v>-185.60910000000001</v>
      </c>
      <c r="K7820">
        <v>1.1066590000000001</v>
      </c>
      <c r="L7820">
        <v>124.5386</v>
      </c>
      <c r="M7820">
        <v>0.30296659999999997</v>
      </c>
      <c r="N7820">
        <v>-1.401897E-2</v>
      </c>
      <c r="O7820">
        <v>0.95289800000000002</v>
      </c>
      <c r="P7820">
        <v>0.59083549999999996</v>
      </c>
      <c r="Q7820">
        <v>0.35808620000000002</v>
      </c>
      <c r="R7820">
        <v>0.72297149999999999</v>
      </c>
      <c r="S7820">
        <v>2.4102779999999999</v>
      </c>
      <c r="T7820">
        <v>-0.44104139999999997</v>
      </c>
      <c r="U7820">
        <v>2.4008940000000001</v>
      </c>
      <c r="V7820">
        <v>0.34800310000000001</v>
      </c>
      <c r="W7820">
        <v>0.36646269999999997</v>
      </c>
      <c r="X7820">
        <v>0.86290140000000004</v>
      </c>
      <c r="Y7820">
        <v>0.45573079999999999</v>
      </c>
      <c r="Z7820">
        <v>-0.1197735</v>
      </c>
      <c r="AA7820">
        <v>0.88202259999999999</v>
      </c>
      <c r="AB7820">
        <v>21</v>
      </c>
      <c r="AC7820">
        <v>6.0073000000000096</v>
      </c>
      <c r="AD7820">
        <v>-1.1066645014399901</v>
      </c>
      <c r="AE7820">
        <v>5.9100999999999999</v>
      </c>
      <c r="AF7820">
        <v>3.86747246878382</v>
      </c>
      <c r="AG7820">
        <v>-1.1066645014399901</v>
      </c>
      <c r="AH7820">
        <v>7.3261254702105996</v>
      </c>
      <c r="AI7820">
        <v>97.608862430709706</v>
      </c>
      <c r="AJ7820">
        <v>62.1703604757599</v>
      </c>
      <c r="AK7820">
        <v>8.3578803545406704</v>
      </c>
      <c r="AL7820">
        <v>68.502371290379699</v>
      </c>
      <c r="AM7820">
        <v>68.036067133523105</v>
      </c>
      <c r="AN7820">
        <v>0.99999994711142803</v>
      </c>
    </row>
    <row r="7821" spans="1:40" x14ac:dyDescent="0.25">
      <c r="A7821" t="str">
        <f>"20190304165036931"</f>
        <v>20190304165036931</v>
      </c>
      <c r="B7821" t="str">
        <f>"1551689436923832"</f>
        <v>1551689436923832</v>
      </c>
      <c r="C7821" t="s">
        <v>40</v>
      </c>
      <c r="D7821">
        <v>4.7363489999999997</v>
      </c>
      <c r="E7821">
        <v>0.57202259999999905</v>
      </c>
      <c r="F7821" t="s">
        <v>48</v>
      </c>
      <c r="G7821">
        <v>-179.86519999999999</v>
      </c>
      <c r="H7821" s="1">
        <v>-5.5817500000000004E-6</v>
      </c>
      <c r="I7821">
        <v>130.20930000000001</v>
      </c>
      <c r="J7821">
        <v>-185.5693</v>
      </c>
      <c r="K7821">
        <v>1.1065969999999901</v>
      </c>
      <c r="L7821">
        <v>124.6482</v>
      </c>
      <c r="M7821">
        <v>0.30704130000000002</v>
      </c>
      <c r="N7821">
        <v>-1.4031139999999999E-2</v>
      </c>
      <c r="O7821">
        <v>0.95159269999999996</v>
      </c>
      <c r="P7821">
        <v>0.59570210000000001</v>
      </c>
      <c r="Q7821">
        <v>0.35869069999999997</v>
      </c>
      <c r="R7821">
        <v>0.71866560000000002</v>
      </c>
      <c r="S7821">
        <v>2.4279329999999999</v>
      </c>
      <c r="T7821">
        <v>-0.46779290000000001</v>
      </c>
      <c r="U7821">
        <v>2.3970180000000001</v>
      </c>
      <c r="V7821">
        <v>0.35030499999999998</v>
      </c>
      <c r="W7821">
        <v>0.36698039999999998</v>
      </c>
      <c r="X7821">
        <v>0.86174930000000005</v>
      </c>
      <c r="Y7821">
        <v>0.45516099999999998</v>
      </c>
      <c r="Z7821">
        <v>-0.1272305</v>
      </c>
      <c r="AA7821">
        <v>0.88127230000000001</v>
      </c>
      <c r="AB7821">
        <v>21</v>
      </c>
      <c r="AC7821">
        <v>5.7041000000000102</v>
      </c>
      <c r="AD7821">
        <v>-1.10660258174999</v>
      </c>
      <c r="AE7821">
        <v>5.5610999999999997</v>
      </c>
      <c r="AF7821">
        <v>3.6504207801700002</v>
      </c>
      <c r="AG7821">
        <v>-1.10660258174999</v>
      </c>
      <c r="AH7821">
        <v>6.9106429794462398</v>
      </c>
      <c r="AI7821">
        <v>98.058948811397698</v>
      </c>
      <c r="AJ7821">
        <v>62.155565168881303</v>
      </c>
      <c r="AK7821">
        <v>7.8934863992789897</v>
      </c>
      <c r="AL7821">
        <v>68.470489884536505</v>
      </c>
      <c r="AM7821">
        <v>67.878034833402097</v>
      </c>
      <c r="AN7821">
        <v>1.0000000315298201</v>
      </c>
    </row>
    <row r="7822" spans="1:40" x14ac:dyDescent="0.25">
      <c r="A7822" t="str">
        <f>"20190304165036943"</f>
        <v>20190304165036943</v>
      </c>
      <c r="B7822" t="str">
        <f>"1551689436933592"</f>
        <v>1551689436933592</v>
      </c>
      <c r="C7822" t="s">
        <v>40</v>
      </c>
      <c r="D7822">
        <v>4.8731939999999998</v>
      </c>
      <c r="E7822">
        <v>0.5728143</v>
      </c>
      <c r="F7822" t="s">
        <v>48</v>
      </c>
      <c r="G7822">
        <v>-179.84200000000001</v>
      </c>
      <c r="H7822" s="1">
        <v>-5.5774740000000001E-6</v>
      </c>
      <c r="I7822">
        <v>130.23840000000001</v>
      </c>
      <c r="J7822">
        <v>-185.53200000000001</v>
      </c>
      <c r="K7822">
        <v>1.106541</v>
      </c>
      <c r="L7822">
        <v>124.74890000000001</v>
      </c>
      <c r="M7822">
        <v>0.3108591</v>
      </c>
      <c r="N7822">
        <v>-1.404291E-2</v>
      </c>
      <c r="O7822">
        <v>0.95035230000000004</v>
      </c>
      <c r="P7822">
        <v>0.60065029999999997</v>
      </c>
      <c r="Q7822">
        <v>0.35940739999999999</v>
      </c>
      <c r="R7822">
        <v>0.71417469999999905</v>
      </c>
      <c r="S7822">
        <v>2.4432529999999999</v>
      </c>
      <c r="T7822">
        <v>-0.47208090000000003</v>
      </c>
      <c r="U7822">
        <v>2.3847960000000001</v>
      </c>
      <c r="V7822">
        <v>0.35298289999999999</v>
      </c>
      <c r="W7822">
        <v>0.36760799999999999</v>
      </c>
      <c r="X7822">
        <v>0.86038789999999998</v>
      </c>
      <c r="Y7822">
        <v>0.45650049999999998</v>
      </c>
      <c r="Z7822">
        <v>-0.12840879999999999</v>
      </c>
      <c r="AA7822">
        <v>0.88040819999999997</v>
      </c>
      <c r="AB7822">
        <v>21</v>
      </c>
      <c r="AC7822">
        <v>5.6899999999999897</v>
      </c>
      <c r="AD7822">
        <v>-1.106546577474</v>
      </c>
      <c r="AE7822">
        <v>5.4894999999999996</v>
      </c>
      <c r="AF7822">
        <v>3.6302989414790701</v>
      </c>
      <c r="AG7822">
        <v>-1.106546577474</v>
      </c>
      <c r="AH7822">
        <v>6.8522162410735898</v>
      </c>
      <c r="AI7822">
        <v>98.1211517878195</v>
      </c>
      <c r="AJ7822">
        <v>62.085391301826</v>
      </c>
      <c r="AK7822">
        <v>7.8330315425801897</v>
      </c>
      <c r="AL7822">
        <v>68.431827074386405</v>
      </c>
      <c r="AM7822">
        <v>67.693609770432005</v>
      </c>
      <c r="AN7822">
        <v>0.99999995391140895</v>
      </c>
    </row>
    <row r="7823" spans="1:40" x14ac:dyDescent="0.25">
      <c r="A7823" t="str">
        <f>"20190304165036954"</f>
        <v>20190304165036954</v>
      </c>
      <c r="B7823" t="str">
        <f>"1551689436943352"</f>
        <v>1551689436943352</v>
      </c>
      <c r="C7823" t="s">
        <v>40</v>
      </c>
      <c r="D7823">
        <v>4.7312669999999999</v>
      </c>
      <c r="E7823">
        <v>0.57229069999999904</v>
      </c>
      <c r="F7823" t="s">
        <v>48</v>
      </c>
      <c r="G7823">
        <v>-179.54859999999999</v>
      </c>
      <c r="H7823" s="1">
        <v>-5.4784259999999901E-6</v>
      </c>
      <c r="I7823">
        <v>130.47749999999999</v>
      </c>
      <c r="J7823">
        <v>-185.4949</v>
      </c>
      <c r="K7823">
        <v>1.1064830000000001</v>
      </c>
      <c r="L7823">
        <v>124.8486</v>
      </c>
      <c r="M7823">
        <v>0.31465779999999999</v>
      </c>
      <c r="N7823">
        <v>-1.405439E-2</v>
      </c>
      <c r="O7823">
        <v>0.94910119999999998</v>
      </c>
      <c r="P7823">
        <v>0.60532810000000004</v>
      </c>
      <c r="Q7823">
        <v>0.3600776</v>
      </c>
      <c r="R7823">
        <v>0.70987469999999997</v>
      </c>
      <c r="S7823">
        <v>2.463165</v>
      </c>
      <c r="T7823">
        <v>-0.45553399999999999</v>
      </c>
      <c r="U7823">
        <v>2.358276</v>
      </c>
      <c r="V7823">
        <v>0.35537200000000002</v>
      </c>
      <c r="W7823">
        <v>0.3681933</v>
      </c>
      <c r="X7823">
        <v>0.85915339999999996</v>
      </c>
      <c r="Y7823">
        <v>0.4618758</v>
      </c>
      <c r="Z7823">
        <v>-0.12384100000000001</v>
      </c>
      <c r="AA7823">
        <v>0.87825629999999999</v>
      </c>
      <c r="AB7823">
        <v>21</v>
      </c>
      <c r="AC7823">
        <v>5.9462999999999999</v>
      </c>
      <c r="AD7823">
        <v>-1.1064884784259901</v>
      </c>
      <c r="AE7823">
        <v>5.6288999999999803</v>
      </c>
      <c r="AF7823">
        <v>3.80338918982171</v>
      </c>
      <c r="AG7823">
        <v>-1.1064884784259901</v>
      </c>
      <c r="AH7823">
        <v>7.0847775935077104</v>
      </c>
      <c r="AI7823">
        <v>97.834898165179197</v>
      </c>
      <c r="AJ7823">
        <v>61.771335118089297</v>
      </c>
      <c r="AK7823">
        <v>8.1169057917171301</v>
      </c>
      <c r="AL7823">
        <v>68.395764976791099</v>
      </c>
      <c r="AM7823">
        <v>67.528523417469501</v>
      </c>
      <c r="AN7823">
        <v>1.0000000646402201</v>
      </c>
    </row>
    <row r="7824" spans="1:40" x14ac:dyDescent="0.25">
      <c r="A7824" t="str">
        <f>"20190304165036966"</f>
        <v>20190304165036966</v>
      </c>
      <c r="B7824" t="str">
        <f>"1551689436953112"</f>
        <v>1551689436953112</v>
      </c>
      <c r="C7824" t="s">
        <v>40</v>
      </c>
      <c r="D7824">
        <v>4.7189779999999999</v>
      </c>
      <c r="E7824">
        <v>0.57177290000000003</v>
      </c>
      <c r="F7824" t="s">
        <v>48</v>
      </c>
      <c r="G7824">
        <v>-179.52019999999999</v>
      </c>
      <c r="H7824" s="1">
        <v>-5.4728359999999997E-6</v>
      </c>
      <c r="I7824">
        <v>130.512</v>
      </c>
      <c r="J7824">
        <v>-185.4589</v>
      </c>
      <c r="K7824">
        <v>1.1064309999999999</v>
      </c>
      <c r="L7824">
        <v>124.94280000000001</v>
      </c>
      <c r="M7824">
        <v>0.31833929999999999</v>
      </c>
      <c r="N7824">
        <v>-1.406598E-2</v>
      </c>
      <c r="O7824">
        <v>0.94787250000000001</v>
      </c>
      <c r="P7824">
        <v>0.60972459999999995</v>
      </c>
      <c r="Q7824">
        <v>0.36043439999999999</v>
      </c>
      <c r="R7824">
        <v>0.70591999999999999</v>
      </c>
      <c r="S7824">
        <v>2.476181</v>
      </c>
      <c r="T7824">
        <v>-0.45858480000000001</v>
      </c>
      <c r="U7824">
        <v>2.3472140000000001</v>
      </c>
      <c r="V7824">
        <v>0.3574946</v>
      </c>
      <c r="W7824">
        <v>0.36847469999999999</v>
      </c>
      <c r="X7824">
        <v>0.85815149999999996</v>
      </c>
      <c r="Y7824">
        <v>0.46273310000000001</v>
      </c>
      <c r="Z7824">
        <v>-0.12467019999999999</v>
      </c>
      <c r="AA7824">
        <v>0.87768749999999995</v>
      </c>
      <c r="AB7824">
        <v>21</v>
      </c>
      <c r="AC7824">
        <v>5.9387000000000096</v>
      </c>
      <c r="AD7824">
        <v>-1.1064364728360001</v>
      </c>
      <c r="AE7824">
        <v>5.5691999999999897</v>
      </c>
      <c r="AF7824">
        <v>3.7866804627712001</v>
      </c>
      <c r="AG7824">
        <v>-1.1064364728360001</v>
      </c>
      <c r="AH7824">
        <v>7.0400987777446398</v>
      </c>
      <c r="AI7824">
        <v>97.880277638648593</v>
      </c>
      <c r="AJ7824">
        <v>61.725383068248803</v>
      </c>
      <c r="AK7824">
        <v>8.0700769138810795</v>
      </c>
      <c r="AL7824">
        <v>68.378421093558899</v>
      </c>
      <c r="AM7824">
        <v>67.384033536441294</v>
      </c>
      <c r="AN7824">
        <v>0.99999999526074901</v>
      </c>
    </row>
    <row r="7825" spans="1:40" x14ac:dyDescent="0.25">
      <c r="A7825" t="str">
        <f>"20190304165036976"</f>
        <v>20190304165036976</v>
      </c>
      <c r="B7825" t="str">
        <f>"1551689436973141"</f>
        <v>1551689436973141</v>
      </c>
      <c r="C7825" t="s">
        <v>40</v>
      </c>
      <c r="D7825">
        <v>4.7068669999999999</v>
      </c>
      <c r="E7825">
        <v>0.57090459999999998</v>
      </c>
      <c r="F7825" t="s">
        <v>48</v>
      </c>
      <c r="G7825">
        <v>-179.4813</v>
      </c>
      <c r="H7825" s="1">
        <v>-5.4646489999999899E-6</v>
      </c>
      <c r="I7825">
        <v>130.55889999999999</v>
      </c>
      <c r="J7825">
        <v>-185.42420000000001</v>
      </c>
      <c r="K7825">
        <v>1.106379</v>
      </c>
      <c r="L7825">
        <v>125.03360000000001</v>
      </c>
      <c r="M7825">
        <v>0.32189190000000001</v>
      </c>
      <c r="N7825">
        <v>-1.4076780000000001E-2</v>
      </c>
      <c r="O7825">
        <v>0.94667179999999995</v>
      </c>
      <c r="P7825">
        <v>0.61382619999999999</v>
      </c>
      <c r="Q7825">
        <v>0.36080950000000001</v>
      </c>
      <c r="R7825">
        <v>0.7021638</v>
      </c>
      <c r="S7825">
        <v>2.4870760000000001</v>
      </c>
      <c r="T7825">
        <v>-0.46034720000000001</v>
      </c>
      <c r="U7825">
        <v>2.3366389999999999</v>
      </c>
      <c r="V7825">
        <v>0.35939880000000002</v>
      </c>
      <c r="W7825">
        <v>0.36877840000000001</v>
      </c>
      <c r="X7825">
        <v>0.85722520000000002</v>
      </c>
      <c r="Y7825">
        <v>0.46326889999999998</v>
      </c>
      <c r="Z7825">
        <v>-0.12515490000000001</v>
      </c>
      <c r="AA7825">
        <v>0.8773358</v>
      </c>
      <c r="AB7825">
        <v>21</v>
      </c>
      <c r="AC7825">
        <v>5.9428999999999998</v>
      </c>
      <c r="AD7825">
        <v>-1.106384464649</v>
      </c>
      <c r="AE7825">
        <v>5.5252999999999801</v>
      </c>
      <c r="AF7825">
        <v>3.7775829427321601</v>
      </c>
      <c r="AG7825">
        <v>-1.106384464649</v>
      </c>
      <c r="AH7825">
        <v>7.0139366698890697</v>
      </c>
      <c r="AI7825">
        <v>97.906621913146694</v>
      </c>
      <c r="AJ7825">
        <v>61.693875535011699</v>
      </c>
      <c r="AK7825">
        <v>8.0429799876695007</v>
      </c>
      <c r="AL7825">
        <v>68.359702797958604</v>
      </c>
      <c r="AM7825">
        <v>67.253726705158996</v>
      </c>
      <c r="AN7825">
        <v>1.0000000246315099</v>
      </c>
    </row>
    <row r="7826" spans="1:40" x14ac:dyDescent="0.25">
      <c r="A7826" t="str">
        <f>"20190304165036986"</f>
        <v>20190304165036986</v>
      </c>
      <c r="B7826" t="str">
        <f>"1551689436983878"</f>
        <v>1551689436983878</v>
      </c>
      <c r="C7826" t="s">
        <v>40</v>
      </c>
      <c r="D7826">
        <v>4.7152830000000003</v>
      </c>
      <c r="E7826">
        <v>0.57050619999999996</v>
      </c>
      <c r="F7826" t="s">
        <v>48</v>
      </c>
      <c r="G7826">
        <v>-179.44810000000001</v>
      </c>
      <c r="H7826" s="1">
        <v>-5.4613900000000001E-6</v>
      </c>
      <c r="I7826">
        <v>130.61000000000001</v>
      </c>
      <c r="J7826">
        <v>-185.38560000000001</v>
      </c>
      <c r="K7826">
        <v>1.106325</v>
      </c>
      <c r="L7826">
        <v>125.1324</v>
      </c>
      <c r="M7826">
        <v>0.32584990000000003</v>
      </c>
      <c r="N7826">
        <v>-1.408922E-2</v>
      </c>
      <c r="O7826">
        <v>0.94531659999999995</v>
      </c>
      <c r="P7826">
        <v>0.61809769999999997</v>
      </c>
      <c r="Q7826">
        <v>0.3614581</v>
      </c>
      <c r="R7826">
        <v>0.6980712</v>
      </c>
      <c r="S7826">
        <v>2.495377</v>
      </c>
      <c r="T7826">
        <v>-0.46197919999999998</v>
      </c>
      <c r="U7826">
        <v>2.3284449999999999</v>
      </c>
      <c r="V7826">
        <v>0.36121809999999899</v>
      </c>
      <c r="W7826">
        <v>0.36935269999999998</v>
      </c>
      <c r="X7826">
        <v>0.85621259999999999</v>
      </c>
      <c r="Y7826">
        <v>0.46252359999999998</v>
      </c>
      <c r="Z7826">
        <v>-0.12556719999999999</v>
      </c>
      <c r="AA7826">
        <v>0.87766999999999995</v>
      </c>
      <c r="AB7826">
        <v>21</v>
      </c>
      <c r="AC7826">
        <v>5.9375</v>
      </c>
      <c r="AD7826">
        <v>-1.10633046139</v>
      </c>
      <c r="AE7826">
        <v>5.4776000000000096</v>
      </c>
      <c r="AF7826">
        <v>3.7578402732674498</v>
      </c>
      <c r="AG7826">
        <v>-1.10633046139</v>
      </c>
      <c r="AH7826">
        <v>6.9825423040213304</v>
      </c>
      <c r="AI7826">
        <v>97.942664149962596</v>
      </c>
      <c r="AJ7826">
        <v>61.711905794916497</v>
      </c>
      <c r="AK7826">
        <v>8.0063242275489799</v>
      </c>
      <c r="AL7826">
        <v>68.324297260974703</v>
      </c>
      <c r="AM7826">
        <v>67.126141132483994</v>
      </c>
      <c r="AN7826">
        <v>0.99999997458182899</v>
      </c>
    </row>
    <row r="7827" spans="1:40" x14ac:dyDescent="0.25">
      <c r="A7827" t="str">
        <f>"20190304165036997"</f>
        <v>20190304165036997</v>
      </c>
      <c r="B7827" t="str">
        <f>"1551689436993636"</f>
        <v>1551689436993636</v>
      </c>
      <c r="C7827" t="s">
        <v>40</v>
      </c>
      <c r="D7827">
        <v>4.7057520000000004</v>
      </c>
      <c r="E7827">
        <v>0.57014010000000004</v>
      </c>
      <c r="F7827" t="s">
        <v>48</v>
      </c>
      <c r="G7827">
        <v>-179.21879999999999</v>
      </c>
      <c r="H7827" s="1">
        <v>-5.3860520000000004E-6</v>
      </c>
      <c r="I7827">
        <v>130.8235</v>
      </c>
      <c r="J7827">
        <v>-185.3518</v>
      </c>
      <c r="K7827">
        <v>1.106277</v>
      </c>
      <c r="L7827">
        <v>125.2183</v>
      </c>
      <c r="M7827">
        <v>0.32929940000000002</v>
      </c>
      <c r="N7827">
        <v>-1.409972E-2</v>
      </c>
      <c r="O7827">
        <v>0.94412030000000002</v>
      </c>
      <c r="P7827">
        <v>0.62154560000000003</v>
      </c>
      <c r="Q7827">
        <v>0.36188229999999999</v>
      </c>
      <c r="R7827">
        <v>0.69478209999999996</v>
      </c>
      <c r="S7827">
        <v>2.5052639999999999</v>
      </c>
      <c r="T7827">
        <v>-0.44945279999999999</v>
      </c>
      <c r="U7827">
        <v>2.3120419999999999</v>
      </c>
      <c r="V7827">
        <v>0.36245850000000002</v>
      </c>
      <c r="W7827">
        <v>0.36971910000000002</v>
      </c>
      <c r="X7827">
        <v>0.85552999999999901</v>
      </c>
      <c r="Y7827">
        <v>0.4644567</v>
      </c>
      <c r="Z7827">
        <v>-0.12206939999999999</v>
      </c>
      <c r="AA7827">
        <v>0.87714249999999905</v>
      </c>
      <c r="AB7827">
        <v>21</v>
      </c>
      <c r="AC7827">
        <v>6.1330000000000098</v>
      </c>
      <c r="AD7827">
        <v>-1.1062823860519999</v>
      </c>
      <c r="AE7827">
        <v>5.6051999999999902</v>
      </c>
      <c r="AF7827">
        <v>3.8761725940545699</v>
      </c>
      <c r="AG7827">
        <v>-1.1062823860519999</v>
      </c>
      <c r="AH7827">
        <v>7.1849222977849498</v>
      </c>
      <c r="AI7827">
        <v>97.717172980009707</v>
      </c>
      <c r="AJ7827">
        <v>61.653712843404897</v>
      </c>
      <c r="AK7827">
        <v>8.2384272237967799</v>
      </c>
      <c r="AL7827">
        <v>68.301705021617096</v>
      </c>
      <c r="AM7827">
        <v>67.039304997419407</v>
      </c>
      <c r="AN7827">
        <v>0.99999997901352899</v>
      </c>
    </row>
    <row r="7828" spans="1:40" x14ac:dyDescent="0.25">
      <c r="A7828" t="str">
        <f>"20190304165037007"</f>
        <v>20190304165037007</v>
      </c>
      <c r="B7828" t="str">
        <f>"1551689437003397"</f>
        <v>1551689437003397</v>
      </c>
      <c r="C7828" t="s">
        <v>40</v>
      </c>
      <c r="D7828">
        <v>4.72072</v>
      </c>
      <c r="E7828">
        <v>0.56972210000000001</v>
      </c>
      <c r="F7828" t="s">
        <v>48</v>
      </c>
      <c r="G7828">
        <v>-179.17</v>
      </c>
      <c r="H7828" s="1">
        <v>-5.3751039999999997E-6</v>
      </c>
      <c r="I7828">
        <v>130.88239999999999</v>
      </c>
      <c r="J7828">
        <v>-185.3142</v>
      </c>
      <c r="K7828">
        <v>1.1062270000000001</v>
      </c>
      <c r="L7828">
        <v>125.312</v>
      </c>
      <c r="M7828">
        <v>0.33314080000000001</v>
      </c>
      <c r="N7828">
        <v>-1.4111739999999999E-2</v>
      </c>
      <c r="O7828">
        <v>0.94277149999999998</v>
      </c>
      <c r="P7828">
        <v>0.62555190000000005</v>
      </c>
      <c r="Q7828">
        <v>0.36227140000000002</v>
      </c>
      <c r="R7828">
        <v>0.69097339999999996</v>
      </c>
      <c r="S7828">
        <v>2.5138699999999998</v>
      </c>
      <c r="T7828">
        <v>-0.44988</v>
      </c>
      <c r="U7828">
        <v>2.3033600000000001</v>
      </c>
      <c r="V7828">
        <v>0.36404720000000002</v>
      </c>
      <c r="W7828">
        <v>0.37004389999999998</v>
      </c>
      <c r="X7828">
        <v>0.85471459999999999</v>
      </c>
      <c r="Y7828">
        <v>0.46399390000000001</v>
      </c>
      <c r="Z7828">
        <v>-0.1221352</v>
      </c>
      <c r="AA7828">
        <v>0.87737830000000006</v>
      </c>
      <c r="AB7828">
        <v>21</v>
      </c>
      <c r="AC7828">
        <v>6.1442000000000103</v>
      </c>
      <c r="AD7828">
        <v>-1.106232375104</v>
      </c>
      <c r="AE7828">
        <v>5.57039999999997</v>
      </c>
      <c r="AF7828">
        <v>3.86841393423795</v>
      </c>
      <c r="AG7828">
        <v>-1.106232375104</v>
      </c>
      <c r="AH7828">
        <v>7.1716265042666496</v>
      </c>
      <c r="AI7828">
        <v>97.731222686964202</v>
      </c>
      <c r="AJ7828">
        <v>61.657337703322398</v>
      </c>
      <c r="AK7828">
        <v>8.2231747610660992</v>
      </c>
      <c r="AL7828">
        <v>68.281674115128794</v>
      </c>
      <c r="AM7828">
        <v>66.929469013713401</v>
      </c>
      <c r="AN7828">
        <v>0.99999994960410299</v>
      </c>
    </row>
    <row r="7829" spans="1:40" x14ac:dyDescent="0.25">
      <c r="A7829" t="str">
        <f>"20190304165037019"</f>
        <v>20190304165037019</v>
      </c>
      <c r="B7829" t="str">
        <f>"1551689437013157"</f>
        <v>1551689437013157</v>
      </c>
      <c r="C7829" t="s">
        <v>40</v>
      </c>
      <c r="D7829">
        <v>4.7143230000000003</v>
      </c>
      <c r="E7829">
        <v>0.56924600000000003</v>
      </c>
      <c r="F7829" t="s">
        <v>48</v>
      </c>
      <c r="G7829">
        <v>-179.1293</v>
      </c>
      <c r="H7829" s="1">
        <v>-5.3659959999999998E-6</v>
      </c>
      <c r="I7829">
        <v>130.9316</v>
      </c>
      <c r="J7829">
        <v>-185.27699999999999</v>
      </c>
      <c r="K7829">
        <v>1.106176</v>
      </c>
      <c r="L7829">
        <v>125.40430000000001</v>
      </c>
      <c r="M7829">
        <v>0.33693899999999999</v>
      </c>
      <c r="N7829">
        <v>-1.412329E-2</v>
      </c>
      <c r="O7829">
        <v>0.94142060000000005</v>
      </c>
      <c r="P7829">
        <v>0.62910120000000003</v>
      </c>
      <c r="Q7829">
        <v>0.36257060000000002</v>
      </c>
      <c r="R7829">
        <v>0.68758589999999997</v>
      </c>
      <c r="S7829">
        <v>2.5240330000000002</v>
      </c>
      <c r="T7829">
        <v>-0.45144869999999998</v>
      </c>
      <c r="U7829">
        <v>2.2933349999999999</v>
      </c>
      <c r="V7829">
        <v>0.36510779999999998</v>
      </c>
      <c r="W7829">
        <v>0.37029020000000001</v>
      </c>
      <c r="X7829">
        <v>0.85415540000000001</v>
      </c>
      <c r="Y7829">
        <v>0.46405730000000001</v>
      </c>
      <c r="Z7829">
        <v>-0.12253890000000001</v>
      </c>
      <c r="AA7829">
        <v>0.87728850000000003</v>
      </c>
      <c r="AB7829">
        <v>21</v>
      </c>
      <c r="AC7829">
        <v>6.1477000000000102</v>
      </c>
      <c r="AD7829">
        <v>-1.106181365996</v>
      </c>
      <c r="AE7829">
        <v>5.5272999999999897</v>
      </c>
      <c r="AF7829">
        <v>3.85655301573044</v>
      </c>
      <c r="AG7829">
        <v>-1.106181365996</v>
      </c>
      <c r="AH7829">
        <v>7.1476691000904298</v>
      </c>
      <c r="AI7829">
        <v>97.755992139029203</v>
      </c>
      <c r="AJ7829">
        <v>61.6507448138751</v>
      </c>
      <c r="AK7829">
        <v>8.1966951841582993</v>
      </c>
      <c r="AL7829">
        <v>68.266484052923204</v>
      </c>
      <c r="AM7829">
        <v>66.855766835329206</v>
      </c>
      <c r="AN7829">
        <v>0.99999999259301997</v>
      </c>
    </row>
    <row r="7830" spans="1:40" x14ac:dyDescent="0.25">
      <c r="A7830" t="str">
        <f>"20190304165037028"</f>
        <v>20190304165037028</v>
      </c>
      <c r="B7830" t="str">
        <f>"1551689437022917"</f>
        <v>1551689437022917</v>
      </c>
      <c r="C7830" t="s">
        <v>40</v>
      </c>
      <c r="D7830">
        <v>4.7255699999999896</v>
      </c>
      <c r="E7830">
        <v>0.56886630000000005</v>
      </c>
      <c r="F7830" t="s">
        <v>48</v>
      </c>
      <c r="G7830">
        <v>-179.10329999999999</v>
      </c>
      <c r="H7830" s="1">
        <v>-5.3644319999999999E-6</v>
      </c>
      <c r="I7830">
        <v>130.9742</v>
      </c>
      <c r="J7830">
        <v>-185.2379</v>
      </c>
      <c r="K7830">
        <v>1.1061299999999901</v>
      </c>
      <c r="L7830">
        <v>125.49930000000001</v>
      </c>
      <c r="M7830">
        <v>0.34091569999999999</v>
      </c>
      <c r="N7830">
        <v>-1.413536E-2</v>
      </c>
      <c r="O7830">
        <v>0.93998760000000003</v>
      </c>
      <c r="P7830">
        <v>0.63273760000000001</v>
      </c>
      <c r="Q7830">
        <v>0.36283700000000002</v>
      </c>
      <c r="R7830">
        <v>0.68409989999999998</v>
      </c>
      <c r="S7830">
        <v>2.5327449999999998</v>
      </c>
      <c r="T7830">
        <v>-0.45381199999999999</v>
      </c>
      <c r="U7830">
        <v>2.2850649999999999</v>
      </c>
      <c r="V7830">
        <v>0.36612410000000001</v>
      </c>
      <c r="W7830">
        <v>0.3705059</v>
      </c>
      <c r="X7830">
        <v>0.85362669999999996</v>
      </c>
      <c r="Y7830">
        <v>0.4633409</v>
      </c>
      <c r="Z7830">
        <v>-0.1231425</v>
      </c>
      <c r="AA7830">
        <v>0.87758259999999899</v>
      </c>
      <c r="AB7830">
        <v>21</v>
      </c>
      <c r="AC7830">
        <v>6.1345999999999998</v>
      </c>
      <c r="AD7830">
        <v>-1.10613536443199</v>
      </c>
      <c r="AE7830">
        <v>5.4748999999999901</v>
      </c>
      <c r="AF7830">
        <v>3.83102609266765</v>
      </c>
      <c r="AG7830">
        <v>-1.10613536443199</v>
      </c>
      <c r="AH7830">
        <v>7.1097733329150703</v>
      </c>
      <c r="AI7830">
        <v>97.798803798534706</v>
      </c>
      <c r="AJ7830">
        <v>61.682462667001303</v>
      </c>
      <c r="AK7830">
        <v>8.1516362291614595</v>
      </c>
      <c r="AL7830">
        <v>68.253179421645001</v>
      </c>
      <c r="AM7830">
        <v>66.785302296254301</v>
      </c>
      <c r="AN7830">
        <v>1.0000000107442499</v>
      </c>
    </row>
    <row r="7831" spans="1:40" x14ac:dyDescent="0.25">
      <c r="A7831" t="str">
        <f>"20190304165037040"</f>
        <v>20190304165037040</v>
      </c>
      <c r="B7831" t="str">
        <f>"1551689437033653"</f>
        <v>1551689437033653</v>
      </c>
      <c r="C7831" t="s">
        <v>40</v>
      </c>
      <c r="D7831">
        <v>4.6988640000000004</v>
      </c>
      <c r="E7831">
        <v>0.56846719999999995</v>
      </c>
      <c r="F7831" t="s">
        <v>48</v>
      </c>
      <c r="G7831">
        <v>-179.05189999999999</v>
      </c>
      <c r="H7831" s="1">
        <v>-5.3527679999999998E-6</v>
      </c>
      <c r="I7831">
        <v>131.0359</v>
      </c>
      <c r="J7831">
        <v>-185.1969</v>
      </c>
      <c r="K7831">
        <v>1.1060829999999999</v>
      </c>
      <c r="L7831">
        <v>125.5981</v>
      </c>
      <c r="M7831">
        <v>0.34508179999999999</v>
      </c>
      <c r="N7831">
        <v>-1.4147659999999999E-2</v>
      </c>
      <c r="O7831">
        <v>0.93846600000000002</v>
      </c>
      <c r="P7831">
        <v>0.63660620000000001</v>
      </c>
      <c r="Q7831">
        <v>0.36336380000000001</v>
      </c>
      <c r="R7831">
        <v>0.68022019999999905</v>
      </c>
      <c r="S7831">
        <v>2.5420530000000001</v>
      </c>
      <c r="T7831">
        <v>-0.45455129999999999</v>
      </c>
      <c r="U7831">
        <v>2.2751769999999998</v>
      </c>
      <c r="V7831">
        <v>0.36732900000000002</v>
      </c>
      <c r="W7831">
        <v>0.37097760000000002</v>
      </c>
      <c r="X7831">
        <v>0.85290390000000005</v>
      </c>
      <c r="Y7831">
        <v>0.46289409999999998</v>
      </c>
      <c r="Z7831">
        <v>-0.1232955</v>
      </c>
      <c r="AA7831">
        <v>0.87779680000000004</v>
      </c>
      <c r="AB7831">
        <v>21</v>
      </c>
      <c r="AC7831">
        <v>6.1449999999999996</v>
      </c>
      <c r="AD7831">
        <v>-1.1060883527680001</v>
      </c>
      <c r="AE7831">
        <v>5.4377999999999904</v>
      </c>
      <c r="AF7831">
        <v>3.8213414528169198</v>
      </c>
      <c r="AG7831">
        <v>-1.1060883527680001</v>
      </c>
      <c r="AH7831">
        <v>7.0955120784649504</v>
      </c>
      <c r="AI7831">
        <v>97.814865482807704</v>
      </c>
      <c r="AJ7831">
        <v>61.6949807522236</v>
      </c>
      <c r="AK7831">
        <v>8.1346403484596692</v>
      </c>
      <c r="AL7831">
        <v>68.224079377120603</v>
      </c>
      <c r="AM7831">
        <v>66.699402200512196</v>
      </c>
      <c r="AN7831">
        <v>1.0000000182889801</v>
      </c>
    </row>
    <row r="7832" spans="1:40" x14ac:dyDescent="0.25">
      <c r="A7832" t="str">
        <f>"20190304165037051"</f>
        <v>20190304165037051</v>
      </c>
      <c r="B7832" t="str">
        <f>"1551689437043413"</f>
        <v>1551689437043413</v>
      </c>
      <c r="C7832" t="s">
        <v>40</v>
      </c>
      <c r="D7832">
        <v>4.699071</v>
      </c>
      <c r="E7832">
        <v>0.56808019999999904</v>
      </c>
      <c r="F7832" t="s">
        <v>48</v>
      </c>
      <c r="G7832">
        <v>-178.9821</v>
      </c>
      <c r="H7832" s="1">
        <v>-5.3336619999999997E-6</v>
      </c>
      <c r="I7832">
        <v>131.11109999999999</v>
      </c>
      <c r="J7832">
        <v>-185.15530000000001</v>
      </c>
      <c r="K7832">
        <v>1.1060399999999999</v>
      </c>
      <c r="L7832">
        <v>125.6966</v>
      </c>
      <c r="M7832">
        <v>0.34928090000000001</v>
      </c>
      <c r="N7832">
        <v>-1.4159740000000001E-2</v>
      </c>
      <c r="O7832">
        <v>0.93691100000000005</v>
      </c>
      <c r="P7832">
        <v>0.64069339999999997</v>
      </c>
      <c r="Q7832">
        <v>0.36343819999999999</v>
      </c>
      <c r="R7832">
        <v>0.67633180000000004</v>
      </c>
      <c r="S7832">
        <v>2.5524140000000002</v>
      </c>
      <c r="T7832">
        <v>-0.45427040000000002</v>
      </c>
      <c r="U7832">
        <v>2.2641749999999998</v>
      </c>
      <c r="V7832">
        <v>0.36871140000000002</v>
      </c>
      <c r="W7832">
        <v>0.37099789999999999</v>
      </c>
      <c r="X7832">
        <v>0.85229840000000001</v>
      </c>
      <c r="Y7832">
        <v>0.46283220000000003</v>
      </c>
      <c r="Z7832">
        <v>-0.12315420000000001</v>
      </c>
      <c r="AA7832">
        <v>0.87784930000000005</v>
      </c>
      <c r="AB7832">
        <v>21</v>
      </c>
      <c r="AC7832">
        <v>6.1731999999999996</v>
      </c>
      <c r="AD7832">
        <v>-1.106045333662</v>
      </c>
      <c r="AE7832">
        <v>5.4144999999999897</v>
      </c>
      <c r="AF7832">
        <v>3.8235746701769102</v>
      </c>
      <c r="AG7832">
        <v>-1.106045333662</v>
      </c>
      <c r="AH7832">
        <v>7.1009735086407604</v>
      </c>
      <c r="AI7832">
        <v>97.808950249556304</v>
      </c>
      <c r="AJ7832">
        <v>61.699409681036997</v>
      </c>
      <c r="AK7832">
        <v>8.1404474268280804</v>
      </c>
      <c r="AL7832">
        <v>68.2228276293242</v>
      </c>
      <c r="AM7832">
        <v>66.606288292262605</v>
      </c>
      <c r="AN7832">
        <v>1.0000000504684601</v>
      </c>
    </row>
    <row r="7833" spans="1:40" x14ac:dyDescent="0.25">
      <c r="A7833" t="str">
        <f>"20190304165037062"</f>
        <v>20190304165037062</v>
      </c>
      <c r="B7833" t="str">
        <f>"1551689437053173"</f>
        <v>1551689437053173</v>
      </c>
      <c r="C7833" t="s">
        <v>40</v>
      </c>
      <c r="D7833">
        <v>4.6786079999999997</v>
      </c>
      <c r="E7833">
        <v>0.56770719999999997</v>
      </c>
      <c r="F7833" t="s">
        <v>48</v>
      </c>
      <c r="G7833">
        <v>-178.93530000000001</v>
      </c>
      <c r="H7833" s="1">
        <v>-5.3224510000000004E-6</v>
      </c>
      <c r="I7833">
        <v>131.16560000000001</v>
      </c>
      <c r="J7833">
        <v>-185.11609999999999</v>
      </c>
      <c r="K7833">
        <v>1.1060030000000001</v>
      </c>
      <c r="L7833">
        <v>125.7884</v>
      </c>
      <c r="M7833">
        <v>0.35323949999999998</v>
      </c>
      <c r="N7833">
        <v>-1.417086E-2</v>
      </c>
      <c r="O7833">
        <v>0.93542559999999997</v>
      </c>
      <c r="P7833">
        <v>0.64491980000000004</v>
      </c>
      <c r="Q7833">
        <v>0.36329929999999999</v>
      </c>
      <c r="R7833">
        <v>0.67237809999999998</v>
      </c>
      <c r="S7833">
        <v>2.5625149999999999</v>
      </c>
      <c r="T7833">
        <v>-0.45566630000000002</v>
      </c>
      <c r="U7833">
        <v>2.253082</v>
      </c>
      <c r="V7833">
        <v>0.37046499999999999</v>
      </c>
      <c r="W7833">
        <v>0.3708031</v>
      </c>
      <c r="X7833">
        <v>0.85162249999999995</v>
      </c>
      <c r="Y7833">
        <v>0.46291330000000003</v>
      </c>
      <c r="Z7833">
        <v>-0.1235166</v>
      </c>
      <c r="AA7833">
        <v>0.87775559999999997</v>
      </c>
      <c r="AB7833">
        <v>21</v>
      </c>
      <c r="AC7833">
        <v>6.1807999999999703</v>
      </c>
      <c r="AD7833">
        <v>-1.106008322451</v>
      </c>
      <c r="AE7833">
        <v>5.37720000000001</v>
      </c>
      <c r="AF7833">
        <v>3.8131315059277502</v>
      </c>
      <c r="AG7833">
        <v>-1.106008322451</v>
      </c>
      <c r="AH7833">
        <v>7.0848700122689099</v>
      </c>
      <c r="AI7833">
        <v>97.827028114090993</v>
      </c>
      <c r="AJ7833">
        <v>61.710520818526</v>
      </c>
      <c r="AK7833">
        <v>8.1214905886528594</v>
      </c>
      <c r="AL7833">
        <v>68.234846512627499</v>
      </c>
      <c r="AM7833">
        <v>66.4904385963886</v>
      </c>
      <c r="AN7833">
        <v>1.00000006885042</v>
      </c>
    </row>
    <row r="7834" spans="1:40" x14ac:dyDescent="0.25">
      <c r="A7834" t="str">
        <f>"20190304165037074"</f>
        <v>20190304165037074</v>
      </c>
      <c r="B7834" t="str">
        <f>"1551689437062932"</f>
        <v>1551689437062932</v>
      </c>
      <c r="C7834" t="s">
        <v>40</v>
      </c>
      <c r="D7834">
        <v>4.662795</v>
      </c>
      <c r="E7834">
        <v>0.56732680000000002</v>
      </c>
      <c r="F7834" t="s">
        <v>48</v>
      </c>
      <c r="G7834">
        <v>-178.9042</v>
      </c>
      <c r="H7834" s="1">
        <v>-5.3159799999999999E-6</v>
      </c>
      <c r="I7834">
        <v>131.20439999999999</v>
      </c>
      <c r="J7834">
        <v>-185.06899999999999</v>
      </c>
      <c r="K7834">
        <v>1.1059589999999999</v>
      </c>
      <c r="L7834">
        <v>125.8974</v>
      </c>
      <c r="M7834">
        <v>0.35796559999999999</v>
      </c>
      <c r="N7834">
        <v>-1.418374E-2</v>
      </c>
      <c r="O7834">
        <v>0.93362699999999998</v>
      </c>
      <c r="P7834">
        <v>0.64964129999999998</v>
      </c>
      <c r="Q7834">
        <v>0.36299239999999999</v>
      </c>
      <c r="R7834">
        <v>0.66798409999999997</v>
      </c>
      <c r="S7834">
        <v>2.5718380000000001</v>
      </c>
      <c r="T7834">
        <v>-0.45791029999999999</v>
      </c>
      <c r="U7834">
        <v>2.2423549999999999</v>
      </c>
      <c r="V7834">
        <v>0.37214380000000002</v>
      </c>
      <c r="W7834">
        <v>0.37043949999999998</v>
      </c>
      <c r="X7834">
        <v>0.85104849999999999</v>
      </c>
      <c r="Y7834">
        <v>0.46203529999999998</v>
      </c>
      <c r="Z7834">
        <v>-0.1240971</v>
      </c>
      <c r="AA7834">
        <v>0.87813629999999998</v>
      </c>
      <c r="AB7834">
        <v>21</v>
      </c>
      <c r="AC7834">
        <v>6.1648000000000103</v>
      </c>
      <c r="AD7834">
        <v>-1.1059643159799999</v>
      </c>
      <c r="AE7834">
        <v>5.30699999999998</v>
      </c>
      <c r="AF7834">
        <v>3.7862973370487798</v>
      </c>
      <c r="AG7834">
        <v>-1.1059643159799999</v>
      </c>
      <c r="AH7834">
        <v>7.0322715937901101</v>
      </c>
      <c r="AI7834">
        <v>97.883846155711197</v>
      </c>
      <c r="AJ7834">
        <v>61.701205103954003</v>
      </c>
      <c r="AK7834">
        <v>8.06300492134236</v>
      </c>
      <c r="AL7834">
        <v>68.257274841565007</v>
      </c>
      <c r="AM7834">
        <v>66.381355040670599</v>
      </c>
      <c r="AN7834">
        <v>0.99999999019547003</v>
      </c>
    </row>
    <row r="7835" spans="1:40" x14ac:dyDescent="0.25">
      <c r="A7835" t="str">
        <f>"20190304165037095"</f>
        <v>20190304165037095</v>
      </c>
      <c r="B7835" t="str">
        <f>"1551689437083428"</f>
        <v>1551689437083428</v>
      </c>
      <c r="C7835" t="s">
        <v>40</v>
      </c>
      <c r="D7835">
        <v>4.7106579999999996</v>
      </c>
      <c r="E7835">
        <v>0.56647349999999996</v>
      </c>
      <c r="F7835" t="s">
        <v>48</v>
      </c>
      <c r="G7835">
        <v>-178.8759</v>
      </c>
      <c r="H7835" s="1">
        <v>-5.3119729999999996E-6</v>
      </c>
      <c r="I7835">
        <v>131.2448</v>
      </c>
      <c r="J7835">
        <v>-184.99260000000001</v>
      </c>
      <c r="K7835">
        <v>1.1059030000000001</v>
      </c>
      <c r="L7835">
        <v>126.0703</v>
      </c>
      <c r="M7835">
        <v>0.36558459999999998</v>
      </c>
      <c r="N7835">
        <v>-1.420363E-2</v>
      </c>
      <c r="O7835">
        <v>0.93066970000000004</v>
      </c>
      <c r="P7835">
        <v>0.65745909999999996</v>
      </c>
      <c r="Q7835">
        <v>0.36193229999999998</v>
      </c>
      <c r="R7835">
        <v>0.66087259999999903</v>
      </c>
      <c r="S7835">
        <v>2.5826570000000002</v>
      </c>
      <c r="T7835">
        <v>-0.46120610000000001</v>
      </c>
      <c r="U7835">
        <v>2.2299799999999999</v>
      </c>
      <c r="V7835">
        <v>0.37504850000000001</v>
      </c>
      <c r="W7835">
        <v>0.36929519999999999</v>
      </c>
      <c r="X7835">
        <v>0.85027039999999998</v>
      </c>
      <c r="Y7835">
        <v>0.45894689999999999</v>
      </c>
      <c r="Z7835">
        <v>-0.12486849999999999</v>
      </c>
      <c r="AA7835">
        <v>0.87964519999999902</v>
      </c>
      <c r="AB7835">
        <v>21</v>
      </c>
      <c r="AC7835">
        <v>6.1166999999999998</v>
      </c>
      <c r="AD7835">
        <v>-1.105908311973</v>
      </c>
      <c r="AE7835">
        <v>5.1744999999999903</v>
      </c>
      <c r="AF7835">
        <v>3.7302197376323001</v>
      </c>
      <c r="AG7835">
        <v>-1.105908311973</v>
      </c>
      <c r="AH7835">
        <v>6.9207685943030803</v>
      </c>
      <c r="AI7835">
        <v>98.006942730028399</v>
      </c>
      <c r="AJ7835">
        <v>61.675810713909797</v>
      </c>
      <c r="AK7835">
        <v>7.9394338854482802</v>
      </c>
      <c r="AL7835">
        <v>68.327843842693895</v>
      </c>
      <c r="AM7835">
        <v>66.198049858005007</v>
      </c>
      <c r="AN7835">
        <v>1.0000000376057201</v>
      </c>
    </row>
    <row r="7836" spans="1:40" x14ac:dyDescent="0.25">
      <c r="A7836" t="str">
        <f>"20190304165037105"</f>
        <v>20190304165037105</v>
      </c>
      <c r="B7836" t="str">
        <f>"1551689437102948"</f>
        <v>1551689437102948</v>
      </c>
      <c r="C7836" t="s">
        <v>40</v>
      </c>
      <c r="D7836">
        <v>4.7096159999999996</v>
      </c>
      <c r="E7836">
        <v>0.56588950000000005</v>
      </c>
      <c r="F7836" t="s">
        <v>48</v>
      </c>
      <c r="G7836">
        <v>-178.86</v>
      </c>
      <c r="H7836" s="1">
        <v>-5.3150629999999998E-6</v>
      </c>
      <c r="I7836">
        <v>131.28139999999999</v>
      </c>
      <c r="J7836">
        <v>-184.95089999999999</v>
      </c>
      <c r="K7836">
        <v>1.1058779999999999</v>
      </c>
      <c r="L7836">
        <v>126.16249999999999</v>
      </c>
      <c r="M7836">
        <v>0.36970239999999999</v>
      </c>
      <c r="N7836">
        <v>-1.421363E-2</v>
      </c>
      <c r="O7836">
        <v>0.92904149999999996</v>
      </c>
      <c r="P7836">
        <v>0.66097519999999998</v>
      </c>
      <c r="Q7836">
        <v>0.361738</v>
      </c>
      <c r="R7836">
        <v>0.65746300000000002</v>
      </c>
      <c r="S7836">
        <v>2.6001889999999999</v>
      </c>
      <c r="T7836">
        <v>-0.46889999999999998</v>
      </c>
      <c r="U7836">
        <v>2.2094879999999999</v>
      </c>
      <c r="V7836">
        <v>0.37580380000000002</v>
      </c>
      <c r="W7836">
        <v>0.36907400000000001</v>
      </c>
      <c r="X7836">
        <v>0.85003289999999998</v>
      </c>
      <c r="Y7836">
        <v>0.46173009999999898</v>
      </c>
      <c r="Z7836">
        <v>-0.1271562</v>
      </c>
      <c r="AA7836">
        <v>0.8778591</v>
      </c>
      <c r="AB7836">
        <v>21</v>
      </c>
      <c r="AC7836">
        <v>6.0908999999999702</v>
      </c>
      <c r="AD7836">
        <v>-1.1058833150630001</v>
      </c>
      <c r="AE7836">
        <v>5.1188999999999902</v>
      </c>
      <c r="AF7836">
        <v>3.6952193192373399</v>
      </c>
      <c r="AG7836">
        <v>-1.1058833150630001</v>
      </c>
      <c r="AH7836">
        <v>6.8753689490281902</v>
      </c>
      <c r="AI7836">
        <v>98.0640273740987</v>
      </c>
      <c r="AJ7836">
        <v>61.743855066595998</v>
      </c>
      <c r="AK7836">
        <v>7.8834206984697097</v>
      </c>
      <c r="AL7836">
        <v>68.341480707024203</v>
      </c>
      <c r="AM7836">
        <v>66.149538436968299</v>
      </c>
      <c r="AN7836">
        <v>1.00000002232642</v>
      </c>
    </row>
    <row r="7837" spans="1:40" x14ac:dyDescent="0.25">
      <c r="A7837" t="str">
        <f>"20190304165037117"</f>
        <v>20190304165037117</v>
      </c>
      <c r="B7837" t="str">
        <f>"1551689437113685"</f>
        <v>1551689437113685</v>
      </c>
      <c r="C7837" t="s">
        <v>40</v>
      </c>
      <c r="D7837">
        <v>4.706779</v>
      </c>
      <c r="E7837">
        <v>0.56563439999999998</v>
      </c>
      <c r="F7837" t="s">
        <v>48</v>
      </c>
      <c r="G7837">
        <v>-178.82210000000001</v>
      </c>
      <c r="H7837" s="1">
        <v>-5.3079490000000003E-6</v>
      </c>
      <c r="I7837">
        <v>131.33080000000001</v>
      </c>
      <c r="J7837">
        <v>-184.90700000000001</v>
      </c>
      <c r="K7837">
        <v>1.105847</v>
      </c>
      <c r="L7837">
        <v>126.2591</v>
      </c>
      <c r="M7837">
        <v>0.37401909999999999</v>
      </c>
      <c r="N7837">
        <v>-1.4223700000000001E-2</v>
      </c>
      <c r="O7837">
        <v>0.92731189999999997</v>
      </c>
      <c r="P7837">
        <v>0.66427449999999999</v>
      </c>
      <c r="Q7837">
        <v>0.36137979999999997</v>
      </c>
      <c r="R7837">
        <v>0.6543272</v>
      </c>
      <c r="S7837">
        <v>2.6083980000000002</v>
      </c>
      <c r="T7837">
        <v>-0.47066330000000001</v>
      </c>
      <c r="U7837">
        <v>2.1996000000000002</v>
      </c>
      <c r="V7837">
        <v>0.37607259999999998</v>
      </c>
      <c r="W7837">
        <v>0.36869950000000001</v>
      </c>
      <c r="X7837">
        <v>0.85007649999999901</v>
      </c>
      <c r="Y7837">
        <v>0.4608718</v>
      </c>
      <c r="Z7837">
        <v>-0.1275886</v>
      </c>
      <c r="AA7837">
        <v>0.87824729999999995</v>
      </c>
      <c r="AB7837">
        <v>21</v>
      </c>
      <c r="AC7837">
        <v>6.0849000000000002</v>
      </c>
      <c r="AD7837">
        <v>-1.1058523079489999</v>
      </c>
      <c r="AE7837">
        <v>5.0716999999999999</v>
      </c>
      <c r="AF7837">
        <v>3.6744544767023402</v>
      </c>
      <c r="AG7837">
        <v>-1.1058523079489999</v>
      </c>
      <c r="AH7837">
        <v>6.8461961157761699</v>
      </c>
      <c r="AI7837">
        <v>98.100185294684394</v>
      </c>
      <c r="AJ7837">
        <v>61.776888292254299</v>
      </c>
      <c r="AK7837">
        <v>7.8482435158462502</v>
      </c>
      <c r="AL7837">
        <v>68.364565325944795</v>
      </c>
      <c r="AM7837">
        <v>66.135471605597402</v>
      </c>
      <c r="AN7837">
        <v>0.99999998881162899</v>
      </c>
    </row>
    <row r="7838" spans="1:40" x14ac:dyDescent="0.25">
      <c r="A7838" t="str">
        <f>"20190304165037128"</f>
        <v>20190304165037128</v>
      </c>
      <c r="B7838" t="str">
        <f>"1551689437123445"</f>
        <v>1551689437123445</v>
      </c>
      <c r="C7838" t="s">
        <v>40</v>
      </c>
      <c r="D7838">
        <v>4.7017150000000001</v>
      </c>
      <c r="E7838">
        <v>0.56536119999999901</v>
      </c>
      <c r="F7838" t="s">
        <v>48</v>
      </c>
      <c r="G7838">
        <v>-178.7748</v>
      </c>
      <c r="H7838" s="1">
        <v>-5.294727E-6</v>
      </c>
      <c r="I7838">
        <v>131.381</v>
      </c>
      <c r="J7838">
        <v>-184.8622</v>
      </c>
      <c r="K7838">
        <v>1.1058330000000001</v>
      </c>
      <c r="L7838">
        <v>126.35599999999999</v>
      </c>
      <c r="M7838">
        <v>0.37839080000000003</v>
      </c>
      <c r="N7838">
        <v>-1.423292E-2</v>
      </c>
      <c r="O7838">
        <v>0.92553649999999998</v>
      </c>
      <c r="P7838">
        <v>0.66733310000000001</v>
      </c>
      <c r="Q7838">
        <v>0.36141499999999999</v>
      </c>
      <c r="R7838">
        <v>0.65118779999999998</v>
      </c>
      <c r="S7838">
        <v>2.618668</v>
      </c>
      <c r="T7838">
        <v>-0.47223789999999999</v>
      </c>
      <c r="U7838">
        <v>2.1872250000000002</v>
      </c>
      <c r="V7838">
        <v>0.37606820000000002</v>
      </c>
      <c r="W7838">
        <v>0.36872650000000001</v>
      </c>
      <c r="X7838">
        <v>0.85006669999999995</v>
      </c>
      <c r="Y7838">
        <v>0.46078730000000001</v>
      </c>
      <c r="Z7838">
        <v>-0.12798709999999999</v>
      </c>
      <c r="AA7838">
        <v>0.87823370000000001</v>
      </c>
      <c r="AB7838">
        <v>21</v>
      </c>
      <c r="AC7838">
        <v>6.0873999999999997</v>
      </c>
      <c r="AD7838">
        <v>-1.105838294727</v>
      </c>
      <c r="AE7838">
        <v>5.0249999999999897</v>
      </c>
      <c r="AF7838">
        <v>3.6612178738538899</v>
      </c>
      <c r="AG7838">
        <v>-1.105838294727</v>
      </c>
      <c r="AH7838">
        <v>6.8210669750870201</v>
      </c>
      <c r="AI7838">
        <v>98.129404155310098</v>
      </c>
      <c r="AJ7838">
        <v>61.775254227806897</v>
      </c>
      <c r="AK7838">
        <v>7.8201246366368604</v>
      </c>
      <c r="AL7838">
        <v>68.362900397291199</v>
      </c>
      <c r="AM7838">
        <v>66.135475241087804</v>
      </c>
      <c r="AN7838">
        <v>0.99999995865118896</v>
      </c>
    </row>
    <row r="7839" spans="1:40" x14ac:dyDescent="0.25">
      <c r="A7839" t="str">
        <f>"20190304165037140"</f>
        <v>20190304165037140</v>
      </c>
      <c r="B7839" t="str">
        <f>"1551689437133205"</f>
        <v>1551689437133205</v>
      </c>
      <c r="C7839" t="s">
        <v>40</v>
      </c>
      <c r="D7839">
        <v>4.7120790000000001</v>
      </c>
      <c r="E7839">
        <v>0.56510319999999903</v>
      </c>
      <c r="F7839" t="s">
        <v>48</v>
      </c>
      <c r="G7839">
        <v>-178.708</v>
      </c>
      <c r="H7839" s="1">
        <v>-5.2737229999999996E-6</v>
      </c>
      <c r="I7839">
        <v>131.44579999999999</v>
      </c>
      <c r="J7839">
        <v>-184.81659999999999</v>
      </c>
      <c r="K7839">
        <v>1.1058209999999999</v>
      </c>
      <c r="L7839">
        <v>126.45350000000001</v>
      </c>
      <c r="M7839">
        <v>0.3827991</v>
      </c>
      <c r="N7839">
        <v>-1.4241490000000001E-2</v>
      </c>
      <c r="O7839">
        <v>0.92372180000000004</v>
      </c>
      <c r="P7839">
        <v>0.67027930000000002</v>
      </c>
      <c r="Q7839">
        <v>0.36162139999999998</v>
      </c>
      <c r="R7839">
        <v>0.6480399</v>
      </c>
      <c r="S7839">
        <v>2.6293639999999998</v>
      </c>
      <c r="T7839">
        <v>-0.47246589999999999</v>
      </c>
      <c r="U7839">
        <v>2.1746059999999998</v>
      </c>
      <c r="V7839">
        <v>0.37592829999999999</v>
      </c>
      <c r="W7839">
        <v>0.3689286</v>
      </c>
      <c r="X7839">
        <v>0.85004089999999999</v>
      </c>
      <c r="Y7839">
        <v>0.46082089999999998</v>
      </c>
      <c r="Z7839">
        <v>-0.12798380000000001</v>
      </c>
      <c r="AA7839">
        <v>0.87821659999999901</v>
      </c>
      <c r="AB7839">
        <v>21</v>
      </c>
      <c r="AC7839">
        <v>6.1085999999999903</v>
      </c>
      <c r="AD7839">
        <v>-1.105826273723</v>
      </c>
      <c r="AE7839">
        <v>4.9922999999999798</v>
      </c>
      <c r="AF7839">
        <v>3.66006477813078</v>
      </c>
      <c r="AG7839">
        <v>-1.105826273723</v>
      </c>
      <c r="AH7839">
        <v>6.8166349669454904</v>
      </c>
      <c r="AI7839">
        <v>98.133930314730705</v>
      </c>
      <c r="AJ7839">
        <v>61.767256138298897</v>
      </c>
      <c r="AK7839">
        <v>7.8157173823235002</v>
      </c>
      <c r="AL7839">
        <v>68.350442767372897</v>
      </c>
      <c r="AM7839">
        <v>66.142718518592602</v>
      </c>
      <c r="AN7839">
        <v>0.99999996515582901</v>
      </c>
    </row>
    <row r="7840" spans="1:40" x14ac:dyDescent="0.25">
      <c r="A7840" t="str">
        <f>"20190304165037150"</f>
        <v>20190304165037150</v>
      </c>
      <c r="B7840" t="str">
        <f>"1551689437142964"</f>
        <v>1551689437142964</v>
      </c>
      <c r="C7840" t="s">
        <v>40</v>
      </c>
      <c r="D7840">
        <v>4.6677689999999998</v>
      </c>
      <c r="E7840">
        <v>0.56510319999999903</v>
      </c>
      <c r="F7840" t="s">
        <v>48</v>
      </c>
      <c r="G7840">
        <v>-178.63030000000001</v>
      </c>
      <c r="H7840" s="1">
        <v>-5.2493529999999998E-6</v>
      </c>
      <c r="I7840">
        <v>131.5213</v>
      </c>
      <c r="J7840">
        <v>-184.7732</v>
      </c>
      <c r="K7840">
        <v>1.105817</v>
      </c>
      <c r="L7840">
        <v>126.54510000000001</v>
      </c>
      <c r="M7840">
        <v>0.38696249999999999</v>
      </c>
      <c r="N7840">
        <v>-1.4248739999999999E-2</v>
      </c>
      <c r="O7840">
        <v>0.92198530000000001</v>
      </c>
      <c r="P7840">
        <v>0.67321600000000004</v>
      </c>
      <c r="Q7840">
        <v>0.36207630000000002</v>
      </c>
      <c r="R7840">
        <v>0.64473340000000001</v>
      </c>
      <c r="S7840">
        <v>2.6396639999999998</v>
      </c>
      <c r="T7840">
        <v>-0.47184799999999899</v>
      </c>
      <c r="U7840">
        <v>2.1623839999999999</v>
      </c>
      <c r="V7840">
        <v>0.37606650000000003</v>
      </c>
      <c r="W7840">
        <v>0.36937720000000002</v>
      </c>
      <c r="X7840">
        <v>0.84978500000000001</v>
      </c>
      <c r="Y7840">
        <v>0.46096320000000002</v>
      </c>
      <c r="Z7840">
        <v>-0.1277385</v>
      </c>
      <c r="AA7840">
        <v>0.8781776</v>
      </c>
      <c r="AB7840">
        <v>21</v>
      </c>
      <c r="AC7840">
        <v>6.1428999999999903</v>
      </c>
      <c r="AD7840">
        <v>-1.1058222493529899</v>
      </c>
      <c r="AE7840">
        <v>4.9761999999999897</v>
      </c>
      <c r="AF7840">
        <v>3.6666971702130899</v>
      </c>
      <c r="AG7840">
        <v>-1.1058222493529899</v>
      </c>
      <c r="AH7840">
        <v>6.8320849130899903</v>
      </c>
      <c r="AI7840">
        <v>98.116564956573399</v>
      </c>
      <c r="AJ7840">
        <v>61.778083785812299</v>
      </c>
      <c r="AK7840">
        <v>7.8322982096498697</v>
      </c>
      <c r="AL7840">
        <v>68.322788121230701</v>
      </c>
      <c r="AM7840">
        <v>66.128544214312498</v>
      </c>
      <c r="AN7840">
        <v>1.00000003726354</v>
      </c>
    </row>
    <row r="7841" spans="1:40" x14ac:dyDescent="0.25">
      <c r="A7841" t="str">
        <f>"20190304165037161"</f>
        <v>20190304165037161</v>
      </c>
      <c r="B7841" t="str">
        <f>"1551689437153701"</f>
        <v>1551689437153701</v>
      </c>
      <c r="C7841" t="s">
        <v>40</v>
      </c>
      <c r="D7841">
        <v>4.5630850000000001</v>
      </c>
      <c r="E7841">
        <v>0.56018590000000001</v>
      </c>
      <c r="F7841" t="s">
        <v>48</v>
      </c>
      <c r="G7841">
        <v>-178.53819999999999</v>
      </c>
      <c r="H7841" s="1">
        <v>-5.2170509999999997E-6</v>
      </c>
      <c r="I7841">
        <v>131.60169999999999</v>
      </c>
      <c r="J7841">
        <v>-184.7294</v>
      </c>
      <c r="K7841">
        <v>1.105817</v>
      </c>
      <c r="L7841">
        <v>126.63639999999999</v>
      </c>
      <c r="M7841">
        <v>0.39112710000000001</v>
      </c>
      <c r="N7841">
        <v>-1.42551E-2</v>
      </c>
      <c r="O7841">
        <v>0.92022630000000005</v>
      </c>
      <c r="P7841">
        <v>0.67612530000000004</v>
      </c>
      <c r="Q7841">
        <v>0.36262319999999998</v>
      </c>
      <c r="R7841">
        <v>0.64137270000000002</v>
      </c>
      <c r="S7841">
        <v>2.650452</v>
      </c>
      <c r="T7841">
        <v>-0.47007729999999998</v>
      </c>
      <c r="U7841">
        <v>2.1495060000000001</v>
      </c>
      <c r="V7841">
        <v>0.3761988</v>
      </c>
      <c r="W7841">
        <v>0.36992120000000001</v>
      </c>
      <c r="X7841">
        <v>0.84948969999999902</v>
      </c>
      <c r="Y7841">
        <v>0.46134239999999999</v>
      </c>
      <c r="Z7841">
        <v>-0.1271629</v>
      </c>
      <c r="AA7841">
        <v>0.87806200000000001</v>
      </c>
      <c r="AB7841">
        <v>21</v>
      </c>
      <c r="AC7841">
        <v>6.1912000000000003</v>
      </c>
      <c r="AD7841">
        <v>-1.1058222170509999</v>
      </c>
      <c r="AE7841">
        <v>4.9652999999999903</v>
      </c>
      <c r="AF7841">
        <v>3.68409725145177</v>
      </c>
      <c r="AG7841">
        <v>-1.1058222170509999</v>
      </c>
      <c r="AH7841">
        <v>6.8583035131032597</v>
      </c>
      <c r="AI7841">
        <v>98.084333090889103</v>
      </c>
      <c r="AJ7841">
        <v>61.756496975955599</v>
      </c>
      <c r="AK7841">
        <v>7.8633162477241498</v>
      </c>
      <c r="AL7841">
        <v>68.289242225165395</v>
      </c>
      <c r="AM7841">
        <v>66.113713306982504</v>
      </c>
      <c r="AN7841">
        <v>0.99999999086848401</v>
      </c>
    </row>
    <row r="7842" spans="1:40" x14ac:dyDescent="0.25">
      <c r="A7842" t="str">
        <f>"20190304165037172"</f>
        <v>20190304165037172</v>
      </c>
      <c r="B7842" t="str">
        <f>"1551689437163460"</f>
        <v>1551689437163460</v>
      </c>
      <c r="C7842" t="s">
        <v>40</v>
      </c>
      <c r="D7842">
        <v>4.7136129999999996</v>
      </c>
      <c r="E7842">
        <v>0.5591469</v>
      </c>
      <c r="F7842" t="s">
        <v>48</v>
      </c>
      <c r="G7842">
        <v>-175.31870000000001</v>
      </c>
      <c r="H7842" s="1">
        <v>-4.0212069999999997E-6</v>
      </c>
      <c r="I7842">
        <v>134.23759999999999</v>
      </c>
      <c r="J7842">
        <v>-184.6848</v>
      </c>
      <c r="K7842">
        <v>1.1058190000000001</v>
      </c>
      <c r="L7842">
        <v>126.72839999999999</v>
      </c>
      <c r="M7842">
        <v>0.39532990000000001</v>
      </c>
      <c r="N7842">
        <v>-1.426092E-2</v>
      </c>
      <c r="O7842">
        <v>0.91842849999999998</v>
      </c>
      <c r="P7842">
        <v>0.67909629999999999</v>
      </c>
      <c r="Q7842">
        <v>0.36339320000000003</v>
      </c>
      <c r="R7842">
        <v>0.63778819999999903</v>
      </c>
      <c r="S7842">
        <v>2.6051639999999998</v>
      </c>
      <c r="T7842">
        <v>-0.30612679999999998</v>
      </c>
      <c r="U7842">
        <v>2.1042480000000001</v>
      </c>
      <c r="V7842">
        <v>0.37644309999999997</v>
      </c>
      <c r="W7842">
        <v>0.37068699999999999</v>
      </c>
      <c r="X7842">
        <v>0.84904749999999996</v>
      </c>
      <c r="Y7842">
        <v>0.4631422</v>
      </c>
      <c r="Z7842">
        <v>-8.0833650000000007E-2</v>
      </c>
      <c r="AA7842">
        <v>0.88259009999999904</v>
      </c>
      <c r="AB7842">
        <v>21</v>
      </c>
      <c r="AC7842">
        <v>9.3660999999999799</v>
      </c>
      <c r="AD7842">
        <v>-1.1058230212069999</v>
      </c>
      <c r="AE7842">
        <v>7.5091999999999901</v>
      </c>
      <c r="AF7842">
        <v>5.5866499346688103</v>
      </c>
      <c r="AG7842">
        <v>-1.1058230212069999</v>
      </c>
      <c r="AH7842">
        <v>10.511248625481601</v>
      </c>
      <c r="AI7842">
        <v>95.307417490257393</v>
      </c>
      <c r="AJ7842">
        <v>62.009690155508601</v>
      </c>
      <c r="AK7842">
        <v>11.9549090215465</v>
      </c>
      <c r="AL7842">
        <v>68.242006462009996</v>
      </c>
      <c r="AM7842">
        <v>66.088886921032596</v>
      </c>
      <c r="AN7842">
        <v>0.99999995838142897</v>
      </c>
    </row>
    <row r="7843" spans="1:40" x14ac:dyDescent="0.25">
      <c r="A7843" t="str">
        <f>"20190304165037182"</f>
        <v>20190304165037182</v>
      </c>
      <c r="B7843" t="str">
        <f>"1551689437173221"</f>
        <v>1551689437173221</v>
      </c>
      <c r="C7843" t="s">
        <v>40</v>
      </c>
      <c r="D7843">
        <v>4.8113239999999999</v>
      </c>
      <c r="E7843">
        <v>0.5584074</v>
      </c>
      <c r="F7843" t="s">
        <v>48</v>
      </c>
      <c r="G7843">
        <v>-176.6756</v>
      </c>
      <c r="H7843" s="1">
        <v>-4.5556250000000001E-6</v>
      </c>
      <c r="I7843">
        <v>133.20679999999999</v>
      </c>
      <c r="J7843">
        <v>-184.64019999999999</v>
      </c>
      <c r="K7843">
        <v>1.1058190000000001</v>
      </c>
      <c r="L7843">
        <v>126.81910000000001</v>
      </c>
      <c r="M7843">
        <v>0.3994856</v>
      </c>
      <c r="N7843">
        <v>-1.426559E-2</v>
      </c>
      <c r="O7843">
        <v>0.91662849999999996</v>
      </c>
      <c r="P7843">
        <v>0.68164969999999903</v>
      </c>
      <c r="Q7843">
        <v>0.36399369999999998</v>
      </c>
      <c r="R7843">
        <v>0.63471420000000001</v>
      </c>
      <c r="S7843">
        <v>2.620514</v>
      </c>
      <c r="T7843">
        <v>-0.3618131</v>
      </c>
      <c r="U7843">
        <v>2.119659</v>
      </c>
      <c r="V7843">
        <v>0.37614140000000001</v>
      </c>
      <c r="W7843">
        <v>0.37129899999999999</v>
      </c>
      <c r="X7843">
        <v>0.84891380000000005</v>
      </c>
      <c r="Y7843">
        <v>0.45731050000000001</v>
      </c>
      <c r="Z7843">
        <v>-9.6615999999999994E-2</v>
      </c>
      <c r="AA7843">
        <v>0.88404319999999903</v>
      </c>
      <c r="AB7843">
        <v>21</v>
      </c>
      <c r="AC7843">
        <v>7.9645999999999901</v>
      </c>
      <c r="AD7843">
        <v>-1.105823555625</v>
      </c>
      <c r="AE7843">
        <v>6.3876999999999802</v>
      </c>
      <c r="AF7843">
        <v>4.6941991041223696</v>
      </c>
      <c r="AG7843">
        <v>-1.105823555625</v>
      </c>
      <c r="AH7843">
        <v>8.9330141132401604</v>
      </c>
      <c r="AI7843">
        <v>96.253629639968295</v>
      </c>
      <c r="AJ7843">
        <v>62.2785755489368</v>
      </c>
      <c r="AK7843">
        <v>10.151703901940101</v>
      </c>
      <c r="AL7843">
        <v>68.204247011637605</v>
      </c>
      <c r="AM7843">
        <v>66.102562154838196</v>
      </c>
      <c r="AN7843">
        <v>0.99999997001269902</v>
      </c>
    </row>
    <row r="7844" spans="1:40" x14ac:dyDescent="0.25">
      <c r="A7844" t="str">
        <f>"20190304165037194"</f>
        <v>20190304165037194</v>
      </c>
      <c r="B7844" t="str">
        <f>"1551689437182981"</f>
        <v>1551689437182981</v>
      </c>
      <c r="C7844" t="s">
        <v>40</v>
      </c>
      <c r="D7844">
        <v>4.8873639999999998</v>
      </c>
      <c r="E7844">
        <v>0.55974019999999902</v>
      </c>
      <c r="F7844" t="s">
        <v>48</v>
      </c>
      <c r="G7844">
        <v>-176.9265</v>
      </c>
      <c r="H7844" s="1">
        <v>-4.6608679999999997E-6</v>
      </c>
      <c r="I7844">
        <v>133.03309999999999</v>
      </c>
      <c r="J7844">
        <v>-184.59309999999999</v>
      </c>
      <c r="K7844">
        <v>1.1058300000000001</v>
      </c>
      <c r="L7844">
        <v>126.91419999999999</v>
      </c>
      <c r="M7844">
        <v>0.40384130000000001</v>
      </c>
      <c r="N7844">
        <v>-1.427019E-2</v>
      </c>
      <c r="O7844">
        <v>0.91471780000000003</v>
      </c>
      <c r="P7844">
        <v>0.6839731</v>
      </c>
      <c r="Q7844">
        <v>0.36494409999999999</v>
      </c>
      <c r="R7844">
        <v>0.63166199999999995</v>
      </c>
      <c r="S7844">
        <v>2.629791</v>
      </c>
      <c r="T7844">
        <v>-0.3770059</v>
      </c>
      <c r="U7844">
        <v>2.1185149999999999</v>
      </c>
      <c r="V7844">
        <v>0.37543729999999997</v>
      </c>
      <c r="W7844">
        <v>0.37226799999999999</v>
      </c>
      <c r="X7844">
        <v>0.84880109999999998</v>
      </c>
      <c r="Y7844">
        <v>0.45449109999999998</v>
      </c>
      <c r="Z7844">
        <v>-0.1007646</v>
      </c>
      <c r="AA7844">
        <v>0.88503349999999903</v>
      </c>
      <c r="AB7844">
        <v>20</v>
      </c>
      <c r="AC7844">
        <v>7.6665999999999803</v>
      </c>
      <c r="AD7844">
        <v>-1.1058346608680001</v>
      </c>
      <c r="AE7844">
        <v>6.1188999999999902</v>
      </c>
      <c r="AF7844">
        <v>4.4851693942544699</v>
      </c>
      <c r="AG7844">
        <v>-1.1058346608680001</v>
      </c>
      <c r="AH7844">
        <v>8.5849319050676396</v>
      </c>
      <c r="AI7844">
        <v>96.513191398484295</v>
      </c>
      <c r="AJ7844">
        <v>62.415331050213602</v>
      </c>
      <c r="AK7844">
        <v>9.7488804796746997</v>
      </c>
      <c r="AL7844">
        <v>68.144440397713595</v>
      </c>
      <c r="AM7844">
        <v>66.139483570510905</v>
      </c>
      <c r="AN7844">
        <v>0.99999996870824903</v>
      </c>
    </row>
    <row r="7845" spans="1:40" x14ac:dyDescent="0.25">
      <c r="A7845" t="str">
        <f>"20190304165037206"</f>
        <v>20190304165037206</v>
      </c>
      <c r="B7845" t="str">
        <f>"1551689437203477"</f>
        <v>1551689437203477</v>
      </c>
      <c r="C7845" t="s">
        <v>40</v>
      </c>
      <c r="D7845">
        <v>4.9357150000000001</v>
      </c>
      <c r="E7845">
        <v>0.56541370000000002</v>
      </c>
      <c r="F7845" t="s">
        <v>48</v>
      </c>
      <c r="G7845">
        <v>-177.14490000000001</v>
      </c>
      <c r="H7845" s="1">
        <v>-4.732928E-6</v>
      </c>
      <c r="I7845">
        <v>132.8306</v>
      </c>
      <c r="J7845">
        <v>-184.54580000000001</v>
      </c>
      <c r="K7845">
        <v>1.1058460000000001</v>
      </c>
      <c r="L7845">
        <v>127.0077</v>
      </c>
      <c r="M7845">
        <v>0.40814159999999999</v>
      </c>
      <c r="N7845">
        <v>-1.427346E-2</v>
      </c>
      <c r="O7845">
        <v>0.91280700000000004</v>
      </c>
      <c r="P7845">
        <v>0.68610179999999998</v>
      </c>
      <c r="Q7845">
        <v>0.36595250000000001</v>
      </c>
      <c r="R7845">
        <v>0.62876330000000002</v>
      </c>
      <c r="S7845">
        <v>2.6512760000000002</v>
      </c>
      <c r="T7845">
        <v>-0.3936327</v>
      </c>
      <c r="U7845">
        <v>2.105988</v>
      </c>
      <c r="V7845">
        <v>0.37454169999999998</v>
      </c>
      <c r="W7845">
        <v>0.37330200000000002</v>
      </c>
      <c r="X7845">
        <v>0.84874269999999996</v>
      </c>
      <c r="Y7845">
        <v>0.45596609999999999</v>
      </c>
      <c r="Z7845">
        <v>-0.1053504</v>
      </c>
      <c r="AA7845">
        <v>0.88373989999999902</v>
      </c>
      <c r="AB7845">
        <v>20</v>
      </c>
      <c r="AC7845">
        <v>7.4009</v>
      </c>
      <c r="AD7845">
        <v>-1.1058507329279901</v>
      </c>
      <c r="AE7845">
        <v>5.8228999999999997</v>
      </c>
      <c r="AF7845">
        <v>4.3198997433316801</v>
      </c>
      <c r="AG7845">
        <v>-1.1058507329279901</v>
      </c>
      <c r="AH7845">
        <v>8.2232486004876009</v>
      </c>
      <c r="AI7845">
        <v>96.789164958734503</v>
      </c>
      <c r="AJ7845">
        <v>62.285813150295802</v>
      </c>
      <c r="AK7845">
        <v>9.3544779213687796</v>
      </c>
      <c r="AL7845">
        <v>68.080595562483197</v>
      </c>
      <c r="AM7845">
        <v>66.188609827369405</v>
      </c>
      <c r="AN7845">
        <v>1.00000001952308</v>
      </c>
    </row>
    <row r="7846" spans="1:40" x14ac:dyDescent="0.25">
      <c r="A7846" t="str">
        <f>"20190304165037218"</f>
        <v>20190304165037218</v>
      </c>
      <c r="B7846" t="str">
        <f>"1551689437213236"</f>
        <v>1551689437213236</v>
      </c>
      <c r="C7846" t="s">
        <v>40</v>
      </c>
      <c r="D7846">
        <v>4.8668930000000001</v>
      </c>
      <c r="E7846">
        <v>0.56768790000000002</v>
      </c>
      <c r="F7846" t="s">
        <v>48</v>
      </c>
      <c r="G7846">
        <v>-177.5033</v>
      </c>
      <c r="H7846" s="1">
        <v>-4.8205470000000001E-6</v>
      </c>
      <c r="I7846">
        <v>132.41720000000001</v>
      </c>
      <c r="J7846">
        <v>-184.4973</v>
      </c>
      <c r="K7846">
        <v>1.1058699999999999</v>
      </c>
      <c r="L7846">
        <v>127.10339999999999</v>
      </c>
      <c r="M7846">
        <v>0.41253309999999999</v>
      </c>
      <c r="N7846">
        <v>-1.427661E-2</v>
      </c>
      <c r="O7846">
        <v>0.91083069999999999</v>
      </c>
      <c r="P7846">
        <v>0.68821919999999903</v>
      </c>
      <c r="Q7846">
        <v>0.36694599999999999</v>
      </c>
      <c r="R7846">
        <v>0.62586350000000002</v>
      </c>
      <c r="S7846">
        <v>2.6988219999999998</v>
      </c>
      <c r="T7846">
        <v>-0.42377819999999999</v>
      </c>
      <c r="U7846">
        <v>2.0729829999999998</v>
      </c>
      <c r="V7846">
        <v>0.37354929999999997</v>
      </c>
      <c r="W7846">
        <v>0.37432359999999998</v>
      </c>
      <c r="X7846">
        <v>0.84873009999999904</v>
      </c>
      <c r="Y7846">
        <v>0.46523310000000001</v>
      </c>
      <c r="Z7846">
        <v>-0.11382200000000001</v>
      </c>
      <c r="AA7846">
        <v>0.87783979999999995</v>
      </c>
      <c r="AB7846">
        <v>20</v>
      </c>
      <c r="AC7846">
        <v>6.9939999999999998</v>
      </c>
      <c r="AD7846">
        <v>-1.1058748205469999</v>
      </c>
      <c r="AE7846">
        <v>5.3138000000000103</v>
      </c>
      <c r="AF7846">
        <v>4.1134543665329204</v>
      </c>
      <c r="AG7846">
        <v>-1.1058748205469999</v>
      </c>
      <c r="AH7846">
        <v>7.6054606847850703</v>
      </c>
      <c r="AI7846">
        <v>97.288401297129994</v>
      </c>
      <c r="AJ7846">
        <v>61.593022133086897</v>
      </c>
      <c r="AK7846">
        <v>8.71702346974471</v>
      </c>
      <c r="AL7846">
        <v>68.017486866354204</v>
      </c>
      <c r="AM7846">
        <v>66.244394360269197</v>
      </c>
      <c r="AN7846">
        <v>1.0000000098467201</v>
      </c>
    </row>
    <row r="7847" spans="1:40" x14ac:dyDescent="0.25">
      <c r="A7847" t="str">
        <f>"20190304165037229"</f>
        <v>20190304165037229</v>
      </c>
      <c r="B7847" t="str">
        <f>"1551689437222997"</f>
        <v>1551689437222997</v>
      </c>
      <c r="C7847" t="s">
        <v>40</v>
      </c>
      <c r="D7847">
        <v>4.9204629999999998</v>
      </c>
      <c r="E7847">
        <v>0.56942000000000004</v>
      </c>
      <c r="F7847" t="s">
        <v>48</v>
      </c>
      <c r="G7847">
        <v>-177.60380000000001</v>
      </c>
      <c r="H7847" s="1">
        <v>-4.8437989999999999E-6</v>
      </c>
      <c r="I7847">
        <v>132.2978</v>
      </c>
      <c r="J7847">
        <v>-184.44489999999999</v>
      </c>
      <c r="K7847">
        <v>1.1058939999999999</v>
      </c>
      <c r="L7847">
        <v>127.20480000000001</v>
      </c>
      <c r="M7847">
        <v>0.41719729999999999</v>
      </c>
      <c r="N7847">
        <v>-1.427897E-2</v>
      </c>
      <c r="O7847">
        <v>0.9087037</v>
      </c>
      <c r="P7847">
        <v>0.69056719999999905</v>
      </c>
      <c r="Q7847">
        <v>0.36777169999999998</v>
      </c>
      <c r="R7847">
        <v>0.62278489999999997</v>
      </c>
      <c r="S7847">
        <v>2.7248990000000002</v>
      </c>
      <c r="T7847">
        <v>-0.43713449999999998</v>
      </c>
      <c r="U7847">
        <v>2.0532680000000001</v>
      </c>
      <c r="V7847">
        <v>0.37257869999999998</v>
      </c>
      <c r="W7847">
        <v>0.37518040000000002</v>
      </c>
      <c r="X7847">
        <v>0.84877839999999904</v>
      </c>
      <c r="Y7847">
        <v>0.46843809999999902</v>
      </c>
      <c r="Z7847">
        <v>-0.1174309</v>
      </c>
      <c r="AA7847">
        <v>0.87565729999999997</v>
      </c>
      <c r="AB7847">
        <v>20</v>
      </c>
      <c r="AC7847">
        <v>6.8410999999999804</v>
      </c>
      <c r="AD7847">
        <v>-1.1058988437989901</v>
      </c>
      <c r="AE7847">
        <v>5.0929999999999804</v>
      </c>
      <c r="AF7847">
        <v>4.02449799830503</v>
      </c>
      <c r="AG7847">
        <v>-1.1058988437989901</v>
      </c>
      <c r="AH7847">
        <v>7.3591456664192902</v>
      </c>
      <c r="AI7847">
        <v>97.510987553599307</v>
      </c>
      <c r="AJ7847">
        <v>61.327062004042197</v>
      </c>
      <c r="AK7847">
        <v>8.4602967637462303</v>
      </c>
      <c r="AL7847">
        <v>67.964536818791004</v>
      </c>
      <c r="AM7847">
        <v>66.300507597059095</v>
      </c>
      <c r="AN7847">
        <v>0.99999999627220404</v>
      </c>
    </row>
    <row r="7848" spans="1:40" x14ac:dyDescent="0.25">
      <c r="A7848" t="str">
        <f>"20190304165037240"</f>
        <v>20190304165037240</v>
      </c>
      <c r="B7848" t="str">
        <f>"1551689437233733"</f>
        <v>1551689437233733</v>
      </c>
      <c r="C7848" t="s">
        <v>40</v>
      </c>
      <c r="D7848">
        <v>4.9358559999999896</v>
      </c>
      <c r="E7848">
        <v>0.57074650000000005</v>
      </c>
      <c r="F7848" t="s">
        <v>48</v>
      </c>
      <c r="G7848">
        <v>-177.6525</v>
      </c>
      <c r="H7848" s="1">
        <v>-4.8541370000000002E-6</v>
      </c>
      <c r="I7848">
        <v>132.2373</v>
      </c>
      <c r="J7848">
        <v>-184.39959999999999</v>
      </c>
      <c r="K7848">
        <v>1.105912</v>
      </c>
      <c r="L7848">
        <v>127.29170000000001</v>
      </c>
      <c r="M7848">
        <v>0.42118650000000002</v>
      </c>
      <c r="N7848">
        <v>-1.4280589999999999E-2</v>
      </c>
      <c r="O7848">
        <v>0.90686160000000005</v>
      </c>
      <c r="P7848">
        <v>0.69254519999999997</v>
      </c>
      <c r="Q7848">
        <v>0.36858619999999997</v>
      </c>
      <c r="R7848">
        <v>0.62010100000000001</v>
      </c>
      <c r="S7848">
        <v>2.7469329999999998</v>
      </c>
      <c r="T7848">
        <v>-0.44724229999999998</v>
      </c>
      <c r="U7848">
        <v>2.0352169999999998</v>
      </c>
      <c r="V7848">
        <v>0.37174220000000002</v>
      </c>
      <c r="W7848">
        <v>0.37602140000000001</v>
      </c>
      <c r="X7848">
        <v>0.84877309999999995</v>
      </c>
      <c r="Y7848">
        <v>0.4713598</v>
      </c>
      <c r="Z7848">
        <v>-0.1201506</v>
      </c>
      <c r="AA7848">
        <v>0.87371840000000001</v>
      </c>
      <c r="AB7848">
        <v>20</v>
      </c>
      <c r="AC7848">
        <v>6.7470999999999801</v>
      </c>
      <c r="AD7848">
        <v>-1.1059168541369999</v>
      </c>
      <c r="AE7848">
        <v>4.94559999999999</v>
      </c>
      <c r="AF7848">
        <v>3.9667522957386399</v>
      </c>
      <c r="AG7848">
        <v>-1.1059168541369999</v>
      </c>
      <c r="AH7848">
        <v>7.2016492476887599</v>
      </c>
      <c r="AI7848">
        <v>97.660841619524504</v>
      </c>
      <c r="AJ7848">
        <v>61.153514811263399</v>
      </c>
      <c r="AK7848">
        <v>8.2958982485773092</v>
      </c>
      <c r="AL7848">
        <v>67.912545866848006</v>
      </c>
      <c r="AM7848">
        <v>66.347737686386694</v>
      </c>
      <c r="AN7848">
        <v>1.0000000659012001</v>
      </c>
    </row>
    <row r="7849" spans="1:40" x14ac:dyDescent="0.25">
      <c r="A7849" t="str">
        <f>"20190304165037251"</f>
        <v>20190304165037251</v>
      </c>
      <c r="B7849" t="str">
        <f>"1551689437243360"</f>
        <v>1551689437243360</v>
      </c>
      <c r="C7849" t="s">
        <v>40</v>
      </c>
      <c r="D7849">
        <v>4.9213190000000004</v>
      </c>
      <c r="E7849">
        <v>0.57189789999999996</v>
      </c>
      <c r="F7849" t="s">
        <v>48</v>
      </c>
      <c r="G7849">
        <v>-177.6918</v>
      </c>
      <c r="H7849" s="1">
        <v>-4.8638870000000004E-6</v>
      </c>
      <c r="I7849">
        <v>132.1925</v>
      </c>
      <c r="J7849">
        <v>-184.35149999999999</v>
      </c>
      <c r="K7849">
        <v>1.1059330000000001</v>
      </c>
      <c r="L7849">
        <v>127.3831</v>
      </c>
      <c r="M7849">
        <v>0.42538530000000002</v>
      </c>
      <c r="N7849">
        <v>-1.4281790000000001E-2</v>
      </c>
      <c r="O7849">
        <v>0.90489969999999997</v>
      </c>
      <c r="P7849">
        <v>0.69491519999999996</v>
      </c>
      <c r="Q7849">
        <v>0.36916320000000002</v>
      </c>
      <c r="R7849">
        <v>0.61709939999999996</v>
      </c>
      <c r="S7849">
        <v>2.7654109999999998</v>
      </c>
      <c r="T7849">
        <v>-0.45592860000000002</v>
      </c>
      <c r="U7849">
        <v>2.0204469999999999</v>
      </c>
      <c r="V7849">
        <v>0.37119220000000003</v>
      </c>
      <c r="W7849">
        <v>0.37662230000000002</v>
      </c>
      <c r="X7849">
        <v>0.84874729999999998</v>
      </c>
      <c r="Y7849">
        <v>0.47286499999999998</v>
      </c>
      <c r="Z7849">
        <v>-0.122416</v>
      </c>
      <c r="AA7849">
        <v>0.87258979999999997</v>
      </c>
      <c r="AB7849">
        <v>20</v>
      </c>
      <c r="AC7849">
        <v>6.6596999999999804</v>
      </c>
      <c r="AD7849">
        <v>-1.1059378638869899</v>
      </c>
      <c r="AE7849">
        <v>4.8093999999999903</v>
      </c>
      <c r="AF7849">
        <v>3.9100493251384898</v>
      </c>
      <c r="AG7849">
        <v>-1.1059378638869899</v>
      </c>
      <c r="AH7849">
        <v>7.0577746781412101</v>
      </c>
      <c r="AI7849">
        <v>97.804816768226203</v>
      </c>
      <c r="AJ7849">
        <v>61.013285336394098</v>
      </c>
      <c r="AK7849">
        <v>8.1439405505692495</v>
      </c>
      <c r="AL7849">
        <v>67.875383405754803</v>
      </c>
      <c r="AM7849">
        <v>66.378257432093505</v>
      </c>
      <c r="AN7849">
        <v>0.99999999272771001</v>
      </c>
    </row>
    <row r="7850" spans="1:40" x14ac:dyDescent="0.25">
      <c r="A7850" t="str">
        <f>"20190304165037261"</f>
        <v>20190304165037261</v>
      </c>
      <c r="B7850" t="str">
        <f>"1551689437253120"</f>
        <v>1551689437253120</v>
      </c>
      <c r="C7850" t="s">
        <v>40</v>
      </c>
      <c r="D7850">
        <v>4.9237070000000003</v>
      </c>
      <c r="E7850">
        <v>0.57279690000000005</v>
      </c>
      <c r="F7850" t="s">
        <v>48</v>
      </c>
      <c r="G7850">
        <v>-177.7</v>
      </c>
      <c r="H7850" s="1">
        <v>-4.8633859999999999E-6</v>
      </c>
      <c r="I7850">
        <v>132.1765</v>
      </c>
      <c r="J7850">
        <v>-184.30719999999999</v>
      </c>
      <c r="K7850">
        <v>1.105952</v>
      </c>
      <c r="L7850">
        <v>127.4661</v>
      </c>
      <c r="M7850">
        <v>0.42919609999999903</v>
      </c>
      <c r="N7850">
        <v>-1.4282400000000001E-2</v>
      </c>
      <c r="O7850">
        <v>0.90309839999999997</v>
      </c>
      <c r="P7850">
        <v>0.69687509999999997</v>
      </c>
      <c r="Q7850">
        <v>0.36974430000000003</v>
      </c>
      <c r="R7850">
        <v>0.61453579999999997</v>
      </c>
      <c r="S7850">
        <v>2.7823180000000001</v>
      </c>
      <c r="T7850">
        <v>-0.46261099999999999</v>
      </c>
      <c r="U7850">
        <v>2.0050509999999999</v>
      </c>
      <c r="V7850">
        <v>0.3704519</v>
      </c>
      <c r="W7850">
        <v>0.37722860000000003</v>
      </c>
      <c r="X7850">
        <v>0.84880149999999999</v>
      </c>
      <c r="Y7850">
        <v>0.47466150000000001</v>
      </c>
      <c r="Z7850">
        <v>-0.1241665</v>
      </c>
      <c r="AA7850">
        <v>0.87136630000000004</v>
      </c>
      <c r="AB7850">
        <v>20</v>
      </c>
      <c r="AC7850">
        <v>6.6071999999999997</v>
      </c>
      <c r="AD7850">
        <v>-1.105956863386</v>
      </c>
      <c r="AE7850">
        <v>4.7103999999999999</v>
      </c>
      <c r="AF7850">
        <v>3.87370842890547</v>
      </c>
      <c r="AG7850">
        <v>-1.105956863386</v>
      </c>
      <c r="AH7850">
        <v>6.9611477010171603</v>
      </c>
      <c r="AI7850">
        <v>97.9037428450265</v>
      </c>
      <c r="AJ7850">
        <v>60.905132281279002</v>
      </c>
      <c r="AK7850">
        <v>8.0427815394439506</v>
      </c>
      <c r="AL7850">
        <v>67.837879090797301</v>
      </c>
      <c r="AM7850">
        <v>66.421563252948303</v>
      </c>
      <c r="AN7850">
        <v>1.0000000066369099</v>
      </c>
    </row>
    <row r="7851" spans="1:40" x14ac:dyDescent="0.25">
      <c r="A7851" t="str">
        <f>"20190304165037273"</f>
        <v>20190304165037273</v>
      </c>
      <c r="B7851" t="str">
        <f>"1551689437263856"</f>
        <v>1551689437263856</v>
      </c>
      <c r="C7851" t="s">
        <v>40</v>
      </c>
      <c r="D7851">
        <v>4.9293889999999996</v>
      </c>
      <c r="E7851">
        <v>0.57285920000000001</v>
      </c>
      <c r="F7851" t="s">
        <v>48</v>
      </c>
      <c r="G7851">
        <v>-177.70310000000001</v>
      </c>
      <c r="H7851" s="1">
        <v>-4.8635670000000001E-6</v>
      </c>
      <c r="I7851">
        <v>132.1713</v>
      </c>
      <c r="J7851">
        <v>-184.25489999999999</v>
      </c>
      <c r="K7851">
        <v>1.105974</v>
      </c>
      <c r="L7851">
        <v>127.5634</v>
      </c>
      <c r="M7851">
        <v>0.43365930000000003</v>
      </c>
      <c r="N7851">
        <v>-1.428285E-2</v>
      </c>
      <c r="O7851">
        <v>0.90096370000000003</v>
      </c>
      <c r="P7851">
        <v>0.69939240000000003</v>
      </c>
      <c r="Q7851">
        <v>0.36978840000000002</v>
      </c>
      <c r="R7851">
        <v>0.61164289999999999</v>
      </c>
      <c r="S7851">
        <v>2.7964319999999998</v>
      </c>
      <c r="T7851">
        <v>-0.4683042</v>
      </c>
      <c r="U7851">
        <v>1.9923550000000001</v>
      </c>
      <c r="V7851">
        <v>0.36972709999999998</v>
      </c>
      <c r="W7851">
        <v>0.3773029</v>
      </c>
      <c r="X7851">
        <v>0.84908439999999996</v>
      </c>
      <c r="Y7851">
        <v>0.4748619</v>
      </c>
      <c r="Z7851">
        <v>-0.1255705</v>
      </c>
      <c r="AA7851">
        <v>0.87105580000000005</v>
      </c>
      <c r="AB7851">
        <v>20</v>
      </c>
      <c r="AC7851">
        <v>6.5517999999999796</v>
      </c>
      <c r="AD7851">
        <v>-1.105978863567</v>
      </c>
      <c r="AE7851">
        <v>4.6078999999999999</v>
      </c>
      <c r="AF7851">
        <v>3.8320162008827601</v>
      </c>
      <c r="AG7851">
        <v>-1.105978863567</v>
      </c>
      <c r="AH7851">
        <v>6.8626760385989298</v>
      </c>
      <c r="AI7851">
        <v>98.009423592665897</v>
      </c>
      <c r="AJ7851">
        <v>60.821658862303003</v>
      </c>
      <c r="AK7851">
        <v>7.9374970753534599</v>
      </c>
      <c r="AL7851">
        <v>67.833281308945104</v>
      </c>
      <c r="AM7851">
        <v>66.4696629163343</v>
      </c>
      <c r="AN7851">
        <v>0.99999996257308899</v>
      </c>
    </row>
    <row r="7852" spans="1:40" x14ac:dyDescent="0.25">
      <c r="A7852" t="str">
        <f>"20190304165037286"</f>
        <v>20190304165037286</v>
      </c>
      <c r="B7852" t="str">
        <f>"1551689437283376"</f>
        <v>1551689437283376</v>
      </c>
      <c r="C7852" t="s">
        <v>40</v>
      </c>
      <c r="D7852">
        <v>4.9455260000000001</v>
      </c>
      <c r="E7852">
        <v>0.57350400000000001</v>
      </c>
      <c r="F7852" t="s">
        <v>48</v>
      </c>
      <c r="G7852">
        <v>-177.82400000000001</v>
      </c>
      <c r="H7852" s="1">
        <v>-4.9220819999999998E-6</v>
      </c>
      <c r="I7852">
        <v>132.10820000000001</v>
      </c>
      <c r="J7852">
        <v>-184.20050000000001</v>
      </c>
      <c r="K7852">
        <v>1.1059909999999999</v>
      </c>
      <c r="L7852">
        <v>127.6631</v>
      </c>
      <c r="M7852">
        <v>0.43823020000000001</v>
      </c>
      <c r="N7852">
        <v>-1.428257E-2</v>
      </c>
      <c r="O7852">
        <v>0.89874929999999997</v>
      </c>
      <c r="P7852">
        <v>0.70186130000000002</v>
      </c>
      <c r="Q7852">
        <v>0.36991479999999999</v>
      </c>
      <c r="R7852">
        <v>0.60873140000000003</v>
      </c>
      <c r="S7852">
        <v>2.808853</v>
      </c>
      <c r="T7852">
        <v>-0.48306130000000003</v>
      </c>
      <c r="U7852">
        <v>1.9850460000000001</v>
      </c>
      <c r="V7852">
        <v>0.36886170000000001</v>
      </c>
      <c r="W7852">
        <v>0.3774614</v>
      </c>
      <c r="X7852">
        <v>0.84939030000000004</v>
      </c>
      <c r="Y7852">
        <v>0.47328350000000002</v>
      </c>
      <c r="Z7852">
        <v>-0.1294197</v>
      </c>
      <c r="AA7852">
        <v>0.8713514</v>
      </c>
      <c r="AB7852">
        <v>20</v>
      </c>
      <c r="AC7852">
        <v>6.3764999999999903</v>
      </c>
      <c r="AD7852">
        <v>-1.1059959220819999</v>
      </c>
      <c r="AE7852">
        <v>4.4451000000000098</v>
      </c>
      <c r="AF7852">
        <v>3.70820793573521</v>
      </c>
      <c r="AG7852">
        <v>-1.1059959220819999</v>
      </c>
      <c r="AH7852">
        <v>6.6553546844159799</v>
      </c>
      <c r="AI7852">
        <v>98.259850121544702</v>
      </c>
      <c r="AJ7852">
        <v>60.874470898208898</v>
      </c>
      <c r="AK7852">
        <v>7.6985569459275496</v>
      </c>
      <c r="AL7852">
        <v>67.823475031309599</v>
      </c>
      <c r="AM7852">
        <v>66.526311610480207</v>
      </c>
      <c r="AN7852">
        <v>0.99999997197546897</v>
      </c>
    </row>
    <row r="7853" spans="1:40" x14ac:dyDescent="0.25">
      <c r="A7853" t="str">
        <f>"20190304165037298"</f>
        <v>20190304165037298</v>
      </c>
      <c r="B7853" t="str">
        <f>"1551689437293135"</f>
        <v>1551689437293135</v>
      </c>
      <c r="C7853" t="s">
        <v>40</v>
      </c>
      <c r="D7853">
        <v>4.891038</v>
      </c>
      <c r="E7853">
        <v>0.57408019999999904</v>
      </c>
      <c r="F7853" t="s">
        <v>48</v>
      </c>
      <c r="G7853">
        <v>-177.94149999999999</v>
      </c>
      <c r="H7853" s="1">
        <v>-4.9750270000000003E-6</v>
      </c>
      <c r="I7853">
        <v>132.03659999999999</v>
      </c>
      <c r="J7853">
        <v>-184.14330000000001</v>
      </c>
      <c r="K7853">
        <v>1.1060140000000001</v>
      </c>
      <c r="L7853">
        <v>127.7667</v>
      </c>
      <c r="M7853">
        <v>0.44297809999999999</v>
      </c>
      <c r="N7853">
        <v>-1.4282130000000001E-2</v>
      </c>
      <c r="O7853">
        <v>0.89641859999999995</v>
      </c>
      <c r="P7853">
        <v>0.70429129999999995</v>
      </c>
      <c r="Q7853">
        <v>0.3701448</v>
      </c>
      <c r="R7853">
        <v>0.60577760000000003</v>
      </c>
      <c r="S7853">
        <v>2.825256</v>
      </c>
      <c r="T7853">
        <v>-0.49923689999999998</v>
      </c>
      <c r="U7853">
        <v>1.9741519999999999</v>
      </c>
      <c r="V7853">
        <v>0.36780780000000002</v>
      </c>
      <c r="W7853">
        <v>0.37772630000000001</v>
      </c>
      <c r="X7853">
        <v>0.84972950000000003</v>
      </c>
      <c r="Y7853">
        <v>0.47276649999999998</v>
      </c>
      <c r="Z7853">
        <v>-0.13362779999999999</v>
      </c>
      <c r="AA7853">
        <v>0.87099680000000002</v>
      </c>
      <c r="AB7853">
        <v>20</v>
      </c>
      <c r="AC7853">
        <v>6.2018000000000102</v>
      </c>
      <c r="AD7853">
        <v>-1.106018975027</v>
      </c>
      <c r="AE7853">
        <v>4.26989999999999</v>
      </c>
      <c r="AF7853">
        <v>3.59083269187281</v>
      </c>
      <c r="AG7853">
        <v>-1.106018975027</v>
      </c>
      <c r="AH7853">
        <v>6.4366682922072096</v>
      </c>
      <c r="AI7853">
        <v>98.534101641457397</v>
      </c>
      <c r="AJ7853">
        <v>60.844104966798</v>
      </c>
      <c r="AK7853">
        <v>7.4530568291170303</v>
      </c>
      <c r="AL7853">
        <v>67.807084141577207</v>
      </c>
      <c r="AM7853">
        <v>66.594490742759803</v>
      </c>
      <c r="AN7853">
        <v>0.99999997931138895</v>
      </c>
    </row>
    <row r="7854" spans="1:40" x14ac:dyDescent="0.25">
      <c r="A7854" t="str">
        <f>"20190304165037310"</f>
        <v>20190304165037310</v>
      </c>
      <c r="B7854" t="str">
        <f>"1551689437303872"</f>
        <v>1551689437303872</v>
      </c>
      <c r="C7854" t="s">
        <v>40</v>
      </c>
      <c r="D7854">
        <v>4.9321070000000002</v>
      </c>
      <c r="E7854">
        <v>0.57405289999999998</v>
      </c>
      <c r="F7854" t="s">
        <v>48</v>
      </c>
      <c r="G7854">
        <v>-177.88120000000001</v>
      </c>
      <c r="H7854" s="1">
        <v>-4.9531309999999999E-6</v>
      </c>
      <c r="I7854">
        <v>132.0872</v>
      </c>
      <c r="J7854">
        <v>-184.0881</v>
      </c>
      <c r="K7854">
        <v>1.1060350000000001</v>
      </c>
      <c r="L7854">
        <v>127.8656</v>
      </c>
      <c r="M7854">
        <v>0.44750630000000002</v>
      </c>
      <c r="N7854">
        <v>-1.42813E-2</v>
      </c>
      <c r="O7854">
        <v>0.89416679999999904</v>
      </c>
      <c r="P7854">
        <v>0.70613740000000003</v>
      </c>
      <c r="Q7854">
        <v>0.3707105</v>
      </c>
      <c r="R7854">
        <v>0.60327739999999996</v>
      </c>
      <c r="S7854">
        <v>2.8385929999999999</v>
      </c>
      <c r="T7854">
        <v>-0.50135200000000002</v>
      </c>
      <c r="U7854">
        <v>1.9584349999999999</v>
      </c>
      <c r="V7854">
        <v>0.36623939999999999</v>
      </c>
      <c r="W7854">
        <v>0.3783319</v>
      </c>
      <c r="X7854">
        <v>0.85013749999999999</v>
      </c>
      <c r="Y7854">
        <v>0.4734447</v>
      </c>
      <c r="Z7854">
        <v>-0.13407049999999901</v>
      </c>
      <c r="AA7854">
        <v>0.87056019999999901</v>
      </c>
      <c r="AB7854">
        <v>20</v>
      </c>
      <c r="AC7854">
        <v>6.2068999999999903</v>
      </c>
      <c r="AD7854">
        <v>-1.1060399531309999</v>
      </c>
      <c r="AE7854">
        <v>4.2215999999999898</v>
      </c>
      <c r="AF7854">
        <v>3.5833878784789399</v>
      </c>
      <c r="AG7854">
        <v>-1.1060399531309999</v>
      </c>
      <c r="AH7854">
        <v>6.4138621541651997</v>
      </c>
      <c r="AI7854">
        <v>98.561203037690404</v>
      </c>
      <c r="AJ7854">
        <v>60.808158934935797</v>
      </c>
      <c r="AK7854">
        <v>7.4297793236531904</v>
      </c>
      <c r="AL7854">
        <v>67.769606178112099</v>
      </c>
      <c r="AM7854">
        <v>66.693613084199896</v>
      </c>
      <c r="AN7854">
        <v>1.0000000467881001</v>
      </c>
    </row>
    <row r="7855" spans="1:40" x14ac:dyDescent="0.25">
      <c r="A7855" t="str">
        <f>"20190304165037320"</f>
        <v>20190304165037320</v>
      </c>
      <c r="B7855" t="str">
        <f>"1551689437313631"</f>
        <v>1551689437313631</v>
      </c>
      <c r="C7855" t="s">
        <v>40</v>
      </c>
      <c r="D7855">
        <v>4.9395810000000004</v>
      </c>
      <c r="E7855">
        <v>0.57436980000000004</v>
      </c>
      <c r="F7855" t="s">
        <v>48</v>
      </c>
      <c r="G7855">
        <v>-177.88399999999999</v>
      </c>
      <c r="H7855" s="1">
        <v>-4.9642699999999997E-6</v>
      </c>
      <c r="I7855">
        <v>132.11150000000001</v>
      </c>
      <c r="J7855">
        <v>-184.0419</v>
      </c>
      <c r="K7855">
        <v>1.1060460000000001</v>
      </c>
      <c r="L7855">
        <v>127.9473</v>
      </c>
      <c r="M7855">
        <v>0.45124629999999999</v>
      </c>
      <c r="N7855">
        <v>-1.428044E-2</v>
      </c>
      <c r="O7855">
        <v>0.892285199999999</v>
      </c>
      <c r="P7855">
        <v>0.70766189999999995</v>
      </c>
      <c r="Q7855">
        <v>0.37104700000000002</v>
      </c>
      <c r="R7855">
        <v>0.60128099999999995</v>
      </c>
      <c r="S7855">
        <v>2.849243</v>
      </c>
      <c r="T7855">
        <v>-0.5079553</v>
      </c>
      <c r="U7855">
        <v>1.9499359999999999</v>
      </c>
      <c r="V7855">
        <v>0.36490679999999998</v>
      </c>
      <c r="W7855">
        <v>0.3787027</v>
      </c>
      <c r="X7855">
        <v>0.85054529999999995</v>
      </c>
      <c r="Y7855">
        <v>0.47285159999999998</v>
      </c>
      <c r="Z7855">
        <v>-0.1356667</v>
      </c>
      <c r="AA7855">
        <v>0.8706353</v>
      </c>
      <c r="AB7855">
        <v>20</v>
      </c>
      <c r="AC7855">
        <v>6.1578999999999802</v>
      </c>
      <c r="AD7855">
        <v>-1.1060509642699901</v>
      </c>
      <c r="AE7855">
        <v>4.1642000000000001</v>
      </c>
      <c r="AF7855">
        <v>3.5375771969880598</v>
      </c>
      <c r="AG7855">
        <v>-1.1060509642699901</v>
      </c>
      <c r="AH7855">
        <v>6.3543731276200504</v>
      </c>
      <c r="AI7855">
        <v>98.647399269104994</v>
      </c>
      <c r="AJ7855">
        <v>60.894641115109501</v>
      </c>
      <c r="AK7855">
        <v>7.3563482112548497</v>
      </c>
      <c r="AL7855">
        <v>67.746652138441306</v>
      </c>
      <c r="AM7855">
        <v>66.779366763639402</v>
      </c>
      <c r="AN7855">
        <v>1.0000000075128099</v>
      </c>
    </row>
    <row r="7856" spans="1:40" x14ac:dyDescent="0.25">
      <c r="A7856" t="str">
        <f>"20190304165037330"</f>
        <v>20190304165037330</v>
      </c>
      <c r="B7856" t="str">
        <f>"1551689437323392"</f>
        <v>1551689437323392</v>
      </c>
      <c r="C7856" t="s">
        <v>40</v>
      </c>
      <c r="D7856">
        <v>4.9501059999999999</v>
      </c>
      <c r="E7856">
        <v>0.5745403</v>
      </c>
      <c r="F7856" t="s">
        <v>48</v>
      </c>
      <c r="G7856">
        <v>-177.83510000000001</v>
      </c>
      <c r="H7856" s="1">
        <v>-4.9471880000000003E-6</v>
      </c>
      <c r="I7856">
        <v>132.15440000000001</v>
      </c>
      <c r="J7856">
        <v>-183.99860000000001</v>
      </c>
      <c r="K7856">
        <v>1.10606</v>
      </c>
      <c r="L7856">
        <v>128.02330000000001</v>
      </c>
      <c r="M7856">
        <v>0.45472630000000003</v>
      </c>
      <c r="N7856">
        <v>-1.4279500000000001E-2</v>
      </c>
      <c r="O7856">
        <v>0.8905168</v>
      </c>
      <c r="P7856">
        <v>0.70891729999999997</v>
      </c>
      <c r="Q7856">
        <v>0.37155519999999997</v>
      </c>
      <c r="R7856">
        <v>0.59948579999999996</v>
      </c>
      <c r="S7856">
        <v>2.8595730000000001</v>
      </c>
      <c r="T7856">
        <v>-0.50957359999999996</v>
      </c>
      <c r="U7856">
        <v>1.9382779999999999</v>
      </c>
      <c r="V7856">
        <v>0.36349219999999999</v>
      </c>
      <c r="W7856">
        <v>0.37924419999999998</v>
      </c>
      <c r="X7856">
        <v>0.85090969999999999</v>
      </c>
      <c r="Y7856">
        <v>0.473273</v>
      </c>
      <c r="Z7856">
        <v>-0.13597339999999999</v>
      </c>
      <c r="AA7856">
        <v>0.87035849999999904</v>
      </c>
      <c r="AB7856">
        <v>20</v>
      </c>
      <c r="AC7856">
        <v>6.1634999999999902</v>
      </c>
      <c r="AD7856">
        <v>-1.106064947188</v>
      </c>
      <c r="AE7856">
        <v>4.1311</v>
      </c>
      <c r="AF7856">
        <v>3.5320619409190699</v>
      </c>
      <c r="AG7856">
        <v>-1.106064947188</v>
      </c>
      <c r="AH7856">
        <v>6.3412697753483398</v>
      </c>
      <c r="AI7856">
        <v>98.664086996790402</v>
      </c>
      <c r="AJ7856">
        <v>60.8823677474169</v>
      </c>
      <c r="AK7856">
        <v>7.34237996739704</v>
      </c>
      <c r="AL7856">
        <v>67.713126181381597</v>
      </c>
      <c r="AM7856">
        <v>66.868761736019707</v>
      </c>
      <c r="AN7856">
        <v>1.00000003012428</v>
      </c>
    </row>
    <row r="7857" spans="1:40" x14ac:dyDescent="0.25">
      <c r="A7857" t="str">
        <f>"20190304165037340"</f>
        <v>20190304165037340</v>
      </c>
      <c r="B7857" t="str">
        <f>"1551689437333152"</f>
        <v>1551689437333152</v>
      </c>
      <c r="C7857" t="s">
        <v>40</v>
      </c>
      <c r="D7857">
        <v>4.9613529999999999</v>
      </c>
      <c r="E7857">
        <v>0.57471649999999996</v>
      </c>
      <c r="F7857" t="s">
        <v>48</v>
      </c>
      <c r="G7857">
        <v>-177.7978</v>
      </c>
      <c r="H7857" s="1">
        <v>-4.9369260000000004E-6</v>
      </c>
      <c r="I7857">
        <v>132.1944</v>
      </c>
      <c r="J7857">
        <v>-183.95179999999999</v>
      </c>
      <c r="K7857">
        <v>1.1060730000000001</v>
      </c>
      <c r="L7857">
        <v>128.1046</v>
      </c>
      <c r="M7857">
        <v>0.4584471</v>
      </c>
      <c r="N7857">
        <v>-1.427841E-2</v>
      </c>
      <c r="O7857">
        <v>0.88860699999999904</v>
      </c>
      <c r="P7857">
        <v>0.71041109999999996</v>
      </c>
      <c r="Q7857">
        <v>0.37212030000000001</v>
      </c>
      <c r="R7857">
        <v>0.59736309999999904</v>
      </c>
      <c r="S7857">
        <v>2.8683619999999999</v>
      </c>
      <c r="T7857">
        <v>-0.51164109999999996</v>
      </c>
      <c r="U7857">
        <v>1.929459</v>
      </c>
      <c r="V7857">
        <v>0.36220360000000001</v>
      </c>
      <c r="W7857">
        <v>0.37983929999999999</v>
      </c>
      <c r="X7857">
        <v>0.85119369999999905</v>
      </c>
      <c r="Y7857">
        <v>0.47262670000000001</v>
      </c>
      <c r="Z7857">
        <v>-0.13633439999999999</v>
      </c>
      <c r="AA7857">
        <v>0.87065319999999902</v>
      </c>
      <c r="AB7857">
        <v>20</v>
      </c>
      <c r="AC7857">
        <v>6.1539999999999901</v>
      </c>
      <c r="AD7857">
        <v>-1.1060779369260001</v>
      </c>
      <c r="AE7857">
        <v>4.0897999999999897</v>
      </c>
      <c r="AF7857">
        <v>3.5151315755160502</v>
      </c>
      <c r="AG7857">
        <v>-1.1060779369260001</v>
      </c>
      <c r="AH7857">
        <v>6.3146705168666797</v>
      </c>
      <c r="AI7857">
        <v>98.701345555622197</v>
      </c>
      <c r="AJ7857">
        <v>60.897014016558899</v>
      </c>
      <c r="AK7857">
        <v>7.3112667939509404</v>
      </c>
      <c r="AL7857">
        <v>67.676271778523301</v>
      </c>
      <c r="AM7857">
        <v>66.949068685401699</v>
      </c>
      <c r="AN7857">
        <v>1.0000000282985599</v>
      </c>
    </row>
    <row r="7858" spans="1:40" x14ac:dyDescent="0.25">
      <c r="A7858" t="str">
        <f>"20190304165037350"</f>
        <v>20190304165037350</v>
      </c>
      <c r="B7858" t="str">
        <f>"1551689437343888"</f>
        <v>1551689437343888</v>
      </c>
      <c r="C7858" t="s">
        <v>40</v>
      </c>
      <c r="D7858">
        <v>4.9562549999999996</v>
      </c>
      <c r="E7858">
        <v>0.57479009999999997</v>
      </c>
      <c r="F7858" t="s">
        <v>48</v>
      </c>
      <c r="G7858">
        <v>-177.74520000000001</v>
      </c>
      <c r="H7858" s="1">
        <v>-4.9200539999999997E-6</v>
      </c>
      <c r="I7858">
        <v>132.24440000000001</v>
      </c>
      <c r="J7858">
        <v>-183.90039999999999</v>
      </c>
      <c r="K7858">
        <v>1.106096</v>
      </c>
      <c r="L7858">
        <v>128.19319999999999</v>
      </c>
      <c r="M7858">
        <v>0.46250229999999998</v>
      </c>
      <c r="N7858">
        <v>-1.4277150000000001E-2</v>
      </c>
      <c r="O7858">
        <v>0.88650309999999899</v>
      </c>
      <c r="P7858">
        <v>0.71238380000000001</v>
      </c>
      <c r="Q7858">
        <v>0.37258190000000002</v>
      </c>
      <c r="R7858">
        <v>0.59472019999999903</v>
      </c>
      <c r="S7858">
        <v>2.8775940000000002</v>
      </c>
      <c r="T7858">
        <v>-0.51281520000000003</v>
      </c>
      <c r="U7858">
        <v>1.919373</v>
      </c>
      <c r="V7858">
        <v>0.36125109999999999</v>
      </c>
      <c r="W7858">
        <v>0.3803262</v>
      </c>
      <c r="X7858">
        <v>0.8513811</v>
      </c>
      <c r="Y7858">
        <v>0.471995</v>
      </c>
      <c r="Z7858">
        <v>-0.1364416</v>
      </c>
      <c r="AA7858">
        <v>0.87097899999999995</v>
      </c>
      <c r="AB7858">
        <v>20</v>
      </c>
      <c r="AC7858">
        <v>6.1551999999999696</v>
      </c>
      <c r="AD7858">
        <v>-1.106100920054</v>
      </c>
      <c r="AE7858">
        <v>4.0512000000000201</v>
      </c>
      <c r="AF7858">
        <v>3.5043204579963398</v>
      </c>
      <c r="AG7858">
        <v>-1.106100920054</v>
      </c>
      <c r="AH7858">
        <v>6.2969685319596698</v>
      </c>
      <c r="AI7858">
        <v>98.7261642172584</v>
      </c>
      <c r="AJ7858">
        <v>60.9036629597502</v>
      </c>
      <c r="AK7858">
        <v>7.2907841697698297</v>
      </c>
      <c r="AL7858">
        <v>67.646112107089706</v>
      </c>
      <c r="AM7858">
        <v>67.007911616857299</v>
      </c>
      <c r="AN7858">
        <v>1.00000007654742</v>
      </c>
    </row>
    <row r="7859" spans="1:40" x14ac:dyDescent="0.25">
      <c r="A7859" t="str">
        <f>"20190304165037362"</f>
        <v>20190304165037362</v>
      </c>
      <c r="B7859" t="str">
        <f>"1551689437353648"</f>
        <v>1551689437353648</v>
      </c>
      <c r="C7859" t="s">
        <v>40</v>
      </c>
      <c r="D7859">
        <v>4.9682849999999998</v>
      </c>
      <c r="E7859">
        <v>0.57500680000000004</v>
      </c>
      <c r="F7859" t="s">
        <v>48</v>
      </c>
      <c r="G7859">
        <v>-177.7021</v>
      </c>
      <c r="H7859" s="1">
        <v>-4.908165E-6</v>
      </c>
      <c r="I7859">
        <v>132.29050000000001</v>
      </c>
      <c r="J7859">
        <v>-183.85050000000001</v>
      </c>
      <c r="K7859">
        <v>1.1061110000000001</v>
      </c>
      <c r="L7859">
        <v>128.27809999999999</v>
      </c>
      <c r="M7859">
        <v>0.46639140000000001</v>
      </c>
      <c r="N7859">
        <v>-1.427578E-2</v>
      </c>
      <c r="O7859">
        <v>0.88446329999999995</v>
      </c>
      <c r="P7859">
        <v>0.71407739999999997</v>
      </c>
      <c r="Q7859">
        <v>0.3727917</v>
      </c>
      <c r="R7859">
        <v>0.59255389999999997</v>
      </c>
      <c r="S7859">
        <v>2.8872990000000001</v>
      </c>
      <c r="T7859">
        <v>-0.51524899999999996</v>
      </c>
      <c r="U7859">
        <v>1.9086460000000001</v>
      </c>
      <c r="V7859">
        <v>0.35998469999999999</v>
      </c>
      <c r="W7859">
        <v>0.38056699999999999</v>
      </c>
      <c r="X7859">
        <v>0.8518097</v>
      </c>
      <c r="Y7859">
        <v>0.47166770000000002</v>
      </c>
      <c r="Z7859">
        <v>-0.1369147</v>
      </c>
      <c r="AA7859">
        <v>0.87108209999999997</v>
      </c>
      <c r="AB7859">
        <v>20</v>
      </c>
      <c r="AC7859">
        <v>6.1483999999999996</v>
      </c>
      <c r="AD7859">
        <v>-1.1061159081649901</v>
      </c>
      <c r="AE7859">
        <v>4.0124000000000102</v>
      </c>
      <c r="AF7859">
        <v>3.4878794476691399</v>
      </c>
      <c r="AG7859">
        <v>-1.1061159081649901</v>
      </c>
      <c r="AH7859">
        <v>6.2746115871899804</v>
      </c>
      <c r="AI7859">
        <v>98.759226364448196</v>
      </c>
      <c r="AJ7859">
        <v>60.931553070887801</v>
      </c>
      <c r="AK7859">
        <v>7.2635766681344602</v>
      </c>
      <c r="AL7859">
        <v>67.631191530093105</v>
      </c>
      <c r="AM7859">
        <v>67.090514453240999</v>
      </c>
      <c r="AN7859">
        <v>0.99999999536858997</v>
      </c>
    </row>
    <row r="7860" spans="1:40" x14ac:dyDescent="0.25">
      <c r="A7860" t="str">
        <f>"20190304165037373"</f>
        <v>20190304165037373</v>
      </c>
      <c r="B7860" t="str">
        <f>"1551689437363408"</f>
        <v>1551689437363408</v>
      </c>
      <c r="C7860" t="s">
        <v>40</v>
      </c>
      <c r="D7860">
        <v>4.965903</v>
      </c>
      <c r="E7860">
        <v>0.57521730000000004</v>
      </c>
      <c r="F7860" t="s">
        <v>48</v>
      </c>
      <c r="G7860">
        <v>-177.64449999999999</v>
      </c>
      <c r="H7860" s="1">
        <v>-4.8896300000000001E-6</v>
      </c>
      <c r="I7860">
        <v>132.34530000000001</v>
      </c>
      <c r="J7860">
        <v>-183.79660000000001</v>
      </c>
      <c r="K7860">
        <v>1.106125</v>
      </c>
      <c r="L7860">
        <v>128.36920000000001</v>
      </c>
      <c r="M7860">
        <v>0.4705568</v>
      </c>
      <c r="N7860">
        <v>-1.427428E-2</v>
      </c>
      <c r="O7860">
        <v>0.88225419999999999</v>
      </c>
      <c r="P7860">
        <v>0.71623749999999997</v>
      </c>
      <c r="Q7860">
        <v>0.37313629999999998</v>
      </c>
      <c r="R7860">
        <v>0.58972309999999994</v>
      </c>
      <c r="S7860">
        <v>2.8958279999999998</v>
      </c>
      <c r="T7860">
        <v>-0.51613929999999997</v>
      </c>
      <c r="U7860">
        <v>1.8978269999999999</v>
      </c>
      <c r="V7860">
        <v>0.35916959999999998</v>
      </c>
      <c r="W7860">
        <v>0.38093379999999999</v>
      </c>
      <c r="X7860">
        <v>0.85198980000000002</v>
      </c>
      <c r="Y7860">
        <v>0.47096189999999999</v>
      </c>
      <c r="Z7860">
        <v>-0.136963</v>
      </c>
      <c r="AA7860">
        <v>0.87145629999999996</v>
      </c>
      <c r="AB7860">
        <v>20</v>
      </c>
      <c r="AC7860">
        <v>6.1521000000000097</v>
      </c>
      <c r="AD7860">
        <v>-1.10612988963</v>
      </c>
      <c r="AE7860">
        <v>3.9761000000000002</v>
      </c>
      <c r="AF7860">
        <v>3.4777956868668598</v>
      </c>
      <c r="AG7860">
        <v>-1.10612988963</v>
      </c>
      <c r="AH7860">
        <v>6.2607363595631096</v>
      </c>
      <c r="AI7860">
        <v>98.779835588881497</v>
      </c>
      <c r="AJ7860">
        <v>60.948131573016198</v>
      </c>
      <c r="AK7860">
        <v>7.2467514057181699</v>
      </c>
      <c r="AL7860">
        <v>67.608463398273003</v>
      </c>
      <c r="AM7860">
        <v>67.141384904273906</v>
      </c>
      <c r="AN7860">
        <v>0.99999999042531995</v>
      </c>
    </row>
    <row r="7861" spans="1:40" x14ac:dyDescent="0.25">
      <c r="A7861" t="str">
        <f>"20190304165037384"</f>
        <v>20190304165037384</v>
      </c>
      <c r="B7861" t="str">
        <f>"1551689437373168"</f>
        <v>1551689437373168</v>
      </c>
      <c r="C7861" t="s">
        <v>40</v>
      </c>
      <c r="D7861">
        <v>4.9562410000000003</v>
      </c>
      <c r="E7861">
        <v>0.57530689999999995</v>
      </c>
      <c r="F7861" t="s">
        <v>48</v>
      </c>
      <c r="G7861">
        <v>-177.57050000000001</v>
      </c>
      <c r="H7861" s="1">
        <v>-4.8626970000000002E-6</v>
      </c>
      <c r="I7861">
        <v>132.4074</v>
      </c>
      <c r="J7861">
        <v>-183.7433</v>
      </c>
      <c r="K7861">
        <v>1.1061399999999999</v>
      </c>
      <c r="L7861">
        <v>128.45769999999999</v>
      </c>
      <c r="M7861">
        <v>0.47461740000000002</v>
      </c>
      <c r="N7861">
        <v>-1.4272689999999999E-2</v>
      </c>
      <c r="O7861">
        <v>0.88007649999999904</v>
      </c>
      <c r="P7861">
        <v>0.71812940000000003</v>
      </c>
      <c r="Q7861">
        <v>0.3734422</v>
      </c>
      <c r="R7861">
        <v>0.58722350000000001</v>
      </c>
      <c r="S7861">
        <v>2.9057460000000002</v>
      </c>
      <c r="T7861">
        <v>-0.51623850000000004</v>
      </c>
      <c r="U7861">
        <v>1.8846590000000001</v>
      </c>
      <c r="V7861">
        <v>0.35806009999999999</v>
      </c>
      <c r="W7861">
        <v>0.38126579999999999</v>
      </c>
      <c r="X7861">
        <v>0.85230830000000002</v>
      </c>
      <c r="Y7861">
        <v>0.47105839999999999</v>
      </c>
      <c r="Z7861">
        <v>-0.13682749999999999</v>
      </c>
      <c r="AA7861">
        <v>0.87142540000000002</v>
      </c>
      <c r="AB7861">
        <v>20</v>
      </c>
      <c r="AC7861">
        <v>6.1727999999999899</v>
      </c>
      <c r="AD7861">
        <v>-1.1061448626970001</v>
      </c>
      <c r="AE7861">
        <v>3.9497</v>
      </c>
      <c r="AF7861">
        <v>3.47903756758837</v>
      </c>
      <c r="AG7861">
        <v>-1.1061448626970001</v>
      </c>
      <c r="AH7861">
        <v>6.2636998054766</v>
      </c>
      <c r="AI7861">
        <v>98.776100051640199</v>
      </c>
      <c r="AJ7861">
        <v>60.950957766993703</v>
      </c>
      <c r="AK7861">
        <v>7.2499099378605898</v>
      </c>
      <c r="AL7861">
        <v>67.5878897065068</v>
      </c>
      <c r="AM7861">
        <v>67.212416416532093</v>
      </c>
      <c r="AN7861">
        <v>1.0000000418552599</v>
      </c>
    </row>
    <row r="7862" spans="1:40" x14ac:dyDescent="0.25">
      <c r="A7862" t="str">
        <f>"20190304165037395"</f>
        <v>20190304165037395</v>
      </c>
      <c r="B7862" t="str">
        <f>"1551689437382928"</f>
        <v>1551689437382928</v>
      </c>
      <c r="C7862" t="s">
        <v>40</v>
      </c>
      <c r="D7862">
        <v>4.9550669999999997</v>
      </c>
      <c r="E7862">
        <v>0.57536119999999902</v>
      </c>
      <c r="F7862" t="s">
        <v>48</v>
      </c>
      <c r="G7862">
        <v>-177.51519999999999</v>
      </c>
      <c r="H7862" s="1">
        <v>-4.8450530000000002E-6</v>
      </c>
      <c r="I7862">
        <v>132.46039999999999</v>
      </c>
      <c r="J7862">
        <v>-183.69220000000001</v>
      </c>
      <c r="K7862">
        <v>1.1061510000000001</v>
      </c>
      <c r="L7862">
        <v>128.54239999999999</v>
      </c>
      <c r="M7862">
        <v>0.47849009999999997</v>
      </c>
      <c r="N7862">
        <v>-1.4271219999999999E-2</v>
      </c>
      <c r="O7862">
        <v>0.87797700000000001</v>
      </c>
      <c r="P7862">
        <v>0.71978189999999997</v>
      </c>
      <c r="Q7862">
        <v>0.3739325</v>
      </c>
      <c r="R7862">
        <v>0.58488339999999905</v>
      </c>
      <c r="S7862">
        <v>2.9148860000000001</v>
      </c>
      <c r="T7862">
        <v>-0.51769699999999996</v>
      </c>
      <c r="U7862">
        <v>1.8733059999999999</v>
      </c>
      <c r="V7862">
        <v>0.35684529999999998</v>
      </c>
      <c r="W7862">
        <v>0.38178319999999999</v>
      </c>
      <c r="X7862">
        <v>0.85258609999999901</v>
      </c>
      <c r="Y7862">
        <v>0.4707944</v>
      </c>
      <c r="Z7862">
        <v>-0.13704249999999901</v>
      </c>
      <c r="AA7862">
        <v>0.87153429999999998</v>
      </c>
      <c r="AB7862">
        <v>20</v>
      </c>
      <c r="AC7862">
        <v>6.17700000000002</v>
      </c>
      <c r="AD7862">
        <v>-1.106155845053</v>
      </c>
      <c r="AE7862">
        <v>3.9180000000000001</v>
      </c>
      <c r="AF7862">
        <v>3.4695588809370999</v>
      </c>
      <c r="AG7862">
        <v>-1.106155845053</v>
      </c>
      <c r="AH7862">
        <v>6.2531997586447901</v>
      </c>
      <c r="AI7862">
        <v>98.7928340811157</v>
      </c>
      <c r="AJ7862">
        <v>60.976499432540997</v>
      </c>
      <c r="AK7862">
        <v>7.2362923381625297</v>
      </c>
      <c r="AL7862">
        <v>67.555818459418205</v>
      </c>
      <c r="AM7862">
        <v>67.288515841839995</v>
      </c>
      <c r="AN7862">
        <v>1.0000000189237599</v>
      </c>
    </row>
    <row r="7863" spans="1:40" x14ac:dyDescent="0.25">
      <c r="A7863" t="str">
        <f>"20190304165037407"</f>
        <v>20190304165037407</v>
      </c>
      <c r="B7863" t="str">
        <f>"1551689437403424"</f>
        <v>1551689437403424</v>
      </c>
      <c r="C7863" t="s">
        <v>40</v>
      </c>
      <c r="D7863">
        <v>4.9943499999999998</v>
      </c>
      <c r="E7863">
        <v>0.57516619999999996</v>
      </c>
      <c r="F7863" t="s">
        <v>48</v>
      </c>
      <c r="G7863">
        <v>-177.4547</v>
      </c>
      <c r="H7863" s="1">
        <v>-4.8251889999999999E-6</v>
      </c>
      <c r="I7863">
        <v>132.51669999999999</v>
      </c>
      <c r="J7863">
        <v>-183.6362</v>
      </c>
      <c r="K7863">
        <v>1.1061639999999999</v>
      </c>
      <c r="L7863">
        <v>128.6335</v>
      </c>
      <c r="M7863">
        <v>0.4826725</v>
      </c>
      <c r="N7863">
        <v>-1.4269449999999999E-2</v>
      </c>
      <c r="O7863">
        <v>0.87568469999999998</v>
      </c>
      <c r="P7863">
        <v>0.72187679999999999</v>
      </c>
      <c r="Q7863">
        <v>0.37419790000000003</v>
      </c>
      <c r="R7863">
        <v>0.58212529999999996</v>
      </c>
      <c r="S7863">
        <v>2.9235989999999998</v>
      </c>
      <c r="T7863">
        <v>-0.51846919999999996</v>
      </c>
      <c r="U7863">
        <v>1.8628229999999999</v>
      </c>
      <c r="V7863">
        <v>0.35590840000000001</v>
      </c>
      <c r="W7863">
        <v>0.38207150000000001</v>
      </c>
      <c r="X7863">
        <v>0.85284850000000001</v>
      </c>
      <c r="Y7863">
        <v>0.46999449999999998</v>
      </c>
      <c r="Z7863">
        <v>-0.13701849999999999</v>
      </c>
      <c r="AA7863">
        <v>0.87196969999999996</v>
      </c>
      <c r="AB7863">
        <v>20</v>
      </c>
      <c r="AC7863">
        <v>6.1814999999999998</v>
      </c>
      <c r="AD7863">
        <v>-1.1061688251889901</v>
      </c>
      <c r="AE7863">
        <v>3.88319999999998</v>
      </c>
      <c r="AF7863">
        <v>3.45965337464636</v>
      </c>
      <c r="AG7863">
        <v>-1.1061688251889901</v>
      </c>
      <c r="AH7863">
        <v>6.2414375375730398</v>
      </c>
      <c r="AI7863">
        <v>98.811238005298804</v>
      </c>
      <c r="AJ7863">
        <v>61.00022433697</v>
      </c>
      <c r="AK7863">
        <v>7.2213816875960699</v>
      </c>
      <c r="AL7863">
        <v>67.537944518338705</v>
      </c>
      <c r="AM7863">
        <v>67.348380331302394</v>
      </c>
      <c r="AN7863">
        <v>0.99999999212752999</v>
      </c>
    </row>
    <row r="7864" spans="1:40" x14ac:dyDescent="0.25">
      <c r="A7864" t="str">
        <f>"20190304165037419"</f>
        <v>20190304165037419</v>
      </c>
      <c r="B7864" t="str">
        <f>"1551689437413183"</f>
        <v>1551689437413183</v>
      </c>
      <c r="C7864" t="s">
        <v>40</v>
      </c>
      <c r="D7864">
        <v>4.981878</v>
      </c>
      <c r="E7864">
        <v>0.57497140000000002</v>
      </c>
      <c r="F7864" t="s">
        <v>48</v>
      </c>
      <c r="G7864">
        <v>-177.47040000000001</v>
      </c>
      <c r="H7864" s="1">
        <v>-4.8408850000000003E-6</v>
      </c>
      <c r="I7864">
        <v>132.52979999999999</v>
      </c>
      <c r="J7864">
        <v>-183.58179999999999</v>
      </c>
      <c r="K7864">
        <v>1.106169</v>
      </c>
      <c r="L7864">
        <v>128.7216</v>
      </c>
      <c r="M7864">
        <v>0.4867107</v>
      </c>
      <c r="N7864">
        <v>-1.4267749999999999E-2</v>
      </c>
      <c r="O7864">
        <v>0.87344669999999902</v>
      </c>
      <c r="P7864">
        <v>0.72390889999999997</v>
      </c>
      <c r="Q7864">
        <v>0.37436459999999999</v>
      </c>
      <c r="R7864">
        <v>0.57948859999999902</v>
      </c>
      <c r="S7864">
        <v>2.9336850000000001</v>
      </c>
      <c r="T7864">
        <v>-0.52631709999999998</v>
      </c>
      <c r="U7864">
        <v>1.8538509999999999</v>
      </c>
      <c r="V7864">
        <v>0.35499340000000001</v>
      </c>
      <c r="W7864">
        <v>0.38225999999999999</v>
      </c>
      <c r="X7864">
        <v>0.85314539999999905</v>
      </c>
      <c r="Y7864">
        <v>0.46893790000000002</v>
      </c>
      <c r="Z7864">
        <v>-0.1388752</v>
      </c>
      <c r="AA7864">
        <v>0.87224469999999998</v>
      </c>
      <c r="AB7864">
        <v>20</v>
      </c>
      <c r="AC7864">
        <v>6.1113999999999704</v>
      </c>
      <c r="AD7864">
        <v>-1.1061738408849999</v>
      </c>
      <c r="AE7864">
        <v>3.8081999999999998</v>
      </c>
      <c r="AF7864">
        <v>3.4045039455754602</v>
      </c>
      <c r="AG7864">
        <v>-1.1061738408849999</v>
      </c>
      <c r="AH7864">
        <v>6.1561098371865501</v>
      </c>
      <c r="AI7864">
        <v>98.936202454713097</v>
      </c>
      <c r="AJ7864">
        <v>61.056157445728601</v>
      </c>
      <c r="AK7864">
        <v>7.1212327590945996</v>
      </c>
      <c r="AL7864">
        <v>67.526258432137894</v>
      </c>
      <c r="AM7864">
        <v>67.407828276823494</v>
      </c>
      <c r="AN7864">
        <v>1.0000000475923501</v>
      </c>
    </row>
    <row r="7865" spans="1:40" x14ac:dyDescent="0.25">
      <c r="A7865" t="str">
        <f>"20190304165037429"</f>
        <v>20190304165037429</v>
      </c>
      <c r="B7865" t="str">
        <f>"1551689437422944"</f>
        <v>1551689437422944</v>
      </c>
      <c r="C7865" t="s">
        <v>40</v>
      </c>
      <c r="D7865">
        <v>4.9798249999999999</v>
      </c>
      <c r="E7865">
        <v>0.57503959999999998</v>
      </c>
      <c r="F7865" t="s">
        <v>48</v>
      </c>
      <c r="G7865">
        <v>-177.4521</v>
      </c>
      <c r="H7865" s="1">
        <v>-4.8419280000000001E-6</v>
      </c>
      <c r="I7865">
        <v>132.56549999999999</v>
      </c>
      <c r="J7865">
        <v>-183.5273</v>
      </c>
      <c r="K7865">
        <v>1.1061810000000001</v>
      </c>
      <c r="L7865">
        <v>128.80879999999999</v>
      </c>
      <c r="M7865">
        <v>0.49071019999999999</v>
      </c>
      <c r="N7865">
        <v>-1.4265979999999999E-2</v>
      </c>
      <c r="O7865">
        <v>0.87120599999999904</v>
      </c>
      <c r="P7865">
        <v>0.72605509999999995</v>
      </c>
      <c r="Q7865">
        <v>0.37437799999999999</v>
      </c>
      <c r="R7865">
        <v>0.57678850000000004</v>
      </c>
      <c r="S7865">
        <v>2.9419249999999999</v>
      </c>
      <c r="T7865">
        <v>-0.53090479999999995</v>
      </c>
      <c r="U7865">
        <v>1.844849</v>
      </c>
      <c r="V7865">
        <v>0.35424020000000001</v>
      </c>
      <c r="W7865">
        <v>0.38229299999999999</v>
      </c>
      <c r="X7865">
        <v>0.85344359999999997</v>
      </c>
      <c r="Y7865">
        <v>0.46777419999999997</v>
      </c>
      <c r="Z7865">
        <v>-0.1398693</v>
      </c>
      <c r="AA7865">
        <v>0.87271069999999995</v>
      </c>
      <c r="AB7865">
        <v>20</v>
      </c>
      <c r="AC7865">
        <v>6.0751999999999899</v>
      </c>
      <c r="AD7865">
        <v>-1.106185841928</v>
      </c>
      <c r="AE7865">
        <v>3.7566999999999902</v>
      </c>
      <c r="AF7865">
        <v>3.3688547123394401</v>
      </c>
      <c r="AG7865">
        <v>-1.106185841928</v>
      </c>
      <c r="AH7865">
        <v>6.1081651505239902</v>
      </c>
      <c r="AI7865">
        <v>99.010903708301598</v>
      </c>
      <c r="AJ7865">
        <v>61.121814201294399</v>
      </c>
      <c r="AK7865">
        <v>7.0627551773942603</v>
      </c>
      <c r="AL7865">
        <v>67.524211553587307</v>
      </c>
      <c r="AM7865">
        <v>67.458050429550596</v>
      </c>
      <c r="AN7865">
        <v>1.00000001776299</v>
      </c>
    </row>
    <row r="7866" spans="1:40" x14ac:dyDescent="0.25">
      <c r="A7866" t="str">
        <f>"20190304165037440"</f>
        <v>20190304165037440</v>
      </c>
      <c r="B7866" t="str">
        <f>"1551689437433680"</f>
        <v>1551689437433680</v>
      </c>
      <c r="C7866" t="s">
        <v>40</v>
      </c>
      <c r="D7866">
        <v>4.9883480000000002</v>
      </c>
      <c r="E7866">
        <v>0.57504119999999903</v>
      </c>
      <c r="F7866" t="s">
        <v>48</v>
      </c>
      <c r="G7866">
        <v>-177.39580000000001</v>
      </c>
      <c r="H7866" s="1">
        <v>-4.8229799999999997E-6</v>
      </c>
      <c r="I7866">
        <v>132.61680000000001</v>
      </c>
      <c r="J7866">
        <v>-183.47319999999999</v>
      </c>
      <c r="K7866">
        <v>1.1061909999999999</v>
      </c>
      <c r="L7866">
        <v>128.89449999999999</v>
      </c>
      <c r="M7866">
        <v>0.49464380000000002</v>
      </c>
      <c r="N7866">
        <v>-1.4264249999999999E-2</v>
      </c>
      <c r="O7866">
        <v>0.86897869999999999</v>
      </c>
      <c r="P7866">
        <v>0.72844469999999995</v>
      </c>
      <c r="Q7866">
        <v>0.37414320000000001</v>
      </c>
      <c r="R7866">
        <v>0.57392100000000001</v>
      </c>
      <c r="S7866">
        <v>2.9506380000000001</v>
      </c>
      <c r="T7866">
        <v>-0.53232749999999995</v>
      </c>
      <c r="U7866">
        <v>1.8325039999999999</v>
      </c>
      <c r="V7866">
        <v>0.35383829999999999</v>
      </c>
      <c r="W7866">
        <v>0.38207279999999999</v>
      </c>
      <c r="X7866">
        <v>0.85370889999999999</v>
      </c>
      <c r="Y7866">
        <v>0.46754380000000001</v>
      </c>
      <c r="Z7866">
        <v>-0.140078799999999</v>
      </c>
      <c r="AA7866">
        <v>0.87280049999999898</v>
      </c>
      <c r="AB7866">
        <v>20</v>
      </c>
      <c r="AC7866">
        <v>6.0773999999999804</v>
      </c>
      <c r="AD7866">
        <v>-1.10619582298</v>
      </c>
      <c r="AE7866">
        <v>3.7223000000000099</v>
      </c>
      <c r="AF7866">
        <v>3.3593336604372901</v>
      </c>
      <c r="AG7866">
        <v>-1.10619582298</v>
      </c>
      <c r="AH7866">
        <v>6.09454945501325</v>
      </c>
      <c r="AI7866">
        <v>99.032023129918898</v>
      </c>
      <c r="AJ7866">
        <v>61.136316313752197</v>
      </c>
      <c r="AK7866">
        <v>7.0464405837648103</v>
      </c>
      <c r="AL7866">
        <v>67.537864733010494</v>
      </c>
      <c r="AM7866">
        <v>67.487370004623898</v>
      </c>
      <c r="AN7866">
        <v>1.00000002649296</v>
      </c>
    </row>
    <row r="7867" spans="1:40" x14ac:dyDescent="0.25">
      <c r="A7867" t="str">
        <f>"20190304165037451"</f>
        <v>20190304165037451</v>
      </c>
      <c r="B7867" t="str">
        <f>"1551689437443440"</f>
        <v>1551689437443440</v>
      </c>
      <c r="C7867" t="s">
        <v>40</v>
      </c>
      <c r="D7867">
        <v>4.9846329999999996</v>
      </c>
      <c r="E7867">
        <v>0.57502500000000001</v>
      </c>
      <c r="F7867" t="s">
        <v>48</v>
      </c>
      <c r="G7867">
        <v>-177.36089999999999</v>
      </c>
      <c r="H7867" s="1">
        <v>-4.8134920000000004E-6</v>
      </c>
      <c r="I7867">
        <v>132.65450000000001</v>
      </c>
      <c r="J7867">
        <v>-183.42060000000001</v>
      </c>
      <c r="K7867">
        <v>1.106201</v>
      </c>
      <c r="L7867">
        <v>128.977</v>
      </c>
      <c r="M7867">
        <v>0.49843359999999898</v>
      </c>
      <c r="N7867">
        <v>-1.426258E-2</v>
      </c>
      <c r="O7867">
        <v>0.86681049999999904</v>
      </c>
      <c r="P7867">
        <v>0.73070179999999996</v>
      </c>
      <c r="Q7867">
        <v>0.3742607</v>
      </c>
      <c r="R7867">
        <v>0.57096740000000001</v>
      </c>
      <c r="S7867">
        <v>2.9592290000000001</v>
      </c>
      <c r="T7867">
        <v>-0.53556199999999998</v>
      </c>
      <c r="U7867">
        <v>1.820389</v>
      </c>
      <c r="V7867">
        <v>0.3535065</v>
      </c>
      <c r="W7867">
        <v>0.3822006</v>
      </c>
      <c r="X7867">
        <v>0.85378920000000003</v>
      </c>
      <c r="Y7867">
        <v>0.46731329999999999</v>
      </c>
      <c r="Z7867">
        <v>-0.14078889999999999</v>
      </c>
      <c r="AA7867">
        <v>0.87280959999999996</v>
      </c>
      <c r="AB7867">
        <v>20</v>
      </c>
      <c r="AC7867">
        <v>6.0597000000000198</v>
      </c>
      <c r="AD7867">
        <v>-1.1062058134919901</v>
      </c>
      <c r="AE7867">
        <v>3.6775000000000002</v>
      </c>
      <c r="AF7867">
        <v>3.3386570749892002</v>
      </c>
      <c r="AG7867">
        <v>-1.1062058134919901</v>
      </c>
      <c r="AH7867">
        <v>6.0610682314655504</v>
      </c>
      <c r="AI7867">
        <v>99.082550966484007</v>
      </c>
      <c r="AJ7867">
        <v>61.1524262743918</v>
      </c>
      <c r="AK7867">
        <v>7.0076294474422598</v>
      </c>
      <c r="AL7867">
        <v>67.529942021906095</v>
      </c>
      <c r="AM7867">
        <v>67.508281232386494</v>
      </c>
      <c r="AN7867">
        <v>1.00000007110962</v>
      </c>
    </row>
    <row r="7868" spans="1:40" x14ac:dyDescent="0.25">
      <c r="A7868" t="str">
        <f>"20190304165037462"</f>
        <v>20190304165037462</v>
      </c>
      <c r="B7868" t="str">
        <f>"1551689437453199"</f>
        <v>1551689437453199</v>
      </c>
      <c r="C7868" t="s">
        <v>40</v>
      </c>
      <c r="D7868">
        <v>4.9753499999999997</v>
      </c>
      <c r="E7868">
        <v>0.57501720000000001</v>
      </c>
      <c r="F7868" t="s">
        <v>48</v>
      </c>
      <c r="G7868">
        <v>-177.315</v>
      </c>
      <c r="H7868" s="1">
        <v>-4.7990969999999996E-6</v>
      </c>
      <c r="I7868">
        <v>132.69899999999899</v>
      </c>
      <c r="J7868">
        <v>-183.36609999999999</v>
      </c>
      <c r="K7868">
        <v>1.1062110000000001</v>
      </c>
      <c r="L7868">
        <v>129.06139999999999</v>
      </c>
      <c r="M7868">
        <v>0.50231349999999997</v>
      </c>
      <c r="N7868">
        <v>-1.426081E-2</v>
      </c>
      <c r="O7868">
        <v>0.864568</v>
      </c>
      <c r="P7868">
        <v>0.73301349999999998</v>
      </c>
      <c r="Q7868">
        <v>0.3740578</v>
      </c>
      <c r="R7868">
        <v>0.56813040000000004</v>
      </c>
      <c r="S7868">
        <v>2.9674990000000001</v>
      </c>
      <c r="T7868">
        <v>-0.53765629999999998</v>
      </c>
      <c r="U7868">
        <v>1.8089900000000001</v>
      </c>
      <c r="V7868">
        <v>0.3530663</v>
      </c>
      <c r="W7868">
        <v>0.38201249999999998</v>
      </c>
      <c r="X7868">
        <v>0.85405549999999997</v>
      </c>
      <c r="Y7868">
        <v>0.46682950000000001</v>
      </c>
      <c r="Z7868">
        <v>-0.14115339999999901</v>
      </c>
      <c r="AA7868">
        <v>0.8730097</v>
      </c>
      <c r="AB7868">
        <v>20</v>
      </c>
      <c r="AC7868">
        <v>6.0510999999999902</v>
      </c>
      <c r="AD7868">
        <v>-1.1062157990970001</v>
      </c>
      <c r="AE7868">
        <v>3.6375999999999902</v>
      </c>
      <c r="AF7868">
        <v>3.3231385068707899</v>
      </c>
      <c r="AG7868">
        <v>-1.1062157990970001</v>
      </c>
      <c r="AH7868">
        <v>6.0369304478502102</v>
      </c>
      <c r="AI7868">
        <v>99.119733008358907</v>
      </c>
      <c r="AJ7868">
        <v>61.168612676136398</v>
      </c>
      <c r="AK7868">
        <v>6.9793618735669698</v>
      </c>
      <c r="AL7868">
        <v>67.541604515688206</v>
      </c>
      <c r="AM7868">
        <v>67.539812677456993</v>
      </c>
      <c r="AN7868">
        <v>1.00000007971609</v>
      </c>
    </row>
    <row r="7869" spans="1:40" x14ac:dyDescent="0.25">
      <c r="A7869" t="str">
        <f>"20190304165037473"</f>
        <v>20190304165037473</v>
      </c>
      <c r="B7869" t="str">
        <f>"1551689437462960"</f>
        <v>1551689437462960</v>
      </c>
      <c r="C7869" t="s">
        <v>40</v>
      </c>
      <c r="D7869">
        <v>4.9961900000000004</v>
      </c>
      <c r="E7869">
        <v>0.57498519999999997</v>
      </c>
      <c r="F7869" t="s">
        <v>48</v>
      </c>
      <c r="G7869">
        <v>-177.27549999999999</v>
      </c>
      <c r="H7869" s="1">
        <v>-4.7873849999999999E-6</v>
      </c>
      <c r="I7869">
        <v>132.73920000000001</v>
      </c>
      <c r="J7869">
        <v>-183.3092</v>
      </c>
      <c r="K7869">
        <v>1.1062190000000001</v>
      </c>
      <c r="L7869">
        <v>129.14920000000001</v>
      </c>
      <c r="M7869">
        <v>0.50634429999999997</v>
      </c>
      <c r="N7869">
        <v>-1.4258979999999999E-2</v>
      </c>
      <c r="O7869">
        <v>0.86221360000000002</v>
      </c>
      <c r="P7869">
        <v>0.73540030000000001</v>
      </c>
      <c r="Q7869">
        <v>0.37398009999999998</v>
      </c>
      <c r="R7869">
        <v>0.56508890000000001</v>
      </c>
      <c r="S7869">
        <v>2.975784</v>
      </c>
      <c r="T7869">
        <v>-0.54047719999999999</v>
      </c>
      <c r="U7869">
        <v>1.7969059999999999</v>
      </c>
      <c r="V7869">
        <v>0.35264020000000001</v>
      </c>
      <c r="W7869">
        <v>0.3819477</v>
      </c>
      <c r="X7869">
        <v>0.85426039999999903</v>
      </c>
      <c r="Y7869">
        <v>0.46629900000000002</v>
      </c>
      <c r="Z7869">
        <v>-0.1417175</v>
      </c>
      <c r="AA7869">
        <v>0.87320180000000003</v>
      </c>
      <c r="AB7869">
        <v>20</v>
      </c>
      <c r="AC7869">
        <v>6.0336999999999996</v>
      </c>
      <c r="AD7869">
        <v>-1.106223787385</v>
      </c>
      <c r="AE7869">
        <v>3.59</v>
      </c>
      <c r="AF7869">
        <v>3.3029101594431598</v>
      </c>
      <c r="AG7869">
        <v>-1.106223787385</v>
      </c>
      <c r="AH7869">
        <v>6.0020972012326501</v>
      </c>
      <c r="AI7869">
        <v>99.172496256952698</v>
      </c>
      <c r="AJ7869">
        <v>61.176333087332203</v>
      </c>
      <c r="AK7869">
        <v>6.9396049889150104</v>
      </c>
      <c r="AL7869">
        <v>67.545619880200803</v>
      </c>
      <c r="AM7869">
        <v>67.569078457949104</v>
      </c>
      <c r="AN7869">
        <v>0.99999999359974401</v>
      </c>
    </row>
    <row r="7870" spans="1:40" x14ac:dyDescent="0.25">
      <c r="A7870" t="str">
        <f>"20190304165037486"</f>
        <v>20190304165037486</v>
      </c>
      <c r="B7870" t="str">
        <f>"1551689437473697"</f>
        <v>1551689437473697</v>
      </c>
      <c r="C7870" t="s">
        <v>40</v>
      </c>
      <c r="D7870">
        <v>5.0504949999999997</v>
      </c>
      <c r="E7870">
        <v>0.57492180000000004</v>
      </c>
      <c r="F7870" t="s">
        <v>48</v>
      </c>
      <c r="G7870">
        <v>-177.22900000000001</v>
      </c>
      <c r="H7870" s="1">
        <v>-4.7725749999999998E-6</v>
      </c>
      <c r="I7870">
        <v>132.78370000000001</v>
      </c>
      <c r="J7870">
        <v>-183.24950000000001</v>
      </c>
      <c r="K7870">
        <v>1.1062320000000001</v>
      </c>
      <c r="L7870">
        <v>129.2398</v>
      </c>
      <c r="M7870">
        <v>0.5105172</v>
      </c>
      <c r="N7870">
        <v>-1.425705E-2</v>
      </c>
      <c r="O7870">
        <v>0.85974930000000005</v>
      </c>
      <c r="P7870">
        <v>0.73801740000000005</v>
      </c>
      <c r="Q7870">
        <v>0.3736236</v>
      </c>
      <c r="R7870">
        <v>0.56190369999999901</v>
      </c>
      <c r="S7870">
        <v>2.9846499999999998</v>
      </c>
      <c r="T7870">
        <v>-0.54302689999999998</v>
      </c>
      <c r="U7870">
        <v>1.78411899999999</v>
      </c>
      <c r="V7870">
        <v>0.35233439999999999</v>
      </c>
      <c r="W7870">
        <v>0.38160430000000001</v>
      </c>
      <c r="X7870">
        <v>0.85454010000000002</v>
      </c>
      <c r="Y7870">
        <v>0.4658467</v>
      </c>
      <c r="Z7870">
        <v>-0.14218979999999901</v>
      </c>
      <c r="AA7870">
        <v>0.87336639999999999</v>
      </c>
      <c r="AB7870">
        <v>20</v>
      </c>
      <c r="AC7870">
        <v>6.0204999999999904</v>
      </c>
      <c r="AD7870">
        <v>-1.106236772575</v>
      </c>
      <c r="AE7870">
        <v>3.5438999999999998</v>
      </c>
      <c r="AF7870">
        <v>3.28487566001992</v>
      </c>
      <c r="AG7870">
        <v>-1.106236772575</v>
      </c>
      <c r="AH7870">
        <v>5.9713306738205203</v>
      </c>
      <c r="AI7870">
        <v>99.219760770631893</v>
      </c>
      <c r="AJ7870">
        <v>61.184463860751499</v>
      </c>
      <c r="AK7870">
        <v>6.9044158272006104</v>
      </c>
      <c r="AL7870">
        <v>67.566909668955802</v>
      </c>
      <c r="AM7870">
        <v>67.593215291490907</v>
      </c>
      <c r="AN7870">
        <v>1.00000007685492</v>
      </c>
    </row>
    <row r="7871" spans="1:40" x14ac:dyDescent="0.25">
      <c r="A7871" t="str">
        <f>"20190304165037498"</f>
        <v>20190304165037498</v>
      </c>
      <c r="B7871" t="str">
        <f>"1551689437493216"</f>
        <v>1551689437493216</v>
      </c>
      <c r="C7871" t="s">
        <v>40</v>
      </c>
      <c r="D7871">
        <v>4.9775410000000004</v>
      </c>
      <c r="E7871">
        <v>0.57486999999999999</v>
      </c>
      <c r="F7871" t="s">
        <v>48</v>
      </c>
      <c r="G7871">
        <v>-177.18889999999999</v>
      </c>
      <c r="H7871" s="1">
        <v>-4.7605239999999901E-6</v>
      </c>
      <c r="I7871">
        <v>132.82399999999899</v>
      </c>
      <c r="J7871">
        <v>-183.19210000000001</v>
      </c>
      <c r="K7871">
        <v>1.106239</v>
      </c>
      <c r="L7871">
        <v>129.32640000000001</v>
      </c>
      <c r="M7871">
        <v>0.51449840000000002</v>
      </c>
      <c r="N7871">
        <v>-1.4255230000000001E-2</v>
      </c>
      <c r="O7871">
        <v>0.85737280000000005</v>
      </c>
      <c r="P7871">
        <v>0.74065409999999998</v>
      </c>
      <c r="Q7871">
        <v>0.37359530000000002</v>
      </c>
      <c r="R7871">
        <v>0.55844280000000002</v>
      </c>
      <c r="S7871">
        <v>2.9936219999999998</v>
      </c>
      <c r="T7871">
        <v>-0.54643009999999903</v>
      </c>
      <c r="U7871">
        <v>1.770432</v>
      </c>
      <c r="V7871">
        <v>0.35237740000000001</v>
      </c>
      <c r="W7871">
        <v>0.38157999999999997</v>
      </c>
      <c r="X7871">
        <v>0.85453310000000005</v>
      </c>
      <c r="Y7871">
        <v>0.46574660000000001</v>
      </c>
      <c r="Z7871">
        <v>-0.14293</v>
      </c>
      <c r="AA7871">
        <v>0.87329889999999999</v>
      </c>
      <c r="AB7871">
        <v>20</v>
      </c>
      <c r="AC7871">
        <v>6.0032000000000201</v>
      </c>
      <c r="AD7871">
        <v>-1.1062437605240001</v>
      </c>
      <c r="AE7871">
        <v>3.4975999999999701</v>
      </c>
      <c r="AF7871">
        <v>3.2650363305353198</v>
      </c>
      <c r="AG7871">
        <v>-1.1062437605240001</v>
      </c>
      <c r="AH7871">
        <v>5.9374766335639899</v>
      </c>
      <c r="AI7871">
        <v>99.272264671549095</v>
      </c>
      <c r="AJ7871">
        <v>61.193472503591003</v>
      </c>
      <c r="AK7871">
        <v>6.8657021688631499</v>
      </c>
      <c r="AL7871">
        <v>67.568413494584703</v>
      </c>
      <c r="AM7871">
        <v>67.590585738462593</v>
      </c>
      <c r="AN7871">
        <v>0.99999997371318405</v>
      </c>
    </row>
    <row r="7872" spans="1:40" x14ac:dyDescent="0.25">
      <c r="A7872" t="str">
        <f>"20190304165037511"</f>
        <v>20190304165037511</v>
      </c>
      <c r="B7872" t="str">
        <f>"1551689437502976"</f>
        <v>1551689437502976</v>
      </c>
      <c r="C7872" t="s">
        <v>40</v>
      </c>
      <c r="D7872">
        <v>4.9972200000000004</v>
      </c>
      <c r="E7872">
        <v>0.57482529999999998</v>
      </c>
      <c r="F7872" t="s">
        <v>48</v>
      </c>
      <c r="G7872">
        <v>-177.16290000000001</v>
      </c>
      <c r="H7872" s="1">
        <v>-4.7549510000000003E-6</v>
      </c>
      <c r="I7872">
        <v>132.8561</v>
      </c>
      <c r="J7872">
        <v>-183.11869999999999</v>
      </c>
      <c r="K7872">
        <v>1.106249</v>
      </c>
      <c r="L7872">
        <v>129.43559999999999</v>
      </c>
      <c r="M7872">
        <v>0.5195265</v>
      </c>
      <c r="N7872">
        <v>-1.4252799999999999E-2</v>
      </c>
      <c r="O7872">
        <v>0.85433549999999903</v>
      </c>
      <c r="P7872">
        <v>0.7441489</v>
      </c>
      <c r="Q7872">
        <v>0.37334390000000001</v>
      </c>
      <c r="R7872">
        <v>0.55394659999999996</v>
      </c>
      <c r="S7872">
        <v>3.0028990000000002</v>
      </c>
      <c r="T7872">
        <v>-0.55097810000000003</v>
      </c>
      <c r="U7872">
        <v>1.7579959999999999</v>
      </c>
      <c r="V7872">
        <v>0.35263030000000001</v>
      </c>
      <c r="W7872">
        <v>0.38133099999999998</v>
      </c>
      <c r="X7872">
        <v>0.85453999999999997</v>
      </c>
      <c r="Y7872">
        <v>0.46429219999999999</v>
      </c>
      <c r="Z7872">
        <v>-0.14381820000000001</v>
      </c>
      <c r="AA7872">
        <v>0.87392739999999902</v>
      </c>
      <c r="AB7872">
        <v>20</v>
      </c>
      <c r="AC7872">
        <v>5.9557999999999804</v>
      </c>
      <c r="AD7872">
        <v>-1.1062537549510001</v>
      </c>
      <c r="AE7872">
        <v>3.4205000000000001</v>
      </c>
      <c r="AF7872">
        <v>3.2278061744376099</v>
      </c>
      <c r="AG7872">
        <v>-1.1062537549510001</v>
      </c>
      <c r="AH7872">
        <v>5.8649044787536404</v>
      </c>
      <c r="AI7872">
        <v>99.383276483737106</v>
      </c>
      <c r="AJ7872">
        <v>61.173392498472403</v>
      </c>
      <c r="AK7872">
        <v>6.78525125658477</v>
      </c>
      <c r="AL7872">
        <v>67.5838485919313</v>
      </c>
      <c r="AM7872">
        <v>67.576257965116795</v>
      </c>
      <c r="AN7872">
        <v>1.00000003581954</v>
      </c>
    </row>
    <row r="7873" spans="1:40" x14ac:dyDescent="0.25">
      <c r="A7873" t="str">
        <f>"20190304165037521"</f>
        <v>20190304165037521</v>
      </c>
      <c r="B7873" t="str">
        <f>"1551689437513712"</f>
        <v>1551689437513712</v>
      </c>
      <c r="C7873" t="s">
        <v>40</v>
      </c>
      <c r="D7873">
        <v>4.9930979999999998</v>
      </c>
      <c r="E7873">
        <v>0.57478050000000003</v>
      </c>
      <c r="F7873" t="s">
        <v>48</v>
      </c>
      <c r="G7873">
        <v>-177.10470000000001</v>
      </c>
      <c r="H7873" s="1">
        <v>-4.7360750000000002E-6</v>
      </c>
      <c r="I7873">
        <v>132.9109</v>
      </c>
      <c r="J7873">
        <v>-183.06720000000001</v>
      </c>
      <c r="K7873">
        <v>1.1062540000000001</v>
      </c>
      <c r="L7873">
        <v>129.51130000000001</v>
      </c>
      <c r="M7873">
        <v>0.52301839999999999</v>
      </c>
      <c r="N7873">
        <v>-1.4251120000000001E-2</v>
      </c>
      <c r="O7873">
        <v>0.85220219999999902</v>
      </c>
      <c r="P7873">
        <v>0.74684450000000002</v>
      </c>
      <c r="Q7873">
        <v>0.37282310000000002</v>
      </c>
      <c r="R7873">
        <v>0.55065989999999998</v>
      </c>
      <c r="S7873">
        <v>3.01329</v>
      </c>
      <c r="T7873">
        <v>-0.55428719999999998</v>
      </c>
      <c r="U7873">
        <v>1.741333</v>
      </c>
      <c r="V7873">
        <v>0.35311310000000001</v>
      </c>
      <c r="W7873">
        <v>0.38080819999999999</v>
      </c>
      <c r="X7873">
        <v>0.85457369999999899</v>
      </c>
      <c r="Y7873">
        <v>0.46548329999999999</v>
      </c>
      <c r="Z7873">
        <v>-0.14461299999999999</v>
      </c>
      <c r="AA7873">
        <v>0.87316229999999995</v>
      </c>
      <c r="AB7873">
        <v>20</v>
      </c>
      <c r="AC7873">
        <v>5.9625000000000004</v>
      </c>
      <c r="AD7873">
        <v>-1.106258736075</v>
      </c>
      <c r="AE7873">
        <v>3.3995999999999902</v>
      </c>
      <c r="AF7873">
        <v>3.2198902578203499</v>
      </c>
      <c r="AG7873">
        <v>-1.106258736075</v>
      </c>
      <c r="AH7873">
        <v>5.8639197186199796</v>
      </c>
      <c r="AI7873">
        <v>99.389760420596403</v>
      </c>
      <c r="AJ7873">
        <v>61.228721836002599</v>
      </c>
      <c r="AK7873">
        <v>6.7806383276185</v>
      </c>
      <c r="AL7873">
        <v>67.616246063230406</v>
      </c>
      <c r="AM7873">
        <v>67.549400072222994</v>
      </c>
      <c r="AN7873">
        <v>0.99999997765526905</v>
      </c>
    </row>
    <row r="7874" spans="1:40" x14ac:dyDescent="0.25">
      <c r="A7874" t="str">
        <f>"20190304165037531"</f>
        <v>20190304165037531</v>
      </c>
      <c r="B7874" t="str">
        <f>"1551689437523472"</f>
        <v>1551689437523472</v>
      </c>
      <c r="C7874" t="s">
        <v>40</v>
      </c>
      <c r="D7874">
        <v>5.0000819999999999</v>
      </c>
      <c r="E7874">
        <v>0.57471070000000002</v>
      </c>
      <c r="F7874" t="s">
        <v>48</v>
      </c>
      <c r="G7874">
        <v>-177.0847</v>
      </c>
      <c r="H7874" s="1">
        <v>-4.7318689999999997E-6</v>
      </c>
      <c r="I7874">
        <v>132.9359</v>
      </c>
      <c r="J7874">
        <v>-183.01589999999999</v>
      </c>
      <c r="K7874">
        <v>1.10626</v>
      </c>
      <c r="L7874">
        <v>129.58629999999999</v>
      </c>
      <c r="M7874">
        <v>0.5264761</v>
      </c>
      <c r="N7874">
        <v>-1.424947E-2</v>
      </c>
      <c r="O7874">
        <v>0.85007049999999995</v>
      </c>
      <c r="P7874">
        <v>0.74985559999999996</v>
      </c>
      <c r="Q7874">
        <v>0.37206800000000001</v>
      </c>
      <c r="R7874">
        <v>0.54706669999999902</v>
      </c>
      <c r="S7874">
        <v>3.0207820000000001</v>
      </c>
      <c r="T7874">
        <v>-0.55858759999999996</v>
      </c>
      <c r="U7874">
        <v>1.7292179999999999</v>
      </c>
      <c r="V7874">
        <v>0.35405389999999998</v>
      </c>
      <c r="W7874">
        <v>0.3800443</v>
      </c>
      <c r="X7874">
        <v>0.85452450000000002</v>
      </c>
      <c r="Y7874">
        <v>0.46531420000000001</v>
      </c>
      <c r="Z7874">
        <v>-0.1456083</v>
      </c>
      <c r="AA7874">
        <v>0.87308699999999995</v>
      </c>
      <c r="AB7874">
        <v>20</v>
      </c>
      <c r="AC7874">
        <v>5.9311999999999898</v>
      </c>
      <c r="AD7874">
        <v>-1.106264731869</v>
      </c>
      <c r="AE7874">
        <v>3.3496000000000001</v>
      </c>
      <c r="AF7874">
        <v>3.1945276607855</v>
      </c>
      <c r="AG7874">
        <v>-1.106264731869</v>
      </c>
      <c r="AH7874">
        <v>5.8172025320187402</v>
      </c>
      <c r="AI7874">
        <v>99.463664518107393</v>
      </c>
      <c r="AJ7874">
        <v>61.2265279862632</v>
      </c>
      <c r="AK7874">
        <v>6.7281999027248096</v>
      </c>
      <c r="AL7874">
        <v>67.663572744129695</v>
      </c>
      <c r="AM7874">
        <v>67.494376587665599</v>
      </c>
      <c r="AN7874">
        <v>0.99999997758397396</v>
      </c>
    </row>
    <row r="7875" spans="1:40" x14ac:dyDescent="0.25">
      <c r="A7875" t="str">
        <f>"20190304165037542"</f>
        <v>20190304165037542</v>
      </c>
      <c r="B7875" t="str">
        <f>"1551689437533233"</f>
        <v>1551689437533233</v>
      </c>
      <c r="C7875" t="s">
        <v>40</v>
      </c>
      <c r="D7875">
        <v>5.0040570000000004</v>
      </c>
      <c r="E7875">
        <v>0.57466200000000001</v>
      </c>
      <c r="F7875" t="s">
        <v>48</v>
      </c>
      <c r="G7875">
        <v>-177.0778</v>
      </c>
      <c r="H7875" s="1">
        <v>-4.7331259999999999E-6</v>
      </c>
      <c r="I7875">
        <v>132.95169999999999</v>
      </c>
      <c r="J7875">
        <v>-182.96129999999999</v>
      </c>
      <c r="K7875">
        <v>1.1062639999999999</v>
      </c>
      <c r="L7875">
        <v>129.6651</v>
      </c>
      <c r="M7875">
        <v>0.53011209999999997</v>
      </c>
      <c r="N7875">
        <v>-1.424781E-2</v>
      </c>
      <c r="O7875">
        <v>0.8478078</v>
      </c>
      <c r="P7875">
        <v>0.7527933</v>
      </c>
      <c r="Q7875">
        <v>0.37116690000000002</v>
      </c>
      <c r="R7875">
        <v>0.54363379999999994</v>
      </c>
      <c r="S7875">
        <v>3.0285190000000002</v>
      </c>
      <c r="T7875">
        <v>-0.56420990000000004</v>
      </c>
      <c r="U7875">
        <v>1.71637</v>
      </c>
      <c r="V7875">
        <v>0.354662799999999</v>
      </c>
      <c r="W7875">
        <v>0.37914049999999999</v>
      </c>
      <c r="X7875">
        <v>0.85467349999999997</v>
      </c>
      <c r="Y7875">
        <v>0.46508450000000001</v>
      </c>
      <c r="Z7875">
        <v>-0.14695050000000001</v>
      </c>
      <c r="AA7875">
        <v>0.87298449999999905</v>
      </c>
      <c r="AB7875">
        <v>20</v>
      </c>
      <c r="AC7875">
        <v>5.88349999999999</v>
      </c>
      <c r="AD7875">
        <v>-1.1062687331259999</v>
      </c>
      <c r="AE7875">
        <v>3.2865999999999902</v>
      </c>
      <c r="AF7875">
        <v>3.1609639953953601</v>
      </c>
      <c r="AG7875">
        <v>-1.1062687331259999</v>
      </c>
      <c r="AH7875">
        <v>5.7509522809012497</v>
      </c>
      <c r="AI7875">
        <v>99.568771032347797</v>
      </c>
      <c r="AJ7875">
        <v>61.204963754374397</v>
      </c>
      <c r="AK7875">
        <v>6.6549963206061404</v>
      </c>
      <c r="AL7875">
        <v>67.719546730232494</v>
      </c>
      <c r="AM7875">
        <v>67.463077061509594</v>
      </c>
      <c r="AN7875">
        <v>1.00000000602317</v>
      </c>
    </row>
    <row r="7876" spans="1:40" x14ac:dyDescent="0.25">
      <c r="A7876" t="str">
        <f>"20190304165037552"</f>
        <v>20190304165037552</v>
      </c>
      <c r="B7876" t="str">
        <f>"1551689437542992"</f>
        <v>1551689437542992</v>
      </c>
      <c r="C7876" t="s">
        <v>40</v>
      </c>
      <c r="D7876">
        <v>4.9895909999999999</v>
      </c>
      <c r="E7876">
        <v>0.5746095</v>
      </c>
      <c r="F7876" t="s">
        <v>48</v>
      </c>
      <c r="G7876">
        <v>-177.0651</v>
      </c>
      <c r="H7876" s="1">
        <v>-4.7320050000000001E-6</v>
      </c>
      <c r="I7876">
        <v>132.97149999999999</v>
      </c>
      <c r="J7876">
        <v>-182.90610000000001</v>
      </c>
      <c r="K7876">
        <v>1.1062650000000001</v>
      </c>
      <c r="L7876">
        <v>129.74449999999999</v>
      </c>
      <c r="M7876">
        <v>0.53377659999999905</v>
      </c>
      <c r="N7876">
        <v>-1.4246190000000001E-2</v>
      </c>
      <c r="O7876">
        <v>0.84550550000000002</v>
      </c>
      <c r="P7876">
        <v>0.75586900000000001</v>
      </c>
      <c r="Q7876">
        <v>0.37015160000000003</v>
      </c>
      <c r="R7876">
        <v>0.54004629999999998</v>
      </c>
      <c r="S7876">
        <v>3.0364070000000001</v>
      </c>
      <c r="T7876">
        <v>-0.56969479999999995</v>
      </c>
      <c r="U7876">
        <v>1.70272799999999</v>
      </c>
      <c r="V7876">
        <v>0.35543629999999998</v>
      </c>
      <c r="W7876">
        <v>0.37812050000000003</v>
      </c>
      <c r="X7876">
        <v>0.85480400000000001</v>
      </c>
      <c r="Y7876">
        <v>0.4650068</v>
      </c>
      <c r="Z7876">
        <v>-0.14826220000000001</v>
      </c>
      <c r="AA7876">
        <v>0.87280409999999997</v>
      </c>
      <c r="AB7876">
        <v>20</v>
      </c>
      <c r="AC7876">
        <v>5.8410000000000002</v>
      </c>
      <c r="AD7876">
        <v>-1.1062697320049999</v>
      </c>
      <c r="AE7876">
        <v>3.2269999999999999</v>
      </c>
      <c r="AF7876">
        <v>3.130394892939</v>
      </c>
      <c r="AG7876">
        <v>-1.1062697320049999</v>
      </c>
      <c r="AH7876">
        <v>5.6904394405885697</v>
      </c>
      <c r="AI7876">
        <v>99.666730063310695</v>
      </c>
      <c r="AJ7876">
        <v>61.184157033137801</v>
      </c>
      <c r="AK7876">
        <v>6.5881944364670204</v>
      </c>
      <c r="AL7876">
        <v>67.782688867643799</v>
      </c>
      <c r="AM7876">
        <v>67.421956081179005</v>
      </c>
      <c r="AN7876">
        <v>0.99999997714696898</v>
      </c>
    </row>
    <row r="7877" spans="1:40" x14ac:dyDescent="0.25">
      <c r="A7877" t="str">
        <f>"20190304165037563"</f>
        <v>20190304165037563</v>
      </c>
      <c r="B7877" t="str">
        <f>"1551689437553729"</f>
        <v>1551689437553729</v>
      </c>
      <c r="C7877" t="s">
        <v>40</v>
      </c>
      <c r="D7877">
        <v>4.9794130000000001</v>
      </c>
      <c r="E7877">
        <v>0.5746095</v>
      </c>
      <c r="F7877" t="s">
        <v>48</v>
      </c>
      <c r="G7877">
        <v>-177.05179999999999</v>
      </c>
      <c r="H7877" s="1">
        <v>-4.7297520000000004E-6</v>
      </c>
      <c r="I7877">
        <v>132.98949999999999</v>
      </c>
      <c r="J7877">
        <v>-182.852</v>
      </c>
      <c r="K7877">
        <v>1.1062650000000001</v>
      </c>
      <c r="L7877">
        <v>129.821</v>
      </c>
      <c r="M7877">
        <v>0.53732150000000001</v>
      </c>
      <c r="N7877">
        <v>-1.424485E-2</v>
      </c>
      <c r="O7877">
        <v>0.84325720000000004</v>
      </c>
      <c r="P7877">
        <v>0.7586984</v>
      </c>
      <c r="Q7877">
        <v>0.36959120000000001</v>
      </c>
      <c r="R7877">
        <v>0.53645050000000005</v>
      </c>
      <c r="S7877">
        <v>3.044861</v>
      </c>
      <c r="T7877">
        <v>-0.5753779</v>
      </c>
      <c r="U7877">
        <v>1.687759</v>
      </c>
      <c r="V7877">
        <v>0.35613099999999998</v>
      </c>
      <c r="W7877">
        <v>0.37755230000000001</v>
      </c>
      <c r="X7877">
        <v>0.85476600000000003</v>
      </c>
      <c r="Y7877">
        <v>0.4653873</v>
      </c>
      <c r="Z7877">
        <v>-0.1496556</v>
      </c>
      <c r="AA7877">
        <v>0.87236340000000001</v>
      </c>
      <c r="AB7877">
        <v>20</v>
      </c>
      <c r="AC7877">
        <v>5.80020000000001</v>
      </c>
      <c r="AD7877">
        <v>-1.1062697297519899</v>
      </c>
      <c r="AE7877">
        <v>3.1684999999999901</v>
      </c>
      <c r="AF7877">
        <v>3.1019726449852301</v>
      </c>
      <c r="AG7877">
        <v>-1.1062697297519899</v>
      </c>
      <c r="AH7877">
        <v>5.6312489462075597</v>
      </c>
      <c r="AI7877">
        <v>99.7634169341366</v>
      </c>
      <c r="AJ7877">
        <v>61.151835492025299</v>
      </c>
      <c r="AK7877">
        <v>6.5235750704169897</v>
      </c>
      <c r="AL7877">
        <v>67.81785067173</v>
      </c>
      <c r="AM7877">
        <v>67.381363038252402</v>
      </c>
      <c r="AN7877">
        <v>0.99999997157614395</v>
      </c>
    </row>
    <row r="7878" spans="1:40" x14ac:dyDescent="0.25">
      <c r="A7878" t="str">
        <f>"20190304165037574"</f>
        <v>20190304165037574</v>
      </c>
      <c r="B7878" t="str">
        <f>"1551689437563488"</f>
        <v>1551689437563488</v>
      </c>
      <c r="C7878" t="s">
        <v>40</v>
      </c>
      <c r="D7878">
        <v>4.9867839999999903</v>
      </c>
      <c r="E7878">
        <v>0.57051909999999995</v>
      </c>
      <c r="F7878" t="s">
        <v>48</v>
      </c>
      <c r="G7878">
        <v>-177.00099999999901</v>
      </c>
      <c r="H7878" s="1">
        <v>-4.7084560000000004E-6</v>
      </c>
      <c r="I7878">
        <v>133.0247</v>
      </c>
      <c r="J7878">
        <v>-182.7936</v>
      </c>
      <c r="K7878">
        <v>1.1062669999999999</v>
      </c>
      <c r="L7878">
        <v>129.90350000000001</v>
      </c>
      <c r="M7878">
        <v>0.54113639999999996</v>
      </c>
      <c r="N7878">
        <v>-1.4243489999999999E-2</v>
      </c>
      <c r="O7878">
        <v>0.84081419999999996</v>
      </c>
      <c r="P7878">
        <v>0.76189910000000005</v>
      </c>
      <c r="Q7878">
        <v>0.36898880000000001</v>
      </c>
      <c r="R7878">
        <v>0.53231309999999998</v>
      </c>
      <c r="S7878">
        <v>3.0533139999999999</v>
      </c>
      <c r="T7878">
        <v>-0.57729659999999905</v>
      </c>
      <c r="U7878">
        <v>1.671783</v>
      </c>
      <c r="V7878">
        <v>0.3571513</v>
      </c>
      <c r="W7878">
        <v>0.3769363</v>
      </c>
      <c r="X7878">
        <v>0.85461219999999904</v>
      </c>
      <c r="Y7878">
        <v>0.46584930000000002</v>
      </c>
      <c r="Z7878">
        <v>-0.15002689999999999</v>
      </c>
      <c r="AA7878">
        <v>0.87205299999999997</v>
      </c>
      <c r="AB7878">
        <v>20</v>
      </c>
      <c r="AC7878">
        <v>5.7926000000000197</v>
      </c>
      <c r="AD7878">
        <v>-1.1062717084559901</v>
      </c>
      <c r="AE7878">
        <v>3.12119999999998</v>
      </c>
      <c r="AF7878">
        <v>3.0943608740550701</v>
      </c>
      <c r="AG7878">
        <v>-1.1062717084559901</v>
      </c>
      <c r="AH7878">
        <v>5.6011931303634199</v>
      </c>
      <c r="AI7878">
        <v>99.808310245104707</v>
      </c>
      <c r="AJ7878">
        <v>61.081687707382699</v>
      </c>
      <c r="AK7878">
        <v>6.4940180778500602</v>
      </c>
      <c r="AL7878">
        <v>67.855961781004794</v>
      </c>
      <c r="AM7878">
        <v>67.319444226365903</v>
      </c>
      <c r="AN7878">
        <v>1.0000000188691001</v>
      </c>
    </row>
    <row r="7879" spans="1:40" x14ac:dyDescent="0.25">
      <c r="A7879" t="str">
        <f>"20190304165037585"</f>
        <v>20190304165037585</v>
      </c>
      <c r="B7879" t="str">
        <f>"1551689437573248"</f>
        <v>1551689437573248</v>
      </c>
      <c r="C7879" t="s">
        <v>40</v>
      </c>
      <c r="D7879">
        <v>5.05328</v>
      </c>
      <c r="E7879">
        <v>0.57178899999999999</v>
      </c>
      <c r="F7879" t="s">
        <v>48</v>
      </c>
      <c r="G7879">
        <v>-177.8272</v>
      </c>
      <c r="H7879" s="1">
        <v>-5.1400080000000001E-6</v>
      </c>
      <c r="I7879">
        <v>132.67670000000001</v>
      </c>
      <c r="J7879">
        <v>-182.7337</v>
      </c>
      <c r="K7879">
        <v>1.106263</v>
      </c>
      <c r="L7879">
        <v>129.98660000000001</v>
      </c>
      <c r="M7879">
        <v>0.54500170000000003</v>
      </c>
      <c r="N7879">
        <v>-1.42425E-2</v>
      </c>
      <c r="O7879">
        <v>0.83831389999999995</v>
      </c>
      <c r="P7879">
        <v>0.76531700000000003</v>
      </c>
      <c r="Q7879">
        <v>0.36831849999999999</v>
      </c>
      <c r="R7879">
        <v>0.52785579999999999</v>
      </c>
      <c r="S7879">
        <v>3.0708009999999999</v>
      </c>
      <c r="T7879">
        <v>-0.68402269999999998</v>
      </c>
      <c r="U7879">
        <v>1.7147220000000001</v>
      </c>
      <c r="V7879">
        <v>0.35847610000000002</v>
      </c>
      <c r="W7879">
        <v>0.376245</v>
      </c>
      <c r="X7879">
        <v>0.85436209999999901</v>
      </c>
      <c r="Y7879">
        <v>0.45012990000000003</v>
      </c>
      <c r="Z7879">
        <v>-0.17568789999999901</v>
      </c>
      <c r="AA7879">
        <v>0.87550949999999905</v>
      </c>
      <c r="AB7879">
        <v>20</v>
      </c>
      <c r="AC7879">
        <v>4.9064999999999896</v>
      </c>
      <c r="AD7879">
        <v>-1.1062681400079999</v>
      </c>
      <c r="AE7879">
        <v>2.6901000000000002</v>
      </c>
      <c r="AF7879">
        <v>2.5477623176922299</v>
      </c>
      <c r="AG7879">
        <v>-1.1062681400079999</v>
      </c>
      <c r="AH7879">
        <v>4.74426037467512</v>
      </c>
      <c r="AI7879">
        <v>101.6088791967</v>
      </c>
      <c r="AJ7879">
        <v>61.763315751106397</v>
      </c>
      <c r="AK7879">
        <v>5.4975384062107002</v>
      </c>
      <c r="AL7879">
        <v>67.898717785594798</v>
      </c>
      <c r="AM7879">
        <v>67.237890634879093</v>
      </c>
      <c r="AN7879">
        <v>1.0000000061063099</v>
      </c>
    </row>
    <row r="7880" spans="1:40" x14ac:dyDescent="0.25">
      <c r="A7880" t="str">
        <f>"20190304165037597"</f>
        <v>20190304165037597</v>
      </c>
      <c r="B7880" t="str">
        <f>"1551689437593744"</f>
        <v>1551689437593744</v>
      </c>
      <c r="C7880" t="s">
        <v>40</v>
      </c>
      <c r="D7880">
        <v>5.0638889999999996</v>
      </c>
      <c r="E7880">
        <v>0.57583300000000004</v>
      </c>
      <c r="F7880" t="s">
        <v>48</v>
      </c>
      <c r="G7880">
        <v>-177.6354</v>
      </c>
      <c r="H7880" s="1">
        <v>-5.0439530000000001E-6</v>
      </c>
      <c r="I7880">
        <v>132.76830000000001</v>
      </c>
      <c r="J7880">
        <v>-182.6747</v>
      </c>
      <c r="K7880">
        <v>1.1062609999999999</v>
      </c>
      <c r="L7880">
        <v>130.06829999999999</v>
      </c>
      <c r="M7880">
        <v>0.54879619999999996</v>
      </c>
      <c r="N7880">
        <v>-1.424166E-2</v>
      </c>
      <c r="O7880">
        <v>0.83583490000000005</v>
      </c>
      <c r="P7880">
        <v>0.76889719999999995</v>
      </c>
      <c r="Q7880">
        <v>0.36826170000000003</v>
      </c>
      <c r="R7880">
        <v>0.52266679999999999</v>
      </c>
      <c r="S7880">
        <v>3.081985</v>
      </c>
      <c r="T7880">
        <v>-0.66875240000000002</v>
      </c>
      <c r="U7880">
        <v>1.681549</v>
      </c>
      <c r="V7880">
        <v>0.3604173</v>
      </c>
      <c r="W7880">
        <v>0.37615130000000002</v>
      </c>
      <c r="X7880">
        <v>0.85358630000000002</v>
      </c>
      <c r="Y7880">
        <v>0.45532339999999999</v>
      </c>
      <c r="Z7880">
        <v>-0.17207059999999999</v>
      </c>
      <c r="AA7880">
        <v>0.87354009999999904</v>
      </c>
      <c r="AB7880">
        <v>20</v>
      </c>
      <c r="AC7880">
        <v>5.0392999999999901</v>
      </c>
      <c r="AD7880">
        <v>-1.1062660439530001</v>
      </c>
      <c r="AE7880">
        <v>2.7000000000000099</v>
      </c>
      <c r="AF7880">
        <v>2.6319985910535202</v>
      </c>
      <c r="AG7880">
        <v>-1.1062660439530001</v>
      </c>
      <c r="AH7880">
        <v>4.8415282517583602</v>
      </c>
      <c r="AI7880">
        <v>101.351176189779</v>
      </c>
      <c r="AJ7880">
        <v>61.470183111052499</v>
      </c>
      <c r="AK7880">
        <v>5.6206438204075404</v>
      </c>
      <c r="AL7880">
        <v>67.904511934602397</v>
      </c>
      <c r="AM7880">
        <v>67.108639658374599</v>
      </c>
      <c r="AN7880">
        <v>1.00000000108933</v>
      </c>
    </row>
    <row r="7881" spans="1:40" x14ac:dyDescent="0.25">
      <c r="A7881" t="str">
        <f>"20190304165037608"</f>
        <v>20190304165037608</v>
      </c>
      <c r="B7881" t="str">
        <f>"1551689437603504"</f>
        <v>1551689437603504</v>
      </c>
      <c r="C7881" t="s">
        <v>40</v>
      </c>
      <c r="D7881">
        <v>5.1097320000000002</v>
      </c>
      <c r="E7881">
        <v>0.57551099999999999</v>
      </c>
      <c r="F7881" t="s">
        <v>48</v>
      </c>
      <c r="G7881">
        <v>-177.22059999999999</v>
      </c>
      <c r="H7881" s="1">
        <v>-4.8180479999999999E-6</v>
      </c>
      <c r="I7881">
        <v>132.9186</v>
      </c>
      <c r="J7881">
        <v>-182.61150000000001</v>
      </c>
      <c r="K7881">
        <v>1.106255</v>
      </c>
      <c r="L7881">
        <v>130.15440000000001</v>
      </c>
      <c r="M7881">
        <v>0.55281959999999997</v>
      </c>
      <c r="N7881">
        <v>-1.42416E-2</v>
      </c>
      <c r="O7881">
        <v>0.83317929999999996</v>
      </c>
      <c r="P7881">
        <v>0.772528199999999</v>
      </c>
      <c r="Q7881">
        <v>0.36828060000000001</v>
      </c>
      <c r="R7881">
        <v>0.51727140000000005</v>
      </c>
      <c r="S7881">
        <v>3.1012569999999999</v>
      </c>
      <c r="T7881">
        <v>-0.62903540000000002</v>
      </c>
      <c r="U7881">
        <v>1.6207279999999999</v>
      </c>
      <c r="V7881">
        <v>0.36228749999999998</v>
      </c>
      <c r="W7881">
        <v>0.37613010000000002</v>
      </c>
      <c r="X7881">
        <v>0.85280359999999999</v>
      </c>
      <c r="Y7881">
        <v>0.46831040000000002</v>
      </c>
      <c r="Z7881">
        <v>-0.16266249999999999</v>
      </c>
      <c r="AA7881">
        <v>0.86846199999999996</v>
      </c>
      <c r="AB7881">
        <v>20</v>
      </c>
      <c r="AC7881">
        <v>5.39090000000001</v>
      </c>
      <c r="AD7881">
        <v>-1.1062598180480001</v>
      </c>
      <c r="AE7881">
        <v>2.7641999999999798</v>
      </c>
      <c r="AF7881">
        <v>2.8681473708302501</v>
      </c>
      <c r="AG7881">
        <v>-1.1062598180480001</v>
      </c>
      <c r="AH7881">
        <v>5.1133070681140298</v>
      </c>
      <c r="AI7881">
        <v>100.685620977661</v>
      </c>
      <c r="AJ7881">
        <v>60.711136681012597</v>
      </c>
      <c r="AK7881">
        <v>5.9662374490672896</v>
      </c>
      <c r="AL7881">
        <v>67.905823607461201</v>
      </c>
      <c r="AM7881">
        <v>66.983273864627705</v>
      </c>
      <c r="AN7881">
        <v>1.0000000324775999</v>
      </c>
    </row>
    <row r="7882" spans="1:40" x14ac:dyDescent="0.25">
      <c r="A7882" t="str">
        <f>"20190304165037620"</f>
        <v>20190304165037620</v>
      </c>
      <c r="B7882" t="str">
        <f>"1551689437613265"</f>
        <v>1551689437613265</v>
      </c>
      <c r="C7882" t="s">
        <v>40</v>
      </c>
      <c r="D7882">
        <v>5.0927790000000002</v>
      </c>
      <c r="E7882">
        <v>0.5769531</v>
      </c>
      <c r="F7882" t="s">
        <v>48</v>
      </c>
      <c r="G7882">
        <v>-177.18870000000001</v>
      </c>
      <c r="H7882" s="1">
        <v>-4.8065030000000004E-6</v>
      </c>
      <c r="I7882">
        <v>132.94560000000001</v>
      </c>
      <c r="J7882">
        <v>-182.55119999999999</v>
      </c>
      <c r="K7882">
        <v>1.106249</v>
      </c>
      <c r="L7882">
        <v>130.23609999999999</v>
      </c>
      <c r="M7882">
        <v>0.55664530000000001</v>
      </c>
      <c r="N7882">
        <v>-1.424187E-2</v>
      </c>
      <c r="O7882">
        <v>0.83062819999999904</v>
      </c>
      <c r="P7882">
        <v>0.77591069999999995</v>
      </c>
      <c r="Q7882">
        <v>0.3689345</v>
      </c>
      <c r="R7882">
        <v>0.51171270000000002</v>
      </c>
      <c r="S7882">
        <v>3.113159</v>
      </c>
      <c r="T7882">
        <v>-0.63508249999999999</v>
      </c>
      <c r="U7882">
        <v>1.602417</v>
      </c>
      <c r="V7882">
        <v>0.36425760000000001</v>
      </c>
      <c r="W7882">
        <v>0.37673709999999999</v>
      </c>
      <c r="X7882">
        <v>0.85169570000000006</v>
      </c>
      <c r="Y7882">
        <v>0.4694044</v>
      </c>
      <c r="Z7882">
        <v>-0.1640221</v>
      </c>
      <c r="AA7882">
        <v>0.86761520000000003</v>
      </c>
      <c r="AB7882">
        <v>20</v>
      </c>
      <c r="AC7882">
        <v>5.3624999999999803</v>
      </c>
      <c r="AD7882">
        <v>-1.1062538065029901</v>
      </c>
      <c r="AE7882">
        <v>2.7095000000000198</v>
      </c>
      <c r="AF7882">
        <v>2.8497007161526802</v>
      </c>
      <c r="AG7882">
        <v>-1.1062538065029901</v>
      </c>
      <c r="AH7882">
        <v>5.0644327093520802</v>
      </c>
      <c r="AI7882">
        <v>100.778315345214</v>
      </c>
      <c r="AJ7882">
        <v>60.634019814283903</v>
      </c>
      <c r="AK7882">
        <v>5.9154940895582699</v>
      </c>
      <c r="AL7882">
        <v>67.868283100347995</v>
      </c>
      <c r="AM7882">
        <v>66.844323794790995</v>
      </c>
      <c r="AN7882">
        <v>1.0000000035363299</v>
      </c>
    </row>
    <row r="7883" spans="1:40" x14ac:dyDescent="0.25">
      <c r="A7883" t="str">
        <f>"20190304165037630"</f>
        <v>20190304165037630</v>
      </c>
      <c r="B7883" t="str">
        <f>"1551689437623024"</f>
        <v>1551689437623024</v>
      </c>
      <c r="C7883" t="s">
        <v>40</v>
      </c>
      <c r="D7883">
        <v>5.072781</v>
      </c>
      <c r="E7883">
        <v>0.57810139999999999</v>
      </c>
      <c r="F7883" t="s">
        <v>48</v>
      </c>
      <c r="G7883">
        <v>-176.95099999999999</v>
      </c>
      <c r="H7883" s="1">
        <v>-4.6804769999999999E-6</v>
      </c>
      <c r="I7883">
        <v>133.04079999999999</v>
      </c>
      <c r="J7883">
        <v>-182.49189999999999</v>
      </c>
      <c r="K7883">
        <v>1.1062399999999999</v>
      </c>
      <c r="L7883">
        <v>130.31540000000001</v>
      </c>
      <c r="M7883">
        <v>0.56037819999999905</v>
      </c>
      <c r="N7883">
        <v>-1.4242650000000001E-2</v>
      </c>
      <c r="O7883">
        <v>0.82811429999999997</v>
      </c>
      <c r="P7883">
        <v>0.77918669999999901</v>
      </c>
      <c r="Q7883">
        <v>0.36953350000000001</v>
      </c>
      <c r="R7883">
        <v>0.50627370000000005</v>
      </c>
      <c r="S7883">
        <v>3.1272280000000001</v>
      </c>
      <c r="T7883">
        <v>-0.61774899999999999</v>
      </c>
      <c r="U7883">
        <v>1.5662229999999999</v>
      </c>
      <c r="V7883">
        <v>0.3661758</v>
      </c>
      <c r="W7883">
        <v>0.37728780000000001</v>
      </c>
      <c r="X7883">
        <v>0.85062870000000002</v>
      </c>
      <c r="Y7883">
        <v>0.47575010000000001</v>
      </c>
      <c r="Z7883">
        <v>-0.15975259999999999</v>
      </c>
      <c r="AA7883">
        <v>0.86495140000000004</v>
      </c>
      <c r="AB7883">
        <v>20</v>
      </c>
      <c r="AC7883">
        <v>5.5408999999999899</v>
      </c>
      <c r="AD7883">
        <v>-1.1062446804770001</v>
      </c>
      <c r="AE7883">
        <v>2.7253999999999698</v>
      </c>
      <c r="AF7883">
        <v>2.96634839856734</v>
      </c>
      <c r="AG7883">
        <v>-1.1062446804770001</v>
      </c>
      <c r="AH7883">
        <v>5.1957276357652704</v>
      </c>
      <c r="AI7883">
        <v>100.47577861609599</v>
      </c>
      <c r="AJ7883">
        <v>60.277060089065401</v>
      </c>
      <c r="AK7883">
        <v>6.0842900801836901</v>
      </c>
      <c r="AL7883">
        <v>67.834216227874705</v>
      </c>
      <c r="AM7883">
        <v>66.709250402566397</v>
      </c>
      <c r="AN7883">
        <v>0.99999999289908503</v>
      </c>
    </row>
    <row r="7884" spans="1:40" x14ac:dyDescent="0.25">
      <c r="A7884" t="str">
        <f>"20190304165037641"</f>
        <v>20190304165037641</v>
      </c>
      <c r="B7884" t="str">
        <f>"1551689437633760"</f>
        <v>1551689437633760</v>
      </c>
      <c r="C7884" t="s">
        <v>40</v>
      </c>
      <c r="D7884">
        <v>5.0985449999999997</v>
      </c>
      <c r="E7884">
        <v>0.57802779999999998</v>
      </c>
      <c r="F7884" t="s">
        <v>48</v>
      </c>
      <c r="G7884">
        <v>-176.7328</v>
      </c>
      <c r="H7884" s="1">
        <v>-4.5644300000000003E-6</v>
      </c>
      <c r="I7884">
        <v>133.12719999999999</v>
      </c>
      <c r="J7884">
        <v>-182.43440000000001</v>
      </c>
      <c r="K7884">
        <v>1.1062270000000001</v>
      </c>
      <c r="L7884">
        <v>130.39160000000001</v>
      </c>
      <c r="M7884">
        <v>0.56398009999999998</v>
      </c>
      <c r="N7884">
        <v>-1.424401E-2</v>
      </c>
      <c r="O7884">
        <v>0.82566550000000005</v>
      </c>
      <c r="P7884">
        <v>0.7819545</v>
      </c>
      <c r="Q7884">
        <v>0.3705929</v>
      </c>
      <c r="R7884">
        <v>0.50120679999999995</v>
      </c>
      <c r="S7884">
        <v>3.1400760000000001</v>
      </c>
      <c r="T7884">
        <v>-0.60316879999999995</v>
      </c>
      <c r="U7884">
        <v>1.533112</v>
      </c>
      <c r="V7884">
        <v>0.36761389999999999</v>
      </c>
      <c r="W7884">
        <v>0.37830239999999998</v>
      </c>
      <c r="X7884">
        <v>0.84955720000000001</v>
      </c>
      <c r="Y7884">
        <v>0.48128890000000002</v>
      </c>
      <c r="Z7884">
        <v>-0.15612760000000001</v>
      </c>
      <c r="AA7884">
        <v>0.86254580000000003</v>
      </c>
      <c r="AB7884">
        <v>20</v>
      </c>
      <c r="AC7884">
        <v>5.7016000000000098</v>
      </c>
      <c r="AD7884">
        <v>-1.10623156442999</v>
      </c>
      <c r="AE7884">
        <v>2.7355999999999701</v>
      </c>
      <c r="AF7884">
        <v>3.0711348341425699</v>
      </c>
      <c r="AG7884">
        <v>-1.10623156442999</v>
      </c>
      <c r="AH7884">
        <v>5.31227917018174</v>
      </c>
      <c r="AI7884">
        <v>100.21959151498</v>
      </c>
      <c r="AJ7884">
        <v>59.966934277246303</v>
      </c>
      <c r="AK7884">
        <v>6.2350563289814804</v>
      </c>
      <c r="AL7884">
        <v>67.771432439966006</v>
      </c>
      <c r="AM7884">
        <v>66.601268414694303</v>
      </c>
      <c r="AN7884">
        <v>1.0000000606954</v>
      </c>
    </row>
    <row r="7885" spans="1:40" x14ac:dyDescent="0.25">
      <c r="A7885" t="str">
        <f>"20190304165037652"</f>
        <v>20190304165037652</v>
      </c>
      <c r="B7885" t="str">
        <f>"1551689437643520"</f>
        <v>1551689437643520</v>
      </c>
      <c r="C7885" t="s">
        <v>40</v>
      </c>
      <c r="D7885">
        <v>5.0872999999999999</v>
      </c>
      <c r="E7885">
        <v>0.5788063</v>
      </c>
      <c r="F7885" t="s">
        <v>48</v>
      </c>
      <c r="G7885">
        <v>-176.63390000000001</v>
      </c>
      <c r="H7885" s="1">
        <v>-4.5170210000000001E-6</v>
      </c>
      <c r="I7885">
        <v>133.18</v>
      </c>
      <c r="J7885">
        <v>-182.3732</v>
      </c>
      <c r="K7885">
        <v>1.1062149999999999</v>
      </c>
      <c r="L7885">
        <v>130.47210000000001</v>
      </c>
      <c r="M7885">
        <v>0.56779650000000004</v>
      </c>
      <c r="N7885">
        <v>-1.4245860000000001E-2</v>
      </c>
      <c r="O7885">
        <v>0.82304569999999999</v>
      </c>
      <c r="P7885">
        <v>0.7845761</v>
      </c>
      <c r="Q7885">
        <v>0.37136340000000001</v>
      </c>
      <c r="R7885">
        <v>0.4965176</v>
      </c>
      <c r="S7885">
        <v>3.1505580000000002</v>
      </c>
      <c r="T7885">
        <v>-0.60086229999999996</v>
      </c>
      <c r="U7885">
        <v>1.514526</v>
      </c>
      <c r="V7885">
        <v>0.36849949999999998</v>
      </c>
      <c r="W7885">
        <v>0.37903720000000002</v>
      </c>
      <c r="X7885">
        <v>0.84884559999999998</v>
      </c>
      <c r="Y7885">
        <v>0.4826261</v>
      </c>
      <c r="Z7885">
        <v>-0.15530840000000001</v>
      </c>
      <c r="AA7885">
        <v>0.8619462</v>
      </c>
      <c r="AB7885">
        <v>20</v>
      </c>
      <c r="AC7885">
        <v>5.7392999999999796</v>
      </c>
      <c r="AD7885">
        <v>-1.1062195170210001</v>
      </c>
      <c r="AE7885">
        <v>2.7078999999999902</v>
      </c>
      <c r="AF7885">
        <v>3.0925233250465398</v>
      </c>
      <c r="AG7885">
        <v>-1.1062195170210001</v>
      </c>
      <c r="AH7885">
        <v>5.3261939459270504</v>
      </c>
      <c r="AI7885">
        <v>100.18250468130201</v>
      </c>
      <c r="AJ7885">
        <v>59.859462540751899</v>
      </c>
      <c r="AK7885">
        <v>6.2574566786694596</v>
      </c>
      <c r="AL7885">
        <v>67.725941857789493</v>
      </c>
      <c r="AM7885">
        <v>66.533447799398502</v>
      </c>
      <c r="AN7885">
        <v>0.99999996656172396</v>
      </c>
    </row>
    <row r="7886" spans="1:40" x14ac:dyDescent="0.25">
      <c r="A7886" t="str">
        <f>"20190304165037664"</f>
        <v>20190304165037664</v>
      </c>
      <c r="B7886" t="str">
        <f>"1551689437653281"</f>
        <v>1551689437653281</v>
      </c>
      <c r="C7886" t="s">
        <v>40</v>
      </c>
      <c r="D7886">
        <v>5.2978899999999998</v>
      </c>
      <c r="E7886">
        <v>0.57919809999999905</v>
      </c>
      <c r="F7886" t="s">
        <v>48</v>
      </c>
      <c r="G7886">
        <v>-176.43799999999999</v>
      </c>
      <c r="H7886" s="1">
        <v>-4.4164660000000003E-6</v>
      </c>
      <c r="I7886">
        <v>133.2672</v>
      </c>
      <c r="J7886">
        <v>-182.31209999999999</v>
      </c>
      <c r="K7886">
        <v>1.106195</v>
      </c>
      <c r="L7886">
        <v>130.5513</v>
      </c>
      <c r="M7886">
        <v>0.57159099999999996</v>
      </c>
      <c r="N7886">
        <v>-1.424885E-2</v>
      </c>
      <c r="O7886">
        <v>0.82041500000000001</v>
      </c>
      <c r="P7886">
        <v>0.78695579999999998</v>
      </c>
      <c r="Q7886">
        <v>0.37220350000000002</v>
      </c>
      <c r="R7886">
        <v>0.49210280000000001</v>
      </c>
      <c r="S7886">
        <v>3.160568</v>
      </c>
      <c r="T7886">
        <v>-0.58908179999999999</v>
      </c>
      <c r="U7886">
        <v>1.4884489999999999</v>
      </c>
      <c r="V7886">
        <v>0.36906060000000002</v>
      </c>
      <c r="W7886">
        <v>0.37984230000000002</v>
      </c>
      <c r="X7886">
        <v>0.84824179999999905</v>
      </c>
      <c r="Y7886">
        <v>0.48596850000000003</v>
      </c>
      <c r="Z7886">
        <v>-0.15222939999999999</v>
      </c>
      <c r="AA7886">
        <v>0.86061659999999995</v>
      </c>
      <c r="AB7886">
        <v>20</v>
      </c>
      <c r="AC7886">
        <v>5.8740999999999897</v>
      </c>
      <c r="AD7886">
        <v>-1.1061994164659901</v>
      </c>
      <c r="AE7886">
        <v>2.7159</v>
      </c>
      <c r="AF7886">
        <v>3.1743982546471901</v>
      </c>
      <c r="AG7886">
        <v>-1.1061994164659901</v>
      </c>
      <c r="AH7886">
        <v>5.42772821380788</v>
      </c>
      <c r="AI7886">
        <v>99.977746735762196</v>
      </c>
      <c r="AJ7886">
        <v>59.678836949789002</v>
      </c>
      <c r="AK7886">
        <v>6.3844118751113603</v>
      </c>
      <c r="AL7886">
        <v>67.676085894358096</v>
      </c>
      <c r="AM7886">
        <v>66.486676322273993</v>
      </c>
      <c r="AN7886">
        <v>1.0000000253044401</v>
      </c>
    </row>
    <row r="7887" spans="1:40" x14ac:dyDescent="0.25">
      <c r="A7887" t="str">
        <f>"20190304165037674"</f>
        <v>20190304165037674</v>
      </c>
      <c r="B7887" t="str">
        <f>"1551689437663040"</f>
        <v>1551689437663040</v>
      </c>
      <c r="C7887" t="s">
        <v>40</v>
      </c>
      <c r="D7887">
        <v>5.0968549999999997</v>
      </c>
      <c r="E7887">
        <v>0.57961969999999996</v>
      </c>
      <c r="F7887" t="s">
        <v>48</v>
      </c>
      <c r="G7887">
        <v>-176.29990000000001</v>
      </c>
      <c r="H7887" s="1">
        <v>-4.3490460000000002E-6</v>
      </c>
      <c r="I7887">
        <v>133.33789999999999</v>
      </c>
      <c r="J7887">
        <v>-182.2516</v>
      </c>
      <c r="K7887">
        <v>1.1061719999999999</v>
      </c>
      <c r="L7887">
        <v>130.6294</v>
      </c>
      <c r="M7887">
        <v>0.5753376</v>
      </c>
      <c r="N7887">
        <v>-1.4251990000000001E-2</v>
      </c>
      <c r="O7887">
        <v>0.81779179999999996</v>
      </c>
      <c r="P7887">
        <v>0.78909269999999998</v>
      </c>
      <c r="Q7887">
        <v>0.37324810000000003</v>
      </c>
      <c r="R7887">
        <v>0.48787150000000001</v>
      </c>
      <c r="S7887">
        <v>3.169403</v>
      </c>
      <c r="T7887">
        <v>-0.58314619999999995</v>
      </c>
      <c r="U7887">
        <v>1.4689639999999999</v>
      </c>
      <c r="V7887">
        <v>0.36937189999999998</v>
      </c>
      <c r="W7887">
        <v>0.38085360000000001</v>
      </c>
      <c r="X7887">
        <v>0.84765259999999998</v>
      </c>
      <c r="Y7887">
        <v>0.4875255</v>
      </c>
      <c r="Z7887">
        <v>-0.1505225</v>
      </c>
      <c r="AA7887">
        <v>0.86003600000000002</v>
      </c>
      <c r="AB7887">
        <v>20</v>
      </c>
      <c r="AC7887">
        <v>5.9516999999999802</v>
      </c>
      <c r="AD7887">
        <v>-1.1061763490459999</v>
      </c>
      <c r="AE7887">
        <v>2.7084999999999799</v>
      </c>
      <c r="AF7887">
        <v>3.2172186710350701</v>
      </c>
      <c r="AG7887">
        <v>-1.1061763490459999</v>
      </c>
      <c r="AH7887">
        <v>5.4828949310056201</v>
      </c>
      <c r="AI7887">
        <v>99.871011557950595</v>
      </c>
      <c r="AJ7887">
        <v>59.596709210266603</v>
      </c>
      <c r="AK7887">
        <v>6.4526164396229699</v>
      </c>
      <c r="AL7887">
        <v>67.613433317183194</v>
      </c>
      <c r="AM7887">
        <v>66.454421844144406</v>
      </c>
      <c r="AN7887">
        <v>0.99999999771466397</v>
      </c>
    </row>
    <row r="7888" spans="1:40" x14ac:dyDescent="0.25">
      <c r="A7888" t="str">
        <f>"20190304165037687"</f>
        <v>20190304165037687</v>
      </c>
      <c r="B7888" t="str">
        <f>"1551689437683537"</f>
        <v>1551689437683537</v>
      </c>
      <c r="C7888" t="s">
        <v>40</v>
      </c>
      <c r="D7888">
        <v>5.0900730000000003</v>
      </c>
      <c r="E7888">
        <v>0.58008199999999999</v>
      </c>
      <c r="F7888" t="s">
        <v>48</v>
      </c>
      <c r="G7888">
        <v>-176.12299999999999</v>
      </c>
      <c r="H7888" s="1">
        <v>-4.2616930000000002E-6</v>
      </c>
      <c r="I7888">
        <v>133.42570000000001</v>
      </c>
      <c r="J7888">
        <v>-182.18170000000001</v>
      </c>
      <c r="K7888">
        <v>1.106136</v>
      </c>
      <c r="L7888">
        <v>130.71809999999999</v>
      </c>
      <c r="M7888">
        <v>0.57965900000000004</v>
      </c>
      <c r="N7888">
        <v>-1.425769E-2</v>
      </c>
      <c r="O7888">
        <v>0.81473439999999997</v>
      </c>
      <c r="P7888">
        <v>0.79151419999999995</v>
      </c>
      <c r="Q7888">
        <v>0.37422759999999999</v>
      </c>
      <c r="R7888">
        <v>0.4831761</v>
      </c>
      <c r="S7888">
        <v>3.1768800000000001</v>
      </c>
      <c r="T7888">
        <v>-0.57340869999999999</v>
      </c>
      <c r="U7888">
        <v>1.4494929999999999</v>
      </c>
      <c r="V7888">
        <v>0.3695949</v>
      </c>
      <c r="W7888">
        <v>0.38179249999999998</v>
      </c>
      <c r="X7888">
        <v>0.84713289999999997</v>
      </c>
      <c r="Y7888">
        <v>0.48848130000000001</v>
      </c>
      <c r="Z7888">
        <v>-0.14776700000000001</v>
      </c>
      <c r="AA7888">
        <v>0.8599715</v>
      </c>
      <c r="AB7888">
        <v>20</v>
      </c>
      <c r="AC7888">
        <v>6.0587000000000097</v>
      </c>
      <c r="AD7888">
        <v>-1.1061402616930001</v>
      </c>
      <c r="AE7888">
        <v>2.70760000000001</v>
      </c>
      <c r="AF7888">
        <v>3.2760689453895702</v>
      </c>
      <c r="AG7888">
        <v>-1.1061402616930001</v>
      </c>
      <c r="AH7888">
        <v>5.5639513508668301</v>
      </c>
      <c r="AI7888">
        <v>99.721211197803498</v>
      </c>
      <c r="AJ7888">
        <v>59.510313261810701</v>
      </c>
      <c r="AK7888">
        <v>6.5508570926480303</v>
      </c>
      <c r="AL7888">
        <v>67.555242121447506</v>
      </c>
      <c r="AM7888">
        <v>66.428878594517201</v>
      </c>
      <c r="AN7888">
        <v>1.0000000267123299</v>
      </c>
    </row>
    <row r="7889" spans="1:40" x14ac:dyDescent="0.25">
      <c r="A7889" t="str">
        <f>"20190304165037700"</f>
        <v>20190304165037700</v>
      </c>
      <c r="B7889" t="str">
        <f>"1551689437693296"</f>
        <v>1551689437693296</v>
      </c>
      <c r="C7889" t="s">
        <v>40</v>
      </c>
      <c r="D7889">
        <v>5.1535780000000004</v>
      </c>
      <c r="E7889">
        <v>0.58022549999999995</v>
      </c>
      <c r="F7889" t="s">
        <v>48</v>
      </c>
      <c r="G7889">
        <v>-175.9211</v>
      </c>
      <c r="H7889" s="1">
        <v>-4.1614840000000003E-6</v>
      </c>
      <c r="I7889">
        <v>133.52449999999999</v>
      </c>
      <c r="J7889">
        <v>-182.11070000000001</v>
      </c>
      <c r="K7889">
        <v>1.1060939999999999</v>
      </c>
      <c r="L7889">
        <v>130.8075</v>
      </c>
      <c r="M7889">
        <v>0.58403899999999997</v>
      </c>
      <c r="N7889">
        <v>-1.4264219999999999E-2</v>
      </c>
      <c r="O7889">
        <v>0.81160030000000005</v>
      </c>
      <c r="P7889">
        <v>0.79398169999999901</v>
      </c>
      <c r="Q7889">
        <v>0.37513200000000002</v>
      </c>
      <c r="R7889">
        <v>0.47840260000000001</v>
      </c>
      <c r="S7889">
        <v>3.1847530000000002</v>
      </c>
      <c r="T7889">
        <v>-0.56268949999999995</v>
      </c>
      <c r="U7889">
        <v>1.4276279999999999</v>
      </c>
      <c r="V7889">
        <v>0.3698418</v>
      </c>
      <c r="W7889">
        <v>0.38265260000000001</v>
      </c>
      <c r="X7889">
        <v>0.84663690000000003</v>
      </c>
      <c r="Y7889">
        <v>0.48997030000000003</v>
      </c>
      <c r="Z7889">
        <v>-0.14479800000000001</v>
      </c>
      <c r="AA7889">
        <v>0.85962939999999999</v>
      </c>
      <c r="AB7889">
        <v>20</v>
      </c>
      <c r="AC7889">
        <v>6.1896000000000102</v>
      </c>
      <c r="AD7889">
        <v>-1.106098161484</v>
      </c>
      <c r="AE7889">
        <v>2.7169999999999801</v>
      </c>
      <c r="AF7889">
        <v>3.3473697632841102</v>
      </c>
      <c r="AG7889">
        <v>-1.106098161484</v>
      </c>
      <c r="AH7889">
        <v>5.6688911660758396</v>
      </c>
      <c r="AI7889">
        <v>99.537365784722795</v>
      </c>
      <c r="AJ7889">
        <v>59.438977101890103</v>
      </c>
      <c r="AK7889">
        <v>6.6756770838469803</v>
      </c>
      <c r="AL7889">
        <v>67.501912218056304</v>
      </c>
      <c r="AM7889">
        <v>66.402544036131701</v>
      </c>
      <c r="AN7889">
        <v>1.0000000048777999</v>
      </c>
    </row>
    <row r="7890" spans="1:40" x14ac:dyDescent="0.25">
      <c r="A7890" t="str">
        <f>"20190304165037711"</f>
        <v>20190304165037711</v>
      </c>
      <c r="B7890" t="str">
        <f>"1551689437703056"</f>
        <v>1551689437703056</v>
      </c>
      <c r="C7890" t="s">
        <v>40</v>
      </c>
      <c r="D7890">
        <v>5.1215989999999998</v>
      </c>
      <c r="E7890">
        <v>0.58022050000000003</v>
      </c>
      <c r="F7890" t="s">
        <v>48</v>
      </c>
      <c r="G7890">
        <v>-175.7647</v>
      </c>
      <c r="H7890" s="1">
        <v>-4.087138E-6</v>
      </c>
      <c r="I7890">
        <v>133.6096</v>
      </c>
      <c r="J7890">
        <v>-182.041</v>
      </c>
      <c r="K7890">
        <v>1.1060479999999999</v>
      </c>
      <c r="L7890">
        <v>130.89410000000001</v>
      </c>
      <c r="M7890">
        <v>0.58833179999999996</v>
      </c>
      <c r="N7890">
        <v>-1.4272079999999999E-2</v>
      </c>
      <c r="O7890">
        <v>0.80849369999999998</v>
      </c>
      <c r="P7890">
        <v>0.79650980000000005</v>
      </c>
      <c r="Q7890">
        <v>0.37622270000000002</v>
      </c>
      <c r="R7890">
        <v>0.47331679999999998</v>
      </c>
      <c r="S7890">
        <v>3.191986</v>
      </c>
      <c r="T7890">
        <v>-0.55636099999999999</v>
      </c>
      <c r="U7890">
        <v>1.4094850000000001</v>
      </c>
      <c r="V7890">
        <v>0.37041819999999998</v>
      </c>
      <c r="W7890">
        <v>0.38368770000000002</v>
      </c>
      <c r="X7890">
        <v>0.84591620000000001</v>
      </c>
      <c r="Y7890">
        <v>0.49046050000000002</v>
      </c>
      <c r="Z7890">
        <v>-0.142904799999999</v>
      </c>
      <c r="AA7890">
        <v>0.85966659999999995</v>
      </c>
      <c r="AB7890">
        <v>20</v>
      </c>
      <c r="AC7890">
        <v>6.2762999999999902</v>
      </c>
      <c r="AD7890">
        <v>-1.106052087138</v>
      </c>
      <c r="AE7890">
        <v>2.7154999999999898</v>
      </c>
      <c r="AF7890">
        <v>3.3884494140858199</v>
      </c>
      <c r="AG7890">
        <v>-1.106052087138</v>
      </c>
      <c r="AH7890">
        <v>5.7384974357692897</v>
      </c>
      <c r="AI7890">
        <v>99.423397524334405</v>
      </c>
      <c r="AJ7890">
        <v>59.439136234194201</v>
      </c>
      <c r="AK7890">
        <v>6.7553899570351597</v>
      </c>
      <c r="AL7890">
        <v>67.437706118062593</v>
      </c>
      <c r="AM7890">
        <v>66.351872058178898</v>
      </c>
      <c r="AN7890">
        <v>1.00000005572248</v>
      </c>
    </row>
    <row r="7891" spans="1:40" x14ac:dyDescent="0.25">
      <c r="A7891" t="str">
        <f>"20190304165037723"</f>
        <v>20190304165037723</v>
      </c>
      <c r="B7891" t="str">
        <f>"1551689437713792"</f>
        <v>1551689437713792</v>
      </c>
      <c r="C7891" t="s">
        <v>40</v>
      </c>
      <c r="D7891">
        <v>5.094354</v>
      </c>
      <c r="E7891">
        <v>0.58029569999999997</v>
      </c>
      <c r="F7891" t="s">
        <v>48</v>
      </c>
      <c r="G7891">
        <v>-175.6173</v>
      </c>
      <c r="H7891" s="1">
        <v>-4.0163400000000002E-6</v>
      </c>
      <c r="I7891">
        <v>133.68809999999999</v>
      </c>
      <c r="J7891">
        <v>-181.97730000000001</v>
      </c>
      <c r="K7891">
        <v>1.1059969999999999</v>
      </c>
      <c r="L7891">
        <v>130.97219999999999</v>
      </c>
      <c r="M7891">
        <v>0.59225499999999998</v>
      </c>
      <c r="N7891">
        <v>-1.428068E-2</v>
      </c>
      <c r="O7891">
        <v>0.80562409999999995</v>
      </c>
      <c r="P7891">
        <v>0.79888729999999997</v>
      </c>
      <c r="Q7891">
        <v>0.37691989999999997</v>
      </c>
      <c r="R7891">
        <v>0.46873320000000002</v>
      </c>
      <c r="S7891">
        <v>3.199646</v>
      </c>
      <c r="T7891">
        <v>-0.55092220000000003</v>
      </c>
      <c r="U7891">
        <v>1.3917079999999999</v>
      </c>
      <c r="V7891">
        <v>0.37096059999999997</v>
      </c>
      <c r="W7891">
        <v>0.38433400000000001</v>
      </c>
      <c r="X7891">
        <v>0.84538489999999999</v>
      </c>
      <c r="Y7891">
        <v>0.49125360000000001</v>
      </c>
      <c r="Z7891">
        <v>-0.14126320000000001</v>
      </c>
      <c r="AA7891">
        <v>0.8594851</v>
      </c>
      <c r="AB7891">
        <v>20</v>
      </c>
      <c r="AC7891">
        <v>6.3600000000000101</v>
      </c>
      <c r="AD7891">
        <v>-1.10600101633999</v>
      </c>
      <c r="AE7891">
        <v>2.7159</v>
      </c>
      <c r="AF7891">
        <v>3.4279456591618001</v>
      </c>
      <c r="AG7891">
        <v>-1.10600101633999</v>
      </c>
      <c r="AH7891">
        <v>5.8068221571777903</v>
      </c>
      <c r="AI7891">
        <v>99.314636109387394</v>
      </c>
      <c r="AJ7891">
        <v>59.445340081239102</v>
      </c>
      <c r="AK7891">
        <v>6.83324470917018</v>
      </c>
      <c r="AL7891">
        <v>67.397599838678701</v>
      </c>
      <c r="AM7891">
        <v>66.307809699715094</v>
      </c>
      <c r="AN7891">
        <v>1.00000000972818</v>
      </c>
    </row>
    <row r="7892" spans="1:40" x14ac:dyDescent="0.25">
      <c r="A7892" t="str">
        <f>"20190304165037733"</f>
        <v>20190304165037733</v>
      </c>
      <c r="B7892" t="str">
        <f>"1551689437723553"</f>
        <v>1551689437723553</v>
      </c>
      <c r="C7892" t="s">
        <v>40</v>
      </c>
      <c r="D7892">
        <v>5.0576059999999998</v>
      </c>
      <c r="E7892">
        <v>0.58038279999999998</v>
      </c>
      <c r="F7892" t="s">
        <v>48</v>
      </c>
      <c r="G7892">
        <v>-175.4915</v>
      </c>
      <c r="H7892" s="1">
        <v>-3.95475199999999E-6</v>
      </c>
      <c r="I7892">
        <v>133.75200000000001</v>
      </c>
      <c r="J7892">
        <v>-181.91980000000001</v>
      </c>
      <c r="K7892">
        <v>1.1059570000000001</v>
      </c>
      <c r="L7892">
        <v>131.04239999999999</v>
      </c>
      <c r="M7892">
        <v>0.59579550000000003</v>
      </c>
      <c r="N7892">
        <v>-1.428869E-2</v>
      </c>
      <c r="O7892">
        <v>0.80300909999999903</v>
      </c>
      <c r="P7892">
        <v>0.80091599999999996</v>
      </c>
      <c r="Q7892">
        <v>0.37779699999999999</v>
      </c>
      <c r="R7892">
        <v>0.46454620000000002</v>
      </c>
      <c r="S7892">
        <v>3.2068020000000002</v>
      </c>
      <c r="T7892">
        <v>-0.54683729999999997</v>
      </c>
      <c r="U7892">
        <v>1.3744350000000001</v>
      </c>
      <c r="V7892">
        <v>0.3713899</v>
      </c>
      <c r="W7892">
        <v>0.3851637</v>
      </c>
      <c r="X7892">
        <v>0.84481859999999998</v>
      </c>
      <c r="Y7892">
        <v>0.49221999999999999</v>
      </c>
      <c r="Z7892">
        <v>-0.14002579999999901</v>
      </c>
      <c r="AA7892">
        <v>0.85913459999999997</v>
      </c>
      <c r="AB7892">
        <v>20</v>
      </c>
      <c r="AC7892">
        <v>6.4283000000000001</v>
      </c>
      <c r="AD7892">
        <v>-1.105960954752</v>
      </c>
      <c r="AE7892">
        <v>2.70960000000002</v>
      </c>
      <c r="AF7892">
        <v>3.4609892120527599</v>
      </c>
      <c r="AG7892">
        <v>-1.105960954752</v>
      </c>
      <c r="AH7892">
        <v>5.85913467997967</v>
      </c>
      <c r="AI7892">
        <v>99.231115724134298</v>
      </c>
      <c r="AJ7892">
        <v>59.4296653840807</v>
      </c>
      <c r="AK7892">
        <v>6.8942769858428203</v>
      </c>
      <c r="AL7892">
        <v>67.346096672916005</v>
      </c>
      <c r="AM7892">
        <v>66.269274910578602</v>
      </c>
      <c r="AN7892">
        <v>1.00000000026283</v>
      </c>
    </row>
    <row r="7893" spans="1:40" x14ac:dyDescent="0.25">
      <c r="A7893" t="str">
        <f>"20190304165037743"</f>
        <v>20190304165037743</v>
      </c>
      <c r="B7893" t="str">
        <f>"1551689437733312"</f>
        <v>1551689437733312</v>
      </c>
      <c r="C7893" t="s">
        <v>40</v>
      </c>
      <c r="D7893">
        <v>5.0815659999999996</v>
      </c>
      <c r="E7893">
        <v>0.58043540000000005</v>
      </c>
      <c r="F7893" t="s">
        <v>48</v>
      </c>
      <c r="G7893">
        <v>-175.3672</v>
      </c>
      <c r="H7893" s="1">
        <v>-3.8937100000000004E-6</v>
      </c>
      <c r="I7893">
        <v>133.81450000000001</v>
      </c>
      <c r="J7893">
        <v>-181.86349999999999</v>
      </c>
      <c r="K7893">
        <v>1.1059129999999999</v>
      </c>
      <c r="L7893">
        <v>131.10990000000001</v>
      </c>
      <c r="M7893">
        <v>0.5992615</v>
      </c>
      <c r="N7893">
        <v>-1.429776E-2</v>
      </c>
      <c r="O7893">
        <v>0.80042559999999996</v>
      </c>
      <c r="P7893">
        <v>0.80303530000000001</v>
      </c>
      <c r="Q7893">
        <v>0.3782431</v>
      </c>
      <c r="R7893">
        <v>0.4605069</v>
      </c>
      <c r="S7893">
        <v>3.2130740000000002</v>
      </c>
      <c r="T7893">
        <v>-0.54231189999999996</v>
      </c>
      <c r="U7893">
        <v>1.359329</v>
      </c>
      <c r="V7893">
        <v>0.37187789999999998</v>
      </c>
      <c r="W7893">
        <v>0.38556319999999999</v>
      </c>
      <c r="X7893">
        <v>0.84442159999999999</v>
      </c>
      <c r="Y7893">
        <v>0.49270170000000002</v>
      </c>
      <c r="Z7893">
        <v>-0.1386376</v>
      </c>
      <c r="AA7893">
        <v>0.85908370000000001</v>
      </c>
      <c r="AB7893">
        <v>20</v>
      </c>
      <c r="AC7893">
        <v>6.49629999999999</v>
      </c>
      <c r="AD7893">
        <v>-1.1059168937099999</v>
      </c>
      <c r="AE7893">
        <v>2.7045999999999899</v>
      </c>
      <c r="AF7893">
        <v>3.4931287867140099</v>
      </c>
      <c r="AG7893">
        <v>-1.1059168937099999</v>
      </c>
      <c r="AH7893">
        <v>5.9123983212649804</v>
      </c>
      <c r="AI7893">
        <v>99.148557980788098</v>
      </c>
      <c r="AJ7893">
        <v>59.424803757905302</v>
      </c>
      <c r="AK7893">
        <v>6.9556778825403001</v>
      </c>
      <c r="AL7893">
        <v>67.321291052037594</v>
      </c>
      <c r="AM7893">
        <v>66.231612667130094</v>
      </c>
      <c r="AN7893">
        <v>0.999999996124604</v>
      </c>
    </row>
    <row r="7894" spans="1:40" x14ac:dyDescent="0.25">
      <c r="A7894" t="str">
        <f>"20190304165037754"</f>
        <v>20190304165037754</v>
      </c>
      <c r="B7894" t="str">
        <f>"1551689437743072"</f>
        <v>1551689437743072</v>
      </c>
      <c r="C7894" t="s">
        <v>40</v>
      </c>
      <c r="D7894">
        <v>5.0708780000000004</v>
      </c>
      <c r="E7894">
        <v>0.58048339999999998</v>
      </c>
      <c r="F7894" t="s">
        <v>48</v>
      </c>
      <c r="G7894">
        <v>-175.2654</v>
      </c>
      <c r="H7894" s="1">
        <v>-3.8431170000000004E-6</v>
      </c>
      <c r="I7894">
        <v>133.86420000000001</v>
      </c>
      <c r="J7894">
        <v>-181.7971</v>
      </c>
      <c r="K7894">
        <v>1.105858</v>
      </c>
      <c r="L7894">
        <v>131.1892</v>
      </c>
      <c r="M7894">
        <v>0.60334140000000003</v>
      </c>
      <c r="N7894">
        <v>-1.4308319999999999E-2</v>
      </c>
      <c r="O7894">
        <v>0.79735459999999903</v>
      </c>
      <c r="P7894">
        <v>0.80585079999999998</v>
      </c>
      <c r="Q7894">
        <v>0.37822159999999999</v>
      </c>
      <c r="R7894">
        <v>0.45557989999999998</v>
      </c>
      <c r="S7894">
        <v>3.2193149999999999</v>
      </c>
      <c r="T7894">
        <v>-0.5395913</v>
      </c>
      <c r="U7894">
        <v>1.343872</v>
      </c>
      <c r="V7894">
        <v>0.37280340000000001</v>
      </c>
      <c r="W7894">
        <v>0.38548260000000001</v>
      </c>
      <c r="X7894">
        <v>0.84405019999999997</v>
      </c>
      <c r="Y7894">
        <v>0.49251309999999898</v>
      </c>
      <c r="Z7894">
        <v>-0.137657</v>
      </c>
      <c r="AA7894">
        <v>0.85934940000000004</v>
      </c>
      <c r="AB7894">
        <v>20</v>
      </c>
      <c r="AC7894">
        <v>6.5316999999999998</v>
      </c>
      <c r="AD7894">
        <v>-1.105861843117</v>
      </c>
      <c r="AE7894">
        <v>2.67500000000001</v>
      </c>
      <c r="AF7894">
        <v>3.5083883614537901</v>
      </c>
      <c r="AG7894">
        <v>-1.105861843117</v>
      </c>
      <c r="AH7894">
        <v>5.9288515224899898</v>
      </c>
      <c r="AI7894">
        <v>99.119480316951893</v>
      </c>
      <c r="AJ7894">
        <v>59.385143317557301</v>
      </c>
      <c r="AK7894">
        <v>6.9773203801014096</v>
      </c>
      <c r="AL7894">
        <v>67.326295476856799</v>
      </c>
      <c r="AM7894">
        <v>66.169723400117704</v>
      </c>
      <c r="AN7894">
        <v>0.99999997503717897</v>
      </c>
    </row>
    <row r="7895" spans="1:40" x14ac:dyDescent="0.25">
      <c r="A7895" t="str">
        <f>"20190304165037764"</f>
        <v>20190304165037764</v>
      </c>
      <c r="B7895" t="str">
        <f>"1551689437753808"</f>
        <v>1551689437753808</v>
      </c>
      <c r="C7895" t="s">
        <v>40</v>
      </c>
      <c r="D7895">
        <v>5.2727209999999998</v>
      </c>
      <c r="E7895">
        <v>0.58083399999999996</v>
      </c>
      <c r="F7895" t="s">
        <v>48</v>
      </c>
      <c r="G7895">
        <v>-175.17089999999999</v>
      </c>
      <c r="H7895" s="1">
        <v>-3.7959229999999999E-6</v>
      </c>
      <c r="I7895">
        <v>133.90960000000001</v>
      </c>
      <c r="J7895">
        <v>-181.74029999999999</v>
      </c>
      <c r="K7895">
        <v>1.105812</v>
      </c>
      <c r="L7895">
        <v>131.2559</v>
      </c>
      <c r="M7895">
        <v>0.60684709999999997</v>
      </c>
      <c r="N7895">
        <v>-1.431873E-2</v>
      </c>
      <c r="O7895">
        <v>0.79468969999999906</v>
      </c>
      <c r="P7895">
        <v>0.80816739999999998</v>
      </c>
      <c r="Q7895">
        <v>0.37830550000000002</v>
      </c>
      <c r="R7895">
        <v>0.45138729999999999</v>
      </c>
      <c r="S7895">
        <v>3.2266240000000002</v>
      </c>
      <c r="T7895">
        <v>-0.53850109999999995</v>
      </c>
      <c r="U7895">
        <v>1.3246770000000001</v>
      </c>
      <c r="V7895">
        <v>0.3734922</v>
      </c>
      <c r="W7895">
        <v>0.3855169</v>
      </c>
      <c r="X7895">
        <v>0.84372999999999998</v>
      </c>
      <c r="Y7895">
        <v>0.49380049999999998</v>
      </c>
      <c r="Z7895">
        <v>-0.13725329999999999</v>
      </c>
      <c r="AA7895">
        <v>0.85867490000000002</v>
      </c>
      <c r="AB7895">
        <v>20</v>
      </c>
      <c r="AC7895">
        <v>6.5693999999999999</v>
      </c>
      <c r="AD7895">
        <v>-1.1058157959229999</v>
      </c>
      <c r="AE7895">
        <v>2.6537000000000099</v>
      </c>
      <c r="AF7895">
        <v>3.5247528512362098</v>
      </c>
      <c r="AG7895">
        <v>-1.1058157959229999</v>
      </c>
      <c r="AH7895">
        <v>5.9511466397681003</v>
      </c>
      <c r="AI7895">
        <v>99.083427567392903</v>
      </c>
      <c r="AJ7895">
        <v>59.362534233740803</v>
      </c>
      <c r="AK7895">
        <v>7.0044883870867896</v>
      </c>
      <c r="AL7895">
        <v>67.324166405381604</v>
      </c>
      <c r="AM7895">
        <v>66.122564962911298</v>
      </c>
      <c r="AN7895">
        <v>1.0000000082732201</v>
      </c>
    </row>
    <row r="7896" spans="1:40" x14ac:dyDescent="0.25">
      <c r="A7896" t="str">
        <f>"20190304165037774"</f>
        <v>20190304165037774</v>
      </c>
      <c r="B7896" t="str">
        <f>"1551689437763568"</f>
        <v>1551689437763568</v>
      </c>
      <c r="C7896" t="s">
        <v>40</v>
      </c>
      <c r="D7896">
        <v>5.1274790000000001</v>
      </c>
      <c r="E7896">
        <v>0.58107949999999997</v>
      </c>
      <c r="F7896" t="s">
        <v>48</v>
      </c>
      <c r="G7896">
        <v>-175.03960000000001</v>
      </c>
      <c r="H7896" s="1">
        <v>-3.7260500000000001E-6</v>
      </c>
      <c r="I7896">
        <v>133.9615</v>
      </c>
      <c r="J7896">
        <v>-181.67910000000001</v>
      </c>
      <c r="K7896">
        <v>1.1057589999999999</v>
      </c>
      <c r="L7896">
        <v>131.32749999999999</v>
      </c>
      <c r="M7896">
        <v>0.61060570000000003</v>
      </c>
      <c r="N7896">
        <v>-1.432947E-2</v>
      </c>
      <c r="O7896">
        <v>0.79180509999999904</v>
      </c>
      <c r="P7896">
        <v>0.81086550000000002</v>
      </c>
      <c r="Q7896">
        <v>0.37829220000000002</v>
      </c>
      <c r="R7896">
        <v>0.44653350000000003</v>
      </c>
      <c r="S7896">
        <v>3.2327729999999999</v>
      </c>
      <c r="T7896">
        <v>-0.53350969999999998</v>
      </c>
      <c r="U7896">
        <v>1.305328</v>
      </c>
      <c r="V7896">
        <v>0.37461539999999999</v>
      </c>
      <c r="W7896">
        <v>0.38544260000000002</v>
      </c>
      <c r="X7896">
        <v>0.84326590000000001</v>
      </c>
      <c r="Y7896">
        <v>0.49488729999999997</v>
      </c>
      <c r="Z7896">
        <v>-0.13581799999999999</v>
      </c>
      <c r="AA7896">
        <v>0.85827739999999997</v>
      </c>
      <c r="AB7896">
        <v>20</v>
      </c>
      <c r="AC7896">
        <v>6.6394999999999902</v>
      </c>
      <c r="AD7896">
        <v>-1.10576272605</v>
      </c>
      <c r="AE7896">
        <v>2.6340000000000101</v>
      </c>
      <c r="AF7896">
        <v>3.5638226185562201</v>
      </c>
      <c r="AG7896">
        <v>-1.10576272605</v>
      </c>
      <c r="AH7896">
        <v>5.9966525275893998</v>
      </c>
      <c r="AI7896">
        <v>99.007348816708003</v>
      </c>
      <c r="AJ7896">
        <v>59.276899289037402</v>
      </c>
      <c r="AK7896">
        <v>7.0628170300170403</v>
      </c>
      <c r="AL7896">
        <v>67.328780727090901</v>
      </c>
      <c r="AM7896">
        <v>66.047125622686096</v>
      </c>
      <c r="AN7896">
        <v>1.0000000369573601</v>
      </c>
    </row>
    <row r="7897" spans="1:40" x14ac:dyDescent="0.25">
      <c r="A7897" t="str">
        <f>"20190304165037786"</f>
        <v>20190304165037786</v>
      </c>
      <c r="B7897" t="str">
        <f>"1551689437783088"</f>
        <v>1551689437783088</v>
      </c>
      <c r="C7897" t="s">
        <v>40</v>
      </c>
      <c r="D7897">
        <v>5.0731919999999997</v>
      </c>
      <c r="E7897">
        <v>0.58149229999999996</v>
      </c>
      <c r="F7897" t="s">
        <v>48</v>
      </c>
      <c r="G7897">
        <v>-174.92140000000001</v>
      </c>
      <c r="H7897" s="1">
        <v>-3.6714020000000002E-6</v>
      </c>
      <c r="I7897">
        <v>134.00710000000001</v>
      </c>
      <c r="J7897">
        <v>-181.6123</v>
      </c>
      <c r="K7897">
        <v>1.105699</v>
      </c>
      <c r="L7897">
        <v>131.40430000000001</v>
      </c>
      <c r="M7897">
        <v>0.61473279999999997</v>
      </c>
      <c r="N7897">
        <v>-1.434305E-2</v>
      </c>
      <c r="O7897">
        <v>0.788605</v>
      </c>
      <c r="P7897">
        <v>0.81346339999999995</v>
      </c>
      <c r="Q7897">
        <v>0.3784034</v>
      </c>
      <c r="R7897">
        <v>0.44168819999999998</v>
      </c>
      <c r="S7897">
        <v>3.2396389999999999</v>
      </c>
      <c r="T7897">
        <v>-0.53010239999999997</v>
      </c>
      <c r="U7897">
        <v>1.284592</v>
      </c>
      <c r="V7897">
        <v>0.37526219999999999</v>
      </c>
      <c r="W7897">
        <v>0.38549840000000002</v>
      </c>
      <c r="X7897">
        <v>0.8429527</v>
      </c>
      <c r="Y7897">
        <v>0.49588019999999999</v>
      </c>
      <c r="Z7897">
        <v>-0.13476379999999999</v>
      </c>
      <c r="AA7897">
        <v>0.85787029999999997</v>
      </c>
      <c r="AB7897">
        <v>20</v>
      </c>
      <c r="AC7897">
        <v>6.6908999999999903</v>
      </c>
      <c r="AD7897">
        <v>-1.105702671402</v>
      </c>
      <c r="AE7897">
        <v>2.6027999999999998</v>
      </c>
      <c r="AF7897">
        <v>3.5916363255245698</v>
      </c>
      <c r="AG7897">
        <v>-1.105702671402</v>
      </c>
      <c r="AH7897">
        <v>6.0234564744631598</v>
      </c>
      <c r="AI7897">
        <v>98.959793607544697</v>
      </c>
      <c r="AJ7897">
        <v>59.193434141040299</v>
      </c>
      <c r="AK7897">
        <v>7.09960969294265</v>
      </c>
      <c r="AL7897">
        <v>67.325314848938405</v>
      </c>
      <c r="AM7897">
        <v>66.002525613119104</v>
      </c>
      <c r="AN7897">
        <v>0.99999999479434498</v>
      </c>
    </row>
    <row r="7898" spans="1:40" x14ac:dyDescent="0.25">
      <c r="A7898" t="str">
        <f>"20190304165037798"</f>
        <v>20190304165037798</v>
      </c>
      <c r="B7898" t="str">
        <f>"1551689437793827"</f>
        <v>1551689437793827</v>
      </c>
      <c r="C7898" t="s">
        <v>40</v>
      </c>
      <c r="D7898">
        <v>5.0990320000000002</v>
      </c>
      <c r="E7898">
        <v>0.58159640000000001</v>
      </c>
      <c r="F7898" t="s">
        <v>48</v>
      </c>
      <c r="G7898">
        <v>-174.74369999999999</v>
      </c>
      <c r="H7898" s="1">
        <v>-3.6169040000000002E-6</v>
      </c>
      <c r="I7898">
        <v>134.0712</v>
      </c>
      <c r="J7898">
        <v>-181.54409999999999</v>
      </c>
      <c r="K7898">
        <v>1.10564</v>
      </c>
      <c r="L7898">
        <v>131.48220000000001</v>
      </c>
      <c r="M7898">
        <v>0.61893180000000003</v>
      </c>
      <c r="N7898">
        <v>-1.435675E-2</v>
      </c>
      <c r="O7898">
        <v>0.7853135</v>
      </c>
      <c r="P7898">
        <v>0.81610099999999997</v>
      </c>
      <c r="Q7898">
        <v>0.37859039999999999</v>
      </c>
      <c r="R7898">
        <v>0.4366333</v>
      </c>
      <c r="S7898">
        <v>3.246613</v>
      </c>
      <c r="T7898">
        <v>-0.52263679999999901</v>
      </c>
      <c r="U7898">
        <v>1.2605740000000001</v>
      </c>
      <c r="V7898">
        <v>0.37598930000000003</v>
      </c>
      <c r="W7898">
        <v>0.38562780000000002</v>
      </c>
      <c r="X7898">
        <v>0.84256949999999997</v>
      </c>
      <c r="Y7898">
        <v>0.49769669999999999</v>
      </c>
      <c r="Z7898">
        <v>-0.13271050000000001</v>
      </c>
      <c r="AA7898">
        <v>0.85713819999999996</v>
      </c>
      <c r="AB7898">
        <v>20</v>
      </c>
      <c r="AC7898">
        <v>6.80039999999999</v>
      </c>
      <c r="AD7898">
        <v>-1.105643616904</v>
      </c>
      <c r="AE7898">
        <v>2.5889999999999902</v>
      </c>
      <c r="AF7898">
        <v>3.65405368355988</v>
      </c>
      <c r="AG7898">
        <v>-1.105643616904</v>
      </c>
      <c r="AH7898">
        <v>6.1019254297199401</v>
      </c>
      <c r="AI7898">
        <v>98.836129216061295</v>
      </c>
      <c r="AJ7898">
        <v>59.085299724231099</v>
      </c>
      <c r="AK7898">
        <v>7.1977809135733599</v>
      </c>
      <c r="AL7898">
        <v>67.317281008833106</v>
      </c>
      <c r="AM7898">
        <v>65.951598467608903</v>
      </c>
      <c r="AN7898">
        <v>1.00000005808878</v>
      </c>
    </row>
    <row r="7899" spans="1:40" x14ac:dyDescent="0.25">
      <c r="A7899" t="str">
        <f>"20190304165037809"</f>
        <v>20190304165037809</v>
      </c>
      <c r="B7899" t="str">
        <f>"1551689437803584"</f>
        <v>1551689437803584</v>
      </c>
      <c r="C7899" t="s">
        <v>40</v>
      </c>
      <c r="D7899">
        <v>5.1351649999999998</v>
      </c>
      <c r="E7899">
        <v>0.58172579999999996</v>
      </c>
      <c r="F7899" t="s">
        <v>48</v>
      </c>
      <c r="G7899">
        <v>-174.6223</v>
      </c>
      <c r="H7899" s="1">
        <v>-3.5815540000000001E-6</v>
      </c>
      <c r="I7899">
        <v>134.12</v>
      </c>
      <c r="J7899">
        <v>-181.47479999999999</v>
      </c>
      <c r="K7899">
        <v>1.1055809999999999</v>
      </c>
      <c r="L7899">
        <v>131.56010000000001</v>
      </c>
      <c r="M7899">
        <v>0.62320679999999995</v>
      </c>
      <c r="N7899">
        <v>-1.4371800000000001E-2</v>
      </c>
      <c r="O7899">
        <v>0.78192499999999998</v>
      </c>
      <c r="P7899">
        <v>0.81878869999999904</v>
      </c>
      <c r="Q7899">
        <v>0.3788263</v>
      </c>
      <c r="R7899">
        <v>0.4313652</v>
      </c>
      <c r="S7899">
        <v>3.2537229999999999</v>
      </c>
      <c r="T7899">
        <v>-0.51972390000000002</v>
      </c>
      <c r="U7899">
        <v>1.2399290000000001</v>
      </c>
      <c r="V7899">
        <v>0.37680170000000002</v>
      </c>
      <c r="W7899">
        <v>0.3858047</v>
      </c>
      <c r="X7899">
        <v>0.84212540000000002</v>
      </c>
      <c r="Y7899">
        <v>0.49848300000000001</v>
      </c>
      <c r="Z7899">
        <v>-0.13174069999999999</v>
      </c>
      <c r="AA7899">
        <v>0.8568308</v>
      </c>
      <c r="AB7899">
        <v>20</v>
      </c>
      <c r="AC7899">
        <v>6.8524999999999903</v>
      </c>
      <c r="AD7899">
        <v>-1.105584581554</v>
      </c>
      <c r="AE7899">
        <v>2.5598999999999901</v>
      </c>
      <c r="AF7899">
        <v>3.6791406398213899</v>
      </c>
      <c r="AG7899">
        <v>-1.105584581554</v>
      </c>
      <c r="AH7899">
        <v>6.1327332572173603</v>
      </c>
      <c r="AI7899">
        <v>98.787844131443293</v>
      </c>
      <c r="AJ7899">
        <v>59.039673667858096</v>
      </c>
      <c r="AK7899">
        <v>7.2366297624470999</v>
      </c>
      <c r="AL7899">
        <v>67.306293615233201</v>
      </c>
      <c r="AM7899">
        <v>65.894285359726197</v>
      </c>
      <c r="AN7899">
        <v>0.99999998849506999</v>
      </c>
    </row>
    <row r="7900" spans="1:40" x14ac:dyDescent="0.25">
      <c r="A7900" t="str">
        <f>"20190304165037821"</f>
        <v>20190304165037821</v>
      </c>
      <c r="B7900" t="str">
        <f>"1551689437813345"</f>
        <v>1551689437813345</v>
      </c>
      <c r="C7900" t="s">
        <v>40</v>
      </c>
      <c r="D7900">
        <v>5.0948070000000003</v>
      </c>
      <c r="E7900">
        <v>0.58173249999999999</v>
      </c>
      <c r="F7900" t="s">
        <v>48</v>
      </c>
      <c r="G7900">
        <v>-174.48390000000001</v>
      </c>
      <c r="H7900" s="1">
        <v>-3.5387140000000001E-6</v>
      </c>
      <c r="I7900">
        <v>134.1688</v>
      </c>
      <c r="J7900">
        <v>-181.4068</v>
      </c>
      <c r="K7900">
        <v>1.105531</v>
      </c>
      <c r="L7900">
        <v>131.63570000000001</v>
      </c>
      <c r="M7900">
        <v>0.62739250000000002</v>
      </c>
      <c r="N7900">
        <v>-1.4386589999999999E-2</v>
      </c>
      <c r="O7900">
        <v>0.77857030000000005</v>
      </c>
      <c r="P7900">
        <v>0.82138820000000001</v>
      </c>
      <c r="Q7900">
        <v>0.3789498</v>
      </c>
      <c r="R7900">
        <v>0.42628490000000002</v>
      </c>
      <c r="S7900">
        <v>3.2614139999999998</v>
      </c>
      <c r="T7900">
        <v>-0.51578009999999996</v>
      </c>
      <c r="U7900">
        <v>1.216995</v>
      </c>
      <c r="V7900">
        <v>0.37751469999999998</v>
      </c>
      <c r="W7900">
        <v>0.38587559999999999</v>
      </c>
      <c r="X7900">
        <v>0.84177359999999901</v>
      </c>
      <c r="Y7900">
        <v>0.49996279999999999</v>
      </c>
      <c r="Z7900">
        <v>-0.130549</v>
      </c>
      <c r="AA7900">
        <v>0.85615079999999999</v>
      </c>
      <c r="AB7900">
        <v>20</v>
      </c>
      <c r="AC7900">
        <v>6.9228999999999896</v>
      </c>
      <c r="AD7900">
        <v>-1.1055345387140001</v>
      </c>
      <c r="AE7900">
        <v>2.5330999999999899</v>
      </c>
      <c r="AF7900">
        <v>3.7175010965381299</v>
      </c>
      <c r="AG7900">
        <v>-1.1055345387140001</v>
      </c>
      <c r="AH7900">
        <v>6.1772948329447397</v>
      </c>
      <c r="AI7900">
        <v>98.717905089096206</v>
      </c>
      <c r="AJ7900">
        <v>58.960436539196301</v>
      </c>
      <c r="AK7900">
        <v>7.2939010462288003</v>
      </c>
      <c r="AL7900">
        <v>67.301892109169202</v>
      </c>
      <c r="AM7900">
        <v>65.844942005555595</v>
      </c>
      <c r="AN7900">
        <v>1.0000000605242001</v>
      </c>
    </row>
    <row r="7901" spans="1:40" x14ac:dyDescent="0.25">
      <c r="A7901" t="str">
        <f>"20190304165037833"</f>
        <v>20190304165037833</v>
      </c>
      <c r="B7901" t="str">
        <f>"1551689437823104"</f>
        <v>1551689437823104</v>
      </c>
      <c r="C7901" t="s">
        <v>40</v>
      </c>
      <c r="D7901">
        <v>5.08352</v>
      </c>
      <c r="E7901">
        <v>0.58172119999999905</v>
      </c>
      <c r="F7901" t="s">
        <v>48</v>
      </c>
      <c r="G7901">
        <v>-174.37610000000001</v>
      </c>
      <c r="H7901" s="1">
        <v>-3.5060809999999999E-6</v>
      </c>
      <c r="I7901">
        <v>134.2088</v>
      </c>
      <c r="J7901">
        <v>-181.3295</v>
      </c>
      <c r="K7901">
        <v>1.105472</v>
      </c>
      <c r="L7901">
        <v>131.7209</v>
      </c>
      <c r="M7901">
        <v>0.6321483</v>
      </c>
      <c r="N7901">
        <v>-1.440349E-2</v>
      </c>
      <c r="O7901">
        <v>0.77471350000000005</v>
      </c>
      <c r="P7901">
        <v>0.82434200000000002</v>
      </c>
      <c r="Q7901">
        <v>0.37880619999999998</v>
      </c>
      <c r="R7901">
        <v>0.42067379999999999</v>
      </c>
      <c r="S7901">
        <v>3.2686310000000001</v>
      </c>
      <c r="T7901">
        <v>-0.51396620000000004</v>
      </c>
      <c r="U7901">
        <v>1.1962429999999999</v>
      </c>
      <c r="V7901">
        <v>0.37820979999999998</v>
      </c>
      <c r="W7901">
        <v>0.38567839999999998</v>
      </c>
      <c r="X7901">
        <v>0.84155179999999996</v>
      </c>
      <c r="Y7901">
        <v>0.50017509999999998</v>
      </c>
      <c r="Z7901">
        <v>-0.12978629999999999</v>
      </c>
      <c r="AA7901">
        <v>0.85614269999999904</v>
      </c>
      <c r="AB7901">
        <v>20</v>
      </c>
      <c r="AC7901">
        <v>6.9533999999999798</v>
      </c>
      <c r="AD7901">
        <v>-1.105475506081</v>
      </c>
      <c r="AE7901">
        <v>2.48789999999999</v>
      </c>
      <c r="AF7901">
        <v>3.7309663743987498</v>
      </c>
      <c r="AG7901">
        <v>-1.105475506081</v>
      </c>
      <c r="AH7901">
        <v>6.1850560419679796</v>
      </c>
      <c r="AI7901">
        <v>98.701288482045697</v>
      </c>
      <c r="AJ7901">
        <v>58.900665400357497</v>
      </c>
      <c r="AK7901">
        <v>7.3073322371248404</v>
      </c>
      <c r="AL7901">
        <v>67.314136339583897</v>
      </c>
      <c r="AM7901">
        <v>65.799919286862902</v>
      </c>
      <c r="AN7901">
        <v>0.99999995656291896</v>
      </c>
    </row>
    <row r="7902" spans="1:40" x14ac:dyDescent="0.25">
      <c r="A7902" t="str">
        <f>"20190304165037844"</f>
        <v>20190304165037844</v>
      </c>
      <c r="B7902" t="str">
        <f>"1551689437833841"</f>
        <v>1551689437833841</v>
      </c>
      <c r="C7902" t="s">
        <v>40</v>
      </c>
      <c r="D7902">
        <v>5.1059029999999996</v>
      </c>
      <c r="E7902">
        <v>0.58177369999999995</v>
      </c>
      <c r="F7902" t="s">
        <v>48</v>
      </c>
      <c r="G7902">
        <v>-174.27860000000001</v>
      </c>
      <c r="H7902" s="1">
        <v>-3.4772069999999999E-6</v>
      </c>
      <c r="I7902">
        <v>134.2466</v>
      </c>
      <c r="J7902">
        <v>-181.26769999999999</v>
      </c>
      <c r="K7902">
        <v>1.1054269999999999</v>
      </c>
      <c r="L7902">
        <v>131.7876</v>
      </c>
      <c r="M7902">
        <v>0.63594430000000002</v>
      </c>
      <c r="N7902">
        <v>-1.4417040000000001E-2</v>
      </c>
      <c r="O7902">
        <v>0.77160030000000002</v>
      </c>
      <c r="P7902">
        <v>0.82662769999999997</v>
      </c>
      <c r="Q7902">
        <v>0.378855</v>
      </c>
      <c r="R7902">
        <v>0.41611959999999998</v>
      </c>
      <c r="S7902">
        <v>3.2763819999999999</v>
      </c>
      <c r="T7902">
        <v>-0.51368840000000004</v>
      </c>
      <c r="U7902">
        <v>1.173645</v>
      </c>
      <c r="V7902">
        <v>0.3787488</v>
      </c>
      <c r="W7902">
        <v>0.38568760000000002</v>
      </c>
      <c r="X7902">
        <v>0.84130509999999903</v>
      </c>
      <c r="Y7902">
        <v>0.50182829999999901</v>
      </c>
      <c r="Z7902">
        <v>-0.129583</v>
      </c>
      <c r="AA7902">
        <v>0.85520560000000001</v>
      </c>
      <c r="AB7902">
        <v>20</v>
      </c>
      <c r="AC7902">
        <v>6.9890999999999703</v>
      </c>
      <c r="AD7902">
        <v>-1.1054304772069901</v>
      </c>
      <c r="AE7902">
        <v>2.4590000000000001</v>
      </c>
      <c r="AF7902">
        <v>3.7460141307187098</v>
      </c>
      <c r="AG7902">
        <v>-1.1054304772069901</v>
      </c>
      <c r="AH7902">
        <v>6.2045849250412601</v>
      </c>
      <c r="AI7902">
        <v>98.671980721898507</v>
      </c>
      <c r="AJ7902">
        <v>58.878547310719703</v>
      </c>
      <c r="AK7902">
        <v>7.3315395722543597</v>
      </c>
      <c r="AL7902">
        <v>67.313564254851997</v>
      </c>
      <c r="AM7902">
        <v>65.763108522013994</v>
      </c>
      <c r="AN7902">
        <v>0.99999992479060196</v>
      </c>
    </row>
    <row r="7903" spans="1:40" x14ac:dyDescent="0.25">
      <c r="A7903" t="str">
        <f>"20190304165037857"</f>
        <v>20190304165037857</v>
      </c>
      <c r="B7903" t="str">
        <f>"1551689437843600"</f>
        <v>1551689437843600</v>
      </c>
      <c r="C7903" t="s">
        <v>40</v>
      </c>
      <c r="D7903">
        <v>5.2840809999999996</v>
      </c>
      <c r="E7903">
        <v>0.58174969999999904</v>
      </c>
      <c r="F7903" t="s">
        <v>48</v>
      </c>
      <c r="G7903">
        <v>-174.1763</v>
      </c>
      <c r="H7903" s="1">
        <v>-3.4458570000000002E-6</v>
      </c>
      <c r="I7903">
        <v>134.2835</v>
      </c>
      <c r="J7903">
        <v>-181.1925</v>
      </c>
      <c r="K7903">
        <v>1.1053770000000001</v>
      </c>
      <c r="L7903">
        <v>131.86850000000001</v>
      </c>
      <c r="M7903">
        <v>0.64055069999999903</v>
      </c>
      <c r="N7903">
        <v>-1.4433079999999999E-2</v>
      </c>
      <c r="O7903">
        <v>0.76778029999999997</v>
      </c>
      <c r="P7903">
        <v>0.82947780000000004</v>
      </c>
      <c r="Q7903">
        <v>0.37858000000000003</v>
      </c>
      <c r="R7903">
        <v>0.41066279999999999</v>
      </c>
      <c r="S7903">
        <v>3.282181</v>
      </c>
      <c r="T7903">
        <v>-0.51163570000000003</v>
      </c>
      <c r="U7903">
        <v>1.155197</v>
      </c>
      <c r="V7903">
        <v>0.3794032</v>
      </c>
      <c r="W7903">
        <v>0.38536730000000002</v>
      </c>
      <c r="X7903">
        <v>0.84115709999999999</v>
      </c>
      <c r="Y7903">
        <v>0.50152540000000001</v>
      </c>
      <c r="Z7903">
        <v>-0.12873799999999999</v>
      </c>
      <c r="AA7903">
        <v>0.85551089999999996</v>
      </c>
      <c r="AB7903">
        <v>20</v>
      </c>
      <c r="AC7903">
        <v>7.0161999999999898</v>
      </c>
      <c r="AD7903">
        <v>-1.105380445857</v>
      </c>
      <c r="AE7903">
        <v>2.4149999999999898</v>
      </c>
      <c r="AF7903">
        <v>3.7569954501780201</v>
      </c>
      <c r="AG7903">
        <v>-1.105380445857</v>
      </c>
      <c r="AH7903">
        <v>6.2112434451179404</v>
      </c>
      <c r="AI7903">
        <v>98.658207943258205</v>
      </c>
      <c r="AJ7903">
        <v>58.831510522914499</v>
      </c>
      <c r="AK7903">
        <v>7.3427805276517697</v>
      </c>
      <c r="AL7903">
        <v>67.333455545297994</v>
      </c>
      <c r="AM7903">
        <v>65.722284950123296</v>
      </c>
      <c r="AN7903">
        <v>1.00000000547997</v>
      </c>
    </row>
    <row r="7904" spans="1:40" x14ac:dyDescent="0.25">
      <c r="A7904" t="str">
        <f>"20190304165037868"</f>
        <v>20190304165037868</v>
      </c>
      <c r="B7904" t="str">
        <f>"1551689437863120"</f>
        <v>1551689437863120</v>
      </c>
      <c r="C7904" t="s">
        <v>40</v>
      </c>
      <c r="D7904">
        <v>5.0969179999999996</v>
      </c>
      <c r="E7904">
        <v>0.58170840000000001</v>
      </c>
      <c r="F7904" t="s">
        <v>48</v>
      </c>
      <c r="G7904">
        <v>-174.09039999999999</v>
      </c>
      <c r="H7904" s="1">
        <v>-3.4205679999999999E-6</v>
      </c>
      <c r="I7904">
        <v>134.31729999999999</v>
      </c>
      <c r="J7904">
        <v>-181.11349999999999</v>
      </c>
      <c r="K7904">
        <v>1.105324</v>
      </c>
      <c r="L7904">
        <v>131.95189999999999</v>
      </c>
      <c r="M7904">
        <v>0.64538980000000001</v>
      </c>
      <c r="N7904">
        <v>-1.4450060000000001E-2</v>
      </c>
      <c r="O7904">
        <v>0.76371669999999903</v>
      </c>
      <c r="P7904">
        <v>0.83221690000000004</v>
      </c>
      <c r="Q7904">
        <v>0.37838159999999998</v>
      </c>
      <c r="R7904">
        <v>0.40526839999999997</v>
      </c>
      <c r="S7904">
        <v>3.2889400000000002</v>
      </c>
      <c r="T7904">
        <v>-0.51189119999999999</v>
      </c>
      <c r="U7904">
        <v>1.1340030000000001</v>
      </c>
      <c r="V7904">
        <v>0.37966420000000001</v>
      </c>
      <c r="W7904">
        <v>0.38513239999999999</v>
      </c>
      <c r="X7904">
        <v>0.84114690000000003</v>
      </c>
      <c r="Y7904">
        <v>0.50155660000000002</v>
      </c>
      <c r="Z7904">
        <v>-0.1284999</v>
      </c>
      <c r="AA7904">
        <v>0.85552839999999997</v>
      </c>
      <c r="AB7904">
        <v>19</v>
      </c>
      <c r="AC7904">
        <v>7.0231000000000003</v>
      </c>
      <c r="AD7904">
        <v>-1.1053274205679999</v>
      </c>
      <c r="AE7904">
        <v>2.36539999999999</v>
      </c>
      <c r="AF7904">
        <v>3.7539428440972298</v>
      </c>
      <c r="AG7904">
        <v>-1.1053274205679999</v>
      </c>
      <c r="AH7904">
        <v>6.2018264871791304</v>
      </c>
      <c r="AI7904">
        <v>98.669133498550707</v>
      </c>
      <c r="AJ7904">
        <v>58.813634116900502</v>
      </c>
      <c r="AK7904">
        <v>7.3332453498082897</v>
      </c>
      <c r="AL7904">
        <v>67.348039671686706</v>
      </c>
      <c r="AM7904">
        <v>65.707253453375898</v>
      </c>
      <c r="AN7904">
        <v>0.999999988835505</v>
      </c>
    </row>
    <row r="7905" spans="1:40" x14ac:dyDescent="0.25">
      <c r="A7905" t="str">
        <f>"20190304165037880"</f>
        <v>20190304165037880</v>
      </c>
      <c r="B7905" t="str">
        <f>"1551689437873856"</f>
        <v>1551689437873856</v>
      </c>
      <c r="C7905" t="s">
        <v>40</v>
      </c>
      <c r="D7905">
        <v>5.1114709999999999</v>
      </c>
      <c r="E7905">
        <v>0.58167619999999998</v>
      </c>
      <c r="F7905" t="s">
        <v>48</v>
      </c>
      <c r="G7905">
        <v>-173.9709</v>
      </c>
      <c r="H7905" s="1">
        <v>-3.384718E-6</v>
      </c>
      <c r="I7905">
        <v>134.36240000000001</v>
      </c>
      <c r="J7905">
        <v>-181.04660000000001</v>
      </c>
      <c r="K7905">
        <v>1.1052820000000001</v>
      </c>
      <c r="L7905">
        <v>132.02180000000001</v>
      </c>
      <c r="M7905">
        <v>0.64946939999999997</v>
      </c>
      <c r="N7905">
        <v>-1.44642E-2</v>
      </c>
      <c r="O7905">
        <v>0.76025019999999999</v>
      </c>
      <c r="P7905">
        <v>0.83460380000000001</v>
      </c>
      <c r="Q7905">
        <v>0.37782189999999999</v>
      </c>
      <c r="R7905">
        <v>0.40085789999999999</v>
      </c>
      <c r="S7905">
        <v>3.2951350000000001</v>
      </c>
      <c r="T7905">
        <v>-0.50992660000000001</v>
      </c>
      <c r="U7905">
        <v>1.1120760000000001</v>
      </c>
      <c r="V7905">
        <v>0.37983600000000001</v>
      </c>
      <c r="W7905">
        <v>0.38454709999999998</v>
      </c>
      <c r="X7905">
        <v>0.84133709999999995</v>
      </c>
      <c r="Y7905">
        <v>0.50262320000000005</v>
      </c>
      <c r="Z7905">
        <v>-0.12781489999999901</v>
      </c>
      <c r="AA7905">
        <v>0.85500480000000001</v>
      </c>
      <c r="AB7905">
        <v>19</v>
      </c>
      <c r="AC7905">
        <v>7.0757000000000101</v>
      </c>
      <c r="AD7905">
        <v>-1.105285384718</v>
      </c>
      <c r="AE7905">
        <v>2.34059999999999</v>
      </c>
      <c r="AF7905">
        <v>3.7764960846186799</v>
      </c>
      <c r="AG7905">
        <v>-1.105285384718</v>
      </c>
      <c r="AH7905">
        <v>6.23835016452934</v>
      </c>
      <c r="AI7905">
        <v>98.618551277066501</v>
      </c>
      <c r="AJ7905">
        <v>58.810639065146603</v>
      </c>
      <c r="AK7905">
        <v>7.3756756459388004</v>
      </c>
      <c r="AL7905">
        <v>67.384373141800396</v>
      </c>
      <c r="AM7905">
        <v>65.702391009143298</v>
      </c>
      <c r="AN7905">
        <v>0.99999998742540896</v>
      </c>
    </row>
    <row r="7906" spans="1:40" x14ac:dyDescent="0.25">
      <c r="A7906" t="str">
        <f>"20190304165037893"</f>
        <v>20190304165037893</v>
      </c>
      <c r="B7906" t="str">
        <f>"1551689437883617"</f>
        <v>1551689437883617</v>
      </c>
      <c r="C7906" t="s">
        <v>40</v>
      </c>
      <c r="D7906">
        <v>5.0261940000000003</v>
      </c>
      <c r="E7906">
        <v>0.58158969999999999</v>
      </c>
      <c r="F7906" t="s">
        <v>48</v>
      </c>
      <c r="G7906">
        <v>-173.90539999999999</v>
      </c>
      <c r="H7906" s="1">
        <v>-3.3652820000000001E-6</v>
      </c>
      <c r="I7906">
        <v>134.3878</v>
      </c>
      <c r="J7906">
        <v>-180.96610000000001</v>
      </c>
      <c r="K7906">
        <v>1.105232</v>
      </c>
      <c r="L7906">
        <v>132.10489999999999</v>
      </c>
      <c r="M7906">
        <v>0.65436519999999898</v>
      </c>
      <c r="N7906">
        <v>-1.448112E-2</v>
      </c>
      <c r="O7906">
        <v>0.75604009999999999</v>
      </c>
      <c r="P7906">
        <v>0.83726579999999995</v>
      </c>
      <c r="Q7906">
        <v>0.37755129999999998</v>
      </c>
      <c r="R7906">
        <v>0.3955264</v>
      </c>
      <c r="S7906">
        <v>3.300522</v>
      </c>
      <c r="T7906">
        <v>-0.51083800000000001</v>
      </c>
      <c r="U7906">
        <v>1.0935360000000001</v>
      </c>
      <c r="V7906">
        <v>0.37990020000000002</v>
      </c>
      <c r="W7906">
        <v>0.38424989999999998</v>
      </c>
      <c r="X7906">
        <v>0.84144399999999997</v>
      </c>
      <c r="Y7906">
        <v>0.50179479999999999</v>
      </c>
      <c r="Z7906">
        <v>-0.12768450000000001</v>
      </c>
      <c r="AA7906">
        <v>0.85551080000000002</v>
      </c>
      <c r="AB7906">
        <v>19</v>
      </c>
      <c r="AC7906">
        <v>7.0607000000000202</v>
      </c>
      <c r="AD7906">
        <v>-1.1052353652819999</v>
      </c>
      <c r="AE7906">
        <v>2.2829000000000099</v>
      </c>
      <c r="AF7906">
        <v>3.7612858316103499</v>
      </c>
      <c r="AG7906">
        <v>-1.1052353652819999</v>
      </c>
      <c r="AH7906">
        <v>6.2091634497174697</v>
      </c>
      <c r="AI7906">
        <v>98.656569293662201</v>
      </c>
      <c r="AJ7906">
        <v>58.794040390907298</v>
      </c>
      <c r="AK7906">
        <v>7.3431959707643699</v>
      </c>
      <c r="AL7906">
        <v>67.402820789231001</v>
      </c>
      <c r="AM7906">
        <v>65.701489499636907</v>
      </c>
      <c r="AN7906">
        <v>1.0000000763730199</v>
      </c>
    </row>
    <row r="7907" spans="1:40" x14ac:dyDescent="0.25">
      <c r="A7907" t="str">
        <f>"20190304165037908"</f>
        <v>20190304165037908</v>
      </c>
      <c r="B7907" t="str">
        <f>"1551689437893377"</f>
        <v>1551689437893377</v>
      </c>
      <c r="C7907" t="s">
        <v>40</v>
      </c>
      <c r="D7907">
        <v>5.1042860000000001</v>
      </c>
      <c r="E7907">
        <v>0.58154469999999903</v>
      </c>
      <c r="F7907" t="s">
        <v>48</v>
      </c>
      <c r="G7907">
        <v>-173.81599999999901</v>
      </c>
      <c r="H7907" s="1">
        <v>-3.338757E-6</v>
      </c>
      <c r="I7907">
        <v>134.42230000000001</v>
      </c>
      <c r="J7907">
        <v>-180.8792</v>
      </c>
      <c r="K7907">
        <v>1.1051850000000001</v>
      </c>
      <c r="L7907">
        <v>132.19299999999899</v>
      </c>
      <c r="M7907">
        <v>0.65963050000000001</v>
      </c>
      <c r="N7907">
        <v>-1.449958E-2</v>
      </c>
      <c r="O7907">
        <v>0.75145019999999996</v>
      </c>
      <c r="P7907">
        <v>0.83983759999999996</v>
      </c>
      <c r="Q7907">
        <v>0.37729600000000002</v>
      </c>
      <c r="R7907">
        <v>0.39028299999999999</v>
      </c>
      <c r="S7907">
        <v>3.30722</v>
      </c>
      <c r="T7907">
        <v>-0.51122159999999905</v>
      </c>
      <c r="U7907">
        <v>1.071915</v>
      </c>
      <c r="V7907">
        <v>0.37940649999999998</v>
      </c>
      <c r="W7907">
        <v>0.38397959999999998</v>
      </c>
      <c r="X7907">
        <v>0.84178999999999904</v>
      </c>
      <c r="Y7907">
        <v>0.50135779999999996</v>
      </c>
      <c r="Z7907">
        <v>-0.12738949999999999</v>
      </c>
      <c r="AA7907">
        <v>0.85581090000000004</v>
      </c>
      <c r="AB7907">
        <v>19</v>
      </c>
      <c r="AC7907">
        <v>7.0632000000000197</v>
      </c>
      <c r="AD7907">
        <v>-1.1051883387570001</v>
      </c>
      <c r="AE7907">
        <v>2.2293000000000198</v>
      </c>
      <c r="AF7907">
        <v>3.7539494058590201</v>
      </c>
      <c r="AG7907">
        <v>-1.1051883387570001</v>
      </c>
      <c r="AH7907">
        <v>6.1969980485827802</v>
      </c>
      <c r="AI7907">
        <v>98.672921389284696</v>
      </c>
      <c r="AJ7907">
        <v>58.793817642504301</v>
      </c>
      <c r="AK7907">
        <v>7.3291447127214298</v>
      </c>
      <c r="AL7907">
        <v>67.419593169187806</v>
      </c>
      <c r="AM7907">
        <v>65.738245813117402</v>
      </c>
      <c r="AN7907">
        <v>1.0000000147792001</v>
      </c>
    </row>
    <row r="7908" spans="1:40" x14ac:dyDescent="0.25">
      <c r="A7908" t="str">
        <f>"20190304165037922"</f>
        <v>20190304165037922</v>
      </c>
      <c r="B7908" t="str">
        <f>"1551689437913872"</f>
        <v>1551689437913872</v>
      </c>
      <c r="C7908" t="s">
        <v>40</v>
      </c>
      <c r="D7908">
        <v>4.999403</v>
      </c>
      <c r="E7908">
        <v>0.58139810000000003</v>
      </c>
      <c r="F7908" t="s">
        <v>48</v>
      </c>
      <c r="G7908">
        <v>-173.70670000000001</v>
      </c>
      <c r="H7908" s="1">
        <v>-3.306629E-6</v>
      </c>
      <c r="I7908">
        <v>134.46539999999999</v>
      </c>
      <c r="J7908">
        <v>-180.78639999999999</v>
      </c>
      <c r="K7908">
        <v>1.105132</v>
      </c>
      <c r="L7908">
        <v>132.28579999999999</v>
      </c>
      <c r="M7908">
        <v>0.66522879999999995</v>
      </c>
      <c r="N7908">
        <v>-1.451916E-2</v>
      </c>
      <c r="O7908">
        <v>0.74649840000000001</v>
      </c>
      <c r="P7908">
        <v>0.842661199999999</v>
      </c>
      <c r="Q7908">
        <v>0.37668659999999998</v>
      </c>
      <c r="R7908">
        <v>0.38474609999999998</v>
      </c>
      <c r="S7908">
        <v>3.3136290000000002</v>
      </c>
      <c r="T7908">
        <v>-0.51058939999999997</v>
      </c>
      <c r="U7908">
        <v>1.0498350000000001</v>
      </c>
      <c r="V7908">
        <v>0.37889109999999998</v>
      </c>
      <c r="W7908">
        <v>0.38335740000000001</v>
      </c>
      <c r="X7908">
        <v>0.84230550000000004</v>
      </c>
      <c r="Y7908">
        <v>0.5006313</v>
      </c>
      <c r="Z7908">
        <v>-0.1267856</v>
      </c>
      <c r="AA7908">
        <v>0.85632569999999997</v>
      </c>
      <c r="AB7908">
        <v>19</v>
      </c>
      <c r="AC7908">
        <v>7.0796999999999697</v>
      </c>
      <c r="AD7908">
        <v>-1.1051353066289999</v>
      </c>
      <c r="AE7908">
        <v>2.17959999999999</v>
      </c>
      <c r="AF7908">
        <v>3.75194780809412</v>
      </c>
      <c r="AG7908">
        <v>-1.1051353066289999</v>
      </c>
      <c r="AH7908">
        <v>6.1993744535088897</v>
      </c>
      <c r="AI7908">
        <v>98.671337536694296</v>
      </c>
      <c r="AJ7908">
        <v>58.817089478558302</v>
      </c>
      <c r="AK7908">
        <v>7.3301214188742403</v>
      </c>
      <c r="AL7908">
        <v>67.458195576947503</v>
      </c>
      <c r="AM7908">
        <v>65.780535305945094</v>
      </c>
      <c r="AN7908">
        <v>0.99999995856210899</v>
      </c>
    </row>
    <row r="7909" spans="1:40" x14ac:dyDescent="0.25">
      <c r="A7909" t="str">
        <f>"20190304165037936"</f>
        <v>20190304165037936</v>
      </c>
      <c r="B7909" t="str">
        <f>"1551689437923633"</f>
        <v>1551689437923633</v>
      </c>
      <c r="C7909" t="s">
        <v>40</v>
      </c>
      <c r="D7909">
        <v>4.9808389999999996</v>
      </c>
      <c r="E7909">
        <v>0.58133269999999904</v>
      </c>
      <c r="F7909" t="s">
        <v>48</v>
      </c>
      <c r="G7909">
        <v>-173.6054</v>
      </c>
      <c r="H7909" s="1">
        <v>-3.2773270000000001E-6</v>
      </c>
      <c r="I7909">
        <v>134.50649999999999</v>
      </c>
      <c r="J7909">
        <v>-180.69919999999999</v>
      </c>
      <c r="K7909">
        <v>1.1050869999999999</v>
      </c>
      <c r="L7909">
        <v>132.37190000000001</v>
      </c>
      <c r="M7909">
        <v>0.67046309999999998</v>
      </c>
      <c r="N7909">
        <v>-1.4537410000000001E-2</v>
      </c>
      <c r="O7909">
        <v>0.74180040000000003</v>
      </c>
      <c r="P7909">
        <v>0.84537050000000002</v>
      </c>
      <c r="Q7909">
        <v>0.3763879</v>
      </c>
      <c r="R7909">
        <v>0.37905240000000001</v>
      </c>
      <c r="S7909">
        <v>3.3197779999999999</v>
      </c>
      <c r="T7909">
        <v>-0.51090879999999905</v>
      </c>
      <c r="U7909">
        <v>1.0266420000000001</v>
      </c>
      <c r="V7909">
        <v>0.37878410000000001</v>
      </c>
      <c r="W7909">
        <v>0.38303710000000002</v>
      </c>
      <c r="X7909">
        <v>0.84249929999999995</v>
      </c>
      <c r="Y7909">
        <v>0.50048230000000005</v>
      </c>
      <c r="Z7909">
        <v>-0.126503</v>
      </c>
      <c r="AA7909">
        <v>0.85645459999999995</v>
      </c>
      <c r="AB7909">
        <v>19</v>
      </c>
      <c r="AC7909">
        <v>7.0937999999999803</v>
      </c>
      <c r="AD7909">
        <v>-1.1050902773269999</v>
      </c>
      <c r="AE7909">
        <v>2.1345999999999701</v>
      </c>
      <c r="AF7909">
        <v>3.7480127336181299</v>
      </c>
      <c r="AG7909">
        <v>-1.1050902773269999</v>
      </c>
      <c r="AH7909">
        <v>6.2022288091465398</v>
      </c>
      <c r="AI7909">
        <v>98.670511056282507</v>
      </c>
      <c r="AJ7909">
        <v>58.855391624754802</v>
      </c>
      <c r="AK7909">
        <v>7.3305160918869596</v>
      </c>
      <c r="AL7909">
        <v>67.478063662264006</v>
      </c>
      <c r="AM7909">
        <v>65.791519246938094</v>
      </c>
      <c r="AN7909">
        <v>0.99999994244485302</v>
      </c>
    </row>
    <row r="7910" spans="1:40" x14ac:dyDescent="0.25">
      <c r="A7910" t="str">
        <f>"20190304165037947"</f>
        <v>20190304165037947</v>
      </c>
      <c r="B7910" t="str">
        <f>"1551689437933393"</f>
        <v>1551689437933393</v>
      </c>
      <c r="C7910" t="s">
        <v>40</v>
      </c>
      <c r="D7910">
        <v>5.0219399999999998</v>
      </c>
      <c r="E7910">
        <v>0.58130190000000004</v>
      </c>
      <c r="F7910" t="s">
        <v>48</v>
      </c>
      <c r="G7910">
        <v>-173.50579999999999</v>
      </c>
      <c r="H7910" s="1">
        <v>-3.2472029999999999E-6</v>
      </c>
      <c r="I7910">
        <v>134.5436</v>
      </c>
      <c r="J7910">
        <v>-180.62719999999999</v>
      </c>
      <c r="K7910">
        <v>1.1050530000000001</v>
      </c>
      <c r="L7910">
        <v>132.44149999999999</v>
      </c>
      <c r="M7910">
        <v>0.67476650000000005</v>
      </c>
      <c r="N7910">
        <v>-1.455263E-2</v>
      </c>
      <c r="O7910">
        <v>0.73788769999999904</v>
      </c>
      <c r="P7910">
        <v>0.84747669999999997</v>
      </c>
      <c r="Q7910">
        <v>0.37636740000000002</v>
      </c>
      <c r="R7910">
        <v>0.37434089999999998</v>
      </c>
      <c r="S7910">
        <v>3.3260040000000002</v>
      </c>
      <c r="T7910">
        <v>-0.51095869999999999</v>
      </c>
      <c r="U7910">
        <v>1.0041199999999999</v>
      </c>
      <c r="V7910">
        <v>0.37861139999999999</v>
      </c>
      <c r="W7910">
        <v>0.38300139999999999</v>
      </c>
      <c r="X7910">
        <v>0.84259319999999904</v>
      </c>
      <c r="Y7910">
        <v>0.50123469999999903</v>
      </c>
      <c r="Z7910">
        <v>-0.12625819999999999</v>
      </c>
      <c r="AA7910">
        <v>0.85605069999999905</v>
      </c>
      <c r="AB7910">
        <v>19</v>
      </c>
      <c r="AC7910">
        <v>7.1213999999999897</v>
      </c>
      <c r="AD7910">
        <v>-1.1050562472030001</v>
      </c>
      <c r="AE7910">
        <v>2.1021000000000001</v>
      </c>
      <c r="AF7910">
        <v>3.75363379092608</v>
      </c>
      <c r="AG7910">
        <v>-1.1050562472030001</v>
      </c>
      <c r="AH7910">
        <v>6.2193172838990796</v>
      </c>
      <c r="AI7910">
        <v>98.6496376599097</v>
      </c>
      <c r="AJ7910">
        <v>58.887156236718099</v>
      </c>
      <c r="AK7910">
        <v>7.3478448148875799</v>
      </c>
      <c r="AL7910">
        <v>67.480278940282403</v>
      </c>
      <c r="AM7910">
        <v>65.803677277616501</v>
      </c>
      <c r="AN7910">
        <v>0.99999998264907897</v>
      </c>
    </row>
    <row r="7911" spans="1:40" x14ac:dyDescent="0.25">
      <c r="A7911" t="str">
        <f>"20190304165037957"</f>
        <v>20190304165037957</v>
      </c>
      <c r="B7911" t="str">
        <f>"1551689437943153"</f>
        <v>1551689437943153</v>
      </c>
      <c r="C7911" t="s">
        <v>40</v>
      </c>
      <c r="D7911">
        <v>5.1392360000000004</v>
      </c>
      <c r="E7911">
        <v>0.58121060000000002</v>
      </c>
      <c r="F7911" t="s">
        <v>48</v>
      </c>
      <c r="G7911">
        <v>-173.40469999999999</v>
      </c>
      <c r="H7911" s="1">
        <v>-3.215065E-6</v>
      </c>
      <c r="I7911">
        <v>134.577</v>
      </c>
      <c r="J7911">
        <v>-180.55789999999999</v>
      </c>
      <c r="K7911">
        <v>1.105024</v>
      </c>
      <c r="L7911">
        <v>132.50810000000001</v>
      </c>
      <c r="M7911">
        <v>0.67888609999999905</v>
      </c>
      <c r="N7911">
        <v>-1.4566900000000001E-2</v>
      </c>
      <c r="O7911">
        <v>0.7340991</v>
      </c>
      <c r="P7911">
        <v>0.84923090000000001</v>
      </c>
      <c r="Q7911">
        <v>0.37664890000000001</v>
      </c>
      <c r="R7911">
        <v>0.3700579</v>
      </c>
      <c r="S7911">
        <v>3.331207</v>
      </c>
      <c r="T7911">
        <v>-0.50968170000000002</v>
      </c>
      <c r="U7911">
        <v>0.98497009999999996</v>
      </c>
      <c r="V7911">
        <v>0.37808979999999998</v>
      </c>
      <c r="W7911">
        <v>0.38327410000000001</v>
      </c>
      <c r="X7911">
        <v>0.84270339999999999</v>
      </c>
      <c r="Y7911">
        <v>0.50137010000000004</v>
      </c>
      <c r="Z7911">
        <v>-0.12563199999999999</v>
      </c>
      <c r="AA7911">
        <v>0.85606340000000003</v>
      </c>
      <c r="AB7911">
        <v>19</v>
      </c>
      <c r="AC7911">
        <v>7.1531999999999902</v>
      </c>
      <c r="AD7911">
        <v>-1.105027215065</v>
      </c>
      <c r="AE7911">
        <v>2.0688999999999802</v>
      </c>
      <c r="AF7911">
        <v>3.7641251007266998</v>
      </c>
      <c r="AG7911">
        <v>-1.105027215065</v>
      </c>
      <c r="AH7911">
        <v>6.2382831052558103</v>
      </c>
      <c r="AI7911">
        <v>98.624089028050193</v>
      </c>
      <c r="AJ7911">
        <v>58.893588669560302</v>
      </c>
      <c r="AK7911">
        <v>7.3692536271508002</v>
      </c>
      <c r="AL7911">
        <v>67.463363444498995</v>
      </c>
      <c r="AM7911">
        <v>65.835992887663593</v>
      </c>
      <c r="AN7911">
        <v>0.99999997648320404</v>
      </c>
    </row>
    <row r="7912" spans="1:40" x14ac:dyDescent="0.25">
      <c r="A7912" t="str">
        <f>"20190304165037970"</f>
        <v>20190304165037970</v>
      </c>
      <c r="B7912" t="str">
        <f>"1551689437963648"</f>
        <v>1551689437963648</v>
      </c>
      <c r="C7912" t="s">
        <v>40</v>
      </c>
      <c r="D7912">
        <v>5.1557339999999998</v>
      </c>
      <c r="E7912">
        <v>0.58098640000000001</v>
      </c>
      <c r="F7912" t="s">
        <v>48</v>
      </c>
      <c r="G7912">
        <v>-173.29329999999999</v>
      </c>
      <c r="H7912" s="1">
        <v>-3.179913E-6</v>
      </c>
      <c r="I7912">
        <v>134.6146</v>
      </c>
      <c r="J7912">
        <v>-180.47380000000001</v>
      </c>
      <c r="K7912">
        <v>1.1049850000000001</v>
      </c>
      <c r="L7912">
        <v>132.58760000000001</v>
      </c>
      <c r="M7912">
        <v>0.68386659999999999</v>
      </c>
      <c r="N7912">
        <v>-1.4584120000000001E-2</v>
      </c>
      <c r="O7912">
        <v>0.72946129999999998</v>
      </c>
      <c r="P7912">
        <v>0.85139909999999996</v>
      </c>
      <c r="Q7912">
        <v>0.37700869999999997</v>
      </c>
      <c r="R7912">
        <v>0.3646701</v>
      </c>
      <c r="S7912">
        <v>3.3361209999999999</v>
      </c>
      <c r="T7912">
        <v>-0.50745810000000002</v>
      </c>
      <c r="U7912">
        <v>0.96737669999999998</v>
      </c>
      <c r="V7912">
        <v>0.37761600000000001</v>
      </c>
      <c r="W7912">
        <v>0.38362160000000001</v>
      </c>
      <c r="X7912">
        <v>0.8427578</v>
      </c>
      <c r="Y7912">
        <v>0.50013479999999999</v>
      </c>
      <c r="Z7912">
        <v>-0.12458470000000001</v>
      </c>
      <c r="AA7912">
        <v>0.85693869999999905</v>
      </c>
      <c r="AB7912">
        <v>19</v>
      </c>
      <c r="AC7912">
        <v>7.1805000000000199</v>
      </c>
      <c r="AD7912">
        <v>-1.1049881799129999</v>
      </c>
      <c r="AE7912">
        <v>2.0269999999999802</v>
      </c>
      <c r="AF7912">
        <v>3.7694322241243201</v>
      </c>
      <c r="AG7912">
        <v>-1.1049881799129999</v>
      </c>
      <c r="AH7912">
        <v>6.2526592419522702</v>
      </c>
      <c r="AI7912">
        <v>98.606277043652398</v>
      </c>
      <c r="AJ7912">
        <v>58.916214493163899</v>
      </c>
      <c r="AK7912">
        <v>7.3841293167160504</v>
      </c>
      <c r="AL7912">
        <v>67.441806881328802</v>
      </c>
      <c r="AM7912">
        <v>65.864194559453907</v>
      </c>
      <c r="AN7912">
        <v>1.0000000424516899</v>
      </c>
    </row>
    <row r="7913" spans="1:40" x14ac:dyDescent="0.25">
      <c r="A7913" t="str">
        <f>"20190304165037981"</f>
        <v>20190304165037981</v>
      </c>
      <c r="B7913" t="str">
        <f>"1551689437973409"</f>
        <v>1551689437973409</v>
      </c>
      <c r="C7913" t="s">
        <v>40</v>
      </c>
      <c r="D7913">
        <v>5.1528660000000004</v>
      </c>
      <c r="E7913">
        <v>0.58087869999999997</v>
      </c>
      <c r="F7913" t="s">
        <v>48</v>
      </c>
      <c r="G7913">
        <v>-173.15770000000001</v>
      </c>
      <c r="H7913" s="1">
        <v>-3.136801E-6</v>
      </c>
      <c r="I7913">
        <v>134.65950000000001</v>
      </c>
      <c r="J7913">
        <v>-180.40600000000001</v>
      </c>
      <c r="K7913">
        <v>1.104959</v>
      </c>
      <c r="L7913">
        <v>132.6508</v>
      </c>
      <c r="M7913">
        <v>0.68786080000000005</v>
      </c>
      <c r="N7913">
        <v>-1.459769E-2</v>
      </c>
      <c r="O7913">
        <v>0.7256958</v>
      </c>
      <c r="P7913">
        <v>0.8532071</v>
      </c>
      <c r="Q7913">
        <v>0.37723709999999999</v>
      </c>
      <c r="R7913">
        <v>0.36018060000000002</v>
      </c>
      <c r="S7913">
        <v>3.3417659999999998</v>
      </c>
      <c r="T7913">
        <v>-0.50472249999999996</v>
      </c>
      <c r="U7913">
        <v>0.94638060000000002</v>
      </c>
      <c r="V7913">
        <v>0.37738500000000003</v>
      </c>
      <c r="W7913">
        <v>0.38383869999999998</v>
      </c>
      <c r="X7913">
        <v>0.84276240000000002</v>
      </c>
      <c r="Y7913">
        <v>0.50088849999999996</v>
      </c>
      <c r="Z7913">
        <v>-0.12362239999999999</v>
      </c>
      <c r="AA7913">
        <v>0.85663769999999995</v>
      </c>
      <c r="AB7913">
        <v>19</v>
      </c>
      <c r="AC7913">
        <v>7.2482999999999702</v>
      </c>
      <c r="AD7913">
        <v>-1.1049621368009901</v>
      </c>
      <c r="AE7913">
        <v>2.0087000000000002</v>
      </c>
      <c r="AF7913">
        <v>3.79682589499672</v>
      </c>
      <c r="AG7913">
        <v>-1.1049621368009901</v>
      </c>
      <c r="AH7913">
        <v>6.3080737531353499</v>
      </c>
      <c r="AI7913">
        <v>98.535135269265695</v>
      </c>
      <c r="AJ7913">
        <v>58.956289635973299</v>
      </c>
      <c r="AK7913">
        <v>7.4450401392925096</v>
      </c>
      <c r="AL7913">
        <v>67.428336336100898</v>
      </c>
      <c r="AM7913">
        <v>65.877391489493206</v>
      </c>
      <c r="AN7913">
        <v>1.0000000243482201</v>
      </c>
    </row>
    <row r="7914" spans="1:40" x14ac:dyDescent="0.25">
      <c r="A7914" t="str">
        <f>"20190304165037990"</f>
        <v>20190304165037990</v>
      </c>
      <c r="B7914" t="str">
        <f>"1551689437983169"</f>
        <v>1551689437983169</v>
      </c>
      <c r="C7914" t="s">
        <v>40</v>
      </c>
      <c r="D7914">
        <v>5.161861</v>
      </c>
      <c r="E7914">
        <v>0.58076280000000002</v>
      </c>
      <c r="F7914" t="s">
        <v>48</v>
      </c>
      <c r="G7914">
        <v>-173.0523</v>
      </c>
      <c r="H7914" s="1">
        <v>-3.1014870000000001E-6</v>
      </c>
      <c r="I7914">
        <v>134.68960000000001</v>
      </c>
      <c r="J7914">
        <v>-180.33629999999999</v>
      </c>
      <c r="K7914">
        <v>1.1049359999999999</v>
      </c>
      <c r="L7914">
        <v>132.71520000000001</v>
      </c>
      <c r="M7914">
        <v>0.69194469999999997</v>
      </c>
      <c r="N7914">
        <v>-1.461135E-2</v>
      </c>
      <c r="O7914">
        <v>0.72180269999999902</v>
      </c>
      <c r="P7914">
        <v>0.85493209999999997</v>
      </c>
      <c r="Q7914">
        <v>0.37800509999999998</v>
      </c>
      <c r="R7914">
        <v>0.35525079999999998</v>
      </c>
      <c r="S7914">
        <v>3.3467709999999999</v>
      </c>
      <c r="T7914">
        <v>-0.502884</v>
      </c>
      <c r="U7914">
        <v>0.92785640000000003</v>
      </c>
      <c r="V7914">
        <v>0.37728879999999998</v>
      </c>
      <c r="W7914">
        <v>0.3845884</v>
      </c>
      <c r="X7914">
        <v>0.84246359999999998</v>
      </c>
      <c r="Y7914">
        <v>0.50085400000000002</v>
      </c>
      <c r="Z7914">
        <v>-0.1228211</v>
      </c>
      <c r="AA7914">
        <v>0.85677309999999995</v>
      </c>
      <c r="AB7914">
        <v>19</v>
      </c>
      <c r="AC7914">
        <v>7.28399999999999</v>
      </c>
      <c r="AD7914">
        <v>-1.104939101487</v>
      </c>
      <c r="AE7914">
        <v>1.9743999999999999</v>
      </c>
      <c r="AF7914">
        <v>3.8101752753076101</v>
      </c>
      <c r="AG7914">
        <v>-1.104939101487</v>
      </c>
      <c r="AH7914">
        <v>6.3302466641484401</v>
      </c>
      <c r="AI7914">
        <v>98.505500577174999</v>
      </c>
      <c r="AJ7914">
        <v>58.956266261003698</v>
      </c>
      <c r="AK7914">
        <v>7.4706324280828298</v>
      </c>
      <c r="AL7914">
        <v>67.381809908948</v>
      </c>
      <c r="AM7914">
        <v>65.875261406176804</v>
      </c>
      <c r="AN7914">
        <v>0.99999999667247996</v>
      </c>
    </row>
    <row r="7915" spans="1:40" x14ac:dyDescent="0.25">
      <c r="A7915" t="str">
        <f>"20190304165038002"</f>
        <v>20190304165038002</v>
      </c>
      <c r="B7915" t="str">
        <f>"1551689437992928"</f>
        <v>1551689437992928</v>
      </c>
      <c r="C7915" t="s">
        <v>40</v>
      </c>
      <c r="D7915">
        <v>5.0471240000000002</v>
      </c>
      <c r="E7915">
        <v>0.58068109999999995</v>
      </c>
      <c r="F7915" t="s">
        <v>48</v>
      </c>
      <c r="G7915">
        <v>-172.91980000000001</v>
      </c>
      <c r="H7915" s="1">
        <v>-3.0565910000000001E-6</v>
      </c>
      <c r="I7915">
        <v>134.7261</v>
      </c>
      <c r="J7915">
        <v>-180.2679</v>
      </c>
      <c r="K7915">
        <v>1.1049119999999999</v>
      </c>
      <c r="L7915">
        <v>132.7774</v>
      </c>
      <c r="M7915">
        <v>0.69593700000000003</v>
      </c>
      <c r="N7915">
        <v>-1.462477E-2</v>
      </c>
      <c r="O7915">
        <v>0.71795390000000003</v>
      </c>
      <c r="P7915">
        <v>0.85672939999999997</v>
      </c>
      <c r="Q7915">
        <v>0.37855630000000001</v>
      </c>
      <c r="R7915">
        <v>0.35029969999999999</v>
      </c>
      <c r="S7915">
        <v>3.3521730000000001</v>
      </c>
      <c r="T7915">
        <v>-0.49941750000000001</v>
      </c>
      <c r="U7915">
        <v>0.90892030000000001</v>
      </c>
      <c r="V7915">
        <v>0.37735190000000002</v>
      </c>
      <c r="W7915">
        <v>0.38512000000000002</v>
      </c>
      <c r="X7915">
        <v>0.84219239999999995</v>
      </c>
      <c r="Y7915">
        <v>0.50109269999999995</v>
      </c>
      <c r="Z7915">
        <v>-0.1216124</v>
      </c>
      <c r="AA7915">
        <v>0.85680599999999996</v>
      </c>
      <c r="AB7915">
        <v>19</v>
      </c>
      <c r="AC7915">
        <v>7.3480999999999801</v>
      </c>
      <c r="AD7915">
        <v>-1.104915056591</v>
      </c>
      <c r="AE7915">
        <v>1.9487000000000001</v>
      </c>
      <c r="AF7915">
        <v>3.8387514756518102</v>
      </c>
      <c r="AG7915">
        <v>-1.104915056591</v>
      </c>
      <c r="AH7915">
        <v>6.3788372082646703</v>
      </c>
      <c r="AI7915">
        <v>98.441852618460203</v>
      </c>
      <c r="AJ7915">
        <v>58.960687031918198</v>
      </c>
      <c r="AK7915">
        <v>7.5263812223167603</v>
      </c>
      <c r="AL7915">
        <v>67.348808707083094</v>
      </c>
      <c r="AM7915">
        <v>65.864804201335204</v>
      </c>
      <c r="AN7915">
        <v>0.99999995472568404</v>
      </c>
    </row>
    <row r="7916" spans="1:40" x14ac:dyDescent="0.25">
      <c r="A7916" t="str">
        <f>"20190304165038012"</f>
        <v>20190304165038012</v>
      </c>
      <c r="B7916" t="str">
        <f>"1551689438003664"</f>
        <v>1551689438003664</v>
      </c>
      <c r="C7916" t="s">
        <v>40</v>
      </c>
      <c r="D7916">
        <v>5.0592189999999997</v>
      </c>
      <c r="E7916">
        <v>0.5806</v>
      </c>
      <c r="F7916" t="s">
        <v>48</v>
      </c>
      <c r="G7916">
        <v>-172.79769999999999</v>
      </c>
      <c r="H7916" s="1">
        <v>-3.0143250000000001E-6</v>
      </c>
      <c r="I7916">
        <v>134.75739999999999</v>
      </c>
      <c r="J7916">
        <v>-180.19579999999999</v>
      </c>
      <c r="K7916">
        <v>1.104886</v>
      </c>
      <c r="L7916">
        <v>132.8425</v>
      </c>
      <c r="M7916">
        <v>0.70012509999999994</v>
      </c>
      <c r="N7916">
        <v>-1.4638709999999999E-2</v>
      </c>
      <c r="O7916">
        <v>0.71387019999999901</v>
      </c>
      <c r="P7916">
        <v>0.85872269999999995</v>
      </c>
      <c r="Q7916">
        <v>0.37922129999999998</v>
      </c>
      <c r="R7916">
        <v>0.34465410000000002</v>
      </c>
      <c r="S7916">
        <v>3.3572540000000002</v>
      </c>
      <c r="T7916">
        <v>-0.49657020000000002</v>
      </c>
      <c r="U7916">
        <v>0.88986209999999899</v>
      </c>
      <c r="V7916">
        <v>0.3778009</v>
      </c>
      <c r="W7916">
        <v>0.38575540000000003</v>
      </c>
      <c r="X7916">
        <v>0.84170029999999996</v>
      </c>
      <c r="Y7916">
        <v>0.50105429999999995</v>
      </c>
      <c r="Z7916">
        <v>-0.12053460000000001</v>
      </c>
      <c r="AA7916">
        <v>0.85698069999999904</v>
      </c>
      <c r="AB7916">
        <v>19</v>
      </c>
      <c r="AC7916">
        <v>7.3980999999999897</v>
      </c>
      <c r="AD7916">
        <v>-1.1048890143250001</v>
      </c>
      <c r="AE7916">
        <v>1.9148999999999801</v>
      </c>
      <c r="AF7916">
        <v>3.8603382885269601</v>
      </c>
      <c r="AG7916">
        <v>-1.1048890143250001</v>
      </c>
      <c r="AH7916">
        <v>6.4132233179906404</v>
      </c>
      <c r="AI7916">
        <v>98.396532030462197</v>
      </c>
      <c r="AJ7916">
        <v>58.954827644497797</v>
      </c>
      <c r="AK7916">
        <v>7.5665332063146504</v>
      </c>
      <c r="AL7916">
        <v>67.309357296567995</v>
      </c>
      <c r="AM7916">
        <v>65.826861773735203</v>
      </c>
      <c r="AN7916">
        <v>1.0000000718450199</v>
      </c>
    </row>
    <row r="7917" spans="1:40" x14ac:dyDescent="0.25">
      <c r="A7917" t="str">
        <f>"20190304165038025"</f>
        <v>20190304165038025</v>
      </c>
      <c r="B7917" t="str">
        <f>"1551689438013425"</f>
        <v>1551689438013425</v>
      </c>
      <c r="C7917" t="s">
        <v>40</v>
      </c>
      <c r="D7917">
        <v>5.0269659999999998</v>
      </c>
      <c r="E7917">
        <v>0.58050380000000001</v>
      </c>
      <c r="F7917" t="s">
        <v>48</v>
      </c>
      <c r="G7917">
        <v>-172.67019999999999</v>
      </c>
      <c r="H7917" s="1">
        <v>-2.9690170000000001E-6</v>
      </c>
      <c r="I7917">
        <v>134.78700000000001</v>
      </c>
      <c r="J7917">
        <v>-180.12119999999999</v>
      </c>
      <c r="K7917">
        <v>1.10486</v>
      </c>
      <c r="L7917">
        <v>132.9085</v>
      </c>
      <c r="M7917">
        <v>0.70444300000000004</v>
      </c>
      <c r="N7917">
        <v>-1.4653650000000001E-2</v>
      </c>
      <c r="O7917">
        <v>0.7096093</v>
      </c>
      <c r="P7917">
        <v>0.86079819999999996</v>
      </c>
      <c r="Q7917">
        <v>0.37990190000000001</v>
      </c>
      <c r="R7917">
        <v>0.33867599999999998</v>
      </c>
      <c r="S7917">
        <v>3.3628390000000001</v>
      </c>
      <c r="T7917">
        <v>-0.49372159999999898</v>
      </c>
      <c r="U7917">
        <v>0.86891169999999995</v>
      </c>
      <c r="V7917">
        <v>0.37837789999999999</v>
      </c>
      <c r="W7917">
        <v>0.38640289999999999</v>
      </c>
      <c r="X7917">
        <v>0.8411438</v>
      </c>
      <c r="Y7917">
        <v>0.50131139999999996</v>
      </c>
      <c r="Z7917">
        <v>-0.11945939999999999</v>
      </c>
      <c r="AA7917">
        <v>0.85698099999999999</v>
      </c>
      <c r="AB7917">
        <v>19</v>
      </c>
      <c r="AC7917">
        <v>7.4509999999999899</v>
      </c>
      <c r="AD7917">
        <v>-1.104862969017</v>
      </c>
      <c r="AE7917">
        <v>1.8785000000000001</v>
      </c>
      <c r="AF7917">
        <v>3.8841277496299802</v>
      </c>
      <c r="AG7917">
        <v>-1.104862969017</v>
      </c>
      <c r="AH7917">
        <v>6.4491819529046301</v>
      </c>
      <c r="AI7917">
        <v>98.348973711789995</v>
      </c>
      <c r="AJ7917">
        <v>58.940843170569899</v>
      </c>
      <c r="AK7917">
        <v>7.6091470229863196</v>
      </c>
      <c r="AL7917">
        <v>67.269137483401195</v>
      </c>
      <c r="AM7917">
        <v>65.780004858206297</v>
      </c>
      <c r="AN7917">
        <v>0.99999996430762905</v>
      </c>
    </row>
    <row r="7918" spans="1:40" x14ac:dyDescent="0.25">
      <c r="A7918" t="str">
        <f>"20190304165038036"</f>
        <v>20190304165038036</v>
      </c>
      <c r="B7918" t="str">
        <f>"1551689438023184"</f>
        <v>1551689438023184</v>
      </c>
      <c r="C7918" t="s">
        <v>40</v>
      </c>
      <c r="D7918">
        <v>5.0066550000000003</v>
      </c>
      <c r="E7918">
        <v>0.5804298</v>
      </c>
      <c r="F7918" t="s">
        <v>48</v>
      </c>
      <c r="G7918">
        <v>-172.53479999999999</v>
      </c>
      <c r="H7918" s="1">
        <v>-2.9194820000000001E-6</v>
      </c>
      <c r="I7918">
        <v>134.81460000000001</v>
      </c>
      <c r="J7918">
        <v>-180.04570000000001</v>
      </c>
      <c r="K7918">
        <v>1.104833</v>
      </c>
      <c r="L7918">
        <v>132.97499999999999</v>
      </c>
      <c r="M7918">
        <v>0.70878580000000002</v>
      </c>
      <c r="N7918">
        <v>-1.4668580000000001E-2</v>
      </c>
      <c r="O7918">
        <v>0.70527119999999999</v>
      </c>
      <c r="P7918">
        <v>0.86292979999999997</v>
      </c>
      <c r="Q7918">
        <v>0.38043500000000002</v>
      </c>
      <c r="R7918">
        <v>0.33259809999999901</v>
      </c>
      <c r="S7918">
        <v>3.3686370000000001</v>
      </c>
      <c r="T7918">
        <v>-0.4906008</v>
      </c>
      <c r="U7918">
        <v>0.84638979999999997</v>
      </c>
      <c r="V7918">
        <v>0.37902330000000001</v>
      </c>
      <c r="W7918">
        <v>0.38690200000000002</v>
      </c>
      <c r="X7918">
        <v>0.84062369999999897</v>
      </c>
      <c r="Y7918">
        <v>0.50190270000000003</v>
      </c>
      <c r="Z7918">
        <v>-0.1183361</v>
      </c>
      <c r="AA7918">
        <v>0.85679069999999902</v>
      </c>
      <c r="AB7918">
        <v>19</v>
      </c>
      <c r="AC7918">
        <v>7.5109000000000199</v>
      </c>
      <c r="AD7918">
        <v>-1.1048359194820001</v>
      </c>
      <c r="AE7918">
        <v>1.8396000000000099</v>
      </c>
      <c r="AF7918">
        <v>3.9138742639965498</v>
      </c>
      <c r="AG7918">
        <v>-1.1048359194820001</v>
      </c>
      <c r="AH7918">
        <v>6.4892818785535296</v>
      </c>
      <c r="AI7918">
        <v>98.294783522082199</v>
      </c>
      <c r="AJ7918">
        <v>58.904601874026199</v>
      </c>
      <c r="AK7918">
        <v>7.65831923222553</v>
      </c>
      <c r="AL7918">
        <v>67.238130683350207</v>
      </c>
      <c r="AM7918">
        <v>65.730175460278105</v>
      </c>
      <c r="AN7918">
        <v>1.00000001227428</v>
      </c>
    </row>
    <row r="7919" spans="1:40" x14ac:dyDescent="0.25">
      <c r="A7919" t="str">
        <f>"20190304165038046"</f>
        <v>20190304165038046</v>
      </c>
      <c r="B7919" t="str">
        <f>"1551689438032945"</f>
        <v>1551689438032945</v>
      </c>
      <c r="C7919" t="s">
        <v>40</v>
      </c>
      <c r="D7919">
        <v>4.9855349999999996</v>
      </c>
      <c r="E7919">
        <v>0.58034629999999998</v>
      </c>
      <c r="F7919" t="s">
        <v>48</v>
      </c>
      <c r="G7919">
        <v>-172.40479999999999</v>
      </c>
      <c r="H7919" s="1">
        <v>-2.8713189999999998E-6</v>
      </c>
      <c r="I7919">
        <v>134.83969999999999</v>
      </c>
      <c r="J7919">
        <v>-179.97329999999999</v>
      </c>
      <c r="K7919">
        <v>1.104808</v>
      </c>
      <c r="L7919">
        <v>133.03739999999999</v>
      </c>
      <c r="M7919">
        <v>0.7129394</v>
      </c>
      <c r="N7919">
        <v>-1.468361E-2</v>
      </c>
      <c r="O7919">
        <v>0.70107189999999997</v>
      </c>
      <c r="P7919">
        <v>0.86475569999999902</v>
      </c>
      <c r="Q7919">
        <v>0.38110319999999998</v>
      </c>
      <c r="R7919">
        <v>0.32704440000000001</v>
      </c>
      <c r="S7919">
        <v>3.3742369999999999</v>
      </c>
      <c r="T7919">
        <v>-0.48789139999999998</v>
      </c>
      <c r="U7919">
        <v>0.82347109999999901</v>
      </c>
      <c r="V7919">
        <v>0.3792973</v>
      </c>
      <c r="W7919">
        <v>0.38754430000000001</v>
      </c>
      <c r="X7919">
        <v>0.84020409999999901</v>
      </c>
      <c r="Y7919">
        <v>0.50275609999999904</v>
      </c>
      <c r="Z7919">
        <v>-0.11735420000000001</v>
      </c>
      <c r="AA7919">
        <v>0.85642529999999994</v>
      </c>
      <c r="AB7919">
        <v>19</v>
      </c>
      <c r="AC7919">
        <v>7.5685000000000002</v>
      </c>
      <c r="AD7919">
        <v>-1.1048108713189999</v>
      </c>
      <c r="AE7919">
        <v>1.8023</v>
      </c>
      <c r="AF7919">
        <v>3.9420729965700598</v>
      </c>
      <c r="AG7919">
        <v>-1.1048108713189999</v>
      </c>
      <c r="AH7919">
        <v>6.52849359615512</v>
      </c>
      <c r="AI7919">
        <v>98.242959462503705</v>
      </c>
      <c r="AJ7919">
        <v>58.875336570454003</v>
      </c>
      <c r="AK7919">
        <v>7.7059571246348098</v>
      </c>
      <c r="AL7919">
        <v>67.198214848458804</v>
      </c>
      <c r="AM7919">
        <v>65.703931129869403</v>
      </c>
      <c r="AN7919">
        <v>0.99999997795329398</v>
      </c>
    </row>
    <row r="7920" spans="1:40" x14ac:dyDescent="0.25">
      <c r="A7920" t="str">
        <f>"20190304165038059"</f>
        <v>20190304165038059</v>
      </c>
      <c r="B7920" t="str">
        <f>"1551689438053441"</f>
        <v>1551689438053441</v>
      </c>
      <c r="C7920" t="s">
        <v>40</v>
      </c>
      <c r="D7920">
        <v>5.0337399999999999</v>
      </c>
      <c r="E7920">
        <v>0.58016599999999996</v>
      </c>
      <c r="F7920" t="s">
        <v>48</v>
      </c>
      <c r="G7920">
        <v>-172.26429999999999</v>
      </c>
      <c r="H7920" s="1">
        <v>-2.8106639999999999E-6</v>
      </c>
      <c r="I7920">
        <v>134.86680000000001</v>
      </c>
      <c r="J7920">
        <v>-179.89830000000001</v>
      </c>
      <c r="K7920">
        <v>1.104786</v>
      </c>
      <c r="L7920">
        <v>133.10159999999999</v>
      </c>
      <c r="M7920">
        <v>0.71721020000000002</v>
      </c>
      <c r="N7920">
        <v>-1.469878E-2</v>
      </c>
      <c r="O7920">
        <v>0.69670180000000004</v>
      </c>
      <c r="P7920">
        <v>0.86647879999999999</v>
      </c>
      <c r="Q7920">
        <v>0.38180049999999999</v>
      </c>
      <c r="R7920">
        <v>0.32162590000000002</v>
      </c>
      <c r="S7920">
        <v>3.3793329999999999</v>
      </c>
      <c r="T7920">
        <v>-0.4843113</v>
      </c>
      <c r="U7920">
        <v>0.80192569999999996</v>
      </c>
      <c r="V7920">
        <v>0.37924849999999999</v>
      </c>
      <c r="W7920">
        <v>0.3882234</v>
      </c>
      <c r="X7920">
        <v>0.83991269999999996</v>
      </c>
      <c r="Y7920">
        <v>0.50311539999999999</v>
      </c>
      <c r="Z7920">
        <v>-0.1161074</v>
      </c>
      <c r="AA7920">
        <v>0.85638419999999904</v>
      </c>
      <c r="AB7920">
        <v>19</v>
      </c>
      <c r="AC7920">
        <v>7.6340000000000101</v>
      </c>
      <c r="AD7920">
        <v>-1.104788810664</v>
      </c>
      <c r="AE7920">
        <v>1.7652000000000201</v>
      </c>
      <c r="AF7920">
        <v>3.9740332358821999</v>
      </c>
      <c r="AG7920">
        <v>-1.104788810664</v>
      </c>
      <c r="AH7920">
        <v>6.5750090764432398</v>
      </c>
      <c r="AI7920">
        <v>98.183170901429605</v>
      </c>
      <c r="AJ7920">
        <v>58.850610652066699</v>
      </c>
      <c r="AK7920">
        <v>7.7617164874385702</v>
      </c>
      <c r="AL7920">
        <v>67.156002890431694</v>
      </c>
      <c r="AM7920">
        <v>65.699242149415895</v>
      </c>
      <c r="AN7920">
        <v>1.00000008834054</v>
      </c>
    </row>
    <row r="7921" spans="1:40" x14ac:dyDescent="0.25">
      <c r="A7921" t="str">
        <f>"20190304165038070"</f>
        <v>20190304165038070</v>
      </c>
      <c r="B7921" t="str">
        <f>"1551689438063201"</f>
        <v>1551689438063201</v>
      </c>
      <c r="C7921" t="s">
        <v>40</v>
      </c>
      <c r="D7921">
        <v>5.0203930000000003</v>
      </c>
      <c r="E7921">
        <v>0.5801423</v>
      </c>
      <c r="F7921" t="s">
        <v>48</v>
      </c>
      <c r="G7921">
        <v>-172.14089999999999</v>
      </c>
      <c r="H7921" s="1">
        <v>-2.7514629999999999E-6</v>
      </c>
      <c r="I7921">
        <v>134.89189999999999</v>
      </c>
      <c r="J7921">
        <v>-179.81540000000001</v>
      </c>
      <c r="K7921">
        <v>1.1047640000000001</v>
      </c>
      <c r="L7921">
        <v>133.17140000000001</v>
      </c>
      <c r="M7921">
        <v>0.72190509999999997</v>
      </c>
      <c r="N7921">
        <v>-1.471536E-2</v>
      </c>
      <c r="O7921">
        <v>0.6918356</v>
      </c>
      <c r="P7921">
        <v>0.86839469999999996</v>
      </c>
      <c r="Q7921">
        <v>0.38248559999999998</v>
      </c>
      <c r="R7921">
        <v>0.31558779999999997</v>
      </c>
      <c r="S7921">
        <v>3.3847200000000002</v>
      </c>
      <c r="T7921">
        <v>-0.4820468</v>
      </c>
      <c r="U7921">
        <v>0.78115840000000003</v>
      </c>
      <c r="V7921">
        <v>0.37924720000000001</v>
      </c>
      <c r="W7921">
        <v>0.38888990000000001</v>
      </c>
      <c r="X7921">
        <v>0.83960480000000004</v>
      </c>
      <c r="Y7921">
        <v>0.50270360000000003</v>
      </c>
      <c r="Z7921">
        <v>-0.115079399999999</v>
      </c>
      <c r="AA7921">
        <v>0.85676469999999905</v>
      </c>
      <c r="AB7921">
        <v>19</v>
      </c>
      <c r="AC7921">
        <v>7.6745000000000196</v>
      </c>
      <c r="AD7921">
        <v>-1.104766751463</v>
      </c>
      <c r="AE7921">
        <v>1.7204999999999799</v>
      </c>
      <c r="AF7921">
        <v>3.9891851823867599</v>
      </c>
      <c r="AG7921">
        <v>-1.104766751463</v>
      </c>
      <c r="AH7921">
        <v>6.6010486312893697</v>
      </c>
      <c r="AI7921">
        <v>98.151480768518795</v>
      </c>
      <c r="AJ7921">
        <v>58.8543409583109</v>
      </c>
      <c r="AK7921">
        <v>7.7915307242646197</v>
      </c>
      <c r="AL7921">
        <v>67.114556801415006</v>
      </c>
      <c r="AM7921">
        <v>65.691435649976</v>
      </c>
      <c r="AN7921">
        <v>1.0000000066064401</v>
      </c>
    </row>
    <row r="7922" spans="1:40" x14ac:dyDescent="0.25">
      <c r="A7922" t="str">
        <f>"20190304165038080"</f>
        <v>20190304165038080</v>
      </c>
      <c r="B7922" t="str">
        <f>"1551689438072960"</f>
        <v>1551689438072960</v>
      </c>
      <c r="C7922" t="s">
        <v>40</v>
      </c>
      <c r="D7922">
        <v>5.0890690000000003</v>
      </c>
      <c r="E7922">
        <v>0.5801423</v>
      </c>
      <c r="F7922" t="s">
        <v>48</v>
      </c>
      <c r="G7922">
        <v>-171.96</v>
      </c>
      <c r="H7922" s="1">
        <v>-2.6610130000000002E-6</v>
      </c>
      <c r="I7922">
        <v>134.92060000000001</v>
      </c>
      <c r="J7922">
        <v>-179.74469999999999</v>
      </c>
      <c r="K7922">
        <v>1.1047480000000001</v>
      </c>
      <c r="L7922">
        <v>133.22999999999999</v>
      </c>
      <c r="M7922">
        <v>0.72587609999999902</v>
      </c>
      <c r="N7922">
        <v>-1.472886E-2</v>
      </c>
      <c r="O7922">
        <v>0.68766780000000005</v>
      </c>
      <c r="P7922">
        <v>0.86962439999999996</v>
      </c>
      <c r="Q7922">
        <v>0.38388220000000001</v>
      </c>
      <c r="R7922">
        <v>0.31046439999999997</v>
      </c>
      <c r="S7922">
        <v>3.3903050000000001</v>
      </c>
      <c r="T7922">
        <v>-0.47680689999999998</v>
      </c>
      <c r="U7922">
        <v>0.75495909999999999</v>
      </c>
      <c r="V7922">
        <v>0.3789845</v>
      </c>
      <c r="W7922">
        <v>0.39027279999999998</v>
      </c>
      <c r="X7922">
        <v>0.83908159999999898</v>
      </c>
      <c r="Y7922">
        <v>0.50456029999999996</v>
      </c>
      <c r="Z7922">
        <v>-0.113554</v>
      </c>
      <c r="AA7922">
        <v>0.85587639999999998</v>
      </c>
      <c r="AB7922">
        <v>19</v>
      </c>
      <c r="AC7922">
        <v>7.7846999999999804</v>
      </c>
      <c r="AD7922">
        <v>-1.104750661013</v>
      </c>
      <c r="AE7922">
        <v>1.6906000000000101</v>
      </c>
      <c r="AF7922">
        <v>4.0487031367680304</v>
      </c>
      <c r="AG7922">
        <v>-1.104750661013</v>
      </c>
      <c r="AH7922">
        <v>6.6854612032901901</v>
      </c>
      <c r="AI7922">
        <v>98.045324810733703</v>
      </c>
      <c r="AJ7922">
        <v>58.800978726606097</v>
      </c>
      <c r="AK7922">
        <v>7.8935329614427001</v>
      </c>
      <c r="AL7922">
        <v>67.028525622878803</v>
      </c>
      <c r="AM7922">
        <v>65.692931296366794</v>
      </c>
      <c r="AN7922">
        <v>1.00000002055932</v>
      </c>
    </row>
    <row r="7923" spans="1:40" x14ac:dyDescent="0.25">
      <c r="A7923" t="str">
        <f>"20190304165038092"</f>
        <v>20190304165038092</v>
      </c>
      <c r="B7923" t="str">
        <f>"1551689438083696"</f>
        <v>1551689438083696</v>
      </c>
      <c r="C7923" t="s">
        <v>40</v>
      </c>
      <c r="D7923">
        <v>5.1495790000000001</v>
      </c>
      <c r="E7923">
        <v>0.60397709999999905</v>
      </c>
      <c r="F7923" t="s">
        <v>48</v>
      </c>
      <c r="G7923">
        <v>-171.7732</v>
      </c>
      <c r="H7923" s="1">
        <v>-2.5668769999999999E-6</v>
      </c>
      <c r="I7923">
        <v>134.9485</v>
      </c>
      <c r="J7923">
        <v>-179.6671</v>
      </c>
      <c r="K7923">
        <v>1.104732</v>
      </c>
      <c r="L7923">
        <v>133.2938</v>
      </c>
      <c r="M7923">
        <v>0.73021659999999999</v>
      </c>
      <c r="N7923">
        <v>-1.474315E-2</v>
      </c>
      <c r="O7923">
        <v>0.68305660000000001</v>
      </c>
      <c r="P7923">
        <v>0.87089459999999996</v>
      </c>
      <c r="Q7923">
        <v>0.38547949999999997</v>
      </c>
      <c r="R7923">
        <v>0.30487439999999999</v>
      </c>
      <c r="S7923">
        <v>3.3961329999999998</v>
      </c>
      <c r="T7923">
        <v>-0.47065770000000001</v>
      </c>
      <c r="U7923">
        <v>0.7321472</v>
      </c>
      <c r="V7923">
        <v>0.37862489999999999</v>
      </c>
      <c r="W7923">
        <v>0.39185789999999998</v>
      </c>
      <c r="X7923">
        <v>0.83850499999999994</v>
      </c>
      <c r="Y7923">
        <v>0.50517109999999998</v>
      </c>
      <c r="Z7923">
        <v>-0.11164540000000001</v>
      </c>
      <c r="AA7923">
        <v>0.85576719999999895</v>
      </c>
      <c r="AB7923">
        <v>19</v>
      </c>
      <c r="AC7923">
        <v>7.8939000000000004</v>
      </c>
      <c r="AD7923">
        <v>-1.1047345668769999</v>
      </c>
      <c r="AE7923">
        <v>1.6546999999999901</v>
      </c>
      <c r="AF7923">
        <v>4.1070925267291303</v>
      </c>
      <c r="AG7923">
        <v>-1.1047345668769999</v>
      </c>
      <c r="AH7923">
        <v>6.7682800355252004</v>
      </c>
      <c r="AI7923">
        <v>97.943800352061203</v>
      </c>
      <c r="AJ7923">
        <v>58.750003843773499</v>
      </c>
      <c r="AK7923">
        <v>7.9936388538422296</v>
      </c>
      <c r="AL7923">
        <v>66.929847916381902</v>
      </c>
      <c r="AM7923">
        <v>65.698559723272297</v>
      </c>
      <c r="AN7923">
        <v>1.0000000318586999</v>
      </c>
    </row>
    <row r="7924" spans="1:40" x14ac:dyDescent="0.25">
      <c r="A7924" t="str">
        <f>"20190304165038105"</f>
        <v>20190304165038105</v>
      </c>
      <c r="B7924" t="str">
        <f>"1551689438093457"</f>
        <v>1551689438093457</v>
      </c>
      <c r="C7924" t="s">
        <v>40</v>
      </c>
      <c r="D7924">
        <v>5.1957870000000002</v>
      </c>
      <c r="E7924">
        <v>0.60915410000000003</v>
      </c>
      <c r="F7924" t="s">
        <v>60</v>
      </c>
      <c r="G7924">
        <v>0</v>
      </c>
      <c r="H7924">
        <v>0</v>
      </c>
      <c r="I7924">
        <v>0</v>
      </c>
      <c r="J7924">
        <v>-179.58</v>
      </c>
      <c r="K7924">
        <v>1.1047229999999999</v>
      </c>
      <c r="L7924">
        <v>133.364</v>
      </c>
      <c r="M7924">
        <v>0.73504040000000004</v>
      </c>
      <c r="N7924">
        <v>-1.475784E-2</v>
      </c>
      <c r="O7924">
        <v>0.67786279999999999</v>
      </c>
      <c r="P7924">
        <v>0.87215290000000001</v>
      </c>
      <c r="Q7924">
        <v>0.3878354</v>
      </c>
      <c r="R7924">
        <v>0.29821700000000001</v>
      </c>
      <c r="S7924">
        <v>3.2687529999999998</v>
      </c>
      <c r="T7924">
        <v>8.8939190000000001E-2</v>
      </c>
      <c r="U7924">
        <v>0.39016719999999999</v>
      </c>
      <c r="V7924">
        <v>0.37843569999999999</v>
      </c>
      <c r="W7924">
        <v>0.39419579999999999</v>
      </c>
      <c r="X7924">
        <v>0.83749390000000001</v>
      </c>
      <c r="Y7924">
        <v>0.58537079999999997</v>
      </c>
      <c r="Z7924">
        <v>3.1223629999999999E-2</v>
      </c>
      <c r="AA7924">
        <v>0.81016429999999995</v>
      </c>
      <c r="AB7924">
        <v>19</v>
      </c>
      <c r="AC7924">
        <v>3.2687529999999998</v>
      </c>
      <c r="AD7924">
        <v>8.8939190000000001E-2</v>
      </c>
      <c r="AE7924">
        <v>0.39016719999999999</v>
      </c>
      <c r="AF7924">
        <v>1.9277802119966401</v>
      </c>
      <c r="AG7924">
        <v>8.8939190000000001E-2</v>
      </c>
      <c r="AH7924">
        <v>2.6654900147689</v>
      </c>
      <c r="AI7924">
        <v>88.451280264830203</v>
      </c>
      <c r="AJ7924">
        <v>54.124165306610699</v>
      </c>
      <c r="AK7924">
        <v>3.2907573207570899</v>
      </c>
      <c r="AL7924">
        <v>66.784171662396204</v>
      </c>
      <c r="AM7924">
        <v>65.683368375128396</v>
      </c>
      <c r="AN7924">
        <v>0.99999997015466902</v>
      </c>
    </row>
    <row r="7925" spans="1:40" x14ac:dyDescent="0.25">
      <c r="A7925" t="str">
        <f>"20190304165038120"</f>
        <v>20190304165038120</v>
      </c>
      <c r="B7925" t="str">
        <f>"1551689438112977"</f>
        <v>1551689438112977</v>
      </c>
      <c r="C7925" t="s">
        <v>40</v>
      </c>
      <c r="D7925">
        <v>5.2258839999999998</v>
      </c>
      <c r="E7925">
        <v>0.61665550000000002</v>
      </c>
      <c r="F7925" t="s">
        <v>60</v>
      </c>
      <c r="G7925">
        <v>0</v>
      </c>
      <c r="H7925">
        <v>0</v>
      </c>
      <c r="I7925">
        <v>0</v>
      </c>
      <c r="J7925">
        <v>-179.47980000000001</v>
      </c>
      <c r="K7925">
        <v>1.1047119999999999</v>
      </c>
      <c r="L7925">
        <v>133.44380000000001</v>
      </c>
      <c r="M7925">
        <v>0.74054909999999996</v>
      </c>
      <c r="N7925">
        <v>-1.4773649999999999E-2</v>
      </c>
      <c r="O7925">
        <v>0.67183990000000005</v>
      </c>
      <c r="P7925">
        <v>0.87381739999999997</v>
      </c>
      <c r="Q7925">
        <v>0.39025890000000002</v>
      </c>
      <c r="R7925">
        <v>0.29007100000000002</v>
      </c>
      <c r="S7925">
        <v>3.2456969999999998</v>
      </c>
      <c r="T7925">
        <v>0.20805750000000001</v>
      </c>
      <c r="U7925">
        <v>0.29701230000000001</v>
      </c>
      <c r="V7925">
        <v>0.37874980000000003</v>
      </c>
      <c r="W7925">
        <v>0.39659030000000001</v>
      </c>
      <c r="X7925">
        <v>0.83622050000000003</v>
      </c>
      <c r="Y7925">
        <v>0.59881680000000004</v>
      </c>
      <c r="Z7925">
        <v>6.4819929999999998E-2</v>
      </c>
      <c r="AA7925">
        <v>0.79825859999999904</v>
      </c>
      <c r="AB7925">
        <v>19</v>
      </c>
      <c r="AC7925">
        <v>3.2456969999999998</v>
      </c>
      <c r="AD7925">
        <v>0.20805750000000001</v>
      </c>
      <c r="AE7925">
        <v>0.29701230000000001</v>
      </c>
      <c r="AF7925">
        <v>1.9528924115731801</v>
      </c>
      <c r="AG7925">
        <v>0.20805750000000001</v>
      </c>
      <c r="AH7925">
        <v>2.5928607830700301</v>
      </c>
      <c r="AI7925">
        <v>86.332588060928202</v>
      </c>
      <c r="AJ7925">
        <v>53.013650334386199</v>
      </c>
      <c r="AK7925">
        <v>3.2526917675778799</v>
      </c>
      <c r="AL7925">
        <v>66.634806048935999</v>
      </c>
      <c r="AM7925">
        <v>65.632775991094306</v>
      </c>
      <c r="AN7925">
        <v>1.0000000008371801</v>
      </c>
    </row>
    <row r="7926" spans="1:40" x14ac:dyDescent="0.25">
      <c r="A7926" t="str">
        <f>"20190304165038132"</f>
        <v>20190304165038132</v>
      </c>
      <c r="B7926" t="str">
        <f>"1551689438123713"</f>
        <v>1551689438123713</v>
      </c>
      <c r="C7926" t="s">
        <v>40</v>
      </c>
      <c r="D7926">
        <v>5.2817530000000001</v>
      </c>
      <c r="E7926">
        <v>0.61811240000000001</v>
      </c>
      <c r="F7926" t="s">
        <v>41</v>
      </c>
      <c r="G7926">
        <v>-178.71879999999999</v>
      </c>
      <c r="H7926">
        <v>1.1980249999999999</v>
      </c>
      <c r="I7926">
        <v>133.48330000000001</v>
      </c>
      <c r="J7926">
        <v>-179.39080000000001</v>
      </c>
      <c r="K7926">
        <v>1.1047049999999901</v>
      </c>
      <c r="L7926">
        <v>133.51339999999999</v>
      </c>
      <c r="M7926">
        <v>0.74539160000000004</v>
      </c>
      <c r="N7926">
        <v>-1.478663E-2</v>
      </c>
      <c r="O7926">
        <v>0.66646280000000002</v>
      </c>
      <c r="P7926">
        <v>0.87489969999999995</v>
      </c>
      <c r="Q7926">
        <v>0.39427970000000001</v>
      </c>
      <c r="R7926">
        <v>0.2812366</v>
      </c>
      <c r="S7926">
        <v>3.2024840000000001</v>
      </c>
      <c r="T7926">
        <v>0.39270369999999999</v>
      </c>
      <c r="U7926">
        <v>0.16667179999999901</v>
      </c>
      <c r="V7926">
        <v>0.38002970000000003</v>
      </c>
      <c r="W7926">
        <v>0.40055459999999998</v>
      </c>
      <c r="X7926">
        <v>0.8337466</v>
      </c>
      <c r="Y7926">
        <v>0.61731429999999998</v>
      </c>
      <c r="Z7926">
        <v>0.11874179999999999</v>
      </c>
      <c r="AA7926">
        <v>0.77770399999999995</v>
      </c>
      <c r="AB7926">
        <v>19</v>
      </c>
      <c r="AC7926">
        <v>0.67200000000002502</v>
      </c>
      <c r="AD7926">
        <v>9.332E-2</v>
      </c>
      <c r="AE7926">
        <v>-3.0099999999976E-2</v>
      </c>
      <c r="AF7926">
        <v>0.46146928660630498</v>
      </c>
      <c r="AG7926">
        <v>9.332E-2</v>
      </c>
      <c r="AH7926">
        <v>0.47181466864813298</v>
      </c>
      <c r="AI7926">
        <v>81.951735612880796</v>
      </c>
      <c r="AJ7926">
        <v>45.635093369894001</v>
      </c>
      <c r="AK7926">
        <v>0.66653702555257899</v>
      </c>
      <c r="AL7926">
        <v>66.387145638104201</v>
      </c>
      <c r="AM7926">
        <v>65.496046288094206</v>
      </c>
      <c r="AN7926">
        <v>0.99999997673740404</v>
      </c>
    </row>
    <row r="7927" spans="1:40" x14ac:dyDescent="0.25">
      <c r="A7927" t="str">
        <f>"20190304165038143"</f>
        <v>20190304165038143</v>
      </c>
      <c r="B7927" t="str">
        <f>"1551689438133475"</f>
        <v>1551689438133475</v>
      </c>
      <c r="C7927" t="s">
        <v>40</v>
      </c>
      <c r="D7927">
        <v>5.2260220000000004</v>
      </c>
      <c r="E7927">
        <v>0.61935969999999996</v>
      </c>
      <c r="F7927" t="s">
        <v>41</v>
      </c>
      <c r="G7927">
        <v>-178.7645</v>
      </c>
      <c r="H7927">
        <v>1.1965440000000001</v>
      </c>
      <c r="I7927">
        <v>133.53450000000001</v>
      </c>
      <c r="J7927">
        <v>-179.31440000000001</v>
      </c>
      <c r="K7927">
        <v>1.104703</v>
      </c>
      <c r="L7927">
        <v>133.57210000000001</v>
      </c>
      <c r="M7927">
        <v>0.74950859999999997</v>
      </c>
      <c r="N7927">
        <v>-1.4796760000000001E-2</v>
      </c>
      <c r="O7927">
        <v>0.66182919999999901</v>
      </c>
      <c r="P7927">
        <v>0.87653780000000003</v>
      </c>
      <c r="Q7927">
        <v>0.39539809999999997</v>
      </c>
      <c r="R7927">
        <v>0.27448539999999999</v>
      </c>
      <c r="S7927">
        <v>3.1838989999999998</v>
      </c>
      <c r="T7927">
        <v>0.46690680000000001</v>
      </c>
      <c r="U7927">
        <v>0.1078033</v>
      </c>
      <c r="V7927">
        <v>0.38098520000000002</v>
      </c>
      <c r="W7927">
        <v>0.40164709999999998</v>
      </c>
      <c r="X7927">
        <v>0.83278439999999998</v>
      </c>
      <c r="Y7927">
        <v>0.62260859999999996</v>
      </c>
      <c r="Z7927">
        <v>0.14053840000000001</v>
      </c>
      <c r="AA7927">
        <v>0.76980999999999999</v>
      </c>
      <c r="AB7927">
        <v>19</v>
      </c>
      <c r="AC7927">
        <v>0.54990000000000705</v>
      </c>
      <c r="AD7927">
        <v>9.1841000000000006E-2</v>
      </c>
      <c r="AE7927">
        <v>-3.7599999999997601E-2</v>
      </c>
      <c r="AF7927">
        <v>0.381570464704795</v>
      </c>
      <c r="AG7927">
        <v>9.1841000000000006E-2</v>
      </c>
      <c r="AH7927">
        <v>0.37684960363277697</v>
      </c>
      <c r="AI7927">
        <v>80.282299759040498</v>
      </c>
      <c r="AJ7927">
        <v>44.643361333526201</v>
      </c>
      <c r="AK7927">
        <v>0.54410147268153397</v>
      </c>
      <c r="AL7927">
        <v>66.318812546578499</v>
      </c>
      <c r="AM7927">
        <v>65.416682629351101</v>
      </c>
      <c r="AN7927">
        <v>0.99999998622040498</v>
      </c>
    </row>
    <row r="7928" spans="1:40" x14ac:dyDescent="0.25">
      <c r="A7928" t="str">
        <f>"20190304165038155"</f>
        <v>20190304165038155</v>
      </c>
      <c r="B7928" t="str">
        <f>"1551689438143233"</f>
        <v>1551689438143233</v>
      </c>
      <c r="C7928" t="s">
        <v>40</v>
      </c>
      <c r="D7928">
        <v>5.2948040000000001</v>
      </c>
      <c r="E7928">
        <v>0.619857199999999</v>
      </c>
      <c r="F7928" t="s">
        <v>41</v>
      </c>
      <c r="G7928">
        <v>-178.58359999999999</v>
      </c>
      <c r="H7928">
        <v>1.223886</v>
      </c>
      <c r="I7928">
        <v>133.5865</v>
      </c>
      <c r="J7928">
        <v>-179.23179999999999</v>
      </c>
      <c r="K7928">
        <v>1.1047009999999999</v>
      </c>
      <c r="L7928">
        <v>133.63509999999999</v>
      </c>
      <c r="M7928">
        <v>0.75391819999999998</v>
      </c>
      <c r="N7928">
        <v>-1.4807320000000001E-2</v>
      </c>
      <c r="O7928">
        <v>0.65680139999999998</v>
      </c>
      <c r="P7928">
        <v>0.87825839999999999</v>
      </c>
      <c r="Q7928">
        <v>0.3958739</v>
      </c>
      <c r="R7928">
        <v>0.26822780000000002</v>
      </c>
      <c r="S7928">
        <v>3.1697850000000001</v>
      </c>
      <c r="T7928">
        <v>0.51693210000000001</v>
      </c>
      <c r="U7928">
        <v>6.2622070000000002E-2</v>
      </c>
      <c r="V7928">
        <v>0.38122729999999999</v>
      </c>
      <c r="W7928">
        <v>0.40211950000000002</v>
      </c>
      <c r="X7928">
        <v>0.83244560000000001</v>
      </c>
      <c r="Y7928">
        <v>0.62520540000000002</v>
      </c>
      <c r="Z7928">
        <v>0.1550636</v>
      </c>
      <c r="AA7928">
        <v>0.76490100000000005</v>
      </c>
      <c r="AB7928">
        <v>19</v>
      </c>
      <c r="AC7928">
        <v>0.648200000000002</v>
      </c>
      <c r="AD7928">
        <v>0.119185</v>
      </c>
      <c r="AE7928">
        <v>-4.8599999999993301E-2</v>
      </c>
      <c r="AF7928">
        <v>0.44738882729767798</v>
      </c>
      <c r="AG7928">
        <v>0.119185</v>
      </c>
      <c r="AH7928">
        <v>0.44196083545546</v>
      </c>
      <c r="AI7928">
        <v>79.268556846311796</v>
      </c>
      <c r="AJ7928">
        <v>44.6503094617972</v>
      </c>
      <c r="AK7928">
        <v>0.64007125157460398</v>
      </c>
      <c r="AL7928">
        <v>66.289254604021707</v>
      </c>
      <c r="AM7928">
        <v>65.394085546558102</v>
      </c>
      <c r="AN7928">
        <v>1.0000000117524499</v>
      </c>
    </row>
    <row r="7929" spans="1:40" x14ac:dyDescent="0.25">
      <c r="A7929" t="str">
        <f>"20190304165038166"</f>
        <v>20190304165038166</v>
      </c>
      <c r="B7929" t="str">
        <f>"1551689438163729"</f>
        <v>1551689438163729</v>
      </c>
      <c r="C7929" t="s">
        <v>40</v>
      </c>
      <c r="D7929">
        <v>5.2909600000000001</v>
      </c>
      <c r="E7929">
        <v>0.61982729999999997</v>
      </c>
      <c r="F7929" t="s">
        <v>41</v>
      </c>
      <c r="G7929">
        <v>-178.4085</v>
      </c>
      <c r="H7929">
        <v>1.248427</v>
      </c>
      <c r="I7929">
        <v>133.64250000000001</v>
      </c>
      <c r="J7929">
        <v>-179.1506</v>
      </c>
      <c r="K7929">
        <v>1.104708</v>
      </c>
      <c r="L7929">
        <v>133.69569999999999</v>
      </c>
      <c r="M7929">
        <v>0.75820730000000003</v>
      </c>
      <c r="N7929">
        <v>-1.481588E-2</v>
      </c>
      <c r="O7929">
        <v>0.65184519999999901</v>
      </c>
      <c r="P7929">
        <v>0.88023809999999902</v>
      </c>
      <c r="Q7929">
        <v>0.39550689999999999</v>
      </c>
      <c r="R7929">
        <v>0.26221240000000001</v>
      </c>
      <c r="S7929">
        <v>3.1587070000000002</v>
      </c>
      <c r="T7929">
        <v>0.55142250000000004</v>
      </c>
      <c r="U7929">
        <v>2.8137209999999999E-2</v>
      </c>
      <c r="V7929">
        <v>0.3815655</v>
      </c>
      <c r="W7929">
        <v>0.40175840000000002</v>
      </c>
      <c r="X7929">
        <v>0.83246500000000001</v>
      </c>
      <c r="Y7929">
        <v>0.62615929999999997</v>
      </c>
      <c r="Z7929">
        <v>0.1648675</v>
      </c>
      <c r="AA7929">
        <v>0.762065199999999</v>
      </c>
      <c r="AB7929">
        <v>19</v>
      </c>
      <c r="AC7929">
        <v>0.74209999999999299</v>
      </c>
      <c r="AD7929">
        <v>0.14371899999999899</v>
      </c>
      <c r="AE7929">
        <v>-5.3199999999975399E-2</v>
      </c>
      <c r="AF7929">
        <v>0.50527443610123002</v>
      </c>
      <c r="AG7929">
        <v>0.14371899999999899</v>
      </c>
      <c r="AH7929">
        <v>0.50905048616105497</v>
      </c>
      <c r="AI7929">
        <v>78.669268593951202</v>
      </c>
      <c r="AJ7929">
        <v>45.213295293716499</v>
      </c>
      <c r="AK7929">
        <v>0.73149832822722305</v>
      </c>
      <c r="AL7929">
        <v>66.3118495713166</v>
      </c>
      <c r="AM7929">
        <v>65.375352166221603</v>
      </c>
      <c r="AN7929">
        <v>1.0000000094929</v>
      </c>
    </row>
    <row r="7930" spans="1:40" x14ac:dyDescent="0.25">
      <c r="A7930" t="str">
        <f>"20190304165038178"</f>
        <v>20190304165038178</v>
      </c>
      <c r="B7930" t="str">
        <f>"1551689438173488"</f>
        <v>1551689438173488</v>
      </c>
      <c r="C7930" t="s">
        <v>40</v>
      </c>
      <c r="D7930">
        <v>5.2743500000000001</v>
      </c>
      <c r="E7930">
        <v>0.61934940000000005</v>
      </c>
      <c r="F7930" t="s">
        <v>41</v>
      </c>
      <c r="G7930">
        <v>-178.4537</v>
      </c>
      <c r="H7930">
        <v>1.234999</v>
      </c>
      <c r="I7930">
        <v>133.6952</v>
      </c>
      <c r="J7930">
        <v>-179.0778</v>
      </c>
      <c r="K7930">
        <v>1.104714</v>
      </c>
      <c r="L7930">
        <v>133.74969999999999</v>
      </c>
      <c r="M7930">
        <v>0.76201929999999996</v>
      </c>
      <c r="N7930">
        <v>-1.482319E-2</v>
      </c>
      <c r="O7930">
        <v>0.64738469999999904</v>
      </c>
      <c r="P7930">
        <v>0.88160260000000001</v>
      </c>
      <c r="Q7930">
        <v>0.39549099999999998</v>
      </c>
      <c r="R7930">
        <v>0.25761230000000002</v>
      </c>
      <c r="S7930">
        <v>3.1446990000000001</v>
      </c>
      <c r="T7930">
        <v>0.58791419999999905</v>
      </c>
      <c r="U7930">
        <v>-2.27356E-3</v>
      </c>
      <c r="V7930">
        <v>0.38102360000000002</v>
      </c>
      <c r="W7930">
        <v>0.40176499999999998</v>
      </c>
      <c r="X7930">
        <v>0.83270999999999995</v>
      </c>
      <c r="Y7930">
        <v>0.62636610000000004</v>
      </c>
      <c r="Z7930">
        <v>0.17536109999999999</v>
      </c>
      <c r="AA7930">
        <v>0.75954860000000002</v>
      </c>
      <c r="AB7930">
        <v>19</v>
      </c>
      <c r="AC7930">
        <v>0.62409999999999799</v>
      </c>
      <c r="AD7930">
        <v>0.13028499999999901</v>
      </c>
      <c r="AE7930">
        <v>-5.4499999999990202E-2</v>
      </c>
      <c r="AF7930">
        <v>0.42713826142653599</v>
      </c>
      <c r="AG7930">
        <v>0.13028499999999901</v>
      </c>
      <c r="AH7930">
        <v>0.42208707968898601</v>
      </c>
      <c r="AI7930">
        <v>77.758849320489801</v>
      </c>
      <c r="AJ7930">
        <v>44.659209436894798</v>
      </c>
      <c r="AK7930">
        <v>0.61447439201309295</v>
      </c>
      <c r="AL7930">
        <v>66.311436929032396</v>
      </c>
      <c r="AM7930">
        <v>65.412561248146602</v>
      </c>
      <c r="AN7930">
        <v>1.0000000215409699</v>
      </c>
    </row>
    <row r="7931" spans="1:40" x14ac:dyDescent="0.25">
      <c r="A7931" t="str">
        <f>"20190304165038188"</f>
        <v>20190304165038188</v>
      </c>
      <c r="B7931" t="str">
        <f>"1551689438183249"</f>
        <v>1551689438183249</v>
      </c>
      <c r="C7931" t="s">
        <v>40</v>
      </c>
      <c r="D7931">
        <v>5.284351</v>
      </c>
      <c r="E7931">
        <v>0.61875500000000005</v>
      </c>
      <c r="F7931" t="s">
        <v>60</v>
      </c>
      <c r="G7931">
        <v>0</v>
      </c>
      <c r="H7931">
        <v>0</v>
      </c>
      <c r="I7931">
        <v>0</v>
      </c>
      <c r="J7931">
        <v>-178.99770000000001</v>
      </c>
      <c r="K7931">
        <v>1.1047229999999999</v>
      </c>
      <c r="L7931">
        <v>133.80799999999999</v>
      </c>
      <c r="M7931">
        <v>0.76616379999999995</v>
      </c>
      <c r="N7931">
        <v>-1.482953E-2</v>
      </c>
      <c r="O7931">
        <v>0.64247430000000005</v>
      </c>
      <c r="P7931">
        <v>0.88302860000000005</v>
      </c>
      <c r="Q7931">
        <v>0.39541209999999999</v>
      </c>
      <c r="R7931">
        <v>0.25280380000000002</v>
      </c>
      <c r="S7931">
        <v>3.1397710000000001</v>
      </c>
      <c r="T7931">
        <v>0.59817959999999903</v>
      </c>
      <c r="U7931">
        <v>-1.7868040000000002E-2</v>
      </c>
      <c r="V7931">
        <v>0.38021549999999998</v>
      </c>
      <c r="W7931">
        <v>0.40172089999999999</v>
      </c>
      <c r="X7931">
        <v>0.83310059999999997</v>
      </c>
      <c r="Y7931">
        <v>0.62452750000000001</v>
      </c>
      <c r="Z7931">
        <v>0.17762820000000001</v>
      </c>
      <c r="AA7931">
        <v>0.76053510000000002</v>
      </c>
      <c r="AB7931">
        <v>19</v>
      </c>
      <c r="AC7931">
        <v>3.1397710000000001</v>
      </c>
      <c r="AD7931">
        <v>0.59817959999999903</v>
      </c>
      <c r="AE7931">
        <v>-1.7868040000000002E-2</v>
      </c>
      <c r="AF7931">
        <v>1.9599961544079101</v>
      </c>
      <c r="AG7931">
        <v>0.59817959999999903</v>
      </c>
      <c r="AH7931">
        <v>2.3105014044065699</v>
      </c>
      <c r="AI7931">
        <v>78.831797325134303</v>
      </c>
      <c r="AJ7931">
        <v>49.692089781643098</v>
      </c>
      <c r="AK7931">
        <v>3.0883362023773802</v>
      </c>
      <c r="AL7931">
        <v>66.314197065761704</v>
      </c>
      <c r="AM7931">
        <v>65.468704981623802</v>
      </c>
      <c r="AN7931">
        <v>1.0000000588286999</v>
      </c>
    </row>
    <row r="7932" spans="1:40" x14ac:dyDescent="0.25">
      <c r="A7932" t="str">
        <f>"20190304165038199"</f>
        <v>20190304165038199</v>
      </c>
      <c r="B7932" t="str">
        <f>"1551689438193009"</f>
        <v>1551689438193009</v>
      </c>
      <c r="C7932" t="s">
        <v>40</v>
      </c>
      <c r="D7932">
        <v>5.262486</v>
      </c>
      <c r="E7932">
        <v>0.61816319999999902</v>
      </c>
      <c r="F7932" t="s">
        <v>41</v>
      </c>
      <c r="G7932">
        <v>-178.3219</v>
      </c>
      <c r="H7932">
        <v>1.2349410000000001</v>
      </c>
      <c r="I7932">
        <v>133.80109999999999</v>
      </c>
      <c r="J7932">
        <v>-178.91800000000001</v>
      </c>
      <c r="K7932">
        <v>1.104741</v>
      </c>
      <c r="L7932">
        <v>133.86539999999999</v>
      </c>
      <c r="M7932">
        <v>0.77024099999999995</v>
      </c>
      <c r="N7932">
        <v>-1.483491E-2</v>
      </c>
      <c r="O7932">
        <v>0.63758049999999999</v>
      </c>
      <c r="P7932">
        <v>0.88435160000000002</v>
      </c>
      <c r="Q7932">
        <v>0.39524900000000002</v>
      </c>
      <c r="R7932">
        <v>0.24839600000000001</v>
      </c>
      <c r="S7932">
        <v>3.136063</v>
      </c>
      <c r="T7932">
        <v>0.60431539999999995</v>
      </c>
      <c r="U7932">
        <v>-3.2348630000000003E-2</v>
      </c>
      <c r="V7932">
        <v>0.3790867</v>
      </c>
      <c r="W7932">
        <v>0.40160079999999998</v>
      </c>
      <c r="X7932">
        <v>0.83367259999999999</v>
      </c>
      <c r="Y7932">
        <v>0.62277640000000001</v>
      </c>
      <c r="Z7932">
        <v>0.17864369999999999</v>
      </c>
      <c r="AA7932">
        <v>0.76173230000000003</v>
      </c>
      <c r="AB7932">
        <v>19</v>
      </c>
      <c r="AC7932">
        <v>0.59610000000000696</v>
      </c>
      <c r="AD7932">
        <v>0.13020000000000001</v>
      </c>
      <c r="AE7932">
        <v>-6.4300000000002897E-2</v>
      </c>
      <c r="AF7932">
        <v>0.410286970497373</v>
      </c>
      <c r="AG7932">
        <v>0.13020000000000001</v>
      </c>
      <c r="AH7932">
        <v>0.399357147284504</v>
      </c>
      <c r="AI7932">
        <v>77.188749096155505</v>
      </c>
      <c r="AJ7932">
        <v>44.226580308211098</v>
      </c>
      <c r="AK7932">
        <v>0.58717422392943097</v>
      </c>
      <c r="AL7932">
        <v>66.321708728624102</v>
      </c>
      <c r="AM7932">
        <v>65.5478090205321</v>
      </c>
      <c r="AN7932">
        <v>0.99999996633414401</v>
      </c>
    </row>
    <row r="7933" spans="1:40" x14ac:dyDescent="0.25">
      <c r="A7933" t="str">
        <f>"20190304165038210"</f>
        <v>20190304165038210</v>
      </c>
      <c r="B7933" t="str">
        <f>"1551689438203745"</f>
        <v>1551689438203745</v>
      </c>
      <c r="C7933" t="s">
        <v>40</v>
      </c>
      <c r="D7933">
        <v>5.3101820000000002</v>
      </c>
      <c r="E7933">
        <v>0.61744960000000004</v>
      </c>
      <c r="F7933" t="s">
        <v>60</v>
      </c>
      <c r="G7933">
        <v>0</v>
      </c>
      <c r="H7933">
        <v>0</v>
      </c>
      <c r="I7933">
        <v>0</v>
      </c>
      <c r="J7933">
        <v>-178.8407</v>
      </c>
      <c r="K7933">
        <v>1.104759</v>
      </c>
      <c r="L7933">
        <v>133.9204</v>
      </c>
      <c r="M7933">
        <v>0.77415149999999999</v>
      </c>
      <c r="N7933">
        <v>-1.483888E-2</v>
      </c>
      <c r="O7933">
        <v>0.63282649999999996</v>
      </c>
      <c r="P7933">
        <v>0.88566239999999996</v>
      </c>
      <c r="Q7933">
        <v>0.39482440000000002</v>
      </c>
      <c r="R7933">
        <v>0.24436840000000001</v>
      </c>
      <c r="S7933">
        <v>3.1325379999999998</v>
      </c>
      <c r="T7933">
        <v>0.60948539999999995</v>
      </c>
      <c r="U7933">
        <v>-4.4937129999999999E-2</v>
      </c>
      <c r="V7933">
        <v>0.37783630000000001</v>
      </c>
      <c r="W7933">
        <v>0.4012251</v>
      </c>
      <c r="X7933">
        <v>0.83442090000000002</v>
      </c>
      <c r="Y7933">
        <v>0.62080880000000005</v>
      </c>
      <c r="Z7933">
        <v>0.17935499999999999</v>
      </c>
      <c r="AA7933">
        <v>0.76316989999999996</v>
      </c>
      <c r="AB7933">
        <v>19</v>
      </c>
      <c r="AC7933">
        <v>3.1325379999999998</v>
      </c>
      <c r="AD7933">
        <v>0.60948539999999995</v>
      </c>
      <c r="AE7933">
        <v>-4.4937129999999999E-2</v>
      </c>
      <c r="AF7933">
        <v>1.9437942065710101</v>
      </c>
      <c r="AG7933">
        <v>0.60948539999999995</v>
      </c>
      <c r="AH7933">
        <v>2.3094759750904199</v>
      </c>
      <c r="AI7933">
        <v>78.584924905432999</v>
      </c>
      <c r="AJ7933">
        <v>49.914012800989802</v>
      </c>
      <c r="AK7933">
        <v>3.0795271795897601</v>
      </c>
      <c r="AL7933">
        <v>66.345213354123999</v>
      </c>
      <c r="AM7933">
        <v>65.638383106636994</v>
      </c>
      <c r="AN7933">
        <v>1.0000000444122501</v>
      </c>
    </row>
    <row r="7934" spans="1:40" x14ac:dyDescent="0.25">
      <c r="A7934" t="str">
        <f>"20190304165038221"</f>
        <v>20190304165038221</v>
      </c>
      <c r="B7934" t="str">
        <f>"1551689438213505"</f>
        <v>1551689438213505</v>
      </c>
      <c r="C7934" t="s">
        <v>40</v>
      </c>
      <c r="D7934">
        <v>5.2687589999999904</v>
      </c>
      <c r="E7934">
        <v>0.61686600000000003</v>
      </c>
      <c r="F7934" t="s">
        <v>41</v>
      </c>
      <c r="G7934">
        <v>-178.1918</v>
      </c>
      <c r="H7934">
        <v>1.231417</v>
      </c>
      <c r="I7934">
        <v>133.90889999999999</v>
      </c>
      <c r="J7934">
        <v>-178.76390000000001</v>
      </c>
      <c r="K7934">
        <v>1.104776</v>
      </c>
      <c r="L7934">
        <v>133.97409999999999</v>
      </c>
      <c r="M7934">
        <v>0.77798429999999996</v>
      </c>
      <c r="N7934">
        <v>-1.4841709999999999E-2</v>
      </c>
      <c r="O7934">
        <v>0.62810840000000001</v>
      </c>
      <c r="P7934">
        <v>0.88664920000000003</v>
      </c>
      <c r="Q7934">
        <v>0.39472570000000001</v>
      </c>
      <c r="R7934">
        <v>0.24092559999999999</v>
      </c>
      <c r="S7934">
        <v>3.1300050000000001</v>
      </c>
      <c r="T7934">
        <v>0.61101499999999997</v>
      </c>
      <c r="U7934">
        <v>-5.4656980000000001E-2</v>
      </c>
      <c r="V7934">
        <v>0.3759999</v>
      </c>
      <c r="W7934">
        <v>0.40118769999999998</v>
      </c>
      <c r="X7934">
        <v>0.83526800000000001</v>
      </c>
      <c r="Y7934">
        <v>0.61848740000000002</v>
      </c>
      <c r="Z7934">
        <v>0.1789454</v>
      </c>
      <c r="AA7934">
        <v>0.7651483</v>
      </c>
      <c r="AB7934">
        <v>19</v>
      </c>
      <c r="AC7934">
        <v>0.57210000000000505</v>
      </c>
      <c r="AD7934">
        <v>0.126641</v>
      </c>
      <c r="AE7934">
        <v>-6.5200000000004296E-2</v>
      </c>
      <c r="AF7934">
        <v>0.391187752612702</v>
      </c>
      <c r="AG7934">
        <v>0.126641</v>
      </c>
      <c r="AH7934">
        <v>0.38552765177987303</v>
      </c>
      <c r="AI7934">
        <v>77.015843799309707</v>
      </c>
      <c r="AJ7934">
        <v>44.582480085776297</v>
      </c>
      <c r="AK7934">
        <v>0.56364649467736405</v>
      </c>
      <c r="AL7934">
        <v>66.347553236834401</v>
      </c>
      <c r="AM7934">
        <v>65.764879290712301</v>
      </c>
      <c r="AN7934">
        <v>1.00000006362764</v>
      </c>
    </row>
    <row r="7935" spans="1:40" x14ac:dyDescent="0.25">
      <c r="A7935" t="str">
        <f>"20190304165038232"</f>
        <v>20190304165038232</v>
      </c>
      <c r="B7935" t="str">
        <f>"1551689438223265"</f>
        <v>1551689438223265</v>
      </c>
      <c r="C7935" t="s">
        <v>40</v>
      </c>
      <c r="D7935">
        <v>5.2700930000000001</v>
      </c>
      <c r="E7935">
        <v>0.61616439999999995</v>
      </c>
      <c r="F7935" t="s">
        <v>41</v>
      </c>
      <c r="G7935">
        <v>-178.01419999999999</v>
      </c>
      <c r="H7935">
        <v>1.2517940000000001</v>
      </c>
      <c r="I7935">
        <v>133.959</v>
      </c>
      <c r="J7935">
        <v>-178.68539999999999</v>
      </c>
      <c r="K7935">
        <v>1.1047979999999999</v>
      </c>
      <c r="L7935">
        <v>134.02860000000001</v>
      </c>
      <c r="M7935">
        <v>0.78186659999999997</v>
      </c>
      <c r="N7935">
        <v>-1.484396E-2</v>
      </c>
      <c r="O7935">
        <v>0.62326910000000002</v>
      </c>
      <c r="P7935">
        <v>0.88764379999999998</v>
      </c>
      <c r="Q7935">
        <v>0.39458280000000001</v>
      </c>
      <c r="R7935">
        <v>0.23747270000000001</v>
      </c>
      <c r="S7935">
        <v>3.127548</v>
      </c>
      <c r="T7935">
        <v>0.61332240000000005</v>
      </c>
      <c r="U7935">
        <v>-6.2850950000000003E-2</v>
      </c>
      <c r="V7935">
        <v>0.3740716</v>
      </c>
      <c r="W7935">
        <v>0.40110899999999999</v>
      </c>
      <c r="X7935">
        <v>0.836170999999999</v>
      </c>
      <c r="Y7935">
        <v>0.61565049999999999</v>
      </c>
      <c r="Z7935">
        <v>0.17866609999999999</v>
      </c>
      <c r="AA7935">
        <v>0.76749780000000001</v>
      </c>
      <c r="AB7935">
        <v>19</v>
      </c>
      <c r="AC7935">
        <v>0.67119999999999802</v>
      </c>
      <c r="AD7935">
        <v>0.14699599999999999</v>
      </c>
      <c r="AE7935">
        <v>-6.9600000000008294E-2</v>
      </c>
      <c r="AF7935">
        <v>0.45138853544446</v>
      </c>
      <c r="AG7935">
        <v>0.14699599999999999</v>
      </c>
      <c r="AH7935">
        <v>0.45965062609889901</v>
      </c>
      <c r="AI7935">
        <v>77.146656286073394</v>
      </c>
      <c r="AJ7935">
        <v>45.519593413097098</v>
      </c>
      <c r="AK7935">
        <v>0.66078599562929896</v>
      </c>
      <c r="AL7935">
        <v>66.352473413117394</v>
      </c>
      <c r="AM7935">
        <v>65.8980452637159</v>
      </c>
      <c r="AN7935">
        <v>0.99999996652427903</v>
      </c>
    </row>
    <row r="7936" spans="1:40" x14ac:dyDescent="0.25">
      <c r="A7936" t="str">
        <f>"20190304165038244"</f>
        <v>20190304165038244</v>
      </c>
      <c r="B7936" t="str">
        <f>"1551689438233024"</f>
        <v>1551689438233024</v>
      </c>
      <c r="C7936" t="s">
        <v>40</v>
      </c>
      <c r="D7936">
        <v>5.2878049999999996</v>
      </c>
      <c r="E7936">
        <v>0.61551899999999904</v>
      </c>
      <c r="F7936" t="s">
        <v>41</v>
      </c>
      <c r="G7936">
        <v>-178.06</v>
      </c>
      <c r="H7936">
        <v>1.227949</v>
      </c>
      <c r="I7936">
        <v>134.0145</v>
      </c>
      <c r="J7936">
        <v>-178.6026</v>
      </c>
      <c r="K7936">
        <v>1.1048230000000001</v>
      </c>
      <c r="L7936">
        <v>134.0849</v>
      </c>
      <c r="M7936">
        <v>0.78589809999999904</v>
      </c>
      <c r="N7936">
        <v>-1.4844939999999999E-2</v>
      </c>
      <c r="O7936">
        <v>0.6181778</v>
      </c>
      <c r="P7936">
        <v>0.88848919999999998</v>
      </c>
      <c r="Q7936">
        <v>0.3946868</v>
      </c>
      <c r="R7936">
        <v>0.23411419999999999</v>
      </c>
      <c r="S7936">
        <v>3.1250149999999999</v>
      </c>
      <c r="T7936">
        <v>0.61537540000000002</v>
      </c>
      <c r="U7936">
        <v>-7.0419309999999999E-2</v>
      </c>
      <c r="V7936">
        <v>0.37173590000000001</v>
      </c>
      <c r="W7936">
        <v>0.4012868</v>
      </c>
      <c r="X7936">
        <v>0.83712690000000001</v>
      </c>
      <c r="Y7936">
        <v>0.61246099999999903</v>
      </c>
      <c r="Z7936">
        <v>0.17823059999999999</v>
      </c>
      <c r="AA7936">
        <v>0.77014640000000001</v>
      </c>
      <c r="AB7936">
        <v>19</v>
      </c>
      <c r="AC7936">
        <v>0.54259999999999298</v>
      </c>
      <c r="AD7936">
        <v>0.123126</v>
      </c>
      <c r="AE7936">
        <v>-7.0400000000006402E-2</v>
      </c>
      <c r="AF7936">
        <v>0.371957786318873</v>
      </c>
      <c r="AG7936">
        <v>0.123126</v>
      </c>
      <c r="AH7936">
        <v>0.36449302567991299</v>
      </c>
      <c r="AI7936">
        <v>76.697942812176606</v>
      </c>
      <c r="AJ7936">
        <v>44.419262459639299</v>
      </c>
      <c r="AK7936">
        <v>0.535133415559648</v>
      </c>
      <c r="AL7936">
        <v>66.341354292545503</v>
      </c>
      <c r="AM7936">
        <v>66.055831400138203</v>
      </c>
      <c r="AN7936">
        <v>1.0000000609533199</v>
      </c>
    </row>
    <row r="7937" spans="1:40" x14ac:dyDescent="0.25">
      <c r="A7937" t="str">
        <f>"20190304165038256"</f>
        <v>20190304165038256</v>
      </c>
      <c r="B7937" t="str">
        <f>"1551689438253520"</f>
        <v>1551689438253520</v>
      </c>
      <c r="C7937" t="s">
        <v>40</v>
      </c>
      <c r="D7937">
        <v>5.266483</v>
      </c>
      <c r="E7937">
        <v>0.61430530000000005</v>
      </c>
      <c r="F7937" t="s">
        <v>41</v>
      </c>
      <c r="G7937">
        <v>-177.88650000000001</v>
      </c>
      <c r="H7937">
        <v>1.2466029999999999</v>
      </c>
      <c r="I7937">
        <v>134.0668</v>
      </c>
      <c r="J7937">
        <v>-178.51769999999999</v>
      </c>
      <c r="K7937">
        <v>1.1048559999999901</v>
      </c>
      <c r="L7937">
        <v>134.14230000000001</v>
      </c>
      <c r="M7937">
        <v>0.78998669999999904</v>
      </c>
      <c r="N7937">
        <v>-1.484571E-2</v>
      </c>
      <c r="O7937">
        <v>0.61294439999999994</v>
      </c>
      <c r="P7937">
        <v>0.88908539999999903</v>
      </c>
      <c r="Q7937">
        <v>0.39540039999999999</v>
      </c>
      <c r="R7937">
        <v>0.23062079999999999</v>
      </c>
      <c r="S7937">
        <v>3.1225130000000001</v>
      </c>
      <c r="T7937">
        <v>0.61822880000000002</v>
      </c>
      <c r="U7937">
        <v>-7.8262330000000005E-2</v>
      </c>
      <c r="V7937">
        <v>0.3692415</v>
      </c>
      <c r="W7937">
        <v>0.40207280000000001</v>
      </c>
      <c r="X7937">
        <v>0.83785330000000002</v>
      </c>
      <c r="Y7937">
        <v>0.60916579999999998</v>
      </c>
      <c r="Z7937">
        <v>0.17796529999999999</v>
      </c>
      <c r="AA7937">
        <v>0.77281650000000002</v>
      </c>
      <c r="AB7937">
        <v>19</v>
      </c>
      <c r="AC7937">
        <v>0.631199999999978</v>
      </c>
      <c r="AD7937">
        <v>0.14174700000000001</v>
      </c>
      <c r="AE7937">
        <v>-7.5500000000005202E-2</v>
      </c>
      <c r="AF7937">
        <v>0.42543154840003899</v>
      </c>
      <c r="AG7937">
        <v>0.14174700000000001</v>
      </c>
      <c r="AH7937">
        <v>0.430983931696234</v>
      </c>
      <c r="AI7937">
        <v>76.826263567901094</v>
      </c>
      <c r="AJ7937">
        <v>45.371459506896997</v>
      </c>
      <c r="AK7937">
        <v>0.62195768647344396</v>
      </c>
      <c r="AL7937">
        <v>66.292176351239704</v>
      </c>
      <c r="AM7937">
        <v>66.216938160764002</v>
      </c>
      <c r="AN7937">
        <v>0.99999998707148996</v>
      </c>
    </row>
    <row r="7938" spans="1:40" x14ac:dyDescent="0.25">
      <c r="A7938" t="str">
        <f>"20190304165038267"</f>
        <v>20190304165038267</v>
      </c>
      <c r="B7938" t="str">
        <f>"1551689438263280"</f>
        <v>1551689438263280</v>
      </c>
      <c r="C7938" t="s">
        <v>40</v>
      </c>
      <c r="D7938">
        <v>5.2737949999999998</v>
      </c>
      <c r="E7938">
        <v>0.6137224</v>
      </c>
      <c r="F7938" t="s">
        <v>60</v>
      </c>
      <c r="G7938">
        <v>0</v>
      </c>
      <c r="H7938">
        <v>0</v>
      </c>
      <c r="I7938">
        <v>0</v>
      </c>
      <c r="J7938">
        <v>-178.434</v>
      </c>
      <c r="K7938">
        <v>1.104884</v>
      </c>
      <c r="L7938">
        <v>134.19749999999999</v>
      </c>
      <c r="M7938">
        <v>0.79395170000000004</v>
      </c>
      <c r="N7938">
        <v>-1.484512E-2</v>
      </c>
      <c r="O7938">
        <v>0.60779949999999905</v>
      </c>
      <c r="P7938">
        <v>0.88951719999999901</v>
      </c>
      <c r="Q7938">
        <v>0.39645619999999998</v>
      </c>
      <c r="R7938">
        <v>0.2271155</v>
      </c>
      <c r="S7938">
        <v>3.1181489999999998</v>
      </c>
      <c r="T7938">
        <v>0.62384079999999997</v>
      </c>
      <c r="U7938">
        <v>-8.2229609999999995E-2</v>
      </c>
      <c r="V7938">
        <v>0.36679119999999998</v>
      </c>
      <c r="W7938">
        <v>0.40319719999999998</v>
      </c>
      <c r="X7938">
        <v>0.8383891</v>
      </c>
      <c r="Y7938">
        <v>0.6048173</v>
      </c>
      <c r="Z7938">
        <v>0.17844699999999999</v>
      </c>
      <c r="AA7938">
        <v>0.77611390000000002</v>
      </c>
      <c r="AB7938">
        <v>19</v>
      </c>
      <c r="AC7938">
        <v>3.1181489999999998</v>
      </c>
      <c r="AD7938">
        <v>0.62384079999999997</v>
      </c>
      <c r="AE7938">
        <v>-8.2229609999999995E-2</v>
      </c>
      <c r="AF7938">
        <v>1.8853012441713199</v>
      </c>
      <c r="AG7938">
        <v>0.62384079999999997</v>
      </c>
      <c r="AH7938">
        <v>2.3326439964653298</v>
      </c>
      <c r="AI7938">
        <v>78.250131046422496</v>
      </c>
      <c r="AJ7938">
        <v>51.053989379025602</v>
      </c>
      <c r="AK7938">
        <v>3.0634565672234202</v>
      </c>
      <c r="AL7938">
        <v>66.2217969725628</v>
      </c>
      <c r="AM7938">
        <v>66.370853506506904</v>
      </c>
      <c r="AN7938">
        <v>1.00000002474204</v>
      </c>
    </row>
    <row r="7939" spans="1:40" x14ac:dyDescent="0.25">
      <c r="A7939" t="str">
        <f>"20190304165038277"</f>
        <v>20190304165038277</v>
      </c>
      <c r="B7939" t="str">
        <f>"1551689438273041"</f>
        <v>1551689438273041</v>
      </c>
      <c r="C7939" t="s">
        <v>40</v>
      </c>
      <c r="D7939">
        <v>5.5036589999999999</v>
      </c>
      <c r="E7939">
        <v>0.61315410000000004</v>
      </c>
      <c r="F7939" t="s">
        <v>41</v>
      </c>
      <c r="G7939">
        <v>-177.75989999999999</v>
      </c>
      <c r="H7939">
        <v>1.2411179999999999</v>
      </c>
      <c r="I7939">
        <v>134.17779999999999</v>
      </c>
      <c r="J7939">
        <v>-178.358</v>
      </c>
      <c r="K7939">
        <v>1.1049100000000001</v>
      </c>
      <c r="L7939">
        <v>134.2474</v>
      </c>
      <c r="M7939">
        <v>0.79751619999999901</v>
      </c>
      <c r="N7939">
        <v>-1.484455E-2</v>
      </c>
      <c r="O7939">
        <v>0.60311499999999996</v>
      </c>
      <c r="P7939">
        <v>0.88960629999999996</v>
      </c>
      <c r="Q7939">
        <v>0.39826499999999998</v>
      </c>
      <c r="R7939">
        <v>0.22357450000000001</v>
      </c>
      <c r="S7939">
        <v>3.115265</v>
      </c>
      <c r="T7939">
        <v>0.62955689999999997</v>
      </c>
      <c r="U7939">
        <v>-9.1018680000000005E-2</v>
      </c>
      <c r="V7939">
        <v>0.3646992</v>
      </c>
      <c r="W7939">
        <v>0.40505869999999999</v>
      </c>
      <c r="X7939">
        <v>0.83840439999999905</v>
      </c>
      <c r="Y7939">
        <v>0.60210030000000003</v>
      </c>
      <c r="Z7939">
        <v>0.17909129999999901</v>
      </c>
      <c r="AA7939">
        <v>0.77807559999999998</v>
      </c>
      <c r="AB7939">
        <v>19</v>
      </c>
      <c r="AC7939">
        <v>0.59810000000001595</v>
      </c>
      <c r="AD7939">
        <v>0.136207999999999</v>
      </c>
      <c r="AE7939">
        <v>-6.9600000000008294E-2</v>
      </c>
      <c r="AF7939">
        <v>0.39601207814594902</v>
      </c>
      <c r="AG7939">
        <v>0.136207999999999</v>
      </c>
      <c r="AH7939">
        <v>0.41388691647157</v>
      </c>
      <c r="AI7939">
        <v>76.624427537693094</v>
      </c>
      <c r="AJ7939">
        <v>46.264338591561298</v>
      </c>
      <c r="AK7939">
        <v>0.58879586014833596</v>
      </c>
      <c r="AL7939">
        <v>66.105194298228398</v>
      </c>
      <c r="AM7939">
        <v>66.491345598406497</v>
      </c>
      <c r="AN7939">
        <v>0.99999999743284496</v>
      </c>
    </row>
    <row r="7940" spans="1:40" x14ac:dyDescent="0.25">
      <c r="A7940" t="str">
        <f>"20190304165038288"</f>
        <v>20190304165038288</v>
      </c>
      <c r="B7940" t="str">
        <f>"1551689438283777"</f>
        <v>1551689438283777</v>
      </c>
      <c r="C7940" t="s">
        <v>40</v>
      </c>
      <c r="D7940">
        <v>5.2309469999999996</v>
      </c>
      <c r="E7940">
        <v>0.612645199999999</v>
      </c>
      <c r="F7940" t="s">
        <v>60</v>
      </c>
      <c r="G7940">
        <v>0</v>
      </c>
      <c r="H7940">
        <v>0</v>
      </c>
      <c r="I7940">
        <v>0</v>
      </c>
      <c r="J7940">
        <v>-178.2739</v>
      </c>
      <c r="K7940">
        <v>1.104941</v>
      </c>
      <c r="L7940">
        <v>134.30160000000001</v>
      </c>
      <c r="M7940">
        <v>0.80140040000000001</v>
      </c>
      <c r="N7940">
        <v>-1.484313E-2</v>
      </c>
      <c r="O7940">
        <v>0.59794409999999998</v>
      </c>
      <c r="P7940">
        <v>0.89003349999999903</v>
      </c>
      <c r="Q7940">
        <v>0.39962979999999998</v>
      </c>
      <c r="R7940">
        <v>0.21940119999999999</v>
      </c>
      <c r="S7940">
        <v>3.1120299999999999</v>
      </c>
      <c r="T7940">
        <v>0.6371559</v>
      </c>
      <c r="U7940">
        <v>-9.944153E-2</v>
      </c>
      <c r="V7940">
        <v>0.36282829999999999</v>
      </c>
      <c r="W7940">
        <v>0.40647420000000001</v>
      </c>
      <c r="X7940">
        <v>0.83853109999999997</v>
      </c>
      <c r="Y7940">
        <v>0.59871450000000004</v>
      </c>
      <c r="Z7940">
        <v>0.1800872</v>
      </c>
      <c r="AA7940">
        <v>0.7804548</v>
      </c>
      <c r="AB7940">
        <v>19</v>
      </c>
      <c r="AC7940">
        <v>3.1120299999999999</v>
      </c>
      <c r="AD7940">
        <v>0.6371559</v>
      </c>
      <c r="AE7940">
        <v>-9.944153E-2</v>
      </c>
      <c r="AF7940">
        <v>1.8627235968242799</v>
      </c>
      <c r="AG7940">
        <v>0.6371559</v>
      </c>
      <c r="AH7940">
        <v>2.33692952038448</v>
      </c>
      <c r="AI7940">
        <v>77.964490350049402</v>
      </c>
      <c r="AJ7940">
        <v>51.442294398444197</v>
      </c>
      <c r="AK7940">
        <v>3.0556417365776398</v>
      </c>
      <c r="AL7940">
        <v>66.016459579177706</v>
      </c>
      <c r="AM7940">
        <v>66.6021012210051</v>
      </c>
      <c r="AN7940">
        <v>1.00000002810686</v>
      </c>
    </row>
    <row r="7941" spans="1:40" x14ac:dyDescent="0.25">
      <c r="A7941" t="str">
        <f>"20190304165038301"</f>
        <v>20190304165038301</v>
      </c>
      <c r="B7941" t="str">
        <f>"1551689438293537"</f>
        <v>1551689438293537</v>
      </c>
      <c r="C7941" t="s">
        <v>40</v>
      </c>
      <c r="D7941">
        <v>5.2035269999999896</v>
      </c>
      <c r="E7941">
        <v>0.61199019999999904</v>
      </c>
      <c r="F7941" t="s">
        <v>41</v>
      </c>
      <c r="G7941">
        <v>-177.62530000000001</v>
      </c>
      <c r="H7941">
        <v>1.238688</v>
      </c>
      <c r="I7941">
        <v>134.27850000000001</v>
      </c>
      <c r="J7941">
        <v>-178.19059999999999</v>
      </c>
      <c r="K7941">
        <v>1.1049719999999901</v>
      </c>
      <c r="L7941">
        <v>134.35470000000001</v>
      </c>
      <c r="M7941">
        <v>0.80520259999999999</v>
      </c>
      <c r="N7941">
        <v>-1.4841409999999999E-2</v>
      </c>
      <c r="O7941">
        <v>0.59281410000000001</v>
      </c>
      <c r="P7941">
        <v>0.89018449999999905</v>
      </c>
      <c r="Q7941">
        <v>0.40160289999999998</v>
      </c>
      <c r="R7941">
        <v>0.21514440000000001</v>
      </c>
      <c r="S7941">
        <v>3.1098479999999999</v>
      </c>
      <c r="T7941">
        <v>0.64125350000000003</v>
      </c>
      <c r="U7941">
        <v>-0.1099701</v>
      </c>
      <c r="V7941">
        <v>0.36095369999999999</v>
      </c>
      <c r="W7941">
        <v>0.40849299999999999</v>
      </c>
      <c r="X7941">
        <v>0.83835910000000002</v>
      </c>
      <c r="Y7941">
        <v>0.59616899999999995</v>
      </c>
      <c r="Z7941">
        <v>0.18014649999999999</v>
      </c>
      <c r="AA7941">
        <v>0.78238730000000001</v>
      </c>
      <c r="AB7941">
        <v>19</v>
      </c>
      <c r="AC7941">
        <v>0.56529999999997904</v>
      </c>
      <c r="AD7941">
        <v>0.133716</v>
      </c>
      <c r="AE7941">
        <v>-7.6200000000000004E-2</v>
      </c>
      <c r="AF7941">
        <v>0.37586323505455099</v>
      </c>
      <c r="AG7941">
        <v>0.133716</v>
      </c>
      <c r="AH7941">
        <v>0.38869398832125601</v>
      </c>
      <c r="AI7941">
        <v>76.109351691229094</v>
      </c>
      <c r="AJ7941">
        <v>45.961444068852003</v>
      </c>
      <c r="AK7941">
        <v>0.55698847086699799</v>
      </c>
      <c r="AL7941">
        <v>65.889798575847706</v>
      </c>
      <c r="AM7941">
        <v>66.705809661759105</v>
      </c>
      <c r="AN7941">
        <v>1.00000004257274</v>
      </c>
    </row>
    <row r="7942" spans="1:40" x14ac:dyDescent="0.25">
      <c r="A7942" t="str">
        <f>"20190304165038318"</f>
        <v>20190304165038318</v>
      </c>
      <c r="B7942" t="str">
        <f>"1551689438313056"</f>
        <v>1551689438313056</v>
      </c>
      <c r="C7942" t="s">
        <v>40</v>
      </c>
      <c r="D7942">
        <v>5.1163740000000004</v>
      </c>
      <c r="E7942">
        <v>0.59194369999999996</v>
      </c>
      <c r="F7942" t="s">
        <v>60</v>
      </c>
      <c r="G7942">
        <v>0</v>
      </c>
      <c r="H7942">
        <v>0</v>
      </c>
      <c r="I7942">
        <v>0</v>
      </c>
      <c r="J7942">
        <v>-178.06549999999999</v>
      </c>
      <c r="K7942">
        <v>1.1050150000000001</v>
      </c>
      <c r="L7942">
        <v>134.43299999999999</v>
      </c>
      <c r="M7942">
        <v>0.81081530000000002</v>
      </c>
      <c r="N7942">
        <v>-1.4838189999999999E-2</v>
      </c>
      <c r="O7942">
        <v>0.58511400000000002</v>
      </c>
      <c r="P7942">
        <v>0.89098739999999998</v>
      </c>
      <c r="Q7942">
        <v>0.40384999999999999</v>
      </c>
      <c r="R7942">
        <v>0.20747769999999999</v>
      </c>
      <c r="S7942">
        <v>3.10527</v>
      </c>
      <c r="T7942">
        <v>0.65131569999999905</v>
      </c>
      <c r="U7942">
        <v>-0.1200256</v>
      </c>
      <c r="V7942">
        <v>0.35958030000000002</v>
      </c>
      <c r="W7942">
        <v>0.41077979999999997</v>
      </c>
      <c r="X7942">
        <v>0.83783169999999996</v>
      </c>
      <c r="Y7942">
        <v>0.59067400000000003</v>
      </c>
      <c r="Z7942">
        <v>0.18113650000000001</v>
      </c>
      <c r="AA7942">
        <v>0.78631660000000003</v>
      </c>
      <c r="AB7942">
        <v>19</v>
      </c>
      <c r="AC7942">
        <v>3.10527</v>
      </c>
      <c r="AD7942">
        <v>0.65131569999999905</v>
      </c>
      <c r="AE7942">
        <v>-0.1200256</v>
      </c>
      <c r="AF7942">
        <v>1.8339074167807199</v>
      </c>
      <c r="AG7942">
        <v>0.65131569999999905</v>
      </c>
      <c r="AH7942">
        <v>2.3448384583745998</v>
      </c>
      <c r="AI7942">
        <v>77.658426565358596</v>
      </c>
      <c r="AJ7942">
        <v>51.970896937069</v>
      </c>
      <c r="AK7942">
        <v>3.0472439925713899</v>
      </c>
      <c r="AL7942">
        <v>65.746169884404694</v>
      </c>
      <c r="AM7942">
        <v>66.771975889589996</v>
      </c>
      <c r="AN7942">
        <v>0.999999996880509</v>
      </c>
    </row>
    <row r="7943" spans="1:40" x14ac:dyDescent="0.25">
      <c r="A7943" t="str">
        <f>"20190304165038332"</f>
        <v>20190304165038332</v>
      </c>
      <c r="B7943" t="str">
        <f>"1551689438323792"</f>
        <v>1551689438323792</v>
      </c>
      <c r="C7943" t="s">
        <v>40</v>
      </c>
      <c r="D7943">
        <v>5.1271709999999997</v>
      </c>
      <c r="E7943">
        <v>0.59144039999999998</v>
      </c>
      <c r="F7943" t="s">
        <v>60</v>
      </c>
      <c r="G7943">
        <v>0</v>
      </c>
      <c r="H7943">
        <v>0</v>
      </c>
      <c r="I7943">
        <v>0</v>
      </c>
      <c r="J7943">
        <v>-177.96109999999999</v>
      </c>
      <c r="K7943">
        <v>1.105051</v>
      </c>
      <c r="L7943">
        <v>134.49709999999999</v>
      </c>
      <c r="M7943">
        <v>0.81541540000000001</v>
      </c>
      <c r="N7943">
        <v>-1.483486E-2</v>
      </c>
      <c r="O7943">
        <v>0.57868619999999904</v>
      </c>
      <c r="P7943">
        <v>0.8915402</v>
      </c>
      <c r="Q7943">
        <v>0.40568890000000002</v>
      </c>
      <c r="R7943">
        <v>0.20142679999999999</v>
      </c>
      <c r="S7943">
        <v>2.914139</v>
      </c>
      <c r="T7943">
        <v>1.030041</v>
      </c>
      <c r="U7943">
        <v>-6.0012820000000001E-2</v>
      </c>
      <c r="V7943">
        <v>0.35815609999999998</v>
      </c>
      <c r="W7943">
        <v>0.4126553</v>
      </c>
      <c r="X7943">
        <v>0.83752009999999899</v>
      </c>
      <c r="Y7943">
        <v>0.52994839999999999</v>
      </c>
      <c r="Z7943">
        <v>0.2840317</v>
      </c>
      <c r="AA7943">
        <v>0.79904989999999998</v>
      </c>
      <c r="AB7943">
        <v>19</v>
      </c>
      <c r="AC7943">
        <v>2.914139</v>
      </c>
      <c r="AD7943">
        <v>1.030041</v>
      </c>
      <c r="AE7943">
        <v>-6.0012820000000001E-2</v>
      </c>
      <c r="AF7943">
        <v>1.5428252243234499</v>
      </c>
      <c r="AG7943">
        <v>1.030041</v>
      </c>
      <c r="AH7943">
        <v>2.0817829303550601</v>
      </c>
      <c r="AI7943">
        <v>68.3211596939001</v>
      </c>
      <c r="AJ7943">
        <v>53.457573345565599</v>
      </c>
      <c r="AK7943">
        <v>2.7883891951460802</v>
      </c>
      <c r="AL7943">
        <v>65.628255283728606</v>
      </c>
      <c r="AM7943">
        <v>66.846568116437794</v>
      </c>
      <c r="AN7943">
        <v>1.00000005324465</v>
      </c>
    </row>
    <row r="7944" spans="1:40" x14ac:dyDescent="0.25">
      <c r="A7944" t="str">
        <f>"20190304165038346"</f>
        <v>20190304165038346</v>
      </c>
      <c r="B7944" t="str">
        <f>"1551689438343313"</f>
        <v>1551689438343313</v>
      </c>
      <c r="C7944" t="s">
        <v>40</v>
      </c>
      <c r="D7944">
        <v>5.1501440000000001</v>
      </c>
      <c r="E7944">
        <v>0.59054869999999904</v>
      </c>
      <c r="F7944" t="s">
        <v>60</v>
      </c>
      <c r="G7944">
        <v>0</v>
      </c>
      <c r="H7944">
        <v>0</v>
      </c>
      <c r="I7944">
        <v>0</v>
      </c>
      <c r="J7944">
        <v>-177.8648</v>
      </c>
      <c r="K7944">
        <v>1.1050949999999999</v>
      </c>
      <c r="L7944">
        <v>134.55500000000001</v>
      </c>
      <c r="M7944">
        <v>0.8195848</v>
      </c>
      <c r="N7944">
        <v>-1.483137E-2</v>
      </c>
      <c r="O7944">
        <v>0.57276590000000005</v>
      </c>
      <c r="P7944">
        <v>0.89105780000000001</v>
      </c>
      <c r="Q7944">
        <v>0.4090358</v>
      </c>
      <c r="R7944">
        <v>0.196738</v>
      </c>
      <c r="S7944">
        <v>2.8806609999999999</v>
      </c>
      <c r="T7944">
        <v>1.108606</v>
      </c>
      <c r="U7944">
        <v>-8.9294429999999994E-2</v>
      </c>
      <c r="V7944">
        <v>0.35563460000000002</v>
      </c>
      <c r="W7944">
        <v>0.41604859999999999</v>
      </c>
      <c r="X7944">
        <v>0.83691559999999898</v>
      </c>
      <c r="Y7944">
        <v>0.52174779999999998</v>
      </c>
      <c r="Z7944">
        <v>0.30385230000000002</v>
      </c>
      <c r="AA7944">
        <v>0.79715309999999995</v>
      </c>
      <c r="AB7944">
        <v>19</v>
      </c>
      <c r="AC7944">
        <v>2.8806609999999999</v>
      </c>
      <c r="AD7944">
        <v>1.108606</v>
      </c>
      <c r="AE7944">
        <v>-8.9294429999999994E-2</v>
      </c>
      <c r="AF7944">
        <v>1.50119677093672</v>
      </c>
      <c r="AG7944">
        <v>1.108606</v>
      </c>
      <c r="AH7944">
        <v>2.0123081660548801</v>
      </c>
      <c r="AI7944">
        <v>66.174949201403393</v>
      </c>
      <c r="AJ7944">
        <v>53.276789214233098</v>
      </c>
      <c r="AK7944">
        <v>2.7444458754870702</v>
      </c>
      <c r="AL7944">
        <v>65.414632483281395</v>
      </c>
      <c r="AM7944">
        <v>66.977670084754905</v>
      </c>
      <c r="AN7944">
        <v>1.0000000639012301</v>
      </c>
    </row>
    <row r="7945" spans="1:40" x14ac:dyDescent="0.25">
      <c r="A7945" t="str">
        <f>"20190304165038359"</f>
        <v>20190304165038359</v>
      </c>
      <c r="B7945" t="str">
        <f>"1551689438353073"</f>
        <v>1551689438353073</v>
      </c>
      <c r="C7945" t="s">
        <v>40</v>
      </c>
      <c r="D7945">
        <v>5.1175860000000002</v>
      </c>
      <c r="E7945">
        <v>0.59023579999999998</v>
      </c>
      <c r="F7945" t="s">
        <v>60</v>
      </c>
      <c r="G7945">
        <v>0</v>
      </c>
      <c r="H7945">
        <v>0</v>
      </c>
      <c r="I7945">
        <v>0</v>
      </c>
      <c r="J7945">
        <v>-177.7647</v>
      </c>
      <c r="K7945">
        <v>1.1051260000000001</v>
      </c>
      <c r="L7945">
        <v>134.61449999999999</v>
      </c>
      <c r="M7945">
        <v>0.82385549999999996</v>
      </c>
      <c r="N7945">
        <v>-1.482754E-2</v>
      </c>
      <c r="O7945">
        <v>0.56660600000000005</v>
      </c>
      <c r="P7945">
        <v>0.89157949999999997</v>
      </c>
      <c r="Q7945">
        <v>0.41047099999999997</v>
      </c>
      <c r="R7945">
        <v>0.19131100000000001</v>
      </c>
      <c r="S7945">
        <v>2.8505859999999998</v>
      </c>
      <c r="T7945">
        <v>1.1763969999999999</v>
      </c>
      <c r="U7945">
        <v>-0.1079254</v>
      </c>
      <c r="V7945">
        <v>0.35407149999999998</v>
      </c>
      <c r="W7945">
        <v>0.41752270000000002</v>
      </c>
      <c r="X7945">
        <v>0.83684419999999904</v>
      </c>
      <c r="Y7945">
        <v>0.51155439999999996</v>
      </c>
      <c r="Z7945">
        <v>0.319795099999999</v>
      </c>
      <c r="AA7945">
        <v>0.79752319999999999</v>
      </c>
      <c r="AB7945">
        <v>19</v>
      </c>
      <c r="AC7945">
        <v>2.8505859999999998</v>
      </c>
      <c r="AD7945">
        <v>1.1763969999999999</v>
      </c>
      <c r="AE7945">
        <v>-0.1079254</v>
      </c>
      <c r="AF7945">
        <v>1.45655148812094</v>
      </c>
      <c r="AG7945">
        <v>1.1763969999999999</v>
      </c>
      <c r="AH7945">
        <v>1.9550787666648799</v>
      </c>
      <c r="AI7945">
        <v>64.241567783160903</v>
      </c>
      <c r="AJ7945">
        <v>53.313553718633997</v>
      </c>
      <c r="AK7945">
        <v>2.7069882014926101</v>
      </c>
      <c r="AL7945">
        <v>65.3217169323284</v>
      </c>
      <c r="AM7945">
        <v>67.066620204805403</v>
      </c>
      <c r="AN7945">
        <v>1.0000000236005799</v>
      </c>
    </row>
    <row r="7946" spans="1:40" x14ac:dyDescent="0.25">
      <c r="A7946" t="str">
        <f>"20190304165038371"</f>
        <v>20190304165038371</v>
      </c>
      <c r="B7946" t="str">
        <f>"1551689438363808"</f>
        <v>1551689438363808</v>
      </c>
      <c r="C7946" t="s">
        <v>40</v>
      </c>
      <c r="D7946">
        <v>5.1234590000000004</v>
      </c>
      <c r="E7946">
        <v>0.58982860000000004</v>
      </c>
      <c r="F7946" t="s">
        <v>60</v>
      </c>
      <c r="G7946">
        <v>0</v>
      </c>
      <c r="H7946">
        <v>0</v>
      </c>
      <c r="I7946">
        <v>0</v>
      </c>
      <c r="J7946">
        <v>-177.67189999999999</v>
      </c>
      <c r="K7946">
        <v>1.1051550000000001</v>
      </c>
      <c r="L7946">
        <v>134.6687</v>
      </c>
      <c r="M7946">
        <v>0.8277542</v>
      </c>
      <c r="N7946">
        <v>-1.482344E-2</v>
      </c>
      <c r="O7946">
        <v>0.56089509999999998</v>
      </c>
      <c r="P7946">
        <v>0.89219570000000004</v>
      </c>
      <c r="Q7946">
        <v>0.41162090000000001</v>
      </c>
      <c r="R7946">
        <v>0.18589040000000001</v>
      </c>
      <c r="S7946">
        <v>2.8413539999999999</v>
      </c>
      <c r="T7946">
        <v>1.1955129999999901</v>
      </c>
      <c r="U7946">
        <v>-0.12545780000000001</v>
      </c>
      <c r="V7946">
        <v>0.3530624</v>
      </c>
      <c r="W7946">
        <v>0.41870039999999997</v>
      </c>
      <c r="X7946">
        <v>0.83668209999999998</v>
      </c>
      <c r="Y7946">
        <v>0.50842330000000002</v>
      </c>
      <c r="Z7946">
        <v>0.32287270000000001</v>
      </c>
      <c r="AA7946">
        <v>0.79828509999999997</v>
      </c>
      <c r="AB7946">
        <v>19</v>
      </c>
      <c r="AC7946">
        <v>2.8413539999999999</v>
      </c>
      <c r="AD7946">
        <v>1.1955129999999901</v>
      </c>
      <c r="AE7946">
        <v>-0.12545780000000001</v>
      </c>
      <c r="AF7946">
        <v>1.4428066845585801</v>
      </c>
      <c r="AG7946">
        <v>1.1955129999999901</v>
      </c>
      <c r="AH7946">
        <v>1.9391892730817699</v>
      </c>
      <c r="AI7946">
        <v>63.682267813347401</v>
      </c>
      <c r="AJ7946">
        <v>53.349804168581102</v>
      </c>
      <c r="AK7946">
        <v>2.6965528919365398</v>
      </c>
      <c r="AL7946">
        <v>65.247434793182506</v>
      </c>
      <c r="AM7946">
        <v>67.121269319301604</v>
      </c>
      <c r="AN7946">
        <v>1.00000000985716</v>
      </c>
    </row>
    <row r="7947" spans="1:40" x14ac:dyDescent="0.25">
      <c r="A7947" t="str">
        <f>"20190304165038383"</f>
        <v>20190304165038383</v>
      </c>
      <c r="B7947" t="str">
        <f>"1551689438373568"</f>
        <v>1551689438373568</v>
      </c>
      <c r="C7947" t="s">
        <v>40</v>
      </c>
      <c r="D7947">
        <v>5.0994010000000003</v>
      </c>
      <c r="E7947">
        <v>0.58938480000000004</v>
      </c>
      <c r="F7947" t="s">
        <v>60</v>
      </c>
      <c r="G7947">
        <v>0</v>
      </c>
      <c r="H7947">
        <v>0</v>
      </c>
      <c r="I7947">
        <v>0</v>
      </c>
      <c r="J7947">
        <v>-177.58619999999999</v>
      </c>
      <c r="K7947">
        <v>1.105183</v>
      </c>
      <c r="L7947">
        <v>134.71789999999999</v>
      </c>
      <c r="M7947">
        <v>0.83130040000000005</v>
      </c>
      <c r="N7947">
        <v>-1.481917E-2</v>
      </c>
      <c r="O7947">
        <v>0.55562590000000001</v>
      </c>
      <c r="P7947">
        <v>0.892657699999999</v>
      </c>
      <c r="Q7947">
        <v>0.41272989999999998</v>
      </c>
      <c r="R7947">
        <v>0.18115300000000001</v>
      </c>
      <c r="S7947">
        <v>2.833771</v>
      </c>
      <c r="T7947">
        <v>1.2099629999999999</v>
      </c>
      <c r="U7947">
        <v>-0.141586299999999</v>
      </c>
      <c r="V7947">
        <v>0.3518926</v>
      </c>
      <c r="W7947">
        <v>0.41984080000000001</v>
      </c>
      <c r="X7947">
        <v>0.83660349999999895</v>
      </c>
      <c r="Y7947">
        <v>0.50600920000000005</v>
      </c>
      <c r="Z7947">
        <v>0.32485229999999998</v>
      </c>
      <c r="AA7947">
        <v>0.79901540000000004</v>
      </c>
      <c r="AB7947">
        <v>19</v>
      </c>
      <c r="AC7947">
        <v>2.833771</v>
      </c>
      <c r="AD7947">
        <v>1.2099629999999999</v>
      </c>
      <c r="AE7947">
        <v>-0.141586299999999</v>
      </c>
      <c r="AF7947">
        <v>1.43198539610104</v>
      </c>
      <c r="AG7947">
        <v>1.2099629999999999</v>
      </c>
      <c r="AH7947">
        <v>1.92687814256297</v>
      </c>
      <c r="AI7947">
        <v>63.251863652243898</v>
      </c>
      <c r="AJ7947">
        <v>53.381617828458602</v>
      </c>
      <c r="AK7947">
        <v>2.6883920867876698</v>
      </c>
      <c r="AL7947">
        <v>65.175464592481504</v>
      </c>
      <c r="AM7947">
        <v>67.187378905999793</v>
      </c>
      <c r="AN7947">
        <v>1.0000000577458199</v>
      </c>
    </row>
    <row r="7948" spans="1:40" x14ac:dyDescent="0.25">
      <c r="A7948" t="str">
        <f>"20190304165038394"</f>
        <v>20190304165038394</v>
      </c>
      <c r="B7948" t="str">
        <f>"1551689438383330"</f>
        <v>1551689438383330</v>
      </c>
      <c r="C7948" t="s">
        <v>40</v>
      </c>
      <c r="D7948">
        <v>5.1125530000000001</v>
      </c>
      <c r="E7948">
        <v>0.5891459</v>
      </c>
      <c r="F7948" t="s">
        <v>60</v>
      </c>
      <c r="G7948">
        <v>0</v>
      </c>
      <c r="H7948">
        <v>0</v>
      </c>
      <c r="I7948">
        <v>0</v>
      </c>
      <c r="J7948">
        <v>-177.50020000000001</v>
      </c>
      <c r="K7948">
        <v>1.10521</v>
      </c>
      <c r="L7948">
        <v>134.76679999999999</v>
      </c>
      <c r="M7948">
        <v>0.83481090000000002</v>
      </c>
      <c r="N7948">
        <v>-1.481479E-2</v>
      </c>
      <c r="O7948">
        <v>0.55033750000000003</v>
      </c>
      <c r="P7948">
        <v>0.89318069999999905</v>
      </c>
      <c r="Q7948">
        <v>0.41369070000000002</v>
      </c>
      <c r="R7948">
        <v>0.176318899999999</v>
      </c>
      <c r="S7948">
        <v>2.8279269999999999</v>
      </c>
      <c r="T7948">
        <v>1.2200390000000001</v>
      </c>
      <c r="U7948">
        <v>-0.154174799999999</v>
      </c>
      <c r="V7948">
        <v>0.35085189999999999</v>
      </c>
      <c r="W7948">
        <v>0.42083110000000001</v>
      </c>
      <c r="X7948">
        <v>0.83654300000000004</v>
      </c>
      <c r="Y7948">
        <v>0.50334489999999998</v>
      </c>
      <c r="Z7948">
        <v>0.325466799999999</v>
      </c>
      <c r="AA7948">
        <v>0.80044689999999996</v>
      </c>
      <c r="AB7948">
        <v>19</v>
      </c>
      <c r="AC7948">
        <v>2.8279269999999999</v>
      </c>
      <c r="AD7948">
        <v>1.2200390000000001</v>
      </c>
      <c r="AE7948">
        <v>-0.154174799999999</v>
      </c>
      <c r="AF7948">
        <v>1.4214236570751699</v>
      </c>
      <c r="AG7948">
        <v>1.2200390000000001</v>
      </c>
      <c r="AH7948">
        <v>1.9198984922228599</v>
      </c>
      <c r="AI7948">
        <v>62.945282175411798</v>
      </c>
      <c r="AJ7948">
        <v>53.485086445288204</v>
      </c>
      <c r="AK7948">
        <v>2.6823405068808102</v>
      </c>
      <c r="AL7948">
        <v>65.112931386592805</v>
      </c>
      <c r="AM7948">
        <v>67.246487295737296</v>
      </c>
      <c r="AN7948">
        <v>1.0000000306549</v>
      </c>
    </row>
    <row r="7949" spans="1:40" x14ac:dyDescent="0.25">
      <c r="A7949" t="str">
        <f>"20190304165038405"</f>
        <v>20190304165038405</v>
      </c>
      <c r="B7949" t="str">
        <f>"1551689438393089"</f>
        <v>1551689438393089</v>
      </c>
      <c r="C7949" t="s">
        <v>40</v>
      </c>
      <c r="D7949">
        <v>5.0814879999999896</v>
      </c>
      <c r="E7949">
        <v>0.58858199999999905</v>
      </c>
      <c r="F7949" t="s">
        <v>60</v>
      </c>
      <c r="G7949">
        <v>0</v>
      </c>
      <c r="H7949">
        <v>0</v>
      </c>
      <c r="I7949">
        <v>0</v>
      </c>
      <c r="J7949">
        <v>-177.416</v>
      </c>
      <c r="K7949">
        <v>1.1052409999999999</v>
      </c>
      <c r="L7949">
        <v>134.81360000000001</v>
      </c>
      <c r="M7949">
        <v>0.83819460000000001</v>
      </c>
      <c r="N7949">
        <v>-1.480941E-2</v>
      </c>
      <c r="O7949">
        <v>0.54517019999999905</v>
      </c>
      <c r="P7949">
        <v>0.89375280000000001</v>
      </c>
      <c r="Q7949">
        <v>0.41445330000000002</v>
      </c>
      <c r="R7949">
        <v>0.17156559999999901</v>
      </c>
      <c r="S7949">
        <v>2.8231809999999999</v>
      </c>
      <c r="T7949">
        <v>1.228181</v>
      </c>
      <c r="U7949">
        <v>-0.1685181</v>
      </c>
      <c r="V7949">
        <v>0.34992220000000002</v>
      </c>
      <c r="W7949">
        <v>0.42162379999999999</v>
      </c>
      <c r="X7949">
        <v>0.83653319999999998</v>
      </c>
      <c r="Y7949">
        <v>0.50157280000000004</v>
      </c>
      <c r="Z7949">
        <v>0.32568000000000003</v>
      </c>
      <c r="AA7949">
        <v>0.80147190000000001</v>
      </c>
      <c r="AB7949">
        <v>19</v>
      </c>
      <c r="AC7949">
        <v>2.8231809999999999</v>
      </c>
      <c r="AD7949">
        <v>1.228181</v>
      </c>
      <c r="AE7949">
        <v>-0.1685181</v>
      </c>
      <c r="AF7949">
        <v>1.41390991592404</v>
      </c>
      <c r="AG7949">
        <v>1.228181</v>
      </c>
      <c r="AH7949">
        <v>1.91383632576412</v>
      </c>
      <c r="AI7949">
        <v>62.699213844930803</v>
      </c>
      <c r="AJ7949">
        <v>53.543637933747704</v>
      </c>
      <c r="AK7949">
        <v>2.6777489241756101</v>
      </c>
      <c r="AL7949">
        <v>65.062852305772495</v>
      </c>
      <c r="AM7949">
        <v>67.300420736832507</v>
      </c>
      <c r="AN7949">
        <v>0.99999998474075902</v>
      </c>
    </row>
    <row r="7950" spans="1:40" x14ac:dyDescent="0.25">
      <c r="A7950" t="str">
        <f>"20190304165038418"</f>
        <v>20190304165038418</v>
      </c>
      <c r="B7950" t="str">
        <f>"1551689438413585"</f>
        <v>1551689438413585</v>
      </c>
      <c r="C7950" t="s">
        <v>40</v>
      </c>
      <c r="D7950">
        <v>5.0307500000000003</v>
      </c>
      <c r="E7950">
        <v>0.58776980000000001</v>
      </c>
      <c r="F7950" t="s">
        <v>60</v>
      </c>
      <c r="G7950">
        <v>0</v>
      </c>
      <c r="H7950">
        <v>0</v>
      </c>
      <c r="I7950">
        <v>0</v>
      </c>
      <c r="J7950">
        <v>-177.32380000000001</v>
      </c>
      <c r="K7950">
        <v>1.105259</v>
      </c>
      <c r="L7950">
        <v>134.86449999999999</v>
      </c>
      <c r="M7950">
        <v>0.84184729999999997</v>
      </c>
      <c r="N7950">
        <v>-1.480334E-2</v>
      </c>
      <c r="O7950">
        <v>0.53951280000000001</v>
      </c>
      <c r="P7950">
        <v>0.89433689999999999</v>
      </c>
      <c r="Q7950">
        <v>0.4152672</v>
      </c>
      <c r="R7950">
        <v>0.1664784</v>
      </c>
      <c r="S7950">
        <v>2.820084</v>
      </c>
      <c r="T7950">
        <v>1.231233</v>
      </c>
      <c r="U7950">
        <v>-0.1792755</v>
      </c>
      <c r="V7950">
        <v>0.34882010000000002</v>
      </c>
      <c r="W7950">
        <v>0.42247370000000001</v>
      </c>
      <c r="X7950">
        <v>0.83656469999999905</v>
      </c>
      <c r="Y7950">
        <v>0.49924010000000002</v>
      </c>
      <c r="Z7950">
        <v>0.32417010000000002</v>
      </c>
      <c r="AA7950">
        <v>0.80353779999999997</v>
      </c>
      <c r="AB7950">
        <v>19</v>
      </c>
      <c r="AC7950">
        <v>2.820084</v>
      </c>
      <c r="AD7950">
        <v>1.231233</v>
      </c>
      <c r="AE7950">
        <v>-0.1792755</v>
      </c>
      <c r="AF7950">
        <v>1.4057072401222399</v>
      </c>
      <c r="AG7950">
        <v>1.231233</v>
      </c>
      <c r="AH7950">
        <v>1.9142017707427299</v>
      </c>
      <c r="AI7950">
        <v>62.596228180966698</v>
      </c>
      <c r="AJ7950">
        <v>53.708044735206101</v>
      </c>
      <c r="AK7950">
        <v>2.67509176746064</v>
      </c>
      <c r="AL7950">
        <v>65.009138515748404</v>
      </c>
      <c r="AM7950">
        <v>67.365461091472298</v>
      </c>
      <c r="AN7950">
        <v>0.99999999332089495</v>
      </c>
    </row>
    <row r="7951" spans="1:40" x14ac:dyDescent="0.25">
      <c r="A7951" t="str">
        <f>"20190304165038429"</f>
        <v>20190304165038429</v>
      </c>
      <c r="B7951" t="str">
        <f>"1551689438423345"</f>
        <v>1551689438423345</v>
      </c>
      <c r="C7951" t="s">
        <v>40</v>
      </c>
      <c r="D7951">
        <v>5.0233840000000001</v>
      </c>
      <c r="E7951">
        <v>0.58726129999999999</v>
      </c>
      <c r="F7951" t="s">
        <v>60</v>
      </c>
      <c r="G7951">
        <v>0</v>
      </c>
      <c r="H7951">
        <v>0</v>
      </c>
      <c r="I7951">
        <v>0</v>
      </c>
      <c r="J7951">
        <v>-177.2354</v>
      </c>
      <c r="K7951">
        <v>1.105291</v>
      </c>
      <c r="L7951">
        <v>134.91220000000001</v>
      </c>
      <c r="M7951">
        <v>0.84528780000000003</v>
      </c>
      <c r="N7951">
        <v>-1.479634E-2</v>
      </c>
      <c r="O7951">
        <v>0.53410639999999998</v>
      </c>
      <c r="P7951">
        <v>0.89494789999999902</v>
      </c>
      <c r="Q7951">
        <v>0.41577009999999998</v>
      </c>
      <c r="R7951">
        <v>0.1618752</v>
      </c>
      <c r="S7951">
        <v>2.8166199999999999</v>
      </c>
      <c r="T7951">
        <v>1.234067</v>
      </c>
      <c r="U7951">
        <v>-0.18904109999999999</v>
      </c>
      <c r="V7951">
        <v>0.347605</v>
      </c>
      <c r="W7951">
        <v>0.42301860000000002</v>
      </c>
      <c r="X7951">
        <v>0.83679509999999901</v>
      </c>
      <c r="Y7951">
        <v>0.49689870000000003</v>
      </c>
      <c r="Z7951">
        <v>0.32271</v>
      </c>
      <c r="AA7951">
        <v>0.80557429999999997</v>
      </c>
      <c r="AB7951">
        <v>19</v>
      </c>
      <c r="AC7951">
        <v>2.8166199999999999</v>
      </c>
      <c r="AD7951">
        <v>1.234067</v>
      </c>
      <c r="AE7951">
        <v>-0.18904109999999999</v>
      </c>
      <c r="AF7951">
        <v>1.39731839198176</v>
      </c>
      <c r="AG7951">
        <v>1.234067</v>
      </c>
      <c r="AH7951">
        <v>1.91430525911889</v>
      </c>
      <c r="AI7951">
        <v>62.494196062557201</v>
      </c>
      <c r="AJ7951">
        <v>53.872985799854398</v>
      </c>
      <c r="AK7951">
        <v>2.6720749753982802</v>
      </c>
      <c r="AL7951">
        <v>64.974688600375103</v>
      </c>
      <c r="AM7951">
        <v>67.441983187031497</v>
      </c>
      <c r="AN7951">
        <v>1.00000000567748</v>
      </c>
    </row>
    <row r="7952" spans="1:40" x14ac:dyDescent="0.25">
      <c r="A7952" t="str">
        <f>"20190304165038441"</f>
        <v>20190304165038441</v>
      </c>
      <c r="B7952" t="str">
        <f>"1551689438433105"</f>
        <v>1551689438433105</v>
      </c>
      <c r="C7952" t="s">
        <v>40</v>
      </c>
      <c r="D7952">
        <v>5.0309460000000001</v>
      </c>
      <c r="E7952">
        <v>0.58676459999999997</v>
      </c>
      <c r="F7952" t="s">
        <v>60</v>
      </c>
      <c r="G7952">
        <v>0</v>
      </c>
      <c r="H7952">
        <v>0</v>
      </c>
      <c r="I7952">
        <v>0</v>
      </c>
      <c r="J7952">
        <v>-177.14510000000001</v>
      </c>
      <c r="K7952">
        <v>1.105329</v>
      </c>
      <c r="L7952">
        <v>134.96039999999999</v>
      </c>
      <c r="M7952">
        <v>0.84874830000000001</v>
      </c>
      <c r="N7952">
        <v>-1.4788559999999999E-2</v>
      </c>
      <c r="O7952">
        <v>0.52859029999999996</v>
      </c>
      <c r="P7952">
        <v>0.89551039999999904</v>
      </c>
      <c r="Q7952">
        <v>0.41633340000000002</v>
      </c>
      <c r="R7952">
        <v>0.15725149999999999</v>
      </c>
      <c r="S7952">
        <v>2.8152309999999998</v>
      </c>
      <c r="T7952">
        <v>1.2332299999999901</v>
      </c>
      <c r="U7952">
        <v>-0.19911190000000001</v>
      </c>
      <c r="V7952">
        <v>0.34630280000000002</v>
      </c>
      <c r="W7952">
        <v>0.42362650000000002</v>
      </c>
      <c r="X7952">
        <v>0.83702749999999904</v>
      </c>
      <c r="Y7952">
        <v>0.49513580000000001</v>
      </c>
      <c r="Z7952">
        <v>0.3202295</v>
      </c>
      <c r="AA7952">
        <v>0.80764689999999995</v>
      </c>
      <c r="AB7952">
        <v>19</v>
      </c>
      <c r="AC7952">
        <v>2.8152309999999998</v>
      </c>
      <c r="AD7952">
        <v>1.2332299999999901</v>
      </c>
      <c r="AE7952">
        <v>-0.19911190000000001</v>
      </c>
      <c r="AF7952">
        <v>1.3915757445195001</v>
      </c>
      <c r="AG7952">
        <v>1.2332299999999901</v>
      </c>
      <c r="AH7952">
        <v>1.9181712676909299</v>
      </c>
      <c r="AI7952">
        <v>62.507612151088502</v>
      </c>
      <c r="AJ7952">
        <v>54.040240249445901</v>
      </c>
      <c r="AK7952">
        <v>2.6714640738422899</v>
      </c>
      <c r="AL7952">
        <v>64.936244759591006</v>
      </c>
      <c r="AM7952">
        <v>67.523687005604799</v>
      </c>
      <c r="AN7952">
        <v>1.00000003827316</v>
      </c>
    </row>
    <row r="7953" spans="1:40" x14ac:dyDescent="0.25">
      <c r="A7953" t="str">
        <f>"20190304165038452"</f>
        <v>20190304165038452</v>
      </c>
      <c r="B7953" t="str">
        <f>"1551689438443841"</f>
        <v>1551689438443841</v>
      </c>
      <c r="C7953" t="s">
        <v>40</v>
      </c>
      <c r="D7953">
        <v>4.9880170000000001</v>
      </c>
      <c r="E7953">
        <v>0.58626309999999904</v>
      </c>
      <c r="F7953" t="s">
        <v>60</v>
      </c>
      <c r="G7953">
        <v>0</v>
      </c>
      <c r="H7953">
        <v>0</v>
      </c>
      <c r="I7953">
        <v>0</v>
      </c>
      <c r="J7953">
        <v>-177.06</v>
      </c>
      <c r="K7953">
        <v>1.105362</v>
      </c>
      <c r="L7953">
        <v>135.00530000000001</v>
      </c>
      <c r="M7953">
        <v>0.85196079999999996</v>
      </c>
      <c r="N7953">
        <v>-1.47807999999999E-2</v>
      </c>
      <c r="O7953">
        <v>0.52339690000000005</v>
      </c>
      <c r="P7953">
        <v>0.89589229999999997</v>
      </c>
      <c r="Q7953">
        <v>0.41704469999999999</v>
      </c>
      <c r="R7953">
        <v>0.15313679999999999</v>
      </c>
      <c r="S7953">
        <v>2.813034</v>
      </c>
      <c r="T7953">
        <v>1.2341770000000001</v>
      </c>
      <c r="U7953">
        <v>-0.2095795</v>
      </c>
      <c r="V7953">
        <v>0.34482770000000001</v>
      </c>
      <c r="W7953">
        <v>0.42438520000000002</v>
      </c>
      <c r="X7953">
        <v>0.83725210000000005</v>
      </c>
      <c r="Y7953">
        <v>0.49349900000000002</v>
      </c>
      <c r="Z7953">
        <v>0.31838339999999998</v>
      </c>
      <c r="AA7953">
        <v>0.80937669999999995</v>
      </c>
      <c r="AB7953">
        <v>19</v>
      </c>
      <c r="AC7953">
        <v>2.813034</v>
      </c>
      <c r="AD7953">
        <v>1.2341770000000001</v>
      </c>
      <c r="AE7953">
        <v>-0.2095795</v>
      </c>
      <c r="AF7953">
        <v>1.3857907608757001</v>
      </c>
      <c r="AG7953">
        <v>1.2341770000000001</v>
      </c>
      <c r="AH7953">
        <v>1.9196754700688701</v>
      </c>
      <c r="AI7953">
        <v>62.468059248147497</v>
      </c>
      <c r="AJ7953">
        <v>54.174932649857503</v>
      </c>
      <c r="AK7953">
        <v>2.6699743089853101</v>
      </c>
      <c r="AL7953">
        <v>64.888245481028704</v>
      </c>
      <c r="AM7953">
        <v>67.615369279800404</v>
      </c>
      <c r="AN7953">
        <v>1.0000000098103701</v>
      </c>
    </row>
    <row r="7954" spans="1:40" x14ac:dyDescent="0.25">
      <c r="A7954" t="str">
        <f>"20190304165038464"</f>
        <v>20190304165038464</v>
      </c>
      <c r="B7954" t="str">
        <f>"1551689438453601"</f>
        <v>1551689438453601</v>
      </c>
      <c r="C7954" t="s">
        <v>40</v>
      </c>
      <c r="D7954">
        <v>5.0045609999999998</v>
      </c>
      <c r="E7954">
        <v>0.5857137</v>
      </c>
      <c r="F7954" t="s">
        <v>60</v>
      </c>
      <c r="G7954">
        <v>0</v>
      </c>
      <c r="H7954">
        <v>0</v>
      </c>
      <c r="I7954">
        <v>0</v>
      </c>
      <c r="J7954">
        <v>-176.97620000000001</v>
      </c>
      <c r="K7954">
        <v>1.1054029999999999</v>
      </c>
      <c r="L7954">
        <v>135.04859999999999</v>
      </c>
      <c r="M7954">
        <v>0.85506759999999904</v>
      </c>
      <c r="N7954">
        <v>-1.477201E-2</v>
      </c>
      <c r="O7954">
        <v>0.5183063</v>
      </c>
      <c r="P7954">
        <v>0.8962232</v>
      </c>
      <c r="Q7954">
        <v>0.41761789999999999</v>
      </c>
      <c r="R7954">
        <v>0.14959729999999999</v>
      </c>
      <c r="S7954">
        <v>2.8107600000000001</v>
      </c>
      <c r="T7954">
        <v>1.235611</v>
      </c>
      <c r="U7954">
        <v>-0.2184296</v>
      </c>
      <c r="V7954">
        <v>0.34295999999999999</v>
      </c>
      <c r="W7954">
        <v>0.42501549999999999</v>
      </c>
      <c r="X7954">
        <v>0.83769939999999998</v>
      </c>
      <c r="Y7954">
        <v>0.49147770000000002</v>
      </c>
      <c r="Z7954">
        <v>0.31660070000000001</v>
      </c>
      <c r="AA7954">
        <v>0.81130369999999996</v>
      </c>
      <c r="AB7954">
        <v>19</v>
      </c>
      <c r="AC7954">
        <v>2.8107600000000001</v>
      </c>
      <c r="AD7954">
        <v>1.235611</v>
      </c>
      <c r="AE7954">
        <v>-0.2184296</v>
      </c>
      <c r="AF7954">
        <v>1.3789127250267601</v>
      </c>
      <c r="AG7954">
        <v>1.235611</v>
      </c>
      <c r="AH7954">
        <v>1.9213558563061599</v>
      </c>
      <c r="AI7954">
        <v>62.414409145690499</v>
      </c>
      <c r="AJ7954">
        <v>54.333869726371901</v>
      </c>
      <c r="AK7954">
        <v>2.6682846874206798</v>
      </c>
      <c r="AL7954">
        <v>64.848355774742402</v>
      </c>
      <c r="AM7954">
        <v>67.7354636819733</v>
      </c>
      <c r="AN7954">
        <v>1.0000000108003</v>
      </c>
    </row>
    <row r="7955" spans="1:40" x14ac:dyDescent="0.25">
      <c r="A7955" t="str">
        <f>"20190304165038477"</f>
        <v>20190304165038477</v>
      </c>
      <c r="B7955" t="str">
        <f>"1551689438473120"</f>
        <v>1551689438473120</v>
      </c>
      <c r="C7955" t="s">
        <v>40</v>
      </c>
      <c r="D7955">
        <v>4.9924489999999997</v>
      </c>
      <c r="E7955">
        <v>0.58485319999999996</v>
      </c>
      <c r="F7955" t="s">
        <v>60</v>
      </c>
      <c r="G7955">
        <v>0</v>
      </c>
      <c r="H7955">
        <v>0</v>
      </c>
      <c r="I7955">
        <v>0</v>
      </c>
      <c r="J7955">
        <v>-176.87700000000001</v>
      </c>
      <c r="K7955">
        <v>1.105451</v>
      </c>
      <c r="L7955">
        <v>135.0994</v>
      </c>
      <c r="M7955">
        <v>0.85869289999999998</v>
      </c>
      <c r="N7955">
        <v>-1.4761420000000001E-2</v>
      </c>
      <c r="O7955">
        <v>0.51227780000000001</v>
      </c>
      <c r="P7955">
        <v>0.89648259999999902</v>
      </c>
      <c r="Q7955">
        <v>0.41855360000000003</v>
      </c>
      <c r="R7955">
        <v>0.14536859999999999</v>
      </c>
      <c r="S7955">
        <v>2.808945</v>
      </c>
      <c r="T7955">
        <v>1.2360359999999999</v>
      </c>
      <c r="U7955">
        <v>-0.22494510000000001</v>
      </c>
      <c r="V7955">
        <v>0.34074579999999999</v>
      </c>
      <c r="W7955">
        <v>0.42601739999999999</v>
      </c>
      <c r="X7955">
        <v>0.83809389999999995</v>
      </c>
      <c r="Y7955">
        <v>0.48825649999999998</v>
      </c>
      <c r="Z7955">
        <v>0.313919</v>
      </c>
      <c r="AA7955">
        <v>0.81428529999999999</v>
      </c>
      <c r="AB7955">
        <v>19</v>
      </c>
      <c r="AC7955">
        <v>2.808945</v>
      </c>
      <c r="AD7955">
        <v>1.2360359999999999</v>
      </c>
      <c r="AE7955">
        <v>-0.22494510000000001</v>
      </c>
      <c r="AF7955">
        <v>1.36891999380958</v>
      </c>
      <c r="AG7955">
        <v>1.2360359999999999</v>
      </c>
      <c r="AH7955">
        <v>1.92640208445228</v>
      </c>
      <c r="AI7955">
        <v>62.389396485980001</v>
      </c>
      <c r="AJ7955">
        <v>54.602029764767899</v>
      </c>
      <c r="AK7955">
        <v>2.6669743031626099</v>
      </c>
      <c r="AL7955">
        <v>64.784920272577693</v>
      </c>
      <c r="AM7955">
        <v>67.874700876263603</v>
      </c>
      <c r="AN7955">
        <v>0.99999995526880303</v>
      </c>
    </row>
    <row r="7956" spans="1:40" x14ac:dyDescent="0.25">
      <c r="A7956" t="str">
        <f>"20190304165038490"</f>
        <v>20190304165038490</v>
      </c>
      <c r="B7956" t="str">
        <f>"1551689438483458"</f>
        <v>1551689438483458</v>
      </c>
      <c r="C7956" t="s">
        <v>40</v>
      </c>
      <c r="D7956">
        <v>4.9402410000000003</v>
      </c>
      <c r="E7956">
        <v>0.58445649999999905</v>
      </c>
      <c r="F7956" t="s">
        <v>60</v>
      </c>
      <c r="G7956">
        <v>0</v>
      </c>
      <c r="H7956">
        <v>0</v>
      </c>
      <c r="I7956">
        <v>0</v>
      </c>
      <c r="J7956">
        <v>-176.77189999999999</v>
      </c>
      <c r="K7956">
        <v>1.10551</v>
      </c>
      <c r="L7956">
        <v>135.15209999999999</v>
      </c>
      <c r="M7956">
        <v>0.8624444</v>
      </c>
      <c r="N7956">
        <v>-1.474877E-2</v>
      </c>
      <c r="O7956">
        <v>0.50593699999999997</v>
      </c>
      <c r="P7956">
        <v>0.89618729999999902</v>
      </c>
      <c r="Q7956">
        <v>0.42019529999999999</v>
      </c>
      <c r="R7956">
        <v>0.142424</v>
      </c>
      <c r="S7956">
        <v>2.8050229999999998</v>
      </c>
      <c r="T7956">
        <v>1.2400450000000001</v>
      </c>
      <c r="U7956">
        <v>-0.23164370000000001</v>
      </c>
      <c r="V7956">
        <v>0.33687620000000001</v>
      </c>
      <c r="W7956">
        <v>0.42775740000000001</v>
      </c>
      <c r="X7956">
        <v>0.83877179999999996</v>
      </c>
      <c r="Y7956">
        <v>0.48432720000000001</v>
      </c>
      <c r="Z7956">
        <v>0.31197829999999999</v>
      </c>
      <c r="AA7956">
        <v>0.81737179999999998</v>
      </c>
      <c r="AB7956">
        <v>19</v>
      </c>
      <c r="AC7956">
        <v>2.8050229999999998</v>
      </c>
      <c r="AD7956">
        <v>1.2400450000000001</v>
      </c>
      <c r="AE7956">
        <v>-0.23164370000000001</v>
      </c>
      <c r="AF7956">
        <v>1.35592139046733</v>
      </c>
      <c r="AG7956">
        <v>1.2400450000000001</v>
      </c>
      <c r="AH7956">
        <v>1.9279860850419701</v>
      </c>
      <c r="AI7956">
        <v>62.251056167248898</v>
      </c>
      <c r="AJ7956">
        <v>54.881900561589902</v>
      </c>
      <c r="AK7956">
        <v>2.6633371478780798</v>
      </c>
      <c r="AL7956">
        <v>64.674678274669702</v>
      </c>
      <c r="AM7956">
        <v>68.118108759253005</v>
      </c>
      <c r="AN7956">
        <v>1.00000004992821</v>
      </c>
    </row>
    <row r="7957" spans="1:40" x14ac:dyDescent="0.25">
      <c r="A7957" t="str">
        <f>"20190304165038502"</f>
        <v>20190304165038502</v>
      </c>
      <c r="B7957" t="str">
        <f>"1551689438493218"</f>
        <v>1551689438493218</v>
      </c>
      <c r="C7957" t="s">
        <v>40</v>
      </c>
      <c r="D7957">
        <v>4.9496260000000003</v>
      </c>
      <c r="E7957">
        <v>0.58445649999999905</v>
      </c>
      <c r="F7957" t="s">
        <v>60</v>
      </c>
      <c r="G7957">
        <v>0</v>
      </c>
      <c r="H7957">
        <v>0</v>
      </c>
      <c r="I7957">
        <v>0</v>
      </c>
      <c r="J7957">
        <v>-176.68459999999999</v>
      </c>
      <c r="K7957">
        <v>1.1055549999999901</v>
      </c>
      <c r="L7957">
        <v>135.1951</v>
      </c>
      <c r="M7957">
        <v>0.86550099999999996</v>
      </c>
      <c r="N7957">
        <v>-1.47376E-2</v>
      </c>
      <c r="O7957">
        <v>0.50069049999999904</v>
      </c>
      <c r="P7957">
        <v>0.89654899999999904</v>
      </c>
      <c r="Q7957">
        <v>0.42066910000000002</v>
      </c>
      <c r="R7957">
        <v>0.13870060000000001</v>
      </c>
      <c r="S7957">
        <v>2.8011469999999998</v>
      </c>
      <c r="T7957">
        <v>1.2459100000000001</v>
      </c>
      <c r="U7957">
        <v>-0.23782349999999999</v>
      </c>
      <c r="V7957">
        <v>0.335103599999999</v>
      </c>
      <c r="W7957">
        <v>0.42828919999999998</v>
      </c>
      <c r="X7957">
        <v>0.83921029999999996</v>
      </c>
      <c r="Y7957">
        <v>0.48092509999999999</v>
      </c>
      <c r="Z7957">
        <v>0.31094830000000001</v>
      </c>
      <c r="AA7957">
        <v>0.81976959999999999</v>
      </c>
      <c r="AB7957">
        <v>19</v>
      </c>
      <c r="AC7957">
        <v>2.8011469999999998</v>
      </c>
      <c r="AD7957">
        <v>1.2459100000000001</v>
      </c>
      <c r="AE7957">
        <v>-0.23782349999999999</v>
      </c>
      <c r="AF7957">
        <v>1.34444497936501</v>
      </c>
      <c r="AG7957">
        <v>1.2459100000000001</v>
      </c>
      <c r="AH7957">
        <v>1.92705974955657</v>
      </c>
      <c r="AI7957">
        <v>62.065582606779699</v>
      </c>
      <c r="AJ7957">
        <v>55.097810577217601</v>
      </c>
      <c r="AK7957">
        <v>2.6595832961200498</v>
      </c>
      <c r="AL7957">
        <v>64.640962473158893</v>
      </c>
      <c r="AM7957">
        <v>68.232765990157802</v>
      </c>
      <c r="AN7957">
        <v>0.99999999459784505</v>
      </c>
    </row>
    <row r="7958" spans="1:40" x14ac:dyDescent="0.25">
      <c r="A7958" t="str">
        <f>"20190304165038515"</f>
        <v>20190304165038515</v>
      </c>
      <c r="B7958" t="str">
        <f>"1551689438502979"</f>
        <v>1551689438502979</v>
      </c>
      <c r="C7958" t="s">
        <v>40</v>
      </c>
      <c r="D7958">
        <v>4.9624379999999997</v>
      </c>
      <c r="E7958">
        <v>0.57277739999999999</v>
      </c>
      <c r="F7958" t="s">
        <v>60</v>
      </c>
      <c r="G7958">
        <v>0</v>
      </c>
      <c r="H7958">
        <v>0</v>
      </c>
      <c r="I7958">
        <v>0</v>
      </c>
      <c r="J7958">
        <v>-176.58420000000001</v>
      </c>
      <c r="K7958">
        <v>1.1056060000000001</v>
      </c>
      <c r="L7958">
        <v>135.24420000000001</v>
      </c>
      <c r="M7958">
        <v>0.868959499999999</v>
      </c>
      <c r="N7958">
        <v>-1.472451E-2</v>
      </c>
      <c r="O7958">
        <v>0.4946642</v>
      </c>
      <c r="P7958">
        <v>0.89708639999999995</v>
      </c>
      <c r="Q7958">
        <v>0.42079509999999998</v>
      </c>
      <c r="R7958">
        <v>0.13478850000000001</v>
      </c>
      <c r="S7958">
        <v>2.7996979999999998</v>
      </c>
      <c r="T7958">
        <v>1.2468919999999999</v>
      </c>
      <c r="U7958">
        <v>-0.24938959999999999</v>
      </c>
      <c r="V7958">
        <v>0.33283430000000003</v>
      </c>
      <c r="W7958">
        <v>0.42848999999999998</v>
      </c>
      <c r="X7958">
        <v>0.84001049999999999</v>
      </c>
      <c r="Y7958">
        <v>0.47906969999999999</v>
      </c>
      <c r="Z7958">
        <v>0.3085658</v>
      </c>
      <c r="AA7958">
        <v>0.82175390000000004</v>
      </c>
      <c r="AB7958">
        <v>19</v>
      </c>
      <c r="AC7958">
        <v>2.7996979999999998</v>
      </c>
      <c r="AD7958">
        <v>1.2468919999999999</v>
      </c>
      <c r="AE7958">
        <v>-0.24938959999999999</v>
      </c>
      <c r="AF7958">
        <v>1.33840815948381</v>
      </c>
      <c r="AG7958">
        <v>1.2468919999999999</v>
      </c>
      <c r="AH7958">
        <v>1.9299212792607701</v>
      </c>
      <c r="AI7958">
        <v>62.035804680667198</v>
      </c>
      <c r="AJ7958">
        <v>55.2585364259591</v>
      </c>
      <c r="AK7958">
        <v>2.6590735614458598</v>
      </c>
      <c r="AL7958">
        <v>64.628230025714998</v>
      </c>
      <c r="AM7958">
        <v>68.385223949250303</v>
      </c>
      <c r="AN7958">
        <v>0.99999999573336995</v>
      </c>
    </row>
    <row r="7959" spans="1:40" x14ac:dyDescent="0.25">
      <c r="A7959" t="str">
        <f>"20190304165038536"</f>
        <v>20190304165038536</v>
      </c>
      <c r="B7959" t="str">
        <f>"1551689438533234"</f>
        <v>1551689438533234</v>
      </c>
      <c r="C7959" t="s">
        <v>40</v>
      </c>
      <c r="D7959">
        <v>4.9072500000000003</v>
      </c>
      <c r="E7959">
        <v>0.57398680000000002</v>
      </c>
      <c r="F7959" t="s">
        <v>60</v>
      </c>
      <c r="G7959">
        <v>0</v>
      </c>
      <c r="H7959">
        <v>0</v>
      </c>
      <c r="I7959">
        <v>0</v>
      </c>
      <c r="J7959">
        <v>-176.4282</v>
      </c>
      <c r="K7959">
        <v>1.1056889999999999</v>
      </c>
      <c r="L7959">
        <v>135.3184</v>
      </c>
      <c r="M7959">
        <v>0.87417440000000002</v>
      </c>
      <c r="N7959">
        <v>-1.4701860000000001E-2</v>
      </c>
      <c r="O7959">
        <v>0.48538959999999998</v>
      </c>
      <c r="P7959">
        <v>0.89811149999999995</v>
      </c>
      <c r="Q7959">
        <v>0.42015750000000002</v>
      </c>
      <c r="R7959">
        <v>0.12986030000000001</v>
      </c>
      <c r="S7959">
        <v>2.8003079999999998</v>
      </c>
      <c r="T7959">
        <v>1.211827</v>
      </c>
      <c r="U7959">
        <v>-0.1635895</v>
      </c>
      <c r="V7959">
        <v>0.32852109999999901</v>
      </c>
      <c r="W7959">
        <v>0.4279888</v>
      </c>
      <c r="X7959">
        <v>0.84196159999999998</v>
      </c>
      <c r="Y7959">
        <v>0.45260410000000001</v>
      </c>
      <c r="Z7959">
        <v>0.29178660000000001</v>
      </c>
      <c r="AA7959">
        <v>0.84262099999999995</v>
      </c>
      <c r="AB7959">
        <v>19</v>
      </c>
      <c r="AC7959">
        <v>2.8003079999999998</v>
      </c>
      <c r="AD7959">
        <v>1.211827</v>
      </c>
      <c r="AE7959">
        <v>-0.1635895</v>
      </c>
      <c r="AF7959">
        <v>1.26610971178027</v>
      </c>
      <c r="AG7959">
        <v>1.211827</v>
      </c>
      <c r="AH7959">
        <v>1.9962426886867399</v>
      </c>
      <c r="AI7959">
        <v>62.858550240596301</v>
      </c>
      <c r="AJ7959">
        <v>57.615234335194799</v>
      </c>
      <c r="AK7959">
        <v>2.65641550822318</v>
      </c>
      <c r="AL7959">
        <v>64.6600062340856</v>
      </c>
      <c r="AM7959">
        <v>68.684998120284405</v>
      </c>
      <c r="AN7959">
        <v>0.99999993097260198</v>
      </c>
    </row>
    <row r="7960" spans="1:40" x14ac:dyDescent="0.25">
      <c r="A7960" t="str">
        <f>"20190304165038548"</f>
        <v>20190304165038548</v>
      </c>
      <c r="B7960" t="str">
        <f>"1551689438542994"</f>
        <v>1551689438542994</v>
      </c>
      <c r="C7960" t="s">
        <v>40</v>
      </c>
      <c r="D7960">
        <v>4.9223530000000002</v>
      </c>
      <c r="E7960">
        <v>0.57394129999999999</v>
      </c>
      <c r="F7960" t="s">
        <v>60</v>
      </c>
      <c r="G7960">
        <v>0</v>
      </c>
      <c r="H7960">
        <v>0</v>
      </c>
      <c r="I7960">
        <v>0</v>
      </c>
      <c r="J7960">
        <v>-176.32749999999999</v>
      </c>
      <c r="K7960">
        <v>1.105747</v>
      </c>
      <c r="L7960">
        <v>135.36510000000001</v>
      </c>
      <c r="M7960">
        <v>0.87744560000000005</v>
      </c>
      <c r="N7960">
        <v>-1.468616E-2</v>
      </c>
      <c r="O7960">
        <v>0.47945149999999997</v>
      </c>
      <c r="P7960">
        <v>0.89867849999999905</v>
      </c>
      <c r="Q7960">
        <v>0.42001349999999998</v>
      </c>
      <c r="R7960">
        <v>0.12635679999999999</v>
      </c>
      <c r="S7960">
        <v>2.7909549999999999</v>
      </c>
      <c r="T7960">
        <v>1.2337499999999999</v>
      </c>
      <c r="U7960">
        <v>-0.19218440000000001</v>
      </c>
      <c r="V7960">
        <v>0.32605079999999997</v>
      </c>
      <c r="W7960">
        <v>0.42792289999999999</v>
      </c>
      <c r="X7960">
        <v>0.84295489999999995</v>
      </c>
      <c r="Y7960">
        <v>0.45271329999999999</v>
      </c>
      <c r="Z7960">
        <v>0.2951474</v>
      </c>
      <c r="AA7960">
        <v>0.84139089999999905</v>
      </c>
      <c r="AB7960">
        <v>18</v>
      </c>
      <c r="AC7960">
        <v>2.7909549999999999</v>
      </c>
      <c r="AD7960">
        <v>1.2337499999999999</v>
      </c>
      <c r="AE7960">
        <v>-0.19218440000000001</v>
      </c>
      <c r="AF7960">
        <v>1.2615618288855901</v>
      </c>
      <c r="AG7960">
        <v>1.2337499999999999</v>
      </c>
      <c r="AH7960">
        <v>1.97324775862013</v>
      </c>
      <c r="AI7960">
        <v>62.220642415111499</v>
      </c>
      <c r="AJ7960">
        <v>57.407888541390498</v>
      </c>
      <c r="AK7960">
        <v>2.6471463932885402</v>
      </c>
      <c r="AL7960">
        <v>64.664187095382005</v>
      </c>
      <c r="AM7960">
        <v>68.853775356097202</v>
      </c>
      <c r="AN7960">
        <v>1.0000000479795199</v>
      </c>
    </row>
    <row r="7961" spans="1:40" x14ac:dyDescent="0.25">
      <c r="A7961" t="str">
        <f>"20190304165038559"</f>
        <v>20190304165038559</v>
      </c>
      <c r="B7961" t="str">
        <f>"1551689438553730"</f>
        <v>1551689438553730</v>
      </c>
      <c r="C7961" t="s">
        <v>40</v>
      </c>
      <c r="D7961">
        <v>4.92814</v>
      </c>
      <c r="E7961">
        <v>0.57335130000000001</v>
      </c>
      <c r="F7961" t="s">
        <v>60</v>
      </c>
      <c r="G7961">
        <v>0</v>
      </c>
      <c r="H7961">
        <v>0</v>
      </c>
      <c r="I7961">
        <v>0</v>
      </c>
      <c r="J7961">
        <v>-176.24959999999999</v>
      </c>
      <c r="K7961">
        <v>1.105788</v>
      </c>
      <c r="L7961">
        <v>135.40090000000001</v>
      </c>
      <c r="M7961">
        <v>0.87993369999999904</v>
      </c>
      <c r="N7961">
        <v>-1.4674120000000001E-2</v>
      </c>
      <c r="O7961">
        <v>0.47487000000000001</v>
      </c>
      <c r="P7961">
        <v>0.89904209999999996</v>
      </c>
      <c r="Q7961">
        <v>0.41982140000000001</v>
      </c>
      <c r="R7961">
        <v>0.12439269999999999</v>
      </c>
      <c r="S7961">
        <v>2.789307</v>
      </c>
      <c r="T7961">
        <v>1.235641</v>
      </c>
      <c r="U7961">
        <v>-0.20318600000000001</v>
      </c>
      <c r="V7961">
        <v>0.323474599999999</v>
      </c>
      <c r="W7961">
        <v>0.42780400000000002</v>
      </c>
      <c r="X7961">
        <v>0.84400710000000001</v>
      </c>
      <c r="Y7961">
        <v>0.4517796</v>
      </c>
      <c r="Z7961">
        <v>0.29371580000000003</v>
      </c>
      <c r="AA7961">
        <v>0.84239319999999895</v>
      </c>
      <c r="AB7961">
        <v>18</v>
      </c>
      <c r="AC7961">
        <v>2.789307</v>
      </c>
      <c r="AD7961">
        <v>1.235641</v>
      </c>
      <c r="AE7961">
        <v>-0.20318600000000001</v>
      </c>
      <c r="AF7961">
        <v>1.2579504761301901</v>
      </c>
      <c r="AG7961">
        <v>1.235641</v>
      </c>
      <c r="AH7961">
        <v>1.97302527640365</v>
      </c>
      <c r="AI7961">
        <v>62.162912320952998</v>
      </c>
      <c r="AJ7961">
        <v>57.479457063553298</v>
      </c>
      <c r="AK7961">
        <v>2.6461437645382899</v>
      </c>
      <c r="AL7961">
        <v>64.671723885040507</v>
      </c>
      <c r="AM7961">
        <v>69.030144069798695</v>
      </c>
      <c r="AN7961">
        <v>1.00000003205578</v>
      </c>
    </row>
    <row r="7962" spans="1:40" x14ac:dyDescent="0.25">
      <c r="A7962" t="str">
        <f>"20190304165038570"</f>
        <v>20190304165038570</v>
      </c>
      <c r="B7962" t="str">
        <f>"1551689438563490"</f>
        <v>1551689438563490</v>
      </c>
      <c r="C7962" t="s">
        <v>40</v>
      </c>
      <c r="D7962">
        <v>4.9302339999999996</v>
      </c>
      <c r="E7962">
        <v>0.57294049999999996</v>
      </c>
      <c r="F7962" t="s">
        <v>60</v>
      </c>
      <c r="G7962">
        <v>0</v>
      </c>
      <c r="H7962">
        <v>0</v>
      </c>
      <c r="I7962">
        <v>0</v>
      </c>
      <c r="J7962">
        <v>-176.15950000000001</v>
      </c>
      <c r="K7962">
        <v>1.1058349999999999</v>
      </c>
      <c r="L7962">
        <v>135.4417</v>
      </c>
      <c r="M7962">
        <v>0.88275800000000004</v>
      </c>
      <c r="N7962">
        <v>-1.4659749999999999E-2</v>
      </c>
      <c r="O7962">
        <v>0.4695993</v>
      </c>
      <c r="P7962">
        <v>0.89937389999999995</v>
      </c>
      <c r="Q7962">
        <v>0.41989510000000002</v>
      </c>
      <c r="R7962">
        <v>0.1217162</v>
      </c>
      <c r="S7962">
        <v>2.7884669999999998</v>
      </c>
      <c r="T7962">
        <v>1.234988</v>
      </c>
      <c r="U7962">
        <v>-0.20451349999999999</v>
      </c>
      <c r="V7962">
        <v>0.32085580000000002</v>
      </c>
      <c r="W7962">
        <v>0.42795090000000002</v>
      </c>
      <c r="X7962">
        <v>0.84493169999999995</v>
      </c>
      <c r="Y7962">
        <v>0.44796720000000001</v>
      </c>
      <c r="Z7962">
        <v>0.29078910000000002</v>
      </c>
      <c r="AA7962">
        <v>0.84543899999999905</v>
      </c>
      <c r="AB7962">
        <v>18</v>
      </c>
      <c r="AC7962">
        <v>2.7884669999999998</v>
      </c>
      <c r="AD7962">
        <v>1.234988</v>
      </c>
      <c r="AE7962">
        <v>-0.20451349999999999</v>
      </c>
      <c r="AF7962">
        <v>1.2468864869710701</v>
      </c>
      <c r="AG7962">
        <v>1.234988</v>
      </c>
      <c r="AH7962">
        <v>1.9795412579513301</v>
      </c>
      <c r="AI7962">
        <v>62.171185329190799</v>
      </c>
      <c r="AJ7962">
        <v>57.793724301214802</v>
      </c>
      <c r="AK7962">
        <v>2.6454687417292599</v>
      </c>
      <c r="AL7962">
        <v>64.662410700394901</v>
      </c>
      <c r="AM7962">
        <v>69.206142208773201</v>
      </c>
      <c r="AN7962">
        <v>0.99999999743467005</v>
      </c>
    </row>
    <row r="7963" spans="1:40" x14ac:dyDescent="0.25">
      <c r="A7963" t="str">
        <f>"20190304165038580"</f>
        <v>20190304165038580</v>
      </c>
      <c r="B7963" t="str">
        <f>"1551689438573250"</f>
        <v>1551689438573250</v>
      </c>
      <c r="C7963" t="s">
        <v>40</v>
      </c>
      <c r="D7963">
        <v>5.1584810000000001</v>
      </c>
      <c r="E7963">
        <v>0.57276870000000002</v>
      </c>
      <c r="F7963" t="s">
        <v>60</v>
      </c>
      <c r="G7963">
        <v>0</v>
      </c>
      <c r="H7963">
        <v>0</v>
      </c>
      <c r="I7963">
        <v>0</v>
      </c>
      <c r="J7963">
        <v>-176.08029999999999</v>
      </c>
      <c r="K7963">
        <v>1.1058790000000001</v>
      </c>
      <c r="L7963">
        <v>135.47710000000001</v>
      </c>
      <c r="M7963">
        <v>0.88519749999999997</v>
      </c>
      <c r="N7963">
        <v>-1.464679E-2</v>
      </c>
      <c r="O7963">
        <v>0.46498479999999998</v>
      </c>
      <c r="P7963">
        <v>0.89953349999999899</v>
      </c>
      <c r="Q7963">
        <v>0.42014560000000001</v>
      </c>
      <c r="R7963">
        <v>0.11965580000000001</v>
      </c>
      <c r="S7963">
        <v>2.7871700000000001</v>
      </c>
      <c r="T7963">
        <v>1.235525</v>
      </c>
      <c r="U7963">
        <v>-0.20964050000000001</v>
      </c>
      <c r="V7963">
        <v>0.3182663</v>
      </c>
      <c r="W7963">
        <v>0.42827019999999999</v>
      </c>
      <c r="X7963">
        <v>0.84574889999999903</v>
      </c>
      <c r="Y7963">
        <v>0.44558389999999998</v>
      </c>
      <c r="Z7963">
        <v>0.28870370000000001</v>
      </c>
      <c r="AA7963">
        <v>0.84741089999999997</v>
      </c>
      <c r="AB7963">
        <v>18</v>
      </c>
      <c r="AC7963">
        <v>2.7871700000000001</v>
      </c>
      <c r="AD7963">
        <v>1.235525</v>
      </c>
      <c r="AE7963">
        <v>-0.20964050000000001</v>
      </c>
      <c r="AF7963">
        <v>1.2395206879531999</v>
      </c>
      <c r="AG7963">
        <v>1.235525</v>
      </c>
      <c r="AH7963">
        <v>1.9825741544640101</v>
      </c>
      <c r="AI7963">
        <v>62.147279249891497</v>
      </c>
      <c r="AJ7963">
        <v>57.9860587851215</v>
      </c>
      <c r="AK7963">
        <v>2.6445290392502101</v>
      </c>
      <c r="AL7963">
        <v>64.642167368018406</v>
      </c>
      <c r="AM7963">
        <v>69.378029106328398</v>
      </c>
      <c r="AN7963">
        <v>1.00000000188747</v>
      </c>
    </row>
    <row r="7964" spans="1:40" x14ac:dyDescent="0.25">
      <c r="A7964" t="str">
        <f>"20190304165038595"</f>
        <v>20190304165038595</v>
      </c>
      <c r="B7964" t="str">
        <f>"1551689438583612"</f>
        <v>1551689438583612</v>
      </c>
      <c r="C7964" t="s">
        <v>40</v>
      </c>
      <c r="D7964">
        <v>4.9069589999999996</v>
      </c>
      <c r="E7964">
        <v>0.57248259999999995</v>
      </c>
      <c r="F7964" t="s">
        <v>60</v>
      </c>
      <c r="G7964">
        <v>0</v>
      </c>
      <c r="H7964">
        <v>0</v>
      </c>
      <c r="I7964">
        <v>0</v>
      </c>
      <c r="J7964">
        <v>-175.96780000000001</v>
      </c>
      <c r="K7964">
        <v>1.1059410000000001</v>
      </c>
      <c r="L7964">
        <v>135.5266</v>
      </c>
      <c r="M7964">
        <v>0.88859339999999998</v>
      </c>
      <c r="N7964">
        <v>-1.462828E-2</v>
      </c>
      <c r="O7964">
        <v>0.4584625</v>
      </c>
      <c r="P7964">
        <v>0.899812099999999</v>
      </c>
      <c r="Q7964">
        <v>0.42070289999999999</v>
      </c>
      <c r="R7964">
        <v>0.1155306</v>
      </c>
      <c r="S7964">
        <v>2.7850190000000001</v>
      </c>
      <c r="T7964">
        <v>1.2388520000000001</v>
      </c>
      <c r="U7964">
        <v>-0.2150726</v>
      </c>
      <c r="V7964">
        <v>0.31573050000000003</v>
      </c>
      <c r="W7964">
        <v>0.42890139999999999</v>
      </c>
      <c r="X7964">
        <v>0.84637929999999995</v>
      </c>
      <c r="Y7964">
        <v>0.44141580000000002</v>
      </c>
      <c r="Z7964">
        <v>0.28614020000000001</v>
      </c>
      <c r="AA7964">
        <v>0.85045630000000005</v>
      </c>
      <c r="AB7964">
        <v>18</v>
      </c>
      <c r="AC7964">
        <v>2.7850190000000001</v>
      </c>
      <c r="AD7964">
        <v>1.2388520000000001</v>
      </c>
      <c r="AE7964">
        <v>-0.2150726</v>
      </c>
      <c r="AF7964">
        <v>1.2267888245555101</v>
      </c>
      <c r="AG7964">
        <v>1.2388520000000001</v>
      </c>
      <c r="AH7964">
        <v>1.9857981710802699</v>
      </c>
      <c r="AI7964">
        <v>62.043160761898797</v>
      </c>
      <c r="AJ7964">
        <v>58.293006306509703</v>
      </c>
      <c r="AK7964">
        <v>2.6425668343911499</v>
      </c>
      <c r="AL7964">
        <v>64.602140661865604</v>
      </c>
      <c r="AM7964">
        <v>69.5426411391621</v>
      </c>
      <c r="AN7964">
        <v>1.0000000395103401</v>
      </c>
    </row>
    <row r="7965" spans="1:40" x14ac:dyDescent="0.25">
      <c r="A7965" t="str">
        <f>"20190304165038608"</f>
        <v>20190304165038608</v>
      </c>
      <c r="B7965" t="str">
        <f>"1551689438603131"</f>
        <v>1551689438603131</v>
      </c>
      <c r="C7965" t="s">
        <v>40</v>
      </c>
      <c r="D7965">
        <v>5.0598049999999999</v>
      </c>
      <c r="E7965">
        <v>0.57261580000000001</v>
      </c>
      <c r="F7965" t="s">
        <v>60</v>
      </c>
      <c r="G7965">
        <v>0</v>
      </c>
      <c r="H7965">
        <v>0</v>
      </c>
      <c r="I7965">
        <v>0</v>
      </c>
      <c r="J7965">
        <v>-175.86799999999999</v>
      </c>
      <c r="K7965">
        <v>1.1060030000000001</v>
      </c>
      <c r="L7965">
        <v>135.56950000000001</v>
      </c>
      <c r="M7965">
        <v>0.89151749999999996</v>
      </c>
      <c r="N7965">
        <v>-1.4610369999999999E-2</v>
      </c>
      <c r="O7965">
        <v>0.45275070000000001</v>
      </c>
      <c r="P7965">
        <v>0.8999627</v>
      </c>
      <c r="Q7965">
        <v>0.42128860000000001</v>
      </c>
      <c r="R7965">
        <v>0.1121757</v>
      </c>
      <c r="S7965">
        <v>2.782257</v>
      </c>
      <c r="T7965">
        <v>1.2421040000000001</v>
      </c>
      <c r="U7965">
        <v>-0.225769</v>
      </c>
      <c r="V7965">
        <v>0.31325920000000002</v>
      </c>
      <c r="W7965">
        <v>0.42955729999999998</v>
      </c>
      <c r="X7965">
        <v>0.84696469999999902</v>
      </c>
      <c r="Y7965">
        <v>0.43937979999999999</v>
      </c>
      <c r="Z7965">
        <v>0.28435110000000002</v>
      </c>
      <c r="AA7965">
        <v>0.85210909999999995</v>
      </c>
      <c r="AB7965">
        <v>18</v>
      </c>
      <c r="AC7965">
        <v>2.782257</v>
      </c>
      <c r="AD7965">
        <v>1.2421040000000001</v>
      </c>
      <c r="AE7965">
        <v>-0.225769</v>
      </c>
      <c r="AF7965">
        <v>1.2196146855308501</v>
      </c>
      <c r="AG7965">
        <v>1.2421040000000001</v>
      </c>
      <c r="AH7965">
        <v>1.9853606860937001</v>
      </c>
      <c r="AI7965">
        <v>61.938761714319803</v>
      </c>
      <c r="AJ7965">
        <v>58.437434320903201</v>
      </c>
      <c r="AK7965">
        <v>2.6404430275741499</v>
      </c>
      <c r="AL7965">
        <v>64.560531474622806</v>
      </c>
      <c r="AM7965">
        <v>69.702532369280505</v>
      </c>
      <c r="AN7965">
        <v>1.0000000017070001</v>
      </c>
    </row>
    <row r="7966" spans="1:40" x14ac:dyDescent="0.25">
      <c r="A7966" t="str">
        <f>"20190304165038619"</f>
        <v>20190304165038619</v>
      </c>
      <c r="B7966" t="str">
        <f>"1551689438613867"</f>
        <v>1551689438613867</v>
      </c>
      <c r="C7966" t="s">
        <v>40</v>
      </c>
      <c r="D7966">
        <v>4.850543</v>
      </c>
      <c r="E7966">
        <v>0.57247329999999996</v>
      </c>
      <c r="F7966" t="s">
        <v>60</v>
      </c>
      <c r="G7966">
        <v>0</v>
      </c>
      <c r="H7966">
        <v>0</v>
      </c>
      <c r="I7966">
        <v>0</v>
      </c>
      <c r="J7966">
        <v>-175.78</v>
      </c>
      <c r="K7966">
        <v>1.106055</v>
      </c>
      <c r="L7966">
        <v>135.607</v>
      </c>
      <c r="M7966">
        <v>0.8940534</v>
      </c>
      <c r="N7966">
        <v>-1.459452E-2</v>
      </c>
      <c r="O7966">
        <v>0.44772269999999997</v>
      </c>
      <c r="P7966">
        <v>0.90004280000000003</v>
      </c>
      <c r="Q7966">
        <v>0.42184850000000002</v>
      </c>
      <c r="R7966">
        <v>0.10939409999999999</v>
      </c>
      <c r="S7966">
        <v>2.7785190000000002</v>
      </c>
      <c r="T7966">
        <v>1.2488319999999999</v>
      </c>
      <c r="U7966">
        <v>-0.23794560000000001</v>
      </c>
      <c r="V7966">
        <v>0.31092599999999998</v>
      </c>
      <c r="W7966">
        <v>0.43018119999999999</v>
      </c>
      <c r="X7966">
        <v>0.84750769999999997</v>
      </c>
      <c r="Y7966">
        <v>0.43789479999999997</v>
      </c>
      <c r="Z7966">
        <v>0.28372570000000003</v>
      </c>
      <c r="AA7966">
        <v>0.85308139999999999</v>
      </c>
      <c r="AB7966">
        <v>18</v>
      </c>
      <c r="AC7966">
        <v>2.7785190000000002</v>
      </c>
      <c r="AD7966">
        <v>1.2488319999999999</v>
      </c>
      <c r="AE7966">
        <v>-0.23794560000000001</v>
      </c>
      <c r="AF7966">
        <v>1.2135316953897499</v>
      </c>
      <c r="AG7966">
        <v>1.2488319999999999</v>
      </c>
      <c r="AH7966">
        <v>1.98065666949924</v>
      </c>
      <c r="AI7966">
        <v>61.736288892778298</v>
      </c>
      <c r="AJ7966">
        <v>58.504548496462199</v>
      </c>
      <c r="AK7966">
        <v>2.63727916276821</v>
      </c>
      <c r="AL7966">
        <v>64.520941866552704</v>
      </c>
      <c r="AM7966">
        <v>69.853377124468906</v>
      </c>
      <c r="AN7966">
        <v>1.00000007193436</v>
      </c>
    </row>
    <row r="7967" spans="1:40" x14ac:dyDescent="0.25">
      <c r="A7967" t="str">
        <f>"20190304165038631"</f>
        <v>20190304165038631</v>
      </c>
      <c r="B7967" t="str">
        <f>"1551689438623627"</f>
        <v>1551689438623627</v>
      </c>
      <c r="C7967" t="s">
        <v>40</v>
      </c>
      <c r="D7967">
        <v>4.8220700000000001</v>
      </c>
      <c r="E7967">
        <v>0.5725346</v>
      </c>
      <c r="F7967" t="s">
        <v>60</v>
      </c>
      <c r="G7967">
        <v>0</v>
      </c>
      <c r="H7967">
        <v>0</v>
      </c>
      <c r="I7967">
        <v>0</v>
      </c>
      <c r="J7967">
        <v>-175.68610000000001</v>
      </c>
      <c r="K7967">
        <v>1.1061110000000001</v>
      </c>
      <c r="L7967">
        <v>135.6463</v>
      </c>
      <c r="M7967">
        <v>0.89669900000000002</v>
      </c>
      <c r="N7967">
        <v>-1.457701E-2</v>
      </c>
      <c r="O7967">
        <v>0.44240079999999998</v>
      </c>
      <c r="P7967">
        <v>0.90011730000000001</v>
      </c>
      <c r="Q7967">
        <v>0.42241319999999999</v>
      </c>
      <c r="R7967">
        <v>0.1065651</v>
      </c>
      <c r="S7967">
        <v>2.7780300000000002</v>
      </c>
      <c r="T7967">
        <v>1.2480169999999999</v>
      </c>
      <c r="U7967">
        <v>-0.24504090000000001</v>
      </c>
      <c r="V7967">
        <v>0.3083651</v>
      </c>
      <c r="W7967">
        <v>0.43081510000000001</v>
      </c>
      <c r="X7967">
        <v>0.84812099999999901</v>
      </c>
      <c r="Y7967">
        <v>0.43575170000000002</v>
      </c>
      <c r="Z7967">
        <v>0.28098919999999999</v>
      </c>
      <c r="AA7967">
        <v>0.85508220000000001</v>
      </c>
      <c r="AB7967">
        <v>18</v>
      </c>
      <c r="AC7967">
        <v>2.7780300000000002</v>
      </c>
      <c r="AD7967">
        <v>1.2480169999999999</v>
      </c>
      <c r="AE7967">
        <v>-0.24504090000000001</v>
      </c>
      <c r="AF7967">
        <v>1.20713897666227</v>
      </c>
      <c r="AG7967">
        <v>1.2480169999999999</v>
      </c>
      <c r="AH7967">
        <v>1.9853174611614699</v>
      </c>
      <c r="AI7967">
        <v>61.758546825080401</v>
      </c>
      <c r="AJ7967">
        <v>58.6990088577503</v>
      </c>
      <c r="AK7967">
        <v>2.6374640021920399</v>
      </c>
      <c r="AL7967">
        <v>64.480699289456396</v>
      </c>
      <c r="AM7967">
        <v>70.019431509402594</v>
      </c>
      <c r="AN7967">
        <v>0.99999995796350905</v>
      </c>
    </row>
    <row r="7968" spans="1:40" x14ac:dyDescent="0.25">
      <c r="A7968" t="str">
        <f>"20190304165038643"</f>
        <v>20190304165038643</v>
      </c>
      <c r="B7968" t="str">
        <f>"1551689438633388"</f>
        <v>1551689438633388</v>
      </c>
      <c r="C7968" t="s">
        <v>40</v>
      </c>
      <c r="D7968">
        <v>4.84511</v>
      </c>
      <c r="E7968">
        <v>0.57221599999999995</v>
      </c>
      <c r="F7968" t="s">
        <v>60</v>
      </c>
      <c r="G7968">
        <v>0</v>
      </c>
      <c r="H7968">
        <v>0</v>
      </c>
      <c r="I7968">
        <v>0</v>
      </c>
      <c r="J7968">
        <v>-175.59469999999999</v>
      </c>
      <c r="K7968">
        <v>1.106169</v>
      </c>
      <c r="L7968">
        <v>135.684</v>
      </c>
      <c r="M7968">
        <v>0.899217499999999</v>
      </c>
      <c r="N7968">
        <v>-1.455938E-2</v>
      </c>
      <c r="O7968">
        <v>0.43725930000000002</v>
      </c>
      <c r="P7968">
        <v>0.90054009999999995</v>
      </c>
      <c r="Q7968">
        <v>0.4221242</v>
      </c>
      <c r="R7968">
        <v>0.1041093</v>
      </c>
      <c r="S7968">
        <v>2.77562</v>
      </c>
      <c r="T7968">
        <v>1.2516959999999999</v>
      </c>
      <c r="U7968">
        <v>-0.25466919999999998</v>
      </c>
      <c r="V7968">
        <v>0.3057993</v>
      </c>
      <c r="W7968">
        <v>0.43060080000000001</v>
      </c>
      <c r="X7968">
        <v>0.84915830000000003</v>
      </c>
      <c r="Y7968">
        <v>0.43390410000000001</v>
      </c>
      <c r="Z7968">
        <v>0.27945560000000003</v>
      </c>
      <c r="AA7968">
        <v>0.85652309999999998</v>
      </c>
      <c r="AB7968">
        <v>18</v>
      </c>
      <c r="AC7968">
        <v>2.77562</v>
      </c>
      <c r="AD7968">
        <v>1.2516959999999999</v>
      </c>
      <c r="AE7968">
        <v>-0.25466919999999998</v>
      </c>
      <c r="AF7968">
        <v>1.2006825373091199</v>
      </c>
      <c r="AG7968">
        <v>1.2516959999999999</v>
      </c>
      <c r="AH7968">
        <v>1.98456037206032</v>
      </c>
      <c r="AI7968">
        <v>61.646991265922502</v>
      </c>
      <c r="AJ7968">
        <v>58.825564875577001</v>
      </c>
      <c r="AK7968">
        <v>2.6356899100932298</v>
      </c>
      <c r="AL7968">
        <v>64.494306623495405</v>
      </c>
      <c r="AM7968">
        <v>70.195012548344593</v>
      </c>
      <c r="AN7968">
        <v>1.0000000396499999</v>
      </c>
    </row>
    <row r="7969" spans="1:40" x14ac:dyDescent="0.25">
      <c r="A7969" t="str">
        <f>"20190304165038655"</f>
        <v>20190304165038655</v>
      </c>
      <c r="B7969" t="str">
        <f>"1551689438643148"</f>
        <v>1551689438643148</v>
      </c>
      <c r="C7969" t="s">
        <v>40</v>
      </c>
      <c r="D7969">
        <v>4.8503020000000001</v>
      </c>
      <c r="E7969">
        <v>0.57185039999999998</v>
      </c>
      <c r="F7969" t="s">
        <v>60</v>
      </c>
      <c r="G7969">
        <v>0</v>
      </c>
      <c r="H7969">
        <v>0</v>
      </c>
      <c r="I7969">
        <v>0</v>
      </c>
      <c r="J7969">
        <v>-175.4984</v>
      </c>
      <c r="K7969">
        <v>1.1062350000000001</v>
      </c>
      <c r="L7969">
        <v>135.72329999999999</v>
      </c>
      <c r="M7969">
        <v>0.90182490000000004</v>
      </c>
      <c r="N7969">
        <v>-1.4540920000000001E-2</v>
      </c>
      <c r="O7969">
        <v>0.43185709999999999</v>
      </c>
      <c r="P7969">
        <v>0.90077280000000004</v>
      </c>
      <c r="Q7969">
        <v>0.42220829999999998</v>
      </c>
      <c r="R7969">
        <v>0.1017296</v>
      </c>
      <c r="S7969">
        <v>2.7756349999999999</v>
      </c>
      <c r="T7969">
        <v>1.2494909999999999</v>
      </c>
      <c r="U7969">
        <v>-0.25938420000000001</v>
      </c>
      <c r="V7969">
        <v>0.30284729999999999</v>
      </c>
      <c r="W7969">
        <v>0.43076520000000001</v>
      </c>
      <c r="X7969">
        <v>0.85013229999999995</v>
      </c>
      <c r="Y7969">
        <v>0.43122769999999999</v>
      </c>
      <c r="Z7969">
        <v>0.27623700000000001</v>
      </c>
      <c r="AA7969">
        <v>0.8589154</v>
      </c>
      <c r="AB7969">
        <v>18</v>
      </c>
      <c r="AC7969">
        <v>2.7756349999999999</v>
      </c>
      <c r="AD7969">
        <v>1.2494909999999999</v>
      </c>
      <c r="AE7969">
        <v>-0.25938420000000001</v>
      </c>
      <c r="AF7969">
        <v>1.1930687356188701</v>
      </c>
      <c r="AG7969">
        <v>1.2494909999999999</v>
      </c>
      <c r="AH7969">
        <v>1.99132813210064</v>
      </c>
      <c r="AI7969">
        <v>61.708474143747402</v>
      </c>
      <c r="AJ7969">
        <v>59.072818690951401</v>
      </c>
      <c r="AK7969">
        <v>2.6362906699921398</v>
      </c>
      <c r="AL7969">
        <v>64.483869526766199</v>
      </c>
      <c r="AM7969">
        <v>70.392296252559703</v>
      </c>
      <c r="AN7969">
        <v>1.0000000360757999</v>
      </c>
    </row>
    <row r="7970" spans="1:40" x14ac:dyDescent="0.25">
      <c r="A7970" t="str">
        <f>"20190304165038669"</f>
        <v>20190304165038669</v>
      </c>
      <c r="B7970" t="str">
        <f>"1551689438663646"</f>
        <v>1551689438663646</v>
      </c>
      <c r="C7970" t="s">
        <v>40</v>
      </c>
      <c r="D7970">
        <v>4.8640679999999996</v>
      </c>
      <c r="E7970">
        <v>0.57119900000000001</v>
      </c>
      <c r="F7970" t="s">
        <v>60</v>
      </c>
      <c r="G7970">
        <v>0</v>
      </c>
      <c r="H7970">
        <v>0</v>
      </c>
      <c r="I7970">
        <v>0</v>
      </c>
      <c r="J7970">
        <v>-175.38720000000001</v>
      </c>
      <c r="K7970">
        <v>1.1063080000000001</v>
      </c>
      <c r="L7970">
        <v>135.76759999999999</v>
      </c>
      <c r="M7970">
        <v>0.90474399999999999</v>
      </c>
      <c r="N7970">
        <v>-1.4518369999999999E-2</v>
      </c>
      <c r="O7970">
        <v>0.42570859999999999</v>
      </c>
      <c r="P7970">
        <v>0.90082879999999999</v>
      </c>
      <c r="Q7970">
        <v>0.42195310000000003</v>
      </c>
      <c r="R7970">
        <v>0.1022908</v>
      </c>
      <c r="S7970">
        <v>2.7756810000000001</v>
      </c>
      <c r="T7970">
        <v>1.247144</v>
      </c>
      <c r="U7970">
        <v>-0.26348880000000002</v>
      </c>
      <c r="V7970">
        <v>0.2964465</v>
      </c>
      <c r="W7970">
        <v>0.43065890000000001</v>
      </c>
      <c r="X7970">
        <v>0.85243910000000001</v>
      </c>
      <c r="Y7970">
        <v>0.42781000000000002</v>
      </c>
      <c r="Z7970">
        <v>0.2725302</v>
      </c>
      <c r="AA7970">
        <v>0.86180380000000001</v>
      </c>
      <c r="AB7970">
        <v>18</v>
      </c>
      <c r="AC7970">
        <v>2.7756810000000001</v>
      </c>
      <c r="AD7970">
        <v>1.247144</v>
      </c>
      <c r="AE7970">
        <v>-0.26348880000000002</v>
      </c>
      <c r="AF7970">
        <v>1.1833991897610501</v>
      </c>
      <c r="AG7970">
        <v>1.247144</v>
      </c>
      <c r="AH7970">
        <v>1.99934084153036</v>
      </c>
      <c r="AI7970">
        <v>61.773327329849103</v>
      </c>
      <c r="AJ7970">
        <v>59.378936250199601</v>
      </c>
      <c r="AK7970">
        <v>2.6368855871414798</v>
      </c>
      <c r="AL7970">
        <v>64.490617616278598</v>
      </c>
      <c r="AM7970">
        <v>70.824233256744606</v>
      </c>
      <c r="AN7970">
        <v>1.00000001736013</v>
      </c>
    </row>
    <row r="7971" spans="1:40" x14ac:dyDescent="0.25">
      <c r="A7971" t="str">
        <f>"20190304165038681"</f>
        <v>20190304165038681</v>
      </c>
      <c r="B7971" t="str">
        <f>"1551689438673403"</f>
        <v>1551689438673403</v>
      </c>
      <c r="C7971" t="s">
        <v>40</v>
      </c>
      <c r="D7971">
        <v>5.1138779999999997</v>
      </c>
      <c r="E7971">
        <v>0.57091329999999996</v>
      </c>
      <c r="F7971" t="s">
        <v>60</v>
      </c>
      <c r="G7971">
        <v>0</v>
      </c>
      <c r="H7971">
        <v>0</v>
      </c>
      <c r="I7971">
        <v>0</v>
      </c>
      <c r="J7971">
        <v>-175.29900000000001</v>
      </c>
      <c r="K7971">
        <v>1.106368</v>
      </c>
      <c r="L7971">
        <v>135.8023</v>
      </c>
      <c r="M7971">
        <v>0.90700780000000003</v>
      </c>
      <c r="N7971">
        <v>-1.4500320000000001E-2</v>
      </c>
      <c r="O7971">
        <v>0.42086400000000002</v>
      </c>
      <c r="P7971">
        <v>0.90105939999999995</v>
      </c>
      <c r="Q7971">
        <v>0.42179820000000001</v>
      </c>
      <c r="R7971">
        <v>0.1008883</v>
      </c>
      <c r="S7971">
        <v>2.776993</v>
      </c>
      <c r="T7971">
        <v>1.243266</v>
      </c>
      <c r="U7971">
        <v>-0.25604250000000001</v>
      </c>
      <c r="V7971">
        <v>0.29315530000000001</v>
      </c>
      <c r="W7971">
        <v>0.43058869999999999</v>
      </c>
      <c r="X7971">
        <v>0.85361189999999998</v>
      </c>
      <c r="Y7971">
        <v>0.4223422</v>
      </c>
      <c r="Z7971">
        <v>0.26854420000000001</v>
      </c>
      <c r="AA7971">
        <v>0.86574309999999999</v>
      </c>
      <c r="AB7971">
        <v>18</v>
      </c>
      <c r="AC7971">
        <v>2.776993</v>
      </c>
      <c r="AD7971">
        <v>1.243266</v>
      </c>
      <c r="AE7971">
        <v>-0.25604250000000001</v>
      </c>
      <c r="AF7971">
        <v>1.1688166409141401</v>
      </c>
      <c r="AG7971">
        <v>1.243266</v>
      </c>
      <c r="AH7971">
        <v>2.0114731348922401</v>
      </c>
      <c r="AI7971">
        <v>61.879270978846499</v>
      </c>
      <c r="AJ7971">
        <v>59.840201995995102</v>
      </c>
      <c r="AK7971">
        <v>2.6377768782114699</v>
      </c>
      <c r="AL7971">
        <v>64.495072779269606</v>
      </c>
      <c r="AM7971">
        <v>71.046029020177102</v>
      </c>
      <c r="AN7971">
        <v>0.99999996715369399</v>
      </c>
    </row>
    <row r="7972" spans="1:40" x14ac:dyDescent="0.25">
      <c r="A7972" t="str">
        <f>"20190304165038694"</f>
        <v>20190304165038694</v>
      </c>
      <c r="B7972" t="str">
        <f>"1551689438682894"</f>
        <v>1551689438682894</v>
      </c>
      <c r="C7972" t="s">
        <v>40</v>
      </c>
      <c r="D7972">
        <v>5.0768649999999997</v>
      </c>
      <c r="E7972">
        <v>0.57091329999999996</v>
      </c>
      <c r="F7972" t="s">
        <v>60</v>
      </c>
      <c r="G7972">
        <v>0</v>
      </c>
      <c r="H7972">
        <v>0</v>
      </c>
      <c r="I7972">
        <v>0</v>
      </c>
      <c r="J7972">
        <v>-175.19589999999999</v>
      </c>
      <c r="K7972">
        <v>1.1064339999999999</v>
      </c>
      <c r="L7972">
        <v>135.84229999999999</v>
      </c>
      <c r="M7972">
        <v>0.90959659999999998</v>
      </c>
      <c r="N7972">
        <v>-1.447916E-2</v>
      </c>
      <c r="O7972">
        <v>0.41524030000000001</v>
      </c>
      <c r="P7972">
        <v>0.90135169999999998</v>
      </c>
      <c r="Q7972">
        <v>0.42164859999999998</v>
      </c>
      <c r="R7972">
        <v>9.8880560000000006E-2</v>
      </c>
      <c r="S7972">
        <v>2.776993</v>
      </c>
      <c r="T7972">
        <v>1.241808</v>
      </c>
      <c r="U7972">
        <v>-0.25790410000000002</v>
      </c>
      <c r="V7972">
        <v>0.28969879999999998</v>
      </c>
      <c r="W7972">
        <v>0.43053019999999997</v>
      </c>
      <c r="X7972">
        <v>0.85482069999999999</v>
      </c>
      <c r="Y7972">
        <v>0.41858689999999998</v>
      </c>
      <c r="Z7972">
        <v>0.26517499999999999</v>
      </c>
      <c r="AA7972">
        <v>0.86860079999999995</v>
      </c>
      <c r="AB7972">
        <v>18</v>
      </c>
      <c r="AC7972">
        <v>2.776993</v>
      </c>
      <c r="AD7972">
        <v>1.241808</v>
      </c>
      <c r="AE7972">
        <v>-0.25790410000000002</v>
      </c>
      <c r="AF7972">
        <v>1.15822645928609</v>
      </c>
      <c r="AG7972">
        <v>1.241808</v>
      </c>
      <c r="AH7972">
        <v>2.01885214959638</v>
      </c>
      <c r="AI7972">
        <v>61.918408499847601</v>
      </c>
      <c r="AJ7972">
        <v>60.1568722224049</v>
      </c>
      <c r="AK7972">
        <v>2.6380560346179802</v>
      </c>
      <c r="AL7972">
        <v>64.498788382310806</v>
      </c>
      <c r="AM7972">
        <v>71.278476394669795</v>
      </c>
      <c r="AN7972">
        <v>1.00000003849098</v>
      </c>
    </row>
    <row r="7973" spans="1:40" x14ac:dyDescent="0.25">
      <c r="A7973" t="str">
        <f>"20190304165038709"</f>
        <v>20190304165038709</v>
      </c>
      <c r="B7973" t="str">
        <f>"1551689438703389"</f>
        <v>1551689438703389</v>
      </c>
      <c r="C7973" t="s">
        <v>40</v>
      </c>
      <c r="D7973">
        <v>4.8958009999999996</v>
      </c>
      <c r="E7973">
        <v>0.56303510000000001</v>
      </c>
      <c r="F7973" t="s">
        <v>60</v>
      </c>
      <c r="G7973">
        <v>0</v>
      </c>
      <c r="H7973">
        <v>0</v>
      </c>
      <c r="I7973">
        <v>0</v>
      </c>
      <c r="J7973">
        <v>-175.08609999999999</v>
      </c>
      <c r="K7973">
        <v>1.106509</v>
      </c>
      <c r="L7973">
        <v>135.88390000000001</v>
      </c>
      <c r="M7973">
        <v>0.91226969999999996</v>
      </c>
      <c r="N7973">
        <v>-1.4455310000000001E-2</v>
      </c>
      <c r="O7973">
        <v>0.4093349</v>
      </c>
      <c r="P7973">
        <v>0.90193310000000004</v>
      </c>
      <c r="Q7973">
        <v>0.42094429999999999</v>
      </c>
      <c r="R7973">
        <v>9.6554639999999997E-2</v>
      </c>
      <c r="S7973">
        <v>2.776367</v>
      </c>
      <c r="T7973">
        <v>1.2419119999999999</v>
      </c>
      <c r="U7973">
        <v>-0.2641907</v>
      </c>
      <c r="V7973">
        <v>0.28638029999999998</v>
      </c>
      <c r="W7973">
        <v>0.42992069999999999</v>
      </c>
      <c r="X7973">
        <v>0.85624439999999902</v>
      </c>
      <c r="Y7973">
        <v>0.41568929999999998</v>
      </c>
      <c r="Z7973">
        <v>0.26221169999999999</v>
      </c>
      <c r="AA7973">
        <v>0.87088889999999997</v>
      </c>
      <c r="AB7973">
        <v>18</v>
      </c>
      <c r="AC7973">
        <v>2.776367</v>
      </c>
      <c r="AD7973">
        <v>1.2419119999999999</v>
      </c>
      <c r="AE7973">
        <v>-0.2641907</v>
      </c>
      <c r="AF7973">
        <v>1.1496503681217001</v>
      </c>
      <c r="AG7973">
        <v>1.2419119999999999</v>
      </c>
      <c r="AH7973">
        <v>2.0236294857502499</v>
      </c>
      <c r="AI7973">
        <v>61.915360756418799</v>
      </c>
      <c r="AJ7973">
        <v>60.398526852456698</v>
      </c>
      <c r="AK7973">
        <v>2.6380139651382</v>
      </c>
      <c r="AL7973">
        <v>64.537471742706799</v>
      </c>
      <c r="AM7973">
        <v>71.506924882475204</v>
      </c>
      <c r="AN7973">
        <v>0.99999997852396905</v>
      </c>
    </row>
    <row r="7974" spans="1:40" x14ac:dyDescent="0.25">
      <c r="A7974" t="str">
        <f>"20190304165038723"</f>
        <v>20190304165038723</v>
      </c>
      <c r="B7974" t="str">
        <f>"1551689438713150"</f>
        <v>1551689438713150</v>
      </c>
      <c r="C7974" t="s">
        <v>40</v>
      </c>
      <c r="D7974">
        <v>4.8833279999999997</v>
      </c>
      <c r="E7974">
        <v>0.56308669999999905</v>
      </c>
      <c r="F7974" t="s">
        <v>60</v>
      </c>
      <c r="G7974">
        <v>0</v>
      </c>
      <c r="H7974">
        <v>0</v>
      </c>
      <c r="I7974">
        <v>0</v>
      </c>
      <c r="J7974">
        <v>-174.97059999999999</v>
      </c>
      <c r="K7974">
        <v>1.1065929999999999</v>
      </c>
      <c r="L7974">
        <v>135.9271</v>
      </c>
      <c r="M7974">
        <v>0.91500199999999998</v>
      </c>
      <c r="N7974">
        <v>-1.44298E-2</v>
      </c>
      <c r="O7974">
        <v>0.40319129999999997</v>
      </c>
      <c r="P7974">
        <v>0.90245249999999999</v>
      </c>
      <c r="Q7974">
        <v>0.42038769999999998</v>
      </c>
      <c r="R7974">
        <v>9.4095650000000003E-2</v>
      </c>
      <c r="S7974">
        <v>2.7944640000000001</v>
      </c>
      <c r="T7974">
        <v>1.18546</v>
      </c>
      <c r="U7974">
        <v>-0.2012177</v>
      </c>
      <c r="V7974">
        <v>0.28293810000000003</v>
      </c>
      <c r="W7974">
        <v>0.42946119999999999</v>
      </c>
      <c r="X7974">
        <v>0.85761829999999994</v>
      </c>
      <c r="Y7974">
        <v>0.39894459999999998</v>
      </c>
      <c r="Z7974">
        <v>0.24428169999999999</v>
      </c>
      <c r="AA7974">
        <v>0.88383799999999901</v>
      </c>
      <c r="AB7974">
        <v>18</v>
      </c>
      <c r="AC7974">
        <v>2.7944640000000001</v>
      </c>
      <c r="AD7974">
        <v>1.18546</v>
      </c>
      <c r="AE7974">
        <v>-0.2012177</v>
      </c>
      <c r="AF7974">
        <v>1.1118905268243</v>
      </c>
      <c r="AG7974">
        <v>1.18546</v>
      </c>
      <c r="AH7974">
        <v>2.1000858642915201</v>
      </c>
      <c r="AI7974">
        <v>63.486575166069599</v>
      </c>
      <c r="AJ7974">
        <v>62.1010164595139</v>
      </c>
      <c r="AK7974">
        <v>2.6555557973122501</v>
      </c>
      <c r="AL7974">
        <v>64.566629131561001</v>
      </c>
      <c r="AM7974">
        <v>71.741685283541898</v>
      </c>
      <c r="AN7974">
        <v>1.00000001961597</v>
      </c>
    </row>
    <row r="7975" spans="1:40" x14ac:dyDescent="0.25">
      <c r="A7975" t="str">
        <f>"20190304165038738"</f>
        <v>20190304165038738</v>
      </c>
      <c r="B7975" t="str">
        <f>"1551689438733646"</f>
        <v>1551689438733646</v>
      </c>
      <c r="C7975" t="s">
        <v>40</v>
      </c>
      <c r="D7975">
        <v>4.917141</v>
      </c>
      <c r="E7975">
        <v>0.56264199999999998</v>
      </c>
      <c r="F7975" t="s">
        <v>60</v>
      </c>
      <c r="G7975">
        <v>0</v>
      </c>
      <c r="H7975">
        <v>0</v>
      </c>
      <c r="I7975">
        <v>0</v>
      </c>
      <c r="J7975">
        <v>-174.85820000000001</v>
      </c>
      <c r="K7975">
        <v>1.1066689999999999</v>
      </c>
      <c r="L7975">
        <v>135.96850000000001</v>
      </c>
      <c r="M7975">
        <v>0.91758890000000004</v>
      </c>
      <c r="N7975">
        <v>-1.4404490000000001E-2</v>
      </c>
      <c r="O7975">
        <v>0.39726939999999999</v>
      </c>
      <c r="P7975">
        <v>0.90318310000000002</v>
      </c>
      <c r="Q7975">
        <v>0.41847970000000001</v>
      </c>
      <c r="R7975">
        <v>9.5578389999999999E-2</v>
      </c>
      <c r="S7975">
        <v>2.793625</v>
      </c>
      <c r="T7975">
        <v>1.1861109999999999</v>
      </c>
      <c r="U7975">
        <v>-0.20959469999999999</v>
      </c>
      <c r="V7975">
        <v>0.2761673</v>
      </c>
      <c r="W7975">
        <v>0.42771350000000002</v>
      </c>
      <c r="X7975">
        <v>0.86069319999999905</v>
      </c>
      <c r="Y7975">
        <v>0.3964741</v>
      </c>
      <c r="Z7975">
        <v>0.24164260000000001</v>
      </c>
      <c r="AA7975">
        <v>0.88567320000000005</v>
      </c>
      <c r="AB7975">
        <v>18</v>
      </c>
      <c r="AC7975">
        <v>2.793625</v>
      </c>
      <c r="AD7975">
        <v>1.1861109999999999</v>
      </c>
      <c r="AE7975">
        <v>-0.20959469999999999</v>
      </c>
      <c r="AF7975">
        <v>1.1043211456958999</v>
      </c>
      <c r="AG7975">
        <v>1.1861109999999999</v>
      </c>
      <c r="AH7975">
        <v>2.10335045783247</v>
      </c>
      <c r="AI7975">
        <v>63.4678167194404</v>
      </c>
      <c r="AJ7975">
        <v>62.299199916402998</v>
      </c>
      <c r="AK7975">
        <v>2.6552716707742299</v>
      </c>
      <c r="AL7975">
        <v>64.677459613774104</v>
      </c>
      <c r="AM7975">
        <v>72.210323510560201</v>
      </c>
      <c r="AN7975">
        <v>1.00000000009889</v>
      </c>
    </row>
    <row r="7976" spans="1:40" x14ac:dyDescent="0.25">
      <c r="A7976" t="str">
        <f>"20190304165038752"</f>
        <v>20190304165038752</v>
      </c>
      <c r="B7976" t="str">
        <f>"1551689438743407"</f>
        <v>1551689438743407</v>
      </c>
      <c r="C7976" t="s">
        <v>40</v>
      </c>
      <c r="D7976">
        <v>4.9036879999999998</v>
      </c>
      <c r="E7976">
        <v>0.56251399999999996</v>
      </c>
      <c r="F7976" t="s">
        <v>60</v>
      </c>
      <c r="G7976">
        <v>0</v>
      </c>
      <c r="H7976">
        <v>0</v>
      </c>
      <c r="I7976">
        <v>0</v>
      </c>
      <c r="J7976">
        <v>-174.7415</v>
      </c>
      <c r="K7976">
        <v>1.1067560000000001</v>
      </c>
      <c r="L7976">
        <v>136.01060000000001</v>
      </c>
      <c r="M7976">
        <v>0.92018359999999999</v>
      </c>
      <c r="N7976">
        <v>-1.43772E-2</v>
      </c>
      <c r="O7976">
        <v>0.39122319999999999</v>
      </c>
      <c r="P7976">
        <v>0.90380950000000004</v>
      </c>
      <c r="Q7976">
        <v>0.41772239999999999</v>
      </c>
      <c r="R7976">
        <v>9.2934649999999994E-2</v>
      </c>
      <c r="S7976">
        <v>2.7947389999999999</v>
      </c>
      <c r="T7976">
        <v>1.1831879999999999</v>
      </c>
      <c r="U7976">
        <v>-0.20196529999999999</v>
      </c>
      <c r="V7976">
        <v>0.27303189999999999</v>
      </c>
      <c r="W7976">
        <v>0.42704819999999999</v>
      </c>
      <c r="X7976">
        <v>0.86202279999999998</v>
      </c>
      <c r="Y7976">
        <v>0.38962799999999997</v>
      </c>
      <c r="Z7976">
        <v>0.23728930000000001</v>
      </c>
      <c r="AA7976">
        <v>0.88987850000000002</v>
      </c>
      <c r="AB7976">
        <v>18</v>
      </c>
      <c r="AC7976">
        <v>2.7947389999999999</v>
      </c>
      <c r="AD7976">
        <v>1.1831879999999999</v>
      </c>
      <c r="AE7976">
        <v>-0.20196529999999999</v>
      </c>
      <c r="AF7976">
        <v>1.0857497225228001</v>
      </c>
      <c r="AG7976">
        <v>1.1831879999999999</v>
      </c>
      <c r="AH7976">
        <v>2.1156810376562798</v>
      </c>
      <c r="AI7976">
        <v>63.547237207871497</v>
      </c>
      <c r="AJ7976">
        <v>62.833486636871598</v>
      </c>
      <c r="AK7976">
        <v>2.6561047713523398</v>
      </c>
      <c r="AL7976">
        <v>64.7196217030491</v>
      </c>
      <c r="AM7976">
        <v>72.425236762983005</v>
      </c>
      <c r="AN7976">
        <v>0.999999945630343</v>
      </c>
    </row>
    <row r="7977" spans="1:40" x14ac:dyDescent="0.25">
      <c r="A7977" t="str">
        <f>"20190304165038764"</f>
        <v>20190304165038764</v>
      </c>
      <c r="B7977" t="str">
        <f>"1551689438753166"</f>
        <v>1551689438753166</v>
      </c>
      <c r="C7977" t="s">
        <v>40</v>
      </c>
      <c r="D7977">
        <v>4.9112960000000001</v>
      </c>
      <c r="E7977">
        <v>0.5623842</v>
      </c>
      <c r="F7977" t="s">
        <v>60</v>
      </c>
      <c r="G7977">
        <v>0</v>
      </c>
      <c r="H7977">
        <v>0</v>
      </c>
      <c r="I7977">
        <v>0</v>
      </c>
      <c r="J7977">
        <v>-174.64869999999999</v>
      </c>
      <c r="K7977">
        <v>1.1068249999999999</v>
      </c>
      <c r="L7977">
        <v>136.04349999999999</v>
      </c>
      <c r="M7977">
        <v>0.92218739999999999</v>
      </c>
      <c r="N7977">
        <v>-1.435516E-2</v>
      </c>
      <c r="O7977">
        <v>0.38647690000000001</v>
      </c>
      <c r="P7977">
        <v>0.90443340000000005</v>
      </c>
      <c r="Q7977">
        <v>0.41673169999999998</v>
      </c>
      <c r="R7977">
        <v>9.1296619999999995E-2</v>
      </c>
      <c r="S7977">
        <v>2.7936550000000002</v>
      </c>
      <c r="T7977">
        <v>1.1838799999999901</v>
      </c>
      <c r="U7977">
        <v>-0.20953369999999999</v>
      </c>
      <c r="V7977">
        <v>0.2702213</v>
      </c>
      <c r="W7977">
        <v>0.42613610000000002</v>
      </c>
      <c r="X7977">
        <v>0.86335890000000004</v>
      </c>
      <c r="Y7977">
        <v>0.38788519999999999</v>
      </c>
      <c r="Z7977">
        <v>0.23527390000000001</v>
      </c>
      <c r="AA7977">
        <v>0.89117409999999997</v>
      </c>
      <c r="AB7977">
        <v>18</v>
      </c>
      <c r="AC7977">
        <v>2.7936550000000002</v>
      </c>
      <c r="AD7977">
        <v>1.1838799999999901</v>
      </c>
      <c r="AE7977">
        <v>-0.20953369999999999</v>
      </c>
      <c r="AF7977">
        <v>1.08015007492519</v>
      </c>
      <c r="AG7977">
        <v>1.1838799999999901</v>
      </c>
      <c r="AH7977">
        <v>2.1174209129724502</v>
      </c>
      <c r="AI7977">
        <v>63.524241907950902</v>
      </c>
      <c r="AJ7977">
        <v>62.972719331605603</v>
      </c>
      <c r="AK7977">
        <v>2.6555164020306901</v>
      </c>
      <c r="AL7977">
        <v>64.777405530066403</v>
      </c>
      <c r="AM7977">
        <v>72.620486518160305</v>
      </c>
      <c r="AN7977">
        <v>1.00000005845305</v>
      </c>
    </row>
    <row r="7978" spans="1:40" x14ac:dyDescent="0.25">
      <c r="A7978" t="str">
        <f>"20190304165038778"</f>
        <v>20190304165038778</v>
      </c>
      <c r="B7978" t="str">
        <f>"1551689438773662"</f>
        <v>1551689438773662</v>
      </c>
      <c r="C7978" t="s">
        <v>40</v>
      </c>
      <c r="D7978">
        <v>5.1499230000000003</v>
      </c>
      <c r="E7978">
        <v>0.56201279999999998</v>
      </c>
      <c r="F7978" t="s">
        <v>60</v>
      </c>
      <c r="G7978">
        <v>0</v>
      </c>
      <c r="H7978">
        <v>0</v>
      </c>
      <c r="I7978">
        <v>0</v>
      </c>
      <c r="J7978">
        <v>-174.54249999999999</v>
      </c>
      <c r="K7978">
        <v>1.1069020000000001</v>
      </c>
      <c r="L7978">
        <v>136.08070000000001</v>
      </c>
      <c r="M7978">
        <v>0.92442709999999995</v>
      </c>
      <c r="N7978">
        <v>-1.43302E-2</v>
      </c>
      <c r="O7978">
        <v>0.38108950000000003</v>
      </c>
      <c r="P7978">
        <v>0.90496659999999995</v>
      </c>
      <c r="Q7978">
        <v>0.41612919999999998</v>
      </c>
      <c r="R7978">
        <v>8.8724109999999995E-2</v>
      </c>
      <c r="S7978">
        <v>2.7932589999999999</v>
      </c>
      <c r="T7978">
        <v>1.183567</v>
      </c>
      <c r="U7978">
        <v>-0.214035</v>
      </c>
      <c r="V7978">
        <v>0.267632599999999</v>
      </c>
      <c r="W7978">
        <v>0.42560930000000002</v>
      </c>
      <c r="X7978">
        <v>0.86442439999999998</v>
      </c>
      <c r="Y7978">
        <v>0.38484059999999998</v>
      </c>
      <c r="Z7978">
        <v>0.23251089999999999</v>
      </c>
      <c r="AA7978">
        <v>0.89321689999999998</v>
      </c>
      <c r="AB7978">
        <v>18</v>
      </c>
      <c r="AC7978">
        <v>2.7932589999999999</v>
      </c>
      <c r="AD7978">
        <v>1.183567</v>
      </c>
      <c r="AE7978">
        <v>-0.214035</v>
      </c>
      <c r="AF7978">
        <v>1.0712589925268301</v>
      </c>
      <c r="AG7978">
        <v>1.183567</v>
      </c>
      <c r="AH7978">
        <v>2.1220787370538798</v>
      </c>
      <c r="AI7978">
        <v>63.531538415792298</v>
      </c>
      <c r="AJ7978">
        <v>63.214631773020997</v>
      </c>
      <c r="AK7978">
        <v>2.6554933324741699</v>
      </c>
      <c r="AL7978">
        <v>64.8107641696879</v>
      </c>
      <c r="AM7978">
        <v>72.797063492636894</v>
      </c>
      <c r="AN7978">
        <v>1.0000000140723</v>
      </c>
    </row>
    <row r="7979" spans="1:40" x14ac:dyDescent="0.25">
      <c r="A7979" t="str">
        <f>"20190304165038790"</f>
        <v>20190304165038790</v>
      </c>
      <c r="B7979" t="str">
        <f>"1551689438783170"</f>
        <v>1551689438783170</v>
      </c>
      <c r="C7979" t="s">
        <v>40</v>
      </c>
      <c r="D7979">
        <v>4.9493539999999996</v>
      </c>
      <c r="E7979">
        <v>0.56185739999999995</v>
      </c>
      <c r="F7979" t="s">
        <v>60</v>
      </c>
      <c r="G7979">
        <v>0</v>
      </c>
      <c r="H7979">
        <v>0</v>
      </c>
      <c r="I7979">
        <v>0</v>
      </c>
      <c r="J7979">
        <v>-174.44069999999999</v>
      </c>
      <c r="K7979">
        <v>1.1069800000000001</v>
      </c>
      <c r="L7979">
        <v>136.1157</v>
      </c>
      <c r="M7979">
        <v>0.92650370000000004</v>
      </c>
      <c r="N7979">
        <v>-1.430585E-2</v>
      </c>
      <c r="O7979">
        <v>0.37601390000000001</v>
      </c>
      <c r="P7979">
        <v>0.90578519999999896</v>
      </c>
      <c r="Q7979">
        <v>0.414906</v>
      </c>
      <c r="R7979">
        <v>8.6062130000000001E-2</v>
      </c>
      <c r="S7979">
        <v>2.7921909999999999</v>
      </c>
      <c r="T7979">
        <v>1.183851</v>
      </c>
      <c r="U7979">
        <v>-0.2192383</v>
      </c>
      <c r="V7979">
        <v>0.26553100000000002</v>
      </c>
      <c r="W7979">
        <v>0.4244578</v>
      </c>
      <c r="X7979">
        <v>0.86563780000000001</v>
      </c>
      <c r="Y7979">
        <v>0.38219320000000001</v>
      </c>
      <c r="Z7979">
        <v>0.23010050000000001</v>
      </c>
      <c r="AA7979">
        <v>0.89497610000000005</v>
      </c>
      <c r="AB7979">
        <v>18</v>
      </c>
      <c r="AC7979">
        <v>2.7921909999999999</v>
      </c>
      <c r="AD7979">
        <v>1.183851</v>
      </c>
      <c r="AE7979">
        <v>-0.2192383</v>
      </c>
      <c r="AF7979">
        <v>1.0632011410618201</v>
      </c>
      <c r="AG7979">
        <v>1.183851</v>
      </c>
      <c r="AH7979">
        <v>2.12511526634984</v>
      </c>
      <c r="AI7979">
        <v>63.517345038805701</v>
      </c>
      <c r="AJ7979">
        <v>63.421070678797498</v>
      </c>
      <c r="AK7979">
        <v>2.65480973929006</v>
      </c>
      <c r="AL7979">
        <v>64.883650402588998</v>
      </c>
      <c r="AM7979">
        <v>72.946810307339405</v>
      </c>
      <c r="AN7979">
        <v>0.999999968365339</v>
      </c>
    </row>
    <row r="7980" spans="1:40" x14ac:dyDescent="0.25">
      <c r="A7980" t="str">
        <f>"20190304165038802"</f>
        <v>20190304165038802</v>
      </c>
      <c r="B7980" t="str">
        <f>"1551689438792929"</f>
        <v>1551689438792929</v>
      </c>
      <c r="C7980" t="s">
        <v>40</v>
      </c>
      <c r="D7980">
        <v>4.942177</v>
      </c>
      <c r="E7980">
        <v>0.56162730000000005</v>
      </c>
      <c r="F7980" t="s">
        <v>60</v>
      </c>
      <c r="G7980">
        <v>0</v>
      </c>
      <c r="H7980">
        <v>0</v>
      </c>
      <c r="I7980">
        <v>0</v>
      </c>
      <c r="J7980">
        <v>-174.34610000000001</v>
      </c>
      <c r="K7980">
        <v>1.1070439999999999</v>
      </c>
      <c r="L7980">
        <v>136.14779999999999</v>
      </c>
      <c r="M7980">
        <v>0.92837939999999997</v>
      </c>
      <c r="N7980">
        <v>-1.4283199999999999E-2</v>
      </c>
      <c r="O7980">
        <v>0.3713593</v>
      </c>
      <c r="P7980">
        <v>0.90683360000000002</v>
      </c>
      <c r="Q7980">
        <v>0.41267290000000001</v>
      </c>
      <c r="R7980">
        <v>8.5756600000000002E-2</v>
      </c>
      <c r="S7980">
        <v>2.7925260000000001</v>
      </c>
      <c r="T7980">
        <v>1.18109</v>
      </c>
      <c r="U7980">
        <v>-0.22628780000000001</v>
      </c>
      <c r="V7980">
        <v>0.26172509999999999</v>
      </c>
      <c r="W7980">
        <v>0.42232419999999998</v>
      </c>
      <c r="X7980">
        <v>0.86783770000000005</v>
      </c>
      <c r="Y7980">
        <v>0.38075769999999998</v>
      </c>
      <c r="Z7980">
        <v>0.22745109999999999</v>
      </c>
      <c r="AA7980">
        <v>0.89626430000000001</v>
      </c>
      <c r="AB7980">
        <v>18</v>
      </c>
      <c r="AC7980">
        <v>2.7925260000000001</v>
      </c>
      <c r="AD7980">
        <v>1.18109</v>
      </c>
      <c r="AE7980">
        <v>-0.22628780000000001</v>
      </c>
      <c r="AF7980">
        <v>1.0590308000891899</v>
      </c>
      <c r="AG7980">
        <v>1.18109</v>
      </c>
      <c r="AH7980">
        <v>2.1301766691568398</v>
      </c>
      <c r="AI7980">
        <v>63.596323432274303</v>
      </c>
      <c r="AJ7980">
        <v>63.565441583495698</v>
      </c>
      <c r="AK7980">
        <v>2.6559692139514102</v>
      </c>
      <c r="AL7980">
        <v>65.018589272712703</v>
      </c>
      <c r="AM7980">
        <v>73.217581592977893</v>
      </c>
      <c r="AN7980">
        <v>1.0000000157084601</v>
      </c>
    </row>
    <row r="7981" spans="1:40" x14ac:dyDescent="0.25">
      <c r="A7981" t="str">
        <f>"20190304165038819"</f>
        <v>20190304165038819</v>
      </c>
      <c r="B7981" t="str">
        <f>"1551689438813426"</f>
        <v>1551689438813426</v>
      </c>
      <c r="C7981" t="s">
        <v>40</v>
      </c>
      <c r="D7981">
        <v>4.9561449999999896</v>
      </c>
      <c r="E7981">
        <v>0.55802369999999901</v>
      </c>
      <c r="F7981" t="s">
        <v>60</v>
      </c>
      <c r="G7981">
        <v>0</v>
      </c>
      <c r="H7981">
        <v>0</v>
      </c>
      <c r="I7981">
        <v>0</v>
      </c>
      <c r="J7981">
        <v>-174.2216</v>
      </c>
      <c r="K7981">
        <v>1.1071310000000001</v>
      </c>
      <c r="L7981">
        <v>136.18940000000001</v>
      </c>
      <c r="M7981">
        <v>0.93077600000000005</v>
      </c>
      <c r="N7981">
        <v>-1.425354E-2</v>
      </c>
      <c r="O7981">
        <v>0.36531239999999998</v>
      </c>
      <c r="P7981">
        <v>0.90782680000000004</v>
      </c>
      <c r="Q7981">
        <v>0.41131600000000001</v>
      </c>
      <c r="R7981">
        <v>8.1669729999999996E-2</v>
      </c>
      <c r="S7981">
        <v>2.7947540000000002</v>
      </c>
      <c r="T7981">
        <v>1.1752560000000001</v>
      </c>
      <c r="U7981">
        <v>-0.2256775</v>
      </c>
      <c r="V7981">
        <v>0.26008730000000002</v>
      </c>
      <c r="W7981">
        <v>0.42103570000000001</v>
      </c>
      <c r="X7981">
        <v>0.86895540000000004</v>
      </c>
      <c r="Y7981">
        <v>0.37624059999999998</v>
      </c>
      <c r="Z7981">
        <v>0.22299050000000001</v>
      </c>
      <c r="AA7981">
        <v>0.89928759999999996</v>
      </c>
      <c r="AB7981">
        <v>18</v>
      </c>
      <c r="AC7981">
        <v>2.7947540000000002</v>
      </c>
      <c r="AD7981">
        <v>1.1752560000000001</v>
      </c>
      <c r="AE7981">
        <v>-0.2256775</v>
      </c>
      <c r="AF7981">
        <v>1.04715951992515</v>
      </c>
      <c r="AG7981">
        <v>1.1752560000000001</v>
      </c>
      <c r="AH7981">
        <v>2.1426530254615299</v>
      </c>
      <c r="AI7981">
        <v>63.7658759933745</v>
      </c>
      <c r="AJ7981">
        <v>63.954269108947997</v>
      </c>
      <c r="AK7981">
        <v>2.6587086551981098</v>
      </c>
      <c r="AL7981">
        <v>65.100006516001699</v>
      </c>
      <c r="AM7981">
        <v>73.337016768707798</v>
      </c>
      <c r="AN7981">
        <v>0.99999997574246902</v>
      </c>
    </row>
    <row r="7982" spans="1:40" x14ac:dyDescent="0.25">
      <c r="A7982" t="str">
        <f>"20190304165038831"</f>
        <v>20190304165038831</v>
      </c>
      <c r="B7982" t="str">
        <f>"1551689438823185"</f>
        <v>1551689438823185</v>
      </c>
      <c r="C7982" t="s">
        <v>40</v>
      </c>
      <c r="D7982">
        <v>4.942793</v>
      </c>
      <c r="E7982">
        <v>0.5577645</v>
      </c>
      <c r="F7982" t="s">
        <v>60</v>
      </c>
      <c r="G7982">
        <v>0</v>
      </c>
      <c r="H7982">
        <v>0</v>
      </c>
      <c r="I7982">
        <v>0</v>
      </c>
      <c r="J7982">
        <v>-174.10939999999999</v>
      </c>
      <c r="K7982">
        <v>1.1072139999999999</v>
      </c>
      <c r="L7982">
        <v>136.22620000000001</v>
      </c>
      <c r="M7982">
        <v>0.93286230000000003</v>
      </c>
      <c r="N7982">
        <v>-1.422644E-2</v>
      </c>
      <c r="O7982">
        <v>0.3599522</v>
      </c>
      <c r="P7982">
        <v>0.90851059999999995</v>
      </c>
      <c r="Q7982">
        <v>0.41044599999999998</v>
      </c>
      <c r="R7982">
        <v>7.8377370000000002E-2</v>
      </c>
      <c r="S7982">
        <v>2.7850950000000001</v>
      </c>
      <c r="T7982">
        <v>1.1886460000000001</v>
      </c>
      <c r="U7982">
        <v>-0.21162410000000001</v>
      </c>
      <c r="V7982">
        <v>0.25826769999999999</v>
      </c>
      <c r="W7982">
        <v>0.42022929999999997</v>
      </c>
      <c r="X7982">
        <v>0.869887999999999</v>
      </c>
      <c r="Y7982">
        <v>0.36628050000000001</v>
      </c>
      <c r="Z7982">
        <v>0.22189500000000001</v>
      </c>
      <c r="AA7982">
        <v>0.90365989999999996</v>
      </c>
      <c r="AB7982">
        <v>18</v>
      </c>
      <c r="AC7982">
        <v>2.7850950000000001</v>
      </c>
      <c r="AD7982">
        <v>1.1886460000000001</v>
      </c>
      <c r="AE7982">
        <v>-0.21162410000000001</v>
      </c>
      <c r="AF7982">
        <v>1.0160324681516899</v>
      </c>
      <c r="AG7982">
        <v>1.1886460000000001</v>
      </c>
      <c r="AH7982">
        <v>2.1354543314738201</v>
      </c>
      <c r="AI7982">
        <v>63.314439165925997</v>
      </c>
      <c r="AJ7982">
        <v>64.555260339223096</v>
      </c>
      <c r="AK7982">
        <v>2.6467652883217201</v>
      </c>
      <c r="AL7982">
        <v>65.150935025206707</v>
      </c>
      <c r="AM7982">
        <v>73.463969692733698</v>
      </c>
      <c r="AN7982">
        <v>1.00000000099289</v>
      </c>
    </row>
    <row r="7983" spans="1:40" x14ac:dyDescent="0.25">
      <c r="A7983" t="str">
        <f>"20190304165038845"</f>
        <v>20190304165038845</v>
      </c>
      <c r="B7983" t="str">
        <f>"1551689438832946"</f>
        <v>1551689438832946</v>
      </c>
      <c r="C7983" t="s">
        <v>40</v>
      </c>
      <c r="D7983">
        <v>4.9638589999999896</v>
      </c>
      <c r="E7983">
        <v>0.5577645</v>
      </c>
      <c r="F7983" t="s">
        <v>60</v>
      </c>
      <c r="G7983">
        <v>0</v>
      </c>
      <c r="H7983">
        <v>0</v>
      </c>
      <c r="I7983">
        <v>0</v>
      </c>
      <c r="J7983">
        <v>-174.0155</v>
      </c>
      <c r="K7983">
        <v>1.1072839999999999</v>
      </c>
      <c r="L7983">
        <v>136.25649999999999</v>
      </c>
      <c r="M7983">
        <v>0.93455140000000003</v>
      </c>
      <c r="N7983">
        <v>-1.4203779999999999E-2</v>
      </c>
      <c r="O7983">
        <v>0.3555449</v>
      </c>
      <c r="P7983">
        <v>0.90897689999999998</v>
      </c>
      <c r="Q7983">
        <v>0.40981309999999899</v>
      </c>
      <c r="R7983">
        <v>7.6253660000000001E-2</v>
      </c>
      <c r="S7983">
        <v>2.784424</v>
      </c>
      <c r="T7983">
        <v>1.187889</v>
      </c>
      <c r="U7983">
        <v>-0.21998599999999999</v>
      </c>
      <c r="V7983">
        <v>0.25620189999999998</v>
      </c>
      <c r="W7983">
        <v>0.41965419999999998</v>
      </c>
      <c r="X7983">
        <v>0.87077610000000005</v>
      </c>
      <c r="Y7983">
        <v>0.36525089999999999</v>
      </c>
      <c r="Z7983">
        <v>0.2198309</v>
      </c>
      <c r="AA7983">
        <v>0.90458070000000002</v>
      </c>
      <c r="AB7983">
        <v>18</v>
      </c>
      <c r="AC7983">
        <v>2.784424</v>
      </c>
      <c r="AD7983">
        <v>1.187889</v>
      </c>
      <c r="AE7983">
        <v>-0.21998599999999999</v>
      </c>
      <c r="AF7983">
        <v>1.01255123600474</v>
      </c>
      <c r="AG7983">
        <v>1.187889</v>
      </c>
      <c r="AH7983">
        <v>2.1375901408309499</v>
      </c>
      <c r="AI7983">
        <v>63.3333234673634</v>
      </c>
      <c r="AJ7983">
        <v>64.653637151649804</v>
      </c>
      <c r="AK7983">
        <v>2.6468154246251099</v>
      </c>
      <c r="AL7983">
        <v>65.187243407729198</v>
      </c>
      <c r="AM7983">
        <v>73.604931783155806</v>
      </c>
      <c r="AN7983">
        <v>1.00000003873622</v>
      </c>
    </row>
    <row r="7984" spans="1:40" x14ac:dyDescent="0.25">
      <c r="A7984" t="str">
        <f>"20190304165038860"</f>
        <v>20190304165038860</v>
      </c>
      <c r="B7984" t="str">
        <f>"1551689438853442"</f>
        <v>1551689438853442</v>
      </c>
      <c r="C7984" t="s">
        <v>40</v>
      </c>
      <c r="D7984">
        <v>4.8989260000000003</v>
      </c>
      <c r="E7984">
        <v>0.55605260000000001</v>
      </c>
      <c r="F7984" t="s">
        <v>60</v>
      </c>
      <c r="G7984">
        <v>0</v>
      </c>
      <c r="H7984">
        <v>0</v>
      </c>
      <c r="I7984">
        <v>0</v>
      </c>
      <c r="J7984">
        <v>-173.89510000000001</v>
      </c>
      <c r="K7984">
        <v>1.1073740000000001</v>
      </c>
      <c r="L7984">
        <v>136.29480000000001</v>
      </c>
      <c r="M7984">
        <v>0.93665759999999998</v>
      </c>
      <c r="N7984">
        <v>-1.417526E-2</v>
      </c>
      <c r="O7984">
        <v>0.34995969999999998</v>
      </c>
      <c r="P7984">
        <v>0.90942319999999999</v>
      </c>
      <c r="Q7984">
        <v>0.40946690000000002</v>
      </c>
      <c r="R7984">
        <v>7.2710109999999994E-2</v>
      </c>
      <c r="S7984">
        <v>2.7841490000000002</v>
      </c>
      <c r="T7984">
        <v>1.187228</v>
      </c>
      <c r="U7984">
        <v>-0.22666929999999999</v>
      </c>
      <c r="V7984">
        <v>0.25434370000000001</v>
      </c>
      <c r="W7984">
        <v>0.41936639999999997</v>
      </c>
      <c r="X7984">
        <v>0.87145919999999899</v>
      </c>
      <c r="Y7984">
        <v>0.36276700000000001</v>
      </c>
      <c r="Z7984">
        <v>0.21699180000000001</v>
      </c>
      <c r="AA7984">
        <v>0.90626410000000002</v>
      </c>
      <c r="AB7984">
        <v>18</v>
      </c>
      <c r="AC7984">
        <v>2.7841490000000002</v>
      </c>
      <c r="AD7984">
        <v>1.187228</v>
      </c>
      <c r="AE7984">
        <v>-0.22666929999999999</v>
      </c>
      <c r="AF7984">
        <v>1.0051925126433301</v>
      </c>
      <c r="AG7984">
        <v>1.187228</v>
      </c>
      <c r="AH7984">
        <v>2.1418237535264901</v>
      </c>
      <c r="AI7984">
        <v>63.3528211646301</v>
      </c>
      <c r="AJ7984">
        <v>64.858575651239903</v>
      </c>
      <c r="AK7984">
        <v>2.64713643445678</v>
      </c>
      <c r="AL7984">
        <v>65.205408291541204</v>
      </c>
      <c r="AM7984">
        <v>73.729610240158095</v>
      </c>
      <c r="AN7984">
        <v>1.00000001622164</v>
      </c>
    </row>
    <row r="7985" spans="1:40" x14ac:dyDescent="0.25">
      <c r="A7985" t="str">
        <f>"20190304165038873"</f>
        <v>20190304165038873</v>
      </c>
      <c r="B7985" t="str">
        <f>"1551689438863201"</f>
        <v>1551689438863201</v>
      </c>
      <c r="C7985" t="s">
        <v>40</v>
      </c>
      <c r="D7985">
        <v>4.8819239999999997</v>
      </c>
      <c r="E7985">
        <v>0.54842069999999998</v>
      </c>
      <c r="F7985" t="s">
        <v>60</v>
      </c>
      <c r="G7985">
        <v>0</v>
      </c>
      <c r="H7985">
        <v>0</v>
      </c>
      <c r="I7985">
        <v>0</v>
      </c>
      <c r="J7985">
        <v>-173.78729999999999</v>
      </c>
      <c r="K7985">
        <v>1.1074520000000001</v>
      </c>
      <c r="L7985">
        <v>136.32859999999999</v>
      </c>
      <c r="M7985">
        <v>0.93848399999999998</v>
      </c>
      <c r="N7985">
        <v>-1.4150029999999999E-2</v>
      </c>
      <c r="O7985">
        <v>0.34503289999999998</v>
      </c>
      <c r="P7985">
        <v>0.90954669999999904</v>
      </c>
      <c r="Q7985">
        <v>0.40928029999999999</v>
      </c>
      <c r="R7985">
        <v>7.2212199999999893E-2</v>
      </c>
      <c r="S7985">
        <v>2.7910460000000001</v>
      </c>
      <c r="T7985">
        <v>1.167135</v>
      </c>
      <c r="U7985">
        <v>-0.22183230000000001</v>
      </c>
      <c r="V7985">
        <v>0.25015680000000001</v>
      </c>
      <c r="W7985">
        <v>0.41926459999999999</v>
      </c>
      <c r="X7985">
        <v>0.87271919999999903</v>
      </c>
      <c r="Y7985">
        <v>0.35921429999999999</v>
      </c>
      <c r="Z7985">
        <v>0.210532</v>
      </c>
      <c r="AA7985">
        <v>0.90919819999999996</v>
      </c>
      <c r="AB7985">
        <v>18</v>
      </c>
      <c r="AC7985">
        <v>2.7910460000000001</v>
      </c>
      <c r="AD7985">
        <v>1.167135</v>
      </c>
      <c r="AE7985">
        <v>-0.22183230000000001</v>
      </c>
      <c r="AF7985">
        <v>0.99790122328770303</v>
      </c>
      <c r="AG7985">
        <v>1.167135</v>
      </c>
      <c r="AH7985">
        <v>2.1665813949889099</v>
      </c>
      <c r="AI7985">
        <v>63.927795930077103</v>
      </c>
      <c r="AJ7985">
        <v>65.269773512326594</v>
      </c>
      <c r="AK7985">
        <v>2.6555763782607</v>
      </c>
      <c r="AL7985">
        <v>65.211833096121495</v>
      </c>
      <c r="AM7985">
        <v>74.005545069929397</v>
      </c>
      <c r="AN7985">
        <v>1.0000000157240101</v>
      </c>
    </row>
    <row r="7986" spans="1:40" x14ac:dyDescent="0.25">
      <c r="A7986" t="str">
        <f>"20190304165038903"</f>
        <v>20190304165038903</v>
      </c>
      <c r="B7986" t="str">
        <f>"1551689438893201"</f>
        <v>1551689438893201</v>
      </c>
      <c r="C7986" t="s">
        <v>40</v>
      </c>
      <c r="D7986">
        <v>4.8794870000000001</v>
      </c>
      <c r="E7986">
        <v>0.54842069999999998</v>
      </c>
      <c r="F7986" t="s">
        <v>60</v>
      </c>
      <c r="G7986">
        <v>0</v>
      </c>
      <c r="H7986">
        <v>0</v>
      </c>
      <c r="I7986">
        <v>0</v>
      </c>
      <c r="J7986">
        <v>-173.55359999999999</v>
      </c>
      <c r="K7986">
        <v>1.1076060000000001</v>
      </c>
      <c r="L7986">
        <v>136.3999</v>
      </c>
      <c r="M7986">
        <v>0.94224540000000001</v>
      </c>
      <c r="N7986">
        <v>-1.409757E-2</v>
      </c>
      <c r="O7986">
        <v>0.33462619999999998</v>
      </c>
      <c r="P7986">
        <v>0.90944130000000001</v>
      </c>
      <c r="Q7986">
        <v>0.41000330000000001</v>
      </c>
      <c r="R7986">
        <v>6.9384219999999996E-2</v>
      </c>
      <c r="S7986">
        <v>2.9896090000000002</v>
      </c>
      <c r="T7986">
        <v>0.70632830000000002</v>
      </c>
      <c r="U7986">
        <v>-0.1144714</v>
      </c>
      <c r="V7986">
        <v>0.242894</v>
      </c>
      <c r="W7986">
        <v>0.42012680000000002</v>
      </c>
      <c r="X7986">
        <v>0.87435459999999998</v>
      </c>
      <c r="Y7986">
        <v>0.3512729</v>
      </c>
      <c r="Z7986">
        <v>0.1200296</v>
      </c>
      <c r="AA7986">
        <v>0.92854740000000002</v>
      </c>
      <c r="AB7986">
        <v>18</v>
      </c>
      <c r="AC7986">
        <v>2.9896090000000002</v>
      </c>
      <c r="AD7986">
        <v>0.70632830000000002</v>
      </c>
      <c r="AE7986">
        <v>-0.1144714</v>
      </c>
      <c r="AF7986">
        <v>1.0498554766947401</v>
      </c>
      <c r="AG7986">
        <v>0.70632830000000002</v>
      </c>
      <c r="AH7986">
        <v>2.6322038952828901</v>
      </c>
      <c r="AI7986">
        <v>76.004365488845295</v>
      </c>
      <c r="AJ7986">
        <v>68.255396980980905</v>
      </c>
      <c r="AK7986">
        <v>2.9205467871049899</v>
      </c>
      <c r="AL7986">
        <v>65.157406704346101</v>
      </c>
      <c r="AM7986">
        <v>74.474810874751498</v>
      </c>
      <c r="AN7986">
        <v>0.99999999492769998</v>
      </c>
    </row>
    <row r="7987" spans="1:40" x14ac:dyDescent="0.25">
      <c r="A7987" t="str">
        <f>"20190304165038921"</f>
        <v>20190304165038921</v>
      </c>
      <c r="B7987" t="str">
        <f>"1551689438913697"</f>
        <v>1551689438913697</v>
      </c>
      <c r="C7987" t="s">
        <v>40</v>
      </c>
      <c r="D7987">
        <v>4.9279299999999999</v>
      </c>
      <c r="E7987">
        <v>0.53184109999999996</v>
      </c>
      <c r="F7987" t="s">
        <v>60</v>
      </c>
      <c r="G7987">
        <v>0</v>
      </c>
      <c r="H7987">
        <v>0</v>
      </c>
      <c r="I7987">
        <v>0</v>
      </c>
      <c r="J7987">
        <v>-173.41329999999999</v>
      </c>
      <c r="K7987">
        <v>1.1076979999999901</v>
      </c>
      <c r="L7987">
        <v>136.44159999999999</v>
      </c>
      <c r="M7987">
        <v>0.94439039999999996</v>
      </c>
      <c r="N7987">
        <v>-1.4067629999999999E-2</v>
      </c>
      <c r="O7987">
        <v>0.32852530000000002</v>
      </c>
      <c r="P7987">
        <v>0.9094951</v>
      </c>
      <c r="Q7987">
        <v>0.41033979999999998</v>
      </c>
      <c r="R7987">
        <v>6.6635009999999995E-2</v>
      </c>
      <c r="S7987">
        <v>2.9886469999999998</v>
      </c>
      <c r="T7987">
        <v>0.70870569999999999</v>
      </c>
      <c r="U7987">
        <v>-0.12374880000000001</v>
      </c>
      <c r="V7987">
        <v>0.23972450000000001</v>
      </c>
      <c r="W7987">
        <v>0.42052610000000001</v>
      </c>
      <c r="X7987">
        <v>0.87503709999999901</v>
      </c>
      <c r="Y7987">
        <v>0.34827190000000002</v>
      </c>
      <c r="Z7987">
        <v>0.1186659</v>
      </c>
      <c r="AA7987">
        <v>0.92985220000000002</v>
      </c>
      <c r="AB7987">
        <v>18</v>
      </c>
      <c r="AC7987">
        <v>2.9886469999999998</v>
      </c>
      <c r="AD7987">
        <v>0.70870569999999999</v>
      </c>
      <c r="AE7987">
        <v>-0.12374880000000001</v>
      </c>
      <c r="AF7987">
        <v>1.0404175620175999</v>
      </c>
      <c r="AG7987">
        <v>0.70870569999999999</v>
      </c>
      <c r="AH7987">
        <v>2.6341978488376001</v>
      </c>
      <c r="AI7987">
        <v>75.951365258239804</v>
      </c>
      <c r="AJ7987">
        <v>68.447684528870397</v>
      </c>
      <c r="AK7987">
        <v>2.91954290589945</v>
      </c>
      <c r="AL7987">
        <v>65.132192675206596</v>
      </c>
      <c r="AM7987">
        <v>74.679202032057901</v>
      </c>
      <c r="AN7987">
        <v>0.99999998152893399</v>
      </c>
    </row>
    <row r="7988" spans="1:40" x14ac:dyDescent="0.25">
      <c r="A7988" t="str">
        <f>"20190304165038942"</f>
        <v>20190304165038942</v>
      </c>
      <c r="B7988" t="str">
        <f>"1551689438933218"</f>
        <v>1551689438933218</v>
      </c>
      <c r="C7988" t="s">
        <v>40</v>
      </c>
      <c r="D7988">
        <v>4.9206949999999896</v>
      </c>
      <c r="E7988">
        <v>0.53027969999999902</v>
      </c>
      <c r="F7988" t="s">
        <v>42</v>
      </c>
      <c r="G7988">
        <v>-161.13130000000001</v>
      </c>
      <c r="H7988" s="1">
        <v>-4.6703330000000003E-6</v>
      </c>
      <c r="I7988">
        <v>136.81139999999999</v>
      </c>
      <c r="J7988">
        <v>-173.24950000000001</v>
      </c>
      <c r="K7988">
        <v>1.107799</v>
      </c>
      <c r="L7988">
        <v>136.48920000000001</v>
      </c>
      <c r="M7988">
        <v>0.94679539999999995</v>
      </c>
      <c r="N7988">
        <v>-1.4034430000000001E-2</v>
      </c>
      <c r="O7988">
        <v>0.32152989999999998</v>
      </c>
      <c r="P7988">
        <v>0.90913129999999998</v>
      </c>
      <c r="Q7988">
        <v>0.41119559999999999</v>
      </c>
      <c r="R7988">
        <v>6.6323859999999998E-2</v>
      </c>
      <c r="S7988">
        <v>3.4305569999999999</v>
      </c>
      <c r="T7988">
        <v>-0.30939689999999997</v>
      </c>
      <c r="U7988">
        <v>0.1032867</v>
      </c>
      <c r="V7988">
        <v>0.23329320000000001</v>
      </c>
      <c r="W7988">
        <v>0.42148020000000003</v>
      </c>
      <c r="X7988">
        <v>0.87631539999999997</v>
      </c>
      <c r="Y7988">
        <v>0.29067379999999998</v>
      </c>
      <c r="Z7988">
        <v>-3.9055189999999997E-2</v>
      </c>
      <c r="AA7988">
        <v>0.95602480000000001</v>
      </c>
      <c r="AB7988">
        <v>18</v>
      </c>
      <c r="AC7988">
        <v>12.1182</v>
      </c>
      <c r="AD7988">
        <v>-1.1078036703330001</v>
      </c>
      <c r="AE7988">
        <v>0.32219999999998</v>
      </c>
      <c r="AF7988">
        <v>3.5619141240585601</v>
      </c>
      <c r="AG7988">
        <v>-1.1078036703330001</v>
      </c>
      <c r="AH7988">
        <v>11.482303825713601</v>
      </c>
      <c r="AI7988">
        <v>95.264788274120306</v>
      </c>
      <c r="AJ7988">
        <v>72.765638901040603</v>
      </c>
      <c r="AK7988">
        <v>12.073017946858499</v>
      </c>
      <c r="AL7988">
        <v>65.071925395988302</v>
      </c>
      <c r="AM7988">
        <v>75.092447135619494</v>
      </c>
      <c r="AN7988">
        <v>0.99999997821771902</v>
      </c>
    </row>
    <row r="7989" spans="1:40" x14ac:dyDescent="0.25">
      <c r="A7989" t="str">
        <f>"20190304165038961"</f>
        <v>20190304165038961</v>
      </c>
      <c r="B7989" t="str">
        <f>"1551689438953713"</f>
        <v>1551689438953713</v>
      </c>
      <c r="C7989" t="s">
        <v>40</v>
      </c>
      <c r="D7989">
        <v>4.928839</v>
      </c>
      <c r="E7989">
        <v>0.52977109999999905</v>
      </c>
      <c r="F7989" t="s">
        <v>42</v>
      </c>
      <c r="G7989">
        <v>-161.5087</v>
      </c>
      <c r="H7989" s="1">
        <v>-4.4807799999999998E-6</v>
      </c>
      <c r="I7989">
        <v>136.8741</v>
      </c>
      <c r="J7989">
        <v>-173.10310000000001</v>
      </c>
      <c r="K7989">
        <v>1.1078699999999999</v>
      </c>
      <c r="L7989">
        <v>136.5308</v>
      </c>
      <c r="M7989">
        <v>0.94886090000000001</v>
      </c>
      <c r="N7989">
        <v>-1.4006680000000001E-2</v>
      </c>
      <c r="O7989">
        <v>0.31538359999999999</v>
      </c>
      <c r="P7989">
        <v>0.90891319999999998</v>
      </c>
      <c r="Q7989">
        <v>0.411553</v>
      </c>
      <c r="R7989">
        <v>6.7090620000000004E-2</v>
      </c>
      <c r="S7989">
        <v>3.4383699999999999</v>
      </c>
      <c r="T7989">
        <v>-0.3244301</v>
      </c>
      <c r="U7989">
        <v>0.11270139999999999</v>
      </c>
      <c r="V7989">
        <v>0.2267033</v>
      </c>
      <c r="W7989">
        <v>0.42193079999999999</v>
      </c>
      <c r="X7989">
        <v>0.87782689999999997</v>
      </c>
      <c r="Y7989">
        <v>0.28175430000000001</v>
      </c>
      <c r="Z7989">
        <v>-4.002348E-2</v>
      </c>
      <c r="AA7989">
        <v>0.95865149999999999</v>
      </c>
      <c r="AB7989">
        <v>18</v>
      </c>
      <c r="AC7989">
        <v>11.5944</v>
      </c>
      <c r="AD7989">
        <v>-1.1078744807799901</v>
      </c>
      <c r="AE7989">
        <v>0.34329999999999899</v>
      </c>
      <c r="AF7989">
        <v>3.3011523638175402</v>
      </c>
      <c r="AG7989">
        <v>-1.1078744807799901</v>
      </c>
      <c r="AH7989">
        <v>11.010393878635799</v>
      </c>
      <c r="AI7989">
        <v>95.505274962031393</v>
      </c>
      <c r="AJ7989">
        <v>73.310141190007997</v>
      </c>
      <c r="AK7989">
        <v>11.547890117116699</v>
      </c>
      <c r="AL7989">
        <v>65.043453595390204</v>
      </c>
      <c r="AM7989">
        <v>75.519466932472298</v>
      </c>
      <c r="AN7989">
        <v>1.00000002629156</v>
      </c>
    </row>
    <row r="7990" spans="1:40" x14ac:dyDescent="0.25">
      <c r="A7990" t="str">
        <f>"20190304165038981"</f>
        <v>20190304165038981</v>
      </c>
      <c r="B7990" t="str">
        <f>"1551689438973233"</f>
        <v>1551689438973233</v>
      </c>
      <c r="C7990" t="s">
        <v>40</v>
      </c>
      <c r="D7990">
        <v>5.0400199999999904</v>
      </c>
      <c r="E7990">
        <v>0.52958919999999998</v>
      </c>
      <c r="F7990" t="s">
        <v>42</v>
      </c>
      <c r="G7990">
        <v>-161.40530000000001</v>
      </c>
      <c r="H7990" s="1">
        <v>-4.5217570000000004E-6</v>
      </c>
      <c r="I7990">
        <v>136.9188</v>
      </c>
      <c r="J7990">
        <v>-172.93860000000001</v>
      </c>
      <c r="K7990">
        <v>1.1079300000000001</v>
      </c>
      <c r="L7990">
        <v>136.57650000000001</v>
      </c>
      <c r="M7990">
        <v>0.95109460000000001</v>
      </c>
      <c r="N7990">
        <v>-1.3977949999999999E-2</v>
      </c>
      <c r="O7990">
        <v>0.30858380000000002</v>
      </c>
      <c r="P7990">
        <v>0.90915630000000003</v>
      </c>
      <c r="Q7990">
        <v>0.41110390000000002</v>
      </c>
      <c r="R7990">
        <v>6.6547679999999998E-2</v>
      </c>
      <c r="S7990">
        <v>3.439743</v>
      </c>
      <c r="T7990">
        <v>-0.32577030000000001</v>
      </c>
      <c r="U7990">
        <v>0.11409</v>
      </c>
      <c r="V7990">
        <v>0.22089300000000001</v>
      </c>
      <c r="W7990">
        <v>0.42156460000000001</v>
      </c>
      <c r="X7990">
        <v>0.879482599999999</v>
      </c>
      <c r="Y7990">
        <v>0.27454659999999997</v>
      </c>
      <c r="Z7990">
        <v>-3.9278569999999999E-2</v>
      </c>
      <c r="AA7990">
        <v>0.96077120000000005</v>
      </c>
      <c r="AB7990">
        <v>18</v>
      </c>
      <c r="AC7990">
        <v>11.533299999999899</v>
      </c>
      <c r="AD7990">
        <v>-1.10793452175699</v>
      </c>
      <c r="AE7990">
        <v>0.342299999999994</v>
      </c>
      <c r="AF7990">
        <v>3.2042020593565002</v>
      </c>
      <c r="AG7990">
        <v>-1.10793452175699</v>
      </c>
      <c r="AH7990">
        <v>10.974778843093899</v>
      </c>
      <c r="AI7990">
        <v>95.535079761084504</v>
      </c>
      <c r="AJ7990">
        <v>73.724280325681605</v>
      </c>
      <c r="AK7990">
        <v>11.486522554564001</v>
      </c>
      <c r="AL7990">
        <v>65.066594276959606</v>
      </c>
      <c r="AM7990">
        <v>75.901088349536195</v>
      </c>
      <c r="AN7990">
        <v>1.00000003656245</v>
      </c>
    </row>
    <row r="7991" spans="1:40" x14ac:dyDescent="0.25">
      <c r="A7991" t="str">
        <f>"20190304165038996"</f>
        <v>20190304165038996</v>
      </c>
      <c r="B7991" t="str">
        <f>"1551689438983427"</f>
        <v>1551689438983427</v>
      </c>
      <c r="C7991" t="s">
        <v>40</v>
      </c>
      <c r="D7991">
        <v>5.0737629999999996</v>
      </c>
      <c r="E7991">
        <v>0.52913679999999996</v>
      </c>
      <c r="F7991" t="s">
        <v>42</v>
      </c>
      <c r="G7991">
        <v>-160.8682</v>
      </c>
      <c r="H7991" s="1">
        <v>-4.7678320000000004E-6</v>
      </c>
      <c r="I7991">
        <v>136.96279999999999</v>
      </c>
      <c r="J7991">
        <v>-172.8279</v>
      </c>
      <c r="K7991">
        <v>1.107966</v>
      </c>
      <c r="L7991">
        <v>136.60659999999999</v>
      </c>
      <c r="M7991">
        <v>0.95255179999999995</v>
      </c>
      <c r="N7991">
        <v>-1.3959829999999999E-2</v>
      </c>
      <c r="O7991">
        <v>0.3040563</v>
      </c>
      <c r="P7991">
        <v>0.90949519999999995</v>
      </c>
      <c r="Q7991">
        <v>0.41056409999999999</v>
      </c>
      <c r="R7991">
        <v>6.5238400000000002E-2</v>
      </c>
      <c r="S7991">
        <v>3.4342649999999999</v>
      </c>
      <c r="T7991">
        <v>-0.31522919999999999</v>
      </c>
      <c r="U7991">
        <v>0.1099243</v>
      </c>
      <c r="V7991">
        <v>0.21798400000000001</v>
      </c>
      <c r="W7991">
        <v>0.4210681</v>
      </c>
      <c r="X7991">
        <v>0.8804457</v>
      </c>
      <c r="Y7991">
        <v>0.27126319999999998</v>
      </c>
      <c r="Z7991">
        <v>-3.7497620000000002E-2</v>
      </c>
      <c r="AA7991">
        <v>0.96177449999999998</v>
      </c>
      <c r="AB7991">
        <v>18</v>
      </c>
      <c r="AC7991">
        <v>11.9596999999999</v>
      </c>
      <c r="AD7991">
        <v>-1.1079707678319899</v>
      </c>
      <c r="AE7991">
        <v>0.35620000000000102</v>
      </c>
      <c r="AF7991">
        <v>3.2694094423261499</v>
      </c>
      <c r="AG7991">
        <v>-1.1079707678319899</v>
      </c>
      <c r="AH7991">
        <v>11.403871645843999</v>
      </c>
      <c r="AI7991">
        <v>95.335661922663206</v>
      </c>
      <c r="AJ7991">
        <v>74.002776876659098</v>
      </c>
      <c r="AK7991">
        <v>11.9149035178144</v>
      </c>
      <c r="AL7991">
        <v>65.097960511129898</v>
      </c>
      <c r="AM7991">
        <v>76.094130718352503</v>
      </c>
      <c r="AN7991">
        <v>0.99999999987105004</v>
      </c>
    </row>
    <row r="7992" spans="1:40" x14ac:dyDescent="0.25">
      <c r="A7992" t="str">
        <f>"20190304165039010"</f>
        <v>20190304165039010</v>
      </c>
      <c r="B7992" t="str">
        <f>"1551689439002946"</f>
        <v>1551689439002946</v>
      </c>
      <c r="C7992" t="s">
        <v>40</v>
      </c>
      <c r="D7992">
        <v>5.1248389999999997</v>
      </c>
      <c r="E7992">
        <v>0.5287615</v>
      </c>
      <c r="F7992" t="s">
        <v>42</v>
      </c>
      <c r="G7992">
        <v>-160.91669999999999</v>
      </c>
      <c r="H7992" s="1">
        <v>-4.7410539999999901E-6</v>
      </c>
      <c r="I7992">
        <v>136.9846</v>
      </c>
      <c r="J7992">
        <v>-172.70590000000001</v>
      </c>
      <c r="K7992">
        <v>1.108001</v>
      </c>
      <c r="L7992">
        <v>136.63910000000001</v>
      </c>
      <c r="M7992">
        <v>0.95410729999999999</v>
      </c>
      <c r="N7992">
        <v>-1.3940950000000001E-2</v>
      </c>
      <c r="O7992">
        <v>0.29914049999999998</v>
      </c>
      <c r="P7992">
        <v>0.9099893</v>
      </c>
      <c r="Q7992">
        <v>0.40975610000000001</v>
      </c>
      <c r="R7992">
        <v>6.3401159999999998E-2</v>
      </c>
      <c r="S7992">
        <v>3.434952</v>
      </c>
      <c r="T7992">
        <v>-0.31951570000000001</v>
      </c>
      <c r="U7992">
        <v>0.10899349999999999</v>
      </c>
      <c r="V7992">
        <v>0.21526380000000001</v>
      </c>
      <c r="W7992">
        <v>0.42030109999999898</v>
      </c>
      <c r="X7992">
        <v>0.88148090000000001</v>
      </c>
      <c r="Y7992">
        <v>0.26654169999999999</v>
      </c>
      <c r="Z7992">
        <v>-3.7414549999999998E-2</v>
      </c>
      <c r="AA7992">
        <v>0.96309690000000003</v>
      </c>
      <c r="AB7992">
        <v>18</v>
      </c>
      <c r="AC7992">
        <v>11.789199999999999</v>
      </c>
      <c r="AD7992">
        <v>-1.1080057410540001</v>
      </c>
      <c r="AE7992">
        <v>0.34549999999998698</v>
      </c>
      <c r="AF7992">
        <v>3.1693225552766502</v>
      </c>
      <c r="AG7992">
        <v>-1.1080057410540001</v>
      </c>
      <c r="AH7992">
        <v>11.2533006040532</v>
      </c>
      <c r="AI7992">
        <v>95.413955932254396</v>
      </c>
      <c r="AJ7992">
        <v>74.270925919944304</v>
      </c>
      <c r="AK7992">
        <v>11.7434686812193</v>
      </c>
      <c r="AL7992">
        <v>65.146402617033004</v>
      </c>
      <c r="AM7992">
        <v>76.276570259497802</v>
      </c>
      <c r="AN7992">
        <v>1.00000004765822</v>
      </c>
    </row>
    <row r="7993" spans="1:40" x14ac:dyDescent="0.25">
      <c r="A7993" t="str">
        <f>"20190304165039026"</f>
        <v>20190304165039026</v>
      </c>
      <c r="B7993" t="str">
        <f>"1551689439013682"</f>
        <v>1551689439013682</v>
      </c>
      <c r="C7993" t="s">
        <v>40</v>
      </c>
      <c r="D7993">
        <v>4.9415019999999998</v>
      </c>
      <c r="E7993">
        <v>0.5287288</v>
      </c>
      <c r="F7993" t="s">
        <v>42</v>
      </c>
      <c r="G7993">
        <v>-160.97489999999999</v>
      </c>
      <c r="H7993" s="1">
        <v>-4.7102159999999998E-6</v>
      </c>
      <c r="I7993">
        <v>137.00309999999999</v>
      </c>
      <c r="J7993">
        <v>-172.59209999999999</v>
      </c>
      <c r="K7993">
        <v>1.1080399999999999</v>
      </c>
      <c r="L7993">
        <v>136.66890000000001</v>
      </c>
      <c r="M7993">
        <v>0.95551779999999997</v>
      </c>
      <c r="N7993">
        <v>-1.39238E-2</v>
      </c>
      <c r="O7993">
        <v>0.2946048</v>
      </c>
      <c r="P7993">
        <v>0.91044440000000004</v>
      </c>
      <c r="Q7993">
        <v>0.40894740000000002</v>
      </c>
      <c r="R7993">
        <v>6.2073929999999999E-2</v>
      </c>
      <c r="S7993">
        <v>3.435425</v>
      </c>
      <c r="T7993">
        <v>-0.32448090000000002</v>
      </c>
      <c r="U7993">
        <v>0.1065979</v>
      </c>
      <c r="V7993">
        <v>0.21240220000000001</v>
      </c>
      <c r="W7993">
        <v>0.41953610000000002</v>
      </c>
      <c r="X7993">
        <v>0.88253890000000002</v>
      </c>
      <c r="Y7993">
        <v>0.26260060000000002</v>
      </c>
      <c r="Z7993">
        <v>-3.7469919999999997E-2</v>
      </c>
      <c r="AA7993">
        <v>0.96417679999999995</v>
      </c>
      <c r="AB7993">
        <v>18</v>
      </c>
      <c r="AC7993">
        <v>11.617199999999899</v>
      </c>
      <c r="AD7993">
        <v>-1.10804471021599</v>
      </c>
      <c r="AE7993">
        <v>0.33419999999998101</v>
      </c>
      <c r="AF7993">
        <v>3.0754939889592401</v>
      </c>
      <c r="AG7993">
        <v>-1.10804471021599</v>
      </c>
      <c r="AH7993">
        <v>11.099095235525001</v>
      </c>
      <c r="AI7993">
        <v>95.495333488043002</v>
      </c>
      <c r="AJ7993">
        <v>74.512260374277503</v>
      </c>
      <c r="AK7993">
        <v>11.5704944320983</v>
      </c>
      <c r="AL7993">
        <v>65.194698892468494</v>
      </c>
      <c r="AM7993">
        <v>76.4678788894592</v>
      </c>
      <c r="AN7993">
        <v>1.0000000718906199</v>
      </c>
    </row>
    <row r="7994" spans="1:40" x14ac:dyDescent="0.25">
      <c r="A7994" t="str">
        <f>"20190304165039041"</f>
        <v>20190304165039041</v>
      </c>
      <c r="B7994" t="str">
        <f>"1551689439033202"</f>
        <v>1551689439033202</v>
      </c>
      <c r="C7994" t="s">
        <v>40</v>
      </c>
      <c r="D7994">
        <v>4.9253119999999999</v>
      </c>
      <c r="E7994">
        <v>0.52863599999999999</v>
      </c>
      <c r="F7994" t="s">
        <v>42</v>
      </c>
      <c r="G7994">
        <v>-160.99520000000001</v>
      </c>
      <c r="H7994" s="1">
        <v>-4.6977459999999999E-6</v>
      </c>
      <c r="I7994">
        <v>137.01949999999999</v>
      </c>
      <c r="J7994">
        <v>-172.47110000000001</v>
      </c>
      <c r="K7994">
        <v>1.108079</v>
      </c>
      <c r="L7994">
        <v>136.70009999999999</v>
      </c>
      <c r="M7994">
        <v>0.95697600000000005</v>
      </c>
      <c r="N7994">
        <v>-1.390575E-2</v>
      </c>
      <c r="O7994">
        <v>0.28983350000000002</v>
      </c>
      <c r="P7994">
        <v>0.91098590000000002</v>
      </c>
      <c r="Q7994">
        <v>0.40749679999999999</v>
      </c>
      <c r="R7994">
        <v>6.364794E-2</v>
      </c>
      <c r="S7994">
        <v>3.4354550000000001</v>
      </c>
      <c r="T7994">
        <v>-0.32824490000000001</v>
      </c>
      <c r="U7994">
        <v>0.10385129999999999</v>
      </c>
      <c r="V7994">
        <v>0.20655950000000001</v>
      </c>
      <c r="W7994">
        <v>0.41816819999999999</v>
      </c>
      <c r="X7994">
        <v>0.88457249999999998</v>
      </c>
      <c r="Y7994">
        <v>0.25853769999999998</v>
      </c>
      <c r="Z7994">
        <v>-3.7342269999999997E-2</v>
      </c>
      <c r="AA7994">
        <v>0.96527909999999995</v>
      </c>
      <c r="AB7994">
        <v>18</v>
      </c>
      <c r="AC7994">
        <v>11.4758999999999</v>
      </c>
      <c r="AD7994">
        <v>-1.108083697746</v>
      </c>
      <c r="AE7994">
        <v>0.31940000000000102</v>
      </c>
      <c r="AF7994">
        <v>2.9928525744775598</v>
      </c>
      <c r="AG7994">
        <v>-1.108083697746</v>
      </c>
      <c r="AH7994">
        <v>10.973574017726399</v>
      </c>
      <c r="AI7994">
        <v>95.564155198896898</v>
      </c>
      <c r="AJ7994">
        <v>74.744591360221705</v>
      </c>
      <c r="AK7994">
        <v>11.428225703769099</v>
      </c>
      <c r="AL7994">
        <v>65.281007506017303</v>
      </c>
      <c r="AM7994">
        <v>76.856195694214307</v>
      </c>
      <c r="AN7994">
        <v>0.99999998914386901</v>
      </c>
    </row>
    <row r="7995" spans="1:40" x14ac:dyDescent="0.25">
      <c r="A7995" t="str">
        <f>"20190304165039061"</f>
        <v>20190304165039061</v>
      </c>
      <c r="B7995" t="str">
        <f>"1551689439053701"</f>
        <v>1551689439053701</v>
      </c>
      <c r="C7995" t="s">
        <v>40</v>
      </c>
      <c r="D7995">
        <v>4.9950449999999904</v>
      </c>
      <c r="E7995">
        <v>0.52869860000000002</v>
      </c>
      <c r="F7995" t="s">
        <v>42</v>
      </c>
      <c r="G7995">
        <v>-161.13</v>
      </c>
      <c r="H7995" s="1">
        <v>-4.6249929999999998E-6</v>
      </c>
      <c r="I7995">
        <v>137.0703</v>
      </c>
      <c r="J7995">
        <v>-172.3141</v>
      </c>
      <c r="K7995">
        <v>1.1081460000000001</v>
      </c>
      <c r="L7995">
        <v>136.7397</v>
      </c>
      <c r="M7995">
        <v>0.95880049999999994</v>
      </c>
      <c r="N7995">
        <v>-1.3882159999999999E-2</v>
      </c>
      <c r="O7995">
        <v>0.28374110000000002</v>
      </c>
      <c r="P7995">
        <v>0.91120650000000003</v>
      </c>
      <c r="Q7995">
        <v>0.40688410000000003</v>
      </c>
      <c r="R7995">
        <v>6.4408049999999994E-2</v>
      </c>
      <c r="S7995">
        <v>3.4354550000000001</v>
      </c>
      <c r="T7995">
        <v>-0.33566119999999999</v>
      </c>
      <c r="U7995">
        <v>0.11213679999999999</v>
      </c>
      <c r="V7995">
        <v>0.2001491</v>
      </c>
      <c r="W7995">
        <v>0.41764489999999999</v>
      </c>
      <c r="X7995">
        <v>0.88629169999999902</v>
      </c>
      <c r="Y7995">
        <v>0.25001990000000002</v>
      </c>
      <c r="Z7995">
        <v>-3.7273779999999999E-2</v>
      </c>
      <c r="AA7995">
        <v>0.96752300000000002</v>
      </c>
      <c r="AB7995">
        <v>18</v>
      </c>
      <c r="AC7995">
        <v>11.184100000000001</v>
      </c>
      <c r="AD7995">
        <v>-1.10815062499299</v>
      </c>
      <c r="AE7995">
        <v>0.330600000000003</v>
      </c>
      <c r="AF7995">
        <v>2.8289360003931501</v>
      </c>
      <c r="AG7995">
        <v>-1.10815062499299</v>
      </c>
      <c r="AH7995">
        <v>10.7130846805397</v>
      </c>
      <c r="AI7995">
        <v>95.711210380482299</v>
      </c>
      <c r="AJ7995">
        <v>75.207914390556496</v>
      </c>
      <c r="AK7995">
        <v>11.135576324304299</v>
      </c>
      <c r="AL7995">
        <v>65.314009489302094</v>
      </c>
      <c r="AM7995">
        <v>77.274493084774207</v>
      </c>
      <c r="AN7995">
        <v>0.999999951107853</v>
      </c>
    </row>
    <row r="7996" spans="1:40" x14ac:dyDescent="0.25">
      <c r="A7996" t="str">
        <f>"20190304165039076"</f>
        <v>20190304165039076</v>
      </c>
      <c r="B7996" t="str">
        <f>"1551689439063458"</f>
        <v>1551689439063458</v>
      </c>
      <c r="C7996" t="s">
        <v>40</v>
      </c>
      <c r="D7996">
        <v>4.9417650000000002</v>
      </c>
      <c r="E7996">
        <v>0.52865799999999996</v>
      </c>
      <c r="F7996" t="s">
        <v>42</v>
      </c>
      <c r="G7996">
        <v>-161.04320000000001</v>
      </c>
      <c r="H7996" s="1">
        <v>-4.6591050000000003E-6</v>
      </c>
      <c r="I7996">
        <v>137.10939999999999</v>
      </c>
      <c r="J7996">
        <v>-172.19329999999999</v>
      </c>
      <c r="K7996">
        <v>1.108204</v>
      </c>
      <c r="L7996">
        <v>136.7696</v>
      </c>
      <c r="M7996">
        <v>0.96015479999999997</v>
      </c>
      <c r="N7996">
        <v>-1.3864019999999999E-2</v>
      </c>
      <c r="O7996">
        <v>0.2791247</v>
      </c>
      <c r="P7996">
        <v>0.9112751</v>
      </c>
      <c r="Q7996">
        <v>0.40694409999999998</v>
      </c>
      <c r="R7996">
        <v>6.3042879999999996E-2</v>
      </c>
      <c r="S7996">
        <v>3.435181</v>
      </c>
      <c r="T7996">
        <v>-0.33774530000000003</v>
      </c>
      <c r="U7996">
        <v>0.1126862</v>
      </c>
      <c r="V7996">
        <v>0.1971232</v>
      </c>
      <c r="W7996">
        <v>0.41775020000000002</v>
      </c>
      <c r="X7996">
        <v>0.88692009999999899</v>
      </c>
      <c r="Y7996">
        <v>0.2452146</v>
      </c>
      <c r="Z7996">
        <v>-3.688371E-2</v>
      </c>
      <c r="AA7996">
        <v>0.96876689999999999</v>
      </c>
      <c r="AB7996">
        <v>18</v>
      </c>
      <c r="AC7996">
        <v>11.150099999999901</v>
      </c>
      <c r="AD7996">
        <v>-1.108208659105</v>
      </c>
      <c r="AE7996">
        <v>0.33979999999999599</v>
      </c>
      <c r="AF7996">
        <v>2.7590458339841999</v>
      </c>
      <c r="AG7996">
        <v>-1.108208659105</v>
      </c>
      <c r="AH7996">
        <v>10.6961440030831</v>
      </c>
      <c r="AI7996">
        <v>95.728992118999798</v>
      </c>
      <c r="AJ7996">
        <v>75.535980789998206</v>
      </c>
      <c r="AK7996">
        <v>11.101709637746399</v>
      </c>
      <c r="AL7996">
        <v>65.307371169945299</v>
      </c>
      <c r="AM7996">
        <v>77.469355056178202</v>
      </c>
      <c r="AN7996">
        <v>1.00000002468114</v>
      </c>
    </row>
    <row r="7997" spans="1:40" x14ac:dyDescent="0.25">
      <c r="A7997" t="str">
        <f>"20190304165039093"</f>
        <v>20190304165039093</v>
      </c>
      <c r="B7997" t="str">
        <f>"1551689439082978"</f>
        <v>1551689439082978</v>
      </c>
      <c r="C7997" t="s">
        <v>40</v>
      </c>
      <c r="D7997">
        <v>4.9323839999999999</v>
      </c>
      <c r="E7997">
        <v>0.52850469999999905</v>
      </c>
      <c r="F7997" t="s">
        <v>42</v>
      </c>
      <c r="G7997">
        <v>-160.97460000000001</v>
      </c>
      <c r="H7997" s="1">
        <v>-4.6889659999999998E-6</v>
      </c>
      <c r="I7997">
        <v>137.12379999999999</v>
      </c>
      <c r="J7997">
        <v>-172.05590000000001</v>
      </c>
      <c r="K7997">
        <v>1.108276</v>
      </c>
      <c r="L7997">
        <v>136.80289999999999</v>
      </c>
      <c r="M7997">
        <v>0.96164039999999995</v>
      </c>
      <c r="N7997">
        <v>-1.384348E-2</v>
      </c>
      <c r="O7997">
        <v>0.27396379999999998</v>
      </c>
      <c r="P7997">
        <v>0.91106529999999997</v>
      </c>
      <c r="Q7997">
        <v>0.40752949999999999</v>
      </c>
      <c r="R7997">
        <v>6.2289730000000001E-2</v>
      </c>
      <c r="S7997">
        <v>3.4362029999999999</v>
      </c>
      <c r="T7997">
        <v>-0.33943509999999999</v>
      </c>
      <c r="U7997">
        <v>0.10849</v>
      </c>
      <c r="V7997">
        <v>0.1929225</v>
      </c>
      <c r="W7997">
        <v>0.41839349999999997</v>
      </c>
      <c r="X7997">
        <v>0.88754029999999995</v>
      </c>
      <c r="Y7997">
        <v>0.24121580000000001</v>
      </c>
      <c r="Z7997">
        <v>-3.642923E-2</v>
      </c>
      <c r="AA7997">
        <v>0.96978750000000002</v>
      </c>
      <c r="AB7997">
        <v>18</v>
      </c>
      <c r="AC7997">
        <v>11.081300000000001</v>
      </c>
      <c r="AD7997">
        <v>-1.108280688966</v>
      </c>
      <c r="AE7997">
        <v>0.32089999999999402</v>
      </c>
      <c r="AF7997">
        <v>2.7005556654943601</v>
      </c>
      <c r="AG7997">
        <v>-1.108280688966</v>
      </c>
      <c r="AH7997">
        <v>10.638841875295199</v>
      </c>
      <c r="AI7997">
        <v>95.765662104571604</v>
      </c>
      <c r="AJ7997">
        <v>75.7569109258487</v>
      </c>
      <c r="AK7997">
        <v>11.032055267968101</v>
      </c>
      <c r="AL7997">
        <v>65.266796039381603</v>
      </c>
      <c r="AM7997">
        <v>77.736523451739501</v>
      </c>
      <c r="AN7997">
        <v>0.99999999798629502</v>
      </c>
    </row>
    <row r="7998" spans="1:40" x14ac:dyDescent="0.25">
      <c r="A7998" t="str">
        <f>"20190304165039108"</f>
        <v>20190304165039108</v>
      </c>
      <c r="B7998" t="str">
        <f>"1551689439103474"</f>
        <v>1551689439103474</v>
      </c>
      <c r="C7998" t="s">
        <v>40</v>
      </c>
      <c r="D7998">
        <v>4.9470409999999996</v>
      </c>
      <c r="E7998">
        <v>0.5286727</v>
      </c>
      <c r="F7998" t="s">
        <v>42</v>
      </c>
      <c r="G7998">
        <v>-160.82419999999999</v>
      </c>
      <c r="H7998" s="1">
        <v>-4.7514400000000002E-6</v>
      </c>
      <c r="I7998">
        <v>137.17250000000001</v>
      </c>
      <c r="J7998">
        <v>-171.947</v>
      </c>
      <c r="K7998">
        <v>1.108333</v>
      </c>
      <c r="L7998">
        <v>136.8288</v>
      </c>
      <c r="M7998">
        <v>0.96277509999999999</v>
      </c>
      <c r="N7998">
        <v>-1.382763E-2</v>
      </c>
      <c r="O7998">
        <v>0.26995000000000002</v>
      </c>
      <c r="P7998">
        <v>0.91117300000000001</v>
      </c>
      <c r="Q7998">
        <v>0.40763060000000001</v>
      </c>
      <c r="R7998">
        <v>6.0011950000000001E-2</v>
      </c>
      <c r="S7998">
        <v>3.4368129999999999</v>
      </c>
      <c r="T7998">
        <v>-0.33912530000000002</v>
      </c>
      <c r="U7998">
        <v>0.1130829</v>
      </c>
      <c r="V7998">
        <v>0.19135669999999999</v>
      </c>
      <c r="W7998">
        <v>0.41852339999999999</v>
      </c>
      <c r="X7998">
        <v>0.887818</v>
      </c>
      <c r="Y7998">
        <v>0.23592440000000001</v>
      </c>
      <c r="Z7998">
        <v>-3.5765379999999999E-2</v>
      </c>
      <c r="AA7998">
        <v>0.971113</v>
      </c>
      <c r="AB7998">
        <v>18</v>
      </c>
      <c r="AC7998">
        <v>11.1228</v>
      </c>
      <c r="AD7998">
        <v>-1.1083377514399999</v>
      </c>
      <c r="AE7998">
        <v>0.343700000000012</v>
      </c>
      <c r="AF7998">
        <v>2.6457046051886102</v>
      </c>
      <c r="AG7998">
        <v>-1.1083377514399999</v>
      </c>
      <c r="AH7998">
        <v>10.6964625295121</v>
      </c>
      <c r="AI7998">
        <v>95.743835298667406</v>
      </c>
      <c r="AJ7998">
        <v>76.107077936265</v>
      </c>
      <c r="AK7998">
        <v>11.0744063531387</v>
      </c>
      <c r="AL7998">
        <v>65.258601710005706</v>
      </c>
      <c r="AM7998">
        <v>77.836771894617399</v>
      </c>
      <c r="AN7998">
        <v>1.00000001205322</v>
      </c>
    </row>
    <row r="7999" spans="1:40" x14ac:dyDescent="0.25">
      <c r="A7999" t="str">
        <f>"20190304165039122"</f>
        <v>20190304165039122</v>
      </c>
      <c r="B7999" t="str">
        <f>"1551689439113235"</f>
        <v>1551689439113235</v>
      </c>
      <c r="C7999" t="s">
        <v>40</v>
      </c>
      <c r="D7999">
        <v>4.9251069999999997</v>
      </c>
      <c r="E7999">
        <v>0.52879750000000003</v>
      </c>
      <c r="F7999" t="s">
        <v>42</v>
      </c>
      <c r="G7999">
        <v>-160.7022</v>
      </c>
      <c r="H7999" s="1">
        <v>-4.8077349999999996E-6</v>
      </c>
      <c r="I7999">
        <v>137.18020000000001</v>
      </c>
      <c r="J7999">
        <v>-171.8245</v>
      </c>
      <c r="K7999">
        <v>1.108412</v>
      </c>
      <c r="L7999">
        <v>136.85749999999999</v>
      </c>
      <c r="M7999">
        <v>0.96401099999999995</v>
      </c>
      <c r="N7999">
        <v>-1.3809899999999899E-2</v>
      </c>
      <c r="O7999">
        <v>0.2655033</v>
      </c>
      <c r="P7999">
        <v>0.91153759999999995</v>
      </c>
      <c r="Q7999">
        <v>0.40682220000000002</v>
      </c>
      <c r="R7999">
        <v>5.9955969999999997E-2</v>
      </c>
      <c r="S7999">
        <v>3.4369200000000002</v>
      </c>
      <c r="T7999">
        <v>-0.33875739999999999</v>
      </c>
      <c r="U7999">
        <v>0.1074066</v>
      </c>
      <c r="V7999">
        <v>0.18730250000000001</v>
      </c>
      <c r="W7999">
        <v>0.41777829999999999</v>
      </c>
      <c r="X7999">
        <v>0.88903269999999901</v>
      </c>
      <c r="Y7999">
        <v>0.23307839999999999</v>
      </c>
      <c r="Z7999">
        <v>-3.5208410000000002E-2</v>
      </c>
      <c r="AA7999">
        <v>0.97182040000000003</v>
      </c>
      <c r="AB7999">
        <v>18</v>
      </c>
      <c r="AC7999">
        <v>11.1222999999999</v>
      </c>
      <c r="AD7999">
        <v>-1.1084168077350001</v>
      </c>
      <c r="AE7999">
        <v>0.32270000000002602</v>
      </c>
      <c r="AF7999">
        <v>2.61621188271255</v>
      </c>
      <c r="AG7999">
        <v>-1.1084168077350001</v>
      </c>
      <c r="AH7999">
        <v>10.702525351261899</v>
      </c>
      <c r="AI7999">
        <v>95.744840361212297</v>
      </c>
      <c r="AJ7999">
        <v>76.263534584569697</v>
      </c>
      <c r="AK7999">
        <v>11.073265161158099</v>
      </c>
      <c r="AL7999">
        <v>65.305599466299398</v>
      </c>
      <c r="AM7999">
        <v>78.102843162180307</v>
      </c>
      <c r="AN7999">
        <v>1.0000000380632099</v>
      </c>
    </row>
    <row r="8000" spans="1:40" x14ac:dyDescent="0.25">
      <c r="A8000" t="str">
        <f>"20190304165039143"</f>
        <v>20190304165039143</v>
      </c>
      <c r="B8000" t="str">
        <f>"1551689439133730"</f>
        <v>1551689439133730</v>
      </c>
      <c r="C8000" t="s">
        <v>40</v>
      </c>
      <c r="D8000">
        <v>4.9284359999999996</v>
      </c>
      <c r="E8000">
        <v>0.52899370000000001</v>
      </c>
      <c r="F8000" t="s">
        <v>42</v>
      </c>
      <c r="G8000">
        <v>-160.68360000000001</v>
      </c>
      <c r="H8000" s="1">
        <v>-4.8095689999999999E-6</v>
      </c>
      <c r="I8000">
        <v>137.21940000000001</v>
      </c>
      <c r="J8000">
        <v>-171.6688</v>
      </c>
      <c r="K8000">
        <v>1.1085130000000001</v>
      </c>
      <c r="L8000">
        <v>136.89320000000001</v>
      </c>
      <c r="M8000">
        <v>0.96551100000000001</v>
      </c>
      <c r="N8000">
        <v>-1.3786909999999999E-2</v>
      </c>
      <c r="O8000">
        <v>0.25999699999999998</v>
      </c>
      <c r="P8000">
        <v>0.9119003</v>
      </c>
      <c r="Q8000">
        <v>0.40622390000000003</v>
      </c>
      <c r="R8000">
        <v>5.8482960000000001E-2</v>
      </c>
      <c r="S8000">
        <v>3.4363709999999998</v>
      </c>
      <c r="T8000">
        <v>-0.341887099999999</v>
      </c>
      <c r="U8000">
        <v>0.1116333</v>
      </c>
      <c r="V8000">
        <v>0.18360360000000001</v>
      </c>
      <c r="W8000">
        <v>0.41724450000000002</v>
      </c>
      <c r="X8000">
        <v>0.89005429999999996</v>
      </c>
      <c r="Y8000">
        <v>0.2263395</v>
      </c>
      <c r="Z8000">
        <v>-3.4725989999999998E-2</v>
      </c>
      <c r="AA8000">
        <v>0.97342930000000005</v>
      </c>
      <c r="AB8000">
        <v>18</v>
      </c>
      <c r="AC8000">
        <v>10.985199999999899</v>
      </c>
      <c r="AD8000">
        <v>-1.10851780956899</v>
      </c>
      <c r="AE8000">
        <v>0.32619999999999999</v>
      </c>
      <c r="AF8000">
        <v>2.51581528486081</v>
      </c>
      <c r="AG8000">
        <v>-1.10851780956899</v>
      </c>
      <c r="AH8000">
        <v>10.5844734607501</v>
      </c>
      <c r="AI8000">
        <v>95.817894796741896</v>
      </c>
      <c r="AJ8000">
        <v>76.629519136275505</v>
      </c>
      <c r="AK8000">
        <v>10.9356854711076</v>
      </c>
      <c r="AL8000">
        <v>65.339255759668603</v>
      </c>
      <c r="AM8000">
        <v>78.344313161339301</v>
      </c>
      <c r="AN8000">
        <v>0.999999955830849</v>
      </c>
    </row>
    <row r="8001" spans="1:40" x14ac:dyDescent="0.25">
      <c r="A8001" t="str">
        <f>"20190304165039163"</f>
        <v>20190304165039163</v>
      </c>
      <c r="B8001" t="str">
        <f>"1551689439153249"</f>
        <v>1551689439153249</v>
      </c>
      <c r="C8001" t="s">
        <v>40</v>
      </c>
      <c r="D8001">
        <v>4.9100739999999998</v>
      </c>
      <c r="E8001">
        <v>0.52920219999999996</v>
      </c>
      <c r="F8001" t="s">
        <v>42</v>
      </c>
      <c r="G8001">
        <v>-160.59899999999999</v>
      </c>
      <c r="H8001" s="1">
        <v>-4.8458649999999997E-6</v>
      </c>
      <c r="I8001">
        <v>137.24029999999999</v>
      </c>
      <c r="J8001">
        <v>-171.5153</v>
      </c>
      <c r="K8001">
        <v>1.1086129999999901</v>
      </c>
      <c r="L8001">
        <v>136.92779999999999</v>
      </c>
      <c r="M8001">
        <v>0.96691570000000004</v>
      </c>
      <c r="N8001">
        <v>-1.376345E-2</v>
      </c>
      <c r="O8001">
        <v>0.25472470000000003</v>
      </c>
      <c r="P8001">
        <v>0.91177209999999997</v>
      </c>
      <c r="Q8001">
        <v>0.40670659999999997</v>
      </c>
      <c r="R8001">
        <v>5.7112540000000003E-2</v>
      </c>
      <c r="S8001">
        <v>3.4362029999999999</v>
      </c>
      <c r="T8001">
        <v>-0.344095599999999</v>
      </c>
      <c r="U8001">
        <v>0.1077423</v>
      </c>
      <c r="V8001">
        <v>0.17990329999999999</v>
      </c>
      <c r="W8001">
        <v>0.41778399999999999</v>
      </c>
      <c r="X8001">
        <v>0.89055680000000004</v>
      </c>
      <c r="Y8001">
        <v>0.22213649999999999</v>
      </c>
      <c r="Z8001">
        <v>-3.429343E-2</v>
      </c>
      <c r="AA8001">
        <v>0.97441230000000001</v>
      </c>
      <c r="AB8001">
        <v>18</v>
      </c>
      <c r="AC8001">
        <v>10.9163</v>
      </c>
      <c r="AD8001">
        <v>-1.10861784586499</v>
      </c>
      <c r="AE8001">
        <v>0.3125</v>
      </c>
      <c r="AF8001">
        <v>2.4534415365969999</v>
      </c>
      <c r="AG8001">
        <v>-1.10861784586499</v>
      </c>
      <c r="AH8001">
        <v>10.527264622666999</v>
      </c>
      <c r="AI8001">
        <v>95.855822562174197</v>
      </c>
      <c r="AJ8001">
        <v>76.881051534539395</v>
      </c>
      <c r="AK8001">
        <v>10.866080679680501</v>
      </c>
      <c r="AL8001">
        <v>65.305240084799195</v>
      </c>
      <c r="AM8001">
        <v>78.579256602986504</v>
      </c>
      <c r="AN8001">
        <v>1.0000000410165599</v>
      </c>
    </row>
    <row r="8002" spans="1:40" x14ac:dyDescent="0.25">
      <c r="A8002" t="str">
        <f>"20190304165039182"</f>
        <v>20190304165039182</v>
      </c>
      <c r="B8002" t="str">
        <f>"1551689439173746"</f>
        <v>1551689439173746</v>
      </c>
      <c r="C8002" t="s">
        <v>40</v>
      </c>
      <c r="D8002">
        <v>4.9186670000000001</v>
      </c>
      <c r="E8002">
        <v>0.52940659999999995</v>
      </c>
      <c r="F8002" t="s">
        <v>42</v>
      </c>
      <c r="G8002">
        <v>-160.4006</v>
      </c>
      <c r="H8002" s="1">
        <v>-4.9353479999999996E-6</v>
      </c>
      <c r="I8002">
        <v>137.2645</v>
      </c>
      <c r="J8002">
        <v>-171.357</v>
      </c>
      <c r="K8002">
        <v>1.108722</v>
      </c>
      <c r="L8002">
        <v>136.96270000000001</v>
      </c>
      <c r="M8002">
        <v>0.96828959999999997</v>
      </c>
      <c r="N8002">
        <v>-1.3739070000000001E-2</v>
      </c>
      <c r="O8002">
        <v>0.2494526</v>
      </c>
      <c r="P8002">
        <v>0.9116071</v>
      </c>
      <c r="Q8002">
        <v>0.40747810000000001</v>
      </c>
      <c r="R8002">
        <v>5.417044E-2</v>
      </c>
      <c r="S8002">
        <v>3.4366910000000002</v>
      </c>
      <c r="T8002">
        <v>-0.34278819999999999</v>
      </c>
      <c r="U8002">
        <v>0.10409549999999999</v>
      </c>
      <c r="V8002">
        <v>0.17772060000000001</v>
      </c>
      <c r="W8002">
        <v>0.41859479999999999</v>
      </c>
      <c r="X8002">
        <v>0.89061429999999997</v>
      </c>
      <c r="Y8002">
        <v>0.21792059999999999</v>
      </c>
      <c r="Z8002">
        <v>-3.348131E-2</v>
      </c>
      <c r="AA8002">
        <v>0.97539200000000004</v>
      </c>
      <c r="AB8002">
        <v>18</v>
      </c>
      <c r="AC8002">
        <v>10.9564</v>
      </c>
      <c r="AD8002">
        <v>-1.1087269353479901</v>
      </c>
      <c r="AE8002">
        <v>0.30179999999998502</v>
      </c>
      <c r="AF8002">
        <v>2.4163772242433801</v>
      </c>
      <c r="AG8002">
        <v>-1.1087269353479901</v>
      </c>
      <c r="AH8002">
        <v>10.577030869577101</v>
      </c>
      <c r="AI8002">
        <v>95.834867854496594</v>
      </c>
      <c r="AJ8002">
        <v>77.131329824591901</v>
      </c>
      <c r="AK8002">
        <v>10.906041276420799</v>
      </c>
      <c r="AL8002">
        <v>65.254097570274396</v>
      </c>
      <c r="AM8002">
        <v>78.714952900144596</v>
      </c>
      <c r="AN8002">
        <v>1.0000000248079399</v>
      </c>
    </row>
    <row r="8003" spans="1:40" x14ac:dyDescent="0.25">
      <c r="A8003" t="str">
        <f>"20190304165039204"</f>
        <v>20190304165039204</v>
      </c>
      <c r="B8003" t="str">
        <f>"1551689439193266"</f>
        <v>1551689439193266</v>
      </c>
      <c r="C8003" t="s">
        <v>40</v>
      </c>
      <c r="D8003">
        <v>4.8801249999999996</v>
      </c>
      <c r="E8003">
        <v>0.52952860000000002</v>
      </c>
      <c r="F8003" t="s">
        <v>42</v>
      </c>
      <c r="G8003">
        <v>-160.16890000000001</v>
      </c>
      <c r="H8003" s="1">
        <v>-5.04098E-6</v>
      </c>
      <c r="I8003">
        <v>137.28659999999999</v>
      </c>
      <c r="J8003">
        <v>-171.1825</v>
      </c>
      <c r="K8003">
        <v>1.10884</v>
      </c>
      <c r="L8003">
        <v>137.00040000000001</v>
      </c>
      <c r="M8003">
        <v>0.96972360000000002</v>
      </c>
      <c r="N8003">
        <v>-1.371313E-2</v>
      </c>
      <c r="O8003">
        <v>0.2438198</v>
      </c>
      <c r="P8003">
        <v>0.91154170000000001</v>
      </c>
      <c r="Q8003">
        <v>0.40804000000000001</v>
      </c>
      <c r="R8003">
        <v>5.0943960000000003E-2</v>
      </c>
      <c r="S8003">
        <v>3.4372410000000002</v>
      </c>
      <c r="T8003">
        <v>-0.34062399999999998</v>
      </c>
      <c r="U8003">
        <v>9.9487300000000001E-2</v>
      </c>
      <c r="V8003">
        <v>0.175508</v>
      </c>
      <c r="W8003">
        <v>0.41919840000000003</v>
      </c>
      <c r="X8003">
        <v>0.89076909999999898</v>
      </c>
      <c r="Y8003">
        <v>0.21362970000000001</v>
      </c>
      <c r="Z8003">
        <v>-3.2553619999999998E-2</v>
      </c>
      <c r="AA8003">
        <v>0.97637220000000002</v>
      </c>
      <c r="AB8003">
        <v>18</v>
      </c>
      <c r="AC8003">
        <v>11.013599999999901</v>
      </c>
      <c r="AD8003">
        <v>-1.1088450409799999</v>
      </c>
      <c r="AE8003">
        <v>0.28619999999997903</v>
      </c>
      <c r="AF8003">
        <v>2.3838776770245498</v>
      </c>
      <c r="AG8003">
        <v>-1.1088450409799999</v>
      </c>
      <c r="AH8003">
        <v>10.643129878289001</v>
      </c>
      <c r="AI8003">
        <v>95.8050381734989</v>
      </c>
      <c r="AJ8003">
        <v>77.375103340723001</v>
      </c>
      <c r="AK8003">
        <v>10.9630572246089</v>
      </c>
      <c r="AL8003">
        <v>65.216009814105405</v>
      </c>
      <c r="AM8003">
        <v>78.853798710802394</v>
      </c>
      <c r="AN8003">
        <v>0.999999973070684</v>
      </c>
    </row>
    <row r="8004" spans="1:40" x14ac:dyDescent="0.25">
      <c r="A8004" t="str">
        <f>"20190304165039221"</f>
        <v>20190304165039221</v>
      </c>
      <c r="B8004" t="str">
        <f>"1551689439213761"</f>
        <v>1551689439213761</v>
      </c>
      <c r="C8004" t="s">
        <v>40</v>
      </c>
      <c r="D8004">
        <v>4.8724360000000004</v>
      </c>
      <c r="E8004">
        <v>0.53774299999999997</v>
      </c>
      <c r="F8004" t="s">
        <v>42</v>
      </c>
      <c r="G8004">
        <v>-159.89269999999999</v>
      </c>
      <c r="H8004" s="1">
        <v>-6.3903450000000004E-7</v>
      </c>
      <c r="I8004">
        <v>137.29929999999999</v>
      </c>
      <c r="J8004">
        <v>-171.0514</v>
      </c>
      <c r="K8004">
        <v>1.108924</v>
      </c>
      <c r="L8004">
        <v>137.0282</v>
      </c>
      <c r="M8004">
        <v>0.9707479</v>
      </c>
      <c r="N8004">
        <v>-1.3694629999999999E-2</v>
      </c>
      <c r="O8004">
        <v>0.2397099</v>
      </c>
      <c r="P8004">
        <v>0.91154449999999998</v>
      </c>
      <c r="Q8004">
        <v>0.40833219999999998</v>
      </c>
      <c r="R8004">
        <v>4.8492189999999998E-2</v>
      </c>
      <c r="S8004">
        <v>3.4371489999999998</v>
      </c>
      <c r="T8004">
        <v>-0.33758129999999997</v>
      </c>
      <c r="U8004">
        <v>9.1018680000000005E-2</v>
      </c>
      <c r="V8004">
        <v>0.17400959999999999</v>
      </c>
      <c r="W8004">
        <v>0.41951909999999998</v>
      </c>
      <c r="X8004">
        <v>0.89091209999999899</v>
      </c>
      <c r="Y8004">
        <v>0.2119557</v>
      </c>
      <c r="Z8004">
        <v>-3.1825039999999999E-2</v>
      </c>
      <c r="AA8004">
        <v>0.97676090000000004</v>
      </c>
      <c r="AB8004">
        <v>18</v>
      </c>
      <c r="AC8004">
        <v>11.1587</v>
      </c>
      <c r="AD8004">
        <v>-1.1089246390345</v>
      </c>
      <c r="AE8004">
        <v>0.27109999999998902</v>
      </c>
      <c r="AF8004">
        <v>2.3883344000736102</v>
      </c>
      <c r="AG8004">
        <v>-1.1089246390345</v>
      </c>
      <c r="AH8004">
        <v>10.7917769970935</v>
      </c>
      <c r="AI8004">
        <v>95.729247295291202</v>
      </c>
      <c r="AJ8004">
        <v>77.520977239380798</v>
      </c>
      <c r="AK8004">
        <v>11.108388983854899</v>
      </c>
      <c r="AL8004">
        <v>65.195769827036898</v>
      </c>
      <c r="AM8004">
        <v>78.9483366568207</v>
      </c>
      <c r="AN8004">
        <v>0.99999999304168896</v>
      </c>
    </row>
    <row r="8005" spans="1:40" x14ac:dyDescent="0.25">
      <c r="A8005" t="str">
        <f>"20190304165039234"</f>
        <v>20190304165039234</v>
      </c>
      <c r="B8005" t="str">
        <f>"1551689439223522"</f>
        <v>1551689439223522</v>
      </c>
      <c r="C8005" t="s">
        <v>40</v>
      </c>
      <c r="D8005">
        <v>4.8357650000000003</v>
      </c>
      <c r="E8005">
        <v>0.53830919999999904</v>
      </c>
      <c r="F8005" t="s">
        <v>60</v>
      </c>
      <c r="G8005">
        <v>0</v>
      </c>
      <c r="H8005">
        <v>0</v>
      </c>
      <c r="I8005">
        <v>0</v>
      </c>
      <c r="J8005">
        <v>-170.9461</v>
      </c>
      <c r="K8005">
        <v>1.1089869999999999</v>
      </c>
      <c r="L8005">
        <v>137.05019999999999</v>
      </c>
      <c r="M8005">
        <v>0.97154220000000002</v>
      </c>
      <c r="N8005">
        <v>-1.3680339999999999E-2</v>
      </c>
      <c r="O8005">
        <v>0.23647109999999999</v>
      </c>
      <c r="P8005">
        <v>0.91146380000000005</v>
      </c>
      <c r="Q8005">
        <v>0.40867920000000002</v>
      </c>
      <c r="R8005">
        <v>4.7066410000000003E-2</v>
      </c>
      <c r="S8005">
        <v>3.253342</v>
      </c>
      <c r="T8005">
        <v>8.7973480000000007E-2</v>
      </c>
      <c r="U8005">
        <v>-3.0059809999999999E-2</v>
      </c>
      <c r="V8005">
        <v>0.1723237</v>
      </c>
      <c r="W8005">
        <v>0.41989140000000003</v>
      </c>
      <c r="X8005">
        <v>0.89106439999999998</v>
      </c>
      <c r="Y8005">
        <v>0.24522050000000001</v>
      </c>
      <c r="Z8005">
        <v>1.124264E-2</v>
      </c>
      <c r="AA8005">
        <v>0.96940210000000004</v>
      </c>
      <c r="AB8005">
        <v>18</v>
      </c>
      <c r="AC8005">
        <v>3.253342</v>
      </c>
      <c r="AD8005">
        <v>8.7973480000000007E-2</v>
      </c>
      <c r="AE8005">
        <v>-3.0059809999999999E-2</v>
      </c>
      <c r="AF8005">
        <v>0.79801700600428005</v>
      </c>
      <c r="AG8005">
        <v>8.7973480000000007E-2</v>
      </c>
      <c r="AH8005">
        <v>3.1516416217949201</v>
      </c>
      <c r="AI8005">
        <v>88.449978937529295</v>
      </c>
      <c r="AJ8005">
        <v>75.790960771058295</v>
      </c>
      <c r="AK8005">
        <v>3.2522938654564202</v>
      </c>
      <c r="AL8005">
        <v>65.172268827963407</v>
      </c>
      <c r="AM8005">
        <v>79.054638008310107</v>
      </c>
      <c r="AN8005">
        <v>1.0000000051614999</v>
      </c>
    </row>
    <row r="8006" spans="1:40" x14ac:dyDescent="0.25">
      <c r="A8006" t="str">
        <f>"20190304165039248"</f>
        <v>20190304165039248</v>
      </c>
      <c r="B8006" t="str">
        <f>"1551689439243042"</f>
        <v>1551689439243042</v>
      </c>
      <c r="C8006" t="s">
        <v>40</v>
      </c>
      <c r="D8006">
        <v>4.8360300000000001</v>
      </c>
      <c r="E8006">
        <v>0.53833189999999997</v>
      </c>
      <c r="F8006" t="s">
        <v>60</v>
      </c>
      <c r="G8006">
        <v>0</v>
      </c>
      <c r="H8006">
        <v>0</v>
      </c>
      <c r="I8006">
        <v>0</v>
      </c>
      <c r="J8006">
        <v>-170.83670000000001</v>
      </c>
      <c r="K8006">
        <v>1.1090469999999999</v>
      </c>
      <c r="L8006">
        <v>137.0727</v>
      </c>
      <c r="M8006">
        <v>0.97233069999999999</v>
      </c>
      <c r="N8006">
        <v>-1.3665770000000001E-2</v>
      </c>
      <c r="O8006">
        <v>0.23320840000000001</v>
      </c>
      <c r="P8006">
        <v>0.91119919999999999</v>
      </c>
      <c r="Q8006">
        <v>0.40946250000000001</v>
      </c>
      <c r="R8006">
        <v>4.5351240000000001E-2</v>
      </c>
      <c r="S8006">
        <v>3.2416990000000001</v>
      </c>
      <c r="T8006">
        <v>0.1157523</v>
      </c>
      <c r="U8006">
        <v>-4.2388919999999997E-2</v>
      </c>
      <c r="V8006">
        <v>0.1708626</v>
      </c>
      <c r="W8006">
        <v>0.42069309999999899</v>
      </c>
      <c r="X8006">
        <v>0.89096759999999997</v>
      </c>
      <c r="Y8006">
        <v>0.24554509999999999</v>
      </c>
      <c r="Z8006">
        <v>1.4179880000000001E-2</v>
      </c>
      <c r="AA8006">
        <v>0.96928139999999996</v>
      </c>
      <c r="AB8006">
        <v>18</v>
      </c>
      <c r="AC8006">
        <v>3.2416990000000001</v>
      </c>
      <c r="AD8006">
        <v>0.1157523</v>
      </c>
      <c r="AE8006">
        <v>-4.2388919999999997E-2</v>
      </c>
      <c r="AF8006">
        <v>0.79626690029275204</v>
      </c>
      <c r="AG8006">
        <v>0.1157523</v>
      </c>
      <c r="AH8006">
        <v>3.1384107785741802</v>
      </c>
      <c r="AI8006">
        <v>87.952561723633707</v>
      </c>
      <c r="AJ8006">
        <v>75.7635133743739</v>
      </c>
      <c r="AK8006">
        <v>3.2399169413007698</v>
      </c>
      <c r="AL8006">
        <v>65.121646168759298</v>
      </c>
      <c r="AM8006">
        <v>79.144076573607506</v>
      </c>
      <c r="AN8006">
        <v>0.99999998835806403</v>
      </c>
    </row>
    <row r="8007" spans="1:40" x14ac:dyDescent="0.25">
      <c r="A8007" t="str">
        <f>"20190304165039261"</f>
        <v>20190304165039261</v>
      </c>
      <c r="B8007" t="str">
        <f>"1551689439253778"</f>
        <v>1551689439253778</v>
      </c>
      <c r="C8007" t="s">
        <v>40</v>
      </c>
      <c r="D8007">
        <v>4.9253280000000004</v>
      </c>
      <c r="E8007">
        <v>0.53792359999999995</v>
      </c>
      <c r="F8007" t="s">
        <v>60</v>
      </c>
      <c r="G8007">
        <v>0</v>
      </c>
      <c r="H8007">
        <v>0</v>
      </c>
      <c r="I8007">
        <v>0</v>
      </c>
      <c r="J8007">
        <v>-170.7405</v>
      </c>
      <c r="K8007">
        <v>1.1091009999999999</v>
      </c>
      <c r="L8007">
        <v>137.09229999999999</v>
      </c>
      <c r="M8007">
        <v>0.97300469999999895</v>
      </c>
      <c r="N8007">
        <v>-1.3653179999999999E-2</v>
      </c>
      <c r="O8007">
        <v>0.23038130000000001</v>
      </c>
      <c r="P8007">
        <v>0.91034599999999999</v>
      </c>
      <c r="Q8007">
        <v>0.41131719999999999</v>
      </c>
      <c r="R8007">
        <v>4.5700699999999997E-2</v>
      </c>
      <c r="S8007">
        <v>3.2263639999999998</v>
      </c>
      <c r="T8007">
        <v>0.15264920000000001</v>
      </c>
      <c r="U8007">
        <v>-5.207825E-2</v>
      </c>
      <c r="V8007">
        <v>0.16767760000000001</v>
      </c>
      <c r="W8007">
        <v>0.4225718</v>
      </c>
      <c r="X8007">
        <v>0.89068359999999902</v>
      </c>
      <c r="Y8007">
        <v>0.24545690000000001</v>
      </c>
      <c r="Z8007">
        <v>1.8113649999999999E-2</v>
      </c>
      <c r="AA8007">
        <v>0.9692383</v>
      </c>
      <c r="AB8007">
        <v>18</v>
      </c>
      <c r="AC8007">
        <v>3.2263639999999998</v>
      </c>
      <c r="AD8007">
        <v>0.15264920000000001</v>
      </c>
      <c r="AE8007">
        <v>-5.207825E-2</v>
      </c>
      <c r="AF8007">
        <v>0.79226723738639304</v>
      </c>
      <c r="AG8007">
        <v>0.15264920000000001</v>
      </c>
      <c r="AH8007">
        <v>3.1205771663853201</v>
      </c>
      <c r="AI8007">
        <v>87.285480522203201</v>
      </c>
      <c r="AJ8007">
        <v>75.754457027660195</v>
      </c>
      <c r="AK8007">
        <v>3.2231957751681701</v>
      </c>
      <c r="AL8007">
        <v>65.002936944522503</v>
      </c>
      <c r="AM8007">
        <v>79.338439584376204</v>
      </c>
      <c r="AN8007">
        <v>0.99999998950297897</v>
      </c>
    </row>
    <row r="8008" spans="1:40" x14ac:dyDescent="0.25">
      <c r="A8008" t="str">
        <f>"20190304165039276"</f>
        <v>20190304165039276</v>
      </c>
      <c r="B8008" t="str">
        <f>"1551689439263538"</f>
        <v>1551689439263538</v>
      </c>
      <c r="C8008" t="s">
        <v>40</v>
      </c>
      <c r="D8008">
        <v>4.8561569999999996</v>
      </c>
      <c r="E8008">
        <v>0.53817539999999997</v>
      </c>
      <c r="F8008" t="s">
        <v>60</v>
      </c>
      <c r="G8008">
        <v>0</v>
      </c>
      <c r="H8008">
        <v>0</v>
      </c>
      <c r="I8008">
        <v>0</v>
      </c>
      <c r="J8008">
        <v>-170.62889999999999</v>
      </c>
      <c r="K8008">
        <v>1.109164</v>
      </c>
      <c r="L8008">
        <v>137.1147</v>
      </c>
      <c r="M8008">
        <v>0.97376229999999997</v>
      </c>
      <c r="N8008">
        <v>-1.3638859999999999E-2</v>
      </c>
      <c r="O8008">
        <v>0.22715840000000001</v>
      </c>
      <c r="P8008">
        <v>0.91005559999999996</v>
      </c>
      <c r="Q8008">
        <v>0.41211370000000003</v>
      </c>
      <c r="R8008">
        <v>4.4286010000000001E-2</v>
      </c>
      <c r="S8008">
        <v>3.2221220000000002</v>
      </c>
      <c r="T8008">
        <v>0.1674572</v>
      </c>
      <c r="U8008">
        <v>-4.6585080000000001E-2</v>
      </c>
      <c r="V8008">
        <v>0.16596540000000001</v>
      </c>
      <c r="W8008">
        <v>0.42338750000000003</v>
      </c>
      <c r="X8008">
        <v>0.89061689999999905</v>
      </c>
      <c r="Y8008">
        <v>0.240509</v>
      </c>
      <c r="Z8008">
        <v>1.9442640000000001E-2</v>
      </c>
      <c r="AA8008">
        <v>0.97045219999999999</v>
      </c>
      <c r="AB8008">
        <v>18</v>
      </c>
      <c r="AC8008">
        <v>3.2221220000000002</v>
      </c>
      <c r="AD8008">
        <v>0.1674572</v>
      </c>
      <c r="AE8008">
        <v>-4.6585080000000001E-2</v>
      </c>
      <c r="AF8008">
        <v>0.77527361643778303</v>
      </c>
      <c r="AG8008">
        <v>0.1674572</v>
      </c>
      <c r="AH8008">
        <v>3.1188673753491298</v>
      </c>
      <c r="AI8008">
        <v>87.0172441020229</v>
      </c>
      <c r="AJ8008">
        <v>76.040605965340902</v>
      </c>
      <c r="AK8008">
        <v>3.21813995954084</v>
      </c>
      <c r="AL8008">
        <v>64.951359325362802</v>
      </c>
      <c r="AM8008">
        <v>79.444076188664198</v>
      </c>
      <c r="AN8008">
        <v>0.99999997585950895</v>
      </c>
    </row>
    <row r="8009" spans="1:40" x14ac:dyDescent="0.25">
      <c r="A8009" t="str">
        <f>"20190304165039289"</f>
        <v>20190304165039289</v>
      </c>
      <c r="B8009" t="str">
        <f>"1551689439283058"</f>
        <v>1551689439283058</v>
      </c>
      <c r="C8009" t="s">
        <v>40</v>
      </c>
      <c r="D8009">
        <v>4.8816990000000002</v>
      </c>
      <c r="E8009">
        <v>0.53821470000000005</v>
      </c>
      <c r="F8009" t="s">
        <v>60</v>
      </c>
      <c r="G8009">
        <v>0</v>
      </c>
      <c r="H8009">
        <v>0</v>
      </c>
      <c r="I8009">
        <v>0</v>
      </c>
      <c r="J8009">
        <v>-170.51660000000001</v>
      </c>
      <c r="K8009">
        <v>1.109219</v>
      </c>
      <c r="L8009">
        <v>137.1369</v>
      </c>
      <c r="M8009">
        <v>0.97449490000000005</v>
      </c>
      <c r="N8009">
        <v>-1.362501E-2</v>
      </c>
      <c r="O8009">
        <v>0.22399549999999999</v>
      </c>
      <c r="P8009">
        <v>0.9097345</v>
      </c>
      <c r="Q8009">
        <v>0.41288530000000001</v>
      </c>
      <c r="R8009">
        <v>4.369162E-2</v>
      </c>
      <c r="S8009">
        <v>3.2187039999999998</v>
      </c>
      <c r="T8009">
        <v>0.17760300000000001</v>
      </c>
      <c r="U8009">
        <v>-5.3833010000000001E-2</v>
      </c>
      <c r="V8009">
        <v>0.163512299999999</v>
      </c>
      <c r="W8009">
        <v>0.4241818</v>
      </c>
      <c r="X8009">
        <v>0.8906927</v>
      </c>
      <c r="Y8009">
        <v>0.23948159999999999</v>
      </c>
      <c r="Z8009">
        <v>2.0311940000000001E-2</v>
      </c>
      <c r="AA8009">
        <v>0.97068840000000001</v>
      </c>
      <c r="AB8009">
        <v>18</v>
      </c>
      <c r="AC8009">
        <v>3.2187039999999998</v>
      </c>
      <c r="AD8009">
        <v>0.17760300000000001</v>
      </c>
      <c r="AE8009">
        <v>-5.3833010000000001E-2</v>
      </c>
      <c r="AF8009">
        <v>0.771159770090452</v>
      </c>
      <c r="AG8009">
        <v>0.17760300000000001</v>
      </c>
      <c r="AH8009">
        <v>3.1153598919901202</v>
      </c>
      <c r="AI8009">
        <v>86.832560548060897</v>
      </c>
      <c r="AJ8009">
        <v>76.096774213801595</v>
      </c>
      <c r="AK8009">
        <v>3.2142957974081399</v>
      </c>
      <c r="AL8009">
        <v>64.901114424786797</v>
      </c>
      <c r="AM8009">
        <v>79.597535730408296</v>
      </c>
      <c r="AN8009">
        <v>0.99999997876790903</v>
      </c>
    </row>
    <row r="8010" spans="1:40" x14ac:dyDescent="0.25">
      <c r="A8010" t="str">
        <f>"20190304165039303"</f>
        <v>20190304165039303</v>
      </c>
      <c r="B8010" t="str">
        <f>"1551689439293794"</f>
        <v>1551689439293794</v>
      </c>
      <c r="C8010" t="s">
        <v>40</v>
      </c>
      <c r="D8010">
        <v>4.9070859999999996</v>
      </c>
      <c r="E8010">
        <v>0.53805570000000003</v>
      </c>
      <c r="F8010" t="s">
        <v>60</v>
      </c>
      <c r="G8010">
        <v>0</v>
      </c>
      <c r="H8010">
        <v>0</v>
      </c>
      <c r="I8010">
        <v>0</v>
      </c>
      <c r="J8010">
        <v>-170.40799999999999</v>
      </c>
      <c r="K8010">
        <v>1.1092679999999999</v>
      </c>
      <c r="L8010">
        <v>137.15809999999999</v>
      </c>
      <c r="M8010">
        <v>0.97518400000000005</v>
      </c>
      <c r="N8010">
        <v>-1.3612580000000001E-2</v>
      </c>
      <c r="O8010">
        <v>0.22097720000000001</v>
      </c>
      <c r="P8010">
        <v>0.90928520000000002</v>
      </c>
      <c r="Q8010">
        <v>0.41391539999999999</v>
      </c>
      <c r="R8010">
        <v>4.3298540000000003E-2</v>
      </c>
      <c r="S8010">
        <v>3.2154240000000001</v>
      </c>
      <c r="T8010">
        <v>0.18728690000000001</v>
      </c>
      <c r="U8010">
        <v>-5.7189940000000002E-2</v>
      </c>
      <c r="V8010">
        <v>0.16098080000000001</v>
      </c>
      <c r="W8010">
        <v>0.42523040000000001</v>
      </c>
      <c r="X8010">
        <v>0.89065380000000005</v>
      </c>
      <c r="Y8010">
        <v>0.23743110000000001</v>
      </c>
      <c r="Z8010">
        <v>2.1098240000000001E-2</v>
      </c>
      <c r="AA8010">
        <v>0.97117529999999996</v>
      </c>
      <c r="AB8010">
        <v>18</v>
      </c>
      <c r="AC8010">
        <v>3.2154240000000001</v>
      </c>
      <c r="AD8010">
        <v>0.18728690000000001</v>
      </c>
      <c r="AE8010">
        <v>-5.7189940000000002E-2</v>
      </c>
      <c r="AF8010">
        <v>0.76378665632527798</v>
      </c>
      <c r="AG8010">
        <v>0.18728690000000001</v>
      </c>
      <c r="AH8010">
        <v>3.1127246347651298</v>
      </c>
      <c r="AI8010">
        <v>86.655740542931795</v>
      </c>
      <c r="AJ8010">
        <v>76.213399713883305</v>
      </c>
      <c r="AK8010">
        <v>3.2105297212712198</v>
      </c>
      <c r="AL8010">
        <v>64.834750836873198</v>
      </c>
      <c r="AM8010">
        <v>79.754712133089498</v>
      </c>
      <c r="AN8010">
        <v>0.99999995125361796</v>
      </c>
    </row>
    <row r="8011" spans="1:40" x14ac:dyDescent="0.25">
      <c r="A8011" t="str">
        <f>"20190304165039318"</f>
        <v>20190304165039318</v>
      </c>
      <c r="B8011" t="str">
        <f>"1551689439313314"</f>
        <v>1551689439313314</v>
      </c>
      <c r="C8011" t="s">
        <v>40</v>
      </c>
      <c r="D8011">
        <v>4.8537710000000001</v>
      </c>
      <c r="E8011">
        <v>0.53808219999999995</v>
      </c>
      <c r="F8011" t="s">
        <v>60</v>
      </c>
      <c r="G8011">
        <v>0</v>
      </c>
      <c r="H8011">
        <v>0</v>
      </c>
      <c r="I8011">
        <v>0</v>
      </c>
      <c r="J8011">
        <v>-170.29920000000001</v>
      </c>
      <c r="K8011">
        <v>1.1093150000000001</v>
      </c>
      <c r="L8011">
        <v>137.17910000000001</v>
      </c>
      <c r="M8011">
        <v>0.97585820000000001</v>
      </c>
      <c r="N8011">
        <v>-1.360099E-2</v>
      </c>
      <c r="O8011">
        <v>0.21798139999999999</v>
      </c>
      <c r="P8011">
        <v>0.90793020000000002</v>
      </c>
      <c r="Q8011">
        <v>0.41659940000000001</v>
      </c>
      <c r="R8011">
        <v>4.5908879999999999E-2</v>
      </c>
      <c r="S8011">
        <v>3.2144170000000001</v>
      </c>
      <c r="T8011">
        <v>0.19258739999999999</v>
      </c>
      <c r="U8011">
        <v>-5.859375E-2</v>
      </c>
      <c r="V8011">
        <v>0.1553602</v>
      </c>
      <c r="W8011">
        <v>0.42794399999999999</v>
      </c>
      <c r="X8011">
        <v>0.89035219999999904</v>
      </c>
      <c r="Y8011">
        <v>0.23484169999999999</v>
      </c>
      <c r="Z8011">
        <v>2.1382129999999999E-2</v>
      </c>
      <c r="AA8011">
        <v>0.97179839999999995</v>
      </c>
      <c r="AB8011">
        <v>18</v>
      </c>
      <c r="AC8011">
        <v>3.2144170000000001</v>
      </c>
      <c r="AD8011">
        <v>0.19258739999999999</v>
      </c>
      <c r="AE8011">
        <v>-5.859375E-2</v>
      </c>
      <c r="AF8011">
        <v>0.75522229854940603</v>
      </c>
      <c r="AG8011">
        <v>0.19258739999999999</v>
      </c>
      <c r="AH8011">
        <v>3.1131602477186902</v>
      </c>
      <c r="AI8011">
        <v>86.5595963347169</v>
      </c>
      <c r="AJ8011">
        <v>76.364022329642395</v>
      </c>
      <c r="AK8011">
        <v>3.2092393732535598</v>
      </c>
      <c r="AL8011">
        <v>64.662846817958993</v>
      </c>
      <c r="AM8011">
        <v>80.101944339581493</v>
      </c>
      <c r="AN8011">
        <v>0.99999994946243798</v>
      </c>
    </row>
    <row r="8012" spans="1:40" x14ac:dyDescent="0.25">
      <c r="A8012" t="str">
        <f>"20190304165039334"</f>
        <v>20190304165039334</v>
      </c>
      <c r="B8012" t="str">
        <f>"1551689439323074"</f>
        <v>1551689439323074</v>
      </c>
      <c r="C8012" t="s">
        <v>40</v>
      </c>
      <c r="D8012">
        <v>5.0966620000000002</v>
      </c>
      <c r="E8012">
        <v>0.53794580000000003</v>
      </c>
      <c r="F8012" t="s">
        <v>60</v>
      </c>
      <c r="G8012">
        <v>0</v>
      </c>
      <c r="H8012">
        <v>0</v>
      </c>
      <c r="I8012">
        <v>0</v>
      </c>
      <c r="J8012">
        <v>-170.17140000000001</v>
      </c>
      <c r="K8012">
        <v>1.1093519999999999</v>
      </c>
      <c r="L8012">
        <v>137.20339999999999</v>
      </c>
      <c r="M8012">
        <v>0.97662729999999998</v>
      </c>
      <c r="N8012">
        <v>-1.3588859999999999E-2</v>
      </c>
      <c r="O8012">
        <v>0.21451020000000001</v>
      </c>
      <c r="P8012">
        <v>0.90710069999999998</v>
      </c>
      <c r="Q8012">
        <v>0.41847800000000002</v>
      </c>
      <c r="R8012">
        <v>4.5218000000000001E-2</v>
      </c>
      <c r="S8012">
        <v>3.2132260000000001</v>
      </c>
      <c r="T8012">
        <v>0.2040912</v>
      </c>
      <c r="U8012">
        <v>-5.2917480000000003E-2</v>
      </c>
      <c r="V8012">
        <v>0.15264659999999999</v>
      </c>
      <c r="W8012">
        <v>0.42983159999999998</v>
      </c>
      <c r="X8012">
        <v>0.88991229999999999</v>
      </c>
      <c r="Y8012">
        <v>0.22958700000000001</v>
      </c>
      <c r="Z8012">
        <v>2.2185239999999998E-2</v>
      </c>
      <c r="AA8012">
        <v>0.97303530000000005</v>
      </c>
      <c r="AB8012">
        <v>18</v>
      </c>
      <c r="AC8012">
        <v>3.2132260000000001</v>
      </c>
      <c r="AD8012">
        <v>0.2040912</v>
      </c>
      <c r="AE8012">
        <v>-5.2917480000000003E-2</v>
      </c>
      <c r="AF8012">
        <v>0.73804210529297698</v>
      </c>
      <c r="AG8012">
        <v>0.2040912</v>
      </c>
      <c r="AH8012">
        <v>3.1145000065235902</v>
      </c>
      <c r="AI8012">
        <v>86.351559460519795</v>
      </c>
      <c r="AJ8012">
        <v>76.668547067753806</v>
      </c>
      <c r="AK8012">
        <v>3.2072526650917599</v>
      </c>
      <c r="AL8012">
        <v>64.543127702946194</v>
      </c>
      <c r="AM8012">
        <v>80.266779577722701</v>
      </c>
      <c r="AN8012">
        <v>1.0000000452707001</v>
      </c>
    </row>
    <row r="8013" spans="1:40" x14ac:dyDescent="0.25">
      <c r="A8013" t="str">
        <f>"20190304165039352"</f>
        <v>20190304165039352</v>
      </c>
      <c r="B8013" t="str">
        <f>"1551689439343570"</f>
        <v>1551689439343570</v>
      </c>
      <c r="C8013" t="s">
        <v>40</v>
      </c>
      <c r="D8013">
        <v>4.8614569999999997</v>
      </c>
      <c r="E8013">
        <v>0.53771999999999998</v>
      </c>
      <c r="F8013" t="s">
        <v>60</v>
      </c>
      <c r="G8013">
        <v>0</v>
      </c>
      <c r="H8013">
        <v>0</v>
      </c>
      <c r="I8013">
        <v>0</v>
      </c>
      <c r="J8013">
        <v>-170.03809999999999</v>
      </c>
      <c r="K8013">
        <v>1.109383</v>
      </c>
      <c r="L8013">
        <v>137.22819999999999</v>
      </c>
      <c r="M8013">
        <v>0.97740689999999997</v>
      </c>
      <c r="N8013">
        <v>-1.357801E-2</v>
      </c>
      <c r="O8013">
        <v>0.21093010000000001</v>
      </c>
      <c r="P8013">
        <v>0.90521410000000002</v>
      </c>
      <c r="Q8013">
        <v>0.42238049999999999</v>
      </c>
      <c r="R8013">
        <v>4.6715630000000001E-2</v>
      </c>
      <c r="S8013">
        <v>3.2100070000000001</v>
      </c>
      <c r="T8013">
        <v>0.2168841</v>
      </c>
      <c r="U8013">
        <v>-5.6762699999999902E-2</v>
      </c>
      <c r="V8013">
        <v>0.14750350000000001</v>
      </c>
      <c r="W8013">
        <v>0.4337433</v>
      </c>
      <c r="X8013">
        <v>0.88888099999999903</v>
      </c>
      <c r="Y8013">
        <v>0.22709570000000001</v>
      </c>
      <c r="Z8013">
        <v>2.3153859999999998E-2</v>
      </c>
      <c r="AA8013">
        <v>0.97359720000000005</v>
      </c>
      <c r="AB8013">
        <v>18</v>
      </c>
      <c r="AC8013">
        <v>3.2100070000000001</v>
      </c>
      <c r="AD8013">
        <v>0.2168841</v>
      </c>
      <c r="AE8013">
        <v>-5.6762699999999902E-2</v>
      </c>
      <c r="AF8013">
        <v>0.72930658287846095</v>
      </c>
      <c r="AG8013">
        <v>0.2168841</v>
      </c>
      <c r="AH8013">
        <v>3.1115979059136301</v>
      </c>
      <c r="AI8013">
        <v>86.117704838412706</v>
      </c>
      <c r="AJ8013">
        <v>76.808938541490093</v>
      </c>
      <c r="AK8013">
        <v>3.2032746264953298</v>
      </c>
      <c r="AL8013">
        <v>64.294644484945593</v>
      </c>
      <c r="AM8013">
        <v>80.578029947873503</v>
      </c>
      <c r="AN8013">
        <v>0.99999998248406896</v>
      </c>
    </row>
    <row r="8014" spans="1:40" x14ac:dyDescent="0.25">
      <c r="A8014" t="str">
        <f>"20190304165039372"</f>
        <v>20190304165039372</v>
      </c>
      <c r="B8014" t="str">
        <f>"1551689439363091"</f>
        <v>1551689439363091</v>
      </c>
      <c r="C8014" t="s">
        <v>40</v>
      </c>
      <c r="D8014">
        <v>4.8531500000000003</v>
      </c>
      <c r="E8014">
        <v>0.53740769999999904</v>
      </c>
      <c r="F8014" t="s">
        <v>60</v>
      </c>
      <c r="G8014">
        <v>0</v>
      </c>
      <c r="H8014">
        <v>0</v>
      </c>
      <c r="I8014">
        <v>0</v>
      </c>
      <c r="J8014">
        <v>-169.8717</v>
      </c>
      <c r="K8014">
        <v>1.1094040000000001</v>
      </c>
      <c r="L8014">
        <v>137.2586</v>
      </c>
      <c r="M8014">
        <v>0.97835369999999999</v>
      </c>
      <c r="N8014">
        <v>-1.356628E-2</v>
      </c>
      <c r="O8014">
        <v>0.20649519999999999</v>
      </c>
      <c r="P8014">
        <v>0.90308429999999995</v>
      </c>
      <c r="Q8014">
        <v>0.42685849999999997</v>
      </c>
      <c r="R8014">
        <v>4.7232490000000002E-2</v>
      </c>
      <c r="S8014">
        <v>3.2053989999999999</v>
      </c>
      <c r="T8014">
        <v>0.23892150000000001</v>
      </c>
      <c r="U8014">
        <v>-5.3192139999999999E-2</v>
      </c>
      <c r="V8014">
        <v>0.14251459999999999</v>
      </c>
      <c r="W8014">
        <v>0.43822040000000001</v>
      </c>
      <c r="X8014">
        <v>0.88749789999999995</v>
      </c>
      <c r="Y8014">
        <v>0.22142229999999999</v>
      </c>
      <c r="Z8014">
        <v>2.4839030000000002E-2</v>
      </c>
      <c r="AA8014">
        <v>0.97486159999999999</v>
      </c>
      <c r="AB8014">
        <v>18</v>
      </c>
      <c r="AC8014">
        <v>3.2053989999999999</v>
      </c>
      <c r="AD8014">
        <v>0.23892150000000001</v>
      </c>
      <c r="AE8014">
        <v>-5.3192139999999999E-2</v>
      </c>
      <c r="AF8014">
        <v>0.71006197081283196</v>
      </c>
      <c r="AG8014">
        <v>0.23892150000000001</v>
      </c>
      <c r="AH8014">
        <v>3.1080542722635398</v>
      </c>
      <c r="AI8014">
        <v>85.714214373179104</v>
      </c>
      <c r="AJ8014">
        <v>77.131137960453003</v>
      </c>
      <c r="AK8014">
        <v>3.1970725429512101</v>
      </c>
      <c r="AL8014">
        <v>64.009610058153996</v>
      </c>
      <c r="AM8014">
        <v>80.877312172088295</v>
      </c>
      <c r="AN8014">
        <v>1.00000002634686</v>
      </c>
    </row>
    <row r="8015" spans="1:40" x14ac:dyDescent="0.25">
      <c r="A8015" t="str">
        <f>"20190304165039389"</f>
        <v>20190304165039389</v>
      </c>
      <c r="B8015" t="str">
        <f>"1551689439383586"</f>
        <v>1551689439383586</v>
      </c>
      <c r="C8015" t="s">
        <v>40</v>
      </c>
      <c r="D8015">
        <v>4.8645339999999999</v>
      </c>
      <c r="E8015">
        <v>0.53727329999999995</v>
      </c>
      <c r="F8015" t="s">
        <v>60</v>
      </c>
      <c r="G8015">
        <v>0</v>
      </c>
      <c r="H8015">
        <v>0</v>
      </c>
      <c r="I8015">
        <v>0</v>
      </c>
      <c r="J8015">
        <v>-169.7432</v>
      </c>
      <c r="K8015">
        <v>1.1094090000000001</v>
      </c>
      <c r="L8015">
        <v>137.28149999999999</v>
      </c>
      <c r="M8015">
        <v>0.9790662</v>
      </c>
      <c r="N8015">
        <v>-1.3558499999999999E-2</v>
      </c>
      <c r="O8015">
        <v>0.20308979999999999</v>
      </c>
      <c r="P8015">
        <v>0.90200639999999999</v>
      </c>
      <c r="Q8015">
        <v>0.42919869999999999</v>
      </c>
      <c r="R8015">
        <v>4.6615919999999998E-2</v>
      </c>
      <c r="S8015">
        <v>3.2019350000000002</v>
      </c>
      <c r="T8015">
        <v>0.25955919999999999</v>
      </c>
      <c r="U8015">
        <v>-5.085754E-2</v>
      </c>
      <c r="V8015">
        <v>0.1398073</v>
      </c>
      <c r="W8015">
        <v>0.44055620000000001</v>
      </c>
      <c r="X8015">
        <v>0.8867718</v>
      </c>
      <c r="Y8015">
        <v>0.21713789999999999</v>
      </c>
      <c r="Z8015">
        <v>2.6428529999999999E-2</v>
      </c>
      <c r="AA8015">
        <v>0.97578310000000001</v>
      </c>
      <c r="AB8015">
        <v>18</v>
      </c>
      <c r="AC8015">
        <v>3.2019350000000002</v>
      </c>
      <c r="AD8015">
        <v>0.25955919999999999</v>
      </c>
      <c r="AE8015">
        <v>-5.085754E-2</v>
      </c>
      <c r="AF8015">
        <v>0.69556802413101404</v>
      </c>
      <c r="AG8015">
        <v>0.25955919999999999</v>
      </c>
      <c r="AH8015">
        <v>3.1044699489485601</v>
      </c>
      <c r="AI8015">
        <v>85.335825785491195</v>
      </c>
      <c r="AJ8015">
        <v>77.371232575737693</v>
      </c>
      <c r="AK8015">
        <v>3.1920086964829602</v>
      </c>
      <c r="AL8015">
        <v>63.860626741564197</v>
      </c>
      <c r="AM8015">
        <v>81.040568137610705</v>
      </c>
      <c r="AN8015">
        <v>1.00000003588348</v>
      </c>
    </row>
    <row r="8016" spans="1:40" x14ac:dyDescent="0.25">
      <c r="A8016" t="str">
        <f>"20190304165039405"</f>
        <v>20190304165039405</v>
      </c>
      <c r="B8016" t="str">
        <f>"1551689439393346"</f>
        <v>1551689439393346</v>
      </c>
      <c r="C8016" t="s">
        <v>40</v>
      </c>
      <c r="D8016">
        <v>4.8526569999999998</v>
      </c>
      <c r="E8016">
        <v>0.53708029999999995</v>
      </c>
      <c r="F8016" t="s">
        <v>60</v>
      </c>
      <c r="G8016">
        <v>0</v>
      </c>
      <c r="H8016">
        <v>0</v>
      </c>
      <c r="I8016">
        <v>0</v>
      </c>
      <c r="J8016">
        <v>-169.6216</v>
      </c>
      <c r="K8016">
        <v>1.1094059999999999</v>
      </c>
      <c r="L8016">
        <v>137.30279999999999</v>
      </c>
      <c r="M8016">
        <v>0.97972820000000005</v>
      </c>
      <c r="N8016">
        <v>-1.355197E-2</v>
      </c>
      <c r="O8016">
        <v>0.1998721</v>
      </c>
      <c r="P8016">
        <v>0.90118339999999997</v>
      </c>
      <c r="Q8016">
        <v>0.43098510000000001</v>
      </c>
      <c r="R8016">
        <v>4.6048140000000001E-2</v>
      </c>
      <c r="S8016">
        <v>3.2036129999999998</v>
      </c>
      <c r="T8016">
        <v>0.26270459999999901</v>
      </c>
      <c r="U8016">
        <v>-5.2276610000000001E-2</v>
      </c>
      <c r="V8016">
        <v>0.13728389999999999</v>
      </c>
      <c r="W8016">
        <v>0.44233990000000001</v>
      </c>
      <c r="X8016">
        <v>0.88627789999999995</v>
      </c>
      <c r="Y8016">
        <v>0.21434420000000001</v>
      </c>
      <c r="Z8016">
        <v>2.6319149999999999E-2</v>
      </c>
      <c r="AA8016">
        <v>0.97640349999999998</v>
      </c>
      <c r="AB8016">
        <v>17</v>
      </c>
      <c r="AC8016">
        <v>3.2036129999999998</v>
      </c>
      <c r="AD8016">
        <v>0.26270459999999901</v>
      </c>
      <c r="AE8016">
        <v>-5.2276610000000001E-2</v>
      </c>
      <c r="AF8016">
        <v>0.68697500321727201</v>
      </c>
      <c r="AG8016">
        <v>0.26270459999999901</v>
      </c>
      <c r="AH8016">
        <v>3.1076174988537</v>
      </c>
      <c r="AI8016">
        <v>85.281338187692</v>
      </c>
      <c r="AJ8016">
        <v>77.534575369278102</v>
      </c>
      <c r="AK8016">
        <v>3.19346753249321</v>
      </c>
      <c r="AL8016">
        <v>63.746728079951303</v>
      </c>
      <c r="AM8016">
        <v>81.194896768412207</v>
      </c>
      <c r="AN8016">
        <v>0.999999986179814</v>
      </c>
    </row>
    <row r="8017" spans="1:40" x14ac:dyDescent="0.25">
      <c r="A8017" t="str">
        <f>"20190304165039417"</f>
        <v>20190304165039417</v>
      </c>
      <c r="B8017" t="str">
        <f>"1551689439413842"</f>
        <v>1551689439413842</v>
      </c>
      <c r="C8017" t="s">
        <v>40</v>
      </c>
      <c r="D8017">
        <v>5.0904680000000004</v>
      </c>
      <c r="E8017">
        <v>0.53674440000000001</v>
      </c>
      <c r="F8017" t="s">
        <v>60</v>
      </c>
      <c r="G8017">
        <v>0</v>
      </c>
      <c r="H8017">
        <v>0</v>
      </c>
      <c r="I8017">
        <v>0</v>
      </c>
      <c r="J8017">
        <v>-169.52369999999999</v>
      </c>
      <c r="K8017">
        <v>1.10941</v>
      </c>
      <c r="L8017">
        <v>137.31970000000001</v>
      </c>
      <c r="M8017">
        <v>0.98025359999999995</v>
      </c>
      <c r="N8017">
        <v>-1.3547160000000001E-2</v>
      </c>
      <c r="O8017">
        <v>0.1972805</v>
      </c>
      <c r="P8017">
        <v>0.89965300000000004</v>
      </c>
      <c r="Q8017">
        <v>0.43372559999999899</v>
      </c>
      <c r="R8017">
        <v>5.0070160000000002E-2</v>
      </c>
      <c r="S8017">
        <v>3.2043759999999999</v>
      </c>
      <c r="T8017">
        <v>0.26615809999999901</v>
      </c>
      <c r="U8017">
        <v>-5.2917480000000003E-2</v>
      </c>
      <c r="V8017">
        <v>0.13070209999999999</v>
      </c>
      <c r="W8017">
        <v>0.4451022</v>
      </c>
      <c r="X8017">
        <v>0.88588989999999901</v>
      </c>
      <c r="Y8017">
        <v>0.2119345</v>
      </c>
      <c r="Z8017">
        <v>2.6309929999999999E-2</v>
      </c>
      <c r="AA8017">
        <v>0.97692970000000001</v>
      </c>
      <c r="AB8017">
        <v>17</v>
      </c>
      <c r="AC8017">
        <v>3.2043759999999999</v>
      </c>
      <c r="AD8017">
        <v>0.26615809999999901</v>
      </c>
      <c r="AE8017">
        <v>-5.2917480000000003E-2</v>
      </c>
      <c r="AF8017">
        <v>0.67941010432232796</v>
      </c>
      <c r="AG8017">
        <v>0.26615809999999901</v>
      </c>
      <c r="AH8017">
        <v>3.1095015494293698</v>
      </c>
      <c r="AI8017">
        <v>85.219915893061597</v>
      </c>
      <c r="AJ8017">
        <v>77.674864363013498</v>
      </c>
      <c r="AK8017">
        <v>3.19396902144566</v>
      </c>
      <c r="AL8017">
        <v>63.570121216813099</v>
      </c>
      <c r="AM8017">
        <v>81.607262631549304</v>
      </c>
      <c r="AN8017">
        <v>0.99999996115562895</v>
      </c>
    </row>
    <row r="8018" spans="1:40" x14ac:dyDescent="0.25">
      <c r="A8018" t="str">
        <f>"20190304165039434"</f>
        <v>20190304165039434</v>
      </c>
      <c r="B8018" t="str">
        <f>"1551689439423602"</f>
        <v>1551689439423602</v>
      </c>
      <c r="C8018" t="s">
        <v>40</v>
      </c>
      <c r="D8018">
        <v>4.8711390000000003</v>
      </c>
      <c r="E8018">
        <v>0.53642829999999997</v>
      </c>
      <c r="F8018" t="s">
        <v>60</v>
      </c>
      <c r="G8018">
        <v>0</v>
      </c>
      <c r="H8018">
        <v>0</v>
      </c>
      <c r="I8018">
        <v>0</v>
      </c>
      <c r="J8018">
        <v>-169.39109999999999</v>
      </c>
      <c r="K8018">
        <v>1.1094059999999999</v>
      </c>
      <c r="L8018">
        <v>137.34219999999999</v>
      </c>
      <c r="M8018">
        <v>0.98095359999999998</v>
      </c>
      <c r="N8018">
        <v>-1.354153E-2</v>
      </c>
      <c r="O8018">
        <v>0.19376959999999999</v>
      </c>
      <c r="P8018">
        <v>0.89922579999999996</v>
      </c>
      <c r="Q8018">
        <v>0.43461300000000003</v>
      </c>
      <c r="R8018">
        <v>5.0045560000000003E-2</v>
      </c>
      <c r="S8018">
        <v>3.2067410000000001</v>
      </c>
      <c r="T8018">
        <v>0.26960269999999997</v>
      </c>
      <c r="U8018">
        <v>-3.7628170000000002E-2</v>
      </c>
      <c r="V8018">
        <v>0.12746669999999999</v>
      </c>
      <c r="W8018">
        <v>0.44599820000000001</v>
      </c>
      <c r="X8018">
        <v>0.88591070000000005</v>
      </c>
      <c r="Y8018">
        <v>0.20376549999999999</v>
      </c>
      <c r="Z8018">
        <v>2.598727E-2</v>
      </c>
      <c r="AA8018">
        <v>0.97867479999999996</v>
      </c>
      <c r="AB8018">
        <v>17</v>
      </c>
      <c r="AC8018">
        <v>3.2067410000000001</v>
      </c>
      <c r="AD8018">
        <v>0.26960269999999997</v>
      </c>
      <c r="AE8018">
        <v>-3.7628170000000002E-2</v>
      </c>
      <c r="AF8018">
        <v>0.65372065610883601</v>
      </c>
      <c r="AG8018">
        <v>0.26960269999999997</v>
      </c>
      <c r="AH8018">
        <v>3.1166341615256998</v>
      </c>
      <c r="AI8018">
        <v>85.160759379780302</v>
      </c>
      <c r="AJ8018">
        <v>78.153823570756501</v>
      </c>
      <c r="AK8018">
        <v>3.19584805784939</v>
      </c>
      <c r="AL8018">
        <v>63.512777877233603</v>
      </c>
      <c r="AM8018">
        <v>81.812354206726297</v>
      </c>
      <c r="AN8018">
        <v>0.99999996119330903</v>
      </c>
    </row>
    <row r="8019" spans="1:40" x14ac:dyDescent="0.25">
      <c r="A8019" t="str">
        <f>"20190304165039450"</f>
        <v>20190304165039450</v>
      </c>
      <c r="B8019" t="str">
        <f>"1551689439443122"</f>
        <v>1551689439443122</v>
      </c>
      <c r="C8019" t="s">
        <v>40</v>
      </c>
      <c r="D8019">
        <v>5.070843</v>
      </c>
      <c r="E8019">
        <v>0.53606899999999902</v>
      </c>
      <c r="F8019" t="s">
        <v>60</v>
      </c>
      <c r="G8019">
        <v>0</v>
      </c>
      <c r="H8019">
        <v>0</v>
      </c>
      <c r="I8019">
        <v>0</v>
      </c>
      <c r="J8019">
        <v>-169.26490000000001</v>
      </c>
      <c r="K8019">
        <v>1.109405</v>
      </c>
      <c r="L8019">
        <v>137.363</v>
      </c>
      <c r="M8019">
        <v>0.98160890000000001</v>
      </c>
      <c r="N8019">
        <v>-1.3536970000000001E-2</v>
      </c>
      <c r="O8019">
        <v>0.19042210000000001</v>
      </c>
      <c r="P8019">
        <v>0.89802739999999903</v>
      </c>
      <c r="Q8019">
        <v>0.43677949999999999</v>
      </c>
      <c r="R8019">
        <v>5.2634019999999997E-2</v>
      </c>
      <c r="S8019">
        <v>3.2062680000000001</v>
      </c>
      <c r="T8019">
        <v>0.27310990000000002</v>
      </c>
      <c r="U8019">
        <v>-3.7002559999999997E-2</v>
      </c>
      <c r="V8019">
        <v>0.12167559999999999</v>
      </c>
      <c r="W8019">
        <v>0.44818459999999899</v>
      </c>
      <c r="X8019">
        <v>0.88562160000000001</v>
      </c>
      <c r="Y8019">
        <v>0.20022480000000001</v>
      </c>
      <c r="Z8019">
        <v>2.585792E-2</v>
      </c>
      <c r="AA8019">
        <v>0.97940870000000002</v>
      </c>
      <c r="AB8019">
        <v>17</v>
      </c>
      <c r="AC8019">
        <v>3.2062680000000001</v>
      </c>
      <c r="AD8019">
        <v>0.27310990000000002</v>
      </c>
      <c r="AE8019">
        <v>-3.7002559999999997E-2</v>
      </c>
      <c r="AF8019">
        <v>0.64226622415448598</v>
      </c>
      <c r="AG8019">
        <v>0.27310990000000002</v>
      </c>
      <c r="AH8019">
        <v>3.1179235932630101</v>
      </c>
      <c r="AI8019">
        <v>85.096473881713493</v>
      </c>
      <c r="AJ8019">
        <v>78.360358543111204</v>
      </c>
      <c r="AK8019">
        <v>3.1950809776269899</v>
      </c>
      <c r="AL8019">
        <v>63.372730784779002</v>
      </c>
      <c r="AM8019">
        <v>82.177106099454605</v>
      </c>
      <c r="AN8019">
        <v>1.0000000028495399</v>
      </c>
    </row>
    <row r="8020" spans="1:40" x14ac:dyDescent="0.25">
      <c r="A8020" t="str">
        <f>"20190304165039466"</f>
        <v>20190304165039466</v>
      </c>
      <c r="B8020" t="str">
        <f>"1551689439453859"</f>
        <v>1551689439453859</v>
      </c>
      <c r="C8020" t="s">
        <v>40</v>
      </c>
      <c r="D8020">
        <v>4.9130549999999999</v>
      </c>
      <c r="E8020">
        <v>0.52490999999999999</v>
      </c>
      <c r="F8020" t="s">
        <v>60</v>
      </c>
      <c r="G8020">
        <v>0</v>
      </c>
      <c r="H8020">
        <v>0</v>
      </c>
      <c r="I8020">
        <v>0</v>
      </c>
      <c r="J8020">
        <v>-169.1463</v>
      </c>
      <c r="K8020">
        <v>1.109405</v>
      </c>
      <c r="L8020">
        <v>137.38220000000001</v>
      </c>
      <c r="M8020">
        <v>0.98221460000000005</v>
      </c>
      <c r="N8020">
        <v>-1.353299E-2</v>
      </c>
      <c r="O8020">
        <v>0.18727350000000001</v>
      </c>
      <c r="P8020">
        <v>0.89778440000000004</v>
      </c>
      <c r="Q8020">
        <v>0.43730010000000002</v>
      </c>
      <c r="R8020">
        <v>5.246178E-2</v>
      </c>
      <c r="S8020">
        <v>3.2040099999999998</v>
      </c>
      <c r="T8020">
        <v>0.28424569999999999</v>
      </c>
      <c r="U8020">
        <v>-2.7313230000000001E-2</v>
      </c>
      <c r="V8020">
        <v>0.1189481</v>
      </c>
      <c r="W8020">
        <v>0.44871509999999998</v>
      </c>
      <c r="X8020">
        <v>0.8857235</v>
      </c>
      <c r="Y8020">
        <v>0.19403999999999999</v>
      </c>
      <c r="Z8020">
        <v>2.632483E-2</v>
      </c>
      <c r="AA8020">
        <v>0.98064039999999997</v>
      </c>
      <c r="AB8020">
        <v>17</v>
      </c>
      <c r="AC8020">
        <v>3.2040099999999998</v>
      </c>
      <c r="AD8020">
        <v>0.28424569999999999</v>
      </c>
      <c r="AE8020">
        <v>-2.7313230000000001E-2</v>
      </c>
      <c r="AF8020">
        <v>0.62201582672641198</v>
      </c>
      <c r="AG8020">
        <v>0.28424569999999999</v>
      </c>
      <c r="AH8020">
        <v>3.1176624102005301</v>
      </c>
      <c r="AI8020">
        <v>84.890739252185895</v>
      </c>
      <c r="AJ8020">
        <v>78.716870790777094</v>
      </c>
      <c r="AK8020">
        <v>3.19178918643509</v>
      </c>
      <c r="AL8020">
        <v>63.338724199823098</v>
      </c>
      <c r="AM8020">
        <v>82.351235194080999</v>
      </c>
      <c r="AN8020">
        <v>1.00000000495693</v>
      </c>
    </row>
    <row r="8021" spans="1:40" x14ac:dyDescent="0.25">
      <c r="A8021" t="str">
        <f>"20190304165039485"</f>
        <v>20190304165039485</v>
      </c>
      <c r="B8021" t="str">
        <f>"1551689439473379"</f>
        <v>1551689439473379</v>
      </c>
      <c r="C8021" t="s">
        <v>40</v>
      </c>
      <c r="D8021">
        <v>4.9076190000000004</v>
      </c>
      <c r="E8021">
        <v>0.52491719999999997</v>
      </c>
      <c r="F8021" t="s">
        <v>60</v>
      </c>
      <c r="G8021">
        <v>0</v>
      </c>
      <c r="H8021">
        <v>0</v>
      </c>
      <c r="I8021">
        <v>0</v>
      </c>
      <c r="J8021">
        <v>-169.005</v>
      </c>
      <c r="K8021">
        <v>1.1094040000000001</v>
      </c>
      <c r="L8021">
        <v>137.40459999999999</v>
      </c>
      <c r="M8021">
        <v>0.98292120000000005</v>
      </c>
      <c r="N8021">
        <v>-1.352839E-2</v>
      </c>
      <c r="O8021">
        <v>0.1835291</v>
      </c>
      <c r="P8021">
        <v>0.89716790000000002</v>
      </c>
      <c r="Q8021">
        <v>0.43833689999999997</v>
      </c>
      <c r="R8021">
        <v>5.432025E-2</v>
      </c>
      <c r="S8021">
        <v>3.148987</v>
      </c>
      <c r="T8021">
        <v>0.38923839999999998</v>
      </c>
      <c r="U8021">
        <v>5.0994869999999998E-2</v>
      </c>
      <c r="V8021">
        <v>0.1136163</v>
      </c>
      <c r="W8021">
        <v>0.4497776</v>
      </c>
      <c r="X8021">
        <v>0.88588459999999902</v>
      </c>
      <c r="Y8021">
        <v>0.1647835</v>
      </c>
      <c r="Z8021">
        <v>3.4002980000000002E-2</v>
      </c>
      <c r="AA8021">
        <v>0.98574349999999999</v>
      </c>
      <c r="AB8021">
        <v>17</v>
      </c>
      <c r="AC8021">
        <v>3.148987</v>
      </c>
      <c r="AD8021">
        <v>0.38923839999999998</v>
      </c>
      <c r="AE8021">
        <v>5.0994869999999998E-2</v>
      </c>
      <c r="AF8021">
        <v>0.51991352890599796</v>
      </c>
      <c r="AG8021">
        <v>0.38923839999999998</v>
      </c>
      <c r="AH8021">
        <v>3.05813675527087</v>
      </c>
      <c r="AI8021">
        <v>82.847955735100598</v>
      </c>
      <c r="AJ8021">
        <v>80.351403298788</v>
      </c>
      <c r="AK8021">
        <v>3.1263424354207801</v>
      </c>
      <c r="AL8021">
        <v>63.270585225875202</v>
      </c>
      <c r="AM8021">
        <v>82.691609280223901</v>
      </c>
      <c r="AN8021">
        <v>1.0000000388023</v>
      </c>
    </row>
    <row r="8022" spans="1:40" x14ac:dyDescent="0.25">
      <c r="A8022" t="str">
        <f>"20190304165039500"</f>
        <v>20190304165039500</v>
      </c>
      <c r="B8022" t="str">
        <f>"1551689439493874"</f>
        <v>1551689439493874</v>
      </c>
      <c r="C8022" t="s">
        <v>40</v>
      </c>
      <c r="D8022">
        <v>4.9456020000000001</v>
      </c>
      <c r="E8022">
        <v>0.524891</v>
      </c>
      <c r="F8022" t="s">
        <v>60</v>
      </c>
      <c r="G8022">
        <v>0</v>
      </c>
      <c r="H8022">
        <v>0</v>
      </c>
      <c r="I8022">
        <v>0</v>
      </c>
      <c r="J8022">
        <v>-168.88050000000001</v>
      </c>
      <c r="K8022">
        <v>1.1094079999999999</v>
      </c>
      <c r="L8022">
        <v>137.4239</v>
      </c>
      <c r="M8022">
        <v>0.98353000000000002</v>
      </c>
      <c r="N8022">
        <v>-1.3524339999999999E-2</v>
      </c>
      <c r="O8022">
        <v>0.18023810000000001</v>
      </c>
      <c r="P8022">
        <v>0.89712569999999903</v>
      </c>
      <c r="Q8022">
        <v>0.4384323</v>
      </c>
      <c r="R8022">
        <v>5.424847E-2</v>
      </c>
      <c r="S8022">
        <v>3.1481319999999999</v>
      </c>
      <c r="T8022">
        <v>0.39358189999999998</v>
      </c>
      <c r="U8022">
        <v>5.6625370000000001E-2</v>
      </c>
      <c r="V8022">
        <v>0.1106901</v>
      </c>
      <c r="W8022">
        <v>0.4498896</v>
      </c>
      <c r="X8022">
        <v>0.88619799999999904</v>
      </c>
      <c r="Y8022">
        <v>0.15971850000000001</v>
      </c>
      <c r="Z8022">
        <v>3.3641009999999999E-2</v>
      </c>
      <c r="AA8022">
        <v>0.98658920000000006</v>
      </c>
      <c r="AB8022">
        <v>17</v>
      </c>
      <c r="AC8022">
        <v>3.1481319999999999</v>
      </c>
      <c r="AD8022">
        <v>0.39358189999999998</v>
      </c>
      <c r="AE8022">
        <v>5.6625370000000001E-2</v>
      </c>
      <c r="AF8022">
        <v>0.50389398686779197</v>
      </c>
      <c r="AG8022">
        <v>0.39358189999999998</v>
      </c>
      <c r="AH8022">
        <v>3.0589756269143602</v>
      </c>
      <c r="AI8022">
        <v>82.764793310030697</v>
      </c>
      <c r="AJ8022">
        <v>80.645877246121699</v>
      </c>
      <c r="AK8022">
        <v>3.1250836385711702</v>
      </c>
      <c r="AL8022">
        <v>63.263396749957302</v>
      </c>
      <c r="AM8022">
        <v>82.880372432307496</v>
      </c>
      <c r="AN8022">
        <v>0.99999992281508199</v>
      </c>
    </row>
    <row r="8023" spans="1:40" x14ac:dyDescent="0.25">
      <c r="A8023" t="str">
        <f>"20190304165039518"</f>
        <v>20190304165039518</v>
      </c>
      <c r="B8023" t="str">
        <f>"1551689439513394"</f>
        <v>1551689439513394</v>
      </c>
      <c r="C8023" t="s">
        <v>40</v>
      </c>
      <c r="D8023">
        <v>4.9290419999999999</v>
      </c>
      <c r="E8023">
        <v>0.52489219999999903</v>
      </c>
      <c r="F8023" t="s">
        <v>60</v>
      </c>
      <c r="G8023">
        <v>0</v>
      </c>
      <c r="H8023">
        <v>0</v>
      </c>
      <c r="I8023">
        <v>0</v>
      </c>
      <c r="J8023">
        <v>-168.7449</v>
      </c>
      <c r="K8023">
        <v>1.1094170000000001</v>
      </c>
      <c r="L8023">
        <v>137.44450000000001</v>
      </c>
      <c r="M8023">
        <v>0.98417779999999999</v>
      </c>
      <c r="N8023">
        <v>-1.351989E-2</v>
      </c>
      <c r="O8023">
        <v>0.1766674</v>
      </c>
      <c r="P8023">
        <v>0.89655130000000005</v>
      </c>
      <c r="Q8023">
        <v>0.43926809999999999</v>
      </c>
      <c r="R8023">
        <v>5.6917570000000001E-2</v>
      </c>
      <c r="S8023">
        <v>3.1509860000000001</v>
      </c>
      <c r="T8023">
        <v>0.38805079999999997</v>
      </c>
      <c r="U8023">
        <v>5.6198119999999997E-2</v>
      </c>
      <c r="V8023">
        <v>0.1047177</v>
      </c>
      <c r="W8023">
        <v>0.45075860000000001</v>
      </c>
      <c r="X8023">
        <v>0.8864824</v>
      </c>
      <c r="Y8023">
        <v>0.15642130000000001</v>
      </c>
      <c r="Z8023">
        <v>3.2501290000000002E-2</v>
      </c>
      <c r="AA8023">
        <v>0.98715560000000002</v>
      </c>
      <c r="AB8023">
        <v>17</v>
      </c>
      <c r="AC8023">
        <v>3.1509860000000001</v>
      </c>
      <c r="AD8023">
        <v>0.38805079999999997</v>
      </c>
      <c r="AE8023">
        <v>5.6198119999999997E-2</v>
      </c>
      <c r="AF8023">
        <v>0.49392465867921398</v>
      </c>
      <c r="AG8023">
        <v>0.38805079999999997</v>
      </c>
      <c r="AH8023">
        <v>3.0648745447286898</v>
      </c>
      <c r="AI8023">
        <v>82.875012351364902</v>
      </c>
      <c r="AJ8023">
        <v>80.845122452940203</v>
      </c>
      <c r="AK8023">
        <v>3.1285781062261999</v>
      </c>
      <c r="AL8023">
        <v>63.207636919660601</v>
      </c>
      <c r="AM8023">
        <v>83.263029171922597</v>
      </c>
      <c r="AN8023">
        <v>1.0000000788385</v>
      </c>
    </row>
    <row r="8024" spans="1:40" x14ac:dyDescent="0.25">
      <c r="A8024" t="str">
        <f>"20190304165039541"</f>
        <v>20190304165039541</v>
      </c>
      <c r="B8024" t="str">
        <f>"1551689439533890"</f>
        <v>1551689439533890</v>
      </c>
      <c r="C8024" t="s">
        <v>40</v>
      </c>
      <c r="D8024">
        <v>4.9710789999999996</v>
      </c>
      <c r="E8024">
        <v>0.52499410000000002</v>
      </c>
      <c r="F8024" t="s">
        <v>60</v>
      </c>
      <c r="G8024">
        <v>0</v>
      </c>
      <c r="H8024">
        <v>0</v>
      </c>
      <c r="I8024">
        <v>0</v>
      </c>
      <c r="J8024">
        <v>-168.5652</v>
      </c>
      <c r="K8024">
        <v>1.1094349999999999</v>
      </c>
      <c r="L8024">
        <v>137.4709</v>
      </c>
      <c r="M8024">
        <v>0.98500940000000003</v>
      </c>
      <c r="N8024">
        <v>-1.351313E-2</v>
      </c>
      <c r="O8024">
        <v>0.17197109999999999</v>
      </c>
      <c r="P8024">
        <v>0.89656689999999895</v>
      </c>
      <c r="Q8024">
        <v>0.43911119999999998</v>
      </c>
      <c r="R8024">
        <v>5.7874299999999997E-2</v>
      </c>
      <c r="S8024">
        <v>3.1523279999999998</v>
      </c>
      <c r="T8024">
        <v>0.38727020000000001</v>
      </c>
      <c r="U8024">
        <v>6.410217E-2</v>
      </c>
      <c r="V8024">
        <v>9.9496940000000006E-2</v>
      </c>
      <c r="W8024">
        <v>0.45063639999999999</v>
      </c>
      <c r="X8024">
        <v>0.88714550000000003</v>
      </c>
      <c r="Y8024">
        <v>0.14934420000000001</v>
      </c>
      <c r="Z8024">
        <v>3.140689E-2</v>
      </c>
      <c r="AA8024">
        <v>0.98828640000000001</v>
      </c>
      <c r="AB8024">
        <v>17</v>
      </c>
      <c r="AC8024">
        <v>3.1523279999999998</v>
      </c>
      <c r="AD8024">
        <v>0.38727020000000001</v>
      </c>
      <c r="AE8024">
        <v>6.410217E-2</v>
      </c>
      <c r="AF8024">
        <v>0.47189260323295101</v>
      </c>
      <c r="AG8024">
        <v>0.38727020000000001</v>
      </c>
      <c r="AH8024">
        <v>3.07006445356456</v>
      </c>
      <c r="AI8024">
        <v>82.893051104556605</v>
      </c>
      <c r="AJ8024">
        <v>81.261586258562701</v>
      </c>
      <c r="AK8024">
        <v>3.1301687791291202</v>
      </c>
      <c r="AL8024">
        <v>63.2154771466802</v>
      </c>
      <c r="AM8024">
        <v>83.600789090411297</v>
      </c>
      <c r="AN8024">
        <v>0.99999997212228597</v>
      </c>
    </row>
    <row r="8025" spans="1:40" x14ac:dyDescent="0.25">
      <c r="A8025" t="str">
        <f>"20190304165039564"</f>
        <v>20190304165039564</v>
      </c>
      <c r="B8025" t="str">
        <f>"1551689439553411"</f>
        <v>1551689439553411</v>
      </c>
      <c r="C8025" t="s">
        <v>40</v>
      </c>
      <c r="D8025">
        <v>4.899133</v>
      </c>
      <c r="E8025">
        <v>0.52849569999999901</v>
      </c>
      <c r="F8025" t="s">
        <v>60</v>
      </c>
      <c r="G8025">
        <v>0</v>
      </c>
      <c r="H8025">
        <v>0</v>
      </c>
      <c r="I8025">
        <v>0</v>
      </c>
      <c r="J8025">
        <v>-168.39429999999999</v>
      </c>
      <c r="K8025">
        <v>1.1094550000000001</v>
      </c>
      <c r="L8025">
        <v>137.49529999999999</v>
      </c>
      <c r="M8025">
        <v>0.98577090000000001</v>
      </c>
      <c r="N8025">
        <v>-1.3504479999999999E-2</v>
      </c>
      <c r="O8025">
        <v>0.16755110000000001</v>
      </c>
      <c r="P8025">
        <v>0.89653660000000002</v>
      </c>
      <c r="Q8025">
        <v>0.43917729999999999</v>
      </c>
      <c r="R8025">
        <v>5.7839790000000002E-2</v>
      </c>
      <c r="S8025">
        <v>3.1527560000000001</v>
      </c>
      <c r="T8025">
        <v>0.38604820000000001</v>
      </c>
      <c r="U8025">
        <v>6.6101069999999998E-2</v>
      </c>
      <c r="V8025">
        <v>9.5490389999999994E-2</v>
      </c>
      <c r="W8025">
        <v>0.45072669999999998</v>
      </c>
      <c r="X8025">
        <v>0.88753989999999905</v>
      </c>
      <c r="Y8025">
        <v>0.14437449999999999</v>
      </c>
      <c r="Z8025">
        <v>3.0445110000000001E-2</v>
      </c>
      <c r="AA8025">
        <v>0.98905469999999895</v>
      </c>
      <c r="AB8025">
        <v>17</v>
      </c>
      <c r="AC8025">
        <v>3.1527560000000001</v>
      </c>
      <c r="AD8025">
        <v>0.38604820000000001</v>
      </c>
      <c r="AE8025">
        <v>6.6101069999999998E-2</v>
      </c>
      <c r="AF8025">
        <v>0.45629107157439402</v>
      </c>
      <c r="AG8025">
        <v>0.38604820000000001</v>
      </c>
      <c r="AH8025">
        <v>3.0731971919310301</v>
      </c>
      <c r="AI8025">
        <v>82.916979071121801</v>
      </c>
      <c r="AJ8025">
        <v>81.554741132807806</v>
      </c>
      <c r="AK8025">
        <v>3.13077877455666</v>
      </c>
      <c r="AL8025">
        <v>63.209682844740399</v>
      </c>
      <c r="AM8025">
        <v>83.859170775564294</v>
      </c>
      <c r="AN8025">
        <v>1.0000000233836199</v>
      </c>
    </row>
    <row r="8026" spans="1:40" x14ac:dyDescent="0.25">
      <c r="A8026" t="str">
        <f>"20190304165039584"</f>
        <v>20190304165039584</v>
      </c>
      <c r="B8026" t="str">
        <f>"1551689439573906"</f>
        <v>1551689439573906</v>
      </c>
      <c r="C8026" t="s">
        <v>40</v>
      </c>
      <c r="D8026">
        <v>4.9255639999999996</v>
      </c>
      <c r="E8026">
        <v>0.52855629999999998</v>
      </c>
      <c r="F8026" t="s">
        <v>60</v>
      </c>
      <c r="G8026">
        <v>0</v>
      </c>
      <c r="H8026">
        <v>0</v>
      </c>
      <c r="I8026">
        <v>0</v>
      </c>
      <c r="J8026">
        <v>-168.22989999999999</v>
      </c>
      <c r="K8026">
        <v>1.10948</v>
      </c>
      <c r="L8026">
        <v>137.5181</v>
      </c>
      <c r="M8026">
        <v>0.98647560000000001</v>
      </c>
      <c r="N8026">
        <v>-1.3494539999999999E-2</v>
      </c>
      <c r="O8026">
        <v>0.16335160000000001</v>
      </c>
      <c r="P8026">
        <v>0.89689249999999998</v>
      </c>
      <c r="Q8026">
        <v>0.43846760000000001</v>
      </c>
      <c r="R8026">
        <v>5.770716E-2</v>
      </c>
      <c r="S8026">
        <v>3.1872410000000002</v>
      </c>
      <c r="T8026">
        <v>0.31860149999999998</v>
      </c>
      <c r="U8026">
        <v>4.5211790000000002E-2</v>
      </c>
      <c r="V8026">
        <v>9.1835710000000001E-2</v>
      </c>
      <c r="W8026">
        <v>0.45004339999999998</v>
      </c>
      <c r="X8026">
        <v>0.88827199999999995</v>
      </c>
      <c r="Y8026">
        <v>0.147678</v>
      </c>
      <c r="Z8026">
        <v>2.4797469999999999E-2</v>
      </c>
      <c r="AA8026">
        <v>0.98872459999999995</v>
      </c>
      <c r="AB8026">
        <v>17</v>
      </c>
      <c r="AC8026">
        <v>3.1872410000000002</v>
      </c>
      <c r="AD8026">
        <v>0.31860149999999998</v>
      </c>
      <c r="AE8026">
        <v>4.5211790000000002E-2</v>
      </c>
      <c r="AF8026">
        <v>0.47137477499552499</v>
      </c>
      <c r="AG8026">
        <v>0.31860149999999998</v>
      </c>
      <c r="AH8026">
        <v>3.1206319098861801</v>
      </c>
      <c r="AI8026">
        <v>84.235518543118005</v>
      </c>
      <c r="AJ8026">
        <v>81.410347044047199</v>
      </c>
      <c r="AK8026">
        <v>3.1720726049862402</v>
      </c>
      <c r="AL8026">
        <v>63.2535315962105</v>
      </c>
      <c r="AM8026">
        <v>84.097336875418307</v>
      </c>
      <c r="AN8026">
        <v>1.0000000027493801</v>
      </c>
    </row>
    <row r="8027" spans="1:40" x14ac:dyDescent="0.25">
      <c r="A8027" t="str">
        <f>"20190304165039602"</f>
        <v>20190304165039602</v>
      </c>
      <c r="B8027" t="str">
        <f>"1551689439593427"</f>
        <v>1551689439593427</v>
      </c>
      <c r="C8027" t="s">
        <v>40</v>
      </c>
      <c r="D8027">
        <v>4.9218330000000003</v>
      </c>
      <c r="E8027">
        <v>0.52858490000000002</v>
      </c>
      <c r="F8027" t="s">
        <v>60</v>
      </c>
      <c r="G8027">
        <v>0</v>
      </c>
      <c r="H8027">
        <v>0</v>
      </c>
      <c r="I8027">
        <v>0</v>
      </c>
      <c r="J8027">
        <v>-168.0967</v>
      </c>
      <c r="K8027">
        <v>1.1095060000000001</v>
      </c>
      <c r="L8027">
        <v>137.5361</v>
      </c>
      <c r="M8027">
        <v>0.98702619999999996</v>
      </c>
      <c r="N8027">
        <v>-1.3484889999999999E-2</v>
      </c>
      <c r="O8027">
        <v>0.15999240000000001</v>
      </c>
      <c r="P8027">
        <v>0.8971616</v>
      </c>
      <c r="Q8027">
        <v>0.43806830000000002</v>
      </c>
      <c r="R8027">
        <v>5.6543820000000002E-2</v>
      </c>
      <c r="S8027">
        <v>3.1917879999999998</v>
      </c>
      <c r="T8027">
        <v>0.30712990000000001</v>
      </c>
      <c r="U8027">
        <v>4.5761110000000001E-2</v>
      </c>
      <c r="V8027">
        <v>8.9948330000000007E-2</v>
      </c>
      <c r="W8027">
        <v>0.44965620000000001</v>
      </c>
      <c r="X8027">
        <v>0.88866109999999898</v>
      </c>
      <c r="Y8027">
        <v>0.14431150000000001</v>
      </c>
      <c r="Z8027">
        <v>2.341594E-2</v>
      </c>
      <c r="AA8027">
        <v>0.9892552</v>
      </c>
      <c r="AB8027">
        <v>17</v>
      </c>
      <c r="AC8027">
        <v>3.1917879999999998</v>
      </c>
      <c r="AD8027">
        <v>0.30712990000000001</v>
      </c>
      <c r="AE8027">
        <v>4.5761110000000001E-2</v>
      </c>
      <c r="AF8027">
        <v>0.46126659865210501</v>
      </c>
      <c r="AG8027">
        <v>0.30712990000000001</v>
      </c>
      <c r="AH8027">
        <v>3.1290202986511599</v>
      </c>
      <c r="AI8027">
        <v>84.453634773870107</v>
      </c>
      <c r="AJ8027">
        <v>81.614102365041603</v>
      </c>
      <c r="AK8027">
        <v>3.17771359311645</v>
      </c>
      <c r="AL8027">
        <v>63.278371052181903</v>
      </c>
      <c r="AM8027">
        <v>84.220330720759193</v>
      </c>
      <c r="AN8027">
        <v>0.99999997546071895</v>
      </c>
    </row>
    <row r="8028" spans="1:40" x14ac:dyDescent="0.25">
      <c r="A8028" t="str">
        <f>"20190304165039616"</f>
        <v>20190304165039616</v>
      </c>
      <c r="B8028" t="str">
        <f>"1551689439613923"</f>
        <v>1551689439613923</v>
      </c>
      <c r="C8028" t="s">
        <v>40</v>
      </c>
      <c r="D8028">
        <v>4.9320360000000001</v>
      </c>
      <c r="E8028">
        <v>0.52889909999999996</v>
      </c>
      <c r="F8028" t="s">
        <v>60</v>
      </c>
      <c r="G8028">
        <v>0</v>
      </c>
      <c r="H8028">
        <v>0</v>
      </c>
      <c r="I8028">
        <v>0</v>
      </c>
      <c r="J8028">
        <v>-167.98429999999999</v>
      </c>
      <c r="K8028">
        <v>1.1095299999999999</v>
      </c>
      <c r="L8028">
        <v>137.55099999999999</v>
      </c>
      <c r="M8028">
        <v>0.98747750000000001</v>
      </c>
      <c r="N8028">
        <v>-1.3474740000000001E-2</v>
      </c>
      <c r="O8028">
        <v>0.15718360000000001</v>
      </c>
      <c r="P8028">
        <v>0.8973101</v>
      </c>
      <c r="Q8028">
        <v>0.43781989999999998</v>
      </c>
      <c r="R8028">
        <v>5.6109239999999998E-2</v>
      </c>
      <c r="S8028">
        <v>3.1942900000000001</v>
      </c>
      <c r="T8028">
        <v>0.30092000000000002</v>
      </c>
      <c r="U8028">
        <v>4.1839599999999998E-2</v>
      </c>
      <c r="V8028">
        <v>8.7824959999999994E-2</v>
      </c>
      <c r="W8028">
        <v>0.44941910000000002</v>
      </c>
      <c r="X8028">
        <v>0.88899340000000004</v>
      </c>
      <c r="Y8028">
        <v>0.14280409999999999</v>
      </c>
      <c r="Z8028">
        <v>2.259127E-2</v>
      </c>
      <c r="AA8028">
        <v>0.98949310000000001</v>
      </c>
      <c r="AB8028">
        <v>17</v>
      </c>
      <c r="AC8028">
        <v>3.1942900000000001</v>
      </c>
      <c r="AD8028">
        <v>0.30092000000000002</v>
      </c>
      <c r="AE8028">
        <v>4.1839599999999998E-2</v>
      </c>
      <c r="AF8028">
        <v>0.45676322086000698</v>
      </c>
      <c r="AG8028">
        <v>0.30092000000000002</v>
      </c>
      <c r="AH8028">
        <v>3.1333501386640199</v>
      </c>
      <c r="AI8028">
        <v>84.571293850858495</v>
      </c>
      <c r="AJ8028">
        <v>81.706143746579798</v>
      </c>
      <c r="AK8028">
        <v>3.1807339684098501</v>
      </c>
      <c r="AL8028">
        <v>63.293580118160698</v>
      </c>
      <c r="AM8028">
        <v>84.357973428479198</v>
      </c>
      <c r="AN8028">
        <v>1.00000000814368</v>
      </c>
    </row>
    <row r="8029" spans="1:40" x14ac:dyDescent="0.25">
      <c r="A8029" t="str">
        <f>"20190304165039630"</f>
        <v>20190304165039630</v>
      </c>
      <c r="B8029" t="str">
        <f>"1551689439623682"</f>
        <v>1551689439623682</v>
      </c>
      <c r="C8029" t="s">
        <v>40</v>
      </c>
      <c r="D8029">
        <v>4.9305430000000001</v>
      </c>
      <c r="E8029">
        <v>0.52915159999999895</v>
      </c>
      <c r="F8029" t="s">
        <v>60</v>
      </c>
      <c r="G8029">
        <v>0</v>
      </c>
      <c r="H8029">
        <v>0</v>
      </c>
      <c r="I8029">
        <v>0</v>
      </c>
      <c r="J8029">
        <v>-167.8768</v>
      </c>
      <c r="K8029">
        <v>1.1095440000000001</v>
      </c>
      <c r="L8029">
        <v>137.56489999999999</v>
      </c>
      <c r="M8029">
        <v>0.98789579999999999</v>
      </c>
      <c r="N8029">
        <v>-1.346223E-2</v>
      </c>
      <c r="O8029">
        <v>0.15453349999999999</v>
      </c>
      <c r="P8029">
        <v>0.89719950000000004</v>
      </c>
      <c r="Q8029">
        <v>0.43791849999999999</v>
      </c>
      <c r="R8029">
        <v>5.7102670000000001E-2</v>
      </c>
      <c r="S8029">
        <v>3.1961979999999999</v>
      </c>
      <c r="T8029">
        <v>0.29669849999999998</v>
      </c>
      <c r="U8029">
        <v>3.77655E-2</v>
      </c>
      <c r="V8029">
        <v>8.4395999999999999E-2</v>
      </c>
      <c r="W8029">
        <v>0.44953189999999998</v>
      </c>
      <c r="X8029">
        <v>0.88926849999999902</v>
      </c>
      <c r="Y8029">
        <v>0.1414773</v>
      </c>
      <c r="Z8029">
        <v>2.1947419999999999E-2</v>
      </c>
      <c r="AA8029">
        <v>0.98969819999999997</v>
      </c>
      <c r="AB8029">
        <v>17</v>
      </c>
      <c r="AC8029">
        <v>3.1961979999999999</v>
      </c>
      <c r="AD8029">
        <v>0.29669849999999998</v>
      </c>
      <c r="AE8029">
        <v>3.77655E-2</v>
      </c>
      <c r="AF8029">
        <v>0.45275179616487798</v>
      </c>
      <c r="AG8029">
        <v>0.29669849999999998</v>
      </c>
      <c r="AH8029">
        <v>3.1366085542432001</v>
      </c>
      <c r="AI8029">
        <v>84.6514538918331</v>
      </c>
      <c r="AJ8029">
        <v>81.786407299613501</v>
      </c>
      <c r="AK8029">
        <v>3.1829746168300499</v>
      </c>
      <c r="AL8029">
        <v>63.286346032193698</v>
      </c>
      <c r="AM8029">
        <v>84.578583687732703</v>
      </c>
      <c r="AN8029">
        <v>1.00000003951292</v>
      </c>
    </row>
    <row r="8030" spans="1:40" x14ac:dyDescent="0.25">
      <c r="A8030" t="str">
        <f>"20190304165039651"</f>
        <v>20190304165039651</v>
      </c>
      <c r="B8030" t="str">
        <f>"1551689439643202"</f>
        <v>1551689439643202</v>
      </c>
      <c r="C8030" t="s">
        <v>40</v>
      </c>
      <c r="D8030">
        <v>4.9330930000000004</v>
      </c>
      <c r="E8030">
        <v>0.52953660000000002</v>
      </c>
      <c r="F8030" t="s">
        <v>60</v>
      </c>
      <c r="G8030">
        <v>0</v>
      </c>
      <c r="H8030">
        <v>0</v>
      </c>
      <c r="I8030">
        <v>0</v>
      </c>
      <c r="J8030">
        <v>-167.71420000000001</v>
      </c>
      <c r="K8030">
        <v>1.109586</v>
      </c>
      <c r="L8030">
        <v>137.5855</v>
      </c>
      <c r="M8030">
        <v>0.98850819999999995</v>
      </c>
      <c r="N8030">
        <v>-1.3442809999999999E-2</v>
      </c>
      <c r="O8030">
        <v>0.1505687</v>
      </c>
      <c r="P8030">
        <v>0.89706790000000003</v>
      </c>
      <c r="Q8030">
        <v>0.43829210000000002</v>
      </c>
      <c r="R8030">
        <v>5.6298250000000001E-2</v>
      </c>
      <c r="S8030">
        <v>3.1962130000000002</v>
      </c>
      <c r="T8030">
        <v>0.29723290000000002</v>
      </c>
      <c r="U8030">
        <v>3.846741E-2</v>
      </c>
      <c r="V8030">
        <v>8.1538009999999994E-2</v>
      </c>
      <c r="W8030">
        <v>0.44991049999999999</v>
      </c>
      <c r="X8030">
        <v>0.88934360000000001</v>
      </c>
      <c r="Y8030">
        <v>0.13732059999999999</v>
      </c>
      <c r="Z8030">
        <v>2.1399950000000001E-2</v>
      </c>
      <c r="AA8030">
        <v>0.9902955</v>
      </c>
      <c r="AB8030">
        <v>17</v>
      </c>
      <c r="AC8030">
        <v>3.1962130000000002</v>
      </c>
      <c r="AD8030">
        <v>0.29723290000000002</v>
      </c>
      <c r="AE8030">
        <v>3.846741E-2</v>
      </c>
      <c r="AF8030">
        <v>0.43946432061408103</v>
      </c>
      <c r="AG8030">
        <v>0.29723290000000002</v>
      </c>
      <c r="AH8030">
        <v>3.1384230512239202</v>
      </c>
      <c r="AI8030">
        <v>84.641751894056299</v>
      </c>
      <c r="AJ8030">
        <v>82.028865988717897</v>
      </c>
      <c r="AK8030">
        <v>3.1829507590267299</v>
      </c>
      <c r="AL8030">
        <v>63.262057322173803</v>
      </c>
      <c r="AM8030">
        <v>84.761575411393807</v>
      </c>
      <c r="AN8030">
        <v>0.99999997197298396</v>
      </c>
    </row>
    <row r="8031" spans="1:40" x14ac:dyDescent="0.25">
      <c r="A8031" t="str">
        <f>"20190304165039669"</f>
        <v>20190304165039669</v>
      </c>
      <c r="B8031" t="str">
        <f>"1551689439663699"</f>
        <v>1551689439663699</v>
      </c>
      <c r="C8031" t="s">
        <v>40</v>
      </c>
      <c r="D8031">
        <v>4.9439500000000001</v>
      </c>
      <c r="E8031">
        <v>0.52962399999999998</v>
      </c>
      <c r="F8031" t="s">
        <v>60</v>
      </c>
      <c r="G8031">
        <v>0</v>
      </c>
      <c r="H8031">
        <v>0</v>
      </c>
      <c r="I8031">
        <v>0</v>
      </c>
      <c r="J8031">
        <v>-167.5771</v>
      </c>
      <c r="K8031">
        <v>1.109618</v>
      </c>
      <c r="L8031">
        <v>137.60239999999999</v>
      </c>
      <c r="M8031">
        <v>0.98900529999999998</v>
      </c>
      <c r="N8031">
        <v>-1.3427740000000001E-2</v>
      </c>
      <c r="O8031">
        <v>0.14727009999999999</v>
      </c>
      <c r="P8031">
        <v>0.89708269999999901</v>
      </c>
      <c r="Q8031">
        <v>0.4384826</v>
      </c>
      <c r="R8031">
        <v>5.4551479999999999E-2</v>
      </c>
      <c r="S8031">
        <v>3.1962280000000001</v>
      </c>
      <c r="T8031">
        <v>0.29872789999999999</v>
      </c>
      <c r="U8031">
        <v>3.2577509999999997E-2</v>
      </c>
      <c r="V8031">
        <v>8.0247319999999997E-2</v>
      </c>
      <c r="W8031">
        <v>0.4500999</v>
      </c>
      <c r="X8031">
        <v>0.88936519999999997</v>
      </c>
      <c r="Y8031">
        <v>0.13585239999999901</v>
      </c>
      <c r="Z8031">
        <v>2.1092820000000002E-2</v>
      </c>
      <c r="AA8031">
        <v>0.99050450000000001</v>
      </c>
      <c r="AB8031">
        <v>17</v>
      </c>
      <c r="AC8031">
        <v>3.1962280000000001</v>
      </c>
      <c r="AD8031">
        <v>0.29872789999999999</v>
      </c>
      <c r="AE8031">
        <v>3.2577509999999997E-2</v>
      </c>
      <c r="AF8031">
        <v>0.43473186062379199</v>
      </c>
      <c r="AG8031">
        <v>0.29872789999999999</v>
      </c>
      <c r="AH8031">
        <v>3.13875414722885</v>
      </c>
      <c r="AI8031">
        <v>84.614410615869502</v>
      </c>
      <c r="AJ8031">
        <v>82.114440348503095</v>
      </c>
      <c r="AK8031">
        <v>3.1827673093749902</v>
      </c>
      <c r="AL8031">
        <v>63.249906552679199</v>
      </c>
      <c r="AM8031">
        <v>84.844170083689207</v>
      </c>
      <c r="AN8031">
        <v>1.0000000056591101</v>
      </c>
    </row>
    <row r="8032" spans="1:40" x14ac:dyDescent="0.25">
      <c r="A8032" t="str">
        <f>"20190304165039685"</f>
        <v>20190304165039685</v>
      </c>
      <c r="B8032" t="str">
        <f>"1551689439673459"</f>
        <v>1551689439673459</v>
      </c>
      <c r="C8032" t="s">
        <v>40</v>
      </c>
      <c r="D8032">
        <v>4.9407350000000001</v>
      </c>
      <c r="E8032">
        <v>0.52961309999999995</v>
      </c>
      <c r="F8032" t="s">
        <v>60</v>
      </c>
      <c r="G8032">
        <v>0</v>
      </c>
      <c r="H8032">
        <v>0</v>
      </c>
      <c r="I8032">
        <v>0</v>
      </c>
      <c r="J8032">
        <v>-167.45500000000001</v>
      </c>
      <c r="K8032">
        <v>1.1096410000000001</v>
      </c>
      <c r="L8032">
        <v>137.61699999999999</v>
      </c>
      <c r="M8032">
        <v>0.98943400000000004</v>
      </c>
      <c r="N8032">
        <v>-1.3415659999999999E-2</v>
      </c>
      <c r="O8032">
        <v>0.14436260000000001</v>
      </c>
      <c r="P8032">
        <v>0.89701129999999996</v>
      </c>
      <c r="Q8032">
        <v>0.43877189999999999</v>
      </c>
      <c r="R8032">
        <v>5.338536E-2</v>
      </c>
      <c r="S8032">
        <v>3.1969150000000002</v>
      </c>
      <c r="T8032">
        <v>0.29810619999999999</v>
      </c>
      <c r="U8032">
        <v>2.5848389999999999E-2</v>
      </c>
      <c r="V8032">
        <v>7.8732629999999998E-2</v>
      </c>
      <c r="W8032">
        <v>0.45039000000000001</v>
      </c>
      <c r="X8032">
        <v>0.88935379999999997</v>
      </c>
      <c r="Y8032">
        <v>0.13505309999999901</v>
      </c>
      <c r="Z8032">
        <v>2.0707489999999999E-2</v>
      </c>
      <c r="AA8032">
        <v>0.990622</v>
      </c>
      <c r="AB8032">
        <v>17</v>
      </c>
      <c r="AC8032">
        <v>3.1969150000000002</v>
      </c>
      <c r="AD8032">
        <v>0.29810619999999999</v>
      </c>
      <c r="AE8032">
        <v>2.5848389999999999E-2</v>
      </c>
      <c r="AF8032">
        <v>0.43222087801657399</v>
      </c>
      <c r="AG8032">
        <v>0.29810619999999999</v>
      </c>
      <c r="AH8032">
        <v>3.1398527958728599</v>
      </c>
      <c r="AI8032">
        <v>84.626808850488501</v>
      </c>
      <c r="AJ8032">
        <v>82.162128075336398</v>
      </c>
      <c r="AK8032">
        <v>3.1834506080073601</v>
      </c>
      <c r="AL8032">
        <v>63.231293624627398</v>
      </c>
      <c r="AM8032">
        <v>84.940913424789599</v>
      </c>
      <c r="AN8032">
        <v>1.00000008035057</v>
      </c>
    </row>
    <row r="8033" spans="1:40" x14ac:dyDescent="0.25">
      <c r="A8033" t="str">
        <f>"20190304165039699"</f>
        <v>20190304165039699</v>
      </c>
      <c r="B8033" t="str">
        <f>"1551689439693955"</f>
        <v>1551689439693955</v>
      </c>
      <c r="C8033" t="s">
        <v>40</v>
      </c>
      <c r="D8033">
        <v>4.9438690000000003</v>
      </c>
      <c r="E8033">
        <v>0.52970709999999999</v>
      </c>
      <c r="F8033" t="s">
        <v>60</v>
      </c>
      <c r="G8033">
        <v>0</v>
      </c>
      <c r="H8033">
        <v>0</v>
      </c>
      <c r="I8033">
        <v>0</v>
      </c>
      <c r="J8033">
        <v>-167.3458</v>
      </c>
      <c r="K8033">
        <v>1.1096649999999999</v>
      </c>
      <c r="L8033">
        <v>137.62989999999999</v>
      </c>
      <c r="M8033">
        <v>0.98980769999999996</v>
      </c>
      <c r="N8033">
        <v>-1.3405490000000001E-2</v>
      </c>
      <c r="O8033">
        <v>0.1417783</v>
      </c>
      <c r="P8033">
        <v>0.89688299999999999</v>
      </c>
      <c r="Q8033">
        <v>0.43898920000000002</v>
      </c>
      <c r="R8033">
        <v>5.3756890000000002E-2</v>
      </c>
      <c r="S8033">
        <v>3.197235</v>
      </c>
      <c r="T8033">
        <v>0.29830790000000001</v>
      </c>
      <c r="U8033">
        <v>2.1759029999999999E-2</v>
      </c>
      <c r="V8033">
        <v>7.5987079999999999E-2</v>
      </c>
      <c r="W8033">
        <v>0.45061600000000002</v>
      </c>
      <c r="X8033">
        <v>0.88947799999999999</v>
      </c>
      <c r="Y8033">
        <v>0.1337517</v>
      </c>
      <c r="Z8033">
        <v>2.0393040000000001E-2</v>
      </c>
      <c r="AA8033">
        <v>0.99080500000000005</v>
      </c>
      <c r="AB8033">
        <v>17</v>
      </c>
      <c r="AC8033">
        <v>3.197235</v>
      </c>
      <c r="AD8033">
        <v>0.29830790000000001</v>
      </c>
      <c r="AE8033">
        <v>2.1759029999999999E-2</v>
      </c>
      <c r="AF8033">
        <v>0.42807376237787198</v>
      </c>
      <c r="AG8033">
        <v>0.29830790000000001</v>
      </c>
      <c r="AH8033">
        <v>3.1406782599621099</v>
      </c>
      <c r="AI8033">
        <v>84.62362467957</v>
      </c>
      <c r="AJ8033">
        <v>82.238425804407299</v>
      </c>
      <c r="AK8033">
        <v>3.1837233990781</v>
      </c>
      <c r="AL8033">
        <v>63.216786221413102</v>
      </c>
      <c r="AM8033">
        <v>85.117143093251997</v>
      </c>
      <c r="AN8033">
        <v>0.99999996413346204</v>
      </c>
    </row>
    <row r="8034" spans="1:40" x14ac:dyDescent="0.25">
      <c r="A8034" t="str">
        <f>"20190304165039720"</f>
        <v>20190304165039720</v>
      </c>
      <c r="B8034" t="str">
        <f>"1551689439713474"</f>
        <v>1551689439713474</v>
      </c>
      <c r="C8034" t="s">
        <v>40</v>
      </c>
      <c r="D8034">
        <v>4.9185019999999904</v>
      </c>
      <c r="E8034">
        <v>0.52978119999999995</v>
      </c>
      <c r="F8034" t="s">
        <v>60</v>
      </c>
      <c r="G8034">
        <v>0</v>
      </c>
      <c r="H8034">
        <v>0</v>
      </c>
      <c r="I8034">
        <v>0</v>
      </c>
      <c r="J8034">
        <v>-167.1865</v>
      </c>
      <c r="K8034">
        <v>1.109688</v>
      </c>
      <c r="L8034">
        <v>137.6481</v>
      </c>
      <c r="M8034">
        <v>0.99033559999999998</v>
      </c>
      <c r="N8034">
        <v>-1.3390010000000001E-2</v>
      </c>
      <c r="O8034">
        <v>0.13804379999999999</v>
      </c>
      <c r="P8034">
        <v>0.89661360000000001</v>
      </c>
      <c r="Q8034">
        <v>0.4394808</v>
      </c>
      <c r="R8034">
        <v>5.4228100000000001E-2</v>
      </c>
      <c r="S8034">
        <v>3.197403</v>
      </c>
      <c r="T8034">
        <v>0.29864849999999998</v>
      </c>
      <c r="U8034">
        <v>2.2003169999999999E-2</v>
      </c>
      <c r="V8034">
        <v>7.2081919999999994E-2</v>
      </c>
      <c r="W8034">
        <v>0.45111610000000002</v>
      </c>
      <c r="X8034">
        <v>0.88954959999999905</v>
      </c>
      <c r="Y8034">
        <v>0.12997049999999999</v>
      </c>
      <c r="Z8034">
        <v>1.9866399999999999E-2</v>
      </c>
      <c r="AA8034">
        <v>0.99131879999999994</v>
      </c>
      <c r="AB8034">
        <v>17</v>
      </c>
      <c r="AC8034">
        <v>3.197403</v>
      </c>
      <c r="AD8034">
        <v>0.29864849999999998</v>
      </c>
      <c r="AE8034">
        <v>2.2003169999999999E-2</v>
      </c>
      <c r="AF8034">
        <v>0.41599966592332099</v>
      </c>
      <c r="AG8034">
        <v>0.29864849999999998</v>
      </c>
      <c r="AH8034">
        <v>3.1424098873252202</v>
      </c>
      <c r="AI8034">
        <v>84.617705451555807</v>
      </c>
      <c r="AJ8034">
        <v>82.458897792004706</v>
      </c>
      <c r="AK8034">
        <v>3.1838634626126501</v>
      </c>
      <c r="AL8034">
        <v>63.1846860883768</v>
      </c>
      <c r="AM8034">
        <v>85.367334399616894</v>
      </c>
      <c r="AN8034">
        <v>1.00000001486512</v>
      </c>
    </row>
    <row r="8035" spans="1:40" x14ac:dyDescent="0.25">
      <c r="A8035" t="str">
        <f>"20190304165039741"</f>
        <v>20190304165039741</v>
      </c>
      <c r="B8035" t="str">
        <f>"1551689439733970"</f>
        <v>1551689439733970</v>
      </c>
      <c r="C8035" t="s">
        <v>40</v>
      </c>
      <c r="D8035">
        <v>5.1537649999999999</v>
      </c>
      <c r="E8035">
        <v>0.52974409999999905</v>
      </c>
      <c r="F8035" t="s">
        <v>60</v>
      </c>
      <c r="G8035">
        <v>0</v>
      </c>
      <c r="H8035">
        <v>0</v>
      </c>
      <c r="I8035">
        <v>0</v>
      </c>
      <c r="J8035">
        <v>-167.0248</v>
      </c>
      <c r="K8035">
        <v>1.109699</v>
      </c>
      <c r="L8035">
        <v>137.6661</v>
      </c>
      <c r="M8035">
        <v>0.99085369999999995</v>
      </c>
      <c r="N8035">
        <v>-1.3369850000000001E-2</v>
      </c>
      <c r="O8035">
        <v>0.13427639999999999</v>
      </c>
      <c r="P8035">
        <v>0.89650110000000005</v>
      </c>
      <c r="Q8035">
        <v>0.43996669999999999</v>
      </c>
      <c r="R8035">
        <v>5.2105930000000002E-2</v>
      </c>
      <c r="S8035">
        <v>3.1970670000000001</v>
      </c>
      <c r="T8035">
        <v>0.30096590000000001</v>
      </c>
      <c r="U8035">
        <v>2.1682739999999999E-2</v>
      </c>
      <c r="V8035">
        <v>7.0748720000000001E-2</v>
      </c>
      <c r="W8035">
        <v>0.45159100000000002</v>
      </c>
      <c r="X8035">
        <v>0.88941569999999903</v>
      </c>
      <c r="Y8035">
        <v>0.12631439999999999</v>
      </c>
      <c r="Z8035">
        <v>1.9463669999999999E-2</v>
      </c>
      <c r="AA8035">
        <v>0.99179930000000005</v>
      </c>
      <c r="AB8035">
        <v>17</v>
      </c>
      <c r="AC8035">
        <v>3.1970670000000001</v>
      </c>
      <c r="AD8035">
        <v>0.30096590000000001</v>
      </c>
      <c r="AE8035">
        <v>2.1682739999999999E-2</v>
      </c>
      <c r="AF8035">
        <v>0.40426030087148201</v>
      </c>
      <c r="AG8035">
        <v>0.30096590000000001</v>
      </c>
      <c r="AH8035">
        <v>3.1431672123287302</v>
      </c>
      <c r="AI8035">
        <v>84.574882170390794</v>
      </c>
      <c r="AJ8035">
        <v>82.671104319567704</v>
      </c>
      <c r="AK8035">
        <v>3.1833169789516602</v>
      </c>
      <c r="AL8035">
        <v>63.154194687341104</v>
      </c>
      <c r="AM8035">
        <v>85.451973987321907</v>
      </c>
      <c r="AN8035">
        <v>1.0000000500345601</v>
      </c>
    </row>
    <row r="8036" spans="1:40" x14ac:dyDescent="0.25">
      <c r="A8036" t="str">
        <f>"20190304165039764"</f>
        <v>20190304165039764</v>
      </c>
      <c r="B8036" t="str">
        <f>"1551689439753490"</f>
        <v>1551689439753490</v>
      </c>
      <c r="C8036" t="s">
        <v>40</v>
      </c>
      <c r="D8036">
        <v>4.9484729999999999</v>
      </c>
      <c r="E8036">
        <v>0.52973680000000001</v>
      </c>
      <c r="F8036" t="s">
        <v>60</v>
      </c>
      <c r="G8036">
        <v>0</v>
      </c>
      <c r="H8036">
        <v>0</v>
      </c>
      <c r="I8036">
        <v>0</v>
      </c>
      <c r="J8036">
        <v>-166.85290000000001</v>
      </c>
      <c r="K8036">
        <v>1.109707</v>
      </c>
      <c r="L8036">
        <v>137.68450000000001</v>
      </c>
      <c r="M8036">
        <v>0.99138610000000005</v>
      </c>
      <c r="N8036">
        <v>-1.334577E-2</v>
      </c>
      <c r="O8036">
        <v>0.13029109999999999</v>
      </c>
      <c r="P8036">
        <v>0.8964896</v>
      </c>
      <c r="Q8036">
        <v>0.44033099999999997</v>
      </c>
      <c r="R8036">
        <v>4.914487E-2</v>
      </c>
      <c r="S8036">
        <v>3.1971590000000001</v>
      </c>
      <c r="T8036">
        <v>0.30235590000000001</v>
      </c>
      <c r="U8036">
        <v>1.4114379999999999E-2</v>
      </c>
      <c r="V8036">
        <v>7.0074639999999994E-2</v>
      </c>
      <c r="W8036">
        <v>0.45193640000000002</v>
      </c>
      <c r="X8036">
        <v>0.88929360000000002</v>
      </c>
      <c r="Y8036">
        <v>0.12469230000000001</v>
      </c>
      <c r="Z8036">
        <v>1.905449E-2</v>
      </c>
      <c r="AA8036">
        <v>0.99201249999999996</v>
      </c>
      <c r="AB8036">
        <v>17</v>
      </c>
      <c r="AC8036">
        <v>3.1971590000000001</v>
      </c>
      <c r="AD8036">
        <v>0.30235590000000001</v>
      </c>
      <c r="AE8036">
        <v>1.4114379999999999E-2</v>
      </c>
      <c r="AF8036">
        <v>0.39903564871618502</v>
      </c>
      <c r="AG8036">
        <v>0.30235590000000001</v>
      </c>
      <c r="AH8036">
        <v>3.1436254723235502</v>
      </c>
      <c r="AI8036">
        <v>84.549622029452095</v>
      </c>
      <c r="AJ8036">
        <v>82.765856174748393</v>
      </c>
      <c r="AK8036">
        <v>3.18324200296688</v>
      </c>
      <c r="AL8036">
        <v>63.132011644878403</v>
      </c>
      <c r="AM8036">
        <v>85.494511503049594</v>
      </c>
      <c r="AN8036">
        <v>1.0000000359085199</v>
      </c>
    </row>
    <row r="8037" spans="1:40" x14ac:dyDescent="0.25">
      <c r="A8037" t="str">
        <f>"20190304165039785"</f>
        <v>20190304165039785</v>
      </c>
      <c r="B8037" t="str">
        <f>"1551689439773987"</f>
        <v>1551689439773987</v>
      </c>
      <c r="C8037" t="s">
        <v>40</v>
      </c>
      <c r="D8037">
        <v>4.932042</v>
      </c>
      <c r="E8037">
        <v>0.52959869999999898</v>
      </c>
      <c r="F8037" t="s">
        <v>60</v>
      </c>
      <c r="G8037">
        <v>0</v>
      </c>
      <c r="H8037">
        <v>0</v>
      </c>
      <c r="I8037">
        <v>0</v>
      </c>
      <c r="J8037">
        <v>-166.68520000000001</v>
      </c>
      <c r="K8037">
        <v>1.10971</v>
      </c>
      <c r="L8037">
        <v>137.70179999999999</v>
      </c>
      <c r="M8037">
        <v>0.99188799999999999</v>
      </c>
      <c r="N8037">
        <v>-1.3324539999999999E-2</v>
      </c>
      <c r="O8037">
        <v>0.12641450000000001</v>
      </c>
      <c r="P8037">
        <v>0.89610519999999905</v>
      </c>
      <c r="Q8037">
        <v>0.44137700000000002</v>
      </c>
      <c r="R8037">
        <v>4.6709309999999997E-2</v>
      </c>
      <c r="S8037">
        <v>3.1971440000000002</v>
      </c>
      <c r="T8037">
        <v>0.3033788</v>
      </c>
      <c r="U8037">
        <v>4.5471189999999996E-3</v>
      </c>
      <c r="V8037">
        <v>6.8942489999999995E-2</v>
      </c>
      <c r="W8037">
        <v>0.45296340000000002</v>
      </c>
      <c r="X8037">
        <v>0.88885949999999903</v>
      </c>
      <c r="Y8037">
        <v>0.1238006</v>
      </c>
      <c r="Z8037">
        <v>1.8662020000000001E-2</v>
      </c>
      <c r="AA8037">
        <v>0.9921316</v>
      </c>
      <c r="AB8037">
        <v>17</v>
      </c>
      <c r="AC8037">
        <v>3.1971440000000002</v>
      </c>
      <c r="AD8037">
        <v>0.3033788</v>
      </c>
      <c r="AE8037">
        <v>4.5471189999999996E-3</v>
      </c>
      <c r="AF8037">
        <v>0.39612383677436303</v>
      </c>
      <c r="AG8037">
        <v>0.3033788</v>
      </c>
      <c r="AH8037">
        <v>3.14375820239855</v>
      </c>
      <c r="AI8037">
        <v>84.530893625481596</v>
      </c>
      <c r="AJ8037">
        <v>82.818391460748998</v>
      </c>
      <c r="AK8037">
        <v>3.1831067254332601</v>
      </c>
      <c r="AL8037">
        <v>63.066029560948003</v>
      </c>
      <c r="AM8037">
        <v>85.564854868186799</v>
      </c>
      <c r="AN8037">
        <v>1.0000000597036001</v>
      </c>
    </row>
    <row r="8038" spans="1:40" x14ac:dyDescent="0.25">
      <c r="A8038" t="str">
        <f>"20190304165039809"</f>
        <v>20190304165039809</v>
      </c>
      <c r="B8038" t="str">
        <f>"1551689439803266"</f>
        <v>1551689439803266</v>
      </c>
      <c r="C8038" t="s">
        <v>40</v>
      </c>
      <c r="D8038">
        <v>4.9674480000000001</v>
      </c>
      <c r="E8038">
        <v>0.52944019999999903</v>
      </c>
      <c r="F8038" t="s">
        <v>60</v>
      </c>
      <c r="G8038">
        <v>0</v>
      </c>
      <c r="H8038">
        <v>0</v>
      </c>
      <c r="I8038">
        <v>0</v>
      </c>
      <c r="J8038">
        <v>-166.50559999999999</v>
      </c>
      <c r="K8038">
        <v>1.109718</v>
      </c>
      <c r="L8038">
        <v>137.71960000000001</v>
      </c>
      <c r="M8038">
        <v>0.99240700000000004</v>
      </c>
      <c r="N8038">
        <v>-1.330578E-2</v>
      </c>
      <c r="O8038">
        <v>0.12227499999999999</v>
      </c>
      <c r="P8038">
        <v>0.89563859999999995</v>
      </c>
      <c r="Q8038">
        <v>0.4426233</v>
      </c>
      <c r="R8038">
        <v>4.3773260000000001E-2</v>
      </c>
      <c r="S8038">
        <v>3.197098</v>
      </c>
      <c r="T8038">
        <v>0.30624590000000002</v>
      </c>
      <c r="U8038">
        <v>-2.6855469999999999E-3</v>
      </c>
      <c r="V8038">
        <v>6.8067329999999995E-2</v>
      </c>
      <c r="W8038">
        <v>0.45418979999999998</v>
      </c>
      <c r="X8038">
        <v>0.88830089999999995</v>
      </c>
      <c r="Y8038">
        <v>0.1219151</v>
      </c>
      <c r="Z8038">
        <v>1.830275E-2</v>
      </c>
      <c r="AA8038">
        <v>0.99237169999999997</v>
      </c>
      <c r="AB8038">
        <v>17</v>
      </c>
      <c r="AC8038">
        <v>3.197098</v>
      </c>
      <c r="AD8038">
        <v>0.30624590000000002</v>
      </c>
      <c r="AE8038">
        <v>-2.6855469999999999E-3</v>
      </c>
      <c r="AF8038">
        <v>0.39004632585395999</v>
      </c>
      <c r="AG8038">
        <v>0.30624590000000002</v>
      </c>
      <c r="AH8038">
        <v>3.1439281126078402</v>
      </c>
      <c r="AI8038">
        <v>84.478511479975097</v>
      </c>
      <c r="AJ8038">
        <v>82.927828894902404</v>
      </c>
      <c r="AK8038">
        <v>3.1827985586312</v>
      </c>
      <c r="AL8038">
        <v>62.987183716484601</v>
      </c>
      <c r="AM8038">
        <v>85.618191454912704</v>
      </c>
      <c r="AN8038">
        <v>1.00000001238908</v>
      </c>
    </row>
    <row r="8039" spans="1:40" x14ac:dyDescent="0.25">
      <c r="A8039" t="str">
        <f>"20190304165039831"</f>
        <v>20190304165039831</v>
      </c>
      <c r="B8039" t="str">
        <f>"1551689439823763"</f>
        <v>1551689439823763</v>
      </c>
      <c r="C8039" t="s">
        <v>40</v>
      </c>
      <c r="D8039">
        <v>4.9484329999999996</v>
      </c>
      <c r="E8039">
        <v>0.52925500000000003</v>
      </c>
      <c r="F8039" t="s">
        <v>60</v>
      </c>
      <c r="G8039">
        <v>0</v>
      </c>
      <c r="H8039">
        <v>0</v>
      </c>
      <c r="I8039">
        <v>0</v>
      </c>
      <c r="J8039">
        <v>-166.33969999999999</v>
      </c>
      <c r="K8039">
        <v>1.1097319999999999</v>
      </c>
      <c r="L8039">
        <v>137.7355</v>
      </c>
      <c r="M8039">
        <v>0.99287020000000004</v>
      </c>
      <c r="N8039">
        <v>-1.3290089999999999E-2</v>
      </c>
      <c r="O8039">
        <v>0.1184581</v>
      </c>
      <c r="P8039">
        <v>0.89440269999999999</v>
      </c>
      <c r="Q8039">
        <v>0.44543919999999998</v>
      </c>
      <c r="R8039">
        <v>4.0350629999999998E-2</v>
      </c>
      <c r="S8039">
        <v>3.1969449999999999</v>
      </c>
      <c r="T8039">
        <v>0.30994640000000001</v>
      </c>
      <c r="U8039">
        <v>-1.141357E-2</v>
      </c>
      <c r="V8039">
        <v>6.7886810000000006E-2</v>
      </c>
      <c r="W8039">
        <v>0.4569744</v>
      </c>
      <c r="X8039">
        <v>0.88688549999999999</v>
      </c>
      <c r="Y8039">
        <v>0.12080780000000001</v>
      </c>
      <c r="Z8039">
        <v>1.8048979999999999E-2</v>
      </c>
      <c r="AA8039">
        <v>0.99251180000000006</v>
      </c>
      <c r="AB8039">
        <v>17</v>
      </c>
      <c r="AC8039">
        <v>3.1969449999999999</v>
      </c>
      <c r="AD8039">
        <v>0.30994640000000001</v>
      </c>
      <c r="AE8039">
        <v>-1.141357E-2</v>
      </c>
      <c r="AF8039">
        <v>0.38643837306721501</v>
      </c>
      <c r="AG8039">
        <v>0.30994640000000001</v>
      </c>
      <c r="AH8039">
        <v>3.1435322143356301</v>
      </c>
      <c r="AI8039">
        <v>84.410748664832298</v>
      </c>
      <c r="AJ8039">
        <v>82.991719795549798</v>
      </c>
      <c r="AK8039">
        <v>3.1823255913903101</v>
      </c>
      <c r="AL8039">
        <v>62.8079589090529</v>
      </c>
      <c r="AM8039">
        <v>85.622819815913303</v>
      </c>
      <c r="AN8039">
        <v>1.00000005566879</v>
      </c>
    </row>
    <row r="8040" spans="1:40" x14ac:dyDescent="0.25">
      <c r="A8040" t="str">
        <f>"20190304165039853"</f>
        <v>20190304165039853</v>
      </c>
      <c r="B8040" t="str">
        <f>"1551689439843283"</f>
        <v>1551689439843283</v>
      </c>
      <c r="C8040" t="s">
        <v>40</v>
      </c>
      <c r="D8040">
        <v>4.9066549999999998</v>
      </c>
      <c r="E8040">
        <v>0.52904510000000005</v>
      </c>
      <c r="F8040" t="s">
        <v>60</v>
      </c>
      <c r="G8040">
        <v>0</v>
      </c>
      <c r="H8040">
        <v>0</v>
      </c>
      <c r="I8040">
        <v>0</v>
      </c>
      <c r="J8040">
        <v>-166.17320000000001</v>
      </c>
      <c r="K8040">
        <v>1.109758</v>
      </c>
      <c r="L8040">
        <v>137.75069999999999</v>
      </c>
      <c r="M8040">
        <v>0.9933189</v>
      </c>
      <c r="N8040">
        <v>-1.327442E-2</v>
      </c>
      <c r="O8040">
        <v>0.1146364</v>
      </c>
      <c r="P8040">
        <v>0.89162359999999896</v>
      </c>
      <c r="Q8040">
        <v>0.45134679999999999</v>
      </c>
      <c r="R8040">
        <v>3.5967230000000003E-2</v>
      </c>
      <c r="S8040">
        <v>3.1962280000000001</v>
      </c>
      <c r="T8040">
        <v>0.31919370000000002</v>
      </c>
      <c r="U8040">
        <v>-2.21405E-2</v>
      </c>
      <c r="V8040">
        <v>6.8502690000000005E-2</v>
      </c>
      <c r="W8040">
        <v>0.46282640000000003</v>
      </c>
      <c r="X8040">
        <v>0.88379810000000003</v>
      </c>
      <c r="Y8040">
        <v>0.1202762</v>
      </c>
      <c r="Z8040">
        <v>1.8112489999999998E-2</v>
      </c>
      <c r="AA8040">
        <v>0.99257519999999999</v>
      </c>
      <c r="AB8040">
        <v>17</v>
      </c>
      <c r="AC8040">
        <v>3.1962280000000001</v>
      </c>
      <c r="AD8040">
        <v>0.31919370000000002</v>
      </c>
      <c r="AE8040">
        <v>-2.21405E-2</v>
      </c>
      <c r="AF8040">
        <v>0.38459539314239999</v>
      </c>
      <c r="AG8040">
        <v>0.31919370000000002</v>
      </c>
      <c r="AH8040">
        <v>3.1412877830047301</v>
      </c>
      <c r="AI8040">
        <v>84.240666593665296</v>
      </c>
      <c r="AJ8040">
        <v>83.019878668622496</v>
      </c>
      <c r="AK8040">
        <v>3.1807997689576202</v>
      </c>
      <c r="AL8040">
        <v>62.430358798060198</v>
      </c>
      <c r="AM8040">
        <v>85.567898015039304</v>
      </c>
      <c r="AN8040">
        <v>0.99999998831890302</v>
      </c>
    </row>
    <row r="8041" spans="1:40" x14ac:dyDescent="0.25">
      <c r="A8041" t="str">
        <f>"20190304165039875"</f>
        <v>20190304165039875</v>
      </c>
      <c r="B8041" t="str">
        <f>"1551689439863778"</f>
        <v>1551689439863778</v>
      </c>
      <c r="C8041" t="s">
        <v>40</v>
      </c>
      <c r="D8041">
        <v>4.9603429999999999</v>
      </c>
      <c r="E8041">
        <v>0.52895939999999997</v>
      </c>
      <c r="F8041" t="s">
        <v>60</v>
      </c>
      <c r="G8041">
        <v>0</v>
      </c>
      <c r="H8041">
        <v>0</v>
      </c>
      <c r="I8041">
        <v>0</v>
      </c>
      <c r="J8041">
        <v>-166.00219999999999</v>
      </c>
      <c r="K8041">
        <v>1.109793</v>
      </c>
      <c r="L8041">
        <v>137.76570000000001</v>
      </c>
      <c r="M8041">
        <v>0.99376260000000005</v>
      </c>
      <c r="N8041">
        <v>-1.325896E-2</v>
      </c>
      <c r="O8041">
        <v>0.1107259</v>
      </c>
      <c r="P8041">
        <v>0.8880458</v>
      </c>
      <c r="Q8041">
        <v>0.45874470000000001</v>
      </c>
      <c r="R8041">
        <v>3.0461080000000001E-2</v>
      </c>
      <c r="S8041">
        <v>3.1940309999999998</v>
      </c>
      <c r="T8041">
        <v>0.33987919999999999</v>
      </c>
      <c r="U8041">
        <v>-3.5873410000000001E-2</v>
      </c>
      <c r="V8041">
        <v>7.0094429999999999E-2</v>
      </c>
      <c r="W8041">
        <v>0.4701534</v>
      </c>
      <c r="X8041">
        <v>0.87979689999999999</v>
      </c>
      <c r="Y8041">
        <v>0.120506</v>
      </c>
      <c r="Z8041">
        <v>1.8790459999999998E-2</v>
      </c>
      <c r="AA8041">
        <v>0.99253480000000005</v>
      </c>
      <c r="AB8041">
        <v>17</v>
      </c>
      <c r="AC8041">
        <v>3.1940309999999998</v>
      </c>
      <c r="AD8041">
        <v>0.33987919999999999</v>
      </c>
      <c r="AE8041">
        <v>-3.5873410000000001E-2</v>
      </c>
      <c r="AF8041">
        <v>0.38498705686629497</v>
      </c>
      <c r="AG8041">
        <v>0.33987919999999999</v>
      </c>
      <c r="AH8041">
        <v>3.1349219079691202</v>
      </c>
      <c r="AI8041">
        <v>83.858108961784893</v>
      </c>
      <c r="AJ8041">
        <v>82.998792811450002</v>
      </c>
      <c r="AK8041">
        <v>3.17670714319277</v>
      </c>
      <c r="AL8041">
        <v>61.955745996960196</v>
      </c>
      <c r="AM8041">
        <v>85.444801176888205</v>
      </c>
      <c r="AN8041">
        <v>1.0000000169490899</v>
      </c>
    </row>
    <row r="8042" spans="1:40" x14ac:dyDescent="0.25">
      <c r="A8042" t="str">
        <f>"20190304165039899"</f>
        <v>20190304165039899</v>
      </c>
      <c r="B8042" t="str">
        <f>"1551689439894035"</f>
        <v>1551689439894035</v>
      </c>
      <c r="C8042" t="s">
        <v>40</v>
      </c>
      <c r="D8042">
        <v>4.9288239999999996</v>
      </c>
      <c r="E8042">
        <v>0.52508100000000002</v>
      </c>
      <c r="F8042" t="s">
        <v>60</v>
      </c>
      <c r="G8042">
        <v>0</v>
      </c>
      <c r="H8042">
        <v>0</v>
      </c>
      <c r="I8042">
        <v>0</v>
      </c>
      <c r="J8042">
        <v>-165.82470000000001</v>
      </c>
      <c r="K8042">
        <v>1.1098170000000001</v>
      </c>
      <c r="L8042">
        <v>137.78059999999999</v>
      </c>
      <c r="M8042">
        <v>0.99420379999999997</v>
      </c>
      <c r="N8042">
        <v>-1.324475E-2</v>
      </c>
      <c r="O8042">
        <v>0.1066926</v>
      </c>
      <c r="P8042">
        <v>0.88535109999999995</v>
      </c>
      <c r="Q8042">
        <v>0.46419670000000002</v>
      </c>
      <c r="R8042">
        <v>2.5978899999999999E-2</v>
      </c>
      <c r="S8042">
        <v>3.190979</v>
      </c>
      <c r="T8042">
        <v>0.36595630000000001</v>
      </c>
      <c r="U8042">
        <v>-5.2917480000000003E-2</v>
      </c>
      <c r="V8042">
        <v>7.0673319999999998E-2</v>
      </c>
      <c r="W8042">
        <v>0.47555380000000003</v>
      </c>
      <c r="X8042">
        <v>0.87684319999999905</v>
      </c>
      <c r="Y8042">
        <v>0.12160070000000001</v>
      </c>
      <c r="Z8042">
        <v>1.973194E-2</v>
      </c>
      <c r="AA8042">
        <v>0.99238289999999996</v>
      </c>
      <c r="AB8042">
        <v>17</v>
      </c>
      <c r="AC8042">
        <v>3.190979</v>
      </c>
      <c r="AD8042">
        <v>0.36595630000000001</v>
      </c>
      <c r="AE8042">
        <v>-5.2917480000000003E-2</v>
      </c>
      <c r="AF8042">
        <v>0.38799734189840801</v>
      </c>
      <c r="AG8042">
        <v>0.36595630000000001</v>
      </c>
      <c r="AH8042">
        <v>3.1260116817809398</v>
      </c>
      <c r="AI8042">
        <v>83.3732750478963</v>
      </c>
      <c r="AJ8042">
        <v>82.924691873653401</v>
      </c>
      <c r="AK8042">
        <v>3.1711851074103001</v>
      </c>
      <c r="AL8042">
        <v>61.604588033128003</v>
      </c>
      <c r="AM8042">
        <v>85.391937228012296</v>
      </c>
      <c r="AN8042">
        <v>1.0000000661202399</v>
      </c>
    </row>
    <row r="8043" spans="1:40" x14ac:dyDescent="0.25">
      <c r="A8043" t="str">
        <f>"20190304165039921"</f>
        <v>20190304165039921</v>
      </c>
      <c r="B8043" t="str">
        <f>"1551689439913554"</f>
        <v>1551689439913554</v>
      </c>
      <c r="C8043" t="s">
        <v>40</v>
      </c>
      <c r="D8043">
        <v>4.9380040000000003</v>
      </c>
      <c r="E8043">
        <v>0.51320900000000003</v>
      </c>
      <c r="F8043" t="s">
        <v>60</v>
      </c>
      <c r="G8043">
        <v>0</v>
      </c>
      <c r="H8043">
        <v>0</v>
      </c>
      <c r="I8043">
        <v>0</v>
      </c>
      <c r="J8043">
        <v>-165.65639999999999</v>
      </c>
      <c r="K8043">
        <v>1.109839</v>
      </c>
      <c r="L8043">
        <v>137.79399999999899</v>
      </c>
      <c r="M8043">
        <v>0.99460420000000005</v>
      </c>
      <c r="N8043">
        <v>-1.32327E-2</v>
      </c>
      <c r="O8043">
        <v>0.1028961</v>
      </c>
      <c r="P8043">
        <v>0.88394030000000001</v>
      </c>
      <c r="Q8043">
        <v>0.46699279999999999</v>
      </c>
      <c r="R8043">
        <v>2.3817749999999999E-2</v>
      </c>
      <c r="S8043">
        <v>3.2003330000000001</v>
      </c>
      <c r="T8043">
        <v>0.36068519999999998</v>
      </c>
      <c r="U8043">
        <v>-3.2730099999999998E-2</v>
      </c>
      <c r="V8043">
        <v>6.9298059999999995E-2</v>
      </c>
      <c r="W8043">
        <v>0.47832989999999997</v>
      </c>
      <c r="X8043">
        <v>0.87544179999999905</v>
      </c>
      <c r="Y8043">
        <v>0.11163670000000001</v>
      </c>
      <c r="Z8043">
        <v>1.8434389999999998E-2</v>
      </c>
      <c r="AA8043">
        <v>0.99357810000000002</v>
      </c>
      <c r="AB8043">
        <v>17</v>
      </c>
      <c r="AC8043">
        <v>3.2003330000000001</v>
      </c>
      <c r="AD8043">
        <v>0.36068519999999998</v>
      </c>
      <c r="AE8043">
        <v>-3.2730099999999998E-2</v>
      </c>
      <c r="AF8043">
        <v>0.35734841945935503</v>
      </c>
      <c r="AG8043">
        <v>0.36068519999999998</v>
      </c>
      <c r="AH8043">
        <v>3.14009413795387</v>
      </c>
      <c r="AI8043">
        <v>83.489129263078397</v>
      </c>
      <c r="AJ8043">
        <v>83.507567537174694</v>
      </c>
      <c r="AK8043">
        <v>3.1808776935936098</v>
      </c>
      <c r="AL8043">
        <v>61.423619078081202</v>
      </c>
      <c r="AM8043">
        <v>85.474028728716704</v>
      </c>
      <c r="AN8043">
        <v>1.0000000297705001</v>
      </c>
    </row>
    <row r="8044" spans="1:40" x14ac:dyDescent="0.25">
      <c r="A8044" t="str">
        <f>"20190304165039942"</f>
        <v>20190304165039942</v>
      </c>
      <c r="B8044" t="str">
        <f>"1551689439933075"</f>
        <v>1551689439933075</v>
      </c>
      <c r="C8044" t="s">
        <v>40</v>
      </c>
      <c r="D8044">
        <v>4.9538840000000004</v>
      </c>
      <c r="E8044">
        <v>0.50889169999999995</v>
      </c>
      <c r="F8044" t="s">
        <v>60</v>
      </c>
      <c r="G8044">
        <v>0</v>
      </c>
      <c r="H8044">
        <v>0</v>
      </c>
      <c r="I8044">
        <v>0</v>
      </c>
      <c r="J8044">
        <v>-165.4948</v>
      </c>
      <c r="K8044">
        <v>1.1098730000000001</v>
      </c>
      <c r="L8044">
        <v>137.8064</v>
      </c>
      <c r="M8044">
        <v>0.99497210000000003</v>
      </c>
      <c r="N8044">
        <v>-1.3222060000000001E-2</v>
      </c>
      <c r="O8044">
        <v>9.9276610000000001E-2</v>
      </c>
      <c r="P8044">
        <v>0.88228989999999996</v>
      </c>
      <c r="Q8044">
        <v>0.47011360000000002</v>
      </c>
      <c r="R8044">
        <v>2.3614670000000001E-2</v>
      </c>
      <c r="S8044">
        <v>3.080978</v>
      </c>
      <c r="T8044">
        <v>0.59039059999999999</v>
      </c>
      <c r="U8044">
        <v>3.7399290000000002E-2</v>
      </c>
      <c r="V8044">
        <v>6.6121659999999999E-2</v>
      </c>
      <c r="W8044">
        <v>0.48143859999999999</v>
      </c>
      <c r="X8044">
        <v>0.87398209999999998</v>
      </c>
      <c r="Y8044">
        <v>8.3725389999999997E-2</v>
      </c>
      <c r="Z8044">
        <v>2.7518210000000001E-2</v>
      </c>
      <c r="AA8044">
        <v>0.99610880000000002</v>
      </c>
      <c r="AB8044">
        <v>17</v>
      </c>
      <c r="AC8044">
        <v>3.080978</v>
      </c>
      <c r="AD8044">
        <v>0.59039059999999999</v>
      </c>
      <c r="AE8044">
        <v>3.7399290000000002E-2</v>
      </c>
      <c r="AF8044">
        <v>0.25916611246837001</v>
      </c>
      <c r="AG8044">
        <v>0.59039059999999999</v>
      </c>
      <c r="AH8044">
        <v>2.9607650899576399</v>
      </c>
      <c r="AI8044">
        <v>78.764727153876393</v>
      </c>
      <c r="AJ8044">
        <v>84.997450939110493</v>
      </c>
      <c r="AK8044">
        <v>3.0301580903200702</v>
      </c>
      <c r="AL8044">
        <v>61.220597127291597</v>
      </c>
      <c r="AM8044">
        <v>85.6734942074049</v>
      </c>
      <c r="AN8044">
        <v>0.99999995530576102</v>
      </c>
    </row>
    <row r="8045" spans="1:40" x14ac:dyDescent="0.25">
      <c r="A8045" t="str">
        <f>"20190304165039965"</f>
        <v>20190304165039965</v>
      </c>
      <c r="B8045" t="str">
        <f>"1551689439953571"</f>
        <v>1551689439953571</v>
      </c>
      <c r="C8045" t="s">
        <v>40</v>
      </c>
      <c r="D8045">
        <v>4.9054129999999896</v>
      </c>
      <c r="E8045">
        <v>0.4999615</v>
      </c>
      <c r="F8045" t="s">
        <v>60</v>
      </c>
      <c r="G8045">
        <v>0</v>
      </c>
      <c r="H8045">
        <v>0</v>
      </c>
      <c r="I8045">
        <v>0</v>
      </c>
      <c r="J8045">
        <v>-165.32409999999999</v>
      </c>
      <c r="K8045">
        <v>1.1099250000000001</v>
      </c>
      <c r="L8045">
        <v>137.81880000000001</v>
      </c>
      <c r="M8045">
        <v>0.99534350000000005</v>
      </c>
      <c r="N8045">
        <v>-1.3211570000000001E-2</v>
      </c>
      <c r="O8045">
        <v>9.548218E-2</v>
      </c>
      <c r="P8045">
        <v>0.87920109999999996</v>
      </c>
      <c r="Q8045">
        <v>0.47587439999999998</v>
      </c>
      <c r="R8045">
        <v>2.3430369999999999E-2</v>
      </c>
      <c r="S8045">
        <v>2.9969329999999998</v>
      </c>
      <c r="T8045">
        <v>0.75394989999999995</v>
      </c>
      <c r="U8045">
        <v>5.8715820000000002E-2</v>
      </c>
      <c r="V8045">
        <v>6.2656690000000001E-2</v>
      </c>
      <c r="W8045">
        <v>0.48716870000000001</v>
      </c>
      <c r="X8045">
        <v>0.87105730000000003</v>
      </c>
      <c r="Y8045">
        <v>7.060785E-2</v>
      </c>
      <c r="Z8045">
        <v>3.3131229999999998E-2</v>
      </c>
      <c r="AA8045">
        <v>0.9969538</v>
      </c>
      <c r="AB8045">
        <v>17</v>
      </c>
      <c r="AC8045">
        <v>2.9969329999999998</v>
      </c>
      <c r="AD8045">
        <v>0.75394989999999995</v>
      </c>
      <c r="AE8045">
        <v>5.8715820000000002E-2</v>
      </c>
      <c r="AF8045">
        <v>0.21418097158486801</v>
      </c>
      <c r="AG8045">
        <v>0.75394989999999995</v>
      </c>
      <c r="AH8045">
        <v>2.8110062331322698</v>
      </c>
      <c r="AI8045">
        <v>75.0273120613938</v>
      </c>
      <c r="AJ8045">
        <v>85.642841228805395</v>
      </c>
      <c r="AK8045">
        <v>2.9182306253974399</v>
      </c>
      <c r="AL8045">
        <v>60.845342665587097</v>
      </c>
      <c r="AM8045">
        <v>85.885699664701207</v>
      </c>
      <c r="AN8045">
        <v>1.00000001147236</v>
      </c>
    </row>
    <row r="8046" spans="1:40" x14ac:dyDescent="0.25">
      <c r="A8046" t="str">
        <f>"20190304165040031"</f>
        <v>20190304165040031</v>
      </c>
      <c r="B8046" t="str">
        <f>"1551689440023846"</f>
        <v>1551689440023846</v>
      </c>
      <c r="C8046" t="s">
        <v>40</v>
      </c>
      <c r="D8046">
        <v>5.1130750000000003</v>
      </c>
      <c r="E8046">
        <v>0.49901990000000002</v>
      </c>
      <c r="F8046" t="s">
        <v>60</v>
      </c>
      <c r="G8046">
        <v>0</v>
      </c>
      <c r="H8046">
        <v>0</v>
      </c>
      <c r="I8046">
        <v>0</v>
      </c>
      <c r="J8046">
        <v>-164.8168</v>
      </c>
      <c r="K8046">
        <v>1.110066</v>
      </c>
      <c r="L8046">
        <v>137.85220000000001</v>
      </c>
      <c r="M8046">
        <v>0.99634270000000003</v>
      </c>
      <c r="N8046">
        <v>-1.320584E-2</v>
      </c>
      <c r="O8046">
        <v>8.4419999999999995E-2</v>
      </c>
      <c r="P8046">
        <v>0.86519190000000001</v>
      </c>
      <c r="Q8046">
        <v>0.50083069999999996</v>
      </c>
      <c r="R8046">
        <v>2.4728460000000001E-2</v>
      </c>
      <c r="S8046">
        <v>2.7053379999999998</v>
      </c>
      <c r="T8046">
        <v>1.301909</v>
      </c>
      <c r="U8046">
        <v>8.1924440000000001E-2</v>
      </c>
      <c r="V8046">
        <v>5.0451389999999999E-2</v>
      </c>
      <c r="W8046">
        <v>0.51200219999999996</v>
      </c>
      <c r="X8046">
        <v>0.85750130000000002</v>
      </c>
      <c r="Y8046">
        <v>4.0205610000000003E-2</v>
      </c>
      <c r="Z8046">
        <v>4.8403450000000001E-2</v>
      </c>
      <c r="AA8046">
        <v>0.99801830000000002</v>
      </c>
      <c r="AB8046">
        <v>17</v>
      </c>
      <c r="AC8046">
        <v>2.7053379999999998</v>
      </c>
      <c r="AD8046">
        <v>1.301909</v>
      </c>
      <c r="AE8046">
        <v>8.1924440000000001E-2</v>
      </c>
      <c r="AF8046">
        <v>0.119193899465314</v>
      </c>
      <c r="AG8046">
        <v>1.301909</v>
      </c>
      <c r="AH8046">
        <v>2.1947752050437801</v>
      </c>
      <c r="AI8046">
        <v>59.3612001550811</v>
      </c>
      <c r="AJ8046">
        <v>86.891433258301007</v>
      </c>
      <c r="AK8046">
        <v>2.55464526512502</v>
      </c>
      <c r="AL8046">
        <v>59.202713739624002</v>
      </c>
      <c r="AM8046">
        <v>86.632864343435301</v>
      </c>
      <c r="AN8046">
        <v>1.00000003752973</v>
      </c>
    </row>
    <row r="8047" spans="1:40" x14ac:dyDescent="0.25">
      <c r="A8047" t="str">
        <f>"20190304165040054"</f>
        <v>20190304165040054</v>
      </c>
      <c r="B8047" t="str">
        <f>"1551689440043363"</f>
        <v>1551689440043363</v>
      </c>
      <c r="C8047" t="s">
        <v>40</v>
      </c>
      <c r="D8047">
        <v>5.0677279999999998</v>
      </c>
      <c r="E8047">
        <v>0.49930289999999999</v>
      </c>
      <c r="F8047" t="s">
        <v>60</v>
      </c>
      <c r="G8047">
        <v>0</v>
      </c>
      <c r="H8047">
        <v>0</v>
      </c>
      <c r="I8047">
        <v>0</v>
      </c>
      <c r="J8047">
        <v>-164.6498</v>
      </c>
      <c r="K8047">
        <v>1.11012</v>
      </c>
      <c r="L8047">
        <v>137.8621</v>
      </c>
      <c r="M8047">
        <v>0.99663809999999997</v>
      </c>
      <c r="N8047">
        <v>-1.32067E-2</v>
      </c>
      <c r="O8047">
        <v>8.0859490000000006E-2</v>
      </c>
      <c r="P8047">
        <v>0.8613558</v>
      </c>
      <c r="Q8047">
        <v>0.50733660000000003</v>
      </c>
      <c r="R8047">
        <v>2.6002000000000001E-2</v>
      </c>
      <c r="S8047">
        <v>2.376846</v>
      </c>
      <c r="T8047">
        <v>1.881769</v>
      </c>
      <c r="U8047">
        <v>4.6218870000000002E-2</v>
      </c>
      <c r="V8047">
        <v>4.5771029999999997E-2</v>
      </c>
      <c r="W8047">
        <v>0.51848329999999998</v>
      </c>
      <c r="X8047">
        <v>0.85386189999999995</v>
      </c>
      <c r="Y8047">
        <v>3.0336399999999999E-2</v>
      </c>
      <c r="Z8047">
        <v>6.7470020000000006E-2</v>
      </c>
      <c r="AA8047">
        <v>0.99726000000000004</v>
      </c>
      <c r="AB8047">
        <v>17</v>
      </c>
      <c r="AC8047">
        <v>2.376846</v>
      </c>
      <c r="AD8047">
        <v>1.881769</v>
      </c>
      <c r="AE8047">
        <v>4.6218870000000002E-2</v>
      </c>
      <c r="AF8047">
        <v>8.9845639892691898E-2</v>
      </c>
      <c r="AG8047">
        <v>1.881769</v>
      </c>
      <c r="AH8047">
        <v>1.4587789574997601</v>
      </c>
      <c r="AI8047">
        <v>37.835977042942197</v>
      </c>
      <c r="AJ8047">
        <v>86.475626595704796</v>
      </c>
      <c r="AK8047">
        <v>2.3826797634623098</v>
      </c>
      <c r="AL8047">
        <v>58.769431965416302</v>
      </c>
      <c r="AM8047">
        <v>86.931612373193204</v>
      </c>
      <c r="AN8047">
        <v>1.00000003191888</v>
      </c>
    </row>
    <row r="8048" spans="1:40" x14ac:dyDescent="0.25">
      <c r="A8048" t="str">
        <f>"20190304165040076"</f>
        <v>20190304165040076</v>
      </c>
      <c r="B8048" t="str">
        <f>"1551689440073619"</f>
        <v>1551689440073619</v>
      </c>
      <c r="C8048" t="s">
        <v>40</v>
      </c>
      <c r="D8048">
        <v>5.1190230000000003</v>
      </c>
      <c r="E8048">
        <v>0.49940830000000003</v>
      </c>
      <c r="F8048" t="s">
        <v>60</v>
      </c>
      <c r="G8048">
        <v>0</v>
      </c>
      <c r="H8048">
        <v>0</v>
      </c>
      <c r="I8048">
        <v>0</v>
      </c>
      <c r="J8048">
        <v>-164.4812</v>
      </c>
      <c r="K8048">
        <v>1.1101799999999999</v>
      </c>
      <c r="L8048">
        <v>137.8715</v>
      </c>
      <c r="M8048">
        <v>0.996919</v>
      </c>
      <c r="N8048">
        <v>-1.321044E-2</v>
      </c>
      <c r="O8048">
        <v>7.7319520000000003E-2</v>
      </c>
      <c r="P8048">
        <v>0.85726239999999998</v>
      </c>
      <c r="Q8048">
        <v>0.51418299999999995</v>
      </c>
      <c r="R8048">
        <v>2.6785900000000001E-2</v>
      </c>
      <c r="S8048">
        <v>2.371918</v>
      </c>
      <c r="T8048">
        <v>1.8836649999999999</v>
      </c>
      <c r="U8048">
        <v>4.9209589999999998E-2</v>
      </c>
      <c r="V8048">
        <v>4.15962E-2</v>
      </c>
      <c r="W8048">
        <v>0.52530069999999995</v>
      </c>
      <c r="X8048">
        <v>0.84989939999999997</v>
      </c>
      <c r="Y8048">
        <v>2.7185529999999999E-2</v>
      </c>
      <c r="Z8048">
        <v>6.4051289999999997E-2</v>
      </c>
      <c r="AA8048">
        <v>0.99757620000000002</v>
      </c>
      <c r="AB8048">
        <v>17</v>
      </c>
      <c r="AC8048">
        <v>2.371918</v>
      </c>
      <c r="AD8048">
        <v>1.8836649999999999</v>
      </c>
      <c r="AE8048">
        <v>4.9209589999999998E-2</v>
      </c>
      <c r="AF8048">
        <v>8.2402295375678294E-2</v>
      </c>
      <c r="AG8048">
        <v>1.8836649999999999</v>
      </c>
      <c r="AH8048">
        <v>1.4527790530785001</v>
      </c>
      <c r="AI8048">
        <v>37.685760708339402</v>
      </c>
      <c r="AJ8048">
        <v>86.753635492168399</v>
      </c>
      <c r="AK8048">
        <v>2.38024178342702</v>
      </c>
      <c r="AL8048">
        <v>58.311512615372799</v>
      </c>
      <c r="AM8048">
        <v>87.198037221363606</v>
      </c>
      <c r="AN8048">
        <v>1.0000000296976399</v>
      </c>
    </row>
    <row r="8049" spans="1:40" x14ac:dyDescent="0.25">
      <c r="A8049" t="str">
        <f>"20190304165040099"</f>
        <v>20190304165040099</v>
      </c>
      <c r="B8049" t="str">
        <f>"1551689440093142"</f>
        <v>1551689440093142</v>
      </c>
      <c r="C8049" t="s">
        <v>40</v>
      </c>
      <c r="D8049">
        <v>5.2684350000000002</v>
      </c>
      <c r="E8049">
        <v>0.49993759999999998</v>
      </c>
      <c r="F8049" t="s">
        <v>60</v>
      </c>
      <c r="G8049">
        <v>0</v>
      </c>
      <c r="H8049">
        <v>0</v>
      </c>
      <c r="I8049">
        <v>0</v>
      </c>
      <c r="J8049">
        <v>-164.30680000000001</v>
      </c>
      <c r="K8049">
        <v>1.110249</v>
      </c>
      <c r="L8049">
        <v>137.88059999999999</v>
      </c>
      <c r="M8049">
        <v>0.9971911</v>
      </c>
      <c r="N8049">
        <v>-1.3220249999999999E-2</v>
      </c>
      <c r="O8049">
        <v>7.3724460000000006E-2</v>
      </c>
      <c r="P8049">
        <v>0.85300350000000003</v>
      </c>
      <c r="Q8049">
        <v>0.52117290000000005</v>
      </c>
      <c r="R8049">
        <v>2.763991E-2</v>
      </c>
      <c r="S8049">
        <v>2.3896030000000001</v>
      </c>
      <c r="T8049">
        <v>1.847618</v>
      </c>
      <c r="U8049">
        <v>5.5419919999999998E-2</v>
      </c>
      <c r="V8049">
        <v>3.7313489999999998E-2</v>
      </c>
      <c r="W8049">
        <v>0.53226509999999905</v>
      </c>
      <c r="X8049">
        <v>0.84575499999999904</v>
      </c>
      <c r="Y8049">
        <v>2.4242010000000001E-2</v>
      </c>
      <c r="Z8049">
        <v>5.9261719999999997E-2</v>
      </c>
      <c r="AA8049">
        <v>0.9979481</v>
      </c>
      <c r="AB8049">
        <v>17</v>
      </c>
      <c r="AC8049">
        <v>2.3896030000000001</v>
      </c>
      <c r="AD8049">
        <v>1.847618</v>
      </c>
      <c r="AE8049">
        <v>5.5419919999999998E-2</v>
      </c>
      <c r="AF8049">
        <v>7.5692237695148101E-2</v>
      </c>
      <c r="AG8049">
        <v>1.847618</v>
      </c>
      <c r="AH8049">
        <v>1.49432373170504</v>
      </c>
      <c r="AI8049">
        <v>39.001273060936398</v>
      </c>
      <c r="AJ8049">
        <v>87.100265296676199</v>
      </c>
      <c r="AK8049">
        <v>2.3774829134839601</v>
      </c>
      <c r="AL8049">
        <v>57.841372515277797</v>
      </c>
      <c r="AM8049">
        <v>87.4738310657402</v>
      </c>
      <c r="AN8049">
        <v>0.99999997661949402</v>
      </c>
    </row>
    <row r="8050" spans="1:40" x14ac:dyDescent="0.25">
      <c r="A8050" t="str">
        <f>"20190304165040121"</f>
        <v>20190304165040121</v>
      </c>
      <c r="B8050" t="str">
        <f>"1551689440113638"</f>
        <v>1551689440113638</v>
      </c>
      <c r="C8050" t="s">
        <v>40</v>
      </c>
      <c r="D8050">
        <v>5.1245219999999998</v>
      </c>
      <c r="E8050">
        <v>0.50060649999999995</v>
      </c>
      <c r="F8050" t="s">
        <v>60</v>
      </c>
      <c r="G8050">
        <v>0</v>
      </c>
      <c r="H8050">
        <v>0</v>
      </c>
      <c r="I8050">
        <v>0</v>
      </c>
      <c r="J8050">
        <v>-164.1438</v>
      </c>
      <c r="K8050">
        <v>1.1103179999999999</v>
      </c>
      <c r="L8050">
        <v>137.8886</v>
      </c>
      <c r="M8050">
        <v>0.99743009999999999</v>
      </c>
      <c r="N8050">
        <v>-1.323035E-2</v>
      </c>
      <c r="O8050">
        <v>7.0414669999999999E-2</v>
      </c>
      <c r="P8050">
        <v>0.84829709999999903</v>
      </c>
      <c r="Q8050">
        <v>0.52874460000000001</v>
      </c>
      <c r="R8050">
        <v>2.8660979999999999E-2</v>
      </c>
      <c r="S8050">
        <v>2.38855</v>
      </c>
      <c r="T8050">
        <v>1.8439430000000001</v>
      </c>
      <c r="U8050">
        <v>5.577087E-2</v>
      </c>
      <c r="V8050">
        <v>3.3114270000000001E-2</v>
      </c>
      <c r="W8050">
        <v>0.53980360000000005</v>
      </c>
      <c r="X8050">
        <v>0.84113950000000004</v>
      </c>
      <c r="Y8050">
        <v>2.2251219999999999E-2</v>
      </c>
      <c r="Z8050">
        <v>5.6235729999999998E-2</v>
      </c>
      <c r="AA8050">
        <v>0.99816950000000004</v>
      </c>
      <c r="AB8050">
        <v>17</v>
      </c>
      <c r="AC8050">
        <v>2.38855</v>
      </c>
      <c r="AD8050">
        <v>1.8439430000000001</v>
      </c>
      <c r="AE8050">
        <v>5.577087E-2</v>
      </c>
      <c r="AF8050">
        <v>7.0548938458194099E-2</v>
      </c>
      <c r="AG8050">
        <v>1.8439430000000001</v>
      </c>
      <c r="AH8050">
        <v>1.4956605239065699</v>
      </c>
      <c r="AI8050">
        <v>39.077380273198301</v>
      </c>
      <c r="AJ8050">
        <v>87.299412182469297</v>
      </c>
      <c r="AK8050">
        <v>2.3753112096605502</v>
      </c>
      <c r="AL8050">
        <v>57.329732521266301</v>
      </c>
      <c r="AM8050">
        <v>87.745524218313705</v>
      </c>
      <c r="AN8050">
        <v>1.0000000699554099</v>
      </c>
    </row>
    <row r="8051" spans="1:40" x14ac:dyDescent="0.25">
      <c r="A8051" t="str">
        <f>"20190304165040142"</f>
        <v>20190304165040142</v>
      </c>
      <c r="B8051" t="str">
        <f>"1551689440133155"</f>
        <v>1551689440133155</v>
      </c>
      <c r="C8051" t="s">
        <v>40</v>
      </c>
      <c r="D8051">
        <v>5.068479</v>
      </c>
      <c r="E8051">
        <v>0.5010907</v>
      </c>
      <c r="F8051" t="s">
        <v>60</v>
      </c>
      <c r="G8051">
        <v>0</v>
      </c>
      <c r="H8051">
        <v>0</v>
      </c>
      <c r="I8051">
        <v>0</v>
      </c>
      <c r="J8051">
        <v>-163.97730000000001</v>
      </c>
      <c r="K8051">
        <v>1.1103769999999999</v>
      </c>
      <c r="L8051">
        <v>137.8964</v>
      </c>
      <c r="M8051">
        <v>0.99765939999999997</v>
      </c>
      <c r="N8051">
        <v>-1.3238990000000001E-2</v>
      </c>
      <c r="O8051">
        <v>6.7086279999999998E-2</v>
      </c>
      <c r="P8051">
        <v>0.8440318</v>
      </c>
      <c r="Q8051">
        <v>0.53550030000000004</v>
      </c>
      <c r="R8051">
        <v>2.9157300000000001E-2</v>
      </c>
      <c r="S8051">
        <v>2.3832239999999998</v>
      </c>
      <c r="T8051">
        <v>1.847283</v>
      </c>
      <c r="U8051">
        <v>5.4733280000000002E-2</v>
      </c>
      <c r="V8051">
        <v>2.948367E-2</v>
      </c>
      <c r="W8051">
        <v>0.54652639999999997</v>
      </c>
      <c r="X8051">
        <v>0.83692269999999902</v>
      </c>
      <c r="Y8051">
        <v>2.048722E-2</v>
      </c>
      <c r="Z8051">
        <v>5.3511879999999998E-2</v>
      </c>
      <c r="AA8051">
        <v>0.99835700000000005</v>
      </c>
      <c r="AB8051">
        <v>17</v>
      </c>
      <c r="AC8051">
        <v>2.3832239999999998</v>
      </c>
      <c r="AD8051">
        <v>1.847283</v>
      </c>
      <c r="AE8051">
        <v>5.4733280000000002E-2</v>
      </c>
      <c r="AF8051">
        <v>6.57832713126595E-2</v>
      </c>
      <c r="AG8051">
        <v>1.847283</v>
      </c>
      <c r="AH8051">
        <v>1.48799517944989</v>
      </c>
      <c r="AI8051">
        <v>38.878937460787299</v>
      </c>
      <c r="AJ8051">
        <v>87.468640215206804</v>
      </c>
      <c r="AK8051">
        <v>2.3729541872821098</v>
      </c>
      <c r="AL8051">
        <v>56.870965666085603</v>
      </c>
      <c r="AM8051">
        <v>87.9823805240176</v>
      </c>
      <c r="AN8051">
        <v>0.99999999923445904</v>
      </c>
    </row>
    <row r="8052" spans="1:40" x14ac:dyDescent="0.25">
      <c r="A8052" t="str">
        <f>"20190304165040166"</f>
        <v>20190304165040166</v>
      </c>
      <c r="B8052" t="str">
        <f>"1551689440153651"</f>
        <v>1551689440153651</v>
      </c>
      <c r="C8052" t="s">
        <v>40</v>
      </c>
      <c r="D8052">
        <v>5.0857390000000002</v>
      </c>
      <c r="E8052">
        <v>0.50157220000000002</v>
      </c>
      <c r="F8052" t="s">
        <v>60</v>
      </c>
      <c r="G8052">
        <v>0</v>
      </c>
      <c r="H8052">
        <v>0</v>
      </c>
      <c r="I8052">
        <v>0</v>
      </c>
      <c r="J8052">
        <v>-163.80959999999999</v>
      </c>
      <c r="K8052">
        <v>1.11043</v>
      </c>
      <c r="L8052">
        <v>137.90360000000001</v>
      </c>
      <c r="M8052">
        <v>0.99787519999999996</v>
      </c>
      <c r="N8052">
        <v>-1.3247709999999999E-2</v>
      </c>
      <c r="O8052">
        <v>6.3794470000000006E-2</v>
      </c>
      <c r="P8052">
        <v>0.8402714</v>
      </c>
      <c r="Q8052">
        <v>0.54135169999999999</v>
      </c>
      <c r="R8052">
        <v>2.9705410000000002E-2</v>
      </c>
      <c r="S8052">
        <v>2.3785099999999999</v>
      </c>
      <c r="T8052">
        <v>1.850463</v>
      </c>
      <c r="U8052">
        <v>5.342102E-2</v>
      </c>
      <c r="V8052">
        <v>2.5889869999999999E-2</v>
      </c>
      <c r="W8052">
        <v>0.55235199999999995</v>
      </c>
      <c r="X8052">
        <v>0.83320890000000003</v>
      </c>
      <c r="Y8052">
        <v>1.8867600000000002E-2</v>
      </c>
      <c r="Z8052">
        <v>5.0830090000000001E-2</v>
      </c>
      <c r="AA8052">
        <v>0.99852909999999995</v>
      </c>
      <c r="AB8052">
        <v>17</v>
      </c>
      <c r="AC8052">
        <v>2.3785099999999999</v>
      </c>
      <c r="AD8052">
        <v>1.850463</v>
      </c>
      <c r="AE8052">
        <v>5.342102E-2</v>
      </c>
      <c r="AF8052">
        <v>6.1332658371903603E-2</v>
      </c>
      <c r="AG8052">
        <v>1.850463</v>
      </c>
      <c r="AH8052">
        <v>1.48107234482872</v>
      </c>
      <c r="AI8052">
        <v>38.697007198409899</v>
      </c>
      <c r="AJ8052">
        <v>87.6286804588444</v>
      </c>
      <c r="AK8052">
        <v>2.3709808729655402</v>
      </c>
      <c r="AL8052">
        <v>56.471481574219901</v>
      </c>
      <c r="AM8052">
        <v>88.220250457404404</v>
      </c>
      <c r="AN8052">
        <v>1.00000004415591</v>
      </c>
    </row>
    <row r="8053" spans="1:40" x14ac:dyDescent="0.25">
      <c r="A8053" t="str">
        <f>"20190304165040189"</f>
        <v>20190304165040189</v>
      </c>
      <c r="B8053" t="str">
        <f>"1551689440183907"</f>
        <v>1551689440183907</v>
      </c>
      <c r="C8053" t="s">
        <v>40</v>
      </c>
      <c r="D8053">
        <v>5.0712849999999996</v>
      </c>
      <c r="E8053">
        <v>0.50233739999999905</v>
      </c>
      <c r="F8053" t="s">
        <v>60</v>
      </c>
      <c r="G8053">
        <v>0</v>
      </c>
      <c r="H8053">
        <v>0</v>
      </c>
      <c r="I8053">
        <v>0</v>
      </c>
      <c r="J8053">
        <v>-163.63399999999999</v>
      </c>
      <c r="K8053">
        <v>1.1104810000000001</v>
      </c>
      <c r="L8053">
        <v>137.91079999999999</v>
      </c>
      <c r="M8053">
        <v>0.99808529999999995</v>
      </c>
      <c r="N8053">
        <v>-1.325757E-2</v>
      </c>
      <c r="O8053">
        <v>6.0417140000000001E-2</v>
      </c>
      <c r="P8053">
        <v>0.83652109999999902</v>
      </c>
      <c r="Q8053">
        <v>0.54707669999999997</v>
      </c>
      <c r="R8053">
        <v>3.0657239999999999E-2</v>
      </c>
      <c r="S8053">
        <v>2.3740389999999998</v>
      </c>
      <c r="T8053">
        <v>1.853898</v>
      </c>
      <c r="U8053">
        <v>5.2032469999999997E-2</v>
      </c>
      <c r="V8053">
        <v>2.1840269999999998E-2</v>
      </c>
      <c r="W8053">
        <v>0.55805209999999905</v>
      </c>
      <c r="X8053">
        <v>0.82951839999999999</v>
      </c>
      <c r="Y8053">
        <v>1.7240390000000001E-2</v>
      </c>
      <c r="Z8053">
        <v>4.8070719999999997E-2</v>
      </c>
      <c r="AA8053">
        <v>0.99869509999999995</v>
      </c>
      <c r="AB8053">
        <v>17</v>
      </c>
      <c r="AC8053">
        <v>2.3740389999999998</v>
      </c>
      <c r="AD8053">
        <v>1.853898</v>
      </c>
      <c r="AE8053">
        <v>5.2032469999999997E-2</v>
      </c>
      <c r="AF8053">
        <v>5.6854141608697603E-2</v>
      </c>
      <c r="AG8053">
        <v>1.853898</v>
      </c>
      <c r="AH8053">
        <v>1.47425720982885</v>
      </c>
      <c r="AI8053">
        <v>38.513172604481603</v>
      </c>
      <c r="AJ8053">
        <v>87.791505514522996</v>
      </c>
      <c r="AK8053">
        <v>2.3693046466325098</v>
      </c>
      <c r="AL8053">
        <v>56.078804215547002</v>
      </c>
      <c r="AM8053">
        <v>88.4918161374882</v>
      </c>
      <c r="AN8053">
        <v>0.99999995982332002</v>
      </c>
    </row>
    <row r="8054" spans="1:40" x14ac:dyDescent="0.25">
      <c r="A8054" t="str">
        <f>"20190304165040210"</f>
        <v>20190304165040210</v>
      </c>
      <c r="B8054" t="str">
        <f>"1551689440203427"</f>
        <v>1551689440203427</v>
      </c>
      <c r="C8054" t="s">
        <v>40</v>
      </c>
      <c r="D8054">
        <v>5.1165070000000004</v>
      </c>
      <c r="E8054">
        <v>0.50291969999999997</v>
      </c>
      <c r="F8054" t="s">
        <v>60</v>
      </c>
      <c r="G8054">
        <v>0</v>
      </c>
      <c r="H8054">
        <v>0</v>
      </c>
      <c r="I8054">
        <v>0</v>
      </c>
      <c r="J8054">
        <v>-163.47450000000001</v>
      </c>
      <c r="K8054">
        <v>1.1105389999999999</v>
      </c>
      <c r="L8054">
        <v>137.91679999999999</v>
      </c>
      <c r="M8054">
        <v>0.99826230000000005</v>
      </c>
      <c r="N8054">
        <v>-1.326571E-2</v>
      </c>
      <c r="O8054">
        <v>5.7412879999999999E-2</v>
      </c>
      <c r="P8054">
        <v>0.83304650000000002</v>
      </c>
      <c r="Q8054">
        <v>0.55223299999999997</v>
      </c>
      <c r="R8054">
        <v>3.2742750000000001E-2</v>
      </c>
      <c r="S8054">
        <v>2.37384</v>
      </c>
      <c r="T8054">
        <v>1.8510850000000001</v>
      </c>
      <c r="U8054">
        <v>5.0582889999999998E-2</v>
      </c>
      <c r="V8054">
        <v>1.700776E-2</v>
      </c>
      <c r="W8054">
        <v>0.56318889999999999</v>
      </c>
      <c r="X8054">
        <v>0.82615319999999903</v>
      </c>
      <c r="Y8054">
        <v>1.6038480000000001E-2</v>
      </c>
      <c r="Z8054">
        <v>4.5516599999999997E-2</v>
      </c>
      <c r="AA8054">
        <v>0.99883480000000002</v>
      </c>
      <c r="AB8054">
        <v>17</v>
      </c>
      <c r="AC8054">
        <v>2.37384</v>
      </c>
      <c r="AD8054">
        <v>1.8510850000000001</v>
      </c>
      <c r="AE8054">
        <v>5.0582889999999998E-2</v>
      </c>
      <c r="AF8054">
        <v>5.3366186017815898E-2</v>
      </c>
      <c r="AG8054">
        <v>1.8510850000000001</v>
      </c>
      <c r="AH8054">
        <v>1.4758331950191901</v>
      </c>
      <c r="AI8054">
        <v>38.582905794299002</v>
      </c>
      <c r="AJ8054">
        <v>87.929084666142501</v>
      </c>
      <c r="AK8054">
        <v>2.3680049084737198</v>
      </c>
      <c r="AL8054">
        <v>55.723382582511803</v>
      </c>
      <c r="AM8054">
        <v>88.820636127057398</v>
      </c>
      <c r="AN8054">
        <v>1.00000005542683</v>
      </c>
    </row>
    <row r="8055" spans="1:40" x14ac:dyDescent="0.25">
      <c r="A8055" t="str">
        <f>"20190304165040232"</f>
        <v>20190304165040232</v>
      </c>
      <c r="B8055" t="str">
        <f>"1551689440223923"</f>
        <v>1551689440223923</v>
      </c>
      <c r="C8055" t="s">
        <v>40</v>
      </c>
      <c r="D8055">
        <v>4.9116559999999998</v>
      </c>
      <c r="E8055">
        <v>0.50353950000000003</v>
      </c>
      <c r="F8055" t="s">
        <v>60</v>
      </c>
      <c r="G8055">
        <v>0</v>
      </c>
      <c r="H8055">
        <v>0</v>
      </c>
      <c r="I8055">
        <v>0</v>
      </c>
      <c r="J8055">
        <v>-163.31110000000001</v>
      </c>
      <c r="K8055">
        <v>1.110582</v>
      </c>
      <c r="L8055">
        <v>137.92250000000001</v>
      </c>
      <c r="M8055">
        <v>0.99843130000000002</v>
      </c>
      <c r="N8055">
        <v>-1.327209E-2</v>
      </c>
      <c r="O8055">
        <v>5.4395550000000001E-2</v>
      </c>
      <c r="P8055">
        <v>0.83182909999999899</v>
      </c>
      <c r="Q8055">
        <v>0.55413140000000005</v>
      </c>
      <c r="R8055">
        <v>3.1608450000000003E-2</v>
      </c>
      <c r="S8055">
        <v>2.3683320000000001</v>
      </c>
      <c r="T8055">
        <v>1.8567039999999999</v>
      </c>
      <c r="U8055">
        <v>5.2764890000000002E-2</v>
      </c>
      <c r="V8055">
        <v>1.5505369999999999E-2</v>
      </c>
      <c r="W8055">
        <v>0.56508259999999999</v>
      </c>
      <c r="X8055">
        <v>0.82488859999999997</v>
      </c>
      <c r="Y8055">
        <v>1.339834E-2</v>
      </c>
      <c r="Z8055">
        <v>4.269829E-2</v>
      </c>
      <c r="AA8055">
        <v>0.99899819999999995</v>
      </c>
      <c r="AB8055">
        <v>17</v>
      </c>
      <c r="AC8055">
        <v>2.3683320000000001</v>
      </c>
      <c r="AD8055">
        <v>1.8567039999999999</v>
      </c>
      <c r="AE8055">
        <v>5.2764890000000002E-2</v>
      </c>
      <c r="AF8055">
        <v>4.7172787753248901E-2</v>
      </c>
      <c r="AG8055">
        <v>1.8567039999999999</v>
      </c>
      <c r="AH8055">
        <v>1.4666956632741399</v>
      </c>
      <c r="AI8055">
        <v>38.321234048996999</v>
      </c>
      <c r="AJ8055">
        <v>88.157852147150194</v>
      </c>
      <c r="AK8055">
        <v>2.3665948500298</v>
      </c>
      <c r="AL8055">
        <v>55.591971891382201</v>
      </c>
      <c r="AM8055">
        <v>88.923142285230995</v>
      </c>
      <c r="AN8055">
        <v>0.99999998186577799</v>
      </c>
    </row>
    <row r="8056" spans="1:40" x14ac:dyDescent="0.25">
      <c r="A8056" t="str">
        <f>"20190304165040255"</f>
        <v>20190304165040255</v>
      </c>
      <c r="B8056" t="str">
        <f>"1551689440243443"</f>
        <v>1551689440243443</v>
      </c>
      <c r="C8056" t="s">
        <v>40</v>
      </c>
      <c r="D8056">
        <v>4.8601519999999896</v>
      </c>
      <c r="E8056">
        <v>0.50403030000000004</v>
      </c>
      <c r="F8056" t="s">
        <v>60</v>
      </c>
      <c r="G8056">
        <v>0</v>
      </c>
      <c r="H8056">
        <v>0</v>
      </c>
      <c r="I8056">
        <v>0</v>
      </c>
      <c r="J8056">
        <v>-163.1448</v>
      </c>
      <c r="K8056">
        <v>1.1106450000000001</v>
      </c>
      <c r="L8056">
        <v>137.92789999999999</v>
      </c>
      <c r="M8056">
        <v>0.99859059999999999</v>
      </c>
      <c r="N8056">
        <v>-1.327708E-2</v>
      </c>
      <c r="O8056">
        <v>5.1388040000000003E-2</v>
      </c>
      <c r="P8056">
        <v>0.82834490000000005</v>
      </c>
      <c r="Q8056">
        <v>0.5592762</v>
      </c>
      <c r="R8056">
        <v>3.2477680000000002E-2</v>
      </c>
      <c r="S8056">
        <v>2.3683169999999998</v>
      </c>
      <c r="T8056">
        <v>1.8561559999999999</v>
      </c>
      <c r="U8056">
        <v>4.5135500000000002E-2</v>
      </c>
      <c r="V8056">
        <v>1.190941E-2</v>
      </c>
      <c r="W8056">
        <v>0.57019809999999904</v>
      </c>
      <c r="X8056">
        <v>0.82142090000000001</v>
      </c>
      <c r="Y8056">
        <v>1.423085E-2</v>
      </c>
      <c r="Z8056">
        <v>4.0863459999999997E-2</v>
      </c>
      <c r="AA8056">
        <v>0.99906340000000005</v>
      </c>
      <c r="AB8056">
        <v>17</v>
      </c>
      <c r="AC8056">
        <v>2.3683169999999998</v>
      </c>
      <c r="AD8056">
        <v>1.8561559999999999</v>
      </c>
      <c r="AE8056">
        <v>4.5135500000000002E-2</v>
      </c>
      <c r="AF8056">
        <v>4.7482325195712001E-2</v>
      </c>
      <c r="AG8056">
        <v>1.8561559999999999</v>
      </c>
      <c r="AH8056">
        <v>1.4668270469421201</v>
      </c>
      <c r="AI8056">
        <v>38.332146036135498</v>
      </c>
      <c r="AJ8056">
        <v>88.145938756505302</v>
      </c>
      <c r="AK8056">
        <v>2.3662525759484998</v>
      </c>
      <c r="AL8056">
        <v>55.235959020815699</v>
      </c>
      <c r="AM8056">
        <v>89.169352614339402</v>
      </c>
      <c r="AN8056">
        <v>1.00000000112348</v>
      </c>
    </row>
    <row r="8057" spans="1:40" x14ac:dyDescent="0.25">
      <c r="A8057" t="str">
        <f>"20190304165040273"</f>
        <v>20190304165040273</v>
      </c>
      <c r="B8057" t="str">
        <f>"1551689440263939"</f>
        <v>1551689440263939</v>
      </c>
      <c r="C8057" t="s">
        <v>40</v>
      </c>
      <c r="D8057">
        <v>4.8308839999999904</v>
      </c>
      <c r="E8057">
        <v>0.50421389999999999</v>
      </c>
      <c r="F8057" t="s">
        <v>60</v>
      </c>
      <c r="G8057">
        <v>0</v>
      </c>
      <c r="H8057">
        <v>0</v>
      </c>
      <c r="I8057">
        <v>0</v>
      </c>
      <c r="J8057">
        <v>-163.00470000000001</v>
      </c>
      <c r="K8057">
        <v>1.110695</v>
      </c>
      <c r="L8057">
        <v>137.93219999999999</v>
      </c>
      <c r="M8057">
        <v>0.99871469999999996</v>
      </c>
      <c r="N8057">
        <v>-1.328056E-2</v>
      </c>
      <c r="O8057">
        <v>4.8911980000000001E-2</v>
      </c>
      <c r="P8057">
        <v>0.82608199999999998</v>
      </c>
      <c r="Q8057">
        <v>0.56262129999999999</v>
      </c>
      <c r="R8057">
        <v>3.2339529999999998E-2</v>
      </c>
      <c r="S8057">
        <v>2.3620450000000002</v>
      </c>
      <c r="T8057">
        <v>1.8630850000000001</v>
      </c>
      <c r="U8057">
        <v>4.4174190000000002E-2</v>
      </c>
      <c r="V8057">
        <v>9.843381E-3</v>
      </c>
      <c r="W8057">
        <v>0.57352309999999995</v>
      </c>
      <c r="X8057">
        <v>0.81913019999999903</v>
      </c>
      <c r="Y8057">
        <v>1.294584E-2</v>
      </c>
      <c r="Z8057">
        <v>3.8884920000000003E-2</v>
      </c>
      <c r="AA8057">
        <v>0.99915980000000004</v>
      </c>
      <c r="AB8057">
        <v>17</v>
      </c>
      <c r="AC8057">
        <v>2.3620450000000002</v>
      </c>
      <c r="AD8057">
        <v>1.8630850000000001</v>
      </c>
      <c r="AE8057">
        <v>4.4174190000000002E-2</v>
      </c>
      <c r="AF8057">
        <v>4.4034863465489398E-2</v>
      </c>
      <c r="AG8057">
        <v>1.8630850000000001</v>
      </c>
      <c r="AH8057">
        <v>1.4559119712147199</v>
      </c>
      <c r="AI8057">
        <v>38.018637608626896</v>
      </c>
      <c r="AJ8057">
        <v>88.267585571842702</v>
      </c>
      <c r="AK8057">
        <v>2.3648899455052401</v>
      </c>
      <c r="AL8057">
        <v>55.003728992728703</v>
      </c>
      <c r="AM8057">
        <v>89.311517213768894</v>
      </c>
      <c r="AN8057">
        <v>0.99999996146757897</v>
      </c>
    </row>
    <row r="8058" spans="1:40" x14ac:dyDescent="0.25">
      <c r="A8058" t="str">
        <f>"20190304165040289"</f>
        <v>20190304165040289</v>
      </c>
      <c r="B8058" t="str">
        <f>"1551689440283459"</f>
        <v>1551689440283459</v>
      </c>
      <c r="C8058" t="s">
        <v>40</v>
      </c>
      <c r="D8058">
        <v>4.8202299999999996</v>
      </c>
      <c r="E8058">
        <v>0.50691699999999995</v>
      </c>
      <c r="F8058" t="s">
        <v>60</v>
      </c>
      <c r="G8058">
        <v>0</v>
      </c>
      <c r="H8058">
        <v>0</v>
      </c>
      <c r="I8058">
        <v>0</v>
      </c>
      <c r="J8058">
        <v>-162.8905</v>
      </c>
      <c r="K8058">
        <v>1.110754</v>
      </c>
      <c r="L8058">
        <v>137.93539999999999</v>
      </c>
      <c r="M8058">
        <v>0.99880970000000002</v>
      </c>
      <c r="N8058">
        <v>-1.328302E-2</v>
      </c>
      <c r="O8058">
        <v>4.6935549999999999E-2</v>
      </c>
      <c r="P8058">
        <v>0.82064239999999999</v>
      </c>
      <c r="Q8058">
        <v>0.5703722</v>
      </c>
      <c r="R8058">
        <v>3.4953619999999998E-2</v>
      </c>
      <c r="S8058">
        <v>2.357605</v>
      </c>
      <c r="T8058">
        <v>1.8681000000000001</v>
      </c>
      <c r="U8058">
        <v>4.270935E-2</v>
      </c>
      <c r="V8058">
        <v>5.325481E-3</v>
      </c>
      <c r="W8058">
        <v>0.58121929999999999</v>
      </c>
      <c r="X8058">
        <v>0.81372959999999905</v>
      </c>
      <c r="Y8058">
        <v>1.218165E-2</v>
      </c>
      <c r="Z8058">
        <v>3.7364559999999998E-2</v>
      </c>
      <c r="AA8058">
        <v>0.99922750000000005</v>
      </c>
      <c r="AB8058">
        <v>17</v>
      </c>
      <c r="AC8058">
        <v>2.357605</v>
      </c>
      <c r="AD8058">
        <v>1.8681000000000001</v>
      </c>
      <c r="AE8058">
        <v>4.270935E-2</v>
      </c>
      <c r="AF8058">
        <v>4.1779916107347499E-2</v>
      </c>
      <c r="AG8058">
        <v>1.8681000000000001</v>
      </c>
      <c r="AH8058">
        <v>1.4481092197143099</v>
      </c>
      <c r="AI8058">
        <v>37.7935826626112</v>
      </c>
      <c r="AJ8058">
        <v>88.347397450137294</v>
      </c>
      <c r="AK8058">
        <v>2.3640142731404001</v>
      </c>
      <c r="AL8058">
        <v>54.463654514552701</v>
      </c>
      <c r="AM8058">
        <v>89.625031178673794</v>
      </c>
      <c r="AN8058">
        <v>1.0000000486782601</v>
      </c>
    </row>
    <row r="8059" spans="1:40" x14ac:dyDescent="0.25">
      <c r="A8059" t="str">
        <f>"20190304165040310"</f>
        <v>20190304165040310</v>
      </c>
      <c r="B8059" t="str">
        <f>"1551689440303958"</f>
        <v>1551689440303958</v>
      </c>
      <c r="C8059" t="s">
        <v>40</v>
      </c>
      <c r="D8059">
        <v>4.834193</v>
      </c>
      <c r="E8059">
        <v>0.50752249999999999</v>
      </c>
      <c r="F8059" t="s">
        <v>60</v>
      </c>
      <c r="G8059">
        <v>0</v>
      </c>
      <c r="H8059">
        <v>0</v>
      </c>
      <c r="I8059">
        <v>0</v>
      </c>
      <c r="J8059">
        <v>-162.73089999999999</v>
      </c>
      <c r="K8059">
        <v>1.1108169999999999</v>
      </c>
      <c r="L8059">
        <v>137.93960000000001</v>
      </c>
      <c r="M8059">
        <v>0.99893330000000002</v>
      </c>
      <c r="N8059">
        <v>-1.3285770000000001E-2</v>
      </c>
      <c r="O8059">
        <v>4.4224649999999997E-2</v>
      </c>
      <c r="P8059">
        <v>0.81612589999999996</v>
      </c>
      <c r="Q8059">
        <v>0.57662500000000005</v>
      </c>
      <c r="R8059">
        <v>3.7979949999999998E-2</v>
      </c>
      <c r="S8059">
        <v>2.4155120000000001</v>
      </c>
      <c r="T8059">
        <v>1.781785</v>
      </c>
      <c r="U8059">
        <v>4.1305540000000002E-2</v>
      </c>
      <c r="V8059">
        <v>-1.6154719999999999E-4</v>
      </c>
      <c r="W8059">
        <v>0.58743159999999905</v>
      </c>
      <c r="X8059">
        <v>0.80927380000000004</v>
      </c>
      <c r="Y8059">
        <v>1.295987E-2</v>
      </c>
      <c r="Z8059">
        <v>3.3771179999999998E-2</v>
      </c>
      <c r="AA8059">
        <v>0.9993455</v>
      </c>
      <c r="AB8059">
        <v>17</v>
      </c>
      <c r="AC8059">
        <v>2.4155120000000001</v>
      </c>
      <c r="AD8059">
        <v>1.781785</v>
      </c>
      <c r="AE8059">
        <v>4.1305540000000002E-2</v>
      </c>
      <c r="AF8059">
        <v>4.2468438904137998E-2</v>
      </c>
      <c r="AG8059">
        <v>1.781785</v>
      </c>
      <c r="AH8059">
        <v>1.56414581387967</v>
      </c>
      <c r="AI8059">
        <v>41.288852284625698</v>
      </c>
      <c r="AJ8059">
        <v>88.444732817924006</v>
      </c>
      <c r="AK8059">
        <v>2.3713104987759901</v>
      </c>
      <c r="AL8059">
        <v>54.025042081084699</v>
      </c>
      <c r="AM8059">
        <v>90.0114373808088</v>
      </c>
      <c r="AN8059">
        <v>0.99999999707124798</v>
      </c>
    </row>
    <row r="8060" spans="1:40" x14ac:dyDescent="0.25">
      <c r="A8060" t="str">
        <f>"20190304165040333"</f>
        <v>20190304165040333</v>
      </c>
      <c r="B8060" t="str">
        <f>"1551689440323475"</f>
        <v>1551689440323475</v>
      </c>
      <c r="C8060" t="s">
        <v>40</v>
      </c>
      <c r="D8060">
        <v>4.802073</v>
      </c>
      <c r="E8060">
        <v>0.50804819999999995</v>
      </c>
      <c r="F8060" t="s">
        <v>60</v>
      </c>
      <c r="G8060">
        <v>0</v>
      </c>
      <c r="H8060">
        <v>0</v>
      </c>
      <c r="I8060">
        <v>0</v>
      </c>
      <c r="J8060">
        <v>-162.5641</v>
      </c>
      <c r="K8060">
        <v>1.1108709999999999</v>
      </c>
      <c r="L8060">
        <v>137.94370000000001</v>
      </c>
      <c r="M8060">
        <v>0.99905180000000005</v>
      </c>
      <c r="N8060">
        <v>-1.328755E-2</v>
      </c>
      <c r="O8060">
        <v>4.1460749999999998E-2</v>
      </c>
      <c r="P8060">
        <v>0.81210530000000003</v>
      </c>
      <c r="Q8060">
        <v>0.58209869999999997</v>
      </c>
      <c r="R8060">
        <v>4.057558E-2</v>
      </c>
      <c r="S8060">
        <v>2.409424</v>
      </c>
      <c r="T8060">
        <v>1.7894680000000001</v>
      </c>
      <c r="U8060">
        <v>4.6768190000000001E-2</v>
      </c>
      <c r="V8060">
        <v>-5.2183359999999996E-3</v>
      </c>
      <c r="W8060">
        <v>0.59286819999999996</v>
      </c>
      <c r="X8060">
        <v>0.80528269999999902</v>
      </c>
      <c r="Y8060">
        <v>9.2947459999999996E-3</v>
      </c>
      <c r="Z8060">
        <v>3.09089E-2</v>
      </c>
      <c r="AA8060">
        <v>0.99947900000000001</v>
      </c>
      <c r="AB8060">
        <v>16</v>
      </c>
      <c r="AC8060">
        <v>2.409424</v>
      </c>
      <c r="AD8060">
        <v>1.7894680000000001</v>
      </c>
      <c r="AE8060">
        <v>4.6768190000000001E-2</v>
      </c>
      <c r="AF8060">
        <v>3.4277275054027299E-2</v>
      </c>
      <c r="AG8060">
        <v>1.7894680000000001</v>
      </c>
      <c r="AH8060">
        <v>1.5529900179538401</v>
      </c>
      <c r="AI8060">
        <v>40.959989777303001</v>
      </c>
      <c r="AJ8060">
        <v>88.735584682813098</v>
      </c>
      <c r="AK8060">
        <v>2.36963048817181</v>
      </c>
      <c r="AL8060">
        <v>53.639193732286699</v>
      </c>
      <c r="AM8060">
        <v>90.371278861368296</v>
      </c>
      <c r="AN8060">
        <v>1.00000008026056</v>
      </c>
    </row>
    <row r="8061" spans="1:40" x14ac:dyDescent="0.25">
      <c r="A8061" t="str">
        <f>"20190304165040351"</f>
        <v>20190304165040351</v>
      </c>
      <c r="B8061" t="str">
        <f>"1551689440343971"</f>
        <v>1551689440343971</v>
      </c>
      <c r="C8061" t="s">
        <v>40</v>
      </c>
      <c r="D8061">
        <v>4.8004449999999999</v>
      </c>
      <c r="E8061">
        <v>0.5085016</v>
      </c>
      <c r="F8061" t="s">
        <v>60</v>
      </c>
      <c r="G8061">
        <v>0</v>
      </c>
      <c r="H8061">
        <v>0</v>
      </c>
      <c r="I8061">
        <v>0</v>
      </c>
      <c r="J8061">
        <v>-162.4271</v>
      </c>
      <c r="K8061">
        <v>1.1109100000000001</v>
      </c>
      <c r="L8061">
        <v>137.94669999999999</v>
      </c>
      <c r="M8061">
        <v>0.99914130000000001</v>
      </c>
      <c r="N8061">
        <v>-1.328826E-2</v>
      </c>
      <c r="O8061">
        <v>3.9242640000000002E-2</v>
      </c>
      <c r="P8061">
        <v>0.80996669999999904</v>
      </c>
      <c r="Q8061">
        <v>0.58503640000000001</v>
      </c>
      <c r="R8061">
        <v>4.1061769999999997E-2</v>
      </c>
      <c r="S8061">
        <v>2.4042210000000002</v>
      </c>
      <c r="T8061">
        <v>1.7959499999999999</v>
      </c>
      <c r="U8061">
        <v>5.1422120000000002E-2</v>
      </c>
      <c r="V8061">
        <v>-7.6250419999999899E-3</v>
      </c>
      <c r="W8061">
        <v>0.59578409999999904</v>
      </c>
      <c r="X8061">
        <v>0.80310839999999994</v>
      </c>
      <c r="Y8061">
        <v>6.2705800000000004E-3</v>
      </c>
      <c r="Z8061">
        <v>2.8567950000000002E-2</v>
      </c>
      <c r="AA8061">
        <v>0.99957220000000002</v>
      </c>
      <c r="AB8061">
        <v>16</v>
      </c>
      <c r="AC8061">
        <v>2.4042210000000002</v>
      </c>
      <c r="AD8061">
        <v>1.7959499999999999</v>
      </c>
      <c r="AE8061">
        <v>5.1422120000000002E-2</v>
      </c>
      <c r="AF8061">
        <v>2.75870700957726E-2</v>
      </c>
      <c r="AG8061">
        <v>1.7959499999999999</v>
      </c>
      <c r="AH8061">
        <v>1.5434979045997499</v>
      </c>
      <c r="AI8061">
        <v>40.681359534682798</v>
      </c>
      <c r="AJ8061">
        <v>88.976056653740002</v>
      </c>
      <c r="AK8061">
        <v>2.3682447572918401</v>
      </c>
      <c r="AL8061">
        <v>53.431449650373899</v>
      </c>
      <c r="AM8061">
        <v>90.543973389505595</v>
      </c>
      <c r="AN8061">
        <v>0.99999996861443496</v>
      </c>
    </row>
    <row r="8062" spans="1:40" x14ac:dyDescent="0.25">
      <c r="A8062" t="str">
        <f>"20190304165040367"</f>
        <v>20190304165040367</v>
      </c>
      <c r="B8062" t="str">
        <f>"1551689440363491"</f>
        <v>1551689440363491</v>
      </c>
      <c r="C8062" t="s">
        <v>40</v>
      </c>
      <c r="D8062">
        <v>4.7846029999999997</v>
      </c>
      <c r="E8062">
        <v>0.5089302</v>
      </c>
      <c r="F8062" t="s">
        <v>60</v>
      </c>
      <c r="G8062">
        <v>0</v>
      </c>
      <c r="H8062">
        <v>0</v>
      </c>
      <c r="I8062">
        <v>0</v>
      </c>
      <c r="J8062">
        <v>-162.31549999999999</v>
      </c>
      <c r="K8062">
        <v>1.110951</v>
      </c>
      <c r="L8062">
        <v>137.94899999999899</v>
      </c>
      <c r="M8062">
        <v>0.99920949999999997</v>
      </c>
      <c r="N8062">
        <v>-1.328855E-2</v>
      </c>
      <c r="O8062">
        <v>3.7470620000000003E-2</v>
      </c>
      <c r="P8062">
        <v>0.80561490000000002</v>
      </c>
      <c r="Q8062">
        <v>0.59074459999999995</v>
      </c>
      <c r="R8062">
        <v>4.4785070000000003E-2</v>
      </c>
      <c r="S8062">
        <v>2.404388</v>
      </c>
      <c r="T8062">
        <v>1.795574</v>
      </c>
      <c r="U8062">
        <v>5.0338750000000002E-2</v>
      </c>
      <c r="V8062">
        <v>-1.2964949999999999E-2</v>
      </c>
      <c r="W8062">
        <v>0.60144900000000001</v>
      </c>
      <c r="X8062">
        <v>0.79880600000000002</v>
      </c>
      <c r="Y8062">
        <v>5.5771869999999999E-3</v>
      </c>
      <c r="Z8062">
        <v>2.7139420000000001E-2</v>
      </c>
      <c r="AA8062">
        <v>0.99961610000000001</v>
      </c>
      <c r="AB8062">
        <v>16</v>
      </c>
      <c r="AC8062">
        <v>2.404388</v>
      </c>
      <c r="AD8062">
        <v>1.795574</v>
      </c>
      <c r="AE8062">
        <v>5.0338750000000002E-2</v>
      </c>
      <c r="AF8062">
        <v>2.5553577358676301E-2</v>
      </c>
      <c r="AG8062">
        <v>1.795574</v>
      </c>
      <c r="AH8062">
        <v>1.5439231051454601</v>
      </c>
      <c r="AI8062">
        <v>40.694447321680798</v>
      </c>
      <c r="AJ8062">
        <v>89.051780195994297</v>
      </c>
      <c r="AK8062">
        <v>2.3682139956924999</v>
      </c>
      <c r="AL8062">
        <v>53.026255060486903</v>
      </c>
      <c r="AM8062">
        <v>90.929852428904795</v>
      </c>
      <c r="AN8062">
        <v>1.00000000758275</v>
      </c>
    </row>
    <row r="8063" spans="1:40" x14ac:dyDescent="0.25">
      <c r="A8063" t="str">
        <f>"20190304165040390"</f>
        <v>20190304165040390</v>
      </c>
      <c r="B8063" t="str">
        <f>"1551689440383987"</f>
        <v>1551689440383987</v>
      </c>
      <c r="C8063" t="s">
        <v>40</v>
      </c>
      <c r="D8063">
        <v>4.7902969999999998</v>
      </c>
      <c r="E8063">
        <v>0.50879849999999904</v>
      </c>
      <c r="F8063" t="s">
        <v>60</v>
      </c>
      <c r="G8063">
        <v>0</v>
      </c>
      <c r="H8063">
        <v>0</v>
      </c>
      <c r="I8063">
        <v>0</v>
      </c>
      <c r="J8063">
        <v>-162.14660000000001</v>
      </c>
      <c r="K8063">
        <v>1.1109910000000001</v>
      </c>
      <c r="L8063">
        <v>137.9521</v>
      </c>
      <c r="M8063">
        <v>0.99930450000000004</v>
      </c>
      <c r="N8063">
        <v>-1.3288499999999899E-2</v>
      </c>
      <c r="O8063">
        <v>3.4843310000000002E-2</v>
      </c>
      <c r="P8063">
        <v>0.80126509999999995</v>
      </c>
      <c r="Q8063">
        <v>0.59638690000000005</v>
      </c>
      <c r="R8063">
        <v>4.7926249999999997E-2</v>
      </c>
      <c r="S8063">
        <v>2.3986969999999999</v>
      </c>
      <c r="T8063">
        <v>1.802665</v>
      </c>
      <c r="U8063">
        <v>5.9234620000000002E-2</v>
      </c>
      <c r="V8063">
        <v>-1.841251E-2</v>
      </c>
      <c r="W8063">
        <v>0.607047</v>
      </c>
      <c r="X8063">
        <v>0.79445250000000001</v>
      </c>
      <c r="Y8063">
        <v>8.9916119999999995E-4</v>
      </c>
      <c r="Z8063">
        <v>2.3961929999999999E-2</v>
      </c>
      <c r="AA8063">
        <v>0.9997125</v>
      </c>
      <c r="AB8063">
        <v>16</v>
      </c>
      <c r="AC8063">
        <v>2.3986969999999999</v>
      </c>
      <c r="AD8063">
        <v>1.802665</v>
      </c>
      <c r="AE8063">
        <v>5.9234620000000002E-2</v>
      </c>
      <c r="AF8063">
        <v>1.55885421975102E-2</v>
      </c>
      <c r="AG8063">
        <v>1.802665</v>
      </c>
      <c r="AH8063">
        <v>1.5336547658115101</v>
      </c>
      <c r="AI8063">
        <v>40.3916271246243</v>
      </c>
      <c r="AJ8063">
        <v>89.417647999946894</v>
      </c>
      <c r="AK8063">
        <v>2.3668419984378302</v>
      </c>
      <c r="AL8063">
        <v>52.623710082266001</v>
      </c>
      <c r="AM8063">
        <v>91.327669415151703</v>
      </c>
      <c r="AN8063">
        <v>0.99999992774487201</v>
      </c>
    </row>
    <row r="8064" spans="1:40" x14ac:dyDescent="0.25">
      <c r="A8064" t="str">
        <f>"20190304165040410"</f>
        <v>20190304165040410</v>
      </c>
      <c r="B8064" t="str">
        <f>"1551689440403131"</f>
        <v>1551689440403131</v>
      </c>
      <c r="C8064" t="s">
        <v>40</v>
      </c>
      <c r="D8064">
        <v>4.8222959999999997</v>
      </c>
      <c r="E8064">
        <v>0.50842259999999995</v>
      </c>
      <c r="F8064" t="s">
        <v>60</v>
      </c>
      <c r="G8064">
        <v>0</v>
      </c>
      <c r="H8064">
        <v>0</v>
      </c>
      <c r="I8064">
        <v>0</v>
      </c>
      <c r="J8064">
        <v>-161.98830000000001</v>
      </c>
      <c r="K8064">
        <v>1.1110359999999999</v>
      </c>
      <c r="L8064">
        <v>137.9547</v>
      </c>
      <c r="M8064">
        <v>0.99938539999999998</v>
      </c>
      <c r="N8064">
        <v>-1.328789E-2</v>
      </c>
      <c r="O8064">
        <v>3.2443039999999999E-2</v>
      </c>
      <c r="P8064">
        <v>0.79751549999999904</v>
      </c>
      <c r="Q8064">
        <v>0.60114630000000002</v>
      </c>
      <c r="R8064">
        <v>5.0915090000000003E-2</v>
      </c>
      <c r="S8064">
        <v>2.3885040000000002</v>
      </c>
      <c r="T8064">
        <v>1.8156220000000001</v>
      </c>
      <c r="U8064">
        <v>7.0220950000000004E-2</v>
      </c>
      <c r="V8064">
        <v>-2.348517E-2</v>
      </c>
      <c r="W8064">
        <v>0.61176750000000002</v>
      </c>
      <c r="X8064">
        <v>0.79068890000000003</v>
      </c>
      <c r="Y8064">
        <v>-4.4232209999999998E-3</v>
      </c>
      <c r="Z8064">
        <v>2.0777070000000002E-2</v>
      </c>
      <c r="AA8064">
        <v>0.9997743</v>
      </c>
      <c r="AB8064">
        <v>16</v>
      </c>
      <c r="AC8064">
        <v>2.3885040000000002</v>
      </c>
      <c r="AD8064">
        <v>1.8156220000000001</v>
      </c>
      <c r="AE8064">
        <v>7.0220950000000004E-2</v>
      </c>
      <c r="AF8064">
        <v>4.6364335465842897E-3</v>
      </c>
      <c r="AG8064">
        <v>1.8156220000000001</v>
      </c>
      <c r="AH8064">
        <v>1.5149180242723499</v>
      </c>
      <c r="AI8064">
        <v>39.841064481869701</v>
      </c>
      <c r="AJ8064">
        <v>89.824645795654106</v>
      </c>
      <c r="AK8064">
        <v>2.3646313377914199</v>
      </c>
      <c r="AL8064">
        <v>52.282584460278599</v>
      </c>
      <c r="AM8064">
        <v>91.701308348663304</v>
      </c>
      <c r="AN8064">
        <v>0.99999998192469397</v>
      </c>
    </row>
    <row r="8065" spans="1:40" x14ac:dyDescent="0.25">
      <c r="A8065" t="str">
        <f>"20190304165040434"</f>
        <v>20190304165040434</v>
      </c>
      <c r="B8065" t="str">
        <f>"1551689440423627"</f>
        <v>1551689440423627</v>
      </c>
      <c r="C8065" t="s">
        <v>40</v>
      </c>
      <c r="D8065">
        <v>4.7902449999999996</v>
      </c>
      <c r="E8065">
        <v>0.50744160000000005</v>
      </c>
      <c r="F8065" t="s">
        <v>60</v>
      </c>
      <c r="G8065">
        <v>0</v>
      </c>
      <c r="H8065">
        <v>0</v>
      </c>
      <c r="I8065">
        <v>0</v>
      </c>
      <c r="J8065">
        <v>-161.82210000000001</v>
      </c>
      <c r="K8065">
        <v>1.1110709999999999</v>
      </c>
      <c r="L8065">
        <v>137.9572</v>
      </c>
      <c r="M8065">
        <v>0.99946210000000002</v>
      </c>
      <c r="N8065">
        <v>-1.328666E-2</v>
      </c>
      <c r="O8065">
        <v>2.9988589999999999E-2</v>
      </c>
      <c r="P8065">
        <v>0.79529850000000002</v>
      </c>
      <c r="Q8065">
        <v>0.60388280000000005</v>
      </c>
      <c r="R8065">
        <v>5.3161260000000002E-2</v>
      </c>
      <c r="S8065">
        <v>2.3767399999999999</v>
      </c>
      <c r="T8065">
        <v>1.8303780000000001</v>
      </c>
      <c r="U8065">
        <v>8.2107540000000007E-2</v>
      </c>
      <c r="V8065">
        <v>-2.7804079999999998E-2</v>
      </c>
      <c r="W8065">
        <v>0.61448159999999996</v>
      </c>
      <c r="X8065">
        <v>0.78844110000000001</v>
      </c>
      <c r="Y8065">
        <v>-1.0078180000000001E-2</v>
      </c>
      <c r="Z8065">
        <v>1.7404929999999999E-2</v>
      </c>
      <c r="AA8065">
        <v>0.99979770000000001</v>
      </c>
      <c r="AB8065">
        <v>16</v>
      </c>
      <c r="AC8065">
        <v>2.3767399999999999</v>
      </c>
      <c r="AD8065">
        <v>1.8303780000000001</v>
      </c>
      <c r="AE8065">
        <v>8.2107540000000007E-2</v>
      </c>
      <c r="AF8065">
        <v>-6.7755466651933296E-3</v>
      </c>
      <c r="AG8065">
        <v>1.8303780000000001</v>
      </c>
      <c r="AH8065">
        <v>1.49344609138927</v>
      </c>
      <c r="AI8065">
        <v>39.212058874419803</v>
      </c>
      <c r="AJ8065">
        <v>90.259940795027504</v>
      </c>
      <c r="AK8065">
        <v>2.3623528015100699</v>
      </c>
      <c r="AL8065">
        <v>52.0857395270613</v>
      </c>
      <c r="AM8065">
        <v>92.019677256606798</v>
      </c>
      <c r="AN8065">
        <v>1.0000000358862</v>
      </c>
    </row>
    <row r="8066" spans="1:40" x14ac:dyDescent="0.25">
      <c r="A8066" t="str">
        <f>"20190304165040456"</f>
        <v>20190304165040456</v>
      </c>
      <c r="B8066" t="str">
        <f>"1551689440453882"</f>
        <v>1551689440453882</v>
      </c>
      <c r="C8066" t="s">
        <v>40</v>
      </c>
      <c r="D8066">
        <v>4.8218500000000004</v>
      </c>
      <c r="E8066">
        <v>0.50709269999999995</v>
      </c>
      <c r="F8066" t="s">
        <v>60</v>
      </c>
      <c r="G8066">
        <v>0</v>
      </c>
      <c r="H8066">
        <v>0</v>
      </c>
      <c r="I8066">
        <v>0</v>
      </c>
      <c r="J8066">
        <v>-161.661</v>
      </c>
      <c r="K8066">
        <v>1.1111180000000001</v>
      </c>
      <c r="L8066">
        <v>137.95920000000001</v>
      </c>
      <c r="M8066">
        <v>0.99952859999999999</v>
      </c>
      <c r="N8066">
        <v>-1.328492E-2</v>
      </c>
      <c r="O8066">
        <v>2.7682459999999999E-2</v>
      </c>
      <c r="P8066">
        <v>0.79332950000000002</v>
      </c>
      <c r="Q8066">
        <v>0.60629880000000003</v>
      </c>
      <c r="R8066">
        <v>5.5049290000000001E-2</v>
      </c>
      <c r="S8066">
        <v>2.3665310000000002</v>
      </c>
      <c r="T8066">
        <v>1.8427450000000001</v>
      </c>
      <c r="U8066">
        <v>9.5993040000000002E-2</v>
      </c>
      <c r="V8066">
        <v>-3.1632859999999999E-2</v>
      </c>
      <c r="W8066">
        <v>0.61687590000000003</v>
      </c>
      <c r="X8066">
        <v>0.78642449999999997</v>
      </c>
      <c r="Y8066">
        <v>-1.6249679999999999E-2</v>
      </c>
      <c r="Z8066">
        <v>1.3868719999999999E-2</v>
      </c>
      <c r="AA8066">
        <v>0.99977179999999999</v>
      </c>
      <c r="AB8066">
        <v>16</v>
      </c>
      <c r="AC8066">
        <v>2.3665310000000002</v>
      </c>
      <c r="AD8066">
        <v>1.8427450000000001</v>
      </c>
      <c r="AE8066">
        <v>9.5993040000000002E-2</v>
      </c>
      <c r="AF8066">
        <v>-1.8961256608609402E-2</v>
      </c>
      <c r="AG8066">
        <v>1.8427450000000001</v>
      </c>
      <c r="AH8066">
        <v>1.47526155967534</v>
      </c>
      <c r="AI8066">
        <v>38.682313137518499</v>
      </c>
      <c r="AJ8066">
        <v>90.736371224632194</v>
      </c>
      <c r="AK8066">
        <v>2.3606069841743902</v>
      </c>
      <c r="AL8066">
        <v>51.9116468472414</v>
      </c>
      <c r="AM8066">
        <v>92.303403380001797</v>
      </c>
      <c r="AN8066">
        <v>1.0000000040164101</v>
      </c>
    </row>
    <row r="8067" spans="1:40" x14ac:dyDescent="0.25">
      <c r="A8067" t="str">
        <f>"20190304165040479"</f>
        <v>20190304165040479</v>
      </c>
      <c r="B8067" t="str">
        <f>"1551689440473402"</f>
        <v>1551689440473402</v>
      </c>
      <c r="C8067" t="s">
        <v>40</v>
      </c>
      <c r="D8067">
        <v>4.8564379999999998</v>
      </c>
      <c r="E8067">
        <v>0.50700339999999999</v>
      </c>
      <c r="F8067" t="s">
        <v>60</v>
      </c>
      <c r="G8067">
        <v>0</v>
      </c>
      <c r="H8067">
        <v>0</v>
      </c>
      <c r="I8067">
        <v>0</v>
      </c>
      <c r="J8067">
        <v>-161.4913</v>
      </c>
      <c r="K8067">
        <v>1.111181</v>
      </c>
      <c r="L8067">
        <v>137.96100000000001</v>
      </c>
      <c r="M8067">
        <v>0.9995908</v>
      </c>
      <c r="N8067">
        <v>-1.328264E-2</v>
      </c>
      <c r="O8067">
        <v>2.5337080000000001E-2</v>
      </c>
      <c r="P8067">
        <v>0.79115279999999999</v>
      </c>
      <c r="Q8067">
        <v>0.60896899999999998</v>
      </c>
      <c r="R8067">
        <v>5.6868229999999999E-2</v>
      </c>
      <c r="S8067">
        <v>2.3629910000000001</v>
      </c>
      <c r="T8067">
        <v>1.8466039999999999</v>
      </c>
      <c r="U8067">
        <v>0.104995699999999</v>
      </c>
      <c r="V8067">
        <v>-3.5426560000000003E-2</v>
      </c>
      <c r="W8067">
        <v>0.61952010000000002</v>
      </c>
      <c r="X8067">
        <v>0.78418100000000002</v>
      </c>
      <c r="Y8067">
        <v>-2.0666790000000001E-2</v>
      </c>
      <c r="Z8067">
        <v>1.077616E-2</v>
      </c>
      <c r="AA8067">
        <v>0.99972830000000001</v>
      </c>
      <c r="AB8067">
        <v>16</v>
      </c>
      <c r="AC8067">
        <v>2.3629910000000001</v>
      </c>
      <c r="AD8067">
        <v>1.8466039999999999</v>
      </c>
      <c r="AE8067">
        <v>0.104995699999999</v>
      </c>
      <c r="AF8067">
        <v>-2.80122326602797E-2</v>
      </c>
      <c r="AG8067">
        <v>1.8466039999999999</v>
      </c>
      <c r="AH8067">
        <v>1.46934265241713</v>
      </c>
      <c r="AI8067">
        <v>38.514335453717003</v>
      </c>
      <c r="AJ8067">
        <v>91.092181119365193</v>
      </c>
      <c r="AK8067">
        <v>2.3600209423237799</v>
      </c>
      <c r="AL8067">
        <v>51.718902721988599</v>
      </c>
      <c r="AM8067">
        <v>92.586664532720704</v>
      </c>
      <c r="AN8067">
        <v>1.0000000181092199</v>
      </c>
    </row>
    <row r="8068" spans="1:40" x14ac:dyDescent="0.25">
      <c r="A8068" t="str">
        <f>"20190304165040501"</f>
        <v>20190304165040501</v>
      </c>
      <c r="B8068" t="str">
        <f>"1551689440493743"</f>
        <v>1551689440493743</v>
      </c>
      <c r="C8068" t="s">
        <v>40</v>
      </c>
      <c r="D8068">
        <v>4.848827</v>
      </c>
      <c r="E8068">
        <v>0.50696019999999997</v>
      </c>
      <c r="F8068" t="s">
        <v>60</v>
      </c>
      <c r="G8068">
        <v>0</v>
      </c>
      <c r="H8068">
        <v>0</v>
      </c>
      <c r="I8068">
        <v>0</v>
      </c>
      <c r="J8068">
        <v>-161.32830000000001</v>
      </c>
      <c r="K8068">
        <v>1.1112200000000001</v>
      </c>
      <c r="L8068">
        <v>137.96250000000001</v>
      </c>
      <c r="M8068">
        <v>0.99964390000000003</v>
      </c>
      <c r="N8068">
        <v>-1.3280190000000001E-2</v>
      </c>
      <c r="O8068">
        <v>2.3147020000000001E-2</v>
      </c>
      <c r="P8068">
        <v>0.78842029999999996</v>
      </c>
      <c r="Q8068">
        <v>0.61247689999999999</v>
      </c>
      <c r="R8068">
        <v>5.7142180000000001E-2</v>
      </c>
      <c r="S8068">
        <v>2.357605</v>
      </c>
      <c r="T8068">
        <v>1.853043</v>
      </c>
      <c r="U8068">
        <v>0.11138919999999999</v>
      </c>
      <c r="V8068">
        <v>-3.7545050000000003E-2</v>
      </c>
      <c r="W8068">
        <v>0.62298980000000004</v>
      </c>
      <c r="X8068">
        <v>0.78132840000000003</v>
      </c>
      <c r="Y8068">
        <v>-2.4141800000000001E-2</v>
      </c>
      <c r="Z8068">
        <v>8.1067199999999996E-3</v>
      </c>
      <c r="AA8068">
        <v>0.99967569999999994</v>
      </c>
      <c r="AB8068">
        <v>16</v>
      </c>
      <c r="AC8068">
        <v>2.357605</v>
      </c>
      <c r="AD8068">
        <v>1.853043</v>
      </c>
      <c r="AE8068">
        <v>0.11138919999999999</v>
      </c>
      <c r="AF8068">
        <v>-3.51293703414816E-2</v>
      </c>
      <c r="AG8068">
        <v>1.853043</v>
      </c>
      <c r="AH8068">
        <v>1.4597600377647599</v>
      </c>
      <c r="AI8068">
        <v>38.2378197940373</v>
      </c>
      <c r="AJ8068">
        <v>91.378566468509405</v>
      </c>
      <c r="AK8068">
        <v>2.3592163530215999</v>
      </c>
      <c r="AL8068">
        <v>51.465204033885598</v>
      </c>
      <c r="AM8068">
        <v>92.751108825015095</v>
      </c>
      <c r="AN8068">
        <v>0.999999995165051</v>
      </c>
    </row>
    <row r="8069" spans="1:40" x14ac:dyDescent="0.25">
      <c r="A8069" t="str">
        <f>"20190304165040523"</f>
        <v>20190304165040523</v>
      </c>
      <c r="B8069" t="str">
        <f>"1551689440513259"</f>
        <v>1551689440513259</v>
      </c>
      <c r="C8069" t="s">
        <v>40</v>
      </c>
      <c r="D8069">
        <v>4.9092599999999997</v>
      </c>
      <c r="E8069">
        <v>0.50704709999999997</v>
      </c>
      <c r="F8069" t="s">
        <v>60</v>
      </c>
      <c r="G8069">
        <v>0</v>
      </c>
      <c r="H8069">
        <v>0</v>
      </c>
      <c r="I8069">
        <v>0</v>
      </c>
      <c r="J8069">
        <v>-161.1721</v>
      </c>
      <c r="K8069">
        <v>1.1112550000000001</v>
      </c>
      <c r="L8069">
        <v>137.96360000000001</v>
      </c>
      <c r="M8069">
        <v>0.99968900000000005</v>
      </c>
      <c r="N8069">
        <v>-1.3277850000000001E-2</v>
      </c>
      <c r="O8069">
        <v>2.1107819999999999E-2</v>
      </c>
      <c r="P8069">
        <v>0.78621730000000001</v>
      </c>
      <c r="Q8069">
        <v>0.61533070000000001</v>
      </c>
      <c r="R8069">
        <v>5.6839929999999997E-2</v>
      </c>
      <c r="S8069">
        <v>2.3506619999999998</v>
      </c>
      <c r="T8069">
        <v>1.8617159999999999</v>
      </c>
      <c r="U8069">
        <v>0.112854</v>
      </c>
      <c r="V8069">
        <v>-3.8938670000000002E-2</v>
      </c>
      <c r="W8069">
        <v>0.62581119999999901</v>
      </c>
      <c r="X8069">
        <v>0.77900199999999997</v>
      </c>
      <c r="Y8069">
        <v>-2.5890420000000001E-2</v>
      </c>
      <c r="Z8069">
        <v>6.1149350000000002E-3</v>
      </c>
      <c r="AA8069">
        <v>0.99964609999999998</v>
      </c>
      <c r="AB8069">
        <v>16</v>
      </c>
      <c r="AC8069">
        <v>2.3506619999999998</v>
      </c>
      <c r="AD8069">
        <v>1.8617159999999999</v>
      </c>
      <c r="AE8069">
        <v>0.112854</v>
      </c>
      <c r="AF8069">
        <v>-3.8877171635103999E-2</v>
      </c>
      <c r="AG8069">
        <v>1.8617159999999999</v>
      </c>
      <c r="AH8069">
        <v>1.44697835882341</v>
      </c>
      <c r="AI8069">
        <v>37.865379291898101</v>
      </c>
      <c r="AJ8069">
        <v>91.539043121736896</v>
      </c>
      <c r="AK8069">
        <v>2.3582290537675998</v>
      </c>
      <c r="AL8069">
        <v>51.258247688730599</v>
      </c>
      <c r="AM8069">
        <v>92.861566642778399</v>
      </c>
      <c r="AN8069">
        <v>0.99999999703540399</v>
      </c>
    </row>
    <row r="8070" spans="1:40" x14ac:dyDescent="0.25">
      <c r="A8070" t="str">
        <f>"20190304165040545"</f>
        <v>20190304165040545</v>
      </c>
      <c r="B8070" t="str">
        <f>"1551689440533756"</f>
        <v>1551689440533756</v>
      </c>
      <c r="C8070" t="s">
        <v>40</v>
      </c>
      <c r="D8070">
        <v>4.9149640000000003</v>
      </c>
      <c r="E8070">
        <v>0.50707919999999995</v>
      </c>
      <c r="F8070" t="s">
        <v>60</v>
      </c>
      <c r="G8070">
        <v>0</v>
      </c>
      <c r="H8070">
        <v>0</v>
      </c>
      <c r="I8070">
        <v>0</v>
      </c>
      <c r="J8070">
        <v>-161.0095</v>
      </c>
      <c r="K8070">
        <v>1.1113010000000001</v>
      </c>
      <c r="L8070">
        <v>137.96459999999999</v>
      </c>
      <c r="M8070">
        <v>0.99973049999999997</v>
      </c>
      <c r="N8070">
        <v>-1.3275189999999999E-2</v>
      </c>
      <c r="O8070">
        <v>1.9054390000000001E-2</v>
      </c>
      <c r="P8070">
        <v>0.78382259999999904</v>
      </c>
      <c r="Q8070">
        <v>0.61838400000000004</v>
      </c>
      <c r="R8070">
        <v>5.6776750000000001E-2</v>
      </c>
      <c r="S8070">
        <v>2.34552</v>
      </c>
      <c r="T8070">
        <v>1.868239</v>
      </c>
      <c r="U8070">
        <v>0.111419699999999</v>
      </c>
      <c r="V8070">
        <v>-4.0577589999999997E-2</v>
      </c>
      <c r="W8070">
        <v>0.62882950000000004</v>
      </c>
      <c r="X8070">
        <v>0.7764837</v>
      </c>
      <c r="Y8070">
        <v>-2.663511E-2</v>
      </c>
      <c r="Z8070">
        <v>4.4269699999999997E-3</v>
      </c>
      <c r="AA8070">
        <v>0.99963539999999995</v>
      </c>
      <c r="AB8070">
        <v>16</v>
      </c>
      <c r="AC8070">
        <v>2.34552</v>
      </c>
      <c r="AD8070">
        <v>1.868239</v>
      </c>
      <c r="AE8070">
        <v>0.111419699999999</v>
      </c>
      <c r="AF8070">
        <v>-4.0846814736616797E-2</v>
      </c>
      <c r="AG8070">
        <v>1.868239</v>
      </c>
      <c r="AH8070">
        <v>1.43736006894542</v>
      </c>
      <c r="AI8070">
        <v>37.584646458429802</v>
      </c>
      <c r="AJ8070">
        <v>91.627790030082295</v>
      </c>
      <c r="AK8070">
        <v>2.3575388419268801</v>
      </c>
      <c r="AL8070">
        <v>51.036182531337701</v>
      </c>
      <c r="AM8070">
        <v>92.991449430474006</v>
      </c>
      <c r="AN8070">
        <v>1.00000000862307</v>
      </c>
    </row>
    <row r="8071" spans="1:40" x14ac:dyDescent="0.25">
      <c r="A8071" t="str">
        <f>"20190304165040569"</f>
        <v>20190304165040569</v>
      </c>
      <c r="B8071" t="str">
        <f>"1551689440564012"</f>
        <v>1551689440564012</v>
      </c>
      <c r="C8071" t="s">
        <v>40</v>
      </c>
      <c r="D8071">
        <v>4.9215359999999997</v>
      </c>
      <c r="E8071">
        <v>0.50724519999999995</v>
      </c>
      <c r="F8071" t="s">
        <v>60</v>
      </c>
      <c r="G8071">
        <v>0</v>
      </c>
      <c r="H8071">
        <v>0</v>
      </c>
      <c r="I8071">
        <v>0</v>
      </c>
      <c r="J8071">
        <v>-160.83709999999999</v>
      </c>
      <c r="K8071">
        <v>1.1113459999999999</v>
      </c>
      <c r="L8071">
        <v>137.96530000000001</v>
      </c>
      <c r="M8071">
        <v>0.99976810000000005</v>
      </c>
      <c r="N8071">
        <v>-1.327182E-2</v>
      </c>
      <c r="O8071">
        <v>1.696162E-2</v>
      </c>
      <c r="P8071">
        <v>0.78210789999999997</v>
      </c>
      <c r="Q8071">
        <v>0.62054619999999905</v>
      </c>
      <c r="R8071">
        <v>5.6832090000000002E-2</v>
      </c>
      <c r="S8071">
        <v>2.3404539999999998</v>
      </c>
      <c r="T8071">
        <v>1.8745270000000001</v>
      </c>
      <c r="U8071">
        <v>0.1113586</v>
      </c>
      <c r="V8071">
        <v>-4.2356039999999998E-2</v>
      </c>
      <c r="W8071">
        <v>0.63096490000000005</v>
      </c>
      <c r="X8071">
        <v>0.77465430000000002</v>
      </c>
      <c r="Y8071">
        <v>-2.7845769999999999E-2</v>
      </c>
      <c r="Z8071">
        <v>2.5354399999999999E-3</v>
      </c>
      <c r="AA8071">
        <v>0.99960899999999997</v>
      </c>
      <c r="AB8071">
        <v>16</v>
      </c>
      <c r="AC8071">
        <v>2.3404539999999998</v>
      </c>
      <c r="AD8071">
        <v>1.8745270000000001</v>
      </c>
      <c r="AE8071">
        <v>0.1113586</v>
      </c>
      <c r="AF8071">
        <v>-4.3682823217607303E-2</v>
      </c>
      <c r="AG8071">
        <v>1.8745270000000001</v>
      </c>
      <c r="AH8071">
        <v>1.42802545341262</v>
      </c>
      <c r="AI8071">
        <v>37.313275753820299</v>
      </c>
      <c r="AJ8071">
        <v>91.752112457261703</v>
      </c>
      <c r="AK8071">
        <v>2.35690822018329</v>
      </c>
      <c r="AL8071">
        <v>50.878653512957101</v>
      </c>
      <c r="AM8071">
        <v>93.129664727447903</v>
      </c>
      <c r="AN8071">
        <v>1.0000000118324901</v>
      </c>
    </row>
    <row r="8072" spans="1:40" x14ac:dyDescent="0.25">
      <c r="A8072" t="str">
        <f>"20190304165040590"</f>
        <v>20190304165040590</v>
      </c>
      <c r="B8072" t="str">
        <f>"1551689440583531"</f>
        <v>1551689440583531</v>
      </c>
      <c r="C8072" t="s">
        <v>40</v>
      </c>
      <c r="D8072">
        <v>4.9460989999999896</v>
      </c>
      <c r="E8072">
        <v>0.50730710000000001</v>
      </c>
      <c r="F8072" t="s">
        <v>60</v>
      </c>
      <c r="G8072">
        <v>0</v>
      </c>
      <c r="H8072">
        <v>0</v>
      </c>
      <c r="I8072">
        <v>0</v>
      </c>
      <c r="J8072">
        <v>-160.679</v>
      </c>
      <c r="K8072">
        <v>1.111391</v>
      </c>
      <c r="L8072">
        <v>137.9657</v>
      </c>
      <c r="M8072">
        <v>0.99979750000000001</v>
      </c>
      <c r="N8072">
        <v>-1.32682999999999E-2</v>
      </c>
      <c r="O8072">
        <v>1.512666E-2</v>
      </c>
      <c r="P8072">
        <v>0.78091840000000001</v>
      </c>
      <c r="Q8072">
        <v>0.62202639999999998</v>
      </c>
      <c r="R8072">
        <v>5.7006000000000001E-2</v>
      </c>
      <c r="S8072">
        <v>2.3393860000000002</v>
      </c>
      <c r="T8072">
        <v>1.875842</v>
      </c>
      <c r="U8072">
        <v>0.1107788</v>
      </c>
      <c r="V8072">
        <v>-4.4045859999999999E-2</v>
      </c>
      <c r="W8072">
        <v>0.63242390000000004</v>
      </c>
      <c r="X8072">
        <v>0.77336919999999898</v>
      </c>
      <c r="Y8072">
        <v>-2.8684680000000001E-2</v>
      </c>
      <c r="Z8072">
        <v>9.38707E-4</v>
      </c>
      <c r="AA8072">
        <v>0.99958809999999998</v>
      </c>
      <c r="AB8072">
        <v>16</v>
      </c>
      <c r="AC8072">
        <v>2.3393860000000002</v>
      </c>
      <c r="AD8072">
        <v>1.875842</v>
      </c>
      <c r="AE8072">
        <v>0.1107788</v>
      </c>
      <c r="AF8072">
        <v>-4.5918123333638199E-2</v>
      </c>
      <c r="AG8072">
        <v>1.875842</v>
      </c>
      <c r="AH8072">
        <v>1.4259844488673701</v>
      </c>
      <c r="AI8072">
        <v>37.255808618757698</v>
      </c>
      <c r="AJ8072">
        <v>91.844344026327903</v>
      </c>
      <c r="AK8072">
        <v>2.3567611952478398</v>
      </c>
      <c r="AL8072">
        <v>50.770818003169801</v>
      </c>
      <c r="AM8072">
        <v>93.259657304798097</v>
      </c>
      <c r="AN8072">
        <v>0.99999997329149404</v>
      </c>
    </row>
    <row r="8073" spans="1:40" x14ac:dyDescent="0.25">
      <c r="A8073" t="str">
        <f>"20190304165040612"</f>
        <v>20190304165040612</v>
      </c>
      <c r="B8073" t="str">
        <f>"1551689440603655"</f>
        <v>1551689440603655</v>
      </c>
      <c r="C8073" t="s">
        <v>40</v>
      </c>
      <c r="D8073">
        <v>5.0000989999999996</v>
      </c>
      <c r="E8073">
        <v>0.50960479999999997</v>
      </c>
      <c r="F8073" t="s">
        <v>60</v>
      </c>
      <c r="G8073">
        <v>0</v>
      </c>
      <c r="H8073">
        <v>0</v>
      </c>
      <c r="I8073">
        <v>0</v>
      </c>
      <c r="J8073">
        <v>-160.5249</v>
      </c>
      <c r="K8073">
        <v>1.1114440000000001</v>
      </c>
      <c r="L8073">
        <v>137.96600000000001</v>
      </c>
      <c r="M8073">
        <v>0.99982199999999999</v>
      </c>
      <c r="N8073">
        <v>-1.3264639999999999E-2</v>
      </c>
      <c r="O8073">
        <v>1.342027E-2</v>
      </c>
      <c r="P8073">
        <v>0.78016799999999997</v>
      </c>
      <c r="Q8073">
        <v>0.62291160000000001</v>
      </c>
      <c r="R8073">
        <v>5.7612450000000003E-2</v>
      </c>
      <c r="S8073">
        <v>2.337234</v>
      </c>
      <c r="T8073">
        <v>1.8785000000000001</v>
      </c>
      <c r="U8073">
        <v>0.11114499999999999</v>
      </c>
      <c r="V8073">
        <v>-4.606888E-2</v>
      </c>
      <c r="W8073">
        <v>0.63329340000000001</v>
      </c>
      <c r="X8073">
        <v>0.77253939999999999</v>
      </c>
      <c r="Y8073">
        <v>-2.9775670000000001E-2</v>
      </c>
      <c r="Z8073">
        <v>-6.5675939999999995E-4</v>
      </c>
      <c r="AA8073">
        <v>0.99955640000000001</v>
      </c>
      <c r="AB8073">
        <v>16</v>
      </c>
      <c r="AC8073">
        <v>2.337234</v>
      </c>
      <c r="AD8073">
        <v>1.8785000000000001</v>
      </c>
      <c r="AE8073">
        <v>0.11114499999999999</v>
      </c>
      <c r="AF8073">
        <v>-4.8504046968712501E-2</v>
      </c>
      <c r="AG8073">
        <v>1.8785000000000001</v>
      </c>
      <c r="AH8073">
        <v>1.4220039421270501</v>
      </c>
      <c r="AI8073">
        <v>37.141354592016</v>
      </c>
      <c r="AJ8073">
        <v>91.953581182989296</v>
      </c>
      <c r="AK8073">
        <v>2.3565250060199299</v>
      </c>
      <c r="AL8073">
        <v>50.7064761708844</v>
      </c>
      <c r="AM8073">
        <v>93.412680585558604</v>
      </c>
      <c r="AN8073">
        <v>0.99999999837018705</v>
      </c>
    </row>
    <row r="8074" spans="1:40" x14ac:dyDescent="0.25">
      <c r="A8074" t="str">
        <f>"20190304165040634"</f>
        <v>20190304165040634</v>
      </c>
      <c r="B8074" t="str">
        <f>"1551689440624151"</f>
        <v>1551689440624151</v>
      </c>
      <c r="C8074" t="s">
        <v>40</v>
      </c>
      <c r="D8074">
        <v>4.9375260000000001</v>
      </c>
      <c r="E8074">
        <v>0.50868749999999996</v>
      </c>
      <c r="F8074" t="s">
        <v>60</v>
      </c>
      <c r="G8074">
        <v>0</v>
      </c>
      <c r="H8074">
        <v>0</v>
      </c>
      <c r="I8074">
        <v>0</v>
      </c>
      <c r="J8074">
        <v>-160.36109999999999</v>
      </c>
      <c r="K8074">
        <v>1.1115109999999999</v>
      </c>
      <c r="L8074">
        <v>137.96600000000001</v>
      </c>
      <c r="M8074">
        <v>0.99984360000000005</v>
      </c>
      <c r="N8074">
        <v>-1.326067E-2</v>
      </c>
      <c r="O8074">
        <v>1.1703979999999999E-2</v>
      </c>
      <c r="P8074">
        <v>0.77806909999999996</v>
      </c>
      <c r="Q8074">
        <v>0.62550280000000003</v>
      </c>
      <c r="R8074">
        <v>5.791996E-2</v>
      </c>
      <c r="S8074">
        <v>2.3835299999999999</v>
      </c>
      <c r="T8074">
        <v>1.821345</v>
      </c>
      <c r="U8074">
        <v>0.1026001</v>
      </c>
      <c r="V8074">
        <v>-4.7827790000000002E-2</v>
      </c>
      <c r="W8074">
        <v>0.63584839999999998</v>
      </c>
      <c r="X8074">
        <v>0.77033069999999904</v>
      </c>
      <c r="Y8074">
        <v>-2.7493920000000002E-2</v>
      </c>
      <c r="Z8074">
        <v>-1.042692E-3</v>
      </c>
      <c r="AA8074">
        <v>0.99962150000000005</v>
      </c>
      <c r="AB8074">
        <v>16</v>
      </c>
      <c r="AC8074">
        <v>2.3835299999999999</v>
      </c>
      <c r="AD8074">
        <v>1.821345</v>
      </c>
      <c r="AE8074">
        <v>0.1026001</v>
      </c>
      <c r="AF8074">
        <v>-4.71901598178779E-2</v>
      </c>
      <c r="AG8074">
        <v>1.821345</v>
      </c>
      <c r="AH8074">
        <v>1.5065250532126799</v>
      </c>
      <c r="AI8074">
        <v>39.609641940470702</v>
      </c>
      <c r="AJ8074">
        <v>91.794137574878405</v>
      </c>
      <c r="AK8074">
        <v>2.3641366830549599</v>
      </c>
      <c r="AL8074">
        <v>50.517064566443104</v>
      </c>
      <c r="AM8074">
        <v>93.552782531992094</v>
      </c>
      <c r="AN8074">
        <v>1.00000003632066</v>
      </c>
    </row>
    <row r="8075" spans="1:40" x14ac:dyDescent="0.25">
      <c r="A8075" t="str">
        <f>"20190304165040658"</f>
        <v>20190304165040658</v>
      </c>
      <c r="B8075" t="str">
        <f>"1551689440653431"</f>
        <v>1551689440653431</v>
      </c>
      <c r="C8075" t="s">
        <v>40</v>
      </c>
      <c r="D8075">
        <v>5.0440139999999998</v>
      </c>
      <c r="E8075">
        <v>0.50336859999999894</v>
      </c>
      <c r="F8075" t="s">
        <v>60</v>
      </c>
      <c r="G8075">
        <v>0</v>
      </c>
      <c r="H8075">
        <v>0</v>
      </c>
      <c r="I8075">
        <v>0</v>
      </c>
      <c r="J8075">
        <v>-160.19239999999999</v>
      </c>
      <c r="K8075">
        <v>1.1116029999999999</v>
      </c>
      <c r="L8075">
        <v>137.96600000000001</v>
      </c>
      <c r="M8075">
        <v>0.99986149999999996</v>
      </c>
      <c r="N8075">
        <v>-1.325642E-2</v>
      </c>
      <c r="O8075">
        <v>1.006218E-2</v>
      </c>
      <c r="P8075">
        <v>0.77363579999999998</v>
      </c>
      <c r="Q8075">
        <v>0.63098719999999997</v>
      </c>
      <c r="R8075">
        <v>5.7817269999999997E-2</v>
      </c>
      <c r="S8075">
        <v>2.3781430000000001</v>
      </c>
      <c r="T8075">
        <v>1.8276600000000001</v>
      </c>
      <c r="U8075">
        <v>0.1110077</v>
      </c>
      <c r="V8075">
        <v>-4.9140000000000003E-2</v>
      </c>
      <c r="W8075">
        <v>0.64126329999999998</v>
      </c>
      <c r="X8075">
        <v>0.76574589999999998</v>
      </c>
      <c r="Y8075">
        <v>-3.1304510000000001E-2</v>
      </c>
      <c r="Z8075">
        <v>-3.4501430000000001E-3</v>
      </c>
      <c r="AA8075">
        <v>0.9995039</v>
      </c>
      <c r="AB8075">
        <v>16</v>
      </c>
      <c r="AC8075">
        <v>2.3781430000000001</v>
      </c>
      <c r="AD8075">
        <v>1.8276600000000001</v>
      </c>
      <c r="AE8075">
        <v>0.1110077</v>
      </c>
      <c r="AF8075">
        <v>-5.47839962249397E-2</v>
      </c>
      <c r="AG8075">
        <v>1.8276600000000001</v>
      </c>
      <c r="AH8075">
        <v>1.49693086260103</v>
      </c>
      <c r="AI8075">
        <v>39.337724881918</v>
      </c>
      <c r="AJ8075">
        <v>92.095949507115193</v>
      </c>
      <c r="AK8075">
        <v>2.3630794250828302</v>
      </c>
      <c r="AL8075">
        <v>50.1139181938779</v>
      </c>
      <c r="AM8075">
        <v>93.671791431048504</v>
      </c>
      <c r="AN8075">
        <v>1.00000007144684</v>
      </c>
    </row>
    <row r="8076" spans="1:40" x14ac:dyDescent="0.25">
      <c r="A8076" t="str">
        <f>"20190304165040679"</f>
        <v>20190304165040679</v>
      </c>
      <c r="B8076" t="str">
        <f>"1551689440673930"</f>
        <v>1551689440673930</v>
      </c>
      <c r="C8076" t="s">
        <v>40</v>
      </c>
      <c r="D8076">
        <v>5.0935600000000001</v>
      </c>
      <c r="E8076">
        <v>0.5027703</v>
      </c>
      <c r="F8076" t="s">
        <v>60</v>
      </c>
      <c r="G8076">
        <v>0</v>
      </c>
      <c r="H8076">
        <v>0</v>
      </c>
      <c r="I8076">
        <v>0</v>
      </c>
      <c r="J8076">
        <v>-160.03460000000001</v>
      </c>
      <c r="K8076">
        <v>1.1116919999999999</v>
      </c>
      <c r="L8076">
        <v>137.9659</v>
      </c>
      <c r="M8076">
        <v>0.99987479999999995</v>
      </c>
      <c r="N8076">
        <v>-1.325229E-2</v>
      </c>
      <c r="O8076">
        <v>8.6397169999999999E-3</v>
      </c>
      <c r="P8076">
        <v>0.7670979</v>
      </c>
      <c r="Q8076">
        <v>0.63884879999999999</v>
      </c>
      <c r="R8076">
        <v>5.8592039999999998E-2</v>
      </c>
      <c r="S8076">
        <v>2.1699519999999999</v>
      </c>
      <c r="T8076">
        <v>2.082856</v>
      </c>
      <c r="U8076">
        <v>0.1208038</v>
      </c>
      <c r="V8076">
        <v>-5.1155440000000003E-2</v>
      </c>
      <c r="W8076">
        <v>0.64902879999999996</v>
      </c>
      <c r="X8076">
        <v>0.75904199999999999</v>
      </c>
      <c r="Y8076">
        <v>-3.6564989999999999E-2</v>
      </c>
      <c r="Z8076">
        <v>-7.3782409999999998E-3</v>
      </c>
      <c r="AA8076">
        <v>0.99930410000000003</v>
      </c>
      <c r="AB8076">
        <v>16</v>
      </c>
      <c r="AC8076">
        <v>2.1699519999999999</v>
      </c>
      <c r="AD8076">
        <v>2.082856</v>
      </c>
      <c r="AE8076">
        <v>0.1208038</v>
      </c>
      <c r="AF8076">
        <v>-5.3192815473415603E-2</v>
      </c>
      <c r="AG8076">
        <v>2.082856</v>
      </c>
      <c r="AH8076">
        <v>1.1315748702917501</v>
      </c>
      <c r="AI8076">
        <v>28.540899833834501</v>
      </c>
      <c r="AJ8076">
        <v>92.691365808486097</v>
      </c>
      <c r="AK8076">
        <v>2.3709871951214301</v>
      </c>
      <c r="AL8076">
        <v>49.531582972074197</v>
      </c>
      <c r="AM8076">
        <v>93.8556038997054</v>
      </c>
      <c r="AN8076">
        <v>1.0000000100175099</v>
      </c>
    </row>
    <row r="8077" spans="1:40" x14ac:dyDescent="0.25">
      <c r="A8077" t="str">
        <f>"20190304165040702"</f>
        <v>20190304165040702</v>
      </c>
      <c r="B8077" t="str">
        <f>"1551689440693448"</f>
        <v>1551689440693448</v>
      </c>
      <c r="C8077" t="s">
        <v>40</v>
      </c>
      <c r="D8077">
        <v>5.0409600000000001</v>
      </c>
      <c r="E8077">
        <v>0.50233720000000004</v>
      </c>
      <c r="F8077" t="s">
        <v>60</v>
      </c>
      <c r="G8077">
        <v>0</v>
      </c>
      <c r="H8077">
        <v>0</v>
      </c>
      <c r="I8077">
        <v>0</v>
      </c>
      <c r="J8077">
        <v>-159.8783</v>
      </c>
      <c r="K8077">
        <v>1.111748</v>
      </c>
      <c r="L8077">
        <v>137.96559999999999</v>
      </c>
      <c r="M8077">
        <v>0.99988549999999998</v>
      </c>
      <c r="N8077">
        <v>-1.3248340000000001E-2</v>
      </c>
      <c r="O8077">
        <v>7.3249459999999997E-3</v>
      </c>
      <c r="P8077">
        <v>0.76338359999999905</v>
      </c>
      <c r="Q8077">
        <v>0.64311390000000002</v>
      </c>
      <c r="R8077">
        <v>6.0417789999999999E-2</v>
      </c>
      <c r="S8077">
        <v>2.0870359999999999</v>
      </c>
      <c r="T8077">
        <v>2.1792180000000001</v>
      </c>
      <c r="U8077">
        <v>0.1167145</v>
      </c>
      <c r="V8077">
        <v>-5.40896999999999E-2</v>
      </c>
      <c r="W8077">
        <v>0.65323779999999998</v>
      </c>
      <c r="X8077">
        <v>0.75521830000000001</v>
      </c>
      <c r="Y8077">
        <v>-3.6103900000000001E-2</v>
      </c>
      <c r="Z8077">
        <v>-8.7943889999999997E-3</v>
      </c>
      <c r="AA8077">
        <v>0.99930940000000001</v>
      </c>
      <c r="AB8077">
        <v>16</v>
      </c>
      <c r="AC8077">
        <v>2.0870359999999999</v>
      </c>
      <c r="AD8077">
        <v>2.1792180000000001</v>
      </c>
      <c r="AE8077">
        <v>0.1167145</v>
      </c>
      <c r="AF8077">
        <v>-4.8599892705960698E-2</v>
      </c>
      <c r="AG8077">
        <v>2.1792180000000001</v>
      </c>
      <c r="AH8077">
        <v>1.00045310600017</v>
      </c>
      <c r="AI8077">
        <v>24.6849064202985</v>
      </c>
      <c r="AJ8077">
        <v>92.781121338540302</v>
      </c>
      <c r="AK8077">
        <v>2.39838684502738</v>
      </c>
      <c r="AL8077">
        <v>49.213834699701501</v>
      </c>
      <c r="AM8077">
        <v>94.096601869520597</v>
      </c>
      <c r="AN8077">
        <v>0.99999999982490995</v>
      </c>
    </row>
    <row r="8078" spans="1:40" x14ac:dyDescent="0.25">
      <c r="A8078" t="str">
        <f>"20190304165040723"</f>
        <v>20190304165040723</v>
      </c>
      <c r="B8078" t="str">
        <f>"1551689440713944"</f>
        <v>1551689440713944</v>
      </c>
      <c r="C8078" t="s">
        <v>40</v>
      </c>
      <c r="D8078">
        <v>5.1114329999999999</v>
      </c>
      <c r="E8078">
        <v>0.50215299999999996</v>
      </c>
      <c r="F8078" t="s">
        <v>60</v>
      </c>
      <c r="G8078">
        <v>0</v>
      </c>
      <c r="H8078">
        <v>0</v>
      </c>
      <c r="I8078">
        <v>0</v>
      </c>
      <c r="J8078">
        <v>-159.7201</v>
      </c>
      <c r="K8078">
        <v>1.1118030000000001</v>
      </c>
      <c r="L8078">
        <v>137.96520000000001</v>
      </c>
      <c r="M8078">
        <v>0.99989380000000005</v>
      </c>
      <c r="N8078">
        <v>-1.324446E-2</v>
      </c>
      <c r="O8078">
        <v>6.0895009999999998E-3</v>
      </c>
      <c r="P8078">
        <v>0.76116669999999997</v>
      </c>
      <c r="Q8078">
        <v>0.64550019999999997</v>
      </c>
      <c r="R8078">
        <v>6.2886490000000003E-2</v>
      </c>
      <c r="S8078">
        <v>2.0444490000000002</v>
      </c>
      <c r="T8078">
        <v>2.22675</v>
      </c>
      <c r="U8078">
        <v>0.1199799</v>
      </c>
      <c r="V8078">
        <v>-5.7579699999999998E-2</v>
      </c>
      <c r="W8078">
        <v>0.65558899999999998</v>
      </c>
      <c r="X8078">
        <v>0.75291940000000002</v>
      </c>
      <c r="Y8078">
        <v>-3.77778E-2</v>
      </c>
      <c r="Z8078">
        <v>-1.0881170000000001E-2</v>
      </c>
      <c r="AA8078">
        <v>0.99922690000000003</v>
      </c>
      <c r="AB8078">
        <v>16</v>
      </c>
      <c r="AC8078">
        <v>2.0444490000000002</v>
      </c>
      <c r="AD8078">
        <v>2.22675</v>
      </c>
      <c r="AE8078">
        <v>0.1199799</v>
      </c>
      <c r="AF8078">
        <v>-4.92741590232912E-2</v>
      </c>
      <c r="AG8078">
        <v>2.22675</v>
      </c>
      <c r="AH8078">
        <v>0.93718531745846001</v>
      </c>
      <c r="AI8078">
        <v>22.8533394579241</v>
      </c>
      <c r="AJ8078">
        <v>93.009654759849298</v>
      </c>
      <c r="AK8078">
        <v>2.41643535491996</v>
      </c>
      <c r="AL8078">
        <v>49.035673389803598</v>
      </c>
      <c r="AM8078">
        <v>94.373196872945201</v>
      </c>
      <c r="AN8078">
        <v>0.99999999083472502</v>
      </c>
    </row>
    <row r="8079" spans="1:40" x14ac:dyDescent="0.25">
      <c r="A8079" t="str">
        <f>"20190304165040758"</f>
        <v>20190304165040758</v>
      </c>
      <c r="B8079" t="str">
        <f>"1551689440753962"</f>
        <v>1551689440753962</v>
      </c>
      <c r="C8079" t="s">
        <v>40</v>
      </c>
      <c r="D8079">
        <v>5.0778889999999999</v>
      </c>
      <c r="E8079">
        <v>0.50269350000000002</v>
      </c>
      <c r="F8079" t="s">
        <v>60</v>
      </c>
      <c r="G8079">
        <v>0</v>
      </c>
      <c r="H8079">
        <v>0</v>
      </c>
      <c r="I8079">
        <v>0</v>
      </c>
      <c r="J8079">
        <v>-159.47669999999999</v>
      </c>
      <c r="K8079">
        <v>1.1118870000000001</v>
      </c>
      <c r="L8079">
        <v>137.96449999999999</v>
      </c>
      <c r="M8079">
        <v>0.99990279999999998</v>
      </c>
      <c r="N8079">
        <v>-1.323877E-2</v>
      </c>
      <c r="O8079">
        <v>4.3786780000000004E-3</v>
      </c>
      <c r="P8079">
        <v>0.75910239999999995</v>
      </c>
      <c r="Q8079">
        <v>0.64784679999999994</v>
      </c>
      <c r="R8079">
        <v>6.3703860000000001E-2</v>
      </c>
      <c r="S8079">
        <v>2.0235750000000001</v>
      </c>
      <c r="T8079">
        <v>2.249104</v>
      </c>
      <c r="U8079">
        <v>0.12609860000000001</v>
      </c>
      <c r="V8079">
        <v>-5.9807730000000003E-2</v>
      </c>
      <c r="W8079">
        <v>0.65789540000000002</v>
      </c>
      <c r="X8079">
        <v>0.75073080000000003</v>
      </c>
      <c r="Y8079">
        <v>-4.0436479999999997E-2</v>
      </c>
      <c r="Z8079">
        <v>-1.373809E-2</v>
      </c>
      <c r="AA8079">
        <v>0.99908770000000002</v>
      </c>
      <c r="AB8079">
        <v>16</v>
      </c>
      <c r="AC8079">
        <v>2.0235750000000001</v>
      </c>
      <c r="AD8079">
        <v>2.249104</v>
      </c>
      <c r="AE8079">
        <v>0.12609860000000001</v>
      </c>
      <c r="AF8079">
        <v>-5.2559378842452903E-2</v>
      </c>
      <c r="AG8079">
        <v>2.249104</v>
      </c>
      <c r="AH8079">
        <v>0.90745009946948996</v>
      </c>
      <c r="AI8079">
        <v>22.005999046931901</v>
      </c>
      <c r="AJ8079">
        <v>93.314859796095803</v>
      </c>
      <c r="AK8079">
        <v>2.4258394370088601</v>
      </c>
      <c r="AL8079">
        <v>48.860440533646297</v>
      </c>
      <c r="AM8079">
        <v>94.554906426976004</v>
      </c>
      <c r="AN8079">
        <v>1.00000002798877</v>
      </c>
    </row>
    <row r="8080" spans="1:40" x14ac:dyDescent="0.25">
      <c r="A8080" t="str">
        <f>"20190304165040781"</f>
        <v>20190304165040781</v>
      </c>
      <c r="B8080" t="str">
        <f>"1551689440773479"</f>
        <v>1551689440773479</v>
      </c>
      <c r="C8080" t="s">
        <v>40</v>
      </c>
      <c r="D8080">
        <v>5.0935899999999998</v>
      </c>
      <c r="E8080">
        <v>0.50284830000000003</v>
      </c>
      <c r="F8080" t="s">
        <v>60</v>
      </c>
      <c r="G8080">
        <v>0</v>
      </c>
      <c r="H8080">
        <v>0</v>
      </c>
      <c r="I8080">
        <v>0</v>
      </c>
      <c r="J8080">
        <v>-159.3115</v>
      </c>
      <c r="K8080">
        <v>1.1119589999999999</v>
      </c>
      <c r="L8080">
        <v>137.9639</v>
      </c>
      <c r="M8080">
        <v>0.99990690000000004</v>
      </c>
      <c r="N8080">
        <v>-1.323497E-2</v>
      </c>
      <c r="O8080">
        <v>3.3547099999999999E-3</v>
      </c>
      <c r="P8080">
        <v>0.75418649999999998</v>
      </c>
      <c r="Q8080">
        <v>0.65351400000000004</v>
      </c>
      <c r="R8080">
        <v>6.4207780000000006E-2</v>
      </c>
      <c r="S8080">
        <v>2.0124970000000002</v>
      </c>
      <c r="T8080">
        <v>2.260424</v>
      </c>
      <c r="U8080">
        <v>0.12402340000000001</v>
      </c>
      <c r="V8080">
        <v>-6.1176719999999997E-2</v>
      </c>
      <c r="W8080">
        <v>0.66348779999999996</v>
      </c>
      <c r="X8080">
        <v>0.74568179999999995</v>
      </c>
      <c r="Y8080">
        <v>-4.010176E-2</v>
      </c>
      <c r="Z8080">
        <v>-1.4618590000000001E-2</v>
      </c>
      <c r="AA8080">
        <v>0.99908859999999999</v>
      </c>
      <c r="AB8080">
        <v>16</v>
      </c>
      <c r="AC8080">
        <v>2.0124970000000002</v>
      </c>
      <c r="AD8080">
        <v>2.260424</v>
      </c>
      <c r="AE8080">
        <v>0.12402340000000001</v>
      </c>
      <c r="AF8080">
        <v>-5.1963502612105E-2</v>
      </c>
      <c r="AG8080">
        <v>2.260424</v>
      </c>
      <c r="AH8080">
        <v>0.89193094476884305</v>
      </c>
      <c r="AI8080">
        <v>21.566645476954001</v>
      </c>
      <c r="AJ8080">
        <v>93.334257845501398</v>
      </c>
      <c r="AK8080">
        <v>2.4305879279746199</v>
      </c>
      <c r="AL8080">
        <v>48.433582108695497</v>
      </c>
      <c r="AM8080">
        <v>94.690117552030202</v>
      </c>
      <c r="AN8080">
        <v>0.99999999933501904</v>
      </c>
    </row>
    <row r="8081" spans="1:40" x14ac:dyDescent="0.25">
      <c r="A8081" t="str">
        <f>"20190304165040804"</f>
        <v>20190304165040804</v>
      </c>
      <c r="B8081" t="str">
        <f>"1551689440793486"</f>
        <v>1551689440793486</v>
      </c>
      <c r="C8081" t="s">
        <v>40</v>
      </c>
      <c r="D8081">
        <v>5.0969069999999999</v>
      </c>
      <c r="E8081">
        <v>0.50308839999999999</v>
      </c>
      <c r="F8081" t="s">
        <v>60</v>
      </c>
      <c r="G8081">
        <v>0</v>
      </c>
      <c r="H8081">
        <v>0</v>
      </c>
      <c r="I8081">
        <v>0</v>
      </c>
      <c r="J8081">
        <v>-159.14940000000001</v>
      </c>
      <c r="K8081">
        <v>1.1120139999999901</v>
      </c>
      <c r="L8081">
        <v>137.9633</v>
      </c>
      <c r="M8081">
        <v>0.99990959999999995</v>
      </c>
      <c r="N8081">
        <v>-1.3231440000000001E-2</v>
      </c>
      <c r="O8081">
        <v>2.4321709999999999E-3</v>
      </c>
      <c r="P8081">
        <v>0.75089050000000002</v>
      </c>
      <c r="Q8081">
        <v>0.657107199999999</v>
      </c>
      <c r="R8081">
        <v>6.6133709999999998E-2</v>
      </c>
      <c r="S8081">
        <v>1.9969330000000001</v>
      </c>
      <c r="T8081">
        <v>2.2737829999999999</v>
      </c>
      <c r="U8081">
        <v>0.12442019999999999</v>
      </c>
      <c r="V8081">
        <v>-6.3873990000000005E-2</v>
      </c>
      <c r="W8081">
        <v>0.66702910000000004</v>
      </c>
      <c r="X8081">
        <v>0.74228850000000002</v>
      </c>
      <c r="Y8081">
        <v>-4.056332E-2</v>
      </c>
      <c r="Z8081">
        <v>-1.580343E-2</v>
      </c>
      <c r="AA8081">
        <v>0.99905200000000005</v>
      </c>
      <c r="AB8081">
        <v>16</v>
      </c>
      <c r="AC8081">
        <v>1.9969330000000001</v>
      </c>
      <c r="AD8081">
        <v>2.2737829999999999</v>
      </c>
      <c r="AE8081">
        <v>0.12442019999999999</v>
      </c>
      <c r="AF8081">
        <v>-5.2176941163525101E-2</v>
      </c>
      <c r="AG8081">
        <v>2.2737829999999999</v>
      </c>
      <c r="AH8081">
        <v>0.87158863876941195</v>
      </c>
      <c r="AI8081">
        <v>21.0071481507876</v>
      </c>
      <c r="AJ8081">
        <v>93.425876432571897</v>
      </c>
      <c r="AK8081">
        <v>2.4356679411426501</v>
      </c>
      <c r="AL8081">
        <v>48.161816715783999</v>
      </c>
      <c r="AM8081">
        <v>94.918191579349497</v>
      </c>
      <c r="AN8081">
        <v>0.99999996203878905</v>
      </c>
    </row>
    <row r="8082" spans="1:40" x14ac:dyDescent="0.25">
      <c r="A8082" t="str">
        <f>"20190304165040825"</f>
        <v>20190304165040825</v>
      </c>
      <c r="B8082" t="str">
        <f>"1551689440813982"</f>
        <v>1551689440813982</v>
      </c>
      <c r="C8082" t="s">
        <v>40</v>
      </c>
      <c r="D8082">
        <v>5.0795579999999996</v>
      </c>
      <c r="E8082">
        <v>0.50344840000000002</v>
      </c>
      <c r="F8082" t="s">
        <v>60</v>
      </c>
      <c r="G8082">
        <v>0</v>
      </c>
      <c r="H8082">
        <v>0</v>
      </c>
      <c r="I8082">
        <v>0</v>
      </c>
      <c r="J8082">
        <v>-158.99940000000001</v>
      </c>
      <c r="K8082">
        <v>1.112063</v>
      </c>
      <c r="L8082">
        <v>137.96270000000001</v>
      </c>
      <c r="M8082">
        <v>0.9999112</v>
      </c>
      <c r="N8082">
        <v>-1.322837E-2</v>
      </c>
      <c r="O8082">
        <v>1.657373E-3</v>
      </c>
      <c r="P8082">
        <v>0.75040390000000001</v>
      </c>
      <c r="Q8082">
        <v>0.65751389999999998</v>
      </c>
      <c r="R8082">
        <v>6.7600350000000003E-2</v>
      </c>
      <c r="S8082">
        <v>1.987549</v>
      </c>
      <c r="T8082">
        <v>2.2813469999999998</v>
      </c>
      <c r="U8082">
        <v>0.1283569</v>
      </c>
      <c r="V8082">
        <v>-6.5987560000000001E-2</v>
      </c>
      <c r="W8082">
        <v>0.66742089999999998</v>
      </c>
      <c r="X8082">
        <v>0.7417513</v>
      </c>
      <c r="Y8082">
        <v>-4.212983E-2</v>
      </c>
      <c r="Z8082">
        <v>-1.7300940000000001E-2</v>
      </c>
      <c r="AA8082">
        <v>0.99896229999999997</v>
      </c>
      <c r="AB8082">
        <v>16</v>
      </c>
      <c r="AC8082">
        <v>1.987549</v>
      </c>
      <c r="AD8082">
        <v>2.2813469999999998</v>
      </c>
      <c r="AE8082">
        <v>0.1283569</v>
      </c>
      <c r="AF8082">
        <v>-5.4092301867171601E-2</v>
      </c>
      <c r="AG8082">
        <v>2.2813469999999998</v>
      </c>
      <c r="AH8082">
        <v>0.85975101308467605</v>
      </c>
      <c r="AI8082">
        <v>20.686851799749999</v>
      </c>
      <c r="AJ8082">
        <v>93.600089808727006</v>
      </c>
      <c r="AK8082">
        <v>2.43857374627679</v>
      </c>
      <c r="AL8082">
        <v>48.1316808259661</v>
      </c>
      <c r="AM8082">
        <v>95.083754821443904</v>
      </c>
      <c r="AN8082">
        <v>1.0000000034416201</v>
      </c>
    </row>
    <row r="8083" spans="1:40" x14ac:dyDescent="0.25">
      <c r="A8083" t="str">
        <f>"20190304165040848"</f>
        <v>20190304165040848</v>
      </c>
      <c r="B8083" t="str">
        <f>"1551689440843266"</f>
        <v>1551689440843266</v>
      </c>
      <c r="C8083" t="s">
        <v>40</v>
      </c>
      <c r="D8083">
        <v>5.1135910000000004</v>
      </c>
      <c r="E8083">
        <v>0.50378999999999996</v>
      </c>
      <c r="F8083" t="s">
        <v>60</v>
      </c>
      <c r="G8083">
        <v>0</v>
      </c>
      <c r="H8083">
        <v>0</v>
      </c>
      <c r="I8083">
        <v>0</v>
      </c>
      <c r="J8083">
        <v>-158.84219999999999</v>
      </c>
      <c r="K8083">
        <v>1.112104</v>
      </c>
      <c r="L8083">
        <v>137.96209999999999</v>
      </c>
      <c r="M8083">
        <v>0.99991209999999997</v>
      </c>
      <c r="N8083">
        <v>-1.3225290000000001E-2</v>
      </c>
      <c r="O8083">
        <v>9.3499149999999999E-4</v>
      </c>
      <c r="P8083">
        <v>0.75015269999999901</v>
      </c>
      <c r="Q8083">
        <v>0.65755980000000003</v>
      </c>
      <c r="R8083">
        <v>6.9898920000000003E-2</v>
      </c>
      <c r="S8083">
        <v>1.9908600000000001</v>
      </c>
      <c r="T8083">
        <v>2.2770769999999998</v>
      </c>
      <c r="U8083">
        <v>0.13064580000000001</v>
      </c>
      <c r="V8083">
        <v>-6.8895100000000001E-2</v>
      </c>
      <c r="W8083">
        <v>0.66745529999999997</v>
      </c>
      <c r="X8083">
        <v>0.741456</v>
      </c>
      <c r="Y8083">
        <v>-4.3122800000000003E-2</v>
      </c>
      <c r="Z8083">
        <v>-1.8365670000000001E-2</v>
      </c>
      <c r="AA8083">
        <v>0.99890089999999998</v>
      </c>
      <c r="AB8083">
        <v>16</v>
      </c>
      <c r="AC8083">
        <v>1.9908600000000001</v>
      </c>
      <c r="AD8083">
        <v>2.2770769999999998</v>
      </c>
      <c r="AE8083">
        <v>0.13064580000000001</v>
      </c>
      <c r="AF8083">
        <v>-5.5930120326523301E-2</v>
      </c>
      <c r="AG8083">
        <v>2.2770769999999998</v>
      </c>
      <c r="AH8083">
        <v>0.864670298625278</v>
      </c>
      <c r="AI8083">
        <v>20.832907889284598</v>
      </c>
      <c r="AJ8083">
        <v>93.700950239372403</v>
      </c>
      <c r="AK8083">
        <v>2.4363625689977799</v>
      </c>
      <c r="AL8083">
        <v>48.129036738347999</v>
      </c>
      <c r="AM8083">
        <v>95.308604283169998</v>
      </c>
      <c r="AN8083">
        <v>1.0000000561190401</v>
      </c>
    </row>
    <row r="8084" spans="1:40" x14ac:dyDescent="0.25">
      <c r="A8084" t="str">
        <f>"20190304165040870"</f>
        <v>20190304165040870</v>
      </c>
      <c r="B8084" t="str">
        <f>"1551689440863759"</f>
        <v>1551689440863759</v>
      </c>
      <c r="C8084" t="s">
        <v>40</v>
      </c>
      <c r="D8084">
        <v>5.1306379999999896</v>
      </c>
      <c r="E8084">
        <v>0.50398489999999996</v>
      </c>
      <c r="F8084" t="s">
        <v>60</v>
      </c>
      <c r="G8084">
        <v>0</v>
      </c>
      <c r="H8084">
        <v>0</v>
      </c>
      <c r="I8084">
        <v>0</v>
      </c>
      <c r="J8084">
        <v>-158.67789999999999</v>
      </c>
      <c r="K8084">
        <v>1.112155</v>
      </c>
      <c r="L8084">
        <v>137.9614</v>
      </c>
      <c r="M8084">
        <v>0.99991260000000004</v>
      </c>
      <c r="N8084">
        <v>-1.322222E-2</v>
      </c>
      <c r="O8084">
        <v>2.7781989999999999E-4</v>
      </c>
      <c r="P8084">
        <v>0.74880239999999998</v>
      </c>
      <c r="Q8084">
        <v>0.65887799999999996</v>
      </c>
      <c r="R8084">
        <v>7.1937349999999997E-2</v>
      </c>
      <c r="S8084">
        <v>1.9957119999999999</v>
      </c>
      <c r="T8084">
        <v>2.2710979999999998</v>
      </c>
      <c r="U8084">
        <v>0.1362457</v>
      </c>
      <c r="V8084">
        <v>-7.1494520000000006E-2</v>
      </c>
      <c r="W8084">
        <v>0.66874679999999997</v>
      </c>
      <c r="X8084">
        <v>0.74004479999999995</v>
      </c>
      <c r="Y8084">
        <v>-4.5201270000000002E-2</v>
      </c>
      <c r="Z8084">
        <v>-1.982747E-2</v>
      </c>
      <c r="AA8084">
        <v>0.99878109999999998</v>
      </c>
      <c r="AB8084">
        <v>16</v>
      </c>
      <c r="AC8084">
        <v>1.9957119999999999</v>
      </c>
      <c r="AD8084">
        <v>2.2710979999999998</v>
      </c>
      <c r="AE8084">
        <v>0.1362457</v>
      </c>
      <c r="AF8084">
        <v>-5.92794010972649E-2</v>
      </c>
      <c r="AG8084">
        <v>2.2710979999999998</v>
      </c>
      <c r="AH8084">
        <v>0.87188302195092604</v>
      </c>
      <c r="AI8084">
        <v>21.046228273717698</v>
      </c>
      <c r="AJ8084">
        <v>93.889558952018803</v>
      </c>
      <c r="AK8084">
        <v>2.43342971481913</v>
      </c>
      <c r="AL8084">
        <v>48.029585654756502</v>
      </c>
      <c r="AM8084">
        <v>95.518127023844102</v>
      </c>
      <c r="AN8084">
        <v>1.00000002745365</v>
      </c>
    </row>
    <row r="8085" spans="1:40" x14ac:dyDescent="0.25">
      <c r="A8085" t="str">
        <f>"20190304165040892"</f>
        <v>20190304165040892</v>
      </c>
      <c r="B8085" t="str">
        <f>"1551689440883279"</f>
        <v>1551689440883279</v>
      </c>
      <c r="C8085" t="s">
        <v>40</v>
      </c>
      <c r="D8085">
        <v>5.1231730000000004</v>
      </c>
      <c r="E8085">
        <v>0.50425469999999994</v>
      </c>
      <c r="F8085" t="s">
        <v>60</v>
      </c>
      <c r="G8085">
        <v>0</v>
      </c>
      <c r="H8085">
        <v>0</v>
      </c>
      <c r="I8085">
        <v>0</v>
      </c>
      <c r="J8085">
        <v>-158.52600000000001</v>
      </c>
      <c r="K8085">
        <v>1.1122110000000001</v>
      </c>
      <c r="L8085">
        <v>137.96080000000001</v>
      </c>
      <c r="M8085">
        <v>0.99991269999999999</v>
      </c>
      <c r="N8085">
        <v>-1.321958E-2</v>
      </c>
      <c r="O8085">
        <v>-2.4618939999999998E-4</v>
      </c>
      <c r="P8085">
        <v>0.74770579999999998</v>
      </c>
      <c r="Q8085">
        <v>0.65994059999999999</v>
      </c>
      <c r="R8085">
        <v>7.3584629999999998E-2</v>
      </c>
      <c r="S8085">
        <v>1.995026</v>
      </c>
      <c r="T8085">
        <v>2.2703850000000001</v>
      </c>
      <c r="U8085">
        <v>0.14186099999999999</v>
      </c>
      <c r="V8085">
        <v>-7.3592060000000001E-2</v>
      </c>
      <c r="W8085">
        <v>0.66978660000000001</v>
      </c>
      <c r="X8085">
        <v>0.7388979</v>
      </c>
      <c r="Y8085">
        <v>-4.7243670000000001E-2</v>
      </c>
      <c r="Z8085">
        <v>-2.1213650000000001E-2</v>
      </c>
      <c r="AA8085">
        <v>0.99865809999999999</v>
      </c>
      <c r="AB8085">
        <v>16</v>
      </c>
      <c r="AC8085">
        <v>1.995026</v>
      </c>
      <c r="AD8085">
        <v>2.2703850000000001</v>
      </c>
      <c r="AE8085">
        <v>0.14186099999999999</v>
      </c>
      <c r="AF8085">
        <v>-6.2201088373410297E-2</v>
      </c>
      <c r="AG8085">
        <v>2.2703850000000001</v>
      </c>
      <c r="AH8085">
        <v>0.87171549500402001</v>
      </c>
      <c r="AI8085">
        <v>21.0530488589669</v>
      </c>
      <c r="AJ8085">
        <v>94.0814116557153</v>
      </c>
      <c r="AK8085">
        <v>2.43277720472918</v>
      </c>
      <c r="AL8085">
        <v>47.949403050281802</v>
      </c>
      <c r="AM8085">
        <v>95.687734163840005</v>
      </c>
      <c r="AN8085">
        <v>0.99999999372950599</v>
      </c>
    </row>
    <row r="8086" spans="1:40" x14ac:dyDescent="0.25">
      <c r="A8086" t="str">
        <f>"20190304165040914"</f>
        <v>20190304165040914</v>
      </c>
      <c r="B8086" t="str">
        <f>"1551689440903774"</f>
        <v>1551689440903774</v>
      </c>
      <c r="C8086" t="s">
        <v>40</v>
      </c>
      <c r="D8086">
        <v>5.2561629999999999</v>
      </c>
      <c r="E8086">
        <v>0.50448760000000004</v>
      </c>
      <c r="F8086" t="s">
        <v>60</v>
      </c>
      <c r="G8086">
        <v>0</v>
      </c>
      <c r="H8086">
        <v>0</v>
      </c>
      <c r="I8086">
        <v>0</v>
      </c>
      <c r="J8086">
        <v>-158.3691</v>
      </c>
      <c r="K8086">
        <v>1.112252</v>
      </c>
      <c r="L8086">
        <v>137.96010000000001</v>
      </c>
      <c r="M8086">
        <v>0.99991240000000003</v>
      </c>
      <c r="N8086">
        <v>-1.3210100000000001E-2</v>
      </c>
      <c r="O8086">
        <v>-7.1300089999999997E-4</v>
      </c>
      <c r="P8086">
        <v>0.74779949999999995</v>
      </c>
      <c r="Q8086">
        <v>0.65965269999999898</v>
      </c>
      <c r="R8086">
        <v>7.5195189999999995E-2</v>
      </c>
      <c r="S8086">
        <v>1.995071</v>
      </c>
      <c r="T8086">
        <v>2.2691970000000001</v>
      </c>
      <c r="U8086">
        <v>0.145889299999999</v>
      </c>
      <c r="V8086">
        <v>-7.5604359999999995E-2</v>
      </c>
      <c r="W8086">
        <v>0.66948669999999899</v>
      </c>
      <c r="X8086">
        <v>0.73896649999999997</v>
      </c>
      <c r="Y8086">
        <v>-4.8740319999999997E-2</v>
      </c>
      <c r="Z8086">
        <v>-2.2296880000000002E-2</v>
      </c>
      <c r="AA8086">
        <v>0.99856259999999997</v>
      </c>
      <c r="AB8086">
        <v>16</v>
      </c>
      <c r="AC8086">
        <v>1.995071</v>
      </c>
      <c r="AD8086">
        <v>2.2691970000000001</v>
      </c>
      <c r="AE8086">
        <v>0.145889299999999</v>
      </c>
      <c r="AF8086">
        <v>-6.4418300933418104E-2</v>
      </c>
      <c r="AG8086">
        <v>2.2691970000000001</v>
      </c>
      <c r="AH8086">
        <v>0.872382830112719</v>
      </c>
      <c r="AI8086">
        <v>21.0812671840877</v>
      </c>
      <c r="AJ8086">
        <v>94.223157727383096</v>
      </c>
      <c r="AK8086">
        <v>2.4319655722439002</v>
      </c>
      <c r="AL8086">
        <v>47.972538262370598</v>
      </c>
      <c r="AM8086">
        <v>95.8416592789155</v>
      </c>
      <c r="AN8086">
        <v>0.99999997442507405</v>
      </c>
    </row>
    <row r="8087" spans="1:40" x14ac:dyDescent="0.25">
      <c r="A8087" t="str">
        <f>"20190304165040936"</f>
        <v>20190304165040936</v>
      </c>
      <c r="B8087" t="str">
        <f>"1551689440934031"</f>
        <v>1551689440934031</v>
      </c>
      <c r="C8087" t="s">
        <v>40</v>
      </c>
      <c r="D8087">
        <v>5.1301480000000002</v>
      </c>
      <c r="E8087">
        <v>0.50481520000000002</v>
      </c>
      <c r="F8087" t="s">
        <v>60</v>
      </c>
      <c r="G8087">
        <v>0</v>
      </c>
      <c r="H8087">
        <v>0</v>
      </c>
      <c r="I8087">
        <v>0</v>
      </c>
      <c r="J8087">
        <v>-158.2106</v>
      </c>
      <c r="K8087">
        <v>1.1122019999999999</v>
      </c>
      <c r="L8087">
        <v>137.95949999999999</v>
      </c>
      <c r="M8087">
        <v>0.99991580000000002</v>
      </c>
      <c r="N8087">
        <v>-1.29341E-2</v>
      </c>
      <c r="O8087">
        <v>-1.116592E-3</v>
      </c>
      <c r="P8087">
        <v>0.74748819999999905</v>
      </c>
      <c r="Q8087">
        <v>0.65995719999999902</v>
      </c>
      <c r="R8087">
        <v>7.5616870000000003E-2</v>
      </c>
      <c r="S8087">
        <v>1.9989779999999999</v>
      </c>
      <c r="T8087">
        <v>2.264662</v>
      </c>
      <c r="U8087">
        <v>0.14984129999999901</v>
      </c>
      <c r="V8087">
        <v>-7.6363180000000003E-2</v>
      </c>
      <c r="W8087">
        <v>0.66957949999999999</v>
      </c>
      <c r="X8087">
        <v>0.73880449999999998</v>
      </c>
      <c r="Y8087">
        <v>-5.0188249999999997E-2</v>
      </c>
      <c r="Z8087">
        <v>-2.3254589999999999E-2</v>
      </c>
      <c r="AA8087">
        <v>0.99846900000000005</v>
      </c>
      <c r="AB8087">
        <v>16</v>
      </c>
      <c r="AC8087">
        <v>1.9989779999999999</v>
      </c>
      <c r="AD8087">
        <v>2.264662</v>
      </c>
      <c r="AE8087">
        <v>0.14984129999999901</v>
      </c>
      <c r="AF8087">
        <v>-6.6806895362416199E-2</v>
      </c>
      <c r="AG8087">
        <v>2.264662</v>
      </c>
      <c r="AH8087">
        <v>0.87809058465682599</v>
      </c>
      <c r="AI8087">
        <v>21.248888691133001</v>
      </c>
      <c r="AJ8087">
        <v>94.350796084894995</v>
      </c>
      <c r="AK8087">
        <v>2.4298560060989001</v>
      </c>
      <c r="AL8087">
        <v>47.965384686955097</v>
      </c>
      <c r="AM8087">
        <v>95.9011634046648</v>
      </c>
      <c r="AN8087">
        <v>1.0000000656501</v>
      </c>
    </row>
    <row r="8088" spans="1:40" x14ac:dyDescent="0.25">
      <c r="A8088" t="str">
        <f>"20190304165040959"</f>
        <v>20190304165040959</v>
      </c>
      <c r="B8088" t="str">
        <f>"1551689440953550"</f>
        <v>1551689440953550</v>
      </c>
      <c r="C8088" t="s">
        <v>40</v>
      </c>
      <c r="D8088">
        <v>5.1363690000000002</v>
      </c>
      <c r="E8088">
        <v>0.51010679999999997</v>
      </c>
      <c r="F8088" t="s">
        <v>60</v>
      </c>
      <c r="G8088">
        <v>0</v>
      </c>
      <c r="H8088">
        <v>0</v>
      </c>
      <c r="I8088">
        <v>0</v>
      </c>
      <c r="J8088">
        <v>-158.0505</v>
      </c>
      <c r="K8088">
        <v>1.112134</v>
      </c>
      <c r="L8088">
        <v>137.9589</v>
      </c>
      <c r="M8088">
        <v>0.99991960000000002</v>
      </c>
      <c r="N8088">
        <v>-1.260463E-2</v>
      </c>
      <c r="O8088">
        <v>-1.4595249999999999E-3</v>
      </c>
      <c r="P8088">
        <v>0.74768140000000005</v>
      </c>
      <c r="Q8088">
        <v>0.65973850000000001</v>
      </c>
      <c r="R8088">
        <v>7.5616790000000003E-2</v>
      </c>
      <c r="S8088">
        <v>2.00177</v>
      </c>
      <c r="T8088">
        <v>2.2614869999999998</v>
      </c>
      <c r="U8088">
        <v>0.1484375</v>
      </c>
      <c r="V8088">
        <v>-7.6649369999999994E-2</v>
      </c>
      <c r="W8088">
        <v>0.66911580000000004</v>
      </c>
      <c r="X8088">
        <v>0.73919489999999999</v>
      </c>
      <c r="Y8088">
        <v>-4.9835409999999997E-2</v>
      </c>
      <c r="Z8088">
        <v>-2.3376979999999999E-2</v>
      </c>
      <c r="AA8088">
        <v>0.99848380000000003</v>
      </c>
      <c r="AB8088">
        <v>16</v>
      </c>
      <c r="AC8088">
        <v>2.00177</v>
      </c>
      <c r="AD8088">
        <v>2.2614869999999998</v>
      </c>
      <c r="AE8088">
        <v>0.1484375</v>
      </c>
      <c r="AF8088">
        <v>-6.6697425609690997E-2</v>
      </c>
      <c r="AG8088">
        <v>2.2614869999999998</v>
      </c>
      <c r="AH8088">
        <v>0.881996642428584</v>
      </c>
      <c r="AI8088">
        <v>21.361508324127001</v>
      </c>
      <c r="AJ8088">
        <v>94.324530598620996</v>
      </c>
      <c r="AK8088">
        <v>2.4283101274357901</v>
      </c>
      <c r="AL8088">
        <v>48.001146187065402</v>
      </c>
      <c r="AM8088">
        <v>95.920016510241894</v>
      </c>
      <c r="AN8088">
        <v>1.00000008995851</v>
      </c>
    </row>
    <row r="8089" spans="1:40" x14ac:dyDescent="0.25">
      <c r="A8089" t="str">
        <f>"20190304165040982"</f>
        <v>20190304165040982</v>
      </c>
      <c r="B8089" t="str">
        <f>"1551689440973070"</f>
        <v>1551689440973070</v>
      </c>
      <c r="C8089" t="s">
        <v>40</v>
      </c>
      <c r="D8089">
        <v>5.3172670000000002</v>
      </c>
      <c r="E8089">
        <v>0.50984790000000002</v>
      </c>
      <c r="F8089" t="s">
        <v>60</v>
      </c>
      <c r="G8089">
        <v>0</v>
      </c>
      <c r="H8089">
        <v>0</v>
      </c>
      <c r="I8089">
        <v>0</v>
      </c>
      <c r="J8089">
        <v>-157.88130000000001</v>
      </c>
      <c r="K8089">
        <v>1.1121270000000001</v>
      </c>
      <c r="L8089">
        <v>137.95820000000001</v>
      </c>
      <c r="M8089">
        <v>0.99992080000000005</v>
      </c>
      <c r="N8089">
        <v>-1.2468190000000001E-2</v>
      </c>
      <c r="O8089">
        <v>-1.7615619999999999E-3</v>
      </c>
      <c r="P8089">
        <v>0.75002040000000003</v>
      </c>
      <c r="Q8089">
        <v>0.65707309999999997</v>
      </c>
      <c r="R8089">
        <v>7.5657669999999996E-2</v>
      </c>
      <c r="S8089">
        <v>2.0613250000000001</v>
      </c>
      <c r="T8089">
        <v>2.1979730000000002</v>
      </c>
      <c r="U8089">
        <v>0.11502080000000001</v>
      </c>
      <c r="V8089">
        <v>-7.6945630000000001E-2</v>
      </c>
      <c r="W8089">
        <v>0.66637590000000002</v>
      </c>
      <c r="X8089">
        <v>0.74163509999999999</v>
      </c>
      <c r="Y8089">
        <v>-3.8988019999999998E-2</v>
      </c>
      <c r="Z8089">
        <v>-1.8134629999999999E-2</v>
      </c>
      <c r="AA8089">
        <v>0.99907509999999999</v>
      </c>
      <c r="AB8089">
        <v>16</v>
      </c>
      <c r="AC8089">
        <v>2.0613250000000001</v>
      </c>
      <c r="AD8089">
        <v>2.1979730000000002</v>
      </c>
      <c r="AE8089">
        <v>0.11502080000000001</v>
      </c>
      <c r="AF8089">
        <v>-5.5615157799591003E-2</v>
      </c>
      <c r="AG8089">
        <v>2.1979730000000002</v>
      </c>
      <c r="AH8089">
        <v>0.96609761689154405</v>
      </c>
      <c r="AI8089">
        <v>23.7623559189941</v>
      </c>
      <c r="AJ8089">
        <v>93.294698979020893</v>
      </c>
      <c r="AK8089">
        <v>2.4015667718948799</v>
      </c>
      <c r="AL8089">
        <v>48.2120348895387</v>
      </c>
      <c r="AM8089">
        <v>95.923320605151403</v>
      </c>
      <c r="AN8089">
        <v>1.00000004581445</v>
      </c>
    </row>
    <row r="8090" spans="1:40" x14ac:dyDescent="0.25">
      <c r="A8090" t="str">
        <f>"20190304165041003"</f>
        <v>20190304165041003</v>
      </c>
      <c r="B8090" t="str">
        <f>"1551689440993566"</f>
        <v>1551689440993566</v>
      </c>
      <c r="C8090" t="s">
        <v>40</v>
      </c>
      <c r="D8090">
        <v>5.1400769999999998</v>
      </c>
      <c r="E8090">
        <v>0.51001909999999995</v>
      </c>
      <c r="F8090" t="s">
        <v>60</v>
      </c>
      <c r="G8090">
        <v>0</v>
      </c>
      <c r="H8090">
        <v>0</v>
      </c>
      <c r="I8090">
        <v>0</v>
      </c>
      <c r="J8090">
        <v>-157.73439999999999</v>
      </c>
      <c r="K8090">
        <v>1.1121369999999999</v>
      </c>
      <c r="L8090">
        <v>137.95760000000001</v>
      </c>
      <c r="M8090">
        <v>0.99992049999999999</v>
      </c>
      <c r="N8090">
        <v>-1.245717E-2</v>
      </c>
      <c r="O8090">
        <v>-1.991572E-3</v>
      </c>
      <c r="P8090">
        <v>0.75370570000000003</v>
      </c>
      <c r="Q8090">
        <v>0.65298</v>
      </c>
      <c r="R8090">
        <v>7.4462799999999996E-2</v>
      </c>
      <c r="S8090">
        <v>2.06752</v>
      </c>
      <c r="T8090">
        <v>2.192326</v>
      </c>
      <c r="U8090">
        <v>0.116272</v>
      </c>
      <c r="V8090">
        <v>-7.5942049999999997E-2</v>
      </c>
      <c r="W8090">
        <v>0.66231930000000006</v>
      </c>
      <c r="X8090">
        <v>0.745363</v>
      </c>
      <c r="Y8090">
        <v>-3.9493399999999998E-2</v>
      </c>
      <c r="Z8090">
        <v>-1.84799E-2</v>
      </c>
      <c r="AA8090">
        <v>0.99904890000000002</v>
      </c>
      <c r="AB8090">
        <v>16</v>
      </c>
      <c r="AC8090">
        <v>2.06752</v>
      </c>
      <c r="AD8090">
        <v>2.192326</v>
      </c>
      <c r="AE8090">
        <v>0.116272</v>
      </c>
      <c r="AF8090">
        <v>-5.6765390454267498E-2</v>
      </c>
      <c r="AG8090">
        <v>2.192326</v>
      </c>
      <c r="AH8090">
        <v>0.97475280694813904</v>
      </c>
      <c r="AI8090">
        <v>24.006932739515001</v>
      </c>
      <c r="AJ8090">
        <v>93.3328942402172</v>
      </c>
      <c r="AK8090">
        <v>2.39992888113016</v>
      </c>
      <c r="AL8090">
        <v>48.523004735305797</v>
      </c>
      <c r="AM8090">
        <v>95.817562627844396</v>
      </c>
      <c r="AN8090">
        <v>1.0000000259398401</v>
      </c>
    </row>
    <row r="8091" spans="1:40" x14ac:dyDescent="0.25">
      <c r="A8091" t="str">
        <f>"20190304165041026"</f>
        <v>20190304165041026</v>
      </c>
      <c r="B8091" t="str">
        <f>"1551689441023822"</f>
        <v>1551689441023822</v>
      </c>
      <c r="C8091" t="s">
        <v>40</v>
      </c>
      <c r="D8091">
        <v>5.157508</v>
      </c>
      <c r="E8091">
        <v>0.50987759999999904</v>
      </c>
      <c r="F8091" t="s">
        <v>60</v>
      </c>
      <c r="G8091">
        <v>0</v>
      </c>
      <c r="H8091">
        <v>0</v>
      </c>
      <c r="I8091">
        <v>0</v>
      </c>
      <c r="J8091">
        <v>-157.57740000000001</v>
      </c>
      <c r="K8091">
        <v>1.1121219999999901</v>
      </c>
      <c r="L8091">
        <v>137.95699999999999</v>
      </c>
      <c r="M8091">
        <v>0.99992060000000005</v>
      </c>
      <c r="N8091">
        <v>-1.2416959999999999E-2</v>
      </c>
      <c r="O8091">
        <v>-2.1950450000000001E-3</v>
      </c>
      <c r="P8091">
        <v>0.75894329999999999</v>
      </c>
      <c r="Q8091">
        <v>0.64719969999999905</v>
      </c>
      <c r="R8091">
        <v>7.16778E-2</v>
      </c>
      <c r="S8091">
        <v>2.0797880000000002</v>
      </c>
      <c r="T8091">
        <v>2.1811400000000001</v>
      </c>
      <c r="U8091">
        <v>0.1103821</v>
      </c>
      <c r="V8091">
        <v>-7.3334460000000004E-2</v>
      </c>
      <c r="W8091">
        <v>0.6565725</v>
      </c>
      <c r="X8091">
        <v>0.75068939999999995</v>
      </c>
      <c r="Y8091">
        <v>-3.761871E-2</v>
      </c>
      <c r="Z8091">
        <v>-1.7728109999999998E-2</v>
      </c>
      <c r="AA8091">
        <v>0.99913490000000005</v>
      </c>
      <c r="AB8091">
        <v>16</v>
      </c>
      <c r="AC8091">
        <v>2.0797880000000002</v>
      </c>
      <c r="AD8091">
        <v>2.1811400000000001</v>
      </c>
      <c r="AE8091">
        <v>0.1103821</v>
      </c>
      <c r="AF8091">
        <v>-5.4821726925401902E-2</v>
      </c>
      <c r="AG8091">
        <v>2.1811400000000001</v>
      </c>
      <c r="AH8091">
        <v>0.99179274532663997</v>
      </c>
      <c r="AI8091">
        <v>24.484858648564</v>
      </c>
      <c r="AJ8091">
        <v>93.163826736781203</v>
      </c>
      <c r="AK8091">
        <v>2.3966706012770298</v>
      </c>
      <c r="AL8091">
        <v>48.961006102710499</v>
      </c>
      <c r="AM8091">
        <v>95.579491270667205</v>
      </c>
      <c r="AN8091">
        <v>0.99999998302604998</v>
      </c>
    </row>
    <row r="8092" spans="1:40" x14ac:dyDescent="0.25">
      <c r="A8092" t="str">
        <f>"20190304165041049"</f>
        <v>20190304165041049</v>
      </c>
      <c r="B8092" t="str">
        <f>"1551689441043342"</f>
        <v>1551689441043342</v>
      </c>
      <c r="C8092" t="s">
        <v>40</v>
      </c>
      <c r="D8092">
        <v>5.1568120000000004</v>
      </c>
      <c r="E8092">
        <v>0.50945039999999997</v>
      </c>
      <c r="F8092" t="s">
        <v>60</v>
      </c>
      <c r="G8092">
        <v>0</v>
      </c>
      <c r="H8092">
        <v>0</v>
      </c>
      <c r="I8092">
        <v>0</v>
      </c>
      <c r="J8092">
        <v>-157.416</v>
      </c>
      <c r="K8092">
        <v>1.112098</v>
      </c>
      <c r="L8092">
        <v>137.95650000000001</v>
      </c>
      <c r="M8092">
        <v>0.99992150000000002</v>
      </c>
      <c r="N8092">
        <v>-1.2314210000000001E-2</v>
      </c>
      <c r="O8092">
        <v>-2.3512989999999998E-3</v>
      </c>
      <c r="P8092">
        <v>0.7667214</v>
      </c>
      <c r="Q8092">
        <v>0.63814950000000004</v>
      </c>
      <c r="R8092">
        <v>7.0023909999999995E-2</v>
      </c>
      <c r="S8092">
        <v>2.0957029999999999</v>
      </c>
      <c r="T8092">
        <v>2.166544</v>
      </c>
      <c r="U8092">
        <v>0.1017303</v>
      </c>
      <c r="V8092">
        <v>-7.1840790000000002E-2</v>
      </c>
      <c r="W8092">
        <v>0.64753930000000004</v>
      </c>
      <c r="X8092">
        <v>0.75863809999999998</v>
      </c>
      <c r="Y8092">
        <v>-3.4812309999999999E-2</v>
      </c>
      <c r="Z8092">
        <v>-1.6519430000000002E-2</v>
      </c>
      <c r="AA8092">
        <v>0.99925730000000001</v>
      </c>
      <c r="AB8092">
        <v>16</v>
      </c>
      <c r="AC8092">
        <v>2.0957029999999999</v>
      </c>
      <c r="AD8092">
        <v>2.166544</v>
      </c>
      <c r="AE8092">
        <v>0.1017303</v>
      </c>
      <c r="AF8092">
        <v>-5.1619470382739202E-2</v>
      </c>
      <c r="AG8092">
        <v>2.166544</v>
      </c>
      <c r="AH8092">
        <v>1.0141425402634601</v>
      </c>
      <c r="AI8092">
        <v>25.112404240979199</v>
      </c>
      <c r="AJ8092">
        <v>92.913818820667004</v>
      </c>
      <c r="AK8092">
        <v>2.3927102970544998</v>
      </c>
      <c r="AL8092">
        <v>49.643668730051097</v>
      </c>
      <c r="AM8092">
        <v>95.409609498047502</v>
      </c>
      <c r="AN8092">
        <v>1.00000000546196</v>
      </c>
    </row>
    <row r="8093" spans="1:40" x14ac:dyDescent="0.25">
      <c r="A8093" t="str">
        <f>"20190304165041070"</f>
        <v>20190304165041070</v>
      </c>
      <c r="B8093" t="str">
        <f>"1551689441063838"</f>
        <v>1551689441063838</v>
      </c>
      <c r="C8093" t="s">
        <v>40</v>
      </c>
      <c r="D8093">
        <v>5.1752849999999997</v>
      </c>
      <c r="E8093">
        <v>0.50926389999999999</v>
      </c>
      <c r="F8093" t="s">
        <v>60</v>
      </c>
      <c r="G8093">
        <v>0</v>
      </c>
      <c r="H8093">
        <v>0</v>
      </c>
      <c r="I8093">
        <v>0</v>
      </c>
      <c r="J8093">
        <v>-157.25810000000001</v>
      </c>
      <c r="K8093">
        <v>1.11208</v>
      </c>
      <c r="L8093">
        <v>137.95590000000001</v>
      </c>
      <c r="M8093">
        <v>0.99992239999999999</v>
      </c>
      <c r="N8093">
        <v>-1.222053E-2</v>
      </c>
      <c r="O8093">
        <v>-2.447322E-3</v>
      </c>
      <c r="P8093">
        <v>0.77585409999999999</v>
      </c>
      <c r="Q8093">
        <v>0.6270599</v>
      </c>
      <c r="R8093">
        <v>6.9617269999999995E-2</v>
      </c>
      <c r="S8093">
        <v>2.1207579999999999</v>
      </c>
      <c r="T8093">
        <v>2.1421389999999998</v>
      </c>
      <c r="U8093">
        <v>9.9548339999999999E-2</v>
      </c>
      <c r="V8093">
        <v>-7.1563570000000007E-2</v>
      </c>
      <c r="W8093">
        <v>0.63648719999999903</v>
      </c>
      <c r="X8093">
        <v>0.76796019999999998</v>
      </c>
      <c r="Y8093">
        <v>-3.4158719999999997E-2</v>
      </c>
      <c r="Z8093">
        <v>-1.6066259999999999E-2</v>
      </c>
      <c r="AA8093">
        <v>0.99928720000000004</v>
      </c>
      <c r="AB8093">
        <v>16</v>
      </c>
      <c r="AC8093">
        <v>2.1207579999999999</v>
      </c>
      <c r="AD8093">
        <v>2.1421389999999998</v>
      </c>
      <c r="AE8093">
        <v>9.9548339999999999E-2</v>
      </c>
      <c r="AF8093">
        <v>-5.1901614923035001E-2</v>
      </c>
      <c r="AG8093">
        <v>2.1421389999999998</v>
      </c>
      <c r="AH8093">
        <v>1.0507853138891301</v>
      </c>
      <c r="AI8093">
        <v>26.1569878239061</v>
      </c>
      <c r="AJ8093">
        <v>92.827721940064905</v>
      </c>
      <c r="AK8093">
        <v>2.3865462595218401</v>
      </c>
      <c r="AL8093">
        <v>50.469629207984497</v>
      </c>
      <c r="AM8093">
        <v>95.323821954456804</v>
      </c>
      <c r="AN8093">
        <v>1.0000000845495001</v>
      </c>
    </row>
    <row r="8094" spans="1:40" x14ac:dyDescent="0.25">
      <c r="A8094" t="str">
        <f>"20190304165041093"</f>
        <v>20190304165041093</v>
      </c>
      <c r="B8094" t="str">
        <f>"1551689441083359"</f>
        <v>1551689441083359</v>
      </c>
      <c r="C8094" t="s">
        <v>40</v>
      </c>
      <c r="D8094">
        <v>5.1347670000000001</v>
      </c>
      <c r="E8094">
        <v>0.50897150000000002</v>
      </c>
      <c r="F8094" t="s">
        <v>60</v>
      </c>
      <c r="G8094">
        <v>0</v>
      </c>
      <c r="H8094">
        <v>0</v>
      </c>
      <c r="I8094">
        <v>0</v>
      </c>
      <c r="J8094">
        <v>-157.10310000000001</v>
      </c>
      <c r="K8094">
        <v>1.1120669999999999</v>
      </c>
      <c r="L8094">
        <v>137.9555</v>
      </c>
      <c r="M8094">
        <v>0.99992289999999995</v>
      </c>
      <c r="N8094">
        <v>-1.217527E-2</v>
      </c>
      <c r="O8094">
        <v>-2.4892289999999999E-3</v>
      </c>
      <c r="P8094">
        <v>0.784335</v>
      </c>
      <c r="Q8094">
        <v>0.61658990000000002</v>
      </c>
      <c r="R8094">
        <v>6.808604E-2</v>
      </c>
      <c r="S8094">
        <v>2.1489720000000001</v>
      </c>
      <c r="T8094">
        <v>2.11429</v>
      </c>
      <c r="U8094">
        <v>9.9456790000000003E-2</v>
      </c>
      <c r="V8094">
        <v>-7.0123770000000002E-2</v>
      </c>
      <c r="W8094">
        <v>0.62608240000000004</v>
      </c>
      <c r="X8094">
        <v>0.77659739999999999</v>
      </c>
      <c r="Y8094">
        <v>-3.4184300000000001E-2</v>
      </c>
      <c r="Z8094">
        <v>-1.581308E-2</v>
      </c>
      <c r="AA8094">
        <v>0.99929049999999997</v>
      </c>
      <c r="AB8094">
        <v>16</v>
      </c>
      <c r="AC8094">
        <v>2.1489720000000001</v>
      </c>
      <c r="AD8094">
        <v>2.11429</v>
      </c>
      <c r="AE8094">
        <v>9.9456790000000003E-2</v>
      </c>
      <c r="AF8094">
        <v>-5.3311677484437901E-2</v>
      </c>
      <c r="AG8094">
        <v>2.11429</v>
      </c>
      <c r="AH8094">
        <v>1.09298677264448</v>
      </c>
      <c r="AI8094">
        <v>27.364580620439</v>
      </c>
      <c r="AJ8094">
        <v>92.7924539321168</v>
      </c>
      <c r="AK8094">
        <v>2.3806899050972601</v>
      </c>
      <c r="AL8094">
        <v>51.238323930992699</v>
      </c>
      <c r="AM8094">
        <v>95.159596994152906</v>
      </c>
      <c r="AN8094">
        <v>1.00000001819776</v>
      </c>
    </row>
    <row r="8095" spans="1:40" x14ac:dyDescent="0.25">
      <c r="A8095" t="str">
        <f>"20190304165041114"</f>
        <v>20190304165041114</v>
      </c>
      <c r="B8095" t="str">
        <f>"1551689441103854"</f>
        <v>1551689441103854</v>
      </c>
      <c r="C8095" t="s">
        <v>40</v>
      </c>
      <c r="D8095">
        <v>5.2469080000000003</v>
      </c>
      <c r="E8095">
        <v>0.50975320000000002</v>
      </c>
      <c r="F8095" t="s">
        <v>60</v>
      </c>
      <c r="G8095">
        <v>0</v>
      </c>
      <c r="H8095">
        <v>0</v>
      </c>
      <c r="I8095">
        <v>0</v>
      </c>
      <c r="J8095">
        <v>-156.94730000000001</v>
      </c>
      <c r="K8095">
        <v>1.1120479999999999</v>
      </c>
      <c r="L8095">
        <v>137.95509999999999</v>
      </c>
      <c r="M8095">
        <v>0.99992309999999995</v>
      </c>
      <c r="N8095">
        <v>-1.215567E-2</v>
      </c>
      <c r="O8095">
        <v>-2.47993E-3</v>
      </c>
      <c r="P8095">
        <v>0.79285190000000005</v>
      </c>
      <c r="Q8095">
        <v>0.60593929999999996</v>
      </c>
      <c r="R8095">
        <v>6.4989370000000005E-2</v>
      </c>
      <c r="S8095">
        <v>2.179214</v>
      </c>
      <c r="T8095">
        <v>2.0825420000000001</v>
      </c>
      <c r="U8095">
        <v>9.8190310000000003E-2</v>
      </c>
      <c r="V8095">
        <v>-6.7076769999999994E-2</v>
      </c>
      <c r="W8095">
        <v>0.61551709999999904</v>
      </c>
      <c r="X8095">
        <v>0.78526390000000001</v>
      </c>
      <c r="Y8095">
        <v>-3.3809930000000002E-2</v>
      </c>
      <c r="Z8095">
        <v>-1.532873E-2</v>
      </c>
      <c r="AA8095">
        <v>0.9993107</v>
      </c>
      <c r="AB8095">
        <v>16</v>
      </c>
      <c r="AC8095">
        <v>2.179214</v>
      </c>
      <c r="AD8095">
        <v>2.0825420000000001</v>
      </c>
      <c r="AE8095">
        <v>9.8190310000000003E-2</v>
      </c>
      <c r="AF8095">
        <v>-5.4198461314723702E-2</v>
      </c>
      <c r="AG8095">
        <v>2.0825420000000001</v>
      </c>
      <c r="AH8095">
        <v>1.1399857129225399</v>
      </c>
      <c r="AI8095">
        <v>28.7235950489179</v>
      </c>
      <c r="AJ8095">
        <v>92.721969674483006</v>
      </c>
      <c r="AK8095">
        <v>2.37476021539868</v>
      </c>
      <c r="AL8095">
        <v>52.010496379608803</v>
      </c>
      <c r="AM8095">
        <v>94.882319467479405</v>
      </c>
      <c r="AN8095">
        <v>0.99999999305462595</v>
      </c>
    </row>
    <row r="8096" spans="1:40" x14ac:dyDescent="0.25">
      <c r="A8096" t="str">
        <f>"20190304165041138"</f>
        <v>20190304165041138</v>
      </c>
      <c r="B8096" t="str">
        <f>"1551689441133134"</f>
        <v>1551689441133134</v>
      </c>
      <c r="C8096" t="s">
        <v>40</v>
      </c>
      <c r="D8096">
        <v>5.1019990000000002</v>
      </c>
      <c r="E8096">
        <v>0.53861289999999995</v>
      </c>
      <c r="F8096" t="s">
        <v>60</v>
      </c>
      <c r="G8096">
        <v>0</v>
      </c>
      <c r="H8096">
        <v>0</v>
      </c>
      <c r="I8096">
        <v>0</v>
      </c>
      <c r="J8096">
        <v>-156.78460000000001</v>
      </c>
      <c r="K8096">
        <v>1.112017</v>
      </c>
      <c r="L8096">
        <v>137.9547</v>
      </c>
      <c r="M8096">
        <v>0.99992360000000002</v>
      </c>
      <c r="N8096">
        <v>-1.2128480000000001E-2</v>
      </c>
      <c r="O8096">
        <v>-2.399385E-3</v>
      </c>
      <c r="P8096">
        <v>0.80398080000000005</v>
      </c>
      <c r="Q8096">
        <v>0.5913583</v>
      </c>
      <c r="R8096">
        <v>6.2532110000000002E-2</v>
      </c>
      <c r="S8096">
        <v>2.2145389999999998</v>
      </c>
      <c r="T8096">
        <v>2.0442900000000002</v>
      </c>
      <c r="U8096">
        <v>8.433533E-2</v>
      </c>
      <c r="V8096">
        <v>-6.4607490000000004E-2</v>
      </c>
      <c r="W8096">
        <v>0.60104820000000003</v>
      </c>
      <c r="X8096">
        <v>0.79659720000000001</v>
      </c>
      <c r="Y8096">
        <v>-2.9219459999999999E-2</v>
      </c>
      <c r="Z8096">
        <v>-1.311882E-2</v>
      </c>
      <c r="AA8096">
        <v>0.99948689999999996</v>
      </c>
      <c r="AB8096">
        <v>16</v>
      </c>
      <c r="AC8096">
        <v>2.2145389999999998</v>
      </c>
      <c r="AD8096">
        <v>2.0442900000000002</v>
      </c>
      <c r="AE8096">
        <v>8.433533E-2</v>
      </c>
      <c r="AF8096">
        <v>-4.84348263957027E-2</v>
      </c>
      <c r="AG8096">
        <v>2.0442900000000002</v>
      </c>
      <c r="AH8096">
        <v>1.1963400611425801</v>
      </c>
      <c r="AI8096">
        <v>30.357077564333</v>
      </c>
      <c r="AJ8096">
        <v>92.318401333010002</v>
      </c>
      <c r="AK8096">
        <v>2.3691131417479001</v>
      </c>
      <c r="AL8096">
        <v>53.054997181569597</v>
      </c>
      <c r="AM8096">
        <v>94.636787347730802</v>
      </c>
      <c r="AN8096">
        <v>1.0000000827675799</v>
      </c>
    </row>
    <row r="8097" spans="1:40" x14ac:dyDescent="0.25">
      <c r="A8097" t="str">
        <f>"20190304165041160"</f>
        <v>20190304165041160</v>
      </c>
      <c r="B8097" t="str">
        <f>"1551689441153634"</f>
        <v>1551689441153634</v>
      </c>
      <c r="C8097" t="s">
        <v>40</v>
      </c>
      <c r="D8097">
        <v>4.9698520000000004</v>
      </c>
      <c r="E8097">
        <v>0.54383269999999995</v>
      </c>
      <c r="F8097" t="s">
        <v>60</v>
      </c>
      <c r="G8097">
        <v>0</v>
      </c>
      <c r="H8097">
        <v>0</v>
      </c>
      <c r="I8097">
        <v>0</v>
      </c>
      <c r="J8097">
        <v>-156.62530000000001</v>
      </c>
      <c r="K8097">
        <v>1.111974</v>
      </c>
      <c r="L8097">
        <v>137.9545</v>
      </c>
      <c r="M8097">
        <v>0.99992440000000005</v>
      </c>
      <c r="N8097">
        <v>-1.2094570000000001E-2</v>
      </c>
      <c r="O8097">
        <v>-2.2675690000000001E-3</v>
      </c>
      <c r="P8097">
        <v>0.81515599999999999</v>
      </c>
      <c r="Q8097">
        <v>0.57599219999999995</v>
      </c>
      <c r="R8097">
        <v>6.126906E-2</v>
      </c>
      <c r="S8097">
        <v>2.521576</v>
      </c>
      <c r="T8097">
        <v>1.6557820000000001</v>
      </c>
      <c r="U8097">
        <v>-0.10333249999999999</v>
      </c>
      <c r="V8097">
        <v>-6.3285320000000006E-2</v>
      </c>
      <c r="W8097">
        <v>0.58578909999999995</v>
      </c>
      <c r="X8097">
        <v>0.80798890000000001</v>
      </c>
      <c r="Y8097">
        <v>3.2843909999999997E-2</v>
      </c>
      <c r="Z8097">
        <v>8.2199719999999903E-3</v>
      </c>
      <c r="AA8097">
        <v>0.9994267</v>
      </c>
      <c r="AB8097">
        <v>16</v>
      </c>
      <c r="AC8097">
        <v>2.521576</v>
      </c>
      <c r="AD8097">
        <v>1.6557820000000001</v>
      </c>
      <c r="AE8097">
        <v>-0.10333249999999999</v>
      </c>
      <c r="AF8097">
        <v>6.8239533215331494E-2</v>
      </c>
      <c r="AG8097">
        <v>1.6557820000000001</v>
      </c>
      <c r="AH8097">
        <v>1.76293125772892</v>
      </c>
      <c r="AI8097">
        <v>46.816578807263902</v>
      </c>
      <c r="AJ8097">
        <v>87.783301946075795</v>
      </c>
      <c r="AK8097">
        <v>2.4195448507715498</v>
      </c>
      <c r="AL8097">
        <v>54.141243364570599</v>
      </c>
      <c r="AM8097">
        <v>94.478519585182397</v>
      </c>
      <c r="AN8097">
        <v>0.99999998196476103</v>
      </c>
    </row>
    <row r="8098" spans="1:40" x14ac:dyDescent="0.25">
      <c r="A8098" t="str">
        <f>"20190304165041183"</f>
        <v>20190304165041183</v>
      </c>
      <c r="B8098" t="str">
        <f>"1551689441173150"</f>
        <v>1551689441173150</v>
      </c>
      <c r="C8098" t="s">
        <v>40</v>
      </c>
      <c r="D8098">
        <v>5.1273439999999999</v>
      </c>
      <c r="E8098">
        <v>0.5491142</v>
      </c>
      <c r="F8098" t="s">
        <v>60</v>
      </c>
      <c r="G8098">
        <v>0</v>
      </c>
      <c r="H8098">
        <v>0</v>
      </c>
      <c r="I8098">
        <v>0</v>
      </c>
      <c r="J8098">
        <v>-156.46789999999999</v>
      </c>
      <c r="K8098">
        <v>1.1119410000000001</v>
      </c>
      <c r="L8098">
        <v>137.95429999999999</v>
      </c>
      <c r="M8098">
        <v>0.99992499999999995</v>
      </c>
      <c r="N8098">
        <v>-1.206688E-2</v>
      </c>
      <c r="O8098">
        <v>-2.1081759999999998E-3</v>
      </c>
      <c r="P8098">
        <v>0.82194539999999905</v>
      </c>
      <c r="Q8098">
        <v>0.56647599999999998</v>
      </c>
      <c r="R8098">
        <v>5.9251959999999999E-2</v>
      </c>
      <c r="S8098">
        <v>2.8672179999999998</v>
      </c>
      <c r="T8098">
        <v>1.1600090000000001</v>
      </c>
      <c r="U8098">
        <v>-8.7844850000000002E-2</v>
      </c>
      <c r="V8098">
        <v>-6.1170490000000001E-2</v>
      </c>
      <c r="W8098">
        <v>0.57633219999999996</v>
      </c>
      <c r="X8098">
        <v>0.81492299999999995</v>
      </c>
      <c r="Y8098">
        <v>2.6661770000000001E-2</v>
      </c>
      <c r="Z8098">
        <v>4.1763069999999998E-3</v>
      </c>
      <c r="AA8098">
        <v>0.99963579999999996</v>
      </c>
      <c r="AB8098">
        <v>16</v>
      </c>
      <c r="AC8098">
        <v>2.8672179999999998</v>
      </c>
      <c r="AD8098">
        <v>1.1600090000000001</v>
      </c>
      <c r="AE8098">
        <v>-8.7844850000000002E-2</v>
      </c>
      <c r="AF8098">
        <v>7.0303052200061306E-2</v>
      </c>
      <c r="AG8098">
        <v>1.1600090000000001</v>
      </c>
      <c r="AH8098">
        <v>2.4643972973983899</v>
      </c>
      <c r="AI8098">
        <v>64.802285574225095</v>
      </c>
      <c r="AJ8098">
        <v>88.365938799070406</v>
      </c>
      <c r="AK8098">
        <v>2.72466831718177</v>
      </c>
      <c r="AL8098">
        <v>54.807022162951</v>
      </c>
      <c r="AM8098">
        <v>94.292737501450304</v>
      </c>
      <c r="AN8098">
        <v>1.0000000647663301</v>
      </c>
    </row>
    <row r="8099" spans="1:40" x14ac:dyDescent="0.25">
      <c r="A8099" t="str">
        <f>"20190304165041205"</f>
        <v>20190304165041205</v>
      </c>
      <c r="B8099" t="str">
        <f>"1551689441193647"</f>
        <v>1551689441193647</v>
      </c>
      <c r="C8099" t="s">
        <v>40</v>
      </c>
      <c r="D8099">
        <v>5.059812</v>
      </c>
      <c r="E8099">
        <v>0.53785000000000005</v>
      </c>
      <c r="F8099" t="s">
        <v>60</v>
      </c>
      <c r="G8099">
        <v>0</v>
      </c>
      <c r="H8099">
        <v>0</v>
      </c>
      <c r="I8099">
        <v>0</v>
      </c>
      <c r="J8099">
        <v>-156.3135</v>
      </c>
      <c r="K8099">
        <v>1.1119110000000001</v>
      </c>
      <c r="L8099">
        <v>137.95410000000001</v>
      </c>
      <c r="M8099">
        <v>0.99992570000000003</v>
      </c>
      <c r="N8099">
        <v>-1.2048410000000001E-2</v>
      </c>
      <c r="O8099">
        <v>-1.93162E-3</v>
      </c>
      <c r="P8099">
        <v>0.82524030000000004</v>
      </c>
      <c r="Q8099">
        <v>0.5619364</v>
      </c>
      <c r="R8099">
        <v>5.6624500000000001E-2</v>
      </c>
      <c r="S8099">
        <v>3.297974</v>
      </c>
      <c r="T8099">
        <v>0.51628229999999997</v>
      </c>
      <c r="U8099">
        <v>-5.4199219999999999E-2</v>
      </c>
      <c r="V8099">
        <v>-5.841698E-2</v>
      </c>
      <c r="W8099">
        <v>0.57181680000000001</v>
      </c>
      <c r="X8099">
        <v>0.81829890000000005</v>
      </c>
      <c r="Y8099">
        <v>1.436633E-2</v>
      </c>
      <c r="Z8099">
        <v>7.0691759999999895E-4</v>
      </c>
      <c r="AA8099">
        <v>0.99989649999999997</v>
      </c>
      <c r="AB8099">
        <v>16</v>
      </c>
      <c r="AC8099">
        <v>3.297974</v>
      </c>
      <c r="AD8099">
        <v>0.51628229999999997</v>
      </c>
      <c r="AE8099">
        <v>-5.4199219999999999E-2</v>
      </c>
      <c r="AF8099">
        <v>4.6684464298284198E-2</v>
      </c>
      <c r="AG8099">
        <v>0.51628229999999997</v>
      </c>
      <c r="AH8099">
        <v>3.21920268802416</v>
      </c>
      <c r="AI8099">
        <v>80.889670241249405</v>
      </c>
      <c r="AJ8099">
        <v>89.169162197262906</v>
      </c>
      <c r="AK8099">
        <v>3.26067367258395</v>
      </c>
      <c r="AL8099">
        <v>55.122987561147802</v>
      </c>
      <c r="AM8099">
        <v>94.083321983459498</v>
      </c>
      <c r="AN8099">
        <v>1.0000000430278799</v>
      </c>
    </row>
    <row r="8100" spans="1:40" x14ac:dyDescent="0.25">
      <c r="A8100" t="str">
        <f>"20190304165041226"</f>
        <v>20190304165041226</v>
      </c>
      <c r="B8100" t="str">
        <f>"1551689441223903"</f>
        <v>1551689441223903</v>
      </c>
      <c r="C8100" t="s">
        <v>40</v>
      </c>
      <c r="D8100">
        <v>5.1659309999999996</v>
      </c>
      <c r="E8100">
        <v>0.53267900000000001</v>
      </c>
      <c r="F8100" t="s">
        <v>42</v>
      </c>
      <c r="G8100">
        <v>-136.17089999999999</v>
      </c>
      <c r="H8100" s="1">
        <v>-1.8046470000000001E-6</v>
      </c>
      <c r="I8100">
        <v>138.60329999999999</v>
      </c>
      <c r="J8100">
        <v>-156.15780000000001</v>
      </c>
      <c r="K8100">
        <v>1.111893</v>
      </c>
      <c r="L8100">
        <v>137.95410000000001</v>
      </c>
      <c r="M8100">
        <v>0.99992610000000004</v>
      </c>
      <c r="N8100">
        <v>-1.20375E-2</v>
      </c>
      <c r="O8100">
        <v>-1.7305389999999999E-3</v>
      </c>
      <c r="P8100">
        <v>0.83081229999999995</v>
      </c>
      <c r="Q8100">
        <v>0.55384609999999901</v>
      </c>
      <c r="R8100">
        <v>5.4825190000000003E-2</v>
      </c>
      <c r="S8100">
        <v>3.7686310000000001</v>
      </c>
      <c r="T8100">
        <v>-0.20803569999999999</v>
      </c>
      <c r="U8100">
        <v>0.121459999999999</v>
      </c>
      <c r="V8100">
        <v>-5.6462100000000001E-2</v>
      </c>
      <c r="W8100">
        <v>0.56378569999999995</v>
      </c>
      <c r="X8100">
        <v>0.82398890000000002</v>
      </c>
      <c r="Y8100">
        <v>-3.38778E-2</v>
      </c>
      <c r="Z8100">
        <v>1.2128760000000001E-3</v>
      </c>
      <c r="AA8100">
        <v>0.99942520000000001</v>
      </c>
      <c r="AB8100">
        <v>16</v>
      </c>
      <c r="AC8100">
        <v>19.986899999999999</v>
      </c>
      <c r="AD8100">
        <v>-1.1118948046470001</v>
      </c>
      <c r="AE8100">
        <v>0.64919999999997902</v>
      </c>
      <c r="AF8100">
        <v>-0.68168217647724805</v>
      </c>
      <c r="AG8100">
        <v>-1.1118948046470001</v>
      </c>
      <c r="AH8100">
        <v>19.924149689940698</v>
      </c>
      <c r="AI8100">
        <v>93.192293255148101</v>
      </c>
      <c r="AJ8100">
        <v>91.959545721725206</v>
      </c>
      <c r="AK8100">
        <v>19.9667909668403</v>
      </c>
      <c r="AL8100">
        <v>55.681989260201803</v>
      </c>
      <c r="AM8100">
        <v>93.919944789175503</v>
      </c>
      <c r="AN8100">
        <v>0.99999999579205501</v>
      </c>
    </row>
    <row r="8101" spans="1:40" x14ac:dyDescent="0.25">
      <c r="A8101" t="str">
        <f>"20190304165041249"</f>
        <v>20190304165041249</v>
      </c>
      <c r="B8101" t="str">
        <f>"1551689441243422"</f>
        <v>1551689441243422</v>
      </c>
      <c r="C8101" t="s">
        <v>40</v>
      </c>
      <c r="D8101">
        <v>5.1498609999999996</v>
      </c>
      <c r="E8101">
        <v>0.53113290000000002</v>
      </c>
      <c r="F8101" t="s">
        <v>41</v>
      </c>
      <c r="G8101">
        <v>-155.3698</v>
      </c>
      <c r="H8101">
        <v>1.021649</v>
      </c>
      <c r="I8101">
        <v>137.9906</v>
      </c>
      <c r="J8101">
        <v>-156.00120000000001</v>
      </c>
      <c r="K8101">
        <v>1.112055</v>
      </c>
      <c r="L8101">
        <v>137.95410000000001</v>
      </c>
      <c r="M8101">
        <v>0.99991830000000004</v>
      </c>
      <c r="N8101">
        <v>-1.270172E-2</v>
      </c>
      <c r="O8101">
        <v>-1.531099E-3</v>
      </c>
      <c r="P8101">
        <v>0.83528169999999902</v>
      </c>
      <c r="Q8101">
        <v>0.54714669999999999</v>
      </c>
      <c r="R8101">
        <v>5.4179600000000001E-2</v>
      </c>
      <c r="S8101">
        <v>3.8964690000000002</v>
      </c>
      <c r="T8101">
        <v>-0.44621319999999998</v>
      </c>
      <c r="U8101">
        <v>0.18054200000000001</v>
      </c>
      <c r="V8101">
        <v>-5.5639279999999999E-2</v>
      </c>
      <c r="W8101">
        <v>0.55769279999999999</v>
      </c>
      <c r="X8101">
        <v>0.82818060000000004</v>
      </c>
      <c r="Y8101">
        <v>-4.7462579999999997E-2</v>
      </c>
      <c r="Z8101">
        <v>3.1653380000000002E-3</v>
      </c>
      <c r="AA8101">
        <v>0.99886799999999998</v>
      </c>
      <c r="AB8101">
        <v>16</v>
      </c>
      <c r="AC8101">
        <v>0.63140000000001295</v>
      </c>
      <c r="AD8101">
        <v>-9.0406E-2</v>
      </c>
      <c r="AE8101">
        <v>3.6499999999989499E-2</v>
      </c>
      <c r="AF8101">
        <v>-3.6716534550869401E-2</v>
      </c>
      <c r="AG8101">
        <v>-9.0406E-2</v>
      </c>
      <c r="AH8101">
        <v>0.61870132018330304</v>
      </c>
      <c r="AI8101">
        <v>98.298953872256206</v>
      </c>
      <c r="AJ8101">
        <v>93.396207536313597</v>
      </c>
      <c r="AK8101">
        <v>0.62634868271753197</v>
      </c>
      <c r="AL8101">
        <v>56.103612640396904</v>
      </c>
      <c r="AM8101">
        <v>93.843500659893607</v>
      </c>
      <c r="AN8101">
        <v>1.00000004743355</v>
      </c>
    </row>
    <row r="8102" spans="1:40" x14ac:dyDescent="0.25">
      <c r="A8102" t="str">
        <f>"20190304165041271"</f>
        <v>20190304165041271</v>
      </c>
      <c r="B8102" t="str">
        <f>"1551689441263919"</f>
        <v>1551689441263919</v>
      </c>
      <c r="C8102" t="s">
        <v>40</v>
      </c>
      <c r="D8102">
        <v>5.1210230000000001</v>
      </c>
      <c r="E8102">
        <v>0.53046660000000001</v>
      </c>
      <c r="F8102" t="s">
        <v>41</v>
      </c>
      <c r="G8102">
        <v>-155.24170000000001</v>
      </c>
      <c r="H8102">
        <v>1.0089790000000001</v>
      </c>
      <c r="I8102">
        <v>137.9913</v>
      </c>
      <c r="J8102">
        <v>-155.8509</v>
      </c>
      <c r="K8102">
        <v>1.1123749999999999</v>
      </c>
      <c r="L8102">
        <v>137.95400000000001</v>
      </c>
      <c r="M8102">
        <v>0.99989899999999998</v>
      </c>
      <c r="N8102">
        <v>-1.4150950000000001E-2</v>
      </c>
      <c r="O8102">
        <v>-1.35373E-3</v>
      </c>
      <c r="P8102">
        <v>0.84254779999999996</v>
      </c>
      <c r="Q8102">
        <v>0.53603690000000004</v>
      </c>
      <c r="R8102">
        <v>5.2704330000000001E-2</v>
      </c>
      <c r="S8102">
        <v>3.928391</v>
      </c>
      <c r="T8102">
        <v>-0.53327809999999998</v>
      </c>
      <c r="U8102">
        <v>0.1934662</v>
      </c>
      <c r="V8102">
        <v>-5.3989049999999997E-2</v>
      </c>
      <c r="W8102">
        <v>0.54789100000000002</v>
      </c>
      <c r="X8102">
        <v>0.83480580000000004</v>
      </c>
      <c r="Y8102">
        <v>-5.0024840000000001E-2</v>
      </c>
      <c r="Z8102">
        <v>3.8976290000000001E-3</v>
      </c>
      <c r="AA8102">
        <v>0.99874039999999997</v>
      </c>
      <c r="AB8102">
        <v>16</v>
      </c>
      <c r="AC8102">
        <v>0.60919999999998697</v>
      </c>
      <c r="AD8102">
        <v>-0.103395999999999</v>
      </c>
      <c r="AE8102">
        <v>3.72999999999876E-2</v>
      </c>
      <c r="AF8102">
        <v>-3.7061133345808302E-2</v>
      </c>
      <c r="AG8102">
        <v>-0.103395999999999</v>
      </c>
      <c r="AH8102">
        <v>0.59215485230919496</v>
      </c>
      <c r="AI8102">
        <v>99.885587896079201</v>
      </c>
      <c r="AJ8102">
        <v>93.581293671331395</v>
      </c>
      <c r="AK8102">
        <v>0.60225545205851005</v>
      </c>
      <c r="AL8102">
        <v>56.777554946830897</v>
      </c>
      <c r="AM8102">
        <v>93.700313070008903</v>
      </c>
      <c r="AN8102">
        <v>1.0000000445572701</v>
      </c>
    </row>
    <row r="8103" spans="1:40" x14ac:dyDescent="0.25">
      <c r="A8103" t="str">
        <f>"20190304165041294"</f>
        <v>20190304165041294</v>
      </c>
      <c r="B8103" t="str">
        <f>"1551689441283439"</f>
        <v>1551689441283439</v>
      </c>
      <c r="C8103" t="s">
        <v>40</v>
      </c>
      <c r="D8103">
        <v>5.1322539999999996</v>
      </c>
      <c r="E8103">
        <v>0.53031640000000002</v>
      </c>
      <c r="F8103" t="s">
        <v>41</v>
      </c>
      <c r="G8103">
        <v>-155.11189999999999</v>
      </c>
      <c r="H8103">
        <v>0.99957940000000001</v>
      </c>
      <c r="I8103">
        <v>137.9898</v>
      </c>
      <c r="J8103">
        <v>-155.70330000000001</v>
      </c>
      <c r="K8103">
        <v>1.112719</v>
      </c>
      <c r="L8103">
        <v>137.95410000000001</v>
      </c>
      <c r="M8103">
        <v>0.99987280000000001</v>
      </c>
      <c r="N8103">
        <v>-1.5907149999999998E-2</v>
      </c>
      <c r="O8103">
        <v>-1.1907759999999999E-3</v>
      </c>
      <c r="P8103">
        <v>0.84798669999999998</v>
      </c>
      <c r="Q8103">
        <v>0.52755439999999998</v>
      </c>
      <c r="R8103">
        <v>5.103949E-2</v>
      </c>
      <c r="S8103">
        <v>3.9304350000000001</v>
      </c>
      <c r="T8103">
        <v>-0.59997919999999905</v>
      </c>
      <c r="U8103">
        <v>0.19047549999999999</v>
      </c>
      <c r="V8103">
        <v>-5.2156300000000003E-2</v>
      </c>
      <c r="W8103">
        <v>0.54096540000000004</v>
      </c>
      <c r="X8103">
        <v>0.83942609999999995</v>
      </c>
      <c r="Y8103">
        <v>-4.8957729999999998E-2</v>
      </c>
      <c r="Z8103">
        <v>4.2669329999999997E-3</v>
      </c>
      <c r="AA8103">
        <v>0.99879180000000001</v>
      </c>
      <c r="AB8103">
        <v>15</v>
      </c>
      <c r="AC8103">
        <v>0.59140000000002102</v>
      </c>
      <c r="AD8103">
        <v>-0.11313959999999899</v>
      </c>
      <c r="AE8103">
        <v>3.5699999999991398E-2</v>
      </c>
      <c r="AF8103">
        <v>-3.5123479340305699E-2</v>
      </c>
      <c r="AG8103">
        <v>-0.11313959999999899</v>
      </c>
      <c r="AH8103">
        <v>0.57055139328145699</v>
      </c>
      <c r="AI8103">
        <v>101.195516775577</v>
      </c>
      <c r="AJ8103">
        <v>93.522716353797094</v>
      </c>
      <c r="AK8103">
        <v>0.58272044778310395</v>
      </c>
      <c r="AL8103">
        <v>57.250618371502398</v>
      </c>
      <c r="AM8103">
        <v>93.555404356710795</v>
      </c>
      <c r="AN8103">
        <v>1.0000000104940201</v>
      </c>
    </row>
    <row r="8104" spans="1:40" x14ac:dyDescent="0.25">
      <c r="A8104" t="str">
        <f>"20190304165041316"</f>
        <v>20190304165041316</v>
      </c>
      <c r="B8104" t="str">
        <f>"1551689441303935"</f>
        <v>1551689441303935</v>
      </c>
      <c r="C8104" t="s">
        <v>40</v>
      </c>
      <c r="D8104">
        <v>5.1603180000000002</v>
      </c>
      <c r="E8104">
        <v>0.53022309999999995</v>
      </c>
      <c r="F8104" t="s">
        <v>41</v>
      </c>
      <c r="G8104">
        <v>-154.98269999999999</v>
      </c>
      <c r="H8104">
        <v>0.99568199999999996</v>
      </c>
      <c r="I8104">
        <v>137.9871</v>
      </c>
      <c r="J8104">
        <v>-155.5617</v>
      </c>
      <c r="K8104">
        <v>1.113003</v>
      </c>
      <c r="L8104">
        <v>137.95410000000001</v>
      </c>
      <c r="M8104">
        <v>0.99984280000000003</v>
      </c>
      <c r="N8104">
        <v>-1.7707770000000001E-2</v>
      </c>
      <c r="O8104">
        <v>-1.054145E-3</v>
      </c>
      <c r="P8104">
        <v>0.85384259999999901</v>
      </c>
      <c r="Q8104">
        <v>0.51815270000000002</v>
      </c>
      <c r="R8104">
        <v>4.9709410000000002E-2</v>
      </c>
      <c r="S8104">
        <v>3.9234010000000001</v>
      </c>
      <c r="T8104">
        <v>-0.63729669999999905</v>
      </c>
      <c r="U8104">
        <v>0.18034359999999999</v>
      </c>
      <c r="V8104">
        <v>-5.0689909999999998E-2</v>
      </c>
      <c r="W8104">
        <v>0.53318239999999995</v>
      </c>
      <c r="X8104">
        <v>0.84448040000000002</v>
      </c>
      <c r="Y8104">
        <v>-4.6287450000000001E-2</v>
      </c>
      <c r="Z8104">
        <v>4.2974459999999999E-3</v>
      </c>
      <c r="AA8104">
        <v>0.99891890000000005</v>
      </c>
      <c r="AB8104">
        <v>15</v>
      </c>
      <c r="AC8104">
        <v>0.57900000000000695</v>
      </c>
      <c r="AD8104">
        <v>-0.11732099999999999</v>
      </c>
      <c r="AE8104">
        <v>3.2999999999986998E-2</v>
      </c>
      <c r="AF8104">
        <v>-3.2289008050832103E-2</v>
      </c>
      <c r="AG8104">
        <v>-0.11732099999999999</v>
      </c>
      <c r="AH8104">
        <v>0.55620244670864705</v>
      </c>
      <c r="AI8104">
        <v>101.89147461476399</v>
      </c>
      <c r="AJ8104">
        <v>93.322441010575503</v>
      </c>
      <c r="AK8104">
        <v>0.56935749648756895</v>
      </c>
      <c r="AL8104">
        <v>57.7792715001451</v>
      </c>
      <c r="AM8104">
        <v>93.435055858307095</v>
      </c>
      <c r="AN8104">
        <v>1.0000000423148601</v>
      </c>
    </row>
    <row r="8105" spans="1:40" x14ac:dyDescent="0.25">
      <c r="A8105" t="str">
        <f>"20190304165041339"</f>
        <v>20190304165041339</v>
      </c>
      <c r="B8105" t="str">
        <f>"1551689441333214"</f>
        <v>1551689441333214</v>
      </c>
      <c r="C8105" t="s">
        <v>40</v>
      </c>
      <c r="D8105">
        <v>5.2081929999999996</v>
      </c>
      <c r="E8105">
        <v>0.52824040000000005</v>
      </c>
      <c r="F8105" t="s">
        <v>41</v>
      </c>
      <c r="G8105">
        <v>-154.74090000000001</v>
      </c>
      <c r="H8105">
        <v>0.97227779999999997</v>
      </c>
      <c r="I8105">
        <v>137.9905</v>
      </c>
      <c r="J8105">
        <v>-155.41849999999999</v>
      </c>
      <c r="K8105">
        <v>1.1132280000000001</v>
      </c>
      <c r="L8105">
        <v>137.95410000000001</v>
      </c>
      <c r="M8105">
        <v>0.99980800000000003</v>
      </c>
      <c r="N8105">
        <v>-1.9574890000000001E-2</v>
      </c>
      <c r="O8105">
        <v>-9.2953459999999997E-4</v>
      </c>
      <c r="P8105">
        <v>0.86172130000000002</v>
      </c>
      <c r="Q8105">
        <v>0.50504079999999996</v>
      </c>
      <c r="R8105">
        <v>4.8684390000000001E-2</v>
      </c>
      <c r="S8105">
        <v>3.9103240000000001</v>
      </c>
      <c r="T8105">
        <v>-0.67060109999999995</v>
      </c>
      <c r="U8105">
        <v>0.17454529999999999</v>
      </c>
      <c r="V8105">
        <v>-4.9545770000000003E-2</v>
      </c>
      <c r="W8105">
        <v>0.52180519999999997</v>
      </c>
      <c r="X8105">
        <v>0.85162469999999901</v>
      </c>
      <c r="Y8105">
        <v>-4.4782549999999997E-2</v>
      </c>
      <c r="Z8105">
        <v>4.3925229999999997E-3</v>
      </c>
      <c r="AA8105">
        <v>0.99898710000000002</v>
      </c>
      <c r="AB8105">
        <v>14</v>
      </c>
      <c r="AC8105">
        <v>0.67759999999998399</v>
      </c>
      <c r="AD8105">
        <v>-0.1409502</v>
      </c>
      <c r="AE8105">
        <v>3.63999999999862E-2</v>
      </c>
      <c r="AF8105">
        <v>-3.5498370957033301E-2</v>
      </c>
      <c r="AG8105">
        <v>-0.1409502</v>
      </c>
      <c r="AH8105">
        <v>0.64954123651927198</v>
      </c>
      <c r="AI8105">
        <v>102.225648596919</v>
      </c>
      <c r="AJ8105">
        <v>93.128185552336603</v>
      </c>
      <c r="AK8105">
        <v>0.66560567242146396</v>
      </c>
      <c r="AL8105">
        <v>58.546582574321498</v>
      </c>
      <c r="AM8105">
        <v>93.329597228123305</v>
      </c>
      <c r="AN8105">
        <v>1.00000003986101</v>
      </c>
    </row>
    <row r="8106" spans="1:40" x14ac:dyDescent="0.25">
      <c r="A8106" t="str">
        <f>"20190304165041361"</f>
        <v>20190304165041361</v>
      </c>
      <c r="B8106" t="str">
        <f>"1551689441353710"</f>
        <v>1551689441353710</v>
      </c>
      <c r="C8106" t="s">
        <v>40</v>
      </c>
      <c r="D8106">
        <v>5.1576129999999996</v>
      </c>
      <c r="E8106">
        <v>0.52890609999999905</v>
      </c>
      <c r="F8106" t="s">
        <v>41</v>
      </c>
      <c r="G8106">
        <v>-154.60900000000001</v>
      </c>
      <c r="H8106">
        <v>0.9937397</v>
      </c>
      <c r="I8106">
        <v>137.98990000000001</v>
      </c>
      <c r="J8106">
        <v>-155.28579999999999</v>
      </c>
      <c r="K8106">
        <v>1.1133740000000001</v>
      </c>
      <c r="L8106">
        <v>137.95410000000001</v>
      </c>
      <c r="M8106">
        <v>0.99977510000000003</v>
      </c>
      <c r="N8106">
        <v>-2.1194669999999999E-2</v>
      </c>
      <c r="O8106">
        <v>-8.0947919999999995E-4</v>
      </c>
      <c r="P8106">
        <v>0.86952149999999995</v>
      </c>
      <c r="Q8106">
        <v>0.49157459999999997</v>
      </c>
      <c r="R8106">
        <v>4.7820620000000001E-2</v>
      </c>
      <c r="S8106">
        <v>3.8007810000000002</v>
      </c>
      <c r="T8106">
        <v>-0.56114169999999997</v>
      </c>
      <c r="U8106">
        <v>0.168457</v>
      </c>
      <c r="V8106">
        <v>-4.8570589999999997E-2</v>
      </c>
      <c r="W8106">
        <v>0.50988840000000002</v>
      </c>
      <c r="X8106">
        <v>0.85886830000000003</v>
      </c>
      <c r="Y8106">
        <v>-4.4528819999999997E-2</v>
      </c>
      <c r="Z8106">
        <v>3.8446050000000001E-3</v>
      </c>
      <c r="AA8106">
        <v>0.99900069999999996</v>
      </c>
      <c r="AB8106">
        <v>14</v>
      </c>
      <c r="AC8106">
        <v>0.67679999999998497</v>
      </c>
      <c r="AD8106">
        <v>-0.1196343</v>
      </c>
      <c r="AE8106">
        <v>3.5799999999994697E-2</v>
      </c>
      <c r="AF8106">
        <v>-3.5249639120157897E-2</v>
      </c>
      <c r="AG8106">
        <v>-0.1196343</v>
      </c>
      <c r="AH8106">
        <v>0.65632078665161597</v>
      </c>
      <c r="AI8106">
        <v>100.31592256805899</v>
      </c>
      <c r="AJ8106">
        <v>93.074284737267703</v>
      </c>
      <c r="AK8106">
        <v>0.66806577354747598</v>
      </c>
      <c r="AL8106">
        <v>59.343604260243502</v>
      </c>
      <c r="AM8106">
        <v>93.2367347020284</v>
      </c>
      <c r="AN8106">
        <v>1.00000001970619</v>
      </c>
    </row>
    <row r="8107" spans="1:40" x14ac:dyDescent="0.25">
      <c r="A8107" t="str">
        <f>"20190304165041383"</f>
        <v>20190304165041383</v>
      </c>
      <c r="B8107" t="str">
        <f>"1551689441374207"</f>
        <v>1551689441374207</v>
      </c>
      <c r="C8107" t="s">
        <v>40</v>
      </c>
      <c r="D8107">
        <v>5.1659610000000002</v>
      </c>
      <c r="E8107">
        <v>0.52924139999999997</v>
      </c>
      <c r="F8107" t="s">
        <v>41</v>
      </c>
      <c r="G8107">
        <v>-154.4958</v>
      </c>
      <c r="H8107">
        <v>0.98206760000000004</v>
      </c>
      <c r="I8107">
        <v>137.98830000000001</v>
      </c>
      <c r="J8107">
        <v>-155.15170000000001</v>
      </c>
      <c r="K8107">
        <v>1.1133329999999999</v>
      </c>
      <c r="L8107">
        <v>137.95419999999999</v>
      </c>
      <c r="M8107">
        <v>0.99975530000000001</v>
      </c>
      <c r="N8107">
        <v>-2.211722E-2</v>
      </c>
      <c r="O8107">
        <v>-6.5602229999999905E-4</v>
      </c>
      <c r="P8107">
        <v>0.87485769999999996</v>
      </c>
      <c r="Q8107">
        <v>0.48217300000000002</v>
      </c>
      <c r="R8107">
        <v>4.6191290000000003E-2</v>
      </c>
      <c r="S8107">
        <v>3.798035</v>
      </c>
      <c r="T8107">
        <v>-0.63142699999999996</v>
      </c>
      <c r="U8107">
        <v>0.1656494</v>
      </c>
      <c r="V8107">
        <v>-4.680993E-2</v>
      </c>
      <c r="W8107">
        <v>0.50139979999999995</v>
      </c>
      <c r="X8107">
        <v>0.86394850000000001</v>
      </c>
      <c r="Y8107">
        <v>-4.3544680000000002E-2</v>
      </c>
      <c r="Z8107">
        <v>4.1727309999999998E-3</v>
      </c>
      <c r="AA8107">
        <v>0.99904269999999995</v>
      </c>
      <c r="AB8107">
        <v>13</v>
      </c>
      <c r="AC8107">
        <v>0.65590000000000204</v>
      </c>
      <c r="AD8107">
        <v>-0.13126539999999901</v>
      </c>
      <c r="AE8107">
        <v>3.41000000000235E-2</v>
      </c>
      <c r="AF8107">
        <v>-3.3204074949978998E-2</v>
      </c>
      <c r="AG8107">
        <v>-0.13126539999999901</v>
      </c>
      <c r="AH8107">
        <v>0.63068530573699599</v>
      </c>
      <c r="AI8107">
        <v>101.741389859012</v>
      </c>
      <c r="AJ8107">
        <v>93.013703562977497</v>
      </c>
      <c r="AK8107">
        <v>0.64505586634260703</v>
      </c>
      <c r="AL8107">
        <v>59.9073456827469</v>
      </c>
      <c r="AM8107">
        <v>93.101332525246207</v>
      </c>
      <c r="AN8107">
        <v>0.99999996981944606</v>
      </c>
    </row>
    <row r="8108" spans="1:40" x14ac:dyDescent="0.25">
      <c r="A8108" t="str">
        <f>"20190304165041406"</f>
        <v>20190304165041406</v>
      </c>
      <c r="B8108" t="str">
        <f>"1551689441393727"</f>
        <v>1551689441393727</v>
      </c>
      <c r="C8108" t="s">
        <v>40</v>
      </c>
      <c r="D8108">
        <v>5.1857129999999998</v>
      </c>
      <c r="E8108">
        <v>0.52927519999999995</v>
      </c>
      <c r="F8108" t="s">
        <v>41</v>
      </c>
      <c r="G8108">
        <v>-154.3783</v>
      </c>
      <c r="H8108">
        <v>0.97809699999999999</v>
      </c>
      <c r="I8108">
        <v>137.98740000000001</v>
      </c>
      <c r="J8108">
        <v>-155.018</v>
      </c>
      <c r="K8108">
        <v>1.112986</v>
      </c>
      <c r="L8108">
        <v>137.95429999999999</v>
      </c>
      <c r="M8108">
        <v>0.9997644</v>
      </c>
      <c r="N8108">
        <v>-2.170505E-2</v>
      </c>
      <c r="O8108">
        <v>-4.7702710000000002E-4</v>
      </c>
      <c r="P8108">
        <v>0.87684819999999997</v>
      </c>
      <c r="Q8108">
        <v>0.47871360000000002</v>
      </c>
      <c r="R8108">
        <v>4.4394419999999997E-2</v>
      </c>
      <c r="S8108">
        <v>3.785355</v>
      </c>
      <c r="T8108">
        <v>-0.6619081</v>
      </c>
      <c r="U8108">
        <v>0.16259770000000001</v>
      </c>
      <c r="V8108">
        <v>-4.4873679999999999E-2</v>
      </c>
      <c r="W8108">
        <v>0.49762679999999998</v>
      </c>
      <c r="X8108">
        <v>0.86622980000000005</v>
      </c>
      <c r="Y8108">
        <v>-4.2658300000000003E-2</v>
      </c>
      <c r="Z8108">
        <v>4.2394759999999998E-3</v>
      </c>
      <c r="AA8108">
        <v>0.99908070000000004</v>
      </c>
      <c r="AB8108">
        <v>13</v>
      </c>
      <c r="AC8108">
        <v>0.63970000000000404</v>
      </c>
      <c r="AD8108">
        <v>-0.13488900000000001</v>
      </c>
      <c r="AE8108">
        <v>3.3100000000018698E-2</v>
      </c>
      <c r="AF8108">
        <v>-3.1986786240180601E-2</v>
      </c>
      <c r="AG8108">
        <v>-0.13488900000000001</v>
      </c>
      <c r="AH8108">
        <v>0.61252218111666701</v>
      </c>
      <c r="AI8108">
        <v>102.40300810744699</v>
      </c>
      <c r="AJ8108">
        <v>92.989352303810605</v>
      </c>
      <c r="AK8108">
        <v>0.62801402784881599</v>
      </c>
      <c r="AL8108">
        <v>60.156888228695401</v>
      </c>
      <c r="AM8108">
        <v>92.965467436888005</v>
      </c>
      <c r="AN8108">
        <v>1.0000000728214999</v>
      </c>
    </row>
    <row r="8109" spans="1:40" x14ac:dyDescent="0.25">
      <c r="A8109" t="str">
        <f>"20190304165041428"</f>
        <v>20190304165041428</v>
      </c>
      <c r="B8109" t="str">
        <f>"1551689441423007"</f>
        <v>1551689441423007</v>
      </c>
      <c r="C8109" t="s">
        <v>40</v>
      </c>
      <c r="D8109">
        <v>5.1861569999999997</v>
      </c>
      <c r="E8109">
        <v>0.53139269999999905</v>
      </c>
      <c r="F8109" t="s">
        <v>41</v>
      </c>
      <c r="G8109">
        <v>-154.25640000000001</v>
      </c>
      <c r="H8109">
        <v>0.97957830000000001</v>
      </c>
      <c r="I8109">
        <v>137.9862</v>
      </c>
      <c r="J8109">
        <v>-154.87889999999999</v>
      </c>
      <c r="K8109">
        <v>1.1125210000000001</v>
      </c>
      <c r="L8109">
        <v>137.95439999999999</v>
      </c>
      <c r="M8109">
        <v>0.99978869999999997</v>
      </c>
      <c r="N8109">
        <v>-2.0552259999999999E-2</v>
      </c>
      <c r="O8109">
        <v>-2.9848640000000002E-4</v>
      </c>
      <c r="P8109">
        <v>0.87813459999999999</v>
      </c>
      <c r="Q8109">
        <v>0.47640460000000001</v>
      </c>
      <c r="R8109">
        <v>4.3796410000000001E-2</v>
      </c>
      <c r="S8109">
        <v>3.7742770000000001</v>
      </c>
      <c r="T8109">
        <v>-0.6612635</v>
      </c>
      <c r="U8109">
        <v>0.15917970000000001</v>
      </c>
      <c r="V8109">
        <v>-4.4137780000000001E-2</v>
      </c>
      <c r="W8109">
        <v>0.49434460000000002</v>
      </c>
      <c r="X8109">
        <v>0.86814480000000005</v>
      </c>
      <c r="Y8109">
        <v>-4.1722059999999998E-2</v>
      </c>
      <c r="Z8109">
        <v>4.1040929999999996E-3</v>
      </c>
      <c r="AA8109">
        <v>0.99912080000000003</v>
      </c>
      <c r="AB8109">
        <v>13</v>
      </c>
      <c r="AC8109">
        <v>0.62249999999997296</v>
      </c>
      <c r="AD8109">
        <v>-0.132942699999999</v>
      </c>
      <c r="AE8109">
        <v>3.1800000000003999E-2</v>
      </c>
      <c r="AF8109">
        <v>-3.0594111551003E-2</v>
      </c>
      <c r="AG8109">
        <v>-0.132942699999999</v>
      </c>
      <c r="AH8109">
        <v>0.59540533511666205</v>
      </c>
      <c r="AI8109">
        <v>102.570547733898</v>
      </c>
      <c r="AJ8109">
        <v>92.941480496533799</v>
      </c>
      <c r="AK8109">
        <v>0.610833262216678</v>
      </c>
      <c r="AL8109">
        <v>60.373460168171299</v>
      </c>
      <c r="AM8109">
        <v>92.910497106054905</v>
      </c>
      <c r="AN8109">
        <v>1.0000000604697601</v>
      </c>
    </row>
    <row r="8110" spans="1:40" x14ac:dyDescent="0.25">
      <c r="A8110" t="str">
        <f>"20190304165041452"</f>
        <v>20190304165041452</v>
      </c>
      <c r="B8110" t="str">
        <f>"1551689441443503"</f>
        <v>1551689441443503</v>
      </c>
      <c r="C8110" t="s">
        <v>40</v>
      </c>
      <c r="D8110">
        <v>5.1832520000000004</v>
      </c>
      <c r="E8110">
        <v>0.53115809999999997</v>
      </c>
      <c r="F8110" t="s">
        <v>41</v>
      </c>
      <c r="G8110">
        <v>-154.12530000000001</v>
      </c>
      <c r="H8110">
        <v>0.99910900000000002</v>
      </c>
      <c r="I8110">
        <v>137.9802</v>
      </c>
      <c r="J8110">
        <v>-154.74</v>
      </c>
      <c r="K8110">
        <v>1.1122019999999999</v>
      </c>
      <c r="L8110">
        <v>137.9546</v>
      </c>
      <c r="M8110">
        <v>0.99980840000000004</v>
      </c>
      <c r="N8110">
        <v>-1.9577299999999999E-2</v>
      </c>
      <c r="O8110">
        <v>-1.2398159999999999E-4</v>
      </c>
      <c r="P8110">
        <v>0.8811544</v>
      </c>
      <c r="Q8110">
        <v>0.47077869999999999</v>
      </c>
      <c r="R8110">
        <v>4.3987579999999998E-2</v>
      </c>
      <c r="S8110">
        <v>3.71312</v>
      </c>
      <c r="T8110">
        <v>-0.55877219999999905</v>
      </c>
      <c r="U8110">
        <v>0.1270905</v>
      </c>
      <c r="V8110">
        <v>-4.4184649999999999E-2</v>
      </c>
      <c r="W8110">
        <v>0.487931</v>
      </c>
      <c r="X8110">
        <v>0.87176319999999996</v>
      </c>
      <c r="Y8110">
        <v>-3.3898770000000002E-2</v>
      </c>
      <c r="Z8110">
        <v>2.885819E-3</v>
      </c>
      <c r="AA8110">
        <v>0.99942109999999995</v>
      </c>
      <c r="AB8110">
        <v>14</v>
      </c>
      <c r="AC8110">
        <v>0.61469999999999902</v>
      </c>
      <c r="AD8110">
        <v>-0.113093</v>
      </c>
      <c r="AE8110">
        <v>2.5599999999997101E-2</v>
      </c>
      <c r="AF8110">
        <v>-2.4836976282424601E-2</v>
      </c>
      <c r="AG8110">
        <v>-0.113093</v>
      </c>
      <c r="AH8110">
        <v>0.59460492436655599</v>
      </c>
      <c r="AI8110">
        <v>100.75978360622599</v>
      </c>
      <c r="AJ8110">
        <v>92.391885915653305</v>
      </c>
      <c r="AK8110">
        <v>0.60577381762569704</v>
      </c>
      <c r="AL8110">
        <v>60.795317645029797</v>
      </c>
      <c r="AM8110">
        <v>92.901509839648995</v>
      </c>
      <c r="AN8110">
        <v>1.0000000104654301</v>
      </c>
    </row>
    <row r="8111" spans="1:40" x14ac:dyDescent="0.25">
      <c r="A8111" t="str">
        <f>"20190304165041473"</f>
        <v>20190304165041473</v>
      </c>
      <c r="B8111" t="str">
        <f>"1551689441463023"</f>
        <v>1551689441463023</v>
      </c>
      <c r="C8111" t="s">
        <v>40</v>
      </c>
      <c r="D8111">
        <v>5.0914960000000002</v>
      </c>
      <c r="E8111">
        <v>0.53076269999999903</v>
      </c>
      <c r="F8111" t="s">
        <v>41</v>
      </c>
      <c r="G8111">
        <v>-154.00389999999999</v>
      </c>
      <c r="H8111">
        <v>1.000005</v>
      </c>
      <c r="I8111">
        <v>137.9796</v>
      </c>
      <c r="J8111">
        <v>-154.608</v>
      </c>
      <c r="K8111">
        <v>1.112045</v>
      </c>
      <c r="L8111">
        <v>137.95480000000001</v>
      </c>
      <c r="M8111">
        <v>0.99981940000000002</v>
      </c>
      <c r="N8111">
        <v>-1.9006229999999999E-2</v>
      </c>
      <c r="O8111" s="1">
        <v>5.4415829999999997E-5</v>
      </c>
      <c r="P8111">
        <v>0.88567830000000003</v>
      </c>
      <c r="Q8111">
        <v>0.46210129999999999</v>
      </c>
      <c r="R8111">
        <v>4.512977E-2</v>
      </c>
      <c r="S8111">
        <v>3.6996609999999999</v>
      </c>
      <c r="T8111">
        <v>-0.56399409999999905</v>
      </c>
      <c r="U8111">
        <v>0.1262054</v>
      </c>
      <c r="V8111">
        <v>-4.5170290000000002E-2</v>
      </c>
      <c r="W8111">
        <v>0.47884320000000002</v>
      </c>
      <c r="X8111">
        <v>0.87673760000000001</v>
      </c>
      <c r="Y8111">
        <v>-3.3602220000000002E-2</v>
      </c>
      <c r="Z8111">
        <v>2.8600980000000002E-3</v>
      </c>
      <c r="AA8111">
        <v>0.99943119999999996</v>
      </c>
      <c r="AB8111">
        <v>14</v>
      </c>
      <c r="AC8111">
        <v>0.60410000000001596</v>
      </c>
      <c r="AD8111">
        <v>-0.11204</v>
      </c>
      <c r="AE8111">
        <v>2.4799999999999E-2</v>
      </c>
      <c r="AF8111">
        <v>-2.39448607302188E-2</v>
      </c>
      <c r="AG8111">
        <v>-0.11204</v>
      </c>
      <c r="AH8111">
        <v>0.58404537284092695</v>
      </c>
      <c r="AI8111">
        <v>100.85047622198999</v>
      </c>
      <c r="AJ8111">
        <v>92.347714098412794</v>
      </c>
      <c r="AK8111">
        <v>0.59517670946726997</v>
      </c>
      <c r="AL8111">
        <v>61.3901229509272</v>
      </c>
      <c r="AM8111">
        <v>92.949321090126901</v>
      </c>
      <c r="AN8111">
        <v>0.999999992269342</v>
      </c>
    </row>
    <row r="8112" spans="1:40" x14ac:dyDescent="0.25">
      <c r="A8112" t="str">
        <f>"20190304165041495"</f>
        <v>20190304165041495</v>
      </c>
      <c r="B8112" t="str">
        <f>"1551689441483518"</f>
        <v>1551689441483518</v>
      </c>
      <c r="C8112" t="s">
        <v>40</v>
      </c>
      <c r="D8112">
        <v>5.1686399999999999</v>
      </c>
      <c r="E8112">
        <v>0.53094909999999995</v>
      </c>
      <c r="F8112" t="s">
        <v>41</v>
      </c>
      <c r="G8112">
        <v>-153.88499999999999</v>
      </c>
      <c r="H8112">
        <v>0.99739460000000002</v>
      </c>
      <c r="I8112">
        <v>137.9803</v>
      </c>
      <c r="J8112">
        <v>-154.4804</v>
      </c>
      <c r="K8112">
        <v>1.1119410000000001</v>
      </c>
      <c r="L8112">
        <v>137.95500000000001</v>
      </c>
      <c r="M8112">
        <v>0.9998281</v>
      </c>
      <c r="N8112">
        <v>-1.854451E-2</v>
      </c>
      <c r="O8112">
        <v>2.582808E-4</v>
      </c>
      <c r="P8112">
        <v>0.89047960000000004</v>
      </c>
      <c r="Q8112">
        <v>0.45267230000000003</v>
      </c>
      <c r="R8112">
        <v>4.6197420000000003E-2</v>
      </c>
      <c r="S8112">
        <v>3.685562</v>
      </c>
      <c r="T8112">
        <v>-0.58451640000000005</v>
      </c>
      <c r="U8112">
        <v>0.13027949999999999</v>
      </c>
      <c r="V8112">
        <v>-4.6055829999999999E-2</v>
      </c>
      <c r="W8112">
        <v>0.46909970000000001</v>
      </c>
      <c r="X8112">
        <v>0.88194349999999999</v>
      </c>
      <c r="Y8112">
        <v>-3.4587949999999999E-2</v>
      </c>
      <c r="Z8112">
        <v>3.0120199999999998E-3</v>
      </c>
      <c r="AA8112">
        <v>0.99939710000000004</v>
      </c>
      <c r="AB8112">
        <v>14</v>
      </c>
      <c r="AC8112">
        <v>0.59540000000001203</v>
      </c>
      <c r="AD8112">
        <v>-0.11454640000000001</v>
      </c>
      <c r="AE8112">
        <v>2.5299999999987201E-2</v>
      </c>
      <c r="AF8112">
        <v>-2.4250254112365501E-2</v>
      </c>
      <c r="AG8112">
        <v>-0.11454640000000001</v>
      </c>
      <c r="AH8112">
        <v>0.57419266965052596</v>
      </c>
      <c r="AI8112">
        <v>101.272109511831</v>
      </c>
      <c r="AJ8112">
        <v>92.418372899316395</v>
      </c>
      <c r="AK8112">
        <v>0.58600868121374505</v>
      </c>
      <c r="AL8112">
        <v>62.024128106715601</v>
      </c>
      <c r="AM8112">
        <v>92.989318375267501</v>
      </c>
      <c r="AN8112">
        <v>1.00000000260466</v>
      </c>
    </row>
    <row r="8113" spans="1:40" x14ac:dyDescent="0.25">
      <c r="A8113" t="str">
        <f>"20190304165041518"</f>
        <v>20190304165041518</v>
      </c>
      <c r="B8113" t="str">
        <f>"1551689441513775"</f>
        <v>1551689441513775</v>
      </c>
      <c r="C8113" t="s">
        <v>40</v>
      </c>
      <c r="D8113">
        <v>5.1610800000000001</v>
      </c>
      <c r="E8113">
        <v>0.53217360000000002</v>
      </c>
      <c r="F8113" t="s">
        <v>41</v>
      </c>
      <c r="G8113">
        <v>-153.76759999999999</v>
      </c>
      <c r="H8113">
        <v>0.99273100000000003</v>
      </c>
      <c r="I8113">
        <v>137.9804</v>
      </c>
      <c r="J8113">
        <v>-154.3441</v>
      </c>
      <c r="K8113">
        <v>1.111839</v>
      </c>
      <c r="L8113">
        <v>137.95529999999999</v>
      </c>
      <c r="M8113">
        <v>0.99983869999999997</v>
      </c>
      <c r="N8113">
        <v>-1.7954729999999999E-2</v>
      </c>
      <c r="O8113">
        <v>5.205171E-4</v>
      </c>
      <c r="P8113">
        <v>0.89424820000000005</v>
      </c>
      <c r="Q8113">
        <v>0.44513419999999998</v>
      </c>
      <c r="R8113">
        <v>4.6647340000000002E-2</v>
      </c>
      <c r="S8113">
        <v>3.6746669999999999</v>
      </c>
      <c r="T8113">
        <v>-0.61475979999999997</v>
      </c>
      <c r="U8113">
        <v>0.13163759999999999</v>
      </c>
      <c r="V8113">
        <v>-4.627941E-2</v>
      </c>
      <c r="W8113">
        <v>0.46110899999999999</v>
      </c>
      <c r="X8113">
        <v>0.88613589999999998</v>
      </c>
      <c r="Y8113">
        <v>-3.47506E-2</v>
      </c>
      <c r="Z8113">
        <v>3.123177E-3</v>
      </c>
      <c r="AA8113">
        <v>0.99939109999999998</v>
      </c>
      <c r="AB8113">
        <v>13</v>
      </c>
      <c r="AC8113">
        <v>0.57650000000001</v>
      </c>
      <c r="AD8113">
        <v>-0.11910800000000001</v>
      </c>
      <c r="AE8113">
        <v>2.5100000000009001E-2</v>
      </c>
      <c r="AF8113">
        <v>-2.3786448039375501E-2</v>
      </c>
      <c r="AG8113">
        <v>-0.11910800000000001</v>
      </c>
      <c r="AH8113">
        <v>0.55295435779303403</v>
      </c>
      <c r="AI8113">
        <v>102.145047714174</v>
      </c>
      <c r="AJ8113">
        <v>92.463175038228997</v>
      </c>
      <c r="AK8113">
        <v>0.566136938007614</v>
      </c>
      <c r="AL8113">
        <v>62.541309464646801</v>
      </c>
      <c r="AM8113">
        <v>92.989618175469801</v>
      </c>
      <c r="AN8113">
        <v>1.00000006346987</v>
      </c>
    </row>
    <row r="8114" spans="1:40" x14ac:dyDescent="0.25">
      <c r="A8114" t="str">
        <f>"20190304165041540"</f>
        <v>20190304165041540</v>
      </c>
      <c r="B8114" t="str">
        <f>"1551689441533295"</f>
        <v>1551689441533295</v>
      </c>
      <c r="C8114" t="s">
        <v>40</v>
      </c>
      <c r="D8114">
        <v>5.0972790000000003</v>
      </c>
      <c r="E8114">
        <v>0.53224740000000004</v>
      </c>
      <c r="F8114" t="s">
        <v>41</v>
      </c>
      <c r="G8114">
        <v>-153.53139999999999</v>
      </c>
      <c r="H8114">
        <v>0.98657379999999995</v>
      </c>
      <c r="I8114">
        <v>137.9812</v>
      </c>
      <c r="J8114">
        <v>-154.20959999999999</v>
      </c>
      <c r="K8114">
        <v>1.1117629999999901</v>
      </c>
      <c r="L8114">
        <v>137.95570000000001</v>
      </c>
      <c r="M8114">
        <v>0.99984919999999999</v>
      </c>
      <c r="N8114">
        <v>-1.7343890000000001E-2</v>
      </c>
      <c r="O8114">
        <v>8.1711869999999995E-4</v>
      </c>
      <c r="P8114">
        <v>0.89620230000000001</v>
      </c>
      <c r="Q8114">
        <v>0.44121480000000002</v>
      </c>
      <c r="R8114">
        <v>4.6376639999999997E-2</v>
      </c>
      <c r="S8114">
        <v>3.627075</v>
      </c>
      <c r="T8114">
        <v>-0.55917569999999905</v>
      </c>
      <c r="U8114">
        <v>0.1160583</v>
      </c>
      <c r="V8114">
        <v>-4.5763659999999998E-2</v>
      </c>
      <c r="W8114">
        <v>0.4566808</v>
      </c>
      <c r="X8114">
        <v>0.88845280000000004</v>
      </c>
      <c r="Y8114">
        <v>-3.0767659999999999E-2</v>
      </c>
      <c r="Z8114">
        <v>2.5147030000000001E-3</v>
      </c>
      <c r="AA8114">
        <v>0.99952339999999995</v>
      </c>
      <c r="AB8114">
        <v>13</v>
      </c>
      <c r="AC8114">
        <v>0.67820000000000302</v>
      </c>
      <c r="AD8114">
        <v>-0.125189199999999</v>
      </c>
      <c r="AE8114">
        <v>2.5499999999993798E-2</v>
      </c>
      <c r="AF8114">
        <v>-2.41248769901499E-2</v>
      </c>
      <c r="AG8114">
        <v>-0.125189199999999</v>
      </c>
      <c r="AH8114">
        <v>0.65590317445653301</v>
      </c>
      <c r="AI8114">
        <v>100.798683628009</v>
      </c>
      <c r="AJ8114">
        <v>92.106455439201198</v>
      </c>
      <c r="AK8114">
        <v>0.66817910753673504</v>
      </c>
      <c r="AL8114">
        <v>62.826868529648699</v>
      </c>
      <c r="AM8114">
        <v>92.948664564863194</v>
      </c>
      <c r="AN8114">
        <v>1.0000000217465299</v>
      </c>
    </row>
    <row r="8115" spans="1:40" x14ac:dyDescent="0.25">
      <c r="A8115" t="str">
        <f>"20190304165041561"</f>
        <v>20190304165041561</v>
      </c>
      <c r="B8115" t="str">
        <f>"1551689441553791"</f>
        <v>1551689441553791</v>
      </c>
      <c r="C8115" t="s">
        <v>40</v>
      </c>
      <c r="D8115">
        <v>5.1868429999999996</v>
      </c>
      <c r="E8115">
        <v>0.53195550000000003</v>
      </c>
      <c r="F8115" t="s">
        <v>41</v>
      </c>
      <c r="G8115">
        <v>-153.4118</v>
      </c>
      <c r="H8115">
        <v>0.98704559999999997</v>
      </c>
      <c r="I8115">
        <v>137.9812</v>
      </c>
      <c r="J8115">
        <v>-154.07900000000001</v>
      </c>
      <c r="K8115">
        <v>1.1117300000000001</v>
      </c>
      <c r="L8115">
        <v>137.9562</v>
      </c>
      <c r="M8115">
        <v>0.99985769999999996</v>
      </c>
      <c r="N8115">
        <v>-1.6839690000000001E-2</v>
      </c>
      <c r="O8115">
        <v>1.1298910000000001E-3</v>
      </c>
      <c r="P8115">
        <v>0.89791219999999905</v>
      </c>
      <c r="Q8115">
        <v>0.43781579999999898</v>
      </c>
      <c r="R8115">
        <v>4.5510719999999998E-2</v>
      </c>
      <c r="S8115">
        <v>3.6200709999999998</v>
      </c>
      <c r="T8115">
        <v>-0.56594460000000002</v>
      </c>
      <c r="U8115">
        <v>0.11608889999999999</v>
      </c>
      <c r="V8115">
        <v>-4.4642870000000001E-2</v>
      </c>
      <c r="W8115">
        <v>0.45286090000000001</v>
      </c>
      <c r="X8115">
        <v>0.8904628</v>
      </c>
      <c r="Y8115">
        <v>-3.0522270000000001E-2</v>
      </c>
      <c r="Z8115">
        <v>2.4730389999999998E-3</v>
      </c>
      <c r="AA8115">
        <v>0.99953099999999995</v>
      </c>
      <c r="AB8115">
        <v>13</v>
      </c>
      <c r="AC8115">
        <v>0.66720000000000801</v>
      </c>
      <c r="AD8115">
        <v>-0.124684399999999</v>
      </c>
      <c r="AE8115">
        <v>2.5000000000005601E-2</v>
      </c>
      <c r="AF8115">
        <v>-2.3428950698708699E-2</v>
      </c>
      <c r="AG8115">
        <v>-0.124684399999999</v>
      </c>
      <c r="AH8115">
        <v>0.644743002000434</v>
      </c>
      <c r="AI8115">
        <v>100.93806027903899</v>
      </c>
      <c r="AJ8115">
        <v>92.081123167255001</v>
      </c>
      <c r="AK8115">
        <v>0.65710627295950697</v>
      </c>
      <c r="AL8115">
        <v>63.0726146751973</v>
      </c>
      <c r="AM8115">
        <v>92.870089848602206</v>
      </c>
      <c r="AN8115">
        <v>0.99999998938724299</v>
      </c>
    </row>
    <row r="8116" spans="1:40" x14ac:dyDescent="0.25">
      <c r="A8116" t="str">
        <f>"20190304165041585"</f>
        <v>20190304165041585</v>
      </c>
      <c r="B8116" t="str">
        <f>"1551689441574287"</f>
        <v>1551689441574287</v>
      </c>
      <c r="C8116" t="s">
        <v>40</v>
      </c>
      <c r="D8116">
        <v>5.1715519999999904</v>
      </c>
      <c r="E8116">
        <v>0.53227139999999995</v>
      </c>
      <c r="F8116" t="s">
        <v>41</v>
      </c>
      <c r="G8116">
        <v>-153.28980000000001</v>
      </c>
      <c r="H8116">
        <v>0.99322350000000004</v>
      </c>
      <c r="I8116">
        <v>137.98050000000001</v>
      </c>
      <c r="J8116">
        <v>-153.9426</v>
      </c>
      <c r="K8116">
        <v>1.1117300000000001</v>
      </c>
      <c r="L8116">
        <v>137.95679999999999</v>
      </c>
      <c r="M8116">
        <v>0.99986390000000003</v>
      </c>
      <c r="N8116">
        <v>-1.6432470000000001E-2</v>
      </c>
      <c r="O8116">
        <v>1.4894120000000001E-3</v>
      </c>
      <c r="P8116">
        <v>0.90027209999999902</v>
      </c>
      <c r="Q8116">
        <v>0.43300959999999999</v>
      </c>
      <c r="R8116">
        <v>4.4867560000000001E-2</v>
      </c>
      <c r="S8116">
        <v>3.5989529999999998</v>
      </c>
      <c r="T8116">
        <v>-0.54049729999999996</v>
      </c>
      <c r="U8116">
        <v>0.1113739</v>
      </c>
      <c r="V8116">
        <v>-4.3702739999999997E-2</v>
      </c>
      <c r="W8116">
        <v>0.44772879999999998</v>
      </c>
      <c r="X8116">
        <v>0.89310080000000003</v>
      </c>
      <c r="Y8116">
        <v>-2.9093620000000001E-2</v>
      </c>
      <c r="Z8116">
        <v>2.2145340000000002E-3</v>
      </c>
      <c r="AA8116">
        <v>0.99957419999999997</v>
      </c>
      <c r="AB8116">
        <v>13</v>
      </c>
      <c r="AC8116">
        <v>0.65279999999998495</v>
      </c>
      <c r="AD8116">
        <v>-0.118506499999999</v>
      </c>
      <c r="AE8116">
        <v>2.3700000000019299E-2</v>
      </c>
      <c r="AF8116">
        <v>-2.2003382742036101E-2</v>
      </c>
      <c r="AG8116">
        <v>-0.118506499999999</v>
      </c>
      <c r="AH8116">
        <v>0.63203321139213797</v>
      </c>
      <c r="AI8116">
        <v>100.61339566050199</v>
      </c>
      <c r="AJ8116">
        <v>91.993869933411702</v>
      </c>
      <c r="AK8116">
        <v>0.64342359274198302</v>
      </c>
      <c r="AL8116">
        <v>63.4019414444736</v>
      </c>
      <c r="AM8116">
        <v>92.801460730060199</v>
      </c>
      <c r="AN8116">
        <v>1.0000000233967901</v>
      </c>
    </row>
    <row r="8117" spans="1:40" x14ac:dyDescent="0.25">
      <c r="A8117" t="str">
        <f>"20190304165041607"</f>
        <v>20190304165041607</v>
      </c>
      <c r="B8117" t="str">
        <f>"1551689441593807"</f>
        <v>1551689441593807</v>
      </c>
      <c r="C8117" t="s">
        <v>40</v>
      </c>
      <c r="D8117">
        <v>5.1755269999999998</v>
      </c>
      <c r="E8117">
        <v>0.53251159999999997</v>
      </c>
      <c r="F8117" t="s">
        <v>41</v>
      </c>
      <c r="G8117">
        <v>-153.17099999999999</v>
      </c>
      <c r="H8117">
        <v>0.99392840000000005</v>
      </c>
      <c r="I8117">
        <v>137.9787</v>
      </c>
      <c r="J8117">
        <v>-153.8109</v>
      </c>
      <c r="K8117">
        <v>1.111737</v>
      </c>
      <c r="L8117">
        <v>137.95740000000001</v>
      </c>
      <c r="M8117">
        <v>0.99986870000000005</v>
      </c>
      <c r="N8117">
        <v>-1.6098620000000001E-2</v>
      </c>
      <c r="O8117">
        <v>1.8815349999999999E-3</v>
      </c>
      <c r="P8117">
        <v>0.90319660000000002</v>
      </c>
      <c r="Q8117">
        <v>0.42689890000000003</v>
      </c>
      <c r="R8117">
        <v>4.4650750000000003E-2</v>
      </c>
      <c r="S8117">
        <v>3.5909580000000001</v>
      </c>
      <c r="T8117">
        <v>-0.5482802</v>
      </c>
      <c r="U8117">
        <v>0.1021271</v>
      </c>
      <c r="V8117">
        <v>-4.3150639999999997E-2</v>
      </c>
      <c r="W8117">
        <v>0.44136550000000002</v>
      </c>
      <c r="X8117">
        <v>0.89628929999999996</v>
      </c>
      <c r="Y8117">
        <v>-2.622878E-2</v>
      </c>
      <c r="Z8117">
        <v>1.9475110000000001E-3</v>
      </c>
      <c r="AA8117">
        <v>0.99965409999999999</v>
      </c>
      <c r="AB8117">
        <v>13</v>
      </c>
      <c r="AC8117">
        <v>0.63990000000001102</v>
      </c>
      <c r="AD8117">
        <v>-0.1178086</v>
      </c>
      <c r="AE8117">
        <v>2.1299999999996499E-2</v>
      </c>
      <c r="AF8117">
        <v>-1.9437708994269401E-2</v>
      </c>
      <c r="AG8117">
        <v>-0.1178086</v>
      </c>
      <c r="AH8117">
        <v>0.61898205562533604</v>
      </c>
      <c r="AI8117">
        <v>100.77082828942601</v>
      </c>
      <c r="AJ8117">
        <v>91.798651206974199</v>
      </c>
      <c r="AK8117">
        <v>0.63039311223321004</v>
      </c>
      <c r="AL8117">
        <v>63.808961975133897</v>
      </c>
      <c r="AM8117">
        <v>92.756299847390295</v>
      </c>
      <c r="AN8117">
        <v>0.99999999580857402</v>
      </c>
    </row>
    <row r="8118" spans="1:40" x14ac:dyDescent="0.25">
      <c r="A8118" t="str">
        <f>"20190304165041629"</f>
        <v>20190304165041629</v>
      </c>
      <c r="B8118" t="str">
        <f>"1551689441624063"</f>
        <v>1551689441624063</v>
      </c>
      <c r="C8118" t="s">
        <v>40</v>
      </c>
      <c r="D8118">
        <v>5.2206710000000003</v>
      </c>
      <c r="E8118">
        <v>0.53273970000000004</v>
      </c>
      <c r="F8118" t="s">
        <v>41</v>
      </c>
      <c r="G8118">
        <v>-153.05289999999999</v>
      </c>
      <c r="H8118">
        <v>0.99338190000000004</v>
      </c>
      <c r="I8118">
        <v>137.9768</v>
      </c>
      <c r="J8118">
        <v>-153.67679999999999</v>
      </c>
      <c r="K8118">
        <v>1.1117269999999999</v>
      </c>
      <c r="L8118">
        <v>137.95820000000001</v>
      </c>
      <c r="M8118">
        <v>0.99987300000000001</v>
      </c>
      <c r="N8118">
        <v>-1.577129E-2</v>
      </c>
      <c r="O8118">
        <v>2.326617E-3</v>
      </c>
      <c r="P8118">
        <v>0.90618430000000005</v>
      </c>
      <c r="Q8118">
        <v>0.42044700000000002</v>
      </c>
      <c r="R8118">
        <v>4.5326480000000002E-2</v>
      </c>
      <c r="S8118">
        <v>3.5813899999999999</v>
      </c>
      <c r="T8118">
        <v>-0.55932879999999996</v>
      </c>
      <c r="U8118">
        <v>9.1735839999999999E-2</v>
      </c>
      <c r="V8118">
        <v>-4.3431129999999998E-2</v>
      </c>
      <c r="W8118">
        <v>0.43466680000000002</v>
      </c>
      <c r="X8118">
        <v>0.89954349999999905</v>
      </c>
      <c r="Y8118">
        <v>-2.2995680000000001E-2</v>
      </c>
      <c r="Z8118">
        <v>1.6425459999999999E-3</v>
      </c>
      <c r="AA8118">
        <v>0.99973420000000002</v>
      </c>
      <c r="AB8118">
        <v>13</v>
      </c>
      <c r="AC8118">
        <v>0.62389999999999102</v>
      </c>
      <c r="AD8118">
        <v>-0.11834509999999999</v>
      </c>
      <c r="AE8118">
        <v>1.8599999999992099E-2</v>
      </c>
      <c r="AF8118">
        <v>-1.6553127285652901E-2</v>
      </c>
      <c r="AG8118">
        <v>-0.11834509999999999</v>
      </c>
      <c r="AH8118">
        <v>0.60228997121278605</v>
      </c>
      <c r="AI8118">
        <v>101.112442471782</v>
      </c>
      <c r="AJ8118">
        <v>91.574300896448094</v>
      </c>
      <c r="AK8118">
        <v>0.614029948895365</v>
      </c>
      <c r="AL8118">
        <v>64.235906236476097</v>
      </c>
      <c r="AM8118">
        <v>92.764168243156803</v>
      </c>
      <c r="AN8118">
        <v>0.99999999923378302</v>
      </c>
    </row>
    <row r="8119" spans="1:40" x14ac:dyDescent="0.25">
      <c r="A8119" t="str">
        <f>"20190304165041652"</f>
        <v>20190304165041652</v>
      </c>
      <c r="B8119" t="str">
        <f>"1551689441643583"</f>
        <v>1551689441643583</v>
      </c>
      <c r="C8119" t="s">
        <v>40</v>
      </c>
      <c r="D8119">
        <v>5.2010940000000003</v>
      </c>
      <c r="E8119">
        <v>0.53333960000000002</v>
      </c>
      <c r="F8119" t="s">
        <v>41</v>
      </c>
      <c r="G8119">
        <v>-152.9342</v>
      </c>
      <c r="H8119">
        <v>0.99445070000000002</v>
      </c>
      <c r="I8119">
        <v>137.9759</v>
      </c>
      <c r="J8119">
        <v>-153.54560000000001</v>
      </c>
      <c r="K8119">
        <v>1.111712</v>
      </c>
      <c r="L8119">
        <v>137.95910000000001</v>
      </c>
      <c r="M8119">
        <v>0.9998766</v>
      </c>
      <c r="N8119">
        <v>-1.5463650000000001E-2</v>
      </c>
      <c r="O8119">
        <v>2.7930479999999998E-3</v>
      </c>
      <c r="P8119">
        <v>0.90871500000000005</v>
      </c>
      <c r="Q8119">
        <v>0.41484080000000001</v>
      </c>
      <c r="R8119">
        <v>4.6303879999999999E-2</v>
      </c>
      <c r="S8119">
        <v>3.56778</v>
      </c>
      <c r="T8119">
        <v>-0.56350290000000003</v>
      </c>
      <c r="U8119">
        <v>8.5052489999999994E-2</v>
      </c>
      <c r="V8119">
        <v>-4.3981659999999999E-2</v>
      </c>
      <c r="W8119">
        <v>0.42882300000000001</v>
      </c>
      <c r="X8119">
        <v>0.90231729999999999</v>
      </c>
      <c r="Y8119">
        <v>-2.0784710000000001E-2</v>
      </c>
      <c r="Z8119">
        <v>1.3974669999999999E-3</v>
      </c>
      <c r="AA8119">
        <v>0.99978299999999998</v>
      </c>
      <c r="AB8119">
        <v>13</v>
      </c>
      <c r="AC8119">
        <v>0.61140000000000305</v>
      </c>
      <c r="AD8119">
        <v>-0.1172613</v>
      </c>
      <c r="AE8119">
        <v>1.6799999999989199E-2</v>
      </c>
      <c r="AF8119">
        <v>-1.45570006076697E-2</v>
      </c>
      <c r="AG8119">
        <v>-0.1172613</v>
      </c>
      <c r="AH8119">
        <v>0.58976694418617903</v>
      </c>
      <c r="AI8119">
        <v>101.241930872255</v>
      </c>
      <c r="AJ8119">
        <v>91.4139235669264</v>
      </c>
      <c r="AK8119">
        <v>0.60148746221270999</v>
      </c>
      <c r="AL8119">
        <v>64.607112905342404</v>
      </c>
      <c r="AM8119">
        <v>92.790560064692698</v>
      </c>
      <c r="AN8119">
        <v>1.00000003081232</v>
      </c>
    </row>
    <row r="8120" spans="1:40" x14ac:dyDescent="0.25">
      <c r="A8120" t="str">
        <f>"20190304165041673"</f>
        <v>20190304165041673</v>
      </c>
      <c r="B8120" t="str">
        <f>"1551689441664079"</f>
        <v>1551689441664079</v>
      </c>
      <c r="C8120" t="s">
        <v>40</v>
      </c>
      <c r="D8120">
        <v>5.1803720000000002</v>
      </c>
      <c r="E8120">
        <v>0.53327360000000001</v>
      </c>
      <c r="F8120" t="s">
        <v>41</v>
      </c>
      <c r="G8120">
        <v>-152.80500000000001</v>
      </c>
      <c r="H8120">
        <v>1.0176689999999999</v>
      </c>
      <c r="I8120">
        <v>137.9727</v>
      </c>
      <c r="J8120">
        <v>-153.4169</v>
      </c>
      <c r="K8120">
        <v>1.111686</v>
      </c>
      <c r="L8120">
        <v>137.96</v>
      </c>
      <c r="M8120">
        <v>0.99987919999999997</v>
      </c>
      <c r="N8120">
        <v>-1.519708E-2</v>
      </c>
      <c r="O8120">
        <v>3.2606789999999998E-3</v>
      </c>
      <c r="P8120">
        <v>0.91028880000000001</v>
      </c>
      <c r="Q8120">
        <v>0.41121229999999998</v>
      </c>
      <c r="R8120">
        <v>4.7734829999999999E-2</v>
      </c>
      <c r="S8120">
        <v>3.5010829999999999</v>
      </c>
      <c r="T8120">
        <v>-0.44478250000000003</v>
      </c>
      <c r="U8120">
        <v>6.4941410000000005E-2</v>
      </c>
      <c r="V8120">
        <v>-4.4976200000000001E-2</v>
      </c>
      <c r="W8120">
        <v>0.42497879999999899</v>
      </c>
      <c r="X8120">
        <v>0.90408529999999998</v>
      </c>
      <c r="Y8120">
        <v>-1.5168879999999999E-2</v>
      </c>
      <c r="Z8120">
        <v>7.1222739999999998E-4</v>
      </c>
      <c r="AA8120">
        <v>0.99988469999999996</v>
      </c>
      <c r="AB8120">
        <v>13</v>
      </c>
      <c r="AC8120">
        <v>0.61189999999999101</v>
      </c>
      <c r="AD8120">
        <v>-9.4016999999999795E-2</v>
      </c>
      <c r="AE8120">
        <v>1.26999999999952E-2</v>
      </c>
      <c r="AF8120">
        <v>-1.04577172298008E-2</v>
      </c>
      <c r="AG8120">
        <v>-9.4016999999999795E-2</v>
      </c>
      <c r="AH8120">
        <v>0.59783088527685802</v>
      </c>
      <c r="AI8120">
        <v>98.935992812314396</v>
      </c>
      <c r="AJ8120">
        <v>91.002159591482695</v>
      </c>
      <c r="AK8120">
        <v>0.60526880601066002</v>
      </c>
      <c r="AL8120">
        <v>64.850679394654506</v>
      </c>
      <c r="AM8120">
        <v>92.847987627199103</v>
      </c>
      <c r="AN8120">
        <v>1.0000000343459801</v>
      </c>
    </row>
    <row r="8121" spans="1:40" x14ac:dyDescent="0.25">
      <c r="A8121" t="str">
        <f>"20190304165041696"</f>
        <v>20190304165041696</v>
      </c>
      <c r="B8121" t="str">
        <f>"1551689441683599"</f>
        <v>1551689441683599</v>
      </c>
      <c r="C8121" t="s">
        <v>40</v>
      </c>
      <c r="D8121">
        <v>5.2138749999999998</v>
      </c>
      <c r="E8121">
        <v>0.53267249999999999</v>
      </c>
      <c r="F8121" t="s">
        <v>41</v>
      </c>
      <c r="G8121">
        <v>-152.68790000000001</v>
      </c>
      <c r="H8121">
        <v>1.0162979999999999</v>
      </c>
      <c r="I8121">
        <v>137.9743</v>
      </c>
      <c r="J8121">
        <v>-153.28639999999999</v>
      </c>
      <c r="K8121">
        <v>1.1116549999999901</v>
      </c>
      <c r="L8121">
        <v>137.96100000000001</v>
      </c>
      <c r="M8121">
        <v>0.99988100000000002</v>
      </c>
      <c r="N8121">
        <v>-1.4973409999999999E-2</v>
      </c>
      <c r="O8121">
        <v>3.7266700000000001E-3</v>
      </c>
      <c r="P8121">
        <v>0.91114689999999998</v>
      </c>
      <c r="Q8121">
        <v>0.40909319999999999</v>
      </c>
      <c r="R8121">
        <v>4.9540529999999999E-2</v>
      </c>
      <c r="S8121">
        <v>3.4989170000000001</v>
      </c>
      <c r="T8121">
        <v>-0.4579126</v>
      </c>
      <c r="U8121">
        <v>6.8771360000000004E-2</v>
      </c>
      <c r="V8121">
        <v>-4.6339310000000002E-2</v>
      </c>
      <c r="W8121">
        <v>0.4226721</v>
      </c>
      <c r="X8121">
        <v>0.90509720000000005</v>
      </c>
      <c r="Y8121">
        <v>-1.579943E-2</v>
      </c>
      <c r="Z8121">
        <v>7.1822550000000002E-4</v>
      </c>
      <c r="AA8121">
        <v>0.99987490000000001</v>
      </c>
      <c r="AB8121">
        <v>13</v>
      </c>
      <c r="AC8121">
        <v>0.59849999999997205</v>
      </c>
      <c r="AD8121">
        <v>-9.53569999999999E-2</v>
      </c>
      <c r="AE8121">
        <v>1.3299999999986699E-2</v>
      </c>
      <c r="AF8121">
        <v>-1.07953413921816E-2</v>
      </c>
      <c r="AG8121">
        <v>-9.53569999999999E-2</v>
      </c>
      <c r="AH8121">
        <v>0.58373463444932405</v>
      </c>
      <c r="AI8121">
        <v>99.276147148600202</v>
      </c>
      <c r="AJ8121">
        <v>91.059483134036697</v>
      </c>
      <c r="AK8121">
        <v>0.59157046942901004</v>
      </c>
      <c r="AL8121">
        <v>64.996596053042595</v>
      </c>
      <c r="AM8121">
        <v>92.930879337354298</v>
      </c>
      <c r="AN8121">
        <v>0.99999998860876205</v>
      </c>
    </row>
    <row r="8122" spans="1:40" x14ac:dyDescent="0.25">
      <c r="A8122" t="str">
        <f>"20190304165041719"</f>
        <v>20190304165041719</v>
      </c>
      <c r="B8122" t="str">
        <f>"1551689441713858"</f>
        <v>1551689441713858</v>
      </c>
      <c r="C8122" t="s">
        <v>40</v>
      </c>
      <c r="D8122">
        <v>5.2378419999999997</v>
      </c>
      <c r="E8122">
        <v>0.53292609999999996</v>
      </c>
      <c r="F8122" t="s">
        <v>41</v>
      </c>
      <c r="G8122">
        <v>-152.45769999999999</v>
      </c>
      <c r="H8122">
        <v>1.006705</v>
      </c>
      <c r="I8122">
        <v>137.97880000000001</v>
      </c>
      <c r="J8122">
        <v>-153.14779999999999</v>
      </c>
      <c r="K8122">
        <v>1.111632</v>
      </c>
      <c r="L8122">
        <v>137.96209999999999</v>
      </c>
      <c r="M8122">
        <v>0.99988200000000005</v>
      </c>
      <c r="N8122">
        <v>-1.4777719999999999E-2</v>
      </c>
      <c r="O8122">
        <v>4.19792E-3</v>
      </c>
      <c r="P8122">
        <v>0.91258760000000005</v>
      </c>
      <c r="Q8122">
        <v>0.40564830000000002</v>
      </c>
      <c r="R8122">
        <v>5.1316580000000001E-2</v>
      </c>
      <c r="S8122">
        <v>3.4867859999999999</v>
      </c>
      <c r="T8122">
        <v>-0.44161329999999999</v>
      </c>
      <c r="U8122">
        <v>7.473755E-2</v>
      </c>
      <c r="V8122">
        <v>-4.7653870000000001E-2</v>
      </c>
      <c r="W8122">
        <v>0.41907369999999999</v>
      </c>
      <c r="X8122">
        <v>0.90670079999999997</v>
      </c>
      <c r="Y8122">
        <v>-1.7105479999999999E-2</v>
      </c>
      <c r="Z8122">
        <v>7.3809119999999895E-4</v>
      </c>
      <c r="AA8122">
        <v>0.9998534</v>
      </c>
      <c r="AB8122">
        <v>13</v>
      </c>
      <c r="AC8122">
        <v>0.69010000000000105</v>
      </c>
      <c r="AD8122">
        <v>-0.10492700000000001</v>
      </c>
      <c r="AE8122">
        <v>1.6700000000014301E-2</v>
      </c>
      <c r="AF8122">
        <v>-1.34908527360805E-2</v>
      </c>
      <c r="AG8122">
        <v>-0.10492700000000001</v>
      </c>
      <c r="AH8122">
        <v>0.67457825099833701</v>
      </c>
      <c r="AI8122">
        <v>98.839461724940406</v>
      </c>
      <c r="AJ8122">
        <v>91.145702364029205</v>
      </c>
      <c r="AK8122">
        <v>0.68282318000820796</v>
      </c>
      <c r="AL8122">
        <v>65.223879869169494</v>
      </c>
      <c r="AM8122">
        <v>93.0085511909448</v>
      </c>
      <c r="AN8122">
        <v>0.99999999903915304</v>
      </c>
    </row>
    <row r="8123" spans="1:40" x14ac:dyDescent="0.25">
      <c r="A8123" t="str">
        <f>"20190304165041741"</f>
        <v>20190304165041741</v>
      </c>
      <c r="B8123" t="str">
        <f>"1551689441733375"</f>
        <v>1551689441733375</v>
      </c>
      <c r="C8123" t="s">
        <v>40</v>
      </c>
      <c r="D8123">
        <v>5.2700959999999997</v>
      </c>
      <c r="E8123">
        <v>0.53267690000000001</v>
      </c>
      <c r="F8123" t="s">
        <v>41</v>
      </c>
      <c r="G8123">
        <v>-152.34030000000001</v>
      </c>
      <c r="H8123">
        <v>1.007549</v>
      </c>
      <c r="I8123">
        <v>137.97999999999999</v>
      </c>
      <c r="J8123">
        <v>-153.02189999999999</v>
      </c>
      <c r="K8123">
        <v>1.11159599999999</v>
      </c>
      <c r="L8123">
        <v>137.9632</v>
      </c>
      <c r="M8123">
        <v>0.99988270000000001</v>
      </c>
      <c r="N8123">
        <v>-1.462082E-2</v>
      </c>
      <c r="O8123">
        <v>4.6021059999999999E-3</v>
      </c>
      <c r="P8123">
        <v>0.9143888</v>
      </c>
      <c r="Q8123">
        <v>0.40137899999999999</v>
      </c>
      <c r="R8123">
        <v>5.2806140000000001E-2</v>
      </c>
      <c r="S8123">
        <v>3.4825590000000002</v>
      </c>
      <c r="T8123">
        <v>-0.4489419</v>
      </c>
      <c r="U8123">
        <v>7.7438350000000003E-2</v>
      </c>
      <c r="V8123">
        <v>-4.87386E-2</v>
      </c>
      <c r="W8123">
        <v>0.4146917</v>
      </c>
      <c r="X8123">
        <v>0.90865580000000001</v>
      </c>
      <c r="Y8123">
        <v>-1.7497490000000001E-2</v>
      </c>
      <c r="Z8123">
        <v>7.2785220000000004E-4</v>
      </c>
      <c r="AA8123">
        <v>0.99984660000000003</v>
      </c>
      <c r="AB8123">
        <v>13</v>
      </c>
      <c r="AC8123">
        <v>0.681599999999974</v>
      </c>
      <c r="AD8123">
        <v>-0.104046999999999</v>
      </c>
      <c r="AE8123">
        <v>1.6799999999989199E-2</v>
      </c>
      <c r="AF8123">
        <v>-1.3351753343120099E-2</v>
      </c>
      <c r="AG8123">
        <v>-0.104046999999999</v>
      </c>
      <c r="AH8123">
        <v>0.66615650820038597</v>
      </c>
      <c r="AI8123">
        <v>98.875550382354007</v>
      </c>
      <c r="AJ8123">
        <v>91.148223716658407</v>
      </c>
      <c r="AK8123">
        <v>0.67436528746968205</v>
      </c>
      <c r="AL8123">
        <v>65.500097395224003</v>
      </c>
      <c r="AM8123">
        <v>93.070296391778697</v>
      </c>
      <c r="AN8123">
        <v>1.0000000100262401</v>
      </c>
    </row>
    <row r="8124" spans="1:40" x14ac:dyDescent="0.25">
      <c r="A8124" t="str">
        <f>"20190304165041762"</f>
        <v>20190304165041762</v>
      </c>
      <c r="B8124" t="str">
        <f>"1551689441753871"</f>
        <v>1551689441753871</v>
      </c>
      <c r="C8124" t="s">
        <v>40</v>
      </c>
      <c r="D8124">
        <v>5.2830139999999997</v>
      </c>
      <c r="E8124">
        <v>0.53247119999999903</v>
      </c>
      <c r="F8124" t="s">
        <v>41</v>
      </c>
      <c r="G8124">
        <v>-152.22389999999999</v>
      </c>
      <c r="H8124">
        <v>1.0067839999999999</v>
      </c>
      <c r="I8124">
        <v>137.98259999999999</v>
      </c>
      <c r="J8124">
        <v>-152.8938</v>
      </c>
      <c r="K8124">
        <v>1.11155</v>
      </c>
      <c r="L8124">
        <v>137.96420000000001</v>
      </c>
      <c r="M8124">
        <v>0.99988290000000002</v>
      </c>
      <c r="N8124">
        <v>-1.4476899999999999E-2</v>
      </c>
      <c r="O8124">
        <v>4.9823910000000001E-3</v>
      </c>
      <c r="P8124">
        <v>0.91751740000000004</v>
      </c>
      <c r="Q8124">
        <v>0.39399430000000002</v>
      </c>
      <c r="R8124">
        <v>5.4135049999999997E-2</v>
      </c>
      <c r="S8124">
        <v>3.4763950000000001</v>
      </c>
      <c r="T8124">
        <v>-0.45659319999999998</v>
      </c>
      <c r="U8124">
        <v>8.4732059999999998E-2</v>
      </c>
      <c r="V8124">
        <v>-4.9674669999999997E-2</v>
      </c>
      <c r="W8124">
        <v>0.40722609999999998</v>
      </c>
      <c r="X8124">
        <v>0.91197550000000005</v>
      </c>
      <c r="Y8124">
        <v>-1.9234959999999999E-2</v>
      </c>
      <c r="Z8124">
        <v>8.1786749999999996E-4</v>
      </c>
      <c r="AA8124">
        <v>0.9998146</v>
      </c>
      <c r="AB8124">
        <v>13</v>
      </c>
      <c r="AC8124">
        <v>0.66990000000001204</v>
      </c>
      <c r="AD8124">
        <v>-0.104765999999999</v>
      </c>
      <c r="AE8124">
        <v>1.8399999999985501E-2</v>
      </c>
      <c r="AF8124">
        <v>-1.4702398350220001E-2</v>
      </c>
      <c r="AG8124">
        <v>-0.104765999999999</v>
      </c>
      <c r="AH8124">
        <v>0.65399990388385598</v>
      </c>
      <c r="AI8124">
        <v>99.098780587119407</v>
      </c>
      <c r="AJ8124">
        <v>91.287834299358707</v>
      </c>
      <c r="AK8124">
        <v>0.66250128268052599</v>
      </c>
      <c r="AL8124">
        <v>65.969298327471904</v>
      </c>
      <c r="AM8124">
        <v>93.117780234894298</v>
      </c>
      <c r="AN8124">
        <v>0.99999999098053405</v>
      </c>
    </row>
    <row r="8125" spans="1:40" x14ac:dyDescent="0.25">
      <c r="A8125" t="str">
        <f>"20190304165041796"</f>
        <v>20190304165041796</v>
      </c>
      <c r="B8125" t="str">
        <f>"1551689441783150"</f>
        <v>1551689441783150</v>
      </c>
      <c r="C8125" t="s">
        <v>40</v>
      </c>
      <c r="D8125">
        <v>5.3112510000000004</v>
      </c>
      <c r="E8125">
        <v>0.53241769999999999</v>
      </c>
      <c r="F8125" t="s">
        <v>41</v>
      </c>
      <c r="G8125">
        <v>-152.10890000000001</v>
      </c>
      <c r="H8125">
        <v>1.0033920000000001</v>
      </c>
      <c r="I8125">
        <v>137.9846</v>
      </c>
      <c r="J8125">
        <v>-152.69739999999999</v>
      </c>
      <c r="K8125">
        <v>1.1114790000000001</v>
      </c>
      <c r="L8125">
        <v>137.9659</v>
      </c>
      <c r="M8125">
        <v>0.99988290000000002</v>
      </c>
      <c r="N8125">
        <v>-1.4287589999999999E-2</v>
      </c>
      <c r="O8125">
        <v>5.4900289999999996E-3</v>
      </c>
      <c r="P8125">
        <v>0.92031359999999995</v>
      </c>
      <c r="Q8125">
        <v>0.38714510000000002</v>
      </c>
      <c r="R8125">
        <v>5.6052060000000001E-2</v>
      </c>
      <c r="S8125">
        <v>3.4697269999999998</v>
      </c>
      <c r="T8125">
        <v>-0.47826340000000001</v>
      </c>
      <c r="U8125">
        <v>9.0484620000000002E-2</v>
      </c>
      <c r="V8125">
        <v>-5.1070339999999999E-2</v>
      </c>
      <c r="W8125">
        <v>0.40024969999999999</v>
      </c>
      <c r="X8125">
        <v>0.91498199999999996</v>
      </c>
      <c r="Y8125">
        <v>-2.040898E-2</v>
      </c>
      <c r="Z8125">
        <v>8.7137439999999998E-4</v>
      </c>
      <c r="AA8125">
        <v>0.99979130000000005</v>
      </c>
      <c r="AB8125">
        <v>13</v>
      </c>
      <c r="AC8125">
        <v>0.58849999999998204</v>
      </c>
      <c r="AD8125">
        <v>-0.108087</v>
      </c>
      <c r="AE8125">
        <v>1.8699999999995401E-2</v>
      </c>
      <c r="AF8125">
        <v>-1.49642283707846E-2</v>
      </c>
      <c r="AG8125">
        <v>-0.108087</v>
      </c>
      <c r="AH8125">
        <v>0.56940546621128196</v>
      </c>
      <c r="AI8125">
        <v>100.74462783600499</v>
      </c>
      <c r="AJ8125">
        <v>91.505412002131706</v>
      </c>
      <c r="AK8125">
        <v>0.57976660187615203</v>
      </c>
      <c r="AL8125">
        <v>66.406211422272307</v>
      </c>
      <c r="AM8125">
        <v>93.194687922555104</v>
      </c>
      <c r="AN8125">
        <v>1.0000000311509001</v>
      </c>
    </row>
    <row r="8126" spans="1:40" x14ac:dyDescent="0.25">
      <c r="A8126" t="str">
        <f>"20190304165041821"</f>
        <v>20190304165041821</v>
      </c>
      <c r="B8126" t="str">
        <f>"1551689441813407"</f>
        <v>1551689441813407</v>
      </c>
      <c r="C8126" t="s">
        <v>40</v>
      </c>
      <c r="D8126">
        <v>5.3002390000000004</v>
      </c>
      <c r="E8126">
        <v>0.52571230000000002</v>
      </c>
      <c r="F8126" t="s">
        <v>41</v>
      </c>
      <c r="G8126">
        <v>-151.88030000000001</v>
      </c>
      <c r="H8126">
        <v>0.99540720000000005</v>
      </c>
      <c r="I8126">
        <v>137.98750000000001</v>
      </c>
      <c r="J8126">
        <v>-152.55670000000001</v>
      </c>
      <c r="K8126">
        <v>1.1114379999999999</v>
      </c>
      <c r="L8126">
        <v>137.96700000000001</v>
      </c>
      <c r="M8126">
        <v>0.99988279999999996</v>
      </c>
      <c r="N8126">
        <v>-1.417767E-2</v>
      </c>
      <c r="O8126">
        <v>5.7879019999999897E-3</v>
      </c>
      <c r="P8126">
        <v>0.92171440000000004</v>
      </c>
      <c r="Q8126">
        <v>0.38357839999999999</v>
      </c>
      <c r="R8126">
        <v>5.7536770000000001E-2</v>
      </c>
      <c r="S8126">
        <v>3.4610289999999999</v>
      </c>
      <c r="T8126">
        <v>-0.49176130000000001</v>
      </c>
      <c r="U8126">
        <v>9.2178339999999998E-2</v>
      </c>
      <c r="V8126">
        <v>-5.2246760000000003E-2</v>
      </c>
      <c r="W8126">
        <v>0.39660610000000002</v>
      </c>
      <c r="X8126">
        <v>0.91650089999999995</v>
      </c>
      <c r="Y8126">
        <v>-2.065575E-2</v>
      </c>
      <c r="Z8126">
        <v>8.7069229999999897E-4</v>
      </c>
      <c r="AA8126">
        <v>0.99978630000000002</v>
      </c>
      <c r="AB8126">
        <v>13</v>
      </c>
      <c r="AC8126">
        <v>0.676400000000001</v>
      </c>
      <c r="AD8126">
        <v>-0.116030799999999</v>
      </c>
      <c r="AE8126">
        <v>2.0499999999998401E-2</v>
      </c>
      <c r="AF8126">
        <v>-1.61106796692773E-2</v>
      </c>
      <c r="AG8126">
        <v>-0.116030799999999</v>
      </c>
      <c r="AH8126">
        <v>0.65718635086465205</v>
      </c>
      <c r="AI8126">
        <v>100.009830467814</v>
      </c>
      <c r="AJ8126">
        <v>91.404303517912695</v>
      </c>
      <c r="AK8126">
        <v>0.66754520469466605</v>
      </c>
      <c r="AL8126">
        <v>66.633820158061198</v>
      </c>
      <c r="AM8126">
        <v>93.262716270062199</v>
      </c>
      <c r="AN8126">
        <v>1.00000001109425</v>
      </c>
    </row>
    <row r="8127" spans="1:40" x14ac:dyDescent="0.25">
      <c r="A8127" t="str">
        <f>"20190304165041843"</f>
        <v>20190304165041843</v>
      </c>
      <c r="B8127" t="str">
        <f>"1551689441833904"</f>
        <v>1551689441833904</v>
      </c>
      <c r="C8127" t="s">
        <v>40</v>
      </c>
      <c r="D8127">
        <v>5.2390299999999996</v>
      </c>
      <c r="E8127">
        <v>0.52600709999999995</v>
      </c>
      <c r="F8127" t="s">
        <v>41</v>
      </c>
      <c r="G8127">
        <v>-151.77269999999999</v>
      </c>
      <c r="H8127">
        <v>0.97739100000000001</v>
      </c>
      <c r="I8127">
        <v>138.00200000000001</v>
      </c>
      <c r="J8127">
        <v>-152.4271</v>
      </c>
      <c r="K8127">
        <v>1.111405</v>
      </c>
      <c r="L8127">
        <v>137.96809999999999</v>
      </c>
      <c r="M8127">
        <v>0.99988259999999995</v>
      </c>
      <c r="N8127">
        <v>-1.409027E-2</v>
      </c>
      <c r="O8127">
        <v>6.0256270000000004E-3</v>
      </c>
      <c r="P8127">
        <v>0.92285450000000002</v>
      </c>
      <c r="Q8127">
        <v>0.38071630000000001</v>
      </c>
      <c r="R8127">
        <v>5.8263420000000003E-2</v>
      </c>
      <c r="S8127">
        <v>3.493668</v>
      </c>
      <c r="T8127">
        <v>-0.59741929999999999</v>
      </c>
      <c r="U8127">
        <v>0.1562347</v>
      </c>
      <c r="V8127">
        <v>-5.2727509999999998E-2</v>
      </c>
      <c r="W8127">
        <v>0.39368310000000001</v>
      </c>
      <c r="X8127">
        <v>0.91773280000000002</v>
      </c>
      <c r="Y8127">
        <v>-3.8128639999999998E-2</v>
      </c>
      <c r="Z8127">
        <v>2.567686E-3</v>
      </c>
      <c r="AA8127">
        <v>0.99926950000000003</v>
      </c>
      <c r="AB8127">
        <v>13</v>
      </c>
      <c r="AC8127">
        <v>0.65440000000000897</v>
      </c>
      <c r="AD8127">
        <v>-0.134013999999999</v>
      </c>
      <c r="AE8127">
        <v>3.3900000000016903E-2</v>
      </c>
      <c r="AF8127">
        <v>-2.8753182390788602E-2</v>
      </c>
      <c r="AG8127">
        <v>-0.134013999999999</v>
      </c>
      <c r="AH8127">
        <v>0.62831239869550304</v>
      </c>
      <c r="AI8127">
        <v>102.02808833424</v>
      </c>
      <c r="AJ8127">
        <v>92.620173369629498</v>
      </c>
      <c r="AK8127">
        <v>0.643088616015005</v>
      </c>
      <c r="AL8127">
        <v>66.816133145337304</v>
      </c>
      <c r="AM8127">
        <v>93.288262340804096</v>
      </c>
      <c r="AN8127">
        <v>1.00000003286612</v>
      </c>
    </row>
    <row r="8128" spans="1:40" x14ac:dyDescent="0.25">
      <c r="A8128" t="str">
        <f>"20190304165041863"</f>
        <v>20190304165041863</v>
      </c>
      <c r="B8128" t="str">
        <f>"1551689441853423"</f>
        <v>1551689441853423</v>
      </c>
      <c r="C8128" t="s">
        <v>40</v>
      </c>
      <c r="D8128">
        <v>5.2552079999999997</v>
      </c>
      <c r="E8128">
        <v>0.52643200000000001</v>
      </c>
      <c r="F8128" t="s">
        <v>41</v>
      </c>
      <c r="G8128">
        <v>-151.66079999999999</v>
      </c>
      <c r="H8128">
        <v>0.96976479999999998</v>
      </c>
      <c r="I8128">
        <v>138.0025</v>
      </c>
      <c r="J8128">
        <v>-152.31129999999999</v>
      </c>
      <c r="K8128">
        <v>1.1113770000000001</v>
      </c>
      <c r="L8128">
        <v>137.96899999999999</v>
      </c>
      <c r="M8128">
        <v>0.99988259999999995</v>
      </c>
      <c r="N8128">
        <v>-1.402137E-2</v>
      </c>
      <c r="O8128">
        <v>6.2054500000000004E-3</v>
      </c>
      <c r="P8128">
        <v>0.92361490000000002</v>
      </c>
      <c r="Q8128">
        <v>0.37881930000000003</v>
      </c>
      <c r="R8128">
        <v>5.858294E-2</v>
      </c>
      <c r="S8128">
        <v>3.5083470000000001</v>
      </c>
      <c r="T8128">
        <v>-0.64855529999999995</v>
      </c>
      <c r="U8128">
        <v>0.15827939999999999</v>
      </c>
      <c r="V8128">
        <v>-5.2859290000000003E-2</v>
      </c>
      <c r="W8128">
        <v>0.39173599999999997</v>
      </c>
      <c r="X8128">
        <v>0.91855799999999999</v>
      </c>
      <c r="Y8128">
        <v>-3.8261320000000001E-2</v>
      </c>
      <c r="Z8128">
        <v>2.725271E-3</v>
      </c>
      <c r="AA8128">
        <v>0.99926409999999999</v>
      </c>
      <c r="AB8128">
        <v>13</v>
      </c>
      <c r="AC8128">
        <v>0.65049999999999297</v>
      </c>
      <c r="AD8128">
        <v>-0.14161219999999899</v>
      </c>
      <c r="AE8128">
        <v>3.3500000000003603E-2</v>
      </c>
      <c r="AF8128">
        <v>-2.8132575811944199E-2</v>
      </c>
      <c r="AG8128">
        <v>-0.14161219999999899</v>
      </c>
      <c r="AH8128">
        <v>0.62132720958992005</v>
      </c>
      <c r="AI8128">
        <v>102.826758362425</v>
      </c>
      <c r="AJ8128">
        <v>92.592478934161093</v>
      </c>
      <c r="AK8128">
        <v>0.63788161784727004</v>
      </c>
      <c r="AL8128">
        <v>66.937438373749103</v>
      </c>
      <c r="AM8128">
        <v>93.293507574056306</v>
      </c>
      <c r="AN8128">
        <v>0.99999999879965196</v>
      </c>
    </row>
    <row r="8129" spans="1:40" x14ac:dyDescent="0.25">
      <c r="A8129" t="str">
        <f>"20190304165041886"</f>
        <v>20190304165041886</v>
      </c>
      <c r="B8129" t="str">
        <f>"1551689441873919"</f>
        <v>1551689441873919</v>
      </c>
      <c r="C8129" t="s">
        <v>40</v>
      </c>
      <c r="D8129">
        <v>5.2371679999999996</v>
      </c>
      <c r="E8129">
        <v>0.52656380000000003</v>
      </c>
      <c r="F8129" t="s">
        <v>41</v>
      </c>
      <c r="G8129">
        <v>-151.54689999999999</v>
      </c>
      <c r="H8129">
        <v>0.96662210000000004</v>
      </c>
      <c r="I8129">
        <v>138.00290000000001</v>
      </c>
      <c r="J8129">
        <v>-152.17769999999999</v>
      </c>
      <c r="K8129">
        <v>1.11134</v>
      </c>
      <c r="L8129">
        <v>137.9701</v>
      </c>
      <c r="M8129">
        <v>0.99988250000000001</v>
      </c>
      <c r="N8129">
        <v>-1.395148E-2</v>
      </c>
      <c r="O8129">
        <v>6.3689269999999999E-3</v>
      </c>
      <c r="P8129">
        <v>0.92447080000000004</v>
      </c>
      <c r="Q8129">
        <v>0.37662709999999999</v>
      </c>
      <c r="R8129">
        <v>5.9210550000000001E-2</v>
      </c>
      <c r="S8129">
        <v>3.51091</v>
      </c>
      <c r="T8129">
        <v>-0.66482089999999905</v>
      </c>
      <c r="U8129">
        <v>0.1556244</v>
      </c>
      <c r="V8129">
        <v>-5.33094E-2</v>
      </c>
      <c r="W8129">
        <v>0.38949470000000003</v>
      </c>
      <c r="X8129">
        <v>0.91948459999999999</v>
      </c>
      <c r="Y8129">
        <v>-3.7303889999999999E-2</v>
      </c>
      <c r="Z8129">
        <v>2.6552759999999998E-3</v>
      </c>
      <c r="AA8129">
        <v>0.99930039999999998</v>
      </c>
      <c r="AB8129">
        <v>13</v>
      </c>
      <c r="AC8129">
        <v>0.63079999999999303</v>
      </c>
      <c r="AD8129">
        <v>-0.14471790000000001</v>
      </c>
      <c r="AE8129">
        <v>3.2800000000008801E-2</v>
      </c>
      <c r="AF8129">
        <v>-2.7345994208025502E-2</v>
      </c>
      <c r="AG8129">
        <v>-0.14471790000000001</v>
      </c>
      <c r="AH8129">
        <v>0.59952613374434005</v>
      </c>
      <c r="AI8129">
        <v>103.557283703194</v>
      </c>
      <c r="AJ8129">
        <v>92.611603947686405</v>
      </c>
      <c r="AK8129">
        <v>0.617351325439633</v>
      </c>
      <c r="AL8129">
        <v>67.076937494052004</v>
      </c>
      <c r="AM8129">
        <v>93.318150373285405</v>
      </c>
      <c r="AN8129">
        <v>0.99999997154680398</v>
      </c>
    </row>
    <row r="8130" spans="1:40" x14ac:dyDescent="0.25">
      <c r="A8130" t="str">
        <f>"20190304165041909"</f>
        <v>20190304165041909</v>
      </c>
      <c r="B8130" t="str">
        <f>"1551689441903200"</f>
        <v>1551689441903200</v>
      </c>
      <c r="C8130" t="s">
        <v>40</v>
      </c>
      <c r="D8130">
        <v>5.3189320000000002</v>
      </c>
      <c r="E8130">
        <v>0.52680099999999996</v>
      </c>
      <c r="F8130" t="s">
        <v>41</v>
      </c>
      <c r="G8130">
        <v>-151.43100000000001</v>
      </c>
      <c r="H8130">
        <v>0.9681611</v>
      </c>
      <c r="I8130">
        <v>138.00299999999999</v>
      </c>
      <c r="J8130">
        <v>-152.0497</v>
      </c>
      <c r="K8130">
        <v>1.1113029999999999</v>
      </c>
      <c r="L8130">
        <v>137.97110000000001</v>
      </c>
      <c r="M8130">
        <v>0.99988250000000001</v>
      </c>
      <c r="N8130">
        <v>-1.3893330000000001E-2</v>
      </c>
      <c r="O8130">
        <v>6.4766160000000001E-3</v>
      </c>
      <c r="P8130">
        <v>0.92511279999999996</v>
      </c>
      <c r="Q8130">
        <v>0.37506919999999999</v>
      </c>
      <c r="R8130">
        <v>5.9069940000000001E-2</v>
      </c>
      <c r="S8130">
        <v>3.5093380000000001</v>
      </c>
      <c r="T8130">
        <v>-0.67297530000000005</v>
      </c>
      <c r="U8130">
        <v>0.1550598</v>
      </c>
      <c r="V8130">
        <v>-5.3041739999999997E-2</v>
      </c>
      <c r="W8130">
        <v>0.38789590000000002</v>
      </c>
      <c r="X8130">
        <v>0.92017570000000004</v>
      </c>
      <c r="Y8130">
        <v>-3.7047799999999999E-2</v>
      </c>
      <c r="Z8130">
        <v>2.6375579999999999E-3</v>
      </c>
      <c r="AA8130">
        <v>0.99931000000000003</v>
      </c>
      <c r="AB8130">
        <v>13</v>
      </c>
      <c r="AC8130">
        <v>0.61869999999998904</v>
      </c>
      <c r="AD8130">
        <v>-0.14314189999999999</v>
      </c>
      <c r="AE8130">
        <v>3.1899999999978897E-2</v>
      </c>
      <c r="AF8130">
        <v>-2.6478313410401199E-2</v>
      </c>
      <c r="AG8130">
        <v>-0.14314189999999999</v>
      </c>
      <c r="AH8130">
        <v>0.58752836558697097</v>
      </c>
      <c r="AI8130">
        <v>103.679082473514</v>
      </c>
      <c r="AJ8130">
        <v>92.580419671867205</v>
      </c>
      <c r="AK8130">
        <v>0.60529355273781604</v>
      </c>
      <c r="AL8130">
        <v>67.176360333649697</v>
      </c>
      <c r="AM8130">
        <v>93.299053150605701</v>
      </c>
      <c r="AN8130">
        <v>0.99999998714476301</v>
      </c>
    </row>
    <row r="8131" spans="1:40" x14ac:dyDescent="0.25">
      <c r="A8131" t="str">
        <f>"20190304165041934"</f>
        <v>20190304165041934</v>
      </c>
      <c r="B8131" t="str">
        <f>"1551689441923696"</f>
        <v>1551689441923696</v>
      </c>
      <c r="C8131" t="s">
        <v>40</v>
      </c>
      <c r="D8131">
        <v>5.2654439999999996</v>
      </c>
      <c r="E8131">
        <v>0.52686699999999997</v>
      </c>
      <c r="F8131" t="s">
        <v>41</v>
      </c>
      <c r="G8131">
        <v>-151.31530000000001</v>
      </c>
      <c r="H8131">
        <v>0.96986150000000004</v>
      </c>
      <c r="I8131">
        <v>138.0027</v>
      </c>
      <c r="J8131">
        <v>-151.90369999999999</v>
      </c>
      <c r="K8131">
        <v>1.111267</v>
      </c>
      <c r="L8131">
        <v>137.97210000000001</v>
      </c>
      <c r="M8131">
        <v>0.99988290000000002</v>
      </c>
      <c r="N8131">
        <v>-1.3836090000000001E-2</v>
      </c>
      <c r="O8131">
        <v>6.5413470000000003E-3</v>
      </c>
      <c r="P8131">
        <v>0.92543690000000001</v>
      </c>
      <c r="Q8131">
        <v>0.37426189999999998</v>
      </c>
      <c r="R8131">
        <v>5.9117919999999997E-2</v>
      </c>
      <c r="S8131">
        <v>3.5070339999999902</v>
      </c>
      <c r="T8131">
        <v>-0.67545290000000002</v>
      </c>
      <c r="U8131">
        <v>0.15129089999999901</v>
      </c>
      <c r="V8131">
        <v>-5.299914E-2</v>
      </c>
      <c r="W8131">
        <v>0.38704450000000001</v>
      </c>
      <c r="X8131">
        <v>0.92053660000000004</v>
      </c>
      <c r="Y8131">
        <v>-3.5957780000000002E-2</v>
      </c>
      <c r="Z8131">
        <v>2.5228910000000002E-3</v>
      </c>
      <c r="AA8131">
        <v>0.99935010000000002</v>
      </c>
      <c r="AB8131">
        <v>13</v>
      </c>
      <c r="AC8131">
        <v>0.58839999999997805</v>
      </c>
      <c r="AD8131">
        <v>-0.14140549999999999</v>
      </c>
      <c r="AE8131">
        <v>3.0599999999992598E-2</v>
      </c>
      <c r="AF8131">
        <v>-2.5293188102291499E-2</v>
      </c>
      <c r="AG8131">
        <v>-0.14140549999999999</v>
      </c>
      <c r="AH8131">
        <v>0.556531957760936</v>
      </c>
      <c r="AI8131">
        <v>104.242125045138</v>
      </c>
      <c r="AJ8131">
        <v>92.602180108273302</v>
      </c>
      <c r="AK8131">
        <v>0.57477219905267496</v>
      </c>
      <c r="AL8131">
        <v>67.229275723165003</v>
      </c>
      <c r="AM8131">
        <v>93.295119868949001</v>
      </c>
      <c r="AN8131">
        <v>0.99999999288027397</v>
      </c>
    </row>
    <row r="8132" spans="1:40" x14ac:dyDescent="0.25">
      <c r="A8132" t="str">
        <f>"20190304165041953"</f>
        <v>20190304165041953</v>
      </c>
      <c r="B8132" t="str">
        <f>"1551689441944191"</f>
        <v>1551689441944191</v>
      </c>
      <c r="C8132" t="s">
        <v>40</v>
      </c>
      <c r="D8132">
        <v>5.2649189999999999</v>
      </c>
      <c r="E8132">
        <v>0.52697519999999998</v>
      </c>
      <c r="F8132" t="s">
        <v>41</v>
      </c>
      <c r="G8132">
        <v>-151.19799999999901</v>
      </c>
      <c r="H8132">
        <v>0.97529520000000003</v>
      </c>
      <c r="I8132">
        <v>138.00219999999999</v>
      </c>
      <c r="J8132">
        <v>-151.7927</v>
      </c>
      <c r="K8132">
        <v>1.111253</v>
      </c>
      <c r="L8132">
        <v>137.97290000000001</v>
      </c>
      <c r="M8132">
        <v>0.99988350000000004</v>
      </c>
      <c r="N8132">
        <v>-1.379883E-2</v>
      </c>
      <c r="O8132">
        <v>6.5503870000000004E-3</v>
      </c>
      <c r="P8132">
        <v>0.92559020000000003</v>
      </c>
      <c r="Q8132">
        <v>0.37395469999999997</v>
      </c>
      <c r="R8132">
        <v>5.8659749999999997E-2</v>
      </c>
      <c r="S8132">
        <v>3.5053559999999999</v>
      </c>
      <c r="T8132">
        <v>-0.67548759999999997</v>
      </c>
      <c r="U8132">
        <v>0.14933779999999999</v>
      </c>
      <c r="V8132">
        <v>-5.2512910000000003E-2</v>
      </c>
      <c r="W8132">
        <v>0.38670759999999899</v>
      </c>
      <c r="X8132">
        <v>0.92070600000000002</v>
      </c>
      <c r="Y8132">
        <v>-3.5423780000000002E-2</v>
      </c>
      <c r="Z8132">
        <v>2.4668479999999998E-3</v>
      </c>
      <c r="AA8132">
        <v>0.99936930000000002</v>
      </c>
      <c r="AB8132">
        <v>13</v>
      </c>
      <c r="AC8132">
        <v>0.59470000000001699</v>
      </c>
      <c r="AD8132">
        <v>-0.13595779999999999</v>
      </c>
      <c r="AE8132">
        <v>2.9299999999977899E-2</v>
      </c>
      <c r="AF8132">
        <v>-2.41446189573324E-2</v>
      </c>
      <c r="AG8132">
        <v>-0.13595779999999999</v>
      </c>
      <c r="AH8132">
        <v>0.56540001225585901</v>
      </c>
      <c r="AI8132">
        <v>103.50895539599399</v>
      </c>
      <c r="AJ8132">
        <v>92.445250690862494</v>
      </c>
      <c r="AK8132">
        <v>0.58201774875373002</v>
      </c>
      <c r="AL8132">
        <v>67.250207799737197</v>
      </c>
      <c r="AM8132">
        <v>93.264355736028406</v>
      </c>
      <c r="AN8132">
        <v>0.99999995602521297</v>
      </c>
    </row>
    <row r="8133" spans="1:40" x14ac:dyDescent="0.25">
      <c r="A8133" t="str">
        <f>"20190304165041975"</f>
        <v>20190304165041975</v>
      </c>
      <c r="B8133" t="str">
        <f>"1551689441963711"</f>
        <v>1551689441963711</v>
      </c>
      <c r="C8133" t="s">
        <v>40</v>
      </c>
      <c r="D8133">
        <v>5.2733889999999999</v>
      </c>
      <c r="E8133">
        <v>0.52691009999999905</v>
      </c>
      <c r="F8133" t="s">
        <v>41</v>
      </c>
      <c r="G8133">
        <v>-151.0838</v>
      </c>
      <c r="H8133">
        <v>0.97502639999999996</v>
      </c>
      <c r="I8133">
        <v>138.00229999999999</v>
      </c>
      <c r="J8133">
        <v>-151.6696</v>
      </c>
      <c r="K8133">
        <v>1.111232</v>
      </c>
      <c r="L8133">
        <v>137.9736</v>
      </c>
      <c r="M8133">
        <v>0.99988410000000005</v>
      </c>
      <c r="N8133">
        <v>-1.376198E-2</v>
      </c>
      <c r="O8133">
        <v>6.5237460000000004E-3</v>
      </c>
      <c r="P8133">
        <v>0.92600669999999996</v>
      </c>
      <c r="Q8133">
        <v>0.37311640000000001</v>
      </c>
      <c r="R8133">
        <v>5.7406770000000003E-2</v>
      </c>
      <c r="S8133">
        <v>3.5039370000000001</v>
      </c>
      <c r="T8133">
        <v>-0.67329119999999998</v>
      </c>
      <c r="U8133">
        <v>0.145813</v>
      </c>
      <c r="V8133">
        <v>-5.1264200000000003E-2</v>
      </c>
      <c r="W8133">
        <v>0.38584289999999999</v>
      </c>
      <c r="X8133">
        <v>0.92113909999999999</v>
      </c>
      <c r="Y8133">
        <v>-3.4485349999999998E-2</v>
      </c>
      <c r="Z8133">
        <v>2.3688979999999999E-3</v>
      </c>
      <c r="AA8133">
        <v>0.99940240000000002</v>
      </c>
      <c r="AB8133">
        <v>13</v>
      </c>
      <c r="AC8133">
        <v>0.58580000000000598</v>
      </c>
      <c r="AD8133">
        <v>-0.13620559999999901</v>
      </c>
      <c r="AE8133">
        <v>2.86999999999864E-2</v>
      </c>
      <c r="AF8133">
        <v>-2.3604375725548899E-2</v>
      </c>
      <c r="AG8133">
        <v>-0.13620559999999901</v>
      </c>
      <c r="AH8133">
        <v>0.55598894507056995</v>
      </c>
      <c r="AI8133">
        <v>103.75324622101699</v>
      </c>
      <c r="AJ8133">
        <v>92.431018553852098</v>
      </c>
      <c r="AK8133">
        <v>0.57291608379014602</v>
      </c>
      <c r="AL8133">
        <v>67.303921542816695</v>
      </c>
      <c r="AM8133">
        <v>93.185398898077693</v>
      </c>
      <c r="AN8133">
        <v>1.00000000161543</v>
      </c>
    </row>
    <row r="8134" spans="1:40" x14ac:dyDescent="0.25">
      <c r="A8134" t="str">
        <f>"20190304165041999"</f>
        <v>20190304165041999</v>
      </c>
      <c r="B8134" t="str">
        <f>"1551689441993969"</f>
        <v>1551689441993969</v>
      </c>
      <c r="C8134" t="s">
        <v>40</v>
      </c>
      <c r="D8134">
        <v>5.2317410000000004</v>
      </c>
      <c r="E8134">
        <v>0.52686460000000002</v>
      </c>
      <c r="F8134" t="s">
        <v>41</v>
      </c>
      <c r="G8134">
        <v>-150.96889999999999</v>
      </c>
      <c r="H8134">
        <v>0.9764526</v>
      </c>
      <c r="I8134">
        <v>138.00210000000001</v>
      </c>
      <c r="J8134">
        <v>-151.53469999999999</v>
      </c>
      <c r="K8134">
        <v>1.1112</v>
      </c>
      <c r="L8134">
        <v>137.9744</v>
      </c>
      <c r="M8134">
        <v>0.99988509999999997</v>
      </c>
      <c r="N8134">
        <v>-1.3727120000000001E-2</v>
      </c>
      <c r="O8134">
        <v>6.4364799999999996E-3</v>
      </c>
      <c r="P8134">
        <v>0.92655460000000001</v>
      </c>
      <c r="Q8134">
        <v>0.37198819999999999</v>
      </c>
      <c r="R8134">
        <v>5.5871009999999999E-2</v>
      </c>
      <c r="S8134">
        <v>3.5023040000000001</v>
      </c>
      <c r="T8134">
        <v>-0.67368450000000002</v>
      </c>
      <c r="U8134">
        <v>0.14297489999999999</v>
      </c>
      <c r="V8134">
        <v>-4.9788770000000003E-2</v>
      </c>
      <c r="W8134">
        <v>0.38469179999999997</v>
      </c>
      <c r="X8134">
        <v>0.92170129999999995</v>
      </c>
      <c r="Y8134">
        <v>-3.3794619999999997E-2</v>
      </c>
      <c r="Z8134">
        <v>2.3150480000000001E-3</v>
      </c>
      <c r="AA8134">
        <v>0.99942609999999998</v>
      </c>
      <c r="AB8134">
        <v>13</v>
      </c>
      <c r="AC8134">
        <v>0.56579999999999497</v>
      </c>
      <c r="AD8134">
        <v>-0.13474739999999899</v>
      </c>
      <c r="AE8134">
        <v>2.7700000000010001E-2</v>
      </c>
      <c r="AF8134">
        <v>-2.27690153684963E-2</v>
      </c>
      <c r="AG8134">
        <v>-0.13474739999999899</v>
      </c>
      <c r="AH8134">
        <v>0.53565818747992</v>
      </c>
      <c r="AI8134">
        <v>104.107827217947</v>
      </c>
      <c r="AJ8134">
        <v>92.433984324385406</v>
      </c>
      <c r="AK8134">
        <v>0.55281550600709795</v>
      </c>
      <c r="AL8134">
        <v>67.375391703524102</v>
      </c>
      <c r="AM8134">
        <v>93.092017491425395</v>
      </c>
      <c r="AN8134">
        <v>0.99999999451352095</v>
      </c>
    </row>
    <row r="8135" spans="1:40" x14ac:dyDescent="0.25">
      <c r="A8135" t="str">
        <f>"20190304165042025"</f>
        <v>20190304165042025</v>
      </c>
      <c r="B8135" t="str">
        <f>"1551689442013487"</f>
        <v>1551689442013487</v>
      </c>
      <c r="C8135" t="s">
        <v>40</v>
      </c>
      <c r="D8135">
        <v>5.2590789999999998</v>
      </c>
      <c r="E8135">
        <v>0.52674270000000001</v>
      </c>
      <c r="F8135" t="s">
        <v>41</v>
      </c>
      <c r="G8135">
        <v>-150.74879999999999</v>
      </c>
      <c r="H8135">
        <v>0.96018409999999998</v>
      </c>
      <c r="I8135">
        <v>138.00559999999999</v>
      </c>
      <c r="J8135">
        <v>-151.38919999999999</v>
      </c>
      <c r="K8135">
        <v>1.111181</v>
      </c>
      <c r="L8135">
        <v>137.9752</v>
      </c>
      <c r="M8135">
        <v>0.99988659999999996</v>
      </c>
      <c r="N8135">
        <v>-1.369449E-2</v>
      </c>
      <c r="O8135">
        <v>6.2765759999999999E-3</v>
      </c>
      <c r="P8135">
        <v>0.92720619999999998</v>
      </c>
      <c r="Q8135">
        <v>0.37050460000000002</v>
      </c>
      <c r="R8135">
        <v>5.4908520000000002E-2</v>
      </c>
      <c r="S8135">
        <v>3.4994049999999999</v>
      </c>
      <c r="T8135">
        <v>-0.67249510000000001</v>
      </c>
      <c r="U8135">
        <v>0.13905329999999999</v>
      </c>
      <c r="V8135">
        <v>-4.8952500000000003E-2</v>
      </c>
      <c r="W8135">
        <v>0.3831891</v>
      </c>
      <c r="X8135">
        <v>0.92237179999999996</v>
      </c>
      <c r="Y8135">
        <v>-3.2886390000000001E-2</v>
      </c>
      <c r="Z8135">
        <v>2.2480209999999998E-3</v>
      </c>
      <c r="AA8135">
        <v>0.99945660000000003</v>
      </c>
      <c r="AB8135">
        <v>13</v>
      </c>
      <c r="AC8135">
        <v>0.64039999999999897</v>
      </c>
      <c r="AD8135">
        <v>-0.15099689999999999</v>
      </c>
      <c r="AE8135">
        <v>3.03999999999859E-2</v>
      </c>
      <c r="AF8135">
        <v>-2.4993142851013301E-2</v>
      </c>
      <c r="AG8135">
        <v>-0.15099689999999999</v>
      </c>
      <c r="AH8135">
        <v>0.60691292727349699</v>
      </c>
      <c r="AI8135">
        <v>103.959876090485</v>
      </c>
      <c r="AJ8135">
        <v>92.358152003348494</v>
      </c>
      <c r="AK8135">
        <v>0.62591374988161597</v>
      </c>
      <c r="AL8135">
        <v>67.468636359421396</v>
      </c>
      <c r="AM8135">
        <v>93.037975256239406</v>
      </c>
      <c r="AN8135">
        <v>0.99999998552514902</v>
      </c>
    </row>
    <row r="8136" spans="1:40" x14ac:dyDescent="0.25">
      <c r="A8136" t="str">
        <f>"20190304165042045"</f>
        <v>20190304165042045</v>
      </c>
      <c r="B8136" t="str">
        <f>"1551689442033984"</f>
        <v>1551689442033984</v>
      </c>
      <c r="C8136" t="s">
        <v>40</v>
      </c>
      <c r="D8136">
        <v>5.2624719999999998</v>
      </c>
      <c r="E8136">
        <v>0.52668169999999903</v>
      </c>
      <c r="F8136" t="s">
        <v>41</v>
      </c>
      <c r="G8136">
        <v>-150.63310000000001</v>
      </c>
      <c r="H8136">
        <v>0.96502169999999998</v>
      </c>
      <c r="I8136">
        <v>138.00470000000001</v>
      </c>
      <c r="J8136">
        <v>-151.27189999999999</v>
      </c>
      <c r="K8136">
        <v>1.111154</v>
      </c>
      <c r="L8136">
        <v>137.97569999999999</v>
      </c>
      <c r="M8136">
        <v>0.99988790000000005</v>
      </c>
      <c r="N8136">
        <v>-1.36715E-2</v>
      </c>
      <c r="O8136">
        <v>6.1067369999999897E-3</v>
      </c>
      <c r="P8136">
        <v>0.92764820000000003</v>
      </c>
      <c r="Q8136">
        <v>0.36941669999999999</v>
      </c>
      <c r="R8136">
        <v>5.4772830000000002E-2</v>
      </c>
      <c r="S8136">
        <v>3.4976199999999902</v>
      </c>
      <c r="T8136">
        <v>-0.67616779999999999</v>
      </c>
      <c r="U8136">
        <v>0.13693239999999901</v>
      </c>
      <c r="V8136">
        <v>-4.8957760000000003E-2</v>
      </c>
      <c r="W8136">
        <v>0.38208819999999999</v>
      </c>
      <c r="X8136">
        <v>0.92282810000000004</v>
      </c>
      <c r="Y8136">
        <v>-3.2470730000000003E-2</v>
      </c>
      <c r="Z8136">
        <v>2.2464350000000002E-3</v>
      </c>
      <c r="AA8136">
        <v>0.99947019999999998</v>
      </c>
      <c r="AB8136">
        <v>13</v>
      </c>
      <c r="AC8136">
        <v>0.63879999999997406</v>
      </c>
      <c r="AD8136">
        <v>-0.14613229999999999</v>
      </c>
      <c r="AE8136">
        <v>2.90000000000247E-2</v>
      </c>
      <c r="AF8136">
        <v>-2.3852445569181299E-2</v>
      </c>
      <c r="AG8136">
        <v>-0.14613229999999999</v>
      </c>
      <c r="AH8136">
        <v>0.60725218058905195</v>
      </c>
      <c r="AI8136">
        <v>103.520637019148</v>
      </c>
      <c r="AJ8136">
        <v>92.249382228494696</v>
      </c>
      <c r="AK8136">
        <v>0.62504303779266202</v>
      </c>
      <c r="AL8136">
        <v>67.536908799717807</v>
      </c>
      <c r="AM8136">
        <v>93.036801577980299</v>
      </c>
      <c r="AN8136">
        <v>0.99999997849653299</v>
      </c>
    </row>
    <row r="8137" spans="1:40" x14ac:dyDescent="0.25">
      <c r="A8137" t="str">
        <f>"20190304165042064"</f>
        <v>20190304165042064</v>
      </c>
      <c r="B8137" t="str">
        <f>"1551689442053503"</f>
        <v>1551689442053503</v>
      </c>
      <c r="C8137" t="s">
        <v>40</v>
      </c>
      <c r="D8137">
        <v>5.2797280000000004</v>
      </c>
      <c r="E8137">
        <v>0.52653989999999995</v>
      </c>
      <c r="F8137" t="s">
        <v>41</v>
      </c>
      <c r="G8137">
        <v>-150.5196</v>
      </c>
      <c r="H8137">
        <v>0.9653796</v>
      </c>
      <c r="I8137">
        <v>138.00479999999999</v>
      </c>
      <c r="J8137">
        <v>-151.1645</v>
      </c>
      <c r="K8137">
        <v>1.1111230000000001</v>
      </c>
      <c r="L8137">
        <v>137.9761</v>
      </c>
      <c r="M8137">
        <v>0.99988929999999998</v>
      </c>
      <c r="N8137">
        <v>-1.365279E-2</v>
      </c>
      <c r="O8137">
        <v>5.9155299999999996E-3</v>
      </c>
      <c r="P8137">
        <v>0.92811440000000001</v>
      </c>
      <c r="Q8137">
        <v>0.36820570000000002</v>
      </c>
      <c r="R8137">
        <v>5.5032810000000001E-2</v>
      </c>
      <c r="S8137">
        <v>3.495743</v>
      </c>
      <c r="T8137">
        <v>-0.67746329999999999</v>
      </c>
      <c r="U8137">
        <v>0.1357727</v>
      </c>
      <c r="V8137">
        <v>-4.9379359999999997E-2</v>
      </c>
      <c r="W8137">
        <v>0.38086809999999899</v>
      </c>
      <c r="X8137">
        <v>0.92330990000000002</v>
      </c>
      <c r="Y8137">
        <v>-3.2348689999999999E-2</v>
      </c>
      <c r="Z8137">
        <v>2.2722609999999998E-3</v>
      </c>
      <c r="AA8137">
        <v>0.99947399999999997</v>
      </c>
      <c r="AB8137">
        <v>13</v>
      </c>
      <c r="AC8137">
        <v>0.64490000000000602</v>
      </c>
      <c r="AD8137">
        <v>-0.145743399999999</v>
      </c>
      <c r="AE8137">
        <v>2.86999999999864E-2</v>
      </c>
      <c r="AF8137">
        <v>-2.36773301835429E-2</v>
      </c>
      <c r="AG8137">
        <v>-0.145743399999999</v>
      </c>
      <c r="AH8137">
        <v>0.61377311223159103</v>
      </c>
      <c r="AI8137">
        <v>103.34819674633199</v>
      </c>
      <c r="AJ8137">
        <v>92.209185627781395</v>
      </c>
      <c r="AK8137">
        <v>0.63128376179546497</v>
      </c>
      <c r="AL8137">
        <v>67.612534890266005</v>
      </c>
      <c r="AM8137">
        <v>93.0613081899522</v>
      </c>
      <c r="AN8137">
        <v>1.00000000111481</v>
      </c>
    </row>
    <row r="8138" spans="1:40" x14ac:dyDescent="0.25">
      <c r="A8138" t="str">
        <f>"20190304165042087"</f>
        <v>20190304165042087</v>
      </c>
      <c r="B8138" t="str">
        <f>"1551689442083760"</f>
        <v>1551689442083760</v>
      </c>
      <c r="C8138" t="s">
        <v>40</v>
      </c>
      <c r="D8138">
        <v>5.3123319999999996</v>
      </c>
      <c r="E8138">
        <v>0.52636930000000004</v>
      </c>
      <c r="F8138" t="s">
        <v>41</v>
      </c>
      <c r="G8138">
        <v>-150.40729999999999</v>
      </c>
      <c r="H8138">
        <v>0.96392880000000003</v>
      </c>
      <c r="I8138">
        <v>138.00569999999999</v>
      </c>
      <c r="J8138">
        <v>-151.0342</v>
      </c>
      <c r="K8138">
        <v>1.111086</v>
      </c>
      <c r="L8138">
        <v>137.97659999999999</v>
      </c>
      <c r="M8138">
        <v>0.99989130000000004</v>
      </c>
      <c r="N8138">
        <v>-1.3632689999999999E-2</v>
      </c>
      <c r="O8138">
        <v>5.6267979999999997E-3</v>
      </c>
      <c r="P8138">
        <v>0.92862330000000004</v>
      </c>
      <c r="Q8138">
        <v>0.36690630000000002</v>
      </c>
      <c r="R8138">
        <v>5.5122980000000002E-2</v>
      </c>
      <c r="S8138">
        <v>3.4936829999999999</v>
      </c>
      <c r="T8138">
        <v>-0.67912240000000001</v>
      </c>
      <c r="U8138">
        <v>0.13670350000000001</v>
      </c>
      <c r="V8138">
        <v>-4.9713800000000002E-2</v>
      </c>
      <c r="W8138">
        <v>0.37956010000000001</v>
      </c>
      <c r="X8138">
        <v>0.92383040000000005</v>
      </c>
      <c r="Y8138">
        <v>-3.2907119999999998E-2</v>
      </c>
      <c r="Z8138">
        <v>2.3869659999999999E-3</v>
      </c>
      <c r="AA8138">
        <v>0.9994556</v>
      </c>
      <c r="AB8138">
        <v>13</v>
      </c>
      <c r="AC8138">
        <v>0.62690000000000601</v>
      </c>
      <c r="AD8138">
        <v>-0.14715719999999999</v>
      </c>
      <c r="AE8138">
        <v>2.9099999999999598E-2</v>
      </c>
      <c r="AF8138">
        <v>-2.4239027432108401E-2</v>
      </c>
      <c r="AG8138">
        <v>-0.14715719999999999</v>
      </c>
      <c r="AH8138">
        <v>0.59437316213795199</v>
      </c>
      <c r="AI8138">
        <v>103.894776825362</v>
      </c>
      <c r="AJ8138">
        <v>92.335275105439095</v>
      </c>
      <c r="AK8138">
        <v>0.61279868458782005</v>
      </c>
      <c r="AL8138">
        <v>67.693562382104702</v>
      </c>
      <c r="AM8138">
        <v>93.080269093321704</v>
      </c>
      <c r="AN8138">
        <v>0.99999996969330396</v>
      </c>
    </row>
    <row r="8139" spans="1:40" x14ac:dyDescent="0.25">
      <c r="A8139" t="str">
        <f>"20190304165042110"</f>
        <v>20190304165042110</v>
      </c>
      <c r="B8139" t="str">
        <f>"1551689442103280"</f>
        <v>1551689442103280</v>
      </c>
      <c r="C8139" t="s">
        <v>40</v>
      </c>
      <c r="D8139">
        <v>5.30443</v>
      </c>
      <c r="E8139">
        <v>0.52636130000000003</v>
      </c>
      <c r="F8139" t="s">
        <v>41</v>
      </c>
      <c r="G8139">
        <v>-150.29320000000001</v>
      </c>
      <c r="H8139">
        <v>0.96661410000000003</v>
      </c>
      <c r="I8139">
        <v>138.00630000000001</v>
      </c>
      <c r="J8139">
        <v>-150.90600000000001</v>
      </c>
      <c r="K8139">
        <v>1.111046</v>
      </c>
      <c r="L8139">
        <v>137.9769</v>
      </c>
      <c r="M8139">
        <v>0.99989349999999999</v>
      </c>
      <c r="N8139">
        <v>-1.36153E-2</v>
      </c>
      <c r="O8139">
        <v>5.2725510000000003E-3</v>
      </c>
      <c r="P8139">
        <v>0.92921989999999999</v>
      </c>
      <c r="Q8139">
        <v>0.36534060000000002</v>
      </c>
      <c r="R8139">
        <v>5.5470249999999999E-2</v>
      </c>
      <c r="S8139">
        <v>3.4911799999999999</v>
      </c>
      <c r="T8139">
        <v>-0.68067789999999995</v>
      </c>
      <c r="U8139">
        <v>0.1403046</v>
      </c>
      <c r="V8139">
        <v>-5.0360179999999997E-2</v>
      </c>
      <c r="W8139">
        <v>0.37798979999999999</v>
      </c>
      <c r="X8139">
        <v>0.92443900000000001</v>
      </c>
      <c r="Y8139">
        <v>-3.4281890000000002E-2</v>
      </c>
      <c r="Z8139">
        <v>2.5984929999999999E-3</v>
      </c>
      <c r="AA8139">
        <v>0.99940879999999999</v>
      </c>
      <c r="AB8139">
        <v>13</v>
      </c>
      <c r="AC8139">
        <v>0.61279999999999202</v>
      </c>
      <c r="AD8139">
        <v>-0.1444319</v>
      </c>
      <c r="AE8139">
        <v>2.9400000000009599E-2</v>
      </c>
      <c r="AF8139">
        <v>-2.4794108241118801E-2</v>
      </c>
      <c r="AG8139">
        <v>-0.1444319</v>
      </c>
      <c r="AH8139">
        <v>0.58075908106499796</v>
      </c>
      <c r="AI8139">
        <v>103.95363781610401</v>
      </c>
      <c r="AJ8139">
        <v>92.4446206015798</v>
      </c>
      <c r="AK8139">
        <v>0.598962796658142</v>
      </c>
      <c r="AL8139">
        <v>67.790777139663803</v>
      </c>
      <c r="AM8139">
        <v>93.118190053462001</v>
      </c>
      <c r="AN8139">
        <v>0.99999995067733405</v>
      </c>
    </row>
    <row r="8140" spans="1:40" x14ac:dyDescent="0.25">
      <c r="A8140" t="str">
        <f>"20190304165042131"</f>
        <v>20190304165042131</v>
      </c>
      <c r="B8140" t="str">
        <f>"1551689442123776"</f>
        <v>1551689442123776</v>
      </c>
      <c r="C8140" t="s">
        <v>40</v>
      </c>
      <c r="D8140">
        <v>5.3290309999999996</v>
      </c>
      <c r="E8140">
        <v>0.52635410000000005</v>
      </c>
      <c r="F8140" t="s">
        <v>41</v>
      </c>
      <c r="G8140">
        <v>-150.1797</v>
      </c>
      <c r="H8140">
        <v>0.9684952</v>
      </c>
      <c r="I8140">
        <v>138.0069</v>
      </c>
      <c r="J8140">
        <v>-150.786</v>
      </c>
      <c r="K8140">
        <v>1.1109990000000001</v>
      </c>
      <c r="L8140">
        <v>137.97710000000001</v>
      </c>
      <c r="M8140">
        <v>0.9998956</v>
      </c>
      <c r="N8140">
        <v>-1.3600940000000001E-2</v>
      </c>
      <c r="O8140">
        <v>4.8715540000000002E-3</v>
      </c>
      <c r="P8140">
        <v>0.92985680000000004</v>
      </c>
      <c r="Q8140">
        <v>0.36366979999999999</v>
      </c>
      <c r="R8140">
        <v>5.5772740000000001E-2</v>
      </c>
      <c r="S8140">
        <v>3.4891359999999998</v>
      </c>
      <c r="T8140">
        <v>-0.68482270000000001</v>
      </c>
      <c r="U8140">
        <v>0.14456179999999999</v>
      </c>
      <c r="V8140">
        <v>-5.1002850000000002E-2</v>
      </c>
      <c r="W8140">
        <v>0.37631920000000002</v>
      </c>
      <c r="X8140">
        <v>0.92508520000000005</v>
      </c>
      <c r="Y8140">
        <v>-3.5876829999999998E-2</v>
      </c>
      <c r="Z8140">
        <v>2.8516150000000001E-3</v>
      </c>
      <c r="AA8140">
        <v>0.99935220000000002</v>
      </c>
      <c r="AB8140">
        <v>13</v>
      </c>
      <c r="AC8140">
        <v>0.60630000000000395</v>
      </c>
      <c r="AD8140">
        <v>-0.14250380000000001</v>
      </c>
      <c r="AE8140">
        <v>2.97999999999944E-2</v>
      </c>
      <c r="AF8140">
        <v>-2.5443557148542802E-2</v>
      </c>
      <c r="AG8140">
        <v>-0.14250380000000001</v>
      </c>
      <c r="AH8140">
        <v>0.57476284958192403</v>
      </c>
      <c r="AI8140">
        <v>103.911736452003</v>
      </c>
      <c r="AJ8140">
        <v>92.534710264089696</v>
      </c>
      <c r="AK8140">
        <v>0.592711600084176</v>
      </c>
      <c r="AL8140">
        <v>67.894129737214996</v>
      </c>
      <c r="AM8140">
        <v>93.1557012840494</v>
      </c>
      <c r="AN8140">
        <v>1.0000000291279001</v>
      </c>
    </row>
    <row r="8141" spans="1:40" x14ac:dyDescent="0.25">
      <c r="A8141" t="str">
        <f>"20190304165042154"</f>
        <v>20190304165042154</v>
      </c>
      <c r="B8141" t="str">
        <f>"1551689442143295"</f>
        <v>1551689442143295</v>
      </c>
      <c r="C8141" t="s">
        <v>40</v>
      </c>
      <c r="D8141">
        <v>5.3434809999999997</v>
      </c>
      <c r="E8141">
        <v>0.52246440000000005</v>
      </c>
      <c r="F8141" t="s">
        <v>41</v>
      </c>
      <c r="G8141">
        <v>-150.06720000000001</v>
      </c>
      <c r="H8141">
        <v>0.96870060000000002</v>
      </c>
      <c r="I8141">
        <v>138.0077</v>
      </c>
      <c r="J8141">
        <v>-150.66040000000001</v>
      </c>
      <c r="K8141">
        <v>1.1109610000000001</v>
      </c>
      <c r="L8141">
        <v>137.97710000000001</v>
      </c>
      <c r="M8141">
        <v>0.99989810000000001</v>
      </c>
      <c r="N8141">
        <v>-1.3589479999999999E-2</v>
      </c>
      <c r="O8141">
        <v>4.3792229999999998E-3</v>
      </c>
      <c r="P8141">
        <v>0.93017760000000005</v>
      </c>
      <c r="Q8141">
        <v>0.36275360000000001</v>
      </c>
      <c r="R8141">
        <v>5.6387199999999998E-2</v>
      </c>
      <c r="S8141">
        <v>3.4873810000000001</v>
      </c>
      <c r="T8141">
        <v>-0.69041319999999995</v>
      </c>
      <c r="U8141">
        <v>0.14918519999999999</v>
      </c>
      <c r="V8141">
        <v>-5.2040910000000003E-2</v>
      </c>
      <c r="W8141">
        <v>0.37540230000000002</v>
      </c>
      <c r="X8141">
        <v>0.92539979999999999</v>
      </c>
      <c r="Y8141">
        <v>-3.7656380000000003E-2</v>
      </c>
      <c r="Z8141">
        <v>3.1493789999999999E-3</v>
      </c>
      <c r="AA8141">
        <v>0.9992858</v>
      </c>
      <c r="AB8141">
        <v>13</v>
      </c>
      <c r="AC8141">
        <v>0.59319999999999595</v>
      </c>
      <c r="AD8141">
        <v>-0.14226040000000001</v>
      </c>
      <c r="AE8141">
        <v>3.0599999999992598E-2</v>
      </c>
      <c r="AF8141">
        <v>-2.6482657594985699E-2</v>
      </c>
      <c r="AG8141">
        <v>-0.14226040000000001</v>
      </c>
      <c r="AH8141">
        <v>0.56114108841584898</v>
      </c>
      <c r="AI8141">
        <v>104.21071949747601</v>
      </c>
      <c r="AJ8141">
        <v>92.702028985242805</v>
      </c>
      <c r="AK8141">
        <v>0.57949863992073103</v>
      </c>
      <c r="AL8141">
        <v>67.950819611619295</v>
      </c>
      <c r="AM8141">
        <v>93.218703114268394</v>
      </c>
      <c r="AN8141">
        <v>0.99999996649947798</v>
      </c>
    </row>
    <row r="8142" spans="1:40" x14ac:dyDescent="0.25">
      <c r="A8142" t="str">
        <f>"20190304165042176"</f>
        <v>20190304165042176</v>
      </c>
      <c r="B8142" t="str">
        <f>"1551689442163791"</f>
        <v>1551689442163791</v>
      </c>
      <c r="C8142" t="s">
        <v>40</v>
      </c>
      <c r="D8142">
        <v>5.3626990000000001</v>
      </c>
      <c r="E8142">
        <v>0.52326649999999997</v>
      </c>
      <c r="F8142" t="s">
        <v>41</v>
      </c>
      <c r="G8142">
        <v>-149.95179999999999</v>
      </c>
      <c r="H8142">
        <v>0.97539140000000002</v>
      </c>
      <c r="I8142">
        <v>138.01429999999999</v>
      </c>
      <c r="J8142">
        <v>-150.5352</v>
      </c>
      <c r="K8142">
        <v>1.1109260000000001</v>
      </c>
      <c r="L8142">
        <v>137.9769</v>
      </c>
      <c r="M8142">
        <v>0.99990029999999996</v>
      </c>
      <c r="N8142">
        <v>-1.359513E-2</v>
      </c>
      <c r="O8142">
        <v>3.8162019999999999E-3</v>
      </c>
      <c r="P8142">
        <v>0.93049689999999996</v>
      </c>
      <c r="Q8142">
        <v>0.36194150000000003</v>
      </c>
      <c r="R8142">
        <v>5.6336200000000003E-2</v>
      </c>
      <c r="S8142">
        <v>3.4732669999999999</v>
      </c>
      <c r="T8142">
        <v>-0.66441870000000003</v>
      </c>
      <c r="U8142">
        <v>0.182251</v>
      </c>
      <c r="V8142">
        <v>-5.2482809999999998E-2</v>
      </c>
      <c r="W8142">
        <v>0.37460359999999998</v>
      </c>
      <c r="X8142">
        <v>0.92569849999999998</v>
      </c>
      <c r="Y8142">
        <v>-4.7722720000000003E-2</v>
      </c>
      <c r="Z8142">
        <v>4.1767369999999998E-3</v>
      </c>
      <c r="AA8142">
        <v>0.99885190000000001</v>
      </c>
      <c r="AB8142">
        <v>13</v>
      </c>
      <c r="AC8142">
        <v>0.58340000000001102</v>
      </c>
      <c r="AD8142">
        <v>-0.13553460000000001</v>
      </c>
      <c r="AE8142">
        <v>3.7399999999991003E-2</v>
      </c>
      <c r="AF8142">
        <v>-3.3378996021696097E-2</v>
      </c>
      <c r="AG8142">
        <v>-0.13553460000000001</v>
      </c>
      <c r="AH8142">
        <v>0.55377266947355896</v>
      </c>
      <c r="AI8142">
        <v>103.72869264624801</v>
      </c>
      <c r="AJ8142">
        <v>93.449365837302906</v>
      </c>
      <c r="AK8142">
        <v>0.57109364786210703</v>
      </c>
      <c r="AL8142">
        <v>68.000185157501093</v>
      </c>
      <c r="AM8142">
        <v>93.2449310427846</v>
      </c>
      <c r="AN8142">
        <v>1.0000000076903499</v>
      </c>
    </row>
    <row r="8143" spans="1:40" x14ac:dyDescent="0.25">
      <c r="A8143" t="str">
        <f>"20190304165042198"</f>
        <v>20190304165042198</v>
      </c>
      <c r="B8143" t="str">
        <f>"1551689442194049"</f>
        <v>1551689442194049</v>
      </c>
      <c r="C8143" t="s">
        <v>40</v>
      </c>
      <c r="D8143">
        <v>5.2638920000000002</v>
      </c>
      <c r="E8143">
        <v>0.52392450000000002</v>
      </c>
      <c r="F8143" t="s">
        <v>41</v>
      </c>
      <c r="G8143">
        <v>-149.7364</v>
      </c>
      <c r="H8143">
        <v>0.95765840000000002</v>
      </c>
      <c r="I8143">
        <v>138.01830000000001</v>
      </c>
      <c r="J8143">
        <v>-150.40889999999999</v>
      </c>
      <c r="K8143">
        <v>1.110914</v>
      </c>
      <c r="L8143">
        <v>137.97669999999999</v>
      </c>
      <c r="M8143">
        <v>0.9999017</v>
      </c>
      <c r="N8143">
        <v>-1.365477E-2</v>
      </c>
      <c r="O8143">
        <v>3.1893630000000002E-3</v>
      </c>
      <c r="P8143">
        <v>0.9308708</v>
      </c>
      <c r="Q8143">
        <v>0.36111100000000002</v>
      </c>
      <c r="R8143">
        <v>5.5481879999999997E-2</v>
      </c>
      <c r="S8143">
        <v>3.4723510000000002</v>
      </c>
      <c r="T8143">
        <v>-0.66627259999999999</v>
      </c>
      <c r="U8143">
        <v>0.18019099999999999</v>
      </c>
      <c r="V8143">
        <v>-5.2190380000000001E-2</v>
      </c>
      <c r="W8143">
        <v>0.37383539999999998</v>
      </c>
      <c r="X8143">
        <v>0.92602549999999995</v>
      </c>
      <c r="Y8143">
        <v>-4.7755819999999997E-2</v>
      </c>
      <c r="Z8143">
        <v>4.3038590000000002E-3</v>
      </c>
      <c r="AA8143">
        <v>0.99884969999999995</v>
      </c>
      <c r="AB8143">
        <v>12</v>
      </c>
      <c r="AC8143">
        <v>0.672499999999985</v>
      </c>
      <c r="AD8143">
        <v>-0.15325559999999899</v>
      </c>
      <c r="AE8143">
        <v>4.16000000000167E-2</v>
      </c>
      <c r="AF8143">
        <v>-3.7513935922493101E-2</v>
      </c>
      <c r="AG8143">
        <v>-0.15325559999999899</v>
      </c>
      <c r="AH8143">
        <v>0.63954217237821698</v>
      </c>
      <c r="AI8143">
        <v>103.45358319852799</v>
      </c>
      <c r="AJ8143">
        <v>93.356979781049503</v>
      </c>
      <c r="AK8143">
        <v>0.65871751500169295</v>
      </c>
      <c r="AL8143">
        <v>68.047647913461105</v>
      </c>
      <c r="AM8143">
        <v>93.225751784744304</v>
      </c>
      <c r="AN8143">
        <v>0.99999998435397697</v>
      </c>
    </row>
    <row r="8144" spans="1:40" x14ac:dyDescent="0.25">
      <c r="A8144" t="str">
        <f>"20190304165042223"</f>
        <v>20190304165042223</v>
      </c>
      <c r="B8144" t="str">
        <f>"1551689442213567"</f>
        <v>1551689442213567</v>
      </c>
      <c r="C8144" t="s">
        <v>40</v>
      </c>
      <c r="D8144">
        <v>5.3215909999999997</v>
      </c>
      <c r="E8144">
        <v>0.52445159999999902</v>
      </c>
      <c r="F8144" t="s">
        <v>41</v>
      </c>
      <c r="G8144">
        <v>-149.62389999999999</v>
      </c>
      <c r="H8144">
        <v>0.96137519999999999</v>
      </c>
      <c r="I8144">
        <v>138.0164</v>
      </c>
      <c r="J8144">
        <v>-150.27770000000001</v>
      </c>
      <c r="K8144">
        <v>1.110935</v>
      </c>
      <c r="L8144">
        <v>137.97620000000001</v>
      </c>
      <c r="M8144">
        <v>0.9999017</v>
      </c>
      <c r="N8144">
        <v>-1.380469E-2</v>
      </c>
      <c r="O8144">
        <v>2.4899810000000001E-3</v>
      </c>
      <c r="P8144">
        <v>0.93161680000000002</v>
      </c>
      <c r="Q8144">
        <v>0.35928389999999999</v>
      </c>
      <c r="R8144">
        <v>5.4821250000000002E-2</v>
      </c>
      <c r="S8144">
        <v>3.4686279999999998</v>
      </c>
      <c r="T8144">
        <v>-0.66081049999999997</v>
      </c>
      <c r="U8144">
        <v>0.17622380000000001</v>
      </c>
      <c r="V8144">
        <v>-5.21784E-2</v>
      </c>
      <c r="W8144">
        <v>0.37215779999999998</v>
      </c>
      <c r="X8144">
        <v>0.92670169999999996</v>
      </c>
      <c r="Y8144">
        <v>-4.7378089999999998E-2</v>
      </c>
      <c r="Z8144">
        <v>4.364588E-3</v>
      </c>
      <c r="AA8144">
        <v>0.99886750000000002</v>
      </c>
      <c r="AB8144">
        <v>12</v>
      </c>
      <c r="AC8144">
        <v>0.65380000000001803</v>
      </c>
      <c r="AD8144">
        <v>-0.14955979999999999</v>
      </c>
      <c r="AE8144">
        <v>4.0199999999998598E-2</v>
      </c>
      <c r="AF8144">
        <v>-3.6660595038435898E-2</v>
      </c>
      <c r="AG8144">
        <v>-0.14955979999999999</v>
      </c>
      <c r="AH8144">
        <v>0.62149837058978197</v>
      </c>
      <c r="AI8144">
        <v>103.507994702104</v>
      </c>
      <c r="AJ8144">
        <v>93.375819316394995</v>
      </c>
      <c r="AK8144">
        <v>0.64029083833080602</v>
      </c>
      <c r="AL8144">
        <v>68.151244534123293</v>
      </c>
      <c r="AM8144">
        <v>93.222664614675395</v>
      </c>
      <c r="AN8144">
        <v>1.0000000271551399</v>
      </c>
    </row>
    <row r="8145" spans="1:40" x14ac:dyDescent="0.25">
      <c r="A8145" t="str">
        <f>"20190304165042244"</f>
        <v>20190304165042244</v>
      </c>
      <c r="B8145" t="str">
        <f>"1551689442234064"</f>
        <v>1551689442234064</v>
      </c>
      <c r="C8145" t="s">
        <v>40</v>
      </c>
      <c r="D8145">
        <v>5.3037359999999998</v>
      </c>
      <c r="E8145">
        <v>0.524761699999999</v>
      </c>
      <c r="F8145" t="s">
        <v>41</v>
      </c>
      <c r="G8145">
        <v>-149.51259999999999</v>
      </c>
      <c r="H8145">
        <v>0.96394060000000004</v>
      </c>
      <c r="I8145">
        <v>138.0145</v>
      </c>
      <c r="J8145">
        <v>-150.15530000000001</v>
      </c>
      <c r="K8145">
        <v>1.1109910000000001</v>
      </c>
      <c r="L8145">
        <v>137.97559999999999</v>
      </c>
      <c r="M8145">
        <v>0.99990020000000002</v>
      </c>
      <c r="N8145">
        <v>-1.4011610000000001E-2</v>
      </c>
      <c r="O8145">
        <v>1.8075109999999999E-3</v>
      </c>
      <c r="P8145">
        <v>0.93238080000000001</v>
      </c>
      <c r="Q8145">
        <v>0.35741119999999998</v>
      </c>
      <c r="R8145">
        <v>5.406905E-2</v>
      </c>
      <c r="S8145">
        <v>3.466812</v>
      </c>
      <c r="T8145">
        <v>-0.66602479999999997</v>
      </c>
      <c r="U8145">
        <v>0.1741943</v>
      </c>
      <c r="V8145">
        <v>-5.2074059999999998E-2</v>
      </c>
      <c r="W8145">
        <v>0.37048520000000001</v>
      </c>
      <c r="X8145">
        <v>0.92737749999999997</v>
      </c>
      <c r="Y8145">
        <v>-4.7475330000000003E-2</v>
      </c>
      <c r="Z8145">
        <v>4.5335280000000002E-3</v>
      </c>
      <c r="AA8145">
        <v>0.99886209999999997</v>
      </c>
      <c r="AB8145">
        <v>12</v>
      </c>
      <c r="AC8145">
        <v>0.64270000000001903</v>
      </c>
      <c r="AD8145">
        <v>-0.1470504</v>
      </c>
      <c r="AE8145">
        <v>3.89000000000123E-2</v>
      </c>
      <c r="AF8145">
        <v>-3.5867337167654501E-2</v>
      </c>
      <c r="AG8145">
        <v>-0.1470504</v>
      </c>
      <c r="AH8145">
        <v>0.610905177146298</v>
      </c>
      <c r="AI8145">
        <v>103.51172695183701</v>
      </c>
      <c r="AJ8145">
        <v>93.360080566663399</v>
      </c>
      <c r="AK8145">
        <v>0.62937701060636697</v>
      </c>
      <c r="AL8145">
        <v>68.254456282944702</v>
      </c>
      <c r="AM8145">
        <v>93.213895041324605</v>
      </c>
      <c r="AN8145">
        <v>1.00000000932508</v>
      </c>
    </row>
    <row r="8146" spans="1:40" x14ac:dyDescent="0.25">
      <c r="A8146" t="str">
        <f>"20190304165042265"</f>
        <v>20190304165042265</v>
      </c>
      <c r="B8146" t="str">
        <f>"1551689442253583"</f>
        <v>1551689442253583</v>
      </c>
      <c r="C8146" t="s">
        <v>40</v>
      </c>
      <c r="D8146">
        <v>5.3267309999999997</v>
      </c>
      <c r="E8146">
        <v>0.52511909999999995</v>
      </c>
      <c r="F8146" t="s">
        <v>41</v>
      </c>
      <c r="G8146">
        <v>-149.40270000000001</v>
      </c>
      <c r="H8146">
        <v>0.96486209999999994</v>
      </c>
      <c r="I8146">
        <v>138.01310000000001</v>
      </c>
      <c r="J8146">
        <v>-150.04399999999899</v>
      </c>
      <c r="K8146">
        <v>1.111059</v>
      </c>
      <c r="L8146">
        <v>137.9751</v>
      </c>
      <c r="M8146">
        <v>0.99989779999999995</v>
      </c>
      <c r="N8146">
        <v>-1.4252620000000001E-2</v>
      </c>
      <c r="O8146">
        <v>1.176292E-3</v>
      </c>
      <c r="P8146">
        <v>0.93294619999999995</v>
      </c>
      <c r="Q8146">
        <v>0.35596650000000002</v>
      </c>
      <c r="R8146">
        <v>5.3845230000000001E-2</v>
      </c>
      <c r="S8146">
        <v>3.4655</v>
      </c>
      <c r="T8146">
        <v>-0.67288680000000001</v>
      </c>
      <c r="U8146">
        <v>0.17318729999999999</v>
      </c>
      <c r="V8146">
        <v>-5.2459119999999998E-2</v>
      </c>
      <c r="W8146">
        <v>0.36926949999999997</v>
      </c>
      <c r="X8146">
        <v>0.92784049999999996</v>
      </c>
      <c r="Y8146">
        <v>-4.779899E-2</v>
      </c>
      <c r="Z8146">
        <v>4.7294870000000001E-3</v>
      </c>
      <c r="AA8146">
        <v>0.99884580000000001</v>
      </c>
      <c r="AB8146">
        <v>12</v>
      </c>
      <c r="AC8146">
        <v>0.641299999999972</v>
      </c>
      <c r="AD8146">
        <v>-0.14619689999999999</v>
      </c>
      <c r="AE8146">
        <v>3.80000000000109E-2</v>
      </c>
      <c r="AF8146">
        <v>-3.5411632774435098E-2</v>
      </c>
      <c r="AG8146">
        <v>-0.14619689999999999</v>
      </c>
      <c r="AH8146">
        <v>0.609765538733407</v>
      </c>
      <c r="AI8146">
        <v>103.46083476881699</v>
      </c>
      <c r="AJ8146">
        <v>93.323672200941999</v>
      </c>
      <c r="AK8146">
        <v>0.62804580209742999</v>
      </c>
      <c r="AL8146">
        <v>68.329426532386506</v>
      </c>
      <c r="AM8146">
        <v>93.235997556593702</v>
      </c>
      <c r="AN8146">
        <v>0.99999995817083598</v>
      </c>
    </row>
    <row r="8147" spans="1:40" x14ac:dyDescent="0.25">
      <c r="A8147" t="str">
        <f>"20190304165042288"</f>
        <v>20190304165042288</v>
      </c>
      <c r="B8147" t="str">
        <f>"1551689442283839"</f>
        <v>1551689442283839</v>
      </c>
      <c r="C8147" t="s">
        <v>40</v>
      </c>
      <c r="D8147">
        <v>5.2992179999999998</v>
      </c>
      <c r="E8147">
        <v>0.52577169999999995</v>
      </c>
      <c r="F8147" t="s">
        <v>41</v>
      </c>
      <c r="G8147">
        <v>-149.29419999999999</v>
      </c>
      <c r="H8147">
        <v>0.96451310000000001</v>
      </c>
      <c r="I8147">
        <v>138.01230000000001</v>
      </c>
      <c r="J8147">
        <v>-149.9204</v>
      </c>
      <c r="K8147">
        <v>1.1111500000000001</v>
      </c>
      <c r="L8147">
        <v>137.9744</v>
      </c>
      <c r="M8147">
        <v>0.9998937</v>
      </c>
      <c r="N8147">
        <v>-1.457541E-2</v>
      </c>
      <c r="O8147">
        <v>4.7965470000000001E-4</v>
      </c>
      <c r="P8147">
        <v>0.93317969999999895</v>
      </c>
      <c r="Q8147">
        <v>0.35538069999999999</v>
      </c>
      <c r="R8147">
        <v>5.366874E-2</v>
      </c>
      <c r="S8147">
        <v>3.4640200000000001</v>
      </c>
      <c r="T8147">
        <v>-0.67702220000000002</v>
      </c>
      <c r="U8147">
        <v>0.1718597</v>
      </c>
      <c r="V8147">
        <v>-5.2958470000000001E-2</v>
      </c>
      <c r="W8147">
        <v>0.3689827</v>
      </c>
      <c r="X8147">
        <v>0.92792620000000003</v>
      </c>
      <c r="Y8147">
        <v>-4.8103420000000001E-2</v>
      </c>
      <c r="Z8147">
        <v>4.9223690000000002E-3</v>
      </c>
      <c r="AA8147">
        <v>0.99883029999999995</v>
      </c>
      <c r="AB8147">
        <v>12</v>
      </c>
      <c r="AC8147">
        <v>0.62620000000001097</v>
      </c>
      <c r="AD8147">
        <v>-0.14663689999999999</v>
      </c>
      <c r="AE8147">
        <v>3.7900000000007601E-2</v>
      </c>
      <c r="AF8147">
        <v>-3.5651763172724601E-2</v>
      </c>
      <c r="AG8147">
        <v>-0.14663689999999999</v>
      </c>
      <c r="AH8147">
        <v>0.59377699104382198</v>
      </c>
      <c r="AI8147">
        <v>103.84801043402599</v>
      </c>
      <c r="AJ8147">
        <v>93.436047864640102</v>
      </c>
      <c r="AK8147">
        <v>0.61265368990318603</v>
      </c>
      <c r="AL8147">
        <v>68.347107029857597</v>
      </c>
      <c r="AM8147">
        <v>93.266433052592603</v>
      </c>
      <c r="AN8147">
        <v>0.99999993254523301</v>
      </c>
    </row>
    <row r="8148" spans="1:40" x14ac:dyDescent="0.25">
      <c r="A8148" t="str">
        <f>"20190304165042310"</f>
        <v>20190304165042310</v>
      </c>
      <c r="B8148" t="str">
        <f>"1551689442303360"</f>
        <v>1551689442303360</v>
      </c>
      <c r="C8148" t="s">
        <v>40</v>
      </c>
      <c r="D8148">
        <v>5.2438960000000003</v>
      </c>
      <c r="E8148">
        <v>0.52562769999999903</v>
      </c>
      <c r="F8148" t="s">
        <v>41</v>
      </c>
      <c r="G8148">
        <v>-149.18520000000001</v>
      </c>
      <c r="H8148">
        <v>0.96764289999999997</v>
      </c>
      <c r="I8148">
        <v>138.0095</v>
      </c>
      <c r="J8148">
        <v>-149.80029999999999</v>
      </c>
      <c r="K8148">
        <v>1.1112390000000001</v>
      </c>
      <c r="L8148">
        <v>137.97370000000001</v>
      </c>
      <c r="M8148">
        <v>0.99988849999999996</v>
      </c>
      <c r="N8148">
        <v>-1.492491E-2</v>
      </c>
      <c r="O8148">
        <v>-1.769249E-4</v>
      </c>
      <c r="P8148">
        <v>0.93368600000000002</v>
      </c>
      <c r="Q8148">
        <v>0.35387970000000002</v>
      </c>
      <c r="R8148">
        <v>5.4769289999999998E-2</v>
      </c>
      <c r="S8148">
        <v>3.4626769999999998</v>
      </c>
      <c r="T8148">
        <v>-0.67581959999999996</v>
      </c>
      <c r="U8148">
        <v>0.16540529999999901</v>
      </c>
      <c r="V8148">
        <v>-5.4698499999999997E-2</v>
      </c>
      <c r="W8148">
        <v>0.36781069999999999</v>
      </c>
      <c r="X8148">
        <v>0.92829059999999997</v>
      </c>
      <c r="Y8148">
        <v>-4.6934940000000001E-2</v>
      </c>
      <c r="Z8148">
        <v>4.9204490000000004E-3</v>
      </c>
      <c r="AA8148">
        <v>0.99888580000000005</v>
      </c>
      <c r="AB8148">
        <v>12</v>
      </c>
      <c r="AC8148">
        <v>0.61509999999998399</v>
      </c>
      <c r="AD8148">
        <v>-0.14359609999999901</v>
      </c>
      <c r="AE8148">
        <v>3.5799999999994697E-2</v>
      </c>
      <c r="AF8148">
        <v>-3.4058905694489099E-2</v>
      </c>
      <c r="AG8148">
        <v>-0.14359609999999901</v>
      </c>
      <c r="AH8148">
        <v>0.58340558857073299</v>
      </c>
      <c r="AI8148">
        <v>103.80498918141799</v>
      </c>
      <c r="AJ8148">
        <v>93.341104679465204</v>
      </c>
      <c r="AK8148">
        <v>0.60178229432900399</v>
      </c>
      <c r="AL8148">
        <v>68.419340156851803</v>
      </c>
      <c r="AM8148">
        <v>93.372191457532097</v>
      </c>
      <c r="AN8148">
        <v>1.00000003749254</v>
      </c>
    </row>
    <row r="8149" spans="1:40" x14ac:dyDescent="0.25">
      <c r="A8149" t="str">
        <f>"20190304165042332"</f>
        <v>20190304165042332</v>
      </c>
      <c r="B8149" t="str">
        <f>"1551689442323856"</f>
        <v>1551689442323856</v>
      </c>
      <c r="C8149" t="s">
        <v>40</v>
      </c>
      <c r="D8149">
        <v>5.3474339999999998</v>
      </c>
      <c r="E8149">
        <v>0.52681669999999903</v>
      </c>
      <c r="F8149" t="s">
        <v>41</v>
      </c>
      <c r="G8149">
        <v>-149.06540000000001</v>
      </c>
      <c r="H8149">
        <v>0.99505639999999995</v>
      </c>
      <c r="I8149">
        <v>138.00649999999999</v>
      </c>
      <c r="J8149">
        <v>-149.68539999999999</v>
      </c>
      <c r="K8149">
        <v>1.111321</v>
      </c>
      <c r="L8149">
        <v>137.97299999999899</v>
      </c>
      <c r="M8149">
        <v>0.99988299999999997</v>
      </c>
      <c r="N8149">
        <v>-1.527562E-2</v>
      </c>
      <c r="O8149">
        <v>-7.7443080000000005E-4</v>
      </c>
      <c r="P8149">
        <v>0.93468079999999998</v>
      </c>
      <c r="Q8149">
        <v>0.35096620000000001</v>
      </c>
      <c r="R8149">
        <v>5.6518060000000002E-2</v>
      </c>
      <c r="S8149">
        <v>3.4083709999999998</v>
      </c>
      <c r="T8149">
        <v>-0.53882359999999996</v>
      </c>
      <c r="U8149">
        <v>0.15208440000000001</v>
      </c>
      <c r="V8149">
        <v>-5.7032569999999998E-2</v>
      </c>
      <c r="W8149">
        <v>0.36523519999999998</v>
      </c>
      <c r="X8149">
        <v>0.92916659999999995</v>
      </c>
      <c r="Y8149">
        <v>-4.4733580000000002E-2</v>
      </c>
      <c r="Z8149">
        <v>3.966415E-3</v>
      </c>
      <c r="AA8149">
        <v>0.99899110000000002</v>
      </c>
      <c r="AB8149">
        <v>12</v>
      </c>
      <c r="AC8149">
        <v>0.61999999999997601</v>
      </c>
      <c r="AD8149">
        <v>-0.116264599999999</v>
      </c>
      <c r="AE8149">
        <v>3.3500000000003603E-2</v>
      </c>
      <c r="AF8149">
        <v>-3.2829115142696999E-2</v>
      </c>
      <c r="AG8149">
        <v>-0.116264599999999</v>
      </c>
      <c r="AH8149">
        <v>0.59897227280591003</v>
      </c>
      <c r="AI8149">
        <v>100.968836825967</v>
      </c>
      <c r="AJ8149">
        <v>93.1371896770397</v>
      </c>
      <c r="AK8149">
        <v>0.61103436204888695</v>
      </c>
      <c r="AL8149">
        <v>68.577942376444895</v>
      </c>
      <c r="AM8149">
        <v>93.512428274403902</v>
      </c>
      <c r="AN8149">
        <v>1.0000000179577</v>
      </c>
    </row>
    <row r="8150" spans="1:40" x14ac:dyDescent="0.25">
      <c r="A8150" t="str">
        <f>"20190304165042355"</f>
        <v>20190304165042355</v>
      </c>
      <c r="B8150" t="str">
        <f>"1551689442343375"</f>
        <v>1551689442343375</v>
      </c>
      <c r="C8150" t="s">
        <v>40</v>
      </c>
      <c r="D8150">
        <v>5.354031</v>
      </c>
      <c r="E8150">
        <v>0.52704490000000004</v>
      </c>
      <c r="F8150" t="s">
        <v>41</v>
      </c>
      <c r="G8150">
        <v>-148.96539999999999</v>
      </c>
      <c r="H8150">
        <v>0.98296419999999995</v>
      </c>
      <c r="I8150">
        <v>138.0052</v>
      </c>
      <c r="J8150">
        <v>-149.5684</v>
      </c>
      <c r="K8150">
        <v>1.111408</v>
      </c>
      <c r="L8150">
        <v>137.97219999999999</v>
      </c>
      <c r="M8150">
        <v>0.99987689999999996</v>
      </c>
      <c r="N8150">
        <v>-1.5649940000000001E-2</v>
      </c>
      <c r="O8150">
        <v>-1.3422900000000001E-3</v>
      </c>
      <c r="P8150">
        <v>0.93512609999999996</v>
      </c>
      <c r="Q8150">
        <v>0.34952509999999998</v>
      </c>
      <c r="R8150">
        <v>5.8067229999999997E-2</v>
      </c>
      <c r="S8150">
        <v>3.4299620000000002</v>
      </c>
      <c r="T8150">
        <v>-0.61155990000000005</v>
      </c>
      <c r="U8150">
        <v>0.15396119999999999</v>
      </c>
      <c r="V8150">
        <v>-5.914237E-2</v>
      </c>
      <c r="W8150">
        <v>0.3641452</v>
      </c>
      <c r="X8150">
        <v>0.92946240000000002</v>
      </c>
      <c r="Y8150">
        <v>-4.5387249999999997E-2</v>
      </c>
      <c r="Z8150">
        <v>4.5874970000000003E-3</v>
      </c>
      <c r="AA8150">
        <v>0.99895889999999998</v>
      </c>
      <c r="AB8150">
        <v>12</v>
      </c>
      <c r="AC8150">
        <v>0.60300000000000797</v>
      </c>
      <c r="AD8150">
        <v>-0.1284438</v>
      </c>
      <c r="AE8150">
        <v>3.3000000000015399E-2</v>
      </c>
      <c r="AF8150">
        <v>-3.2346226779330897E-2</v>
      </c>
      <c r="AG8150">
        <v>-0.1284438</v>
      </c>
      <c r="AH8150">
        <v>0.57685980204646403</v>
      </c>
      <c r="AI8150">
        <v>102.533661521102</v>
      </c>
      <c r="AJ8150">
        <v>93.209382172730997</v>
      </c>
      <c r="AK8150">
        <v>0.59187103271099994</v>
      </c>
      <c r="AL8150">
        <v>68.645012554453601</v>
      </c>
      <c r="AM8150">
        <v>93.640863713471902</v>
      </c>
      <c r="AN8150">
        <v>0.99999994981300699</v>
      </c>
    </row>
    <row r="8151" spans="1:40" x14ac:dyDescent="0.25">
      <c r="A8151" t="str">
        <f>"20190304165042401"</f>
        <v>20190304165042401</v>
      </c>
      <c r="B8151" t="str">
        <f>"1551689442394131"</f>
        <v>1551689442394131</v>
      </c>
      <c r="C8151" t="s">
        <v>40</v>
      </c>
      <c r="D8151">
        <v>5.3688719999999996</v>
      </c>
      <c r="E8151">
        <v>0.52790890000000001</v>
      </c>
      <c r="F8151" t="s">
        <v>41</v>
      </c>
      <c r="G8151">
        <v>-148.8623</v>
      </c>
      <c r="H8151">
        <v>0.97980959999999995</v>
      </c>
      <c r="I8151">
        <v>138.0043</v>
      </c>
      <c r="J8151">
        <v>-149.33070000000001</v>
      </c>
      <c r="K8151">
        <v>1.111575</v>
      </c>
      <c r="L8151">
        <v>137.97059999999999</v>
      </c>
      <c r="M8151">
        <v>0.99986169999999996</v>
      </c>
      <c r="N8151">
        <v>-1.6469890000000001E-2</v>
      </c>
      <c r="O8151">
        <v>-2.330398E-3</v>
      </c>
      <c r="P8151">
        <v>0.9367297</v>
      </c>
      <c r="Q8151">
        <v>0.34469719999999998</v>
      </c>
      <c r="R8151">
        <v>6.1002309999999997E-2</v>
      </c>
      <c r="S8151">
        <v>3.4378510000000002</v>
      </c>
      <c r="T8151">
        <v>-0.6406558</v>
      </c>
      <c r="U8151">
        <v>0.156738299999999</v>
      </c>
      <c r="V8151">
        <v>-6.3080639999999993E-2</v>
      </c>
      <c r="W8151">
        <v>0.36009419999999998</v>
      </c>
      <c r="X8151">
        <v>0.93078079999999996</v>
      </c>
      <c r="Y8151">
        <v>-4.6960010000000003E-2</v>
      </c>
      <c r="Z8151">
        <v>5.1188700000000002E-3</v>
      </c>
      <c r="AA8151">
        <v>0.99888370000000004</v>
      </c>
      <c r="AB8151">
        <v>12</v>
      </c>
      <c r="AC8151">
        <v>0.46840000000000198</v>
      </c>
      <c r="AD8151">
        <v>-0.1317654</v>
      </c>
      <c r="AE8151">
        <v>3.3700000000010201E-2</v>
      </c>
      <c r="AF8151">
        <v>-3.2252457990549502E-2</v>
      </c>
      <c r="AG8151">
        <v>-0.1317654</v>
      </c>
      <c r="AH8151">
        <v>0.43414130268929402</v>
      </c>
      <c r="AI8151">
        <v>106.839699749416</v>
      </c>
      <c r="AJ8151">
        <v>94.248711940622599</v>
      </c>
      <c r="AK8151">
        <v>0.45484174432911201</v>
      </c>
      <c r="AL8151">
        <v>68.894017588661399</v>
      </c>
      <c r="AM8151">
        <v>93.877106409089606</v>
      </c>
      <c r="AN8151">
        <v>0.99999994883254295</v>
      </c>
    </row>
    <row r="8152" spans="1:40" x14ac:dyDescent="0.25">
      <c r="A8152" t="str">
        <f>"20190304165042424"</f>
        <v>20190304165042424</v>
      </c>
      <c r="B8152" t="str">
        <f>"1551689442413652"</f>
        <v>1551689442413652</v>
      </c>
      <c r="C8152" t="s">
        <v>40</v>
      </c>
      <c r="D8152">
        <v>5.3279719999999999</v>
      </c>
      <c r="E8152">
        <v>0.53318750000000004</v>
      </c>
      <c r="F8152" t="s">
        <v>41</v>
      </c>
      <c r="G8152">
        <v>-148.5635</v>
      </c>
      <c r="H8152">
        <v>0.96310090000000004</v>
      </c>
      <c r="I8152">
        <v>138.00569999999999</v>
      </c>
      <c r="J8152">
        <v>-149.21459999999999</v>
      </c>
      <c r="K8152">
        <v>1.11164</v>
      </c>
      <c r="L8152">
        <v>137.96979999999999</v>
      </c>
      <c r="M8152">
        <v>0.99985409999999997</v>
      </c>
      <c r="N8152">
        <v>-1.6871239999999999E-2</v>
      </c>
      <c r="O8152">
        <v>-2.7297300000000001E-3</v>
      </c>
      <c r="P8152">
        <v>0.93768530000000005</v>
      </c>
      <c r="Q8152">
        <v>0.34176709999999999</v>
      </c>
      <c r="R8152">
        <v>6.2783779999999997E-2</v>
      </c>
      <c r="S8152">
        <v>3.437103</v>
      </c>
      <c r="T8152">
        <v>-0.66516839999999999</v>
      </c>
      <c r="U8152">
        <v>0.15820310000000001</v>
      </c>
      <c r="V8152">
        <v>-6.5276630000000002E-2</v>
      </c>
      <c r="W8152">
        <v>0.35754750000000002</v>
      </c>
      <c r="X8152">
        <v>0.93161079999999996</v>
      </c>
      <c r="Y8152">
        <v>-4.770245E-2</v>
      </c>
      <c r="Z8152">
        <v>5.4552180000000004E-3</v>
      </c>
      <c r="AA8152">
        <v>0.99884669999999998</v>
      </c>
      <c r="AB8152">
        <v>11</v>
      </c>
      <c r="AC8152">
        <v>0.65109999999998502</v>
      </c>
      <c r="AD8152">
        <v>-0.14853909999999901</v>
      </c>
      <c r="AE8152">
        <v>3.5899999999998003E-2</v>
      </c>
      <c r="AF8152">
        <v>-3.5818872453833403E-2</v>
      </c>
      <c r="AG8152">
        <v>-0.14853909999999901</v>
      </c>
      <c r="AH8152">
        <v>0.61888669956924702</v>
      </c>
      <c r="AI8152">
        <v>103.47455953546699</v>
      </c>
      <c r="AJ8152">
        <v>93.312372589380999</v>
      </c>
      <c r="AK8152">
        <v>0.63746968771572898</v>
      </c>
      <c r="AL8152">
        <v>69.050343513825396</v>
      </c>
      <c r="AM8152">
        <v>94.008082135493893</v>
      </c>
      <c r="AN8152">
        <v>0.99999996792852197</v>
      </c>
    </row>
    <row r="8153" spans="1:40" x14ac:dyDescent="0.25">
      <c r="A8153" t="str">
        <f>"20190304165042443"</f>
        <v>20190304165042443</v>
      </c>
      <c r="B8153" t="str">
        <f>"1551689442434148"</f>
        <v>1551689442434148</v>
      </c>
      <c r="C8153" t="s">
        <v>40</v>
      </c>
      <c r="D8153">
        <v>5.2931220000000003</v>
      </c>
      <c r="E8153">
        <v>0.53268019999999905</v>
      </c>
      <c r="F8153" t="s">
        <v>41</v>
      </c>
      <c r="G8153">
        <v>-148.5179</v>
      </c>
      <c r="H8153">
        <v>0.84070489999999998</v>
      </c>
      <c r="I8153">
        <v>138.00810000000001</v>
      </c>
      <c r="J8153">
        <v>-149.11529999999999</v>
      </c>
      <c r="K8153">
        <v>1.111693</v>
      </c>
      <c r="L8153">
        <v>137.9692</v>
      </c>
      <c r="M8153">
        <v>0.9998475</v>
      </c>
      <c r="N8153">
        <v>-1.720002E-2</v>
      </c>
      <c r="O8153">
        <v>-3.019098E-3</v>
      </c>
      <c r="P8153">
        <v>0.93911</v>
      </c>
      <c r="Q8153">
        <v>0.33740759999999997</v>
      </c>
      <c r="R8153">
        <v>6.5028039999999995E-2</v>
      </c>
      <c r="S8153">
        <v>3.7117610000000001</v>
      </c>
      <c r="T8153">
        <v>-1.4433309999999999</v>
      </c>
      <c r="U8153">
        <v>0.20419309999999999</v>
      </c>
      <c r="V8153">
        <v>-6.782734E-2</v>
      </c>
      <c r="W8153">
        <v>0.353514099999999</v>
      </c>
      <c r="X8153">
        <v>0.93296690000000004</v>
      </c>
      <c r="Y8153">
        <v>-5.3655139999999997E-2</v>
      </c>
      <c r="Z8153">
        <v>1.161863E-2</v>
      </c>
      <c r="AA8153">
        <v>0.99849189999999999</v>
      </c>
      <c r="AB8153">
        <v>11</v>
      </c>
      <c r="AC8153">
        <v>0.59739999999999305</v>
      </c>
      <c r="AD8153">
        <v>-0.27098809999999901</v>
      </c>
      <c r="AE8153">
        <v>3.89000000000123E-2</v>
      </c>
      <c r="AF8153">
        <v>-3.3781931959854301E-2</v>
      </c>
      <c r="AG8153">
        <v>-0.27098809999999901</v>
      </c>
      <c r="AH8153">
        <v>0.49571087568594402</v>
      </c>
      <c r="AI8153">
        <v>118.608078492576</v>
      </c>
      <c r="AJ8153">
        <v>93.898591204297901</v>
      </c>
      <c r="AK8153">
        <v>0.56595498190392801</v>
      </c>
      <c r="AL8153">
        <v>69.297595581745398</v>
      </c>
      <c r="AM8153">
        <v>94.158127386511097</v>
      </c>
      <c r="AN8153">
        <v>1.00000000172294</v>
      </c>
    </row>
    <row r="8154" spans="1:40" x14ac:dyDescent="0.25">
      <c r="A8154" t="str">
        <f>"20190304165042467"</f>
        <v>20190304165042467</v>
      </c>
      <c r="B8154" t="str">
        <f>"1551689442453668"</f>
        <v>1551689442453668</v>
      </c>
      <c r="C8154" t="s">
        <v>40</v>
      </c>
      <c r="D8154">
        <v>5.2820429999999998</v>
      </c>
      <c r="E8154">
        <v>0.53267790000000004</v>
      </c>
      <c r="F8154" t="s">
        <v>41</v>
      </c>
      <c r="G8154">
        <v>-148.42160000000001</v>
      </c>
      <c r="H8154">
        <v>0.83584419999999904</v>
      </c>
      <c r="I8154">
        <v>138.00790000000001</v>
      </c>
      <c r="J8154">
        <v>-149.0061</v>
      </c>
      <c r="K8154">
        <v>1.1117520000000001</v>
      </c>
      <c r="L8154">
        <v>137.96850000000001</v>
      </c>
      <c r="M8154">
        <v>0.99984090000000003</v>
      </c>
      <c r="N8154">
        <v>-1.7545870000000002E-2</v>
      </c>
      <c r="O8154">
        <v>-3.267069E-3</v>
      </c>
      <c r="P8154">
        <v>0.94079230000000003</v>
      </c>
      <c r="Q8154">
        <v>0.3322542</v>
      </c>
      <c r="R8154">
        <v>6.7210409999999998E-2</v>
      </c>
      <c r="S8154">
        <v>3.7101899999999999</v>
      </c>
      <c r="T8154">
        <v>-1.4752529999999999</v>
      </c>
      <c r="U8154">
        <v>0.20773320000000001</v>
      </c>
      <c r="V8154">
        <v>-7.0281419999999997E-2</v>
      </c>
      <c r="W8154">
        <v>0.34870679999999998</v>
      </c>
      <c r="X8154">
        <v>0.93459300000000001</v>
      </c>
      <c r="Y8154">
        <v>-5.4595089999999999E-2</v>
      </c>
      <c r="Z8154">
        <v>1.214166E-2</v>
      </c>
      <c r="AA8154">
        <v>0.99843479999999996</v>
      </c>
      <c r="AB8154">
        <v>11</v>
      </c>
      <c r="AC8154">
        <v>0.58449999999999103</v>
      </c>
      <c r="AD8154">
        <v>-0.27590779999999998</v>
      </c>
      <c r="AE8154">
        <v>3.9400000000000497E-2</v>
      </c>
      <c r="AF8154">
        <v>-3.3810110697317798E-2</v>
      </c>
      <c r="AG8154">
        <v>-0.27590779999999998</v>
      </c>
      <c r="AH8154">
        <v>0.47827891529467897</v>
      </c>
      <c r="AI8154">
        <v>119.91785913248501</v>
      </c>
      <c r="AJ8154">
        <v>94.043580800841497</v>
      </c>
      <c r="AK8154">
        <v>0.55318980332401202</v>
      </c>
      <c r="AL8154">
        <v>69.591762238039394</v>
      </c>
      <c r="AM8154">
        <v>94.300549826765604</v>
      </c>
      <c r="AN8154">
        <v>0.99999999300622799</v>
      </c>
    </row>
    <row r="8155" spans="1:40" x14ac:dyDescent="0.25">
      <c r="A8155" t="str">
        <f>"20190304165042489"</f>
        <v>20190304165042489</v>
      </c>
      <c r="B8155" t="str">
        <f>"1551689442483924"</f>
        <v>1551689442483924</v>
      </c>
      <c r="C8155" t="s">
        <v>40</v>
      </c>
      <c r="D8155">
        <v>5.2542530000000003</v>
      </c>
      <c r="E8155">
        <v>0.53286630000000001</v>
      </c>
      <c r="F8155" t="s">
        <v>41</v>
      </c>
      <c r="G8155">
        <v>-148.32429999999999</v>
      </c>
      <c r="H8155">
        <v>0.83647640000000001</v>
      </c>
      <c r="I8155">
        <v>138.0061</v>
      </c>
      <c r="J8155">
        <v>-148.8955</v>
      </c>
      <c r="K8155">
        <v>1.1118220000000001</v>
      </c>
      <c r="L8155">
        <v>137.96799999999999</v>
      </c>
      <c r="M8155">
        <v>0.99983420000000001</v>
      </c>
      <c r="N8155">
        <v>-1.7885060000000001E-2</v>
      </c>
      <c r="O8155">
        <v>-3.432788E-3</v>
      </c>
      <c r="P8155">
        <v>0.94215179999999998</v>
      </c>
      <c r="Q8155">
        <v>0.32795449999999998</v>
      </c>
      <c r="R8155">
        <v>6.9253140000000005E-2</v>
      </c>
      <c r="S8155">
        <v>3.7020110000000002</v>
      </c>
      <c r="T8155">
        <v>-1.4945090000000001</v>
      </c>
      <c r="U8155">
        <v>0.20434569999999999</v>
      </c>
      <c r="V8155">
        <v>-7.2520689999999999E-2</v>
      </c>
      <c r="W8155">
        <v>0.34474100000000002</v>
      </c>
      <c r="X8155">
        <v>0.93589230000000001</v>
      </c>
      <c r="Y8155">
        <v>-5.3882350000000002E-2</v>
      </c>
      <c r="Z8155">
        <v>1.2233529999999999E-2</v>
      </c>
      <c r="AA8155">
        <v>0.99847229999999998</v>
      </c>
      <c r="AB8155">
        <v>11</v>
      </c>
      <c r="AC8155">
        <v>0.57120000000000404</v>
      </c>
      <c r="AD8155">
        <v>-0.27534559999999902</v>
      </c>
      <c r="AE8155">
        <v>3.8100000000014199E-2</v>
      </c>
      <c r="AF8155">
        <v>-3.2534374360337903E-2</v>
      </c>
      <c r="AG8155">
        <v>-0.27534559999999902</v>
      </c>
      <c r="AH8155">
        <v>0.46377566197754899</v>
      </c>
      <c r="AI8155">
        <v>120.636087236439</v>
      </c>
      <c r="AJ8155">
        <v>94.012788214668205</v>
      </c>
      <c r="AK8155">
        <v>0.54033466444148504</v>
      </c>
      <c r="AL8155">
        <v>69.834013799636807</v>
      </c>
      <c r="AM8155">
        <v>94.430897547542898</v>
      </c>
      <c r="AN8155">
        <v>1.00000000237918</v>
      </c>
    </row>
    <row r="8156" spans="1:40" x14ac:dyDescent="0.25">
      <c r="A8156" t="str">
        <f>"20190304165042511"</f>
        <v>20190304165042511</v>
      </c>
      <c r="B8156" t="str">
        <f>"1551689442503444"</f>
        <v>1551689442503444</v>
      </c>
      <c r="C8156" t="s">
        <v>40</v>
      </c>
      <c r="D8156">
        <v>5.3346929999999997</v>
      </c>
      <c r="E8156">
        <v>0.53315409999999996</v>
      </c>
      <c r="F8156" t="s">
        <v>41</v>
      </c>
      <c r="G8156">
        <v>-148.22730000000001</v>
      </c>
      <c r="H8156">
        <v>0.83948789999999995</v>
      </c>
      <c r="I8156">
        <v>138.00380000000001</v>
      </c>
      <c r="J8156">
        <v>-148.7919</v>
      </c>
      <c r="K8156">
        <v>1.111882</v>
      </c>
      <c r="L8156">
        <v>137.9675</v>
      </c>
      <c r="M8156">
        <v>0.99982850000000001</v>
      </c>
      <c r="N8156">
        <v>-1.819169E-2</v>
      </c>
      <c r="O8156">
        <v>-3.5087479999999999E-3</v>
      </c>
      <c r="P8156">
        <v>0.94330420000000004</v>
      </c>
      <c r="Q8156">
        <v>0.32434370000000001</v>
      </c>
      <c r="R8156">
        <v>7.0559860000000002E-2</v>
      </c>
      <c r="S8156">
        <v>3.6935579999999999</v>
      </c>
      <c r="T8156">
        <v>-1.505301</v>
      </c>
      <c r="U8156">
        <v>0.19871520000000001</v>
      </c>
      <c r="V8156">
        <v>-7.3938030000000002E-2</v>
      </c>
      <c r="W8156">
        <v>0.34143109999999999</v>
      </c>
      <c r="X8156">
        <v>0.93699410000000005</v>
      </c>
      <c r="Y8156">
        <v>-5.2581459999999997E-2</v>
      </c>
      <c r="Z8156">
        <v>1.210732E-2</v>
      </c>
      <c r="AA8156">
        <v>0.99854330000000002</v>
      </c>
      <c r="AB8156">
        <v>11</v>
      </c>
      <c r="AC8156">
        <v>0.564599999999984</v>
      </c>
      <c r="AD8156">
        <v>-0.27239409999999997</v>
      </c>
      <c r="AE8156">
        <v>3.6300000000011302E-2</v>
      </c>
      <c r="AF8156">
        <v>-3.10772843488798E-2</v>
      </c>
      <c r="AG8156">
        <v>-0.27239409999999997</v>
      </c>
      <c r="AH8156">
        <v>0.45824566194691702</v>
      </c>
      <c r="AI8156">
        <v>120.670731367626</v>
      </c>
      <c r="AJ8156">
        <v>93.879741957428095</v>
      </c>
      <c r="AK8156">
        <v>0.533997593637349</v>
      </c>
      <c r="AL8156">
        <v>70.035911289135399</v>
      </c>
      <c r="AM8156">
        <v>94.511850060617206</v>
      </c>
      <c r="AN8156">
        <v>0.99999998588115002</v>
      </c>
    </row>
    <row r="8157" spans="1:40" x14ac:dyDescent="0.25">
      <c r="A8157" t="str">
        <f>"20190304165042534"</f>
        <v>20190304165042534</v>
      </c>
      <c r="B8157" t="str">
        <f>"1551689442523939"</f>
        <v>1551689442523939</v>
      </c>
      <c r="C8157" t="s">
        <v>40</v>
      </c>
      <c r="D8157">
        <v>5.3622670000000001</v>
      </c>
      <c r="E8157">
        <v>0.53320909999999999</v>
      </c>
      <c r="F8157" t="s">
        <v>41</v>
      </c>
      <c r="G8157">
        <v>-148.13220000000001</v>
      </c>
      <c r="H8157">
        <v>0.84131749999999905</v>
      </c>
      <c r="I8157">
        <v>138.00149999999999</v>
      </c>
      <c r="J8157">
        <v>-148.68729999999999</v>
      </c>
      <c r="K8157">
        <v>1.1119399999999999</v>
      </c>
      <c r="L8157">
        <v>137.96709999999999</v>
      </c>
      <c r="M8157">
        <v>0.99982300000000002</v>
      </c>
      <c r="N8157">
        <v>-1.8483619999999999E-2</v>
      </c>
      <c r="O8157">
        <v>-3.5096699999999999E-3</v>
      </c>
      <c r="P8157">
        <v>0.9445055</v>
      </c>
      <c r="Q8157">
        <v>0.32064209999999999</v>
      </c>
      <c r="R8157">
        <v>7.1402010000000002E-2</v>
      </c>
      <c r="S8157">
        <v>3.685883</v>
      </c>
      <c r="T8157">
        <v>-1.511776</v>
      </c>
      <c r="U8157">
        <v>0.1902161</v>
      </c>
      <c r="V8157">
        <v>-7.4817419999999996E-2</v>
      </c>
      <c r="W8157">
        <v>0.338018599999999</v>
      </c>
      <c r="X8157">
        <v>0.93816080000000002</v>
      </c>
      <c r="Y8157">
        <v>-5.0512710000000002E-2</v>
      </c>
      <c r="Z8157">
        <v>1.1757129999999999E-2</v>
      </c>
      <c r="AA8157">
        <v>0.99865420000000005</v>
      </c>
      <c r="AB8157">
        <v>11</v>
      </c>
      <c r="AC8157">
        <v>0.55509999999998105</v>
      </c>
      <c r="AD8157">
        <v>-0.27062249999999999</v>
      </c>
      <c r="AE8157">
        <v>3.4400000000005003E-2</v>
      </c>
      <c r="AF8157">
        <v>-2.9389809509733002E-2</v>
      </c>
      <c r="AG8157">
        <v>-0.27062249999999999</v>
      </c>
      <c r="AH8157">
        <v>0.44873120431547697</v>
      </c>
      <c r="AI8157">
        <v>121.039293240003</v>
      </c>
      <c r="AJ8157">
        <v>93.747255405098301</v>
      </c>
      <c r="AK8157">
        <v>0.52484282612577204</v>
      </c>
      <c r="AL8157">
        <v>70.243796672483796</v>
      </c>
      <c r="AM8157">
        <v>94.559633274286398</v>
      </c>
      <c r="AN8157">
        <v>0.99999995346902704</v>
      </c>
    </row>
    <row r="8158" spans="1:40" x14ac:dyDescent="0.25">
      <c r="A8158" t="str">
        <f>"20190304165042556"</f>
        <v>20190304165042556</v>
      </c>
      <c r="B8158" t="str">
        <f>"1551689442543460"</f>
        <v>1551689442543460</v>
      </c>
      <c r="C8158" t="s">
        <v>40</v>
      </c>
      <c r="D8158">
        <v>5.1829179999999999</v>
      </c>
      <c r="E8158">
        <v>0.5337693</v>
      </c>
      <c r="F8158" t="s">
        <v>41</v>
      </c>
      <c r="G8158">
        <v>-148.0385</v>
      </c>
      <c r="H8158">
        <v>0.84309100000000003</v>
      </c>
      <c r="I8158">
        <v>137.99950000000001</v>
      </c>
      <c r="J8158">
        <v>-148.5855</v>
      </c>
      <c r="K8158">
        <v>1.111972</v>
      </c>
      <c r="L8158">
        <v>137.96690000000001</v>
      </c>
      <c r="M8158">
        <v>0.9998184</v>
      </c>
      <c r="N8158">
        <v>-1.8747750000000001E-2</v>
      </c>
      <c r="O8158">
        <v>-3.4316009999999998E-3</v>
      </c>
      <c r="P8158">
        <v>0.94591959999999997</v>
      </c>
      <c r="Q8158">
        <v>0.31630570000000002</v>
      </c>
      <c r="R8158">
        <v>7.2022100000000006E-2</v>
      </c>
      <c r="S8158">
        <v>3.6799469999999999</v>
      </c>
      <c r="T8158">
        <v>-1.524775</v>
      </c>
      <c r="U8158">
        <v>0.1846313</v>
      </c>
      <c r="V8158">
        <v>-7.5394269999999999E-2</v>
      </c>
      <c r="W8158">
        <v>0.333951</v>
      </c>
      <c r="X8158">
        <v>0.93957040000000003</v>
      </c>
      <c r="Y8158">
        <v>-4.9047279999999999E-2</v>
      </c>
      <c r="Z8158">
        <v>1.1535689999999999E-2</v>
      </c>
      <c r="AA8158">
        <v>0.9987298</v>
      </c>
      <c r="AB8158">
        <v>11</v>
      </c>
      <c r="AC8158">
        <v>0.54699999999999704</v>
      </c>
      <c r="AD8158">
        <v>-0.26888099999999898</v>
      </c>
      <c r="AE8158">
        <v>3.26000000000021E-2</v>
      </c>
      <c r="AF8158">
        <v>-2.7786915984305799E-2</v>
      </c>
      <c r="AG8158">
        <v>-0.26888099999999898</v>
      </c>
      <c r="AH8158">
        <v>0.44076183784874701</v>
      </c>
      <c r="AI8158">
        <v>121.33423664078801</v>
      </c>
      <c r="AJ8158">
        <v>93.607319660096096</v>
      </c>
      <c r="AK8158">
        <v>0.51704941984758501</v>
      </c>
      <c r="AL8158">
        <v>70.491239621078293</v>
      </c>
      <c r="AM8158">
        <v>94.587774861088306</v>
      </c>
      <c r="AN8158">
        <v>1.0000000514529901</v>
      </c>
    </row>
    <row r="8159" spans="1:40" x14ac:dyDescent="0.25">
      <c r="A8159" t="str">
        <f>"20190304165042579"</f>
        <v>20190304165042579</v>
      </c>
      <c r="B8159" t="str">
        <f>"1551689442573719"</f>
        <v>1551689442573719</v>
      </c>
      <c r="C8159" t="s">
        <v>40</v>
      </c>
      <c r="D8159">
        <v>5.2993290000000002</v>
      </c>
      <c r="E8159">
        <v>0.53428489999999995</v>
      </c>
      <c r="F8159" t="s">
        <v>41</v>
      </c>
      <c r="G8159">
        <v>-147.86930000000001</v>
      </c>
      <c r="H8159">
        <v>0.81416750000000004</v>
      </c>
      <c r="I8159">
        <v>138.00059999999999</v>
      </c>
      <c r="J8159">
        <v>-148.47829999999999</v>
      </c>
      <c r="K8159">
        <v>1.1120099999999999</v>
      </c>
      <c r="L8159">
        <v>137.9667</v>
      </c>
      <c r="M8159">
        <v>0.99981399999999998</v>
      </c>
      <c r="N8159">
        <v>-1.90197E-2</v>
      </c>
      <c r="O8159">
        <v>-3.2598660000000002E-3</v>
      </c>
      <c r="P8159">
        <v>0.94748710000000003</v>
      </c>
      <c r="Q8159">
        <v>0.3112991</v>
      </c>
      <c r="R8159">
        <v>7.3221530000000007E-2</v>
      </c>
      <c r="S8159">
        <v>3.6682890000000001</v>
      </c>
      <c r="T8159">
        <v>-1.5250999999999999</v>
      </c>
      <c r="U8159">
        <v>0.1731567</v>
      </c>
      <c r="V8159">
        <v>-7.6454300000000003E-2</v>
      </c>
      <c r="W8159">
        <v>0.32922570000000001</v>
      </c>
      <c r="X8159">
        <v>0.94115099999999996</v>
      </c>
      <c r="Y8159">
        <v>-4.6150379999999998E-2</v>
      </c>
      <c r="Z8159">
        <v>1.0905379999999999E-2</v>
      </c>
      <c r="AA8159">
        <v>0.99887499999999996</v>
      </c>
      <c r="AB8159">
        <v>10</v>
      </c>
      <c r="AC8159">
        <v>0.60899999999998</v>
      </c>
      <c r="AD8159">
        <v>-0.29784249999999901</v>
      </c>
      <c r="AE8159">
        <v>3.3899999999988398E-2</v>
      </c>
      <c r="AF8159">
        <v>-2.8976116864559101E-2</v>
      </c>
      <c r="AG8159">
        <v>-0.29784249999999901</v>
      </c>
      <c r="AH8159">
        <v>0.49165232881398602</v>
      </c>
      <c r="AI8159">
        <v>121.163436126561</v>
      </c>
      <c r="AJ8159">
        <v>93.372893547602999</v>
      </c>
      <c r="AK8159">
        <v>0.57556214484885504</v>
      </c>
      <c r="AL8159">
        <v>70.778214881968196</v>
      </c>
      <c r="AM8159">
        <v>94.644218486838994</v>
      </c>
      <c r="AN8159">
        <v>1.00000001316499</v>
      </c>
    </row>
    <row r="8160" spans="1:40" x14ac:dyDescent="0.25">
      <c r="A8160" t="str">
        <f>"20190304165042601"</f>
        <v>20190304165042601</v>
      </c>
      <c r="B8160" t="str">
        <f>"1551689442593236"</f>
        <v>1551689442593236</v>
      </c>
      <c r="C8160" t="s">
        <v>40</v>
      </c>
      <c r="D8160">
        <v>5.3064119999999999</v>
      </c>
      <c r="E8160">
        <v>0.53458090000000003</v>
      </c>
      <c r="F8160" t="s">
        <v>41</v>
      </c>
      <c r="G8160">
        <v>-147.7783</v>
      </c>
      <c r="H8160">
        <v>0.81945730000000006</v>
      </c>
      <c r="I8160">
        <v>137.99850000000001</v>
      </c>
      <c r="J8160">
        <v>-148.38560000000001</v>
      </c>
      <c r="K8160">
        <v>1.112026</v>
      </c>
      <c r="L8160">
        <v>137.9667</v>
      </c>
      <c r="M8160">
        <v>0.99980990000000003</v>
      </c>
      <c r="N8160">
        <v>-1.9261690000000001E-2</v>
      </c>
      <c r="O8160">
        <v>-3.0575630000000001E-3</v>
      </c>
      <c r="P8160">
        <v>0.94882449999999996</v>
      </c>
      <c r="Q8160">
        <v>0.30689490000000003</v>
      </c>
      <c r="R8160">
        <v>7.4486910000000003E-2</v>
      </c>
      <c r="S8160">
        <v>3.6553800000000001</v>
      </c>
      <c r="T8160">
        <v>-1.527755</v>
      </c>
      <c r="U8160">
        <v>0.16632079999999999</v>
      </c>
      <c r="V8160">
        <v>-7.7539239999999995E-2</v>
      </c>
      <c r="W8160">
        <v>0.32507340000000001</v>
      </c>
      <c r="X8160">
        <v>0.94250460000000003</v>
      </c>
      <c r="Y8160">
        <v>-4.4376510000000001E-2</v>
      </c>
      <c r="Z8160">
        <v>1.0511390000000001E-2</v>
      </c>
      <c r="AA8160">
        <v>0.99895959999999995</v>
      </c>
      <c r="AB8160">
        <v>10</v>
      </c>
      <c r="AC8160">
        <v>0.60730000000000905</v>
      </c>
      <c r="AD8160">
        <v>-0.29256869999999902</v>
      </c>
      <c r="AE8160">
        <v>3.1800000000003999E-2</v>
      </c>
      <c r="AF8160">
        <v>-2.7331205112574801E-2</v>
      </c>
      <c r="AG8160">
        <v>-0.29256869999999902</v>
      </c>
      <c r="AH8160">
        <v>0.493076592126235</v>
      </c>
      <c r="AI8160">
        <v>120.644367302238</v>
      </c>
      <c r="AJ8160">
        <v>93.172654880981995</v>
      </c>
      <c r="AK8160">
        <v>0.573993000563088</v>
      </c>
      <c r="AL8160">
        <v>71.029977742483794</v>
      </c>
      <c r="AM8160">
        <v>94.703095004169299</v>
      </c>
      <c r="AN8160">
        <v>0.99999998507424803</v>
      </c>
    </row>
    <row r="8161" spans="1:40" x14ac:dyDescent="0.25">
      <c r="A8161" t="str">
        <f>"20190304165042622"</f>
        <v>20190304165042622</v>
      </c>
      <c r="B8161" t="str">
        <f>"1551689442613220"</f>
        <v>1551689442613220</v>
      </c>
      <c r="C8161" t="s">
        <v>40</v>
      </c>
      <c r="D8161">
        <v>5.3234180000000002</v>
      </c>
      <c r="E8161">
        <v>0.53744669999999894</v>
      </c>
      <c r="F8161" t="s">
        <v>41</v>
      </c>
      <c r="G8161">
        <v>-147.6908</v>
      </c>
      <c r="H8161">
        <v>0.81999330000000004</v>
      </c>
      <c r="I8161">
        <v>137.9974</v>
      </c>
      <c r="J8161">
        <v>-148.28909999999999</v>
      </c>
      <c r="K8161">
        <v>1.1120380000000001</v>
      </c>
      <c r="L8161">
        <v>137.9667</v>
      </c>
      <c r="M8161">
        <v>0.99980570000000002</v>
      </c>
      <c r="N8161">
        <v>-1.951545E-2</v>
      </c>
      <c r="O8161">
        <v>-2.8009100000000002E-3</v>
      </c>
      <c r="P8161">
        <v>0.95038590000000001</v>
      </c>
      <c r="Q8161">
        <v>0.30162169999999999</v>
      </c>
      <c r="R8161">
        <v>7.6098289999999999E-2</v>
      </c>
      <c r="S8161">
        <v>3.6445919999999998</v>
      </c>
      <c r="T8161">
        <v>-1.531927</v>
      </c>
      <c r="U8161">
        <v>0.16180420000000001</v>
      </c>
      <c r="V8161">
        <v>-7.8910359999999999E-2</v>
      </c>
      <c r="W8161">
        <v>0.32007029999999997</v>
      </c>
      <c r="X8161">
        <v>0.94410179999999999</v>
      </c>
      <c r="Y8161">
        <v>-4.3104650000000001E-2</v>
      </c>
      <c r="Z8161">
        <v>1.020224E-2</v>
      </c>
      <c r="AA8161">
        <v>0.99901850000000003</v>
      </c>
      <c r="AB8161">
        <v>10</v>
      </c>
      <c r="AC8161">
        <v>0.59829999999999395</v>
      </c>
      <c r="AD8161">
        <v>-0.29204469999999899</v>
      </c>
      <c r="AE8161">
        <v>3.0699999999995901E-2</v>
      </c>
      <c r="AF8161">
        <v>-2.61594609896274E-2</v>
      </c>
      <c r="AG8161">
        <v>-0.29204469999999899</v>
      </c>
      <c r="AH8161">
        <v>0.48334885248070802</v>
      </c>
      <c r="AI8161">
        <v>121.103759000266</v>
      </c>
      <c r="AJ8161">
        <v>93.097898870993504</v>
      </c>
      <c r="AK8161">
        <v>0.56533223629276197</v>
      </c>
      <c r="AL8161">
        <v>71.332824106997805</v>
      </c>
      <c r="AM8161">
        <v>94.777817410367007</v>
      </c>
      <c r="AN8161">
        <v>1.0000000253103201</v>
      </c>
    </row>
    <row r="8162" spans="1:40" x14ac:dyDescent="0.25">
      <c r="A8162" t="str">
        <f>"20190304165042647"</f>
        <v>20190304165042647</v>
      </c>
      <c r="B8162" t="str">
        <f>"1551689442643476"</f>
        <v>1551689442643476</v>
      </c>
      <c r="C8162" t="s">
        <v>40</v>
      </c>
      <c r="D8162">
        <v>5.3092889999999997</v>
      </c>
      <c r="E8162">
        <v>0.53843430000000003</v>
      </c>
      <c r="F8162" t="s">
        <v>41</v>
      </c>
      <c r="G8162">
        <v>-147.59639999999999</v>
      </c>
      <c r="H8162">
        <v>0.84056710000000001</v>
      </c>
      <c r="I8162">
        <v>137.99119999999999</v>
      </c>
      <c r="J8162">
        <v>-148.1883</v>
      </c>
      <c r="K8162">
        <v>1.1120429999999999</v>
      </c>
      <c r="L8162">
        <v>137.96680000000001</v>
      </c>
      <c r="M8162">
        <v>0.99980150000000001</v>
      </c>
      <c r="N8162">
        <v>-1.9770050000000001E-2</v>
      </c>
      <c r="O8162">
        <v>-2.4939630000000001E-3</v>
      </c>
      <c r="P8162">
        <v>0.95194509999999999</v>
      </c>
      <c r="Q8162">
        <v>0.29638809999999999</v>
      </c>
      <c r="R8162">
        <v>7.7167310000000003E-2</v>
      </c>
      <c r="S8162">
        <v>3.5932460000000002</v>
      </c>
      <c r="T8162">
        <v>-1.408039</v>
      </c>
      <c r="U8162">
        <v>0.1275635</v>
      </c>
      <c r="V8162">
        <v>-7.9683210000000004E-2</v>
      </c>
      <c r="W8162">
        <v>0.31511060000000002</v>
      </c>
      <c r="X8162">
        <v>0.94570390000000004</v>
      </c>
      <c r="Y8162">
        <v>-3.5070759999999999E-2</v>
      </c>
      <c r="Z8162">
        <v>7.8785709999999991E-3</v>
      </c>
      <c r="AA8162">
        <v>0.99935379999999996</v>
      </c>
      <c r="AB8162">
        <v>10</v>
      </c>
      <c r="AC8162">
        <v>0.59190000000000897</v>
      </c>
      <c r="AD8162">
        <v>-0.27147589999999999</v>
      </c>
      <c r="AE8162">
        <v>2.43999999999857E-2</v>
      </c>
      <c r="AF8162">
        <v>-2.1385367087603298E-2</v>
      </c>
      <c r="AG8162">
        <v>-0.27147589999999999</v>
      </c>
      <c r="AH8162">
        <v>0.48911993295995798</v>
      </c>
      <c r="AI8162">
        <v>119.008349453682</v>
      </c>
      <c r="AJ8162">
        <v>92.503499292175206</v>
      </c>
      <c r="AK8162">
        <v>0.55981676200792296</v>
      </c>
      <c r="AL8162">
        <v>71.632508978983495</v>
      </c>
      <c r="AM8162">
        <v>94.816257233605199</v>
      </c>
      <c r="AN8162">
        <v>0.99999998533173695</v>
      </c>
    </row>
    <row r="8163" spans="1:40" x14ac:dyDescent="0.25">
      <c r="A8163" t="str">
        <f>"20190304165042667"</f>
        <v>20190304165042667</v>
      </c>
      <c r="B8163" t="str">
        <f>"1551689442663975"</f>
        <v>1551689442663975</v>
      </c>
      <c r="C8163" t="s">
        <v>40</v>
      </c>
      <c r="D8163">
        <v>5.2886410000000001</v>
      </c>
      <c r="E8163">
        <v>0.53881820000000002</v>
      </c>
      <c r="F8163" t="s">
        <v>41</v>
      </c>
      <c r="G8163">
        <v>-147.5102</v>
      </c>
      <c r="H8163">
        <v>0.84499199999999997</v>
      </c>
      <c r="I8163">
        <v>137.98939999999999</v>
      </c>
      <c r="J8163">
        <v>-148.10130000000001</v>
      </c>
      <c r="K8163">
        <v>1.112036</v>
      </c>
      <c r="L8163">
        <v>137.96690000000001</v>
      </c>
      <c r="M8163">
        <v>0.99979810000000002</v>
      </c>
      <c r="N8163">
        <v>-1.9974539999999999E-2</v>
      </c>
      <c r="O8163">
        <v>-2.2088540000000001E-3</v>
      </c>
      <c r="P8163">
        <v>0.9533433</v>
      </c>
      <c r="Q8163">
        <v>0.29193419999999998</v>
      </c>
      <c r="R8163">
        <v>7.6885759999999997E-2</v>
      </c>
      <c r="S8163">
        <v>3.5808409999999999</v>
      </c>
      <c r="T8163">
        <v>-1.410369</v>
      </c>
      <c r="U8163">
        <v>0.119812</v>
      </c>
      <c r="V8163">
        <v>-7.9122319999999996E-2</v>
      </c>
      <c r="W8163">
        <v>0.31088209999999999</v>
      </c>
      <c r="X8163">
        <v>0.94714940000000003</v>
      </c>
      <c r="Y8163">
        <v>-3.2907579999999999E-2</v>
      </c>
      <c r="Z8163">
        <v>7.382558E-3</v>
      </c>
      <c r="AA8163">
        <v>0.99943110000000002</v>
      </c>
      <c r="AB8163">
        <v>10</v>
      </c>
      <c r="AC8163">
        <v>0.59110000000001095</v>
      </c>
      <c r="AD8163">
        <v>-0.267044</v>
      </c>
      <c r="AE8163">
        <v>2.2499999999979502E-2</v>
      </c>
      <c r="AF8163">
        <v>-1.9775510386462199E-2</v>
      </c>
      <c r="AG8163">
        <v>-0.267044</v>
      </c>
      <c r="AH8163">
        <v>0.49098386060768201</v>
      </c>
      <c r="AI8163">
        <v>118.52209168201</v>
      </c>
      <c r="AJ8163">
        <v>92.306473320916297</v>
      </c>
      <c r="AK8163">
        <v>0.55925729331343499</v>
      </c>
      <c r="AL8163">
        <v>71.887602105490402</v>
      </c>
      <c r="AM8163">
        <v>94.775248314614998</v>
      </c>
      <c r="AN8163">
        <v>1.00000000377147</v>
      </c>
    </row>
    <row r="8164" spans="1:40" x14ac:dyDescent="0.25">
      <c r="A8164" t="str">
        <f>"20190304165042691"</f>
        <v>20190304165042691</v>
      </c>
      <c r="B8164" t="str">
        <f>"1551689442683492"</f>
        <v>1551689442683492</v>
      </c>
      <c r="C8164" t="s">
        <v>40</v>
      </c>
      <c r="D8164">
        <v>5.3876739999999996</v>
      </c>
      <c r="E8164">
        <v>0.53879370000000004</v>
      </c>
      <c r="F8164" t="s">
        <v>41</v>
      </c>
      <c r="G8164">
        <v>-147.42769999999999</v>
      </c>
      <c r="H8164">
        <v>0.8445549</v>
      </c>
      <c r="I8164">
        <v>137.98869999999999</v>
      </c>
      <c r="J8164">
        <v>-148.00649999999999</v>
      </c>
      <c r="K8164">
        <v>1.112031</v>
      </c>
      <c r="L8164">
        <v>137.96709999999999</v>
      </c>
      <c r="M8164">
        <v>0.99979450000000003</v>
      </c>
      <c r="N8164">
        <v>-2.0186590000000001E-2</v>
      </c>
      <c r="O8164">
        <v>-1.8888469999999999E-3</v>
      </c>
      <c r="P8164">
        <v>0.95413419999999904</v>
      </c>
      <c r="Q8164">
        <v>0.28959960000000001</v>
      </c>
      <c r="R8164">
        <v>7.5893769999999999E-2</v>
      </c>
      <c r="S8164">
        <v>3.5718540000000001</v>
      </c>
      <c r="T8164">
        <v>-1.4183460000000001</v>
      </c>
      <c r="U8164">
        <v>0.1154327</v>
      </c>
      <c r="V8164">
        <v>-7.7811469999999994E-2</v>
      </c>
      <c r="W8164">
        <v>0.30876930000000002</v>
      </c>
      <c r="X8164">
        <v>0.94794880000000004</v>
      </c>
      <c r="Y8164">
        <v>-3.1535390000000003E-2</v>
      </c>
      <c r="Z8164">
        <v>7.0470130000000004E-3</v>
      </c>
      <c r="AA8164">
        <v>0.99947779999999997</v>
      </c>
      <c r="AB8164">
        <v>9</v>
      </c>
      <c r="AC8164">
        <v>0.57880000000000098</v>
      </c>
      <c r="AD8164">
        <v>-0.267476099999999</v>
      </c>
      <c r="AE8164">
        <v>2.1600000000006499E-2</v>
      </c>
      <c r="AF8164">
        <v>-1.8704529195129101E-2</v>
      </c>
      <c r="AG8164">
        <v>-0.267476099999999</v>
      </c>
      <c r="AH8164">
        <v>0.477027487653156</v>
      </c>
      <c r="AI8164">
        <v>119.261198423143</v>
      </c>
      <c r="AJ8164">
        <v>92.245451014143896</v>
      </c>
      <c r="AK8164">
        <v>0.547218920963359</v>
      </c>
      <c r="AL8164">
        <v>72.014921860949997</v>
      </c>
      <c r="AM8164">
        <v>94.692548958527098</v>
      </c>
      <c r="AN8164">
        <v>1.0000000164537399</v>
      </c>
    </row>
    <row r="8165" spans="1:40" x14ac:dyDescent="0.25">
      <c r="A8165" t="str">
        <f>"20190304165042712"</f>
        <v>20190304165042712</v>
      </c>
      <c r="B8165" t="str">
        <f>"1551689442703519"</f>
        <v>1551689442703519</v>
      </c>
      <c r="C8165" t="s">
        <v>40</v>
      </c>
      <c r="D8165">
        <v>5.367013</v>
      </c>
      <c r="E8165">
        <v>0.53876139999999995</v>
      </c>
      <c r="F8165" t="s">
        <v>41</v>
      </c>
      <c r="G8165">
        <v>-147.3449</v>
      </c>
      <c r="H8165">
        <v>0.84794190000000003</v>
      </c>
      <c r="I8165">
        <v>137.9881</v>
      </c>
      <c r="J8165">
        <v>-147.9196</v>
      </c>
      <c r="K8165">
        <v>1.112031</v>
      </c>
      <c r="L8165">
        <v>137.96729999999999</v>
      </c>
      <c r="M8165">
        <v>0.99979110000000004</v>
      </c>
      <c r="N8165">
        <v>-2.0383700000000001E-2</v>
      </c>
      <c r="O8165">
        <v>-1.5965679999999901E-3</v>
      </c>
      <c r="P8165">
        <v>0.95438900000000004</v>
      </c>
      <c r="Q8165">
        <v>0.28917730000000003</v>
      </c>
      <c r="R8165">
        <v>7.4286820000000003E-2</v>
      </c>
      <c r="S8165">
        <v>3.5673219999999999</v>
      </c>
      <c r="T8165">
        <v>-1.4239360000000001</v>
      </c>
      <c r="U8165">
        <v>0.1141663</v>
      </c>
      <c r="V8165">
        <v>-7.5909610000000002E-2</v>
      </c>
      <c r="W8165">
        <v>0.30854480000000001</v>
      </c>
      <c r="X8165">
        <v>0.94817600000000002</v>
      </c>
      <c r="Y8165">
        <v>-3.096834E-2</v>
      </c>
      <c r="Z8165">
        <v>6.861219E-3</v>
      </c>
      <c r="AA8165">
        <v>0.99949679999999996</v>
      </c>
      <c r="AB8165">
        <v>9</v>
      </c>
      <c r="AC8165">
        <v>0.57470000000000698</v>
      </c>
      <c r="AD8165">
        <v>-0.26408910000000002</v>
      </c>
      <c r="AE8165">
        <v>2.0800000000008301E-2</v>
      </c>
      <c r="AF8165">
        <v>-1.79353726931176E-2</v>
      </c>
      <c r="AG8165">
        <v>-0.26408910000000002</v>
      </c>
      <c r="AH8165">
        <v>0.47458268052256702</v>
      </c>
      <c r="AI8165">
        <v>119.077078746597</v>
      </c>
      <c r="AJ8165">
        <v>92.164285371266203</v>
      </c>
      <c r="AK8165">
        <v>0.54340910094001504</v>
      </c>
      <c r="AL8165">
        <v>72.028443722052103</v>
      </c>
      <c r="AM8165">
        <v>94.577255437252504</v>
      </c>
      <c r="AN8165">
        <v>0.99999994473669396</v>
      </c>
    </row>
    <row r="8166" spans="1:40" x14ac:dyDescent="0.25">
      <c r="A8166" t="str">
        <f>"20190304165042734"</f>
        <v>20190304165042734</v>
      </c>
      <c r="B8166" t="str">
        <f>"1551689442724015"</f>
        <v>1551689442724015</v>
      </c>
      <c r="C8166" t="s">
        <v>40</v>
      </c>
      <c r="D8166">
        <v>5.3646589999999996</v>
      </c>
      <c r="E8166">
        <v>0.53885609999999995</v>
      </c>
      <c r="F8166" t="s">
        <v>41</v>
      </c>
      <c r="G8166">
        <v>-147.26410000000001</v>
      </c>
      <c r="H8166">
        <v>0.85037339999999995</v>
      </c>
      <c r="I8166">
        <v>137.9881</v>
      </c>
      <c r="J8166">
        <v>-147.83269999999999</v>
      </c>
      <c r="K8166">
        <v>1.112031</v>
      </c>
      <c r="L8166">
        <v>137.9675</v>
      </c>
      <c r="M8166">
        <v>0.99978719999999999</v>
      </c>
      <c r="N8166">
        <v>-2.058683E-2</v>
      </c>
      <c r="O8166">
        <v>-1.3107660000000001E-3</v>
      </c>
      <c r="P8166">
        <v>0.95466510000000004</v>
      </c>
      <c r="Q8166">
        <v>0.28877649999999999</v>
      </c>
      <c r="R8166">
        <v>7.226834E-2</v>
      </c>
      <c r="S8166">
        <v>3.5658110000000001</v>
      </c>
      <c r="T8166">
        <v>-1.4233359999999999</v>
      </c>
      <c r="U8166">
        <v>0.11341859999999999</v>
      </c>
      <c r="V8166">
        <v>-7.3599899999999996E-2</v>
      </c>
      <c r="W8166">
        <v>0.30834800000000001</v>
      </c>
      <c r="X8166">
        <v>0.94842210000000005</v>
      </c>
      <c r="Y8166">
        <v>-3.053997E-2</v>
      </c>
      <c r="Z8166">
        <v>6.6731439999999998E-3</v>
      </c>
      <c r="AA8166">
        <v>0.99951120000000004</v>
      </c>
      <c r="AB8166">
        <v>9</v>
      </c>
      <c r="AC8166">
        <v>0.56859999999997501</v>
      </c>
      <c r="AD8166">
        <v>-0.26165759999999899</v>
      </c>
      <c r="AE8166">
        <v>2.06000000000017E-2</v>
      </c>
      <c r="AF8166">
        <v>-1.7619210776226399E-2</v>
      </c>
      <c r="AG8166">
        <v>-0.26165759999999899</v>
      </c>
      <c r="AH8166">
        <v>0.469317939780175</v>
      </c>
      <c r="AI8166">
        <v>119.12370551248</v>
      </c>
      <c r="AJ8166">
        <v>92.149997816254299</v>
      </c>
      <c r="AK8166">
        <v>0.53761925637540697</v>
      </c>
      <c r="AL8166">
        <v>72.040297731216</v>
      </c>
      <c r="AM8166">
        <v>94.437400862489696</v>
      </c>
      <c r="AN8166">
        <v>0.99999995707620903</v>
      </c>
    </row>
    <row r="8167" spans="1:40" x14ac:dyDescent="0.25">
      <c r="A8167" t="str">
        <f>"20190304165042758"</f>
        <v>20190304165042758</v>
      </c>
      <c r="B8167" t="str">
        <f>"1551689442753298"</f>
        <v>1551689442753298</v>
      </c>
      <c r="C8167" t="s">
        <v>40</v>
      </c>
      <c r="D8167">
        <v>5.4536230000000003</v>
      </c>
      <c r="E8167">
        <v>0.53940749999999904</v>
      </c>
      <c r="F8167" t="s">
        <v>41</v>
      </c>
      <c r="G8167">
        <v>-147.18440000000001</v>
      </c>
      <c r="H8167">
        <v>0.85397429999999996</v>
      </c>
      <c r="I8167">
        <v>137.98759999999999</v>
      </c>
      <c r="J8167">
        <v>-147.74680000000001</v>
      </c>
      <c r="K8167">
        <v>1.1120289999999999</v>
      </c>
      <c r="L8167">
        <v>137.96770000000001</v>
      </c>
      <c r="M8167">
        <v>0.99978350000000005</v>
      </c>
      <c r="N8167">
        <v>-2.0786700000000002E-2</v>
      </c>
      <c r="O8167">
        <v>-1.0391580000000001E-3</v>
      </c>
      <c r="P8167">
        <v>0.95503740000000004</v>
      </c>
      <c r="Q8167">
        <v>0.28802670000000002</v>
      </c>
      <c r="R8167">
        <v>7.0317030000000003E-2</v>
      </c>
      <c r="S8167">
        <v>3.5630649999999999</v>
      </c>
      <c r="T8167">
        <v>-1.4182870000000001</v>
      </c>
      <c r="U8167">
        <v>0.1111298</v>
      </c>
      <c r="V8167">
        <v>-7.1370749999999997E-2</v>
      </c>
      <c r="W8167">
        <v>0.30780089999999999</v>
      </c>
      <c r="X8167">
        <v>0.94877020000000001</v>
      </c>
      <c r="Y8167">
        <v>-2.974624E-2</v>
      </c>
      <c r="Z8167">
        <v>6.4002219999999997E-3</v>
      </c>
      <c r="AA8167">
        <v>0.99953700000000001</v>
      </c>
      <c r="AB8167">
        <v>9</v>
      </c>
      <c r="AC8167">
        <v>0.56239999999999601</v>
      </c>
      <c r="AD8167">
        <v>-0.25805470000000003</v>
      </c>
      <c r="AE8167">
        <v>1.98999999999784E-2</v>
      </c>
      <c r="AF8167">
        <v>-1.6925510830852399E-2</v>
      </c>
      <c r="AG8167">
        <v>-0.25805470000000003</v>
      </c>
      <c r="AH8167">
        <v>0.46467008876704002</v>
      </c>
      <c r="AI8167">
        <v>119.029499974232</v>
      </c>
      <c r="AJ8167">
        <v>92.086064542888295</v>
      </c>
      <c r="AK8167">
        <v>0.53178660429136804</v>
      </c>
      <c r="AL8167">
        <v>72.073248272043102</v>
      </c>
      <c r="AM8167">
        <v>94.301943232549405</v>
      </c>
      <c r="AN8167">
        <v>1.0000000352022</v>
      </c>
    </row>
    <row r="8168" spans="1:40" x14ac:dyDescent="0.25">
      <c r="A8168" t="str">
        <f>"20190304165042779"</f>
        <v>20190304165042779</v>
      </c>
      <c r="B8168" t="str">
        <f>"1551689442773790"</f>
        <v>1551689442773790</v>
      </c>
      <c r="C8168" t="s">
        <v>40</v>
      </c>
      <c r="D8168">
        <v>5.4146210000000004</v>
      </c>
      <c r="E8168">
        <v>0.53967989999999999</v>
      </c>
      <c r="F8168" t="s">
        <v>41</v>
      </c>
      <c r="G8168">
        <v>-147.04230000000001</v>
      </c>
      <c r="H8168">
        <v>0.83226009999999995</v>
      </c>
      <c r="I8168">
        <v>137.98849999999999</v>
      </c>
      <c r="J8168">
        <v>-147.66319999999999</v>
      </c>
      <c r="K8168">
        <v>1.1120300000000001</v>
      </c>
      <c r="L8168">
        <v>137.96789999999999</v>
      </c>
      <c r="M8168">
        <v>0.9997798</v>
      </c>
      <c r="N8168">
        <v>-2.097305E-2</v>
      </c>
      <c r="O8168">
        <v>-7.8631860000000003E-4</v>
      </c>
      <c r="P8168">
        <v>0.95540480000000005</v>
      </c>
      <c r="Q8168">
        <v>0.28732619999999998</v>
      </c>
      <c r="R8168">
        <v>6.8157969999999998E-2</v>
      </c>
      <c r="S8168">
        <v>3.5597840000000001</v>
      </c>
      <c r="T8168">
        <v>-1.413605</v>
      </c>
      <c r="U8168">
        <v>0.10572810000000001</v>
      </c>
      <c r="V8168">
        <v>-6.8953970000000003E-2</v>
      </c>
      <c r="W8168">
        <v>0.30728949999999999</v>
      </c>
      <c r="X8168">
        <v>0.94911460000000003</v>
      </c>
      <c r="Y8168">
        <v>-2.8161100000000001E-2</v>
      </c>
      <c r="Z8168">
        <v>5.9774579999999997E-3</v>
      </c>
      <c r="AA8168">
        <v>0.99958550000000002</v>
      </c>
      <c r="AB8168">
        <v>9</v>
      </c>
      <c r="AC8168">
        <v>0.62089999999997703</v>
      </c>
      <c r="AD8168">
        <v>-0.27976989999999902</v>
      </c>
      <c r="AE8168">
        <v>2.06000000000017E-2</v>
      </c>
      <c r="AF8168">
        <v>-1.7532607653383301E-2</v>
      </c>
      <c r="AG8168">
        <v>-0.27976989999999902</v>
      </c>
      <c r="AH8168">
        <v>0.51619595359409798</v>
      </c>
      <c r="AI8168">
        <v>118.443145182701</v>
      </c>
      <c r="AJ8168">
        <v>91.945304673757093</v>
      </c>
      <c r="AK8168">
        <v>0.58739837570771103</v>
      </c>
      <c r="AL8168">
        <v>72.104041235668802</v>
      </c>
      <c r="AM8168">
        <v>94.155285861242902</v>
      </c>
      <c r="AN8168">
        <v>1.00000000536108</v>
      </c>
    </row>
    <row r="8169" spans="1:40" x14ac:dyDescent="0.25">
      <c r="A8169" t="str">
        <f>"20190304165042801"</f>
        <v>20190304165042801</v>
      </c>
      <c r="B8169" t="str">
        <f>"1551689442793311"</f>
        <v>1551689442793311</v>
      </c>
      <c r="C8169" t="s">
        <v>40</v>
      </c>
      <c r="D8169">
        <v>5.417656</v>
      </c>
      <c r="E8169">
        <v>0.54004439999999998</v>
      </c>
      <c r="F8169" t="s">
        <v>41</v>
      </c>
      <c r="G8169">
        <v>-146.9676</v>
      </c>
      <c r="H8169">
        <v>0.83531929999999999</v>
      </c>
      <c r="I8169">
        <v>137.98779999999999</v>
      </c>
      <c r="J8169">
        <v>-147.58260000000001</v>
      </c>
      <c r="K8169">
        <v>1.112033</v>
      </c>
      <c r="L8169">
        <v>137.96809999999999</v>
      </c>
      <c r="M8169">
        <v>0.9997762</v>
      </c>
      <c r="N8169">
        <v>-2.11562E-2</v>
      </c>
      <c r="O8169">
        <v>-5.5314129999999896E-4</v>
      </c>
      <c r="P8169">
        <v>0.95574599999999998</v>
      </c>
      <c r="Q8169">
        <v>0.286522</v>
      </c>
      <c r="R8169">
        <v>6.6748399999999902E-2</v>
      </c>
      <c r="S8169">
        <v>3.5585019999999998</v>
      </c>
      <c r="T8169">
        <v>-1.4156200000000001</v>
      </c>
      <c r="U8169">
        <v>0.1018829</v>
      </c>
      <c r="V8169">
        <v>-6.7309330000000001E-2</v>
      </c>
      <c r="W8169">
        <v>0.306670099999999</v>
      </c>
      <c r="X8169">
        <v>0.94943299999999997</v>
      </c>
      <c r="Y8169">
        <v>-2.6962960000000001E-2</v>
      </c>
      <c r="Z8169">
        <v>5.6622840000000001E-3</v>
      </c>
      <c r="AA8169">
        <v>0.99962039999999996</v>
      </c>
      <c r="AB8169">
        <v>8</v>
      </c>
      <c r="AC8169">
        <v>0.61500000000000898</v>
      </c>
      <c r="AD8169">
        <v>-0.27671369999999901</v>
      </c>
      <c r="AE8169">
        <v>1.97000000000002E-2</v>
      </c>
      <c r="AF8169">
        <v>-1.6669105610235199E-2</v>
      </c>
      <c r="AG8169">
        <v>-0.27671369999999901</v>
      </c>
      <c r="AH8169">
        <v>0.51153624085761096</v>
      </c>
      <c r="AI8169">
        <v>118.398291386956</v>
      </c>
      <c r="AJ8169">
        <v>91.866400628479994</v>
      </c>
      <c r="AK8169">
        <v>0.581822701998015</v>
      </c>
      <c r="AL8169">
        <v>72.141331713530803</v>
      </c>
      <c r="AM8169">
        <v>94.055156038214804</v>
      </c>
      <c r="AN8169">
        <v>1.0000000588140201</v>
      </c>
    </row>
    <row r="8170" spans="1:40" x14ac:dyDescent="0.25">
      <c r="A8170" t="str">
        <f>"20190304165042825"</f>
        <v>20190304165042825</v>
      </c>
      <c r="B8170" t="str">
        <f>"1551689442813806"</f>
        <v>1551689442813806</v>
      </c>
      <c r="C8170" t="s">
        <v>40</v>
      </c>
      <c r="D8170">
        <v>5.2284280000000001</v>
      </c>
      <c r="E8170">
        <v>0.54084900000000002</v>
      </c>
      <c r="F8170" t="s">
        <v>41</v>
      </c>
      <c r="G8170">
        <v>-146.89490000000001</v>
      </c>
      <c r="H8170">
        <v>0.83776609999999996</v>
      </c>
      <c r="I8170">
        <v>137.9871</v>
      </c>
      <c r="J8170">
        <v>-147.49789999999999</v>
      </c>
      <c r="K8170">
        <v>1.112036</v>
      </c>
      <c r="L8170">
        <v>137.9684</v>
      </c>
      <c r="M8170">
        <v>0.99977199999999999</v>
      </c>
      <c r="N8170">
        <v>-2.1356119999999999E-2</v>
      </c>
      <c r="O8170">
        <v>-3.175694E-4</v>
      </c>
      <c r="P8170">
        <v>0.95598780000000005</v>
      </c>
      <c r="Q8170">
        <v>0.28578609999999999</v>
      </c>
      <c r="R8170">
        <v>6.6438330000000004E-2</v>
      </c>
      <c r="S8170">
        <v>3.5572970000000002</v>
      </c>
      <c r="T8170">
        <v>-1.4186529999999999</v>
      </c>
      <c r="U8170">
        <v>9.8907469999999997E-2</v>
      </c>
      <c r="V8170">
        <v>-6.6763699999999995E-2</v>
      </c>
      <c r="W8170">
        <v>0.30613170000000001</v>
      </c>
      <c r="X8170">
        <v>0.94964519999999997</v>
      </c>
      <c r="Y8170">
        <v>-2.5985459999999998E-2</v>
      </c>
      <c r="Z8170">
        <v>5.3933339999999996E-3</v>
      </c>
      <c r="AA8170">
        <v>0.99964779999999998</v>
      </c>
      <c r="AB8170">
        <v>8</v>
      </c>
      <c r="AC8170">
        <v>0.60299999999998</v>
      </c>
      <c r="AD8170">
        <v>-0.27426990000000001</v>
      </c>
      <c r="AE8170">
        <v>1.8699999999995401E-2</v>
      </c>
      <c r="AF8170">
        <v>-1.5655761446947698E-2</v>
      </c>
      <c r="AG8170">
        <v>-0.27426990000000001</v>
      </c>
      <c r="AH8170">
        <v>0.49971215416091402</v>
      </c>
      <c r="AI8170">
        <v>118.748582801033</v>
      </c>
      <c r="AJ8170">
        <v>91.794464548086296</v>
      </c>
      <c r="AK8170">
        <v>0.57024671671885596</v>
      </c>
      <c r="AL8170">
        <v>72.173737497276406</v>
      </c>
      <c r="AM8170">
        <v>94.021496184238003</v>
      </c>
      <c r="AN8170">
        <v>1.0000000076328099</v>
      </c>
    </row>
    <row r="8171" spans="1:40" x14ac:dyDescent="0.25">
      <c r="A8171" t="str">
        <f>"20190304165042849"</f>
        <v>20190304165042849</v>
      </c>
      <c r="B8171" t="str">
        <f>"1551689442844064"</f>
        <v>1551689442844064</v>
      </c>
      <c r="C8171" t="s">
        <v>40</v>
      </c>
      <c r="D8171">
        <v>5.3827040000000004</v>
      </c>
      <c r="E8171">
        <v>0.54234269999999996</v>
      </c>
      <c r="F8171" t="s">
        <v>41</v>
      </c>
      <c r="G8171">
        <v>-146.82239999999999</v>
      </c>
      <c r="H8171">
        <v>0.84368679999999996</v>
      </c>
      <c r="I8171">
        <v>137.98560000000001</v>
      </c>
      <c r="J8171">
        <v>-147.41820000000001</v>
      </c>
      <c r="K8171">
        <v>1.112168</v>
      </c>
      <c r="L8171">
        <v>137.96860000000001</v>
      </c>
      <c r="M8171">
        <v>0.99975849999999999</v>
      </c>
      <c r="N8171">
        <v>-2.1977730000000001E-2</v>
      </c>
      <c r="O8171">
        <v>-1.078236E-4</v>
      </c>
      <c r="P8171">
        <v>0.9564762</v>
      </c>
      <c r="Q8171">
        <v>0.28444819999999998</v>
      </c>
      <c r="R8171">
        <v>6.5135970000000001E-2</v>
      </c>
      <c r="S8171">
        <v>3.553833</v>
      </c>
      <c r="T8171">
        <v>-1.4117980000000001</v>
      </c>
      <c r="U8171">
        <v>9.1033939999999994E-2</v>
      </c>
      <c r="V8171">
        <v>-6.5250580000000002E-2</v>
      </c>
      <c r="W8171">
        <v>0.30539809999999901</v>
      </c>
      <c r="X8171">
        <v>0.94998649999999996</v>
      </c>
      <c r="Y8171">
        <v>-2.3792399999999998E-2</v>
      </c>
      <c r="Z8171">
        <v>4.8628100000000004E-3</v>
      </c>
      <c r="AA8171">
        <v>0.99970510000000001</v>
      </c>
      <c r="AB8171">
        <v>8</v>
      </c>
      <c r="AC8171">
        <v>0.59580000000002498</v>
      </c>
      <c r="AD8171">
        <v>-0.26848119999999998</v>
      </c>
      <c r="AE8171">
        <v>1.69999999999959E-2</v>
      </c>
      <c r="AF8171">
        <v>-1.41859792827714E-2</v>
      </c>
      <c r="AG8171">
        <v>-0.26848119999999998</v>
      </c>
      <c r="AH8171">
        <v>0.49530316715095501</v>
      </c>
      <c r="AI8171">
        <v>118.450256025622</v>
      </c>
      <c r="AJ8171">
        <v>91.640560078654701</v>
      </c>
      <c r="AK8171">
        <v>0.56356776358430705</v>
      </c>
      <c r="AL8171">
        <v>72.217883736173604</v>
      </c>
      <c r="AM8171">
        <v>93.929235006871707</v>
      </c>
      <c r="AN8171">
        <v>0.99999999392809802</v>
      </c>
    </row>
    <row r="8172" spans="1:40" x14ac:dyDescent="0.25">
      <c r="A8172" t="str">
        <f>"20190304165042870"</f>
        <v>20190304165042870</v>
      </c>
      <c r="B8172" t="str">
        <f>"1551689442863583"</f>
        <v>1551689442863583</v>
      </c>
      <c r="C8172" t="s">
        <v>40</v>
      </c>
      <c r="D8172">
        <v>5.4844790000000003</v>
      </c>
      <c r="E8172">
        <v>0.5426337</v>
      </c>
      <c r="F8172" t="s">
        <v>41</v>
      </c>
      <c r="G8172">
        <v>-146.7533</v>
      </c>
      <c r="H8172">
        <v>0.85118259999999901</v>
      </c>
      <c r="I8172">
        <v>137.9829</v>
      </c>
      <c r="J8172">
        <v>-147.35220000000001</v>
      </c>
      <c r="K8172">
        <v>1.11239</v>
      </c>
      <c r="L8172">
        <v>137.96879999999999</v>
      </c>
      <c r="M8172">
        <v>0.99973489999999998</v>
      </c>
      <c r="N8172">
        <v>-2.302624E-2</v>
      </c>
      <c r="O8172" s="1">
        <v>5.4272520000000001E-5</v>
      </c>
      <c r="P8172">
        <v>0.95794009999999996</v>
      </c>
      <c r="Q8172">
        <v>0.28035199999999999</v>
      </c>
      <c r="R8172">
        <v>6.1268169999999997E-2</v>
      </c>
      <c r="S8172">
        <v>3.5451199999999998</v>
      </c>
      <c r="T8172">
        <v>-1.391464</v>
      </c>
      <c r="U8172">
        <v>7.6690670000000002E-2</v>
      </c>
      <c r="V8172">
        <v>-6.1217679999999997E-2</v>
      </c>
      <c r="W8172">
        <v>0.30233569999999999</v>
      </c>
      <c r="X8172">
        <v>0.95123369999999996</v>
      </c>
      <c r="Y8172">
        <v>-1.9998539999999999E-2</v>
      </c>
      <c r="Z8172">
        <v>4.0035359999999898E-3</v>
      </c>
      <c r="AA8172">
        <v>0.99979200000000001</v>
      </c>
      <c r="AB8172">
        <v>8</v>
      </c>
      <c r="AC8172">
        <v>0.59890000000001398</v>
      </c>
      <c r="AD8172">
        <v>-0.26120739999999998</v>
      </c>
      <c r="AE8172">
        <v>1.41000000000133E-2</v>
      </c>
      <c r="AF8172">
        <v>-1.18202528192267E-2</v>
      </c>
      <c r="AG8172">
        <v>-0.26120739999999998</v>
      </c>
      <c r="AH8172">
        <v>0.50322834312822295</v>
      </c>
      <c r="AI8172">
        <v>117.425712280772</v>
      </c>
      <c r="AJ8172">
        <v>91.345564290160794</v>
      </c>
      <c r="AK8172">
        <v>0.56710474298761304</v>
      </c>
      <c r="AL8172">
        <v>72.402055465417604</v>
      </c>
      <c r="AM8172">
        <v>93.6822542436026</v>
      </c>
      <c r="AN8172">
        <v>1.0000000159273801</v>
      </c>
    </row>
    <row r="8173" spans="1:40" x14ac:dyDescent="0.25">
      <c r="A8173" t="str">
        <f>"20190304165042902"</f>
        <v>20190304165042902</v>
      </c>
      <c r="B8173" t="str">
        <f>"1551689442893839"</f>
        <v>1551689442893839</v>
      </c>
      <c r="C8173" t="s">
        <v>40</v>
      </c>
      <c r="D8173">
        <v>5.5952120000000001</v>
      </c>
      <c r="E8173">
        <v>0.54332550000000002</v>
      </c>
      <c r="F8173" t="s">
        <v>41</v>
      </c>
      <c r="G8173">
        <v>-146.6917</v>
      </c>
      <c r="H8173">
        <v>0.85015200000000002</v>
      </c>
      <c r="I8173">
        <v>137.98230000000001</v>
      </c>
      <c r="J8173">
        <v>-147.25489999999999</v>
      </c>
      <c r="K8173">
        <v>1.1125830000000001</v>
      </c>
      <c r="L8173">
        <v>137.96899999999999</v>
      </c>
      <c r="M8173">
        <v>0.99970429999999999</v>
      </c>
      <c r="N8173">
        <v>-2.4317189999999999E-2</v>
      </c>
      <c r="O8173">
        <v>2.8802359999999998E-4</v>
      </c>
      <c r="P8173">
        <v>0.95949410000000002</v>
      </c>
      <c r="Q8173">
        <v>0.2759625</v>
      </c>
      <c r="R8173">
        <v>5.6711890000000001E-2</v>
      </c>
      <c r="S8173">
        <v>3.5382229999999999</v>
      </c>
      <c r="T8173">
        <v>-1.404908</v>
      </c>
      <c r="U8173">
        <v>7.2830199999999998E-2</v>
      </c>
      <c r="V8173">
        <v>-5.6430399999999999E-2</v>
      </c>
      <c r="W8173">
        <v>0.2992147</v>
      </c>
      <c r="X8173">
        <v>0.95251569999999997</v>
      </c>
      <c r="Y8173">
        <v>-1.8789980000000001E-2</v>
      </c>
      <c r="Z8173">
        <v>3.727635E-3</v>
      </c>
      <c r="AA8173">
        <v>0.9998165</v>
      </c>
      <c r="AB8173">
        <v>7</v>
      </c>
      <c r="AC8173">
        <v>0.56319999999999404</v>
      </c>
      <c r="AD8173">
        <v>-0.26243100000000003</v>
      </c>
      <c r="AE8173">
        <v>1.33000000000151E-2</v>
      </c>
      <c r="AF8173">
        <v>-1.07951682500245E-2</v>
      </c>
      <c r="AG8173">
        <v>-0.26243100000000003</v>
      </c>
      <c r="AH8173">
        <v>0.46277985812206601</v>
      </c>
      <c r="AI8173">
        <v>119.549812245437</v>
      </c>
      <c r="AJ8173">
        <v>91.3362842377135</v>
      </c>
      <c r="AK8173">
        <v>0.53212006399122502</v>
      </c>
      <c r="AL8173">
        <v>72.589557569011902</v>
      </c>
      <c r="AM8173">
        <v>93.390441805150004</v>
      </c>
      <c r="AN8173">
        <v>0.99999999274336904</v>
      </c>
    </row>
    <row r="8174" spans="1:40" x14ac:dyDescent="0.25">
      <c r="A8174" t="str">
        <f>"20190304165042924"</f>
        <v>20190304165042924</v>
      </c>
      <c r="B8174" t="str">
        <f>"1551689442913359"</f>
        <v>1551689442913359</v>
      </c>
      <c r="C8174" t="s">
        <v>40</v>
      </c>
      <c r="D8174">
        <v>5.4243649999999999</v>
      </c>
      <c r="E8174">
        <v>0.54364569999999901</v>
      </c>
      <c r="F8174" t="s">
        <v>41</v>
      </c>
      <c r="G8174">
        <v>-146.57749999999999</v>
      </c>
      <c r="H8174">
        <v>0.84177519999999995</v>
      </c>
      <c r="I8174">
        <v>137.98179999999999</v>
      </c>
      <c r="J8174">
        <v>-147.19110000000001</v>
      </c>
      <c r="K8174">
        <v>1.112514</v>
      </c>
      <c r="L8174">
        <v>137.9693</v>
      </c>
      <c r="M8174">
        <v>0.99970170000000003</v>
      </c>
      <c r="N8174">
        <v>-2.4421669999999999E-2</v>
      </c>
      <c r="O8174">
        <v>4.545207E-4</v>
      </c>
      <c r="P8174">
        <v>0.95884389999999997</v>
      </c>
      <c r="Q8174">
        <v>0.2786148</v>
      </c>
      <c r="R8174">
        <v>5.4701949999999999E-2</v>
      </c>
      <c r="S8174">
        <v>3.5284270000000002</v>
      </c>
      <c r="T8174">
        <v>-1.4107000000000001</v>
      </c>
      <c r="U8174">
        <v>6.6833500000000004E-2</v>
      </c>
      <c r="V8174">
        <v>-5.426421E-2</v>
      </c>
      <c r="W8174">
        <v>0.30194939999999998</v>
      </c>
      <c r="X8174">
        <v>0.95177840000000002</v>
      </c>
      <c r="Y8174">
        <v>-1.7111009999999999E-2</v>
      </c>
      <c r="Z8174">
        <v>3.3465439999999999E-3</v>
      </c>
      <c r="AA8174">
        <v>0.99984799999999996</v>
      </c>
      <c r="AB8174">
        <v>7</v>
      </c>
      <c r="AC8174">
        <v>0.61360000000001902</v>
      </c>
      <c r="AD8174">
        <v>-0.270738799999999</v>
      </c>
      <c r="AE8174">
        <v>1.24999999999886E-2</v>
      </c>
      <c r="AF8174">
        <v>-1.02301927911528E-2</v>
      </c>
      <c r="AG8174">
        <v>-0.270738799999999</v>
      </c>
      <c r="AH8174">
        <v>0.51364803902023604</v>
      </c>
      <c r="AI8174">
        <v>117.788584656445</v>
      </c>
      <c r="AJ8174">
        <v>91.140994106690101</v>
      </c>
      <c r="AK8174">
        <v>0.58072236280284395</v>
      </c>
      <c r="AL8174">
        <v>72.425275224446906</v>
      </c>
      <c r="AM8174">
        <v>93.263099904362406</v>
      </c>
      <c r="AN8174">
        <v>1.0000000836769101</v>
      </c>
    </row>
    <row r="8175" spans="1:40" x14ac:dyDescent="0.25">
      <c r="A8175" t="str">
        <f>"20190304165042946"</f>
        <v>20190304165042946</v>
      </c>
      <c r="B8175" t="str">
        <f>"1551689442943615"</f>
        <v>1551689442943615</v>
      </c>
      <c r="C8175" t="s">
        <v>40</v>
      </c>
      <c r="D8175">
        <v>5.3981000000000003</v>
      </c>
      <c r="E8175">
        <v>0.54377159999999902</v>
      </c>
      <c r="F8175" t="s">
        <v>41</v>
      </c>
      <c r="G8175">
        <v>-146.51820000000001</v>
      </c>
      <c r="H8175">
        <v>0.84624619999999995</v>
      </c>
      <c r="I8175">
        <v>137.98070000000001</v>
      </c>
      <c r="J8175">
        <v>-147.12799999999999</v>
      </c>
      <c r="K8175">
        <v>1.1124510000000001</v>
      </c>
      <c r="L8175">
        <v>137.96950000000001</v>
      </c>
      <c r="M8175">
        <v>0.99970230000000004</v>
      </c>
      <c r="N8175">
        <v>-2.4397829999999999E-2</v>
      </c>
      <c r="O8175">
        <v>6.3205559999999995E-4</v>
      </c>
      <c r="P8175">
        <v>0.9569588</v>
      </c>
      <c r="Q8175">
        <v>0.28510249999999998</v>
      </c>
      <c r="R8175">
        <v>5.428123E-2</v>
      </c>
      <c r="S8175">
        <v>3.53125</v>
      </c>
      <c r="T8175">
        <v>-1.3971469999999999</v>
      </c>
      <c r="U8175">
        <v>6.0806270000000003E-2</v>
      </c>
      <c r="V8175">
        <v>-5.3677080000000002E-2</v>
      </c>
      <c r="W8175">
        <v>0.30836609999999998</v>
      </c>
      <c r="X8175">
        <v>0.94975220000000005</v>
      </c>
      <c r="Y8175">
        <v>-1.5389160000000001E-2</v>
      </c>
      <c r="Z8175">
        <v>2.9025180000000002E-3</v>
      </c>
      <c r="AA8175">
        <v>0.99987740000000003</v>
      </c>
      <c r="AB8175">
        <v>7</v>
      </c>
      <c r="AC8175">
        <v>0.60979999999997803</v>
      </c>
      <c r="AD8175">
        <v>-0.26620480000000002</v>
      </c>
      <c r="AE8175">
        <v>1.12000000000023E-2</v>
      </c>
      <c r="AF8175">
        <v>-9.0839092234621804E-3</v>
      </c>
      <c r="AG8175">
        <v>-0.26620480000000002</v>
      </c>
      <c r="AH8175">
        <v>0.51222468224079098</v>
      </c>
      <c r="AI8175">
        <v>117.457357624477</v>
      </c>
      <c r="AJ8175">
        <v>91.015989906889899</v>
      </c>
      <c r="AK8175">
        <v>0.57734014068527995</v>
      </c>
      <c r="AL8175">
        <v>72.039209483719802</v>
      </c>
      <c r="AM8175">
        <v>93.234740476212096</v>
      </c>
      <c r="AN8175">
        <v>1.0000000609756801</v>
      </c>
    </row>
    <row r="8176" spans="1:40" x14ac:dyDescent="0.25">
      <c r="A8176" t="str">
        <f>"20190304165042969"</f>
        <v>20190304165042969</v>
      </c>
      <c r="B8176" t="str">
        <f>"1551689442964111"</f>
        <v>1551689442964111</v>
      </c>
      <c r="C8176" t="s">
        <v>40</v>
      </c>
      <c r="D8176">
        <v>5.4122130000000004</v>
      </c>
      <c r="E8176">
        <v>0.54394670000000001</v>
      </c>
      <c r="F8176" t="s">
        <v>41</v>
      </c>
      <c r="G8176">
        <v>-146.46</v>
      </c>
      <c r="H8176">
        <v>0.85356209999999899</v>
      </c>
      <c r="I8176">
        <v>137.9795</v>
      </c>
      <c r="J8176">
        <v>-147.0667</v>
      </c>
      <c r="K8176">
        <v>1.1124849999999999</v>
      </c>
      <c r="L8176">
        <v>137.96969999999999</v>
      </c>
      <c r="M8176">
        <v>0.99969569999999996</v>
      </c>
      <c r="N8176">
        <v>-2.4658590000000001E-2</v>
      </c>
      <c r="O8176">
        <v>8.1016479999999999E-4</v>
      </c>
      <c r="P8176">
        <v>0.95564280000000001</v>
      </c>
      <c r="Q8176">
        <v>0.28945270000000001</v>
      </c>
      <c r="R8176">
        <v>5.4443329999999998E-2</v>
      </c>
      <c r="S8176">
        <v>3.5407099999999998</v>
      </c>
      <c r="T8176">
        <v>-1.3721239999999999</v>
      </c>
      <c r="U8176">
        <v>5.3024290000000002E-2</v>
      </c>
      <c r="V8176">
        <v>-5.3670669999999997E-2</v>
      </c>
      <c r="W8176">
        <v>0.31293029999999999</v>
      </c>
      <c r="X8176">
        <v>0.9482585</v>
      </c>
      <c r="Y8176">
        <v>-1.31938E-2</v>
      </c>
      <c r="Z8176">
        <v>2.3521089999999998E-3</v>
      </c>
      <c r="AA8176">
        <v>0.99991019999999997</v>
      </c>
      <c r="AB8176">
        <v>6</v>
      </c>
      <c r="AC8176">
        <v>0.60669999999998903</v>
      </c>
      <c r="AD8176">
        <v>-0.25892290000000001</v>
      </c>
      <c r="AE8176">
        <v>9.8000000000126805E-3</v>
      </c>
      <c r="AF8176">
        <v>-7.8744779787208001E-3</v>
      </c>
      <c r="AG8176">
        <v>-0.25892290000000001</v>
      </c>
      <c r="AH8176">
        <v>0.51325121876734603</v>
      </c>
      <c r="AI8176">
        <v>116.76713509633601</v>
      </c>
      <c r="AJ8176">
        <v>90.878982732569099</v>
      </c>
      <c r="AK8176">
        <v>0.57491728893295002</v>
      </c>
      <c r="AL8176">
        <v>71.764087890239395</v>
      </c>
      <c r="AM8176">
        <v>93.239438935673107</v>
      </c>
      <c r="AN8176">
        <v>1.0000000481492901</v>
      </c>
    </row>
    <row r="8177" spans="1:40" x14ac:dyDescent="0.25">
      <c r="A8177" t="str">
        <f>"20190304165042991"</f>
        <v>20190304165042991</v>
      </c>
      <c r="B8177" t="str">
        <f>"1551689442983631"</f>
        <v>1551689442983631</v>
      </c>
      <c r="C8177" t="s">
        <v>40</v>
      </c>
      <c r="D8177">
        <v>5.4053820000000004</v>
      </c>
      <c r="E8177">
        <v>0.54398849999999999</v>
      </c>
      <c r="F8177" t="s">
        <v>41</v>
      </c>
      <c r="G8177">
        <v>-146.4051</v>
      </c>
      <c r="H8177">
        <v>0.86013569999999995</v>
      </c>
      <c r="I8177">
        <v>137.97790000000001</v>
      </c>
      <c r="J8177">
        <v>-147.01320000000001</v>
      </c>
      <c r="K8177">
        <v>1.112557</v>
      </c>
      <c r="L8177">
        <v>137.9699</v>
      </c>
      <c r="M8177">
        <v>0.99968509999999999</v>
      </c>
      <c r="N8177">
        <v>-2.507591E-2</v>
      </c>
      <c r="O8177">
        <v>9.6848599999999996E-4</v>
      </c>
      <c r="P8177">
        <v>0.95548509999999998</v>
      </c>
      <c r="Q8177">
        <v>0.28988039999999998</v>
      </c>
      <c r="R8177">
        <v>5.4934749999999997E-2</v>
      </c>
      <c r="S8177">
        <v>3.5464169999999999</v>
      </c>
      <c r="T8177">
        <v>-1.3526720000000001</v>
      </c>
      <c r="U8177">
        <v>4.4601439999999999E-2</v>
      </c>
      <c r="V8177">
        <v>-5.4008880000000002E-2</v>
      </c>
      <c r="W8177">
        <v>0.31374990000000003</v>
      </c>
      <c r="X8177">
        <v>0.94796840000000004</v>
      </c>
      <c r="Y8177">
        <v>-1.085004E-2</v>
      </c>
      <c r="Z8177">
        <v>1.806579E-3</v>
      </c>
      <c r="AA8177">
        <v>0.99993949999999998</v>
      </c>
      <c r="AB8177">
        <v>6</v>
      </c>
      <c r="AC8177">
        <v>0.60810000000000697</v>
      </c>
      <c r="AD8177">
        <v>-0.25242130000000002</v>
      </c>
      <c r="AE8177">
        <v>8.0000000000097701E-3</v>
      </c>
      <c r="AF8177">
        <v>-6.3217787632147597E-3</v>
      </c>
      <c r="AG8177">
        <v>-0.25242130000000002</v>
      </c>
      <c r="AH8177">
        <v>0.51874050342117795</v>
      </c>
      <c r="AI8177">
        <v>115.94607447671</v>
      </c>
      <c r="AJ8177">
        <v>90.6982167572436</v>
      </c>
      <c r="AK8177">
        <v>0.57692996756112302</v>
      </c>
      <c r="AL8177">
        <v>71.714637549215297</v>
      </c>
      <c r="AM8177">
        <v>93.260804055397998</v>
      </c>
      <c r="AN8177">
        <v>1.0000000231337101</v>
      </c>
    </row>
    <row r="8178" spans="1:40" x14ac:dyDescent="0.25">
      <c r="A8178" t="str">
        <f>"20190304165043013"</f>
        <v>20190304165043013</v>
      </c>
      <c r="B8178" t="str">
        <f>"1551689443003150"</f>
        <v>1551689443003150</v>
      </c>
      <c r="C8178" t="s">
        <v>40</v>
      </c>
      <c r="D8178">
        <v>5.4020809999999999</v>
      </c>
      <c r="E8178">
        <v>0.54412499999999997</v>
      </c>
      <c r="F8178" t="s">
        <v>41</v>
      </c>
      <c r="G8178">
        <v>-146.35509999999999</v>
      </c>
      <c r="H8178">
        <v>0.86197579999999996</v>
      </c>
      <c r="I8178">
        <v>137.97720000000001</v>
      </c>
      <c r="J8178">
        <v>-146.96010000000001</v>
      </c>
      <c r="K8178">
        <v>1.112587</v>
      </c>
      <c r="L8178">
        <v>137.9701</v>
      </c>
      <c r="M8178">
        <v>0.99967530000000004</v>
      </c>
      <c r="N8178">
        <v>-2.5456619999999999E-2</v>
      </c>
      <c r="O8178">
        <v>1.1242610000000001E-3</v>
      </c>
      <c r="P8178">
        <v>0.95634649999999999</v>
      </c>
      <c r="Q8178">
        <v>0.28712199999999999</v>
      </c>
      <c r="R8178">
        <v>5.4431210000000001E-2</v>
      </c>
      <c r="S8178">
        <v>3.5472109999999999</v>
      </c>
      <c r="T8178">
        <v>-1.350562</v>
      </c>
      <c r="U8178">
        <v>3.9993290000000001E-2</v>
      </c>
      <c r="V8178">
        <v>-5.3352530000000002E-2</v>
      </c>
      <c r="W8178">
        <v>0.3113765</v>
      </c>
      <c r="X8178">
        <v>0.94878770000000001</v>
      </c>
      <c r="Y8178">
        <v>-9.5045779999999996E-3</v>
      </c>
      <c r="Z8178">
        <v>1.487672E-3</v>
      </c>
      <c r="AA8178">
        <v>0.99995369999999995</v>
      </c>
      <c r="AB8178">
        <v>6</v>
      </c>
      <c r="AC8178">
        <v>0.60500000000001797</v>
      </c>
      <c r="AD8178">
        <v>-0.25061119999999998</v>
      </c>
      <c r="AE8178">
        <v>7.1000000000083201E-3</v>
      </c>
      <c r="AF8178">
        <v>-5.4795025712488302E-3</v>
      </c>
      <c r="AG8178">
        <v>-0.25061119999999998</v>
      </c>
      <c r="AH8178">
        <v>0.51640946548750699</v>
      </c>
      <c r="AI8178">
        <v>115.88582447438399</v>
      </c>
      <c r="AJ8178">
        <v>90.607929580050794</v>
      </c>
      <c r="AK8178">
        <v>0.57403373991339701</v>
      </c>
      <c r="AL8178">
        <v>71.857794857481807</v>
      </c>
      <c r="AM8178">
        <v>93.218484887309799</v>
      </c>
      <c r="AN8178">
        <v>0.99999995844046896</v>
      </c>
    </row>
    <row r="8179" spans="1:40" x14ac:dyDescent="0.25">
      <c r="A8179" t="str">
        <f>"20190304165043037"</f>
        <v>20190304165043037</v>
      </c>
      <c r="B8179" t="str">
        <f>"1551689443033408"</f>
        <v>1551689443033408</v>
      </c>
      <c r="C8179" t="s">
        <v>40</v>
      </c>
      <c r="D8179">
        <v>5.412433</v>
      </c>
      <c r="E8179">
        <v>0.54412349999999998</v>
      </c>
      <c r="F8179" t="s">
        <v>41</v>
      </c>
      <c r="G8179">
        <v>-146.30799999999999</v>
      </c>
      <c r="H8179">
        <v>0.86241669999999904</v>
      </c>
      <c r="I8179">
        <v>137.97669999999999</v>
      </c>
      <c r="J8179">
        <v>-146.90790000000001</v>
      </c>
      <c r="K8179">
        <v>1.1125670000000001</v>
      </c>
      <c r="L8179">
        <v>137.97040000000001</v>
      </c>
      <c r="M8179">
        <v>0.99966889999999997</v>
      </c>
      <c r="N8179">
        <v>-2.570476E-2</v>
      </c>
      <c r="O8179">
        <v>1.2650109999999999E-3</v>
      </c>
      <c r="P8179">
        <v>0.95770699999999997</v>
      </c>
      <c r="Q8179">
        <v>0.28288940000000001</v>
      </c>
      <c r="R8179">
        <v>5.2642950000000001E-2</v>
      </c>
      <c r="S8179">
        <v>3.542923</v>
      </c>
      <c r="T8179">
        <v>-1.3591059999999999</v>
      </c>
      <c r="U8179">
        <v>3.623962E-2</v>
      </c>
      <c r="V8179">
        <v>-5.1422339999999997E-2</v>
      </c>
      <c r="W8179">
        <v>0.307417</v>
      </c>
      <c r="X8179">
        <v>0.95018449999999999</v>
      </c>
      <c r="Y8179">
        <v>-8.4012159999999995E-3</v>
      </c>
      <c r="Z8179">
        <v>1.230917E-3</v>
      </c>
      <c r="AA8179">
        <v>0.99996390000000002</v>
      </c>
      <c r="AB8179">
        <v>5</v>
      </c>
      <c r="AC8179">
        <v>0.59990000000001897</v>
      </c>
      <c r="AD8179">
        <v>-0.25015029999999999</v>
      </c>
      <c r="AE8179">
        <v>6.2999999999817603E-3</v>
      </c>
      <c r="AF8179">
        <v>-4.7202138531654402E-3</v>
      </c>
      <c r="AG8179">
        <v>-0.25015029999999999</v>
      </c>
      <c r="AH8179">
        <v>0.51105596426498001</v>
      </c>
      <c r="AI8179">
        <v>116.07973457282201</v>
      </c>
      <c r="AJ8179">
        <v>90.529180091965699</v>
      </c>
      <c r="AK8179">
        <v>0.56901287473985795</v>
      </c>
      <c r="AL8179">
        <v>72.096364823005203</v>
      </c>
      <c r="AM8179">
        <v>93.097726550465893</v>
      </c>
      <c r="AN8179">
        <v>1.0000000264901601</v>
      </c>
    </row>
    <row r="8180" spans="1:40" x14ac:dyDescent="0.25">
      <c r="A8180" t="str">
        <f>"20190304165043062"</f>
        <v>20190304165043062</v>
      </c>
      <c r="B8180" t="str">
        <f>"1551689443053904"</f>
        <v>1551689443053904</v>
      </c>
      <c r="C8180" t="s">
        <v>40</v>
      </c>
      <c r="D8180">
        <v>5.4189910000000001</v>
      </c>
      <c r="E8180">
        <v>0.54413999999999996</v>
      </c>
      <c r="F8180" t="s">
        <v>41</v>
      </c>
      <c r="G8180">
        <v>-146.22730000000001</v>
      </c>
      <c r="H8180">
        <v>0.847805699999999</v>
      </c>
      <c r="I8180">
        <v>137.97649999999999</v>
      </c>
      <c r="J8180">
        <v>-146.85390000000001</v>
      </c>
      <c r="K8180">
        <v>1.112554</v>
      </c>
      <c r="L8180">
        <v>137.97059999999999</v>
      </c>
      <c r="M8180">
        <v>0.99966259999999996</v>
      </c>
      <c r="N8180">
        <v>-2.5940640000000001E-2</v>
      </c>
      <c r="O8180">
        <v>1.3878370000000001E-3</v>
      </c>
      <c r="P8180">
        <v>0.95878549999999996</v>
      </c>
      <c r="Q8180">
        <v>0.2795472</v>
      </c>
      <c r="R8180">
        <v>5.0828970000000001E-2</v>
      </c>
      <c r="S8180">
        <v>3.5371090000000001</v>
      </c>
      <c r="T8180">
        <v>-1.375888</v>
      </c>
      <c r="U8180">
        <v>3.2394409999999998E-2</v>
      </c>
      <c r="V8180">
        <v>-4.9477930000000003E-2</v>
      </c>
      <c r="W8180">
        <v>0.30432949999999998</v>
      </c>
      <c r="X8180">
        <v>0.95128100000000004</v>
      </c>
      <c r="Y8180">
        <v>-7.28794199999999E-3</v>
      </c>
      <c r="Z8180">
        <v>9.7962570000000005E-4</v>
      </c>
      <c r="AA8180">
        <v>0.99997290000000005</v>
      </c>
      <c r="AB8180">
        <v>5</v>
      </c>
      <c r="AC8180">
        <v>0.62659999999999605</v>
      </c>
      <c r="AD8180">
        <v>-0.26474829999999999</v>
      </c>
      <c r="AE8180">
        <v>5.8999999999968999E-3</v>
      </c>
      <c r="AF8180">
        <v>-4.2681946911748703E-3</v>
      </c>
      <c r="AG8180">
        <v>-0.26474829999999999</v>
      </c>
      <c r="AH8180">
        <v>0.53169762557559397</v>
      </c>
      <c r="AI8180">
        <v>116.46936300964499</v>
      </c>
      <c r="AJ8180">
        <v>90.459931128931899</v>
      </c>
      <c r="AK8180">
        <v>0.59398000377246396</v>
      </c>
      <c r="AL8180">
        <v>72.282170890247698</v>
      </c>
      <c r="AM8180">
        <v>92.977379314013604</v>
      </c>
      <c r="AN8180">
        <v>1.0000000255441599</v>
      </c>
    </row>
    <row r="8181" spans="1:40" x14ac:dyDescent="0.25">
      <c r="A8181" t="str">
        <f>"20190304165043081"</f>
        <v>20190304165043081</v>
      </c>
      <c r="B8181" t="str">
        <f>"1551689443073423"</f>
        <v>1551689443073423</v>
      </c>
      <c r="C8181" t="s">
        <v>40</v>
      </c>
      <c r="D8181">
        <v>5.4532790000000002</v>
      </c>
      <c r="E8181">
        <v>0.54430069999999997</v>
      </c>
      <c r="F8181" t="s">
        <v>41</v>
      </c>
      <c r="G8181">
        <v>-146.18639999999999</v>
      </c>
      <c r="H8181">
        <v>0.8501725</v>
      </c>
      <c r="I8181">
        <v>137.976</v>
      </c>
      <c r="J8181">
        <v>-146.81870000000001</v>
      </c>
      <c r="K8181">
        <v>1.1125659999999999</v>
      </c>
      <c r="L8181">
        <v>137.97069999999999</v>
      </c>
      <c r="M8181">
        <v>0.99965720000000002</v>
      </c>
      <c r="N8181">
        <v>-2.6140920000000002E-2</v>
      </c>
      <c r="O8181">
        <v>1.453539E-3</v>
      </c>
      <c r="P8181">
        <v>0.95913309999999996</v>
      </c>
      <c r="Q8181">
        <v>0.27865580000000001</v>
      </c>
      <c r="R8181">
        <v>4.9138510000000003E-2</v>
      </c>
      <c r="S8181">
        <v>3.5322879999999999</v>
      </c>
      <c r="T8181">
        <v>-1.3885719999999999</v>
      </c>
      <c r="U8181">
        <v>2.867126E-2</v>
      </c>
      <c r="V8181">
        <v>-4.7715269999999997E-2</v>
      </c>
      <c r="W8181">
        <v>0.30363950000000001</v>
      </c>
      <c r="X8181">
        <v>0.95159150000000003</v>
      </c>
      <c r="Y8181">
        <v>-6.2574800000000002E-3</v>
      </c>
      <c r="Z8181">
        <v>7.5655999999999998E-4</v>
      </c>
      <c r="AA8181">
        <v>0.99998019999999999</v>
      </c>
      <c r="AB8181">
        <v>5</v>
      </c>
      <c r="AC8181">
        <v>0.63230000000001496</v>
      </c>
      <c r="AD8181">
        <v>-0.262393499999999</v>
      </c>
      <c r="AE8181">
        <v>5.3000000000054098E-3</v>
      </c>
      <c r="AF8181">
        <v>-3.73708687904436E-3</v>
      </c>
      <c r="AG8181">
        <v>-0.262393499999999</v>
      </c>
      <c r="AH8181">
        <v>0.53941978110272004</v>
      </c>
      <c r="AI8181">
        <v>115.939441225046</v>
      </c>
      <c r="AJ8181">
        <v>90.396937390431802</v>
      </c>
      <c r="AK8181">
        <v>0.59986499723312503</v>
      </c>
      <c r="AL8181">
        <v>72.323669009699799</v>
      </c>
      <c r="AM8181">
        <v>92.870555054253401</v>
      </c>
      <c r="AN8181">
        <v>1.0000000379118299</v>
      </c>
    </row>
    <row r="8182" spans="1:40" x14ac:dyDescent="0.25">
      <c r="A8182" t="str">
        <f>"20190304165043102"</f>
        <v>20190304165043102</v>
      </c>
      <c r="B8182" t="str">
        <f>"1551689443093919"</f>
        <v>1551689443093919</v>
      </c>
      <c r="C8182" t="s">
        <v>40</v>
      </c>
      <c r="D8182">
        <v>5.4400199999999996</v>
      </c>
      <c r="E8182">
        <v>0.544257199999999</v>
      </c>
      <c r="F8182" t="s">
        <v>41</v>
      </c>
      <c r="G8182">
        <v>-146.14949999999999</v>
      </c>
      <c r="H8182">
        <v>0.84957919999999998</v>
      </c>
      <c r="I8182">
        <v>137.97479999999999</v>
      </c>
      <c r="J8182">
        <v>-146.7783</v>
      </c>
      <c r="K8182">
        <v>1.112601</v>
      </c>
      <c r="L8182">
        <v>137.9708</v>
      </c>
      <c r="M8182">
        <v>0.99964989999999998</v>
      </c>
      <c r="N8182">
        <v>-2.6419769999999999E-2</v>
      </c>
      <c r="O8182">
        <v>1.5068169999999999E-3</v>
      </c>
      <c r="P8182">
        <v>0.95841330000000002</v>
      </c>
      <c r="Q8182">
        <v>0.2812731</v>
      </c>
      <c r="R8182">
        <v>4.8265700000000002E-2</v>
      </c>
      <c r="S8182">
        <v>3.5297089999999902</v>
      </c>
      <c r="T8182">
        <v>-1.3871549999999999</v>
      </c>
      <c r="U8182">
        <v>2.191162E-2</v>
      </c>
      <c r="V8182">
        <v>-4.6780790000000003E-2</v>
      </c>
      <c r="W8182">
        <v>0.306504</v>
      </c>
      <c r="X8182">
        <v>0.95071910000000004</v>
      </c>
      <c r="Y8182">
        <v>-4.4431690000000003E-3</v>
      </c>
      <c r="Z8182">
        <v>3.7026419999999999E-4</v>
      </c>
      <c r="AA8182">
        <v>0.99999000000000005</v>
      </c>
      <c r="AB8182">
        <v>4</v>
      </c>
      <c r="AC8182">
        <v>0.62880000000001202</v>
      </c>
      <c r="AD8182">
        <v>-0.26302179999999997</v>
      </c>
      <c r="AE8182">
        <v>3.9999999999906699E-3</v>
      </c>
      <c r="AF8182">
        <v>-2.59768502244809E-3</v>
      </c>
      <c r="AG8182">
        <v>-0.26302179999999997</v>
      </c>
      <c r="AH8182">
        <v>0.53517129635184502</v>
      </c>
      <c r="AI8182">
        <v>116.172565398619</v>
      </c>
      <c r="AJ8182">
        <v>90.278107627272703</v>
      </c>
      <c r="AK8182">
        <v>0.59631831405854896</v>
      </c>
      <c r="AL8182">
        <v>72.151328501735506</v>
      </c>
      <c r="AM8182">
        <v>92.817006360619899</v>
      </c>
      <c r="AN8182">
        <v>0.99999997571691601</v>
      </c>
    </row>
    <row r="8183" spans="1:40" x14ac:dyDescent="0.25">
      <c r="A8183" t="str">
        <f>"20190304165043125"</f>
        <v>20190304165043125</v>
      </c>
      <c r="B8183" t="str">
        <f>"1551689443113439"</f>
        <v>1551689443113439</v>
      </c>
      <c r="C8183" t="s">
        <v>40</v>
      </c>
      <c r="D8183">
        <v>5.5472919999999997</v>
      </c>
      <c r="E8183">
        <v>0.54431419999999997</v>
      </c>
      <c r="F8183" t="s">
        <v>41</v>
      </c>
      <c r="G8183">
        <v>-146.11320000000001</v>
      </c>
      <c r="H8183">
        <v>0.85321499999999995</v>
      </c>
      <c r="I8183">
        <v>137.9743</v>
      </c>
      <c r="J8183">
        <v>-146.74100000000001</v>
      </c>
      <c r="K8183">
        <v>1.1126389999999999</v>
      </c>
      <c r="L8183">
        <v>137.9709</v>
      </c>
      <c r="M8183">
        <v>0.99964229999999998</v>
      </c>
      <c r="N8183">
        <v>-2.6697200000000001E-2</v>
      </c>
      <c r="O8183">
        <v>1.527229E-3</v>
      </c>
      <c r="P8183">
        <v>0.95758149999999997</v>
      </c>
      <c r="Q8183">
        <v>0.28412959999999998</v>
      </c>
      <c r="R8183">
        <v>4.8042359999999999E-2</v>
      </c>
      <c r="S8183">
        <v>3.5336609999999999</v>
      </c>
      <c r="T8183">
        <v>-1.378109</v>
      </c>
      <c r="U8183">
        <v>1.8722530000000001E-2</v>
      </c>
      <c r="V8183">
        <v>-4.6529040000000001E-2</v>
      </c>
      <c r="W8183">
        <v>0.3096024</v>
      </c>
      <c r="X8183">
        <v>0.94972699999999999</v>
      </c>
      <c r="Y8183">
        <v>-3.5853230000000001E-3</v>
      </c>
      <c r="Z8183">
        <v>1.8897679999999999E-4</v>
      </c>
      <c r="AA8183">
        <v>0.99999360000000004</v>
      </c>
      <c r="AB8183">
        <v>4</v>
      </c>
      <c r="AC8183">
        <v>0.62780000000000702</v>
      </c>
      <c r="AD8183">
        <v>-0.25942399999999999</v>
      </c>
      <c r="AE8183">
        <v>3.3999999999991802E-3</v>
      </c>
      <c r="AF8183">
        <v>-2.0848654576363099E-3</v>
      </c>
      <c r="AG8183">
        <v>-0.25942399999999999</v>
      </c>
      <c r="AH8183">
        <v>0.53624050392630396</v>
      </c>
      <c r="AI8183">
        <v>115.81673464053</v>
      </c>
      <c r="AJ8183">
        <v>90.222760848569195</v>
      </c>
      <c r="AK8183">
        <v>0.59570045869640897</v>
      </c>
      <c r="AL8183">
        <v>71.964728830779606</v>
      </c>
      <c r="AM8183">
        <v>92.804793120315793</v>
      </c>
      <c r="AN8183">
        <v>0.99999998608903995</v>
      </c>
    </row>
    <row r="8184" spans="1:40" x14ac:dyDescent="0.25">
      <c r="A8184" t="str">
        <f>"20190304165043148"</f>
        <v>20190304165043148</v>
      </c>
      <c r="B8184" t="str">
        <f>"1551689443143699"</f>
        <v>1551689443143699</v>
      </c>
      <c r="C8184" t="s">
        <v>40</v>
      </c>
      <c r="D8184">
        <v>5.4449550000000002</v>
      </c>
      <c r="E8184">
        <v>0.56096299999999999</v>
      </c>
      <c r="F8184" t="s">
        <v>41</v>
      </c>
      <c r="G8184">
        <v>-146.07939999999999</v>
      </c>
      <c r="H8184">
        <v>0.85707459999999902</v>
      </c>
      <c r="I8184">
        <v>137.97409999999999</v>
      </c>
      <c r="J8184">
        <v>-146.7062</v>
      </c>
      <c r="K8184">
        <v>1.1126830000000001</v>
      </c>
      <c r="L8184">
        <v>137.971</v>
      </c>
      <c r="M8184">
        <v>0.99963539999999995</v>
      </c>
      <c r="N8184">
        <v>-2.696202E-2</v>
      </c>
      <c r="O8184">
        <v>1.514877E-3</v>
      </c>
      <c r="P8184">
        <v>0.95634129999999995</v>
      </c>
      <c r="Q8184">
        <v>0.28820359999999901</v>
      </c>
      <c r="R8184">
        <v>4.8479660000000001E-2</v>
      </c>
      <c r="S8184">
        <v>3.5375209999999999</v>
      </c>
      <c r="T8184">
        <v>-1.366568</v>
      </c>
      <c r="U8184">
        <v>1.7105099999999901E-2</v>
      </c>
      <c r="V8184">
        <v>-4.6970650000000003E-2</v>
      </c>
      <c r="W8184">
        <v>0.31389479999999997</v>
      </c>
      <c r="X8184">
        <v>0.9482952</v>
      </c>
      <c r="Y8184">
        <v>-3.1688969999999999E-3</v>
      </c>
      <c r="Z8184">
        <v>1.0979739999999999E-4</v>
      </c>
      <c r="AA8184">
        <v>0.99999499999999997</v>
      </c>
      <c r="AB8184">
        <v>4</v>
      </c>
      <c r="AC8184">
        <v>0.62680000000000202</v>
      </c>
      <c r="AD8184">
        <v>-0.25560840000000001</v>
      </c>
      <c r="AE8184">
        <v>3.0999999999892199E-3</v>
      </c>
      <c r="AF8184">
        <v>-1.8435512218912E-3</v>
      </c>
      <c r="AG8184">
        <v>-0.25560840000000001</v>
      </c>
      <c r="AH8184">
        <v>0.53743133011492195</v>
      </c>
      <c r="AI8184">
        <v>115.436156590322</v>
      </c>
      <c r="AJ8184">
        <v>90.196540998093695</v>
      </c>
      <c r="AK8184">
        <v>0.59512308594169105</v>
      </c>
      <c r="AL8184">
        <v>71.705892978337303</v>
      </c>
      <c r="AM8184">
        <v>92.835638493298504</v>
      </c>
      <c r="AN8184">
        <v>0.99999998688575098</v>
      </c>
    </row>
    <row r="8185" spans="1:40" x14ac:dyDescent="0.25">
      <c r="A8185" t="str">
        <f>"20190304165043171"</f>
        <v>20190304165043171</v>
      </c>
      <c r="B8185" t="str">
        <f>"1551689443163215"</f>
        <v>1551689443163215</v>
      </c>
      <c r="C8185" t="s">
        <v>40</v>
      </c>
      <c r="D8185">
        <v>5.4489150000000004</v>
      </c>
      <c r="E8185">
        <v>0.55471899999999996</v>
      </c>
      <c r="F8185" t="s">
        <v>41</v>
      </c>
      <c r="G8185">
        <v>-146.02930000000001</v>
      </c>
      <c r="H8185">
        <v>0.90618010000000004</v>
      </c>
      <c r="I8185">
        <v>137.9427</v>
      </c>
      <c r="J8185">
        <v>-146.67449999999999</v>
      </c>
      <c r="K8185">
        <v>1.1127279999999999</v>
      </c>
      <c r="L8185">
        <v>137.971</v>
      </c>
      <c r="M8185">
        <v>0.99962839999999997</v>
      </c>
      <c r="N8185">
        <v>-2.7222710000000001E-2</v>
      </c>
      <c r="O8185">
        <v>1.473128E-3</v>
      </c>
      <c r="P8185">
        <v>0.95545080000000004</v>
      </c>
      <c r="Q8185">
        <v>0.29088309999999901</v>
      </c>
      <c r="R8185">
        <v>5.000806E-2</v>
      </c>
      <c r="S8185">
        <v>3.4626160000000001</v>
      </c>
      <c r="T8185">
        <v>-1.0562469999999999</v>
      </c>
      <c r="U8185">
        <v>-0.14457700000000001</v>
      </c>
      <c r="V8185">
        <v>-4.8532810000000003E-2</v>
      </c>
      <c r="W8185">
        <v>0.31679760000000001</v>
      </c>
      <c r="X8185">
        <v>0.9472507</v>
      </c>
      <c r="Y8185">
        <v>4.1093270000000001E-2</v>
      </c>
      <c r="Z8185">
        <v>-7.0989109999999899E-3</v>
      </c>
      <c r="AA8185">
        <v>0.99913010000000002</v>
      </c>
      <c r="AB8185">
        <v>4</v>
      </c>
      <c r="AC8185">
        <v>0.64519999999998801</v>
      </c>
      <c r="AD8185">
        <v>-0.20654790000000001</v>
      </c>
      <c r="AE8185">
        <v>-2.8300000000001501E-2</v>
      </c>
      <c r="AF8185">
        <v>2.6536463111058201E-2</v>
      </c>
      <c r="AG8185">
        <v>-0.20654790000000001</v>
      </c>
      <c r="AH8185">
        <v>0.58529032431490702</v>
      </c>
      <c r="AI8185">
        <v>109.419390949006</v>
      </c>
      <c r="AJ8185">
        <v>87.404045904861306</v>
      </c>
      <c r="AK8185">
        <v>0.62123343648382601</v>
      </c>
      <c r="AL8185">
        <v>71.530632973192596</v>
      </c>
      <c r="AM8185">
        <v>92.933010032154897</v>
      </c>
      <c r="AN8185">
        <v>1.00000002083137</v>
      </c>
    </row>
    <row r="8186" spans="1:40" x14ac:dyDescent="0.25">
      <c r="A8186" t="str">
        <f>"20190304165043193"</f>
        <v>20190304165043193</v>
      </c>
      <c r="B8186" t="str">
        <f>"1551689443183711"</f>
        <v>1551689443183711</v>
      </c>
      <c r="C8186" t="s">
        <v>40</v>
      </c>
      <c r="D8186">
        <v>5.540915</v>
      </c>
      <c r="E8186">
        <v>0.55051049999999901</v>
      </c>
      <c r="F8186" t="s">
        <v>41</v>
      </c>
      <c r="G8186">
        <v>-146.00829999999999</v>
      </c>
      <c r="H8186">
        <v>0.89194660000000003</v>
      </c>
      <c r="I8186">
        <v>137.9556</v>
      </c>
      <c r="J8186">
        <v>-146.6473</v>
      </c>
      <c r="K8186">
        <v>1.112773</v>
      </c>
      <c r="L8186">
        <v>137.971</v>
      </c>
      <c r="M8186">
        <v>0.9996216</v>
      </c>
      <c r="N8186">
        <v>-2.7477910000000001E-2</v>
      </c>
      <c r="O8186">
        <v>1.4100229999999901E-3</v>
      </c>
      <c r="P8186">
        <v>0.95422050000000003</v>
      </c>
      <c r="Q8186">
        <v>0.29454049999999998</v>
      </c>
      <c r="R8186">
        <v>5.2050649999999997E-2</v>
      </c>
      <c r="S8186">
        <v>3.4968409999999999</v>
      </c>
      <c r="T8186">
        <v>-1.1587160000000001</v>
      </c>
      <c r="U8186">
        <v>-7.9925540000000003E-2</v>
      </c>
      <c r="V8186">
        <v>-5.0632629999999998E-2</v>
      </c>
      <c r="W8186">
        <v>0.32066289999999997</v>
      </c>
      <c r="X8186">
        <v>0.94583910000000004</v>
      </c>
      <c r="Y8186">
        <v>2.2868119999999999E-2</v>
      </c>
      <c r="Z8186">
        <v>-4.4300600000000004E-3</v>
      </c>
      <c r="AA8186">
        <v>0.99972870000000003</v>
      </c>
      <c r="AB8186">
        <v>3</v>
      </c>
      <c r="AC8186">
        <v>0.63900000000001</v>
      </c>
      <c r="AD8186">
        <v>-0.22082640000000001</v>
      </c>
      <c r="AE8186">
        <v>-1.53999999999996E-2</v>
      </c>
      <c r="AF8186">
        <v>1.4563118596053699E-2</v>
      </c>
      <c r="AG8186">
        <v>-0.22082640000000001</v>
      </c>
      <c r="AH8186">
        <v>0.57084344862678804</v>
      </c>
      <c r="AI8186">
        <v>111.142308041904</v>
      </c>
      <c r="AJ8186">
        <v>88.538611097094005</v>
      </c>
      <c r="AK8186">
        <v>0.61224066036186098</v>
      </c>
      <c r="AL8186">
        <v>71.2969806327188</v>
      </c>
      <c r="AM8186">
        <v>93.064231136799094</v>
      </c>
      <c r="AN8186">
        <v>0.99999998087296804</v>
      </c>
    </row>
    <row r="8187" spans="1:40" x14ac:dyDescent="0.25">
      <c r="A8187" t="str">
        <f>"20190304165043214"</f>
        <v>20190304165043214</v>
      </c>
      <c r="B8187" t="str">
        <f>"1551689443203231"</f>
        <v>1551689443203231</v>
      </c>
      <c r="C8187" t="s">
        <v>40</v>
      </c>
      <c r="D8187">
        <v>5.7434779999999996</v>
      </c>
      <c r="E8187">
        <v>0.54753130000000005</v>
      </c>
      <c r="F8187" t="s">
        <v>41</v>
      </c>
      <c r="G8187">
        <v>-145.98689999999999</v>
      </c>
      <c r="H8187">
        <v>0.88490059999999904</v>
      </c>
      <c r="I8187">
        <v>137.96420000000001</v>
      </c>
      <c r="J8187">
        <v>-146.62389999999999</v>
      </c>
      <c r="K8187">
        <v>1.1128279999999999</v>
      </c>
      <c r="L8187">
        <v>137.9709</v>
      </c>
      <c r="M8187">
        <v>0.99961440000000001</v>
      </c>
      <c r="N8187">
        <v>-2.773875E-2</v>
      </c>
      <c r="O8187">
        <v>1.330945E-3</v>
      </c>
      <c r="P8187">
        <v>0.95281300000000002</v>
      </c>
      <c r="Q8187">
        <v>0.29872480000000001</v>
      </c>
      <c r="R8187">
        <v>5.3956030000000002E-2</v>
      </c>
      <c r="S8187">
        <v>3.5208740000000001</v>
      </c>
      <c r="T8187">
        <v>-1.21489</v>
      </c>
      <c r="U8187">
        <v>-3.5766600000000003E-2</v>
      </c>
      <c r="V8187">
        <v>-5.261482E-2</v>
      </c>
      <c r="W8187">
        <v>0.3250535</v>
      </c>
      <c r="X8187">
        <v>0.94423089999999998</v>
      </c>
      <c r="Y8187">
        <v>1.074931E-2</v>
      </c>
      <c r="Z8187">
        <v>-2.3663830000000001E-3</v>
      </c>
      <c r="AA8187">
        <v>0.99993940000000003</v>
      </c>
      <c r="AB8187">
        <v>3</v>
      </c>
      <c r="AC8187">
        <v>0.63700000000000001</v>
      </c>
      <c r="AD8187">
        <v>-0.2279274</v>
      </c>
      <c r="AE8187">
        <v>-6.6999999999950398E-3</v>
      </c>
      <c r="AF8187">
        <v>6.6915084052670297E-3</v>
      </c>
      <c r="AG8187">
        <v>-0.2279274</v>
      </c>
      <c r="AH8187">
        <v>0.56469961093217103</v>
      </c>
      <c r="AI8187">
        <v>111.97888398009199</v>
      </c>
      <c r="AJ8187">
        <v>89.321095252248099</v>
      </c>
      <c r="AK8187">
        <v>0.60900026809718499</v>
      </c>
      <c r="AL8187">
        <v>71.031184582220902</v>
      </c>
      <c r="AM8187">
        <v>93.189360590277602</v>
      </c>
      <c r="AN8187">
        <v>1.0000000448303401</v>
      </c>
    </row>
    <row r="8188" spans="1:40" x14ac:dyDescent="0.25">
      <c r="A8188" t="str">
        <f>"20190304165043238"</f>
        <v>20190304165043238</v>
      </c>
      <c r="B8188" t="str">
        <f>"1551689443233488"</f>
        <v>1551689443233488</v>
      </c>
      <c r="C8188" t="s">
        <v>40</v>
      </c>
      <c r="D8188">
        <v>5.453341</v>
      </c>
      <c r="E8188">
        <v>0.54566369999999997</v>
      </c>
      <c r="F8188" t="s">
        <v>41</v>
      </c>
      <c r="G8188">
        <v>-145.96719999999999</v>
      </c>
      <c r="H8188">
        <v>0.88046380000000002</v>
      </c>
      <c r="I8188">
        <v>137.971</v>
      </c>
      <c r="J8188">
        <v>-146.6026</v>
      </c>
      <c r="K8188">
        <v>1.1128739999999999</v>
      </c>
      <c r="L8188">
        <v>137.9708</v>
      </c>
      <c r="M8188">
        <v>0.99960629999999995</v>
      </c>
      <c r="N8188">
        <v>-2.8028850000000001E-2</v>
      </c>
      <c r="O8188">
        <v>1.2357749999999999E-3</v>
      </c>
      <c r="P8188">
        <v>0.95189460000000004</v>
      </c>
      <c r="Q8188">
        <v>0.3013439</v>
      </c>
      <c r="R8188">
        <v>5.5572759999999999E-2</v>
      </c>
      <c r="S8188">
        <v>3.5413510000000001</v>
      </c>
      <c r="T8188">
        <v>-1.253012</v>
      </c>
      <c r="U8188">
        <v>1.0986329999999999E-3</v>
      </c>
      <c r="V8188">
        <v>-5.4327250000000001E-2</v>
      </c>
      <c r="W8188">
        <v>0.32791959999999998</v>
      </c>
      <c r="X8188">
        <v>0.94314219999999904</v>
      </c>
      <c r="Y8188">
        <v>8.0910339999999996E-4</v>
      </c>
      <c r="Z8188">
        <v>-5.4127590000000001E-4</v>
      </c>
      <c r="AA8188">
        <v>0.99999950000000004</v>
      </c>
      <c r="AB8188">
        <v>3</v>
      </c>
      <c r="AC8188">
        <v>0.63540000000000396</v>
      </c>
      <c r="AD8188">
        <v>-0.23241019999999901</v>
      </c>
      <c r="AE8188">
        <v>2.0000000000663901E-4</v>
      </c>
      <c r="AF8188">
        <v>5.1642850954362895E-4</v>
      </c>
      <c r="AG8188">
        <v>-0.23241019999999901</v>
      </c>
      <c r="AH8188">
        <v>0.56042221178460006</v>
      </c>
      <c r="AI8188">
        <v>112.52404772740999</v>
      </c>
      <c r="AJ8188">
        <v>89.947202011234396</v>
      </c>
      <c r="AK8188">
        <v>0.60670241735466102</v>
      </c>
      <c r="AL8188">
        <v>70.857447012502703</v>
      </c>
      <c r="AM8188">
        <v>93.296731147399399</v>
      </c>
      <c r="AN8188">
        <v>0.99999996178878003</v>
      </c>
    </row>
    <row r="8189" spans="1:40" x14ac:dyDescent="0.25">
      <c r="A8189" t="str">
        <f>"20190304165043261"</f>
        <v>20190304165043261</v>
      </c>
      <c r="B8189" t="str">
        <f>"1551689443253986"</f>
        <v>1551689443253986</v>
      </c>
      <c r="C8189" t="s">
        <v>40</v>
      </c>
      <c r="D8189">
        <v>5.488194</v>
      </c>
      <c r="E8189">
        <v>0.54531600000000002</v>
      </c>
      <c r="F8189" t="s">
        <v>41</v>
      </c>
      <c r="G8189">
        <v>-145.93610000000001</v>
      </c>
      <c r="H8189">
        <v>0.87287760000000003</v>
      </c>
      <c r="I8189">
        <v>137.97649999999999</v>
      </c>
      <c r="J8189">
        <v>-146.58500000000001</v>
      </c>
      <c r="K8189">
        <v>1.1129089999999999</v>
      </c>
      <c r="L8189">
        <v>137.97069999999999</v>
      </c>
      <c r="M8189">
        <v>0.99959909999999996</v>
      </c>
      <c r="N8189">
        <v>-2.8292350000000001E-2</v>
      </c>
      <c r="O8189">
        <v>1.143451E-3</v>
      </c>
      <c r="P8189">
        <v>0.95190520000000001</v>
      </c>
      <c r="Q8189">
        <v>0.30099029999999999</v>
      </c>
      <c r="R8189">
        <v>5.728507E-2</v>
      </c>
      <c r="S8189">
        <v>3.555069</v>
      </c>
      <c r="T8189">
        <v>-1.2800419999999999</v>
      </c>
      <c r="U8189">
        <v>3.024292E-2</v>
      </c>
      <c r="V8189">
        <v>-5.6136779999999997E-2</v>
      </c>
      <c r="W8189">
        <v>0.32781320000000003</v>
      </c>
      <c r="X8189">
        <v>0.94307319999999994</v>
      </c>
      <c r="Y8189">
        <v>-6.9504369999999899E-3</v>
      </c>
      <c r="Z8189">
        <v>9.470263E-4</v>
      </c>
      <c r="AA8189">
        <v>0.99997539999999996</v>
      </c>
      <c r="AB8189">
        <v>2</v>
      </c>
      <c r="AC8189">
        <v>0.64889999999999703</v>
      </c>
      <c r="AD8189">
        <v>-0.24003139999999901</v>
      </c>
      <c r="AE8189">
        <v>5.7999999999935803E-3</v>
      </c>
      <c r="AF8189">
        <v>-4.4490059640455099E-3</v>
      </c>
      <c r="AG8189">
        <v>-0.24003139999999901</v>
      </c>
      <c r="AH8189">
        <v>0.57080881566824704</v>
      </c>
      <c r="AI8189">
        <v>112.80666846158999</v>
      </c>
      <c r="AJ8189">
        <v>90.446566514157695</v>
      </c>
      <c r="AK8189">
        <v>0.61923950995121002</v>
      </c>
      <c r="AL8189">
        <v>70.863899670415705</v>
      </c>
      <c r="AM8189">
        <v>93.406532777367005</v>
      </c>
      <c r="AN8189">
        <v>0.99999994636062195</v>
      </c>
    </row>
    <row r="8190" spans="1:40" x14ac:dyDescent="0.25">
      <c r="A8190" t="str">
        <f>"20190304165043283"</f>
        <v>20190304165043283</v>
      </c>
      <c r="B8190" t="str">
        <f>"1551689443273503"</f>
        <v>1551689443273503</v>
      </c>
      <c r="C8190" t="s">
        <v>40</v>
      </c>
      <c r="D8190">
        <v>5.6800829999999998</v>
      </c>
      <c r="E8190">
        <v>0.54472390000000004</v>
      </c>
      <c r="F8190" t="s">
        <v>41</v>
      </c>
      <c r="G8190">
        <v>-145.92250000000001</v>
      </c>
      <c r="H8190">
        <v>0.87376319999999996</v>
      </c>
      <c r="I8190">
        <v>137.9785</v>
      </c>
      <c r="J8190">
        <v>-146.57159999999999</v>
      </c>
      <c r="K8190">
        <v>1.1129089999999999</v>
      </c>
      <c r="L8190">
        <v>137.97059999999999</v>
      </c>
      <c r="M8190">
        <v>0.99959509999999996</v>
      </c>
      <c r="N8190">
        <v>-2.8435080000000001E-2</v>
      </c>
      <c r="O8190">
        <v>1.06981E-3</v>
      </c>
      <c r="P8190">
        <v>0.95264590000000005</v>
      </c>
      <c r="Q8190">
        <v>0.29837219999999998</v>
      </c>
      <c r="R8190">
        <v>5.8649850000000003E-2</v>
      </c>
      <c r="S8190">
        <v>3.5547179999999998</v>
      </c>
      <c r="T8190">
        <v>-1.283004</v>
      </c>
      <c r="U8190">
        <v>4.1839599999999998E-2</v>
      </c>
      <c r="V8190">
        <v>-5.7583040000000002E-2</v>
      </c>
      <c r="W8190">
        <v>0.32535069999999999</v>
      </c>
      <c r="X8190">
        <v>0.94383850000000002</v>
      </c>
      <c r="Y8190">
        <v>-1.00675E-2</v>
      </c>
      <c r="Z8190">
        <v>1.5643600000000001E-3</v>
      </c>
      <c r="AA8190">
        <v>0.99994810000000001</v>
      </c>
      <c r="AB8190">
        <v>2</v>
      </c>
      <c r="AC8190">
        <v>0.64909999999997503</v>
      </c>
      <c r="AD8190">
        <v>-0.23914579999999999</v>
      </c>
      <c r="AE8190">
        <v>7.9000000000064505E-3</v>
      </c>
      <c r="AF8190">
        <v>-6.34426846037414E-3</v>
      </c>
      <c r="AG8190">
        <v>-0.23914579999999999</v>
      </c>
      <c r="AH8190">
        <v>0.57153975731109097</v>
      </c>
      <c r="AI8190">
        <v>112.704334785084</v>
      </c>
      <c r="AJ8190">
        <v>90.635974791885502</v>
      </c>
      <c r="AK8190">
        <v>0.61958748985688705</v>
      </c>
      <c r="AL8190">
        <v>71.013176595824305</v>
      </c>
      <c r="AM8190">
        <v>93.491254943031294</v>
      </c>
      <c r="AN8190">
        <v>0.99999999928419003</v>
      </c>
    </row>
    <row r="8191" spans="1:40" x14ac:dyDescent="0.25">
      <c r="A8191" t="str">
        <f>"20190304165043304"</f>
        <v>20190304165043304</v>
      </c>
      <c r="B8191" t="str">
        <f>"1551689443293999"</f>
        <v>1551689443293999</v>
      </c>
      <c r="C8191" t="s">
        <v>40</v>
      </c>
      <c r="D8191">
        <v>5.7390019999999904</v>
      </c>
      <c r="E8191">
        <v>0.5348115</v>
      </c>
      <c r="F8191" t="s">
        <v>41</v>
      </c>
      <c r="G8191">
        <v>-145.91229999999999</v>
      </c>
      <c r="H8191">
        <v>0.87202809999999897</v>
      </c>
      <c r="I8191">
        <v>137.98050000000001</v>
      </c>
      <c r="J8191">
        <v>-146.56100000000001</v>
      </c>
      <c r="K8191">
        <v>1.112876</v>
      </c>
      <c r="L8191">
        <v>137.97049999999999</v>
      </c>
      <c r="M8191">
        <v>0.99959620000000005</v>
      </c>
      <c r="N8191">
        <v>-2.8398550000000002E-2</v>
      </c>
      <c r="O8191">
        <v>1.012541E-3</v>
      </c>
      <c r="P8191">
        <v>0.95364340000000003</v>
      </c>
      <c r="Q8191">
        <v>0.29500859999999901</v>
      </c>
      <c r="R8191">
        <v>5.944965E-2</v>
      </c>
      <c r="S8191">
        <v>3.5523220000000002</v>
      </c>
      <c r="T8191">
        <v>-1.297857</v>
      </c>
      <c r="U8191">
        <v>5.3527829999999998E-2</v>
      </c>
      <c r="V8191">
        <v>-5.8450370000000001E-2</v>
      </c>
      <c r="W8191">
        <v>0.32197959999999998</v>
      </c>
      <c r="X8191">
        <v>0.94494060000000002</v>
      </c>
      <c r="Y8191">
        <v>-1.3186430000000001E-2</v>
      </c>
      <c r="Z8191">
        <v>2.1965420000000001E-3</v>
      </c>
      <c r="AA8191">
        <v>0.99991070000000004</v>
      </c>
      <c r="AB8191">
        <v>1</v>
      </c>
      <c r="AC8191">
        <v>0.64870000000001904</v>
      </c>
      <c r="AD8191">
        <v>-0.2408479</v>
      </c>
      <c r="AE8191">
        <v>1.0000000000019301E-2</v>
      </c>
      <c r="AF8191">
        <v>-8.2112637646937995E-3</v>
      </c>
      <c r="AG8191">
        <v>-0.2408479</v>
      </c>
      <c r="AH8191">
        <v>0.57013672094245404</v>
      </c>
      <c r="AI8191">
        <v>112.89895489859801</v>
      </c>
      <c r="AJ8191">
        <v>90.825132316083</v>
      </c>
      <c r="AK8191">
        <v>0.61897578010293497</v>
      </c>
      <c r="AL8191">
        <v>71.217315422088703</v>
      </c>
      <c r="AM8191">
        <v>93.539585503079707</v>
      </c>
      <c r="AN8191">
        <v>1.00000002304882</v>
      </c>
    </row>
    <row r="8192" spans="1:40" x14ac:dyDescent="0.25">
      <c r="A8192" t="str">
        <f>"20190304165043327"</f>
        <v>20190304165043327</v>
      </c>
      <c r="B8192" t="str">
        <f>"1551689443323279"</f>
        <v>1551689443323279</v>
      </c>
      <c r="C8192" t="s">
        <v>40</v>
      </c>
      <c r="D8192">
        <v>5.4614890000000003</v>
      </c>
      <c r="E8192">
        <v>0.51905859999999904</v>
      </c>
      <c r="F8192" t="s">
        <v>41</v>
      </c>
      <c r="G8192">
        <v>-145.87379999999999</v>
      </c>
      <c r="H8192">
        <v>0.93600760000000005</v>
      </c>
      <c r="I8192">
        <v>137.98869999999999</v>
      </c>
      <c r="J8192">
        <v>-146.55199999999999</v>
      </c>
      <c r="K8192">
        <v>1.112795</v>
      </c>
      <c r="L8192">
        <v>137.97049999999999</v>
      </c>
      <c r="M8192">
        <v>0.99960400000000005</v>
      </c>
      <c r="N8192">
        <v>-2.812338E-2</v>
      </c>
      <c r="O8192">
        <v>9.6722590000000003E-4</v>
      </c>
      <c r="P8192">
        <v>0.95449439999999997</v>
      </c>
      <c r="Q8192">
        <v>0.29205740000000002</v>
      </c>
      <c r="R8192">
        <v>6.0359929999999999E-2</v>
      </c>
      <c r="S8192">
        <v>3.41188</v>
      </c>
      <c r="T8192">
        <v>-0.87817690000000004</v>
      </c>
      <c r="U8192">
        <v>8.9950559999999999E-2</v>
      </c>
      <c r="V8192">
        <v>-5.9418220000000001E-2</v>
      </c>
      <c r="W8192">
        <v>0.31879059999999998</v>
      </c>
      <c r="X8192">
        <v>0.94596089999999999</v>
      </c>
      <c r="Y8192">
        <v>-2.4523389999999999E-2</v>
      </c>
      <c r="Z8192">
        <v>3.2379069999999999E-3</v>
      </c>
      <c r="AA8192">
        <v>0.99969399999999997</v>
      </c>
      <c r="AB8192">
        <v>1</v>
      </c>
      <c r="AC8192">
        <v>0.678200000000032</v>
      </c>
      <c r="AD8192">
        <v>-0.17678740000000001</v>
      </c>
      <c r="AE8192">
        <v>1.8200000000007301E-2</v>
      </c>
      <c r="AF8192">
        <v>-1.6428268035777599E-2</v>
      </c>
      <c r="AG8192">
        <v>-0.17678740000000001</v>
      </c>
      <c r="AH8192">
        <v>0.63509395429242299</v>
      </c>
      <c r="AI8192">
        <v>105.55034736069599</v>
      </c>
      <c r="AJ8192">
        <v>91.481765899918301</v>
      </c>
      <c r="AK8192">
        <v>0.65944522408476203</v>
      </c>
      <c r="AL8192">
        <v>71.410198697521693</v>
      </c>
      <c r="AM8192">
        <v>93.594172364531104</v>
      </c>
      <c r="AN8192">
        <v>0.999999997922569</v>
      </c>
    </row>
    <row r="8193" spans="1:40" x14ac:dyDescent="0.25">
      <c r="A8193" t="str">
        <f>"20190304165043349"</f>
        <v>20190304165043349</v>
      </c>
      <c r="B8193" t="str">
        <f>"1551689443343775"</f>
        <v>1551689443343775</v>
      </c>
      <c r="C8193" t="s">
        <v>40</v>
      </c>
      <c r="D8193">
        <v>5.4387860000000003</v>
      </c>
      <c r="E8193">
        <v>0.51624609999999904</v>
      </c>
      <c r="F8193" t="s">
        <v>41</v>
      </c>
      <c r="G8193">
        <v>-145.85380000000001</v>
      </c>
      <c r="H8193">
        <v>0.96059819999999996</v>
      </c>
      <c r="I8193">
        <v>138.01169999999999</v>
      </c>
      <c r="J8193">
        <v>-146.5445</v>
      </c>
      <c r="K8193">
        <v>1.112671</v>
      </c>
      <c r="L8193">
        <v>137.97040000000001</v>
      </c>
      <c r="M8193">
        <v>0.99961889999999998</v>
      </c>
      <c r="N8193">
        <v>-2.759093E-2</v>
      </c>
      <c r="O8193">
        <v>9.3595959999999998E-4</v>
      </c>
      <c r="P8193">
        <v>0.95477699999999999</v>
      </c>
      <c r="Q8193">
        <v>0.29104669999999999</v>
      </c>
      <c r="R8193">
        <v>6.0770369999999997E-2</v>
      </c>
      <c r="S8193">
        <v>3.354187</v>
      </c>
      <c r="T8193">
        <v>-0.7312324</v>
      </c>
      <c r="U8193">
        <v>0.1990662</v>
      </c>
      <c r="V8193">
        <v>-5.9871479999999998E-2</v>
      </c>
      <c r="W8193">
        <v>0.31728149999999999</v>
      </c>
      <c r="X8193">
        <v>0.94643960000000005</v>
      </c>
      <c r="Y8193">
        <v>-5.6823310000000002E-2</v>
      </c>
      <c r="Z8193">
        <v>6.7358490000000004E-3</v>
      </c>
      <c r="AA8193">
        <v>0.99836150000000001</v>
      </c>
      <c r="AB8193">
        <v>1</v>
      </c>
      <c r="AC8193">
        <v>0.69069999999999199</v>
      </c>
      <c r="AD8193">
        <v>-0.15207279999999901</v>
      </c>
      <c r="AE8193">
        <v>4.1299999999978299E-2</v>
      </c>
      <c r="AF8193">
        <v>-3.8780074183221699E-2</v>
      </c>
      <c r="AG8193">
        <v>-0.15207279999999901</v>
      </c>
      <c r="AH8193">
        <v>0.65891098445276997</v>
      </c>
      <c r="AI8193">
        <v>102.974282559264</v>
      </c>
      <c r="AJ8193">
        <v>93.368246152575793</v>
      </c>
      <c r="AK8193">
        <v>0.677343130241988</v>
      </c>
      <c r="AL8193">
        <v>71.501399639835995</v>
      </c>
      <c r="AM8193">
        <v>93.619690240333995</v>
      </c>
      <c r="AN8193">
        <v>1.0000000304038901</v>
      </c>
    </row>
    <row r="8194" spans="1:40" x14ac:dyDescent="0.25">
      <c r="A8194" t="str">
        <f>"20190304165043372"</f>
        <v>20190304165043372</v>
      </c>
      <c r="B8194" t="str">
        <f>"1551689443363295"</f>
        <v>1551689443363295</v>
      </c>
      <c r="C8194" t="s">
        <v>40</v>
      </c>
      <c r="D8194">
        <v>5.4180270000000004</v>
      </c>
      <c r="E8194">
        <v>0.51413920000000002</v>
      </c>
      <c r="F8194" t="s">
        <v>41</v>
      </c>
      <c r="G8194">
        <v>-145.84549999999999</v>
      </c>
      <c r="H8194">
        <v>0.9649856</v>
      </c>
      <c r="I8194">
        <v>138.0153</v>
      </c>
      <c r="J8194">
        <v>-146.5385</v>
      </c>
      <c r="K8194">
        <v>1.1125229999999999</v>
      </c>
      <c r="L8194">
        <v>137.97040000000001</v>
      </c>
      <c r="M8194">
        <v>0.99963849999999999</v>
      </c>
      <c r="N8194">
        <v>-2.6872320000000002E-2</v>
      </c>
      <c r="O8194">
        <v>9.1872150000000001E-4</v>
      </c>
      <c r="P8194">
        <v>0.95458480000000001</v>
      </c>
      <c r="Q8194">
        <v>0.29172320000000002</v>
      </c>
      <c r="R8194">
        <v>6.0544149999999998E-2</v>
      </c>
      <c r="S8194">
        <v>3.3437649999999999</v>
      </c>
      <c r="T8194">
        <v>-0.70647130000000002</v>
      </c>
      <c r="U8194">
        <v>0.2149353</v>
      </c>
      <c r="V8194">
        <v>-5.9670430000000003E-2</v>
      </c>
      <c r="W8194">
        <v>0.31727030000000001</v>
      </c>
      <c r="X8194">
        <v>0.94645599999999996</v>
      </c>
      <c r="Y8194">
        <v>-6.1711269999999999E-2</v>
      </c>
      <c r="Z8194">
        <v>7.1145790000000002E-3</v>
      </c>
      <c r="AA8194">
        <v>0.99806870000000003</v>
      </c>
      <c r="AB8194">
        <v>1</v>
      </c>
      <c r="AC8194">
        <v>0.69300000000001205</v>
      </c>
      <c r="AD8194">
        <v>-0.14753739999999901</v>
      </c>
      <c r="AE8194">
        <v>4.4899999999984098E-2</v>
      </c>
      <c r="AF8194">
        <v>-4.2351519021854397E-2</v>
      </c>
      <c r="AG8194">
        <v>-0.14753739999999901</v>
      </c>
      <c r="AH8194">
        <v>0.66311110498706105</v>
      </c>
      <c r="AI8194">
        <v>102.51887595865701</v>
      </c>
      <c r="AJ8194">
        <v>93.654398069180004</v>
      </c>
      <c r="AK8194">
        <v>0.68064474810240005</v>
      </c>
      <c r="AL8194">
        <v>71.502075380639894</v>
      </c>
      <c r="AM8194">
        <v>93.607505033190193</v>
      </c>
      <c r="AN8194">
        <v>0.99999998170723703</v>
      </c>
    </row>
    <row r="8195" spans="1:40" x14ac:dyDescent="0.25">
      <c r="A8195" t="str">
        <f>"20190304165043393"</f>
        <v>20190304165043393</v>
      </c>
      <c r="B8195" t="str">
        <f>"1551689443383791"</f>
        <v>1551689443383791</v>
      </c>
      <c r="C8195" t="s">
        <v>40</v>
      </c>
      <c r="D8195">
        <v>5.4958980000000004</v>
      </c>
      <c r="E8195">
        <v>0.51236429999999999</v>
      </c>
      <c r="F8195" t="s">
        <v>41</v>
      </c>
      <c r="G8195">
        <v>-145.8383</v>
      </c>
      <c r="H8195">
        <v>0.96916029999999997</v>
      </c>
      <c r="I8195">
        <v>138.01779999999999</v>
      </c>
      <c r="J8195">
        <v>-146.53370000000001</v>
      </c>
      <c r="K8195">
        <v>1.1123719999999999</v>
      </c>
      <c r="L8195">
        <v>137.97040000000001</v>
      </c>
      <c r="M8195">
        <v>0.99966049999999995</v>
      </c>
      <c r="N8195">
        <v>-2.6042450000000002E-2</v>
      </c>
      <c r="O8195">
        <v>9.1000070000000002E-4</v>
      </c>
      <c r="P8195">
        <v>0.95411570000000001</v>
      </c>
      <c r="Q8195">
        <v>0.29350130000000002</v>
      </c>
      <c r="R8195">
        <v>5.9331920000000003E-2</v>
      </c>
      <c r="S8195">
        <v>3.3371430000000002</v>
      </c>
      <c r="T8195">
        <v>-0.68327019999999905</v>
      </c>
      <c r="U8195">
        <v>0.2264862</v>
      </c>
      <c r="V8195">
        <v>-5.8472250000000003E-2</v>
      </c>
      <c r="W8195">
        <v>0.318249</v>
      </c>
      <c r="X8195">
        <v>0.94620219999999999</v>
      </c>
      <c r="Y8195">
        <v>-6.5294270000000001E-2</v>
      </c>
      <c r="Z8195">
        <v>7.3088340000000002E-3</v>
      </c>
      <c r="AA8195">
        <v>0.99783929999999998</v>
      </c>
      <c r="AB8195">
        <v>1</v>
      </c>
      <c r="AC8195">
        <v>0.69540000000000601</v>
      </c>
      <c r="AD8195">
        <v>-0.143211699999999</v>
      </c>
      <c r="AE8195">
        <v>4.7399999999981901E-2</v>
      </c>
      <c r="AF8195">
        <v>-4.4872619829463903E-2</v>
      </c>
      <c r="AG8195">
        <v>-0.143211699999999</v>
      </c>
      <c r="AH8195">
        <v>0.66727341163309495</v>
      </c>
      <c r="AI8195">
        <v>102.08669621568301</v>
      </c>
      <c r="AJ8195">
        <v>93.847218512663304</v>
      </c>
      <c r="AK8195">
        <v>0.683942211666833</v>
      </c>
      <c r="AL8195">
        <v>71.442935490150504</v>
      </c>
      <c r="AM8195">
        <v>93.536197911646994</v>
      </c>
      <c r="AN8195">
        <v>1.0000000166529499</v>
      </c>
    </row>
    <row r="8196" spans="1:40" x14ac:dyDescent="0.25">
      <c r="A8196" t="str">
        <f>"20190304165043416"</f>
        <v>20190304165043416</v>
      </c>
      <c r="B8196" t="str">
        <f>"1551689443403312"</f>
        <v>1551689443403312</v>
      </c>
      <c r="C8196" t="s">
        <v>40</v>
      </c>
      <c r="D8196">
        <v>5.4647389999999998</v>
      </c>
      <c r="E8196">
        <v>0.51163539999999996</v>
      </c>
      <c r="F8196" t="s">
        <v>41</v>
      </c>
      <c r="G8196">
        <v>-145.83260000000001</v>
      </c>
      <c r="H8196">
        <v>0.97211749999999997</v>
      </c>
      <c r="I8196">
        <v>138.02000000000001</v>
      </c>
      <c r="J8196">
        <v>-146.52969999999999</v>
      </c>
      <c r="K8196">
        <v>1.112214</v>
      </c>
      <c r="L8196">
        <v>137.97040000000001</v>
      </c>
      <c r="M8196">
        <v>0.99968429999999997</v>
      </c>
      <c r="N8196">
        <v>-2.5115579999999998E-2</v>
      </c>
      <c r="O8196">
        <v>9.0487860000000001E-4</v>
      </c>
      <c r="P8196">
        <v>0.95362400000000003</v>
      </c>
      <c r="Q8196">
        <v>0.29518620000000001</v>
      </c>
      <c r="R8196">
        <v>5.8876600000000001E-2</v>
      </c>
      <c r="S8196">
        <v>3.334778</v>
      </c>
      <c r="T8196">
        <v>-0.66712050000000001</v>
      </c>
      <c r="U8196">
        <v>0.23654169999999999</v>
      </c>
      <c r="V8196">
        <v>-5.8024109999999997E-2</v>
      </c>
      <c r="W8196">
        <v>0.31904320000000003</v>
      </c>
      <c r="X8196">
        <v>0.94596230000000003</v>
      </c>
      <c r="Y8196">
        <v>-6.8343909999999994E-2</v>
      </c>
      <c r="Z8196">
        <v>7.4731769999999897E-3</v>
      </c>
      <c r="AA8196">
        <v>0.99763380000000002</v>
      </c>
      <c r="AB8196">
        <v>1</v>
      </c>
      <c r="AC8196">
        <v>0.69709999999997696</v>
      </c>
      <c r="AD8196">
        <v>-0.14009650000000001</v>
      </c>
      <c r="AE8196">
        <v>4.9599999999998E-2</v>
      </c>
      <c r="AF8196">
        <v>-4.70771622028857E-2</v>
      </c>
      <c r="AG8196">
        <v>-0.14009650000000001</v>
      </c>
      <c r="AH8196">
        <v>0.67021169931270397</v>
      </c>
      <c r="AI8196">
        <v>101.77850726015799</v>
      </c>
      <c r="AJ8196">
        <v>94.017983608666896</v>
      </c>
      <c r="AK8196">
        <v>0.68631407563079205</v>
      </c>
      <c r="AL8196">
        <v>71.394928776369099</v>
      </c>
      <c r="AM8196">
        <v>93.510051665056196</v>
      </c>
      <c r="AN8196">
        <v>1.0000000169144101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2020-05-20T14:50:19Z</dcterms:created>
  <dcterms:modified xsi:type="dcterms:W3CDTF">2020-05-20T14:50:20Z</dcterms:modified>
</cp:coreProperties>
</file>